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Term investments" sheetId="3" state="visible" r:id="rId3"/>
    <sheet xmlns:r="http://schemas.openxmlformats.org/officeDocument/2006/relationships" name="Call accounts and MMFs" sheetId="4" state="visible" r:id="rId4"/>
    <sheet xmlns:r="http://schemas.openxmlformats.org/officeDocument/2006/relationships" name="Loans" sheetId="5" state="visible" r:id="rId5"/>
    <sheet xmlns:r="http://schemas.openxmlformats.org/officeDocument/2006/relationships" name="Pooled funds" sheetId="6" state="visible" r:id="rId6"/>
    <sheet xmlns:r="http://schemas.openxmlformats.org/officeDocument/2006/relationships" name="Projections" sheetId="7" state="visible" r:id="rId7"/>
    <sheet xmlns:r="http://schemas.openxmlformats.org/officeDocument/2006/relationships" name="Dashboard" sheetId="8" state="visible" r:id="rId8"/>
    <sheet xmlns:r="http://schemas.openxmlformats.org/officeDocument/2006/relationships" name="Position" sheetId="9" state="visible" r:id="rId9"/>
    <sheet xmlns:r="http://schemas.openxmlformats.org/officeDocument/2006/relationships" name="Debt outstanding" sheetId="10" state="visible" r:id="rId10"/>
    <sheet xmlns:r="http://schemas.openxmlformats.org/officeDocument/2006/relationships" name="Investments held" sheetId="11" state="visible" r:id="rId11"/>
    <sheet xmlns:r="http://schemas.openxmlformats.org/officeDocument/2006/relationships" name="Benchmark" sheetId="12" state="visible" r:id="rId12"/>
    <sheet xmlns:r="http://schemas.openxmlformats.org/officeDocument/2006/relationships" name="Loan maths" sheetId="13" state="hidden" r:id="rId13"/>
    <sheet xmlns:r="http://schemas.openxmlformats.org/officeDocument/2006/relationships" name="Deal maths" sheetId="14" state="hidden" r:id="rId14"/>
    <sheet xmlns:r="http://schemas.openxmlformats.org/officeDocument/2006/relationships" name="List maths" sheetId="15" state="hidden" r:id="rId15"/>
    <sheet xmlns:r="http://schemas.openxmlformats.org/officeDocument/2006/relationships" name="Lists" sheetId="16" state="hidden" r:id="rId16"/>
  </sheets>
  <definedNames>
    <definedName name="AsAt">Settings!$B$4</definedName>
    <definedName name="HRA">Settings!$B$5</definedName>
    <definedName name="TemplateVersion">Settings!$B$6</definedName>
    <definedName name="PeriodFrom">Settings!$B$7</definedName>
    <definedName name="LM_live">'Loan maths'!$B$4:$B$1000</definedName>
    <definedName name="LM_profile">'Loan maths'!$C$4:$C$1000</definedName>
    <definedName name="LM_step">'Loan maths'!$D$4:$D$1000</definedName>
    <definedName name="LM_first">'Loan maths'!$E$4:$E$1000</definedName>
    <definedName name="LM_rate">'Loan maths'!$F$4:$F$1000</definedName>
    <definedName name="LM_payments">'Loan maths'!$G$4:$G$1000</definedName>
    <definedName name="LM_paid">'Loan maths'!$H$4:$H$1000</definedName>
    <definedName name="LM_eip">'Loan maths'!$J$4:$J$1000</definedName>
    <definedName name="LM_annuity">'Loan maths'!$K$4:$K$1000</definedName>
    <definedName name="LM_out">'Loan maths'!$L$4:$L$1000</definedName>
    <definedName name="LM_safe">'Loan maths'!$M$4:$M$1000</definedName>
    <definedName name="LM_cycles">'Loan maths'!$N$4:$N$1000</definedName>
    <definedName name="LM_stub">'Loan maths'!$O$4:$O$1000</definedName>
    <definedName name="LM_life">'Loan maths'!$P$4:$P$1000</definedName>
    <definedName name="LM_order">'Loan maths'!$Q$4:$Q$1000</definedName>
    <definedName name="LM_anchor">'Loan maths'!$R$4:$R$1000</definedName>
    <definedName name="LM_end">'Loan maths'!$S$4:$S$1000</definedName>
    <definedName name="LM_runs">'Loan maths'!$T$4:$T$1000</definedName>
    <definedName name="LN_principal">'Deal maths'!$Y$4:$Y$1000</definedName>
    <definedName name="LN_maturity">'Deal maths'!$AA$4:$AA$1000</definedName>
    <definedName name="LN_fund">'Deal maths'!$AF$4:$AF$1000</definedName>
    <definedName name="LN_call">'Deal maths'!$AG$4:$AG$1000</definedName>
    <definedName name="LN_start">'Deal maths'!$Z$4:$Z$1000</definedName>
    <definedName name="TermTypes">Lists!$A$4:$A$10</definedName>
    <definedName name="CounterpartyTypes">Lists!$B$4:$B$11</definedName>
    <definedName name="HRAOptions">Lists!$C$4:$C$6</definedName>
    <definedName name="CallTypes">Lists!$D$4:$D$7</definedName>
    <definedName name="LoanTypes">Lists!$E$4:$E$9</definedName>
    <definedName name="LenderTypes">Lists!$F$4:$F$8</definedName>
    <definedName name="Profiles">Lists!$G$4:$G$6</definedName>
    <definedName name="Frequencies">Lists!$H$4:$H$6</definedName>
    <definedName name="Funds">Lists!$I$4:$I$5</definedName>
    <definedName name="FundTypes">Lists!$J$4:$J$9</definedName>
    <definedName name="_xlnm.Print_Titles" localSheetId="2">'Term investments'!$3:$3</definedName>
    <definedName name="_xlnm.Print_Titles" localSheetId="3">'Call accounts and MMFs'!$3:$3</definedName>
    <definedName name="_xlnm.Print_Titles" localSheetId="4">'Loans'!$3:$3</definedName>
    <definedName name="_xlnm.Print_Titles" localSheetId="5">'Pooled funds'!$3:$3</definedName>
    <definedName name="_xlnm.Print_Area" localSheetId="7">'Dashboard'!$A$1:$J$97</definedName>
    <definedName name="_xlnm.Print_Area" localSheetId="8">'Position'!$A$1:$L$77</definedName>
    <definedName name="_xlnm.Print_Area" localSheetId="9">OFFSET('Debt outstanding'!$A$1,0,0,8+MIN(300,SUM(LM_live)),14)</definedName>
    <definedName name="_xlnm.Print_Titles" localSheetId="9">'Debt outstanding'!$8:$8</definedName>
    <definedName name="_xlnm.Print_Area" localSheetId="10">OFFSET('Investments held'!$A$1,0,0,8+MIN(300,COUNT('List maths'!$E$4:$E$3997)),12)</definedName>
    <definedName name="_xlnm.Print_Titles" localSheetId="10">'Investments held'!$8:$8</definedName>
    <definedName name="_xlnm.Print_Area" localSheetId="11">'Benchmark'!$A$1:$T$173,'Benchmark'!$V$5:$AM$173</definedName>
    <definedName name="_xlnm.Print_Area" localSheetId="12">OFFSET('Loan maths'!$A$1,0,0,3+MAX(1,COUNTA('Loans'!$A$4:$A$1000)),20)</definedName>
    <definedName name="_xlnm.Print_Titles" localSheetId="12">'Loan maths'!$3:$3</definedName>
  </definedNames>
  <calcPr calcId="124519" fullCalcOnLoad="1"/>
</workbook>
</file>

<file path=xl/styles.xml><?xml version="1.0" encoding="utf-8"?>
<styleSheet xmlns="http://schemas.openxmlformats.org/spreadsheetml/2006/main">
  <numFmts count="21">
    <numFmt numFmtId="164" formatCode="yyyy-mm-dd"/>
    <numFmt numFmtId="165" formatCode="dd/mm/yyyy"/>
    <numFmt numFmtId="166" formatCode="#,##0.0"/>
    <numFmt numFmtId="167" formatCode="£#,##0"/>
    <numFmt numFmtId="168" formatCode="0.0%"/>
    <numFmt numFmtId="169" formatCode="£#,##0.0,,&quot;m&quot;;-£#,##0.0,,&quot;m&quot;;£0.0&quot;m&quot;"/>
    <numFmt numFmtId="170" formatCode="0.0&quot; yrs&quot;"/>
    <numFmt numFmtId="171" formatCode="£#,##0;-£#,##0;&quot;–&quot;"/>
    <numFmt numFmtId="172" formatCode="0.0%;-0.0%;&quot;–&quot;"/>
    <numFmt numFmtId="173" formatCode="0.00%;-0.00%;&quot;–&quot;"/>
    <numFmt numFmtId="174" formatCode="0.0;-0.0;&quot;–&quot;"/>
    <numFmt numFmtId="175" formatCode="0;-0;&quot;–&quot;"/>
    <numFmt numFmtId="176" formatCode="dd/mm/yyyy;;"/>
    <numFmt numFmtId="177" formatCode="0.0"/>
    <numFmt numFmtId="178" formatCode="0;-0;&quot;on call&quot;"/>
    <numFmt numFmtId="179" formatCode="0;-0;"/>
    <numFmt numFmtId="180" formatCode="0.000%;-0.000%;"/>
    <numFmt numFmtId="181" formatCode="#,##0;-#,##0;"/>
    <numFmt numFmtId="182" formatCode="[=1]&quot;&quot;;0.000%"/>
    <numFmt numFmtId="183" formatCode="0.00;-0.00;"/>
    <numFmt numFmtId="184" formatCode="dd/mm/yy"/>
  </numFmts>
  <fonts count="21">
    <font>
      <name val="Calibri"/>
      <family val="2"/>
      <color theme="1"/>
      <sz val="11"/>
      <scheme val="minor"/>
    </font>
    <font>
      <name val="Arial"/>
      <b val="1"/>
      <color rgb="00FFFFFF"/>
      <sz val="26"/>
    </font>
    <font>
      <name val="Arial"/>
      <b val="1"/>
      <color rgb="00FD7E14"/>
      <sz val="12"/>
    </font>
    <font>
      <name val="Arial"/>
      <color rgb="00C9D6E3"/>
      <sz val="10"/>
    </font>
    <font>
      <name val="Arial"/>
      <b val="1"/>
      <color rgb="000A2540"/>
      <sz val="14"/>
    </font>
    <font>
      <name val="Arial"/>
      <sz val="11"/>
    </font>
    <font>
      <name val="Arial"/>
      <b val="1"/>
      <color rgb="000A2540"/>
      <sz val="12"/>
    </font>
    <font>
      <name val="Arial"/>
      <b val="1"/>
      <color rgb="003A4A5A"/>
      <sz val="10"/>
    </font>
    <font>
      <name val="Arial"/>
      <b val="1"/>
      <color rgb="000A2540"/>
      <sz val="11"/>
      <u val="single"/>
    </font>
    <font>
      <name val="Arial"/>
      <b val="1"/>
      <color rgb="00FFFFFF"/>
      <sz val="12"/>
    </font>
    <font>
      <name val="Arial"/>
      <b val="1"/>
      <sz val="11"/>
    </font>
    <font>
      <name val="Arial"/>
      <i val="1"/>
      <color rgb="005A6670"/>
      <sz val="10"/>
    </font>
    <font>
      <name val="Arial"/>
      <b val="1"/>
      <color rgb="00FFFFFF"/>
      <sz val="16"/>
    </font>
    <font>
      <name val="Arial"/>
      <b val="1"/>
      <color rgb="00FD7E14"/>
      <sz val="10"/>
      <u val="single"/>
    </font>
    <font>
      <name val="Arial"/>
      <b val="1"/>
      <color rgb="00FFFFFF"/>
      <sz val="11"/>
    </font>
    <font>
      <name val="Arial"/>
      <color rgb="0068757F"/>
      <sz val="10"/>
    </font>
    <font>
      <name val="Arial"/>
      <color rgb="009AA3AD"/>
      <sz val="11"/>
    </font>
    <font>
      <name val="Arial"/>
      <b val="1"/>
      <color rgb="000A2540"/>
      <sz val="11"/>
    </font>
    <font>
      <name val="Arial"/>
      <b val="1"/>
      <color rgb="00FFFFFF"/>
      <sz val="14"/>
    </font>
    <font>
      <name val="Arial"/>
      <color rgb="00C9D6E3"/>
      <sz val="9"/>
    </font>
    <font>
      <name val="Arial"/>
      <color rgb="000F1A24"/>
      <sz val="11"/>
    </font>
  </fonts>
  <fills count="7">
    <fill>
      <patternFill/>
    </fill>
    <fill>
      <patternFill patternType="gray125"/>
    </fill>
    <fill>
      <patternFill patternType="solid">
        <fgColor rgb="000A2540"/>
      </patternFill>
    </fill>
    <fill>
      <patternFill patternType="solid">
        <fgColor rgb="00FD7E14"/>
      </patternFill>
    </fill>
    <fill>
      <patternFill patternType="solid">
        <fgColor rgb="00FFF8DC"/>
      </patternFill>
    </fill>
    <fill>
      <patternFill patternType="solid">
        <fgColor rgb="00EDEFF2"/>
      </patternFill>
    </fill>
    <fill>
      <patternFill patternType="solid">
        <fgColor rgb="000F2F52"/>
      </patternFill>
    </fill>
  </fills>
  <borders count="7">
    <border>
      <left/>
      <right/>
      <top/>
      <bottom/>
      <diagonal/>
    </border>
    <border>
      <bottom style="medium">
        <color rgb="000A2540"/>
      </bottom>
    </border>
    <border>
      <bottom style="thin">
        <color rgb="00E6EAEE"/>
      </bottom>
    </border>
    <border>
      <left style="thin">
        <color rgb="00C9D1DA"/>
      </left>
      <right style="thin">
        <color rgb="00C9D1DA"/>
      </right>
      <top style="thin">
        <color rgb="00C9D1DA"/>
      </top>
      <bottom style="thin">
        <color rgb="00C9D1DA"/>
      </bottom>
    </border>
    <border>
      <top style="medium">
        <color rgb="000A2540"/>
      </top>
    </border>
    <border>
      <bottom style="thin">
        <color rgb="000A2540"/>
      </bottom>
    </border>
    <border/>
  </borders>
  <cellStyleXfs count="1">
    <xf numFmtId="0" fontId="0" fillId="0" borderId="0"/>
  </cellStyleXfs>
  <cellXfs count="11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2" borderId="0" applyAlignment="1" pivotButton="0" quotePrefix="0" xfId="0">
      <alignment vertical="center" indent="1"/>
    </xf>
    <xf numFmtId="0" fontId="0" fillId="3"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1" pivotButton="0" quotePrefix="0" xfId="0"/>
    <xf numFmtId="0" fontId="7" fillId="0" borderId="1" applyAlignment="1" pivotButton="0" quotePrefix="0" xfId="0">
      <alignment horizontal="right"/>
    </xf>
    <xf numFmtId="0" fontId="8" fillId="0" borderId="2" applyAlignment="1" pivotButton="0" quotePrefix="0" xfId="0">
      <alignment vertical="top"/>
    </xf>
    <xf numFmtId="0" fontId="5" fillId="0" borderId="2" applyAlignment="1" pivotButton="0" quotePrefix="0" xfId="0">
      <alignment vertical="top" wrapText="1"/>
    </xf>
    <xf numFmtId="0" fontId="5" fillId="0" borderId="2" applyAlignment="1" pivotButton="0" quotePrefix="0" xfId="0">
      <alignment horizontal="right" vertical="top"/>
    </xf>
    <xf numFmtId="0" fontId="9" fillId="0" borderId="0" applyAlignment="1" pivotButton="0" quotePrefix="0" xfId="0">
      <alignment vertical="center" wrapText="1" indent="1"/>
    </xf>
    <xf numFmtId="0" fontId="10" fillId="0" borderId="2" applyAlignment="1" pivotButton="0" quotePrefix="0" xfId="0">
      <alignment horizontal="left" vertical="top"/>
    </xf>
    <xf numFmtId="0" fontId="0" fillId="0" borderId="2" pivotButton="0" quotePrefix="0" xfId="0"/>
    <xf numFmtId="0" fontId="10" fillId="0" borderId="0" applyAlignment="1" pivotButton="0" quotePrefix="0" xfId="0">
      <alignment vertical="top" wrapText="1"/>
    </xf>
    <xf numFmtId="0" fontId="8" fillId="0" borderId="0" pivotButton="0" quotePrefix="0" xfId="0"/>
    <xf numFmtId="0" fontId="5" fillId="0" borderId="0" pivotButton="0" quotePrefix="0" xfId="0"/>
    <xf numFmtId="0" fontId="11" fillId="0" borderId="0" applyAlignment="1" pivotButton="0" quotePrefix="0" xfId="0">
      <alignment vertical="top" wrapText="1"/>
    </xf>
    <xf numFmtId="0" fontId="12" fillId="2" borderId="0" applyAlignment="1" pivotButton="0" quotePrefix="0" xfId="0">
      <alignment vertical="center" indent="1"/>
    </xf>
    <xf numFmtId="0" fontId="3" fillId="2" borderId="0" applyAlignment="1" pivotButton="0" quotePrefix="0" xfId="0">
      <alignment horizontal="right" vertical="center" indent="1"/>
    </xf>
    <xf numFmtId="0" fontId="13" fillId="0" borderId="0" applyAlignment="1" pivotButton="0" quotePrefix="0" xfId="0">
      <alignment vertical="center"/>
    </xf>
    <xf numFmtId="0" fontId="10" fillId="0" borderId="0" pivotButton="0" quotePrefix="0" xfId="0"/>
    <xf numFmtId="165" fontId="5" fillId="4" borderId="3" applyProtection="1" pivotButton="0" quotePrefix="0" xfId="0">
      <protection locked="0" hidden="0"/>
    </xf>
    <xf numFmtId="0" fontId="11" fillId="0" borderId="0" pivotButton="0" quotePrefix="0" xfId="0"/>
    <xf numFmtId="0" fontId="5" fillId="4" borderId="3" applyProtection="1" pivotButton="0" quotePrefix="0" xfId="0">
      <protection locked="0" hidden="0"/>
    </xf>
    <xf numFmtId="1" fontId="5" fillId="4" borderId="3" pivotButton="0" quotePrefix="0" xfId="0"/>
    <xf numFmtId="3" fontId="0" fillId="0" borderId="0" pivotButton="0" quotePrefix="0" xfId="0"/>
    <xf numFmtId="165" fontId="0" fillId="0" borderId="0" pivotButton="0" quotePrefix="0" xfId="0"/>
    <xf numFmtId="10" fontId="0" fillId="0" borderId="0" pivotButton="0" quotePrefix="0" xfId="0"/>
    <xf numFmtId="0" fontId="14" fillId="2" borderId="0" applyAlignment="1" pivotButton="0" quotePrefix="0" xfId="0">
      <alignment vertical="center" wrapText="1"/>
    </xf>
    <xf numFmtId="3" fontId="5" fillId="0" borderId="0" pivotButton="0" quotePrefix="0" xfId="0"/>
    <xf numFmtId="165" fontId="5" fillId="0" borderId="0" pivotButton="0" quotePrefix="0" xfId="0"/>
    <xf numFmtId="10" fontId="5" fillId="0" borderId="0" pivotButton="0" quotePrefix="0" xfId="0"/>
    <xf numFmtId="1" fontId="0" fillId="0" borderId="0" pivotButton="0" quotePrefix="0" xfId="0"/>
    <xf numFmtId="1" fontId="5" fillId="0" borderId="0" pivotButton="0" quotePrefix="0" xfId="0"/>
    <xf numFmtId="0" fontId="15" fillId="0" borderId="0" pivotButton="0" quotePrefix="0" xfId="0"/>
    <xf numFmtId="0" fontId="14" fillId="2" borderId="0" applyAlignment="1" applyProtection="1" pivotButton="0" quotePrefix="0" xfId="0">
      <alignment vertical="center"/>
      <protection locked="0" hidden="0"/>
    </xf>
    <xf numFmtId="0" fontId="14" fillId="2" borderId="0" applyAlignment="1" applyProtection="1" pivotButton="0" quotePrefix="0" xfId="0">
      <alignment vertical="center" wrapText="1"/>
      <protection locked="0" hidden="0"/>
    </xf>
    <xf numFmtId="0" fontId="10" fillId="0" borderId="2" applyProtection="1" pivotButton="0" quotePrefix="0" xfId="0">
      <protection locked="0" hidden="0"/>
    </xf>
    <xf numFmtId="166" fontId="5" fillId="0" borderId="2" applyProtection="1" pivotButton="0" quotePrefix="0" xfId="0">
      <protection locked="0" hidden="0"/>
    </xf>
    <xf numFmtId="0" fontId="5" fillId="0" borderId="2" applyProtection="1" pivotButton="0" quotePrefix="0" xfId="0">
      <protection locked="0" hidden="0"/>
    </xf>
    <xf numFmtId="166" fontId="16" fillId="5" borderId="2" applyProtection="1" pivotButton="0" quotePrefix="0" xfId="0">
      <protection locked="0" hidden="0"/>
    </xf>
    <xf numFmtId="0" fontId="15" fillId="0" borderId="0" applyAlignment="1" pivotButton="0" quotePrefix="0" xfId="0">
      <alignment vertical="top" wrapText="1"/>
    </xf>
    <xf numFmtId="0" fontId="7" fillId="0" borderId="0" applyAlignment="1" pivotButton="0" quotePrefix="0" xfId="0">
      <alignment horizontal="right"/>
    </xf>
    <xf numFmtId="165" fontId="17" fillId="0" borderId="0" pivotButton="0" quotePrefix="0" xfId="0"/>
    <xf numFmtId="0" fontId="17" fillId="0" borderId="0" pivotButton="0" quotePrefix="0" xfId="0"/>
    <xf numFmtId="167" fontId="18" fillId="6" borderId="0" applyAlignment="1" pivotButton="0" quotePrefix="0" xfId="0">
      <alignment horizontal="left" vertical="center" indent="1"/>
    </xf>
    <xf numFmtId="1" fontId="18" fillId="6" borderId="0" applyAlignment="1" pivotButton="0" quotePrefix="0" xfId="0">
      <alignment horizontal="left" vertical="center" indent="1"/>
    </xf>
    <xf numFmtId="10" fontId="18" fillId="6" borderId="0" applyAlignment="1" pivotButton="0" quotePrefix="0" xfId="0">
      <alignment horizontal="left" vertical="center" indent="1"/>
    </xf>
    <xf numFmtId="0" fontId="19" fillId="6" borderId="0" applyAlignment="1" pivotButton="0" quotePrefix="0" xfId="0">
      <alignment horizontal="left" vertical="top" indent="1"/>
    </xf>
    <xf numFmtId="0" fontId="7" fillId="0" borderId="1" applyAlignment="1" pivotButton="0" quotePrefix="0" xfId="0">
      <alignment horizontal="left" vertical="bottom" wrapText="1"/>
    </xf>
    <xf numFmtId="0" fontId="7" fillId="0" borderId="1" applyAlignment="1" pivotButton="0" quotePrefix="0" xfId="0">
      <alignment horizontal="right" vertical="bottom" wrapText="1"/>
    </xf>
    <xf numFmtId="0" fontId="20" fillId="0" borderId="2" pivotButton="0" quotePrefix="0" xfId="0"/>
    <xf numFmtId="167" fontId="20" fillId="0" borderId="2" applyAlignment="1" pivotButton="0" quotePrefix="0" xfId="0">
      <alignment horizontal="right"/>
    </xf>
    <xf numFmtId="168" fontId="20" fillId="0" borderId="2" applyAlignment="1" pivotButton="0" quotePrefix="0" xfId="0">
      <alignment horizontal="right"/>
    </xf>
    <xf numFmtId="0" fontId="17" fillId="0" borderId="4" pivotButton="0" quotePrefix="0" xfId="0"/>
    <xf numFmtId="167" fontId="17" fillId="0" borderId="4" applyAlignment="1" pivotButton="0" quotePrefix="0" xfId="0">
      <alignment horizontal="right"/>
    </xf>
    <xf numFmtId="168" fontId="17" fillId="0" borderId="4" applyAlignment="1" pivotButton="0" quotePrefix="0" xfId="0">
      <alignment horizontal="right"/>
    </xf>
    <xf numFmtId="167" fontId="15" fillId="0" borderId="0" pivotButton="0" quotePrefix="0" xfId="0"/>
    <xf numFmtId="1" fontId="20" fillId="0" borderId="2" applyAlignment="1" pivotButton="0" quotePrefix="0" xfId="0">
      <alignment horizontal="right"/>
    </xf>
    <xf numFmtId="0" fontId="0" fillId="0" borderId="0" applyAlignment="1" pivotButton="0" quotePrefix="0" xfId="0">
      <alignment horizontal="left" vertical="bottom" wrapText="1"/>
    </xf>
    <xf numFmtId="0" fontId="0" fillId="0" borderId="0" applyAlignment="1" pivotButton="0" quotePrefix="0" xfId="0">
      <alignment horizontal="right" vertical="bottom" wrapText="1"/>
    </xf>
    <xf numFmtId="1" fontId="17" fillId="0" borderId="4" applyAlignment="1" pivotButton="0" quotePrefix="0" xfId="0">
      <alignment horizontal="right"/>
    </xf>
    <xf numFmtId="169" fontId="18" fillId="6" borderId="0" applyAlignment="1" pivotButton="0" quotePrefix="0" xfId="0">
      <alignment horizontal="left" vertical="center" indent="1"/>
    </xf>
    <xf numFmtId="170" fontId="18" fillId="6" borderId="0" applyAlignment="1" pivotButton="0" quotePrefix="0" xfId="0">
      <alignment horizontal="left" vertical="center" indent="1"/>
    </xf>
    <xf numFmtId="0" fontId="19" fillId="6" borderId="0" applyAlignment="1" pivotButton="0" quotePrefix="0" xfId="0">
      <alignment horizontal="left" vertical="top" wrapText="1" indent="1"/>
    </xf>
    <xf numFmtId="171" fontId="20" fillId="0" borderId="2" applyAlignment="1" pivotButton="0" quotePrefix="0" xfId="0">
      <alignment horizontal="right"/>
    </xf>
    <xf numFmtId="172" fontId="20" fillId="0" borderId="2" applyAlignment="1" pivotButton="0" quotePrefix="0" xfId="0">
      <alignment horizontal="right"/>
    </xf>
    <xf numFmtId="173" fontId="20" fillId="0" borderId="2" applyAlignment="1" pivotButton="0" quotePrefix="0" xfId="0">
      <alignment horizontal="right"/>
    </xf>
    <xf numFmtId="174" fontId="20" fillId="0" borderId="2" applyAlignment="1" pivotButton="0" quotePrefix="0" xfId="0">
      <alignment horizontal="right"/>
    </xf>
    <xf numFmtId="175" fontId="20" fillId="0" borderId="2" applyAlignment="1" pivotButton="0" quotePrefix="0" xfId="0">
      <alignment horizontal="right"/>
    </xf>
    <xf numFmtId="171" fontId="17" fillId="0" borderId="4" applyAlignment="1" pivotButton="0" quotePrefix="0" xfId="0">
      <alignment horizontal="right"/>
    </xf>
    <xf numFmtId="172" fontId="17" fillId="0" borderId="4" applyAlignment="1" pivotButton="0" quotePrefix="0" xfId="0">
      <alignment horizontal="right"/>
    </xf>
    <xf numFmtId="173" fontId="17" fillId="0" borderId="4" applyAlignment="1" pivotButton="0" quotePrefix="0" xfId="0">
      <alignment horizontal="right"/>
    </xf>
    <xf numFmtId="174" fontId="17" fillId="0" borderId="4" applyAlignment="1" pivotButton="0" quotePrefix="0" xfId="0">
      <alignment horizontal="right"/>
    </xf>
    <xf numFmtId="175" fontId="17" fillId="0" borderId="4" applyAlignment="1" pivotButton="0" quotePrefix="0" xfId="0">
      <alignment horizontal="right"/>
    </xf>
    <xf numFmtId="0" fontId="17" fillId="0" borderId="5" pivotButton="0" quotePrefix="0" xfId="0"/>
    <xf numFmtId="171" fontId="17" fillId="0" borderId="5" applyAlignment="1" pivotButton="0" quotePrefix="0" xfId="0">
      <alignment horizontal="right"/>
    </xf>
    <xf numFmtId="172" fontId="17" fillId="0" borderId="5" applyAlignment="1" pivotButton="0" quotePrefix="0" xfId="0">
      <alignment horizontal="right"/>
    </xf>
    <xf numFmtId="175" fontId="17" fillId="0" borderId="5" applyAlignment="1" pivotButton="0" quotePrefix="0" xfId="0">
      <alignment horizontal="right"/>
    </xf>
    <xf numFmtId="176" fontId="17" fillId="0" borderId="5" applyAlignment="1" pivotButton="0" quotePrefix="0" xfId="0">
      <alignment horizontal="right"/>
    </xf>
    <xf numFmtId="0" fontId="20" fillId="0" borderId="6" pivotButton="0" quotePrefix="0" xfId="0"/>
    <xf numFmtId="0" fontId="20" fillId="0" borderId="6" applyAlignment="1" pivotButton="0" quotePrefix="0" xfId="0">
      <alignment horizontal="left"/>
    </xf>
    <xf numFmtId="171" fontId="20" fillId="0" borderId="6" applyAlignment="1" pivotButton="0" quotePrefix="0" xfId="0">
      <alignment horizontal="right"/>
    </xf>
    <xf numFmtId="172" fontId="20" fillId="0" borderId="6" applyAlignment="1" pivotButton="0" quotePrefix="0" xfId="0">
      <alignment horizontal="right"/>
    </xf>
    <xf numFmtId="175" fontId="20" fillId="0" borderId="6" applyAlignment="1" pivotButton="0" quotePrefix="0" xfId="0">
      <alignment horizontal="right"/>
    </xf>
    <xf numFmtId="176" fontId="20" fillId="0" borderId="6" applyAlignment="1" pivotButton="0" quotePrefix="0" xfId="0">
      <alignment horizontal="right"/>
    </xf>
    <xf numFmtId="165" fontId="18" fillId="6" borderId="0" applyAlignment="1" pivotButton="0" quotePrefix="0" xfId="0">
      <alignment horizontal="left" vertical="center" indent="1"/>
    </xf>
    <xf numFmtId="0" fontId="20" fillId="0" borderId="0" pivotButton="0" quotePrefix="0" xfId="0"/>
    <xf numFmtId="167" fontId="20" fillId="0" borderId="0" applyAlignment="1" pivotButton="0" quotePrefix="0" xfId="0">
      <alignment horizontal="right"/>
    </xf>
    <xf numFmtId="10" fontId="20" fillId="0" borderId="0" applyAlignment="1" pivotButton="0" quotePrefix="0" xfId="0">
      <alignment horizontal="right"/>
    </xf>
    <xf numFmtId="176" fontId="20" fillId="0" borderId="0" applyAlignment="1" pivotButton="0" quotePrefix="0" xfId="0">
      <alignment horizontal="right"/>
    </xf>
    <xf numFmtId="177" fontId="20" fillId="0" borderId="0" applyAlignment="1" pivotButton="0" quotePrefix="0" xfId="0">
      <alignment horizontal="right"/>
    </xf>
    <xf numFmtId="1" fontId="15" fillId="0" borderId="0" applyAlignment="1" pivotButton="0" quotePrefix="0" xfId="0">
      <alignment horizontal="right"/>
    </xf>
    <xf numFmtId="0" fontId="7" fillId="0" borderId="1" applyAlignment="1" pivotButton="0" quotePrefix="0" xfId="0">
      <alignment horizontal="left" vertical="bottom" wrapText="1" indent="1"/>
    </xf>
    <xf numFmtId="178" fontId="20" fillId="0" borderId="0" applyAlignment="1" pivotButton="0" quotePrefix="0" xfId="0">
      <alignment horizontal="right"/>
    </xf>
    <xf numFmtId="0" fontId="20" fillId="0" borderId="0" applyAlignment="1" pivotButton="0" quotePrefix="0" xfId="0">
      <alignment horizontal="left" indent="1"/>
    </xf>
    <xf numFmtId="0" fontId="15" fillId="0" borderId="0" applyAlignment="1" pivotButton="0" quotePrefix="0" xfId="0">
      <alignment horizontal="left" indent="1"/>
    </xf>
    <xf numFmtId="0" fontId="7" fillId="0" borderId="0" pivotButton="0" quotePrefix="0" xfId="0"/>
    <xf numFmtId="0" fontId="15" fillId="0" borderId="1" applyAlignment="1" pivotButton="0" quotePrefix="0" xfId="0">
      <alignment horizontal="right" vertical="bottom" wrapText="1"/>
    </xf>
    <xf numFmtId="166" fontId="20" fillId="0" borderId="2" applyAlignment="1" pivotButton="0" quotePrefix="0" xfId="0">
      <alignment horizontal="right"/>
    </xf>
    <xf numFmtId="165" fontId="15" fillId="0" borderId="2" applyAlignment="1" pivotButton="0" quotePrefix="0" xfId="0">
      <alignment horizontal="right"/>
    </xf>
    <xf numFmtId="166" fontId="15" fillId="0" borderId="2" applyAlignment="1" pivotButton="0" quotePrefix="0" xfId="0">
      <alignment horizontal="right"/>
    </xf>
    <xf numFmtId="0" fontId="3" fillId="2" borderId="0" pivotButton="0" quotePrefix="0" xfId="0"/>
    <xf numFmtId="184" fontId="15" fillId="0" borderId="0" applyAlignment="1" pivotButton="0" quotePrefix="0" xfId="0">
      <alignment horizontal="right"/>
    </xf>
    <xf numFmtId="179" fontId="20" fillId="0" borderId="0" pivotButton="0" quotePrefix="0" xfId="0"/>
    <xf numFmtId="176" fontId="20" fillId="0" borderId="0" pivotButton="0" quotePrefix="0" xfId="0"/>
    <xf numFmtId="180" fontId="20" fillId="0" borderId="0" pivotButton="0" quotePrefix="0" xfId="0"/>
    <xf numFmtId="181" fontId="20" fillId="0" borderId="0" pivotButton="0" quotePrefix="0" xfId="0"/>
    <xf numFmtId="182" fontId="20" fillId="0" borderId="0" pivotButton="0" quotePrefix="0" xfId="0"/>
    <xf numFmtId="183" fontId="20" fillId="0" borderId="0" pivotButton="0" quotePrefix="0" xfId="0"/>
    <xf numFmtId="0" fontId="7" fillId="0" borderId="1" applyAlignment="1" pivotButton="0" quotePrefix="0" xfId="0">
      <alignment vertical="bottom" wrapText="1"/>
    </xf>
    <xf numFmtId="0" fontId="5" fillId="0" borderId="2" pivotButton="0" quotePrefix="0" xfId="0"/>
  </cellXfs>
  <cellStyles count="1">
    <cellStyle name="Normal" xfId="0" builtinId="0" hidden="0"/>
  </cellStyles>
  <dxfs count="8">
    <dxf>
      <fill>
        <patternFill patternType="solid">
          <fgColor rgb="001A7F4B"/>
        </patternFill>
      </fill>
    </dxf>
    <dxf>
      <fill>
        <patternFill patternType="solid">
          <fgColor rgb="009B1C1C"/>
        </patternFill>
      </fill>
    </dxf>
    <dxf>
      <font>
        <name val="Arial"/>
        <b val="1"/>
        <color rgb="001A7F4B"/>
        <sz val="11"/>
      </font>
    </dxf>
    <dxf>
      <font>
        <name val="Arial"/>
        <b val="1"/>
        <color rgb="009B1C1C"/>
        <sz val="11"/>
      </font>
    </dxf>
    <dxf>
      <font>
        <name val="Arial"/>
        <color rgb="009B1C1C"/>
        <sz val="11"/>
      </font>
      <fill>
        <patternFill patternType="solid">
          <fgColor rgb="00FDE2E2"/>
        </patternFill>
      </fill>
    </dxf>
    <dxf>
      <font>
        <name val="Arial"/>
        <color rgb="008A5A00"/>
        <sz val="11"/>
      </font>
      <fill>
        <patternFill patternType="solid">
          <fgColor rgb="00FFF2CC"/>
        </patternFill>
      </fill>
    </dxf>
    <dxf>
      <font>
        <name val="Arial"/>
        <color rgb="009AA3AD"/>
        <sz val="11"/>
      </font>
      <fill>
        <patternFill patternType="solid">
          <fgColor rgb="00EDEFF2"/>
        </patternFill>
      </fill>
    </dxf>
    <dxf>
      <border>
        <bottom style="thin">
          <color rgb="00E6EAE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Investments by counterparty type</a:t>
            </a:r>
          </a:p>
          <a:p xmlns:a="http://schemas.openxmlformats.org/drawingml/2006/main">
            <a:pPr algn="l">
              <a:defRPr sz="800" b="0">
                <a:solidFill>
                  <a:srgbClr val="68757F"/>
                </a:solidFill>
                <a:latin typeface="Arial"/>
              </a:defRPr>
            </a:pPr>
            <a:r>
              <a:rPr sz="800" b="0">
                <a:solidFill>
                  <a:srgbClr val="68757F"/>
                </a:solidFill>
                <a:latin typeface="Arial"/>
              </a:rPr>
              <a:t>term deals at nominal and call balances together</a:t>
            </a:r>
          </a:p>
        </rich>
      </tx>
      <layout>
        <manualLayout>
          <xMode val="edge"/>
          <yMode val="edge"/>
          <wMode val="factor"/>
          <hMode val="factor"/>
          <x val="0.015"/>
          <y val="0.025"/>
        </manualLayout>
      </layout>
      <overlay val="0"/>
    </title>
    <plotArea>
      <layout>
        <manualLayout>
          <layoutTarget val="inner"/>
          <xMode val="edge"/>
          <yMode val="edge"/>
          <wMode val="factor"/>
          <hMode val="factor"/>
          <x val="0.235"/>
          <y val="0.215"/>
          <w val="0.62"/>
          <h val="0.735"/>
        </manualLayout>
      </layout>
      <barChart>
        <barDir val="bar"/>
        <grouping val="clustered"/>
        <ser>
          <idx val="0"/>
          <order val="0"/>
          <tx>
            <v>Amount</v>
          </tx>
          <spPr>
            <a:solidFill xmlns:a="http://schemas.openxmlformats.org/drawingml/2006/main">
              <a:srgbClr val="2A78D6"/>
            </a:solidFill>
            <a:ln xmlns:a="http://schemas.openxmlformats.org/drawingml/2006/main">
              <a:noFill/>
              <a:prstDash val="solid"/>
            </a:ln>
          </spPr>
          <invertIfNegative val="0"/>
          <dPt>
            <idx val="0"/>
            <invertIfNegative val="0"/>
            <spPr>
              <a:solidFill xmlns:a="http://schemas.openxmlformats.org/drawingml/2006/main">
                <a:srgbClr val="2A78D6"/>
              </a:solidFill>
              <a:ln xmlns:a="http://schemas.openxmlformats.org/drawingml/2006/main">
                <a:noFill/>
                <a:prstDash val="solid"/>
              </a:ln>
            </spPr>
          </dPt>
          <dPt>
            <idx val="1"/>
            <invertIfNegative val="0"/>
            <spPr>
              <a:solidFill xmlns:a="http://schemas.openxmlformats.org/drawingml/2006/main">
                <a:srgbClr val="EB6834"/>
              </a:solidFill>
              <a:ln xmlns:a="http://schemas.openxmlformats.org/drawingml/2006/main">
                <a:noFill/>
                <a:prstDash val="solid"/>
              </a:ln>
            </spPr>
          </dPt>
          <dPt>
            <idx val="2"/>
            <invertIfNegative val="0"/>
            <spPr>
              <a:solidFill xmlns:a="http://schemas.openxmlformats.org/drawingml/2006/main">
                <a:srgbClr val="1BAF7A"/>
              </a:solidFill>
              <a:ln xmlns:a="http://schemas.openxmlformats.org/drawingml/2006/main">
                <a:noFill/>
                <a:prstDash val="solid"/>
              </a:ln>
            </spPr>
          </dPt>
          <dPt>
            <idx val="3"/>
            <invertIfNegative val="0"/>
            <spPr>
              <a:solidFill xmlns:a="http://schemas.openxmlformats.org/drawingml/2006/main">
                <a:srgbClr val="EDA100"/>
              </a:solidFill>
              <a:ln xmlns:a="http://schemas.openxmlformats.org/drawingml/2006/main">
                <a:noFill/>
                <a:prstDash val="solid"/>
              </a:ln>
            </spPr>
          </dPt>
          <dPt>
            <idx val="4"/>
            <invertIfNegative val="0"/>
            <spPr>
              <a:solidFill xmlns:a="http://schemas.openxmlformats.org/drawingml/2006/main">
                <a:srgbClr val="E87BA4"/>
              </a:solidFill>
              <a:ln xmlns:a="http://schemas.openxmlformats.org/drawingml/2006/main">
                <a:noFill/>
                <a:prstDash val="solid"/>
              </a:ln>
            </spPr>
          </dPt>
          <dPt>
            <idx val="5"/>
            <invertIfNegative val="0"/>
            <spPr>
              <a:solidFill xmlns:a="http://schemas.openxmlformats.org/drawingml/2006/main">
                <a:srgbClr val="008300"/>
              </a:solidFill>
              <a:ln xmlns:a="http://schemas.openxmlformats.org/drawingml/2006/main">
                <a:noFill/>
                <a:prstDash val="solid"/>
              </a:ln>
            </spPr>
          </dPt>
          <dPt>
            <idx val="6"/>
            <invertIfNegative val="0"/>
            <spPr>
              <a:solidFill xmlns:a="http://schemas.openxmlformats.org/drawingml/2006/main">
                <a:srgbClr val="E34948"/>
              </a:solidFill>
              <a:ln xmlns:a="http://schemas.openxmlformats.org/drawingml/2006/main">
                <a:noFill/>
                <a:prstDash val="solid"/>
              </a:ln>
            </spPr>
          </dPt>
          <dPt>
            <idx val="7"/>
            <invertIfNegative val="0"/>
            <spPr>
              <a:solidFill xmlns:a="http://schemas.openxmlformats.org/drawingml/2006/main">
                <a:srgbClr val="E34948"/>
              </a:solidFill>
              <a:ln xmlns:a="http://schemas.openxmlformats.org/drawingml/2006/main">
                <a:noFill/>
                <a:prstDash val="solid"/>
              </a:ln>
            </spPr>
          </dPt>
          <dPt>
            <idx val="8"/>
            <invertIfNegative val="0"/>
            <spPr>
              <a:solidFill xmlns:a="http://schemas.openxmlformats.org/drawingml/2006/main">
                <a:srgbClr val="E34948"/>
              </a:solidFill>
              <a:ln xmlns:a="http://schemas.openxmlformats.org/drawingml/2006/main">
                <a:noFill/>
                <a:prstDash val="solid"/>
              </a:ln>
            </spPr>
          </dPt>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'Dashboard'!$B$10:$B$18</f>
              <strCache>
                <ptCount val="9"/>
                <pt idx="0">
                  <v>UK bank</v>
                </pt>
                <pt idx="1">
                  <v>Overseas bank</v>
                </pt>
                <pt idx="2">
                  <v>Building society</v>
                </pt>
                <pt idx="3">
                  <v>Local authority</v>
                </pt>
                <pt idx="4">
                  <v>UK Government</v>
                </pt>
                <pt idx="5">
                  <v>Money market fund</v>
                </pt>
                <pt idx="6">
                  <v>Pooled fund</v>
                </pt>
                <pt idx="7">
                  <v>Other</v>
                </pt>
                <pt idx="8">
                  <v>Not on the list</v>
                </pt>
              </strCache>
            </strRef>
          </cat>
          <val>
            <numRef>
              <f>'Dashboard'!$C$10:$C$18</f>
              <numCache>
                <formatCode>General</formatCode>
                <ptCount val="9"/>
                <pt idx="0">
                  <v>0</v>
                </pt>
                <pt idx="1">
                  <v>0</v>
                </pt>
                <pt idx="2">
                  <v>0</v>
                </pt>
                <pt idx="3">
                  <v>0</v>
                </pt>
                <pt idx="4">
                  <v>0</v>
                </pt>
                <pt idx="5">
                  <v>0</v>
                </pt>
                <pt idx="6">
                  <v>0</v>
                </pt>
                <pt idx="7">
                  <v>0</v>
                </pt>
                <pt idx="8">
                  <v>0</v>
                </pt>
              </numCache>
            </numRef>
          </val>
        </ser>
        <gapWidth val="45"/>
        <overlap val="0"/>
        <axId val="10"/>
        <axId val="100"/>
      </barChart>
      <catAx>
        <axId val="10"/>
        <scaling>
          <orientation val="maxMin"/>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2.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Maturity ladder</a:t>
            </a:r>
          </a:p>
          <a:p xmlns:a="http://schemas.openxmlformats.org/drawingml/2006/main">
            <a:pPr algn="l">
              <a:defRPr sz="800" b="0">
                <a:solidFill>
                  <a:srgbClr val="68757F"/>
                </a:solidFill>
                <a:latin typeface="Arial"/>
              </a:defRPr>
            </a:pPr>
            <a:r>
              <a:rPr sz="800" b="0">
                <a:solidFill>
                  <a:srgbClr val="68757F"/>
                </a:solidFill>
                <a:latin typeface="Arial"/>
              </a:rPr>
              <a:t>on call first, then term deals by time to maturity</a:t>
            </a:r>
          </a:p>
        </rich>
      </tx>
      <layout>
        <manualLayout>
          <xMode val="edge"/>
          <yMode val="edge"/>
          <wMode val="factor"/>
          <hMode val="factor"/>
          <x val="0.015"/>
          <y val="0.025"/>
        </manualLayout>
      </layout>
      <overlay val="0"/>
    </title>
    <plotArea>
      <layout>
        <manualLayout>
          <layoutTarget val="inner"/>
          <xMode val="edge"/>
          <yMode val="edge"/>
          <wMode val="factor"/>
          <hMode val="factor"/>
          <x val="0.03"/>
          <y val="0.235"/>
          <w val="0.9399999999999999"/>
          <h val="0.585"/>
        </manualLayout>
      </layout>
      <barChart>
        <barDir val="col"/>
        <grouping val="clustered"/>
        <ser>
          <idx val="0"/>
          <order val="0"/>
          <tx>
            <v>Amount</v>
          </tx>
          <spPr>
            <a:solidFill xmlns:a="http://schemas.openxmlformats.org/drawingml/2006/main">
              <a:srgbClr val="2A78D6"/>
            </a:solidFill>
            <a:ln xmlns:a="http://schemas.openxmlformats.org/drawingml/2006/main">
              <a:noFill/>
              <a:prstDash val="solid"/>
            </a:ln>
          </spPr>
          <invertIfNegative val="0"/>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'Dashboard'!$B$24:$B$30</f>
              <strCache>
                <ptCount val="7"/>
                <pt idx="0">
                  <v>On call</v>
                </pt>
                <pt idx="1">
                  <v>Under 3 months</v>
                </pt>
                <pt idx="2">
                  <v>3 to 6 months</v>
                </pt>
                <pt idx="3">
                  <v>6 to 12 months</v>
                </pt>
                <pt idx="4">
                  <v>1 to 2 years</v>
                </pt>
                <pt idx="5">
                  <v>2 to 5 years</v>
                </pt>
                <pt idx="6">
                  <v>Over 5 years</v>
                </pt>
              </strCache>
            </strRef>
          </cat>
          <val>
            <numRef>
              <f>'Dashboard'!$C$24:$C$30</f>
              <numCache>
                <formatCode>General</formatCode>
                <ptCount val="7"/>
                <pt idx="0">
                  <v>0</v>
                </pt>
                <pt idx="1">
                  <v>0</v>
                </pt>
                <pt idx="2">
                  <v>0</v>
                </pt>
                <pt idx="3">
                  <v>0</v>
                </pt>
                <pt idx="4">
                  <v>0</v>
                </pt>
                <pt idx="5">
                  <v>0</v>
                </pt>
                <pt idx="6">
                  <v>0</v>
                </pt>
              </numCache>
            </numRef>
          </val>
        </ser>
        <gapWidth val="60"/>
        <overlap val="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3.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Borrowing by lender type</a:t>
            </a:r>
          </a:p>
          <a:p xmlns:a="http://schemas.openxmlformats.org/drawingml/2006/main">
            <a:pPr algn="l">
              <a:defRPr sz="800" b="0">
                <a:solidFill>
                  <a:srgbClr val="68757F"/>
                </a:solidFill>
                <a:latin typeface="Arial"/>
              </a:defRPr>
            </a:pPr>
            <a:r>
              <a:rPr sz="800" b="0">
                <a:solidFill>
                  <a:srgbClr val="68757F"/>
                </a:solidFill>
                <a:latin typeface="Arial"/>
              </a:rPr>
              <a:t>principal outstanding</a:t>
            </a:r>
          </a:p>
        </rich>
      </tx>
      <layout>
        <manualLayout>
          <xMode val="edge"/>
          <yMode val="edge"/>
          <wMode val="factor"/>
          <hMode val="factor"/>
          <x val="0.015"/>
          <y val="0.025"/>
        </manualLayout>
      </layout>
      <overlay val="0"/>
    </title>
    <plotArea>
      <layout>
        <manualLayout>
          <layoutTarget val="inner"/>
          <xMode val="edge"/>
          <yMode val="edge"/>
          <wMode val="factor"/>
          <hMode val="factor"/>
          <x val="0.235"/>
          <y val="0.215"/>
          <w val="0.62"/>
          <h val="0.735"/>
        </manualLayout>
      </layout>
      <barChart>
        <barDir val="bar"/>
        <grouping val="clustered"/>
        <ser>
          <idx val="0"/>
          <order val="0"/>
          <tx>
            <v>Outstanding</v>
          </tx>
          <spPr>
            <a:solidFill xmlns:a="http://schemas.openxmlformats.org/drawingml/2006/main">
              <a:srgbClr val="EB6834"/>
            </a:solidFill>
            <a:ln xmlns:a="http://schemas.openxmlformats.org/drawingml/2006/main">
              <a:noFill/>
              <a:prstDash val="solid"/>
            </a:ln>
          </spPr>
          <invertIfNegative val="0"/>
          <dPt>
            <idx val="0"/>
            <invertIfNegative val="0"/>
            <spPr>
              <a:solidFill xmlns:a="http://schemas.openxmlformats.org/drawingml/2006/main">
                <a:srgbClr val="4A3AA7"/>
              </a:solidFill>
              <a:ln xmlns:a="http://schemas.openxmlformats.org/drawingml/2006/main">
                <a:noFill/>
                <a:prstDash val="solid"/>
              </a:ln>
            </spPr>
          </dPt>
          <dPt>
            <idx val="1"/>
            <invertIfNegative val="0"/>
            <spPr>
              <a:solidFill xmlns:a="http://schemas.openxmlformats.org/drawingml/2006/main">
                <a:srgbClr val="EDA100"/>
              </a:solidFill>
              <a:ln xmlns:a="http://schemas.openxmlformats.org/drawingml/2006/main">
                <a:noFill/>
                <a:prstDash val="solid"/>
              </a:ln>
            </spPr>
          </dPt>
          <dPt>
            <idx val="2"/>
            <invertIfNegative val="0"/>
            <spPr>
              <a:solidFill xmlns:a="http://schemas.openxmlformats.org/drawingml/2006/main">
                <a:srgbClr val="2A78D6"/>
              </a:solidFill>
              <a:ln xmlns:a="http://schemas.openxmlformats.org/drawingml/2006/main">
                <a:noFill/>
                <a:prstDash val="solid"/>
              </a:ln>
            </spPr>
          </dPt>
          <dPt>
            <idx val="3"/>
            <invertIfNegative val="0"/>
            <spPr>
              <a:solidFill xmlns:a="http://schemas.openxmlformats.org/drawingml/2006/main">
                <a:srgbClr val="EB6834"/>
              </a:solidFill>
              <a:ln xmlns:a="http://schemas.openxmlformats.org/drawingml/2006/main">
                <a:noFill/>
                <a:prstDash val="solid"/>
              </a:ln>
            </spPr>
          </dPt>
          <dPt>
            <idx val="4"/>
            <invertIfNegative val="0"/>
            <spPr>
              <a:solidFill xmlns:a="http://schemas.openxmlformats.org/drawingml/2006/main">
                <a:srgbClr val="E34948"/>
              </a:solidFill>
              <a:ln xmlns:a="http://schemas.openxmlformats.org/drawingml/2006/main">
                <a:noFill/>
                <a:prstDash val="solid"/>
              </a:ln>
            </spPr>
          </dPt>
          <dPt>
            <idx val="5"/>
            <invertIfNegative val="0"/>
            <spPr>
              <a:solidFill xmlns:a="http://schemas.openxmlformats.org/drawingml/2006/main">
                <a:srgbClr val="E34948"/>
              </a:solidFill>
              <a:ln xmlns:a="http://schemas.openxmlformats.org/drawingml/2006/main">
                <a:noFill/>
                <a:prstDash val="solid"/>
              </a:ln>
            </spPr>
          </dPt>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'Dashboard'!$B$37:$B$42</f>
              <strCache>
                <ptCount val="6"/>
                <pt idx="0">
                  <v>PWLB</v>
                </pt>
                <pt idx="1">
                  <v>Local authority</v>
                </pt>
                <pt idx="2">
                  <v>UK bank</v>
                </pt>
                <pt idx="3">
                  <v>Overseas bank</v>
                </pt>
                <pt idx="4">
                  <v>Other</v>
                </pt>
                <pt idx="5">
                  <v>Not on the list</v>
                </pt>
              </strCache>
            </strRef>
          </cat>
          <val>
            <numRef>
              <f>'Dashboard'!$C$37:$C$42</f>
              <numCache>
                <formatCode>General</formatCode>
                <ptCount val="6"/>
                <pt idx="0">
                  <v>0</v>
                </pt>
                <pt idx="1">
                  <v>0</v>
                </pt>
                <pt idx="2">
                  <v>0</v>
                </pt>
                <pt idx="3">
                  <v>0</v>
                </pt>
                <pt idx="4">
                  <v>0</v>
                </pt>
                <pt idx="5">
                  <v>0</v>
                </pt>
              </numCache>
            </numRef>
          </val>
        </ser>
        <gapWidth val="45"/>
        <overlap val="0"/>
        <axId val="10"/>
        <axId val="100"/>
      </barChart>
      <catAx>
        <axId val="10"/>
        <scaling>
          <orientation val="maxMin"/>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4.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Maturity structure of borrowing</a:t>
            </a:r>
          </a:p>
          <a:p xmlns:a="http://schemas.openxmlformats.org/drawingml/2006/main">
            <a:pPr algn="l">
              <a:defRPr sz="800" b="0">
                <a:solidFill>
                  <a:srgbClr val="68757F"/>
                </a:solidFill>
                <a:latin typeface="Arial"/>
              </a:defRPr>
            </a:pPr>
            <a:r>
              <a:rPr sz="800" b="0">
                <a:solidFill>
                  <a:srgbClr val="68757F"/>
                </a:solidFill>
                <a:latin typeface="Arial"/>
              </a:rPr>
              <a:t>principal due in each period; LOBOs at their next call</a:t>
            </a:r>
          </a:p>
        </rich>
      </tx>
      <layout>
        <manualLayout>
          <xMode val="edge"/>
          <yMode val="edge"/>
          <wMode val="factor"/>
          <hMode val="factor"/>
          <x val="0.015"/>
          <y val="0.025"/>
        </manualLayout>
      </layout>
      <overlay val="0"/>
    </title>
    <plotArea>
      <layout>
        <manualLayout>
          <layoutTarget val="inner"/>
          <xMode val="edge"/>
          <yMode val="edge"/>
          <wMode val="factor"/>
          <hMode val="factor"/>
          <x val="0.03"/>
          <y val="0.235"/>
          <w val="0.9399999999999999"/>
          <h val="0.585"/>
        </manualLayout>
      </layout>
      <barChart>
        <barDir val="col"/>
        <grouping val="clustered"/>
        <ser>
          <idx val="0"/>
          <order val="0"/>
          <tx>
            <v>Principal</v>
          </tx>
          <spPr>
            <a:solidFill xmlns:a="http://schemas.openxmlformats.org/drawingml/2006/main">
              <a:srgbClr val="EB6834"/>
            </a:solidFill>
            <a:ln xmlns:a="http://schemas.openxmlformats.org/drawingml/2006/main">
              <a:noFill/>
              <a:prstDash val="solid"/>
            </a:ln>
          </spPr>
          <invertIfNegative val="0"/>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'Dashboard'!$B$53:$B$61</f>
              <strCache>
                <ptCount val="9"/>
                <pt idx="0">
                  <v>Under 1 year</v>
                </pt>
                <pt idx="1">
                  <v>1 to 2 years</v>
                </pt>
                <pt idx="2">
                  <v>2 to 5 years</v>
                </pt>
                <pt idx="3">
                  <v>5 to 10 years</v>
                </pt>
                <pt idx="4">
                  <v>10 to 20 years</v>
                </pt>
                <pt idx="5">
                  <v>20 to 30 years</v>
                </pt>
                <pt idx="6">
                  <v>30 to 40 years</v>
                </pt>
                <pt idx="7">
                  <v>40 to 50 years</v>
                </pt>
                <pt idx="8">
                  <v>Over 50 years</v>
                </pt>
              </strCache>
            </strRef>
          </cat>
          <val>
            <numRef>
              <f>'Dashboard'!$C$53:$C$61</f>
              <numCache>
                <formatCode>General</formatCode>
                <ptCount val="9"/>
                <pt idx="0">
                  <v>0</v>
                </pt>
                <pt idx="1">
                  <v>0</v>
                </pt>
                <pt idx="2">
                  <v>0</v>
                </pt>
                <pt idx="3">
                  <v>0</v>
                </pt>
                <pt idx="4">
                  <v>0</v>
                </pt>
                <pt idx="5">
                  <v>0</v>
                </pt>
                <pt idx="6">
                  <v>0</v>
                </pt>
                <pt idx="7">
                  <v>0</v>
                </pt>
                <pt idx="8">
                  <v>0</v>
                </pt>
              </numCache>
            </numRef>
          </val>
        </ser>
        <gapWidth val="60"/>
        <overlap val="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5.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The next twelve months</a:t>
            </a:r>
          </a:p>
          <a:p xmlns:a="http://schemas.openxmlformats.org/drawingml/2006/main">
            <a:pPr algn="l">
              <a:defRPr sz="800" b="0">
                <a:solidFill>
                  <a:srgbClr val="68757F"/>
                </a:solidFill>
                <a:latin typeface="Arial"/>
              </a:defRPr>
            </a:pPr>
            <a:r>
              <a:rPr sz="800" b="0">
                <a:solidFill>
                  <a:srgbClr val="68757F"/>
                </a:solidFill>
                <a:latin typeface="Arial"/>
              </a:rPr>
              <a:t>investments maturing above the line, repayments below</a:t>
            </a:r>
          </a:p>
        </rich>
      </tx>
      <layout>
        <manualLayout>
          <xMode val="edge"/>
          <yMode val="edge"/>
          <wMode val="factor"/>
          <hMode val="factor"/>
          <x val="0.015"/>
          <y val="0.025"/>
        </manualLayout>
      </layout>
      <overlay val="0"/>
    </title>
    <plotArea>
      <layout>
        <manualLayout>
          <layoutTarget val="inner"/>
          <xMode val="edge"/>
          <yMode val="edge"/>
          <wMode val="factor"/>
          <hMode val="factor"/>
          <x val="0.08500000000000001"/>
          <y val="0.215"/>
          <w val="0.895"/>
          <h val="0.53"/>
        </manualLayout>
      </layout>
      <barChart>
        <barDir val="col"/>
        <grouping val="clustered"/>
        <ser>
          <idx val="0"/>
          <order val="0"/>
          <tx>
            <v>Investments maturing</v>
          </tx>
          <spPr>
            <a:solidFill xmlns:a="http://schemas.openxmlformats.org/drawingml/2006/main">
              <a:srgbClr val="2A78D6"/>
            </a:solidFill>
            <a:ln xmlns:a="http://schemas.openxmlformats.org/drawingml/2006/main">
              <a:noFill/>
              <a:prstDash val="solid"/>
            </a:ln>
          </spPr>
          <invertIfNegative val="0"/>
          <cat>
            <strRef>
              <f>'Dashboard'!$B$67:$B$78</f>
              <strCache>
                <ptCount val="12"/>
                <pt idx="0">
                  <v>Oct 26</v>
                </pt>
                <pt idx="1">
                  <v>Nov 26</v>
                </pt>
                <pt idx="2">
                  <v>Dec 26</v>
                </pt>
                <pt idx="3">
                  <v>Jan 27</v>
                </pt>
                <pt idx="4">
                  <v>Feb 27</v>
                </pt>
                <pt idx="5">
                  <v>Mar 27</v>
                </pt>
                <pt idx="6">
                  <v>Apr 27</v>
                </pt>
                <pt idx="7">
                  <v>May 27</v>
                </pt>
                <pt idx="8">
                  <v>Jun 27</v>
                </pt>
                <pt idx="9">
                  <v>Jul 27</v>
                </pt>
                <pt idx="10">
                  <v>Aug 27</v>
                </pt>
                <pt idx="11">
                  <v>Sep 27</v>
                </pt>
              </strCache>
            </strRef>
          </cat>
          <val>
            <numRef>
              <f>'Dashboard'!$C$67:$C$78</f>
              <numCache>
                <formatCode>General</formatCode>
                <ptCount val="12"/>
                <pt idx="0">
                  <v>0</v>
                </pt>
                <pt idx="1">
                  <v>0</v>
                </pt>
                <pt idx="2">
                  <v>0</v>
                </pt>
                <pt idx="3">
                  <v>0</v>
                </pt>
                <pt idx="4">
                  <v>0</v>
                </pt>
                <pt idx="5">
                  <v>0</v>
                </pt>
                <pt idx="6">
                  <v>0</v>
                </pt>
                <pt idx="7">
                  <v>0</v>
                </pt>
                <pt idx="8">
                  <v>0</v>
                </pt>
                <pt idx="9">
                  <v>0</v>
                </pt>
                <pt idx="10">
                  <v>0</v>
                </pt>
                <pt idx="11">
                  <v>0</v>
                </pt>
              </numCache>
            </numRef>
          </val>
        </ser>
        <ser>
          <idx val="1"/>
          <order val="1"/>
          <tx>
            <v>Loan repayments due</v>
          </tx>
          <spPr>
            <a:solidFill xmlns:a="http://schemas.openxmlformats.org/drawingml/2006/main">
              <a:srgbClr val="E34948"/>
            </a:solidFill>
            <a:ln xmlns:a="http://schemas.openxmlformats.org/drawingml/2006/main">
              <a:noFill/>
              <a:prstDash val="solid"/>
            </a:ln>
          </spPr>
          <invertIfNegative val="0"/>
          <cat>
            <strRef>
              <f>'Dashboard'!$B$67:$B$78</f>
              <strCache>
                <ptCount val="12"/>
                <pt idx="0">
                  <v>Oct 26</v>
                </pt>
                <pt idx="1">
                  <v>Nov 26</v>
                </pt>
                <pt idx="2">
                  <v>Dec 26</v>
                </pt>
                <pt idx="3">
                  <v>Jan 27</v>
                </pt>
                <pt idx="4">
                  <v>Feb 27</v>
                </pt>
                <pt idx="5">
                  <v>Mar 27</v>
                </pt>
                <pt idx="6">
                  <v>Apr 27</v>
                </pt>
                <pt idx="7">
                  <v>May 27</v>
                </pt>
                <pt idx="8">
                  <v>Jun 27</v>
                </pt>
                <pt idx="9">
                  <v>Jul 27</v>
                </pt>
                <pt idx="10">
                  <v>Aug 27</v>
                </pt>
                <pt idx="11">
                  <v>Sep 27</v>
                </pt>
              </strCache>
            </strRef>
          </cat>
          <val>
            <numRef>
              <f>'Dashboard'!$N$67:$N$78</f>
              <numCache>
                <formatCode>General</formatCode>
                <ptCount val="12"/>
                <pt idx="0">
                  <v>0</v>
                </pt>
                <pt idx="1">
                  <v>0</v>
                </pt>
                <pt idx="2">
                  <v>0</v>
                </pt>
                <pt idx="3">
                  <v>0</v>
                </pt>
                <pt idx="4">
                  <v>0</v>
                </pt>
                <pt idx="5">
                  <v>0</v>
                </pt>
                <pt idx="6">
                  <v>0</v>
                </pt>
                <pt idx="7">
                  <v>0</v>
                </pt>
                <pt idx="8">
                  <v>0</v>
                </pt>
                <pt idx="9">
                  <v>0</v>
                </pt>
                <pt idx="10">
                  <v>0</v>
                </pt>
                <pt idx="11">
                  <v>0</v>
                </pt>
              </numCache>
            </numRef>
          </val>
        </ser>
        <gapWidth val="6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0"/>
        <axPos val="l"/>
        <majorGridlines>
          <spPr>
            <a:ln xmlns:a="http://schemas.openxmlformats.org/drawingml/2006/main" w="6350">
              <a:solidFill>
                <a:srgbClr val="E6EAEE"/>
              </a:solidFill>
              <a:prstDash val="solid"/>
            </a:ln>
          </spPr>
        </majorGridlines>
        <numFmt formatCode="£#,##0.0,,&quot;m&quot;;£#,##0.0,,&quot;m&quot;;£0.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0"/>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6.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'Benchmark'!$B$8:$B$58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'Benchmark'!$R$8:$R$58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7.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'Benchmark'!$I$8:$I$58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'Benchmark'!$T$8:$T$58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'Benchmark'!$O$8:$O$58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8.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'Benchmark'!$E$8:$E$58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Existing investments</v>
          </tx>
          <spPr>
            <a:solidFill xmlns:a="http://schemas.openxmlformats.org/drawingml/2006/main">
              <a:srgbClr val="A0208C"/>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'Benchmark'!$S$8:$S$58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2"/>
          <order val="2"/>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'Benchmark'!$I$8:$I$58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3"/>
          <order val="3"/>
          <tx>
            <v>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'Benchmark'!$T$8:$T$58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4"/>
          <order val="4"/>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9.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'Benchmark'!$Q$8:$Q$58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0.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LB5 Treasury investment position</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stacked"/>
        <ser>
          <idx val="0"/>
          <order val="0"/>
          <tx>
            <v>Liquidity allowance</v>
          </tx>
          <spPr>
            <a:solidFill xmlns:a="http://schemas.openxmlformats.org/drawingml/2006/main">
              <a:srgbClr val="1F5879"/>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'Benchmark'!$D$8:$D$58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Strategic treasury investments</v>
          </tx>
          <spPr>
            <a:solidFill xmlns:a="http://schemas.openxmlformats.org/drawingml/2006/main">
              <a:srgbClr val="92D05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'Benchmark'!$M$8:$M$58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2"/>
          <order val="2"/>
          <tx>
            <v>Excess treasury investments</v>
          </tx>
          <spPr>
            <a:solidFill xmlns:a="http://schemas.openxmlformats.org/drawingml/2006/main">
              <a:srgbClr val="00B0F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'Benchmark'!$N$8:$N$58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3"/>
          <order val="3"/>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'Benchmark'!$H$8:$H$58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1.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'Benchmark'!$B$64:$B$114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'Benchmark'!$R$64:$R$114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2.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'Benchmark'!$I$64:$I$114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'Benchmark'!$T$64:$T$114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'Benchmark'!$O$64:$O$114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3.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'Benchmark'!$E$64:$E$114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Existing investments</v>
          </tx>
          <spPr>
            <a:solidFill xmlns:a="http://schemas.openxmlformats.org/drawingml/2006/main">
              <a:srgbClr val="A0208C"/>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'Benchmark'!$S$64:$S$114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2"/>
          <order val="2"/>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'Benchmark'!$I$64:$I$114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3"/>
          <order val="3"/>
          <tx>
            <v>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'Benchmark'!$T$64:$T$114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4"/>
          <order val="4"/>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4.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'Benchmark'!$Q$64:$Q$114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5.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LB5 Treasury investment position</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stacked"/>
        <ser>
          <idx val="0"/>
          <order val="0"/>
          <tx>
            <v>Liquidity allowance</v>
          </tx>
          <spPr>
            <a:solidFill xmlns:a="http://schemas.openxmlformats.org/drawingml/2006/main">
              <a:srgbClr val="1F5879"/>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'Benchmark'!$D$64:$D$114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Strategic treasury investments</v>
          </tx>
          <spPr>
            <a:solidFill xmlns:a="http://schemas.openxmlformats.org/drawingml/2006/main">
              <a:srgbClr val="92D05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'Benchmark'!$M$64:$M$114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2"/>
          <order val="2"/>
          <tx>
            <v>Excess treasury investments</v>
          </tx>
          <spPr>
            <a:solidFill xmlns:a="http://schemas.openxmlformats.org/drawingml/2006/main">
              <a:srgbClr val="00B0F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'Benchmark'!$N$64:$N$114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3"/>
          <order val="3"/>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'Benchmark'!$H$64:$H$114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6.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'Benchmark'!$B$120:$B$170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'Benchmark'!$R$120:$R$170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7.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'Benchmark'!$I$120:$I$170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'Benchmark'!$T$120:$T$170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'Benchmark'!$O$120:$O$170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8.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'Benchmark'!$E$120:$E$170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1"/>
          <order val="1"/>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'Benchmark'!$I$120:$I$170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9.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'Benchmark'!$Q$120:$Q$170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 Type="http://schemas.openxmlformats.org/officeDocument/2006/relationships/chart" Target="/xl/charts/chart10.xml" Id="rId5"/><Relationship Type="http://schemas.openxmlformats.org/officeDocument/2006/relationships/chart" Target="/xl/charts/chart11.xml" Id="rId6"/><Relationship Type="http://schemas.openxmlformats.org/officeDocument/2006/relationships/chart" Target="/xl/charts/chart12.xml" Id="rId7"/><Relationship Type="http://schemas.openxmlformats.org/officeDocument/2006/relationships/chart" Target="/xl/charts/chart13.xml" Id="rId8"/><Relationship Type="http://schemas.openxmlformats.org/officeDocument/2006/relationships/chart" Target="/xl/charts/chart14.xml" Id="rId9"/><Relationship Type="http://schemas.openxmlformats.org/officeDocument/2006/relationships/chart" Target="/xl/charts/chart15.xml" Id="rId10"/><Relationship Type="http://schemas.openxmlformats.org/officeDocument/2006/relationships/chart" Target="/xl/charts/chart16.xml" Id="rId11"/><Relationship Type="http://schemas.openxmlformats.org/officeDocument/2006/relationships/chart" Target="/xl/charts/chart17.xml" Id="rId12"/><Relationship Type="http://schemas.openxmlformats.org/officeDocument/2006/relationships/chart" Target="/xl/charts/chart18.xml" Id="rId13"/><Relationship Type="http://schemas.openxmlformats.org/officeDocument/2006/relationships/chart" Target="/xl/charts/chart19.xml" Id="rId14"/></Relationships>
</file>

<file path=xl/drawings/drawing1.xml><?xml version="1.0" encoding="utf-8"?>
<wsDr xmlns="http://schemas.openxmlformats.org/drawingml/2006/spreadsheetDrawing">
  <oneCellAnchor>
    <from>
      <col>5</col>
      <colOff>0</colOff>
      <row>7</row>
      <rowOff>0</rowOff>
    </from>
    <ext cx="5040000" cy="223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21</row>
      <rowOff>0</rowOff>
    </from>
    <ext cx="5040000" cy="223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34</row>
      <rowOff>0</rowOff>
    </from>
    <ext cx="5040000" cy="223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50</row>
      <rowOff>0</rowOff>
    </from>
    <ext cx="5040000" cy="223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64</row>
      <rowOff>0</rowOff>
    </from>
    <ext cx="5040000" cy="2448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21</col>
      <colOff>0</colOff>
      <row>5</row>
      <rowOff>0</rowOff>
    </from>
    <ext cx="468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29</col>
      <colOff>0</colOff>
      <row>5</row>
      <rowOff>0</rowOff>
    </from>
    <ext cx="4680000" cy="26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17</row>
      <rowOff>184400</rowOff>
    </from>
    <ext cx="4680000" cy="26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29</col>
      <colOff>0</colOff>
      <row>17</row>
      <rowOff>184400</rowOff>
    </from>
    <ext cx="4680000" cy="266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21</col>
      <colOff>0</colOff>
      <row>32</row>
      <rowOff>152900</rowOff>
    </from>
    <ext cx="468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21</col>
      <colOff>0</colOff>
      <row>61</row>
      <rowOff>0</rowOff>
    </from>
    <ext cx="4680000" cy="266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29</col>
      <colOff>0</colOff>
      <row>61</row>
      <rowOff>0</rowOff>
    </from>
    <ext cx="4680000" cy="266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21</col>
      <colOff>0</colOff>
      <row>73</row>
      <rowOff>184400</rowOff>
    </from>
    <ext cx="4680000" cy="266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29</col>
      <colOff>0</colOff>
      <row>73</row>
      <rowOff>184400</rowOff>
    </from>
    <ext cx="4680000" cy="2664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21</col>
      <colOff>0</colOff>
      <row>88</row>
      <rowOff>152900</rowOff>
    </from>
    <ext cx="4680000" cy="2664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21</col>
      <colOff>0</colOff>
      <row>117</row>
      <rowOff>0</rowOff>
    </from>
    <ext cx="4680000" cy="2664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29</col>
      <colOff>0</colOff>
      <row>117</row>
      <rowOff>0</rowOff>
    </from>
    <ext cx="4680000" cy="2664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21</col>
      <colOff>0</colOff>
      <row>129</row>
      <rowOff>184400</rowOff>
    </from>
    <ext cx="4680000" cy="2664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29</col>
      <colOff>0</colOff>
      <row>129</row>
      <rowOff>184400</rowOff>
    </from>
    <ext cx="4680000" cy="2664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tables/table1.xml><?xml version="1.0" encoding="utf-8"?>
<table xmlns="http://schemas.openxmlformats.org/spreadsheetml/2006/main" id="1" name="TermInvestments" displayName="TermInvestments" ref="A3:K4" headerRowCount="1">
  <autoFilter ref="A3:K4"/>
  <tableColumns count="11">
    <tableColumn id="1" name="Type"/>
    <tableColumn id="2" name="Counterparty"/>
    <tableColumn id="3" name="Counterparty type"/>
    <tableColumn id="4" name="Principal"/>
    <tableColumn id="5" name="Start date"/>
    <tableColumn id="6" name="Maturity date"/>
    <tableColumn id="7" name="Rate"/>
    <tableColumn id="8" name="Face value"/>
    <tableColumn id="9" name="Carrying value"/>
    <tableColumn id="10" name="Rating"/>
    <tableColumn id="11" name="Notes"/>
  </tableColumns>
  <tableStyleInfo name="TableStyleMedium2" showFirstColumn="0" showLastColumn="0" showRowStripes="1" showColumnStripes="0"/>
</table>
</file>

<file path=xl/tables/table2.xml><?xml version="1.0" encoding="utf-8"?>
<table xmlns="http://schemas.openxmlformats.org/spreadsheetml/2006/main" id="2" name="CallAccounts" displayName="CallAccounts" ref="A3:J4" headerRowCount="1">
  <autoFilter ref="A3:J4"/>
  <tableColumns count="10">
    <tableColumn id="1" name="Type"/>
    <tableColumn id="2" name="Counterparty"/>
    <tableColumn id="3" name="Counterparty type"/>
    <tableColumn id="4" name="Balance"/>
    <tableColumn id="5" name="Rate"/>
    <tableColumn id="6" name="Notice days"/>
    <tableColumn id="7" name="Rating"/>
    <tableColumn id="8" name="Average balance"/>
    <tableColumn id="9" name="Average rate"/>
    <tableColumn id="10" name="Notes"/>
  </tableColumns>
  <tableStyleInfo name="TableStyleMedium2" showFirstColumn="0" showLastColumn="0" showRowStripes="1" showColumnStripes="0"/>
</table>
</file>

<file path=xl/tables/table3.xml><?xml version="1.0" encoding="utf-8"?>
<table xmlns="http://schemas.openxmlformats.org/spreadsheetml/2006/main" id="3" name="Loans" displayName="Loans" ref="A3:M4" headerRowCount="1">
  <autoFilter ref="A3:M4"/>
  <tableColumns count="13">
    <tableColumn id="1" name="Type"/>
    <tableColumn id="2" name="Lender"/>
    <tableColumn id="3" name="Lender type"/>
    <tableColumn id="4" name="Principal"/>
    <tableColumn id="5" name="Start date"/>
    <tableColumn id="6" name="Maturity date"/>
    <tableColumn id="7" name="Rate"/>
    <tableColumn id="8" name="Profile"/>
    <tableColumn id="9" name="Frequency"/>
    <tableColumn id="10" name="First repayment date"/>
    <tableColumn id="11" name="Fund"/>
    <tableColumn id="12" name="Next call date"/>
    <tableColumn id="13" name="Notes"/>
  </tableColumns>
  <tableStyleInfo name="TableStyleMedium2" showFirstColumn="0" showLastColumn="0" showRowStripes="1" showColumnStripes="0"/>
</table>
</file>

<file path=xl/tables/table4.xml><?xml version="1.0" encoding="utf-8"?>
<table xmlns="http://schemas.openxmlformats.org/spreadsheetml/2006/main" id="4" name="PooledFunds" displayName="PooledFunds" ref="A3:I4" headerRowCount="1">
  <autoFilter ref="A3:I4"/>
  <tableColumns count="9">
    <tableColumn id="1" name="Fund name"/>
    <tableColumn id="2" name="Fund type"/>
    <tableColumn id="3" name="Carrying value"/>
    <tableColumn id="4" name="Latest value"/>
    <tableColumn id="5" name="Current rate"/>
    <tableColumn id="6" name="Purchase date"/>
    <tableColumn id="7" name="Average value"/>
    <tableColumn id="8" name="Average rate"/>
    <tableColumn id="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ettings'!A1" TargetMode="External" Id="rId1"/><Relationship Type="http://schemas.openxmlformats.org/officeDocument/2006/relationships/hyperlink" Target="#'Term investments'!A1" TargetMode="External" Id="rId2"/><Relationship Type="http://schemas.openxmlformats.org/officeDocument/2006/relationships/hyperlink" Target="#'Call accounts and MMFs'!A1" TargetMode="External" Id="rId3"/><Relationship Type="http://schemas.openxmlformats.org/officeDocument/2006/relationships/hyperlink" Target="#'Loans'!A1" TargetMode="External" Id="rId4"/><Relationship Type="http://schemas.openxmlformats.org/officeDocument/2006/relationships/hyperlink" Target="#'Pooled funds'!A1" TargetMode="External" Id="rId5"/><Relationship Type="http://schemas.openxmlformats.org/officeDocument/2006/relationships/hyperlink" Target="#'Projections'!A1" TargetMode="External" Id="rId6"/><Relationship Type="http://schemas.openxmlformats.org/officeDocument/2006/relationships/hyperlink" Target="#'Dashboard'!A1" TargetMode="External" Id="rId7"/><Relationship Type="http://schemas.openxmlformats.org/officeDocument/2006/relationships/hyperlink" Target="#'Position'!A1" TargetMode="External" Id="rId8"/><Relationship Type="http://schemas.openxmlformats.org/officeDocument/2006/relationships/hyperlink" Target="#'Debt outstanding'!A1" TargetMode="External" Id="rId9"/><Relationship Type="http://schemas.openxmlformats.org/officeDocument/2006/relationships/hyperlink" Target="#'Investments held'!A1" TargetMode="External" Id="rId10"/><Relationship Type="http://schemas.openxmlformats.org/officeDocument/2006/relationships/hyperlink" Target="#'Benchmark'!A1" TargetMode="External" Id="rId11"/><Relationship Type="http://schemas.openxmlformats.org/officeDocument/2006/relationships/hyperlink" Target="https://philsmith871010-stack.github.io/pwlbreports/pwlbreports-tool.html" TargetMode="External" Id="rId12"/><Relationship Type="http://schemas.openxmlformats.org/officeDocument/2006/relationships/hyperlink" Target="https://philsmith871010-stack.github.io/pwlbreports/register/" TargetMode="External" Id="rId13"/></Relationships>
</file>

<file path=xl/worksheets/_rels/sheet2.xml.rels><Relationships xmlns="http://schemas.openxmlformats.org/package/2006/relationships"><Relationship Type="http://schemas.openxmlformats.org/officeDocument/2006/relationships/hyperlink" Target="#'Start here'!A1" TargetMode="External" Id="rId1"/></Relationships>
</file>

<file path=xl/worksheets/_rels/sheet3.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hyperlink" Target="#'Start here'!A1" TargetMode="External" Id="rId1"/></Relationships>
</file>

<file path=xl/worksheets/_rels/sheet8.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drawing" Target="/xl/drawings/drawing1.xml" Id="rId2"/></Relationships>
</file>

<file path=xl/worksheets/_rels/sheet9.xml.rels><Relationships xmlns="http://schemas.openxmlformats.org/package/2006/relationships"><Relationship Type="http://schemas.openxmlformats.org/officeDocument/2006/relationships/hyperlink" Target="#'Start here'!A1" TargetMode="External" Id="rId1"/></Relationships>
</file>

<file path=xl/worksheets/_rels/sheet10.xml.rels><Relationships xmlns="http://schemas.openxmlformats.org/package/2006/relationships"><Relationship Type="http://schemas.openxmlformats.org/officeDocument/2006/relationships/hyperlink" Target="#'Start here'!A1" TargetMode="External" Id="rId1"/></Relationships>
</file>

<file path=xl/worksheets/_rels/sheet11.xml.rels><Relationships xmlns="http://schemas.openxmlformats.org/package/2006/relationships"><Relationship Type="http://schemas.openxmlformats.org/officeDocument/2006/relationships/hyperlink" Target="#'Start here'!A1" TargetMode="External" Id="rId1"/></Relationships>
</file>

<file path=xl/worksheets/_rels/sheet12.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drawing" Target="/xl/drawings/drawing2.xml" Id="rId2"/></Relationships>
</file>

<file path=xl/worksheets/_rels/sheet13.xml.rels><Relationships xmlns="http://schemas.openxmlformats.org/package/2006/relationships"><Relationship Type="http://schemas.openxmlformats.org/officeDocument/2006/relationships/hyperlink" Target="#'Start here'!A1" TargetMode="External" Id="rId1"/></Relationships>
</file>

<file path=xl/worksheets/_rels/sheet16.xml.rels><Relationships xmlns="http://schemas.openxmlformats.org/package/2006/relationships"><Relationship Type="http://schemas.openxmlformats.org/officeDocument/2006/relationships/hyperlink" Target="#'Start here'!A1" TargetMode="External" Id="rId1"/></Relationships>
</file>

<file path=xl/worksheets/sheet1.xml><?xml version="1.0" encoding="utf-8"?>
<worksheet xmlns="http://schemas.openxmlformats.org/spreadsheetml/2006/main">
  <sheetPr>
    <tabColor rgb="00FD7E14"/>
    <outlinePr summaryBelow="1" summaryRight="1"/>
    <pageSetUpPr fitToPage="1"/>
  </sheetPr>
  <dimension ref="A1:D75"/>
  <sheetViews>
    <sheetView showGridLines="0" workbookViewId="0">
      <selection activeCell="A1" sqref="A1"/>
    </sheetView>
  </sheetViews>
  <sheetFormatPr baseColWidth="8" defaultRowHeight="15"/>
  <cols>
    <col width="3" customWidth="1" min="1" max="1"/>
    <col width="30" customWidth="1" min="2" max="2"/>
    <col width="78" customWidth="1" min="3" max="3"/>
    <col width="18" customWidth="1" min="4" max="4"/>
    <col width="3" customWidth="1" min="5" max="5"/>
  </cols>
  <sheetData>
    <row r="1"/>
    <row r="2" ht="40" customHeight="1">
      <c r="B2" s="1" t="inlineStr">
        <is>
          <t>PWLBreports</t>
        </is>
      </c>
      <c r="C2" s="2" t="n"/>
      <c r="D2" s="2" t="n"/>
    </row>
    <row r="3" ht="22" customHeight="1">
      <c r="B3" s="3" t="inlineStr">
        <is>
          <t>Deal list · the workbook the report tool reads</t>
        </is>
      </c>
      <c r="C3" s="2" t="n"/>
      <c r="D3" s="2" t="n"/>
    </row>
    <row r="4" ht="18" customHeight="1">
      <c r="B4" s="4" t="inlineStr">
        <is>
          <t>from PWLBtoday</t>
        </is>
      </c>
      <c r="C4" s="2" t="n"/>
      <c r="D4" s="2" t="n"/>
    </row>
    <row r="5" ht="4" customHeight="1">
      <c r="B5" s="5" t="n"/>
      <c r="C5" s="5" t="n"/>
      <c r="D5" s="5" t="n"/>
    </row>
    <row r="6"/>
    <row r="7">
      <c r="B7" s="6" t="inlineStr">
        <is>
          <t>Your deals, in one workbook you own.</t>
        </is>
      </c>
    </row>
    <row r="8" ht="62" customHeight="1">
      <c r="B8" s="7" t="inlineStr">
        <is>
          <t>One row per deal, with the words from the drop-downs. Keep matured deals and repaid loans in: they are the period’s activity. Your projection goes on its own sheet, a row a year. Save it in Excel, point the report tool at it, and the tool fills the holdings, the projection and the draft from it. The Dashboard sheet reads the same rows for checking as you type, the Position sheet and the two lists beside it set out what is held, and the Benchmark sheet draws the liability benchmark from the projection.</t>
        </is>
      </c>
    </row>
    <row r="9"/>
    <row r="10">
      <c r="B10" s="8" t="inlineStr">
        <is>
          <t>Where to go</t>
        </is>
      </c>
    </row>
    <row r="11">
      <c r="B11" s="9" t="inlineStr">
        <is>
          <t>Sheet</t>
        </is>
      </c>
      <c r="C11" s="9" t="inlineStr">
        <is>
          <t>What goes there</t>
        </is>
      </c>
      <c r="D11" s="10" t="inlineStr">
        <is>
          <t>Rows so far</t>
        </is>
      </c>
    </row>
    <row r="12" ht="30" customHeight="1">
      <c r="B12" s="11" t="inlineStr">
        <is>
          <t>Settings</t>
        </is>
      </c>
      <c r="C12" s="12" t="inlineStr">
        <is>
          <t>The As at date, the HRA pooling, the template version and the period the averages cover.</t>
        </is>
      </c>
      <c r="D12" s="13" t="str">
        <f>"4 cells"</f>
        <v>4 cells</v>
      </c>
    </row>
    <row r="13" ht="30" customHeight="1">
      <c r="B13" s="11" t="inlineStr">
        <is>
          <t>Term investments</t>
        </is>
      </c>
      <c r="C13" s="12" t="inlineStr">
        <is>
          <t>Fixed-term deposits, CDs, Treasury bills, gilts and bonds, loans to other authorities. Keep matured deals in. Room for 1,997 rows.</t>
        </is>
      </c>
      <c r="D13" s="13" t="str">
        <f>COUNTA('Term investments'!A4:A2000)&amp;" rows"</f>
        <v>0 rows</v>
      </c>
    </row>
    <row r="14" ht="30" customHeight="1">
      <c r="B14" s="11" t="inlineStr">
        <is>
          <t>Call accounts and MMFs</t>
        </is>
      </c>
      <c r="C14" s="12" t="inlineStr">
        <is>
          <t>Instant-access and notice accounts and money market funds, with the average over the period. Room for 1,997 rows.</t>
        </is>
      </c>
      <c r="D14" s="13" t="str">
        <f>COUNTA('Call accounts and MMFs'!A4:A2000)&amp;" rows"</f>
        <v>0 rows</v>
      </c>
    </row>
    <row r="15" ht="30" customHeight="1">
      <c r="B15" s="11" t="inlineStr">
        <is>
          <t>Loans</t>
        </is>
      </c>
      <c r="C15" s="12" t="inlineStr">
        <is>
          <t>Every loan outstanding, with its profile; keep repaid loans in. Room for 997 rows.</t>
        </is>
      </c>
      <c r="D15" s="13" t="str">
        <f>COUNTA('Loans'!A4:A1000)&amp;" rows"</f>
        <v>0 rows</v>
      </c>
    </row>
    <row r="16" ht="30" customHeight="1">
      <c r="B16" s="11" t="inlineStr">
        <is>
          <t>Pooled funds</t>
        </is>
      </c>
      <c r="C16" s="12" t="inlineStr">
        <is>
          <t>Strategic pooled funds: carrying value, latest value and the income rate. Room for 1,997 rows.</t>
        </is>
      </c>
      <c r="D16" s="13" t="str">
        <f>COUNTA('Pooled funds'!A4:A2000)&amp;" rows"</f>
        <v>0 rows</v>
      </c>
    </row>
    <row r="17" ht="30" customHeight="1">
      <c r="B17" s="11" t="inlineStr">
        <is>
          <t>Projections</t>
        </is>
      </c>
      <c r="C17" s="12" t="inlineStr">
        <is>
          <t>Your projection, one row a year, a block per fund: the report tool's figures grid. The tool reads it and locks its grid while this workbook is in use; leave it blank to type there.</t>
        </is>
      </c>
      <c r="D17" s="13" t="str">
        <f>COUNT('Projections'!B7:B57)&amp;" years typed"</f>
        <v>0 years typed</v>
      </c>
    </row>
    <row r="18" ht="30" customHeight="1">
      <c r="B18" s="11" t="inlineStr">
        <is>
          <t>Dashboard</t>
        </is>
      </c>
      <c r="C18" s="12" t="inlineStr">
        <is>
          <t>What the rows add up to, with charts: for checking as you type.</t>
        </is>
      </c>
      <c r="D18" s="13" t="str">
        <f>"7 views"</f>
        <v>7 views</v>
      </c>
    </row>
    <row r="19" ht="30" customHeight="1">
      <c r="B19" s="11" t="inlineStr">
        <is>
          <t>Position</t>
        </is>
      </c>
      <c r="C19" s="12" t="inlineStr">
        <is>
          <t>The treasury position: borrowing and investments at the start of the period and at As at, by type, with rates and average lives; pooled funds; the counterparties by size.</t>
        </is>
      </c>
      <c r="D19" s="13" t="str">
        <f>"4 tables"</f>
        <v>4 tables</v>
      </c>
    </row>
    <row r="20" ht="30" customHeight="1">
      <c r="B20" s="11" t="inlineStr">
        <is>
          <t>Debt outstanding</t>
        </is>
      </c>
      <c r="C20" s="12" t="inlineStr">
        <is>
          <t>Every loan still out at As at, soonest maturity first: principal, rate, average life and a year's interest.</t>
        </is>
      </c>
      <c r="D20" s="13" t="str">
        <f>SUM(LM_live)&amp;" loans"</f>
        <v>0 loans</v>
      </c>
    </row>
    <row r="21" ht="30" customHeight="1">
      <c r="B21" s="11" t="inlineStr">
        <is>
          <t>Investments held</t>
        </is>
      </c>
      <c r="C21" s="12" t="inlineStr">
        <is>
          <t>Every investment held at As at: money on call first, then term deals by maturity, with amount, rate and days left.</t>
        </is>
      </c>
      <c r="D21" s="13" t="str">
        <f>COUNT('List maths'!$E$4:$E$3997)&amp;" deals"</f>
        <v>0 deals</v>
      </c>
    </row>
    <row r="22" ht="30" customHeight="1">
      <c r="B22" s="11" t="inlineStr">
        <is>
          <t>Benchmark</t>
        </is>
      </c>
      <c r="C22" s="12" t="inlineStr">
        <is>
          <t>The liability benchmark and the other indicators from the Projections sheet and the loans as they run off, with the Code's five charts: whole authority, General Fund, HRA.</t>
        </is>
      </c>
      <c r="D22" s="13" t="str">
        <f>"14 charts"</f>
        <v>14 charts</v>
      </c>
    </row>
    <row r="23"/>
    <row r="24">
      <c r="B24" s="8" t="inlineStr">
        <is>
          <t>Ready to read?</t>
        </is>
      </c>
    </row>
    <row r="25" ht="34" customHeight="1">
      <c r="B25" s="14" t="str">
        <f>IF(COUNTIF(B26:B60,"✘")=0,"Ready: the report tool and the deal list page will read this workbook as it is.","Not ready: "&amp;COUNTIF(B26:B60,"✘")&amp;" of the checks below failed. Put each right, or paste your rows into a fresh template.")</f>
        <v>Ready: the report tool and the deal list page will read this workbook as it is.</v>
      </c>
    </row>
    <row r="26" ht="18" customHeight="1">
      <c r="B26" s="15" t="str">
        <f>IF(ISNUMBER(AsAt),"✔","✘")</f>
        <v>✔</v>
      </c>
      <c r="C26" s="12" t="inlineStr">
        <is>
          <t>Settings: As at is a date — Type the date in the yellow As at cell on Settings, as a date.</t>
        </is>
      </c>
      <c r="D26" s="16" t="n"/>
    </row>
    <row r="27" ht="18" customHeight="1">
      <c r="B27" s="15" t="str">
        <f>IF(COUNTIF(HRAOptions,HRA)=1,"✔","✘")</f>
        <v>✔</v>
      </c>
      <c r="C27" s="12" t="inlineStr">
        <is>
          <t>Settings: HRA is None, One pool or Two pools — Pick it from the drop-down on Settings.</t>
        </is>
      </c>
      <c r="D27" s="16" t="n"/>
    </row>
    <row r="28" ht="32" customHeight="1">
      <c r="B28" s="15" t="str">
        <f>IF(AND(ISNUMBER(PeriodFrom),PeriodFrom&lt;AsAt),"✔","✘")</f>
        <v>✔</v>
      </c>
      <c r="C28" s="12" t="inlineStr">
        <is>
          <t>Settings: Period from is before As at — The period the averages cover ends at the As at date; 1 April is the usual start.</t>
        </is>
      </c>
      <c r="D28" s="16" t="n"/>
    </row>
    <row r="29" ht="32" customHeight="1">
      <c r="B29" s="15" t="str">
        <f>IF(TemplateVersion=3,"✔","✘")</f>
        <v>✔</v>
      </c>
      <c r="C29" s="12" t="inlineStr">
        <is>
          <t>Settings: template version is 3 — The page reads version 3; the cell is locked, so this means the sheet was rebuilt by hand.</t>
        </is>
      </c>
      <c r="D29" s="16" t="n"/>
    </row>
    <row r="30" ht="32" customHeight="1">
      <c r="B30" s="15" t="str">
        <f>IF(NOT(ISERROR(ROWS(TermTypes)+ROWS(CounterpartyTypes)+ROWS(HRAOptions)+ROWS(CallTypes)+ROWS(LoanTypes)+ROWS(LenderTypes)+ROWS(Profiles)+ROWS(Frequencies)+ROWS(Funds)+ROWS(FundTypes))),"✔","✘")</f>
        <v>✔</v>
      </c>
      <c r="C30" s="12" t="inlineStr">
        <is>
          <t>Lists: the drop-down words are all there — A list was deleted: download a fresh template and paste your rows into it.</t>
        </is>
      </c>
      <c r="D30" s="16" t="n"/>
    </row>
    <row r="31" ht="47" customHeight="1">
      <c r="B31" s="15" t="str">
        <f>IF(IFERROR(ROWS(TermInvestments[#All])&gt;0,FALSE),"✔","✘")</f>
        <v>✔</v>
      </c>
      <c r="C31" s="12" t="inlineStr">
        <is>
          <t>Term investments: the table TermInvestments is there — The table was converted to a range or renamed. Select the rows with their headers, Insert → Table, and name it TermInvestments on the Table Design tab.</t>
        </is>
      </c>
      <c r="D31" s="16" t="n"/>
    </row>
    <row r="32" ht="32" customHeight="1">
      <c r="B32" s="15" t="str">
        <f>IF(AND('Term investments'!$A$3="Type",'Term investments'!$B$3="Counterparty",'Term investments'!$C$3="Counterparty type",'Term investments'!$D$3="Principal",'Term investments'!$E$3="Start date",'Term investments'!$F$3="Maturity date",'Term investments'!$G$3="Rate",'Term investments'!$H$3="Face value",'Term investments'!$I$3="Carrying value",'Term investments'!$J$3="Rating",'Term investments'!$K$3="Notes"),"✔","✘")</f>
        <v>✔</v>
      </c>
      <c r="C32" s="12" t="inlineStr">
        <is>
          <t>Term investments: the headers are as the page expects — A header was changed. Put the exact words back, or paste your rows into a fresh template.</t>
        </is>
      </c>
      <c r="D32" s="16" t="n"/>
    </row>
    <row r="33" ht="32" customHeight="1">
      <c r="B33" s="15" t="str">
        <f>IF(IFERROR(COUNTA('Term investments'!$A$4:$A$1048576)-SUMPRODUCT((TermInvestments[Type]&lt;&gt;"")*1)=0,FALSE),"✔","✘")</f>
        <v>✔</v>
      </c>
      <c r="C33" s="12" t="inlineStr">
        <is>
          <t>Term investments: every row typed is inside the table — Rows typed beneath the table are read, but flagged: drag the table's corner handle down over them so they are in it.</t>
        </is>
      </c>
      <c r="D33" s="16" t="n"/>
    </row>
    <row r="34" ht="47" customHeight="1">
      <c r="B34" s="15" t="str">
        <f>IF(COUNTA('Term investments'!$A$2001:$K$1048576)=0,"✔","✘")</f>
        <v>✔</v>
      </c>
      <c r="C34" s="12" t="inlineStr">
        <is>
          <t>Term investments: nothing is typed past row 2,000 — This workbook's own sums stop at row 2,000 (room for 1,997 rows); the page and the report tool read rows past it, so their figures would differ from this workbook's.</t>
        </is>
      </c>
      <c r="D34" s="16" t="n"/>
    </row>
    <row r="35" ht="32" customHeight="1">
      <c r="B35" s="15" t="str">
        <f>IF(SUMPRODUCT(('Term investments'!$A$4:$A$2000&lt;&gt;"")*(COUNTIF(TermTypes,TRIM('Term investments'!$A$4:$A$2000))=0))+SUMPRODUCT(('Term investments'!$C$4:$C$2000&lt;&gt;"")*(COUNTIF(CounterpartyTypes,TRIM('Term investments'!$C$4:$C$2000))=0))=0,"✔","✘")</f>
        <v>✔</v>
      </c>
      <c r="C35" s="12" t="inlineStr">
        <is>
          <t>Term investments: every drop-down word is on its list — A word off the list is marked amber in the sheet: pick it from the drop-down. A pasted word is not checked at entry, only here.</t>
        </is>
      </c>
      <c r="D35" s="16" t="n"/>
    </row>
    <row r="36" ht="47" customHeight="1">
      <c r="B36" s="15" t="str">
        <f>IF(SUMPRODUCT(('Term investments'!$D$4:$D$2000&lt;&gt;"")*((1-ISNUMBER('Term investments'!$D$4:$D$2000))+ISNUMBER('Term investments'!$D$4:$D$2000)*('Term investments'!$D$4:$D$2000&gt;0)*('Term investments'!$D$4:$D$2000&lt;1000)))+SUMPRODUCT(('Term investments'!$H$4:$H$2000&lt;&gt;"")*((1-ISNUMBER('Term investments'!$H$4:$H$2000))+ISNUMBER('Term investments'!$H$4:$H$2000)*('Term investments'!$H$4:$H$2000&gt;0)*('Term investments'!$H$4:$H$2000&lt;1000)))+SUMPRODUCT(('Term investments'!$I$4:$I$2000&lt;&gt;"")*((1-ISNUMBER('Term investments'!$I$4:$I$2000))+ISNUMBER('Term investments'!$I$4:$I$2000)*('Term investments'!$I$4:$I$2000&gt;0)*('Term investments'!$I$4:$I$2000&lt;1000)))=0,"✔","✘")</f>
        <v>✔</v>
      </c>
      <c r="C36" s="12" t="inlineStr">
        <is>
          <t>Term investments: amounts are numbers, in pounds — Amounts are in pounds, not £ millions (5,000,000 for £5m), and typed as numbers. A figure typed as text is marked red, one below £1,000 amber.</t>
        </is>
      </c>
      <c r="D36" s="16" t="n"/>
    </row>
    <row r="37" ht="32" customHeight="1">
      <c r="B37" s="15" t="str">
        <f>IF(SUMPRODUCT(('Term investments'!$E$4:$E$2000&lt;&gt;"")*(1-ISNUMBER('Term investments'!$E$4:$E$2000)))+SUMPRODUCT(('Term investments'!$F$4:$F$2000&lt;&gt;"")*(1-ISNUMBER('Term investments'!$F$4:$F$2000)))=0,"✔","✘")</f>
        <v>✔</v>
      </c>
      <c r="C37" s="12" t="inlineStr">
        <is>
          <t>Term investments: dates are dates — A date typed as text is marked red: type it as a date (30/09/2026).</t>
        </is>
      </c>
      <c r="D37" s="16" t="n"/>
    </row>
    <row r="38" ht="47" customHeight="1">
      <c r="B38" s="15" t="str">
        <f>IF(IFERROR(ROWS(CallAccounts[#All])&gt;0,FALSE),"✔","✘")</f>
        <v>✔</v>
      </c>
      <c r="C38" s="12" t="inlineStr">
        <is>
          <t>Call accounts and MMFs: the table CallAccounts is there — The table was converted to a range or renamed. Select the rows with their headers, Insert → Table, and name it CallAccounts on the Table Design tab.</t>
        </is>
      </c>
      <c r="D38" s="16" t="n"/>
    </row>
    <row r="39" ht="32" customHeight="1">
      <c r="B39" s="15" t="str">
        <f>IF(AND('Call accounts and MMFs'!$A$3="Type",'Call accounts and MMFs'!$B$3="Counterparty",'Call accounts and MMFs'!$C$3="Counterparty type",'Call accounts and MMFs'!$D$3="Balance",'Call accounts and MMFs'!$E$3="Rate",'Call accounts and MMFs'!$F$3="Notice days",'Call accounts and MMFs'!$G$3="Rating",'Call accounts and MMFs'!$H$3="Average balance",'Call accounts and MMFs'!$I$3="Average rate",'Call accounts and MMFs'!$J$3="Notes"),"✔","✘")</f>
        <v>✔</v>
      </c>
      <c r="C39" s="12" t="inlineStr">
        <is>
          <t>Call accounts and MMFs: the headers are as the page expects — A header was changed. Put the exact words back, or paste your rows into a fresh template.</t>
        </is>
      </c>
      <c r="D39" s="16" t="n"/>
    </row>
    <row r="40" ht="32" customHeight="1">
      <c r="B40" s="15" t="str">
        <f>IF(IFERROR(COUNTA('Call accounts and MMFs'!$A$4:$A$1048576)-SUMPRODUCT((CallAccounts[Type]&lt;&gt;"")*1)=0,FALSE),"✔","✘")</f>
        <v>✔</v>
      </c>
      <c r="C40" s="12" t="inlineStr">
        <is>
          <t>Call accounts and MMFs: every row typed is inside the table — Rows typed beneath the table are read, but flagged: drag the table's corner handle down over them so they are in it.</t>
        </is>
      </c>
      <c r="D40" s="16" t="n"/>
    </row>
    <row r="41" ht="47" customHeight="1">
      <c r="B41" s="15" t="str">
        <f>IF(COUNTA('Call accounts and MMFs'!$A$2001:$J$1048576)=0,"✔","✘")</f>
        <v>✔</v>
      </c>
      <c r="C41" s="12" t="inlineStr">
        <is>
          <t>Call accounts and MMFs: nothing is typed past row 2,000 — This workbook's own sums stop at row 2,000 (room for 1,997 rows); the page and the report tool read rows past it, so their figures would differ from this workbook's.</t>
        </is>
      </c>
      <c r="D41" s="16" t="n"/>
    </row>
    <row r="42" ht="32" customHeight="1">
      <c r="B42" s="15" t="str">
        <f>IF(SUMPRODUCT(('Call accounts and MMFs'!$A$4:$A$2000&lt;&gt;"")*(COUNTIF(CallTypes,TRIM('Call accounts and MMFs'!$A$4:$A$2000))=0))+SUMPRODUCT(('Call accounts and MMFs'!$C$4:$C$2000&lt;&gt;"")*(COUNTIF(CounterpartyTypes,TRIM('Call accounts and MMFs'!$C$4:$C$2000))=0))=0,"✔","✘")</f>
        <v>✔</v>
      </c>
      <c r="C42" s="12" t="inlineStr">
        <is>
          <t>Call accounts and MMFs: every drop-down word is on its list — A word off the list is marked amber in the sheet: pick it from the drop-down. A pasted word is not checked at entry, only here.</t>
        </is>
      </c>
      <c r="D42" s="16" t="n"/>
    </row>
    <row r="43" ht="47" customHeight="1">
      <c r="B43" s="15" t="str">
        <f>IF(SUMPRODUCT(('Call accounts and MMFs'!$D$4:$D$2000&lt;&gt;"")*((1-ISNUMBER('Call accounts and MMFs'!$D$4:$D$2000))+ISNUMBER('Call accounts and MMFs'!$D$4:$D$2000)*('Call accounts and MMFs'!$D$4:$D$2000&gt;0)*('Call accounts and MMFs'!$D$4:$D$2000&lt;1000)))+SUMPRODUCT(('Call accounts and MMFs'!$H$4:$H$2000&lt;&gt;"")*((1-ISNUMBER('Call accounts and MMFs'!$H$4:$H$2000))+ISNUMBER('Call accounts and MMFs'!$H$4:$H$2000)*('Call accounts and MMFs'!$H$4:$H$2000&gt;0)*('Call accounts and MMFs'!$H$4:$H$2000&lt;1000)))=0,"✔","✘")</f>
        <v>✔</v>
      </c>
      <c r="C43" s="12" t="inlineStr">
        <is>
          <t>Call accounts and MMFs: amounts are numbers, in pounds — Amounts are in pounds, not £ millions (5,000,000 for £5m), and typed as numbers. A figure typed as text is marked red, one below £1,000 amber.</t>
        </is>
      </c>
      <c r="D43" s="16" t="n"/>
    </row>
    <row r="44" ht="32" customHeight="1">
      <c r="B44" s="15" t="str">
        <f>IF(IFERROR(ROWS(Loans[#All])&gt;0,FALSE),"✔","✘")</f>
        <v>✔</v>
      </c>
      <c r="C44" s="12" t="inlineStr">
        <is>
          <t>Loans: the table Loans is there — The table was converted to a range or renamed. Select the rows with their headers, Insert → Table, and name it Loans on the Table Design tab.</t>
        </is>
      </c>
      <c r="D44" s="16" t="n"/>
    </row>
    <row r="45" ht="32" customHeight="1">
      <c r="B45" s="15" t="str">
        <f>IF(AND('Loans'!$A$3="Type",'Loans'!$B$3="Lender",'Loans'!$C$3="Lender type",'Loans'!$D$3="Principal",'Loans'!$E$3="Start date",'Loans'!$F$3="Maturity date",'Loans'!$G$3="Rate",'Loans'!$H$3="Profile",'Loans'!$I$3="Frequency",'Loans'!$J$3="First repayment date",'Loans'!$K$3="Fund",'Loans'!$L$3="Next call date",'Loans'!$M$3="Notes"),"✔","✘")</f>
        <v>✔</v>
      </c>
      <c r="C45" s="12" t="inlineStr">
        <is>
          <t>Loans: the headers are as the page expects — A header was changed. Put the exact words back, or paste your rows into a fresh template.</t>
        </is>
      </c>
      <c r="D45" s="16" t="n"/>
    </row>
    <row r="46" ht="32" customHeight="1">
      <c r="B46" s="15" t="str">
        <f>IF(IFERROR(COUNTA('Loans'!$A$4:$A$1048576)-SUMPRODUCT((Loans[Type]&lt;&gt;"")*1)=0,FALSE),"✔","✘")</f>
        <v>✔</v>
      </c>
      <c r="C46" s="12" t="inlineStr">
        <is>
          <t>Loans: every row typed is inside the table — Rows typed beneath the table are read, but flagged: drag the table's corner handle down over them so they are in it.</t>
        </is>
      </c>
      <c r="D46" s="16" t="n"/>
    </row>
    <row r="47" ht="47" customHeight="1">
      <c r="B47" s="15" t="str">
        <f>IF(COUNTA('Loans'!$A$1001:$M$1048576)=0,"✔","✘")</f>
        <v>✔</v>
      </c>
      <c r="C47" s="12" t="inlineStr">
        <is>
          <t>Loans: nothing is typed past row 1,000 — This workbook's own sums stop at row 1,000 (room for 997 rows); the page and the report tool read rows past it, so their figures would differ from this workbook's.</t>
        </is>
      </c>
      <c r="D47" s="16" t="n"/>
    </row>
    <row r="48" ht="32" customHeight="1">
      <c r="B48" s="15" t="str">
        <f>IF(SUMPRODUCT(('Loans'!$A$4:$A$1000&lt;&gt;"")*(COUNTIF(LoanTypes,TRIM('Loans'!$A$4:$A$1000))=0))+SUMPRODUCT(('Loans'!$C$4:$C$1000&lt;&gt;"")*(COUNTIF(LenderTypes,TRIM('Loans'!$C$4:$C$1000))=0))+SUMPRODUCT(('Loans'!$H$4:$H$1000&lt;&gt;"")*(COUNTIF(Profiles,TRIM('Loans'!$H$4:$H$1000))=0))+SUMPRODUCT(('Loans'!$I$4:$I$1000&lt;&gt;"")*(COUNTIF(Frequencies,TRIM('Loans'!$I$4:$I$1000))=0))+SUMPRODUCT(('Loans'!$K$4:$K$1000&lt;&gt;"")*(COUNTIF(Funds,TRIM('Loans'!$K$4:$K$1000))=0))=0,"✔","✘")</f>
        <v>✔</v>
      </c>
      <c r="C48" s="12" t="inlineStr">
        <is>
          <t>Loans: every drop-down word is on its list — A word off the list is marked amber in the sheet: pick it from the drop-down. A pasted word is not checked at entry, only here.</t>
        </is>
      </c>
      <c r="D48" s="16" t="n"/>
    </row>
    <row r="49" ht="32" customHeight="1">
      <c r="B49" s="15" t="str">
        <f>IF(SUMPRODUCT(('Loans'!$D$4:$D$1000&lt;&gt;"")*((1-ISNUMBER('Loans'!$D$4:$D$1000))+ISNUMBER('Loans'!$D$4:$D$1000)*('Loans'!$D$4:$D$1000&gt;0)*('Loans'!$D$4:$D$1000&lt;1000)))=0,"✔","✘")</f>
        <v>✔</v>
      </c>
      <c r="C49" s="12" t="inlineStr">
        <is>
          <t>Loans: amounts are numbers, in pounds — Amounts are in pounds, not £ millions (5,000,000 for £5m), and typed as numbers. A figure typed as text is marked red, one below £1,000 amber.</t>
        </is>
      </c>
      <c r="D49" s="16" t="n"/>
    </row>
    <row r="50" ht="18" customHeight="1">
      <c r="B50" s="15" t="str">
        <f>IF(SUMPRODUCT(('Loans'!$E$4:$E$1000&lt;&gt;"")*(1-ISNUMBER('Loans'!$E$4:$E$1000)))+SUMPRODUCT(('Loans'!$F$4:$F$1000&lt;&gt;"")*(1-ISNUMBER('Loans'!$F$4:$F$1000)))+SUMPRODUCT(('Loans'!$J$4:$J$1000&lt;&gt;"")*(1-ISNUMBER('Loans'!$J$4:$J$1000)))+SUMPRODUCT(('Loans'!$L$4:$L$1000&lt;&gt;"")*(1-ISNUMBER('Loans'!$L$4:$L$1000)))=0,"✔","✘")</f>
        <v>✔</v>
      </c>
      <c r="C50" s="12" t="inlineStr">
        <is>
          <t>Loans: dates are dates — A date typed as text is marked red: type it as a date (30/09/2026).</t>
        </is>
      </c>
      <c r="D50" s="16" t="n"/>
    </row>
    <row r="51" ht="47" customHeight="1">
      <c r="B51" s="15" t="str">
        <f>IF(IFERROR(ROWS(PooledFunds[#All])&gt;0,FALSE),"✔","✘")</f>
        <v>✔</v>
      </c>
      <c r="C51" s="12" t="inlineStr">
        <is>
          <t>Pooled funds: the table PooledFunds is there — The table was converted to a range or renamed. Select the rows with their headers, Insert → Table, and name it PooledFunds on the Table Design tab.</t>
        </is>
      </c>
      <c r="D51" s="16" t="n"/>
    </row>
    <row r="52" ht="32" customHeight="1">
      <c r="B52" s="15" t="str">
        <f>IF(AND('Pooled funds'!$A$3="Fund name",'Pooled funds'!$B$3="Fund type",'Pooled funds'!$C$3="Carrying value",'Pooled funds'!$D$3="Latest value",'Pooled funds'!$E$3="Current rate",'Pooled funds'!$F$3="Purchase date",'Pooled funds'!$G$3="Average value",'Pooled funds'!$H$3="Average rate",'Pooled funds'!$I$3="Notes"),"✔","✘")</f>
        <v>✔</v>
      </c>
      <c r="C52" s="12" t="inlineStr">
        <is>
          <t>Pooled funds: the headers are as the page expects — A header was changed. Put the exact words back, or paste your rows into a fresh template.</t>
        </is>
      </c>
      <c r="D52" s="16" t="n"/>
    </row>
    <row r="53" ht="32" customHeight="1">
      <c r="B53" s="15" t="str">
        <f>IF(IFERROR(COUNTA('Pooled funds'!$A$4:$A$1048576)-SUMPRODUCT((PooledFunds[Fund name]&lt;&gt;"")*1)=0,FALSE),"✔","✘")</f>
        <v>✔</v>
      </c>
      <c r="C53" s="12" t="inlineStr">
        <is>
          <t>Pooled funds: every row typed is inside the table — Rows typed beneath the table are read, but flagged: drag the table's corner handle down over them so they are in it.</t>
        </is>
      </c>
      <c r="D53" s="16" t="n"/>
    </row>
    <row r="54" ht="47" customHeight="1">
      <c r="B54" s="15" t="str">
        <f>IF(COUNTA('Pooled funds'!$A$2001:$I$1048576)=0,"✔","✘")</f>
        <v>✔</v>
      </c>
      <c r="C54" s="12" t="inlineStr">
        <is>
          <t>Pooled funds: nothing is typed past row 2,000 — This workbook's own sums stop at row 2,000 (room for 1,997 rows); the page and the report tool read rows past it, so their figures would differ from this workbook's.</t>
        </is>
      </c>
      <c r="D54" s="16" t="n"/>
    </row>
    <row r="55" ht="32" customHeight="1">
      <c r="B55" s="15" t="str">
        <f>IF(SUMPRODUCT(('Pooled funds'!$B$4:$B$2000&lt;&gt;"")*(COUNTIF(FundTypes,TRIM('Pooled funds'!$B$4:$B$2000))=0))=0,"✔","✘")</f>
        <v>✔</v>
      </c>
      <c r="C55" s="12" t="inlineStr">
        <is>
          <t>Pooled funds: every drop-down word is on its list — A word off the list is marked amber in the sheet: pick it from the drop-down. A pasted word is not checked at entry, only here.</t>
        </is>
      </c>
      <c r="D55" s="16" t="n"/>
    </row>
    <row r="56" ht="32" customHeight="1">
      <c r="B56" s="15" t="str">
        <f>IF(SUMPRODUCT(('Pooled funds'!$C$4:$C$2000&lt;&gt;"")*((1-ISNUMBER('Pooled funds'!$C$4:$C$2000))+ISNUMBER('Pooled funds'!$C$4:$C$2000)*('Pooled funds'!$C$4:$C$2000&gt;0)*('Pooled funds'!$C$4:$C$2000&lt;1000)))+SUMPRODUCT(('Pooled funds'!$D$4:$D$2000&lt;&gt;"")*((1-ISNUMBER('Pooled funds'!$D$4:$D$2000))+ISNUMBER('Pooled funds'!$D$4:$D$2000)*('Pooled funds'!$D$4:$D$2000&gt;0)*('Pooled funds'!$D$4:$D$2000&lt;1000)))+SUMPRODUCT(('Pooled funds'!$G$4:$G$2000&lt;&gt;"")*((1-ISNUMBER('Pooled funds'!$G$4:$G$2000))+ISNUMBER('Pooled funds'!$G$4:$G$2000)*('Pooled funds'!$G$4:$G$2000&gt;0)*('Pooled funds'!$G$4:$G$2000&lt;1000)))=0,"✔","✘")</f>
        <v>✔</v>
      </c>
      <c r="C56" s="12" t="inlineStr">
        <is>
          <t>Pooled funds: amounts are numbers, in pounds — Amounts are in pounds, not £ millions (5,000,000 for £5m), and typed as numbers. A figure typed as text is marked red, one below £1,000 amber.</t>
        </is>
      </c>
      <c r="D56" s="16" t="n"/>
    </row>
    <row r="57" ht="32" customHeight="1">
      <c r="B57" s="15" t="str">
        <f>IF(SUMPRODUCT(('Pooled funds'!$F$4:$F$2000&lt;&gt;"")*(1-ISNUMBER('Pooled funds'!$F$4:$F$2000)))=0,"✔","✘")</f>
        <v>✔</v>
      </c>
      <c r="C57" s="12" t="inlineStr">
        <is>
          <t>Pooled funds: dates are dates — A date typed as text is marked red: type it as a date (30/09/2026).</t>
        </is>
      </c>
      <c r="D57" s="16" t="n"/>
    </row>
    <row r="58" ht="47" customHeight="1">
      <c r="B58" s="15" t="str">
        <f>IF(AND(OR(COUNTA('Projections'!$A$5:$O$57)=0,AND('Projections'!$A$5="Year end",'Projections'!$B$5="Capital financing requirement",'Projections'!$C$5="MRP",'Projections'!$D$5="Capital receipts applied",'Projections'!$E$5="Other balance sheet items",'Projections'!$F$5="Existing loan commitments",'Projections'!$G$5="Existing investment commitments",'Projections'!$H$5="Liquidity allowance",'Projections'!$I$5="Capital expenditure financed by borrowing",'Projections'!$J$5="Interest payable",'Projections'!$K$5="Interest paid to the HRA",'Projections'!$L$5="Interest received from the HRA",'Projections'!$M$5="Investment income",'Projections'!$N$5="Net revenue stream",'Projections'!$O$5="Non-treasury investment income")),OR(COUNTA('Projections'!$A$61:$O$113)=0,AND('Projections'!$A$61="Year end",'Projections'!$B$61="Capital financing requirement",'Projections'!$C$61="MRP",'Projections'!$D$61="Capital receipts applied",'Projections'!$E$61="Other balance sheet items",'Projections'!$F$61="Existing loan commitments",'Projections'!$G$61="Existing investment commitments",'Projections'!$H$61="Liquidity allowance",'Projections'!$I$61="Capital expenditure financed by borrowing",'Projections'!$J$61="Interest payable",'Projections'!$K$61="Interest paid to the General Fund",'Projections'!$L$61="Interest received from the General Fund",'Projections'!$M$61="Investment income",'Projections'!$N$61="Net revenue stream",'Projections'!$O$61="Non-treasury investment income"))),"✔","✘")</f>
        <v>✔</v>
      </c>
      <c r="C58" s="12" t="inlineStr">
        <is>
          <t>Projections: the headings are as the tool expects — A heading was changed: put the exact words back, or paste a fresh copy of the grid from the tool (Copy for Excel) at cell A5. The tool matches columns by heading.</t>
        </is>
      </c>
      <c r="D58" s="16" t="n"/>
    </row>
    <row r="59" ht="62" customHeight="1">
      <c r="B59" s="15" t="str">
        <f>IF(AND(OR(COUNTA('Projections'!$A$5:$O$57)=0,IFERROR(AND(VALUE(LEFT('Projections'!$A$6,4))=(YEAR(AsAt)-(MONTH(AsAt)&lt;4))-1,RIGHT('Projections'!$A$6,6)="actual",VALUE(LEFT('Projections'!$A$7,4))=(YEAR(AsAt)-(MONTH(AsAt)&lt;4)),VALUE(LEFT('Projections'!$A$57,4))=(YEAR(AsAt)-(MONTH(AsAt)&lt;4))+50),FALSE)),OR(COUNTA('Projections'!$A$61:$O$113)=0,IFERROR(AND(VALUE(LEFT('Projections'!$A$62,4))=(YEAR(AsAt)-(MONTH(AsAt)&lt;4))-1,RIGHT('Projections'!$A$62,6)="actual",VALUE(LEFT('Projections'!$A$63,4))=(YEAR(AsAt)-(MONTH(AsAt)&lt;4)),VALUE(LEFT('Projections'!$A$113,4))=(YEAR(AsAt)-(MONTH(AsAt)&lt;4))+50),FALSE))),"✔","✘")</f>
        <v>✔</v>
      </c>
      <c r="C59" s="12" t="inlineStr">
        <is>
          <t>Projections: the years follow the As at date — The first row is the actual year before the As at date's year, then fifty-one years from As at's (2026/27 for an As at in 2026/27), and the tool matches rows by year: put the labels right, or paste a fresh copy of the grid from the tool at cell A5.</t>
        </is>
      </c>
      <c r="D59" s="16" t="n"/>
    </row>
    <row r="60" ht="32" customHeight="1">
      <c r="B60" s="15" t="str">
        <f>IF(SUMPRODUCT(('Projections'!$B$6:$O$57&lt;&gt;"")*(1-ISNUMBER('Projections'!$B$6:$O$57)))+SUMPRODUCT(ISNUMBER('Projections'!$B$6:$O$57)*(('Projections'!$B$6:$O$57&gt;100000)+('Projections'!$B$6:$O$57&lt;-100000)))+SUMPRODUCT(('Projections'!$B$62:$O$113&lt;&gt;"")*(1-ISNUMBER('Projections'!$B$62:$O$113)))+SUMPRODUCT(ISNUMBER('Projections'!$B$62:$O$113)*(('Projections'!$B$62:$O$113&gt;100000)+('Projections'!$B$62:$O$113&lt;-100000)))=0,"✔","✘")</f>
        <v>✔</v>
      </c>
      <c r="C60" s="12" t="inlineStr">
        <is>
          <t>Projections: figures are numbers, in £ millions — This sheet is in £ millions to one decimal (58.1 for £58.1m). A figure above 100,000 is marked amber, text red.</t>
        </is>
      </c>
      <c r="D60" s="16" t="n"/>
    </row>
    <row r="61"/>
    <row r="62">
      <c r="B62" s="8" t="inlineStr">
        <is>
          <t>How it works</t>
        </is>
      </c>
    </row>
    <row r="63" ht="49" customHeight="1">
      <c r="B63" s="17" t="inlineStr">
        <is>
          <t>1.  Settings</t>
        </is>
      </c>
      <c r="C63" s="7" t="inlineStr">
        <is>
          <t>the As at date every balance is struck at, the HRA pooling (None, One pool or Two pools: it decides which blocks and columns of the projection are read, and whose loans are whose), and the period the averages cover.</t>
        </is>
      </c>
    </row>
    <row r="64" ht="34" customHeight="1">
      <c r="B64" s="17" t="inlineStr">
        <is>
          <t>2.  The four tables</t>
        </is>
      </c>
      <c r="C64" s="7" t="inlineStr">
        <is>
          <t>Term investments, Call accounts and MMFs, Loans, Pooled funds: a row per deal, the drop-down words exactly. A cell that is wrong or missing is marked as you type.</t>
        </is>
      </c>
    </row>
    <row r="65" ht="49" customHeight="1">
      <c r="B65" s="17" t="inlineStr">
        <is>
          <t>3.  Projections</t>
        </is>
      </c>
      <c r="C65" s="7" t="inlineStr">
        <is>
          <t>your projection, one row a year, a block per fund — the report tool's figures grid in the workbook. Fill it and the tool reads it; leave it blank and you type in the tool instead.</t>
        </is>
      </c>
    </row>
    <row r="66" ht="49" customHeight="1">
      <c r="B66" s="17" t="inlineStr">
        <is>
          <t>4.  The Dashboard and the Benchmark</t>
        </is>
      </c>
      <c r="C66" s="7" t="inlineStr">
        <is>
          <t>what the rows add up to, for checking: positions, ladders, the next twelve months, the period’s activity, the rows that need attention; and the liability benchmark with the Code's five charts, from the projection and the loans as they run off.</t>
        </is>
      </c>
    </row>
    <row r="67" ht="64" customHeight="1">
      <c r="B67" s="17" t="inlineStr">
        <is>
          <t>5.  The Position and the lists</t>
        </is>
      </c>
      <c r="C67" s="7" t="inlineStr">
        <is>
          <t>the treasury position at the start of the period and at the As at date, with average rates and lives and the counterparties by size; and every loan and every investment held, one row each. The same figures the report tool works out, and every sheet set to print on A4.</t>
        </is>
      </c>
    </row>
    <row r="68" ht="49" customHeight="1">
      <c r="B68" s="17" t="inlineStr">
        <is>
          <t>6.  Hidden sheets</t>
        </is>
      </c>
      <c r="C68" s="7" t="inlineStr">
        <is>
          <t>Loan maths, Deal maths and List maths hold the formulas' working, and Lists the drop-down words: hidden, so nothing there is typed over. To look at them, Review → Protect Workbook to lift the lock (there is no password), then right-click any tab → Unhide.</t>
        </is>
      </c>
    </row>
    <row r="69" ht="34" customHeight="1">
      <c r="B69" s="17" t="inlineStr">
        <is>
          <t>7.  The report tool</t>
        </is>
      </c>
      <c r="C69" s="7" t="inlineStr">
        <is>
          <t>reads this file in your browser and never changes it. It keeps a copy of the rows and the projection it read with your report, in your PWLBtoday account.</t>
        </is>
      </c>
    </row>
    <row r="70"/>
    <row r="71">
      <c r="B71" s="18" t="inlineStr">
        <is>
          <t>Open the report tool ↗</t>
        </is>
      </c>
      <c r="C71" s="19" t="inlineStr">
        <is>
          <t>Read this workbook into a report: the holdings, the projections, the draft and its appendix.</t>
        </is>
      </c>
    </row>
    <row r="72">
      <c r="B72" s="18" t="inlineStr">
        <is>
          <t>The deal list page ↗</t>
        </is>
      </c>
      <c r="C72" s="19" t="inlineStr">
        <is>
          <t>The same workbook read on its own: every chart, every row as read, nothing stored.</t>
        </is>
      </c>
    </row>
    <row r="73"/>
    <row r="74" ht="44" customHeight="1">
      <c r="B74" s="20" t="inlineStr">
        <is>
          <t>This workbook stays on your own computer. The page and the report tool read it in your browser and never change it: the workbook is the record, they are readers for it. The report tool keeps a copy of the rows it read with your report, in your PWLBtoday account.</t>
        </is>
      </c>
    </row>
    <row r="75" ht="58" customHeight="1">
      <c r="B75" s="20" t="inlineStr">
        <is>
          <t>Protected against accidents, not against you: the sheets cannot be renamed or deleted, the sheets of formulas and the Lists are locked, and on Settings only the yellow cells are open. The sheets you type in, the four holding sheets and Projections, are open throughout: an Excel Table cannot grow on a protected sheet, and a grid copied from the tool pastes at Projections cell A5 in one go. There is no password: Review → Unprotect Sheet, or Protect Workbook, lifts any of it in one click.</t>
        </is>
      </c>
    </row>
  </sheetData>
  <sheetProtection selectLockedCells="0" selectUnlockedCells="0" sheet="1" objects="0" insertRows="1" insertHyperlinks="1" autoFilter="1" scenarios="0" formatColumns="0" deleteColumns="1" insertColumns="1" pivotTables="1" deleteRows="1" formatCells="1" formatRows="0" sort="1"/>
  <mergeCells count="46">
    <mergeCell ref="C34:D34"/>
    <mergeCell ref="C30:D30"/>
    <mergeCell ref="C68:D68"/>
    <mergeCell ref="C33:D33"/>
    <mergeCell ref="B8:D8"/>
    <mergeCell ref="C42:D42"/>
    <mergeCell ref="C58:D58"/>
    <mergeCell ref="C45:D45"/>
    <mergeCell ref="C26:D26"/>
    <mergeCell ref="C64:D64"/>
    <mergeCell ref="C35:D35"/>
    <mergeCell ref="C29:D29"/>
    <mergeCell ref="C47:D47"/>
    <mergeCell ref="C54:D54"/>
    <mergeCell ref="C63:D63"/>
    <mergeCell ref="C65:D65"/>
    <mergeCell ref="C41:D41"/>
    <mergeCell ref="C55:D55"/>
    <mergeCell ref="C50:D50"/>
    <mergeCell ref="B74:D74"/>
    <mergeCell ref="C44:D44"/>
    <mergeCell ref="C40:D40"/>
    <mergeCell ref="C31:D31"/>
    <mergeCell ref="C56:D56"/>
    <mergeCell ref="C59:D59"/>
    <mergeCell ref="C43:D43"/>
    <mergeCell ref="C46:D46"/>
    <mergeCell ref="C60:D60"/>
    <mergeCell ref="C51:D51"/>
    <mergeCell ref="C27:D27"/>
    <mergeCell ref="C36:D36"/>
    <mergeCell ref="C52:D52"/>
    <mergeCell ref="B75:D75"/>
    <mergeCell ref="C48:D48"/>
    <mergeCell ref="B25:D25"/>
    <mergeCell ref="C39:D39"/>
    <mergeCell ref="C32:D32"/>
    <mergeCell ref="C38:D38"/>
    <mergeCell ref="C67:D67"/>
    <mergeCell ref="C57:D57"/>
    <mergeCell ref="C37:D37"/>
    <mergeCell ref="C28:D28"/>
    <mergeCell ref="C66:D66"/>
    <mergeCell ref="C53:D53"/>
    <mergeCell ref="C69:D69"/>
    <mergeCell ref="C49:D49"/>
  </mergeCells>
  <conditionalFormatting sqref="B25:D25">
    <cfRule type="expression" priority="1" dxfId="0">
      <formula>COUNTIF($B$26:$B$60,"✘")=0</formula>
    </cfRule>
    <cfRule type="expression" priority="2" dxfId="1">
      <formula>COUNTIF($B$26:$B$60,"✘")&gt;0</formula>
    </cfRule>
  </conditionalFormatting>
  <conditionalFormatting sqref="B26:B60">
    <cfRule type="expression" priority="3" dxfId="2">
      <formula>B26="✔"</formula>
    </cfRule>
    <cfRule type="expression" priority="4" dxfId="3">
      <formula>B26="✘"</formula>
    </cfRule>
  </conditionalFormatting>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71" r:id="rId12"/>
    <hyperlink xmlns:r="http://schemas.openxmlformats.org/officeDocument/2006/relationships" ref="B72" r:id="rId13"/>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xl/worksheets/sheet2.xml><?xml version="1.0" encoding="utf-8"?>
<worksheet xmlns="http://schemas.openxmlformats.org/spreadsheetml/2006/main">
  <sheetPr>
    <tabColor rgb="008A97A5"/>
    <outlinePr summaryBelow="1" summaryRight="1"/>
    <pageSetUpPr fitToPage="1"/>
  </sheetPr>
  <dimension ref="A1:F7"/>
  <sheetViews>
    <sheetView showGridLines="0" workbookViewId="0">
      <selection activeCell="A1" sqref="A1"/>
    </sheetView>
  </sheetViews>
  <sheetFormatPr baseColWidth="8" defaultRowHeight="15"/>
  <cols>
    <col width="20" customWidth="1" min="1" max="1"/>
    <col width="16" customWidth="1" min="2" max="2"/>
    <col width="70" customWidth="1" min="3" max="3"/>
    <col width="4" customWidth="1" min="4" max="4"/>
  </cols>
  <sheetData>
    <row r="1" ht="36" customHeight="1">
      <c r="A1" s="21" t="inlineStr">
        <is>
          <t>Settings</t>
        </is>
      </c>
      <c r="B1" s="2" t="n"/>
      <c r="C1" s="2" t="n"/>
      <c r="D1" s="22" t="inlineStr">
        <is>
          <t>the dates and the pooling</t>
        </is>
      </c>
      <c r="F1" s="23" t="inlineStr">
        <is>
          <t>◂ Start here</t>
        </is>
      </c>
    </row>
    <row r="2" ht="48" customHeight="1">
      <c r="A2" s="20" t="inlineStr">
        <is>
          <t>Fill the yellow cells. Each other tab is a table: keep the headers and put your rows beneath them. This file stays on your own computer: the page and the report tool read it in your browser and never change it.</t>
        </is>
      </c>
    </row>
    <row r="3"/>
    <row r="4" ht="20" customHeight="1">
      <c r="A4" s="24" t="inlineStr">
        <is>
          <t>As at</t>
        </is>
      </c>
      <c r="B4" s="25" t="n">
        <v>46295</v>
      </c>
      <c r="C4" s="26" t="inlineStr">
        <is>
          <t>The date every balance in this file is struck at</t>
        </is>
      </c>
    </row>
    <row r="5" ht="20" customHeight="1">
      <c r="A5" s="24" t="inlineStr">
        <is>
          <t>HRA</t>
        </is>
      </c>
      <c r="B5" s="27" t="inlineStr">
        <is>
          <t>None</t>
        </is>
      </c>
      <c r="C5" s="26" t="inlineStr">
        <is>
          <t>None, One pool or Two pools — with two pools, each loan says which fund it belongs to</t>
        </is>
      </c>
    </row>
    <row r="6" ht="20" customHeight="1">
      <c r="A6" s="24" t="inlineStr">
        <is>
          <t>Template version</t>
        </is>
      </c>
      <c r="B6" s="28" t="n">
        <v>3</v>
      </c>
      <c r="C6" s="26" t="inlineStr">
        <is>
          <t>Leave this: the page checks it</t>
        </is>
      </c>
    </row>
    <row r="7" ht="20" customHeight="1">
      <c r="A7" s="24" t="inlineStr">
        <is>
          <t>Period from</t>
        </is>
      </c>
      <c r="B7" s="25" t="n">
        <v>46113</v>
      </c>
      <c r="C7" s="26" t="inlineStr">
        <is>
          <t>The start of the period the averages on the call account and pooled fund sheets cover, to the As at date: usually 1 April</t>
        </is>
      </c>
    </row>
  </sheetData>
  <sheetProtection selectLockedCells="0" selectUnlockedCells="0" sheet="1" objects="0" insertRows="1" insertHyperlinks="1" autoFilter="1" scenarios="0" formatColumns="0" deleteColumns="1" insertColumns="1" pivotTables="1" deleteRows="1" formatCells="1" formatRows="0" sort="1"/>
  <mergeCells count="1">
    <mergeCell ref="A2:D2"/>
  </mergeCells>
  <dataValidations count="1">
    <dataValidation sqref="B5" showDropDown="0" showInputMessage="1" showErrorMessage="0" allowBlank="0" errorTitle="Not a pooling approach" error="None, One pool or Two pools" promptTitle="HRA" prompt="None, One pool or Two pools: it decides which blocks and columns of the projection are read, and whose loans are whose." type="list">
      <formula1>=HRAOptions</formula1>
    </dataValidation>
  </dataValidations>
  <hyperlinks>
    <hyperlink xmlns:r="http://schemas.openxmlformats.org/officeDocument/2006/relationships" ref="F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xl/worksheets/sheet3.xml><?xml version="1.0" encoding="utf-8"?>
<worksheet xmlns="http://schemas.openxmlformats.org/spreadsheetml/2006/main">
  <sheetPr>
    <tabColor rgb="000A2540"/>
    <outlinePr summaryBelow="1" summaryRight="1"/>
    <pageSetUpPr fitToPage="1"/>
  </sheetPr>
  <dimension ref="A1:M4"/>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20" customWidth="1" min="3" max="3"/>
    <col width="16" customWidth="1" style="29" min="4" max="4"/>
    <col width="14" customWidth="1" style="30" min="5" max="5"/>
    <col width="14" customWidth="1" style="30" min="6" max="6"/>
    <col width="10" customWidth="1" style="31" min="7" max="7"/>
    <col width="16" customWidth="1" style="29" min="8" max="8"/>
    <col width="16" customWidth="1" style="29" min="9" max="9"/>
    <col width="10" customWidth="1" min="10" max="10"/>
    <col width="36" customWidth="1" min="11" max="11"/>
    <col width="3" customWidth="1" min="12" max="12"/>
    <col width="36" customWidth="1" min="13" max="13"/>
  </cols>
  <sheetData>
    <row r="1" ht="36" customHeight="1">
      <c r="A1" s="21" t="inlineStr">
        <is>
          <t>Term investments</t>
        </is>
      </c>
      <c r="B1" s="2" t="n"/>
      <c r="C1" s="2" t="n"/>
      <c r="D1" s="2" t="n"/>
      <c r="E1" s="2" t="n"/>
      <c r="F1" s="2" t="n"/>
      <c r="G1" s="2" t="n"/>
      <c r="H1" s="2" t="n"/>
      <c r="I1" s="2" t="n"/>
      <c r="J1" s="2" t="n"/>
      <c r="K1" s="22" t="inlineStr">
        <is>
          <t>one row per deal</t>
        </is>
      </c>
      <c r="M1" s="23" t="inlineStr">
        <is>
          <t>◂ Start here</t>
        </is>
      </c>
    </row>
    <row r="2" ht="44" customHeight="1">
      <c r="A2" s="20" t="inlineStr">
        <is>
          <t>Fixed-term deposits, CDs, Treasury bills, gilts and bonds, and loans to other authorities. Principal is the amount placed or paid. For a tradeable instrument also give the Face value (the nominal that comes back at maturity) and, if you have it, the Carrying value at the as-at date; leave both blank for a deposit. Keep a deal after it matures: the page reads it as history for the activity figures, not as a holding.</t>
        </is>
      </c>
    </row>
    <row r="3" ht="30" customHeight="1">
      <c r="A3" s="32" t="inlineStr">
        <is>
          <t>Type</t>
        </is>
      </c>
      <c r="B3" s="32" t="inlineStr">
        <is>
          <t>Counterparty</t>
        </is>
      </c>
      <c r="C3" s="32" t="inlineStr">
        <is>
          <t>Counterparty type</t>
        </is>
      </c>
      <c r="D3" s="32" t="inlineStr">
        <is>
          <t>Principal</t>
        </is>
      </c>
      <c r="E3" s="32" t="inlineStr">
        <is>
          <t>Start date</t>
        </is>
      </c>
      <c r="F3" s="32" t="inlineStr">
        <is>
          <t>Maturity date</t>
        </is>
      </c>
      <c r="G3" s="32" t="inlineStr">
        <is>
          <t>Rate</t>
        </is>
      </c>
      <c r="H3" s="32" t="inlineStr">
        <is>
          <t>Face value</t>
        </is>
      </c>
      <c r="I3" s="32" t="inlineStr">
        <is>
          <t>Carrying value</t>
        </is>
      </c>
      <c r="J3" s="32" t="inlineStr">
        <is>
          <t>Rating</t>
        </is>
      </c>
      <c r="K3" s="32" t="inlineStr">
        <is>
          <t>Notes</t>
        </is>
      </c>
      <c r="M3" s="26" t="inlineStr">
        <is>
          <t>Example rows: replace them with your own</t>
        </is>
      </c>
    </row>
    <row r="4">
      <c r="A4" s="19" t="n"/>
      <c r="B4" s="19" t="n"/>
      <c r="C4" s="19" t="n"/>
      <c r="D4" s="33" t="n"/>
      <c r="E4" s="34" t="n"/>
      <c r="F4" s="34" t="n"/>
      <c r="G4" s="35" t="n"/>
      <c r="H4" s="33" t="n"/>
      <c r="I4" s="33" t="n"/>
      <c r="J4" s="19" t="n"/>
      <c r="K4" s="19" t="n"/>
    </row>
  </sheetData>
  <mergeCells count="1">
    <mergeCell ref="A2:H2"/>
  </mergeCells>
  <conditionalFormatting sqref="F4:F2000">
    <cfRule type="expression" priority="1" dxfId="4">
      <formula>AND($F4&lt;&gt;"",$E4&lt;&gt;"",$F4&lt;=$E4)</formula>
    </cfRule>
    <cfRule type="expression" priority="11" dxfId="4">
      <formula>AND($F4&lt;&gt;"",NOT(ISNUMBER($F4)))</formula>
    </cfRule>
    <cfRule type="expression" priority="23" dxfId="5">
      <formula>AND(COUNTA($A4:$C4)&gt;0,$F4="")</formula>
    </cfRule>
  </conditionalFormatting>
  <conditionalFormatting sqref="G4:G2000">
    <cfRule type="expression" priority="2" dxfId="4">
      <formula>AND($G4&lt;&gt;"",ISNUMBER($G4),OR($G4&lt;0,AND($G4&gt;0.2,$G4&lt;1),$G4&gt;20))</formula>
    </cfRule>
    <cfRule type="expression" priority="9" dxfId="4">
      <formula>AND($G4&lt;&gt;"",NOT(ISNUMBER($G4)))</formula>
    </cfRule>
    <cfRule type="expression" priority="15" dxfId="5">
      <formula>AND(ISNUMBER($G4),$G4&gt;=1,$G4&lt;=20)</formula>
    </cfRule>
    <cfRule type="expression" priority="24" dxfId="5">
      <formula>AND(COUNTA($A4:$C4)&gt;0,$G4="")</formula>
    </cfRule>
  </conditionalFormatting>
  <conditionalFormatting sqref="D4:D2000">
    <cfRule type="expression" priority="3" dxfId="4">
      <formula>AND($D4&lt;&gt;"",$D4&lt;0)</formula>
    </cfRule>
    <cfRule type="expression" priority="6" dxfId="4">
      <formula>AND($D4&lt;&gt;"",NOT(ISNUMBER($D4)))</formula>
    </cfRule>
    <cfRule type="expression" priority="12" dxfId="5">
      <formula>AND(ISNUMBER($D4),$D4&gt;0,$D4&lt;1000)</formula>
    </cfRule>
    <cfRule type="expression" priority="21" dxfId="5">
      <formula>AND(COUNTA($A4:$C4)&gt;0,$D4="")</formula>
    </cfRule>
  </conditionalFormatting>
  <conditionalFormatting sqref="H4:H2000">
    <cfRule type="expression" priority="4" dxfId="4">
      <formula>AND($H4&lt;&gt;"",$H4&lt;0)</formula>
    </cfRule>
    <cfRule type="expression" priority="7" dxfId="4">
      <formula>AND($H4&lt;&gt;"",NOT(ISNUMBER($H4)))</formula>
    </cfRule>
    <cfRule type="expression" priority="13" dxfId="5">
      <formula>AND(ISNUMBER($H4),$H4&gt;0,$H4&lt;1000)</formula>
    </cfRule>
  </conditionalFormatting>
  <conditionalFormatting sqref="I4:I2000">
    <cfRule type="expression" priority="5" dxfId="4">
      <formula>AND($I4&lt;&gt;"",$I4&lt;0)</formula>
    </cfRule>
    <cfRule type="expression" priority="8" dxfId="4">
      <formula>AND($I4&lt;&gt;"",NOT(ISNUMBER($I4)))</formula>
    </cfRule>
    <cfRule type="expression" priority="14" dxfId="5">
      <formula>AND(ISNUMBER($I4),$I4&gt;0,$I4&lt;1000)</formula>
    </cfRule>
  </conditionalFormatting>
  <conditionalFormatting sqref="E4:E2000">
    <cfRule type="expression" priority="10" dxfId="4">
      <formula>AND($E4&lt;&gt;"",NOT(ISNUMBER($E4)))</formula>
    </cfRule>
    <cfRule type="expression" priority="16" dxfId="5">
      <formula>AND(ISNUMBER($E4),$E4&gt;AsAt)</formula>
    </cfRule>
    <cfRule type="expression" priority="22" dxfId="5">
      <formula>AND(COUNTA($A4:$C4)&gt;0,$E4="")</formula>
    </cfRule>
  </conditionalFormatting>
  <conditionalFormatting sqref="B4:B2000">
    <cfRule type="expression" priority="17" dxfId="5">
      <formula>AND(COUNTA($A4:$C4)&gt;0,COUNTIFS($A$4:$A$2000,$A4&amp;"",$B$4:$B$2000,$B4&amp;"",$D$4:$D$2000,$D4&amp;"",$E$4:$E$2000,$E4&amp;"",$F$4:$F$2000,$F4&amp;"",$G$4:$G$2000,$G4&amp;"",$I$4:$I$2000,$I4&amp;"")&gt;1)</formula>
    </cfRule>
    <cfRule type="expression" priority="19" dxfId="5">
      <formula>AND(COUNTA($A4:$C4)&gt;0,$B4="")</formula>
    </cfRule>
  </conditionalFormatting>
  <conditionalFormatting sqref="A4:A2000">
    <cfRule type="expression" priority="18" dxfId="5">
      <formula>AND(COUNTA($A4:$C4)&gt;0,$A4="")</formula>
    </cfRule>
  </conditionalFormatting>
  <conditionalFormatting sqref="C4:C2000">
    <cfRule type="expression" priority="20" dxfId="5">
      <formula>AND(COUNTA($A4:$C4)&gt;0,$C4="")</formula>
    </cfRule>
  </conditionalFormatting>
  <dataValidations count="8">
    <dataValidation sqref="A4:A2000" showDropDown="0" showInputMessage="1" showErrorMessage="0" allowBlank="1" errorTitle="Not on the list" error="Pick one of the list" promptTitle="Type" prompt="Pick a word from the list: the page reads these words exactly." type="list">
      <formula1>=TermTypes</formula1>
    </dataValidation>
    <dataValidation sqref="C4:C2000" showDropDown="0" showInputMessage="1" showErrorMessage="0" allowBlank="1" errorTitle="Not on the list" error="Pick one of the list" promptTitle="Counterparty type" prompt="Pick a word from the list: the page reads these words exactly." type="list">
      <formula1>=CounterpartyTypes</formula1>
    </dataValidation>
    <dataValidation sqref="E4:E2000" showDropDown="0" showInputMessage="1" showErrorMessage="0" allowBlank="1" errorTitle="Not a date" error="Enter a date, as a date" promptTitle="Start date" prompt="A date, typed as a date: 30/09/2026." type="date" operator="greaterThan">
      <formula1>32874</formula1>
    </dataValidation>
    <dataValidation sqref="F4:F2000" showDropDown="0" showInputMessage="1" showErrorMessage="0" allowBlank="1" errorTitle="Not a date" error="Enter a date, as a date" promptTitle="Maturity date" prompt="A date, typed as a date: 30/09/2026." type="date" operator="greaterThan">
      <formula1>32874</formula1>
    </dataValidation>
    <dataValidation sqref="D4:D2000" showDropDown="0" showInputMessage="1" showErrorMessage="0" allowBlank="1" errorTitle="Not an amount" error="An amount, in pounds, not below nought" promptTitle="Principal" prompt="In pounds, not £ millions: 5,000,000 for £5m." type="decimal" operator="greaterThanOrEqual">
      <formula1>0</formula1>
    </dataValidation>
    <dataValidation sqref="H4:H2000" showDropDown="0" showInputMessage="1" showErrorMessage="0" allowBlank="1" errorTitle="Not an amount" error="An amount, in pounds, not below nought" promptTitle="Face value" prompt="In pounds, not £ millions: 5,000,000 for £5m." type="decimal" operator="greaterThanOrEqual">
      <formula1>0</formula1>
    </dataValidation>
    <dataValidation sqref="I4:I2000" showDropDown="0" showInputMessage="1" showErrorMessage="0" allowBlank="1" errorTitle="Not an amount" error="An amount, in pounds, not below nought" promptTitle="Carrying value" prompt="In pounds, not £ millions: 5,000,000 for £5m." type="decimal" operator="greaterThanOrEqual">
      <formula1>0</formula1>
    </dataValidation>
    <dataValidation sqref="G4:G2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s>
  <hyperlinks>
    <hyperlink xmlns:r="http://schemas.openxmlformats.org/officeDocument/2006/relationships" ref="M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4.xml><?xml version="1.0" encoding="utf-8"?>
<worksheet xmlns="http://schemas.openxmlformats.org/spreadsheetml/2006/main">
  <sheetPr>
    <tabColor rgb="000A2540"/>
    <outlinePr summaryBelow="1" summaryRight="1"/>
    <pageSetUpPr fitToPage="1"/>
  </sheetPr>
  <dimension ref="A1:L4"/>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20" customWidth="1" min="3" max="3"/>
    <col width="16" customWidth="1" style="29" min="4" max="4"/>
    <col width="10" customWidth="1" style="31" min="5" max="5"/>
    <col width="12" customWidth="1" style="36" min="6" max="6"/>
    <col width="10" customWidth="1" min="7" max="7"/>
    <col width="16" customWidth="1" style="29" min="8" max="8"/>
    <col width="12" customWidth="1" style="31" min="9" max="9"/>
    <col width="36" customWidth="1" min="10" max="10"/>
    <col width="3" customWidth="1" min="11" max="11"/>
    <col width="36" customWidth="1" min="12" max="12"/>
  </cols>
  <sheetData>
    <row r="1" ht="36" customHeight="1">
      <c r="A1" s="21" t="inlineStr">
        <is>
          <t>Call accounts and MMFs</t>
        </is>
      </c>
      <c r="B1" s="2" t="n"/>
      <c r="C1" s="2" t="n"/>
      <c r="D1" s="2" t="n"/>
      <c r="E1" s="2" t="n"/>
      <c r="F1" s="2" t="n"/>
      <c r="G1" s="2" t="n"/>
      <c r="H1" s="2" t="n"/>
      <c r="I1" s="2" t="n"/>
      <c r="J1" s="22" t="inlineStr">
        <is>
          <t>one row per deal</t>
        </is>
      </c>
      <c r="L1" s="23" t="inlineStr">
        <is>
          <t>◂ Start here</t>
        </is>
      </c>
    </row>
    <row r="2" ht="44" customHeight="1">
      <c r="A2" s="20" t="inlineStr">
        <is>
          <t>Instant-access and notice accounts and money market funds, at their balance on the as-at date — and, over the period on Settings, the average balance held and the average rate earned, which is what the income figures are read from.</t>
        </is>
      </c>
    </row>
    <row r="3" ht="30" customHeight="1">
      <c r="A3" s="32" t="inlineStr">
        <is>
          <t>Type</t>
        </is>
      </c>
      <c r="B3" s="32" t="inlineStr">
        <is>
          <t>Counterparty</t>
        </is>
      </c>
      <c r="C3" s="32" t="inlineStr">
        <is>
          <t>Counterparty type</t>
        </is>
      </c>
      <c r="D3" s="32" t="inlineStr">
        <is>
          <t>Balance</t>
        </is>
      </c>
      <c r="E3" s="32" t="inlineStr">
        <is>
          <t>Rate</t>
        </is>
      </c>
      <c r="F3" s="32" t="inlineStr">
        <is>
          <t>Notice days</t>
        </is>
      </c>
      <c r="G3" s="32" t="inlineStr">
        <is>
          <t>Rating</t>
        </is>
      </c>
      <c r="H3" s="32" t="inlineStr">
        <is>
          <t>Average balance</t>
        </is>
      </c>
      <c r="I3" s="32" t="inlineStr">
        <is>
          <t>Average rate</t>
        </is>
      </c>
      <c r="J3" s="32" t="inlineStr">
        <is>
          <t>Notes</t>
        </is>
      </c>
      <c r="L3" s="26" t="inlineStr">
        <is>
          <t>Example rows: replace them with your own</t>
        </is>
      </c>
    </row>
    <row r="4">
      <c r="A4" s="19" t="n"/>
      <c r="B4" s="19" t="n"/>
      <c r="C4" s="19" t="n"/>
      <c r="D4" s="33" t="n"/>
      <c r="E4" s="35" t="n"/>
      <c r="F4" s="37" t="n"/>
      <c r="G4" s="19" t="n"/>
      <c r="H4" s="33" t="n"/>
      <c r="I4" s="35" t="n"/>
      <c r="J4" s="19" t="n"/>
    </row>
  </sheetData>
  <mergeCells count="1">
    <mergeCell ref="A2:H2"/>
  </mergeCells>
  <conditionalFormatting sqref="E4:E2000">
    <cfRule type="expression" priority="1" dxfId="4">
      <formula>AND($E4&lt;&gt;"",ISNUMBER($E4),OR($E4&lt;0,AND($E4&gt;0.2,$E4&lt;1),$E4&gt;20))</formula>
    </cfRule>
    <cfRule type="expression" priority="8" dxfId="4">
      <formula>AND($E4&lt;&gt;"",NOT(ISNUMBER($E4)))</formula>
    </cfRule>
    <cfRule type="expression" priority="13" dxfId="5">
      <formula>AND(ISNUMBER($E4),$E4&gt;=1,$E4&lt;=20)</formula>
    </cfRule>
    <cfRule type="expression" priority="20" dxfId="5">
      <formula>AND(COUNTA($A4:$C4)&gt;0,$E4="")</formula>
    </cfRule>
  </conditionalFormatting>
  <conditionalFormatting sqref="I4:I2000">
    <cfRule type="expression" priority="2" dxfId="4">
      <formula>AND($I4&lt;&gt;"",ISNUMBER($I4),OR($I4&lt;0,AND($I4&gt;0.2,$I4&lt;1),$I4&gt;20))</formula>
    </cfRule>
    <cfRule type="expression" priority="9" dxfId="4">
      <formula>AND($I4&lt;&gt;"",NOT(ISNUMBER($I4)))</formula>
    </cfRule>
    <cfRule type="expression" priority="14" dxfId="5">
      <formula>AND(ISNUMBER($I4),$I4&gt;=1,$I4&lt;=20)</formula>
    </cfRule>
  </conditionalFormatting>
  <conditionalFormatting sqref="D4:D2000">
    <cfRule type="expression" priority="3" dxfId="4">
      <formula>AND($D4&lt;&gt;"",$D4&lt;0)</formula>
    </cfRule>
    <cfRule type="expression" priority="6" dxfId="4">
      <formula>AND($D4&lt;&gt;"",NOT(ISNUMBER($D4)))</formula>
    </cfRule>
    <cfRule type="expression" priority="11" dxfId="5">
      <formula>AND(ISNUMBER($D4),$D4&gt;0,$D4&lt;1000)</formula>
    </cfRule>
    <cfRule type="expression" priority="19" dxfId="5">
      <formula>AND(COUNTA($A4:$C4)&gt;0,$D4="")</formula>
    </cfRule>
  </conditionalFormatting>
  <conditionalFormatting sqref="H4:H2000">
    <cfRule type="expression" priority="4" dxfId="4">
      <formula>AND($H4&lt;&gt;"",$H4&lt;0)</formula>
    </cfRule>
    <cfRule type="expression" priority="7" dxfId="4">
      <formula>AND($H4&lt;&gt;"",NOT(ISNUMBER($H4)))</formula>
    </cfRule>
    <cfRule type="expression" priority="12" dxfId="5">
      <formula>AND(ISNUMBER($H4),$H4&gt;0,$H4&lt;1000)</formula>
    </cfRule>
  </conditionalFormatting>
  <conditionalFormatting sqref="F4:F2000">
    <cfRule type="expression" priority="5" dxfId="4">
      <formula>AND($F4&lt;&gt;"",$F4&lt;0)</formula>
    </cfRule>
    <cfRule type="expression" priority="10" dxfId="4">
      <formula>AND($F4&lt;&gt;"",NOT(ISNUMBER($F4)))</formula>
    </cfRule>
  </conditionalFormatting>
  <conditionalFormatting sqref="B4:B2000">
    <cfRule type="expression" priority="15" dxfId="5">
      <formula>AND(COUNTA($A4:$C4)&gt;0,COUNTIFS($A$4:$A$2000,$A4&amp;"",$B$4:$B$2000,$B4&amp;"",$D$4:$D$2000,$D4&amp;"",$E$4:$E$2000,$E4&amp;"")&gt;1)</formula>
    </cfRule>
    <cfRule type="expression" priority="17" dxfId="5">
      <formula>AND(COUNTA($A4:$C4)&gt;0,$B4="")</formula>
    </cfRule>
  </conditionalFormatting>
  <conditionalFormatting sqref="A4:A2000">
    <cfRule type="expression" priority="16" dxfId="5">
      <formula>AND(COUNTA($A4:$C4)&gt;0,$A4="")</formula>
    </cfRule>
  </conditionalFormatting>
  <conditionalFormatting sqref="C4:C2000">
    <cfRule type="expression" priority="18" dxfId="5">
      <formula>AND(COUNTA($A4:$C4)&gt;0,$C4="")</formula>
    </cfRule>
  </conditionalFormatting>
  <dataValidations count="7">
    <dataValidation sqref="A4:A2000" showDropDown="0" showInputMessage="1" showErrorMessage="0" allowBlank="1" errorTitle="Not on the list" error="Pick one of the list" promptTitle="Type" prompt="Pick a word from the list: the page reads these words exactly." type="list">
      <formula1>=CallTypes</formula1>
    </dataValidation>
    <dataValidation sqref="C4:C2000" showDropDown="0" showInputMessage="1" showErrorMessage="0" allowBlank="1" errorTitle="Not on the list" error="Pick one of the list" promptTitle="Counterparty type" prompt="Pick a word from the list: the page reads these words exactly." type="list">
      <formula1>=CounterpartyTypes</formula1>
    </dataValidation>
    <dataValidation sqref="D4:D2000" showDropDown="0" showInputMessage="1" showErrorMessage="0" allowBlank="1" errorTitle="Not an amount" error="An amount, in pounds, not below nought" promptTitle="Balance" prompt="In pounds, not £ millions: 5,000,000 for £5m." type="decimal" operator="greaterThanOrEqual">
      <formula1>0</formula1>
    </dataValidation>
    <dataValidation sqref="H4:H2000" showDropDown="0" showInputMessage="1" showErrorMessage="0" allowBlank="1" errorTitle="Not an amount" error="An amount, in pounds, not below nought" promptTitle="Average balance" prompt="In pounds, not £ millions: 5,000,000 for £5m." type="decimal" operator="greaterThanOrEqual">
      <formula1>0</formula1>
    </dataValidation>
    <dataValidation sqref="E4:E2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 sqref="I4:I2000" showDropDown="0" showInputMessage="1" showErrorMessage="0" allowBlank="1" errorTitle="Not a rate" error="A rate between 0% and 20%, entered as a percentage (4.1%) or a fraction (0.041)" promptTitle="Average rate" prompt="As a percentage: 4.10%." type="decimal" operator="between">
      <formula1>0</formula1>
      <formula2>0.2</formula2>
    </dataValidation>
    <dataValidation sqref="F4:F2000" showDropDown="0" showInputMessage="1" showErrorMessage="0" allowBlank="1" errorTitle="Not a number of days" error="Whole days, not below nought" promptTitle="Notice days" prompt="Whole days of notice; blank for instant access." type="whole" operator="greaterThanOrEqual">
      <formula1>0</formula1>
    </dataValidation>
  </dataValidations>
  <hyperlinks>
    <hyperlink xmlns:r="http://schemas.openxmlformats.org/officeDocument/2006/relationships" ref="L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tabColor rgb="000A2540"/>
    <outlinePr summaryBelow="1" summaryRight="1"/>
    <pageSetUpPr fitToPage="1"/>
  </sheetPr>
  <dimension ref="A1:O4"/>
  <sheetViews>
    <sheetView showGridLines="0" workbookViewId="0">
      <pane ySplit="3" topLeftCell="A4" activePane="bottomLeft" state="frozen"/>
      <selection pane="bottomLeft" activeCell="A1" sqref="A1"/>
    </sheetView>
  </sheetViews>
  <sheetFormatPr baseColWidth="8" defaultRowHeight="15"/>
  <cols>
    <col width="22" customWidth="1" min="1" max="1"/>
    <col width="26" customWidth="1" min="2" max="2"/>
    <col width="16" customWidth="1" min="3" max="3"/>
    <col width="16" customWidth="1" style="29" min="4" max="4"/>
    <col width="14" customWidth="1" style="30" min="5" max="5"/>
    <col width="14" customWidth="1" style="30" min="6" max="6"/>
    <col width="10" customWidth="1" style="31" min="7" max="7"/>
    <col width="12" customWidth="1" min="8" max="8"/>
    <col width="13" customWidth="1" min="9" max="9"/>
    <col width="20" customWidth="1" style="30" min="10" max="10"/>
    <col width="14" customWidth="1" min="11" max="11"/>
    <col width="14" customWidth="1" style="30" min="12" max="12"/>
    <col width="36" customWidth="1" min="13" max="13"/>
    <col width="3" customWidth="1" min="14" max="14"/>
    <col width="36" customWidth="1" min="15" max="15"/>
  </cols>
  <sheetData>
    <row r="1" ht="36" customHeight="1">
      <c r="A1" s="21" t="inlineStr">
        <is>
          <t>Loans</t>
        </is>
      </c>
      <c r="B1" s="2" t="n"/>
      <c r="C1" s="2" t="n"/>
      <c r="D1" s="2" t="n"/>
      <c r="E1" s="2" t="n"/>
      <c r="F1" s="2" t="n"/>
      <c r="G1" s="2" t="n"/>
      <c r="H1" s="2" t="n"/>
      <c r="I1" s="2" t="n"/>
      <c r="J1" s="2" t="n"/>
      <c r="K1" s="2" t="n"/>
      <c r="L1" s="2" t="n"/>
      <c r="M1" s="22" t="inlineStr">
        <is>
          <t>one row per deal</t>
        </is>
      </c>
      <c r="O1" s="23" t="inlineStr">
        <is>
          <t>◂ Start here</t>
        </is>
      </c>
    </row>
    <row r="2" ht="44" customHeight="1">
      <c r="A2" s="20" t="inlineStr">
        <is>
          <t>Every loan. Principal is the amount outstanding at the as-at date, or for a loan repaid before it, the amount repaid; keep a repaid loan as history for the activity figures. Profile is Maturity (all repaid at the end), EIP (equal instalments of principal) or Annuity (level payments). Frequency may be left blank: half-yearly, as PWLB loans pay, is assumed. The First repayment date may be left blank: the first payment date after the start, on the cycle that ends at the maturity date, is assumed (a PWLB loan's front-end stub). Fund applies only when Settings says Two pools. Next call date is for LOBOs.</t>
        </is>
      </c>
    </row>
    <row r="3" ht="30" customHeight="1">
      <c r="A3" s="32" t="inlineStr">
        <is>
          <t>Type</t>
        </is>
      </c>
      <c r="B3" s="32" t="inlineStr">
        <is>
          <t>Lender</t>
        </is>
      </c>
      <c r="C3" s="32" t="inlineStr">
        <is>
          <t>Lender type</t>
        </is>
      </c>
      <c r="D3" s="32" t="inlineStr">
        <is>
          <t>Principal</t>
        </is>
      </c>
      <c r="E3" s="32" t="inlineStr">
        <is>
          <t>Start date</t>
        </is>
      </c>
      <c r="F3" s="32" t="inlineStr">
        <is>
          <t>Maturity date</t>
        </is>
      </c>
      <c r="G3" s="32" t="inlineStr">
        <is>
          <t>Rate</t>
        </is>
      </c>
      <c r="H3" s="32" t="inlineStr">
        <is>
          <t>Profile</t>
        </is>
      </c>
      <c r="I3" s="32" t="inlineStr">
        <is>
          <t>Frequency</t>
        </is>
      </c>
      <c r="J3" s="32" t="inlineStr">
        <is>
          <t>First repayment date</t>
        </is>
      </c>
      <c r="K3" s="32" t="inlineStr">
        <is>
          <t>Fund</t>
        </is>
      </c>
      <c r="L3" s="32" t="inlineStr">
        <is>
          <t>Next call date</t>
        </is>
      </c>
      <c r="M3" s="32" t="inlineStr">
        <is>
          <t>Notes</t>
        </is>
      </c>
      <c r="O3" s="26" t="inlineStr">
        <is>
          <t>Example rows: replace them with your own</t>
        </is>
      </c>
    </row>
    <row r="4">
      <c r="A4" s="19" t="n"/>
      <c r="B4" s="19" t="n"/>
      <c r="C4" s="19" t="n"/>
      <c r="D4" s="33" t="n"/>
      <c r="E4" s="34" t="n"/>
      <c r="F4" s="34" t="n"/>
      <c r="G4" s="35" t="n"/>
      <c r="H4" s="19" t="n"/>
      <c r="I4" s="19" t="n"/>
      <c r="J4" s="34" t="n"/>
      <c r="K4" s="19" t="n"/>
      <c r="L4" s="34" t="n"/>
      <c r="M4" s="19" t="n"/>
    </row>
  </sheetData>
  <mergeCells count="1">
    <mergeCell ref="A2:H2"/>
  </mergeCells>
  <conditionalFormatting sqref="F4:F1000">
    <cfRule type="expression" priority="1" dxfId="4">
      <formula>AND($F4&lt;&gt;"",$E4&lt;&gt;"",$F4&lt;=$E4)</formula>
    </cfRule>
    <cfRule type="expression" priority="8" dxfId="4">
      <formula>AND($F4&lt;&gt;"",NOT(ISNUMBER($F4)))</formula>
    </cfRule>
    <cfRule type="expression" priority="21" dxfId="5">
      <formula>AND(COUNTA($A4:$C4)&gt;0,$F4="")</formula>
    </cfRule>
  </conditionalFormatting>
  <conditionalFormatting sqref="G4:G1000">
    <cfRule type="expression" priority="2" dxfId="4">
      <formula>AND($G4&lt;&gt;"",ISNUMBER($G4),OR($G4&lt;0,AND($G4&gt;0.2,$G4&lt;1),$G4&gt;20))</formula>
    </cfRule>
    <cfRule type="expression" priority="6" dxfId="4">
      <formula>AND($G4&lt;&gt;"",NOT(ISNUMBER($G4)))</formula>
    </cfRule>
    <cfRule type="expression" priority="12" dxfId="5">
      <formula>AND(ISNUMBER($G4),$G4&gt;=1,$G4&lt;=20)</formula>
    </cfRule>
    <cfRule type="expression" priority="22" dxfId="5">
      <formula>AND(COUNTA($A4:$C4)&gt;0,$G4="")</formula>
    </cfRule>
  </conditionalFormatting>
  <conditionalFormatting sqref="J4:J1000">
    <cfRule type="expression" priority="3" dxfId="4">
      <formula>AND($J4&lt;&gt;"",OR(AND($F4&lt;&gt;"",$J4&gt;$F4),AND($E4&lt;&gt;"",$J4&lt;=$E4)))</formula>
    </cfRule>
    <cfRule type="expression" priority="9" dxfId="4">
      <formula>AND($J4&lt;&gt;"",NOT(ISNUMBER($J4)))</formula>
    </cfRule>
  </conditionalFormatting>
  <conditionalFormatting sqref="D4:D1000">
    <cfRule type="expression" priority="4" dxfId="4">
      <formula>AND($D4&lt;&gt;"",$D4&lt;0)</formula>
    </cfRule>
    <cfRule type="expression" priority="5" dxfId="4">
      <formula>AND($D4&lt;&gt;"",NOT(ISNUMBER($D4)))</formula>
    </cfRule>
    <cfRule type="expression" priority="11" dxfId="5">
      <formula>AND(ISNUMBER($D4),$D4&gt;0,$D4&lt;1000)</formula>
    </cfRule>
    <cfRule type="expression" priority="19" dxfId="5">
      <formula>AND(COUNTA($A4:$C4)&gt;0,$D4="")</formula>
    </cfRule>
  </conditionalFormatting>
  <conditionalFormatting sqref="E4:E1000">
    <cfRule type="expression" priority="7" dxfId="4">
      <formula>AND($E4&lt;&gt;"",NOT(ISNUMBER($E4)))</formula>
    </cfRule>
    <cfRule type="expression" priority="13" dxfId="5">
      <formula>AND(ISNUMBER($E4),$E4&gt;AsAt)</formula>
    </cfRule>
    <cfRule type="expression" priority="20" dxfId="5">
      <formula>AND(COUNTA($A4:$C4)&gt;0,$E4="")</formula>
    </cfRule>
  </conditionalFormatting>
  <conditionalFormatting sqref="L4:L1000">
    <cfRule type="expression" priority="10" dxfId="4">
      <formula>AND($L4&lt;&gt;"",NOT(ISNUMBER($L4)))</formula>
    </cfRule>
    <cfRule type="expression" priority="14" dxfId="5">
      <formula>AND($L4&lt;&gt;"",OR(TRIM($A4)&lt;&gt;"LOBO",$L4&lt;=AsAt,AND($F4&lt;&gt;"",$L4&gt;=$F4)))</formula>
    </cfRule>
    <cfRule type="expression" priority="24" dxfId="5">
      <formula>AND($A4="LOBO",$L4="")</formula>
    </cfRule>
  </conditionalFormatting>
  <conditionalFormatting sqref="B4:B1000">
    <cfRule type="expression" priority="15" dxfId="5">
      <formula>AND(COUNTA($A4:$C4)&gt;0,COUNTIFS($A$4:$A$1000,$A4&amp;"",$B$4:$B$1000,$B4&amp;"",$D$4:$D$1000,$D4&amp;"",$E$4:$E$1000,$E4&amp;"",$F$4:$F$1000,$F4&amp;"",$G$4:$G$1000,$G4&amp;"")&gt;1)</formula>
    </cfRule>
    <cfRule type="expression" priority="17" dxfId="5">
      <formula>AND(COUNTA($A4:$C4)&gt;0,$B4="")</formula>
    </cfRule>
  </conditionalFormatting>
  <conditionalFormatting sqref="A4:A1000">
    <cfRule type="expression" priority="16" dxfId="5">
      <formula>AND(COUNTA($A4:$C4)&gt;0,$A4="")</formula>
    </cfRule>
  </conditionalFormatting>
  <conditionalFormatting sqref="C4:C1000">
    <cfRule type="expression" priority="18" dxfId="5">
      <formula>AND(COUNTA($A4:$C4)&gt;0,$C4="")</formula>
    </cfRule>
  </conditionalFormatting>
  <conditionalFormatting sqref="H4:H1000">
    <cfRule type="expression" priority="23" dxfId="5">
      <formula>AND(COUNTA($A4:$C4)&gt;0,$H4="")</formula>
    </cfRule>
  </conditionalFormatting>
  <conditionalFormatting sqref="K4:K1000">
    <cfRule type="expression" priority="25" dxfId="5">
      <formula>AND(HRA="Two pools",COUNTA($A4:$C4)&gt;0,$K4="")</formula>
    </cfRule>
    <cfRule type="expression" priority="26" dxfId="6">
      <formula>HRA&lt;&gt;"Two pools"</formula>
    </cfRule>
  </conditionalFormatting>
  <dataValidations count="11">
    <dataValidation sqref="A4:A1000" showDropDown="0" showInputMessage="1" showErrorMessage="0" allowBlank="1" errorTitle="Not on the list" error="Pick one of the list" promptTitle="Type" prompt="Pick a word from the list: the page reads these words exactly." type="list">
      <formula1>=LoanTypes</formula1>
    </dataValidation>
    <dataValidation sqref="C4:C1000" showDropDown="0" showInputMessage="1" showErrorMessage="0" allowBlank="1" errorTitle="Not on the list" error="Pick one of the list" promptTitle="Lender type" prompt="Pick a word from the list: the page reads these words exactly." type="list">
      <formula1>=LenderTypes</formula1>
    </dataValidation>
    <dataValidation sqref="H4:H1000" showDropDown="0" showInputMessage="1" showErrorMessage="0" allowBlank="1" errorTitle="Not on the list" error="Pick one of the list" promptTitle="Profile" prompt="Pick a word from the list: the page reads these words exactly." type="list">
      <formula1>=Profiles</formula1>
    </dataValidation>
    <dataValidation sqref="I4:I1000" showDropDown="0" showInputMessage="1" showErrorMessage="0" allowBlank="1" errorTitle="Not on the list" error="Pick one of the list" promptTitle="Frequency" prompt="Pick a word from the list: the page reads these words exactly." type="list">
      <formula1>=Frequencies</formula1>
    </dataValidation>
    <dataValidation sqref="K4:K1000" showDropDown="0" showInputMessage="1" showErrorMessage="0" allowBlank="1" errorTitle="Not on the list" error="Pick one of the list" promptTitle="Fund" prompt="Pick a word from the list: the page reads these words exactly." type="list">
      <formula1>=Funds</formula1>
    </dataValidation>
    <dataValidation sqref="E4:E1000" showDropDown="0" showInputMessage="1" showErrorMessage="0" allowBlank="1" errorTitle="Not a date" error="Enter a date, as a date" promptTitle="Start date" prompt="A date, typed as a date: 30/09/2026." type="date" operator="greaterThan">
      <formula1>32874</formula1>
    </dataValidation>
    <dataValidation sqref="F4:F1000" showDropDown="0" showInputMessage="1" showErrorMessage="0" allowBlank="1" errorTitle="Not a date" error="Enter a date, as a date" promptTitle="Maturity date" prompt="A date, typed as a date: 30/09/2026." type="date" operator="greaterThan">
      <formula1>32874</formula1>
    </dataValidation>
    <dataValidation sqref="J4:J1000" showDropDown="0" showInputMessage="1" showErrorMessage="0" allowBlank="1" errorTitle="Not a date" error="Enter a date, as a date" promptTitle="First repayment date" prompt="A date, typed as a date: 30/09/2026." type="date" operator="greaterThan">
      <formula1>32874</formula1>
    </dataValidation>
    <dataValidation sqref="L4:L1000" showDropDown="0" showInputMessage="1" showErrorMessage="0" allowBlank="1" errorTitle="Not a date" error="Enter a date, as a date" promptTitle="Next call date" prompt="A date, typed as a date: 30/09/2026." type="date" operator="greaterThan">
      <formula1>32874</formula1>
    </dataValidation>
    <dataValidation sqref="D4:D1000" showDropDown="0" showInputMessage="1" showErrorMessage="0" allowBlank="1" errorTitle="Not an amount" error="An amount, in pounds, not below nought" promptTitle="Principal" prompt="In pounds, not £ millions: 5,000,000 for £5m." type="decimal" operator="greaterThanOrEqual">
      <formula1>0</formula1>
    </dataValidation>
    <dataValidation sqref="G4:G1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s>
  <hyperlinks>
    <hyperlink xmlns:r="http://schemas.openxmlformats.org/officeDocument/2006/relationships" ref="O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tabColor rgb="000A2540"/>
    <outlinePr summaryBelow="1" summaryRight="1"/>
    <pageSetUpPr fitToPage="1"/>
  </sheetPr>
  <dimension ref="A1:K4"/>
  <sheetViews>
    <sheetView showGridLines="0" workbookViewId="0">
      <pane ySplit="3" topLeftCell="A4" activePane="bottomLeft" state="frozen"/>
      <selection pane="bottomLeft" activeCell="A1" sqref="A1"/>
    </sheetView>
  </sheetViews>
  <sheetFormatPr baseColWidth="8" defaultRowHeight="15"/>
  <cols>
    <col width="36" customWidth="1" min="1" max="1"/>
    <col width="16" customWidth="1" min="2" max="2"/>
    <col width="16" customWidth="1" style="29" min="3" max="3"/>
    <col width="16" customWidth="1" style="29" min="4" max="4"/>
    <col width="12" customWidth="1" style="31" min="5" max="5"/>
    <col width="14" customWidth="1" style="30" min="6" max="6"/>
    <col width="16" customWidth="1" style="29" min="7" max="7"/>
    <col width="12" customWidth="1" style="31" min="8" max="8"/>
    <col width="36" customWidth="1" min="9" max="9"/>
    <col width="3" customWidth="1" min="10" max="10"/>
    <col width="36" customWidth="1" min="11" max="11"/>
  </cols>
  <sheetData>
    <row r="1" ht="36" customHeight="1">
      <c r="A1" s="21" t="inlineStr">
        <is>
          <t>Pooled funds</t>
        </is>
      </c>
      <c r="B1" s="2" t="n"/>
      <c r="C1" s="2" t="n"/>
      <c r="D1" s="2" t="n"/>
      <c r="E1" s="2" t="n"/>
      <c r="F1" s="2" t="n"/>
      <c r="G1" s="2" t="n"/>
      <c r="H1" s="2" t="n"/>
      <c r="I1" s="22" t="inlineStr">
        <is>
          <t>one row per deal</t>
        </is>
      </c>
      <c r="K1" s="23" t="inlineStr">
        <is>
          <t>◂ Start here</t>
        </is>
      </c>
    </row>
    <row r="2" ht="44" customHeight="1">
      <c r="A2" s="20" t="inlineStr">
        <is>
          <t>Strategic pooled funds held for the long term: the carrying value, the latest valuation and the current income rate — and, over the period on Settings, the average value and the average income rate.</t>
        </is>
      </c>
    </row>
    <row r="3" ht="30" customHeight="1">
      <c r="A3" s="32" t="inlineStr">
        <is>
          <t>Fund name</t>
        </is>
      </c>
      <c r="B3" s="32" t="inlineStr">
        <is>
          <t>Fund type</t>
        </is>
      </c>
      <c r="C3" s="32" t="inlineStr">
        <is>
          <t>Carrying value</t>
        </is>
      </c>
      <c r="D3" s="32" t="inlineStr">
        <is>
          <t>Latest value</t>
        </is>
      </c>
      <c r="E3" s="32" t="inlineStr">
        <is>
          <t>Current rate</t>
        </is>
      </c>
      <c r="F3" s="32" t="inlineStr">
        <is>
          <t>Purchase date</t>
        </is>
      </c>
      <c r="G3" s="32" t="inlineStr">
        <is>
          <t>Average value</t>
        </is>
      </c>
      <c r="H3" s="32" t="inlineStr">
        <is>
          <t>Average rate</t>
        </is>
      </c>
      <c r="I3" s="32" t="inlineStr">
        <is>
          <t>Notes</t>
        </is>
      </c>
      <c r="K3" s="26" t="inlineStr">
        <is>
          <t>Example rows: replace them with your own</t>
        </is>
      </c>
    </row>
    <row r="4">
      <c r="A4" s="19" t="n"/>
      <c r="B4" s="19" t="n"/>
      <c r="C4" s="33" t="n"/>
      <c r="D4" s="33" t="n"/>
      <c r="E4" s="35" t="n"/>
      <c r="F4" s="34" t="n"/>
      <c r="G4" s="33" t="n"/>
      <c r="H4" s="35" t="n"/>
      <c r="I4" s="19" t="n"/>
    </row>
  </sheetData>
  <mergeCells count="1">
    <mergeCell ref="A2:H2"/>
  </mergeCells>
  <conditionalFormatting sqref="E4:E2000">
    <cfRule type="expression" priority="1" dxfId="4">
      <formula>AND($E4&lt;&gt;"",ISNUMBER($E4),OR($E4&lt;0,AND($E4&gt;0.2,$E4&lt;1),$E4&gt;20))</formula>
    </cfRule>
    <cfRule type="expression" priority="9" dxfId="4">
      <formula>AND($E4&lt;&gt;"",NOT(ISNUMBER($E4)))</formula>
    </cfRule>
    <cfRule type="expression" priority="15" dxfId="5">
      <formula>AND(ISNUMBER($E4),$E4&gt;=1,$E4&lt;=20)</formula>
    </cfRule>
  </conditionalFormatting>
  <conditionalFormatting sqref="H4:H2000">
    <cfRule type="expression" priority="2" dxfId="4">
      <formula>AND($H4&lt;&gt;"",ISNUMBER($H4),OR($H4&lt;0,AND($H4&gt;0.2,$H4&lt;1),$H4&gt;20))</formula>
    </cfRule>
    <cfRule type="expression" priority="10" dxfId="4">
      <formula>AND($H4&lt;&gt;"",NOT(ISNUMBER($H4)))</formula>
    </cfRule>
    <cfRule type="expression" priority="16" dxfId="5">
      <formula>AND(ISNUMBER($H4),$H4&gt;=1,$H4&lt;=20)</formula>
    </cfRule>
  </conditionalFormatting>
  <conditionalFormatting sqref="C4:C2000">
    <cfRule type="expression" priority="3" dxfId="4">
      <formula>AND($C4&lt;&gt;"",$C4&lt;0)</formula>
    </cfRule>
    <cfRule type="expression" priority="6" dxfId="4">
      <formula>AND($C4&lt;&gt;"",NOT(ISNUMBER($C4)))</formula>
    </cfRule>
    <cfRule type="expression" priority="12" dxfId="5">
      <formula>AND(ISNUMBER($C4),$C4&gt;0,$C4&lt;1000)</formula>
    </cfRule>
    <cfRule type="expression" priority="20" dxfId="5">
      <formula>AND(COUNTA($A4:$C4)&gt;0,$C4="")</formula>
    </cfRule>
  </conditionalFormatting>
  <conditionalFormatting sqref="D4:D2000">
    <cfRule type="expression" priority="4" dxfId="4">
      <formula>AND($D4&lt;&gt;"",$D4&lt;0)</formula>
    </cfRule>
    <cfRule type="expression" priority="7" dxfId="4">
      <formula>AND($D4&lt;&gt;"",NOT(ISNUMBER($D4)))</formula>
    </cfRule>
    <cfRule type="expression" priority="13" dxfId="5">
      <formula>AND(ISNUMBER($D4),$D4&gt;0,$D4&lt;1000)</formula>
    </cfRule>
  </conditionalFormatting>
  <conditionalFormatting sqref="G4:G2000">
    <cfRule type="expression" priority="5" dxfId="4">
      <formula>AND($G4&lt;&gt;"",$G4&lt;0)</formula>
    </cfRule>
    <cfRule type="expression" priority="8" dxfId="4">
      <formula>AND($G4&lt;&gt;"",NOT(ISNUMBER($G4)))</formula>
    </cfRule>
    <cfRule type="expression" priority="14" dxfId="5">
      <formula>AND(ISNUMBER($G4),$G4&gt;0,$G4&lt;1000)</formula>
    </cfRule>
  </conditionalFormatting>
  <conditionalFormatting sqref="F4:F2000">
    <cfRule type="expression" priority="11" dxfId="4">
      <formula>AND($F4&lt;&gt;"",NOT(ISNUMBER($F4)))</formula>
    </cfRule>
  </conditionalFormatting>
  <conditionalFormatting sqref="A4:A2000">
    <cfRule type="expression" priority="17" dxfId="5">
      <formula>AND(COUNTA($A4:$C4)&gt;0,COUNTIFS($A$4:$A$2000,$A4&amp;"",$C$4:$C$2000,$C4&amp;"")&gt;1)</formula>
    </cfRule>
    <cfRule type="expression" priority="18" dxfId="5">
      <formula>AND(COUNTA($A4:$C4)&gt;0,$A4="")</formula>
    </cfRule>
  </conditionalFormatting>
  <conditionalFormatting sqref="B4:B2000">
    <cfRule type="expression" priority="19" dxfId="5">
      <formula>AND(COUNTA($A4:$C4)&gt;0,$B4="")</formula>
    </cfRule>
  </conditionalFormatting>
  <dataValidations count="7">
    <dataValidation sqref="B4:B2000" showDropDown="0" showInputMessage="1" showErrorMessage="0" allowBlank="1" errorTitle="Not on the list" error="Pick one of the list" promptTitle="Fund type" prompt="Pick a word from the list: the page reads these words exactly." type="list">
      <formula1>=FundTypes</formula1>
    </dataValidation>
    <dataValidation sqref="F4:F2000" showDropDown="0" showInputMessage="1" showErrorMessage="0" allowBlank="1" errorTitle="Not a date" error="Enter a date, as a date" promptTitle="Purchase date" prompt="A date, typed as a date: 30/09/2026." type="date" operator="greaterThan">
      <formula1>32874</formula1>
    </dataValidation>
    <dataValidation sqref="C4:C2000" showDropDown="0" showInputMessage="1" showErrorMessage="0" allowBlank="1" errorTitle="Not an amount" error="An amount, in pounds, not below nought" promptTitle="Carrying value" prompt="In pounds, not £ millions: 5,000,000 for £5m." type="decimal" operator="greaterThanOrEqual">
      <formula1>0</formula1>
    </dataValidation>
    <dataValidation sqref="D4:D2000" showDropDown="0" showInputMessage="1" showErrorMessage="0" allowBlank="1" errorTitle="Not an amount" error="An amount, in pounds, not below nought" promptTitle="Latest value" prompt="In pounds, not £ millions: 5,000,000 for £5m." type="decimal" operator="greaterThanOrEqual">
      <formula1>0</formula1>
    </dataValidation>
    <dataValidation sqref="G4:G2000" showDropDown="0" showInputMessage="1" showErrorMessage="0" allowBlank="1" errorTitle="Not an amount" error="An amount, in pounds, not below nought" promptTitle="Average value" prompt="In pounds, not £ millions: 5,000,000 for £5m." type="decimal" operator="greaterThanOrEqual">
      <formula1>0</formula1>
    </dataValidation>
    <dataValidation sqref="E4:E2000" showDropDown="0" showInputMessage="1" showErrorMessage="0" allowBlank="1" errorTitle="Not a rate" error="A rate between 0% and 20%, entered as a percentage (4.1%) or a fraction (0.041)" promptTitle="Current rate" prompt="As a percentage: 4.10%." type="decimal" operator="between">
      <formula1>0</formula1>
      <formula2>0.2</formula2>
    </dataValidation>
    <dataValidation sqref="H4:H2000" showDropDown="0" showInputMessage="1" showErrorMessage="0" allowBlank="1" errorTitle="Not a rate" error="A rate between 0% and 20%, entered as a percentage (4.1%) or a fraction (0.041)" promptTitle="Average rate" prompt="As a percentage: 4.10%." type="decimal" operator="between">
      <formula1>0</formula1>
      <formula2>0.2</formula2>
    </dataValidation>
  </dataValidations>
  <hyperlinks>
    <hyperlink xmlns:r="http://schemas.openxmlformats.org/officeDocument/2006/relationships" ref="K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tabColor rgb="000A2540"/>
    <outlinePr summaryBelow="1" summaryRight="1"/>
    <pageSetUpPr fitToPage="1"/>
  </sheetPr>
  <dimension ref="A1:Q113"/>
  <sheetViews>
    <sheetView showGridLines="0" workbookViewId="0">
      <pane xSplit="1" topLeftCell="B1" activePane="topRight" state="frozen"/>
      <selection pane="topRigh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36" customHeight="1">
      <c r="A1" s="21" t="inlineStr">
        <is>
          <t>Projections</t>
        </is>
      </c>
      <c r="B1" s="2" t="n"/>
      <c r="C1" s="2" t="n"/>
      <c r="D1" s="2" t="n"/>
      <c r="E1" s="2" t="n"/>
      <c r="F1" s="2" t="n"/>
      <c r="G1" s="2" t="n"/>
      <c r="H1" s="2" t="n"/>
      <c r="I1" s="2" t="n"/>
      <c r="J1" s="2" t="n"/>
      <c r="K1" s="2" t="n"/>
      <c r="L1" s="2" t="n"/>
      <c r="M1" s="2" t="n"/>
      <c r="N1" s="2" t="n"/>
      <c r="O1" s="22" t="inlineStr">
        <is>
          <t>the report tool's figures grid, in £m</t>
        </is>
      </c>
      <c r="Q1" s="23" t="inlineStr">
        <is>
          <t>◂ Start here</t>
        </is>
      </c>
    </row>
    <row r="2" ht="96" customHeight="1">
      <c r="A2" s="20" t="inlineStr">
        <is>
          <t>Your projection, in £m to one decimal: one row a year, one column a figure, a block for each fund — the report tool's own grid, laid out as its Copy for Excel block. The tool reads this sheet into its projection and locks the grid while this workbook is in use; leave it blank and you type there instead. Leave Existing loan commitments and Existing investment commitments blank to take the run-off of the Loans and investment sheets (the Benchmark sheet and the tool both work it the same way); type a figure to state your own. The budget lines (grey beyond the fifth year) are read for the MTFP only. The HRA block is read when Settings says One pool or Two pools; under One pool its loans, interest payable and the General Fund-only columns are not read, and the inter-fund columns are read only where there are two funds. The year headings are text, as the tool writes them.</t>
        </is>
      </c>
    </row>
    <row r="3"/>
    <row r="4">
      <c r="A4" s="8" t="inlineStr">
        <is>
          <t>General Fund</t>
        </is>
      </c>
      <c r="C4" s="38" t="inlineStr">
        <is>
          <t>read whatever Settings says</t>
        </is>
      </c>
    </row>
    <row r="5" ht="58" customHeight="1">
      <c r="A5" s="39" t="inlineStr">
        <is>
          <t>Year end</t>
        </is>
      </c>
      <c r="B5" s="40" t="inlineStr">
        <is>
          <t>Capital financing requirement</t>
        </is>
      </c>
      <c r="C5" s="40" t="inlineStr">
        <is>
          <t>MRP</t>
        </is>
      </c>
      <c r="D5" s="40" t="inlineStr">
        <is>
          <t>Capital receipts applied</t>
        </is>
      </c>
      <c r="E5" s="40" t="inlineStr">
        <is>
          <t>Other balance sheet items</t>
        </is>
      </c>
      <c r="F5" s="40" t="inlineStr">
        <is>
          <t>Existing loan commitments</t>
        </is>
      </c>
      <c r="G5" s="40" t="inlineStr">
        <is>
          <t>Existing investment commitments</t>
        </is>
      </c>
      <c r="H5" s="40" t="inlineStr">
        <is>
          <t>Liquidity allowance</t>
        </is>
      </c>
      <c r="I5" s="40" t="inlineStr">
        <is>
          <t>Capital expenditure financed by borrowing</t>
        </is>
      </c>
      <c r="J5" s="40" t="inlineStr">
        <is>
          <t>Interest payable</t>
        </is>
      </c>
      <c r="K5" s="40" t="inlineStr">
        <is>
          <t>Interest paid to the HRA</t>
        </is>
      </c>
      <c r="L5" s="40" t="inlineStr">
        <is>
          <t>Interest received from the HRA</t>
        </is>
      </c>
      <c r="M5" s="40" t="inlineStr">
        <is>
          <t>Investment income</t>
        </is>
      </c>
      <c r="N5" s="40" t="inlineStr">
        <is>
          <t>Net revenue stream</t>
        </is>
      </c>
      <c r="O5" s="40" t="inlineStr">
        <is>
          <t>Non-treasury investment income</t>
        </is>
      </c>
      <c r="Q5" s="26" t="inlineStr">
        <is>
          <t>Type your figures in £m, or leave the blocks blank to type them in the tool</t>
        </is>
      </c>
    </row>
    <row r="6">
      <c r="A6" s="41" t="inlineStr">
        <is>
          <t>2025/26 actual</t>
        </is>
      </c>
      <c r="B6" s="42" t="n"/>
      <c r="C6" s="42" t="n"/>
      <c r="D6" s="42" t="n"/>
      <c r="E6" s="42" t="n"/>
      <c r="F6" s="42" t="n"/>
      <c r="G6" s="42" t="n"/>
      <c r="H6" s="42" t="n"/>
      <c r="I6" s="42" t="n"/>
      <c r="J6" s="42" t="n"/>
      <c r="K6" s="42" t="n"/>
      <c r="L6" s="42" t="n"/>
      <c r="M6" s="42" t="n"/>
      <c r="N6" s="42" t="n"/>
      <c r="O6" s="42" t="n"/>
    </row>
    <row r="7">
      <c r="A7" s="43" t="inlineStr">
        <is>
          <t>2026/27</t>
        </is>
      </c>
      <c r="B7" s="42" t="n"/>
      <c r="C7" s="42" t="n"/>
      <c r="D7" s="42" t="n"/>
      <c r="E7" s="42" t="n"/>
      <c r="F7" s="42" t="n"/>
      <c r="G7" s="42" t="n"/>
      <c r="H7" s="42" t="n"/>
      <c r="I7" s="42" t="n"/>
      <c r="J7" s="42" t="n"/>
      <c r="K7" s="42" t="n"/>
      <c r="L7" s="42" t="n"/>
      <c r="M7" s="42" t="n"/>
      <c r="N7" s="42" t="n"/>
      <c r="O7" s="42" t="n"/>
    </row>
    <row r="8">
      <c r="A8" s="43" t="inlineStr">
        <is>
          <t>2027/28</t>
        </is>
      </c>
      <c r="B8" s="42" t="n"/>
      <c r="C8" s="42" t="n"/>
      <c r="D8" s="42" t="n"/>
      <c r="E8" s="42" t="n"/>
      <c r="F8" s="42" t="n"/>
      <c r="G8" s="42" t="n"/>
      <c r="H8" s="42" t="n"/>
      <c r="I8" s="42" t="n"/>
      <c r="J8" s="42" t="n"/>
      <c r="K8" s="42" t="n"/>
      <c r="L8" s="42" t="n"/>
      <c r="M8" s="42" t="n"/>
      <c r="N8" s="42" t="n"/>
      <c r="O8" s="42" t="n"/>
    </row>
    <row r="9">
      <c r="A9" s="43" t="inlineStr">
        <is>
          <t>2028/29</t>
        </is>
      </c>
      <c r="B9" s="42" t="n"/>
      <c r="C9" s="42" t="n"/>
      <c r="D9" s="42" t="n"/>
      <c r="E9" s="42" t="n"/>
      <c r="F9" s="42" t="n"/>
      <c r="G9" s="42" t="n"/>
      <c r="H9" s="42" t="n"/>
      <c r="I9" s="42" t="n"/>
      <c r="J9" s="42" t="n"/>
      <c r="K9" s="42" t="n"/>
      <c r="L9" s="42" t="n"/>
      <c r="M9" s="42" t="n"/>
      <c r="N9" s="42" t="n"/>
      <c r="O9" s="42" t="n"/>
    </row>
    <row r="10">
      <c r="A10" s="43" t="inlineStr">
        <is>
          <t>2029/30</t>
        </is>
      </c>
      <c r="B10" s="42" t="n"/>
      <c r="C10" s="42" t="n"/>
      <c r="D10" s="42" t="n"/>
      <c r="E10" s="42" t="n"/>
      <c r="F10" s="42" t="n"/>
      <c r="G10" s="42" t="n"/>
      <c r="H10" s="42" t="n"/>
      <c r="I10" s="42" t="n"/>
      <c r="J10" s="42" t="n"/>
      <c r="K10" s="42" t="n"/>
      <c r="L10" s="42" t="n"/>
      <c r="M10" s="42" t="n"/>
      <c r="N10" s="42" t="n"/>
      <c r="O10" s="42" t="n"/>
    </row>
    <row r="11">
      <c r="A11" s="43" t="inlineStr">
        <is>
          <t>2030/31</t>
        </is>
      </c>
      <c r="B11" s="42" t="n"/>
      <c r="C11" s="42" t="n"/>
      <c r="D11" s="42" t="n"/>
      <c r="E11" s="42" t="n"/>
      <c r="F11" s="42" t="n"/>
      <c r="G11" s="42" t="n"/>
      <c r="H11" s="42" t="n"/>
      <c r="I11" s="42" t="n"/>
      <c r="J11" s="42" t="n"/>
      <c r="K11" s="42" t="n"/>
      <c r="L11" s="42" t="n"/>
      <c r="M11" s="42" t="n"/>
      <c r="N11" s="42" t="n"/>
      <c r="O11" s="42" t="n"/>
    </row>
    <row r="12">
      <c r="A12" s="43" t="inlineStr">
        <is>
          <t>2031/32</t>
        </is>
      </c>
      <c r="B12" s="42" t="n"/>
      <c r="C12" s="42" t="n"/>
      <c r="D12" s="42" t="n"/>
      <c r="E12" s="42" t="n"/>
      <c r="F12" s="42" t="n"/>
      <c r="G12" s="42" t="n"/>
      <c r="H12" s="42" t="n"/>
      <c r="I12" s="44" t="n"/>
      <c r="J12" s="44" t="n"/>
      <c r="K12" s="44" t="n"/>
      <c r="L12" s="44" t="n"/>
      <c r="M12" s="44" t="n"/>
      <c r="N12" s="44" t="n"/>
      <c r="O12" s="44" t="n"/>
    </row>
    <row r="13">
      <c r="A13" s="43" t="inlineStr">
        <is>
          <t>2032/33</t>
        </is>
      </c>
      <c r="B13" s="42" t="n"/>
      <c r="C13" s="42" t="n"/>
      <c r="D13" s="42" t="n"/>
      <c r="E13" s="42" t="n"/>
      <c r="F13" s="42" t="n"/>
      <c r="G13" s="42" t="n"/>
      <c r="H13" s="42" t="n"/>
      <c r="I13" s="44" t="n"/>
      <c r="J13" s="44" t="n"/>
      <c r="K13" s="44" t="n"/>
      <c r="L13" s="44" t="n"/>
      <c r="M13" s="44" t="n"/>
      <c r="N13" s="44" t="n"/>
      <c r="O13" s="44" t="n"/>
    </row>
    <row r="14">
      <c r="A14" s="43" t="inlineStr">
        <is>
          <t>2033/34</t>
        </is>
      </c>
      <c r="B14" s="42" t="n"/>
      <c r="C14" s="42" t="n"/>
      <c r="D14" s="42" t="n"/>
      <c r="E14" s="42" t="n"/>
      <c r="F14" s="42" t="n"/>
      <c r="G14" s="42" t="n"/>
      <c r="H14" s="42" t="n"/>
      <c r="I14" s="44" t="n"/>
      <c r="J14" s="44" t="n"/>
      <c r="K14" s="44" t="n"/>
      <c r="L14" s="44" t="n"/>
      <c r="M14" s="44" t="n"/>
      <c r="N14" s="44" t="n"/>
      <c r="O14" s="44" t="n"/>
    </row>
    <row r="15">
      <c r="A15" s="43" t="inlineStr">
        <is>
          <t>2034/35</t>
        </is>
      </c>
      <c r="B15" s="42" t="n"/>
      <c r="C15" s="42" t="n"/>
      <c r="D15" s="42" t="n"/>
      <c r="E15" s="42" t="n"/>
      <c r="F15" s="42" t="n"/>
      <c r="G15" s="42" t="n"/>
      <c r="H15" s="42" t="n"/>
      <c r="I15" s="44" t="n"/>
      <c r="J15" s="44" t="n"/>
      <c r="K15" s="44" t="n"/>
      <c r="L15" s="44" t="n"/>
      <c r="M15" s="44" t="n"/>
      <c r="N15" s="44" t="n"/>
      <c r="O15" s="44" t="n"/>
    </row>
    <row r="16">
      <c r="A16" s="43" t="inlineStr">
        <is>
          <t>2035/36</t>
        </is>
      </c>
      <c r="B16" s="42" t="n"/>
      <c r="C16" s="42" t="n"/>
      <c r="D16" s="42" t="n"/>
      <c r="E16" s="42" t="n"/>
      <c r="F16" s="42" t="n"/>
      <c r="G16" s="42" t="n"/>
      <c r="H16" s="42" t="n"/>
      <c r="I16" s="44" t="n"/>
      <c r="J16" s="44" t="n"/>
      <c r="K16" s="44" t="n"/>
      <c r="L16" s="44" t="n"/>
      <c r="M16" s="44" t="n"/>
      <c r="N16" s="44" t="n"/>
      <c r="O16" s="44" t="n"/>
    </row>
    <row r="17">
      <c r="A17" s="43" t="inlineStr">
        <is>
          <t>2036/37</t>
        </is>
      </c>
      <c r="B17" s="42" t="n"/>
      <c r="C17" s="42" t="n"/>
      <c r="D17" s="42" t="n"/>
      <c r="E17" s="42" t="n"/>
      <c r="F17" s="42" t="n"/>
      <c r="G17" s="42" t="n"/>
      <c r="H17" s="42" t="n"/>
      <c r="I17" s="44" t="n"/>
      <c r="J17" s="44" t="n"/>
      <c r="K17" s="44" t="n"/>
      <c r="L17" s="44" t="n"/>
      <c r="M17" s="44" t="n"/>
      <c r="N17" s="44" t="n"/>
      <c r="O17" s="44" t="n"/>
    </row>
    <row r="18">
      <c r="A18" s="43" t="inlineStr">
        <is>
          <t>2037/38</t>
        </is>
      </c>
      <c r="B18" s="42" t="n"/>
      <c r="C18" s="42" t="n"/>
      <c r="D18" s="42" t="n"/>
      <c r="E18" s="42" t="n"/>
      <c r="F18" s="42" t="n"/>
      <c r="G18" s="42" t="n"/>
      <c r="H18" s="42" t="n"/>
      <c r="I18" s="44" t="n"/>
      <c r="J18" s="44" t="n"/>
      <c r="K18" s="44" t="n"/>
      <c r="L18" s="44" t="n"/>
      <c r="M18" s="44" t="n"/>
      <c r="N18" s="44" t="n"/>
      <c r="O18" s="44" t="n"/>
    </row>
    <row r="19">
      <c r="A19" s="43" t="inlineStr">
        <is>
          <t>2038/39</t>
        </is>
      </c>
      <c r="B19" s="42" t="n"/>
      <c r="C19" s="42" t="n"/>
      <c r="D19" s="42" t="n"/>
      <c r="E19" s="42" t="n"/>
      <c r="F19" s="42" t="n"/>
      <c r="G19" s="42" t="n"/>
      <c r="H19" s="42" t="n"/>
      <c r="I19" s="44" t="n"/>
      <c r="J19" s="44" t="n"/>
      <c r="K19" s="44" t="n"/>
      <c r="L19" s="44" t="n"/>
      <c r="M19" s="44" t="n"/>
      <c r="N19" s="44" t="n"/>
      <c r="O19" s="44" t="n"/>
    </row>
    <row r="20">
      <c r="A20" s="43" t="inlineStr">
        <is>
          <t>2039/40</t>
        </is>
      </c>
      <c r="B20" s="42" t="n"/>
      <c r="C20" s="42" t="n"/>
      <c r="D20" s="42" t="n"/>
      <c r="E20" s="42" t="n"/>
      <c r="F20" s="42" t="n"/>
      <c r="G20" s="42" t="n"/>
      <c r="H20" s="42" t="n"/>
      <c r="I20" s="44" t="n"/>
      <c r="J20" s="44" t="n"/>
      <c r="K20" s="44" t="n"/>
      <c r="L20" s="44" t="n"/>
      <c r="M20" s="44" t="n"/>
      <c r="N20" s="44" t="n"/>
      <c r="O20" s="44" t="n"/>
    </row>
    <row r="21">
      <c r="A21" s="43" t="inlineStr">
        <is>
          <t>2040/41</t>
        </is>
      </c>
      <c r="B21" s="42" t="n"/>
      <c r="C21" s="42" t="n"/>
      <c r="D21" s="42" t="n"/>
      <c r="E21" s="42" t="n"/>
      <c r="F21" s="42" t="n"/>
      <c r="G21" s="42" t="n"/>
      <c r="H21" s="42" t="n"/>
      <c r="I21" s="44" t="n"/>
      <c r="J21" s="44" t="n"/>
      <c r="K21" s="44" t="n"/>
      <c r="L21" s="44" t="n"/>
      <c r="M21" s="44" t="n"/>
      <c r="N21" s="44" t="n"/>
      <c r="O21" s="44" t="n"/>
    </row>
    <row r="22">
      <c r="A22" s="43" t="inlineStr">
        <is>
          <t>2041/42</t>
        </is>
      </c>
      <c r="B22" s="42" t="n"/>
      <c r="C22" s="42" t="n"/>
      <c r="D22" s="42" t="n"/>
      <c r="E22" s="42" t="n"/>
      <c r="F22" s="42" t="n"/>
      <c r="G22" s="42" t="n"/>
      <c r="H22" s="42" t="n"/>
      <c r="I22" s="44" t="n"/>
      <c r="J22" s="44" t="n"/>
      <c r="K22" s="44" t="n"/>
      <c r="L22" s="44" t="n"/>
      <c r="M22" s="44" t="n"/>
      <c r="N22" s="44" t="n"/>
      <c r="O22" s="44" t="n"/>
    </row>
    <row r="23">
      <c r="A23" s="43" t="inlineStr">
        <is>
          <t>2042/43</t>
        </is>
      </c>
      <c r="B23" s="42" t="n"/>
      <c r="C23" s="42" t="n"/>
      <c r="D23" s="42" t="n"/>
      <c r="E23" s="42" t="n"/>
      <c r="F23" s="42" t="n"/>
      <c r="G23" s="42" t="n"/>
      <c r="H23" s="42" t="n"/>
      <c r="I23" s="44" t="n"/>
      <c r="J23" s="44" t="n"/>
      <c r="K23" s="44" t="n"/>
      <c r="L23" s="44" t="n"/>
      <c r="M23" s="44" t="n"/>
      <c r="N23" s="44" t="n"/>
      <c r="O23" s="44" t="n"/>
    </row>
    <row r="24">
      <c r="A24" s="43" t="inlineStr">
        <is>
          <t>2043/44</t>
        </is>
      </c>
      <c r="B24" s="42" t="n"/>
      <c r="C24" s="42" t="n"/>
      <c r="D24" s="42" t="n"/>
      <c r="E24" s="42" t="n"/>
      <c r="F24" s="42" t="n"/>
      <c r="G24" s="42" t="n"/>
      <c r="H24" s="42" t="n"/>
      <c r="I24" s="44" t="n"/>
      <c r="J24" s="44" t="n"/>
      <c r="K24" s="44" t="n"/>
      <c r="L24" s="44" t="n"/>
      <c r="M24" s="44" t="n"/>
      <c r="N24" s="44" t="n"/>
      <c r="O24" s="44" t="n"/>
    </row>
    <row r="25">
      <c r="A25" s="43" t="inlineStr">
        <is>
          <t>2044/45</t>
        </is>
      </c>
      <c r="B25" s="42" t="n"/>
      <c r="C25" s="42" t="n"/>
      <c r="D25" s="42" t="n"/>
      <c r="E25" s="42" t="n"/>
      <c r="F25" s="42" t="n"/>
      <c r="G25" s="42" t="n"/>
      <c r="H25" s="42" t="n"/>
      <c r="I25" s="44" t="n"/>
      <c r="J25" s="44" t="n"/>
      <c r="K25" s="44" t="n"/>
      <c r="L25" s="44" t="n"/>
      <c r="M25" s="44" t="n"/>
      <c r="N25" s="44" t="n"/>
      <c r="O25" s="44" t="n"/>
    </row>
    <row r="26">
      <c r="A26" s="43" t="inlineStr">
        <is>
          <t>2045/46</t>
        </is>
      </c>
      <c r="B26" s="42" t="n"/>
      <c r="C26" s="42" t="n"/>
      <c r="D26" s="42" t="n"/>
      <c r="E26" s="42" t="n"/>
      <c r="F26" s="42" t="n"/>
      <c r="G26" s="42" t="n"/>
      <c r="H26" s="42" t="n"/>
      <c r="I26" s="44" t="n"/>
      <c r="J26" s="44" t="n"/>
      <c r="K26" s="44" t="n"/>
      <c r="L26" s="44" t="n"/>
      <c r="M26" s="44" t="n"/>
      <c r="N26" s="44" t="n"/>
      <c r="O26" s="44" t="n"/>
    </row>
    <row r="27">
      <c r="A27" s="43" t="inlineStr">
        <is>
          <t>2046/47</t>
        </is>
      </c>
      <c r="B27" s="42" t="n"/>
      <c r="C27" s="42" t="n"/>
      <c r="D27" s="42" t="n"/>
      <c r="E27" s="42" t="n"/>
      <c r="F27" s="42" t="n"/>
      <c r="G27" s="42" t="n"/>
      <c r="H27" s="42" t="n"/>
      <c r="I27" s="44" t="n"/>
      <c r="J27" s="44" t="n"/>
      <c r="K27" s="44" t="n"/>
      <c r="L27" s="44" t="n"/>
      <c r="M27" s="44" t="n"/>
      <c r="N27" s="44" t="n"/>
      <c r="O27" s="44" t="n"/>
    </row>
    <row r="28">
      <c r="A28" s="43" t="inlineStr">
        <is>
          <t>2047/48</t>
        </is>
      </c>
      <c r="B28" s="42" t="n"/>
      <c r="C28" s="42" t="n"/>
      <c r="D28" s="42" t="n"/>
      <c r="E28" s="42" t="n"/>
      <c r="F28" s="42" t="n"/>
      <c r="G28" s="42" t="n"/>
      <c r="H28" s="42" t="n"/>
      <c r="I28" s="44" t="n"/>
      <c r="J28" s="44" t="n"/>
      <c r="K28" s="44" t="n"/>
      <c r="L28" s="44" t="n"/>
      <c r="M28" s="44" t="n"/>
      <c r="N28" s="44" t="n"/>
      <c r="O28" s="44" t="n"/>
    </row>
    <row r="29">
      <c r="A29" s="43" t="inlineStr">
        <is>
          <t>2048/49</t>
        </is>
      </c>
      <c r="B29" s="42" t="n"/>
      <c r="C29" s="42" t="n"/>
      <c r="D29" s="42" t="n"/>
      <c r="E29" s="42" t="n"/>
      <c r="F29" s="42" t="n"/>
      <c r="G29" s="42" t="n"/>
      <c r="H29" s="42" t="n"/>
      <c r="I29" s="44" t="n"/>
      <c r="J29" s="44" t="n"/>
      <c r="K29" s="44" t="n"/>
      <c r="L29" s="44" t="n"/>
      <c r="M29" s="44" t="n"/>
      <c r="N29" s="44" t="n"/>
      <c r="O29" s="44" t="n"/>
    </row>
    <row r="30">
      <c r="A30" s="43" t="inlineStr">
        <is>
          <t>2049/50</t>
        </is>
      </c>
      <c r="B30" s="42" t="n"/>
      <c r="C30" s="42" t="n"/>
      <c r="D30" s="42" t="n"/>
      <c r="E30" s="42" t="n"/>
      <c r="F30" s="42" t="n"/>
      <c r="G30" s="42" t="n"/>
      <c r="H30" s="42" t="n"/>
      <c r="I30" s="44" t="n"/>
      <c r="J30" s="44" t="n"/>
      <c r="K30" s="44" t="n"/>
      <c r="L30" s="44" t="n"/>
      <c r="M30" s="44" t="n"/>
      <c r="N30" s="44" t="n"/>
      <c r="O30" s="44" t="n"/>
    </row>
    <row r="31">
      <c r="A31" s="43" t="inlineStr">
        <is>
          <t>2050/51</t>
        </is>
      </c>
      <c r="B31" s="42" t="n"/>
      <c r="C31" s="42" t="n"/>
      <c r="D31" s="42" t="n"/>
      <c r="E31" s="42" t="n"/>
      <c r="F31" s="42" t="n"/>
      <c r="G31" s="42" t="n"/>
      <c r="H31" s="42" t="n"/>
      <c r="I31" s="44" t="n"/>
      <c r="J31" s="44" t="n"/>
      <c r="K31" s="44" t="n"/>
      <c r="L31" s="44" t="n"/>
      <c r="M31" s="44" t="n"/>
      <c r="N31" s="44" t="n"/>
      <c r="O31" s="44" t="n"/>
    </row>
    <row r="32">
      <c r="A32" s="43" t="inlineStr">
        <is>
          <t>2051/52</t>
        </is>
      </c>
      <c r="B32" s="42" t="n"/>
      <c r="C32" s="42" t="n"/>
      <c r="D32" s="42" t="n"/>
      <c r="E32" s="42" t="n"/>
      <c r="F32" s="42" t="n"/>
      <c r="G32" s="42" t="n"/>
      <c r="H32" s="42" t="n"/>
      <c r="I32" s="44" t="n"/>
      <c r="J32" s="44" t="n"/>
      <c r="K32" s="44" t="n"/>
      <c r="L32" s="44" t="n"/>
      <c r="M32" s="44" t="n"/>
      <c r="N32" s="44" t="n"/>
      <c r="O32" s="44" t="n"/>
    </row>
    <row r="33">
      <c r="A33" s="43" t="inlineStr">
        <is>
          <t>2052/53</t>
        </is>
      </c>
      <c r="B33" s="42" t="n"/>
      <c r="C33" s="42" t="n"/>
      <c r="D33" s="42" t="n"/>
      <c r="E33" s="42" t="n"/>
      <c r="F33" s="42" t="n"/>
      <c r="G33" s="42" t="n"/>
      <c r="H33" s="42" t="n"/>
      <c r="I33" s="44" t="n"/>
      <c r="J33" s="44" t="n"/>
      <c r="K33" s="44" t="n"/>
      <c r="L33" s="44" t="n"/>
      <c r="M33" s="44" t="n"/>
      <c r="N33" s="44" t="n"/>
      <c r="O33" s="44" t="n"/>
    </row>
    <row r="34">
      <c r="A34" s="43" t="inlineStr">
        <is>
          <t>2053/54</t>
        </is>
      </c>
      <c r="B34" s="42" t="n"/>
      <c r="C34" s="42" t="n"/>
      <c r="D34" s="42" t="n"/>
      <c r="E34" s="42" t="n"/>
      <c r="F34" s="42" t="n"/>
      <c r="G34" s="42" t="n"/>
      <c r="H34" s="42" t="n"/>
      <c r="I34" s="44" t="n"/>
      <c r="J34" s="44" t="n"/>
      <c r="K34" s="44" t="n"/>
      <c r="L34" s="44" t="n"/>
      <c r="M34" s="44" t="n"/>
      <c r="N34" s="44" t="n"/>
      <c r="O34" s="44" t="n"/>
    </row>
    <row r="35">
      <c r="A35" s="43" t="inlineStr">
        <is>
          <t>2054/55</t>
        </is>
      </c>
      <c r="B35" s="42" t="n"/>
      <c r="C35" s="42" t="n"/>
      <c r="D35" s="42" t="n"/>
      <c r="E35" s="42" t="n"/>
      <c r="F35" s="42" t="n"/>
      <c r="G35" s="42" t="n"/>
      <c r="H35" s="42" t="n"/>
      <c r="I35" s="44" t="n"/>
      <c r="J35" s="44" t="n"/>
      <c r="K35" s="44" t="n"/>
      <c r="L35" s="44" t="n"/>
      <c r="M35" s="44" t="n"/>
      <c r="N35" s="44" t="n"/>
      <c r="O35" s="44" t="n"/>
    </row>
    <row r="36">
      <c r="A36" s="43" t="inlineStr">
        <is>
          <t>2055/56</t>
        </is>
      </c>
      <c r="B36" s="42" t="n"/>
      <c r="C36" s="42" t="n"/>
      <c r="D36" s="42" t="n"/>
      <c r="E36" s="42" t="n"/>
      <c r="F36" s="42" t="n"/>
      <c r="G36" s="42" t="n"/>
      <c r="H36" s="42" t="n"/>
      <c r="I36" s="44" t="n"/>
      <c r="J36" s="44" t="n"/>
      <c r="K36" s="44" t="n"/>
      <c r="L36" s="44" t="n"/>
      <c r="M36" s="44" t="n"/>
      <c r="N36" s="44" t="n"/>
      <c r="O36" s="44" t="n"/>
    </row>
    <row r="37">
      <c r="A37" s="43" t="inlineStr">
        <is>
          <t>2056/57</t>
        </is>
      </c>
      <c r="B37" s="42" t="n"/>
      <c r="C37" s="42" t="n"/>
      <c r="D37" s="42" t="n"/>
      <c r="E37" s="42" t="n"/>
      <c r="F37" s="42" t="n"/>
      <c r="G37" s="42" t="n"/>
      <c r="H37" s="42" t="n"/>
      <c r="I37" s="44" t="n"/>
      <c r="J37" s="44" t="n"/>
      <c r="K37" s="44" t="n"/>
      <c r="L37" s="44" t="n"/>
      <c r="M37" s="44" t="n"/>
      <c r="N37" s="44" t="n"/>
      <c r="O37" s="44" t="n"/>
    </row>
    <row r="38">
      <c r="A38" s="43" t="inlineStr">
        <is>
          <t>2057/58</t>
        </is>
      </c>
      <c r="B38" s="42" t="n"/>
      <c r="C38" s="42" t="n"/>
      <c r="D38" s="42" t="n"/>
      <c r="E38" s="42" t="n"/>
      <c r="F38" s="42" t="n"/>
      <c r="G38" s="42" t="n"/>
      <c r="H38" s="42" t="n"/>
      <c r="I38" s="44" t="n"/>
      <c r="J38" s="44" t="n"/>
      <c r="K38" s="44" t="n"/>
      <c r="L38" s="44" t="n"/>
      <c r="M38" s="44" t="n"/>
      <c r="N38" s="44" t="n"/>
      <c r="O38" s="44" t="n"/>
    </row>
    <row r="39">
      <c r="A39" s="43" t="inlineStr">
        <is>
          <t>2058/59</t>
        </is>
      </c>
      <c r="B39" s="42" t="n"/>
      <c r="C39" s="42" t="n"/>
      <c r="D39" s="42" t="n"/>
      <c r="E39" s="42" t="n"/>
      <c r="F39" s="42" t="n"/>
      <c r="G39" s="42" t="n"/>
      <c r="H39" s="42" t="n"/>
      <c r="I39" s="44" t="n"/>
      <c r="J39" s="44" t="n"/>
      <c r="K39" s="44" t="n"/>
      <c r="L39" s="44" t="n"/>
      <c r="M39" s="44" t="n"/>
      <c r="N39" s="44" t="n"/>
      <c r="O39" s="44" t="n"/>
    </row>
    <row r="40">
      <c r="A40" s="43" t="inlineStr">
        <is>
          <t>2059/60</t>
        </is>
      </c>
      <c r="B40" s="42" t="n"/>
      <c r="C40" s="42" t="n"/>
      <c r="D40" s="42" t="n"/>
      <c r="E40" s="42" t="n"/>
      <c r="F40" s="42" t="n"/>
      <c r="G40" s="42" t="n"/>
      <c r="H40" s="42" t="n"/>
      <c r="I40" s="44" t="n"/>
      <c r="J40" s="44" t="n"/>
      <c r="K40" s="44" t="n"/>
      <c r="L40" s="44" t="n"/>
      <c r="M40" s="44" t="n"/>
      <c r="N40" s="44" t="n"/>
      <c r="O40" s="44" t="n"/>
    </row>
    <row r="41">
      <c r="A41" s="43" t="inlineStr">
        <is>
          <t>2060/61</t>
        </is>
      </c>
      <c r="B41" s="42" t="n"/>
      <c r="C41" s="42" t="n"/>
      <c r="D41" s="42" t="n"/>
      <c r="E41" s="42" t="n"/>
      <c r="F41" s="42" t="n"/>
      <c r="G41" s="42" t="n"/>
      <c r="H41" s="42" t="n"/>
      <c r="I41" s="44" t="n"/>
      <c r="J41" s="44" t="n"/>
      <c r="K41" s="44" t="n"/>
      <c r="L41" s="44" t="n"/>
      <c r="M41" s="44" t="n"/>
      <c r="N41" s="44" t="n"/>
      <c r="O41" s="44" t="n"/>
    </row>
    <row r="42">
      <c r="A42" s="43" t="inlineStr">
        <is>
          <t>2061/62</t>
        </is>
      </c>
      <c r="B42" s="42" t="n"/>
      <c r="C42" s="42" t="n"/>
      <c r="D42" s="42" t="n"/>
      <c r="E42" s="42" t="n"/>
      <c r="F42" s="42" t="n"/>
      <c r="G42" s="42" t="n"/>
      <c r="H42" s="42" t="n"/>
      <c r="I42" s="44" t="n"/>
      <c r="J42" s="44" t="n"/>
      <c r="K42" s="44" t="n"/>
      <c r="L42" s="44" t="n"/>
      <c r="M42" s="44" t="n"/>
      <c r="N42" s="44" t="n"/>
      <c r="O42" s="44" t="n"/>
    </row>
    <row r="43">
      <c r="A43" s="43" t="inlineStr">
        <is>
          <t>2062/63</t>
        </is>
      </c>
      <c r="B43" s="42" t="n"/>
      <c r="C43" s="42" t="n"/>
      <c r="D43" s="42" t="n"/>
      <c r="E43" s="42" t="n"/>
      <c r="F43" s="42" t="n"/>
      <c r="G43" s="42" t="n"/>
      <c r="H43" s="42" t="n"/>
      <c r="I43" s="44" t="n"/>
      <c r="J43" s="44" t="n"/>
      <c r="K43" s="44" t="n"/>
      <c r="L43" s="44" t="n"/>
      <c r="M43" s="44" t="n"/>
      <c r="N43" s="44" t="n"/>
      <c r="O43" s="44" t="n"/>
    </row>
    <row r="44">
      <c r="A44" s="43" t="inlineStr">
        <is>
          <t>2063/64</t>
        </is>
      </c>
      <c r="B44" s="42" t="n"/>
      <c r="C44" s="42" t="n"/>
      <c r="D44" s="42" t="n"/>
      <c r="E44" s="42" t="n"/>
      <c r="F44" s="42" t="n"/>
      <c r="G44" s="42" t="n"/>
      <c r="H44" s="42" t="n"/>
      <c r="I44" s="44" t="n"/>
      <c r="J44" s="44" t="n"/>
      <c r="K44" s="44" t="n"/>
      <c r="L44" s="44" t="n"/>
      <c r="M44" s="44" t="n"/>
      <c r="N44" s="44" t="n"/>
      <c r="O44" s="44" t="n"/>
    </row>
    <row r="45">
      <c r="A45" s="43" t="inlineStr">
        <is>
          <t>2064/65</t>
        </is>
      </c>
      <c r="B45" s="42" t="n"/>
      <c r="C45" s="42" t="n"/>
      <c r="D45" s="42" t="n"/>
      <c r="E45" s="42" t="n"/>
      <c r="F45" s="42" t="n"/>
      <c r="G45" s="42" t="n"/>
      <c r="H45" s="42" t="n"/>
      <c r="I45" s="44" t="n"/>
      <c r="J45" s="44" t="n"/>
      <c r="K45" s="44" t="n"/>
      <c r="L45" s="44" t="n"/>
      <c r="M45" s="44" t="n"/>
      <c r="N45" s="44" t="n"/>
      <c r="O45" s="44" t="n"/>
    </row>
    <row r="46">
      <c r="A46" s="43" t="inlineStr">
        <is>
          <t>2065/66</t>
        </is>
      </c>
      <c r="B46" s="42" t="n"/>
      <c r="C46" s="42" t="n"/>
      <c r="D46" s="42" t="n"/>
      <c r="E46" s="42" t="n"/>
      <c r="F46" s="42" t="n"/>
      <c r="G46" s="42" t="n"/>
      <c r="H46" s="42" t="n"/>
      <c r="I46" s="44" t="n"/>
      <c r="J46" s="44" t="n"/>
      <c r="K46" s="44" t="n"/>
      <c r="L46" s="44" t="n"/>
      <c r="M46" s="44" t="n"/>
      <c r="N46" s="44" t="n"/>
      <c r="O46" s="44" t="n"/>
    </row>
    <row r="47">
      <c r="A47" s="43" t="inlineStr">
        <is>
          <t>2066/67</t>
        </is>
      </c>
      <c r="B47" s="42" t="n"/>
      <c r="C47" s="42" t="n"/>
      <c r="D47" s="42" t="n"/>
      <c r="E47" s="42" t="n"/>
      <c r="F47" s="42" t="n"/>
      <c r="G47" s="42" t="n"/>
      <c r="H47" s="42" t="n"/>
      <c r="I47" s="44" t="n"/>
      <c r="J47" s="44" t="n"/>
      <c r="K47" s="44" t="n"/>
      <c r="L47" s="44" t="n"/>
      <c r="M47" s="44" t="n"/>
      <c r="N47" s="44" t="n"/>
      <c r="O47" s="44" t="n"/>
    </row>
    <row r="48">
      <c r="A48" s="43" t="inlineStr">
        <is>
          <t>2067/68</t>
        </is>
      </c>
      <c r="B48" s="42" t="n"/>
      <c r="C48" s="42" t="n"/>
      <c r="D48" s="42" t="n"/>
      <c r="E48" s="42" t="n"/>
      <c r="F48" s="42" t="n"/>
      <c r="G48" s="42" t="n"/>
      <c r="H48" s="42" t="n"/>
      <c r="I48" s="44" t="n"/>
      <c r="J48" s="44" t="n"/>
      <c r="K48" s="44" t="n"/>
      <c r="L48" s="44" t="n"/>
      <c r="M48" s="44" t="n"/>
      <c r="N48" s="44" t="n"/>
      <c r="O48" s="44" t="n"/>
    </row>
    <row r="49">
      <c r="A49" s="43" t="inlineStr">
        <is>
          <t>2068/69</t>
        </is>
      </c>
      <c r="B49" s="42" t="n"/>
      <c r="C49" s="42" t="n"/>
      <c r="D49" s="42" t="n"/>
      <c r="E49" s="42" t="n"/>
      <c r="F49" s="42" t="n"/>
      <c r="G49" s="42" t="n"/>
      <c r="H49" s="42" t="n"/>
      <c r="I49" s="44" t="n"/>
      <c r="J49" s="44" t="n"/>
      <c r="K49" s="44" t="n"/>
      <c r="L49" s="44" t="n"/>
      <c r="M49" s="44" t="n"/>
      <c r="N49" s="44" t="n"/>
      <c r="O49" s="44" t="n"/>
    </row>
    <row r="50">
      <c r="A50" s="43" t="inlineStr">
        <is>
          <t>2069/70</t>
        </is>
      </c>
      <c r="B50" s="42" t="n"/>
      <c r="C50" s="42" t="n"/>
      <c r="D50" s="42" t="n"/>
      <c r="E50" s="42" t="n"/>
      <c r="F50" s="42" t="n"/>
      <c r="G50" s="42" t="n"/>
      <c r="H50" s="42" t="n"/>
      <c r="I50" s="44" t="n"/>
      <c r="J50" s="44" t="n"/>
      <c r="K50" s="44" t="n"/>
      <c r="L50" s="44" t="n"/>
      <c r="M50" s="44" t="n"/>
      <c r="N50" s="44" t="n"/>
      <c r="O50" s="44" t="n"/>
    </row>
    <row r="51">
      <c r="A51" s="43" t="inlineStr">
        <is>
          <t>2070/71</t>
        </is>
      </c>
      <c r="B51" s="42" t="n"/>
      <c r="C51" s="42" t="n"/>
      <c r="D51" s="42" t="n"/>
      <c r="E51" s="42" t="n"/>
      <c r="F51" s="42" t="n"/>
      <c r="G51" s="42" t="n"/>
      <c r="H51" s="42" t="n"/>
      <c r="I51" s="44" t="n"/>
      <c r="J51" s="44" t="n"/>
      <c r="K51" s="44" t="n"/>
      <c r="L51" s="44" t="n"/>
      <c r="M51" s="44" t="n"/>
      <c r="N51" s="44" t="n"/>
      <c r="O51" s="44" t="n"/>
    </row>
    <row r="52">
      <c r="A52" s="43" t="inlineStr">
        <is>
          <t>2071/72</t>
        </is>
      </c>
      <c r="B52" s="42" t="n"/>
      <c r="C52" s="42" t="n"/>
      <c r="D52" s="42" t="n"/>
      <c r="E52" s="42" t="n"/>
      <c r="F52" s="42" t="n"/>
      <c r="G52" s="42" t="n"/>
      <c r="H52" s="42" t="n"/>
      <c r="I52" s="44" t="n"/>
      <c r="J52" s="44" t="n"/>
      <c r="K52" s="44" t="n"/>
      <c r="L52" s="44" t="n"/>
      <c r="M52" s="44" t="n"/>
      <c r="N52" s="44" t="n"/>
      <c r="O52" s="44" t="n"/>
    </row>
    <row r="53">
      <c r="A53" s="43" t="inlineStr">
        <is>
          <t>2072/73</t>
        </is>
      </c>
      <c r="B53" s="42" t="n"/>
      <c r="C53" s="42" t="n"/>
      <c r="D53" s="42" t="n"/>
      <c r="E53" s="42" t="n"/>
      <c r="F53" s="42" t="n"/>
      <c r="G53" s="42" t="n"/>
      <c r="H53" s="42" t="n"/>
      <c r="I53" s="44" t="n"/>
      <c r="J53" s="44" t="n"/>
      <c r="K53" s="44" t="n"/>
      <c r="L53" s="44" t="n"/>
      <c r="M53" s="44" t="n"/>
      <c r="N53" s="44" t="n"/>
      <c r="O53" s="44" t="n"/>
    </row>
    <row r="54">
      <c r="A54" s="43" t="inlineStr">
        <is>
          <t>2073/74</t>
        </is>
      </c>
      <c r="B54" s="42" t="n"/>
      <c r="C54" s="42" t="n"/>
      <c r="D54" s="42" t="n"/>
      <c r="E54" s="42" t="n"/>
      <c r="F54" s="42" t="n"/>
      <c r="G54" s="42" t="n"/>
      <c r="H54" s="42" t="n"/>
      <c r="I54" s="44" t="n"/>
      <c r="J54" s="44" t="n"/>
      <c r="K54" s="44" t="n"/>
      <c r="L54" s="44" t="n"/>
      <c r="M54" s="44" t="n"/>
      <c r="N54" s="44" t="n"/>
      <c r="O54" s="44" t="n"/>
    </row>
    <row r="55">
      <c r="A55" s="43" t="inlineStr">
        <is>
          <t>2074/75</t>
        </is>
      </c>
      <c r="B55" s="42" t="n"/>
      <c r="C55" s="42" t="n"/>
      <c r="D55" s="42" t="n"/>
      <c r="E55" s="42" t="n"/>
      <c r="F55" s="42" t="n"/>
      <c r="G55" s="42" t="n"/>
      <c r="H55" s="42" t="n"/>
      <c r="I55" s="44" t="n"/>
      <c r="J55" s="44" t="n"/>
      <c r="K55" s="44" t="n"/>
      <c r="L55" s="44" t="n"/>
      <c r="M55" s="44" t="n"/>
      <c r="N55" s="44" t="n"/>
      <c r="O55" s="44" t="n"/>
    </row>
    <row r="56">
      <c r="A56" s="43" t="inlineStr">
        <is>
          <t>2075/76</t>
        </is>
      </c>
      <c r="B56" s="42" t="n"/>
      <c r="C56" s="42" t="n"/>
      <c r="D56" s="42" t="n"/>
      <c r="E56" s="42" t="n"/>
      <c r="F56" s="42" t="n"/>
      <c r="G56" s="42" t="n"/>
      <c r="H56" s="42" t="n"/>
      <c r="I56" s="44" t="n"/>
      <c r="J56" s="44" t="n"/>
      <c r="K56" s="44" t="n"/>
      <c r="L56" s="44" t="n"/>
      <c r="M56" s="44" t="n"/>
      <c r="N56" s="44" t="n"/>
      <c r="O56" s="44" t="n"/>
    </row>
    <row r="57">
      <c r="A57" s="43" t="inlineStr">
        <is>
          <t>2076/77</t>
        </is>
      </c>
      <c r="B57" s="42" t="n"/>
      <c r="C57" s="42" t="n"/>
      <c r="D57" s="42" t="n"/>
      <c r="E57" s="42" t="n"/>
      <c r="F57" s="42" t="n"/>
      <c r="G57" s="42" t="n"/>
      <c r="H57" s="42" t="n"/>
      <c r="I57" s="44" t="n"/>
      <c r="J57" s="44" t="n"/>
      <c r="K57" s="44" t="n"/>
      <c r="L57" s="44" t="n"/>
      <c r="M57" s="44" t="n"/>
      <c r="N57" s="44" t="n"/>
      <c r="O57" s="44" t="n"/>
    </row>
    <row r="58"/>
    <row r="59"/>
    <row r="60">
      <c r="A60" s="8" t="inlineStr">
        <is>
          <t>HRA</t>
        </is>
      </c>
      <c r="C60" s="38" t="inlineStr">
        <is>
          <t>read when Settings says One pool or Two pools; the greyed columns are not</t>
        </is>
      </c>
    </row>
    <row r="61" ht="58" customHeight="1">
      <c r="A61" s="39" t="inlineStr">
        <is>
          <t>Year end</t>
        </is>
      </c>
      <c r="B61" s="40" t="inlineStr">
        <is>
          <t>Capital financing requirement</t>
        </is>
      </c>
      <c r="C61" s="40" t="inlineStr">
        <is>
          <t>MRP</t>
        </is>
      </c>
      <c r="D61" s="40" t="inlineStr">
        <is>
          <t>Capital receipts applied</t>
        </is>
      </c>
      <c r="E61" s="40" t="inlineStr">
        <is>
          <t>Other balance sheet items</t>
        </is>
      </c>
      <c r="F61" s="40" t="inlineStr">
        <is>
          <t>Existing loan commitments</t>
        </is>
      </c>
      <c r="G61" s="40" t="inlineStr">
        <is>
          <t>Existing investment commitments</t>
        </is>
      </c>
      <c r="H61" s="40" t="inlineStr">
        <is>
          <t>Liquidity allowance</t>
        </is>
      </c>
      <c r="I61" s="40" t="inlineStr">
        <is>
          <t>Capital expenditure financed by borrowing</t>
        </is>
      </c>
      <c r="J61" s="40" t="inlineStr">
        <is>
          <t>Interest payable</t>
        </is>
      </c>
      <c r="K61" s="40" t="inlineStr">
        <is>
          <t>Interest paid to the General Fund</t>
        </is>
      </c>
      <c r="L61" s="40" t="inlineStr">
        <is>
          <t>Interest received from the General Fund</t>
        </is>
      </c>
      <c r="M61" s="40" t="inlineStr">
        <is>
          <t>Investment income</t>
        </is>
      </c>
      <c r="N61" s="40" t="inlineStr">
        <is>
          <t>Net revenue stream</t>
        </is>
      </c>
      <c r="O61" s="40" t="inlineStr">
        <is>
          <t>Non-treasury investment income</t>
        </is>
      </c>
    </row>
    <row r="62">
      <c r="A62" s="41" t="inlineStr">
        <is>
          <t>2025/26 actual</t>
        </is>
      </c>
      <c r="B62" s="42" t="n"/>
      <c r="C62" s="42" t="n"/>
      <c r="D62" s="42" t="n"/>
      <c r="E62" s="42" t="n"/>
      <c r="F62" s="42" t="n"/>
      <c r="G62" s="44" t="n"/>
      <c r="H62" s="44" t="n"/>
      <c r="I62" s="42" t="n"/>
      <c r="J62" s="42" t="n"/>
      <c r="K62" s="42" t="n"/>
      <c r="L62" s="42" t="n"/>
      <c r="M62" s="44" t="n"/>
      <c r="N62" s="42" t="n"/>
      <c r="O62" s="44" t="n"/>
    </row>
    <row r="63">
      <c r="A63" s="43" t="inlineStr">
        <is>
          <t>2026/27</t>
        </is>
      </c>
      <c r="B63" s="42" t="n"/>
      <c r="C63" s="42" t="n"/>
      <c r="D63" s="42" t="n"/>
      <c r="E63" s="42" t="n"/>
      <c r="F63" s="42" t="n"/>
      <c r="G63" s="44" t="n"/>
      <c r="H63" s="44" t="n"/>
      <c r="I63" s="42" t="n"/>
      <c r="J63" s="42" t="n"/>
      <c r="K63" s="42" t="n"/>
      <c r="L63" s="42" t="n"/>
      <c r="M63" s="44" t="n"/>
      <c r="N63" s="42" t="n"/>
      <c r="O63" s="44" t="n"/>
    </row>
    <row r="64">
      <c r="A64" s="43" t="inlineStr">
        <is>
          <t>2027/28</t>
        </is>
      </c>
      <c r="B64" s="42" t="n"/>
      <c r="C64" s="42" t="n"/>
      <c r="D64" s="42" t="n"/>
      <c r="E64" s="42" t="n"/>
      <c r="F64" s="42" t="n"/>
      <c r="G64" s="44" t="n"/>
      <c r="H64" s="44" t="n"/>
      <c r="I64" s="42" t="n"/>
      <c r="J64" s="42" t="n"/>
      <c r="K64" s="42" t="n"/>
      <c r="L64" s="42" t="n"/>
      <c r="M64" s="44" t="n"/>
      <c r="N64" s="42" t="n"/>
      <c r="O64" s="44" t="n"/>
    </row>
    <row r="65">
      <c r="A65" s="43" t="inlineStr">
        <is>
          <t>2028/29</t>
        </is>
      </c>
      <c r="B65" s="42" t="n"/>
      <c r="C65" s="42" t="n"/>
      <c r="D65" s="42" t="n"/>
      <c r="E65" s="42" t="n"/>
      <c r="F65" s="42" t="n"/>
      <c r="G65" s="44" t="n"/>
      <c r="H65" s="44" t="n"/>
      <c r="I65" s="42" t="n"/>
      <c r="J65" s="42" t="n"/>
      <c r="K65" s="42" t="n"/>
      <c r="L65" s="42" t="n"/>
      <c r="M65" s="44" t="n"/>
      <c r="N65" s="42" t="n"/>
      <c r="O65" s="44" t="n"/>
    </row>
    <row r="66">
      <c r="A66" s="43" t="inlineStr">
        <is>
          <t>2029/30</t>
        </is>
      </c>
      <c r="B66" s="42" t="n"/>
      <c r="C66" s="42" t="n"/>
      <c r="D66" s="42" t="n"/>
      <c r="E66" s="42" t="n"/>
      <c r="F66" s="42" t="n"/>
      <c r="G66" s="44" t="n"/>
      <c r="H66" s="44" t="n"/>
      <c r="I66" s="42" t="n"/>
      <c r="J66" s="42" t="n"/>
      <c r="K66" s="42" t="n"/>
      <c r="L66" s="42" t="n"/>
      <c r="M66" s="44" t="n"/>
      <c r="N66" s="42" t="n"/>
      <c r="O66" s="44" t="n"/>
    </row>
    <row r="67">
      <c r="A67" s="43" t="inlineStr">
        <is>
          <t>2030/31</t>
        </is>
      </c>
      <c r="B67" s="42" t="n"/>
      <c r="C67" s="42" t="n"/>
      <c r="D67" s="42" t="n"/>
      <c r="E67" s="42" t="n"/>
      <c r="F67" s="42" t="n"/>
      <c r="G67" s="44" t="n"/>
      <c r="H67" s="44" t="n"/>
      <c r="I67" s="42" t="n"/>
      <c r="J67" s="42" t="n"/>
      <c r="K67" s="42" t="n"/>
      <c r="L67" s="42" t="n"/>
      <c r="M67" s="44" t="n"/>
      <c r="N67" s="42" t="n"/>
      <c r="O67" s="44" t="n"/>
    </row>
    <row r="68">
      <c r="A68" s="43" t="inlineStr">
        <is>
          <t>2031/32</t>
        </is>
      </c>
      <c r="B68" s="42" t="n"/>
      <c r="C68" s="42" t="n"/>
      <c r="D68" s="42" t="n"/>
      <c r="E68" s="42" t="n"/>
      <c r="F68" s="42" t="n"/>
      <c r="G68" s="44" t="n"/>
      <c r="H68" s="44" t="n"/>
      <c r="I68" s="44" t="n"/>
      <c r="J68" s="44" t="n"/>
      <c r="K68" s="44" t="n"/>
      <c r="L68" s="44" t="n"/>
      <c r="M68" s="44" t="n"/>
      <c r="N68" s="44" t="n"/>
      <c r="O68" s="44" t="n"/>
    </row>
    <row r="69">
      <c r="A69" s="43" t="inlineStr">
        <is>
          <t>2032/33</t>
        </is>
      </c>
      <c r="B69" s="42" t="n"/>
      <c r="C69" s="42" t="n"/>
      <c r="D69" s="42" t="n"/>
      <c r="E69" s="42" t="n"/>
      <c r="F69" s="42" t="n"/>
      <c r="G69" s="44" t="n"/>
      <c r="H69" s="44" t="n"/>
      <c r="I69" s="44" t="n"/>
      <c r="J69" s="44" t="n"/>
      <c r="K69" s="44" t="n"/>
      <c r="L69" s="44" t="n"/>
      <c r="M69" s="44" t="n"/>
      <c r="N69" s="44" t="n"/>
      <c r="O69" s="44" t="n"/>
    </row>
    <row r="70">
      <c r="A70" s="43" t="inlineStr">
        <is>
          <t>2033/34</t>
        </is>
      </c>
      <c r="B70" s="42" t="n"/>
      <c r="C70" s="42" t="n"/>
      <c r="D70" s="42" t="n"/>
      <c r="E70" s="42" t="n"/>
      <c r="F70" s="42" t="n"/>
      <c r="G70" s="44" t="n"/>
      <c r="H70" s="44" t="n"/>
      <c r="I70" s="44" t="n"/>
      <c r="J70" s="44" t="n"/>
      <c r="K70" s="44" t="n"/>
      <c r="L70" s="44" t="n"/>
      <c r="M70" s="44" t="n"/>
      <c r="N70" s="44" t="n"/>
      <c r="O70" s="44" t="n"/>
    </row>
    <row r="71">
      <c r="A71" s="43" t="inlineStr">
        <is>
          <t>2034/35</t>
        </is>
      </c>
      <c r="B71" s="42" t="n"/>
      <c r="C71" s="42" t="n"/>
      <c r="D71" s="42" t="n"/>
      <c r="E71" s="42" t="n"/>
      <c r="F71" s="42" t="n"/>
      <c r="G71" s="44" t="n"/>
      <c r="H71" s="44" t="n"/>
      <c r="I71" s="44" t="n"/>
      <c r="J71" s="44" t="n"/>
      <c r="K71" s="44" t="n"/>
      <c r="L71" s="44" t="n"/>
      <c r="M71" s="44" t="n"/>
      <c r="N71" s="44" t="n"/>
      <c r="O71" s="44" t="n"/>
    </row>
    <row r="72">
      <c r="A72" s="43" t="inlineStr">
        <is>
          <t>2035/36</t>
        </is>
      </c>
      <c r="B72" s="42" t="n"/>
      <c r="C72" s="42" t="n"/>
      <c r="D72" s="42" t="n"/>
      <c r="E72" s="42" t="n"/>
      <c r="F72" s="42" t="n"/>
      <c r="G72" s="44" t="n"/>
      <c r="H72" s="44" t="n"/>
      <c r="I72" s="44" t="n"/>
      <c r="J72" s="44" t="n"/>
      <c r="K72" s="44" t="n"/>
      <c r="L72" s="44" t="n"/>
      <c r="M72" s="44" t="n"/>
      <c r="N72" s="44" t="n"/>
      <c r="O72" s="44" t="n"/>
    </row>
    <row r="73">
      <c r="A73" s="43" t="inlineStr">
        <is>
          <t>2036/37</t>
        </is>
      </c>
      <c r="B73" s="42" t="n"/>
      <c r="C73" s="42" t="n"/>
      <c r="D73" s="42" t="n"/>
      <c r="E73" s="42" t="n"/>
      <c r="F73" s="42" t="n"/>
      <c r="G73" s="44" t="n"/>
      <c r="H73" s="44" t="n"/>
      <c r="I73" s="44" t="n"/>
      <c r="J73" s="44" t="n"/>
      <c r="K73" s="44" t="n"/>
      <c r="L73" s="44" t="n"/>
      <c r="M73" s="44" t="n"/>
      <c r="N73" s="44" t="n"/>
      <c r="O73" s="44" t="n"/>
    </row>
    <row r="74">
      <c r="A74" s="43" t="inlineStr">
        <is>
          <t>2037/38</t>
        </is>
      </c>
      <c r="B74" s="42" t="n"/>
      <c r="C74" s="42" t="n"/>
      <c r="D74" s="42" t="n"/>
      <c r="E74" s="42" t="n"/>
      <c r="F74" s="42" t="n"/>
      <c r="G74" s="44" t="n"/>
      <c r="H74" s="44" t="n"/>
      <c r="I74" s="44" t="n"/>
      <c r="J74" s="44" t="n"/>
      <c r="K74" s="44" t="n"/>
      <c r="L74" s="44" t="n"/>
      <c r="M74" s="44" t="n"/>
      <c r="N74" s="44" t="n"/>
      <c r="O74" s="44" t="n"/>
    </row>
    <row r="75">
      <c r="A75" s="43" t="inlineStr">
        <is>
          <t>2038/39</t>
        </is>
      </c>
      <c r="B75" s="42" t="n"/>
      <c r="C75" s="42" t="n"/>
      <c r="D75" s="42" t="n"/>
      <c r="E75" s="42" t="n"/>
      <c r="F75" s="42" t="n"/>
      <c r="G75" s="44" t="n"/>
      <c r="H75" s="44" t="n"/>
      <c r="I75" s="44" t="n"/>
      <c r="J75" s="44" t="n"/>
      <c r="K75" s="44" t="n"/>
      <c r="L75" s="44" t="n"/>
      <c r="M75" s="44" t="n"/>
      <c r="N75" s="44" t="n"/>
      <c r="O75" s="44" t="n"/>
    </row>
    <row r="76">
      <c r="A76" s="43" t="inlineStr">
        <is>
          <t>2039/40</t>
        </is>
      </c>
      <c r="B76" s="42" t="n"/>
      <c r="C76" s="42" t="n"/>
      <c r="D76" s="42" t="n"/>
      <c r="E76" s="42" t="n"/>
      <c r="F76" s="42" t="n"/>
      <c r="G76" s="44" t="n"/>
      <c r="H76" s="44" t="n"/>
      <c r="I76" s="44" t="n"/>
      <c r="J76" s="44" t="n"/>
      <c r="K76" s="44" t="n"/>
      <c r="L76" s="44" t="n"/>
      <c r="M76" s="44" t="n"/>
      <c r="N76" s="44" t="n"/>
      <c r="O76" s="44" t="n"/>
    </row>
    <row r="77">
      <c r="A77" s="43" t="inlineStr">
        <is>
          <t>2040/41</t>
        </is>
      </c>
      <c r="B77" s="42" t="n"/>
      <c r="C77" s="42" t="n"/>
      <c r="D77" s="42" t="n"/>
      <c r="E77" s="42" t="n"/>
      <c r="F77" s="42" t="n"/>
      <c r="G77" s="44" t="n"/>
      <c r="H77" s="44" t="n"/>
      <c r="I77" s="44" t="n"/>
      <c r="J77" s="44" t="n"/>
      <c r="K77" s="44" t="n"/>
      <c r="L77" s="44" t="n"/>
      <c r="M77" s="44" t="n"/>
      <c r="N77" s="44" t="n"/>
      <c r="O77" s="44" t="n"/>
    </row>
    <row r="78">
      <c r="A78" s="43" t="inlineStr">
        <is>
          <t>2041/42</t>
        </is>
      </c>
      <c r="B78" s="42" t="n"/>
      <c r="C78" s="42" t="n"/>
      <c r="D78" s="42" t="n"/>
      <c r="E78" s="42" t="n"/>
      <c r="F78" s="42" t="n"/>
      <c r="G78" s="44" t="n"/>
      <c r="H78" s="44" t="n"/>
      <c r="I78" s="44" t="n"/>
      <c r="J78" s="44" t="n"/>
      <c r="K78" s="44" t="n"/>
      <c r="L78" s="44" t="n"/>
      <c r="M78" s="44" t="n"/>
      <c r="N78" s="44" t="n"/>
      <c r="O78" s="44" t="n"/>
    </row>
    <row r="79">
      <c r="A79" s="43" t="inlineStr">
        <is>
          <t>2042/43</t>
        </is>
      </c>
      <c r="B79" s="42" t="n"/>
      <c r="C79" s="42" t="n"/>
      <c r="D79" s="42" t="n"/>
      <c r="E79" s="42" t="n"/>
      <c r="F79" s="42" t="n"/>
      <c r="G79" s="44" t="n"/>
      <c r="H79" s="44" t="n"/>
      <c r="I79" s="44" t="n"/>
      <c r="J79" s="44" t="n"/>
      <c r="K79" s="44" t="n"/>
      <c r="L79" s="44" t="n"/>
      <c r="M79" s="44" t="n"/>
      <c r="N79" s="44" t="n"/>
      <c r="O79" s="44" t="n"/>
    </row>
    <row r="80">
      <c r="A80" s="43" t="inlineStr">
        <is>
          <t>2043/44</t>
        </is>
      </c>
      <c r="B80" s="42" t="n"/>
      <c r="C80" s="42" t="n"/>
      <c r="D80" s="42" t="n"/>
      <c r="E80" s="42" t="n"/>
      <c r="F80" s="42" t="n"/>
      <c r="G80" s="44" t="n"/>
      <c r="H80" s="44" t="n"/>
      <c r="I80" s="44" t="n"/>
      <c r="J80" s="44" t="n"/>
      <c r="K80" s="44" t="n"/>
      <c r="L80" s="44" t="n"/>
      <c r="M80" s="44" t="n"/>
      <c r="N80" s="44" t="n"/>
      <c r="O80" s="44" t="n"/>
    </row>
    <row r="81">
      <c r="A81" s="43" t="inlineStr">
        <is>
          <t>2044/45</t>
        </is>
      </c>
      <c r="B81" s="42" t="n"/>
      <c r="C81" s="42" t="n"/>
      <c r="D81" s="42" t="n"/>
      <c r="E81" s="42" t="n"/>
      <c r="F81" s="42" t="n"/>
      <c r="G81" s="44" t="n"/>
      <c r="H81" s="44" t="n"/>
      <c r="I81" s="44" t="n"/>
      <c r="J81" s="44" t="n"/>
      <c r="K81" s="44" t="n"/>
      <c r="L81" s="44" t="n"/>
      <c r="M81" s="44" t="n"/>
      <c r="N81" s="44" t="n"/>
      <c r="O81" s="44" t="n"/>
    </row>
    <row r="82">
      <c r="A82" s="43" t="inlineStr">
        <is>
          <t>2045/46</t>
        </is>
      </c>
      <c r="B82" s="42" t="n"/>
      <c r="C82" s="42" t="n"/>
      <c r="D82" s="42" t="n"/>
      <c r="E82" s="42" t="n"/>
      <c r="F82" s="42" t="n"/>
      <c r="G82" s="44" t="n"/>
      <c r="H82" s="44" t="n"/>
      <c r="I82" s="44" t="n"/>
      <c r="J82" s="44" t="n"/>
      <c r="K82" s="44" t="n"/>
      <c r="L82" s="44" t="n"/>
      <c r="M82" s="44" t="n"/>
      <c r="N82" s="44" t="n"/>
      <c r="O82" s="44" t="n"/>
    </row>
    <row r="83">
      <c r="A83" s="43" t="inlineStr">
        <is>
          <t>2046/47</t>
        </is>
      </c>
      <c r="B83" s="42" t="n"/>
      <c r="C83" s="42" t="n"/>
      <c r="D83" s="42" t="n"/>
      <c r="E83" s="42" t="n"/>
      <c r="F83" s="42" t="n"/>
      <c r="G83" s="44" t="n"/>
      <c r="H83" s="44" t="n"/>
      <c r="I83" s="44" t="n"/>
      <c r="J83" s="44" t="n"/>
      <c r="K83" s="44" t="n"/>
      <c r="L83" s="44" t="n"/>
      <c r="M83" s="44" t="n"/>
      <c r="N83" s="44" t="n"/>
      <c r="O83" s="44" t="n"/>
    </row>
    <row r="84">
      <c r="A84" s="43" t="inlineStr">
        <is>
          <t>2047/48</t>
        </is>
      </c>
      <c r="B84" s="42" t="n"/>
      <c r="C84" s="42" t="n"/>
      <c r="D84" s="42" t="n"/>
      <c r="E84" s="42" t="n"/>
      <c r="F84" s="42" t="n"/>
      <c r="G84" s="44" t="n"/>
      <c r="H84" s="44" t="n"/>
      <c r="I84" s="44" t="n"/>
      <c r="J84" s="44" t="n"/>
      <c r="K84" s="44" t="n"/>
      <c r="L84" s="44" t="n"/>
      <c r="M84" s="44" t="n"/>
      <c r="N84" s="44" t="n"/>
      <c r="O84" s="44" t="n"/>
    </row>
    <row r="85">
      <c r="A85" s="43" t="inlineStr">
        <is>
          <t>2048/49</t>
        </is>
      </c>
      <c r="B85" s="42" t="n"/>
      <c r="C85" s="42" t="n"/>
      <c r="D85" s="42" t="n"/>
      <c r="E85" s="42" t="n"/>
      <c r="F85" s="42" t="n"/>
      <c r="G85" s="44" t="n"/>
      <c r="H85" s="44" t="n"/>
      <c r="I85" s="44" t="n"/>
      <c r="J85" s="44" t="n"/>
      <c r="K85" s="44" t="n"/>
      <c r="L85" s="44" t="n"/>
      <c r="M85" s="44" t="n"/>
      <c r="N85" s="44" t="n"/>
      <c r="O85" s="44" t="n"/>
    </row>
    <row r="86">
      <c r="A86" s="43" t="inlineStr">
        <is>
          <t>2049/50</t>
        </is>
      </c>
      <c r="B86" s="42" t="n"/>
      <c r="C86" s="42" t="n"/>
      <c r="D86" s="42" t="n"/>
      <c r="E86" s="42" t="n"/>
      <c r="F86" s="42" t="n"/>
      <c r="G86" s="44" t="n"/>
      <c r="H86" s="44" t="n"/>
      <c r="I86" s="44" t="n"/>
      <c r="J86" s="44" t="n"/>
      <c r="K86" s="44" t="n"/>
      <c r="L86" s="44" t="n"/>
      <c r="M86" s="44" t="n"/>
      <c r="N86" s="44" t="n"/>
      <c r="O86" s="44" t="n"/>
    </row>
    <row r="87">
      <c r="A87" s="43" t="inlineStr">
        <is>
          <t>2050/51</t>
        </is>
      </c>
      <c r="B87" s="42" t="n"/>
      <c r="C87" s="42" t="n"/>
      <c r="D87" s="42" t="n"/>
      <c r="E87" s="42" t="n"/>
      <c r="F87" s="42" t="n"/>
      <c r="G87" s="44" t="n"/>
      <c r="H87" s="44" t="n"/>
      <c r="I87" s="44" t="n"/>
      <c r="J87" s="44" t="n"/>
      <c r="K87" s="44" t="n"/>
      <c r="L87" s="44" t="n"/>
      <c r="M87" s="44" t="n"/>
      <c r="N87" s="44" t="n"/>
      <c r="O87" s="44" t="n"/>
    </row>
    <row r="88">
      <c r="A88" s="43" t="inlineStr">
        <is>
          <t>2051/52</t>
        </is>
      </c>
      <c r="B88" s="42" t="n"/>
      <c r="C88" s="42" t="n"/>
      <c r="D88" s="42" t="n"/>
      <c r="E88" s="42" t="n"/>
      <c r="F88" s="42" t="n"/>
      <c r="G88" s="44" t="n"/>
      <c r="H88" s="44" t="n"/>
      <c r="I88" s="44" t="n"/>
      <c r="J88" s="44" t="n"/>
      <c r="K88" s="44" t="n"/>
      <c r="L88" s="44" t="n"/>
      <c r="M88" s="44" t="n"/>
      <c r="N88" s="44" t="n"/>
      <c r="O88" s="44" t="n"/>
    </row>
    <row r="89">
      <c r="A89" s="43" t="inlineStr">
        <is>
          <t>2052/53</t>
        </is>
      </c>
      <c r="B89" s="42" t="n"/>
      <c r="C89" s="42" t="n"/>
      <c r="D89" s="42" t="n"/>
      <c r="E89" s="42" t="n"/>
      <c r="F89" s="42" t="n"/>
      <c r="G89" s="44" t="n"/>
      <c r="H89" s="44" t="n"/>
      <c r="I89" s="44" t="n"/>
      <c r="J89" s="44" t="n"/>
      <c r="K89" s="44" t="n"/>
      <c r="L89" s="44" t="n"/>
      <c r="M89" s="44" t="n"/>
      <c r="N89" s="44" t="n"/>
      <c r="O89" s="44" t="n"/>
    </row>
    <row r="90">
      <c r="A90" s="43" t="inlineStr">
        <is>
          <t>2053/54</t>
        </is>
      </c>
      <c r="B90" s="42" t="n"/>
      <c r="C90" s="42" t="n"/>
      <c r="D90" s="42" t="n"/>
      <c r="E90" s="42" t="n"/>
      <c r="F90" s="42" t="n"/>
      <c r="G90" s="44" t="n"/>
      <c r="H90" s="44" t="n"/>
      <c r="I90" s="44" t="n"/>
      <c r="J90" s="44" t="n"/>
      <c r="K90" s="44" t="n"/>
      <c r="L90" s="44" t="n"/>
      <c r="M90" s="44" t="n"/>
      <c r="N90" s="44" t="n"/>
      <c r="O90" s="44" t="n"/>
    </row>
    <row r="91">
      <c r="A91" s="43" t="inlineStr">
        <is>
          <t>2054/55</t>
        </is>
      </c>
      <c r="B91" s="42" t="n"/>
      <c r="C91" s="42" t="n"/>
      <c r="D91" s="42" t="n"/>
      <c r="E91" s="42" t="n"/>
      <c r="F91" s="42" t="n"/>
      <c r="G91" s="44" t="n"/>
      <c r="H91" s="44" t="n"/>
      <c r="I91" s="44" t="n"/>
      <c r="J91" s="44" t="n"/>
      <c r="K91" s="44" t="n"/>
      <c r="L91" s="44" t="n"/>
      <c r="M91" s="44" t="n"/>
      <c r="N91" s="44" t="n"/>
      <c r="O91" s="44" t="n"/>
    </row>
    <row r="92">
      <c r="A92" s="43" t="inlineStr">
        <is>
          <t>2055/56</t>
        </is>
      </c>
      <c r="B92" s="42" t="n"/>
      <c r="C92" s="42" t="n"/>
      <c r="D92" s="42" t="n"/>
      <c r="E92" s="42" t="n"/>
      <c r="F92" s="42" t="n"/>
      <c r="G92" s="44" t="n"/>
      <c r="H92" s="44" t="n"/>
      <c r="I92" s="44" t="n"/>
      <c r="J92" s="44" t="n"/>
      <c r="K92" s="44" t="n"/>
      <c r="L92" s="44" t="n"/>
      <c r="M92" s="44" t="n"/>
      <c r="N92" s="44" t="n"/>
      <c r="O92" s="44" t="n"/>
    </row>
    <row r="93">
      <c r="A93" s="43" t="inlineStr">
        <is>
          <t>2056/57</t>
        </is>
      </c>
      <c r="B93" s="42" t="n"/>
      <c r="C93" s="42" t="n"/>
      <c r="D93" s="42" t="n"/>
      <c r="E93" s="42" t="n"/>
      <c r="F93" s="42" t="n"/>
      <c r="G93" s="44" t="n"/>
      <c r="H93" s="44" t="n"/>
      <c r="I93" s="44" t="n"/>
      <c r="J93" s="44" t="n"/>
      <c r="K93" s="44" t="n"/>
      <c r="L93" s="44" t="n"/>
      <c r="M93" s="44" t="n"/>
      <c r="N93" s="44" t="n"/>
      <c r="O93" s="44" t="n"/>
    </row>
    <row r="94">
      <c r="A94" s="43" t="inlineStr">
        <is>
          <t>2057/58</t>
        </is>
      </c>
      <c r="B94" s="42" t="n"/>
      <c r="C94" s="42" t="n"/>
      <c r="D94" s="42" t="n"/>
      <c r="E94" s="42" t="n"/>
      <c r="F94" s="42" t="n"/>
      <c r="G94" s="44" t="n"/>
      <c r="H94" s="44" t="n"/>
      <c r="I94" s="44" t="n"/>
      <c r="J94" s="44" t="n"/>
      <c r="K94" s="44" t="n"/>
      <c r="L94" s="44" t="n"/>
      <c r="M94" s="44" t="n"/>
      <c r="N94" s="44" t="n"/>
      <c r="O94" s="44" t="n"/>
    </row>
    <row r="95">
      <c r="A95" s="43" t="inlineStr">
        <is>
          <t>2058/59</t>
        </is>
      </c>
      <c r="B95" s="42" t="n"/>
      <c r="C95" s="42" t="n"/>
      <c r="D95" s="42" t="n"/>
      <c r="E95" s="42" t="n"/>
      <c r="F95" s="42" t="n"/>
      <c r="G95" s="44" t="n"/>
      <c r="H95" s="44" t="n"/>
      <c r="I95" s="44" t="n"/>
      <c r="J95" s="44" t="n"/>
      <c r="K95" s="44" t="n"/>
      <c r="L95" s="44" t="n"/>
      <c r="M95" s="44" t="n"/>
      <c r="N95" s="44" t="n"/>
      <c r="O95" s="44" t="n"/>
    </row>
    <row r="96">
      <c r="A96" s="43" t="inlineStr">
        <is>
          <t>2059/60</t>
        </is>
      </c>
      <c r="B96" s="42" t="n"/>
      <c r="C96" s="42" t="n"/>
      <c r="D96" s="42" t="n"/>
      <c r="E96" s="42" t="n"/>
      <c r="F96" s="42" t="n"/>
      <c r="G96" s="44" t="n"/>
      <c r="H96" s="44" t="n"/>
      <c r="I96" s="44" t="n"/>
      <c r="J96" s="44" t="n"/>
      <c r="K96" s="44" t="n"/>
      <c r="L96" s="44" t="n"/>
      <c r="M96" s="44" t="n"/>
      <c r="N96" s="44" t="n"/>
      <c r="O96" s="44" t="n"/>
    </row>
    <row r="97">
      <c r="A97" s="43" t="inlineStr">
        <is>
          <t>2060/61</t>
        </is>
      </c>
      <c r="B97" s="42" t="n"/>
      <c r="C97" s="42" t="n"/>
      <c r="D97" s="42" t="n"/>
      <c r="E97" s="42" t="n"/>
      <c r="F97" s="42" t="n"/>
      <c r="G97" s="44" t="n"/>
      <c r="H97" s="44" t="n"/>
      <c r="I97" s="44" t="n"/>
      <c r="J97" s="44" t="n"/>
      <c r="K97" s="44" t="n"/>
      <c r="L97" s="44" t="n"/>
      <c r="M97" s="44" t="n"/>
      <c r="N97" s="44" t="n"/>
      <c r="O97" s="44" t="n"/>
    </row>
    <row r="98">
      <c r="A98" s="43" t="inlineStr">
        <is>
          <t>2061/62</t>
        </is>
      </c>
      <c r="B98" s="42" t="n"/>
      <c r="C98" s="42" t="n"/>
      <c r="D98" s="42" t="n"/>
      <c r="E98" s="42" t="n"/>
      <c r="F98" s="42" t="n"/>
      <c r="G98" s="44" t="n"/>
      <c r="H98" s="44" t="n"/>
      <c r="I98" s="44" t="n"/>
      <c r="J98" s="44" t="n"/>
      <c r="K98" s="44" t="n"/>
      <c r="L98" s="44" t="n"/>
      <c r="M98" s="44" t="n"/>
      <c r="N98" s="44" t="n"/>
      <c r="O98" s="44" t="n"/>
    </row>
    <row r="99">
      <c r="A99" s="43" t="inlineStr">
        <is>
          <t>2062/63</t>
        </is>
      </c>
      <c r="B99" s="42" t="n"/>
      <c r="C99" s="42" t="n"/>
      <c r="D99" s="42" t="n"/>
      <c r="E99" s="42" t="n"/>
      <c r="F99" s="42" t="n"/>
      <c r="G99" s="44" t="n"/>
      <c r="H99" s="44" t="n"/>
      <c r="I99" s="44" t="n"/>
      <c r="J99" s="44" t="n"/>
      <c r="K99" s="44" t="n"/>
      <c r="L99" s="44" t="n"/>
      <c r="M99" s="44" t="n"/>
      <c r="N99" s="44" t="n"/>
      <c r="O99" s="44" t="n"/>
    </row>
    <row r="100">
      <c r="A100" s="43" t="inlineStr">
        <is>
          <t>2063/64</t>
        </is>
      </c>
      <c r="B100" s="42" t="n"/>
      <c r="C100" s="42" t="n"/>
      <c r="D100" s="42" t="n"/>
      <c r="E100" s="42" t="n"/>
      <c r="F100" s="42" t="n"/>
      <c r="G100" s="44" t="n"/>
      <c r="H100" s="44" t="n"/>
      <c r="I100" s="44" t="n"/>
      <c r="J100" s="44" t="n"/>
      <c r="K100" s="44" t="n"/>
      <c r="L100" s="44" t="n"/>
      <c r="M100" s="44" t="n"/>
      <c r="N100" s="44" t="n"/>
      <c r="O100" s="44" t="n"/>
    </row>
    <row r="101">
      <c r="A101" s="43" t="inlineStr">
        <is>
          <t>2064/65</t>
        </is>
      </c>
      <c r="B101" s="42" t="n"/>
      <c r="C101" s="42" t="n"/>
      <c r="D101" s="42" t="n"/>
      <c r="E101" s="42" t="n"/>
      <c r="F101" s="42" t="n"/>
      <c r="G101" s="44" t="n"/>
      <c r="H101" s="44" t="n"/>
      <c r="I101" s="44" t="n"/>
      <c r="J101" s="44" t="n"/>
      <c r="K101" s="44" t="n"/>
      <c r="L101" s="44" t="n"/>
      <c r="M101" s="44" t="n"/>
      <c r="N101" s="44" t="n"/>
      <c r="O101" s="44" t="n"/>
    </row>
    <row r="102">
      <c r="A102" s="43" t="inlineStr">
        <is>
          <t>2065/66</t>
        </is>
      </c>
      <c r="B102" s="42" t="n"/>
      <c r="C102" s="42" t="n"/>
      <c r="D102" s="42" t="n"/>
      <c r="E102" s="42" t="n"/>
      <c r="F102" s="42" t="n"/>
      <c r="G102" s="44" t="n"/>
      <c r="H102" s="44" t="n"/>
      <c r="I102" s="44" t="n"/>
      <c r="J102" s="44" t="n"/>
      <c r="K102" s="44" t="n"/>
      <c r="L102" s="44" t="n"/>
      <c r="M102" s="44" t="n"/>
      <c r="N102" s="44" t="n"/>
      <c r="O102" s="44" t="n"/>
    </row>
    <row r="103">
      <c r="A103" s="43" t="inlineStr">
        <is>
          <t>2066/67</t>
        </is>
      </c>
      <c r="B103" s="42" t="n"/>
      <c r="C103" s="42" t="n"/>
      <c r="D103" s="42" t="n"/>
      <c r="E103" s="42" t="n"/>
      <c r="F103" s="42" t="n"/>
      <c r="G103" s="44" t="n"/>
      <c r="H103" s="44" t="n"/>
      <c r="I103" s="44" t="n"/>
      <c r="J103" s="44" t="n"/>
      <c r="K103" s="44" t="n"/>
      <c r="L103" s="44" t="n"/>
      <c r="M103" s="44" t="n"/>
      <c r="N103" s="44" t="n"/>
      <c r="O103" s="44" t="n"/>
    </row>
    <row r="104">
      <c r="A104" s="43" t="inlineStr">
        <is>
          <t>2067/68</t>
        </is>
      </c>
      <c r="B104" s="42" t="n"/>
      <c r="C104" s="42" t="n"/>
      <c r="D104" s="42" t="n"/>
      <c r="E104" s="42" t="n"/>
      <c r="F104" s="42" t="n"/>
      <c r="G104" s="44" t="n"/>
      <c r="H104" s="44" t="n"/>
      <c r="I104" s="44" t="n"/>
      <c r="J104" s="44" t="n"/>
      <c r="K104" s="44" t="n"/>
      <c r="L104" s="44" t="n"/>
      <c r="M104" s="44" t="n"/>
      <c r="N104" s="44" t="n"/>
      <c r="O104" s="44" t="n"/>
    </row>
    <row r="105">
      <c r="A105" s="43" t="inlineStr">
        <is>
          <t>2068/69</t>
        </is>
      </c>
      <c r="B105" s="42" t="n"/>
      <c r="C105" s="42" t="n"/>
      <c r="D105" s="42" t="n"/>
      <c r="E105" s="42" t="n"/>
      <c r="F105" s="42" t="n"/>
      <c r="G105" s="44" t="n"/>
      <c r="H105" s="44" t="n"/>
      <c r="I105" s="44" t="n"/>
      <c r="J105" s="44" t="n"/>
      <c r="K105" s="44" t="n"/>
      <c r="L105" s="44" t="n"/>
      <c r="M105" s="44" t="n"/>
      <c r="N105" s="44" t="n"/>
      <c r="O105" s="44" t="n"/>
    </row>
    <row r="106">
      <c r="A106" s="43" t="inlineStr">
        <is>
          <t>2069/70</t>
        </is>
      </c>
      <c r="B106" s="42" t="n"/>
      <c r="C106" s="42" t="n"/>
      <c r="D106" s="42" t="n"/>
      <c r="E106" s="42" t="n"/>
      <c r="F106" s="42" t="n"/>
      <c r="G106" s="44" t="n"/>
      <c r="H106" s="44" t="n"/>
      <c r="I106" s="44" t="n"/>
      <c r="J106" s="44" t="n"/>
      <c r="K106" s="44" t="n"/>
      <c r="L106" s="44" t="n"/>
      <c r="M106" s="44" t="n"/>
      <c r="N106" s="44" t="n"/>
      <c r="O106" s="44" t="n"/>
    </row>
    <row r="107">
      <c r="A107" s="43" t="inlineStr">
        <is>
          <t>2070/71</t>
        </is>
      </c>
      <c r="B107" s="42" t="n"/>
      <c r="C107" s="42" t="n"/>
      <c r="D107" s="42" t="n"/>
      <c r="E107" s="42" t="n"/>
      <c r="F107" s="42" t="n"/>
      <c r="G107" s="44" t="n"/>
      <c r="H107" s="44" t="n"/>
      <c r="I107" s="44" t="n"/>
      <c r="J107" s="44" t="n"/>
      <c r="K107" s="44" t="n"/>
      <c r="L107" s="44" t="n"/>
      <c r="M107" s="44" t="n"/>
      <c r="N107" s="44" t="n"/>
      <c r="O107" s="44" t="n"/>
    </row>
    <row r="108">
      <c r="A108" s="43" t="inlineStr">
        <is>
          <t>2071/72</t>
        </is>
      </c>
      <c r="B108" s="42" t="n"/>
      <c r="C108" s="42" t="n"/>
      <c r="D108" s="42" t="n"/>
      <c r="E108" s="42" t="n"/>
      <c r="F108" s="42" t="n"/>
      <c r="G108" s="44" t="n"/>
      <c r="H108" s="44" t="n"/>
      <c r="I108" s="44" t="n"/>
      <c r="J108" s="44" t="n"/>
      <c r="K108" s="44" t="n"/>
      <c r="L108" s="44" t="n"/>
      <c r="M108" s="44" t="n"/>
      <c r="N108" s="44" t="n"/>
      <c r="O108" s="44" t="n"/>
    </row>
    <row r="109">
      <c r="A109" s="43" t="inlineStr">
        <is>
          <t>2072/73</t>
        </is>
      </c>
      <c r="B109" s="42" t="n"/>
      <c r="C109" s="42" t="n"/>
      <c r="D109" s="42" t="n"/>
      <c r="E109" s="42" t="n"/>
      <c r="F109" s="42" t="n"/>
      <c r="G109" s="44" t="n"/>
      <c r="H109" s="44" t="n"/>
      <c r="I109" s="44" t="n"/>
      <c r="J109" s="44" t="n"/>
      <c r="K109" s="44" t="n"/>
      <c r="L109" s="44" t="n"/>
      <c r="M109" s="44" t="n"/>
      <c r="N109" s="44" t="n"/>
      <c r="O109" s="44" t="n"/>
    </row>
    <row r="110">
      <c r="A110" s="43" t="inlineStr">
        <is>
          <t>2073/74</t>
        </is>
      </c>
      <c r="B110" s="42" t="n"/>
      <c r="C110" s="42" t="n"/>
      <c r="D110" s="42" t="n"/>
      <c r="E110" s="42" t="n"/>
      <c r="F110" s="42" t="n"/>
      <c r="G110" s="44" t="n"/>
      <c r="H110" s="44" t="n"/>
      <c r="I110" s="44" t="n"/>
      <c r="J110" s="44" t="n"/>
      <c r="K110" s="44" t="n"/>
      <c r="L110" s="44" t="n"/>
      <c r="M110" s="44" t="n"/>
      <c r="N110" s="44" t="n"/>
      <c r="O110" s="44" t="n"/>
    </row>
    <row r="111">
      <c r="A111" s="43" t="inlineStr">
        <is>
          <t>2074/75</t>
        </is>
      </c>
      <c r="B111" s="42" t="n"/>
      <c r="C111" s="42" t="n"/>
      <c r="D111" s="42" t="n"/>
      <c r="E111" s="42" t="n"/>
      <c r="F111" s="42" t="n"/>
      <c r="G111" s="44" t="n"/>
      <c r="H111" s="44" t="n"/>
      <c r="I111" s="44" t="n"/>
      <c r="J111" s="44" t="n"/>
      <c r="K111" s="44" t="n"/>
      <c r="L111" s="44" t="n"/>
      <c r="M111" s="44" t="n"/>
      <c r="N111" s="44" t="n"/>
      <c r="O111" s="44" t="n"/>
    </row>
    <row r="112">
      <c r="A112" s="43" t="inlineStr">
        <is>
          <t>2075/76</t>
        </is>
      </c>
      <c r="B112" s="42" t="n"/>
      <c r="C112" s="42" t="n"/>
      <c r="D112" s="42" t="n"/>
      <c r="E112" s="42" t="n"/>
      <c r="F112" s="42" t="n"/>
      <c r="G112" s="44" t="n"/>
      <c r="H112" s="44" t="n"/>
      <c r="I112" s="44" t="n"/>
      <c r="J112" s="44" t="n"/>
      <c r="K112" s="44" t="n"/>
      <c r="L112" s="44" t="n"/>
      <c r="M112" s="44" t="n"/>
      <c r="N112" s="44" t="n"/>
      <c r="O112" s="44" t="n"/>
    </row>
    <row r="113">
      <c r="A113" s="43" t="inlineStr">
        <is>
          <t>2076/77</t>
        </is>
      </c>
      <c r="B113" s="42" t="n"/>
      <c r="C113" s="42" t="n"/>
      <c r="D113" s="42" t="n"/>
      <c r="E113" s="42" t="n"/>
      <c r="F113" s="42" t="n"/>
      <c r="G113" s="44" t="n"/>
      <c r="H113" s="44" t="n"/>
      <c r="I113" s="44" t="n"/>
      <c r="J113" s="44" t="n"/>
      <c r="K113" s="44" t="n"/>
      <c r="L113" s="44" t="n"/>
      <c r="M113" s="44" t="n"/>
      <c r="N113" s="44" t="n"/>
      <c r="O113" s="44" t="n"/>
    </row>
  </sheetData>
  <mergeCells count="5">
    <mergeCell ref="A4:B4"/>
    <mergeCell ref="A2:O2"/>
    <mergeCell ref="A60:B60"/>
    <mergeCell ref="C4:O4"/>
    <mergeCell ref="C60:O60"/>
  </mergeCells>
  <conditionalFormatting sqref="B6:O57">
    <cfRule type="expression" priority="1" dxfId="4">
      <formula>AND(B6&lt;&gt;"",NOT(ISNUMBER(B6)))</formula>
    </cfRule>
    <cfRule type="expression" priority="2" dxfId="5">
      <formula>AND(ISNUMBER(B6),ABS(B6)&gt;100000)</formula>
    </cfRule>
  </conditionalFormatting>
  <conditionalFormatting sqref="K6:K57">
    <cfRule type="expression" priority="3" dxfId="6">
      <formula>HRA="None"</formula>
    </cfRule>
  </conditionalFormatting>
  <conditionalFormatting sqref="L6:L57">
    <cfRule type="expression" priority="4" dxfId="6">
      <formula>HRA="None"</formula>
    </cfRule>
  </conditionalFormatting>
  <conditionalFormatting sqref="B62:O113">
    <cfRule type="expression" priority="5" dxfId="4">
      <formula>AND(B62&lt;&gt;"",NOT(ISNUMBER(B62)))</formula>
    </cfRule>
    <cfRule type="expression" priority="6" dxfId="5">
      <formula>AND(ISNUMBER(B62),ABS(B62)&gt;100000)</formula>
    </cfRule>
  </conditionalFormatting>
  <conditionalFormatting sqref="F62:F113">
    <cfRule type="expression" priority="7" dxfId="6">
      <formula>HRA&lt;&gt;"Two pools"</formula>
    </cfRule>
  </conditionalFormatting>
  <conditionalFormatting sqref="J62:J113">
    <cfRule type="expression" priority="8" dxfId="6">
      <formula>HRA&lt;&gt;"Two pools"</formula>
    </cfRule>
  </conditionalFormatting>
  <conditionalFormatting sqref="K62:K113">
    <cfRule type="expression" priority="9" dxfId="6">
      <formula>HRA="None"</formula>
    </cfRule>
  </conditionalFormatting>
  <conditionalFormatting sqref="L62:L113">
    <cfRule type="expression" priority="10" dxfId="6">
      <formula>HRA="None"</formula>
    </cfRule>
  </conditionalFormatting>
  <conditionalFormatting sqref="A61:A113">
    <cfRule type="expression" priority="11" dxfId="6">
      <formula>HRA="None"</formula>
    </cfRule>
  </conditionalFormatting>
  <dataValidations count="2">
    <dataValidation sqref="B6:O57" showDropDown="0" showInputMessage="1" showErrorMessage="0" allowBlank="1" errorTitle="Not a figure" error="A figure in £ millions, to one decimal: 58.1 for £58.1m" promptTitle="£m" prompt="In £ millions to one decimal: 58.1 for £58.1m. Leave blank for not known." type="decimal" operator="between">
      <formula1>-1000000</formula1>
      <formula2>1000000</formula2>
    </dataValidation>
    <dataValidation sqref="B62:O113" showDropDown="0" showInputMessage="1" showErrorMessage="0" allowBlank="1" errorTitle="Not a figure" error="A figure in £ millions, to one decimal: 58.1 for £58.1m" promptTitle="£m" prompt="In £ millions to one decimal: 58.1 for £58.1m. Leave blank for not known." type="decimal" operator="between">
      <formula1>-1000000</formula1>
      <formula2>1000000</formula2>
    </dataValidation>
  </dataValidations>
  <hyperlinks>
    <hyperlink xmlns:r="http://schemas.openxmlformats.org/officeDocument/2006/relationships" ref="Q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8.xml><?xml version="1.0" encoding="utf-8"?>
<worksheet xmlns="http://schemas.openxmlformats.org/spreadsheetml/2006/main">
  <sheetPr>
    <tabColor rgb="00FD7E14"/>
    <outlinePr summaryBelow="1" summaryRight="1"/>
    <pageSetUpPr fitToPage="1"/>
  </sheetPr>
  <dimension ref="A1:N97"/>
  <sheetViews>
    <sheetView showGridLines="0" workbookViewId="0">
      <pane ySplit="3" topLeftCell="A4" activePane="bottomLeft" state="frozen"/>
      <selection pane="bottomLeft" activeCell="A1" sqref="A1"/>
    </sheetView>
  </sheetViews>
  <sheetFormatPr baseColWidth="8" defaultRowHeight="15"/>
  <cols>
    <col width="2" customWidth="1" min="1" max="1"/>
    <col width="3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hidden="1" width="13" customWidth="1" min="14" max="14"/>
  </cols>
  <sheetData>
    <row r="1" ht="36" customHeight="1">
      <c r="A1" s="21" t="inlineStr">
        <is>
          <t>Dashboard</t>
        </is>
      </c>
      <c r="B1" s="2" t="n"/>
      <c r="C1" s="2" t="n"/>
      <c r="D1" s="2" t="n"/>
      <c r="E1" s="2" t="n"/>
      <c r="F1" s="2" t="n"/>
      <c r="G1" s="2" t="n"/>
      <c r="H1" s="2" t="n"/>
      <c r="I1" s="2" t="n"/>
      <c r="J1" s="22" t="inlineStr">
        <is>
          <t>for checking what the rows add up to</t>
        </is>
      </c>
      <c r="L1" s="23" t="inlineStr">
        <is>
          <t>◂ Start here</t>
        </is>
      </c>
    </row>
    <row r="2" ht="42" customHeight="1">
      <c r="B2" s="45" t="inlineStr">
        <is>
          <t>What the four tables add up to as at the Settings date, for checking as you type: term deals at nominal while they are out, loans at principal outstanding, a LOBO at its next call, EIP and annuity loans instalment by instalment on the cycle that ends at maturity (the Loan maths sheet shows each loan's). Nothing here is read by the page or the tool, which do the same sums their own way.</t>
        </is>
      </c>
    </row>
    <row r="3">
      <c r="B3" s="46" t="inlineStr">
        <is>
          <t>As at</t>
        </is>
      </c>
      <c r="C3" s="47">
        <f>AsAt</f>
        <v>46295.0</v>
      </c>
      <c r="D3" s="46" t="inlineStr">
        <is>
          <t>Period from</t>
        </is>
      </c>
      <c r="E3" s="47">
        <f>PeriodFrom</f>
        <v>46113.0</v>
      </c>
      <c r="F3" s="46" t="inlineStr">
        <is>
          <t>HRA</t>
        </is>
      </c>
      <c r="G3" s="48" t="str">
        <f>HRA</f>
        <v>None</v>
      </c>
    </row>
    <row r="4"/>
    <row r="5" ht="30" customHeight="1">
      <c r="B5" s="49">
        <f>SUMPRODUCT(('Deal maths'!$F$4:$F$2000&gt;AsAt)*('Deal maths'!$E$4:$E$2000&lt;=AsAt)*('Deal maths'!$H$4:$H$2000+('Deal maths'!$H$4:$H$2000=0)*'Deal maths'!$D$4:$D$2000))+SUM('Deal maths'!$M$4:$M$2000)</f>
        <v>0</v>
      </c>
      <c r="C5" s="50">
        <f>SUMPRODUCT(('Deal maths'!$F$4:$F$2000&gt;AsAt)*('Deal maths'!$E$4:$E$2000&lt;=AsAt)*(('Deal maths'!$H$4:$H$2000+('Deal maths'!$H$4:$H$2000=0)*'Deal maths'!$D$4:$D$2000)&gt;0))</f>
        <v>0</v>
      </c>
      <c r="D5" s="49">
        <f>SUM('Deal maths'!$M$4:$M$2000)</f>
        <v>0</v>
      </c>
      <c r="E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v>
      </c>
      <c r="F5" s="49">
        <f>SUMPRODUCT((LN_maturity&gt;AsAt)*(LN_start&lt;=AsAt)*LN_principal)</f>
        <v>0</v>
      </c>
      <c r="G5" s="50">
        <f>SUM(LM_live)</f>
        <v>0</v>
      </c>
      <c r="H5" s="51">
        <f>IFERROR(SUMPRODUCT((LN_maturity&gt;AsAt)*(LN_start&lt;=AsAt)*LN_principal*'Deal maths'!$AB$4:$AB$1000)/SUMPRODUCT((LN_maturity&gt;AsAt)*(LN_start&lt;=AsAt)*LN_principal*'Deal maths'!$AH$4:$AH$1000),0)</f>
        <v>0</v>
      </c>
      <c r="I5" s="49">
        <f>SUMPRODUCT(('Deal maths'!$R$4:$R$2000&gt;0)*('Deal maths'!$S$4:$S$2000+('Deal maths'!$S$4:$S$2000=0)*'Deal maths'!$R$4:$R$2000))</f>
        <v>0</v>
      </c>
    </row>
    <row r="6" ht="18" customHeight="1">
      <c r="B6" s="52" t="inlineStr">
        <is>
          <t>Invested</t>
        </is>
      </c>
      <c r="C6" s="52" t="inlineStr">
        <is>
          <t>Term deals</t>
        </is>
      </c>
      <c r="D6" s="52" t="inlineStr">
        <is>
          <t>On call and in MMFs</t>
        </is>
      </c>
      <c r="E6" s="52" t="inlineStr">
        <is>
          <t>Investment rate</t>
        </is>
      </c>
      <c r="F6" s="52" t="inlineStr">
        <is>
          <t>Borrowed</t>
        </is>
      </c>
      <c r="G6" s="52" t="inlineStr">
        <is>
          <t>Loans</t>
        </is>
      </c>
      <c r="H6" s="52" t="inlineStr">
        <is>
          <t>Debt rate</t>
        </is>
      </c>
      <c r="I6" s="52" t="inlineStr">
        <is>
          <t>Pooled funds, latest</t>
        </is>
      </c>
    </row>
    <row r="7"/>
    <row r="8">
      <c r="B8" s="8" t="inlineStr">
        <is>
          <t>Investments by counterparty type</t>
        </is>
      </c>
    </row>
    <row r="9" ht="26" customHeight="1">
      <c r="B9" s="53" t="inlineStr">
        <is>
          <t>Counterparty type</t>
        </is>
      </c>
      <c r="C9" s="54" t="inlineStr">
        <is>
          <t>Amount</t>
        </is>
      </c>
      <c r="D9" s="54" t="inlineStr">
        <is>
          <t>Share</t>
        </is>
      </c>
    </row>
    <row r="10">
      <c r="B10" s="55" t="inlineStr">
        <is>
          <t>UK bank</t>
        </is>
      </c>
      <c r="C10" s="56">
        <f>SUMPRODUCT(('Deal maths'!$F$4:$F$2000&gt;AsAt)*('Deal maths'!$E$4:$E$2000&lt;=AsAt)*('Deal maths'!$C$4:$C$2000="UK bank")*('Deal maths'!$H$4:$H$2000+('Deal maths'!$H$4:$H$2000=0)*'Deal maths'!$D$4:$D$2000))+SUMPRODUCT(('Deal maths'!$L$4:$L$2000="UK bank")*'Deal maths'!$M$4:$M$2000)</f>
        <v>0</v>
      </c>
      <c r="D10" s="57">
        <f>IFERROR(C10/C$19,0)</f>
        <v>0</v>
      </c>
    </row>
    <row r="11">
      <c r="B11" s="55" t="inlineStr">
        <is>
          <t>Overseas bank</t>
        </is>
      </c>
      <c r="C11" s="56">
        <f>SUMPRODUCT(('Deal maths'!$F$4:$F$2000&gt;AsAt)*('Deal maths'!$E$4:$E$2000&lt;=AsAt)*('Deal maths'!$C$4:$C$2000="Overseas bank")*('Deal maths'!$H$4:$H$2000+('Deal maths'!$H$4:$H$2000=0)*'Deal maths'!$D$4:$D$2000))+SUMPRODUCT(('Deal maths'!$L$4:$L$2000="Overseas bank")*'Deal maths'!$M$4:$M$2000)</f>
        <v>0</v>
      </c>
      <c r="D11" s="57">
        <f>IFERROR(C11/C$19,0)</f>
        <v>0</v>
      </c>
    </row>
    <row r="12">
      <c r="B12" s="55" t="inlineStr">
        <is>
          <t>Building society</t>
        </is>
      </c>
      <c r="C12" s="56">
        <f>SUMPRODUCT(('Deal maths'!$F$4:$F$2000&gt;AsAt)*('Deal maths'!$E$4:$E$2000&lt;=AsAt)*('Deal maths'!$C$4:$C$2000="Building society")*('Deal maths'!$H$4:$H$2000+('Deal maths'!$H$4:$H$2000=0)*'Deal maths'!$D$4:$D$2000))+SUMPRODUCT(('Deal maths'!$L$4:$L$2000="Building society")*'Deal maths'!$M$4:$M$2000)</f>
        <v>0</v>
      </c>
      <c r="D12" s="57">
        <f>IFERROR(C12/C$19,0)</f>
        <v>0</v>
      </c>
    </row>
    <row r="13">
      <c r="B13" s="55" t="inlineStr">
        <is>
          <t>Local authority</t>
        </is>
      </c>
      <c r="C13" s="56">
        <f>SUMPRODUCT(('Deal maths'!$F$4:$F$2000&gt;AsAt)*('Deal maths'!$E$4:$E$2000&lt;=AsAt)*('Deal maths'!$C$4:$C$2000="Local authority")*('Deal maths'!$H$4:$H$2000+('Deal maths'!$H$4:$H$2000=0)*'Deal maths'!$D$4:$D$2000))+SUMPRODUCT(('Deal maths'!$L$4:$L$2000="Local authority")*'Deal maths'!$M$4:$M$2000)</f>
        <v>0</v>
      </c>
      <c r="D13" s="57">
        <f>IFERROR(C13/C$19,0)</f>
        <v>0</v>
      </c>
    </row>
    <row r="14">
      <c r="B14" s="55" t="inlineStr">
        <is>
          <t>UK Government</t>
        </is>
      </c>
      <c r="C14" s="56">
        <f>SUMPRODUCT(('Deal maths'!$F$4:$F$2000&gt;AsAt)*('Deal maths'!$E$4:$E$2000&lt;=AsAt)*('Deal maths'!$C$4:$C$2000="UK Government")*('Deal maths'!$H$4:$H$2000+('Deal maths'!$H$4:$H$2000=0)*'Deal maths'!$D$4:$D$2000))+SUMPRODUCT(('Deal maths'!$L$4:$L$2000="UK Government")*'Deal maths'!$M$4:$M$2000)</f>
        <v>0</v>
      </c>
      <c r="D14" s="57">
        <f>IFERROR(C14/C$19,0)</f>
        <v>0</v>
      </c>
    </row>
    <row r="15">
      <c r="B15" s="55" t="inlineStr">
        <is>
          <t>Money market fund</t>
        </is>
      </c>
      <c r="C15" s="56">
        <f>SUMPRODUCT(('Deal maths'!$F$4:$F$2000&gt;AsAt)*('Deal maths'!$E$4:$E$2000&lt;=AsAt)*('Deal maths'!$C$4:$C$2000="Money market fund")*('Deal maths'!$H$4:$H$2000+('Deal maths'!$H$4:$H$2000=0)*'Deal maths'!$D$4:$D$2000))+SUMPRODUCT(('Deal maths'!$L$4:$L$2000="Money market fund")*'Deal maths'!$M$4:$M$2000)</f>
        <v>0</v>
      </c>
      <c r="D15" s="57">
        <f>IFERROR(C15/C$19,0)</f>
        <v>0</v>
      </c>
    </row>
    <row r="16">
      <c r="B16" s="55" t="inlineStr">
        <is>
          <t>Pooled fund</t>
        </is>
      </c>
      <c r="C16" s="56">
        <f>SUMPRODUCT(('Deal maths'!$F$4:$F$2000&gt;AsAt)*('Deal maths'!$E$4:$E$2000&lt;=AsAt)*('Deal maths'!$C$4:$C$2000="Pooled fund")*('Deal maths'!$H$4:$H$2000+('Deal maths'!$H$4:$H$2000=0)*'Deal maths'!$D$4:$D$2000))+SUMPRODUCT(('Deal maths'!$L$4:$L$2000="Pooled fund")*'Deal maths'!$M$4:$M$2000)</f>
        <v>0</v>
      </c>
      <c r="D16" s="57">
        <f>IFERROR(C16/C$19,0)</f>
        <v>0</v>
      </c>
    </row>
    <row r="17">
      <c r="B17" s="55" t="inlineStr">
        <is>
          <t>Other</t>
        </is>
      </c>
      <c r="C17" s="56">
        <f>SUMPRODUCT(('Deal maths'!$F$4:$F$2000&gt;AsAt)*('Deal maths'!$E$4:$E$2000&lt;=AsAt)*('Deal maths'!$C$4:$C$2000="Other")*('Deal maths'!$H$4:$H$2000+('Deal maths'!$H$4:$H$2000=0)*'Deal maths'!$D$4:$D$2000))+SUMPRODUCT(('Deal maths'!$L$4:$L$2000="Other")*'Deal maths'!$M$4:$M$2000)</f>
        <v>0</v>
      </c>
      <c r="D17" s="57">
        <f>IFERROR(C17/C$19,0)</f>
        <v>0</v>
      </c>
    </row>
    <row r="18">
      <c r="B18" s="55" t="inlineStr">
        <is>
          <t>Not on the list</t>
        </is>
      </c>
      <c r="C18" s="56">
        <f>SUMPRODUCT(('Deal maths'!$F$4:$F$2000&gt;AsAt)*('Deal maths'!$E$4:$E$2000&lt;=AsAt)*(COUNTIF(CounterpartyTypes,'Deal maths'!$C$4:$C$2000)=0)*('Deal maths'!$H$4:$H$2000+('Deal maths'!$H$4:$H$2000=0)*'Deal maths'!$D$4:$D$2000))+SUMPRODUCT((COUNTIF(CounterpartyTypes,'Deal maths'!$L$4:$L$2000)=0)*'Deal maths'!$M$4:$M$2000)</f>
        <v>0</v>
      </c>
      <c r="D18" s="57">
        <f>IFERROR(C18/C$19,0)</f>
        <v>0</v>
      </c>
    </row>
    <row r="19">
      <c r="B19" s="58" t="inlineStr">
        <is>
          <t>Total</t>
        </is>
      </c>
      <c r="C19" s="59">
        <f>SUM(C10:C18)</f>
        <v>0</v>
      </c>
      <c r="D19" s="60">
        <f>IFERROR(SUM(D10:D18),0)</f>
        <v>0</v>
      </c>
    </row>
    <row r="20" ht="25" customHeight="1">
      <c r="B20" s="45" t="inlineStr">
        <is>
          <t>Term deals at nominal and call balances together, by the Counterparty type column; a type not on the list (or blank) in its own row.</t>
        </is>
      </c>
    </row>
    <row r="21"/>
    <row r="22">
      <c r="B22" s="8" t="inlineStr">
        <is>
          <t>Maturity ladder</t>
        </is>
      </c>
    </row>
    <row r="23">
      <c r="B23" s="53" t="inlineStr">
        <is>
          <t>Available</t>
        </is>
      </c>
      <c r="C23" s="54" t="inlineStr">
        <is>
          <t>Amount</t>
        </is>
      </c>
    </row>
    <row r="24">
      <c r="B24" s="55" t="inlineStr">
        <is>
          <t>On call</t>
        </is>
      </c>
      <c r="C24" s="56">
        <f>SUMPRODUCT(('Deal maths'!$O$4:$O$2000=0)*'Deal maths'!$M$4:$M$2000)</f>
        <v>0</v>
      </c>
    </row>
    <row r="25">
      <c r="B25" s="55" t="inlineStr">
        <is>
          <t>Under 3 months</t>
        </is>
      </c>
      <c r="C25" s="56">
        <f>SUMPRODUCT(('Deal maths'!$F$4:$F$2000&gt;AsAt)*('Deal maths'!$E$4:$E$2000&lt;=AsAt)*('Deal maths'!$F$4:$F$2000&lt;IF(DAY(AsAt+1)=1,EOMONTH(AsAt,3),EDATE(AsAt,3)))*('Deal maths'!$H$4:$H$2000+('Deal maths'!$H$4:$H$2000=0)*'Deal maths'!$D$4:$D$2000))+SUMPRODUCT(('Deal maths'!$O$4:$O$2000&gt;0)*(AsAt+'Deal maths'!$O$4:$O$2000&gt;=AsAt)*(AsAt+'Deal maths'!$O$4:$O$2000&lt;IF(DAY(AsAt+1)=1,EOMONTH(AsAt,3),EDATE(AsAt,3)))*'Deal maths'!$M$4:$M$2000)</f>
        <v>0</v>
      </c>
    </row>
    <row r="26">
      <c r="B26" s="55" t="inlineStr">
        <is>
          <t>3 to 6 months</t>
        </is>
      </c>
      <c r="C26" s="56">
        <f>SUMPRODUCT(('Deal maths'!$F$4:$F$2000&gt;AsAt)*('Deal maths'!$E$4:$E$2000&lt;=AsAt)*('Deal maths'!$F$4:$F$2000&gt;=IF(DAY(AsAt+1)=1,EOMONTH(AsAt,3),EDATE(AsAt,3)))*('Deal maths'!$F$4:$F$2000&lt;IF(DAY(AsAt+1)=1,EOMONTH(AsAt,6),EDATE(AsAt,6)))*('Deal maths'!$H$4:$H$2000+('Deal maths'!$H$4:$H$2000=0)*'Deal maths'!$D$4:$D$2000))+SUMPRODUCT(('Deal maths'!$O$4:$O$2000&gt;0)*(AsAt+'Deal maths'!$O$4:$O$2000&gt;=IF(DAY(AsAt+1)=1,EOMONTH(AsAt,3),EDATE(AsAt,3)))*(AsAt+'Deal maths'!$O$4:$O$2000&lt;IF(DAY(AsAt+1)=1,EOMONTH(AsAt,6),EDATE(AsAt,6)))*'Deal maths'!$M$4:$M$2000)</f>
        <v>0</v>
      </c>
    </row>
    <row r="27">
      <c r="B27" s="55" t="inlineStr">
        <is>
          <t>6 to 12 months</t>
        </is>
      </c>
      <c r="C27" s="56">
        <f>SUMPRODUCT(('Deal maths'!$F$4:$F$2000&gt;AsAt)*('Deal maths'!$E$4:$E$2000&lt;=AsAt)*('Deal maths'!$F$4:$F$2000&gt;=IF(DAY(AsAt+1)=1,EOMONTH(AsAt,6),EDATE(AsAt,6)))*('Deal maths'!$F$4:$F$2000&lt;IF(DAY(AsAt+1)=1,EOMONTH(AsAt,12),EDATE(AsAt,12)))*('Deal maths'!$H$4:$H$2000+('Deal maths'!$H$4:$H$2000=0)*'Deal maths'!$D$4:$D$2000))+SUMPRODUCT(('Deal maths'!$O$4:$O$2000&gt;0)*(AsAt+'Deal maths'!$O$4:$O$2000&gt;=IF(DAY(AsAt+1)=1,EOMONTH(AsAt,6),EDATE(AsAt,6)))*(AsAt+'Deal maths'!$O$4:$O$2000&lt;IF(DAY(AsAt+1)=1,EOMONTH(AsAt,12),EDATE(AsAt,12)))*'Deal maths'!$M$4:$M$2000)</f>
        <v>0</v>
      </c>
    </row>
    <row r="28">
      <c r="B28" s="55" t="inlineStr">
        <is>
          <t>1 to 2 years</t>
        </is>
      </c>
      <c r="C28" s="56">
        <f>SUMPRODUCT(('Deal maths'!$F$4:$F$2000&gt;AsAt)*('Deal maths'!$E$4:$E$2000&lt;=AsAt)*('Deal maths'!$F$4:$F$2000&gt;=IF(DAY(AsAt+1)=1,EOMONTH(AsAt,12),EDATE(AsAt,12)))*('Deal maths'!$F$4:$F$2000&lt;IF(DAY(AsAt+1)=1,EOMONTH(AsAt,24),EDATE(AsAt,24)))*('Deal maths'!$H$4:$H$2000+('Deal maths'!$H$4:$H$2000=0)*'Deal maths'!$D$4:$D$2000))+SUMPRODUCT(('Deal maths'!$O$4:$O$2000&gt;0)*(AsAt+'Deal maths'!$O$4:$O$2000&gt;=IF(DAY(AsAt+1)=1,EOMONTH(AsAt,12),EDATE(AsAt,12)))*(AsAt+'Deal maths'!$O$4:$O$2000&lt;IF(DAY(AsAt+1)=1,EOMONTH(AsAt,24),EDATE(AsAt,24)))*'Deal maths'!$M$4:$M$2000)</f>
        <v>0</v>
      </c>
    </row>
    <row r="29">
      <c r="B29" s="55" t="inlineStr">
        <is>
          <t>2 to 5 years</t>
        </is>
      </c>
      <c r="C29" s="56">
        <f>SUMPRODUCT(('Deal maths'!$F$4:$F$2000&gt;AsAt)*('Deal maths'!$E$4:$E$2000&lt;=AsAt)*('Deal maths'!$F$4:$F$2000&gt;=IF(DAY(AsAt+1)=1,EOMONTH(AsAt,24),EDATE(AsAt,24)))*('Deal maths'!$F$4:$F$2000&lt;IF(DAY(AsAt+1)=1,EOMONTH(AsAt,60),EDATE(AsAt,60)))*('Deal maths'!$H$4:$H$2000+('Deal maths'!$H$4:$H$2000=0)*'Deal maths'!$D$4:$D$2000))+SUMPRODUCT(('Deal maths'!$O$4:$O$2000&gt;0)*(AsAt+'Deal maths'!$O$4:$O$2000&gt;=IF(DAY(AsAt+1)=1,EOMONTH(AsAt,24),EDATE(AsAt,24)))*(AsAt+'Deal maths'!$O$4:$O$2000&lt;IF(DAY(AsAt+1)=1,EOMONTH(AsAt,60),EDATE(AsAt,60)))*'Deal maths'!$M$4:$M$2000)</f>
        <v>0</v>
      </c>
    </row>
    <row r="30">
      <c r="B30" s="55" t="inlineStr">
        <is>
          <t>Over 5 years</t>
        </is>
      </c>
      <c r="C30" s="56">
        <f>SUMPRODUCT(('Deal maths'!$F$4:$F$2000&gt;AsAt)*('Deal maths'!$E$4:$E$2000&lt;=AsAt)*('Deal maths'!$F$4:$F$2000&gt;=IF(DAY(AsAt+1)=1,EOMONTH(AsAt,60),EDATE(AsAt,60)))*1*('Deal maths'!$H$4:$H$2000+('Deal maths'!$H$4:$H$2000=0)*'Deal maths'!$D$4:$D$2000))+SUMPRODUCT(('Deal maths'!$O$4:$O$2000&gt;0)*(AsAt+'Deal maths'!$O$4:$O$2000&gt;=IF(DAY(AsAt+1)=1,EOMONTH(AsAt,60),EDATE(AsAt,60)))*'Deal maths'!$M$4:$M$2000)</f>
        <v>0</v>
      </c>
    </row>
    <row r="31">
      <c r="B31" s="58" t="inlineStr">
        <is>
          <t>Total</t>
        </is>
      </c>
      <c r="C31" s="59">
        <f>SUM(C24:C30)</f>
        <v>0</v>
      </c>
    </row>
    <row r="32" ht="25" customHeight="1">
      <c r="B32" s="45" t="inlineStr">
        <is>
          <t>Money on call first, a notice account at its notice, term deals at nominal by time to maturity; pooled funds are not here.</t>
        </is>
      </c>
    </row>
    <row r="33"/>
    <row r="34"/>
    <row r="35">
      <c r="B35" s="8" t="inlineStr">
        <is>
          <t>Borrowing by lender type</t>
        </is>
      </c>
    </row>
    <row r="36">
      <c r="B36" s="53" t="inlineStr">
        <is>
          <t>Lender type</t>
        </is>
      </c>
      <c r="C36" s="54" t="inlineStr">
        <is>
          <t>Outstanding</t>
        </is>
      </c>
      <c r="D36" s="54" t="inlineStr">
        <is>
          <t>Share</t>
        </is>
      </c>
    </row>
    <row r="37">
      <c r="B37" s="55" t="inlineStr">
        <is>
          <t>PWLB</t>
        </is>
      </c>
      <c r="C37" s="56">
        <f>SUMPRODUCT((LN_maturity&gt;AsAt)*(LN_start&lt;=AsAt)*('Deal maths'!$X$4:$X$1000="PWLB")*LN_principal)</f>
        <v>0</v>
      </c>
      <c r="D37" s="57">
        <f>IFERROR(C37/C$43,0)</f>
        <v>0</v>
      </c>
    </row>
    <row r="38">
      <c r="B38" s="55" t="inlineStr">
        <is>
          <t>Local authority</t>
        </is>
      </c>
      <c r="C38" s="56">
        <f>SUMPRODUCT((LN_maturity&gt;AsAt)*(LN_start&lt;=AsAt)*('Deal maths'!$X$4:$X$1000="Local authority")*LN_principal)</f>
        <v>0</v>
      </c>
      <c r="D38" s="57">
        <f>IFERROR(C38/C$43,0)</f>
        <v>0</v>
      </c>
    </row>
    <row r="39">
      <c r="B39" s="55" t="inlineStr">
        <is>
          <t>UK bank</t>
        </is>
      </c>
      <c r="C39" s="56">
        <f>SUMPRODUCT((LN_maturity&gt;AsAt)*(LN_start&lt;=AsAt)*('Deal maths'!$X$4:$X$1000="UK bank")*LN_principal)</f>
        <v>0</v>
      </c>
      <c r="D39" s="57">
        <f>IFERROR(C39/C$43,0)</f>
        <v>0</v>
      </c>
    </row>
    <row r="40">
      <c r="B40" s="55" t="inlineStr">
        <is>
          <t>Overseas bank</t>
        </is>
      </c>
      <c r="C40" s="56">
        <f>SUMPRODUCT((LN_maturity&gt;AsAt)*(LN_start&lt;=AsAt)*('Deal maths'!$X$4:$X$1000="Overseas bank")*LN_principal)</f>
        <v>0</v>
      </c>
      <c r="D40" s="57">
        <f>IFERROR(C40/C$43,0)</f>
        <v>0</v>
      </c>
    </row>
    <row r="41">
      <c r="B41" s="55" t="inlineStr">
        <is>
          <t>Other</t>
        </is>
      </c>
      <c r="C41" s="56">
        <f>SUMPRODUCT((LN_maturity&gt;AsAt)*(LN_start&lt;=AsAt)*('Deal maths'!$X$4:$X$1000="Other")*LN_principal)</f>
        <v>0</v>
      </c>
      <c r="D41" s="57">
        <f>IFERROR(C41/C$43,0)</f>
        <v>0</v>
      </c>
    </row>
    <row r="42">
      <c r="B42" s="55" t="inlineStr">
        <is>
          <t>Not on the list</t>
        </is>
      </c>
      <c r="C42" s="56">
        <f>SUMPRODUCT((LN_maturity&gt;AsAt)*(LN_start&lt;=AsAt)*(COUNTIF(LenderTypes,'Deal maths'!$X$4:$X$1000)=0)*LN_principal)</f>
        <v>0</v>
      </c>
      <c r="D42" s="57">
        <f>IFERROR(C42/C$43,0)</f>
        <v>0</v>
      </c>
    </row>
    <row r="43">
      <c r="B43" s="58" t="inlineStr">
        <is>
          <t>Total</t>
        </is>
      </c>
      <c r="C43" s="59">
        <f>SUM(C37:C42)</f>
        <v>0</v>
      </c>
      <c r="D43" s="60">
        <f>IFERROR(SUM(D37:D42),0)</f>
        <v>0</v>
      </c>
    </row>
    <row r="44">
      <c r="B44" s="8" t="inlineStr">
        <is>
          <t>By fund (Settings: Two pools)</t>
        </is>
      </c>
    </row>
    <row r="45">
      <c r="B45" s="53" t="inlineStr">
        <is>
          <t>Fund</t>
        </is>
      </c>
      <c r="C45" s="54" t="inlineStr">
        <is>
          <t>Outstanding</t>
        </is>
      </c>
    </row>
    <row r="46">
      <c r="B46" s="55" t="inlineStr">
        <is>
          <t>General Fund</t>
        </is>
      </c>
      <c r="C46" s="56">
        <f>SUMPRODUCT((LN_maturity&gt;AsAt)*(LN_start&lt;=AsAt)*(LN_fund="General Fund")*LN_principal)</f>
        <v>0</v>
      </c>
    </row>
    <row r="47">
      <c r="B47" s="55" t="inlineStr">
        <is>
          <t>HRA</t>
        </is>
      </c>
      <c r="C47" s="56">
        <f>SUMPRODUCT((LN_maturity&gt;AsAt)*(LN_start&lt;=AsAt)*(LN_fund="HRA")*LN_principal)</f>
        <v>0</v>
      </c>
    </row>
    <row r="48">
      <c r="B48" s="55" t="inlineStr">
        <is>
          <t>Not stated</t>
        </is>
      </c>
      <c r="C48" s="56">
        <f>SUMPRODUCT((LN_maturity&gt;AsAt)*(LN_start&lt;=AsAt)*(LN_fund="")*LN_principal)</f>
        <v>0</v>
      </c>
    </row>
    <row r="49">
      <c r="B49" s="58" t="inlineStr">
        <is>
          <t>Total</t>
        </is>
      </c>
      <c r="C49" s="59">
        <f>SUM(C46:C48)</f>
        <v>0</v>
      </c>
    </row>
    <row r="50"/>
    <row r="51">
      <c r="B51" s="8" t="inlineStr">
        <is>
          <t>Maturity structure of borrowing</t>
        </is>
      </c>
    </row>
    <row r="52">
      <c r="B52" s="53" t="inlineStr">
        <is>
          <t>Maturing in</t>
        </is>
      </c>
      <c r="C52" s="54" t="inlineStr">
        <is>
          <t>Principal</t>
        </is>
      </c>
      <c r="D52" s="54" t="inlineStr">
        <is>
          <t>Share</t>
        </is>
      </c>
    </row>
    <row r="53">
      <c r="B53" s="55" t="inlineStr">
        <is>
          <t>Under 1 year</t>
        </is>
      </c>
      <c r="C53" s="56">
        <f>SUMPRODUCT(LM_live*(LM_profile="EIP")*LM_eip*((('Loan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SUMPRODUCT(LM_live*(LM_profile="Annuity")*(((LM_rate&gt;0)*(LM_out*(1+LM_rate)^(LM_paid-LM_paid)-LM_annuity*((1+LM_rate)^(LM_paid-LM_paid)-1)/LM_safe)+(LM_rate=0)*(LM_out-LM_annuity*(LM_paid-LM_paid)))-((LM_rate&gt;0)*(LM_out*(1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maths'!$U$2&gt;=LN_maturity))-LM_paid)-LM_annuity*((1+LM_rate)^((('Loan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maths'!$U$2&gt;=LN_maturity))-LM_paid)-1)/LM_safe)+(LM_rate=0)*(LM_out-LM_annuity*((('Loan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maths'!$U$2&gt;=LN_maturity))-LM_paid)))))+SUMPRODUCT(LM_live*((LM_profile&lt;&gt;"EIP")*(LM_profile&lt;&gt;"Annuity"))*(LM_end&gt;AsAt)*(LM_end&lt;='Loan maths'!$U$2)*LN_principal)</f>
        <v>0</v>
      </c>
      <c r="D53" s="57">
        <f>IFERROR(C53/C$62,0)</f>
        <v>0</v>
      </c>
    </row>
    <row r="54">
      <c r="B54" s="55" t="inlineStr">
        <is>
          <t>1 to 2 years</t>
        </is>
      </c>
      <c r="C54" s="56">
        <f>SUMPRODUCT(LM_live*(LM_profile="EIP")*LM_eip*((('Loan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maths'!$U$2&gt;=LN_maturity))))+SUMPRODUCT(LM_live*(LM_profile="Annuity")*(((LM_rate&gt;0)*(LM_out*(1+LM_rate)^((('Loan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maths'!$U$2&gt;=LN_maturity))-LM_paid)-LM_annuity*((1+LM_rate)^((('Loan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maths'!$U$2&gt;=LN_maturity))-LM_paid)-1)/LM_safe)+(LM_rate=0)*(LM_out-LM_annuity*((('Loan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maths'!$U$2&gt;=LN_maturity))-LM_paid)))-((LM_rate&gt;0)*(LM_out*(1+LM_rate)^((('Loan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maths'!$V$2&gt;=LN_maturity))-LM_paid)-LM_annuity*((1+LM_rate)^((('Loan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maths'!$V$2&gt;=LN_maturity))-LM_paid)-1)/LM_safe)+(LM_rate=0)*(LM_out-LM_annuity*((('Loan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maths'!$V$2&gt;=LN_maturity))-LM_paid)))))+SUMPRODUCT(LM_live*((LM_profile&lt;&gt;"EIP")*(LM_profile&lt;&gt;"Annuity"))*(LM_end&gt;'Loan maths'!$U$2)*(LM_end&lt;='Loan maths'!$V$2)*LN_principal)</f>
        <v>0</v>
      </c>
      <c r="D54" s="57">
        <f>IFERROR(C54/C$62,0)</f>
        <v>0</v>
      </c>
    </row>
    <row r="55">
      <c r="B55" s="55" t="inlineStr">
        <is>
          <t>2 to 5 years</t>
        </is>
      </c>
      <c r="C55" s="56">
        <f>SUMPRODUCT(LM_live*(LM_profile="EIP")*LM_eip*((('Loan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maths'!$V$2&gt;=LN_maturity))))+SUMPRODUCT(LM_live*(LM_profile="Annuity")*(((LM_rate&gt;0)*(LM_out*(1+LM_rate)^((('Loan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maths'!$V$2&gt;=LN_maturity))-LM_paid)-LM_annuity*((1+LM_rate)^((('Loan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maths'!$V$2&gt;=LN_maturity))-LM_paid)-1)/LM_safe)+(LM_rate=0)*(LM_out-LM_annuity*((('Loan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maths'!$V$2&gt;=LN_maturity))-LM_paid)))-((LM_rate&gt;0)*(LM_out*(1+LM_rate)^((('Loan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maths'!$W$2&gt;=LN_maturity))-LM_paid)-LM_annuity*((1+LM_rate)^((('Loan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maths'!$W$2&gt;=LN_maturity))-LM_paid)-1)/LM_safe)+(LM_rate=0)*(LM_out-LM_annuity*((('Loan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maths'!$W$2&gt;=LN_maturity))-LM_paid)))))+SUMPRODUCT(LM_live*((LM_profile&lt;&gt;"EIP")*(LM_profile&lt;&gt;"Annuity"))*(LM_end&gt;'Loan maths'!$V$2)*(LM_end&lt;='Loan maths'!$W$2)*LN_principal)</f>
        <v>0</v>
      </c>
      <c r="D55" s="57">
        <f>IFERROR(C55/C$62,0)</f>
        <v>0</v>
      </c>
    </row>
    <row r="56">
      <c r="B56" s="55" t="inlineStr">
        <is>
          <t>5 to 10 years</t>
        </is>
      </c>
      <c r="C56" s="56">
        <f>SUMPRODUCT(LM_live*(LM_profile="EIP")*LM_eip*((('Loan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maths'!$W$2&gt;=LN_maturity))))+SUMPRODUCT(LM_live*(LM_profile="Annuity")*(((LM_rate&gt;0)*(LM_out*(1+LM_rate)^((('Loan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maths'!$W$2&gt;=LN_maturity))-LM_paid)-LM_annuity*((1+LM_rate)^((('Loan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maths'!$W$2&gt;=LN_maturity))-LM_paid)-1)/LM_safe)+(LM_rate=0)*(LM_out-LM_annuity*((('Loan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maths'!$W$2&gt;=LN_maturity))-LM_paid)))-((LM_rate&gt;0)*(LM_out*(1+LM_rate)^((('Loan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maths'!$X$2&gt;=LN_maturity))-LM_paid)-LM_annuity*((1+LM_rate)^((('Loan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maths'!$X$2&gt;=LN_maturity))-LM_paid)-1)/LM_safe)+(LM_rate=0)*(LM_out-LM_annuity*((('Loan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maths'!$X$2&gt;=LN_maturity))-LM_paid)))))+SUMPRODUCT(LM_live*((LM_profile&lt;&gt;"EIP")*(LM_profile&lt;&gt;"Annuity"))*(LM_end&gt;'Loan maths'!$W$2)*(LM_end&lt;='Loan maths'!$X$2)*LN_principal)</f>
        <v>0</v>
      </c>
      <c r="D56" s="57">
        <f>IFERROR(C56/C$62,0)</f>
        <v>0</v>
      </c>
    </row>
    <row r="57">
      <c r="B57" s="55" t="inlineStr">
        <is>
          <t>10 to 20 years</t>
        </is>
      </c>
      <c r="C57" s="56">
        <f>SUMPRODUCT(LM_live*(LM_profile="EIP")*LM_eip*((('Loan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maths'!$X$2&gt;=LN_maturity))))+SUMPRODUCT(LM_live*(LM_profile="Annuity")*(((LM_rate&gt;0)*(LM_out*(1+LM_rate)^((('Loan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maths'!$X$2&gt;=LN_maturity))-LM_paid)-LM_annuity*((1+LM_rate)^((('Loan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maths'!$X$2&gt;=LN_maturity))-LM_paid)-1)/LM_safe)+(LM_rate=0)*(LM_out-LM_annuity*((('Loan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maths'!$X$2&gt;=LN_maturity))-LM_paid)))-((LM_rate&gt;0)*(LM_out*(1+LM_rate)^((('Loan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maths'!$Y$2&gt;=LN_maturity))-LM_paid)-LM_annuity*((1+LM_rate)^((('Loan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maths'!$Y$2&gt;=LN_maturity))-LM_paid)-1)/LM_safe)+(LM_rate=0)*(LM_out-LM_annuity*((('Loan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maths'!$Y$2&gt;=LN_maturity))-LM_paid)))))+SUMPRODUCT(LM_live*((LM_profile&lt;&gt;"EIP")*(LM_profile&lt;&gt;"Annuity"))*(LM_end&gt;'Loan maths'!$X$2)*(LM_end&lt;='Loan maths'!$Y$2)*LN_principal)</f>
        <v>0</v>
      </c>
      <c r="D57" s="57">
        <f>IFERROR(C57/C$62,0)</f>
        <v>0</v>
      </c>
    </row>
    <row r="58">
      <c r="B58" s="55" t="inlineStr">
        <is>
          <t>20 to 30 years</t>
        </is>
      </c>
      <c r="C58" s="56">
        <f>SUMPRODUCT(LM_live*(LM_profile="EIP")*LM_eip*((('Loan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maths'!$Y$2&gt;=LN_maturity))))+SUMPRODUCT(LM_live*(LM_profile="Annuity")*(((LM_rate&gt;0)*(LM_out*(1+LM_rate)^((('Loan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maths'!$Y$2&gt;=LN_maturity))-LM_paid)-LM_annuity*((1+LM_rate)^((('Loan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maths'!$Y$2&gt;=LN_maturity))-LM_paid)-1)/LM_safe)+(LM_rate=0)*(LM_out-LM_annuity*((('Loan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maths'!$Y$2&gt;=LN_maturity))-LM_paid)))-((LM_rate&gt;0)*(LM_out*(1+LM_rate)^((('Loan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maths'!$Z$2&gt;=LN_maturity))-LM_paid)-LM_annuity*((1+LM_rate)^((('Loan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maths'!$Z$2&gt;=LN_maturity))-LM_paid)-1)/LM_safe)+(LM_rate=0)*(LM_out-LM_annuity*((('Loan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maths'!$Z$2&gt;=LN_maturity))-LM_paid)))))+SUMPRODUCT(LM_live*((LM_profile&lt;&gt;"EIP")*(LM_profile&lt;&gt;"Annuity"))*(LM_end&gt;'Loan maths'!$Y$2)*(LM_end&lt;='Loan maths'!$Z$2)*LN_principal)</f>
        <v>0</v>
      </c>
      <c r="D58" s="57">
        <f>IFERROR(C58/C$62,0)</f>
        <v>0</v>
      </c>
    </row>
    <row r="59">
      <c r="B59" s="55" t="inlineStr">
        <is>
          <t>30 to 40 years</t>
        </is>
      </c>
      <c r="C59" s="56">
        <f>SUMPRODUCT(LM_live*(LM_profile="EIP")*LM_eip*((('Loan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maths'!$Z$2&gt;=LN_maturity))))+SUMPRODUCT(LM_live*(LM_profile="Annuity")*(((LM_rate&gt;0)*(LM_out*(1+LM_rate)^((('Loan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maths'!$Z$2&gt;=LN_maturity))-LM_paid)-LM_annuity*((1+LM_rate)^((('Loan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maths'!$Z$2&gt;=LN_maturity))-LM_paid)-1)/LM_safe)+(LM_rate=0)*(LM_out-LM_annuity*((('Loan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maths'!$Z$2&gt;=LN_maturity))-LM_paid)))-((LM_rate&gt;0)*(LM_out*(1+LM_rate)^((('Loan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maths'!$AA$2&gt;=LN_maturity))-LM_paid)-LM_annuity*((1+LM_rate)^((('Loan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maths'!$AA$2&gt;=LN_maturity))-LM_paid)-1)/LM_safe)+(LM_rate=0)*(LM_out-LM_annuity*((('Loan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maths'!$AA$2&gt;=LN_maturity))-LM_paid)))))+SUMPRODUCT(LM_live*((LM_profile&lt;&gt;"EIP")*(LM_profile&lt;&gt;"Annuity"))*(LM_end&gt;'Loan maths'!$Z$2)*(LM_end&lt;='Loan maths'!$AA$2)*LN_principal)</f>
        <v>0</v>
      </c>
      <c r="D59" s="57">
        <f>IFERROR(C59/C$62,0)</f>
        <v>0</v>
      </c>
    </row>
    <row r="60">
      <c r="B60" s="55" t="inlineStr">
        <is>
          <t>40 to 50 years</t>
        </is>
      </c>
      <c r="C60" s="56">
        <f>SUMPRODUCT(LM_live*(LM_profile="EIP")*LM_eip*((('Loan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maths'!$AA$2&gt;=LN_maturity))))+SUMPRODUCT(LM_live*(LM_profile="Annuity")*(((LM_rate&gt;0)*(LM_out*(1+LM_rate)^((('Loan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maths'!$AA$2&gt;=LN_maturity))-LM_paid)-LM_annuity*((1+LM_rate)^((('Loan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maths'!$AA$2&gt;=LN_maturity))-LM_paid)-1)/LM_safe)+(LM_rate=0)*(LM_out-LM_annuity*((('Loan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maths'!$AA$2&gt;=LN_maturity))-LM_paid)))-((LM_rate&gt;0)*(LM_out*(1+LM_rate)^((('Loan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maths'!$AB$2&gt;=LN_maturity))-LM_paid)-LM_annuity*((1+LM_rate)^((('Loan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maths'!$AB$2&gt;=LN_maturity))-LM_paid)-1)/LM_safe)+(LM_rate=0)*(LM_out-LM_annuity*((('Loan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maths'!$AB$2&gt;=LN_maturity))-LM_paid)))))+SUMPRODUCT(LM_live*((LM_profile&lt;&gt;"EIP")*(LM_profile&lt;&gt;"Annuity"))*(LM_end&gt;'Loan maths'!$AA$2)*(LM_end&lt;='Loan maths'!$AB$2)*LN_principal)</f>
        <v>0</v>
      </c>
      <c r="D60" s="57">
        <f>IFERROR(C60/C$62,0)</f>
        <v>0</v>
      </c>
    </row>
    <row r="61">
      <c r="B61" s="55" t="inlineStr">
        <is>
          <t>Over 50 years</t>
        </is>
      </c>
      <c r="C61" s="56">
        <f>SUMPRODUCT(LM_live*(LM_profile="EIP")*LM_eip*((('Loan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maths'!$AB$2&gt;=LN_maturity))))+SUMPRODUCT(LM_live*(LM_profile="Annuity")*(((LM_rate&gt;0)*(LM_out*(1+LM_rate)^((('Loan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maths'!$AB$2&gt;=LN_maturity))-LM_paid)-LM_annuity*((1+LM_rate)^((('Loan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maths'!$AB$2&gt;=LN_maturity))-LM_paid)-1)/LM_safe)+(LM_rate=0)*(LM_out-LM_annuity*((('Loan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maths'!$AB$2&gt;=LN_maturity))-LM_paid)))-((LM_rate&gt;0)*(LM_out*(1+LM_rate)^((('Loan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maths'!$AC$2&gt;=LN_maturity))-LM_paid)-LM_annuity*((1+LM_rate)^((('Loan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maths'!$AC$2&gt;=LN_maturity))-LM_paid)-1)/LM_safe)+(LM_rate=0)*(LM_out-LM_annuity*((('Loan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maths'!$AC$2&gt;=LN_maturity))-LM_paid)))))+SUMPRODUCT(LM_live*((LM_profile&lt;&gt;"EIP")*(LM_profile&lt;&gt;"Annuity"))*(LM_end&gt;'Loan maths'!$AB$2)*(LM_end&lt;='Loan maths'!$AC$2)*LN_principal)</f>
        <v>0</v>
      </c>
      <c r="D61" s="57">
        <f>IFERROR(C61/C$62,0)</f>
        <v>0</v>
      </c>
    </row>
    <row r="62">
      <c r="B62" s="58" t="inlineStr">
        <is>
          <t>Total</t>
        </is>
      </c>
      <c r="C62" s="59">
        <f>SUM(C53:C61)</f>
        <v>0</v>
      </c>
      <c r="D62" s="60">
        <f>IFERROR(SUM(D53:D61),0)</f>
        <v>0</v>
      </c>
    </row>
    <row r="63" ht="37.5" customHeight="1">
      <c r="B63" s="45" t="inlineStr">
        <is>
          <t>Principal due in each period: a maturity loan at its end, a LOBO at its next call, an EIP loan's equal instalments and an annuity loan's growing principal parts on their payment dates.</t>
        </is>
      </c>
    </row>
    <row r="64"/>
    <row r="65">
      <c r="B65" s="8" t="inlineStr">
        <is>
          <t>The next twelve months</t>
        </is>
      </c>
    </row>
    <row r="66" ht="26" customHeight="1">
      <c r="B66" s="53" t="inlineStr">
        <is>
          <t>Month</t>
        </is>
      </c>
      <c r="C66" s="54" t="inlineStr">
        <is>
          <t>Investments maturing</t>
        </is>
      </c>
      <c r="D66" s="54" t="inlineStr">
        <is>
          <t>Loan repayments due</t>
        </is>
      </c>
      <c r="N66" s="38" t="inlineStr">
        <is>
          <t>Repayments, negated for the chart</t>
        </is>
      </c>
    </row>
    <row r="67">
      <c r="B67" s="55" t="str">
        <f>IF(DAY(AsAt+1)=1,TEXT(IF(DAY(AsAt+1)=1,EOMONTH(AsAt,1),EDATE(AsAt,1)),"mmm yy"),"to "&amp;TEXT(IF(DAY(AsAt+1)=1,EOMONTH(AsAt,1),EDATE(AsAt,1)),"d mmm yy"))</f>
        <v>Oct 26</v>
      </c>
      <c r="C67" s="56">
        <f>SUMPRODUCT(('Deal maths'!$F$4:$F$2000&gt;AsAt)*('Deal maths'!$E$4:$E$2000&lt;=AsAt)*('Deal maths'!$F$4:$F$2000&gt;IF(DAY(AsAt+1)=1,EOMONTH(AsAt,0),EDATE(AsAt,0)))*('Deal maths'!$F$4:$F$2000&lt;=IF(DAY(AsAt+1)=1,EOMONTH(AsAt,1),EDATE(AsAt,1)))*('Deal maths'!$H$4:$H$2000+('Deal maths'!$H$4:$H$2000=0)*'Deal maths'!$D$4:$D$2000))</f>
        <v>0</v>
      </c>
      <c r="D67" s="56">
        <f>SUMPRODUCT(LM_live*(LM_profile="EIP")*LM_eip*((('Loan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maths'!$AD$2&gt;=LN_maturity))))+SUMPRODUCT(LM_live*(LM_profile="Annuity")*(((LM_rate&gt;0)*(LM_out*(1+LM_rate)^((('Loan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maths'!$AD$2&gt;=LN_maturity))-LM_paid)-LM_annuity*((1+LM_rate)^((('Loan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maths'!$AD$2&gt;=LN_maturity))-LM_paid)-1)/LM_safe)+(LM_rate=0)*(LM_out-LM_annuity*((('Loan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maths'!$AD$2&gt;=LN_maturity))-LM_paid)))-((LM_rate&gt;0)*(LM_out*(1+LM_rate)^((('Loan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maths'!$AE$2&gt;=LN_maturity))-LM_paid)-LM_annuity*((1+LM_rate)^((('Loan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maths'!$AE$2&gt;=LN_maturity))-LM_paid)-1)/LM_safe)+(LM_rate=0)*(LM_out-LM_annuity*((('Loan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maths'!$AE$2&gt;=LN_maturity))-LM_paid)))))+SUMPRODUCT(LM_live*((LM_profile&lt;&gt;"EIP")*(LM_profile&lt;&gt;"Annuity"))*(LM_end&gt;'Loan maths'!$AD$2)*(LM_end&lt;='Loan maths'!$AE$2)*LN_principal)</f>
        <v>0</v>
      </c>
      <c r="N67" s="61">
        <f>-D67</f>
        <v>0</v>
      </c>
    </row>
    <row r="68">
      <c r="B68" s="55" t="str">
        <f>IF(DAY(AsAt+1)=1,TEXT(IF(DAY(AsAt+1)=1,EOMONTH(AsAt,2),EDATE(AsAt,2)),"mmm yy"),"to "&amp;TEXT(IF(DAY(AsAt+1)=1,EOMONTH(AsAt,2),EDATE(AsAt,2)),"d mmm yy"))</f>
        <v>Nov 26</v>
      </c>
      <c r="C68" s="56">
        <f>SUMPRODUCT(('Deal maths'!$F$4:$F$2000&gt;AsAt)*('Deal maths'!$E$4:$E$2000&lt;=AsAt)*('Deal maths'!$F$4:$F$2000&gt;IF(DAY(AsAt+1)=1,EOMONTH(AsAt,1),EDATE(AsAt,1)))*('Deal maths'!$F$4:$F$2000&lt;=IF(DAY(AsAt+1)=1,EOMONTH(AsAt,2),EDATE(AsAt,2)))*('Deal maths'!$H$4:$H$2000+('Deal maths'!$H$4:$H$2000=0)*'Deal maths'!$D$4:$D$2000))</f>
        <v>0</v>
      </c>
      <c r="D68" s="56">
        <f>SUMPRODUCT(LM_live*(LM_profile="EIP")*LM_eip*((('Loan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maths'!$AE$2&gt;=LN_maturity))))+SUMPRODUCT(LM_live*(LM_profile="Annuity")*(((LM_rate&gt;0)*(LM_out*(1+LM_rate)^((('Loan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maths'!$AE$2&gt;=LN_maturity))-LM_paid)-LM_annuity*((1+LM_rate)^((('Loan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maths'!$AE$2&gt;=LN_maturity))-LM_paid)-1)/LM_safe)+(LM_rate=0)*(LM_out-LM_annuity*((('Loan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maths'!$AE$2&gt;=LN_maturity))-LM_paid)))-((LM_rate&gt;0)*(LM_out*(1+LM_rate)^((('Loan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maths'!$AF$2&gt;=LN_maturity))-LM_paid)-LM_annuity*((1+LM_rate)^((('Loan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maths'!$AF$2&gt;=LN_maturity))-LM_paid)-1)/LM_safe)+(LM_rate=0)*(LM_out-LM_annuity*((('Loan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maths'!$AF$2&gt;=LN_maturity))-LM_paid)))))+SUMPRODUCT(LM_live*((LM_profile&lt;&gt;"EIP")*(LM_profile&lt;&gt;"Annuity"))*(LM_end&gt;'Loan maths'!$AE$2)*(LM_end&lt;='Loan maths'!$AF$2)*LN_principal)</f>
        <v>0</v>
      </c>
      <c r="N68" s="61">
        <f>-D68</f>
        <v>0</v>
      </c>
    </row>
    <row r="69">
      <c r="B69" s="55" t="str">
        <f>IF(DAY(AsAt+1)=1,TEXT(IF(DAY(AsAt+1)=1,EOMONTH(AsAt,3),EDATE(AsAt,3)),"mmm yy"),"to "&amp;TEXT(IF(DAY(AsAt+1)=1,EOMONTH(AsAt,3),EDATE(AsAt,3)),"d mmm yy"))</f>
        <v>Dec 26</v>
      </c>
      <c r="C69" s="56">
        <f>SUMPRODUCT(('Deal maths'!$F$4:$F$2000&gt;AsAt)*('Deal maths'!$E$4:$E$2000&lt;=AsAt)*('Deal maths'!$F$4:$F$2000&gt;IF(DAY(AsAt+1)=1,EOMONTH(AsAt,2),EDATE(AsAt,2)))*('Deal maths'!$F$4:$F$2000&lt;=IF(DAY(AsAt+1)=1,EOMONTH(AsAt,3),EDATE(AsAt,3)))*('Deal maths'!$H$4:$H$2000+('Deal maths'!$H$4:$H$2000=0)*'Deal maths'!$D$4:$D$2000))</f>
        <v>0</v>
      </c>
      <c r="D69" s="56">
        <f>SUMPRODUCT(LM_live*(LM_profile="EIP")*LM_eip*((('Loan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maths'!$AF$2&gt;=LN_maturity))))+SUMPRODUCT(LM_live*(LM_profile="Annuity")*(((LM_rate&gt;0)*(LM_out*(1+LM_rate)^((('Loan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maths'!$AF$2&gt;=LN_maturity))-LM_paid)-LM_annuity*((1+LM_rate)^((('Loan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maths'!$AF$2&gt;=LN_maturity))-LM_paid)-1)/LM_safe)+(LM_rate=0)*(LM_out-LM_annuity*((('Loan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maths'!$AF$2&gt;=LN_maturity))-LM_paid)))-((LM_rate&gt;0)*(LM_out*(1+LM_rate)^((('Loan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maths'!$AG$2&gt;=LN_maturity))-LM_paid)-LM_annuity*((1+LM_rate)^((('Loan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maths'!$AG$2&gt;=LN_maturity))-LM_paid)-1)/LM_safe)+(LM_rate=0)*(LM_out-LM_annuity*((('Loan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maths'!$AG$2&gt;=LN_maturity))-LM_paid)))))+SUMPRODUCT(LM_live*((LM_profile&lt;&gt;"EIP")*(LM_profile&lt;&gt;"Annuity"))*(LM_end&gt;'Loan maths'!$AF$2)*(LM_end&lt;='Loan maths'!$AG$2)*LN_principal)</f>
        <v>0</v>
      </c>
      <c r="N69" s="61">
        <f>-D69</f>
        <v>0</v>
      </c>
    </row>
    <row r="70">
      <c r="B70" s="55" t="str">
        <f>IF(DAY(AsAt+1)=1,TEXT(IF(DAY(AsAt+1)=1,EOMONTH(AsAt,4),EDATE(AsAt,4)),"mmm yy"),"to "&amp;TEXT(IF(DAY(AsAt+1)=1,EOMONTH(AsAt,4),EDATE(AsAt,4)),"d mmm yy"))</f>
        <v>Jan 27</v>
      </c>
      <c r="C70" s="56">
        <f>SUMPRODUCT(('Deal maths'!$F$4:$F$2000&gt;AsAt)*('Deal maths'!$E$4:$E$2000&lt;=AsAt)*('Deal maths'!$F$4:$F$2000&gt;IF(DAY(AsAt+1)=1,EOMONTH(AsAt,3),EDATE(AsAt,3)))*('Deal maths'!$F$4:$F$2000&lt;=IF(DAY(AsAt+1)=1,EOMONTH(AsAt,4),EDATE(AsAt,4)))*('Deal maths'!$H$4:$H$2000+('Deal maths'!$H$4:$H$2000=0)*'Deal maths'!$D$4:$D$2000))</f>
        <v>0</v>
      </c>
      <c r="D70" s="56">
        <f>SUMPRODUCT(LM_live*(LM_profile="EIP")*LM_eip*((('Loan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maths'!$AG$2&gt;=LN_maturity))))+SUMPRODUCT(LM_live*(LM_profile="Annuity")*(((LM_rate&gt;0)*(LM_out*(1+LM_rate)^((('Loan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maths'!$AG$2&gt;=LN_maturity))-LM_paid)-LM_annuity*((1+LM_rate)^((('Loan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maths'!$AG$2&gt;=LN_maturity))-LM_paid)-1)/LM_safe)+(LM_rate=0)*(LM_out-LM_annuity*((('Loan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maths'!$AG$2&gt;=LN_maturity))-LM_paid)))-((LM_rate&gt;0)*(LM_out*(1+LM_rate)^((('Loan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maths'!$AH$2&gt;=LN_maturity))-LM_paid)-LM_annuity*((1+LM_rate)^((('Loan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maths'!$AH$2&gt;=LN_maturity))-LM_paid)-1)/LM_safe)+(LM_rate=0)*(LM_out-LM_annuity*((('Loan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maths'!$AH$2&gt;=LN_maturity))-LM_paid)))))+SUMPRODUCT(LM_live*((LM_profile&lt;&gt;"EIP")*(LM_profile&lt;&gt;"Annuity"))*(LM_end&gt;'Loan maths'!$AG$2)*(LM_end&lt;='Loan maths'!$AH$2)*LN_principal)</f>
        <v>0</v>
      </c>
      <c r="N70" s="61">
        <f>-D70</f>
        <v>0</v>
      </c>
    </row>
    <row r="71">
      <c r="B71" s="55" t="str">
        <f>IF(DAY(AsAt+1)=1,TEXT(IF(DAY(AsAt+1)=1,EOMONTH(AsAt,5),EDATE(AsAt,5)),"mmm yy"),"to "&amp;TEXT(IF(DAY(AsAt+1)=1,EOMONTH(AsAt,5),EDATE(AsAt,5)),"d mmm yy"))</f>
        <v>Feb 27</v>
      </c>
      <c r="C71" s="56">
        <f>SUMPRODUCT(('Deal maths'!$F$4:$F$2000&gt;AsAt)*('Deal maths'!$E$4:$E$2000&lt;=AsAt)*('Deal maths'!$F$4:$F$2000&gt;IF(DAY(AsAt+1)=1,EOMONTH(AsAt,4),EDATE(AsAt,4)))*('Deal maths'!$F$4:$F$2000&lt;=IF(DAY(AsAt+1)=1,EOMONTH(AsAt,5),EDATE(AsAt,5)))*('Deal maths'!$H$4:$H$2000+('Deal maths'!$H$4:$H$2000=0)*'Deal maths'!$D$4:$D$2000))</f>
        <v>0</v>
      </c>
      <c r="D71" s="56">
        <f>SUMPRODUCT(LM_live*(LM_profile="EIP")*LM_eip*((('Loan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maths'!$AH$2&gt;=LN_maturity))))+SUMPRODUCT(LM_live*(LM_profile="Annuity")*(((LM_rate&gt;0)*(LM_out*(1+LM_rate)^((('Loan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maths'!$AH$2&gt;=LN_maturity))-LM_paid)-LM_annuity*((1+LM_rate)^((('Loan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maths'!$AH$2&gt;=LN_maturity))-LM_paid)-1)/LM_safe)+(LM_rate=0)*(LM_out-LM_annuity*((('Loan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maths'!$AH$2&gt;=LN_maturity))-LM_paid)))-((LM_rate&gt;0)*(LM_out*(1+LM_rate)^((('Loan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maths'!$AI$2&gt;=LN_maturity))-LM_paid)-LM_annuity*((1+LM_rate)^((('Loan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maths'!$AI$2&gt;=LN_maturity))-LM_paid)-1)/LM_safe)+(LM_rate=0)*(LM_out-LM_annuity*((('Loan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maths'!$AI$2&gt;=LN_maturity))-LM_paid)))))+SUMPRODUCT(LM_live*((LM_profile&lt;&gt;"EIP")*(LM_profile&lt;&gt;"Annuity"))*(LM_end&gt;'Loan maths'!$AH$2)*(LM_end&lt;='Loan maths'!$AI$2)*LN_principal)</f>
        <v>0</v>
      </c>
      <c r="N71" s="61">
        <f>-D71</f>
        <v>0</v>
      </c>
    </row>
    <row r="72">
      <c r="B72" s="55" t="str">
        <f>IF(DAY(AsAt+1)=1,TEXT(IF(DAY(AsAt+1)=1,EOMONTH(AsAt,6),EDATE(AsAt,6)),"mmm yy"),"to "&amp;TEXT(IF(DAY(AsAt+1)=1,EOMONTH(AsAt,6),EDATE(AsAt,6)),"d mmm yy"))</f>
        <v>Mar 27</v>
      </c>
      <c r="C72" s="56">
        <f>SUMPRODUCT(('Deal maths'!$F$4:$F$2000&gt;AsAt)*('Deal maths'!$E$4:$E$2000&lt;=AsAt)*('Deal maths'!$F$4:$F$2000&gt;IF(DAY(AsAt+1)=1,EOMONTH(AsAt,5),EDATE(AsAt,5)))*('Deal maths'!$F$4:$F$2000&lt;=IF(DAY(AsAt+1)=1,EOMONTH(AsAt,6),EDATE(AsAt,6)))*('Deal maths'!$H$4:$H$2000+('Deal maths'!$H$4:$H$2000=0)*'Deal maths'!$D$4:$D$2000))</f>
        <v>0</v>
      </c>
      <c r="D72" s="56">
        <f>SUMPRODUCT(LM_live*(LM_profile="EIP")*LM_eip*((('Loan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maths'!$AI$2&gt;=LN_maturity))))+SUMPRODUCT(LM_live*(LM_profile="Annuity")*(((LM_rate&gt;0)*(LM_out*(1+LM_rate)^((('Loan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maths'!$AI$2&gt;=LN_maturity))-LM_paid)-LM_annuity*((1+LM_rate)^((('Loan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maths'!$AI$2&gt;=LN_maturity))-LM_paid)-1)/LM_safe)+(LM_rate=0)*(LM_out-LM_annuity*((('Loan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maths'!$AI$2&gt;=LN_maturity))-LM_paid)))-((LM_rate&gt;0)*(LM_out*(1+LM_rate)^((('Loan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maths'!$AJ$2&gt;=LN_maturity))-LM_paid)-LM_annuity*((1+LM_rate)^((('Loan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maths'!$AJ$2&gt;=LN_maturity))-LM_paid)-1)/LM_safe)+(LM_rate=0)*(LM_out-LM_annuity*((('Loan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maths'!$AJ$2&gt;=LN_maturity))-LM_paid)))))+SUMPRODUCT(LM_live*((LM_profile&lt;&gt;"EIP")*(LM_profile&lt;&gt;"Annuity"))*(LM_end&gt;'Loan maths'!$AI$2)*(LM_end&lt;='Loan maths'!$AJ$2)*LN_principal)</f>
        <v>0</v>
      </c>
      <c r="N72" s="61">
        <f>-D72</f>
        <v>0</v>
      </c>
    </row>
    <row r="73">
      <c r="B73" s="55" t="str">
        <f>IF(DAY(AsAt+1)=1,TEXT(IF(DAY(AsAt+1)=1,EOMONTH(AsAt,7),EDATE(AsAt,7)),"mmm yy"),"to "&amp;TEXT(IF(DAY(AsAt+1)=1,EOMONTH(AsAt,7),EDATE(AsAt,7)),"d mmm yy"))</f>
        <v>Apr 27</v>
      </c>
      <c r="C73" s="56">
        <f>SUMPRODUCT(('Deal maths'!$F$4:$F$2000&gt;AsAt)*('Deal maths'!$E$4:$E$2000&lt;=AsAt)*('Deal maths'!$F$4:$F$2000&gt;IF(DAY(AsAt+1)=1,EOMONTH(AsAt,6),EDATE(AsAt,6)))*('Deal maths'!$F$4:$F$2000&lt;=IF(DAY(AsAt+1)=1,EOMONTH(AsAt,7),EDATE(AsAt,7)))*('Deal maths'!$H$4:$H$2000+('Deal maths'!$H$4:$H$2000=0)*'Deal maths'!$D$4:$D$2000))</f>
        <v>0</v>
      </c>
      <c r="D73" s="56">
        <f>SUMPRODUCT(LM_live*(LM_profile="EIP")*LM_eip*((('Loan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maths'!$AJ$2&gt;=LN_maturity))))+SUMPRODUCT(LM_live*(LM_profile="Annuity")*(((LM_rate&gt;0)*(LM_out*(1+LM_rate)^((('Loan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maths'!$AJ$2&gt;=LN_maturity))-LM_paid)-LM_annuity*((1+LM_rate)^((('Loan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maths'!$AJ$2&gt;=LN_maturity))-LM_paid)-1)/LM_safe)+(LM_rate=0)*(LM_out-LM_annuity*((('Loan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maths'!$AJ$2&gt;=LN_maturity))-LM_paid)))-((LM_rate&gt;0)*(LM_out*(1+LM_rate)^((('Loan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maths'!$AK$2&gt;=LN_maturity))-LM_paid)-LM_annuity*((1+LM_rate)^((('Loan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maths'!$AK$2&gt;=LN_maturity))-LM_paid)-1)/LM_safe)+(LM_rate=0)*(LM_out-LM_annuity*((('Loan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maths'!$AK$2&gt;=LN_maturity))-LM_paid)))))+SUMPRODUCT(LM_live*((LM_profile&lt;&gt;"EIP")*(LM_profile&lt;&gt;"Annuity"))*(LM_end&gt;'Loan maths'!$AJ$2)*(LM_end&lt;='Loan maths'!$AK$2)*LN_principal)</f>
        <v>0</v>
      </c>
      <c r="N73" s="61">
        <f>-D73</f>
        <v>0</v>
      </c>
    </row>
    <row r="74">
      <c r="B74" s="55" t="str">
        <f>IF(DAY(AsAt+1)=1,TEXT(IF(DAY(AsAt+1)=1,EOMONTH(AsAt,8),EDATE(AsAt,8)),"mmm yy"),"to "&amp;TEXT(IF(DAY(AsAt+1)=1,EOMONTH(AsAt,8),EDATE(AsAt,8)),"d mmm yy"))</f>
        <v>May 27</v>
      </c>
      <c r="C74" s="56">
        <f>SUMPRODUCT(('Deal maths'!$F$4:$F$2000&gt;AsAt)*('Deal maths'!$E$4:$E$2000&lt;=AsAt)*('Deal maths'!$F$4:$F$2000&gt;IF(DAY(AsAt+1)=1,EOMONTH(AsAt,7),EDATE(AsAt,7)))*('Deal maths'!$F$4:$F$2000&lt;=IF(DAY(AsAt+1)=1,EOMONTH(AsAt,8),EDATE(AsAt,8)))*('Deal maths'!$H$4:$H$2000+('Deal maths'!$H$4:$H$2000=0)*'Deal maths'!$D$4:$D$2000))</f>
        <v>0</v>
      </c>
      <c r="D74" s="56">
        <f>SUMPRODUCT(LM_live*(LM_profile="EIP")*LM_eip*((('Loan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maths'!$AK$2&gt;=LN_maturity))))+SUMPRODUCT(LM_live*(LM_profile="Annuity")*(((LM_rate&gt;0)*(LM_out*(1+LM_rate)^((('Loan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maths'!$AK$2&gt;=LN_maturity))-LM_paid)-LM_annuity*((1+LM_rate)^((('Loan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maths'!$AK$2&gt;=LN_maturity))-LM_paid)-1)/LM_safe)+(LM_rate=0)*(LM_out-LM_annuity*((('Loan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maths'!$AK$2&gt;=LN_maturity))-LM_paid)))-((LM_rate&gt;0)*(LM_out*(1+LM_rate)^((('Loan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maths'!$AL$2&gt;=LN_maturity))-LM_paid)-LM_annuity*((1+LM_rate)^((('Loan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maths'!$AL$2&gt;=LN_maturity))-LM_paid)-1)/LM_safe)+(LM_rate=0)*(LM_out-LM_annuity*((('Loan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maths'!$AL$2&gt;=LN_maturity))-LM_paid)))))+SUMPRODUCT(LM_live*((LM_profile&lt;&gt;"EIP")*(LM_profile&lt;&gt;"Annuity"))*(LM_end&gt;'Loan maths'!$AK$2)*(LM_end&lt;='Loan maths'!$AL$2)*LN_principal)</f>
        <v>0</v>
      </c>
      <c r="N74" s="61">
        <f>-D74</f>
        <v>0</v>
      </c>
    </row>
    <row r="75">
      <c r="B75" s="55" t="str">
        <f>IF(DAY(AsAt+1)=1,TEXT(IF(DAY(AsAt+1)=1,EOMONTH(AsAt,9),EDATE(AsAt,9)),"mmm yy"),"to "&amp;TEXT(IF(DAY(AsAt+1)=1,EOMONTH(AsAt,9),EDATE(AsAt,9)),"d mmm yy"))</f>
        <v>Jun 27</v>
      </c>
      <c r="C75" s="56">
        <f>SUMPRODUCT(('Deal maths'!$F$4:$F$2000&gt;AsAt)*('Deal maths'!$E$4:$E$2000&lt;=AsAt)*('Deal maths'!$F$4:$F$2000&gt;IF(DAY(AsAt+1)=1,EOMONTH(AsAt,8),EDATE(AsAt,8)))*('Deal maths'!$F$4:$F$2000&lt;=IF(DAY(AsAt+1)=1,EOMONTH(AsAt,9),EDATE(AsAt,9)))*('Deal maths'!$H$4:$H$2000+('Deal maths'!$H$4:$H$2000=0)*'Deal maths'!$D$4:$D$2000))</f>
        <v>0</v>
      </c>
      <c r="D75" s="56">
        <f>SUMPRODUCT(LM_live*(LM_profile="EIP")*LM_eip*((('Loan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maths'!$AL$2&gt;=LN_maturity))))+SUMPRODUCT(LM_live*(LM_profile="Annuity")*(((LM_rate&gt;0)*(LM_out*(1+LM_rate)^((('Loan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maths'!$AL$2&gt;=LN_maturity))-LM_paid)-LM_annuity*((1+LM_rate)^((('Loan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maths'!$AL$2&gt;=LN_maturity))-LM_paid)-1)/LM_safe)+(LM_rate=0)*(LM_out-LM_annuity*((('Loan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maths'!$AL$2&gt;=LN_maturity))-LM_paid)))-((LM_rate&gt;0)*(LM_out*(1+LM_rate)^((('Loan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maths'!$AM$2&gt;=LN_maturity))-LM_paid)-LM_annuity*((1+LM_rate)^((('Loan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maths'!$AM$2&gt;=LN_maturity))-LM_paid)-1)/LM_safe)+(LM_rate=0)*(LM_out-LM_annuity*((('Loan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maths'!$AM$2&gt;=LN_maturity))-LM_paid)))))+SUMPRODUCT(LM_live*((LM_profile&lt;&gt;"EIP")*(LM_profile&lt;&gt;"Annuity"))*(LM_end&gt;'Loan maths'!$AL$2)*(LM_end&lt;='Loan maths'!$AM$2)*LN_principal)</f>
        <v>0</v>
      </c>
      <c r="N75" s="61">
        <f>-D75</f>
        <v>0</v>
      </c>
    </row>
    <row r="76">
      <c r="B76" s="55" t="str">
        <f>IF(DAY(AsAt+1)=1,TEXT(IF(DAY(AsAt+1)=1,EOMONTH(AsAt,10),EDATE(AsAt,10)),"mmm yy"),"to "&amp;TEXT(IF(DAY(AsAt+1)=1,EOMONTH(AsAt,10),EDATE(AsAt,10)),"d mmm yy"))</f>
        <v>Jul 27</v>
      </c>
      <c r="C76" s="56">
        <f>SUMPRODUCT(('Deal maths'!$F$4:$F$2000&gt;AsAt)*('Deal maths'!$E$4:$E$2000&lt;=AsAt)*('Deal maths'!$F$4:$F$2000&gt;IF(DAY(AsAt+1)=1,EOMONTH(AsAt,9),EDATE(AsAt,9)))*('Deal maths'!$F$4:$F$2000&lt;=IF(DAY(AsAt+1)=1,EOMONTH(AsAt,10),EDATE(AsAt,10)))*('Deal maths'!$H$4:$H$2000+('Deal maths'!$H$4:$H$2000=0)*'Deal maths'!$D$4:$D$2000))</f>
        <v>0</v>
      </c>
      <c r="D76" s="56">
        <f>SUMPRODUCT(LM_live*(LM_profile="EIP")*LM_eip*((('Loan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maths'!$AM$2&gt;=LN_maturity))))+SUMPRODUCT(LM_live*(LM_profile="Annuity")*(((LM_rate&gt;0)*(LM_out*(1+LM_rate)^((('Loan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maths'!$AM$2&gt;=LN_maturity))-LM_paid)-LM_annuity*((1+LM_rate)^((('Loan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maths'!$AM$2&gt;=LN_maturity))-LM_paid)-1)/LM_safe)+(LM_rate=0)*(LM_out-LM_annuity*((('Loan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maths'!$AM$2&gt;=LN_maturity))-LM_paid)))-((LM_rate&gt;0)*(LM_out*(1+LM_rate)^((('Loan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maths'!$AN$2&gt;=LN_maturity))-LM_paid)-LM_annuity*((1+LM_rate)^((('Loan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maths'!$AN$2&gt;=LN_maturity))-LM_paid)-1)/LM_safe)+(LM_rate=0)*(LM_out-LM_annuity*((('Loan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maths'!$AN$2&gt;=LN_maturity))-LM_paid)))))+SUMPRODUCT(LM_live*((LM_profile&lt;&gt;"EIP")*(LM_profile&lt;&gt;"Annuity"))*(LM_end&gt;'Loan maths'!$AM$2)*(LM_end&lt;='Loan maths'!$AN$2)*LN_principal)</f>
        <v>0</v>
      </c>
      <c r="N76" s="61">
        <f>-D76</f>
        <v>0</v>
      </c>
    </row>
    <row r="77">
      <c r="B77" s="55" t="str">
        <f>IF(DAY(AsAt+1)=1,TEXT(IF(DAY(AsAt+1)=1,EOMONTH(AsAt,11),EDATE(AsAt,11)),"mmm yy"),"to "&amp;TEXT(IF(DAY(AsAt+1)=1,EOMONTH(AsAt,11),EDATE(AsAt,11)),"d mmm yy"))</f>
        <v>Aug 27</v>
      </c>
      <c r="C77" s="56">
        <f>SUMPRODUCT(('Deal maths'!$F$4:$F$2000&gt;AsAt)*('Deal maths'!$E$4:$E$2000&lt;=AsAt)*('Deal maths'!$F$4:$F$2000&gt;IF(DAY(AsAt+1)=1,EOMONTH(AsAt,10),EDATE(AsAt,10)))*('Deal maths'!$F$4:$F$2000&lt;=IF(DAY(AsAt+1)=1,EOMONTH(AsAt,11),EDATE(AsAt,11)))*('Deal maths'!$H$4:$H$2000+('Deal maths'!$H$4:$H$2000=0)*'Deal maths'!$D$4:$D$2000))</f>
        <v>0</v>
      </c>
      <c r="D77" s="56">
        <f>SUMPRODUCT(LM_live*(LM_profile="EIP")*LM_eip*((('Loan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maths'!$AN$2&gt;=LN_maturity))))+SUMPRODUCT(LM_live*(LM_profile="Annuity")*(((LM_rate&gt;0)*(LM_out*(1+LM_rate)^((('Loan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maths'!$AN$2&gt;=LN_maturity))-LM_paid)-LM_annuity*((1+LM_rate)^((('Loan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maths'!$AN$2&gt;=LN_maturity))-LM_paid)-1)/LM_safe)+(LM_rate=0)*(LM_out-LM_annuity*((('Loan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maths'!$AN$2&gt;=LN_maturity))-LM_paid)))-((LM_rate&gt;0)*(LM_out*(1+LM_rate)^((('Loan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maths'!$AO$2&gt;=LN_maturity))-LM_paid)-LM_annuity*((1+LM_rate)^((('Loan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maths'!$AO$2&gt;=LN_maturity))-LM_paid)-1)/LM_safe)+(LM_rate=0)*(LM_out-LM_annuity*((('Loan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maths'!$AO$2&gt;=LN_maturity))-LM_paid)))))+SUMPRODUCT(LM_live*((LM_profile&lt;&gt;"EIP")*(LM_profile&lt;&gt;"Annuity"))*(LM_end&gt;'Loan maths'!$AN$2)*(LM_end&lt;='Loan maths'!$AO$2)*LN_principal)</f>
        <v>0</v>
      </c>
      <c r="N77" s="61">
        <f>-D77</f>
        <v>0</v>
      </c>
    </row>
    <row r="78">
      <c r="B78" s="55" t="str">
        <f>IF(DAY(AsAt+1)=1,TEXT(IF(DAY(AsAt+1)=1,EOMONTH(AsAt,12),EDATE(AsAt,12)),"mmm yy"),"to "&amp;TEXT(IF(DAY(AsAt+1)=1,EOMONTH(AsAt,12),EDATE(AsAt,12)),"d mmm yy"))</f>
        <v>Sep 27</v>
      </c>
      <c r="C78" s="56">
        <f>SUMPRODUCT(('Deal maths'!$F$4:$F$2000&gt;AsAt)*('Deal maths'!$E$4:$E$2000&lt;=AsAt)*('Deal maths'!$F$4:$F$2000&gt;IF(DAY(AsAt+1)=1,EOMONTH(AsAt,11),EDATE(AsAt,11)))*('Deal maths'!$F$4:$F$2000&lt;=IF(DAY(AsAt+1)=1,EOMONTH(AsAt,12),EDATE(AsAt,12)))*('Deal maths'!$H$4:$H$2000+('Deal maths'!$H$4:$H$2000=0)*'Deal maths'!$D$4:$D$2000))</f>
        <v>0</v>
      </c>
      <c r="D78" s="56">
        <f>SUMPRODUCT(LM_live*(LM_profile="EIP")*LM_eip*((('Loan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maths'!$AO$2&gt;=LN_maturity))))+SUMPRODUCT(LM_live*(LM_profile="Annuity")*(((LM_rate&gt;0)*(LM_out*(1+LM_rate)^((('Loan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maths'!$AO$2&gt;=LN_maturity))-LM_paid)-LM_annuity*((1+LM_rate)^((('Loan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maths'!$AO$2&gt;=LN_maturity))-LM_paid)-1)/LM_safe)+(LM_rate=0)*(LM_out-LM_annuity*((('Loan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maths'!$AO$2&gt;=LN_maturity))-LM_paid)))-((LM_rate&gt;0)*(LM_out*(1+LM_rate)^((('Loan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maths'!$AP$2&gt;=LN_maturity))-LM_paid)-LM_annuity*((1+LM_rate)^((('Loan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maths'!$AP$2&gt;=LN_maturity))-LM_paid)-1)/LM_safe)+(LM_rate=0)*(LM_out-LM_annuity*((('Loan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maths'!$AP$2&gt;=LN_maturity))-LM_paid)))))+SUMPRODUCT(LM_live*((LM_profile&lt;&gt;"EIP")*(LM_profile&lt;&gt;"Annuity"))*(LM_end&gt;'Loan maths'!$AO$2)*(LM_end&lt;='Loan maths'!$AP$2)*LN_principal)</f>
        <v>0</v>
      </c>
      <c r="N78" s="61">
        <f>-D78</f>
        <v>0</v>
      </c>
    </row>
    <row r="79">
      <c r="B79" s="58" t="inlineStr">
        <is>
          <t>Total</t>
        </is>
      </c>
      <c r="C79" s="59">
        <f>SUM(C67:C78)</f>
        <v>0</v>
      </c>
      <c r="D79" s="59">
        <f>SUM(D67:D78)</f>
        <v>0</v>
      </c>
    </row>
    <row r="80" ht="37.5" customHeight="1">
      <c r="B80" s="45" t="inlineStr">
        <is>
          <t>The twelve months after As at, each to the same day of the next month (the calendar months when As at is a month end): term deals by maturity date; loan principal by payment date, instalments included.</t>
        </is>
      </c>
    </row>
    <row r="81"/>
    <row r="82">
      <c r="B82" s="8" t="inlineStr">
        <is>
          <t>Activity in the period</t>
        </is>
      </c>
    </row>
    <row r="83">
      <c r="B83" s="53" t="inlineStr">
        <is>
          <t>Activity</t>
        </is>
      </c>
      <c r="C83" s="54" t="inlineStr">
        <is>
          <t>Amount</t>
        </is>
      </c>
      <c r="D83" s="54" t="inlineStr">
        <is>
          <t>Deals</t>
        </is>
      </c>
    </row>
    <row r="84">
      <c r="B84" s="55" t="inlineStr">
        <is>
          <t>Investments placed</t>
        </is>
      </c>
      <c r="C84" s="56">
        <f>SUMPRODUCT(('Deal maths'!$E$4:$E$2000&gt;=PeriodFrom)*('Deal maths'!$E$4:$E$2000&lt;=AsAt)*('Deal maths'!$H$4:$H$2000+('Deal maths'!$H$4:$H$2000=0)*'Deal maths'!$D$4:$D$2000))</f>
        <v>0</v>
      </c>
      <c r="D84" s="62">
        <f>SUMPRODUCT(('Deal maths'!$E$4:$E$2000&gt;=PeriodFrom)*('Deal maths'!$E$4:$E$2000&lt;=AsAt)*1)</f>
        <v>0</v>
      </c>
    </row>
    <row r="85">
      <c r="B85" s="55" t="inlineStr">
        <is>
          <t>Investments matured</t>
        </is>
      </c>
      <c r="C85" s="56">
        <f>SUMPRODUCT(('Deal maths'!$F$4:$F$2000&gt;=PeriodFrom)*('Deal maths'!$F$4:$F$2000&lt;=AsAt)*('Deal maths'!$H$4:$H$2000+('Deal maths'!$H$4:$H$2000=0)*'Deal maths'!$D$4:$D$2000))</f>
        <v>0</v>
      </c>
      <c r="D85" s="62">
        <f>SUMPRODUCT(('Deal maths'!$F$4:$F$2000&gt;=PeriodFrom)*('Deal maths'!$F$4:$F$2000&lt;=AsAt)*1)</f>
        <v>0</v>
      </c>
    </row>
    <row r="86">
      <c r="B86" s="55" t="inlineStr">
        <is>
          <t>Borrowing raised</t>
        </is>
      </c>
      <c r="C86" s="56">
        <f>SUMPRODUCT(LM_live*(LN_start&gt;=PeriodFrom)*(LN_start&lt;=AsAt)*((LM_profile="EIP")*(LM_out+LM_eip*LM_paid)+(LM_profile="Annuity")*((LM_rate&gt;0)*(LM_out*(1+LM_rate)^(0-LM_paid)-LM_annuity*((1+LM_rate)^(0-LM_paid)-1)/LM_safe)+(LM_rate=0)*(LM_out-LM_annuity*(0-LM_paid)))+(LM_profile&lt;&gt;"EIP")*(LM_profile&lt;&gt;"Annuity")*LM_out))+SUMPRODUCT((LN_maturity&gt;=PeriodFrom)*(LN_maturity&lt;=AsAt)*(LN_start&gt;=PeriodFrom)*(LN_start&lt;=AsAt)*LN_principal)</f>
        <v>0</v>
      </c>
      <c r="D86" s="62">
        <f>SUMPRODUCT((LN_start&gt;=PeriodFrom)*(LN_start&lt;=AsAt)*(LN_principal&gt;0)*(LN_maturity&gt;0))</f>
        <v>0</v>
      </c>
    </row>
    <row r="87">
      <c r="B87" s="55" t="inlineStr">
        <is>
          <t>Principal repaid</t>
        </is>
      </c>
      <c r="C87" s="56">
        <f>SUMPRODUCT(LM_live*(LM_profile="EIP")*LM_eip*(LM_paid-(('Loan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maths'!$AQ$2&gt;=LN_maturity))))+SUMPRODUCT(LM_live*(LM_profile="Annuity")*(((LM_rate&gt;0)*(LM_out*(1+LM_rate)^((('Loan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maths'!$AQ$2&gt;=LN_maturity))-LM_paid)))-LM_out))+SUMPRODUCT((LN_maturity&gt;=PeriodFrom)*(LN_maturity&lt;=AsAt)*LN_principal)</f>
        <v>0</v>
      </c>
      <c r="D87" s="62">
        <f>SUMPRODUCT(LM_live*((LM_profile="EIP")+(LM_profile="Annuity"))*((LM_paid-(('Loan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maths'!$AQ$2&gt;=LN_maturity)))&gt;0))+SUMPRODUCT((LN_maturity&gt;=PeriodFrom)*(LN_maturity&lt;=AsAt)*1)</f>
        <v>0</v>
      </c>
    </row>
    <row r="88" ht="37.5" customHeight="1">
      <c r="B88" s="45" t="inlineStr">
        <is>
          <t>From Period from to As at, by the dates in the rows. Money on call is not activity. Principal repaid counts the instalments due in the period on loans still out, and loans that ended in it.</t>
        </is>
      </c>
    </row>
    <row r="89"/>
    <row r="90">
      <c r="B90" s="8" t="inlineStr">
        <is>
          <t>Rows that need attention</t>
        </is>
      </c>
    </row>
    <row r="91" ht="30" customHeight="1">
      <c r="A91" s="63" t="n"/>
      <c r="B91" s="53" t="inlineStr">
        <is>
          <t>Sheet</t>
        </is>
      </c>
      <c r="C91" s="54" t="inlineStr">
        <is>
          <t>Rows</t>
        </is>
      </c>
      <c r="D91" s="54" t="inlineStr">
        <is>
          <t>Dates out of order</t>
        </is>
      </c>
      <c r="E91" s="54" t="inlineStr">
        <is>
          <t>Rate outside 0–20%</t>
        </is>
      </c>
      <c r="F91" s="54" t="inlineStr">
        <is>
          <t>Negative amount</t>
        </is>
      </c>
      <c r="G91" s="54" t="inlineStr">
        <is>
          <t>Required cell blank</t>
        </is>
      </c>
      <c r="H91" s="64" t="n"/>
      <c r="I91" s="64" t="n"/>
      <c r="J91" s="64" t="n"/>
      <c r="K91" s="64" t="n"/>
      <c r="L91" s="64" t="n"/>
      <c r="M91" s="64" t="n"/>
      <c r="N91" s="64" t="n"/>
    </row>
    <row r="92">
      <c r="B92" s="55" t="inlineStr">
        <is>
          <t>Term investments</t>
        </is>
      </c>
      <c r="C92" s="62">
        <f>COUNTA('Term investments'!$A$4:$A$2000)</f>
        <v>0</v>
      </c>
      <c r="D92" s="62">
        <f>SUMPRODUCT(('Term investments'!$F$4:$F$2000&lt;&gt;"")*('Term investments'!$E$4:$E$2000&lt;&gt;"")*('Term investments'!$F$4:$F$2000&lt;='Term investments'!$E$4:$E$2000))</f>
        <v>0</v>
      </c>
      <c r="E92" s="62">
        <f>SUMPRODUCT(('Term investments'!$G$4:$G$2000&lt;&gt;"")*ISNUMBER('Term investments'!$G$4:$G$2000)*(('Term investments'!$G$4:$G$2000&lt;0)+('Term investments'!$G$4:$G$2000&gt;0.2)*('Term investments'!$G$4:$G$2000&lt;1)+('Term investments'!$G$4:$G$2000&gt;20)))</f>
        <v>0</v>
      </c>
      <c r="F92" s="62">
        <f>SUMPRODUCT(('Term investments'!$D$4:$D$2000&lt;0)*1)+SUMPRODUCT(('Term investments'!$H$4:$H$2000&lt;0)*1)+SUMPRODUCT(('Term investments'!$I$4:$I$2000&lt;0)*1)</f>
        <v>0</v>
      </c>
      <c r="G92" s="62">
        <f>SUMPRODUCT(('Term investments'!$A$4:$A$2000&lt;&gt;"")*(('Term investments'!$B$4:$B$2000="")+('Term investments'!$C$4:$C$2000="")+('Term investments'!$D$4:$D$2000="")+('Term investments'!$E$4:$E$2000="")+('Term investments'!$F$4:$F$2000="")+('Term investments'!$G$4:$G$2000="")))</f>
        <v>0</v>
      </c>
    </row>
    <row r="93">
      <c r="B93" s="55" t="inlineStr">
        <is>
          <t>Call accounts and MMFs</t>
        </is>
      </c>
      <c r="C93" s="62">
        <f>COUNTA('Call accounts and MMFs'!$A$4:$A$2000)</f>
        <v>0</v>
      </c>
      <c r="D93" s="62">
        <f>0</f>
        <v>0</v>
      </c>
      <c r="E93" s="62">
        <f>SUMPRODUCT(('Call accounts and MMFs'!$E$4:$E$2000&lt;&gt;"")*ISNUMBER('Call accounts and MMFs'!$E$4:$E$2000)*(('Call accounts and MMFs'!$E$4:$E$2000&lt;0)+('Call accounts and MMFs'!$E$4:$E$2000&gt;0.2)*('Call accounts and MMFs'!$E$4:$E$2000&lt;1)+('Call accounts and MMFs'!$E$4:$E$2000&gt;20)))+SUMPRODUCT(('Call accounts and MMFs'!$I$4:$I$2000&lt;&gt;"")*ISNUMBER('Call accounts and MMFs'!$I$4:$I$2000)*(('Call accounts and MMFs'!$I$4:$I$2000&lt;0)+('Call accounts and MMFs'!$I$4:$I$2000&gt;0.2)*('Call accounts and MMFs'!$I$4:$I$2000&lt;1)+('Call accounts and MMFs'!$I$4:$I$2000&gt;20)))</f>
        <v>0</v>
      </c>
      <c r="F93" s="62">
        <f>SUMPRODUCT(('Call accounts and MMFs'!$D$4:$D$2000&lt;0)*1)+SUMPRODUCT(('Call accounts and MMFs'!$F$4:$F$2000&lt;0)*1)+SUMPRODUCT(('Call accounts and MMFs'!$H$4:$H$2000&lt;0)*1)</f>
        <v>0</v>
      </c>
      <c r="G93" s="62">
        <f>SUMPRODUCT(('Call accounts and MMFs'!$A$4:$A$2000&lt;&gt;"")*(('Call accounts and MMFs'!$B$4:$B$2000="")+('Call accounts and MMFs'!$C$4:$C$2000="")+('Call accounts and MMFs'!$D$4:$D$2000="")+('Call accounts and MMFs'!$E$4:$E$2000="")))</f>
        <v>0</v>
      </c>
    </row>
    <row r="94">
      <c r="B94" s="55" t="inlineStr">
        <is>
          <t>Loans</t>
        </is>
      </c>
      <c r="C94" s="62">
        <f>COUNTA('Loans'!$A$4:$A$1000)</f>
        <v>0</v>
      </c>
      <c r="D94" s="62">
        <f>SUMPRODUCT(('Loans'!$F$4:$F$1000&lt;&gt;"")*('Loans'!$E$4:$E$1000&lt;&gt;"")*('Loans'!$F$4:$F$1000&lt;='Loans'!$E$4:$E$1000))+SUMPRODUCT(('Loans'!$J$4:$J$1000&lt;&gt;"")*(('Loans'!$F$4:$F$1000&lt;&gt;"")*('Loans'!$J$4:$J$1000&gt;'Loans'!$F$4:$F$1000)+('Loans'!$E$4:$E$1000&lt;&gt;"")*('Loans'!$J$4:$J$1000&lt;='Loans'!$E$4:$E$1000)&gt;0))</f>
        <v>0</v>
      </c>
      <c r="E94" s="62">
        <f>SUMPRODUCT(('Loans'!$G$4:$G$1000&lt;&gt;"")*ISNUMBER('Loans'!$G$4:$G$1000)*(('Loans'!$G$4:$G$1000&lt;0)+('Loans'!$G$4:$G$1000&gt;0.2)*('Loans'!$G$4:$G$1000&lt;1)+('Loans'!$G$4:$G$1000&gt;20)))</f>
        <v>0</v>
      </c>
      <c r="F94" s="62">
        <f>SUMPRODUCT(('Loans'!$D$4:$D$1000&lt;0)*1)</f>
        <v>0</v>
      </c>
      <c r="G94" s="62">
        <f>SUMPRODUCT(('Loans'!$A$4:$A$1000&lt;&gt;"")*(('Loans'!$B$4:$B$1000="")+('Loans'!$C$4:$C$1000="")+('Loans'!$D$4:$D$1000="")+('Loans'!$E$4:$E$1000="")+('Loans'!$F$4:$F$1000="")+('Loans'!$G$4:$G$1000="")+('Loans'!$H$4:$H$1000="")))</f>
        <v>0</v>
      </c>
    </row>
    <row r="95">
      <c r="B95" s="55" t="inlineStr">
        <is>
          <t>Pooled funds</t>
        </is>
      </c>
      <c r="C95" s="62">
        <f>COUNTA('Pooled funds'!$A$4:$A$2000)</f>
        <v>0</v>
      </c>
      <c r="D95" s="62">
        <f>0</f>
        <v>0</v>
      </c>
      <c r="E95" s="62">
        <f>SUMPRODUCT(('Pooled funds'!$E$4:$E$2000&lt;&gt;"")*ISNUMBER('Pooled funds'!$E$4:$E$2000)*(('Pooled funds'!$E$4:$E$2000&lt;0)+('Pooled funds'!$E$4:$E$2000&gt;0.2)*('Pooled funds'!$E$4:$E$2000&lt;1)+('Pooled funds'!$E$4:$E$2000&gt;20)))+SUMPRODUCT(('Pooled funds'!$H$4:$H$2000&lt;&gt;"")*ISNUMBER('Pooled funds'!$H$4:$H$2000)*(('Pooled funds'!$H$4:$H$2000&lt;0)+('Pooled funds'!$H$4:$H$2000&gt;0.2)*('Pooled funds'!$H$4:$H$2000&lt;1)+('Pooled funds'!$H$4:$H$2000&gt;20)))</f>
        <v>0</v>
      </c>
      <c r="F95" s="62">
        <f>SUMPRODUCT(('Pooled funds'!$C$4:$C$2000&lt;0)*1)+SUMPRODUCT(('Pooled funds'!$D$4:$D$2000&lt;0)*1)+SUMPRODUCT(('Pooled funds'!$G$4:$G$2000&lt;0)*1)</f>
        <v>0</v>
      </c>
      <c r="G95" s="62">
        <f>SUMPRODUCT(('Pooled funds'!$A$4:$A$2000&lt;&gt;"")*(('Pooled funds'!$B$4:$B$2000="")+('Pooled funds'!$C$4:$C$2000="")))</f>
        <v>0</v>
      </c>
    </row>
    <row r="96">
      <c r="B96" s="58" t="inlineStr">
        <is>
          <t>Total</t>
        </is>
      </c>
      <c r="C96" s="65">
        <f>SUM(C92:C95)</f>
        <v>0</v>
      </c>
      <c r="D96" s="65">
        <f>SUM(D92:D95)</f>
        <v>0</v>
      </c>
      <c r="E96" s="65">
        <f>SUM(E92:E95)</f>
        <v>0</v>
      </c>
      <c r="F96" s="65">
        <f>SUM(F92:F95)</f>
        <v>0</v>
      </c>
      <c r="G96" s="65">
        <f>SUM(G92:G95)</f>
        <v>0</v>
      </c>
    </row>
    <row r="97" ht="50" customHeight="1">
      <c r="B97" s="45" t="inlineStr">
        <is>
          <t>Counted from what the sheets mark in red and amber: a maturity on or before the start, or a loan's first repayment after its maturity or not after its start; a rate outside 0% to 20% (a figure of 1 or more read as a percentage, 4.1 as 4.1%); a negative amount or notice; a required cell left blank. The page lists each row with what is wrong.</t>
        </is>
      </c>
    </row>
  </sheetData>
  <sheetProtection selectLockedCells="0" selectUnlockedCells="0" sheet="1" objects="0" insertRows="1" insertHyperlinks="1" autoFilter="1" scenarios="0" formatColumns="0" deleteColumns="1" insertColumns="1" pivotTables="1" deleteRows="1" formatCells="1" formatRows="0" sort="1"/>
  <mergeCells count="7">
    <mergeCell ref="B80:D80"/>
    <mergeCell ref="B63:D63"/>
    <mergeCell ref="B32:D32"/>
    <mergeCell ref="B88:D88"/>
    <mergeCell ref="B97:D97"/>
    <mergeCell ref="B2:J2"/>
    <mergeCell ref="B20:D20"/>
  </mergeCells>
  <hyperlinks>
    <hyperlink xmlns:r="http://schemas.openxmlformats.org/officeDocument/2006/relationships" ref="L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drawing xmlns:r="http://schemas.openxmlformats.org/officeDocument/2006/relationships" r:id="rId2"/>
</worksheet>
</file>

<file path=xl/worksheets/sheet9.xml><?xml version="1.0" encoding="utf-8"?>
<worksheet xmlns="http://schemas.openxmlformats.org/spreadsheetml/2006/main">
  <sheetPr>
    <tabColor rgb="00FD7E14"/>
    <outlinePr summaryBelow="1" summaryRight="1"/>
    <pageSetUpPr fitToPage="1"/>
  </sheetPr>
  <dimension ref="A1:Y75"/>
  <sheetViews>
    <sheetView showGridLines="0" workbookViewId="0">
      <pane ySplit="3" topLeftCell="A4" activePane="bottomLeft" state="frozen"/>
      <selection pane="bottomLeft" activeCell="A1" sqref="A1"/>
    </sheetView>
  </sheetViews>
  <sheetFormatPr baseColWidth="8" defaultRowHeight="15"/>
  <cols>
    <col width="2" customWidth="1" min="1" max="1"/>
    <col width="34"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23" max="23"/>
    <col hidden="1" width="13" customWidth="1" min="24" max="24"/>
    <col hidden="1" width="13" customWidth="1" min="25" max="25"/>
  </cols>
  <sheetData>
    <row r="1" ht="36" customHeight="1">
      <c r="A1" s="21" t="inlineStr">
        <is>
          <t>Position</t>
        </is>
      </c>
      <c r="B1" s="2" t="n"/>
      <c r="C1" s="2" t="n"/>
      <c r="D1" s="2" t="n"/>
      <c r="E1" s="2" t="n"/>
      <c r="F1" s="2" t="n"/>
      <c r="G1" s="2" t="n"/>
      <c r="H1" s="2" t="n"/>
      <c r="I1" s="2" t="n"/>
      <c r="J1" s="2" t="n"/>
      <c r="K1" s="2" t="n"/>
      <c r="L1" s="22" t="inlineStr">
        <is>
          <t>the treasury position, and how it moved over the period</t>
        </is>
      </c>
      <c r="N1" s="23" t="inlineStr">
        <is>
          <t>◂ Start here</t>
        </is>
      </c>
    </row>
    <row r="2" ht="42" customHeight="1">
      <c r="B2" s="45" t="inlineStr">
        <is>
          <t>The treasury position at the As at date and how it moved since Period from, worked from the four tables: borrowing by lender type and investments by counterparty type, each from the start of the period to the As at date, with the average rate and the average life the report tool works out; pooled funds by type; and the counterparties by size. Nothing to type here. Every loan and every investment behind these figures is listed on the Debt outstanding and Investments held sheets.</t>
        </is>
      </c>
    </row>
    <row r="3">
      <c r="B3" s="48" t="str">
        <f>"As at "&amp;TEXT(AsAt,"dd/mm/yyyy")&amp;"     Period from "&amp;TEXT(PeriodFrom,"dd/mm/yyyy")&amp;"     HRA "&amp;HRA</f>
        <v>As at 30/09/2026     Period from 01/04/2026     HRA None</v>
      </c>
    </row>
    <row r="4"/>
    <row r="5" ht="30" customHeight="1">
      <c r="B5" s="66">
        <f>SUMPRODUCT((LN_maturity&gt;AsAt)*(LN_start&lt;=AsAt)*LN_principal)</f>
        <v>0</v>
      </c>
      <c r="C5" s="66">
        <f>SUMPRODUCT(('Deal maths'!$F$4:$F$2000&gt;AsAt)*('Deal maths'!$E$4:$E$2000&lt;=AsAt)*('Deal maths'!$H$4:$H$2000+('Deal maths'!$H$4:$H$2000=0)*'Deal maths'!$D$4:$D$2000))+SUM('Deal maths'!$M$4:$M$2000)</f>
        <v>0</v>
      </c>
      <c r="D5" s="66">
        <f>SUM('Deal maths'!$R$4:$R$2000)</f>
        <v>0</v>
      </c>
      <c r="E5" s="66">
        <f>(SUMPRODUCT((LN_maturity&gt;AsAt)*(LN_start&lt;=AsAt)*LN_principal))-(SUMPRODUCT(('Deal maths'!$F$4:$F$2000&gt;AsAt)*('Deal maths'!$E$4:$E$2000&lt;=AsAt)*('Deal maths'!$H$4:$H$2000+('Deal maths'!$H$4:$H$2000=0)*'Deal maths'!$D$4:$D$2000))+SUM('Deal maths'!$M$4:$M$2000))-SUM('Deal maths'!$R$4:$R$2000)</f>
        <v>0</v>
      </c>
      <c r="F5" s="51">
        <f>IFERROR(SUMPRODUCT((LN_maturity&gt;AsAt)*(LN_start&lt;=AsAt)*LN_principal*'Deal maths'!$AB$4:$AB$1000)/SUMPRODUCT((LN_maturity&gt;AsAt)*(LN_start&lt;=AsAt)*LN_principal*'Deal maths'!$AH$4:$AH$1000),0)</f>
        <v>0</v>
      </c>
      <c r="G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v>
      </c>
      <c r="H5" s="67">
        <f>IFERROR(SUMPRODUCT(LM_live*LM_out*LM_life)/SUMPRODUCT((LN_maturity&gt;AsAt)*(LN_start&lt;=AsAt)*LN_principal),0)</f>
        <v>0</v>
      </c>
      <c r="I5" s="67">
        <f>IFERROR(SUMPRODUCT(('Deal maths'!$F$4:$F$2000&gt;AsAt)*('Deal maths'!$E$4:$E$2000&lt;=AsAt)*('Deal maths'!$H$4:$H$2000+('Deal maths'!$H$4:$H$2000=0)*'Deal maths'!$D$4:$D$2000)*('Deal maths'!$F$4:$F$2000-AsAt))/365.25/(SUMPRODUCT(('Deal maths'!$F$4:$F$2000&gt;AsAt)*('Deal maths'!$E$4:$E$2000&lt;=AsAt)*('Deal maths'!$H$4:$H$2000+('Deal maths'!$H$4:$H$2000=0)*'Deal maths'!$D$4:$D$2000))),0)</f>
        <v>0</v>
      </c>
    </row>
    <row r="6" ht="26" customHeight="1">
      <c r="B6" s="68" t="inlineStr">
        <is>
          <t>Borrowing</t>
        </is>
      </c>
      <c r="C6" s="68" t="inlineStr">
        <is>
          <t>Treasury investments</t>
        </is>
      </c>
      <c r="D6" s="68" t="inlineStr">
        <is>
          <t>Pooled funds, carrying value</t>
        </is>
      </c>
      <c r="E6" s="68" t="inlineStr">
        <is>
          <t>Net borrowing</t>
        </is>
      </c>
      <c r="F6" s="68" t="inlineStr">
        <is>
          <t>Debt rate</t>
        </is>
      </c>
      <c r="G6" s="68" t="inlineStr">
        <is>
          <t>Investment rate</t>
        </is>
      </c>
      <c r="H6" s="68" t="inlineStr">
        <is>
          <t>Average life of debt</t>
        </is>
      </c>
      <c r="I6" s="68" t="inlineStr">
        <is>
          <t>Average life of term deals</t>
        </is>
      </c>
    </row>
    <row r="7"/>
    <row r="8">
      <c r="B8" s="8" t="inlineStr">
        <is>
          <t>Borrowing</t>
        </is>
      </c>
    </row>
    <row r="9" ht="28" customHeight="1">
      <c r="B9" s="53" t="inlineStr">
        <is>
          <t>Lender type</t>
        </is>
      </c>
      <c r="C9" s="54" t="str">
        <f>"At "&amp;TEXT(PeriodFrom-1,"dd/mm/yyyy")</f>
        <v>At 31/03/2026</v>
      </c>
      <c r="D9" s="54" t="inlineStr">
        <is>
          <t>Raised</t>
        </is>
      </c>
      <c r="E9" s="54" t="inlineStr">
        <is>
          <t>Repaid</t>
        </is>
      </c>
      <c r="F9" s="54" t="str">
        <f>"At "&amp;TEXT(AsAt,"dd/mm/yyyy")</f>
        <v>At 30/09/2026</v>
      </c>
      <c r="G9" s="54" t="inlineStr">
        <is>
          <t>Share</t>
        </is>
      </c>
      <c r="H9" s="54" t="inlineStr">
        <is>
          <t>Average rate</t>
        </is>
      </c>
      <c r="I9" s="54" t="inlineStr">
        <is>
          <t>Average life, years</t>
        </is>
      </c>
      <c r="J9" s="54" t="inlineStr">
        <is>
          <t>Loans</t>
        </is>
      </c>
    </row>
    <row r="10">
      <c r="B10" s="55" t="inlineStr">
        <is>
          <t>PWLB</t>
        </is>
      </c>
      <c r="C10" s="69">
        <f>SUMPRODUCT(LM_live*(LN_start&lt;PeriodFrom)*('Deal maths'!$X$4:$X$1000="PWLB")*((LM_profile="EIP")*(LM_out+LM_eip*(LM_paid-(('Loan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maths'!$X$4:$X$1000="PWLB")*LN_principal)</f>
        <v>0</v>
      </c>
      <c r="D10" s="69">
        <f>SUMPRODUCT(LM_live*(LN_start&gt;=PeriodFrom)*(LN_start&lt;=AsAt)*('Deal maths'!$X$4:$X$1000="PWLB")*((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maths'!$X$4:$X$1000="PWLB")*LN_principal)</f>
        <v>0</v>
      </c>
      <c r="E10" s="69">
        <f>C10+D10-F10</f>
        <v>0</v>
      </c>
      <c r="F10" s="69">
        <f>SUMPRODUCT(LM_live*('Deal maths'!$X$4:$X$1000="PWLB")*LM_out)</f>
        <v>0</v>
      </c>
      <c r="G10" s="70">
        <f>IFERROR(F10/F$16,0)</f>
        <v>0</v>
      </c>
      <c r="H10" s="71">
        <f>IFERROR(SUMPRODUCT(LM_live*('Deal maths'!$X$4:$X$1000="PWLB")*LM_out*'Deal maths'!$AB$4:$AB$1000)/SUMPRODUCT(LM_live*('Deal maths'!$X$4:$X$1000="PWLB")*LM_out*'Deal maths'!$AH$4:$AH$1000),0)</f>
        <v>0</v>
      </c>
      <c r="I10" s="72">
        <f>IFERROR(SUMPRODUCT(LM_live*('Deal maths'!$X$4:$X$1000="PWLB")*LM_out*LM_life)/F10,0)</f>
        <v>0</v>
      </c>
      <c r="J10" s="73">
        <f>SUMPRODUCT(LM_live*('Deal maths'!$X$4:$X$1000="PWLB"))</f>
        <v>0</v>
      </c>
    </row>
    <row r="11">
      <c r="B11" s="55" t="inlineStr">
        <is>
          <t>Local authority</t>
        </is>
      </c>
      <c r="C11" s="69">
        <f>SUMPRODUCT(LM_live*(LN_start&lt;PeriodFrom)*('Deal maths'!$X$4:$X$1000="Local authority")*((LM_profile="EIP")*(LM_out+LM_eip*(LM_paid-(('Loan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maths'!$X$4:$X$1000="Local authority")*LN_principal)</f>
        <v>0</v>
      </c>
      <c r="D11" s="69">
        <f>SUMPRODUCT(LM_live*(LN_start&gt;=PeriodFrom)*(LN_start&lt;=AsAt)*('Deal maths'!$X$4:$X$1000="Local authority")*((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maths'!$X$4:$X$1000="Local authority")*LN_principal)</f>
        <v>0</v>
      </c>
      <c r="E11" s="69">
        <f>C11+D11-F11</f>
        <v>0</v>
      </c>
      <c r="F11" s="69">
        <f>SUMPRODUCT(LM_live*('Deal maths'!$X$4:$X$1000="Local authority")*LM_out)</f>
        <v>0</v>
      </c>
      <c r="G11" s="70">
        <f>IFERROR(F11/F$16,0)</f>
        <v>0</v>
      </c>
      <c r="H11" s="71">
        <f>IFERROR(SUMPRODUCT(LM_live*('Deal maths'!$X$4:$X$1000="Local authority")*LM_out*'Deal maths'!$AB$4:$AB$1000)/SUMPRODUCT(LM_live*('Deal maths'!$X$4:$X$1000="Local authority")*LM_out*'Deal maths'!$AH$4:$AH$1000),0)</f>
        <v>0</v>
      </c>
      <c r="I11" s="72">
        <f>IFERROR(SUMPRODUCT(LM_live*('Deal maths'!$X$4:$X$1000="Local authority")*LM_out*LM_life)/F11,0)</f>
        <v>0</v>
      </c>
      <c r="J11" s="73">
        <f>SUMPRODUCT(LM_live*('Deal maths'!$X$4:$X$1000="Local authority"))</f>
        <v>0</v>
      </c>
    </row>
    <row r="12">
      <c r="B12" s="55" t="inlineStr">
        <is>
          <t>UK bank</t>
        </is>
      </c>
      <c r="C12" s="69">
        <f>SUMPRODUCT(LM_live*(LN_start&lt;PeriodFrom)*('Deal maths'!$X$4:$X$1000="UK bank")*((LM_profile="EIP")*(LM_out+LM_eip*(LM_paid-(('Loan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maths'!$X$4:$X$1000="UK bank")*LN_principal)</f>
        <v>0</v>
      </c>
      <c r="D12" s="69">
        <f>SUMPRODUCT(LM_live*(LN_start&gt;=PeriodFrom)*(LN_start&lt;=AsAt)*('Deal maths'!$X$4:$X$1000="UK bank")*((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maths'!$X$4:$X$1000="UK bank")*LN_principal)</f>
        <v>0</v>
      </c>
      <c r="E12" s="69">
        <f>C12+D12-F12</f>
        <v>0</v>
      </c>
      <c r="F12" s="69">
        <f>SUMPRODUCT(LM_live*('Deal maths'!$X$4:$X$1000="UK bank")*LM_out)</f>
        <v>0</v>
      </c>
      <c r="G12" s="70">
        <f>IFERROR(F12/F$16,0)</f>
        <v>0</v>
      </c>
      <c r="H12" s="71">
        <f>IFERROR(SUMPRODUCT(LM_live*('Deal maths'!$X$4:$X$1000="UK bank")*LM_out*'Deal maths'!$AB$4:$AB$1000)/SUMPRODUCT(LM_live*('Deal maths'!$X$4:$X$1000="UK bank")*LM_out*'Deal maths'!$AH$4:$AH$1000),0)</f>
        <v>0</v>
      </c>
      <c r="I12" s="72">
        <f>IFERROR(SUMPRODUCT(LM_live*('Deal maths'!$X$4:$X$1000="UK bank")*LM_out*LM_life)/F12,0)</f>
        <v>0</v>
      </c>
      <c r="J12" s="73">
        <f>SUMPRODUCT(LM_live*('Deal maths'!$X$4:$X$1000="UK bank"))</f>
        <v>0</v>
      </c>
    </row>
    <row r="13">
      <c r="B13" s="55" t="inlineStr">
        <is>
          <t>Overseas bank</t>
        </is>
      </c>
      <c r="C13" s="69">
        <f>SUMPRODUCT(LM_live*(LN_start&lt;PeriodFrom)*('Deal maths'!$X$4:$X$1000="Overseas bank")*((LM_profile="EIP")*(LM_out+LM_eip*(LM_paid-(('Loan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maths'!$X$4:$X$1000="Overseas bank")*LN_principal)</f>
        <v>0</v>
      </c>
      <c r="D13" s="69">
        <f>SUMPRODUCT(LM_live*(LN_start&gt;=PeriodFrom)*(LN_start&lt;=AsAt)*('Deal maths'!$X$4:$X$1000="Overseas bank")*((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maths'!$X$4:$X$1000="Overseas bank")*LN_principal)</f>
        <v>0</v>
      </c>
      <c r="E13" s="69">
        <f>C13+D13-F13</f>
        <v>0</v>
      </c>
      <c r="F13" s="69">
        <f>SUMPRODUCT(LM_live*('Deal maths'!$X$4:$X$1000="Overseas bank")*LM_out)</f>
        <v>0</v>
      </c>
      <c r="G13" s="70">
        <f>IFERROR(F13/F$16,0)</f>
        <v>0</v>
      </c>
      <c r="H13" s="71">
        <f>IFERROR(SUMPRODUCT(LM_live*('Deal maths'!$X$4:$X$1000="Overseas bank")*LM_out*'Deal maths'!$AB$4:$AB$1000)/SUMPRODUCT(LM_live*('Deal maths'!$X$4:$X$1000="Overseas bank")*LM_out*'Deal maths'!$AH$4:$AH$1000),0)</f>
        <v>0</v>
      </c>
      <c r="I13" s="72">
        <f>IFERROR(SUMPRODUCT(LM_live*('Deal maths'!$X$4:$X$1000="Overseas bank")*LM_out*LM_life)/F13,0)</f>
        <v>0</v>
      </c>
      <c r="J13" s="73">
        <f>SUMPRODUCT(LM_live*('Deal maths'!$X$4:$X$1000="Overseas bank"))</f>
        <v>0</v>
      </c>
    </row>
    <row r="14">
      <c r="B14" s="55" t="inlineStr">
        <is>
          <t>Other</t>
        </is>
      </c>
      <c r="C14" s="69">
        <f>SUMPRODUCT(LM_live*(LN_start&lt;PeriodFrom)*('Deal maths'!$X$4:$X$1000="Other")*((LM_profile="EIP")*(LM_out+LM_eip*(LM_paid-(('Loan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maths'!$X$4:$X$1000="Other")*LN_principal)</f>
        <v>0</v>
      </c>
      <c r="D14" s="69">
        <f>SUMPRODUCT(LM_live*(LN_start&gt;=PeriodFrom)*(LN_start&lt;=AsAt)*('Deal maths'!$X$4:$X$1000="Other")*((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maths'!$X$4:$X$1000="Other")*LN_principal)</f>
        <v>0</v>
      </c>
      <c r="E14" s="69">
        <f>C14+D14-F14</f>
        <v>0</v>
      </c>
      <c r="F14" s="69">
        <f>SUMPRODUCT(LM_live*('Deal maths'!$X$4:$X$1000="Other")*LM_out)</f>
        <v>0</v>
      </c>
      <c r="G14" s="70">
        <f>IFERROR(F14/F$16,0)</f>
        <v>0</v>
      </c>
      <c r="H14" s="71">
        <f>IFERROR(SUMPRODUCT(LM_live*('Deal maths'!$X$4:$X$1000="Other")*LM_out*'Deal maths'!$AB$4:$AB$1000)/SUMPRODUCT(LM_live*('Deal maths'!$X$4:$X$1000="Other")*LM_out*'Deal maths'!$AH$4:$AH$1000),0)</f>
        <v>0</v>
      </c>
      <c r="I14" s="72">
        <f>IFERROR(SUMPRODUCT(LM_live*('Deal maths'!$X$4:$X$1000="Other")*LM_out*LM_life)/F14,0)</f>
        <v>0</v>
      </c>
      <c r="J14" s="73">
        <f>SUMPRODUCT(LM_live*('Deal maths'!$X$4:$X$1000="Other"))</f>
        <v>0</v>
      </c>
    </row>
    <row r="15">
      <c r="B15" s="55" t="inlineStr">
        <is>
          <t>Not on the list</t>
        </is>
      </c>
      <c r="C15" s="69">
        <f>SUMPRODUCT(LM_live*(LN_start&lt;PeriodFrom)*(COUNTIF(LenderTypes,'Deal maths'!$X$4:$X$1000)=0)*((LM_profile="EIP")*(LM_out+LM_eip*(LM_paid-(('Loan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maths'!$AQ$2&gt;=LN_maturity))-LM_paid)))+(LM_profile&lt;&gt;"EIP")*(LM_profile&lt;&gt;"Annuity")*LM_out))+SUMPRODUCT((LN_maturity&gt;=PeriodFrom)*(LN_maturity&lt;=AsAt)*(LN_start&lt;PeriodFrom)*(COUNTIF(LenderTypes,'Deal maths'!$X$4:$X$1000)=0)*LN_principal)</f>
        <v>0</v>
      </c>
      <c r="D15" s="69">
        <f>SUMPRODUCT(LM_live*(LN_start&gt;=PeriodFrom)*(LN_start&lt;=AsAt)*(COUNTIF(LenderTypes,'Deal maths'!$X$4:$X$1000)=0)*((LM_profile="EIP")*(LM_out+LM_eip*LM_paid)+(LM_profile="Annuity")*((LM_rate&gt;0)*(LM_out*(1+LM_rate)^(0-LM_paid)-LM_annuity*((1+LM_rate)^(0-LM_paid)-1)/LM_safe)+(LM_rate=0)*(LM_out-LM_annuity*(0-LM_paid)))+(LM_profile&lt;&gt;"EIP")*(LM_profile&lt;&gt;"Annuity")*LM_out))+SUMPRODUCT((LN_maturity&gt;=PeriodFrom)*(LN_maturity&lt;=AsAt)*(LN_start&gt;=PeriodFrom)*(LN_start&lt;=AsAt)*(COUNTIF(LenderTypes,'Deal maths'!$X$4:$X$1000)=0)*LN_principal)</f>
        <v>0</v>
      </c>
      <c r="E15" s="69">
        <f>C15+D15-F15</f>
        <v>0</v>
      </c>
      <c r="F15" s="69">
        <f>SUMPRODUCT(LM_live*(COUNTIF(LenderTypes,'Deal maths'!$X$4:$X$1000)=0)*LM_out)</f>
        <v>0</v>
      </c>
      <c r="G15" s="70">
        <f>IFERROR(F15/F$16,0)</f>
        <v>0</v>
      </c>
      <c r="H15" s="71">
        <f>IFERROR(SUMPRODUCT(LM_live*(COUNTIF(LenderTypes,'Deal maths'!$X$4:$X$1000)=0)*LM_out*'Deal maths'!$AB$4:$AB$1000)/SUMPRODUCT(LM_live*(COUNTIF(LenderTypes,'Deal maths'!$X$4:$X$1000)=0)*LM_out*'Deal maths'!$AH$4:$AH$1000),0)</f>
        <v>0</v>
      </c>
      <c r="I15" s="72">
        <f>IFERROR(SUMPRODUCT(LM_live*(COUNTIF(LenderTypes,'Deal maths'!$X$4:$X$1000)=0)*LM_out*LM_life)/F15,0)</f>
        <v>0</v>
      </c>
      <c r="J15" s="73">
        <f>SUMPRODUCT(LM_live*(COUNTIF(LenderTypes,'Deal maths'!$X$4:$X$1000)=0))</f>
        <v>0</v>
      </c>
    </row>
    <row r="16">
      <c r="B16" s="58" t="inlineStr">
        <is>
          <t>Total</t>
        </is>
      </c>
      <c r="C16" s="74">
        <f>SUM(C10:C15)</f>
        <v>0</v>
      </c>
      <c r="D16" s="74">
        <f>SUM(D10:D15)</f>
        <v>0</v>
      </c>
      <c r="E16" s="74">
        <f>SUM(E10:E15)</f>
        <v>0</v>
      </c>
      <c r="F16" s="74">
        <f>SUM(F10:F15)</f>
        <v>0</v>
      </c>
      <c r="G16" s="75">
        <f>IFERROR(SUM(G10:G15),0)</f>
        <v>0</v>
      </c>
      <c r="H16" s="76">
        <f>IFERROR(SUMPRODUCT((LN_maturity&gt;AsAt)*(LN_start&lt;=AsAt)*LN_principal*'Deal maths'!$AB$4:$AB$1000)/SUMPRODUCT((LN_maturity&gt;AsAt)*(LN_start&lt;=AsAt)*LN_principal*'Deal maths'!$AH$4:$AH$1000),0)</f>
        <v>0</v>
      </c>
      <c r="I16" s="77">
        <f>IFERROR(SUMPRODUCT(LM_live*LM_out*LM_life)/SUMPRODUCT((LN_maturity&gt;AsAt)*(LN_start&lt;=AsAt)*LN_principal),0)</f>
        <v>0</v>
      </c>
      <c r="J16" s="78">
        <f>SUM(J10:J15)</f>
        <v>0</v>
      </c>
    </row>
    <row r="17" ht="50" customHeight="1">
      <c r="B17" s="45" t="inlineStr">
        <is>
          <t>At the start is what was owed the day before Period from: a loan still out at its Principal with the instalments paid in the period added back, a loan repaid in the period at its Principal. Raised is the loans taken in the period, at what they were raised at. Repaid is the instalments and the loans ended in the period, as on the Dashboard. Average life weights each repayment still to come by its amount, a LOBO to its next call.</t>
        </is>
      </c>
    </row>
    <row r="18"/>
    <row r="19">
      <c r="B19" s="8" t="inlineStr">
        <is>
          <t>Investments</t>
        </is>
      </c>
    </row>
    <row r="20" ht="28" customHeight="1">
      <c r="B20" s="53" t="inlineStr">
        <is>
          <t>Counterparty type</t>
        </is>
      </c>
      <c r="C20" s="54" t="str">
        <f>"Term deals at "&amp;TEXT(PeriodFrom-1,"dd/mm/yyyy")</f>
        <v>Term deals at 31/03/2026</v>
      </c>
      <c r="D20" s="54" t="inlineStr">
        <is>
          <t>Placed</t>
        </is>
      </c>
      <c r="E20" s="54" t="inlineStr">
        <is>
          <t>Matured</t>
        </is>
      </c>
      <c r="F20" s="54" t="str">
        <f>"Term deals at "&amp;TEXT(AsAt,"dd/mm/yyyy")</f>
        <v>Term deals at 30/09/2026</v>
      </c>
      <c r="G20" s="54" t="inlineStr">
        <is>
          <t>On call and in MMFs</t>
        </is>
      </c>
      <c r="H20" s="54" t="str">
        <f>"All at "&amp;TEXT(AsAt,"dd/mm/yyyy")</f>
        <v>All at 30/09/2026</v>
      </c>
      <c r="I20" s="54" t="inlineStr">
        <is>
          <t>Share</t>
        </is>
      </c>
      <c r="J20" s="54" t="inlineStr">
        <is>
          <t>Average rate</t>
        </is>
      </c>
      <c r="K20" s="54" t="inlineStr">
        <is>
          <t>Average life, years</t>
        </is>
      </c>
      <c r="L20" s="54" t="inlineStr">
        <is>
          <t>Deals</t>
        </is>
      </c>
    </row>
    <row r="21">
      <c r="B21" s="55" t="inlineStr">
        <is>
          <t>UK bank</t>
        </is>
      </c>
      <c r="C21" s="69">
        <f>SUMPRODUCT(('Deal maths'!$E$4:$E$2000&lt;PeriodFrom)*('Deal maths'!$F$4:$F$2000&gt;=PeriodFrom)*('Deal maths'!$C$4:$C$2000="UK bank")*('Deal maths'!$H$4:$H$2000+('Deal maths'!$H$4:$H$2000=0)*'Deal maths'!$D$4:$D$2000))</f>
        <v>0</v>
      </c>
      <c r="D21" s="69">
        <f>SUMPRODUCT(('Deal maths'!$E$4:$E$2000&gt;=PeriodFrom)*('Deal maths'!$E$4:$E$2000&lt;=AsAt)*('Deal maths'!$C$4:$C$2000="UK bank")*('Deal maths'!$H$4:$H$2000+('Deal maths'!$H$4:$H$2000=0)*'Deal maths'!$D$4:$D$2000))</f>
        <v>0</v>
      </c>
      <c r="E21" s="69">
        <f>SUMPRODUCT(('Deal maths'!$F$4:$F$2000&gt;=PeriodFrom)*('Deal maths'!$F$4:$F$2000&lt;=AsAt)*('Deal maths'!$C$4:$C$2000="UK bank")*('Deal maths'!$H$4:$H$2000+('Deal maths'!$H$4:$H$2000=0)*'Deal maths'!$D$4:$D$2000))</f>
        <v>0</v>
      </c>
      <c r="F21" s="69">
        <f>SUMPRODUCT(('Deal maths'!$F$4:$F$2000&gt;AsAt)*('Deal maths'!$E$4:$E$2000&lt;=AsAt)*('Deal maths'!$C$4:$C$2000="UK bank")*('Deal maths'!$H$4:$H$2000+('Deal maths'!$H$4:$H$2000=0)*'Deal maths'!$D$4:$D$2000))</f>
        <v>0</v>
      </c>
      <c r="G21" s="69">
        <f>SUMPRODUCT(('Deal maths'!$L$4:$L$2000="UK bank")*'Deal maths'!$M$4:$M$2000)</f>
        <v>0</v>
      </c>
      <c r="H21" s="69">
        <f>F21+G21</f>
        <v>0</v>
      </c>
      <c r="I21" s="70">
        <f>IFERROR(H21/H$30,0)</f>
        <v>0</v>
      </c>
      <c r="J21" s="71">
        <f>IFERROR((SUMPRODUCT(('Deal maths'!$F$4:$F$2000&gt;AsAt)*('Deal maths'!$E$4:$E$2000&lt;=AsAt)*('Deal maths'!$C$4:$C$2000="UK bank")*('Deal maths'!$H$4:$H$2000+('Deal maths'!$H$4:$H$2000=0)*'Deal maths'!$D$4:$D$2000)*'Deal maths'!$G$4:$G$2000)+SUMPRODUCT(('Deal maths'!$L$4:$L$2000="UK bank")*'Deal maths'!$M$4:$M$2000*'Deal maths'!$N$4:$N$2000))/(SUMPRODUCT(('Deal maths'!$F$4:$F$2000&gt;AsAt)*('Deal maths'!$E$4:$E$2000&lt;=AsAt)*('Deal maths'!$C$4:$C$2000="UK bank")*('Deal maths'!$H$4:$H$2000+('Deal maths'!$H$4:$H$2000=0)*'Deal maths'!$D$4:$D$2000)*'Deal maths'!$I$4:$I$2000)+SUMPRODUCT(('Deal maths'!$L$4:$L$2000="UK bank")*'Deal maths'!$M$4:$M$2000*'Deal maths'!$P$4:$P$2000)),0)</f>
        <v>0</v>
      </c>
      <c r="K21" s="72">
        <f>IFERROR(SUMPRODUCT(('Deal maths'!$F$4:$F$2000&gt;AsAt)*('Deal maths'!$E$4:$E$2000&lt;=AsAt)*('Deal maths'!$C$4:$C$2000="UK bank")*('Deal maths'!$H$4:$H$2000+('Deal maths'!$H$4:$H$2000=0)*'Deal maths'!$D$4:$D$2000)*('Deal maths'!$F$4:$F$2000-AsAt))/365.25/F21,0)</f>
        <v>0</v>
      </c>
      <c r="L21" s="73">
        <f>SUMPRODUCT(('Deal maths'!$F$4:$F$2000&gt;AsAt)*('Deal maths'!$E$4:$E$2000&lt;=AsAt)*('Deal maths'!$C$4:$C$2000="UK bank")*(('Deal maths'!$H$4:$H$2000+('Deal maths'!$H$4:$H$2000=0)*'Deal maths'!$D$4:$D$2000)&gt;0))+SUMPRODUCT(('Deal maths'!$L$4:$L$2000="UK bank")*('Deal maths'!$M$4:$M$2000&gt;0))</f>
        <v>0</v>
      </c>
    </row>
    <row r="22">
      <c r="B22" s="55" t="inlineStr">
        <is>
          <t>Overseas bank</t>
        </is>
      </c>
      <c r="C22" s="69">
        <f>SUMPRODUCT(('Deal maths'!$E$4:$E$2000&lt;PeriodFrom)*('Deal maths'!$F$4:$F$2000&gt;=PeriodFrom)*('Deal maths'!$C$4:$C$2000="Overseas bank")*('Deal maths'!$H$4:$H$2000+('Deal maths'!$H$4:$H$2000=0)*'Deal maths'!$D$4:$D$2000))</f>
        <v>0</v>
      </c>
      <c r="D22" s="69">
        <f>SUMPRODUCT(('Deal maths'!$E$4:$E$2000&gt;=PeriodFrom)*('Deal maths'!$E$4:$E$2000&lt;=AsAt)*('Deal maths'!$C$4:$C$2000="Overseas bank")*('Deal maths'!$H$4:$H$2000+('Deal maths'!$H$4:$H$2000=0)*'Deal maths'!$D$4:$D$2000))</f>
        <v>0</v>
      </c>
      <c r="E22" s="69">
        <f>SUMPRODUCT(('Deal maths'!$F$4:$F$2000&gt;=PeriodFrom)*('Deal maths'!$F$4:$F$2000&lt;=AsAt)*('Deal maths'!$C$4:$C$2000="Overseas bank")*('Deal maths'!$H$4:$H$2000+('Deal maths'!$H$4:$H$2000=0)*'Deal maths'!$D$4:$D$2000))</f>
        <v>0</v>
      </c>
      <c r="F22" s="69">
        <f>SUMPRODUCT(('Deal maths'!$F$4:$F$2000&gt;AsAt)*('Deal maths'!$E$4:$E$2000&lt;=AsAt)*('Deal maths'!$C$4:$C$2000="Overseas bank")*('Deal maths'!$H$4:$H$2000+('Deal maths'!$H$4:$H$2000=0)*'Deal maths'!$D$4:$D$2000))</f>
        <v>0</v>
      </c>
      <c r="G22" s="69">
        <f>SUMPRODUCT(('Deal maths'!$L$4:$L$2000="Overseas bank")*'Deal maths'!$M$4:$M$2000)</f>
        <v>0</v>
      </c>
      <c r="H22" s="69">
        <f>F22+G22</f>
        <v>0</v>
      </c>
      <c r="I22" s="70">
        <f>IFERROR(H22/H$30,0)</f>
        <v>0</v>
      </c>
      <c r="J22" s="71">
        <f>IFERROR((SUMPRODUCT(('Deal maths'!$F$4:$F$2000&gt;AsAt)*('Deal maths'!$E$4:$E$2000&lt;=AsAt)*('Deal maths'!$C$4:$C$2000="Overseas bank")*('Deal maths'!$H$4:$H$2000+('Deal maths'!$H$4:$H$2000=0)*'Deal maths'!$D$4:$D$2000)*'Deal maths'!$G$4:$G$2000)+SUMPRODUCT(('Deal maths'!$L$4:$L$2000="Overseas bank")*'Deal maths'!$M$4:$M$2000*'Deal maths'!$N$4:$N$2000))/(SUMPRODUCT(('Deal maths'!$F$4:$F$2000&gt;AsAt)*('Deal maths'!$E$4:$E$2000&lt;=AsAt)*('Deal maths'!$C$4:$C$2000="Overseas bank")*('Deal maths'!$H$4:$H$2000+('Deal maths'!$H$4:$H$2000=0)*'Deal maths'!$D$4:$D$2000)*'Deal maths'!$I$4:$I$2000)+SUMPRODUCT(('Deal maths'!$L$4:$L$2000="Overseas bank")*'Deal maths'!$M$4:$M$2000*'Deal maths'!$P$4:$P$2000)),0)</f>
        <v>0</v>
      </c>
      <c r="K22" s="72">
        <f>IFERROR(SUMPRODUCT(('Deal maths'!$F$4:$F$2000&gt;AsAt)*('Deal maths'!$E$4:$E$2000&lt;=AsAt)*('Deal maths'!$C$4:$C$2000="Overseas bank")*('Deal maths'!$H$4:$H$2000+('Deal maths'!$H$4:$H$2000=0)*'Deal maths'!$D$4:$D$2000)*('Deal maths'!$F$4:$F$2000-AsAt))/365.25/F22,0)</f>
        <v>0</v>
      </c>
      <c r="L22" s="73">
        <f>SUMPRODUCT(('Deal maths'!$F$4:$F$2000&gt;AsAt)*('Deal maths'!$E$4:$E$2000&lt;=AsAt)*('Deal maths'!$C$4:$C$2000="Overseas bank")*(('Deal maths'!$H$4:$H$2000+('Deal maths'!$H$4:$H$2000=0)*'Deal maths'!$D$4:$D$2000)&gt;0))+SUMPRODUCT(('Deal maths'!$L$4:$L$2000="Overseas bank")*('Deal maths'!$M$4:$M$2000&gt;0))</f>
        <v>0</v>
      </c>
    </row>
    <row r="23">
      <c r="B23" s="55" t="inlineStr">
        <is>
          <t>Building society</t>
        </is>
      </c>
      <c r="C23" s="69">
        <f>SUMPRODUCT(('Deal maths'!$E$4:$E$2000&lt;PeriodFrom)*('Deal maths'!$F$4:$F$2000&gt;=PeriodFrom)*('Deal maths'!$C$4:$C$2000="Building society")*('Deal maths'!$H$4:$H$2000+('Deal maths'!$H$4:$H$2000=0)*'Deal maths'!$D$4:$D$2000))</f>
        <v>0</v>
      </c>
      <c r="D23" s="69">
        <f>SUMPRODUCT(('Deal maths'!$E$4:$E$2000&gt;=PeriodFrom)*('Deal maths'!$E$4:$E$2000&lt;=AsAt)*('Deal maths'!$C$4:$C$2000="Building society")*('Deal maths'!$H$4:$H$2000+('Deal maths'!$H$4:$H$2000=0)*'Deal maths'!$D$4:$D$2000))</f>
        <v>0</v>
      </c>
      <c r="E23" s="69">
        <f>SUMPRODUCT(('Deal maths'!$F$4:$F$2000&gt;=PeriodFrom)*('Deal maths'!$F$4:$F$2000&lt;=AsAt)*('Deal maths'!$C$4:$C$2000="Building society")*('Deal maths'!$H$4:$H$2000+('Deal maths'!$H$4:$H$2000=0)*'Deal maths'!$D$4:$D$2000))</f>
        <v>0</v>
      </c>
      <c r="F23" s="69">
        <f>SUMPRODUCT(('Deal maths'!$F$4:$F$2000&gt;AsAt)*('Deal maths'!$E$4:$E$2000&lt;=AsAt)*('Deal maths'!$C$4:$C$2000="Building society")*('Deal maths'!$H$4:$H$2000+('Deal maths'!$H$4:$H$2000=0)*'Deal maths'!$D$4:$D$2000))</f>
        <v>0</v>
      </c>
      <c r="G23" s="69">
        <f>SUMPRODUCT(('Deal maths'!$L$4:$L$2000="Building society")*'Deal maths'!$M$4:$M$2000)</f>
        <v>0</v>
      </c>
      <c r="H23" s="69">
        <f>F23+G23</f>
        <v>0</v>
      </c>
      <c r="I23" s="70">
        <f>IFERROR(H23/H$30,0)</f>
        <v>0</v>
      </c>
      <c r="J23" s="71">
        <f>IFERROR((SUMPRODUCT(('Deal maths'!$F$4:$F$2000&gt;AsAt)*('Deal maths'!$E$4:$E$2000&lt;=AsAt)*('Deal maths'!$C$4:$C$2000="Building society")*('Deal maths'!$H$4:$H$2000+('Deal maths'!$H$4:$H$2000=0)*'Deal maths'!$D$4:$D$2000)*'Deal maths'!$G$4:$G$2000)+SUMPRODUCT(('Deal maths'!$L$4:$L$2000="Building society")*'Deal maths'!$M$4:$M$2000*'Deal maths'!$N$4:$N$2000))/(SUMPRODUCT(('Deal maths'!$F$4:$F$2000&gt;AsAt)*('Deal maths'!$E$4:$E$2000&lt;=AsAt)*('Deal maths'!$C$4:$C$2000="Building society")*('Deal maths'!$H$4:$H$2000+('Deal maths'!$H$4:$H$2000=0)*'Deal maths'!$D$4:$D$2000)*'Deal maths'!$I$4:$I$2000)+SUMPRODUCT(('Deal maths'!$L$4:$L$2000="Building society")*'Deal maths'!$M$4:$M$2000*'Deal maths'!$P$4:$P$2000)),0)</f>
        <v>0</v>
      </c>
      <c r="K23" s="72">
        <f>IFERROR(SUMPRODUCT(('Deal maths'!$F$4:$F$2000&gt;AsAt)*('Deal maths'!$E$4:$E$2000&lt;=AsAt)*('Deal maths'!$C$4:$C$2000="Building society")*('Deal maths'!$H$4:$H$2000+('Deal maths'!$H$4:$H$2000=0)*'Deal maths'!$D$4:$D$2000)*('Deal maths'!$F$4:$F$2000-AsAt))/365.25/F23,0)</f>
        <v>0</v>
      </c>
      <c r="L23" s="73">
        <f>SUMPRODUCT(('Deal maths'!$F$4:$F$2000&gt;AsAt)*('Deal maths'!$E$4:$E$2000&lt;=AsAt)*('Deal maths'!$C$4:$C$2000="Building society")*(('Deal maths'!$H$4:$H$2000+('Deal maths'!$H$4:$H$2000=0)*'Deal maths'!$D$4:$D$2000)&gt;0))+SUMPRODUCT(('Deal maths'!$L$4:$L$2000="Building society")*('Deal maths'!$M$4:$M$2000&gt;0))</f>
        <v>0</v>
      </c>
    </row>
    <row r="24">
      <c r="B24" s="55" t="inlineStr">
        <is>
          <t>Local authority</t>
        </is>
      </c>
      <c r="C24" s="69">
        <f>SUMPRODUCT(('Deal maths'!$E$4:$E$2000&lt;PeriodFrom)*('Deal maths'!$F$4:$F$2000&gt;=PeriodFrom)*('Deal maths'!$C$4:$C$2000="Local authority")*('Deal maths'!$H$4:$H$2000+('Deal maths'!$H$4:$H$2000=0)*'Deal maths'!$D$4:$D$2000))</f>
        <v>0</v>
      </c>
      <c r="D24" s="69">
        <f>SUMPRODUCT(('Deal maths'!$E$4:$E$2000&gt;=PeriodFrom)*('Deal maths'!$E$4:$E$2000&lt;=AsAt)*('Deal maths'!$C$4:$C$2000="Local authority")*('Deal maths'!$H$4:$H$2000+('Deal maths'!$H$4:$H$2000=0)*'Deal maths'!$D$4:$D$2000))</f>
        <v>0</v>
      </c>
      <c r="E24" s="69">
        <f>SUMPRODUCT(('Deal maths'!$F$4:$F$2000&gt;=PeriodFrom)*('Deal maths'!$F$4:$F$2000&lt;=AsAt)*('Deal maths'!$C$4:$C$2000="Local authority")*('Deal maths'!$H$4:$H$2000+('Deal maths'!$H$4:$H$2000=0)*'Deal maths'!$D$4:$D$2000))</f>
        <v>0</v>
      </c>
      <c r="F24" s="69">
        <f>SUMPRODUCT(('Deal maths'!$F$4:$F$2000&gt;AsAt)*('Deal maths'!$E$4:$E$2000&lt;=AsAt)*('Deal maths'!$C$4:$C$2000="Local authority")*('Deal maths'!$H$4:$H$2000+('Deal maths'!$H$4:$H$2000=0)*'Deal maths'!$D$4:$D$2000))</f>
        <v>0</v>
      </c>
      <c r="G24" s="69">
        <f>SUMPRODUCT(('Deal maths'!$L$4:$L$2000="Local authority")*'Deal maths'!$M$4:$M$2000)</f>
        <v>0</v>
      </c>
      <c r="H24" s="69">
        <f>F24+G24</f>
        <v>0</v>
      </c>
      <c r="I24" s="70">
        <f>IFERROR(H24/H$30,0)</f>
        <v>0</v>
      </c>
      <c r="J24" s="71">
        <f>IFERROR((SUMPRODUCT(('Deal maths'!$F$4:$F$2000&gt;AsAt)*('Deal maths'!$E$4:$E$2000&lt;=AsAt)*('Deal maths'!$C$4:$C$2000="Local authority")*('Deal maths'!$H$4:$H$2000+('Deal maths'!$H$4:$H$2000=0)*'Deal maths'!$D$4:$D$2000)*'Deal maths'!$G$4:$G$2000)+SUMPRODUCT(('Deal maths'!$L$4:$L$2000="Local authority")*'Deal maths'!$M$4:$M$2000*'Deal maths'!$N$4:$N$2000))/(SUMPRODUCT(('Deal maths'!$F$4:$F$2000&gt;AsAt)*('Deal maths'!$E$4:$E$2000&lt;=AsAt)*('Deal maths'!$C$4:$C$2000="Local authority")*('Deal maths'!$H$4:$H$2000+('Deal maths'!$H$4:$H$2000=0)*'Deal maths'!$D$4:$D$2000)*'Deal maths'!$I$4:$I$2000)+SUMPRODUCT(('Deal maths'!$L$4:$L$2000="Local authority")*'Deal maths'!$M$4:$M$2000*'Deal maths'!$P$4:$P$2000)),0)</f>
        <v>0</v>
      </c>
      <c r="K24" s="72">
        <f>IFERROR(SUMPRODUCT(('Deal maths'!$F$4:$F$2000&gt;AsAt)*('Deal maths'!$E$4:$E$2000&lt;=AsAt)*('Deal maths'!$C$4:$C$2000="Local authority")*('Deal maths'!$H$4:$H$2000+('Deal maths'!$H$4:$H$2000=0)*'Deal maths'!$D$4:$D$2000)*('Deal maths'!$F$4:$F$2000-AsAt))/365.25/F24,0)</f>
        <v>0</v>
      </c>
      <c r="L24" s="73">
        <f>SUMPRODUCT(('Deal maths'!$F$4:$F$2000&gt;AsAt)*('Deal maths'!$E$4:$E$2000&lt;=AsAt)*('Deal maths'!$C$4:$C$2000="Local authority")*(('Deal maths'!$H$4:$H$2000+('Deal maths'!$H$4:$H$2000=0)*'Deal maths'!$D$4:$D$2000)&gt;0))+SUMPRODUCT(('Deal maths'!$L$4:$L$2000="Local authority")*('Deal maths'!$M$4:$M$2000&gt;0))</f>
        <v>0</v>
      </c>
    </row>
    <row r="25">
      <c r="B25" s="55" t="inlineStr">
        <is>
          <t>UK Government</t>
        </is>
      </c>
      <c r="C25" s="69">
        <f>SUMPRODUCT(('Deal maths'!$E$4:$E$2000&lt;PeriodFrom)*('Deal maths'!$F$4:$F$2000&gt;=PeriodFrom)*('Deal maths'!$C$4:$C$2000="UK Government")*('Deal maths'!$H$4:$H$2000+('Deal maths'!$H$4:$H$2000=0)*'Deal maths'!$D$4:$D$2000))</f>
        <v>0</v>
      </c>
      <c r="D25" s="69">
        <f>SUMPRODUCT(('Deal maths'!$E$4:$E$2000&gt;=PeriodFrom)*('Deal maths'!$E$4:$E$2000&lt;=AsAt)*('Deal maths'!$C$4:$C$2000="UK Government")*('Deal maths'!$H$4:$H$2000+('Deal maths'!$H$4:$H$2000=0)*'Deal maths'!$D$4:$D$2000))</f>
        <v>0</v>
      </c>
      <c r="E25" s="69">
        <f>SUMPRODUCT(('Deal maths'!$F$4:$F$2000&gt;=PeriodFrom)*('Deal maths'!$F$4:$F$2000&lt;=AsAt)*('Deal maths'!$C$4:$C$2000="UK Government")*('Deal maths'!$H$4:$H$2000+('Deal maths'!$H$4:$H$2000=0)*'Deal maths'!$D$4:$D$2000))</f>
        <v>0</v>
      </c>
      <c r="F25" s="69">
        <f>SUMPRODUCT(('Deal maths'!$F$4:$F$2000&gt;AsAt)*('Deal maths'!$E$4:$E$2000&lt;=AsAt)*('Deal maths'!$C$4:$C$2000="UK Government")*('Deal maths'!$H$4:$H$2000+('Deal maths'!$H$4:$H$2000=0)*'Deal maths'!$D$4:$D$2000))</f>
        <v>0</v>
      </c>
      <c r="G25" s="69">
        <f>SUMPRODUCT(('Deal maths'!$L$4:$L$2000="UK Government")*'Deal maths'!$M$4:$M$2000)</f>
        <v>0</v>
      </c>
      <c r="H25" s="69">
        <f>F25+G25</f>
        <v>0</v>
      </c>
      <c r="I25" s="70">
        <f>IFERROR(H25/H$30,0)</f>
        <v>0</v>
      </c>
      <c r="J25" s="71">
        <f>IFERROR((SUMPRODUCT(('Deal maths'!$F$4:$F$2000&gt;AsAt)*('Deal maths'!$E$4:$E$2000&lt;=AsAt)*('Deal maths'!$C$4:$C$2000="UK Government")*('Deal maths'!$H$4:$H$2000+('Deal maths'!$H$4:$H$2000=0)*'Deal maths'!$D$4:$D$2000)*'Deal maths'!$G$4:$G$2000)+SUMPRODUCT(('Deal maths'!$L$4:$L$2000="UK Government")*'Deal maths'!$M$4:$M$2000*'Deal maths'!$N$4:$N$2000))/(SUMPRODUCT(('Deal maths'!$F$4:$F$2000&gt;AsAt)*('Deal maths'!$E$4:$E$2000&lt;=AsAt)*('Deal maths'!$C$4:$C$2000="UK Government")*('Deal maths'!$H$4:$H$2000+('Deal maths'!$H$4:$H$2000=0)*'Deal maths'!$D$4:$D$2000)*'Deal maths'!$I$4:$I$2000)+SUMPRODUCT(('Deal maths'!$L$4:$L$2000="UK Government")*'Deal maths'!$M$4:$M$2000*'Deal maths'!$P$4:$P$2000)),0)</f>
        <v>0</v>
      </c>
      <c r="K25" s="72">
        <f>IFERROR(SUMPRODUCT(('Deal maths'!$F$4:$F$2000&gt;AsAt)*('Deal maths'!$E$4:$E$2000&lt;=AsAt)*('Deal maths'!$C$4:$C$2000="UK Government")*('Deal maths'!$H$4:$H$2000+('Deal maths'!$H$4:$H$2000=0)*'Deal maths'!$D$4:$D$2000)*('Deal maths'!$F$4:$F$2000-AsAt))/365.25/F25,0)</f>
        <v>0</v>
      </c>
      <c r="L25" s="73">
        <f>SUMPRODUCT(('Deal maths'!$F$4:$F$2000&gt;AsAt)*('Deal maths'!$E$4:$E$2000&lt;=AsAt)*('Deal maths'!$C$4:$C$2000="UK Government")*(('Deal maths'!$H$4:$H$2000+('Deal maths'!$H$4:$H$2000=0)*'Deal maths'!$D$4:$D$2000)&gt;0))+SUMPRODUCT(('Deal maths'!$L$4:$L$2000="UK Government")*('Deal maths'!$M$4:$M$2000&gt;0))</f>
        <v>0</v>
      </c>
    </row>
    <row r="26">
      <c r="B26" s="55" t="inlineStr">
        <is>
          <t>Money market fund</t>
        </is>
      </c>
      <c r="C26" s="69">
        <f>SUMPRODUCT(('Deal maths'!$E$4:$E$2000&lt;PeriodFrom)*('Deal maths'!$F$4:$F$2000&gt;=PeriodFrom)*('Deal maths'!$C$4:$C$2000="Money market fund")*('Deal maths'!$H$4:$H$2000+('Deal maths'!$H$4:$H$2000=0)*'Deal maths'!$D$4:$D$2000))</f>
        <v>0</v>
      </c>
      <c r="D26" s="69">
        <f>SUMPRODUCT(('Deal maths'!$E$4:$E$2000&gt;=PeriodFrom)*('Deal maths'!$E$4:$E$2000&lt;=AsAt)*('Deal maths'!$C$4:$C$2000="Money market fund")*('Deal maths'!$H$4:$H$2000+('Deal maths'!$H$4:$H$2000=0)*'Deal maths'!$D$4:$D$2000))</f>
        <v>0</v>
      </c>
      <c r="E26" s="69">
        <f>SUMPRODUCT(('Deal maths'!$F$4:$F$2000&gt;=PeriodFrom)*('Deal maths'!$F$4:$F$2000&lt;=AsAt)*('Deal maths'!$C$4:$C$2000="Money market fund")*('Deal maths'!$H$4:$H$2000+('Deal maths'!$H$4:$H$2000=0)*'Deal maths'!$D$4:$D$2000))</f>
        <v>0</v>
      </c>
      <c r="F26" s="69">
        <f>SUMPRODUCT(('Deal maths'!$F$4:$F$2000&gt;AsAt)*('Deal maths'!$E$4:$E$2000&lt;=AsAt)*('Deal maths'!$C$4:$C$2000="Money market fund")*('Deal maths'!$H$4:$H$2000+('Deal maths'!$H$4:$H$2000=0)*'Deal maths'!$D$4:$D$2000))</f>
        <v>0</v>
      </c>
      <c r="G26" s="69">
        <f>SUMPRODUCT(('Deal maths'!$L$4:$L$2000="Money market fund")*'Deal maths'!$M$4:$M$2000)</f>
        <v>0</v>
      </c>
      <c r="H26" s="69">
        <f>F26+G26</f>
        <v>0</v>
      </c>
      <c r="I26" s="70">
        <f>IFERROR(H26/H$30,0)</f>
        <v>0</v>
      </c>
      <c r="J26" s="71">
        <f>IFERROR((SUMPRODUCT(('Deal maths'!$F$4:$F$2000&gt;AsAt)*('Deal maths'!$E$4:$E$2000&lt;=AsAt)*('Deal maths'!$C$4:$C$2000="Money market fund")*('Deal maths'!$H$4:$H$2000+('Deal maths'!$H$4:$H$2000=0)*'Deal maths'!$D$4:$D$2000)*'Deal maths'!$G$4:$G$2000)+SUMPRODUCT(('Deal maths'!$L$4:$L$2000="Money market fund")*'Deal maths'!$M$4:$M$2000*'Deal maths'!$N$4:$N$2000))/(SUMPRODUCT(('Deal maths'!$F$4:$F$2000&gt;AsAt)*('Deal maths'!$E$4:$E$2000&lt;=AsAt)*('Deal maths'!$C$4:$C$2000="Money market fund")*('Deal maths'!$H$4:$H$2000+('Deal maths'!$H$4:$H$2000=0)*'Deal maths'!$D$4:$D$2000)*'Deal maths'!$I$4:$I$2000)+SUMPRODUCT(('Deal maths'!$L$4:$L$2000="Money market fund")*'Deal maths'!$M$4:$M$2000*'Deal maths'!$P$4:$P$2000)),0)</f>
        <v>0</v>
      </c>
      <c r="K26" s="72">
        <f>IFERROR(SUMPRODUCT(('Deal maths'!$F$4:$F$2000&gt;AsAt)*('Deal maths'!$E$4:$E$2000&lt;=AsAt)*('Deal maths'!$C$4:$C$2000="Money market fund")*('Deal maths'!$H$4:$H$2000+('Deal maths'!$H$4:$H$2000=0)*'Deal maths'!$D$4:$D$2000)*('Deal maths'!$F$4:$F$2000-AsAt))/365.25/F26,0)</f>
        <v>0</v>
      </c>
      <c r="L26" s="73">
        <f>SUMPRODUCT(('Deal maths'!$F$4:$F$2000&gt;AsAt)*('Deal maths'!$E$4:$E$2000&lt;=AsAt)*('Deal maths'!$C$4:$C$2000="Money market fund")*(('Deal maths'!$H$4:$H$2000+('Deal maths'!$H$4:$H$2000=0)*'Deal maths'!$D$4:$D$2000)&gt;0))+SUMPRODUCT(('Deal maths'!$L$4:$L$2000="Money market fund")*('Deal maths'!$M$4:$M$2000&gt;0))</f>
        <v>0</v>
      </c>
    </row>
    <row r="27">
      <c r="B27" s="55" t="inlineStr">
        <is>
          <t>Pooled fund</t>
        </is>
      </c>
      <c r="C27" s="69">
        <f>SUMPRODUCT(('Deal maths'!$E$4:$E$2000&lt;PeriodFrom)*('Deal maths'!$F$4:$F$2000&gt;=PeriodFrom)*('Deal maths'!$C$4:$C$2000="Pooled fund")*('Deal maths'!$H$4:$H$2000+('Deal maths'!$H$4:$H$2000=0)*'Deal maths'!$D$4:$D$2000))</f>
        <v>0</v>
      </c>
      <c r="D27" s="69">
        <f>SUMPRODUCT(('Deal maths'!$E$4:$E$2000&gt;=PeriodFrom)*('Deal maths'!$E$4:$E$2000&lt;=AsAt)*('Deal maths'!$C$4:$C$2000="Pooled fund")*('Deal maths'!$H$4:$H$2000+('Deal maths'!$H$4:$H$2000=0)*'Deal maths'!$D$4:$D$2000))</f>
        <v>0</v>
      </c>
      <c r="E27" s="69">
        <f>SUMPRODUCT(('Deal maths'!$F$4:$F$2000&gt;=PeriodFrom)*('Deal maths'!$F$4:$F$2000&lt;=AsAt)*('Deal maths'!$C$4:$C$2000="Pooled fund")*('Deal maths'!$H$4:$H$2000+('Deal maths'!$H$4:$H$2000=0)*'Deal maths'!$D$4:$D$2000))</f>
        <v>0</v>
      </c>
      <c r="F27" s="69">
        <f>SUMPRODUCT(('Deal maths'!$F$4:$F$2000&gt;AsAt)*('Deal maths'!$E$4:$E$2000&lt;=AsAt)*('Deal maths'!$C$4:$C$2000="Pooled fund")*('Deal maths'!$H$4:$H$2000+('Deal maths'!$H$4:$H$2000=0)*'Deal maths'!$D$4:$D$2000))</f>
        <v>0</v>
      </c>
      <c r="G27" s="69">
        <f>SUMPRODUCT(('Deal maths'!$L$4:$L$2000="Pooled fund")*'Deal maths'!$M$4:$M$2000)</f>
        <v>0</v>
      </c>
      <c r="H27" s="69">
        <f>F27+G27</f>
        <v>0</v>
      </c>
      <c r="I27" s="70">
        <f>IFERROR(H27/H$30,0)</f>
        <v>0</v>
      </c>
      <c r="J27" s="71">
        <f>IFERROR((SUMPRODUCT(('Deal maths'!$F$4:$F$2000&gt;AsAt)*('Deal maths'!$E$4:$E$2000&lt;=AsAt)*('Deal maths'!$C$4:$C$2000="Pooled fund")*('Deal maths'!$H$4:$H$2000+('Deal maths'!$H$4:$H$2000=0)*'Deal maths'!$D$4:$D$2000)*'Deal maths'!$G$4:$G$2000)+SUMPRODUCT(('Deal maths'!$L$4:$L$2000="Pooled fund")*'Deal maths'!$M$4:$M$2000*'Deal maths'!$N$4:$N$2000))/(SUMPRODUCT(('Deal maths'!$F$4:$F$2000&gt;AsAt)*('Deal maths'!$E$4:$E$2000&lt;=AsAt)*('Deal maths'!$C$4:$C$2000="Pooled fund")*('Deal maths'!$H$4:$H$2000+('Deal maths'!$H$4:$H$2000=0)*'Deal maths'!$D$4:$D$2000)*'Deal maths'!$I$4:$I$2000)+SUMPRODUCT(('Deal maths'!$L$4:$L$2000="Pooled fund")*'Deal maths'!$M$4:$M$2000*'Deal maths'!$P$4:$P$2000)),0)</f>
        <v>0</v>
      </c>
      <c r="K27" s="72">
        <f>IFERROR(SUMPRODUCT(('Deal maths'!$F$4:$F$2000&gt;AsAt)*('Deal maths'!$E$4:$E$2000&lt;=AsAt)*('Deal maths'!$C$4:$C$2000="Pooled fund")*('Deal maths'!$H$4:$H$2000+('Deal maths'!$H$4:$H$2000=0)*'Deal maths'!$D$4:$D$2000)*('Deal maths'!$F$4:$F$2000-AsAt))/365.25/F27,0)</f>
        <v>0</v>
      </c>
      <c r="L27" s="73">
        <f>SUMPRODUCT(('Deal maths'!$F$4:$F$2000&gt;AsAt)*('Deal maths'!$E$4:$E$2000&lt;=AsAt)*('Deal maths'!$C$4:$C$2000="Pooled fund")*(('Deal maths'!$H$4:$H$2000+('Deal maths'!$H$4:$H$2000=0)*'Deal maths'!$D$4:$D$2000)&gt;0))+SUMPRODUCT(('Deal maths'!$L$4:$L$2000="Pooled fund")*('Deal maths'!$M$4:$M$2000&gt;0))</f>
        <v>0</v>
      </c>
    </row>
    <row r="28">
      <c r="B28" s="55" t="inlineStr">
        <is>
          <t>Other</t>
        </is>
      </c>
      <c r="C28" s="69">
        <f>SUMPRODUCT(('Deal maths'!$E$4:$E$2000&lt;PeriodFrom)*('Deal maths'!$F$4:$F$2000&gt;=PeriodFrom)*('Deal maths'!$C$4:$C$2000="Other")*('Deal maths'!$H$4:$H$2000+('Deal maths'!$H$4:$H$2000=0)*'Deal maths'!$D$4:$D$2000))</f>
        <v>0</v>
      </c>
      <c r="D28" s="69">
        <f>SUMPRODUCT(('Deal maths'!$E$4:$E$2000&gt;=PeriodFrom)*('Deal maths'!$E$4:$E$2000&lt;=AsAt)*('Deal maths'!$C$4:$C$2000="Other")*('Deal maths'!$H$4:$H$2000+('Deal maths'!$H$4:$H$2000=0)*'Deal maths'!$D$4:$D$2000))</f>
        <v>0</v>
      </c>
      <c r="E28" s="69">
        <f>SUMPRODUCT(('Deal maths'!$F$4:$F$2000&gt;=PeriodFrom)*('Deal maths'!$F$4:$F$2000&lt;=AsAt)*('Deal maths'!$C$4:$C$2000="Other")*('Deal maths'!$H$4:$H$2000+('Deal maths'!$H$4:$H$2000=0)*'Deal maths'!$D$4:$D$2000))</f>
        <v>0</v>
      </c>
      <c r="F28" s="69">
        <f>SUMPRODUCT(('Deal maths'!$F$4:$F$2000&gt;AsAt)*('Deal maths'!$E$4:$E$2000&lt;=AsAt)*('Deal maths'!$C$4:$C$2000="Other")*('Deal maths'!$H$4:$H$2000+('Deal maths'!$H$4:$H$2000=0)*'Deal maths'!$D$4:$D$2000))</f>
        <v>0</v>
      </c>
      <c r="G28" s="69">
        <f>SUMPRODUCT(('Deal maths'!$L$4:$L$2000="Other")*'Deal maths'!$M$4:$M$2000)</f>
        <v>0</v>
      </c>
      <c r="H28" s="69">
        <f>F28+G28</f>
        <v>0</v>
      </c>
      <c r="I28" s="70">
        <f>IFERROR(H28/H$30,0)</f>
        <v>0</v>
      </c>
      <c r="J28" s="71">
        <f>IFERROR((SUMPRODUCT(('Deal maths'!$F$4:$F$2000&gt;AsAt)*('Deal maths'!$E$4:$E$2000&lt;=AsAt)*('Deal maths'!$C$4:$C$2000="Other")*('Deal maths'!$H$4:$H$2000+('Deal maths'!$H$4:$H$2000=0)*'Deal maths'!$D$4:$D$2000)*'Deal maths'!$G$4:$G$2000)+SUMPRODUCT(('Deal maths'!$L$4:$L$2000="Other")*'Deal maths'!$M$4:$M$2000*'Deal maths'!$N$4:$N$2000))/(SUMPRODUCT(('Deal maths'!$F$4:$F$2000&gt;AsAt)*('Deal maths'!$E$4:$E$2000&lt;=AsAt)*('Deal maths'!$C$4:$C$2000="Other")*('Deal maths'!$H$4:$H$2000+('Deal maths'!$H$4:$H$2000=0)*'Deal maths'!$D$4:$D$2000)*'Deal maths'!$I$4:$I$2000)+SUMPRODUCT(('Deal maths'!$L$4:$L$2000="Other")*'Deal maths'!$M$4:$M$2000*'Deal maths'!$P$4:$P$2000)),0)</f>
        <v>0</v>
      </c>
      <c r="K28" s="72">
        <f>IFERROR(SUMPRODUCT(('Deal maths'!$F$4:$F$2000&gt;AsAt)*('Deal maths'!$E$4:$E$2000&lt;=AsAt)*('Deal maths'!$C$4:$C$2000="Other")*('Deal maths'!$H$4:$H$2000+('Deal maths'!$H$4:$H$2000=0)*'Deal maths'!$D$4:$D$2000)*('Deal maths'!$F$4:$F$2000-AsAt))/365.25/F28,0)</f>
        <v>0</v>
      </c>
      <c r="L28" s="73">
        <f>SUMPRODUCT(('Deal maths'!$F$4:$F$2000&gt;AsAt)*('Deal maths'!$E$4:$E$2000&lt;=AsAt)*('Deal maths'!$C$4:$C$2000="Other")*(('Deal maths'!$H$4:$H$2000+('Deal maths'!$H$4:$H$2000=0)*'Deal maths'!$D$4:$D$2000)&gt;0))+SUMPRODUCT(('Deal maths'!$L$4:$L$2000="Other")*('Deal maths'!$M$4:$M$2000&gt;0))</f>
        <v>0</v>
      </c>
    </row>
    <row r="29">
      <c r="B29" s="55" t="inlineStr">
        <is>
          <t>Not on the list</t>
        </is>
      </c>
      <c r="C29" s="69">
        <f>SUMPRODUCT(('Deal maths'!$E$4:$E$2000&lt;PeriodFrom)*('Deal maths'!$F$4:$F$2000&gt;=PeriodFrom)*(COUNTIF(CounterpartyTypes,'Deal maths'!$C$4:$C$2000)=0)*('Deal maths'!$H$4:$H$2000+('Deal maths'!$H$4:$H$2000=0)*'Deal maths'!$D$4:$D$2000))</f>
        <v>0</v>
      </c>
      <c r="D29" s="69">
        <f>SUMPRODUCT(('Deal maths'!$E$4:$E$2000&gt;=PeriodFrom)*('Deal maths'!$E$4:$E$2000&lt;=AsAt)*(COUNTIF(CounterpartyTypes,'Deal maths'!$C$4:$C$2000)=0)*('Deal maths'!$H$4:$H$2000+('Deal maths'!$H$4:$H$2000=0)*'Deal maths'!$D$4:$D$2000))</f>
        <v>0</v>
      </c>
      <c r="E29" s="69">
        <f>SUMPRODUCT(('Deal maths'!$F$4:$F$2000&gt;=PeriodFrom)*('Deal maths'!$F$4:$F$2000&lt;=AsAt)*(COUNTIF(CounterpartyTypes,'Deal maths'!$C$4:$C$2000)=0)*('Deal maths'!$H$4:$H$2000+('Deal maths'!$H$4:$H$2000=0)*'Deal maths'!$D$4:$D$2000))</f>
        <v>0</v>
      </c>
      <c r="F29" s="69">
        <f>SUMPRODUCT(('Deal maths'!$F$4:$F$2000&gt;AsAt)*('Deal maths'!$E$4:$E$2000&lt;=AsAt)*(COUNTIF(CounterpartyTypes,'Deal maths'!$C$4:$C$2000)=0)*('Deal maths'!$H$4:$H$2000+('Deal maths'!$H$4:$H$2000=0)*'Deal maths'!$D$4:$D$2000))</f>
        <v>0</v>
      </c>
      <c r="G29" s="69">
        <f>SUMPRODUCT((COUNTIF(CounterpartyTypes,'Deal maths'!$L$4:$L$2000)=0)*'Deal maths'!$M$4:$M$2000)</f>
        <v>0</v>
      </c>
      <c r="H29" s="69">
        <f>F29+G29</f>
        <v>0</v>
      </c>
      <c r="I29" s="70">
        <f>IFERROR(H29/H$30,0)</f>
        <v>0</v>
      </c>
      <c r="J29" s="71">
        <f>IFERROR((SUMPRODUCT(('Deal maths'!$F$4:$F$2000&gt;AsAt)*('Deal maths'!$E$4:$E$2000&lt;=AsAt)*(COUNTIF(CounterpartyTypes,'Deal maths'!$C$4:$C$2000)=0)*('Deal maths'!$H$4:$H$2000+('Deal maths'!$H$4:$H$2000=0)*'Deal maths'!$D$4:$D$2000)*'Deal maths'!$G$4:$G$2000)+SUMPRODUCT((COUNTIF(CounterpartyTypes,'Deal maths'!$L$4:$L$2000)=0)*'Deal maths'!$M$4:$M$2000*'Deal maths'!$N$4:$N$2000))/(SUMPRODUCT(('Deal maths'!$F$4:$F$2000&gt;AsAt)*('Deal maths'!$E$4:$E$2000&lt;=AsAt)*(COUNTIF(CounterpartyTypes,'Deal maths'!$C$4:$C$2000)=0)*('Deal maths'!$H$4:$H$2000+('Deal maths'!$H$4:$H$2000=0)*'Deal maths'!$D$4:$D$2000)*'Deal maths'!$I$4:$I$2000)+SUMPRODUCT((COUNTIF(CounterpartyTypes,'Deal maths'!$L$4:$L$2000)=0)*'Deal maths'!$M$4:$M$2000*'Deal maths'!$P$4:$P$2000)),0)</f>
        <v>0</v>
      </c>
      <c r="K29" s="72">
        <f>IFERROR(SUMPRODUCT(('Deal maths'!$F$4:$F$2000&gt;AsAt)*('Deal maths'!$E$4:$E$2000&lt;=AsAt)*(COUNTIF(CounterpartyTypes,'Deal maths'!$C$4:$C$2000)=0)*('Deal maths'!$H$4:$H$2000+('Deal maths'!$H$4:$H$2000=0)*'Deal maths'!$D$4:$D$2000)*('Deal maths'!$F$4:$F$2000-AsAt))/365.25/F29,0)</f>
        <v>0</v>
      </c>
      <c r="L29" s="73">
        <f>SUMPRODUCT(('Deal maths'!$F$4:$F$2000&gt;AsAt)*('Deal maths'!$E$4:$E$2000&lt;=AsAt)*(COUNTIF(CounterpartyTypes,'Deal maths'!$C$4:$C$2000)=0)*(('Deal maths'!$H$4:$H$2000+('Deal maths'!$H$4:$H$2000=0)*'Deal maths'!$D$4:$D$2000)&gt;0))+SUMPRODUCT((COUNTIF(CounterpartyTypes,'Deal maths'!$L$4:$L$2000)=0)*('Deal maths'!$M$4:$M$2000&gt;0))</f>
        <v>0</v>
      </c>
    </row>
    <row r="30">
      <c r="B30" s="58" t="inlineStr">
        <is>
          <t>Total</t>
        </is>
      </c>
      <c r="C30" s="74">
        <f>SUM(C21:C29)</f>
        <v>0</v>
      </c>
      <c r="D30" s="74">
        <f>SUM(D21:D29)</f>
        <v>0</v>
      </c>
      <c r="E30" s="74">
        <f>SUM(E21:E29)</f>
        <v>0</v>
      </c>
      <c r="F30" s="74">
        <f>SUM(F21:F29)</f>
        <v>0</v>
      </c>
      <c r="G30" s="74">
        <f>SUM(G21:G29)</f>
        <v>0</v>
      </c>
      <c r="H30" s="74">
        <f>SUM(H21:H29)</f>
        <v>0</v>
      </c>
      <c r="I30" s="75">
        <f>IFERROR(SUM(I21:I29),0)</f>
        <v>0</v>
      </c>
      <c r="J30" s="76">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v>
      </c>
      <c r="K30" s="77">
        <f>IFERROR(SUMPRODUCT(('Deal maths'!$F$4:$F$2000&gt;AsAt)*('Deal maths'!$E$4:$E$2000&lt;=AsAt)*('Deal maths'!$H$4:$H$2000+('Deal maths'!$H$4:$H$2000=0)*'Deal maths'!$D$4:$D$2000)*('Deal maths'!$F$4:$F$2000-AsAt))/365.25/(SUMPRODUCT(('Deal maths'!$F$4:$F$2000&gt;AsAt)*('Deal maths'!$E$4:$E$2000&lt;=AsAt)*('Deal maths'!$H$4:$H$2000+('Deal maths'!$H$4:$H$2000=0)*'Deal maths'!$D$4:$D$2000))),0)</f>
        <v>0</v>
      </c>
      <c r="L30" s="78">
        <f>SUM(L21:L29)</f>
        <v>0</v>
      </c>
    </row>
    <row r="31" ht="50" customHeight="1">
      <c r="B31" s="45" t="inlineStr">
        <is>
          <t>Term deals at nominal (Face value where given, else Principal): at the start, those placed before Period from and maturing on or after it; placed and matured, those with their start or maturity in the period; at As at, those started on or before it and maturing after it (a deal starting later is not held yet). Money on call and in money market funds is held at its balance on the As at date only, so it has no figure at the start. The average rate is over everything held at As at that states a rate; the average life is the term deals' years to maturity.</t>
        </is>
      </c>
    </row>
    <row r="32">
      <c r="B32" s="38" t="str">
        <f>IF(AND(ABS(C30+D30-E30-F30)&lt;1,SUMPRODUCT(('Deal maths'!$E$4:$E$2000&gt;0)*('Deal maths'!$F$4:$F$2000&gt;0)*('Deal maths'!$F$4:$F$2000&lt;='Deal maths'!$E$4:$E$2000))=0),"✔ The term deals reconcile: at the start, plus placed, less matured, is the figure at As at.","✘ The term deals do not reconcile: a deal with its maturity on or before its start is in the rows (marked red on the Term investments sheet).")</f>
        <v>✔ The term deals reconcile: at the start, plus placed, less matured, is the figure at As at.</v>
      </c>
    </row>
    <row r="33"/>
    <row r="34">
      <c r="B34" s="8" t="inlineStr">
        <is>
          <t>Pooled funds</t>
        </is>
      </c>
    </row>
    <row r="35" ht="28" customHeight="1">
      <c r="B35" s="53" t="inlineStr">
        <is>
          <t>Fund type</t>
        </is>
      </c>
      <c r="C35" s="54" t="inlineStr">
        <is>
          <t>Carrying value</t>
        </is>
      </c>
      <c r="D35" s="54" t="inlineStr">
        <is>
          <t>Latest value</t>
        </is>
      </c>
      <c r="E35" s="54" t="inlineStr">
        <is>
          <t>Gain or loss</t>
        </is>
      </c>
      <c r="F35" s="54" t="inlineStr">
        <is>
          <t>Income rate</t>
        </is>
      </c>
      <c r="G35" s="54" t="inlineStr">
        <is>
          <t>Funds</t>
        </is>
      </c>
    </row>
    <row r="36">
      <c r="B36" s="55" t="inlineStr">
        <is>
          <t>Property</t>
        </is>
      </c>
      <c r="C36" s="69">
        <f>SUMPRODUCT(('Deal maths'!$Q$4:$Q$2000="Property")*'Deal maths'!$R$4:$R$2000)</f>
        <v>0</v>
      </c>
      <c r="D36" s="69">
        <f>SUMPRODUCT(('Deal maths'!$Q$4:$Q$2000="Property")*(('Deal maths'!$R$4:$R$2000&gt;0)*('Deal maths'!$S$4:$S$2000+('Deal maths'!$S$4:$S$2000=0)*'Deal maths'!$R$4:$R$2000)))</f>
        <v>0</v>
      </c>
      <c r="E36" s="69">
        <f>D36-C36</f>
        <v>0</v>
      </c>
      <c r="F36" s="71">
        <f>IFERROR(SUMPRODUCT(('Deal maths'!$Q$4:$Q$2000="Property")*(('Deal maths'!$R$4:$R$2000&gt;0)*('Deal maths'!$S$4:$S$2000+('Deal maths'!$S$4:$S$2000=0)*'Deal maths'!$R$4:$R$2000))*'Deal maths'!$T$4:$T$2000)/SUMPRODUCT(('Deal maths'!$Q$4:$Q$2000="Property")*(('Deal maths'!$R$4:$R$2000&gt;0)*('Deal maths'!$S$4:$S$2000+('Deal maths'!$S$4:$S$2000=0)*'Deal maths'!$R$4:$R$2000))*'Deal maths'!$U$4:$U$2000),0)</f>
        <v>0</v>
      </c>
      <c r="G36" s="73">
        <f>SUMPRODUCT(('Deal maths'!$Q$4:$Q$2000="Property")*('Deal maths'!$R$4:$R$2000&gt;0))</f>
        <v>0</v>
      </c>
    </row>
    <row r="37">
      <c r="B37" s="55" t="inlineStr">
        <is>
          <t>Multi-asset</t>
        </is>
      </c>
      <c r="C37" s="69">
        <f>SUMPRODUCT(('Deal maths'!$Q$4:$Q$2000="Multi-asset")*'Deal maths'!$R$4:$R$2000)</f>
        <v>0</v>
      </c>
      <c r="D37" s="69">
        <f>SUMPRODUCT(('Deal maths'!$Q$4:$Q$2000="Multi-asset")*(('Deal maths'!$R$4:$R$2000&gt;0)*('Deal maths'!$S$4:$S$2000+('Deal maths'!$S$4:$S$2000=0)*'Deal maths'!$R$4:$R$2000)))</f>
        <v>0</v>
      </c>
      <c r="E37" s="69">
        <f>D37-C37</f>
        <v>0</v>
      </c>
      <c r="F37" s="71">
        <f>IFERROR(SUMPRODUCT(('Deal maths'!$Q$4:$Q$2000="Multi-asset")*(('Deal maths'!$R$4:$R$2000&gt;0)*('Deal maths'!$S$4:$S$2000+('Deal maths'!$S$4:$S$2000=0)*'Deal maths'!$R$4:$R$2000))*'Deal maths'!$T$4:$T$2000)/SUMPRODUCT(('Deal maths'!$Q$4:$Q$2000="Multi-asset")*(('Deal maths'!$R$4:$R$2000&gt;0)*('Deal maths'!$S$4:$S$2000+('Deal maths'!$S$4:$S$2000=0)*'Deal maths'!$R$4:$R$2000))*'Deal maths'!$U$4:$U$2000),0)</f>
        <v>0</v>
      </c>
      <c r="G37" s="73">
        <f>SUMPRODUCT(('Deal maths'!$Q$4:$Q$2000="Multi-asset")*('Deal maths'!$R$4:$R$2000&gt;0))</f>
        <v>0</v>
      </c>
    </row>
    <row r="38">
      <c r="B38" s="55" t="inlineStr">
        <is>
          <t>Equity income</t>
        </is>
      </c>
      <c r="C38" s="69">
        <f>SUMPRODUCT(('Deal maths'!$Q$4:$Q$2000="Equity income")*'Deal maths'!$R$4:$R$2000)</f>
        <v>0</v>
      </c>
      <c r="D38" s="69">
        <f>SUMPRODUCT(('Deal maths'!$Q$4:$Q$2000="Equity income")*(('Deal maths'!$R$4:$R$2000&gt;0)*('Deal maths'!$S$4:$S$2000+('Deal maths'!$S$4:$S$2000=0)*'Deal maths'!$R$4:$R$2000)))</f>
        <v>0</v>
      </c>
      <c r="E38" s="69">
        <f>D38-C38</f>
        <v>0</v>
      </c>
      <c r="F38" s="71">
        <f>IFERROR(SUMPRODUCT(('Deal maths'!$Q$4:$Q$2000="Equity income")*(('Deal maths'!$R$4:$R$2000&gt;0)*('Deal maths'!$S$4:$S$2000+('Deal maths'!$S$4:$S$2000=0)*'Deal maths'!$R$4:$R$2000))*'Deal maths'!$T$4:$T$2000)/SUMPRODUCT(('Deal maths'!$Q$4:$Q$2000="Equity income")*(('Deal maths'!$R$4:$R$2000&gt;0)*('Deal maths'!$S$4:$S$2000+('Deal maths'!$S$4:$S$2000=0)*'Deal maths'!$R$4:$R$2000))*'Deal maths'!$U$4:$U$2000),0)</f>
        <v>0</v>
      </c>
      <c r="G38" s="73">
        <f>SUMPRODUCT(('Deal maths'!$Q$4:$Q$2000="Equity income")*('Deal maths'!$R$4:$R$2000&gt;0))</f>
        <v>0</v>
      </c>
    </row>
    <row r="39">
      <c r="B39" s="55" t="inlineStr">
        <is>
          <t>Bond</t>
        </is>
      </c>
      <c r="C39" s="69">
        <f>SUMPRODUCT(('Deal maths'!$Q$4:$Q$2000="Bond")*'Deal maths'!$R$4:$R$2000)</f>
        <v>0</v>
      </c>
      <c r="D39" s="69">
        <f>SUMPRODUCT(('Deal maths'!$Q$4:$Q$2000="Bond")*(('Deal maths'!$R$4:$R$2000&gt;0)*('Deal maths'!$S$4:$S$2000+('Deal maths'!$S$4:$S$2000=0)*'Deal maths'!$R$4:$R$2000)))</f>
        <v>0</v>
      </c>
      <c r="E39" s="69">
        <f>D39-C39</f>
        <v>0</v>
      </c>
      <c r="F39" s="71">
        <f>IFERROR(SUMPRODUCT(('Deal maths'!$Q$4:$Q$2000="Bond")*(('Deal maths'!$R$4:$R$2000&gt;0)*('Deal maths'!$S$4:$S$2000+('Deal maths'!$S$4:$S$2000=0)*'Deal maths'!$R$4:$R$2000))*'Deal maths'!$T$4:$T$2000)/SUMPRODUCT(('Deal maths'!$Q$4:$Q$2000="Bond")*(('Deal maths'!$R$4:$R$2000&gt;0)*('Deal maths'!$S$4:$S$2000+('Deal maths'!$S$4:$S$2000=0)*'Deal maths'!$R$4:$R$2000))*'Deal maths'!$U$4:$U$2000),0)</f>
        <v>0</v>
      </c>
      <c r="G39" s="73">
        <f>SUMPRODUCT(('Deal maths'!$Q$4:$Q$2000="Bond")*('Deal maths'!$R$4:$R$2000&gt;0))</f>
        <v>0</v>
      </c>
    </row>
    <row r="40">
      <c r="B40" s="55" t="inlineStr">
        <is>
          <t>Cash plus</t>
        </is>
      </c>
      <c r="C40" s="69">
        <f>SUMPRODUCT(('Deal maths'!$Q$4:$Q$2000="Cash plus")*'Deal maths'!$R$4:$R$2000)</f>
        <v>0</v>
      </c>
      <c r="D40" s="69">
        <f>SUMPRODUCT(('Deal maths'!$Q$4:$Q$2000="Cash plus")*(('Deal maths'!$R$4:$R$2000&gt;0)*('Deal maths'!$S$4:$S$2000+('Deal maths'!$S$4:$S$2000=0)*'Deal maths'!$R$4:$R$2000)))</f>
        <v>0</v>
      </c>
      <c r="E40" s="69">
        <f>D40-C40</f>
        <v>0</v>
      </c>
      <c r="F40" s="71">
        <f>IFERROR(SUMPRODUCT(('Deal maths'!$Q$4:$Q$2000="Cash plus")*(('Deal maths'!$R$4:$R$2000&gt;0)*('Deal maths'!$S$4:$S$2000+('Deal maths'!$S$4:$S$2000=0)*'Deal maths'!$R$4:$R$2000))*'Deal maths'!$T$4:$T$2000)/SUMPRODUCT(('Deal maths'!$Q$4:$Q$2000="Cash plus")*(('Deal maths'!$R$4:$R$2000&gt;0)*('Deal maths'!$S$4:$S$2000+('Deal maths'!$S$4:$S$2000=0)*'Deal maths'!$R$4:$R$2000))*'Deal maths'!$U$4:$U$2000),0)</f>
        <v>0</v>
      </c>
      <c r="G40" s="73">
        <f>SUMPRODUCT(('Deal maths'!$Q$4:$Q$2000="Cash plus")*('Deal maths'!$R$4:$R$2000&gt;0))</f>
        <v>0</v>
      </c>
    </row>
    <row r="41">
      <c r="B41" s="55" t="inlineStr">
        <is>
          <t>Other</t>
        </is>
      </c>
      <c r="C41" s="69">
        <f>SUMPRODUCT(('Deal maths'!$Q$4:$Q$2000="Other")*'Deal maths'!$R$4:$R$2000)</f>
        <v>0</v>
      </c>
      <c r="D41" s="69">
        <f>SUMPRODUCT(('Deal maths'!$Q$4:$Q$2000="Other")*(('Deal maths'!$R$4:$R$2000&gt;0)*('Deal maths'!$S$4:$S$2000+('Deal maths'!$S$4:$S$2000=0)*'Deal maths'!$R$4:$R$2000)))</f>
        <v>0</v>
      </c>
      <c r="E41" s="69">
        <f>D41-C41</f>
        <v>0</v>
      </c>
      <c r="F41" s="71">
        <f>IFERROR(SUMPRODUCT(('Deal maths'!$Q$4:$Q$2000="Other")*(('Deal maths'!$R$4:$R$2000&gt;0)*('Deal maths'!$S$4:$S$2000+('Deal maths'!$S$4:$S$2000=0)*'Deal maths'!$R$4:$R$2000))*'Deal maths'!$T$4:$T$2000)/SUMPRODUCT(('Deal maths'!$Q$4:$Q$2000="Other")*(('Deal maths'!$R$4:$R$2000&gt;0)*('Deal maths'!$S$4:$S$2000+('Deal maths'!$S$4:$S$2000=0)*'Deal maths'!$R$4:$R$2000))*'Deal maths'!$U$4:$U$2000),0)</f>
        <v>0</v>
      </c>
      <c r="G41" s="73">
        <f>SUMPRODUCT(('Deal maths'!$Q$4:$Q$2000="Other")*('Deal maths'!$R$4:$R$2000&gt;0))</f>
        <v>0</v>
      </c>
    </row>
    <row r="42">
      <c r="B42" s="55" t="inlineStr">
        <is>
          <t>Not on the list</t>
        </is>
      </c>
      <c r="C42" s="69">
        <f>SUMPRODUCT((COUNTIF(FundTypes,'Deal maths'!$Q$4:$Q$2000)=0)*'Deal maths'!$R$4:$R$2000)</f>
        <v>0</v>
      </c>
      <c r="D42" s="69">
        <f>SUMPRODUCT((COUNTIF(FundTypes,'Deal maths'!$Q$4:$Q$2000)=0)*(('Deal maths'!$R$4:$R$2000&gt;0)*('Deal maths'!$S$4:$S$2000+('Deal maths'!$S$4:$S$2000=0)*'Deal maths'!$R$4:$R$2000)))</f>
        <v>0</v>
      </c>
      <c r="E42" s="69">
        <f>D42-C42</f>
        <v>0</v>
      </c>
      <c r="F42" s="71">
        <f>IFERROR(SUMPRODUCT((COUNTIF(FundTypes,'Deal maths'!$Q$4:$Q$2000)=0)*(('Deal maths'!$R$4:$R$2000&gt;0)*('Deal maths'!$S$4:$S$2000+('Deal maths'!$S$4:$S$2000=0)*'Deal maths'!$R$4:$R$2000))*'Deal maths'!$T$4:$T$2000)/SUMPRODUCT((COUNTIF(FundTypes,'Deal maths'!$Q$4:$Q$2000)=0)*(('Deal maths'!$R$4:$R$2000&gt;0)*('Deal maths'!$S$4:$S$2000+('Deal maths'!$S$4:$S$2000=0)*'Deal maths'!$R$4:$R$2000))*'Deal maths'!$U$4:$U$2000),0)</f>
        <v>0</v>
      </c>
      <c r="G42" s="73">
        <f>SUMPRODUCT((COUNTIF(FundTypes,'Deal maths'!$Q$4:$Q$2000)=0)*('Deal maths'!$R$4:$R$2000&gt;0))</f>
        <v>0</v>
      </c>
    </row>
    <row r="43">
      <c r="B43" s="58" t="inlineStr">
        <is>
          <t>Total</t>
        </is>
      </c>
      <c r="C43" s="74">
        <f>SUM(C36:C42)</f>
        <v>0</v>
      </c>
      <c r="D43" s="74">
        <f>SUM(D36:D42)</f>
        <v>0</v>
      </c>
      <c r="E43" s="74">
        <f>SUM(E36:E42)</f>
        <v>0</v>
      </c>
      <c r="F43" s="76">
        <f>IFERROR(SUMPRODUCT((('Deal maths'!$R$4:$R$2000&gt;0)*('Deal maths'!$S$4:$S$2000+('Deal maths'!$S$4:$S$2000=0)*'Deal maths'!$R$4:$R$2000))*'Deal maths'!$T$4:$T$2000)/SUMPRODUCT((('Deal maths'!$R$4:$R$2000&gt;0)*('Deal maths'!$S$4:$S$2000+('Deal maths'!$S$4:$S$2000=0)*'Deal maths'!$R$4:$R$2000))*'Deal maths'!$U$4:$U$2000),0)</f>
        <v>0</v>
      </c>
      <c r="G43" s="78">
        <f>SUM(G36:G42)</f>
        <v>0</v>
      </c>
    </row>
    <row r="44" ht="50" customHeight="1">
      <c r="B44" s="45" t="inlineStr">
        <is>
          <t>At the As at date: the carrying value in the accounts, the latest valuation (the carrying value where none is given) and the income rate on it. Net borrowing in the tiles above takes pooled funds at their carrying value, the balance sheet figure; the report tool's holdings show them at their latest value.</t>
        </is>
      </c>
    </row>
    <row r="45"/>
    <row r="46">
      <c r="B46" s="8" t="inlineStr">
        <is>
          <t>Counterparties, largest first</t>
        </is>
      </c>
    </row>
    <row r="47" ht="26" customHeight="1">
      <c r="B47" s="45" t="str">
        <f>"Term deals at nominal and money on call at "&amp;TEXT(AsAt,"dd/mm/yyyy")&amp;", by counterparty, the largest first: "&amp;COUNT('List maths'!$D$4:$D$3997)&amp;" counterparties"&amp;IF(COUNT('List maths'!$D$4:$D$3997)&gt;25,", the largest 25 by name and the rest together","")&amp;". Local authorities are one line, as the report tool groups them; "&amp;"other names are matched as typed, capitals and spaces aside, so two spellings of one bank are two lines, as they are in the tool. "&amp;"The share is of treasury investments, pooled funds apart; latest maturity is the counterparty's last term deal."</f>
        <v>Term deals at nominal and money on call at 30/09/2026, by counterparty, the largest first: 0 counterparties. Local authorities are one line, as the report tool groups them; other names are matched as typed, capitals and spaces aside, so two spellings of one bank are two lines, as they are in the tool. The share is of treasury investments, pooled funds apart; latest maturity is the counterparty's last term deal.</v>
      </c>
    </row>
    <row r="48" ht="28" customHeight="1">
      <c r="B48" s="53" t="inlineStr">
        <is>
          <t>Counterparty</t>
        </is>
      </c>
      <c r="C48" s="53" t="inlineStr">
        <is>
          <t>Counterparty type</t>
        </is>
      </c>
      <c r="D48" s="54" t="inlineStr">
        <is>
          <t>Term deals</t>
        </is>
      </c>
      <c r="E48" s="54" t="inlineStr">
        <is>
          <t>On call and in MMFs</t>
        </is>
      </c>
      <c r="F48" s="54" t="inlineStr">
        <is>
          <t>Total</t>
        </is>
      </c>
      <c r="G48" s="54" t="inlineStr">
        <is>
          <t>Share of investments</t>
        </is>
      </c>
      <c r="H48" s="54" t="inlineStr">
        <is>
          <t>Deals</t>
        </is>
      </c>
      <c r="I48" s="54" t="inlineStr">
        <is>
          <t>Latest maturity</t>
        </is>
      </c>
    </row>
    <row r="49">
      <c r="B49" s="79" t="inlineStr">
        <is>
          <t>All counterparties</t>
        </is>
      </c>
      <c r="C49" s="79" t="inlineStr"/>
      <c r="D49" s="80">
        <f>SUMPRODUCT(('Deal maths'!$F$4:$F$2000&gt;AsAt)*('Deal maths'!$E$4:$E$2000&lt;=AsAt)*('Deal maths'!$H$4:$H$2000+('Deal maths'!$H$4:$H$2000=0)*'Deal maths'!$D$4:$D$2000))</f>
        <v>0</v>
      </c>
      <c r="E49" s="80">
        <f>SUM('Deal maths'!$M$4:$M$2000)</f>
        <v>0</v>
      </c>
      <c r="F49" s="80">
        <f>D49+E49</f>
        <v>0</v>
      </c>
      <c r="G49" s="81">
        <f>IF(F49&gt;0,1,0)</f>
        <v>0</v>
      </c>
      <c r="H49" s="82">
        <f>COUNTIF('List maths'!$B$4:$B$3997,"&gt;0")</f>
        <v>0</v>
      </c>
      <c r="I49" s="83" t="inlineStr"/>
    </row>
    <row r="50">
      <c r="B50" s="84" t="str">
        <f>IF($Y50="","",IF($X50="Local authorities",$X50,IF($Y50&lt;=1997,INDEX('Term investments'!$B$1:$B$2000,$Y50+3),INDEX('Call accounts and MMFs'!$B$1:$B$2000,$Y50-1997+3))&amp;""))</f>
        <v/>
      </c>
      <c r="C50" s="85" t="str">
        <f>IF($Y50="","",$W50)</f>
        <v/>
      </c>
      <c r="D50" s="86" t="str">
        <f>IF($Y50="","",SUMIF('List maths'!$C$4:$C$2000,$X50,'List maths'!$B$4:$B$2000))</f>
        <v/>
      </c>
      <c r="E50" s="86" t="str">
        <f>IF($Y50="","",SUMIF('List maths'!$C$2001:$C$3997,$X50,'List maths'!$B$2001:$B$3997))</f>
        <v/>
      </c>
      <c r="F50" s="86" t="str">
        <f>IF($Y50="","",D50+E50)</f>
        <v/>
      </c>
      <c r="G50" s="87" t="str">
        <f>IF($Y50="","",IFERROR(F50/$F$49,0))</f>
        <v/>
      </c>
      <c r="H50" s="88" t="str">
        <f>IF($Y50="","",COUNTIF('List maths'!$C$4:$C$3997,$X50))</f>
        <v/>
      </c>
      <c r="I50" s="89" t="str">
        <f>IF($Y50="","",IFERROR(SUMPRODUCT(MAX(('List maths'!$C$4:$C$2000=$X50)*'Deal maths'!$F$4:$F$2000)),0))</f>
        <v/>
      </c>
      <c r="W50" t="str">
        <f>IF($Y50="","",IF($Y50&lt;=1997,INDEX('Term investments'!$C$1:$C$2000,$Y50+3),INDEX('Call accounts and MMFs'!$C$1:$C$2000,$Y50-1997+3))&amp;"")</f>
        <v/>
      </c>
      <c r="X50" t="str">
        <f>IF($Y50="","",INDEX('List maths'!$C$4:$C$3997,$Y50))</f>
        <v/>
      </c>
      <c r="Y50" t="str">
        <f>IFERROR(MATCH(LARGE('List maths'!$D$4:$D$3997,1),'List maths'!$D$4:$D$3997,0),"")</f>
        <v/>
      </c>
    </row>
    <row r="51">
      <c r="B51" s="84" t="str">
        <f>IF($Y51="","",IF($X51="Local authorities",$X51,IF($Y51&lt;=1997,INDEX('Term investments'!$B$1:$B$2000,$Y51+3),INDEX('Call accounts and MMFs'!$B$1:$B$2000,$Y51-1997+3))&amp;""))</f>
        <v/>
      </c>
      <c r="C51" s="85" t="str">
        <f>IF($Y51="","",$W51)</f>
        <v/>
      </c>
      <c r="D51" s="86" t="str">
        <f>IF($Y51="","",SUMIF('List maths'!$C$4:$C$2000,$X51,'List maths'!$B$4:$B$2000))</f>
        <v/>
      </c>
      <c r="E51" s="86" t="str">
        <f>IF($Y51="","",SUMIF('List maths'!$C$2001:$C$3997,$X51,'List maths'!$B$2001:$B$3997))</f>
        <v/>
      </c>
      <c r="F51" s="86" t="str">
        <f>IF($Y51="","",D51+E51)</f>
        <v/>
      </c>
      <c r="G51" s="87" t="str">
        <f>IF($Y51="","",IFERROR(F51/$F$49,0))</f>
        <v/>
      </c>
      <c r="H51" s="88" t="str">
        <f>IF($Y51="","",COUNTIF('List maths'!$C$4:$C$3997,$X51))</f>
        <v/>
      </c>
      <c r="I51" s="89" t="str">
        <f>IF($Y51="","",IFERROR(SUMPRODUCT(MAX(('List maths'!$C$4:$C$2000=$X51)*'Deal maths'!$F$4:$F$2000)),0))</f>
        <v/>
      </c>
      <c r="W51" t="str">
        <f>IF($Y51="","",IF($Y51&lt;=1997,INDEX('Term investments'!$C$1:$C$2000,$Y51+3),INDEX('Call accounts and MMFs'!$C$1:$C$2000,$Y51-1997+3))&amp;"")</f>
        <v/>
      </c>
      <c r="X51" t="str">
        <f>IF($Y51="","",INDEX('List maths'!$C$4:$C$3997,$Y51))</f>
        <v/>
      </c>
      <c r="Y51" t="str">
        <f>IFERROR(MATCH(LARGE('List maths'!$D$4:$D$3997,2),'List maths'!$D$4:$D$3997,0),"")</f>
        <v/>
      </c>
    </row>
    <row r="52">
      <c r="B52" s="84" t="str">
        <f>IF($Y52="","",IF($X52="Local authorities",$X52,IF($Y52&lt;=1997,INDEX('Term investments'!$B$1:$B$2000,$Y52+3),INDEX('Call accounts and MMFs'!$B$1:$B$2000,$Y52-1997+3))&amp;""))</f>
        <v/>
      </c>
      <c r="C52" s="85" t="str">
        <f>IF($Y52="","",$W52)</f>
        <v/>
      </c>
      <c r="D52" s="86" t="str">
        <f>IF($Y52="","",SUMIF('List maths'!$C$4:$C$2000,$X52,'List maths'!$B$4:$B$2000))</f>
        <v/>
      </c>
      <c r="E52" s="86" t="str">
        <f>IF($Y52="","",SUMIF('List maths'!$C$2001:$C$3997,$X52,'List maths'!$B$2001:$B$3997))</f>
        <v/>
      </c>
      <c r="F52" s="86" t="str">
        <f>IF($Y52="","",D52+E52)</f>
        <v/>
      </c>
      <c r="G52" s="87" t="str">
        <f>IF($Y52="","",IFERROR(F52/$F$49,0))</f>
        <v/>
      </c>
      <c r="H52" s="88" t="str">
        <f>IF($Y52="","",COUNTIF('List maths'!$C$4:$C$3997,$X52))</f>
        <v/>
      </c>
      <c r="I52" s="89" t="str">
        <f>IF($Y52="","",IFERROR(SUMPRODUCT(MAX(('List maths'!$C$4:$C$2000=$X52)*'Deal maths'!$F$4:$F$2000)),0))</f>
        <v/>
      </c>
      <c r="W52" t="str">
        <f>IF($Y52="","",IF($Y52&lt;=1997,INDEX('Term investments'!$C$1:$C$2000,$Y52+3),INDEX('Call accounts and MMFs'!$C$1:$C$2000,$Y52-1997+3))&amp;"")</f>
        <v/>
      </c>
      <c r="X52" t="str">
        <f>IF($Y52="","",INDEX('List maths'!$C$4:$C$3997,$Y52))</f>
        <v/>
      </c>
      <c r="Y52" t="str">
        <f>IFERROR(MATCH(LARGE('List maths'!$D$4:$D$3997,3),'List maths'!$D$4:$D$3997,0),"")</f>
        <v/>
      </c>
    </row>
    <row r="53">
      <c r="B53" s="84" t="str">
        <f>IF($Y53="","",IF($X53="Local authorities",$X53,IF($Y53&lt;=1997,INDEX('Term investments'!$B$1:$B$2000,$Y53+3),INDEX('Call accounts and MMFs'!$B$1:$B$2000,$Y53-1997+3))&amp;""))</f>
        <v/>
      </c>
      <c r="C53" s="85" t="str">
        <f>IF($Y53="","",$W53)</f>
        <v/>
      </c>
      <c r="D53" s="86" t="str">
        <f>IF($Y53="","",SUMIF('List maths'!$C$4:$C$2000,$X53,'List maths'!$B$4:$B$2000))</f>
        <v/>
      </c>
      <c r="E53" s="86" t="str">
        <f>IF($Y53="","",SUMIF('List maths'!$C$2001:$C$3997,$X53,'List maths'!$B$2001:$B$3997))</f>
        <v/>
      </c>
      <c r="F53" s="86" t="str">
        <f>IF($Y53="","",D53+E53)</f>
        <v/>
      </c>
      <c r="G53" s="87" t="str">
        <f>IF($Y53="","",IFERROR(F53/$F$49,0))</f>
        <v/>
      </c>
      <c r="H53" s="88" t="str">
        <f>IF($Y53="","",COUNTIF('List maths'!$C$4:$C$3997,$X53))</f>
        <v/>
      </c>
      <c r="I53" s="89" t="str">
        <f>IF($Y53="","",IFERROR(SUMPRODUCT(MAX(('List maths'!$C$4:$C$2000=$X53)*'Deal maths'!$F$4:$F$2000)),0))</f>
        <v/>
      </c>
      <c r="W53" t="str">
        <f>IF($Y53="","",IF($Y53&lt;=1997,INDEX('Term investments'!$C$1:$C$2000,$Y53+3),INDEX('Call accounts and MMFs'!$C$1:$C$2000,$Y53-1997+3))&amp;"")</f>
        <v/>
      </c>
      <c r="X53" t="str">
        <f>IF($Y53="","",INDEX('List maths'!$C$4:$C$3997,$Y53))</f>
        <v/>
      </c>
      <c r="Y53" t="str">
        <f>IFERROR(MATCH(LARGE('List maths'!$D$4:$D$3997,4),'List maths'!$D$4:$D$3997,0),"")</f>
        <v/>
      </c>
    </row>
    <row r="54">
      <c r="B54" s="84" t="str">
        <f>IF($Y54="","",IF($X54="Local authorities",$X54,IF($Y54&lt;=1997,INDEX('Term investments'!$B$1:$B$2000,$Y54+3),INDEX('Call accounts and MMFs'!$B$1:$B$2000,$Y54-1997+3))&amp;""))</f>
        <v/>
      </c>
      <c r="C54" s="85" t="str">
        <f>IF($Y54="","",$W54)</f>
        <v/>
      </c>
      <c r="D54" s="86" t="str">
        <f>IF($Y54="","",SUMIF('List maths'!$C$4:$C$2000,$X54,'List maths'!$B$4:$B$2000))</f>
        <v/>
      </c>
      <c r="E54" s="86" t="str">
        <f>IF($Y54="","",SUMIF('List maths'!$C$2001:$C$3997,$X54,'List maths'!$B$2001:$B$3997))</f>
        <v/>
      </c>
      <c r="F54" s="86" t="str">
        <f>IF($Y54="","",D54+E54)</f>
        <v/>
      </c>
      <c r="G54" s="87" t="str">
        <f>IF($Y54="","",IFERROR(F54/$F$49,0))</f>
        <v/>
      </c>
      <c r="H54" s="88" t="str">
        <f>IF($Y54="","",COUNTIF('List maths'!$C$4:$C$3997,$X54))</f>
        <v/>
      </c>
      <c r="I54" s="89" t="str">
        <f>IF($Y54="","",IFERROR(SUMPRODUCT(MAX(('List maths'!$C$4:$C$2000=$X54)*'Deal maths'!$F$4:$F$2000)),0))</f>
        <v/>
      </c>
      <c r="W54" t="str">
        <f>IF($Y54="","",IF($Y54&lt;=1997,INDEX('Term investments'!$C$1:$C$2000,$Y54+3),INDEX('Call accounts and MMFs'!$C$1:$C$2000,$Y54-1997+3))&amp;"")</f>
        <v/>
      </c>
      <c r="X54" t="str">
        <f>IF($Y54="","",INDEX('List maths'!$C$4:$C$3997,$Y54))</f>
        <v/>
      </c>
      <c r="Y54" t="str">
        <f>IFERROR(MATCH(LARGE('List maths'!$D$4:$D$3997,5),'List maths'!$D$4:$D$3997,0),"")</f>
        <v/>
      </c>
    </row>
    <row r="55">
      <c r="B55" s="84" t="str">
        <f>IF($Y55="","",IF($X55="Local authorities",$X55,IF($Y55&lt;=1997,INDEX('Term investments'!$B$1:$B$2000,$Y55+3),INDEX('Call accounts and MMFs'!$B$1:$B$2000,$Y55-1997+3))&amp;""))</f>
        <v/>
      </c>
      <c r="C55" s="85" t="str">
        <f>IF($Y55="","",$W55)</f>
        <v/>
      </c>
      <c r="D55" s="86" t="str">
        <f>IF($Y55="","",SUMIF('List maths'!$C$4:$C$2000,$X55,'List maths'!$B$4:$B$2000))</f>
        <v/>
      </c>
      <c r="E55" s="86" t="str">
        <f>IF($Y55="","",SUMIF('List maths'!$C$2001:$C$3997,$X55,'List maths'!$B$2001:$B$3997))</f>
        <v/>
      </c>
      <c r="F55" s="86" t="str">
        <f>IF($Y55="","",D55+E55)</f>
        <v/>
      </c>
      <c r="G55" s="87" t="str">
        <f>IF($Y55="","",IFERROR(F55/$F$49,0))</f>
        <v/>
      </c>
      <c r="H55" s="88" t="str">
        <f>IF($Y55="","",COUNTIF('List maths'!$C$4:$C$3997,$X55))</f>
        <v/>
      </c>
      <c r="I55" s="89" t="str">
        <f>IF($Y55="","",IFERROR(SUMPRODUCT(MAX(('List maths'!$C$4:$C$2000=$X55)*'Deal maths'!$F$4:$F$2000)),0))</f>
        <v/>
      </c>
      <c r="W55" t="str">
        <f>IF($Y55="","",IF($Y55&lt;=1997,INDEX('Term investments'!$C$1:$C$2000,$Y55+3),INDEX('Call accounts and MMFs'!$C$1:$C$2000,$Y55-1997+3))&amp;"")</f>
        <v/>
      </c>
      <c r="X55" t="str">
        <f>IF($Y55="","",INDEX('List maths'!$C$4:$C$3997,$Y55))</f>
        <v/>
      </c>
      <c r="Y55" t="str">
        <f>IFERROR(MATCH(LARGE('List maths'!$D$4:$D$3997,6),'List maths'!$D$4:$D$3997,0),"")</f>
        <v/>
      </c>
    </row>
    <row r="56">
      <c r="B56" s="84" t="str">
        <f>IF($Y56="","",IF($X56="Local authorities",$X56,IF($Y56&lt;=1997,INDEX('Term investments'!$B$1:$B$2000,$Y56+3),INDEX('Call accounts and MMFs'!$B$1:$B$2000,$Y56-1997+3))&amp;""))</f>
        <v/>
      </c>
      <c r="C56" s="85" t="str">
        <f>IF($Y56="","",$W56)</f>
        <v/>
      </c>
      <c r="D56" s="86" t="str">
        <f>IF($Y56="","",SUMIF('List maths'!$C$4:$C$2000,$X56,'List maths'!$B$4:$B$2000))</f>
        <v/>
      </c>
      <c r="E56" s="86" t="str">
        <f>IF($Y56="","",SUMIF('List maths'!$C$2001:$C$3997,$X56,'List maths'!$B$2001:$B$3997))</f>
        <v/>
      </c>
      <c r="F56" s="86" t="str">
        <f>IF($Y56="","",D56+E56)</f>
        <v/>
      </c>
      <c r="G56" s="87" t="str">
        <f>IF($Y56="","",IFERROR(F56/$F$49,0))</f>
        <v/>
      </c>
      <c r="H56" s="88" t="str">
        <f>IF($Y56="","",COUNTIF('List maths'!$C$4:$C$3997,$X56))</f>
        <v/>
      </c>
      <c r="I56" s="89" t="str">
        <f>IF($Y56="","",IFERROR(SUMPRODUCT(MAX(('List maths'!$C$4:$C$2000=$X56)*'Deal maths'!$F$4:$F$2000)),0))</f>
        <v/>
      </c>
      <c r="W56" t="str">
        <f>IF($Y56="","",IF($Y56&lt;=1997,INDEX('Term investments'!$C$1:$C$2000,$Y56+3),INDEX('Call accounts and MMFs'!$C$1:$C$2000,$Y56-1997+3))&amp;"")</f>
        <v/>
      </c>
      <c r="X56" t="str">
        <f>IF($Y56="","",INDEX('List maths'!$C$4:$C$3997,$Y56))</f>
        <v/>
      </c>
      <c r="Y56" t="str">
        <f>IFERROR(MATCH(LARGE('List maths'!$D$4:$D$3997,7),'List maths'!$D$4:$D$3997,0),"")</f>
        <v/>
      </c>
    </row>
    <row r="57">
      <c r="B57" s="84" t="str">
        <f>IF($Y57="","",IF($X57="Local authorities",$X57,IF($Y57&lt;=1997,INDEX('Term investments'!$B$1:$B$2000,$Y57+3),INDEX('Call accounts and MMFs'!$B$1:$B$2000,$Y57-1997+3))&amp;""))</f>
        <v/>
      </c>
      <c r="C57" s="85" t="str">
        <f>IF($Y57="","",$W57)</f>
        <v/>
      </c>
      <c r="D57" s="86" t="str">
        <f>IF($Y57="","",SUMIF('List maths'!$C$4:$C$2000,$X57,'List maths'!$B$4:$B$2000))</f>
        <v/>
      </c>
      <c r="E57" s="86" t="str">
        <f>IF($Y57="","",SUMIF('List maths'!$C$2001:$C$3997,$X57,'List maths'!$B$2001:$B$3997))</f>
        <v/>
      </c>
      <c r="F57" s="86" t="str">
        <f>IF($Y57="","",D57+E57)</f>
        <v/>
      </c>
      <c r="G57" s="87" t="str">
        <f>IF($Y57="","",IFERROR(F57/$F$49,0))</f>
        <v/>
      </c>
      <c r="H57" s="88" t="str">
        <f>IF($Y57="","",COUNTIF('List maths'!$C$4:$C$3997,$X57))</f>
        <v/>
      </c>
      <c r="I57" s="89" t="str">
        <f>IF($Y57="","",IFERROR(SUMPRODUCT(MAX(('List maths'!$C$4:$C$2000=$X57)*'Deal maths'!$F$4:$F$2000)),0))</f>
        <v/>
      </c>
      <c r="W57" t="str">
        <f>IF($Y57="","",IF($Y57&lt;=1997,INDEX('Term investments'!$C$1:$C$2000,$Y57+3),INDEX('Call accounts and MMFs'!$C$1:$C$2000,$Y57-1997+3))&amp;"")</f>
        <v/>
      </c>
      <c r="X57" t="str">
        <f>IF($Y57="","",INDEX('List maths'!$C$4:$C$3997,$Y57))</f>
        <v/>
      </c>
      <c r="Y57" t="str">
        <f>IFERROR(MATCH(LARGE('List maths'!$D$4:$D$3997,8),'List maths'!$D$4:$D$3997,0),"")</f>
        <v/>
      </c>
    </row>
    <row r="58">
      <c r="B58" s="84" t="str">
        <f>IF($Y58="","",IF($X58="Local authorities",$X58,IF($Y58&lt;=1997,INDEX('Term investments'!$B$1:$B$2000,$Y58+3),INDEX('Call accounts and MMFs'!$B$1:$B$2000,$Y58-1997+3))&amp;""))</f>
        <v/>
      </c>
      <c r="C58" s="85" t="str">
        <f>IF($Y58="","",$W58)</f>
        <v/>
      </c>
      <c r="D58" s="86" t="str">
        <f>IF($Y58="","",SUMIF('List maths'!$C$4:$C$2000,$X58,'List maths'!$B$4:$B$2000))</f>
        <v/>
      </c>
      <c r="E58" s="86" t="str">
        <f>IF($Y58="","",SUMIF('List maths'!$C$2001:$C$3997,$X58,'List maths'!$B$2001:$B$3997))</f>
        <v/>
      </c>
      <c r="F58" s="86" t="str">
        <f>IF($Y58="","",D58+E58)</f>
        <v/>
      </c>
      <c r="G58" s="87" t="str">
        <f>IF($Y58="","",IFERROR(F58/$F$49,0))</f>
        <v/>
      </c>
      <c r="H58" s="88" t="str">
        <f>IF($Y58="","",COUNTIF('List maths'!$C$4:$C$3997,$X58))</f>
        <v/>
      </c>
      <c r="I58" s="89" t="str">
        <f>IF($Y58="","",IFERROR(SUMPRODUCT(MAX(('List maths'!$C$4:$C$2000=$X58)*'Deal maths'!$F$4:$F$2000)),0))</f>
        <v/>
      </c>
      <c r="W58" t="str">
        <f>IF($Y58="","",IF($Y58&lt;=1997,INDEX('Term investments'!$C$1:$C$2000,$Y58+3),INDEX('Call accounts and MMFs'!$C$1:$C$2000,$Y58-1997+3))&amp;"")</f>
        <v/>
      </c>
      <c r="X58" t="str">
        <f>IF($Y58="","",INDEX('List maths'!$C$4:$C$3997,$Y58))</f>
        <v/>
      </c>
      <c r="Y58" t="str">
        <f>IFERROR(MATCH(LARGE('List maths'!$D$4:$D$3997,9),'List maths'!$D$4:$D$3997,0),"")</f>
        <v/>
      </c>
    </row>
    <row r="59">
      <c r="B59" s="84" t="str">
        <f>IF($Y59="","",IF($X59="Local authorities",$X59,IF($Y59&lt;=1997,INDEX('Term investments'!$B$1:$B$2000,$Y59+3),INDEX('Call accounts and MMFs'!$B$1:$B$2000,$Y59-1997+3))&amp;""))</f>
        <v/>
      </c>
      <c r="C59" s="85" t="str">
        <f>IF($Y59="","",$W59)</f>
        <v/>
      </c>
      <c r="D59" s="86" t="str">
        <f>IF($Y59="","",SUMIF('List maths'!$C$4:$C$2000,$X59,'List maths'!$B$4:$B$2000))</f>
        <v/>
      </c>
      <c r="E59" s="86" t="str">
        <f>IF($Y59="","",SUMIF('List maths'!$C$2001:$C$3997,$X59,'List maths'!$B$2001:$B$3997))</f>
        <v/>
      </c>
      <c r="F59" s="86" t="str">
        <f>IF($Y59="","",D59+E59)</f>
        <v/>
      </c>
      <c r="G59" s="87" t="str">
        <f>IF($Y59="","",IFERROR(F59/$F$49,0))</f>
        <v/>
      </c>
      <c r="H59" s="88" t="str">
        <f>IF($Y59="","",COUNTIF('List maths'!$C$4:$C$3997,$X59))</f>
        <v/>
      </c>
      <c r="I59" s="89" t="str">
        <f>IF($Y59="","",IFERROR(SUMPRODUCT(MAX(('List maths'!$C$4:$C$2000=$X59)*'Deal maths'!$F$4:$F$2000)),0))</f>
        <v/>
      </c>
      <c r="W59" t="str">
        <f>IF($Y59="","",IF($Y59&lt;=1997,INDEX('Term investments'!$C$1:$C$2000,$Y59+3),INDEX('Call accounts and MMFs'!$C$1:$C$2000,$Y59-1997+3))&amp;"")</f>
        <v/>
      </c>
      <c r="X59" t="str">
        <f>IF($Y59="","",INDEX('List maths'!$C$4:$C$3997,$Y59))</f>
        <v/>
      </c>
      <c r="Y59" t="str">
        <f>IFERROR(MATCH(LARGE('List maths'!$D$4:$D$3997,10),'List maths'!$D$4:$D$3997,0),"")</f>
        <v/>
      </c>
    </row>
    <row r="60">
      <c r="B60" s="84" t="str">
        <f>IF($Y60="","",IF($X60="Local authorities",$X60,IF($Y60&lt;=1997,INDEX('Term investments'!$B$1:$B$2000,$Y60+3),INDEX('Call accounts and MMFs'!$B$1:$B$2000,$Y60-1997+3))&amp;""))</f>
        <v/>
      </c>
      <c r="C60" s="85" t="str">
        <f>IF($Y60="","",$W60)</f>
        <v/>
      </c>
      <c r="D60" s="86" t="str">
        <f>IF($Y60="","",SUMIF('List maths'!$C$4:$C$2000,$X60,'List maths'!$B$4:$B$2000))</f>
        <v/>
      </c>
      <c r="E60" s="86" t="str">
        <f>IF($Y60="","",SUMIF('List maths'!$C$2001:$C$3997,$X60,'List maths'!$B$2001:$B$3997))</f>
        <v/>
      </c>
      <c r="F60" s="86" t="str">
        <f>IF($Y60="","",D60+E60)</f>
        <v/>
      </c>
      <c r="G60" s="87" t="str">
        <f>IF($Y60="","",IFERROR(F60/$F$49,0))</f>
        <v/>
      </c>
      <c r="H60" s="88" t="str">
        <f>IF($Y60="","",COUNTIF('List maths'!$C$4:$C$3997,$X60))</f>
        <v/>
      </c>
      <c r="I60" s="89" t="str">
        <f>IF($Y60="","",IFERROR(SUMPRODUCT(MAX(('List maths'!$C$4:$C$2000=$X60)*'Deal maths'!$F$4:$F$2000)),0))</f>
        <v/>
      </c>
      <c r="W60" t="str">
        <f>IF($Y60="","",IF($Y60&lt;=1997,INDEX('Term investments'!$C$1:$C$2000,$Y60+3),INDEX('Call accounts and MMFs'!$C$1:$C$2000,$Y60-1997+3))&amp;"")</f>
        <v/>
      </c>
      <c r="X60" t="str">
        <f>IF($Y60="","",INDEX('List maths'!$C$4:$C$3997,$Y60))</f>
        <v/>
      </c>
      <c r="Y60" t="str">
        <f>IFERROR(MATCH(LARGE('List maths'!$D$4:$D$3997,11),'List maths'!$D$4:$D$3997,0),"")</f>
        <v/>
      </c>
    </row>
    <row r="61">
      <c r="B61" s="84" t="str">
        <f>IF($Y61="","",IF($X61="Local authorities",$X61,IF($Y61&lt;=1997,INDEX('Term investments'!$B$1:$B$2000,$Y61+3),INDEX('Call accounts and MMFs'!$B$1:$B$2000,$Y61-1997+3))&amp;""))</f>
        <v/>
      </c>
      <c r="C61" s="85" t="str">
        <f>IF($Y61="","",$W61)</f>
        <v/>
      </c>
      <c r="D61" s="86" t="str">
        <f>IF($Y61="","",SUMIF('List maths'!$C$4:$C$2000,$X61,'List maths'!$B$4:$B$2000))</f>
        <v/>
      </c>
      <c r="E61" s="86" t="str">
        <f>IF($Y61="","",SUMIF('List maths'!$C$2001:$C$3997,$X61,'List maths'!$B$2001:$B$3997))</f>
        <v/>
      </c>
      <c r="F61" s="86" t="str">
        <f>IF($Y61="","",D61+E61)</f>
        <v/>
      </c>
      <c r="G61" s="87" t="str">
        <f>IF($Y61="","",IFERROR(F61/$F$49,0))</f>
        <v/>
      </c>
      <c r="H61" s="88" t="str">
        <f>IF($Y61="","",COUNTIF('List maths'!$C$4:$C$3997,$X61))</f>
        <v/>
      </c>
      <c r="I61" s="89" t="str">
        <f>IF($Y61="","",IFERROR(SUMPRODUCT(MAX(('List maths'!$C$4:$C$2000=$X61)*'Deal maths'!$F$4:$F$2000)),0))</f>
        <v/>
      </c>
      <c r="W61" t="str">
        <f>IF($Y61="","",IF($Y61&lt;=1997,INDEX('Term investments'!$C$1:$C$2000,$Y61+3),INDEX('Call accounts and MMFs'!$C$1:$C$2000,$Y61-1997+3))&amp;"")</f>
        <v/>
      </c>
      <c r="X61" t="str">
        <f>IF($Y61="","",INDEX('List maths'!$C$4:$C$3997,$Y61))</f>
        <v/>
      </c>
      <c r="Y61" t="str">
        <f>IFERROR(MATCH(LARGE('List maths'!$D$4:$D$3997,12),'List maths'!$D$4:$D$3997,0),"")</f>
        <v/>
      </c>
    </row>
    <row r="62">
      <c r="B62" s="84" t="str">
        <f>IF($Y62="","",IF($X62="Local authorities",$X62,IF($Y62&lt;=1997,INDEX('Term investments'!$B$1:$B$2000,$Y62+3),INDEX('Call accounts and MMFs'!$B$1:$B$2000,$Y62-1997+3))&amp;""))</f>
        <v/>
      </c>
      <c r="C62" s="85" t="str">
        <f>IF($Y62="","",$W62)</f>
        <v/>
      </c>
      <c r="D62" s="86" t="str">
        <f>IF($Y62="","",SUMIF('List maths'!$C$4:$C$2000,$X62,'List maths'!$B$4:$B$2000))</f>
        <v/>
      </c>
      <c r="E62" s="86" t="str">
        <f>IF($Y62="","",SUMIF('List maths'!$C$2001:$C$3997,$X62,'List maths'!$B$2001:$B$3997))</f>
        <v/>
      </c>
      <c r="F62" s="86" t="str">
        <f>IF($Y62="","",D62+E62)</f>
        <v/>
      </c>
      <c r="G62" s="87" t="str">
        <f>IF($Y62="","",IFERROR(F62/$F$49,0))</f>
        <v/>
      </c>
      <c r="H62" s="88" t="str">
        <f>IF($Y62="","",COUNTIF('List maths'!$C$4:$C$3997,$X62))</f>
        <v/>
      </c>
      <c r="I62" s="89" t="str">
        <f>IF($Y62="","",IFERROR(SUMPRODUCT(MAX(('List maths'!$C$4:$C$2000=$X62)*'Deal maths'!$F$4:$F$2000)),0))</f>
        <v/>
      </c>
      <c r="W62" t="str">
        <f>IF($Y62="","",IF($Y62&lt;=1997,INDEX('Term investments'!$C$1:$C$2000,$Y62+3),INDEX('Call accounts and MMFs'!$C$1:$C$2000,$Y62-1997+3))&amp;"")</f>
        <v/>
      </c>
      <c r="X62" t="str">
        <f>IF($Y62="","",INDEX('List maths'!$C$4:$C$3997,$Y62))</f>
        <v/>
      </c>
      <c r="Y62" t="str">
        <f>IFERROR(MATCH(LARGE('List maths'!$D$4:$D$3997,13),'List maths'!$D$4:$D$3997,0),"")</f>
        <v/>
      </c>
    </row>
    <row r="63">
      <c r="B63" s="84" t="str">
        <f>IF($Y63="","",IF($X63="Local authorities",$X63,IF($Y63&lt;=1997,INDEX('Term investments'!$B$1:$B$2000,$Y63+3),INDEX('Call accounts and MMFs'!$B$1:$B$2000,$Y63-1997+3))&amp;""))</f>
        <v/>
      </c>
      <c r="C63" s="85" t="str">
        <f>IF($Y63="","",$W63)</f>
        <v/>
      </c>
      <c r="D63" s="86" t="str">
        <f>IF($Y63="","",SUMIF('List maths'!$C$4:$C$2000,$X63,'List maths'!$B$4:$B$2000))</f>
        <v/>
      </c>
      <c r="E63" s="86" t="str">
        <f>IF($Y63="","",SUMIF('List maths'!$C$2001:$C$3997,$X63,'List maths'!$B$2001:$B$3997))</f>
        <v/>
      </c>
      <c r="F63" s="86" t="str">
        <f>IF($Y63="","",D63+E63)</f>
        <v/>
      </c>
      <c r="G63" s="87" t="str">
        <f>IF($Y63="","",IFERROR(F63/$F$49,0))</f>
        <v/>
      </c>
      <c r="H63" s="88" t="str">
        <f>IF($Y63="","",COUNTIF('List maths'!$C$4:$C$3997,$X63))</f>
        <v/>
      </c>
      <c r="I63" s="89" t="str">
        <f>IF($Y63="","",IFERROR(SUMPRODUCT(MAX(('List maths'!$C$4:$C$2000=$X63)*'Deal maths'!$F$4:$F$2000)),0))</f>
        <v/>
      </c>
      <c r="W63" t="str">
        <f>IF($Y63="","",IF($Y63&lt;=1997,INDEX('Term investments'!$C$1:$C$2000,$Y63+3),INDEX('Call accounts and MMFs'!$C$1:$C$2000,$Y63-1997+3))&amp;"")</f>
        <v/>
      </c>
      <c r="X63" t="str">
        <f>IF($Y63="","",INDEX('List maths'!$C$4:$C$3997,$Y63))</f>
        <v/>
      </c>
      <c r="Y63" t="str">
        <f>IFERROR(MATCH(LARGE('List maths'!$D$4:$D$3997,14),'List maths'!$D$4:$D$3997,0),"")</f>
        <v/>
      </c>
    </row>
    <row r="64">
      <c r="B64" s="84" t="str">
        <f>IF($Y64="","",IF($X64="Local authorities",$X64,IF($Y64&lt;=1997,INDEX('Term investments'!$B$1:$B$2000,$Y64+3),INDEX('Call accounts and MMFs'!$B$1:$B$2000,$Y64-1997+3))&amp;""))</f>
        <v/>
      </c>
      <c r="C64" s="85" t="str">
        <f>IF($Y64="","",$W64)</f>
        <v/>
      </c>
      <c r="D64" s="86" t="str">
        <f>IF($Y64="","",SUMIF('List maths'!$C$4:$C$2000,$X64,'List maths'!$B$4:$B$2000))</f>
        <v/>
      </c>
      <c r="E64" s="86" t="str">
        <f>IF($Y64="","",SUMIF('List maths'!$C$2001:$C$3997,$X64,'List maths'!$B$2001:$B$3997))</f>
        <v/>
      </c>
      <c r="F64" s="86" t="str">
        <f>IF($Y64="","",D64+E64)</f>
        <v/>
      </c>
      <c r="G64" s="87" t="str">
        <f>IF($Y64="","",IFERROR(F64/$F$49,0))</f>
        <v/>
      </c>
      <c r="H64" s="88" t="str">
        <f>IF($Y64="","",COUNTIF('List maths'!$C$4:$C$3997,$X64))</f>
        <v/>
      </c>
      <c r="I64" s="89" t="str">
        <f>IF($Y64="","",IFERROR(SUMPRODUCT(MAX(('List maths'!$C$4:$C$2000=$X64)*'Deal maths'!$F$4:$F$2000)),0))</f>
        <v/>
      </c>
      <c r="W64" t="str">
        <f>IF($Y64="","",IF($Y64&lt;=1997,INDEX('Term investments'!$C$1:$C$2000,$Y64+3),INDEX('Call accounts and MMFs'!$C$1:$C$2000,$Y64-1997+3))&amp;"")</f>
        <v/>
      </c>
      <c r="X64" t="str">
        <f>IF($Y64="","",INDEX('List maths'!$C$4:$C$3997,$Y64))</f>
        <v/>
      </c>
      <c r="Y64" t="str">
        <f>IFERROR(MATCH(LARGE('List maths'!$D$4:$D$3997,15),'List maths'!$D$4:$D$3997,0),"")</f>
        <v/>
      </c>
    </row>
    <row r="65">
      <c r="B65" s="84" t="str">
        <f>IF($Y65="","",IF($X65="Local authorities",$X65,IF($Y65&lt;=1997,INDEX('Term investments'!$B$1:$B$2000,$Y65+3),INDEX('Call accounts and MMFs'!$B$1:$B$2000,$Y65-1997+3))&amp;""))</f>
        <v/>
      </c>
      <c r="C65" s="85" t="str">
        <f>IF($Y65="","",$W65)</f>
        <v/>
      </c>
      <c r="D65" s="86" t="str">
        <f>IF($Y65="","",SUMIF('List maths'!$C$4:$C$2000,$X65,'List maths'!$B$4:$B$2000))</f>
        <v/>
      </c>
      <c r="E65" s="86" t="str">
        <f>IF($Y65="","",SUMIF('List maths'!$C$2001:$C$3997,$X65,'List maths'!$B$2001:$B$3997))</f>
        <v/>
      </c>
      <c r="F65" s="86" t="str">
        <f>IF($Y65="","",D65+E65)</f>
        <v/>
      </c>
      <c r="G65" s="87" t="str">
        <f>IF($Y65="","",IFERROR(F65/$F$49,0))</f>
        <v/>
      </c>
      <c r="H65" s="88" t="str">
        <f>IF($Y65="","",COUNTIF('List maths'!$C$4:$C$3997,$X65))</f>
        <v/>
      </c>
      <c r="I65" s="89" t="str">
        <f>IF($Y65="","",IFERROR(SUMPRODUCT(MAX(('List maths'!$C$4:$C$2000=$X65)*'Deal maths'!$F$4:$F$2000)),0))</f>
        <v/>
      </c>
      <c r="W65" t="str">
        <f>IF($Y65="","",IF($Y65&lt;=1997,INDEX('Term investments'!$C$1:$C$2000,$Y65+3),INDEX('Call accounts and MMFs'!$C$1:$C$2000,$Y65-1997+3))&amp;"")</f>
        <v/>
      </c>
      <c r="X65" t="str">
        <f>IF($Y65="","",INDEX('List maths'!$C$4:$C$3997,$Y65))</f>
        <v/>
      </c>
      <c r="Y65" t="str">
        <f>IFERROR(MATCH(LARGE('List maths'!$D$4:$D$3997,16),'List maths'!$D$4:$D$3997,0),"")</f>
        <v/>
      </c>
    </row>
    <row r="66">
      <c r="B66" s="84" t="str">
        <f>IF($Y66="","",IF($X66="Local authorities",$X66,IF($Y66&lt;=1997,INDEX('Term investments'!$B$1:$B$2000,$Y66+3),INDEX('Call accounts and MMFs'!$B$1:$B$2000,$Y66-1997+3))&amp;""))</f>
        <v/>
      </c>
      <c r="C66" s="85" t="str">
        <f>IF($Y66="","",$W66)</f>
        <v/>
      </c>
      <c r="D66" s="86" t="str">
        <f>IF($Y66="","",SUMIF('List maths'!$C$4:$C$2000,$X66,'List maths'!$B$4:$B$2000))</f>
        <v/>
      </c>
      <c r="E66" s="86" t="str">
        <f>IF($Y66="","",SUMIF('List maths'!$C$2001:$C$3997,$X66,'List maths'!$B$2001:$B$3997))</f>
        <v/>
      </c>
      <c r="F66" s="86" t="str">
        <f>IF($Y66="","",D66+E66)</f>
        <v/>
      </c>
      <c r="G66" s="87" t="str">
        <f>IF($Y66="","",IFERROR(F66/$F$49,0))</f>
        <v/>
      </c>
      <c r="H66" s="88" t="str">
        <f>IF($Y66="","",COUNTIF('List maths'!$C$4:$C$3997,$X66))</f>
        <v/>
      </c>
      <c r="I66" s="89" t="str">
        <f>IF($Y66="","",IFERROR(SUMPRODUCT(MAX(('List maths'!$C$4:$C$2000=$X66)*'Deal maths'!$F$4:$F$2000)),0))</f>
        <v/>
      </c>
      <c r="W66" t="str">
        <f>IF($Y66="","",IF($Y66&lt;=1997,INDEX('Term investments'!$C$1:$C$2000,$Y66+3),INDEX('Call accounts and MMFs'!$C$1:$C$2000,$Y66-1997+3))&amp;"")</f>
        <v/>
      </c>
      <c r="X66" t="str">
        <f>IF($Y66="","",INDEX('List maths'!$C$4:$C$3997,$Y66))</f>
        <v/>
      </c>
      <c r="Y66" t="str">
        <f>IFERROR(MATCH(LARGE('List maths'!$D$4:$D$3997,17),'List maths'!$D$4:$D$3997,0),"")</f>
        <v/>
      </c>
    </row>
    <row r="67">
      <c r="B67" s="84" t="str">
        <f>IF($Y67="","",IF($X67="Local authorities",$X67,IF($Y67&lt;=1997,INDEX('Term investments'!$B$1:$B$2000,$Y67+3),INDEX('Call accounts and MMFs'!$B$1:$B$2000,$Y67-1997+3))&amp;""))</f>
        <v/>
      </c>
      <c r="C67" s="85" t="str">
        <f>IF($Y67="","",$W67)</f>
        <v/>
      </c>
      <c r="D67" s="86" t="str">
        <f>IF($Y67="","",SUMIF('List maths'!$C$4:$C$2000,$X67,'List maths'!$B$4:$B$2000))</f>
        <v/>
      </c>
      <c r="E67" s="86" t="str">
        <f>IF($Y67="","",SUMIF('List maths'!$C$2001:$C$3997,$X67,'List maths'!$B$2001:$B$3997))</f>
        <v/>
      </c>
      <c r="F67" s="86" t="str">
        <f>IF($Y67="","",D67+E67)</f>
        <v/>
      </c>
      <c r="G67" s="87" t="str">
        <f>IF($Y67="","",IFERROR(F67/$F$49,0))</f>
        <v/>
      </c>
      <c r="H67" s="88" t="str">
        <f>IF($Y67="","",COUNTIF('List maths'!$C$4:$C$3997,$X67))</f>
        <v/>
      </c>
      <c r="I67" s="89" t="str">
        <f>IF($Y67="","",IFERROR(SUMPRODUCT(MAX(('List maths'!$C$4:$C$2000=$X67)*'Deal maths'!$F$4:$F$2000)),0))</f>
        <v/>
      </c>
      <c r="W67" t="str">
        <f>IF($Y67="","",IF($Y67&lt;=1997,INDEX('Term investments'!$C$1:$C$2000,$Y67+3),INDEX('Call accounts and MMFs'!$C$1:$C$2000,$Y67-1997+3))&amp;"")</f>
        <v/>
      </c>
      <c r="X67" t="str">
        <f>IF($Y67="","",INDEX('List maths'!$C$4:$C$3997,$Y67))</f>
        <v/>
      </c>
      <c r="Y67" t="str">
        <f>IFERROR(MATCH(LARGE('List maths'!$D$4:$D$3997,18),'List maths'!$D$4:$D$3997,0),"")</f>
        <v/>
      </c>
    </row>
    <row r="68">
      <c r="B68" s="84" t="str">
        <f>IF($Y68="","",IF($X68="Local authorities",$X68,IF($Y68&lt;=1997,INDEX('Term investments'!$B$1:$B$2000,$Y68+3),INDEX('Call accounts and MMFs'!$B$1:$B$2000,$Y68-1997+3))&amp;""))</f>
        <v/>
      </c>
      <c r="C68" s="85" t="str">
        <f>IF($Y68="","",$W68)</f>
        <v/>
      </c>
      <c r="D68" s="86" t="str">
        <f>IF($Y68="","",SUMIF('List maths'!$C$4:$C$2000,$X68,'List maths'!$B$4:$B$2000))</f>
        <v/>
      </c>
      <c r="E68" s="86" t="str">
        <f>IF($Y68="","",SUMIF('List maths'!$C$2001:$C$3997,$X68,'List maths'!$B$2001:$B$3997))</f>
        <v/>
      </c>
      <c r="F68" s="86" t="str">
        <f>IF($Y68="","",D68+E68)</f>
        <v/>
      </c>
      <c r="G68" s="87" t="str">
        <f>IF($Y68="","",IFERROR(F68/$F$49,0))</f>
        <v/>
      </c>
      <c r="H68" s="88" t="str">
        <f>IF($Y68="","",COUNTIF('List maths'!$C$4:$C$3997,$X68))</f>
        <v/>
      </c>
      <c r="I68" s="89" t="str">
        <f>IF($Y68="","",IFERROR(SUMPRODUCT(MAX(('List maths'!$C$4:$C$2000=$X68)*'Deal maths'!$F$4:$F$2000)),0))</f>
        <v/>
      </c>
      <c r="W68" t="str">
        <f>IF($Y68="","",IF($Y68&lt;=1997,INDEX('Term investments'!$C$1:$C$2000,$Y68+3),INDEX('Call accounts and MMFs'!$C$1:$C$2000,$Y68-1997+3))&amp;"")</f>
        <v/>
      </c>
      <c r="X68" t="str">
        <f>IF($Y68="","",INDEX('List maths'!$C$4:$C$3997,$Y68))</f>
        <v/>
      </c>
      <c r="Y68" t="str">
        <f>IFERROR(MATCH(LARGE('List maths'!$D$4:$D$3997,19),'List maths'!$D$4:$D$3997,0),"")</f>
        <v/>
      </c>
    </row>
    <row r="69">
      <c r="B69" s="84" t="str">
        <f>IF($Y69="","",IF($X69="Local authorities",$X69,IF($Y69&lt;=1997,INDEX('Term investments'!$B$1:$B$2000,$Y69+3),INDEX('Call accounts and MMFs'!$B$1:$B$2000,$Y69-1997+3))&amp;""))</f>
        <v/>
      </c>
      <c r="C69" s="85" t="str">
        <f>IF($Y69="","",$W69)</f>
        <v/>
      </c>
      <c r="D69" s="86" t="str">
        <f>IF($Y69="","",SUMIF('List maths'!$C$4:$C$2000,$X69,'List maths'!$B$4:$B$2000))</f>
        <v/>
      </c>
      <c r="E69" s="86" t="str">
        <f>IF($Y69="","",SUMIF('List maths'!$C$2001:$C$3997,$X69,'List maths'!$B$2001:$B$3997))</f>
        <v/>
      </c>
      <c r="F69" s="86" t="str">
        <f>IF($Y69="","",D69+E69)</f>
        <v/>
      </c>
      <c r="G69" s="87" t="str">
        <f>IF($Y69="","",IFERROR(F69/$F$49,0))</f>
        <v/>
      </c>
      <c r="H69" s="88" t="str">
        <f>IF($Y69="","",COUNTIF('List maths'!$C$4:$C$3997,$X69))</f>
        <v/>
      </c>
      <c r="I69" s="89" t="str">
        <f>IF($Y69="","",IFERROR(SUMPRODUCT(MAX(('List maths'!$C$4:$C$2000=$X69)*'Deal maths'!$F$4:$F$2000)),0))</f>
        <v/>
      </c>
      <c r="W69" t="str">
        <f>IF($Y69="","",IF($Y69&lt;=1997,INDEX('Term investments'!$C$1:$C$2000,$Y69+3),INDEX('Call accounts and MMFs'!$C$1:$C$2000,$Y69-1997+3))&amp;"")</f>
        <v/>
      </c>
      <c r="X69" t="str">
        <f>IF($Y69="","",INDEX('List maths'!$C$4:$C$3997,$Y69))</f>
        <v/>
      </c>
      <c r="Y69" t="str">
        <f>IFERROR(MATCH(LARGE('List maths'!$D$4:$D$3997,20),'List maths'!$D$4:$D$3997,0),"")</f>
        <v/>
      </c>
    </row>
    <row r="70">
      <c r="B70" s="84" t="str">
        <f>IF($Y70="","",IF($X70="Local authorities",$X70,IF($Y70&lt;=1997,INDEX('Term investments'!$B$1:$B$2000,$Y70+3),INDEX('Call accounts and MMFs'!$B$1:$B$2000,$Y70-1997+3))&amp;""))</f>
        <v/>
      </c>
      <c r="C70" s="85" t="str">
        <f>IF($Y70="","",$W70)</f>
        <v/>
      </c>
      <c r="D70" s="86" t="str">
        <f>IF($Y70="","",SUMIF('List maths'!$C$4:$C$2000,$X70,'List maths'!$B$4:$B$2000))</f>
        <v/>
      </c>
      <c r="E70" s="86" t="str">
        <f>IF($Y70="","",SUMIF('List maths'!$C$2001:$C$3997,$X70,'List maths'!$B$2001:$B$3997))</f>
        <v/>
      </c>
      <c r="F70" s="86" t="str">
        <f>IF($Y70="","",D70+E70)</f>
        <v/>
      </c>
      <c r="G70" s="87" t="str">
        <f>IF($Y70="","",IFERROR(F70/$F$49,0))</f>
        <v/>
      </c>
      <c r="H70" s="88" t="str">
        <f>IF($Y70="","",COUNTIF('List maths'!$C$4:$C$3997,$X70))</f>
        <v/>
      </c>
      <c r="I70" s="89" t="str">
        <f>IF($Y70="","",IFERROR(SUMPRODUCT(MAX(('List maths'!$C$4:$C$2000=$X70)*'Deal maths'!$F$4:$F$2000)),0))</f>
        <v/>
      </c>
      <c r="W70" t="str">
        <f>IF($Y70="","",IF($Y70&lt;=1997,INDEX('Term investments'!$C$1:$C$2000,$Y70+3),INDEX('Call accounts and MMFs'!$C$1:$C$2000,$Y70-1997+3))&amp;"")</f>
        <v/>
      </c>
      <c r="X70" t="str">
        <f>IF($Y70="","",INDEX('List maths'!$C$4:$C$3997,$Y70))</f>
        <v/>
      </c>
      <c r="Y70" t="str">
        <f>IFERROR(MATCH(LARGE('List maths'!$D$4:$D$3997,21),'List maths'!$D$4:$D$3997,0),"")</f>
        <v/>
      </c>
    </row>
    <row r="71">
      <c r="B71" s="84" t="str">
        <f>IF($Y71="","",IF($X71="Local authorities",$X71,IF($Y71&lt;=1997,INDEX('Term investments'!$B$1:$B$2000,$Y71+3),INDEX('Call accounts and MMFs'!$B$1:$B$2000,$Y71-1997+3))&amp;""))</f>
        <v/>
      </c>
      <c r="C71" s="85" t="str">
        <f>IF($Y71="","",$W71)</f>
        <v/>
      </c>
      <c r="D71" s="86" t="str">
        <f>IF($Y71="","",SUMIF('List maths'!$C$4:$C$2000,$X71,'List maths'!$B$4:$B$2000))</f>
        <v/>
      </c>
      <c r="E71" s="86" t="str">
        <f>IF($Y71="","",SUMIF('List maths'!$C$2001:$C$3997,$X71,'List maths'!$B$2001:$B$3997))</f>
        <v/>
      </c>
      <c r="F71" s="86" t="str">
        <f>IF($Y71="","",D71+E71)</f>
        <v/>
      </c>
      <c r="G71" s="87" t="str">
        <f>IF($Y71="","",IFERROR(F71/$F$49,0))</f>
        <v/>
      </c>
      <c r="H71" s="88" t="str">
        <f>IF($Y71="","",COUNTIF('List maths'!$C$4:$C$3997,$X71))</f>
        <v/>
      </c>
      <c r="I71" s="89" t="str">
        <f>IF($Y71="","",IFERROR(SUMPRODUCT(MAX(('List maths'!$C$4:$C$2000=$X71)*'Deal maths'!$F$4:$F$2000)),0))</f>
        <v/>
      </c>
      <c r="W71" t="str">
        <f>IF($Y71="","",IF($Y71&lt;=1997,INDEX('Term investments'!$C$1:$C$2000,$Y71+3),INDEX('Call accounts and MMFs'!$C$1:$C$2000,$Y71-1997+3))&amp;"")</f>
        <v/>
      </c>
      <c r="X71" t="str">
        <f>IF($Y71="","",INDEX('List maths'!$C$4:$C$3997,$Y71))</f>
        <v/>
      </c>
      <c r="Y71" t="str">
        <f>IFERROR(MATCH(LARGE('List maths'!$D$4:$D$3997,22),'List maths'!$D$4:$D$3997,0),"")</f>
        <v/>
      </c>
    </row>
    <row r="72">
      <c r="B72" s="84" t="str">
        <f>IF($Y72="","",IF($X72="Local authorities",$X72,IF($Y72&lt;=1997,INDEX('Term investments'!$B$1:$B$2000,$Y72+3),INDEX('Call accounts and MMFs'!$B$1:$B$2000,$Y72-1997+3))&amp;""))</f>
        <v/>
      </c>
      <c r="C72" s="85" t="str">
        <f>IF($Y72="","",$W72)</f>
        <v/>
      </c>
      <c r="D72" s="86" t="str">
        <f>IF($Y72="","",SUMIF('List maths'!$C$4:$C$2000,$X72,'List maths'!$B$4:$B$2000))</f>
        <v/>
      </c>
      <c r="E72" s="86" t="str">
        <f>IF($Y72="","",SUMIF('List maths'!$C$2001:$C$3997,$X72,'List maths'!$B$2001:$B$3997))</f>
        <v/>
      </c>
      <c r="F72" s="86" t="str">
        <f>IF($Y72="","",D72+E72)</f>
        <v/>
      </c>
      <c r="G72" s="87" t="str">
        <f>IF($Y72="","",IFERROR(F72/$F$49,0))</f>
        <v/>
      </c>
      <c r="H72" s="88" t="str">
        <f>IF($Y72="","",COUNTIF('List maths'!$C$4:$C$3997,$X72))</f>
        <v/>
      </c>
      <c r="I72" s="89" t="str">
        <f>IF($Y72="","",IFERROR(SUMPRODUCT(MAX(('List maths'!$C$4:$C$2000=$X72)*'Deal maths'!$F$4:$F$2000)),0))</f>
        <v/>
      </c>
      <c r="W72" t="str">
        <f>IF($Y72="","",IF($Y72&lt;=1997,INDEX('Term investments'!$C$1:$C$2000,$Y72+3),INDEX('Call accounts and MMFs'!$C$1:$C$2000,$Y72-1997+3))&amp;"")</f>
        <v/>
      </c>
      <c r="X72" t="str">
        <f>IF($Y72="","",INDEX('List maths'!$C$4:$C$3997,$Y72))</f>
        <v/>
      </c>
      <c r="Y72" t="str">
        <f>IFERROR(MATCH(LARGE('List maths'!$D$4:$D$3997,23),'List maths'!$D$4:$D$3997,0),"")</f>
        <v/>
      </c>
    </row>
    <row r="73">
      <c r="B73" s="84" t="str">
        <f>IF($Y73="","",IF($X73="Local authorities",$X73,IF($Y73&lt;=1997,INDEX('Term investments'!$B$1:$B$2000,$Y73+3),INDEX('Call accounts and MMFs'!$B$1:$B$2000,$Y73-1997+3))&amp;""))</f>
        <v/>
      </c>
      <c r="C73" s="85" t="str">
        <f>IF($Y73="","",$W73)</f>
        <v/>
      </c>
      <c r="D73" s="86" t="str">
        <f>IF($Y73="","",SUMIF('List maths'!$C$4:$C$2000,$X73,'List maths'!$B$4:$B$2000))</f>
        <v/>
      </c>
      <c r="E73" s="86" t="str">
        <f>IF($Y73="","",SUMIF('List maths'!$C$2001:$C$3997,$X73,'List maths'!$B$2001:$B$3997))</f>
        <v/>
      </c>
      <c r="F73" s="86" t="str">
        <f>IF($Y73="","",D73+E73)</f>
        <v/>
      </c>
      <c r="G73" s="87" t="str">
        <f>IF($Y73="","",IFERROR(F73/$F$49,0))</f>
        <v/>
      </c>
      <c r="H73" s="88" t="str">
        <f>IF($Y73="","",COUNTIF('List maths'!$C$4:$C$3997,$X73))</f>
        <v/>
      </c>
      <c r="I73" s="89" t="str">
        <f>IF($Y73="","",IFERROR(SUMPRODUCT(MAX(('List maths'!$C$4:$C$2000=$X73)*'Deal maths'!$F$4:$F$2000)),0))</f>
        <v/>
      </c>
      <c r="W73" t="str">
        <f>IF($Y73="","",IF($Y73&lt;=1997,INDEX('Term investments'!$C$1:$C$2000,$Y73+3),INDEX('Call accounts and MMFs'!$C$1:$C$2000,$Y73-1997+3))&amp;"")</f>
        <v/>
      </c>
      <c r="X73" t="str">
        <f>IF($Y73="","",INDEX('List maths'!$C$4:$C$3997,$Y73))</f>
        <v/>
      </c>
      <c r="Y73" t="str">
        <f>IFERROR(MATCH(LARGE('List maths'!$D$4:$D$3997,24),'List maths'!$D$4:$D$3997,0),"")</f>
        <v/>
      </c>
    </row>
    <row r="74">
      <c r="B74" s="84" t="str">
        <f>IF($Y74="","",IF($X74="Local authorities",$X74,IF($Y74&lt;=1997,INDEX('Term investments'!$B$1:$B$2000,$Y74+3),INDEX('Call accounts and MMFs'!$B$1:$B$2000,$Y74-1997+3))&amp;""))</f>
        <v/>
      </c>
      <c r="C74" s="85" t="str">
        <f>IF($Y74="","",$W74)</f>
        <v/>
      </c>
      <c r="D74" s="86" t="str">
        <f>IF($Y74="","",SUMIF('List maths'!$C$4:$C$2000,$X74,'List maths'!$B$4:$B$2000))</f>
        <v/>
      </c>
      <c r="E74" s="86" t="str">
        <f>IF($Y74="","",SUMIF('List maths'!$C$2001:$C$3997,$X74,'List maths'!$B$2001:$B$3997))</f>
        <v/>
      </c>
      <c r="F74" s="86" t="str">
        <f>IF($Y74="","",D74+E74)</f>
        <v/>
      </c>
      <c r="G74" s="87" t="str">
        <f>IF($Y74="","",IFERROR(F74/$F$49,0))</f>
        <v/>
      </c>
      <c r="H74" s="88" t="str">
        <f>IF($Y74="","",COUNTIF('List maths'!$C$4:$C$3997,$X74))</f>
        <v/>
      </c>
      <c r="I74" s="89" t="str">
        <f>IF($Y74="","",IFERROR(SUMPRODUCT(MAX(('List maths'!$C$4:$C$2000=$X74)*'Deal maths'!$F$4:$F$2000)),0))</f>
        <v/>
      </c>
      <c r="W74" t="str">
        <f>IF($Y74="","",IF($Y74&lt;=1997,INDEX('Term investments'!$C$1:$C$2000,$Y74+3),INDEX('Call accounts and MMFs'!$C$1:$C$2000,$Y74-1997+3))&amp;"")</f>
        <v/>
      </c>
      <c r="X74" t="str">
        <f>IF($Y74="","",INDEX('List maths'!$C$4:$C$3997,$Y74))</f>
        <v/>
      </c>
      <c r="Y74" t="str">
        <f>IFERROR(MATCH(LARGE('List maths'!$D$4:$D$3997,25),'List maths'!$D$4:$D$3997,0),"")</f>
        <v/>
      </c>
    </row>
    <row r="75">
      <c r="B75" s="84" t="str">
        <f>IF(COUNT('List maths'!$D$4:$D$3997)&gt;25,"All other counterparties ("&amp;(COUNT('List maths'!$D$4:$D$3997)-25)&amp;")","")</f>
        <v/>
      </c>
      <c r="C75" s="85" t="inlineStr"/>
      <c r="D75" s="86" t="str">
        <f>IF(COUNT('List maths'!$D$4:$D$3997)&gt;25,D49-SUM(D50:D74),"")</f>
        <v/>
      </c>
      <c r="E75" s="86" t="str">
        <f>IF(COUNT('List maths'!$D$4:$D$3997)&gt;25,E49-SUM(E50:E74),"")</f>
        <v/>
      </c>
      <c r="F75" s="86" t="str">
        <f>IF(COUNT('List maths'!$D$4:$D$3997)&gt;25,F49-SUM(F50:F74),"")</f>
        <v/>
      </c>
      <c r="G75" s="87" t="str">
        <f>IF(COUNT('List maths'!$D$4:$D$3997)&gt;25,IFERROR(F75/F49,0),"")</f>
        <v/>
      </c>
      <c r="H75" s="88" t="str">
        <f>IF(COUNT('List maths'!$D$4:$D$3997)&gt;25,H49-SUM(H50:H74),"")</f>
        <v/>
      </c>
      <c r="I75" s="89"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B47:L47"/>
    <mergeCell ref="B2:L2"/>
    <mergeCell ref="B17:J17"/>
    <mergeCell ref="B32:L32"/>
    <mergeCell ref="B44:G44"/>
    <mergeCell ref="B31:L31"/>
  </mergeCells>
  <conditionalFormatting sqref="B50:I75">
    <cfRule type="expression" priority="1" dxfId="7">
      <formula>$B50&lt;&gt;""</formula>
    </cfRule>
  </conditionalFormatting>
  <hyperlinks>
    <hyperlink xmlns:r="http://schemas.openxmlformats.org/officeDocument/2006/relationships" ref="N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rowBreaks count="1" manualBreakCount="1">
    <brk id="33" min="0" max="16383" man="1"/>
  </rowBreaks>
</worksheet>
</file>

<file path=xl/worksheets/sheet10.xml><?xml version="1.0" encoding="utf-8"?>
<worksheet xmlns="http://schemas.openxmlformats.org/spreadsheetml/2006/main">
  <sheetPr>
    <tabColor rgb="00FD7E14"/>
    <outlinePr summaryBelow="1" summaryRight="1"/>
    <pageSetUpPr fitToPage="1"/>
  </sheetPr>
  <dimension ref="A1:P308"/>
  <sheetViews>
    <sheetView showGridLines="0" workbookViewId="0">
      <pane ySplit="8" topLeftCell="A9" activePane="bottomLeft" state="frozen"/>
      <selection pane="bottomLeft" activeCell="A1" sqref="A1"/>
    </sheetView>
  </sheetViews>
  <sheetFormatPr baseColWidth="8" defaultRowHeight="15"/>
  <cols>
    <col width="2" customWidth="1" min="1" max="1"/>
    <col width="30" customWidth="1" min="2" max="2"/>
    <col width="21" customWidth="1" min="3" max="3"/>
    <col width="15" customWidth="1" min="4" max="4"/>
    <col width="10" customWidth="1" min="5" max="5"/>
    <col width="13" customWidth="1" min="6" max="6"/>
    <col width="15" customWidth="1" min="7" max="7"/>
    <col width="9" customWidth="1" min="8" max="8"/>
    <col width="12" customWidth="1" min="9" max="9"/>
    <col width="12" customWidth="1" min="10" max="10"/>
    <col width="12" customWidth="1" min="11" max="11"/>
    <col width="10" customWidth="1" min="12" max="12"/>
    <col width="14" customWidth="1" min="13" max="13"/>
    <col width="8" customWidth="1" min="14" max="14"/>
  </cols>
  <sheetData>
    <row r="1" ht="36" customHeight="1">
      <c r="A1" s="21" t="inlineStr">
        <is>
          <t>Debt outstanding</t>
        </is>
      </c>
      <c r="B1" s="2" t="n"/>
      <c r="C1" s="2" t="n"/>
      <c r="D1" s="2" t="n"/>
      <c r="E1" s="2" t="n"/>
      <c r="F1" s="2" t="n"/>
      <c r="G1" s="2" t="n"/>
      <c r="H1" s="2" t="n"/>
      <c r="I1" s="2" t="n"/>
      <c r="J1" s="2" t="n"/>
      <c r="K1" s="2" t="n"/>
      <c r="L1" s="2" t="n"/>
      <c r="M1" s="2" t="n"/>
      <c r="N1" s="22" t="inlineStr">
        <is>
          <t>every loan still out at the As at date</t>
        </is>
      </c>
      <c r="P1" s="23" t="inlineStr">
        <is>
          <t>◂ Start here</t>
        </is>
      </c>
    </row>
    <row r="2" ht="42" customHeight="1">
      <c r="B2" s="45" t="inlineStr">
        <is>
          <t>Every loan on the Loans sheet still outstanding at the As at date, soonest maturity first: its Principal as typed (the amount outstanding at that date), the rate, the average life of what is left to repay — EIP and annuity loans instalment by instalment, a LOBO to its next call — and a year's interest at the rate. The tiles count every loan; the list shows the first 300. Nothing to type here.</t>
        </is>
      </c>
    </row>
    <row r="3">
      <c r="B3" s="48" t="str">
        <f>"As at "&amp;TEXT(AsAt,"dd/mm/yyyy")&amp;"     Period from "&amp;TEXT(PeriodFrom,"dd/mm/yyyy")&amp;"     HRA "&amp;HRA</f>
        <v>As at 30/09/2026     Period from 01/04/2026     HRA None</v>
      </c>
    </row>
    <row r="4"/>
    <row r="5" ht="30" customHeight="1">
      <c r="B5" s="50">
        <f>SUM(LM_live)</f>
        <v>0</v>
      </c>
      <c r="C5" s="66">
        <f>SUMPRODUCT((LN_maturity&gt;AsAt)*(LN_start&lt;=AsAt)*LN_principal)</f>
        <v>0</v>
      </c>
      <c r="D5" s="51">
        <f>IFERROR(SUMPRODUCT((LN_maturity&gt;AsAt)*(LN_start&lt;=AsAt)*LN_principal*'Deal maths'!$AB$4:$AB$1000)/SUMPRODUCT((LN_maturity&gt;AsAt)*(LN_start&lt;=AsAt)*LN_principal*'Deal maths'!$AH$4:$AH$1000),0)</f>
        <v>0</v>
      </c>
      <c r="E5" s="67">
        <f>IFERROR(SUMPRODUCT(LM_live*LM_out*LM_life)/SUMPRODUCT((LN_maturity&gt;AsAt)*(LN_start&lt;=AsAt)*LN_principal),0)</f>
        <v>0</v>
      </c>
      <c r="F5" s="66">
        <f>SUMPRODUCT(LM_live*LM_out*'Deal maths'!$AB$4:$AB$1000)</f>
        <v>0</v>
      </c>
      <c r="G5" s="90" t="str">
        <f>IFERROR(INT(SMALL(LM_order,1)),"–")</f>
        <v>–</v>
      </c>
    </row>
    <row r="6" ht="26" customHeight="1">
      <c r="B6" s="68" t="inlineStr">
        <is>
          <t>Loans</t>
        </is>
      </c>
      <c r="C6" s="68" t="inlineStr">
        <is>
          <t>Principal outstanding</t>
        </is>
      </c>
      <c r="D6" s="68" t="inlineStr">
        <is>
          <t>Average rate</t>
        </is>
      </c>
      <c r="E6" s="68" t="inlineStr">
        <is>
          <t>Average life</t>
        </is>
      </c>
      <c r="F6" s="68" t="inlineStr">
        <is>
          <t>A year's interest</t>
        </is>
      </c>
      <c r="G6" s="68" t="inlineStr">
        <is>
          <t>Next maturity</t>
        </is>
      </c>
    </row>
    <row r="7">
      <c r="B7" s="38" t="str">
        <f>IF(SUM(LM_live)&gt;300,"The first 300 of "&amp;SUM(LM_live)&amp;" loans, soonest maturity first: the rest are on the Loans sheet, and in the tiles.","")</f>
        <v/>
      </c>
    </row>
    <row r="8" ht="28" customHeight="1">
      <c r="B8" s="53" t="inlineStr">
        <is>
          <t>Lender</t>
        </is>
      </c>
      <c r="C8" s="53" t="inlineStr">
        <is>
          <t>Type</t>
        </is>
      </c>
      <c r="D8" s="53" t="inlineStr">
        <is>
          <t>Lender type</t>
        </is>
      </c>
      <c r="E8" s="53" t="inlineStr">
        <is>
          <t>Profile</t>
        </is>
      </c>
      <c r="F8" s="53" t="inlineStr">
        <is>
          <t>Fund</t>
        </is>
      </c>
      <c r="G8" s="54" t="inlineStr">
        <is>
          <t>Principal</t>
        </is>
      </c>
      <c r="H8" s="54" t="inlineStr">
        <is>
          <t>Rate</t>
        </is>
      </c>
      <c r="I8" s="54" t="inlineStr">
        <is>
          <t>Start date</t>
        </is>
      </c>
      <c r="J8" s="54" t="inlineStr">
        <is>
          <t>Maturity date</t>
        </is>
      </c>
      <c r="K8" s="54" t="inlineStr">
        <is>
          <t>Next call</t>
        </is>
      </c>
      <c r="L8" s="54" t="inlineStr">
        <is>
          <t>Average life, years</t>
        </is>
      </c>
      <c r="M8" s="54" t="inlineStr">
        <is>
          <t>A year's interest</t>
        </is>
      </c>
      <c r="N8" s="54" t="inlineStr">
        <is>
          <t>Loans row</t>
        </is>
      </c>
    </row>
    <row r="9">
      <c r="B9" s="91" t="str">
        <f>IF($N9="","",INDEX('Loans'!$B$1:$B$1000,$N9)&amp;"")</f>
        <v/>
      </c>
      <c r="C9" s="91" t="str">
        <f>IF($N9="","",INDEX('Loans'!$A$1:$A$1000,$N9)&amp;"")</f>
        <v/>
      </c>
      <c r="D9" s="91" t="str">
        <f>IF($N9="","",INDEX('Loans'!$C$1:$C$1000,$N9)&amp;"")</f>
        <v/>
      </c>
      <c r="E9" s="91" t="str">
        <f>IF($N9="","",INDEX('Loan maths'!$C$1:$C$1000,$N9)&amp;"")</f>
        <v/>
      </c>
      <c r="F9" s="91" t="str">
        <f>IF($N9="","",INDEX('Loans'!$K$1:$K$1000,$N9)&amp;"")</f>
        <v/>
      </c>
      <c r="G9" s="92" t="str">
        <f>IF($N9="","",INDEX('Deal maths'!$Y$1:$Y$1000,$N9))</f>
        <v/>
      </c>
      <c r="H9" s="93" t="str">
        <f>IF($N9="","",INDEX('Deal maths'!$AB$1:$AB$1000,$N9))</f>
        <v/>
      </c>
      <c r="I9" s="94" t="str">
        <f>IF($N9="","",INDEX('Deal maths'!$Z$1:$Z$1000,$N9))</f>
        <v/>
      </c>
      <c r="J9" s="94" t="str">
        <f>IF($N9="","",INDEX('Deal maths'!$AA$1:$AA$1000,$N9))</f>
        <v/>
      </c>
      <c r="K9" s="94" t="str">
        <f>IF($N9="","",INDEX('Deal maths'!$AG$1:$AG$1000,$N9))</f>
        <v/>
      </c>
      <c r="L9" s="95" t="str">
        <f>IF($N9="","",INDEX('Loan maths'!$P$1:$P$1000,$N9))</f>
        <v/>
      </c>
      <c r="M9" s="92" t="str">
        <f>IF($N9="","",N(G9)*N(H9))</f>
        <v/>
      </c>
      <c r="N9" s="96" t="str">
        <f>IFERROR(MATCH(SMALL(LM_order,1),LM_order,0)+3,"")</f>
        <v/>
      </c>
    </row>
    <row r="10">
      <c r="B10" s="91" t="str">
        <f>IF($N10="","",INDEX('Loans'!$B$1:$B$1000,$N10)&amp;"")</f>
        <v/>
      </c>
      <c r="C10" s="91" t="str">
        <f>IF($N10="","",INDEX('Loans'!$A$1:$A$1000,$N10)&amp;"")</f>
        <v/>
      </c>
      <c r="D10" s="91" t="str">
        <f>IF($N10="","",INDEX('Loans'!$C$1:$C$1000,$N10)&amp;"")</f>
        <v/>
      </c>
      <c r="E10" s="91" t="str">
        <f>IF($N10="","",INDEX('Loan maths'!$C$1:$C$1000,$N10)&amp;"")</f>
        <v/>
      </c>
      <c r="F10" s="91" t="str">
        <f>IF($N10="","",INDEX('Loans'!$K$1:$K$1000,$N10)&amp;"")</f>
        <v/>
      </c>
      <c r="G10" s="92" t="str">
        <f>IF($N10="","",INDEX('Deal maths'!$Y$1:$Y$1000,$N10))</f>
        <v/>
      </c>
      <c r="H10" s="93" t="str">
        <f>IF($N10="","",INDEX('Deal maths'!$AB$1:$AB$1000,$N10))</f>
        <v/>
      </c>
      <c r="I10" s="94" t="str">
        <f>IF($N10="","",INDEX('Deal maths'!$Z$1:$Z$1000,$N10))</f>
        <v/>
      </c>
      <c r="J10" s="94" t="str">
        <f>IF($N10="","",INDEX('Deal maths'!$AA$1:$AA$1000,$N10))</f>
        <v/>
      </c>
      <c r="K10" s="94" t="str">
        <f>IF($N10="","",INDEX('Deal maths'!$AG$1:$AG$1000,$N10))</f>
        <v/>
      </c>
      <c r="L10" s="95" t="str">
        <f>IF($N10="","",INDEX('Loan maths'!$P$1:$P$1000,$N10))</f>
        <v/>
      </c>
      <c r="M10" s="92" t="str">
        <f>IF($N10="","",N(G10)*N(H10))</f>
        <v/>
      </c>
      <c r="N10" s="96" t="str">
        <f>IFERROR(MATCH(SMALL(LM_order,2),LM_order,0)+3,"")</f>
        <v/>
      </c>
    </row>
    <row r="11">
      <c r="B11" s="91" t="str">
        <f>IF($N11="","",INDEX('Loans'!$B$1:$B$1000,$N11)&amp;"")</f>
        <v/>
      </c>
      <c r="C11" s="91" t="str">
        <f>IF($N11="","",INDEX('Loans'!$A$1:$A$1000,$N11)&amp;"")</f>
        <v/>
      </c>
      <c r="D11" s="91" t="str">
        <f>IF($N11="","",INDEX('Loans'!$C$1:$C$1000,$N11)&amp;"")</f>
        <v/>
      </c>
      <c r="E11" s="91" t="str">
        <f>IF($N11="","",INDEX('Loan maths'!$C$1:$C$1000,$N11)&amp;"")</f>
        <v/>
      </c>
      <c r="F11" s="91" t="str">
        <f>IF($N11="","",INDEX('Loans'!$K$1:$K$1000,$N11)&amp;"")</f>
        <v/>
      </c>
      <c r="G11" s="92" t="str">
        <f>IF($N11="","",INDEX('Deal maths'!$Y$1:$Y$1000,$N11))</f>
        <v/>
      </c>
      <c r="H11" s="93" t="str">
        <f>IF($N11="","",INDEX('Deal maths'!$AB$1:$AB$1000,$N11))</f>
        <v/>
      </c>
      <c r="I11" s="94" t="str">
        <f>IF($N11="","",INDEX('Deal maths'!$Z$1:$Z$1000,$N11))</f>
        <v/>
      </c>
      <c r="J11" s="94" t="str">
        <f>IF($N11="","",INDEX('Deal maths'!$AA$1:$AA$1000,$N11))</f>
        <v/>
      </c>
      <c r="K11" s="94" t="str">
        <f>IF($N11="","",INDEX('Deal maths'!$AG$1:$AG$1000,$N11))</f>
        <v/>
      </c>
      <c r="L11" s="95" t="str">
        <f>IF($N11="","",INDEX('Loan maths'!$P$1:$P$1000,$N11))</f>
        <v/>
      </c>
      <c r="M11" s="92" t="str">
        <f>IF($N11="","",N(G11)*N(H11))</f>
        <v/>
      </c>
      <c r="N11" s="96" t="str">
        <f>IFERROR(MATCH(SMALL(LM_order,3),LM_order,0)+3,"")</f>
        <v/>
      </c>
    </row>
    <row r="12">
      <c r="B12" s="91" t="str">
        <f>IF($N12="","",INDEX('Loans'!$B$1:$B$1000,$N12)&amp;"")</f>
        <v/>
      </c>
      <c r="C12" s="91" t="str">
        <f>IF($N12="","",INDEX('Loans'!$A$1:$A$1000,$N12)&amp;"")</f>
        <v/>
      </c>
      <c r="D12" s="91" t="str">
        <f>IF($N12="","",INDEX('Loans'!$C$1:$C$1000,$N12)&amp;"")</f>
        <v/>
      </c>
      <c r="E12" s="91" t="str">
        <f>IF($N12="","",INDEX('Loan maths'!$C$1:$C$1000,$N12)&amp;"")</f>
        <v/>
      </c>
      <c r="F12" s="91" t="str">
        <f>IF($N12="","",INDEX('Loans'!$K$1:$K$1000,$N12)&amp;"")</f>
        <v/>
      </c>
      <c r="G12" s="92" t="str">
        <f>IF($N12="","",INDEX('Deal maths'!$Y$1:$Y$1000,$N12))</f>
        <v/>
      </c>
      <c r="H12" s="93" t="str">
        <f>IF($N12="","",INDEX('Deal maths'!$AB$1:$AB$1000,$N12))</f>
        <v/>
      </c>
      <c r="I12" s="94" t="str">
        <f>IF($N12="","",INDEX('Deal maths'!$Z$1:$Z$1000,$N12))</f>
        <v/>
      </c>
      <c r="J12" s="94" t="str">
        <f>IF($N12="","",INDEX('Deal maths'!$AA$1:$AA$1000,$N12))</f>
        <v/>
      </c>
      <c r="K12" s="94" t="str">
        <f>IF($N12="","",INDEX('Deal maths'!$AG$1:$AG$1000,$N12))</f>
        <v/>
      </c>
      <c r="L12" s="95" t="str">
        <f>IF($N12="","",INDEX('Loan maths'!$P$1:$P$1000,$N12))</f>
        <v/>
      </c>
      <c r="M12" s="92" t="str">
        <f>IF($N12="","",N(G12)*N(H12))</f>
        <v/>
      </c>
      <c r="N12" s="96" t="str">
        <f>IFERROR(MATCH(SMALL(LM_order,4),LM_order,0)+3,"")</f>
        <v/>
      </c>
    </row>
    <row r="13">
      <c r="B13" s="91" t="str">
        <f>IF($N13="","",INDEX('Loans'!$B$1:$B$1000,$N13)&amp;"")</f>
        <v/>
      </c>
      <c r="C13" s="91" t="str">
        <f>IF($N13="","",INDEX('Loans'!$A$1:$A$1000,$N13)&amp;"")</f>
        <v/>
      </c>
      <c r="D13" s="91" t="str">
        <f>IF($N13="","",INDEX('Loans'!$C$1:$C$1000,$N13)&amp;"")</f>
        <v/>
      </c>
      <c r="E13" s="91" t="str">
        <f>IF($N13="","",INDEX('Loan maths'!$C$1:$C$1000,$N13)&amp;"")</f>
        <v/>
      </c>
      <c r="F13" s="91" t="str">
        <f>IF($N13="","",INDEX('Loans'!$K$1:$K$1000,$N13)&amp;"")</f>
        <v/>
      </c>
      <c r="G13" s="92" t="str">
        <f>IF($N13="","",INDEX('Deal maths'!$Y$1:$Y$1000,$N13))</f>
        <v/>
      </c>
      <c r="H13" s="93" t="str">
        <f>IF($N13="","",INDEX('Deal maths'!$AB$1:$AB$1000,$N13))</f>
        <v/>
      </c>
      <c r="I13" s="94" t="str">
        <f>IF($N13="","",INDEX('Deal maths'!$Z$1:$Z$1000,$N13))</f>
        <v/>
      </c>
      <c r="J13" s="94" t="str">
        <f>IF($N13="","",INDEX('Deal maths'!$AA$1:$AA$1000,$N13))</f>
        <v/>
      </c>
      <c r="K13" s="94" t="str">
        <f>IF($N13="","",INDEX('Deal maths'!$AG$1:$AG$1000,$N13))</f>
        <v/>
      </c>
      <c r="L13" s="95" t="str">
        <f>IF($N13="","",INDEX('Loan maths'!$P$1:$P$1000,$N13))</f>
        <v/>
      </c>
      <c r="M13" s="92" t="str">
        <f>IF($N13="","",N(G13)*N(H13))</f>
        <v/>
      </c>
      <c r="N13" s="96" t="str">
        <f>IFERROR(MATCH(SMALL(LM_order,5),LM_order,0)+3,"")</f>
        <v/>
      </c>
    </row>
    <row r="14">
      <c r="B14" s="91" t="str">
        <f>IF($N14="","",INDEX('Loans'!$B$1:$B$1000,$N14)&amp;"")</f>
        <v/>
      </c>
      <c r="C14" s="91" t="str">
        <f>IF($N14="","",INDEX('Loans'!$A$1:$A$1000,$N14)&amp;"")</f>
        <v/>
      </c>
      <c r="D14" s="91" t="str">
        <f>IF($N14="","",INDEX('Loans'!$C$1:$C$1000,$N14)&amp;"")</f>
        <v/>
      </c>
      <c r="E14" s="91" t="str">
        <f>IF($N14="","",INDEX('Loan maths'!$C$1:$C$1000,$N14)&amp;"")</f>
        <v/>
      </c>
      <c r="F14" s="91" t="str">
        <f>IF($N14="","",INDEX('Loans'!$K$1:$K$1000,$N14)&amp;"")</f>
        <v/>
      </c>
      <c r="G14" s="92" t="str">
        <f>IF($N14="","",INDEX('Deal maths'!$Y$1:$Y$1000,$N14))</f>
        <v/>
      </c>
      <c r="H14" s="93" t="str">
        <f>IF($N14="","",INDEX('Deal maths'!$AB$1:$AB$1000,$N14))</f>
        <v/>
      </c>
      <c r="I14" s="94" t="str">
        <f>IF($N14="","",INDEX('Deal maths'!$Z$1:$Z$1000,$N14))</f>
        <v/>
      </c>
      <c r="J14" s="94" t="str">
        <f>IF($N14="","",INDEX('Deal maths'!$AA$1:$AA$1000,$N14))</f>
        <v/>
      </c>
      <c r="K14" s="94" t="str">
        <f>IF($N14="","",INDEX('Deal maths'!$AG$1:$AG$1000,$N14))</f>
        <v/>
      </c>
      <c r="L14" s="95" t="str">
        <f>IF($N14="","",INDEX('Loan maths'!$P$1:$P$1000,$N14))</f>
        <v/>
      </c>
      <c r="M14" s="92" t="str">
        <f>IF($N14="","",N(G14)*N(H14))</f>
        <v/>
      </c>
      <c r="N14" s="96" t="str">
        <f>IFERROR(MATCH(SMALL(LM_order,6),LM_order,0)+3,"")</f>
        <v/>
      </c>
    </row>
    <row r="15">
      <c r="B15" s="91" t="str">
        <f>IF($N15="","",INDEX('Loans'!$B$1:$B$1000,$N15)&amp;"")</f>
        <v/>
      </c>
      <c r="C15" s="91" t="str">
        <f>IF($N15="","",INDEX('Loans'!$A$1:$A$1000,$N15)&amp;"")</f>
        <v/>
      </c>
      <c r="D15" s="91" t="str">
        <f>IF($N15="","",INDEX('Loans'!$C$1:$C$1000,$N15)&amp;"")</f>
        <v/>
      </c>
      <c r="E15" s="91" t="str">
        <f>IF($N15="","",INDEX('Loan maths'!$C$1:$C$1000,$N15)&amp;"")</f>
        <v/>
      </c>
      <c r="F15" s="91" t="str">
        <f>IF($N15="","",INDEX('Loans'!$K$1:$K$1000,$N15)&amp;"")</f>
        <v/>
      </c>
      <c r="G15" s="92" t="str">
        <f>IF($N15="","",INDEX('Deal maths'!$Y$1:$Y$1000,$N15))</f>
        <v/>
      </c>
      <c r="H15" s="93" t="str">
        <f>IF($N15="","",INDEX('Deal maths'!$AB$1:$AB$1000,$N15))</f>
        <v/>
      </c>
      <c r="I15" s="94" t="str">
        <f>IF($N15="","",INDEX('Deal maths'!$Z$1:$Z$1000,$N15))</f>
        <v/>
      </c>
      <c r="J15" s="94" t="str">
        <f>IF($N15="","",INDEX('Deal maths'!$AA$1:$AA$1000,$N15))</f>
        <v/>
      </c>
      <c r="K15" s="94" t="str">
        <f>IF($N15="","",INDEX('Deal maths'!$AG$1:$AG$1000,$N15))</f>
        <v/>
      </c>
      <c r="L15" s="95" t="str">
        <f>IF($N15="","",INDEX('Loan maths'!$P$1:$P$1000,$N15))</f>
        <v/>
      </c>
      <c r="M15" s="92" t="str">
        <f>IF($N15="","",N(G15)*N(H15))</f>
        <v/>
      </c>
      <c r="N15" s="96" t="str">
        <f>IFERROR(MATCH(SMALL(LM_order,7),LM_order,0)+3,"")</f>
        <v/>
      </c>
    </row>
    <row r="16">
      <c r="B16" s="91" t="str">
        <f>IF($N16="","",INDEX('Loans'!$B$1:$B$1000,$N16)&amp;"")</f>
        <v/>
      </c>
      <c r="C16" s="91" t="str">
        <f>IF($N16="","",INDEX('Loans'!$A$1:$A$1000,$N16)&amp;"")</f>
        <v/>
      </c>
      <c r="D16" s="91" t="str">
        <f>IF($N16="","",INDEX('Loans'!$C$1:$C$1000,$N16)&amp;"")</f>
        <v/>
      </c>
      <c r="E16" s="91" t="str">
        <f>IF($N16="","",INDEX('Loan maths'!$C$1:$C$1000,$N16)&amp;"")</f>
        <v/>
      </c>
      <c r="F16" s="91" t="str">
        <f>IF($N16="","",INDEX('Loans'!$K$1:$K$1000,$N16)&amp;"")</f>
        <v/>
      </c>
      <c r="G16" s="92" t="str">
        <f>IF($N16="","",INDEX('Deal maths'!$Y$1:$Y$1000,$N16))</f>
        <v/>
      </c>
      <c r="H16" s="93" t="str">
        <f>IF($N16="","",INDEX('Deal maths'!$AB$1:$AB$1000,$N16))</f>
        <v/>
      </c>
      <c r="I16" s="94" t="str">
        <f>IF($N16="","",INDEX('Deal maths'!$Z$1:$Z$1000,$N16))</f>
        <v/>
      </c>
      <c r="J16" s="94" t="str">
        <f>IF($N16="","",INDEX('Deal maths'!$AA$1:$AA$1000,$N16))</f>
        <v/>
      </c>
      <c r="K16" s="94" t="str">
        <f>IF($N16="","",INDEX('Deal maths'!$AG$1:$AG$1000,$N16))</f>
        <v/>
      </c>
      <c r="L16" s="95" t="str">
        <f>IF($N16="","",INDEX('Loan maths'!$P$1:$P$1000,$N16))</f>
        <v/>
      </c>
      <c r="M16" s="92" t="str">
        <f>IF($N16="","",N(G16)*N(H16))</f>
        <v/>
      </c>
      <c r="N16" s="96" t="str">
        <f>IFERROR(MATCH(SMALL(LM_order,8),LM_order,0)+3,"")</f>
        <v/>
      </c>
    </row>
    <row r="17">
      <c r="B17" s="91" t="str">
        <f>IF($N17="","",INDEX('Loans'!$B$1:$B$1000,$N17)&amp;"")</f>
        <v/>
      </c>
      <c r="C17" s="91" t="str">
        <f>IF($N17="","",INDEX('Loans'!$A$1:$A$1000,$N17)&amp;"")</f>
        <v/>
      </c>
      <c r="D17" s="91" t="str">
        <f>IF($N17="","",INDEX('Loans'!$C$1:$C$1000,$N17)&amp;"")</f>
        <v/>
      </c>
      <c r="E17" s="91" t="str">
        <f>IF($N17="","",INDEX('Loan maths'!$C$1:$C$1000,$N17)&amp;"")</f>
        <v/>
      </c>
      <c r="F17" s="91" t="str">
        <f>IF($N17="","",INDEX('Loans'!$K$1:$K$1000,$N17)&amp;"")</f>
        <v/>
      </c>
      <c r="G17" s="92" t="str">
        <f>IF($N17="","",INDEX('Deal maths'!$Y$1:$Y$1000,$N17))</f>
        <v/>
      </c>
      <c r="H17" s="93" t="str">
        <f>IF($N17="","",INDEX('Deal maths'!$AB$1:$AB$1000,$N17))</f>
        <v/>
      </c>
      <c r="I17" s="94" t="str">
        <f>IF($N17="","",INDEX('Deal maths'!$Z$1:$Z$1000,$N17))</f>
        <v/>
      </c>
      <c r="J17" s="94" t="str">
        <f>IF($N17="","",INDEX('Deal maths'!$AA$1:$AA$1000,$N17))</f>
        <v/>
      </c>
      <c r="K17" s="94" t="str">
        <f>IF($N17="","",INDEX('Deal maths'!$AG$1:$AG$1000,$N17))</f>
        <v/>
      </c>
      <c r="L17" s="95" t="str">
        <f>IF($N17="","",INDEX('Loan maths'!$P$1:$P$1000,$N17))</f>
        <v/>
      </c>
      <c r="M17" s="92" t="str">
        <f>IF($N17="","",N(G17)*N(H17))</f>
        <v/>
      </c>
      <c r="N17" s="96" t="str">
        <f>IFERROR(MATCH(SMALL(LM_order,9),LM_order,0)+3,"")</f>
        <v/>
      </c>
    </row>
    <row r="18">
      <c r="B18" s="91" t="str">
        <f>IF($N18="","",INDEX('Loans'!$B$1:$B$1000,$N18)&amp;"")</f>
        <v/>
      </c>
      <c r="C18" s="91" t="str">
        <f>IF($N18="","",INDEX('Loans'!$A$1:$A$1000,$N18)&amp;"")</f>
        <v/>
      </c>
      <c r="D18" s="91" t="str">
        <f>IF($N18="","",INDEX('Loans'!$C$1:$C$1000,$N18)&amp;"")</f>
        <v/>
      </c>
      <c r="E18" s="91" t="str">
        <f>IF($N18="","",INDEX('Loan maths'!$C$1:$C$1000,$N18)&amp;"")</f>
        <v/>
      </c>
      <c r="F18" s="91" t="str">
        <f>IF($N18="","",INDEX('Loans'!$K$1:$K$1000,$N18)&amp;"")</f>
        <v/>
      </c>
      <c r="G18" s="92" t="str">
        <f>IF($N18="","",INDEX('Deal maths'!$Y$1:$Y$1000,$N18))</f>
        <v/>
      </c>
      <c r="H18" s="93" t="str">
        <f>IF($N18="","",INDEX('Deal maths'!$AB$1:$AB$1000,$N18))</f>
        <v/>
      </c>
      <c r="I18" s="94" t="str">
        <f>IF($N18="","",INDEX('Deal maths'!$Z$1:$Z$1000,$N18))</f>
        <v/>
      </c>
      <c r="J18" s="94" t="str">
        <f>IF($N18="","",INDEX('Deal maths'!$AA$1:$AA$1000,$N18))</f>
        <v/>
      </c>
      <c r="K18" s="94" t="str">
        <f>IF($N18="","",INDEX('Deal maths'!$AG$1:$AG$1000,$N18))</f>
        <v/>
      </c>
      <c r="L18" s="95" t="str">
        <f>IF($N18="","",INDEX('Loan maths'!$P$1:$P$1000,$N18))</f>
        <v/>
      </c>
      <c r="M18" s="92" t="str">
        <f>IF($N18="","",N(G18)*N(H18))</f>
        <v/>
      </c>
      <c r="N18" s="96" t="str">
        <f>IFERROR(MATCH(SMALL(LM_order,10),LM_order,0)+3,"")</f>
        <v/>
      </c>
    </row>
    <row r="19">
      <c r="B19" s="91" t="str">
        <f>IF($N19="","",INDEX('Loans'!$B$1:$B$1000,$N19)&amp;"")</f>
        <v/>
      </c>
      <c r="C19" s="91" t="str">
        <f>IF($N19="","",INDEX('Loans'!$A$1:$A$1000,$N19)&amp;"")</f>
        <v/>
      </c>
      <c r="D19" s="91" t="str">
        <f>IF($N19="","",INDEX('Loans'!$C$1:$C$1000,$N19)&amp;"")</f>
        <v/>
      </c>
      <c r="E19" s="91" t="str">
        <f>IF($N19="","",INDEX('Loan maths'!$C$1:$C$1000,$N19)&amp;"")</f>
        <v/>
      </c>
      <c r="F19" s="91" t="str">
        <f>IF($N19="","",INDEX('Loans'!$K$1:$K$1000,$N19)&amp;"")</f>
        <v/>
      </c>
      <c r="G19" s="92" t="str">
        <f>IF($N19="","",INDEX('Deal maths'!$Y$1:$Y$1000,$N19))</f>
        <v/>
      </c>
      <c r="H19" s="93" t="str">
        <f>IF($N19="","",INDEX('Deal maths'!$AB$1:$AB$1000,$N19))</f>
        <v/>
      </c>
      <c r="I19" s="94" t="str">
        <f>IF($N19="","",INDEX('Deal maths'!$Z$1:$Z$1000,$N19))</f>
        <v/>
      </c>
      <c r="J19" s="94" t="str">
        <f>IF($N19="","",INDEX('Deal maths'!$AA$1:$AA$1000,$N19))</f>
        <v/>
      </c>
      <c r="K19" s="94" t="str">
        <f>IF($N19="","",INDEX('Deal maths'!$AG$1:$AG$1000,$N19))</f>
        <v/>
      </c>
      <c r="L19" s="95" t="str">
        <f>IF($N19="","",INDEX('Loan maths'!$P$1:$P$1000,$N19))</f>
        <v/>
      </c>
      <c r="M19" s="92" t="str">
        <f>IF($N19="","",N(G19)*N(H19))</f>
        <v/>
      </c>
      <c r="N19" s="96" t="str">
        <f>IFERROR(MATCH(SMALL(LM_order,11),LM_order,0)+3,"")</f>
        <v/>
      </c>
    </row>
    <row r="20">
      <c r="B20" s="91" t="str">
        <f>IF($N20="","",INDEX('Loans'!$B$1:$B$1000,$N20)&amp;"")</f>
        <v/>
      </c>
      <c r="C20" s="91" t="str">
        <f>IF($N20="","",INDEX('Loans'!$A$1:$A$1000,$N20)&amp;"")</f>
        <v/>
      </c>
      <c r="D20" s="91" t="str">
        <f>IF($N20="","",INDEX('Loans'!$C$1:$C$1000,$N20)&amp;"")</f>
        <v/>
      </c>
      <c r="E20" s="91" t="str">
        <f>IF($N20="","",INDEX('Loan maths'!$C$1:$C$1000,$N20)&amp;"")</f>
        <v/>
      </c>
      <c r="F20" s="91" t="str">
        <f>IF($N20="","",INDEX('Loans'!$K$1:$K$1000,$N20)&amp;"")</f>
        <v/>
      </c>
      <c r="G20" s="92" t="str">
        <f>IF($N20="","",INDEX('Deal maths'!$Y$1:$Y$1000,$N20))</f>
        <v/>
      </c>
      <c r="H20" s="93" t="str">
        <f>IF($N20="","",INDEX('Deal maths'!$AB$1:$AB$1000,$N20))</f>
        <v/>
      </c>
      <c r="I20" s="94" t="str">
        <f>IF($N20="","",INDEX('Deal maths'!$Z$1:$Z$1000,$N20))</f>
        <v/>
      </c>
      <c r="J20" s="94" t="str">
        <f>IF($N20="","",INDEX('Deal maths'!$AA$1:$AA$1000,$N20))</f>
        <v/>
      </c>
      <c r="K20" s="94" t="str">
        <f>IF($N20="","",INDEX('Deal maths'!$AG$1:$AG$1000,$N20))</f>
        <v/>
      </c>
      <c r="L20" s="95" t="str">
        <f>IF($N20="","",INDEX('Loan maths'!$P$1:$P$1000,$N20))</f>
        <v/>
      </c>
      <c r="M20" s="92" t="str">
        <f>IF($N20="","",N(G20)*N(H20))</f>
        <v/>
      </c>
      <c r="N20" s="96" t="str">
        <f>IFERROR(MATCH(SMALL(LM_order,12),LM_order,0)+3,"")</f>
        <v/>
      </c>
    </row>
    <row r="21">
      <c r="B21" s="91" t="str">
        <f>IF($N21="","",INDEX('Loans'!$B$1:$B$1000,$N21)&amp;"")</f>
        <v/>
      </c>
      <c r="C21" s="91" t="str">
        <f>IF($N21="","",INDEX('Loans'!$A$1:$A$1000,$N21)&amp;"")</f>
        <v/>
      </c>
      <c r="D21" s="91" t="str">
        <f>IF($N21="","",INDEX('Loans'!$C$1:$C$1000,$N21)&amp;"")</f>
        <v/>
      </c>
      <c r="E21" s="91" t="str">
        <f>IF($N21="","",INDEX('Loan maths'!$C$1:$C$1000,$N21)&amp;"")</f>
        <v/>
      </c>
      <c r="F21" s="91" t="str">
        <f>IF($N21="","",INDEX('Loans'!$K$1:$K$1000,$N21)&amp;"")</f>
        <v/>
      </c>
      <c r="G21" s="92" t="str">
        <f>IF($N21="","",INDEX('Deal maths'!$Y$1:$Y$1000,$N21))</f>
        <v/>
      </c>
      <c r="H21" s="93" t="str">
        <f>IF($N21="","",INDEX('Deal maths'!$AB$1:$AB$1000,$N21))</f>
        <v/>
      </c>
      <c r="I21" s="94" t="str">
        <f>IF($N21="","",INDEX('Deal maths'!$Z$1:$Z$1000,$N21))</f>
        <v/>
      </c>
      <c r="J21" s="94" t="str">
        <f>IF($N21="","",INDEX('Deal maths'!$AA$1:$AA$1000,$N21))</f>
        <v/>
      </c>
      <c r="K21" s="94" t="str">
        <f>IF($N21="","",INDEX('Deal maths'!$AG$1:$AG$1000,$N21))</f>
        <v/>
      </c>
      <c r="L21" s="95" t="str">
        <f>IF($N21="","",INDEX('Loan maths'!$P$1:$P$1000,$N21))</f>
        <v/>
      </c>
      <c r="M21" s="92" t="str">
        <f>IF($N21="","",N(G21)*N(H21))</f>
        <v/>
      </c>
      <c r="N21" s="96" t="str">
        <f>IFERROR(MATCH(SMALL(LM_order,13),LM_order,0)+3,"")</f>
        <v/>
      </c>
    </row>
    <row r="22">
      <c r="B22" s="91" t="str">
        <f>IF($N22="","",INDEX('Loans'!$B$1:$B$1000,$N22)&amp;"")</f>
        <v/>
      </c>
      <c r="C22" s="91" t="str">
        <f>IF($N22="","",INDEX('Loans'!$A$1:$A$1000,$N22)&amp;"")</f>
        <v/>
      </c>
      <c r="D22" s="91" t="str">
        <f>IF($N22="","",INDEX('Loans'!$C$1:$C$1000,$N22)&amp;"")</f>
        <v/>
      </c>
      <c r="E22" s="91" t="str">
        <f>IF($N22="","",INDEX('Loan maths'!$C$1:$C$1000,$N22)&amp;"")</f>
        <v/>
      </c>
      <c r="F22" s="91" t="str">
        <f>IF($N22="","",INDEX('Loans'!$K$1:$K$1000,$N22)&amp;"")</f>
        <v/>
      </c>
      <c r="G22" s="92" t="str">
        <f>IF($N22="","",INDEX('Deal maths'!$Y$1:$Y$1000,$N22))</f>
        <v/>
      </c>
      <c r="H22" s="93" t="str">
        <f>IF($N22="","",INDEX('Deal maths'!$AB$1:$AB$1000,$N22))</f>
        <v/>
      </c>
      <c r="I22" s="94" t="str">
        <f>IF($N22="","",INDEX('Deal maths'!$Z$1:$Z$1000,$N22))</f>
        <v/>
      </c>
      <c r="J22" s="94" t="str">
        <f>IF($N22="","",INDEX('Deal maths'!$AA$1:$AA$1000,$N22))</f>
        <v/>
      </c>
      <c r="K22" s="94" t="str">
        <f>IF($N22="","",INDEX('Deal maths'!$AG$1:$AG$1000,$N22))</f>
        <v/>
      </c>
      <c r="L22" s="95" t="str">
        <f>IF($N22="","",INDEX('Loan maths'!$P$1:$P$1000,$N22))</f>
        <v/>
      </c>
      <c r="M22" s="92" t="str">
        <f>IF($N22="","",N(G22)*N(H22))</f>
        <v/>
      </c>
      <c r="N22" s="96" t="str">
        <f>IFERROR(MATCH(SMALL(LM_order,14),LM_order,0)+3,"")</f>
        <v/>
      </c>
    </row>
    <row r="23">
      <c r="B23" s="91" t="str">
        <f>IF($N23="","",INDEX('Loans'!$B$1:$B$1000,$N23)&amp;"")</f>
        <v/>
      </c>
      <c r="C23" s="91" t="str">
        <f>IF($N23="","",INDEX('Loans'!$A$1:$A$1000,$N23)&amp;"")</f>
        <v/>
      </c>
      <c r="D23" s="91" t="str">
        <f>IF($N23="","",INDEX('Loans'!$C$1:$C$1000,$N23)&amp;"")</f>
        <v/>
      </c>
      <c r="E23" s="91" t="str">
        <f>IF($N23="","",INDEX('Loan maths'!$C$1:$C$1000,$N23)&amp;"")</f>
        <v/>
      </c>
      <c r="F23" s="91" t="str">
        <f>IF($N23="","",INDEX('Loans'!$K$1:$K$1000,$N23)&amp;"")</f>
        <v/>
      </c>
      <c r="G23" s="92" t="str">
        <f>IF($N23="","",INDEX('Deal maths'!$Y$1:$Y$1000,$N23))</f>
        <v/>
      </c>
      <c r="H23" s="93" t="str">
        <f>IF($N23="","",INDEX('Deal maths'!$AB$1:$AB$1000,$N23))</f>
        <v/>
      </c>
      <c r="I23" s="94" t="str">
        <f>IF($N23="","",INDEX('Deal maths'!$Z$1:$Z$1000,$N23))</f>
        <v/>
      </c>
      <c r="J23" s="94" t="str">
        <f>IF($N23="","",INDEX('Deal maths'!$AA$1:$AA$1000,$N23))</f>
        <v/>
      </c>
      <c r="K23" s="94" t="str">
        <f>IF($N23="","",INDEX('Deal maths'!$AG$1:$AG$1000,$N23))</f>
        <v/>
      </c>
      <c r="L23" s="95" t="str">
        <f>IF($N23="","",INDEX('Loan maths'!$P$1:$P$1000,$N23))</f>
        <v/>
      </c>
      <c r="M23" s="92" t="str">
        <f>IF($N23="","",N(G23)*N(H23))</f>
        <v/>
      </c>
      <c r="N23" s="96" t="str">
        <f>IFERROR(MATCH(SMALL(LM_order,15),LM_order,0)+3,"")</f>
        <v/>
      </c>
    </row>
    <row r="24">
      <c r="B24" s="91" t="str">
        <f>IF($N24="","",INDEX('Loans'!$B$1:$B$1000,$N24)&amp;"")</f>
        <v/>
      </c>
      <c r="C24" s="91" t="str">
        <f>IF($N24="","",INDEX('Loans'!$A$1:$A$1000,$N24)&amp;"")</f>
        <v/>
      </c>
      <c r="D24" s="91" t="str">
        <f>IF($N24="","",INDEX('Loans'!$C$1:$C$1000,$N24)&amp;"")</f>
        <v/>
      </c>
      <c r="E24" s="91" t="str">
        <f>IF($N24="","",INDEX('Loan maths'!$C$1:$C$1000,$N24)&amp;"")</f>
        <v/>
      </c>
      <c r="F24" s="91" t="str">
        <f>IF($N24="","",INDEX('Loans'!$K$1:$K$1000,$N24)&amp;"")</f>
        <v/>
      </c>
      <c r="G24" s="92" t="str">
        <f>IF($N24="","",INDEX('Deal maths'!$Y$1:$Y$1000,$N24))</f>
        <v/>
      </c>
      <c r="H24" s="93" t="str">
        <f>IF($N24="","",INDEX('Deal maths'!$AB$1:$AB$1000,$N24))</f>
        <v/>
      </c>
      <c r="I24" s="94" t="str">
        <f>IF($N24="","",INDEX('Deal maths'!$Z$1:$Z$1000,$N24))</f>
        <v/>
      </c>
      <c r="J24" s="94" t="str">
        <f>IF($N24="","",INDEX('Deal maths'!$AA$1:$AA$1000,$N24))</f>
        <v/>
      </c>
      <c r="K24" s="94" t="str">
        <f>IF($N24="","",INDEX('Deal maths'!$AG$1:$AG$1000,$N24))</f>
        <v/>
      </c>
      <c r="L24" s="95" t="str">
        <f>IF($N24="","",INDEX('Loan maths'!$P$1:$P$1000,$N24))</f>
        <v/>
      </c>
      <c r="M24" s="92" t="str">
        <f>IF($N24="","",N(G24)*N(H24))</f>
        <v/>
      </c>
      <c r="N24" s="96" t="str">
        <f>IFERROR(MATCH(SMALL(LM_order,16),LM_order,0)+3,"")</f>
        <v/>
      </c>
    </row>
    <row r="25">
      <c r="B25" s="91" t="str">
        <f>IF($N25="","",INDEX('Loans'!$B$1:$B$1000,$N25)&amp;"")</f>
        <v/>
      </c>
      <c r="C25" s="91" t="str">
        <f>IF($N25="","",INDEX('Loans'!$A$1:$A$1000,$N25)&amp;"")</f>
        <v/>
      </c>
      <c r="D25" s="91" t="str">
        <f>IF($N25="","",INDEX('Loans'!$C$1:$C$1000,$N25)&amp;"")</f>
        <v/>
      </c>
      <c r="E25" s="91" t="str">
        <f>IF($N25="","",INDEX('Loan maths'!$C$1:$C$1000,$N25)&amp;"")</f>
        <v/>
      </c>
      <c r="F25" s="91" t="str">
        <f>IF($N25="","",INDEX('Loans'!$K$1:$K$1000,$N25)&amp;"")</f>
        <v/>
      </c>
      <c r="G25" s="92" t="str">
        <f>IF($N25="","",INDEX('Deal maths'!$Y$1:$Y$1000,$N25))</f>
        <v/>
      </c>
      <c r="H25" s="93" t="str">
        <f>IF($N25="","",INDEX('Deal maths'!$AB$1:$AB$1000,$N25))</f>
        <v/>
      </c>
      <c r="I25" s="94" t="str">
        <f>IF($N25="","",INDEX('Deal maths'!$Z$1:$Z$1000,$N25))</f>
        <v/>
      </c>
      <c r="J25" s="94" t="str">
        <f>IF($N25="","",INDEX('Deal maths'!$AA$1:$AA$1000,$N25))</f>
        <v/>
      </c>
      <c r="K25" s="94" t="str">
        <f>IF($N25="","",INDEX('Deal maths'!$AG$1:$AG$1000,$N25))</f>
        <v/>
      </c>
      <c r="L25" s="95" t="str">
        <f>IF($N25="","",INDEX('Loan maths'!$P$1:$P$1000,$N25))</f>
        <v/>
      </c>
      <c r="M25" s="92" t="str">
        <f>IF($N25="","",N(G25)*N(H25))</f>
        <v/>
      </c>
      <c r="N25" s="96" t="str">
        <f>IFERROR(MATCH(SMALL(LM_order,17),LM_order,0)+3,"")</f>
        <v/>
      </c>
    </row>
    <row r="26">
      <c r="B26" s="91" t="str">
        <f>IF($N26="","",INDEX('Loans'!$B$1:$B$1000,$N26)&amp;"")</f>
        <v/>
      </c>
      <c r="C26" s="91" t="str">
        <f>IF($N26="","",INDEX('Loans'!$A$1:$A$1000,$N26)&amp;"")</f>
        <v/>
      </c>
      <c r="D26" s="91" t="str">
        <f>IF($N26="","",INDEX('Loans'!$C$1:$C$1000,$N26)&amp;"")</f>
        <v/>
      </c>
      <c r="E26" s="91" t="str">
        <f>IF($N26="","",INDEX('Loan maths'!$C$1:$C$1000,$N26)&amp;"")</f>
        <v/>
      </c>
      <c r="F26" s="91" t="str">
        <f>IF($N26="","",INDEX('Loans'!$K$1:$K$1000,$N26)&amp;"")</f>
        <v/>
      </c>
      <c r="G26" s="92" t="str">
        <f>IF($N26="","",INDEX('Deal maths'!$Y$1:$Y$1000,$N26))</f>
        <v/>
      </c>
      <c r="H26" s="93" t="str">
        <f>IF($N26="","",INDEX('Deal maths'!$AB$1:$AB$1000,$N26))</f>
        <v/>
      </c>
      <c r="I26" s="94" t="str">
        <f>IF($N26="","",INDEX('Deal maths'!$Z$1:$Z$1000,$N26))</f>
        <v/>
      </c>
      <c r="J26" s="94" t="str">
        <f>IF($N26="","",INDEX('Deal maths'!$AA$1:$AA$1000,$N26))</f>
        <v/>
      </c>
      <c r="K26" s="94" t="str">
        <f>IF($N26="","",INDEX('Deal maths'!$AG$1:$AG$1000,$N26))</f>
        <v/>
      </c>
      <c r="L26" s="95" t="str">
        <f>IF($N26="","",INDEX('Loan maths'!$P$1:$P$1000,$N26))</f>
        <v/>
      </c>
      <c r="M26" s="92" t="str">
        <f>IF($N26="","",N(G26)*N(H26))</f>
        <v/>
      </c>
      <c r="N26" s="96" t="str">
        <f>IFERROR(MATCH(SMALL(LM_order,18),LM_order,0)+3,"")</f>
        <v/>
      </c>
    </row>
    <row r="27">
      <c r="B27" s="91" t="str">
        <f>IF($N27="","",INDEX('Loans'!$B$1:$B$1000,$N27)&amp;"")</f>
        <v/>
      </c>
      <c r="C27" s="91" t="str">
        <f>IF($N27="","",INDEX('Loans'!$A$1:$A$1000,$N27)&amp;"")</f>
        <v/>
      </c>
      <c r="D27" s="91" t="str">
        <f>IF($N27="","",INDEX('Loans'!$C$1:$C$1000,$N27)&amp;"")</f>
        <v/>
      </c>
      <c r="E27" s="91" t="str">
        <f>IF($N27="","",INDEX('Loan maths'!$C$1:$C$1000,$N27)&amp;"")</f>
        <v/>
      </c>
      <c r="F27" s="91" t="str">
        <f>IF($N27="","",INDEX('Loans'!$K$1:$K$1000,$N27)&amp;"")</f>
        <v/>
      </c>
      <c r="G27" s="92" t="str">
        <f>IF($N27="","",INDEX('Deal maths'!$Y$1:$Y$1000,$N27))</f>
        <v/>
      </c>
      <c r="H27" s="93" t="str">
        <f>IF($N27="","",INDEX('Deal maths'!$AB$1:$AB$1000,$N27))</f>
        <v/>
      </c>
      <c r="I27" s="94" t="str">
        <f>IF($N27="","",INDEX('Deal maths'!$Z$1:$Z$1000,$N27))</f>
        <v/>
      </c>
      <c r="J27" s="94" t="str">
        <f>IF($N27="","",INDEX('Deal maths'!$AA$1:$AA$1000,$N27))</f>
        <v/>
      </c>
      <c r="K27" s="94" t="str">
        <f>IF($N27="","",INDEX('Deal maths'!$AG$1:$AG$1000,$N27))</f>
        <v/>
      </c>
      <c r="L27" s="95" t="str">
        <f>IF($N27="","",INDEX('Loan maths'!$P$1:$P$1000,$N27))</f>
        <v/>
      </c>
      <c r="M27" s="92" t="str">
        <f>IF($N27="","",N(G27)*N(H27))</f>
        <v/>
      </c>
      <c r="N27" s="96" t="str">
        <f>IFERROR(MATCH(SMALL(LM_order,19),LM_order,0)+3,"")</f>
        <v/>
      </c>
    </row>
    <row r="28">
      <c r="B28" s="91" t="str">
        <f>IF($N28="","",INDEX('Loans'!$B$1:$B$1000,$N28)&amp;"")</f>
        <v/>
      </c>
      <c r="C28" s="91" t="str">
        <f>IF($N28="","",INDEX('Loans'!$A$1:$A$1000,$N28)&amp;"")</f>
        <v/>
      </c>
      <c r="D28" s="91" t="str">
        <f>IF($N28="","",INDEX('Loans'!$C$1:$C$1000,$N28)&amp;"")</f>
        <v/>
      </c>
      <c r="E28" s="91" t="str">
        <f>IF($N28="","",INDEX('Loan maths'!$C$1:$C$1000,$N28)&amp;"")</f>
        <v/>
      </c>
      <c r="F28" s="91" t="str">
        <f>IF($N28="","",INDEX('Loans'!$K$1:$K$1000,$N28)&amp;"")</f>
        <v/>
      </c>
      <c r="G28" s="92" t="str">
        <f>IF($N28="","",INDEX('Deal maths'!$Y$1:$Y$1000,$N28))</f>
        <v/>
      </c>
      <c r="H28" s="93" t="str">
        <f>IF($N28="","",INDEX('Deal maths'!$AB$1:$AB$1000,$N28))</f>
        <v/>
      </c>
      <c r="I28" s="94" t="str">
        <f>IF($N28="","",INDEX('Deal maths'!$Z$1:$Z$1000,$N28))</f>
        <v/>
      </c>
      <c r="J28" s="94" t="str">
        <f>IF($N28="","",INDEX('Deal maths'!$AA$1:$AA$1000,$N28))</f>
        <v/>
      </c>
      <c r="K28" s="94" t="str">
        <f>IF($N28="","",INDEX('Deal maths'!$AG$1:$AG$1000,$N28))</f>
        <v/>
      </c>
      <c r="L28" s="95" t="str">
        <f>IF($N28="","",INDEX('Loan maths'!$P$1:$P$1000,$N28))</f>
        <v/>
      </c>
      <c r="M28" s="92" t="str">
        <f>IF($N28="","",N(G28)*N(H28))</f>
        <v/>
      </c>
      <c r="N28" s="96" t="str">
        <f>IFERROR(MATCH(SMALL(LM_order,20),LM_order,0)+3,"")</f>
        <v/>
      </c>
    </row>
    <row r="29">
      <c r="B29" s="91" t="str">
        <f>IF($N29="","",INDEX('Loans'!$B$1:$B$1000,$N29)&amp;"")</f>
        <v/>
      </c>
      <c r="C29" s="91" t="str">
        <f>IF($N29="","",INDEX('Loans'!$A$1:$A$1000,$N29)&amp;"")</f>
        <v/>
      </c>
      <c r="D29" s="91" t="str">
        <f>IF($N29="","",INDEX('Loans'!$C$1:$C$1000,$N29)&amp;"")</f>
        <v/>
      </c>
      <c r="E29" s="91" t="str">
        <f>IF($N29="","",INDEX('Loan maths'!$C$1:$C$1000,$N29)&amp;"")</f>
        <v/>
      </c>
      <c r="F29" s="91" t="str">
        <f>IF($N29="","",INDEX('Loans'!$K$1:$K$1000,$N29)&amp;"")</f>
        <v/>
      </c>
      <c r="G29" s="92" t="str">
        <f>IF($N29="","",INDEX('Deal maths'!$Y$1:$Y$1000,$N29))</f>
        <v/>
      </c>
      <c r="H29" s="93" t="str">
        <f>IF($N29="","",INDEX('Deal maths'!$AB$1:$AB$1000,$N29))</f>
        <v/>
      </c>
      <c r="I29" s="94" t="str">
        <f>IF($N29="","",INDEX('Deal maths'!$Z$1:$Z$1000,$N29))</f>
        <v/>
      </c>
      <c r="J29" s="94" t="str">
        <f>IF($N29="","",INDEX('Deal maths'!$AA$1:$AA$1000,$N29))</f>
        <v/>
      </c>
      <c r="K29" s="94" t="str">
        <f>IF($N29="","",INDEX('Deal maths'!$AG$1:$AG$1000,$N29))</f>
        <v/>
      </c>
      <c r="L29" s="95" t="str">
        <f>IF($N29="","",INDEX('Loan maths'!$P$1:$P$1000,$N29))</f>
        <v/>
      </c>
      <c r="M29" s="92" t="str">
        <f>IF($N29="","",N(G29)*N(H29))</f>
        <v/>
      </c>
      <c r="N29" s="96" t="str">
        <f>IFERROR(MATCH(SMALL(LM_order,21),LM_order,0)+3,"")</f>
        <v/>
      </c>
    </row>
    <row r="30">
      <c r="B30" s="91" t="str">
        <f>IF($N30="","",INDEX('Loans'!$B$1:$B$1000,$N30)&amp;"")</f>
        <v/>
      </c>
      <c r="C30" s="91" t="str">
        <f>IF($N30="","",INDEX('Loans'!$A$1:$A$1000,$N30)&amp;"")</f>
        <v/>
      </c>
      <c r="D30" s="91" t="str">
        <f>IF($N30="","",INDEX('Loans'!$C$1:$C$1000,$N30)&amp;"")</f>
        <v/>
      </c>
      <c r="E30" s="91" t="str">
        <f>IF($N30="","",INDEX('Loan maths'!$C$1:$C$1000,$N30)&amp;"")</f>
        <v/>
      </c>
      <c r="F30" s="91" t="str">
        <f>IF($N30="","",INDEX('Loans'!$K$1:$K$1000,$N30)&amp;"")</f>
        <v/>
      </c>
      <c r="G30" s="92" t="str">
        <f>IF($N30="","",INDEX('Deal maths'!$Y$1:$Y$1000,$N30))</f>
        <v/>
      </c>
      <c r="H30" s="93" t="str">
        <f>IF($N30="","",INDEX('Deal maths'!$AB$1:$AB$1000,$N30))</f>
        <v/>
      </c>
      <c r="I30" s="94" t="str">
        <f>IF($N30="","",INDEX('Deal maths'!$Z$1:$Z$1000,$N30))</f>
        <v/>
      </c>
      <c r="J30" s="94" t="str">
        <f>IF($N30="","",INDEX('Deal maths'!$AA$1:$AA$1000,$N30))</f>
        <v/>
      </c>
      <c r="K30" s="94" t="str">
        <f>IF($N30="","",INDEX('Deal maths'!$AG$1:$AG$1000,$N30))</f>
        <v/>
      </c>
      <c r="L30" s="95" t="str">
        <f>IF($N30="","",INDEX('Loan maths'!$P$1:$P$1000,$N30))</f>
        <v/>
      </c>
      <c r="M30" s="92" t="str">
        <f>IF($N30="","",N(G30)*N(H30))</f>
        <v/>
      </c>
      <c r="N30" s="96" t="str">
        <f>IFERROR(MATCH(SMALL(LM_order,22),LM_order,0)+3,"")</f>
        <v/>
      </c>
    </row>
    <row r="31">
      <c r="B31" s="91" t="str">
        <f>IF($N31="","",INDEX('Loans'!$B$1:$B$1000,$N31)&amp;"")</f>
        <v/>
      </c>
      <c r="C31" s="91" t="str">
        <f>IF($N31="","",INDEX('Loans'!$A$1:$A$1000,$N31)&amp;"")</f>
        <v/>
      </c>
      <c r="D31" s="91" t="str">
        <f>IF($N31="","",INDEX('Loans'!$C$1:$C$1000,$N31)&amp;"")</f>
        <v/>
      </c>
      <c r="E31" s="91" t="str">
        <f>IF($N31="","",INDEX('Loan maths'!$C$1:$C$1000,$N31)&amp;"")</f>
        <v/>
      </c>
      <c r="F31" s="91" t="str">
        <f>IF($N31="","",INDEX('Loans'!$K$1:$K$1000,$N31)&amp;"")</f>
        <v/>
      </c>
      <c r="G31" s="92" t="str">
        <f>IF($N31="","",INDEX('Deal maths'!$Y$1:$Y$1000,$N31))</f>
        <v/>
      </c>
      <c r="H31" s="93" t="str">
        <f>IF($N31="","",INDEX('Deal maths'!$AB$1:$AB$1000,$N31))</f>
        <v/>
      </c>
      <c r="I31" s="94" t="str">
        <f>IF($N31="","",INDEX('Deal maths'!$Z$1:$Z$1000,$N31))</f>
        <v/>
      </c>
      <c r="J31" s="94" t="str">
        <f>IF($N31="","",INDEX('Deal maths'!$AA$1:$AA$1000,$N31))</f>
        <v/>
      </c>
      <c r="K31" s="94" t="str">
        <f>IF($N31="","",INDEX('Deal maths'!$AG$1:$AG$1000,$N31))</f>
        <v/>
      </c>
      <c r="L31" s="95" t="str">
        <f>IF($N31="","",INDEX('Loan maths'!$P$1:$P$1000,$N31))</f>
        <v/>
      </c>
      <c r="M31" s="92" t="str">
        <f>IF($N31="","",N(G31)*N(H31))</f>
        <v/>
      </c>
      <c r="N31" s="96" t="str">
        <f>IFERROR(MATCH(SMALL(LM_order,23),LM_order,0)+3,"")</f>
        <v/>
      </c>
    </row>
    <row r="32">
      <c r="B32" s="91" t="str">
        <f>IF($N32="","",INDEX('Loans'!$B$1:$B$1000,$N32)&amp;"")</f>
        <v/>
      </c>
      <c r="C32" s="91" t="str">
        <f>IF($N32="","",INDEX('Loans'!$A$1:$A$1000,$N32)&amp;"")</f>
        <v/>
      </c>
      <c r="D32" s="91" t="str">
        <f>IF($N32="","",INDEX('Loans'!$C$1:$C$1000,$N32)&amp;"")</f>
        <v/>
      </c>
      <c r="E32" s="91" t="str">
        <f>IF($N32="","",INDEX('Loan maths'!$C$1:$C$1000,$N32)&amp;"")</f>
        <v/>
      </c>
      <c r="F32" s="91" t="str">
        <f>IF($N32="","",INDEX('Loans'!$K$1:$K$1000,$N32)&amp;"")</f>
        <v/>
      </c>
      <c r="G32" s="92" t="str">
        <f>IF($N32="","",INDEX('Deal maths'!$Y$1:$Y$1000,$N32))</f>
        <v/>
      </c>
      <c r="H32" s="93" t="str">
        <f>IF($N32="","",INDEX('Deal maths'!$AB$1:$AB$1000,$N32))</f>
        <v/>
      </c>
      <c r="I32" s="94" t="str">
        <f>IF($N32="","",INDEX('Deal maths'!$Z$1:$Z$1000,$N32))</f>
        <v/>
      </c>
      <c r="J32" s="94" t="str">
        <f>IF($N32="","",INDEX('Deal maths'!$AA$1:$AA$1000,$N32))</f>
        <v/>
      </c>
      <c r="K32" s="94" t="str">
        <f>IF($N32="","",INDEX('Deal maths'!$AG$1:$AG$1000,$N32))</f>
        <v/>
      </c>
      <c r="L32" s="95" t="str">
        <f>IF($N32="","",INDEX('Loan maths'!$P$1:$P$1000,$N32))</f>
        <v/>
      </c>
      <c r="M32" s="92" t="str">
        <f>IF($N32="","",N(G32)*N(H32))</f>
        <v/>
      </c>
      <c r="N32" s="96" t="str">
        <f>IFERROR(MATCH(SMALL(LM_order,24),LM_order,0)+3,"")</f>
        <v/>
      </c>
    </row>
    <row r="33">
      <c r="B33" s="91" t="str">
        <f>IF($N33="","",INDEX('Loans'!$B$1:$B$1000,$N33)&amp;"")</f>
        <v/>
      </c>
      <c r="C33" s="91" t="str">
        <f>IF($N33="","",INDEX('Loans'!$A$1:$A$1000,$N33)&amp;"")</f>
        <v/>
      </c>
      <c r="D33" s="91" t="str">
        <f>IF($N33="","",INDEX('Loans'!$C$1:$C$1000,$N33)&amp;"")</f>
        <v/>
      </c>
      <c r="E33" s="91" t="str">
        <f>IF($N33="","",INDEX('Loan maths'!$C$1:$C$1000,$N33)&amp;"")</f>
        <v/>
      </c>
      <c r="F33" s="91" t="str">
        <f>IF($N33="","",INDEX('Loans'!$K$1:$K$1000,$N33)&amp;"")</f>
        <v/>
      </c>
      <c r="G33" s="92" t="str">
        <f>IF($N33="","",INDEX('Deal maths'!$Y$1:$Y$1000,$N33))</f>
        <v/>
      </c>
      <c r="H33" s="93" t="str">
        <f>IF($N33="","",INDEX('Deal maths'!$AB$1:$AB$1000,$N33))</f>
        <v/>
      </c>
      <c r="I33" s="94" t="str">
        <f>IF($N33="","",INDEX('Deal maths'!$Z$1:$Z$1000,$N33))</f>
        <v/>
      </c>
      <c r="J33" s="94" t="str">
        <f>IF($N33="","",INDEX('Deal maths'!$AA$1:$AA$1000,$N33))</f>
        <v/>
      </c>
      <c r="K33" s="94" t="str">
        <f>IF($N33="","",INDEX('Deal maths'!$AG$1:$AG$1000,$N33))</f>
        <v/>
      </c>
      <c r="L33" s="95" t="str">
        <f>IF($N33="","",INDEX('Loan maths'!$P$1:$P$1000,$N33))</f>
        <v/>
      </c>
      <c r="M33" s="92" t="str">
        <f>IF($N33="","",N(G33)*N(H33))</f>
        <v/>
      </c>
      <c r="N33" s="96" t="str">
        <f>IFERROR(MATCH(SMALL(LM_order,25),LM_order,0)+3,"")</f>
        <v/>
      </c>
    </row>
    <row r="34">
      <c r="B34" s="91" t="str">
        <f>IF($N34="","",INDEX('Loans'!$B$1:$B$1000,$N34)&amp;"")</f>
        <v/>
      </c>
      <c r="C34" s="91" t="str">
        <f>IF($N34="","",INDEX('Loans'!$A$1:$A$1000,$N34)&amp;"")</f>
        <v/>
      </c>
      <c r="D34" s="91" t="str">
        <f>IF($N34="","",INDEX('Loans'!$C$1:$C$1000,$N34)&amp;"")</f>
        <v/>
      </c>
      <c r="E34" s="91" t="str">
        <f>IF($N34="","",INDEX('Loan maths'!$C$1:$C$1000,$N34)&amp;"")</f>
        <v/>
      </c>
      <c r="F34" s="91" t="str">
        <f>IF($N34="","",INDEX('Loans'!$K$1:$K$1000,$N34)&amp;"")</f>
        <v/>
      </c>
      <c r="G34" s="92" t="str">
        <f>IF($N34="","",INDEX('Deal maths'!$Y$1:$Y$1000,$N34))</f>
        <v/>
      </c>
      <c r="H34" s="93" t="str">
        <f>IF($N34="","",INDEX('Deal maths'!$AB$1:$AB$1000,$N34))</f>
        <v/>
      </c>
      <c r="I34" s="94" t="str">
        <f>IF($N34="","",INDEX('Deal maths'!$Z$1:$Z$1000,$N34))</f>
        <v/>
      </c>
      <c r="J34" s="94" t="str">
        <f>IF($N34="","",INDEX('Deal maths'!$AA$1:$AA$1000,$N34))</f>
        <v/>
      </c>
      <c r="K34" s="94" t="str">
        <f>IF($N34="","",INDEX('Deal maths'!$AG$1:$AG$1000,$N34))</f>
        <v/>
      </c>
      <c r="L34" s="95" t="str">
        <f>IF($N34="","",INDEX('Loan maths'!$P$1:$P$1000,$N34))</f>
        <v/>
      </c>
      <c r="M34" s="92" t="str">
        <f>IF($N34="","",N(G34)*N(H34))</f>
        <v/>
      </c>
      <c r="N34" s="96" t="str">
        <f>IFERROR(MATCH(SMALL(LM_order,26),LM_order,0)+3,"")</f>
        <v/>
      </c>
    </row>
    <row r="35">
      <c r="B35" s="91" t="str">
        <f>IF($N35="","",INDEX('Loans'!$B$1:$B$1000,$N35)&amp;"")</f>
        <v/>
      </c>
      <c r="C35" s="91" t="str">
        <f>IF($N35="","",INDEX('Loans'!$A$1:$A$1000,$N35)&amp;"")</f>
        <v/>
      </c>
      <c r="D35" s="91" t="str">
        <f>IF($N35="","",INDEX('Loans'!$C$1:$C$1000,$N35)&amp;"")</f>
        <v/>
      </c>
      <c r="E35" s="91" t="str">
        <f>IF($N35="","",INDEX('Loan maths'!$C$1:$C$1000,$N35)&amp;"")</f>
        <v/>
      </c>
      <c r="F35" s="91" t="str">
        <f>IF($N35="","",INDEX('Loans'!$K$1:$K$1000,$N35)&amp;"")</f>
        <v/>
      </c>
      <c r="G35" s="92" t="str">
        <f>IF($N35="","",INDEX('Deal maths'!$Y$1:$Y$1000,$N35))</f>
        <v/>
      </c>
      <c r="H35" s="93" t="str">
        <f>IF($N35="","",INDEX('Deal maths'!$AB$1:$AB$1000,$N35))</f>
        <v/>
      </c>
      <c r="I35" s="94" t="str">
        <f>IF($N35="","",INDEX('Deal maths'!$Z$1:$Z$1000,$N35))</f>
        <v/>
      </c>
      <c r="J35" s="94" t="str">
        <f>IF($N35="","",INDEX('Deal maths'!$AA$1:$AA$1000,$N35))</f>
        <v/>
      </c>
      <c r="K35" s="94" t="str">
        <f>IF($N35="","",INDEX('Deal maths'!$AG$1:$AG$1000,$N35))</f>
        <v/>
      </c>
      <c r="L35" s="95" t="str">
        <f>IF($N35="","",INDEX('Loan maths'!$P$1:$P$1000,$N35))</f>
        <v/>
      </c>
      <c r="M35" s="92" t="str">
        <f>IF($N35="","",N(G35)*N(H35))</f>
        <v/>
      </c>
      <c r="N35" s="96" t="str">
        <f>IFERROR(MATCH(SMALL(LM_order,27),LM_order,0)+3,"")</f>
        <v/>
      </c>
    </row>
    <row r="36">
      <c r="B36" s="91" t="str">
        <f>IF($N36="","",INDEX('Loans'!$B$1:$B$1000,$N36)&amp;"")</f>
        <v/>
      </c>
      <c r="C36" s="91" t="str">
        <f>IF($N36="","",INDEX('Loans'!$A$1:$A$1000,$N36)&amp;"")</f>
        <v/>
      </c>
      <c r="D36" s="91" t="str">
        <f>IF($N36="","",INDEX('Loans'!$C$1:$C$1000,$N36)&amp;"")</f>
        <v/>
      </c>
      <c r="E36" s="91" t="str">
        <f>IF($N36="","",INDEX('Loan maths'!$C$1:$C$1000,$N36)&amp;"")</f>
        <v/>
      </c>
      <c r="F36" s="91" t="str">
        <f>IF($N36="","",INDEX('Loans'!$K$1:$K$1000,$N36)&amp;"")</f>
        <v/>
      </c>
      <c r="G36" s="92" t="str">
        <f>IF($N36="","",INDEX('Deal maths'!$Y$1:$Y$1000,$N36))</f>
        <v/>
      </c>
      <c r="H36" s="93" t="str">
        <f>IF($N36="","",INDEX('Deal maths'!$AB$1:$AB$1000,$N36))</f>
        <v/>
      </c>
      <c r="I36" s="94" t="str">
        <f>IF($N36="","",INDEX('Deal maths'!$Z$1:$Z$1000,$N36))</f>
        <v/>
      </c>
      <c r="J36" s="94" t="str">
        <f>IF($N36="","",INDEX('Deal maths'!$AA$1:$AA$1000,$N36))</f>
        <v/>
      </c>
      <c r="K36" s="94" t="str">
        <f>IF($N36="","",INDEX('Deal maths'!$AG$1:$AG$1000,$N36))</f>
        <v/>
      </c>
      <c r="L36" s="95" t="str">
        <f>IF($N36="","",INDEX('Loan maths'!$P$1:$P$1000,$N36))</f>
        <v/>
      </c>
      <c r="M36" s="92" t="str">
        <f>IF($N36="","",N(G36)*N(H36))</f>
        <v/>
      </c>
      <c r="N36" s="96" t="str">
        <f>IFERROR(MATCH(SMALL(LM_order,28),LM_order,0)+3,"")</f>
        <v/>
      </c>
    </row>
    <row r="37">
      <c r="B37" s="91" t="str">
        <f>IF($N37="","",INDEX('Loans'!$B$1:$B$1000,$N37)&amp;"")</f>
        <v/>
      </c>
      <c r="C37" s="91" t="str">
        <f>IF($N37="","",INDEX('Loans'!$A$1:$A$1000,$N37)&amp;"")</f>
        <v/>
      </c>
      <c r="D37" s="91" t="str">
        <f>IF($N37="","",INDEX('Loans'!$C$1:$C$1000,$N37)&amp;"")</f>
        <v/>
      </c>
      <c r="E37" s="91" t="str">
        <f>IF($N37="","",INDEX('Loan maths'!$C$1:$C$1000,$N37)&amp;"")</f>
        <v/>
      </c>
      <c r="F37" s="91" t="str">
        <f>IF($N37="","",INDEX('Loans'!$K$1:$K$1000,$N37)&amp;"")</f>
        <v/>
      </c>
      <c r="G37" s="92" t="str">
        <f>IF($N37="","",INDEX('Deal maths'!$Y$1:$Y$1000,$N37))</f>
        <v/>
      </c>
      <c r="H37" s="93" t="str">
        <f>IF($N37="","",INDEX('Deal maths'!$AB$1:$AB$1000,$N37))</f>
        <v/>
      </c>
      <c r="I37" s="94" t="str">
        <f>IF($N37="","",INDEX('Deal maths'!$Z$1:$Z$1000,$N37))</f>
        <v/>
      </c>
      <c r="J37" s="94" t="str">
        <f>IF($N37="","",INDEX('Deal maths'!$AA$1:$AA$1000,$N37))</f>
        <v/>
      </c>
      <c r="K37" s="94" t="str">
        <f>IF($N37="","",INDEX('Deal maths'!$AG$1:$AG$1000,$N37))</f>
        <v/>
      </c>
      <c r="L37" s="95" t="str">
        <f>IF($N37="","",INDEX('Loan maths'!$P$1:$P$1000,$N37))</f>
        <v/>
      </c>
      <c r="M37" s="92" t="str">
        <f>IF($N37="","",N(G37)*N(H37))</f>
        <v/>
      </c>
      <c r="N37" s="96" t="str">
        <f>IFERROR(MATCH(SMALL(LM_order,29),LM_order,0)+3,"")</f>
        <v/>
      </c>
    </row>
    <row r="38">
      <c r="B38" s="91" t="str">
        <f>IF($N38="","",INDEX('Loans'!$B$1:$B$1000,$N38)&amp;"")</f>
        <v/>
      </c>
      <c r="C38" s="91" t="str">
        <f>IF($N38="","",INDEX('Loans'!$A$1:$A$1000,$N38)&amp;"")</f>
        <v/>
      </c>
      <c r="D38" s="91" t="str">
        <f>IF($N38="","",INDEX('Loans'!$C$1:$C$1000,$N38)&amp;"")</f>
        <v/>
      </c>
      <c r="E38" s="91" t="str">
        <f>IF($N38="","",INDEX('Loan maths'!$C$1:$C$1000,$N38)&amp;"")</f>
        <v/>
      </c>
      <c r="F38" s="91" t="str">
        <f>IF($N38="","",INDEX('Loans'!$K$1:$K$1000,$N38)&amp;"")</f>
        <v/>
      </c>
      <c r="G38" s="92" t="str">
        <f>IF($N38="","",INDEX('Deal maths'!$Y$1:$Y$1000,$N38))</f>
        <v/>
      </c>
      <c r="H38" s="93" t="str">
        <f>IF($N38="","",INDEX('Deal maths'!$AB$1:$AB$1000,$N38))</f>
        <v/>
      </c>
      <c r="I38" s="94" t="str">
        <f>IF($N38="","",INDEX('Deal maths'!$Z$1:$Z$1000,$N38))</f>
        <v/>
      </c>
      <c r="J38" s="94" t="str">
        <f>IF($N38="","",INDEX('Deal maths'!$AA$1:$AA$1000,$N38))</f>
        <v/>
      </c>
      <c r="K38" s="94" t="str">
        <f>IF($N38="","",INDEX('Deal maths'!$AG$1:$AG$1000,$N38))</f>
        <v/>
      </c>
      <c r="L38" s="95" t="str">
        <f>IF($N38="","",INDEX('Loan maths'!$P$1:$P$1000,$N38))</f>
        <v/>
      </c>
      <c r="M38" s="92" t="str">
        <f>IF($N38="","",N(G38)*N(H38))</f>
        <v/>
      </c>
      <c r="N38" s="96" t="str">
        <f>IFERROR(MATCH(SMALL(LM_order,30),LM_order,0)+3,"")</f>
        <v/>
      </c>
    </row>
    <row r="39">
      <c r="B39" s="91" t="str">
        <f>IF($N39="","",INDEX('Loans'!$B$1:$B$1000,$N39)&amp;"")</f>
        <v/>
      </c>
      <c r="C39" s="91" t="str">
        <f>IF($N39="","",INDEX('Loans'!$A$1:$A$1000,$N39)&amp;"")</f>
        <v/>
      </c>
      <c r="D39" s="91" t="str">
        <f>IF($N39="","",INDEX('Loans'!$C$1:$C$1000,$N39)&amp;"")</f>
        <v/>
      </c>
      <c r="E39" s="91" t="str">
        <f>IF($N39="","",INDEX('Loan maths'!$C$1:$C$1000,$N39)&amp;"")</f>
        <v/>
      </c>
      <c r="F39" s="91" t="str">
        <f>IF($N39="","",INDEX('Loans'!$K$1:$K$1000,$N39)&amp;"")</f>
        <v/>
      </c>
      <c r="G39" s="92" t="str">
        <f>IF($N39="","",INDEX('Deal maths'!$Y$1:$Y$1000,$N39))</f>
        <v/>
      </c>
      <c r="H39" s="93" t="str">
        <f>IF($N39="","",INDEX('Deal maths'!$AB$1:$AB$1000,$N39))</f>
        <v/>
      </c>
      <c r="I39" s="94" t="str">
        <f>IF($N39="","",INDEX('Deal maths'!$Z$1:$Z$1000,$N39))</f>
        <v/>
      </c>
      <c r="J39" s="94" t="str">
        <f>IF($N39="","",INDEX('Deal maths'!$AA$1:$AA$1000,$N39))</f>
        <v/>
      </c>
      <c r="K39" s="94" t="str">
        <f>IF($N39="","",INDEX('Deal maths'!$AG$1:$AG$1000,$N39))</f>
        <v/>
      </c>
      <c r="L39" s="95" t="str">
        <f>IF($N39="","",INDEX('Loan maths'!$P$1:$P$1000,$N39))</f>
        <v/>
      </c>
      <c r="M39" s="92" t="str">
        <f>IF($N39="","",N(G39)*N(H39))</f>
        <v/>
      </c>
      <c r="N39" s="96" t="str">
        <f>IFERROR(MATCH(SMALL(LM_order,31),LM_order,0)+3,"")</f>
        <v/>
      </c>
    </row>
    <row r="40">
      <c r="B40" s="91" t="str">
        <f>IF($N40="","",INDEX('Loans'!$B$1:$B$1000,$N40)&amp;"")</f>
        <v/>
      </c>
      <c r="C40" s="91" t="str">
        <f>IF($N40="","",INDEX('Loans'!$A$1:$A$1000,$N40)&amp;"")</f>
        <v/>
      </c>
      <c r="D40" s="91" t="str">
        <f>IF($N40="","",INDEX('Loans'!$C$1:$C$1000,$N40)&amp;"")</f>
        <v/>
      </c>
      <c r="E40" s="91" t="str">
        <f>IF($N40="","",INDEX('Loan maths'!$C$1:$C$1000,$N40)&amp;"")</f>
        <v/>
      </c>
      <c r="F40" s="91" t="str">
        <f>IF($N40="","",INDEX('Loans'!$K$1:$K$1000,$N40)&amp;"")</f>
        <v/>
      </c>
      <c r="G40" s="92" t="str">
        <f>IF($N40="","",INDEX('Deal maths'!$Y$1:$Y$1000,$N40))</f>
        <v/>
      </c>
      <c r="H40" s="93" t="str">
        <f>IF($N40="","",INDEX('Deal maths'!$AB$1:$AB$1000,$N40))</f>
        <v/>
      </c>
      <c r="I40" s="94" t="str">
        <f>IF($N40="","",INDEX('Deal maths'!$Z$1:$Z$1000,$N40))</f>
        <v/>
      </c>
      <c r="J40" s="94" t="str">
        <f>IF($N40="","",INDEX('Deal maths'!$AA$1:$AA$1000,$N40))</f>
        <v/>
      </c>
      <c r="K40" s="94" t="str">
        <f>IF($N40="","",INDEX('Deal maths'!$AG$1:$AG$1000,$N40))</f>
        <v/>
      </c>
      <c r="L40" s="95" t="str">
        <f>IF($N40="","",INDEX('Loan maths'!$P$1:$P$1000,$N40))</f>
        <v/>
      </c>
      <c r="M40" s="92" t="str">
        <f>IF($N40="","",N(G40)*N(H40))</f>
        <v/>
      </c>
      <c r="N40" s="96" t="str">
        <f>IFERROR(MATCH(SMALL(LM_order,32),LM_order,0)+3,"")</f>
        <v/>
      </c>
    </row>
    <row r="41">
      <c r="B41" s="91" t="str">
        <f>IF($N41="","",INDEX('Loans'!$B$1:$B$1000,$N41)&amp;"")</f>
        <v/>
      </c>
      <c r="C41" s="91" t="str">
        <f>IF($N41="","",INDEX('Loans'!$A$1:$A$1000,$N41)&amp;"")</f>
        <v/>
      </c>
      <c r="D41" s="91" t="str">
        <f>IF($N41="","",INDEX('Loans'!$C$1:$C$1000,$N41)&amp;"")</f>
        <v/>
      </c>
      <c r="E41" s="91" t="str">
        <f>IF($N41="","",INDEX('Loan maths'!$C$1:$C$1000,$N41)&amp;"")</f>
        <v/>
      </c>
      <c r="F41" s="91" t="str">
        <f>IF($N41="","",INDEX('Loans'!$K$1:$K$1000,$N41)&amp;"")</f>
        <v/>
      </c>
      <c r="G41" s="92" t="str">
        <f>IF($N41="","",INDEX('Deal maths'!$Y$1:$Y$1000,$N41))</f>
        <v/>
      </c>
      <c r="H41" s="93" t="str">
        <f>IF($N41="","",INDEX('Deal maths'!$AB$1:$AB$1000,$N41))</f>
        <v/>
      </c>
      <c r="I41" s="94" t="str">
        <f>IF($N41="","",INDEX('Deal maths'!$Z$1:$Z$1000,$N41))</f>
        <v/>
      </c>
      <c r="J41" s="94" t="str">
        <f>IF($N41="","",INDEX('Deal maths'!$AA$1:$AA$1000,$N41))</f>
        <v/>
      </c>
      <c r="K41" s="94" t="str">
        <f>IF($N41="","",INDEX('Deal maths'!$AG$1:$AG$1000,$N41))</f>
        <v/>
      </c>
      <c r="L41" s="95" t="str">
        <f>IF($N41="","",INDEX('Loan maths'!$P$1:$P$1000,$N41))</f>
        <v/>
      </c>
      <c r="M41" s="92" t="str">
        <f>IF($N41="","",N(G41)*N(H41))</f>
        <v/>
      </c>
      <c r="N41" s="96" t="str">
        <f>IFERROR(MATCH(SMALL(LM_order,33),LM_order,0)+3,"")</f>
        <v/>
      </c>
    </row>
    <row r="42">
      <c r="B42" s="91" t="str">
        <f>IF($N42="","",INDEX('Loans'!$B$1:$B$1000,$N42)&amp;"")</f>
        <v/>
      </c>
      <c r="C42" s="91" t="str">
        <f>IF($N42="","",INDEX('Loans'!$A$1:$A$1000,$N42)&amp;"")</f>
        <v/>
      </c>
      <c r="D42" s="91" t="str">
        <f>IF($N42="","",INDEX('Loans'!$C$1:$C$1000,$N42)&amp;"")</f>
        <v/>
      </c>
      <c r="E42" s="91" t="str">
        <f>IF($N42="","",INDEX('Loan maths'!$C$1:$C$1000,$N42)&amp;"")</f>
        <v/>
      </c>
      <c r="F42" s="91" t="str">
        <f>IF($N42="","",INDEX('Loans'!$K$1:$K$1000,$N42)&amp;"")</f>
        <v/>
      </c>
      <c r="G42" s="92" t="str">
        <f>IF($N42="","",INDEX('Deal maths'!$Y$1:$Y$1000,$N42))</f>
        <v/>
      </c>
      <c r="H42" s="93" t="str">
        <f>IF($N42="","",INDEX('Deal maths'!$AB$1:$AB$1000,$N42))</f>
        <v/>
      </c>
      <c r="I42" s="94" t="str">
        <f>IF($N42="","",INDEX('Deal maths'!$Z$1:$Z$1000,$N42))</f>
        <v/>
      </c>
      <c r="J42" s="94" t="str">
        <f>IF($N42="","",INDEX('Deal maths'!$AA$1:$AA$1000,$N42))</f>
        <v/>
      </c>
      <c r="K42" s="94" t="str">
        <f>IF($N42="","",INDEX('Deal maths'!$AG$1:$AG$1000,$N42))</f>
        <v/>
      </c>
      <c r="L42" s="95" t="str">
        <f>IF($N42="","",INDEX('Loan maths'!$P$1:$P$1000,$N42))</f>
        <v/>
      </c>
      <c r="M42" s="92" t="str">
        <f>IF($N42="","",N(G42)*N(H42))</f>
        <v/>
      </c>
      <c r="N42" s="96" t="str">
        <f>IFERROR(MATCH(SMALL(LM_order,34),LM_order,0)+3,"")</f>
        <v/>
      </c>
    </row>
    <row r="43">
      <c r="B43" s="91" t="str">
        <f>IF($N43="","",INDEX('Loans'!$B$1:$B$1000,$N43)&amp;"")</f>
        <v/>
      </c>
      <c r="C43" s="91" t="str">
        <f>IF($N43="","",INDEX('Loans'!$A$1:$A$1000,$N43)&amp;"")</f>
        <v/>
      </c>
      <c r="D43" s="91" t="str">
        <f>IF($N43="","",INDEX('Loans'!$C$1:$C$1000,$N43)&amp;"")</f>
        <v/>
      </c>
      <c r="E43" s="91" t="str">
        <f>IF($N43="","",INDEX('Loan maths'!$C$1:$C$1000,$N43)&amp;"")</f>
        <v/>
      </c>
      <c r="F43" s="91" t="str">
        <f>IF($N43="","",INDEX('Loans'!$K$1:$K$1000,$N43)&amp;"")</f>
        <v/>
      </c>
      <c r="G43" s="92" t="str">
        <f>IF($N43="","",INDEX('Deal maths'!$Y$1:$Y$1000,$N43))</f>
        <v/>
      </c>
      <c r="H43" s="93" t="str">
        <f>IF($N43="","",INDEX('Deal maths'!$AB$1:$AB$1000,$N43))</f>
        <v/>
      </c>
      <c r="I43" s="94" t="str">
        <f>IF($N43="","",INDEX('Deal maths'!$Z$1:$Z$1000,$N43))</f>
        <v/>
      </c>
      <c r="J43" s="94" t="str">
        <f>IF($N43="","",INDEX('Deal maths'!$AA$1:$AA$1000,$N43))</f>
        <v/>
      </c>
      <c r="K43" s="94" t="str">
        <f>IF($N43="","",INDEX('Deal maths'!$AG$1:$AG$1000,$N43))</f>
        <v/>
      </c>
      <c r="L43" s="95" t="str">
        <f>IF($N43="","",INDEX('Loan maths'!$P$1:$P$1000,$N43))</f>
        <v/>
      </c>
      <c r="M43" s="92" t="str">
        <f>IF($N43="","",N(G43)*N(H43))</f>
        <v/>
      </c>
      <c r="N43" s="96" t="str">
        <f>IFERROR(MATCH(SMALL(LM_order,35),LM_order,0)+3,"")</f>
        <v/>
      </c>
    </row>
    <row r="44">
      <c r="B44" s="91" t="str">
        <f>IF($N44="","",INDEX('Loans'!$B$1:$B$1000,$N44)&amp;"")</f>
        <v/>
      </c>
      <c r="C44" s="91" t="str">
        <f>IF($N44="","",INDEX('Loans'!$A$1:$A$1000,$N44)&amp;"")</f>
        <v/>
      </c>
      <c r="D44" s="91" t="str">
        <f>IF($N44="","",INDEX('Loans'!$C$1:$C$1000,$N44)&amp;"")</f>
        <v/>
      </c>
      <c r="E44" s="91" t="str">
        <f>IF($N44="","",INDEX('Loan maths'!$C$1:$C$1000,$N44)&amp;"")</f>
        <v/>
      </c>
      <c r="F44" s="91" t="str">
        <f>IF($N44="","",INDEX('Loans'!$K$1:$K$1000,$N44)&amp;"")</f>
        <v/>
      </c>
      <c r="G44" s="92" t="str">
        <f>IF($N44="","",INDEX('Deal maths'!$Y$1:$Y$1000,$N44))</f>
        <v/>
      </c>
      <c r="H44" s="93" t="str">
        <f>IF($N44="","",INDEX('Deal maths'!$AB$1:$AB$1000,$N44))</f>
        <v/>
      </c>
      <c r="I44" s="94" t="str">
        <f>IF($N44="","",INDEX('Deal maths'!$Z$1:$Z$1000,$N44))</f>
        <v/>
      </c>
      <c r="J44" s="94" t="str">
        <f>IF($N44="","",INDEX('Deal maths'!$AA$1:$AA$1000,$N44))</f>
        <v/>
      </c>
      <c r="K44" s="94" t="str">
        <f>IF($N44="","",INDEX('Deal maths'!$AG$1:$AG$1000,$N44))</f>
        <v/>
      </c>
      <c r="L44" s="95" t="str">
        <f>IF($N44="","",INDEX('Loan maths'!$P$1:$P$1000,$N44))</f>
        <v/>
      </c>
      <c r="M44" s="92" t="str">
        <f>IF($N44="","",N(G44)*N(H44))</f>
        <v/>
      </c>
      <c r="N44" s="96" t="str">
        <f>IFERROR(MATCH(SMALL(LM_order,36),LM_order,0)+3,"")</f>
        <v/>
      </c>
    </row>
    <row r="45">
      <c r="B45" s="91" t="str">
        <f>IF($N45="","",INDEX('Loans'!$B$1:$B$1000,$N45)&amp;"")</f>
        <v/>
      </c>
      <c r="C45" s="91" t="str">
        <f>IF($N45="","",INDEX('Loans'!$A$1:$A$1000,$N45)&amp;"")</f>
        <v/>
      </c>
      <c r="D45" s="91" t="str">
        <f>IF($N45="","",INDEX('Loans'!$C$1:$C$1000,$N45)&amp;"")</f>
        <v/>
      </c>
      <c r="E45" s="91" t="str">
        <f>IF($N45="","",INDEX('Loan maths'!$C$1:$C$1000,$N45)&amp;"")</f>
        <v/>
      </c>
      <c r="F45" s="91" t="str">
        <f>IF($N45="","",INDEX('Loans'!$K$1:$K$1000,$N45)&amp;"")</f>
        <v/>
      </c>
      <c r="G45" s="92" t="str">
        <f>IF($N45="","",INDEX('Deal maths'!$Y$1:$Y$1000,$N45))</f>
        <v/>
      </c>
      <c r="H45" s="93" t="str">
        <f>IF($N45="","",INDEX('Deal maths'!$AB$1:$AB$1000,$N45))</f>
        <v/>
      </c>
      <c r="I45" s="94" t="str">
        <f>IF($N45="","",INDEX('Deal maths'!$Z$1:$Z$1000,$N45))</f>
        <v/>
      </c>
      <c r="J45" s="94" t="str">
        <f>IF($N45="","",INDEX('Deal maths'!$AA$1:$AA$1000,$N45))</f>
        <v/>
      </c>
      <c r="K45" s="94" t="str">
        <f>IF($N45="","",INDEX('Deal maths'!$AG$1:$AG$1000,$N45))</f>
        <v/>
      </c>
      <c r="L45" s="95" t="str">
        <f>IF($N45="","",INDEX('Loan maths'!$P$1:$P$1000,$N45))</f>
        <v/>
      </c>
      <c r="M45" s="92" t="str">
        <f>IF($N45="","",N(G45)*N(H45))</f>
        <v/>
      </c>
      <c r="N45" s="96" t="str">
        <f>IFERROR(MATCH(SMALL(LM_order,37),LM_order,0)+3,"")</f>
        <v/>
      </c>
    </row>
    <row r="46">
      <c r="B46" s="91" t="str">
        <f>IF($N46="","",INDEX('Loans'!$B$1:$B$1000,$N46)&amp;"")</f>
        <v/>
      </c>
      <c r="C46" s="91" t="str">
        <f>IF($N46="","",INDEX('Loans'!$A$1:$A$1000,$N46)&amp;"")</f>
        <v/>
      </c>
      <c r="D46" s="91" t="str">
        <f>IF($N46="","",INDEX('Loans'!$C$1:$C$1000,$N46)&amp;"")</f>
        <v/>
      </c>
      <c r="E46" s="91" t="str">
        <f>IF($N46="","",INDEX('Loan maths'!$C$1:$C$1000,$N46)&amp;"")</f>
        <v/>
      </c>
      <c r="F46" s="91" t="str">
        <f>IF($N46="","",INDEX('Loans'!$K$1:$K$1000,$N46)&amp;"")</f>
        <v/>
      </c>
      <c r="G46" s="92" t="str">
        <f>IF($N46="","",INDEX('Deal maths'!$Y$1:$Y$1000,$N46))</f>
        <v/>
      </c>
      <c r="H46" s="93" t="str">
        <f>IF($N46="","",INDEX('Deal maths'!$AB$1:$AB$1000,$N46))</f>
        <v/>
      </c>
      <c r="I46" s="94" t="str">
        <f>IF($N46="","",INDEX('Deal maths'!$Z$1:$Z$1000,$N46))</f>
        <v/>
      </c>
      <c r="J46" s="94" t="str">
        <f>IF($N46="","",INDEX('Deal maths'!$AA$1:$AA$1000,$N46))</f>
        <v/>
      </c>
      <c r="K46" s="94" t="str">
        <f>IF($N46="","",INDEX('Deal maths'!$AG$1:$AG$1000,$N46))</f>
        <v/>
      </c>
      <c r="L46" s="95" t="str">
        <f>IF($N46="","",INDEX('Loan maths'!$P$1:$P$1000,$N46))</f>
        <v/>
      </c>
      <c r="M46" s="92" t="str">
        <f>IF($N46="","",N(G46)*N(H46))</f>
        <v/>
      </c>
      <c r="N46" s="96" t="str">
        <f>IFERROR(MATCH(SMALL(LM_order,38),LM_order,0)+3,"")</f>
        <v/>
      </c>
    </row>
    <row r="47">
      <c r="B47" s="91" t="str">
        <f>IF($N47="","",INDEX('Loans'!$B$1:$B$1000,$N47)&amp;"")</f>
        <v/>
      </c>
      <c r="C47" s="91" t="str">
        <f>IF($N47="","",INDEX('Loans'!$A$1:$A$1000,$N47)&amp;"")</f>
        <v/>
      </c>
      <c r="D47" s="91" t="str">
        <f>IF($N47="","",INDEX('Loans'!$C$1:$C$1000,$N47)&amp;"")</f>
        <v/>
      </c>
      <c r="E47" s="91" t="str">
        <f>IF($N47="","",INDEX('Loan maths'!$C$1:$C$1000,$N47)&amp;"")</f>
        <v/>
      </c>
      <c r="F47" s="91" t="str">
        <f>IF($N47="","",INDEX('Loans'!$K$1:$K$1000,$N47)&amp;"")</f>
        <v/>
      </c>
      <c r="G47" s="92" t="str">
        <f>IF($N47="","",INDEX('Deal maths'!$Y$1:$Y$1000,$N47))</f>
        <v/>
      </c>
      <c r="H47" s="93" t="str">
        <f>IF($N47="","",INDEX('Deal maths'!$AB$1:$AB$1000,$N47))</f>
        <v/>
      </c>
      <c r="I47" s="94" t="str">
        <f>IF($N47="","",INDEX('Deal maths'!$Z$1:$Z$1000,$N47))</f>
        <v/>
      </c>
      <c r="J47" s="94" t="str">
        <f>IF($N47="","",INDEX('Deal maths'!$AA$1:$AA$1000,$N47))</f>
        <v/>
      </c>
      <c r="K47" s="94" t="str">
        <f>IF($N47="","",INDEX('Deal maths'!$AG$1:$AG$1000,$N47))</f>
        <v/>
      </c>
      <c r="L47" s="95" t="str">
        <f>IF($N47="","",INDEX('Loan maths'!$P$1:$P$1000,$N47))</f>
        <v/>
      </c>
      <c r="M47" s="92" t="str">
        <f>IF($N47="","",N(G47)*N(H47))</f>
        <v/>
      </c>
      <c r="N47" s="96" t="str">
        <f>IFERROR(MATCH(SMALL(LM_order,39),LM_order,0)+3,"")</f>
        <v/>
      </c>
    </row>
    <row r="48">
      <c r="B48" s="91" t="str">
        <f>IF($N48="","",INDEX('Loans'!$B$1:$B$1000,$N48)&amp;"")</f>
        <v/>
      </c>
      <c r="C48" s="91" t="str">
        <f>IF($N48="","",INDEX('Loans'!$A$1:$A$1000,$N48)&amp;"")</f>
        <v/>
      </c>
      <c r="D48" s="91" t="str">
        <f>IF($N48="","",INDEX('Loans'!$C$1:$C$1000,$N48)&amp;"")</f>
        <v/>
      </c>
      <c r="E48" s="91" t="str">
        <f>IF($N48="","",INDEX('Loan maths'!$C$1:$C$1000,$N48)&amp;"")</f>
        <v/>
      </c>
      <c r="F48" s="91" t="str">
        <f>IF($N48="","",INDEX('Loans'!$K$1:$K$1000,$N48)&amp;"")</f>
        <v/>
      </c>
      <c r="G48" s="92" t="str">
        <f>IF($N48="","",INDEX('Deal maths'!$Y$1:$Y$1000,$N48))</f>
        <v/>
      </c>
      <c r="H48" s="93" t="str">
        <f>IF($N48="","",INDEX('Deal maths'!$AB$1:$AB$1000,$N48))</f>
        <v/>
      </c>
      <c r="I48" s="94" t="str">
        <f>IF($N48="","",INDEX('Deal maths'!$Z$1:$Z$1000,$N48))</f>
        <v/>
      </c>
      <c r="J48" s="94" t="str">
        <f>IF($N48="","",INDEX('Deal maths'!$AA$1:$AA$1000,$N48))</f>
        <v/>
      </c>
      <c r="K48" s="94" t="str">
        <f>IF($N48="","",INDEX('Deal maths'!$AG$1:$AG$1000,$N48))</f>
        <v/>
      </c>
      <c r="L48" s="95" t="str">
        <f>IF($N48="","",INDEX('Loan maths'!$P$1:$P$1000,$N48))</f>
        <v/>
      </c>
      <c r="M48" s="92" t="str">
        <f>IF($N48="","",N(G48)*N(H48))</f>
        <v/>
      </c>
      <c r="N48" s="96" t="str">
        <f>IFERROR(MATCH(SMALL(LM_order,40),LM_order,0)+3,"")</f>
        <v/>
      </c>
    </row>
    <row r="49">
      <c r="B49" s="91" t="str">
        <f>IF($N49="","",INDEX('Loans'!$B$1:$B$1000,$N49)&amp;"")</f>
        <v/>
      </c>
      <c r="C49" s="91" t="str">
        <f>IF($N49="","",INDEX('Loans'!$A$1:$A$1000,$N49)&amp;"")</f>
        <v/>
      </c>
      <c r="D49" s="91" t="str">
        <f>IF($N49="","",INDEX('Loans'!$C$1:$C$1000,$N49)&amp;"")</f>
        <v/>
      </c>
      <c r="E49" s="91" t="str">
        <f>IF($N49="","",INDEX('Loan maths'!$C$1:$C$1000,$N49)&amp;"")</f>
        <v/>
      </c>
      <c r="F49" s="91" t="str">
        <f>IF($N49="","",INDEX('Loans'!$K$1:$K$1000,$N49)&amp;"")</f>
        <v/>
      </c>
      <c r="G49" s="92" t="str">
        <f>IF($N49="","",INDEX('Deal maths'!$Y$1:$Y$1000,$N49))</f>
        <v/>
      </c>
      <c r="H49" s="93" t="str">
        <f>IF($N49="","",INDEX('Deal maths'!$AB$1:$AB$1000,$N49))</f>
        <v/>
      </c>
      <c r="I49" s="94" t="str">
        <f>IF($N49="","",INDEX('Deal maths'!$Z$1:$Z$1000,$N49))</f>
        <v/>
      </c>
      <c r="J49" s="94" t="str">
        <f>IF($N49="","",INDEX('Deal maths'!$AA$1:$AA$1000,$N49))</f>
        <v/>
      </c>
      <c r="K49" s="94" t="str">
        <f>IF($N49="","",INDEX('Deal maths'!$AG$1:$AG$1000,$N49))</f>
        <v/>
      </c>
      <c r="L49" s="95" t="str">
        <f>IF($N49="","",INDEX('Loan maths'!$P$1:$P$1000,$N49))</f>
        <v/>
      </c>
      <c r="M49" s="92" t="str">
        <f>IF($N49="","",N(G49)*N(H49))</f>
        <v/>
      </c>
      <c r="N49" s="96" t="str">
        <f>IFERROR(MATCH(SMALL(LM_order,41),LM_order,0)+3,"")</f>
        <v/>
      </c>
    </row>
    <row r="50">
      <c r="B50" s="91" t="str">
        <f>IF($N50="","",INDEX('Loans'!$B$1:$B$1000,$N50)&amp;"")</f>
        <v/>
      </c>
      <c r="C50" s="91" t="str">
        <f>IF($N50="","",INDEX('Loans'!$A$1:$A$1000,$N50)&amp;"")</f>
        <v/>
      </c>
      <c r="D50" s="91" t="str">
        <f>IF($N50="","",INDEX('Loans'!$C$1:$C$1000,$N50)&amp;"")</f>
        <v/>
      </c>
      <c r="E50" s="91" t="str">
        <f>IF($N50="","",INDEX('Loan maths'!$C$1:$C$1000,$N50)&amp;"")</f>
        <v/>
      </c>
      <c r="F50" s="91" t="str">
        <f>IF($N50="","",INDEX('Loans'!$K$1:$K$1000,$N50)&amp;"")</f>
        <v/>
      </c>
      <c r="G50" s="92" t="str">
        <f>IF($N50="","",INDEX('Deal maths'!$Y$1:$Y$1000,$N50))</f>
        <v/>
      </c>
      <c r="H50" s="93" t="str">
        <f>IF($N50="","",INDEX('Deal maths'!$AB$1:$AB$1000,$N50))</f>
        <v/>
      </c>
      <c r="I50" s="94" t="str">
        <f>IF($N50="","",INDEX('Deal maths'!$Z$1:$Z$1000,$N50))</f>
        <v/>
      </c>
      <c r="J50" s="94" t="str">
        <f>IF($N50="","",INDEX('Deal maths'!$AA$1:$AA$1000,$N50))</f>
        <v/>
      </c>
      <c r="K50" s="94" t="str">
        <f>IF($N50="","",INDEX('Deal maths'!$AG$1:$AG$1000,$N50))</f>
        <v/>
      </c>
      <c r="L50" s="95" t="str">
        <f>IF($N50="","",INDEX('Loan maths'!$P$1:$P$1000,$N50))</f>
        <v/>
      </c>
      <c r="M50" s="92" t="str">
        <f>IF($N50="","",N(G50)*N(H50))</f>
        <v/>
      </c>
      <c r="N50" s="96" t="str">
        <f>IFERROR(MATCH(SMALL(LM_order,42),LM_order,0)+3,"")</f>
        <v/>
      </c>
    </row>
    <row r="51">
      <c r="B51" s="91" t="str">
        <f>IF($N51="","",INDEX('Loans'!$B$1:$B$1000,$N51)&amp;"")</f>
        <v/>
      </c>
      <c r="C51" s="91" t="str">
        <f>IF($N51="","",INDEX('Loans'!$A$1:$A$1000,$N51)&amp;"")</f>
        <v/>
      </c>
      <c r="D51" s="91" t="str">
        <f>IF($N51="","",INDEX('Loans'!$C$1:$C$1000,$N51)&amp;"")</f>
        <v/>
      </c>
      <c r="E51" s="91" t="str">
        <f>IF($N51="","",INDEX('Loan maths'!$C$1:$C$1000,$N51)&amp;"")</f>
        <v/>
      </c>
      <c r="F51" s="91" t="str">
        <f>IF($N51="","",INDEX('Loans'!$K$1:$K$1000,$N51)&amp;"")</f>
        <v/>
      </c>
      <c r="G51" s="92" t="str">
        <f>IF($N51="","",INDEX('Deal maths'!$Y$1:$Y$1000,$N51))</f>
        <v/>
      </c>
      <c r="H51" s="93" t="str">
        <f>IF($N51="","",INDEX('Deal maths'!$AB$1:$AB$1000,$N51))</f>
        <v/>
      </c>
      <c r="I51" s="94" t="str">
        <f>IF($N51="","",INDEX('Deal maths'!$Z$1:$Z$1000,$N51))</f>
        <v/>
      </c>
      <c r="J51" s="94" t="str">
        <f>IF($N51="","",INDEX('Deal maths'!$AA$1:$AA$1000,$N51))</f>
        <v/>
      </c>
      <c r="K51" s="94" t="str">
        <f>IF($N51="","",INDEX('Deal maths'!$AG$1:$AG$1000,$N51))</f>
        <v/>
      </c>
      <c r="L51" s="95" t="str">
        <f>IF($N51="","",INDEX('Loan maths'!$P$1:$P$1000,$N51))</f>
        <v/>
      </c>
      <c r="M51" s="92" t="str">
        <f>IF($N51="","",N(G51)*N(H51))</f>
        <v/>
      </c>
      <c r="N51" s="96" t="str">
        <f>IFERROR(MATCH(SMALL(LM_order,43),LM_order,0)+3,"")</f>
        <v/>
      </c>
    </row>
    <row r="52">
      <c r="B52" s="91" t="str">
        <f>IF($N52="","",INDEX('Loans'!$B$1:$B$1000,$N52)&amp;"")</f>
        <v/>
      </c>
      <c r="C52" s="91" t="str">
        <f>IF($N52="","",INDEX('Loans'!$A$1:$A$1000,$N52)&amp;"")</f>
        <v/>
      </c>
      <c r="D52" s="91" t="str">
        <f>IF($N52="","",INDEX('Loans'!$C$1:$C$1000,$N52)&amp;"")</f>
        <v/>
      </c>
      <c r="E52" s="91" t="str">
        <f>IF($N52="","",INDEX('Loan maths'!$C$1:$C$1000,$N52)&amp;"")</f>
        <v/>
      </c>
      <c r="F52" s="91" t="str">
        <f>IF($N52="","",INDEX('Loans'!$K$1:$K$1000,$N52)&amp;"")</f>
        <v/>
      </c>
      <c r="G52" s="92" t="str">
        <f>IF($N52="","",INDEX('Deal maths'!$Y$1:$Y$1000,$N52))</f>
        <v/>
      </c>
      <c r="H52" s="93" t="str">
        <f>IF($N52="","",INDEX('Deal maths'!$AB$1:$AB$1000,$N52))</f>
        <v/>
      </c>
      <c r="I52" s="94" t="str">
        <f>IF($N52="","",INDEX('Deal maths'!$Z$1:$Z$1000,$N52))</f>
        <v/>
      </c>
      <c r="J52" s="94" t="str">
        <f>IF($N52="","",INDEX('Deal maths'!$AA$1:$AA$1000,$N52))</f>
        <v/>
      </c>
      <c r="K52" s="94" t="str">
        <f>IF($N52="","",INDEX('Deal maths'!$AG$1:$AG$1000,$N52))</f>
        <v/>
      </c>
      <c r="L52" s="95" t="str">
        <f>IF($N52="","",INDEX('Loan maths'!$P$1:$P$1000,$N52))</f>
        <v/>
      </c>
      <c r="M52" s="92" t="str">
        <f>IF($N52="","",N(G52)*N(H52))</f>
        <v/>
      </c>
      <c r="N52" s="96" t="str">
        <f>IFERROR(MATCH(SMALL(LM_order,44),LM_order,0)+3,"")</f>
        <v/>
      </c>
    </row>
    <row r="53">
      <c r="B53" s="91" t="str">
        <f>IF($N53="","",INDEX('Loans'!$B$1:$B$1000,$N53)&amp;"")</f>
        <v/>
      </c>
      <c r="C53" s="91" t="str">
        <f>IF($N53="","",INDEX('Loans'!$A$1:$A$1000,$N53)&amp;"")</f>
        <v/>
      </c>
      <c r="D53" s="91" t="str">
        <f>IF($N53="","",INDEX('Loans'!$C$1:$C$1000,$N53)&amp;"")</f>
        <v/>
      </c>
      <c r="E53" s="91" t="str">
        <f>IF($N53="","",INDEX('Loan maths'!$C$1:$C$1000,$N53)&amp;"")</f>
        <v/>
      </c>
      <c r="F53" s="91" t="str">
        <f>IF($N53="","",INDEX('Loans'!$K$1:$K$1000,$N53)&amp;"")</f>
        <v/>
      </c>
      <c r="G53" s="92" t="str">
        <f>IF($N53="","",INDEX('Deal maths'!$Y$1:$Y$1000,$N53))</f>
        <v/>
      </c>
      <c r="H53" s="93" t="str">
        <f>IF($N53="","",INDEX('Deal maths'!$AB$1:$AB$1000,$N53))</f>
        <v/>
      </c>
      <c r="I53" s="94" t="str">
        <f>IF($N53="","",INDEX('Deal maths'!$Z$1:$Z$1000,$N53))</f>
        <v/>
      </c>
      <c r="J53" s="94" t="str">
        <f>IF($N53="","",INDEX('Deal maths'!$AA$1:$AA$1000,$N53))</f>
        <v/>
      </c>
      <c r="K53" s="94" t="str">
        <f>IF($N53="","",INDEX('Deal maths'!$AG$1:$AG$1000,$N53))</f>
        <v/>
      </c>
      <c r="L53" s="95" t="str">
        <f>IF($N53="","",INDEX('Loan maths'!$P$1:$P$1000,$N53))</f>
        <v/>
      </c>
      <c r="M53" s="92" t="str">
        <f>IF($N53="","",N(G53)*N(H53))</f>
        <v/>
      </c>
      <c r="N53" s="96" t="str">
        <f>IFERROR(MATCH(SMALL(LM_order,45),LM_order,0)+3,"")</f>
        <v/>
      </c>
    </row>
    <row r="54">
      <c r="B54" s="91" t="str">
        <f>IF($N54="","",INDEX('Loans'!$B$1:$B$1000,$N54)&amp;"")</f>
        <v/>
      </c>
      <c r="C54" s="91" t="str">
        <f>IF($N54="","",INDEX('Loans'!$A$1:$A$1000,$N54)&amp;"")</f>
        <v/>
      </c>
      <c r="D54" s="91" t="str">
        <f>IF($N54="","",INDEX('Loans'!$C$1:$C$1000,$N54)&amp;"")</f>
        <v/>
      </c>
      <c r="E54" s="91" t="str">
        <f>IF($N54="","",INDEX('Loan maths'!$C$1:$C$1000,$N54)&amp;"")</f>
        <v/>
      </c>
      <c r="F54" s="91" t="str">
        <f>IF($N54="","",INDEX('Loans'!$K$1:$K$1000,$N54)&amp;"")</f>
        <v/>
      </c>
      <c r="G54" s="92" t="str">
        <f>IF($N54="","",INDEX('Deal maths'!$Y$1:$Y$1000,$N54))</f>
        <v/>
      </c>
      <c r="H54" s="93" t="str">
        <f>IF($N54="","",INDEX('Deal maths'!$AB$1:$AB$1000,$N54))</f>
        <v/>
      </c>
      <c r="I54" s="94" t="str">
        <f>IF($N54="","",INDEX('Deal maths'!$Z$1:$Z$1000,$N54))</f>
        <v/>
      </c>
      <c r="J54" s="94" t="str">
        <f>IF($N54="","",INDEX('Deal maths'!$AA$1:$AA$1000,$N54))</f>
        <v/>
      </c>
      <c r="K54" s="94" t="str">
        <f>IF($N54="","",INDEX('Deal maths'!$AG$1:$AG$1000,$N54))</f>
        <v/>
      </c>
      <c r="L54" s="95" t="str">
        <f>IF($N54="","",INDEX('Loan maths'!$P$1:$P$1000,$N54))</f>
        <v/>
      </c>
      <c r="M54" s="92" t="str">
        <f>IF($N54="","",N(G54)*N(H54))</f>
        <v/>
      </c>
      <c r="N54" s="96" t="str">
        <f>IFERROR(MATCH(SMALL(LM_order,46),LM_order,0)+3,"")</f>
        <v/>
      </c>
    </row>
    <row r="55">
      <c r="B55" s="91" t="str">
        <f>IF($N55="","",INDEX('Loans'!$B$1:$B$1000,$N55)&amp;"")</f>
        <v/>
      </c>
      <c r="C55" s="91" t="str">
        <f>IF($N55="","",INDEX('Loans'!$A$1:$A$1000,$N55)&amp;"")</f>
        <v/>
      </c>
      <c r="D55" s="91" t="str">
        <f>IF($N55="","",INDEX('Loans'!$C$1:$C$1000,$N55)&amp;"")</f>
        <v/>
      </c>
      <c r="E55" s="91" t="str">
        <f>IF($N55="","",INDEX('Loan maths'!$C$1:$C$1000,$N55)&amp;"")</f>
        <v/>
      </c>
      <c r="F55" s="91" t="str">
        <f>IF($N55="","",INDEX('Loans'!$K$1:$K$1000,$N55)&amp;"")</f>
        <v/>
      </c>
      <c r="G55" s="92" t="str">
        <f>IF($N55="","",INDEX('Deal maths'!$Y$1:$Y$1000,$N55))</f>
        <v/>
      </c>
      <c r="H55" s="93" t="str">
        <f>IF($N55="","",INDEX('Deal maths'!$AB$1:$AB$1000,$N55))</f>
        <v/>
      </c>
      <c r="I55" s="94" t="str">
        <f>IF($N55="","",INDEX('Deal maths'!$Z$1:$Z$1000,$N55))</f>
        <v/>
      </c>
      <c r="J55" s="94" t="str">
        <f>IF($N55="","",INDEX('Deal maths'!$AA$1:$AA$1000,$N55))</f>
        <v/>
      </c>
      <c r="K55" s="94" t="str">
        <f>IF($N55="","",INDEX('Deal maths'!$AG$1:$AG$1000,$N55))</f>
        <v/>
      </c>
      <c r="L55" s="95" t="str">
        <f>IF($N55="","",INDEX('Loan maths'!$P$1:$P$1000,$N55))</f>
        <v/>
      </c>
      <c r="M55" s="92" t="str">
        <f>IF($N55="","",N(G55)*N(H55))</f>
        <v/>
      </c>
      <c r="N55" s="96" t="str">
        <f>IFERROR(MATCH(SMALL(LM_order,47),LM_order,0)+3,"")</f>
        <v/>
      </c>
    </row>
    <row r="56">
      <c r="B56" s="91" t="str">
        <f>IF($N56="","",INDEX('Loans'!$B$1:$B$1000,$N56)&amp;"")</f>
        <v/>
      </c>
      <c r="C56" s="91" t="str">
        <f>IF($N56="","",INDEX('Loans'!$A$1:$A$1000,$N56)&amp;"")</f>
        <v/>
      </c>
      <c r="D56" s="91" t="str">
        <f>IF($N56="","",INDEX('Loans'!$C$1:$C$1000,$N56)&amp;"")</f>
        <v/>
      </c>
      <c r="E56" s="91" t="str">
        <f>IF($N56="","",INDEX('Loan maths'!$C$1:$C$1000,$N56)&amp;"")</f>
        <v/>
      </c>
      <c r="F56" s="91" t="str">
        <f>IF($N56="","",INDEX('Loans'!$K$1:$K$1000,$N56)&amp;"")</f>
        <v/>
      </c>
      <c r="G56" s="92" t="str">
        <f>IF($N56="","",INDEX('Deal maths'!$Y$1:$Y$1000,$N56))</f>
        <v/>
      </c>
      <c r="H56" s="93" t="str">
        <f>IF($N56="","",INDEX('Deal maths'!$AB$1:$AB$1000,$N56))</f>
        <v/>
      </c>
      <c r="I56" s="94" t="str">
        <f>IF($N56="","",INDEX('Deal maths'!$Z$1:$Z$1000,$N56))</f>
        <v/>
      </c>
      <c r="J56" s="94" t="str">
        <f>IF($N56="","",INDEX('Deal maths'!$AA$1:$AA$1000,$N56))</f>
        <v/>
      </c>
      <c r="K56" s="94" t="str">
        <f>IF($N56="","",INDEX('Deal maths'!$AG$1:$AG$1000,$N56))</f>
        <v/>
      </c>
      <c r="L56" s="95" t="str">
        <f>IF($N56="","",INDEX('Loan maths'!$P$1:$P$1000,$N56))</f>
        <v/>
      </c>
      <c r="M56" s="92" t="str">
        <f>IF($N56="","",N(G56)*N(H56))</f>
        <v/>
      </c>
      <c r="N56" s="96" t="str">
        <f>IFERROR(MATCH(SMALL(LM_order,48),LM_order,0)+3,"")</f>
        <v/>
      </c>
    </row>
    <row r="57">
      <c r="B57" s="91" t="str">
        <f>IF($N57="","",INDEX('Loans'!$B$1:$B$1000,$N57)&amp;"")</f>
        <v/>
      </c>
      <c r="C57" s="91" t="str">
        <f>IF($N57="","",INDEX('Loans'!$A$1:$A$1000,$N57)&amp;"")</f>
        <v/>
      </c>
      <c r="D57" s="91" t="str">
        <f>IF($N57="","",INDEX('Loans'!$C$1:$C$1000,$N57)&amp;"")</f>
        <v/>
      </c>
      <c r="E57" s="91" t="str">
        <f>IF($N57="","",INDEX('Loan maths'!$C$1:$C$1000,$N57)&amp;"")</f>
        <v/>
      </c>
      <c r="F57" s="91" t="str">
        <f>IF($N57="","",INDEX('Loans'!$K$1:$K$1000,$N57)&amp;"")</f>
        <v/>
      </c>
      <c r="G57" s="92" t="str">
        <f>IF($N57="","",INDEX('Deal maths'!$Y$1:$Y$1000,$N57))</f>
        <v/>
      </c>
      <c r="H57" s="93" t="str">
        <f>IF($N57="","",INDEX('Deal maths'!$AB$1:$AB$1000,$N57))</f>
        <v/>
      </c>
      <c r="I57" s="94" t="str">
        <f>IF($N57="","",INDEX('Deal maths'!$Z$1:$Z$1000,$N57))</f>
        <v/>
      </c>
      <c r="J57" s="94" t="str">
        <f>IF($N57="","",INDEX('Deal maths'!$AA$1:$AA$1000,$N57))</f>
        <v/>
      </c>
      <c r="K57" s="94" t="str">
        <f>IF($N57="","",INDEX('Deal maths'!$AG$1:$AG$1000,$N57))</f>
        <v/>
      </c>
      <c r="L57" s="95" t="str">
        <f>IF($N57="","",INDEX('Loan maths'!$P$1:$P$1000,$N57))</f>
        <v/>
      </c>
      <c r="M57" s="92" t="str">
        <f>IF($N57="","",N(G57)*N(H57))</f>
        <v/>
      </c>
      <c r="N57" s="96" t="str">
        <f>IFERROR(MATCH(SMALL(LM_order,49),LM_order,0)+3,"")</f>
        <v/>
      </c>
    </row>
    <row r="58">
      <c r="B58" s="91" t="str">
        <f>IF($N58="","",INDEX('Loans'!$B$1:$B$1000,$N58)&amp;"")</f>
        <v/>
      </c>
      <c r="C58" s="91" t="str">
        <f>IF($N58="","",INDEX('Loans'!$A$1:$A$1000,$N58)&amp;"")</f>
        <v/>
      </c>
      <c r="D58" s="91" t="str">
        <f>IF($N58="","",INDEX('Loans'!$C$1:$C$1000,$N58)&amp;"")</f>
        <v/>
      </c>
      <c r="E58" s="91" t="str">
        <f>IF($N58="","",INDEX('Loan maths'!$C$1:$C$1000,$N58)&amp;"")</f>
        <v/>
      </c>
      <c r="F58" s="91" t="str">
        <f>IF($N58="","",INDEX('Loans'!$K$1:$K$1000,$N58)&amp;"")</f>
        <v/>
      </c>
      <c r="G58" s="92" t="str">
        <f>IF($N58="","",INDEX('Deal maths'!$Y$1:$Y$1000,$N58))</f>
        <v/>
      </c>
      <c r="H58" s="93" t="str">
        <f>IF($N58="","",INDEX('Deal maths'!$AB$1:$AB$1000,$N58))</f>
        <v/>
      </c>
      <c r="I58" s="94" t="str">
        <f>IF($N58="","",INDEX('Deal maths'!$Z$1:$Z$1000,$N58))</f>
        <v/>
      </c>
      <c r="J58" s="94" t="str">
        <f>IF($N58="","",INDEX('Deal maths'!$AA$1:$AA$1000,$N58))</f>
        <v/>
      </c>
      <c r="K58" s="94" t="str">
        <f>IF($N58="","",INDEX('Deal maths'!$AG$1:$AG$1000,$N58))</f>
        <v/>
      </c>
      <c r="L58" s="95" t="str">
        <f>IF($N58="","",INDEX('Loan maths'!$P$1:$P$1000,$N58))</f>
        <v/>
      </c>
      <c r="M58" s="92" t="str">
        <f>IF($N58="","",N(G58)*N(H58))</f>
        <v/>
      </c>
      <c r="N58" s="96" t="str">
        <f>IFERROR(MATCH(SMALL(LM_order,50),LM_order,0)+3,"")</f>
        <v/>
      </c>
    </row>
    <row r="59">
      <c r="B59" s="91" t="str">
        <f>IF($N59="","",INDEX('Loans'!$B$1:$B$1000,$N59)&amp;"")</f>
        <v/>
      </c>
      <c r="C59" s="91" t="str">
        <f>IF($N59="","",INDEX('Loans'!$A$1:$A$1000,$N59)&amp;"")</f>
        <v/>
      </c>
      <c r="D59" s="91" t="str">
        <f>IF($N59="","",INDEX('Loans'!$C$1:$C$1000,$N59)&amp;"")</f>
        <v/>
      </c>
      <c r="E59" s="91" t="str">
        <f>IF($N59="","",INDEX('Loan maths'!$C$1:$C$1000,$N59)&amp;"")</f>
        <v/>
      </c>
      <c r="F59" s="91" t="str">
        <f>IF($N59="","",INDEX('Loans'!$K$1:$K$1000,$N59)&amp;"")</f>
        <v/>
      </c>
      <c r="G59" s="92" t="str">
        <f>IF($N59="","",INDEX('Deal maths'!$Y$1:$Y$1000,$N59))</f>
        <v/>
      </c>
      <c r="H59" s="93" t="str">
        <f>IF($N59="","",INDEX('Deal maths'!$AB$1:$AB$1000,$N59))</f>
        <v/>
      </c>
      <c r="I59" s="94" t="str">
        <f>IF($N59="","",INDEX('Deal maths'!$Z$1:$Z$1000,$N59))</f>
        <v/>
      </c>
      <c r="J59" s="94" t="str">
        <f>IF($N59="","",INDEX('Deal maths'!$AA$1:$AA$1000,$N59))</f>
        <v/>
      </c>
      <c r="K59" s="94" t="str">
        <f>IF($N59="","",INDEX('Deal maths'!$AG$1:$AG$1000,$N59))</f>
        <v/>
      </c>
      <c r="L59" s="95" t="str">
        <f>IF($N59="","",INDEX('Loan maths'!$P$1:$P$1000,$N59))</f>
        <v/>
      </c>
      <c r="M59" s="92" t="str">
        <f>IF($N59="","",N(G59)*N(H59))</f>
        <v/>
      </c>
      <c r="N59" s="96" t="str">
        <f>IFERROR(MATCH(SMALL(LM_order,51),LM_order,0)+3,"")</f>
        <v/>
      </c>
    </row>
    <row r="60">
      <c r="B60" s="91" t="str">
        <f>IF($N60="","",INDEX('Loans'!$B$1:$B$1000,$N60)&amp;"")</f>
        <v/>
      </c>
      <c r="C60" s="91" t="str">
        <f>IF($N60="","",INDEX('Loans'!$A$1:$A$1000,$N60)&amp;"")</f>
        <v/>
      </c>
      <c r="D60" s="91" t="str">
        <f>IF($N60="","",INDEX('Loans'!$C$1:$C$1000,$N60)&amp;"")</f>
        <v/>
      </c>
      <c r="E60" s="91" t="str">
        <f>IF($N60="","",INDEX('Loan maths'!$C$1:$C$1000,$N60)&amp;"")</f>
        <v/>
      </c>
      <c r="F60" s="91" t="str">
        <f>IF($N60="","",INDEX('Loans'!$K$1:$K$1000,$N60)&amp;"")</f>
        <v/>
      </c>
      <c r="G60" s="92" t="str">
        <f>IF($N60="","",INDEX('Deal maths'!$Y$1:$Y$1000,$N60))</f>
        <v/>
      </c>
      <c r="H60" s="93" t="str">
        <f>IF($N60="","",INDEX('Deal maths'!$AB$1:$AB$1000,$N60))</f>
        <v/>
      </c>
      <c r="I60" s="94" t="str">
        <f>IF($N60="","",INDEX('Deal maths'!$Z$1:$Z$1000,$N60))</f>
        <v/>
      </c>
      <c r="J60" s="94" t="str">
        <f>IF($N60="","",INDEX('Deal maths'!$AA$1:$AA$1000,$N60))</f>
        <v/>
      </c>
      <c r="K60" s="94" t="str">
        <f>IF($N60="","",INDEX('Deal maths'!$AG$1:$AG$1000,$N60))</f>
        <v/>
      </c>
      <c r="L60" s="95" t="str">
        <f>IF($N60="","",INDEX('Loan maths'!$P$1:$P$1000,$N60))</f>
        <v/>
      </c>
      <c r="M60" s="92" t="str">
        <f>IF($N60="","",N(G60)*N(H60))</f>
        <v/>
      </c>
      <c r="N60" s="96" t="str">
        <f>IFERROR(MATCH(SMALL(LM_order,52),LM_order,0)+3,"")</f>
        <v/>
      </c>
    </row>
    <row r="61">
      <c r="B61" s="91" t="str">
        <f>IF($N61="","",INDEX('Loans'!$B$1:$B$1000,$N61)&amp;"")</f>
        <v/>
      </c>
      <c r="C61" s="91" t="str">
        <f>IF($N61="","",INDEX('Loans'!$A$1:$A$1000,$N61)&amp;"")</f>
        <v/>
      </c>
      <c r="D61" s="91" t="str">
        <f>IF($N61="","",INDEX('Loans'!$C$1:$C$1000,$N61)&amp;"")</f>
        <v/>
      </c>
      <c r="E61" s="91" t="str">
        <f>IF($N61="","",INDEX('Loan maths'!$C$1:$C$1000,$N61)&amp;"")</f>
        <v/>
      </c>
      <c r="F61" s="91" t="str">
        <f>IF($N61="","",INDEX('Loans'!$K$1:$K$1000,$N61)&amp;"")</f>
        <v/>
      </c>
      <c r="G61" s="92" t="str">
        <f>IF($N61="","",INDEX('Deal maths'!$Y$1:$Y$1000,$N61))</f>
        <v/>
      </c>
      <c r="H61" s="93" t="str">
        <f>IF($N61="","",INDEX('Deal maths'!$AB$1:$AB$1000,$N61))</f>
        <v/>
      </c>
      <c r="I61" s="94" t="str">
        <f>IF($N61="","",INDEX('Deal maths'!$Z$1:$Z$1000,$N61))</f>
        <v/>
      </c>
      <c r="J61" s="94" t="str">
        <f>IF($N61="","",INDEX('Deal maths'!$AA$1:$AA$1000,$N61))</f>
        <v/>
      </c>
      <c r="K61" s="94" t="str">
        <f>IF($N61="","",INDEX('Deal maths'!$AG$1:$AG$1000,$N61))</f>
        <v/>
      </c>
      <c r="L61" s="95" t="str">
        <f>IF($N61="","",INDEX('Loan maths'!$P$1:$P$1000,$N61))</f>
        <v/>
      </c>
      <c r="M61" s="92" t="str">
        <f>IF($N61="","",N(G61)*N(H61))</f>
        <v/>
      </c>
      <c r="N61" s="96" t="str">
        <f>IFERROR(MATCH(SMALL(LM_order,53),LM_order,0)+3,"")</f>
        <v/>
      </c>
    </row>
    <row r="62">
      <c r="B62" s="91" t="str">
        <f>IF($N62="","",INDEX('Loans'!$B$1:$B$1000,$N62)&amp;"")</f>
        <v/>
      </c>
      <c r="C62" s="91" t="str">
        <f>IF($N62="","",INDEX('Loans'!$A$1:$A$1000,$N62)&amp;"")</f>
        <v/>
      </c>
      <c r="D62" s="91" t="str">
        <f>IF($N62="","",INDEX('Loans'!$C$1:$C$1000,$N62)&amp;"")</f>
        <v/>
      </c>
      <c r="E62" s="91" t="str">
        <f>IF($N62="","",INDEX('Loan maths'!$C$1:$C$1000,$N62)&amp;"")</f>
        <v/>
      </c>
      <c r="F62" s="91" t="str">
        <f>IF($N62="","",INDEX('Loans'!$K$1:$K$1000,$N62)&amp;"")</f>
        <v/>
      </c>
      <c r="G62" s="92" t="str">
        <f>IF($N62="","",INDEX('Deal maths'!$Y$1:$Y$1000,$N62))</f>
        <v/>
      </c>
      <c r="H62" s="93" t="str">
        <f>IF($N62="","",INDEX('Deal maths'!$AB$1:$AB$1000,$N62))</f>
        <v/>
      </c>
      <c r="I62" s="94" t="str">
        <f>IF($N62="","",INDEX('Deal maths'!$Z$1:$Z$1000,$N62))</f>
        <v/>
      </c>
      <c r="J62" s="94" t="str">
        <f>IF($N62="","",INDEX('Deal maths'!$AA$1:$AA$1000,$N62))</f>
        <v/>
      </c>
      <c r="K62" s="94" t="str">
        <f>IF($N62="","",INDEX('Deal maths'!$AG$1:$AG$1000,$N62))</f>
        <v/>
      </c>
      <c r="L62" s="95" t="str">
        <f>IF($N62="","",INDEX('Loan maths'!$P$1:$P$1000,$N62))</f>
        <v/>
      </c>
      <c r="M62" s="92" t="str">
        <f>IF($N62="","",N(G62)*N(H62))</f>
        <v/>
      </c>
      <c r="N62" s="96" t="str">
        <f>IFERROR(MATCH(SMALL(LM_order,54),LM_order,0)+3,"")</f>
        <v/>
      </c>
    </row>
    <row r="63">
      <c r="B63" s="91" t="str">
        <f>IF($N63="","",INDEX('Loans'!$B$1:$B$1000,$N63)&amp;"")</f>
        <v/>
      </c>
      <c r="C63" s="91" t="str">
        <f>IF($N63="","",INDEX('Loans'!$A$1:$A$1000,$N63)&amp;"")</f>
        <v/>
      </c>
      <c r="D63" s="91" t="str">
        <f>IF($N63="","",INDEX('Loans'!$C$1:$C$1000,$N63)&amp;"")</f>
        <v/>
      </c>
      <c r="E63" s="91" t="str">
        <f>IF($N63="","",INDEX('Loan maths'!$C$1:$C$1000,$N63)&amp;"")</f>
        <v/>
      </c>
      <c r="F63" s="91" t="str">
        <f>IF($N63="","",INDEX('Loans'!$K$1:$K$1000,$N63)&amp;"")</f>
        <v/>
      </c>
      <c r="G63" s="92" t="str">
        <f>IF($N63="","",INDEX('Deal maths'!$Y$1:$Y$1000,$N63))</f>
        <v/>
      </c>
      <c r="H63" s="93" t="str">
        <f>IF($N63="","",INDEX('Deal maths'!$AB$1:$AB$1000,$N63))</f>
        <v/>
      </c>
      <c r="I63" s="94" t="str">
        <f>IF($N63="","",INDEX('Deal maths'!$Z$1:$Z$1000,$N63))</f>
        <v/>
      </c>
      <c r="J63" s="94" t="str">
        <f>IF($N63="","",INDEX('Deal maths'!$AA$1:$AA$1000,$N63))</f>
        <v/>
      </c>
      <c r="K63" s="94" t="str">
        <f>IF($N63="","",INDEX('Deal maths'!$AG$1:$AG$1000,$N63))</f>
        <v/>
      </c>
      <c r="L63" s="95" t="str">
        <f>IF($N63="","",INDEX('Loan maths'!$P$1:$P$1000,$N63))</f>
        <v/>
      </c>
      <c r="M63" s="92" t="str">
        <f>IF($N63="","",N(G63)*N(H63))</f>
        <v/>
      </c>
      <c r="N63" s="96" t="str">
        <f>IFERROR(MATCH(SMALL(LM_order,55),LM_order,0)+3,"")</f>
        <v/>
      </c>
    </row>
    <row r="64">
      <c r="B64" s="91" t="str">
        <f>IF($N64="","",INDEX('Loans'!$B$1:$B$1000,$N64)&amp;"")</f>
        <v/>
      </c>
      <c r="C64" s="91" t="str">
        <f>IF($N64="","",INDEX('Loans'!$A$1:$A$1000,$N64)&amp;"")</f>
        <v/>
      </c>
      <c r="D64" s="91" t="str">
        <f>IF($N64="","",INDEX('Loans'!$C$1:$C$1000,$N64)&amp;"")</f>
        <v/>
      </c>
      <c r="E64" s="91" t="str">
        <f>IF($N64="","",INDEX('Loan maths'!$C$1:$C$1000,$N64)&amp;"")</f>
        <v/>
      </c>
      <c r="F64" s="91" t="str">
        <f>IF($N64="","",INDEX('Loans'!$K$1:$K$1000,$N64)&amp;"")</f>
        <v/>
      </c>
      <c r="G64" s="92" t="str">
        <f>IF($N64="","",INDEX('Deal maths'!$Y$1:$Y$1000,$N64))</f>
        <v/>
      </c>
      <c r="H64" s="93" t="str">
        <f>IF($N64="","",INDEX('Deal maths'!$AB$1:$AB$1000,$N64))</f>
        <v/>
      </c>
      <c r="I64" s="94" t="str">
        <f>IF($N64="","",INDEX('Deal maths'!$Z$1:$Z$1000,$N64))</f>
        <v/>
      </c>
      <c r="J64" s="94" t="str">
        <f>IF($N64="","",INDEX('Deal maths'!$AA$1:$AA$1000,$N64))</f>
        <v/>
      </c>
      <c r="K64" s="94" t="str">
        <f>IF($N64="","",INDEX('Deal maths'!$AG$1:$AG$1000,$N64))</f>
        <v/>
      </c>
      <c r="L64" s="95" t="str">
        <f>IF($N64="","",INDEX('Loan maths'!$P$1:$P$1000,$N64))</f>
        <v/>
      </c>
      <c r="M64" s="92" t="str">
        <f>IF($N64="","",N(G64)*N(H64))</f>
        <v/>
      </c>
      <c r="N64" s="96" t="str">
        <f>IFERROR(MATCH(SMALL(LM_order,56),LM_order,0)+3,"")</f>
        <v/>
      </c>
    </row>
    <row r="65">
      <c r="B65" s="91" t="str">
        <f>IF($N65="","",INDEX('Loans'!$B$1:$B$1000,$N65)&amp;"")</f>
        <v/>
      </c>
      <c r="C65" s="91" t="str">
        <f>IF($N65="","",INDEX('Loans'!$A$1:$A$1000,$N65)&amp;"")</f>
        <v/>
      </c>
      <c r="D65" s="91" t="str">
        <f>IF($N65="","",INDEX('Loans'!$C$1:$C$1000,$N65)&amp;"")</f>
        <v/>
      </c>
      <c r="E65" s="91" t="str">
        <f>IF($N65="","",INDEX('Loan maths'!$C$1:$C$1000,$N65)&amp;"")</f>
        <v/>
      </c>
      <c r="F65" s="91" t="str">
        <f>IF($N65="","",INDEX('Loans'!$K$1:$K$1000,$N65)&amp;"")</f>
        <v/>
      </c>
      <c r="G65" s="92" t="str">
        <f>IF($N65="","",INDEX('Deal maths'!$Y$1:$Y$1000,$N65))</f>
        <v/>
      </c>
      <c r="H65" s="93" t="str">
        <f>IF($N65="","",INDEX('Deal maths'!$AB$1:$AB$1000,$N65))</f>
        <v/>
      </c>
      <c r="I65" s="94" t="str">
        <f>IF($N65="","",INDEX('Deal maths'!$Z$1:$Z$1000,$N65))</f>
        <v/>
      </c>
      <c r="J65" s="94" t="str">
        <f>IF($N65="","",INDEX('Deal maths'!$AA$1:$AA$1000,$N65))</f>
        <v/>
      </c>
      <c r="K65" s="94" t="str">
        <f>IF($N65="","",INDEX('Deal maths'!$AG$1:$AG$1000,$N65))</f>
        <v/>
      </c>
      <c r="L65" s="95" t="str">
        <f>IF($N65="","",INDEX('Loan maths'!$P$1:$P$1000,$N65))</f>
        <v/>
      </c>
      <c r="M65" s="92" t="str">
        <f>IF($N65="","",N(G65)*N(H65))</f>
        <v/>
      </c>
      <c r="N65" s="96" t="str">
        <f>IFERROR(MATCH(SMALL(LM_order,57),LM_order,0)+3,"")</f>
        <v/>
      </c>
    </row>
    <row r="66">
      <c r="B66" s="91" t="str">
        <f>IF($N66="","",INDEX('Loans'!$B$1:$B$1000,$N66)&amp;"")</f>
        <v/>
      </c>
      <c r="C66" s="91" t="str">
        <f>IF($N66="","",INDEX('Loans'!$A$1:$A$1000,$N66)&amp;"")</f>
        <v/>
      </c>
      <c r="D66" s="91" t="str">
        <f>IF($N66="","",INDEX('Loans'!$C$1:$C$1000,$N66)&amp;"")</f>
        <v/>
      </c>
      <c r="E66" s="91" t="str">
        <f>IF($N66="","",INDEX('Loan maths'!$C$1:$C$1000,$N66)&amp;"")</f>
        <v/>
      </c>
      <c r="F66" s="91" t="str">
        <f>IF($N66="","",INDEX('Loans'!$K$1:$K$1000,$N66)&amp;"")</f>
        <v/>
      </c>
      <c r="G66" s="92" t="str">
        <f>IF($N66="","",INDEX('Deal maths'!$Y$1:$Y$1000,$N66))</f>
        <v/>
      </c>
      <c r="H66" s="93" t="str">
        <f>IF($N66="","",INDEX('Deal maths'!$AB$1:$AB$1000,$N66))</f>
        <v/>
      </c>
      <c r="I66" s="94" t="str">
        <f>IF($N66="","",INDEX('Deal maths'!$Z$1:$Z$1000,$N66))</f>
        <v/>
      </c>
      <c r="J66" s="94" t="str">
        <f>IF($N66="","",INDEX('Deal maths'!$AA$1:$AA$1000,$N66))</f>
        <v/>
      </c>
      <c r="K66" s="94" t="str">
        <f>IF($N66="","",INDEX('Deal maths'!$AG$1:$AG$1000,$N66))</f>
        <v/>
      </c>
      <c r="L66" s="95" t="str">
        <f>IF($N66="","",INDEX('Loan maths'!$P$1:$P$1000,$N66))</f>
        <v/>
      </c>
      <c r="M66" s="92" t="str">
        <f>IF($N66="","",N(G66)*N(H66))</f>
        <v/>
      </c>
      <c r="N66" s="96" t="str">
        <f>IFERROR(MATCH(SMALL(LM_order,58),LM_order,0)+3,"")</f>
        <v/>
      </c>
    </row>
    <row r="67">
      <c r="B67" s="91" t="str">
        <f>IF($N67="","",INDEX('Loans'!$B$1:$B$1000,$N67)&amp;"")</f>
        <v/>
      </c>
      <c r="C67" s="91" t="str">
        <f>IF($N67="","",INDEX('Loans'!$A$1:$A$1000,$N67)&amp;"")</f>
        <v/>
      </c>
      <c r="D67" s="91" t="str">
        <f>IF($N67="","",INDEX('Loans'!$C$1:$C$1000,$N67)&amp;"")</f>
        <v/>
      </c>
      <c r="E67" s="91" t="str">
        <f>IF($N67="","",INDEX('Loan maths'!$C$1:$C$1000,$N67)&amp;"")</f>
        <v/>
      </c>
      <c r="F67" s="91" t="str">
        <f>IF($N67="","",INDEX('Loans'!$K$1:$K$1000,$N67)&amp;"")</f>
        <v/>
      </c>
      <c r="G67" s="92" t="str">
        <f>IF($N67="","",INDEX('Deal maths'!$Y$1:$Y$1000,$N67))</f>
        <v/>
      </c>
      <c r="H67" s="93" t="str">
        <f>IF($N67="","",INDEX('Deal maths'!$AB$1:$AB$1000,$N67))</f>
        <v/>
      </c>
      <c r="I67" s="94" t="str">
        <f>IF($N67="","",INDEX('Deal maths'!$Z$1:$Z$1000,$N67))</f>
        <v/>
      </c>
      <c r="J67" s="94" t="str">
        <f>IF($N67="","",INDEX('Deal maths'!$AA$1:$AA$1000,$N67))</f>
        <v/>
      </c>
      <c r="K67" s="94" t="str">
        <f>IF($N67="","",INDEX('Deal maths'!$AG$1:$AG$1000,$N67))</f>
        <v/>
      </c>
      <c r="L67" s="95" t="str">
        <f>IF($N67="","",INDEX('Loan maths'!$P$1:$P$1000,$N67))</f>
        <v/>
      </c>
      <c r="M67" s="92" t="str">
        <f>IF($N67="","",N(G67)*N(H67))</f>
        <v/>
      </c>
      <c r="N67" s="96" t="str">
        <f>IFERROR(MATCH(SMALL(LM_order,59),LM_order,0)+3,"")</f>
        <v/>
      </c>
    </row>
    <row r="68">
      <c r="B68" s="91" t="str">
        <f>IF($N68="","",INDEX('Loans'!$B$1:$B$1000,$N68)&amp;"")</f>
        <v/>
      </c>
      <c r="C68" s="91" t="str">
        <f>IF($N68="","",INDEX('Loans'!$A$1:$A$1000,$N68)&amp;"")</f>
        <v/>
      </c>
      <c r="D68" s="91" t="str">
        <f>IF($N68="","",INDEX('Loans'!$C$1:$C$1000,$N68)&amp;"")</f>
        <v/>
      </c>
      <c r="E68" s="91" t="str">
        <f>IF($N68="","",INDEX('Loan maths'!$C$1:$C$1000,$N68)&amp;"")</f>
        <v/>
      </c>
      <c r="F68" s="91" t="str">
        <f>IF($N68="","",INDEX('Loans'!$K$1:$K$1000,$N68)&amp;"")</f>
        <v/>
      </c>
      <c r="G68" s="92" t="str">
        <f>IF($N68="","",INDEX('Deal maths'!$Y$1:$Y$1000,$N68))</f>
        <v/>
      </c>
      <c r="H68" s="93" t="str">
        <f>IF($N68="","",INDEX('Deal maths'!$AB$1:$AB$1000,$N68))</f>
        <v/>
      </c>
      <c r="I68" s="94" t="str">
        <f>IF($N68="","",INDEX('Deal maths'!$Z$1:$Z$1000,$N68))</f>
        <v/>
      </c>
      <c r="J68" s="94" t="str">
        <f>IF($N68="","",INDEX('Deal maths'!$AA$1:$AA$1000,$N68))</f>
        <v/>
      </c>
      <c r="K68" s="94" t="str">
        <f>IF($N68="","",INDEX('Deal maths'!$AG$1:$AG$1000,$N68))</f>
        <v/>
      </c>
      <c r="L68" s="95" t="str">
        <f>IF($N68="","",INDEX('Loan maths'!$P$1:$P$1000,$N68))</f>
        <v/>
      </c>
      <c r="M68" s="92" t="str">
        <f>IF($N68="","",N(G68)*N(H68))</f>
        <v/>
      </c>
      <c r="N68" s="96" t="str">
        <f>IFERROR(MATCH(SMALL(LM_order,60),LM_order,0)+3,"")</f>
        <v/>
      </c>
    </row>
    <row r="69">
      <c r="B69" s="91" t="str">
        <f>IF($N69="","",INDEX('Loans'!$B$1:$B$1000,$N69)&amp;"")</f>
        <v/>
      </c>
      <c r="C69" s="91" t="str">
        <f>IF($N69="","",INDEX('Loans'!$A$1:$A$1000,$N69)&amp;"")</f>
        <v/>
      </c>
      <c r="D69" s="91" t="str">
        <f>IF($N69="","",INDEX('Loans'!$C$1:$C$1000,$N69)&amp;"")</f>
        <v/>
      </c>
      <c r="E69" s="91" t="str">
        <f>IF($N69="","",INDEX('Loan maths'!$C$1:$C$1000,$N69)&amp;"")</f>
        <v/>
      </c>
      <c r="F69" s="91" t="str">
        <f>IF($N69="","",INDEX('Loans'!$K$1:$K$1000,$N69)&amp;"")</f>
        <v/>
      </c>
      <c r="G69" s="92" t="str">
        <f>IF($N69="","",INDEX('Deal maths'!$Y$1:$Y$1000,$N69))</f>
        <v/>
      </c>
      <c r="H69" s="93" t="str">
        <f>IF($N69="","",INDEX('Deal maths'!$AB$1:$AB$1000,$N69))</f>
        <v/>
      </c>
      <c r="I69" s="94" t="str">
        <f>IF($N69="","",INDEX('Deal maths'!$Z$1:$Z$1000,$N69))</f>
        <v/>
      </c>
      <c r="J69" s="94" t="str">
        <f>IF($N69="","",INDEX('Deal maths'!$AA$1:$AA$1000,$N69))</f>
        <v/>
      </c>
      <c r="K69" s="94" t="str">
        <f>IF($N69="","",INDEX('Deal maths'!$AG$1:$AG$1000,$N69))</f>
        <v/>
      </c>
      <c r="L69" s="95" t="str">
        <f>IF($N69="","",INDEX('Loan maths'!$P$1:$P$1000,$N69))</f>
        <v/>
      </c>
      <c r="M69" s="92" t="str">
        <f>IF($N69="","",N(G69)*N(H69))</f>
        <v/>
      </c>
      <c r="N69" s="96" t="str">
        <f>IFERROR(MATCH(SMALL(LM_order,61),LM_order,0)+3,"")</f>
        <v/>
      </c>
    </row>
    <row r="70">
      <c r="B70" s="91" t="str">
        <f>IF($N70="","",INDEX('Loans'!$B$1:$B$1000,$N70)&amp;"")</f>
        <v/>
      </c>
      <c r="C70" s="91" t="str">
        <f>IF($N70="","",INDEX('Loans'!$A$1:$A$1000,$N70)&amp;"")</f>
        <v/>
      </c>
      <c r="D70" s="91" t="str">
        <f>IF($N70="","",INDEX('Loans'!$C$1:$C$1000,$N70)&amp;"")</f>
        <v/>
      </c>
      <c r="E70" s="91" t="str">
        <f>IF($N70="","",INDEX('Loan maths'!$C$1:$C$1000,$N70)&amp;"")</f>
        <v/>
      </c>
      <c r="F70" s="91" t="str">
        <f>IF($N70="","",INDEX('Loans'!$K$1:$K$1000,$N70)&amp;"")</f>
        <v/>
      </c>
      <c r="G70" s="92" t="str">
        <f>IF($N70="","",INDEX('Deal maths'!$Y$1:$Y$1000,$N70))</f>
        <v/>
      </c>
      <c r="H70" s="93" t="str">
        <f>IF($N70="","",INDEX('Deal maths'!$AB$1:$AB$1000,$N70))</f>
        <v/>
      </c>
      <c r="I70" s="94" t="str">
        <f>IF($N70="","",INDEX('Deal maths'!$Z$1:$Z$1000,$N70))</f>
        <v/>
      </c>
      <c r="J70" s="94" t="str">
        <f>IF($N70="","",INDEX('Deal maths'!$AA$1:$AA$1000,$N70))</f>
        <v/>
      </c>
      <c r="K70" s="94" t="str">
        <f>IF($N70="","",INDEX('Deal maths'!$AG$1:$AG$1000,$N70))</f>
        <v/>
      </c>
      <c r="L70" s="95" t="str">
        <f>IF($N70="","",INDEX('Loan maths'!$P$1:$P$1000,$N70))</f>
        <v/>
      </c>
      <c r="M70" s="92" t="str">
        <f>IF($N70="","",N(G70)*N(H70))</f>
        <v/>
      </c>
      <c r="N70" s="96" t="str">
        <f>IFERROR(MATCH(SMALL(LM_order,62),LM_order,0)+3,"")</f>
        <v/>
      </c>
    </row>
    <row r="71">
      <c r="B71" s="91" t="str">
        <f>IF($N71="","",INDEX('Loans'!$B$1:$B$1000,$N71)&amp;"")</f>
        <v/>
      </c>
      <c r="C71" s="91" t="str">
        <f>IF($N71="","",INDEX('Loans'!$A$1:$A$1000,$N71)&amp;"")</f>
        <v/>
      </c>
      <c r="D71" s="91" t="str">
        <f>IF($N71="","",INDEX('Loans'!$C$1:$C$1000,$N71)&amp;"")</f>
        <v/>
      </c>
      <c r="E71" s="91" t="str">
        <f>IF($N71="","",INDEX('Loan maths'!$C$1:$C$1000,$N71)&amp;"")</f>
        <v/>
      </c>
      <c r="F71" s="91" t="str">
        <f>IF($N71="","",INDEX('Loans'!$K$1:$K$1000,$N71)&amp;"")</f>
        <v/>
      </c>
      <c r="G71" s="92" t="str">
        <f>IF($N71="","",INDEX('Deal maths'!$Y$1:$Y$1000,$N71))</f>
        <v/>
      </c>
      <c r="H71" s="93" t="str">
        <f>IF($N71="","",INDEX('Deal maths'!$AB$1:$AB$1000,$N71))</f>
        <v/>
      </c>
      <c r="I71" s="94" t="str">
        <f>IF($N71="","",INDEX('Deal maths'!$Z$1:$Z$1000,$N71))</f>
        <v/>
      </c>
      <c r="J71" s="94" t="str">
        <f>IF($N71="","",INDEX('Deal maths'!$AA$1:$AA$1000,$N71))</f>
        <v/>
      </c>
      <c r="K71" s="94" t="str">
        <f>IF($N71="","",INDEX('Deal maths'!$AG$1:$AG$1000,$N71))</f>
        <v/>
      </c>
      <c r="L71" s="95" t="str">
        <f>IF($N71="","",INDEX('Loan maths'!$P$1:$P$1000,$N71))</f>
        <v/>
      </c>
      <c r="M71" s="92" t="str">
        <f>IF($N71="","",N(G71)*N(H71))</f>
        <v/>
      </c>
      <c r="N71" s="96" t="str">
        <f>IFERROR(MATCH(SMALL(LM_order,63),LM_order,0)+3,"")</f>
        <v/>
      </c>
    </row>
    <row r="72">
      <c r="B72" s="91" t="str">
        <f>IF($N72="","",INDEX('Loans'!$B$1:$B$1000,$N72)&amp;"")</f>
        <v/>
      </c>
      <c r="C72" s="91" t="str">
        <f>IF($N72="","",INDEX('Loans'!$A$1:$A$1000,$N72)&amp;"")</f>
        <v/>
      </c>
      <c r="D72" s="91" t="str">
        <f>IF($N72="","",INDEX('Loans'!$C$1:$C$1000,$N72)&amp;"")</f>
        <v/>
      </c>
      <c r="E72" s="91" t="str">
        <f>IF($N72="","",INDEX('Loan maths'!$C$1:$C$1000,$N72)&amp;"")</f>
        <v/>
      </c>
      <c r="F72" s="91" t="str">
        <f>IF($N72="","",INDEX('Loans'!$K$1:$K$1000,$N72)&amp;"")</f>
        <v/>
      </c>
      <c r="G72" s="92" t="str">
        <f>IF($N72="","",INDEX('Deal maths'!$Y$1:$Y$1000,$N72))</f>
        <v/>
      </c>
      <c r="H72" s="93" t="str">
        <f>IF($N72="","",INDEX('Deal maths'!$AB$1:$AB$1000,$N72))</f>
        <v/>
      </c>
      <c r="I72" s="94" t="str">
        <f>IF($N72="","",INDEX('Deal maths'!$Z$1:$Z$1000,$N72))</f>
        <v/>
      </c>
      <c r="J72" s="94" t="str">
        <f>IF($N72="","",INDEX('Deal maths'!$AA$1:$AA$1000,$N72))</f>
        <v/>
      </c>
      <c r="K72" s="94" t="str">
        <f>IF($N72="","",INDEX('Deal maths'!$AG$1:$AG$1000,$N72))</f>
        <v/>
      </c>
      <c r="L72" s="95" t="str">
        <f>IF($N72="","",INDEX('Loan maths'!$P$1:$P$1000,$N72))</f>
        <v/>
      </c>
      <c r="M72" s="92" t="str">
        <f>IF($N72="","",N(G72)*N(H72))</f>
        <v/>
      </c>
      <c r="N72" s="96" t="str">
        <f>IFERROR(MATCH(SMALL(LM_order,64),LM_order,0)+3,"")</f>
        <v/>
      </c>
    </row>
    <row r="73">
      <c r="B73" s="91" t="str">
        <f>IF($N73="","",INDEX('Loans'!$B$1:$B$1000,$N73)&amp;"")</f>
        <v/>
      </c>
      <c r="C73" s="91" t="str">
        <f>IF($N73="","",INDEX('Loans'!$A$1:$A$1000,$N73)&amp;"")</f>
        <v/>
      </c>
      <c r="D73" s="91" t="str">
        <f>IF($N73="","",INDEX('Loans'!$C$1:$C$1000,$N73)&amp;"")</f>
        <v/>
      </c>
      <c r="E73" s="91" t="str">
        <f>IF($N73="","",INDEX('Loan maths'!$C$1:$C$1000,$N73)&amp;"")</f>
        <v/>
      </c>
      <c r="F73" s="91" t="str">
        <f>IF($N73="","",INDEX('Loans'!$K$1:$K$1000,$N73)&amp;"")</f>
        <v/>
      </c>
      <c r="G73" s="92" t="str">
        <f>IF($N73="","",INDEX('Deal maths'!$Y$1:$Y$1000,$N73))</f>
        <v/>
      </c>
      <c r="H73" s="93" t="str">
        <f>IF($N73="","",INDEX('Deal maths'!$AB$1:$AB$1000,$N73))</f>
        <v/>
      </c>
      <c r="I73" s="94" t="str">
        <f>IF($N73="","",INDEX('Deal maths'!$Z$1:$Z$1000,$N73))</f>
        <v/>
      </c>
      <c r="J73" s="94" t="str">
        <f>IF($N73="","",INDEX('Deal maths'!$AA$1:$AA$1000,$N73))</f>
        <v/>
      </c>
      <c r="K73" s="94" t="str">
        <f>IF($N73="","",INDEX('Deal maths'!$AG$1:$AG$1000,$N73))</f>
        <v/>
      </c>
      <c r="L73" s="95" t="str">
        <f>IF($N73="","",INDEX('Loan maths'!$P$1:$P$1000,$N73))</f>
        <v/>
      </c>
      <c r="M73" s="92" t="str">
        <f>IF($N73="","",N(G73)*N(H73))</f>
        <v/>
      </c>
      <c r="N73" s="96" t="str">
        <f>IFERROR(MATCH(SMALL(LM_order,65),LM_order,0)+3,"")</f>
        <v/>
      </c>
    </row>
    <row r="74">
      <c r="B74" s="91" t="str">
        <f>IF($N74="","",INDEX('Loans'!$B$1:$B$1000,$N74)&amp;"")</f>
        <v/>
      </c>
      <c r="C74" s="91" t="str">
        <f>IF($N74="","",INDEX('Loans'!$A$1:$A$1000,$N74)&amp;"")</f>
        <v/>
      </c>
      <c r="D74" s="91" t="str">
        <f>IF($N74="","",INDEX('Loans'!$C$1:$C$1000,$N74)&amp;"")</f>
        <v/>
      </c>
      <c r="E74" s="91" t="str">
        <f>IF($N74="","",INDEX('Loan maths'!$C$1:$C$1000,$N74)&amp;"")</f>
        <v/>
      </c>
      <c r="F74" s="91" t="str">
        <f>IF($N74="","",INDEX('Loans'!$K$1:$K$1000,$N74)&amp;"")</f>
        <v/>
      </c>
      <c r="G74" s="92" t="str">
        <f>IF($N74="","",INDEX('Deal maths'!$Y$1:$Y$1000,$N74))</f>
        <v/>
      </c>
      <c r="H74" s="93" t="str">
        <f>IF($N74="","",INDEX('Deal maths'!$AB$1:$AB$1000,$N74))</f>
        <v/>
      </c>
      <c r="I74" s="94" t="str">
        <f>IF($N74="","",INDEX('Deal maths'!$Z$1:$Z$1000,$N74))</f>
        <v/>
      </c>
      <c r="J74" s="94" t="str">
        <f>IF($N74="","",INDEX('Deal maths'!$AA$1:$AA$1000,$N74))</f>
        <v/>
      </c>
      <c r="K74" s="94" t="str">
        <f>IF($N74="","",INDEX('Deal maths'!$AG$1:$AG$1000,$N74))</f>
        <v/>
      </c>
      <c r="L74" s="95" t="str">
        <f>IF($N74="","",INDEX('Loan maths'!$P$1:$P$1000,$N74))</f>
        <v/>
      </c>
      <c r="M74" s="92" t="str">
        <f>IF($N74="","",N(G74)*N(H74))</f>
        <v/>
      </c>
      <c r="N74" s="96" t="str">
        <f>IFERROR(MATCH(SMALL(LM_order,66),LM_order,0)+3,"")</f>
        <v/>
      </c>
    </row>
    <row r="75">
      <c r="B75" s="91" t="str">
        <f>IF($N75="","",INDEX('Loans'!$B$1:$B$1000,$N75)&amp;"")</f>
        <v/>
      </c>
      <c r="C75" s="91" t="str">
        <f>IF($N75="","",INDEX('Loans'!$A$1:$A$1000,$N75)&amp;"")</f>
        <v/>
      </c>
      <c r="D75" s="91" t="str">
        <f>IF($N75="","",INDEX('Loans'!$C$1:$C$1000,$N75)&amp;"")</f>
        <v/>
      </c>
      <c r="E75" s="91" t="str">
        <f>IF($N75="","",INDEX('Loan maths'!$C$1:$C$1000,$N75)&amp;"")</f>
        <v/>
      </c>
      <c r="F75" s="91" t="str">
        <f>IF($N75="","",INDEX('Loans'!$K$1:$K$1000,$N75)&amp;"")</f>
        <v/>
      </c>
      <c r="G75" s="92" t="str">
        <f>IF($N75="","",INDEX('Deal maths'!$Y$1:$Y$1000,$N75))</f>
        <v/>
      </c>
      <c r="H75" s="93" t="str">
        <f>IF($N75="","",INDEX('Deal maths'!$AB$1:$AB$1000,$N75))</f>
        <v/>
      </c>
      <c r="I75" s="94" t="str">
        <f>IF($N75="","",INDEX('Deal maths'!$Z$1:$Z$1000,$N75))</f>
        <v/>
      </c>
      <c r="J75" s="94" t="str">
        <f>IF($N75="","",INDEX('Deal maths'!$AA$1:$AA$1000,$N75))</f>
        <v/>
      </c>
      <c r="K75" s="94" t="str">
        <f>IF($N75="","",INDEX('Deal maths'!$AG$1:$AG$1000,$N75))</f>
        <v/>
      </c>
      <c r="L75" s="95" t="str">
        <f>IF($N75="","",INDEX('Loan maths'!$P$1:$P$1000,$N75))</f>
        <v/>
      </c>
      <c r="M75" s="92" t="str">
        <f>IF($N75="","",N(G75)*N(H75))</f>
        <v/>
      </c>
      <c r="N75" s="96" t="str">
        <f>IFERROR(MATCH(SMALL(LM_order,67),LM_order,0)+3,"")</f>
        <v/>
      </c>
    </row>
    <row r="76">
      <c r="B76" s="91" t="str">
        <f>IF($N76="","",INDEX('Loans'!$B$1:$B$1000,$N76)&amp;"")</f>
        <v/>
      </c>
      <c r="C76" s="91" t="str">
        <f>IF($N76="","",INDEX('Loans'!$A$1:$A$1000,$N76)&amp;"")</f>
        <v/>
      </c>
      <c r="D76" s="91" t="str">
        <f>IF($N76="","",INDEX('Loans'!$C$1:$C$1000,$N76)&amp;"")</f>
        <v/>
      </c>
      <c r="E76" s="91" t="str">
        <f>IF($N76="","",INDEX('Loan maths'!$C$1:$C$1000,$N76)&amp;"")</f>
        <v/>
      </c>
      <c r="F76" s="91" t="str">
        <f>IF($N76="","",INDEX('Loans'!$K$1:$K$1000,$N76)&amp;"")</f>
        <v/>
      </c>
      <c r="G76" s="92" t="str">
        <f>IF($N76="","",INDEX('Deal maths'!$Y$1:$Y$1000,$N76))</f>
        <v/>
      </c>
      <c r="H76" s="93" t="str">
        <f>IF($N76="","",INDEX('Deal maths'!$AB$1:$AB$1000,$N76))</f>
        <v/>
      </c>
      <c r="I76" s="94" t="str">
        <f>IF($N76="","",INDEX('Deal maths'!$Z$1:$Z$1000,$N76))</f>
        <v/>
      </c>
      <c r="J76" s="94" t="str">
        <f>IF($N76="","",INDEX('Deal maths'!$AA$1:$AA$1000,$N76))</f>
        <v/>
      </c>
      <c r="K76" s="94" t="str">
        <f>IF($N76="","",INDEX('Deal maths'!$AG$1:$AG$1000,$N76))</f>
        <v/>
      </c>
      <c r="L76" s="95" t="str">
        <f>IF($N76="","",INDEX('Loan maths'!$P$1:$P$1000,$N76))</f>
        <v/>
      </c>
      <c r="M76" s="92" t="str">
        <f>IF($N76="","",N(G76)*N(H76))</f>
        <v/>
      </c>
      <c r="N76" s="96" t="str">
        <f>IFERROR(MATCH(SMALL(LM_order,68),LM_order,0)+3,"")</f>
        <v/>
      </c>
    </row>
    <row r="77">
      <c r="B77" s="91" t="str">
        <f>IF($N77="","",INDEX('Loans'!$B$1:$B$1000,$N77)&amp;"")</f>
        <v/>
      </c>
      <c r="C77" s="91" t="str">
        <f>IF($N77="","",INDEX('Loans'!$A$1:$A$1000,$N77)&amp;"")</f>
        <v/>
      </c>
      <c r="D77" s="91" t="str">
        <f>IF($N77="","",INDEX('Loans'!$C$1:$C$1000,$N77)&amp;"")</f>
        <v/>
      </c>
      <c r="E77" s="91" t="str">
        <f>IF($N77="","",INDEX('Loan maths'!$C$1:$C$1000,$N77)&amp;"")</f>
        <v/>
      </c>
      <c r="F77" s="91" t="str">
        <f>IF($N77="","",INDEX('Loans'!$K$1:$K$1000,$N77)&amp;"")</f>
        <v/>
      </c>
      <c r="G77" s="92" t="str">
        <f>IF($N77="","",INDEX('Deal maths'!$Y$1:$Y$1000,$N77))</f>
        <v/>
      </c>
      <c r="H77" s="93" t="str">
        <f>IF($N77="","",INDEX('Deal maths'!$AB$1:$AB$1000,$N77))</f>
        <v/>
      </c>
      <c r="I77" s="94" t="str">
        <f>IF($N77="","",INDEX('Deal maths'!$Z$1:$Z$1000,$N77))</f>
        <v/>
      </c>
      <c r="J77" s="94" t="str">
        <f>IF($N77="","",INDEX('Deal maths'!$AA$1:$AA$1000,$N77))</f>
        <v/>
      </c>
      <c r="K77" s="94" t="str">
        <f>IF($N77="","",INDEX('Deal maths'!$AG$1:$AG$1000,$N77))</f>
        <v/>
      </c>
      <c r="L77" s="95" t="str">
        <f>IF($N77="","",INDEX('Loan maths'!$P$1:$P$1000,$N77))</f>
        <v/>
      </c>
      <c r="M77" s="92" t="str">
        <f>IF($N77="","",N(G77)*N(H77))</f>
        <v/>
      </c>
      <c r="N77" s="96" t="str">
        <f>IFERROR(MATCH(SMALL(LM_order,69),LM_order,0)+3,"")</f>
        <v/>
      </c>
    </row>
    <row r="78">
      <c r="B78" s="91" t="str">
        <f>IF($N78="","",INDEX('Loans'!$B$1:$B$1000,$N78)&amp;"")</f>
        <v/>
      </c>
      <c r="C78" s="91" t="str">
        <f>IF($N78="","",INDEX('Loans'!$A$1:$A$1000,$N78)&amp;"")</f>
        <v/>
      </c>
      <c r="D78" s="91" t="str">
        <f>IF($N78="","",INDEX('Loans'!$C$1:$C$1000,$N78)&amp;"")</f>
        <v/>
      </c>
      <c r="E78" s="91" t="str">
        <f>IF($N78="","",INDEX('Loan maths'!$C$1:$C$1000,$N78)&amp;"")</f>
        <v/>
      </c>
      <c r="F78" s="91" t="str">
        <f>IF($N78="","",INDEX('Loans'!$K$1:$K$1000,$N78)&amp;"")</f>
        <v/>
      </c>
      <c r="G78" s="92" t="str">
        <f>IF($N78="","",INDEX('Deal maths'!$Y$1:$Y$1000,$N78))</f>
        <v/>
      </c>
      <c r="H78" s="93" t="str">
        <f>IF($N78="","",INDEX('Deal maths'!$AB$1:$AB$1000,$N78))</f>
        <v/>
      </c>
      <c r="I78" s="94" t="str">
        <f>IF($N78="","",INDEX('Deal maths'!$Z$1:$Z$1000,$N78))</f>
        <v/>
      </c>
      <c r="J78" s="94" t="str">
        <f>IF($N78="","",INDEX('Deal maths'!$AA$1:$AA$1000,$N78))</f>
        <v/>
      </c>
      <c r="K78" s="94" t="str">
        <f>IF($N78="","",INDEX('Deal maths'!$AG$1:$AG$1000,$N78))</f>
        <v/>
      </c>
      <c r="L78" s="95" t="str">
        <f>IF($N78="","",INDEX('Loan maths'!$P$1:$P$1000,$N78))</f>
        <v/>
      </c>
      <c r="M78" s="92" t="str">
        <f>IF($N78="","",N(G78)*N(H78))</f>
        <v/>
      </c>
      <c r="N78" s="96" t="str">
        <f>IFERROR(MATCH(SMALL(LM_order,70),LM_order,0)+3,"")</f>
        <v/>
      </c>
    </row>
    <row r="79">
      <c r="B79" s="91" t="str">
        <f>IF($N79="","",INDEX('Loans'!$B$1:$B$1000,$N79)&amp;"")</f>
        <v/>
      </c>
      <c r="C79" s="91" t="str">
        <f>IF($N79="","",INDEX('Loans'!$A$1:$A$1000,$N79)&amp;"")</f>
        <v/>
      </c>
      <c r="D79" s="91" t="str">
        <f>IF($N79="","",INDEX('Loans'!$C$1:$C$1000,$N79)&amp;"")</f>
        <v/>
      </c>
      <c r="E79" s="91" t="str">
        <f>IF($N79="","",INDEX('Loan maths'!$C$1:$C$1000,$N79)&amp;"")</f>
        <v/>
      </c>
      <c r="F79" s="91" t="str">
        <f>IF($N79="","",INDEX('Loans'!$K$1:$K$1000,$N79)&amp;"")</f>
        <v/>
      </c>
      <c r="G79" s="92" t="str">
        <f>IF($N79="","",INDEX('Deal maths'!$Y$1:$Y$1000,$N79))</f>
        <v/>
      </c>
      <c r="H79" s="93" t="str">
        <f>IF($N79="","",INDEX('Deal maths'!$AB$1:$AB$1000,$N79))</f>
        <v/>
      </c>
      <c r="I79" s="94" t="str">
        <f>IF($N79="","",INDEX('Deal maths'!$Z$1:$Z$1000,$N79))</f>
        <v/>
      </c>
      <c r="J79" s="94" t="str">
        <f>IF($N79="","",INDEX('Deal maths'!$AA$1:$AA$1000,$N79))</f>
        <v/>
      </c>
      <c r="K79" s="94" t="str">
        <f>IF($N79="","",INDEX('Deal maths'!$AG$1:$AG$1000,$N79))</f>
        <v/>
      </c>
      <c r="L79" s="95" t="str">
        <f>IF($N79="","",INDEX('Loan maths'!$P$1:$P$1000,$N79))</f>
        <v/>
      </c>
      <c r="M79" s="92" t="str">
        <f>IF($N79="","",N(G79)*N(H79))</f>
        <v/>
      </c>
      <c r="N79" s="96" t="str">
        <f>IFERROR(MATCH(SMALL(LM_order,71),LM_order,0)+3,"")</f>
        <v/>
      </c>
    </row>
    <row r="80">
      <c r="B80" s="91" t="str">
        <f>IF($N80="","",INDEX('Loans'!$B$1:$B$1000,$N80)&amp;"")</f>
        <v/>
      </c>
      <c r="C80" s="91" t="str">
        <f>IF($N80="","",INDEX('Loans'!$A$1:$A$1000,$N80)&amp;"")</f>
        <v/>
      </c>
      <c r="D80" s="91" t="str">
        <f>IF($N80="","",INDEX('Loans'!$C$1:$C$1000,$N80)&amp;"")</f>
        <v/>
      </c>
      <c r="E80" s="91" t="str">
        <f>IF($N80="","",INDEX('Loan maths'!$C$1:$C$1000,$N80)&amp;"")</f>
        <v/>
      </c>
      <c r="F80" s="91" t="str">
        <f>IF($N80="","",INDEX('Loans'!$K$1:$K$1000,$N80)&amp;"")</f>
        <v/>
      </c>
      <c r="G80" s="92" t="str">
        <f>IF($N80="","",INDEX('Deal maths'!$Y$1:$Y$1000,$N80))</f>
        <v/>
      </c>
      <c r="H80" s="93" t="str">
        <f>IF($N80="","",INDEX('Deal maths'!$AB$1:$AB$1000,$N80))</f>
        <v/>
      </c>
      <c r="I80" s="94" t="str">
        <f>IF($N80="","",INDEX('Deal maths'!$Z$1:$Z$1000,$N80))</f>
        <v/>
      </c>
      <c r="J80" s="94" t="str">
        <f>IF($N80="","",INDEX('Deal maths'!$AA$1:$AA$1000,$N80))</f>
        <v/>
      </c>
      <c r="K80" s="94" t="str">
        <f>IF($N80="","",INDEX('Deal maths'!$AG$1:$AG$1000,$N80))</f>
        <v/>
      </c>
      <c r="L80" s="95" t="str">
        <f>IF($N80="","",INDEX('Loan maths'!$P$1:$P$1000,$N80))</f>
        <v/>
      </c>
      <c r="M80" s="92" t="str">
        <f>IF($N80="","",N(G80)*N(H80))</f>
        <v/>
      </c>
      <c r="N80" s="96" t="str">
        <f>IFERROR(MATCH(SMALL(LM_order,72),LM_order,0)+3,"")</f>
        <v/>
      </c>
    </row>
    <row r="81">
      <c r="B81" s="91" t="str">
        <f>IF($N81="","",INDEX('Loans'!$B$1:$B$1000,$N81)&amp;"")</f>
        <v/>
      </c>
      <c r="C81" s="91" t="str">
        <f>IF($N81="","",INDEX('Loans'!$A$1:$A$1000,$N81)&amp;"")</f>
        <v/>
      </c>
      <c r="D81" s="91" t="str">
        <f>IF($N81="","",INDEX('Loans'!$C$1:$C$1000,$N81)&amp;"")</f>
        <v/>
      </c>
      <c r="E81" s="91" t="str">
        <f>IF($N81="","",INDEX('Loan maths'!$C$1:$C$1000,$N81)&amp;"")</f>
        <v/>
      </c>
      <c r="F81" s="91" t="str">
        <f>IF($N81="","",INDEX('Loans'!$K$1:$K$1000,$N81)&amp;"")</f>
        <v/>
      </c>
      <c r="G81" s="92" t="str">
        <f>IF($N81="","",INDEX('Deal maths'!$Y$1:$Y$1000,$N81))</f>
        <v/>
      </c>
      <c r="H81" s="93" t="str">
        <f>IF($N81="","",INDEX('Deal maths'!$AB$1:$AB$1000,$N81))</f>
        <v/>
      </c>
      <c r="I81" s="94" t="str">
        <f>IF($N81="","",INDEX('Deal maths'!$Z$1:$Z$1000,$N81))</f>
        <v/>
      </c>
      <c r="J81" s="94" t="str">
        <f>IF($N81="","",INDEX('Deal maths'!$AA$1:$AA$1000,$N81))</f>
        <v/>
      </c>
      <c r="K81" s="94" t="str">
        <f>IF($N81="","",INDEX('Deal maths'!$AG$1:$AG$1000,$N81))</f>
        <v/>
      </c>
      <c r="L81" s="95" t="str">
        <f>IF($N81="","",INDEX('Loan maths'!$P$1:$P$1000,$N81))</f>
        <v/>
      </c>
      <c r="M81" s="92" t="str">
        <f>IF($N81="","",N(G81)*N(H81))</f>
        <v/>
      </c>
      <c r="N81" s="96" t="str">
        <f>IFERROR(MATCH(SMALL(LM_order,73),LM_order,0)+3,"")</f>
        <v/>
      </c>
    </row>
    <row r="82">
      <c r="B82" s="91" t="str">
        <f>IF($N82="","",INDEX('Loans'!$B$1:$B$1000,$N82)&amp;"")</f>
        <v/>
      </c>
      <c r="C82" s="91" t="str">
        <f>IF($N82="","",INDEX('Loans'!$A$1:$A$1000,$N82)&amp;"")</f>
        <v/>
      </c>
      <c r="D82" s="91" t="str">
        <f>IF($N82="","",INDEX('Loans'!$C$1:$C$1000,$N82)&amp;"")</f>
        <v/>
      </c>
      <c r="E82" s="91" t="str">
        <f>IF($N82="","",INDEX('Loan maths'!$C$1:$C$1000,$N82)&amp;"")</f>
        <v/>
      </c>
      <c r="F82" s="91" t="str">
        <f>IF($N82="","",INDEX('Loans'!$K$1:$K$1000,$N82)&amp;"")</f>
        <v/>
      </c>
      <c r="G82" s="92" t="str">
        <f>IF($N82="","",INDEX('Deal maths'!$Y$1:$Y$1000,$N82))</f>
        <v/>
      </c>
      <c r="H82" s="93" t="str">
        <f>IF($N82="","",INDEX('Deal maths'!$AB$1:$AB$1000,$N82))</f>
        <v/>
      </c>
      <c r="I82" s="94" t="str">
        <f>IF($N82="","",INDEX('Deal maths'!$Z$1:$Z$1000,$N82))</f>
        <v/>
      </c>
      <c r="J82" s="94" t="str">
        <f>IF($N82="","",INDEX('Deal maths'!$AA$1:$AA$1000,$N82))</f>
        <v/>
      </c>
      <c r="K82" s="94" t="str">
        <f>IF($N82="","",INDEX('Deal maths'!$AG$1:$AG$1000,$N82))</f>
        <v/>
      </c>
      <c r="L82" s="95" t="str">
        <f>IF($N82="","",INDEX('Loan maths'!$P$1:$P$1000,$N82))</f>
        <v/>
      </c>
      <c r="M82" s="92" t="str">
        <f>IF($N82="","",N(G82)*N(H82))</f>
        <v/>
      </c>
      <c r="N82" s="96" t="str">
        <f>IFERROR(MATCH(SMALL(LM_order,74),LM_order,0)+3,"")</f>
        <v/>
      </c>
    </row>
    <row r="83">
      <c r="B83" s="91" t="str">
        <f>IF($N83="","",INDEX('Loans'!$B$1:$B$1000,$N83)&amp;"")</f>
        <v/>
      </c>
      <c r="C83" s="91" t="str">
        <f>IF($N83="","",INDEX('Loans'!$A$1:$A$1000,$N83)&amp;"")</f>
        <v/>
      </c>
      <c r="D83" s="91" t="str">
        <f>IF($N83="","",INDEX('Loans'!$C$1:$C$1000,$N83)&amp;"")</f>
        <v/>
      </c>
      <c r="E83" s="91" t="str">
        <f>IF($N83="","",INDEX('Loan maths'!$C$1:$C$1000,$N83)&amp;"")</f>
        <v/>
      </c>
      <c r="F83" s="91" t="str">
        <f>IF($N83="","",INDEX('Loans'!$K$1:$K$1000,$N83)&amp;"")</f>
        <v/>
      </c>
      <c r="G83" s="92" t="str">
        <f>IF($N83="","",INDEX('Deal maths'!$Y$1:$Y$1000,$N83))</f>
        <v/>
      </c>
      <c r="H83" s="93" t="str">
        <f>IF($N83="","",INDEX('Deal maths'!$AB$1:$AB$1000,$N83))</f>
        <v/>
      </c>
      <c r="I83" s="94" t="str">
        <f>IF($N83="","",INDEX('Deal maths'!$Z$1:$Z$1000,$N83))</f>
        <v/>
      </c>
      <c r="J83" s="94" t="str">
        <f>IF($N83="","",INDEX('Deal maths'!$AA$1:$AA$1000,$N83))</f>
        <v/>
      </c>
      <c r="K83" s="94" t="str">
        <f>IF($N83="","",INDEX('Deal maths'!$AG$1:$AG$1000,$N83))</f>
        <v/>
      </c>
      <c r="L83" s="95" t="str">
        <f>IF($N83="","",INDEX('Loan maths'!$P$1:$P$1000,$N83))</f>
        <v/>
      </c>
      <c r="M83" s="92" t="str">
        <f>IF($N83="","",N(G83)*N(H83))</f>
        <v/>
      </c>
      <c r="N83" s="96" t="str">
        <f>IFERROR(MATCH(SMALL(LM_order,75),LM_order,0)+3,"")</f>
        <v/>
      </c>
    </row>
    <row r="84">
      <c r="B84" s="91" t="str">
        <f>IF($N84="","",INDEX('Loans'!$B$1:$B$1000,$N84)&amp;"")</f>
        <v/>
      </c>
      <c r="C84" s="91" t="str">
        <f>IF($N84="","",INDEX('Loans'!$A$1:$A$1000,$N84)&amp;"")</f>
        <v/>
      </c>
      <c r="D84" s="91" t="str">
        <f>IF($N84="","",INDEX('Loans'!$C$1:$C$1000,$N84)&amp;"")</f>
        <v/>
      </c>
      <c r="E84" s="91" t="str">
        <f>IF($N84="","",INDEX('Loan maths'!$C$1:$C$1000,$N84)&amp;"")</f>
        <v/>
      </c>
      <c r="F84" s="91" t="str">
        <f>IF($N84="","",INDEX('Loans'!$K$1:$K$1000,$N84)&amp;"")</f>
        <v/>
      </c>
      <c r="G84" s="92" t="str">
        <f>IF($N84="","",INDEX('Deal maths'!$Y$1:$Y$1000,$N84))</f>
        <v/>
      </c>
      <c r="H84" s="93" t="str">
        <f>IF($N84="","",INDEX('Deal maths'!$AB$1:$AB$1000,$N84))</f>
        <v/>
      </c>
      <c r="I84" s="94" t="str">
        <f>IF($N84="","",INDEX('Deal maths'!$Z$1:$Z$1000,$N84))</f>
        <v/>
      </c>
      <c r="J84" s="94" t="str">
        <f>IF($N84="","",INDEX('Deal maths'!$AA$1:$AA$1000,$N84))</f>
        <v/>
      </c>
      <c r="K84" s="94" t="str">
        <f>IF($N84="","",INDEX('Deal maths'!$AG$1:$AG$1000,$N84))</f>
        <v/>
      </c>
      <c r="L84" s="95" t="str">
        <f>IF($N84="","",INDEX('Loan maths'!$P$1:$P$1000,$N84))</f>
        <v/>
      </c>
      <c r="M84" s="92" t="str">
        <f>IF($N84="","",N(G84)*N(H84))</f>
        <v/>
      </c>
      <c r="N84" s="96" t="str">
        <f>IFERROR(MATCH(SMALL(LM_order,76),LM_order,0)+3,"")</f>
        <v/>
      </c>
    </row>
    <row r="85">
      <c r="B85" s="91" t="str">
        <f>IF($N85="","",INDEX('Loans'!$B$1:$B$1000,$N85)&amp;"")</f>
        <v/>
      </c>
      <c r="C85" s="91" t="str">
        <f>IF($N85="","",INDEX('Loans'!$A$1:$A$1000,$N85)&amp;"")</f>
        <v/>
      </c>
      <c r="D85" s="91" t="str">
        <f>IF($N85="","",INDEX('Loans'!$C$1:$C$1000,$N85)&amp;"")</f>
        <v/>
      </c>
      <c r="E85" s="91" t="str">
        <f>IF($N85="","",INDEX('Loan maths'!$C$1:$C$1000,$N85)&amp;"")</f>
        <v/>
      </c>
      <c r="F85" s="91" t="str">
        <f>IF($N85="","",INDEX('Loans'!$K$1:$K$1000,$N85)&amp;"")</f>
        <v/>
      </c>
      <c r="G85" s="92" t="str">
        <f>IF($N85="","",INDEX('Deal maths'!$Y$1:$Y$1000,$N85))</f>
        <v/>
      </c>
      <c r="H85" s="93" t="str">
        <f>IF($N85="","",INDEX('Deal maths'!$AB$1:$AB$1000,$N85))</f>
        <v/>
      </c>
      <c r="I85" s="94" t="str">
        <f>IF($N85="","",INDEX('Deal maths'!$Z$1:$Z$1000,$N85))</f>
        <v/>
      </c>
      <c r="J85" s="94" t="str">
        <f>IF($N85="","",INDEX('Deal maths'!$AA$1:$AA$1000,$N85))</f>
        <v/>
      </c>
      <c r="K85" s="94" t="str">
        <f>IF($N85="","",INDEX('Deal maths'!$AG$1:$AG$1000,$N85))</f>
        <v/>
      </c>
      <c r="L85" s="95" t="str">
        <f>IF($N85="","",INDEX('Loan maths'!$P$1:$P$1000,$N85))</f>
        <v/>
      </c>
      <c r="M85" s="92" t="str">
        <f>IF($N85="","",N(G85)*N(H85))</f>
        <v/>
      </c>
      <c r="N85" s="96" t="str">
        <f>IFERROR(MATCH(SMALL(LM_order,77),LM_order,0)+3,"")</f>
        <v/>
      </c>
    </row>
    <row r="86">
      <c r="B86" s="91" t="str">
        <f>IF($N86="","",INDEX('Loans'!$B$1:$B$1000,$N86)&amp;"")</f>
        <v/>
      </c>
      <c r="C86" s="91" t="str">
        <f>IF($N86="","",INDEX('Loans'!$A$1:$A$1000,$N86)&amp;"")</f>
        <v/>
      </c>
      <c r="D86" s="91" t="str">
        <f>IF($N86="","",INDEX('Loans'!$C$1:$C$1000,$N86)&amp;"")</f>
        <v/>
      </c>
      <c r="E86" s="91" t="str">
        <f>IF($N86="","",INDEX('Loan maths'!$C$1:$C$1000,$N86)&amp;"")</f>
        <v/>
      </c>
      <c r="F86" s="91" t="str">
        <f>IF($N86="","",INDEX('Loans'!$K$1:$K$1000,$N86)&amp;"")</f>
        <v/>
      </c>
      <c r="G86" s="92" t="str">
        <f>IF($N86="","",INDEX('Deal maths'!$Y$1:$Y$1000,$N86))</f>
        <v/>
      </c>
      <c r="H86" s="93" t="str">
        <f>IF($N86="","",INDEX('Deal maths'!$AB$1:$AB$1000,$N86))</f>
        <v/>
      </c>
      <c r="I86" s="94" t="str">
        <f>IF($N86="","",INDEX('Deal maths'!$Z$1:$Z$1000,$N86))</f>
        <v/>
      </c>
      <c r="J86" s="94" t="str">
        <f>IF($N86="","",INDEX('Deal maths'!$AA$1:$AA$1000,$N86))</f>
        <v/>
      </c>
      <c r="K86" s="94" t="str">
        <f>IF($N86="","",INDEX('Deal maths'!$AG$1:$AG$1000,$N86))</f>
        <v/>
      </c>
      <c r="L86" s="95" t="str">
        <f>IF($N86="","",INDEX('Loan maths'!$P$1:$P$1000,$N86))</f>
        <v/>
      </c>
      <c r="M86" s="92" t="str">
        <f>IF($N86="","",N(G86)*N(H86))</f>
        <v/>
      </c>
      <c r="N86" s="96" t="str">
        <f>IFERROR(MATCH(SMALL(LM_order,78),LM_order,0)+3,"")</f>
        <v/>
      </c>
    </row>
    <row r="87">
      <c r="B87" s="91" t="str">
        <f>IF($N87="","",INDEX('Loans'!$B$1:$B$1000,$N87)&amp;"")</f>
        <v/>
      </c>
      <c r="C87" s="91" t="str">
        <f>IF($N87="","",INDEX('Loans'!$A$1:$A$1000,$N87)&amp;"")</f>
        <v/>
      </c>
      <c r="D87" s="91" t="str">
        <f>IF($N87="","",INDEX('Loans'!$C$1:$C$1000,$N87)&amp;"")</f>
        <v/>
      </c>
      <c r="E87" s="91" t="str">
        <f>IF($N87="","",INDEX('Loan maths'!$C$1:$C$1000,$N87)&amp;"")</f>
        <v/>
      </c>
      <c r="F87" s="91" t="str">
        <f>IF($N87="","",INDEX('Loans'!$K$1:$K$1000,$N87)&amp;"")</f>
        <v/>
      </c>
      <c r="G87" s="92" t="str">
        <f>IF($N87="","",INDEX('Deal maths'!$Y$1:$Y$1000,$N87))</f>
        <v/>
      </c>
      <c r="H87" s="93" t="str">
        <f>IF($N87="","",INDEX('Deal maths'!$AB$1:$AB$1000,$N87))</f>
        <v/>
      </c>
      <c r="I87" s="94" t="str">
        <f>IF($N87="","",INDEX('Deal maths'!$Z$1:$Z$1000,$N87))</f>
        <v/>
      </c>
      <c r="J87" s="94" t="str">
        <f>IF($N87="","",INDEX('Deal maths'!$AA$1:$AA$1000,$N87))</f>
        <v/>
      </c>
      <c r="K87" s="94" t="str">
        <f>IF($N87="","",INDEX('Deal maths'!$AG$1:$AG$1000,$N87))</f>
        <v/>
      </c>
      <c r="L87" s="95" t="str">
        <f>IF($N87="","",INDEX('Loan maths'!$P$1:$P$1000,$N87))</f>
        <v/>
      </c>
      <c r="M87" s="92" t="str">
        <f>IF($N87="","",N(G87)*N(H87))</f>
        <v/>
      </c>
      <c r="N87" s="96" t="str">
        <f>IFERROR(MATCH(SMALL(LM_order,79),LM_order,0)+3,"")</f>
        <v/>
      </c>
    </row>
    <row r="88">
      <c r="B88" s="91" t="str">
        <f>IF($N88="","",INDEX('Loans'!$B$1:$B$1000,$N88)&amp;"")</f>
        <v/>
      </c>
      <c r="C88" s="91" t="str">
        <f>IF($N88="","",INDEX('Loans'!$A$1:$A$1000,$N88)&amp;"")</f>
        <v/>
      </c>
      <c r="D88" s="91" t="str">
        <f>IF($N88="","",INDEX('Loans'!$C$1:$C$1000,$N88)&amp;"")</f>
        <v/>
      </c>
      <c r="E88" s="91" t="str">
        <f>IF($N88="","",INDEX('Loan maths'!$C$1:$C$1000,$N88)&amp;"")</f>
        <v/>
      </c>
      <c r="F88" s="91" t="str">
        <f>IF($N88="","",INDEX('Loans'!$K$1:$K$1000,$N88)&amp;"")</f>
        <v/>
      </c>
      <c r="G88" s="92" t="str">
        <f>IF($N88="","",INDEX('Deal maths'!$Y$1:$Y$1000,$N88))</f>
        <v/>
      </c>
      <c r="H88" s="93" t="str">
        <f>IF($N88="","",INDEX('Deal maths'!$AB$1:$AB$1000,$N88))</f>
        <v/>
      </c>
      <c r="I88" s="94" t="str">
        <f>IF($N88="","",INDEX('Deal maths'!$Z$1:$Z$1000,$N88))</f>
        <v/>
      </c>
      <c r="J88" s="94" t="str">
        <f>IF($N88="","",INDEX('Deal maths'!$AA$1:$AA$1000,$N88))</f>
        <v/>
      </c>
      <c r="K88" s="94" t="str">
        <f>IF($N88="","",INDEX('Deal maths'!$AG$1:$AG$1000,$N88))</f>
        <v/>
      </c>
      <c r="L88" s="95" t="str">
        <f>IF($N88="","",INDEX('Loan maths'!$P$1:$P$1000,$N88))</f>
        <v/>
      </c>
      <c r="M88" s="92" t="str">
        <f>IF($N88="","",N(G88)*N(H88))</f>
        <v/>
      </c>
      <c r="N88" s="96" t="str">
        <f>IFERROR(MATCH(SMALL(LM_order,80),LM_order,0)+3,"")</f>
        <v/>
      </c>
    </row>
    <row r="89">
      <c r="B89" s="91" t="str">
        <f>IF($N89="","",INDEX('Loans'!$B$1:$B$1000,$N89)&amp;"")</f>
        <v/>
      </c>
      <c r="C89" s="91" t="str">
        <f>IF($N89="","",INDEX('Loans'!$A$1:$A$1000,$N89)&amp;"")</f>
        <v/>
      </c>
      <c r="D89" s="91" t="str">
        <f>IF($N89="","",INDEX('Loans'!$C$1:$C$1000,$N89)&amp;"")</f>
        <v/>
      </c>
      <c r="E89" s="91" t="str">
        <f>IF($N89="","",INDEX('Loan maths'!$C$1:$C$1000,$N89)&amp;"")</f>
        <v/>
      </c>
      <c r="F89" s="91" t="str">
        <f>IF($N89="","",INDEX('Loans'!$K$1:$K$1000,$N89)&amp;"")</f>
        <v/>
      </c>
      <c r="G89" s="92" t="str">
        <f>IF($N89="","",INDEX('Deal maths'!$Y$1:$Y$1000,$N89))</f>
        <v/>
      </c>
      <c r="H89" s="93" t="str">
        <f>IF($N89="","",INDEX('Deal maths'!$AB$1:$AB$1000,$N89))</f>
        <v/>
      </c>
      <c r="I89" s="94" t="str">
        <f>IF($N89="","",INDEX('Deal maths'!$Z$1:$Z$1000,$N89))</f>
        <v/>
      </c>
      <c r="J89" s="94" t="str">
        <f>IF($N89="","",INDEX('Deal maths'!$AA$1:$AA$1000,$N89))</f>
        <v/>
      </c>
      <c r="K89" s="94" t="str">
        <f>IF($N89="","",INDEX('Deal maths'!$AG$1:$AG$1000,$N89))</f>
        <v/>
      </c>
      <c r="L89" s="95" t="str">
        <f>IF($N89="","",INDEX('Loan maths'!$P$1:$P$1000,$N89))</f>
        <v/>
      </c>
      <c r="M89" s="92" t="str">
        <f>IF($N89="","",N(G89)*N(H89))</f>
        <v/>
      </c>
      <c r="N89" s="96" t="str">
        <f>IFERROR(MATCH(SMALL(LM_order,81),LM_order,0)+3,"")</f>
        <v/>
      </c>
    </row>
    <row r="90">
      <c r="B90" s="91" t="str">
        <f>IF($N90="","",INDEX('Loans'!$B$1:$B$1000,$N90)&amp;"")</f>
        <v/>
      </c>
      <c r="C90" s="91" t="str">
        <f>IF($N90="","",INDEX('Loans'!$A$1:$A$1000,$N90)&amp;"")</f>
        <v/>
      </c>
      <c r="D90" s="91" t="str">
        <f>IF($N90="","",INDEX('Loans'!$C$1:$C$1000,$N90)&amp;"")</f>
        <v/>
      </c>
      <c r="E90" s="91" t="str">
        <f>IF($N90="","",INDEX('Loan maths'!$C$1:$C$1000,$N90)&amp;"")</f>
        <v/>
      </c>
      <c r="F90" s="91" t="str">
        <f>IF($N90="","",INDEX('Loans'!$K$1:$K$1000,$N90)&amp;"")</f>
        <v/>
      </c>
      <c r="G90" s="92" t="str">
        <f>IF($N90="","",INDEX('Deal maths'!$Y$1:$Y$1000,$N90))</f>
        <v/>
      </c>
      <c r="H90" s="93" t="str">
        <f>IF($N90="","",INDEX('Deal maths'!$AB$1:$AB$1000,$N90))</f>
        <v/>
      </c>
      <c r="I90" s="94" t="str">
        <f>IF($N90="","",INDEX('Deal maths'!$Z$1:$Z$1000,$N90))</f>
        <v/>
      </c>
      <c r="J90" s="94" t="str">
        <f>IF($N90="","",INDEX('Deal maths'!$AA$1:$AA$1000,$N90))</f>
        <v/>
      </c>
      <c r="K90" s="94" t="str">
        <f>IF($N90="","",INDEX('Deal maths'!$AG$1:$AG$1000,$N90))</f>
        <v/>
      </c>
      <c r="L90" s="95" t="str">
        <f>IF($N90="","",INDEX('Loan maths'!$P$1:$P$1000,$N90))</f>
        <v/>
      </c>
      <c r="M90" s="92" t="str">
        <f>IF($N90="","",N(G90)*N(H90))</f>
        <v/>
      </c>
      <c r="N90" s="96" t="str">
        <f>IFERROR(MATCH(SMALL(LM_order,82),LM_order,0)+3,"")</f>
        <v/>
      </c>
    </row>
    <row r="91">
      <c r="B91" s="91" t="str">
        <f>IF($N91="","",INDEX('Loans'!$B$1:$B$1000,$N91)&amp;"")</f>
        <v/>
      </c>
      <c r="C91" s="91" t="str">
        <f>IF($N91="","",INDEX('Loans'!$A$1:$A$1000,$N91)&amp;"")</f>
        <v/>
      </c>
      <c r="D91" s="91" t="str">
        <f>IF($N91="","",INDEX('Loans'!$C$1:$C$1000,$N91)&amp;"")</f>
        <v/>
      </c>
      <c r="E91" s="91" t="str">
        <f>IF($N91="","",INDEX('Loan maths'!$C$1:$C$1000,$N91)&amp;"")</f>
        <v/>
      </c>
      <c r="F91" s="91" t="str">
        <f>IF($N91="","",INDEX('Loans'!$K$1:$K$1000,$N91)&amp;"")</f>
        <v/>
      </c>
      <c r="G91" s="92" t="str">
        <f>IF($N91="","",INDEX('Deal maths'!$Y$1:$Y$1000,$N91))</f>
        <v/>
      </c>
      <c r="H91" s="93" t="str">
        <f>IF($N91="","",INDEX('Deal maths'!$AB$1:$AB$1000,$N91))</f>
        <v/>
      </c>
      <c r="I91" s="94" t="str">
        <f>IF($N91="","",INDEX('Deal maths'!$Z$1:$Z$1000,$N91))</f>
        <v/>
      </c>
      <c r="J91" s="94" t="str">
        <f>IF($N91="","",INDEX('Deal maths'!$AA$1:$AA$1000,$N91))</f>
        <v/>
      </c>
      <c r="K91" s="94" t="str">
        <f>IF($N91="","",INDEX('Deal maths'!$AG$1:$AG$1000,$N91))</f>
        <v/>
      </c>
      <c r="L91" s="95" t="str">
        <f>IF($N91="","",INDEX('Loan maths'!$P$1:$P$1000,$N91))</f>
        <v/>
      </c>
      <c r="M91" s="92" t="str">
        <f>IF($N91="","",N(G91)*N(H91))</f>
        <v/>
      </c>
      <c r="N91" s="96" t="str">
        <f>IFERROR(MATCH(SMALL(LM_order,83),LM_order,0)+3,"")</f>
        <v/>
      </c>
    </row>
    <row r="92">
      <c r="B92" s="91" t="str">
        <f>IF($N92="","",INDEX('Loans'!$B$1:$B$1000,$N92)&amp;"")</f>
        <v/>
      </c>
      <c r="C92" s="91" t="str">
        <f>IF($N92="","",INDEX('Loans'!$A$1:$A$1000,$N92)&amp;"")</f>
        <v/>
      </c>
      <c r="D92" s="91" t="str">
        <f>IF($N92="","",INDEX('Loans'!$C$1:$C$1000,$N92)&amp;"")</f>
        <v/>
      </c>
      <c r="E92" s="91" t="str">
        <f>IF($N92="","",INDEX('Loan maths'!$C$1:$C$1000,$N92)&amp;"")</f>
        <v/>
      </c>
      <c r="F92" s="91" t="str">
        <f>IF($N92="","",INDEX('Loans'!$K$1:$K$1000,$N92)&amp;"")</f>
        <v/>
      </c>
      <c r="G92" s="92" t="str">
        <f>IF($N92="","",INDEX('Deal maths'!$Y$1:$Y$1000,$N92))</f>
        <v/>
      </c>
      <c r="H92" s="93" t="str">
        <f>IF($N92="","",INDEX('Deal maths'!$AB$1:$AB$1000,$N92))</f>
        <v/>
      </c>
      <c r="I92" s="94" t="str">
        <f>IF($N92="","",INDEX('Deal maths'!$Z$1:$Z$1000,$N92))</f>
        <v/>
      </c>
      <c r="J92" s="94" t="str">
        <f>IF($N92="","",INDEX('Deal maths'!$AA$1:$AA$1000,$N92))</f>
        <v/>
      </c>
      <c r="K92" s="94" t="str">
        <f>IF($N92="","",INDEX('Deal maths'!$AG$1:$AG$1000,$N92))</f>
        <v/>
      </c>
      <c r="L92" s="95" t="str">
        <f>IF($N92="","",INDEX('Loan maths'!$P$1:$P$1000,$N92))</f>
        <v/>
      </c>
      <c r="M92" s="92" t="str">
        <f>IF($N92="","",N(G92)*N(H92))</f>
        <v/>
      </c>
      <c r="N92" s="96" t="str">
        <f>IFERROR(MATCH(SMALL(LM_order,84),LM_order,0)+3,"")</f>
        <v/>
      </c>
    </row>
    <row r="93">
      <c r="B93" s="91" t="str">
        <f>IF($N93="","",INDEX('Loans'!$B$1:$B$1000,$N93)&amp;"")</f>
        <v/>
      </c>
      <c r="C93" s="91" t="str">
        <f>IF($N93="","",INDEX('Loans'!$A$1:$A$1000,$N93)&amp;"")</f>
        <v/>
      </c>
      <c r="D93" s="91" t="str">
        <f>IF($N93="","",INDEX('Loans'!$C$1:$C$1000,$N93)&amp;"")</f>
        <v/>
      </c>
      <c r="E93" s="91" t="str">
        <f>IF($N93="","",INDEX('Loan maths'!$C$1:$C$1000,$N93)&amp;"")</f>
        <v/>
      </c>
      <c r="F93" s="91" t="str">
        <f>IF($N93="","",INDEX('Loans'!$K$1:$K$1000,$N93)&amp;"")</f>
        <v/>
      </c>
      <c r="G93" s="92" t="str">
        <f>IF($N93="","",INDEX('Deal maths'!$Y$1:$Y$1000,$N93))</f>
        <v/>
      </c>
      <c r="H93" s="93" t="str">
        <f>IF($N93="","",INDEX('Deal maths'!$AB$1:$AB$1000,$N93))</f>
        <v/>
      </c>
      <c r="I93" s="94" t="str">
        <f>IF($N93="","",INDEX('Deal maths'!$Z$1:$Z$1000,$N93))</f>
        <v/>
      </c>
      <c r="J93" s="94" t="str">
        <f>IF($N93="","",INDEX('Deal maths'!$AA$1:$AA$1000,$N93))</f>
        <v/>
      </c>
      <c r="K93" s="94" t="str">
        <f>IF($N93="","",INDEX('Deal maths'!$AG$1:$AG$1000,$N93))</f>
        <v/>
      </c>
      <c r="L93" s="95" t="str">
        <f>IF($N93="","",INDEX('Loan maths'!$P$1:$P$1000,$N93))</f>
        <v/>
      </c>
      <c r="M93" s="92" t="str">
        <f>IF($N93="","",N(G93)*N(H93))</f>
        <v/>
      </c>
      <c r="N93" s="96" t="str">
        <f>IFERROR(MATCH(SMALL(LM_order,85),LM_order,0)+3,"")</f>
        <v/>
      </c>
    </row>
    <row r="94">
      <c r="B94" s="91" t="str">
        <f>IF($N94="","",INDEX('Loans'!$B$1:$B$1000,$N94)&amp;"")</f>
        <v/>
      </c>
      <c r="C94" s="91" t="str">
        <f>IF($N94="","",INDEX('Loans'!$A$1:$A$1000,$N94)&amp;"")</f>
        <v/>
      </c>
      <c r="D94" s="91" t="str">
        <f>IF($N94="","",INDEX('Loans'!$C$1:$C$1000,$N94)&amp;"")</f>
        <v/>
      </c>
      <c r="E94" s="91" t="str">
        <f>IF($N94="","",INDEX('Loan maths'!$C$1:$C$1000,$N94)&amp;"")</f>
        <v/>
      </c>
      <c r="F94" s="91" t="str">
        <f>IF($N94="","",INDEX('Loans'!$K$1:$K$1000,$N94)&amp;"")</f>
        <v/>
      </c>
      <c r="G94" s="92" t="str">
        <f>IF($N94="","",INDEX('Deal maths'!$Y$1:$Y$1000,$N94))</f>
        <v/>
      </c>
      <c r="H94" s="93" t="str">
        <f>IF($N94="","",INDEX('Deal maths'!$AB$1:$AB$1000,$N94))</f>
        <v/>
      </c>
      <c r="I94" s="94" t="str">
        <f>IF($N94="","",INDEX('Deal maths'!$Z$1:$Z$1000,$N94))</f>
        <v/>
      </c>
      <c r="J94" s="94" t="str">
        <f>IF($N94="","",INDEX('Deal maths'!$AA$1:$AA$1000,$N94))</f>
        <v/>
      </c>
      <c r="K94" s="94" t="str">
        <f>IF($N94="","",INDEX('Deal maths'!$AG$1:$AG$1000,$N94))</f>
        <v/>
      </c>
      <c r="L94" s="95" t="str">
        <f>IF($N94="","",INDEX('Loan maths'!$P$1:$P$1000,$N94))</f>
        <v/>
      </c>
      <c r="M94" s="92" t="str">
        <f>IF($N94="","",N(G94)*N(H94))</f>
        <v/>
      </c>
      <c r="N94" s="96" t="str">
        <f>IFERROR(MATCH(SMALL(LM_order,86),LM_order,0)+3,"")</f>
        <v/>
      </c>
    </row>
    <row r="95">
      <c r="B95" s="91" t="str">
        <f>IF($N95="","",INDEX('Loans'!$B$1:$B$1000,$N95)&amp;"")</f>
        <v/>
      </c>
      <c r="C95" s="91" t="str">
        <f>IF($N95="","",INDEX('Loans'!$A$1:$A$1000,$N95)&amp;"")</f>
        <v/>
      </c>
      <c r="D95" s="91" t="str">
        <f>IF($N95="","",INDEX('Loans'!$C$1:$C$1000,$N95)&amp;"")</f>
        <v/>
      </c>
      <c r="E95" s="91" t="str">
        <f>IF($N95="","",INDEX('Loan maths'!$C$1:$C$1000,$N95)&amp;"")</f>
        <v/>
      </c>
      <c r="F95" s="91" t="str">
        <f>IF($N95="","",INDEX('Loans'!$K$1:$K$1000,$N95)&amp;"")</f>
        <v/>
      </c>
      <c r="G95" s="92" t="str">
        <f>IF($N95="","",INDEX('Deal maths'!$Y$1:$Y$1000,$N95))</f>
        <v/>
      </c>
      <c r="H95" s="93" t="str">
        <f>IF($N95="","",INDEX('Deal maths'!$AB$1:$AB$1000,$N95))</f>
        <v/>
      </c>
      <c r="I95" s="94" t="str">
        <f>IF($N95="","",INDEX('Deal maths'!$Z$1:$Z$1000,$N95))</f>
        <v/>
      </c>
      <c r="J95" s="94" t="str">
        <f>IF($N95="","",INDEX('Deal maths'!$AA$1:$AA$1000,$N95))</f>
        <v/>
      </c>
      <c r="K95" s="94" t="str">
        <f>IF($N95="","",INDEX('Deal maths'!$AG$1:$AG$1000,$N95))</f>
        <v/>
      </c>
      <c r="L95" s="95" t="str">
        <f>IF($N95="","",INDEX('Loan maths'!$P$1:$P$1000,$N95))</f>
        <v/>
      </c>
      <c r="M95" s="92" t="str">
        <f>IF($N95="","",N(G95)*N(H95))</f>
        <v/>
      </c>
      <c r="N95" s="96" t="str">
        <f>IFERROR(MATCH(SMALL(LM_order,87),LM_order,0)+3,"")</f>
        <v/>
      </c>
    </row>
    <row r="96">
      <c r="B96" s="91" t="str">
        <f>IF($N96="","",INDEX('Loans'!$B$1:$B$1000,$N96)&amp;"")</f>
        <v/>
      </c>
      <c r="C96" s="91" t="str">
        <f>IF($N96="","",INDEX('Loans'!$A$1:$A$1000,$N96)&amp;"")</f>
        <v/>
      </c>
      <c r="D96" s="91" t="str">
        <f>IF($N96="","",INDEX('Loans'!$C$1:$C$1000,$N96)&amp;"")</f>
        <v/>
      </c>
      <c r="E96" s="91" t="str">
        <f>IF($N96="","",INDEX('Loan maths'!$C$1:$C$1000,$N96)&amp;"")</f>
        <v/>
      </c>
      <c r="F96" s="91" t="str">
        <f>IF($N96="","",INDEX('Loans'!$K$1:$K$1000,$N96)&amp;"")</f>
        <v/>
      </c>
      <c r="G96" s="92" t="str">
        <f>IF($N96="","",INDEX('Deal maths'!$Y$1:$Y$1000,$N96))</f>
        <v/>
      </c>
      <c r="H96" s="93" t="str">
        <f>IF($N96="","",INDEX('Deal maths'!$AB$1:$AB$1000,$N96))</f>
        <v/>
      </c>
      <c r="I96" s="94" t="str">
        <f>IF($N96="","",INDEX('Deal maths'!$Z$1:$Z$1000,$N96))</f>
        <v/>
      </c>
      <c r="J96" s="94" t="str">
        <f>IF($N96="","",INDEX('Deal maths'!$AA$1:$AA$1000,$N96))</f>
        <v/>
      </c>
      <c r="K96" s="94" t="str">
        <f>IF($N96="","",INDEX('Deal maths'!$AG$1:$AG$1000,$N96))</f>
        <v/>
      </c>
      <c r="L96" s="95" t="str">
        <f>IF($N96="","",INDEX('Loan maths'!$P$1:$P$1000,$N96))</f>
        <v/>
      </c>
      <c r="M96" s="92" t="str">
        <f>IF($N96="","",N(G96)*N(H96))</f>
        <v/>
      </c>
      <c r="N96" s="96" t="str">
        <f>IFERROR(MATCH(SMALL(LM_order,88),LM_order,0)+3,"")</f>
        <v/>
      </c>
    </row>
    <row r="97">
      <c r="B97" s="91" t="str">
        <f>IF($N97="","",INDEX('Loans'!$B$1:$B$1000,$N97)&amp;"")</f>
        <v/>
      </c>
      <c r="C97" s="91" t="str">
        <f>IF($N97="","",INDEX('Loans'!$A$1:$A$1000,$N97)&amp;"")</f>
        <v/>
      </c>
      <c r="D97" s="91" t="str">
        <f>IF($N97="","",INDEX('Loans'!$C$1:$C$1000,$N97)&amp;"")</f>
        <v/>
      </c>
      <c r="E97" s="91" t="str">
        <f>IF($N97="","",INDEX('Loan maths'!$C$1:$C$1000,$N97)&amp;"")</f>
        <v/>
      </c>
      <c r="F97" s="91" t="str">
        <f>IF($N97="","",INDEX('Loans'!$K$1:$K$1000,$N97)&amp;"")</f>
        <v/>
      </c>
      <c r="G97" s="92" t="str">
        <f>IF($N97="","",INDEX('Deal maths'!$Y$1:$Y$1000,$N97))</f>
        <v/>
      </c>
      <c r="H97" s="93" t="str">
        <f>IF($N97="","",INDEX('Deal maths'!$AB$1:$AB$1000,$N97))</f>
        <v/>
      </c>
      <c r="I97" s="94" t="str">
        <f>IF($N97="","",INDEX('Deal maths'!$Z$1:$Z$1000,$N97))</f>
        <v/>
      </c>
      <c r="J97" s="94" t="str">
        <f>IF($N97="","",INDEX('Deal maths'!$AA$1:$AA$1000,$N97))</f>
        <v/>
      </c>
      <c r="K97" s="94" t="str">
        <f>IF($N97="","",INDEX('Deal maths'!$AG$1:$AG$1000,$N97))</f>
        <v/>
      </c>
      <c r="L97" s="95" t="str">
        <f>IF($N97="","",INDEX('Loan maths'!$P$1:$P$1000,$N97))</f>
        <v/>
      </c>
      <c r="M97" s="92" t="str">
        <f>IF($N97="","",N(G97)*N(H97))</f>
        <v/>
      </c>
      <c r="N97" s="96" t="str">
        <f>IFERROR(MATCH(SMALL(LM_order,89),LM_order,0)+3,"")</f>
        <v/>
      </c>
    </row>
    <row r="98">
      <c r="B98" s="91" t="str">
        <f>IF($N98="","",INDEX('Loans'!$B$1:$B$1000,$N98)&amp;"")</f>
        <v/>
      </c>
      <c r="C98" s="91" t="str">
        <f>IF($N98="","",INDEX('Loans'!$A$1:$A$1000,$N98)&amp;"")</f>
        <v/>
      </c>
      <c r="D98" s="91" t="str">
        <f>IF($N98="","",INDEX('Loans'!$C$1:$C$1000,$N98)&amp;"")</f>
        <v/>
      </c>
      <c r="E98" s="91" t="str">
        <f>IF($N98="","",INDEX('Loan maths'!$C$1:$C$1000,$N98)&amp;"")</f>
        <v/>
      </c>
      <c r="F98" s="91" t="str">
        <f>IF($N98="","",INDEX('Loans'!$K$1:$K$1000,$N98)&amp;"")</f>
        <v/>
      </c>
      <c r="G98" s="92" t="str">
        <f>IF($N98="","",INDEX('Deal maths'!$Y$1:$Y$1000,$N98))</f>
        <v/>
      </c>
      <c r="H98" s="93" t="str">
        <f>IF($N98="","",INDEX('Deal maths'!$AB$1:$AB$1000,$N98))</f>
        <v/>
      </c>
      <c r="I98" s="94" t="str">
        <f>IF($N98="","",INDEX('Deal maths'!$Z$1:$Z$1000,$N98))</f>
        <v/>
      </c>
      <c r="J98" s="94" t="str">
        <f>IF($N98="","",INDEX('Deal maths'!$AA$1:$AA$1000,$N98))</f>
        <v/>
      </c>
      <c r="K98" s="94" t="str">
        <f>IF($N98="","",INDEX('Deal maths'!$AG$1:$AG$1000,$N98))</f>
        <v/>
      </c>
      <c r="L98" s="95" t="str">
        <f>IF($N98="","",INDEX('Loan maths'!$P$1:$P$1000,$N98))</f>
        <v/>
      </c>
      <c r="M98" s="92" t="str">
        <f>IF($N98="","",N(G98)*N(H98))</f>
        <v/>
      </c>
      <c r="N98" s="96" t="str">
        <f>IFERROR(MATCH(SMALL(LM_order,90),LM_order,0)+3,"")</f>
        <v/>
      </c>
    </row>
    <row r="99">
      <c r="B99" s="91" t="str">
        <f>IF($N99="","",INDEX('Loans'!$B$1:$B$1000,$N99)&amp;"")</f>
        <v/>
      </c>
      <c r="C99" s="91" t="str">
        <f>IF($N99="","",INDEX('Loans'!$A$1:$A$1000,$N99)&amp;"")</f>
        <v/>
      </c>
      <c r="D99" s="91" t="str">
        <f>IF($N99="","",INDEX('Loans'!$C$1:$C$1000,$N99)&amp;"")</f>
        <v/>
      </c>
      <c r="E99" s="91" t="str">
        <f>IF($N99="","",INDEX('Loan maths'!$C$1:$C$1000,$N99)&amp;"")</f>
        <v/>
      </c>
      <c r="F99" s="91" t="str">
        <f>IF($N99="","",INDEX('Loans'!$K$1:$K$1000,$N99)&amp;"")</f>
        <v/>
      </c>
      <c r="G99" s="92" t="str">
        <f>IF($N99="","",INDEX('Deal maths'!$Y$1:$Y$1000,$N99))</f>
        <v/>
      </c>
      <c r="H99" s="93" t="str">
        <f>IF($N99="","",INDEX('Deal maths'!$AB$1:$AB$1000,$N99))</f>
        <v/>
      </c>
      <c r="I99" s="94" t="str">
        <f>IF($N99="","",INDEX('Deal maths'!$Z$1:$Z$1000,$N99))</f>
        <v/>
      </c>
      <c r="J99" s="94" t="str">
        <f>IF($N99="","",INDEX('Deal maths'!$AA$1:$AA$1000,$N99))</f>
        <v/>
      </c>
      <c r="K99" s="94" t="str">
        <f>IF($N99="","",INDEX('Deal maths'!$AG$1:$AG$1000,$N99))</f>
        <v/>
      </c>
      <c r="L99" s="95" t="str">
        <f>IF($N99="","",INDEX('Loan maths'!$P$1:$P$1000,$N99))</f>
        <v/>
      </c>
      <c r="M99" s="92" t="str">
        <f>IF($N99="","",N(G99)*N(H99))</f>
        <v/>
      </c>
      <c r="N99" s="96" t="str">
        <f>IFERROR(MATCH(SMALL(LM_order,91),LM_order,0)+3,"")</f>
        <v/>
      </c>
    </row>
    <row r="100">
      <c r="B100" s="91" t="str">
        <f>IF($N100="","",INDEX('Loans'!$B$1:$B$1000,$N100)&amp;"")</f>
        <v/>
      </c>
      <c r="C100" s="91" t="str">
        <f>IF($N100="","",INDEX('Loans'!$A$1:$A$1000,$N100)&amp;"")</f>
        <v/>
      </c>
      <c r="D100" s="91" t="str">
        <f>IF($N100="","",INDEX('Loans'!$C$1:$C$1000,$N100)&amp;"")</f>
        <v/>
      </c>
      <c r="E100" s="91" t="str">
        <f>IF($N100="","",INDEX('Loan maths'!$C$1:$C$1000,$N100)&amp;"")</f>
        <v/>
      </c>
      <c r="F100" s="91" t="str">
        <f>IF($N100="","",INDEX('Loans'!$K$1:$K$1000,$N100)&amp;"")</f>
        <v/>
      </c>
      <c r="G100" s="92" t="str">
        <f>IF($N100="","",INDEX('Deal maths'!$Y$1:$Y$1000,$N100))</f>
        <v/>
      </c>
      <c r="H100" s="93" t="str">
        <f>IF($N100="","",INDEX('Deal maths'!$AB$1:$AB$1000,$N100))</f>
        <v/>
      </c>
      <c r="I100" s="94" t="str">
        <f>IF($N100="","",INDEX('Deal maths'!$Z$1:$Z$1000,$N100))</f>
        <v/>
      </c>
      <c r="J100" s="94" t="str">
        <f>IF($N100="","",INDEX('Deal maths'!$AA$1:$AA$1000,$N100))</f>
        <v/>
      </c>
      <c r="K100" s="94" t="str">
        <f>IF($N100="","",INDEX('Deal maths'!$AG$1:$AG$1000,$N100))</f>
        <v/>
      </c>
      <c r="L100" s="95" t="str">
        <f>IF($N100="","",INDEX('Loan maths'!$P$1:$P$1000,$N100))</f>
        <v/>
      </c>
      <c r="M100" s="92" t="str">
        <f>IF($N100="","",N(G100)*N(H100))</f>
        <v/>
      </c>
      <c r="N100" s="96" t="str">
        <f>IFERROR(MATCH(SMALL(LM_order,92),LM_order,0)+3,"")</f>
        <v/>
      </c>
    </row>
    <row r="101">
      <c r="B101" s="91" t="str">
        <f>IF($N101="","",INDEX('Loans'!$B$1:$B$1000,$N101)&amp;"")</f>
        <v/>
      </c>
      <c r="C101" s="91" t="str">
        <f>IF($N101="","",INDEX('Loans'!$A$1:$A$1000,$N101)&amp;"")</f>
        <v/>
      </c>
      <c r="D101" s="91" t="str">
        <f>IF($N101="","",INDEX('Loans'!$C$1:$C$1000,$N101)&amp;"")</f>
        <v/>
      </c>
      <c r="E101" s="91" t="str">
        <f>IF($N101="","",INDEX('Loan maths'!$C$1:$C$1000,$N101)&amp;"")</f>
        <v/>
      </c>
      <c r="F101" s="91" t="str">
        <f>IF($N101="","",INDEX('Loans'!$K$1:$K$1000,$N101)&amp;"")</f>
        <v/>
      </c>
      <c r="G101" s="92" t="str">
        <f>IF($N101="","",INDEX('Deal maths'!$Y$1:$Y$1000,$N101))</f>
        <v/>
      </c>
      <c r="H101" s="93" t="str">
        <f>IF($N101="","",INDEX('Deal maths'!$AB$1:$AB$1000,$N101))</f>
        <v/>
      </c>
      <c r="I101" s="94" t="str">
        <f>IF($N101="","",INDEX('Deal maths'!$Z$1:$Z$1000,$N101))</f>
        <v/>
      </c>
      <c r="J101" s="94" t="str">
        <f>IF($N101="","",INDEX('Deal maths'!$AA$1:$AA$1000,$N101))</f>
        <v/>
      </c>
      <c r="K101" s="94" t="str">
        <f>IF($N101="","",INDEX('Deal maths'!$AG$1:$AG$1000,$N101))</f>
        <v/>
      </c>
      <c r="L101" s="95" t="str">
        <f>IF($N101="","",INDEX('Loan maths'!$P$1:$P$1000,$N101))</f>
        <v/>
      </c>
      <c r="M101" s="92" t="str">
        <f>IF($N101="","",N(G101)*N(H101))</f>
        <v/>
      </c>
      <c r="N101" s="96" t="str">
        <f>IFERROR(MATCH(SMALL(LM_order,93),LM_order,0)+3,"")</f>
        <v/>
      </c>
    </row>
    <row r="102">
      <c r="B102" s="91" t="str">
        <f>IF($N102="","",INDEX('Loans'!$B$1:$B$1000,$N102)&amp;"")</f>
        <v/>
      </c>
      <c r="C102" s="91" t="str">
        <f>IF($N102="","",INDEX('Loans'!$A$1:$A$1000,$N102)&amp;"")</f>
        <v/>
      </c>
      <c r="D102" s="91" t="str">
        <f>IF($N102="","",INDEX('Loans'!$C$1:$C$1000,$N102)&amp;"")</f>
        <v/>
      </c>
      <c r="E102" s="91" t="str">
        <f>IF($N102="","",INDEX('Loan maths'!$C$1:$C$1000,$N102)&amp;"")</f>
        <v/>
      </c>
      <c r="F102" s="91" t="str">
        <f>IF($N102="","",INDEX('Loans'!$K$1:$K$1000,$N102)&amp;"")</f>
        <v/>
      </c>
      <c r="G102" s="92" t="str">
        <f>IF($N102="","",INDEX('Deal maths'!$Y$1:$Y$1000,$N102))</f>
        <v/>
      </c>
      <c r="H102" s="93" t="str">
        <f>IF($N102="","",INDEX('Deal maths'!$AB$1:$AB$1000,$N102))</f>
        <v/>
      </c>
      <c r="I102" s="94" t="str">
        <f>IF($N102="","",INDEX('Deal maths'!$Z$1:$Z$1000,$N102))</f>
        <v/>
      </c>
      <c r="J102" s="94" t="str">
        <f>IF($N102="","",INDEX('Deal maths'!$AA$1:$AA$1000,$N102))</f>
        <v/>
      </c>
      <c r="K102" s="94" t="str">
        <f>IF($N102="","",INDEX('Deal maths'!$AG$1:$AG$1000,$N102))</f>
        <v/>
      </c>
      <c r="L102" s="95" t="str">
        <f>IF($N102="","",INDEX('Loan maths'!$P$1:$P$1000,$N102))</f>
        <v/>
      </c>
      <c r="M102" s="92" t="str">
        <f>IF($N102="","",N(G102)*N(H102))</f>
        <v/>
      </c>
      <c r="N102" s="96" t="str">
        <f>IFERROR(MATCH(SMALL(LM_order,94),LM_order,0)+3,"")</f>
        <v/>
      </c>
    </row>
    <row r="103">
      <c r="B103" s="91" t="str">
        <f>IF($N103="","",INDEX('Loans'!$B$1:$B$1000,$N103)&amp;"")</f>
        <v/>
      </c>
      <c r="C103" s="91" t="str">
        <f>IF($N103="","",INDEX('Loans'!$A$1:$A$1000,$N103)&amp;"")</f>
        <v/>
      </c>
      <c r="D103" s="91" t="str">
        <f>IF($N103="","",INDEX('Loans'!$C$1:$C$1000,$N103)&amp;"")</f>
        <v/>
      </c>
      <c r="E103" s="91" t="str">
        <f>IF($N103="","",INDEX('Loan maths'!$C$1:$C$1000,$N103)&amp;"")</f>
        <v/>
      </c>
      <c r="F103" s="91" t="str">
        <f>IF($N103="","",INDEX('Loans'!$K$1:$K$1000,$N103)&amp;"")</f>
        <v/>
      </c>
      <c r="G103" s="92" t="str">
        <f>IF($N103="","",INDEX('Deal maths'!$Y$1:$Y$1000,$N103))</f>
        <v/>
      </c>
      <c r="H103" s="93" t="str">
        <f>IF($N103="","",INDEX('Deal maths'!$AB$1:$AB$1000,$N103))</f>
        <v/>
      </c>
      <c r="I103" s="94" t="str">
        <f>IF($N103="","",INDEX('Deal maths'!$Z$1:$Z$1000,$N103))</f>
        <v/>
      </c>
      <c r="J103" s="94" t="str">
        <f>IF($N103="","",INDEX('Deal maths'!$AA$1:$AA$1000,$N103))</f>
        <v/>
      </c>
      <c r="K103" s="94" t="str">
        <f>IF($N103="","",INDEX('Deal maths'!$AG$1:$AG$1000,$N103))</f>
        <v/>
      </c>
      <c r="L103" s="95" t="str">
        <f>IF($N103="","",INDEX('Loan maths'!$P$1:$P$1000,$N103))</f>
        <v/>
      </c>
      <c r="M103" s="92" t="str">
        <f>IF($N103="","",N(G103)*N(H103))</f>
        <v/>
      </c>
      <c r="N103" s="96" t="str">
        <f>IFERROR(MATCH(SMALL(LM_order,95),LM_order,0)+3,"")</f>
        <v/>
      </c>
    </row>
    <row r="104">
      <c r="B104" s="91" t="str">
        <f>IF($N104="","",INDEX('Loans'!$B$1:$B$1000,$N104)&amp;"")</f>
        <v/>
      </c>
      <c r="C104" s="91" t="str">
        <f>IF($N104="","",INDEX('Loans'!$A$1:$A$1000,$N104)&amp;"")</f>
        <v/>
      </c>
      <c r="D104" s="91" t="str">
        <f>IF($N104="","",INDEX('Loans'!$C$1:$C$1000,$N104)&amp;"")</f>
        <v/>
      </c>
      <c r="E104" s="91" t="str">
        <f>IF($N104="","",INDEX('Loan maths'!$C$1:$C$1000,$N104)&amp;"")</f>
        <v/>
      </c>
      <c r="F104" s="91" t="str">
        <f>IF($N104="","",INDEX('Loans'!$K$1:$K$1000,$N104)&amp;"")</f>
        <v/>
      </c>
      <c r="G104" s="92" t="str">
        <f>IF($N104="","",INDEX('Deal maths'!$Y$1:$Y$1000,$N104))</f>
        <v/>
      </c>
      <c r="H104" s="93" t="str">
        <f>IF($N104="","",INDEX('Deal maths'!$AB$1:$AB$1000,$N104))</f>
        <v/>
      </c>
      <c r="I104" s="94" t="str">
        <f>IF($N104="","",INDEX('Deal maths'!$Z$1:$Z$1000,$N104))</f>
        <v/>
      </c>
      <c r="J104" s="94" t="str">
        <f>IF($N104="","",INDEX('Deal maths'!$AA$1:$AA$1000,$N104))</f>
        <v/>
      </c>
      <c r="K104" s="94" t="str">
        <f>IF($N104="","",INDEX('Deal maths'!$AG$1:$AG$1000,$N104))</f>
        <v/>
      </c>
      <c r="L104" s="95" t="str">
        <f>IF($N104="","",INDEX('Loan maths'!$P$1:$P$1000,$N104))</f>
        <v/>
      </c>
      <c r="M104" s="92" t="str">
        <f>IF($N104="","",N(G104)*N(H104))</f>
        <v/>
      </c>
      <c r="N104" s="96" t="str">
        <f>IFERROR(MATCH(SMALL(LM_order,96),LM_order,0)+3,"")</f>
        <v/>
      </c>
    </row>
    <row r="105">
      <c r="B105" s="91" t="str">
        <f>IF($N105="","",INDEX('Loans'!$B$1:$B$1000,$N105)&amp;"")</f>
        <v/>
      </c>
      <c r="C105" s="91" t="str">
        <f>IF($N105="","",INDEX('Loans'!$A$1:$A$1000,$N105)&amp;"")</f>
        <v/>
      </c>
      <c r="D105" s="91" t="str">
        <f>IF($N105="","",INDEX('Loans'!$C$1:$C$1000,$N105)&amp;"")</f>
        <v/>
      </c>
      <c r="E105" s="91" t="str">
        <f>IF($N105="","",INDEX('Loan maths'!$C$1:$C$1000,$N105)&amp;"")</f>
        <v/>
      </c>
      <c r="F105" s="91" t="str">
        <f>IF($N105="","",INDEX('Loans'!$K$1:$K$1000,$N105)&amp;"")</f>
        <v/>
      </c>
      <c r="G105" s="92" t="str">
        <f>IF($N105="","",INDEX('Deal maths'!$Y$1:$Y$1000,$N105))</f>
        <v/>
      </c>
      <c r="H105" s="93" t="str">
        <f>IF($N105="","",INDEX('Deal maths'!$AB$1:$AB$1000,$N105))</f>
        <v/>
      </c>
      <c r="I105" s="94" t="str">
        <f>IF($N105="","",INDEX('Deal maths'!$Z$1:$Z$1000,$N105))</f>
        <v/>
      </c>
      <c r="J105" s="94" t="str">
        <f>IF($N105="","",INDEX('Deal maths'!$AA$1:$AA$1000,$N105))</f>
        <v/>
      </c>
      <c r="K105" s="94" t="str">
        <f>IF($N105="","",INDEX('Deal maths'!$AG$1:$AG$1000,$N105))</f>
        <v/>
      </c>
      <c r="L105" s="95" t="str">
        <f>IF($N105="","",INDEX('Loan maths'!$P$1:$P$1000,$N105))</f>
        <v/>
      </c>
      <c r="M105" s="92" t="str">
        <f>IF($N105="","",N(G105)*N(H105))</f>
        <v/>
      </c>
      <c r="N105" s="96" t="str">
        <f>IFERROR(MATCH(SMALL(LM_order,97),LM_order,0)+3,"")</f>
        <v/>
      </c>
    </row>
    <row r="106">
      <c r="B106" s="91" t="str">
        <f>IF($N106="","",INDEX('Loans'!$B$1:$B$1000,$N106)&amp;"")</f>
        <v/>
      </c>
      <c r="C106" s="91" t="str">
        <f>IF($N106="","",INDEX('Loans'!$A$1:$A$1000,$N106)&amp;"")</f>
        <v/>
      </c>
      <c r="D106" s="91" t="str">
        <f>IF($N106="","",INDEX('Loans'!$C$1:$C$1000,$N106)&amp;"")</f>
        <v/>
      </c>
      <c r="E106" s="91" t="str">
        <f>IF($N106="","",INDEX('Loan maths'!$C$1:$C$1000,$N106)&amp;"")</f>
        <v/>
      </c>
      <c r="F106" s="91" t="str">
        <f>IF($N106="","",INDEX('Loans'!$K$1:$K$1000,$N106)&amp;"")</f>
        <v/>
      </c>
      <c r="G106" s="92" t="str">
        <f>IF($N106="","",INDEX('Deal maths'!$Y$1:$Y$1000,$N106))</f>
        <v/>
      </c>
      <c r="H106" s="93" t="str">
        <f>IF($N106="","",INDEX('Deal maths'!$AB$1:$AB$1000,$N106))</f>
        <v/>
      </c>
      <c r="I106" s="94" t="str">
        <f>IF($N106="","",INDEX('Deal maths'!$Z$1:$Z$1000,$N106))</f>
        <v/>
      </c>
      <c r="J106" s="94" t="str">
        <f>IF($N106="","",INDEX('Deal maths'!$AA$1:$AA$1000,$N106))</f>
        <v/>
      </c>
      <c r="K106" s="94" t="str">
        <f>IF($N106="","",INDEX('Deal maths'!$AG$1:$AG$1000,$N106))</f>
        <v/>
      </c>
      <c r="L106" s="95" t="str">
        <f>IF($N106="","",INDEX('Loan maths'!$P$1:$P$1000,$N106))</f>
        <v/>
      </c>
      <c r="M106" s="92" t="str">
        <f>IF($N106="","",N(G106)*N(H106))</f>
        <v/>
      </c>
      <c r="N106" s="96" t="str">
        <f>IFERROR(MATCH(SMALL(LM_order,98),LM_order,0)+3,"")</f>
        <v/>
      </c>
    </row>
    <row r="107">
      <c r="B107" s="91" t="str">
        <f>IF($N107="","",INDEX('Loans'!$B$1:$B$1000,$N107)&amp;"")</f>
        <v/>
      </c>
      <c r="C107" s="91" t="str">
        <f>IF($N107="","",INDEX('Loans'!$A$1:$A$1000,$N107)&amp;"")</f>
        <v/>
      </c>
      <c r="D107" s="91" t="str">
        <f>IF($N107="","",INDEX('Loans'!$C$1:$C$1000,$N107)&amp;"")</f>
        <v/>
      </c>
      <c r="E107" s="91" t="str">
        <f>IF($N107="","",INDEX('Loan maths'!$C$1:$C$1000,$N107)&amp;"")</f>
        <v/>
      </c>
      <c r="F107" s="91" t="str">
        <f>IF($N107="","",INDEX('Loans'!$K$1:$K$1000,$N107)&amp;"")</f>
        <v/>
      </c>
      <c r="G107" s="92" t="str">
        <f>IF($N107="","",INDEX('Deal maths'!$Y$1:$Y$1000,$N107))</f>
        <v/>
      </c>
      <c r="H107" s="93" t="str">
        <f>IF($N107="","",INDEX('Deal maths'!$AB$1:$AB$1000,$N107))</f>
        <v/>
      </c>
      <c r="I107" s="94" t="str">
        <f>IF($N107="","",INDEX('Deal maths'!$Z$1:$Z$1000,$N107))</f>
        <v/>
      </c>
      <c r="J107" s="94" t="str">
        <f>IF($N107="","",INDEX('Deal maths'!$AA$1:$AA$1000,$N107))</f>
        <v/>
      </c>
      <c r="K107" s="94" t="str">
        <f>IF($N107="","",INDEX('Deal maths'!$AG$1:$AG$1000,$N107))</f>
        <v/>
      </c>
      <c r="L107" s="95" t="str">
        <f>IF($N107="","",INDEX('Loan maths'!$P$1:$P$1000,$N107))</f>
        <v/>
      </c>
      <c r="M107" s="92" t="str">
        <f>IF($N107="","",N(G107)*N(H107))</f>
        <v/>
      </c>
      <c r="N107" s="96" t="str">
        <f>IFERROR(MATCH(SMALL(LM_order,99),LM_order,0)+3,"")</f>
        <v/>
      </c>
    </row>
    <row r="108">
      <c r="B108" s="91" t="str">
        <f>IF($N108="","",INDEX('Loans'!$B$1:$B$1000,$N108)&amp;"")</f>
        <v/>
      </c>
      <c r="C108" s="91" t="str">
        <f>IF($N108="","",INDEX('Loans'!$A$1:$A$1000,$N108)&amp;"")</f>
        <v/>
      </c>
      <c r="D108" s="91" t="str">
        <f>IF($N108="","",INDEX('Loans'!$C$1:$C$1000,$N108)&amp;"")</f>
        <v/>
      </c>
      <c r="E108" s="91" t="str">
        <f>IF($N108="","",INDEX('Loan maths'!$C$1:$C$1000,$N108)&amp;"")</f>
        <v/>
      </c>
      <c r="F108" s="91" t="str">
        <f>IF($N108="","",INDEX('Loans'!$K$1:$K$1000,$N108)&amp;"")</f>
        <v/>
      </c>
      <c r="G108" s="92" t="str">
        <f>IF($N108="","",INDEX('Deal maths'!$Y$1:$Y$1000,$N108))</f>
        <v/>
      </c>
      <c r="H108" s="93" t="str">
        <f>IF($N108="","",INDEX('Deal maths'!$AB$1:$AB$1000,$N108))</f>
        <v/>
      </c>
      <c r="I108" s="94" t="str">
        <f>IF($N108="","",INDEX('Deal maths'!$Z$1:$Z$1000,$N108))</f>
        <v/>
      </c>
      <c r="J108" s="94" t="str">
        <f>IF($N108="","",INDEX('Deal maths'!$AA$1:$AA$1000,$N108))</f>
        <v/>
      </c>
      <c r="K108" s="94" t="str">
        <f>IF($N108="","",INDEX('Deal maths'!$AG$1:$AG$1000,$N108))</f>
        <v/>
      </c>
      <c r="L108" s="95" t="str">
        <f>IF($N108="","",INDEX('Loan maths'!$P$1:$P$1000,$N108))</f>
        <v/>
      </c>
      <c r="M108" s="92" t="str">
        <f>IF($N108="","",N(G108)*N(H108))</f>
        <v/>
      </c>
      <c r="N108" s="96" t="str">
        <f>IFERROR(MATCH(SMALL(LM_order,100),LM_order,0)+3,"")</f>
        <v/>
      </c>
    </row>
    <row r="109">
      <c r="B109" s="91" t="str">
        <f>IF($N109="","",INDEX('Loans'!$B$1:$B$1000,$N109)&amp;"")</f>
        <v/>
      </c>
      <c r="C109" s="91" t="str">
        <f>IF($N109="","",INDEX('Loans'!$A$1:$A$1000,$N109)&amp;"")</f>
        <v/>
      </c>
      <c r="D109" s="91" t="str">
        <f>IF($N109="","",INDEX('Loans'!$C$1:$C$1000,$N109)&amp;"")</f>
        <v/>
      </c>
      <c r="E109" s="91" t="str">
        <f>IF($N109="","",INDEX('Loan maths'!$C$1:$C$1000,$N109)&amp;"")</f>
        <v/>
      </c>
      <c r="F109" s="91" t="str">
        <f>IF($N109="","",INDEX('Loans'!$K$1:$K$1000,$N109)&amp;"")</f>
        <v/>
      </c>
      <c r="G109" s="92" t="str">
        <f>IF($N109="","",INDEX('Deal maths'!$Y$1:$Y$1000,$N109))</f>
        <v/>
      </c>
      <c r="H109" s="93" t="str">
        <f>IF($N109="","",INDEX('Deal maths'!$AB$1:$AB$1000,$N109))</f>
        <v/>
      </c>
      <c r="I109" s="94" t="str">
        <f>IF($N109="","",INDEX('Deal maths'!$Z$1:$Z$1000,$N109))</f>
        <v/>
      </c>
      <c r="J109" s="94" t="str">
        <f>IF($N109="","",INDEX('Deal maths'!$AA$1:$AA$1000,$N109))</f>
        <v/>
      </c>
      <c r="K109" s="94" t="str">
        <f>IF($N109="","",INDEX('Deal maths'!$AG$1:$AG$1000,$N109))</f>
        <v/>
      </c>
      <c r="L109" s="95" t="str">
        <f>IF($N109="","",INDEX('Loan maths'!$P$1:$P$1000,$N109))</f>
        <v/>
      </c>
      <c r="M109" s="92" t="str">
        <f>IF($N109="","",N(G109)*N(H109))</f>
        <v/>
      </c>
      <c r="N109" s="96" t="str">
        <f>IFERROR(MATCH(SMALL(LM_order,101),LM_order,0)+3,"")</f>
        <v/>
      </c>
    </row>
    <row r="110">
      <c r="B110" s="91" t="str">
        <f>IF($N110="","",INDEX('Loans'!$B$1:$B$1000,$N110)&amp;"")</f>
        <v/>
      </c>
      <c r="C110" s="91" t="str">
        <f>IF($N110="","",INDEX('Loans'!$A$1:$A$1000,$N110)&amp;"")</f>
        <v/>
      </c>
      <c r="D110" s="91" t="str">
        <f>IF($N110="","",INDEX('Loans'!$C$1:$C$1000,$N110)&amp;"")</f>
        <v/>
      </c>
      <c r="E110" s="91" t="str">
        <f>IF($N110="","",INDEX('Loan maths'!$C$1:$C$1000,$N110)&amp;"")</f>
        <v/>
      </c>
      <c r="F110" s="91" t="str">
        <f>IF($N110="","",INDEX('Loans'!$K$1:$K$1000,$N110)&amp;"")</f>
        <v/>
      </c>
      <c r="G110" s="92" t="str">
        <f>IF($N110="","",INDEX('Deal maths'!$Y$1:$Y$1000,$N110))</f>
        <v/>
      </c>
      <c r="H110" s="93" t="str">
        <f>IF($N110="","",INDEX('Deal maths'!$AB$1:$AB$1000,$N110))</f>
        <v/>
      </c>
      <c r="I110" s="94" t="str">
        <f>IF($N110="","",INDEX('Deal maths'!$Z$1:$Z$1000,$N110))</f>
        <v/>
      </c>
      <c r="J110" s="94" t="str">
        <f>IF($N110="","",INDEX('Deal maths'!$AA$1:$AA$1000,$N110))</f>
        <v/>
      </c>
      <c r="K110" s="94" t="str">
        <f>IF($N110="","",INDEX('Deal maths'!$AG$1:$AG$1000,$N110))</f>
        <v/>
      </c>
      <c r="L110" s="95" t="str">
        <f>IF($N110="","",INDEX('Loan maths'!$P$1:$P$1000,$N110))</f>
        <v/>
      </c>
      <c r="M110" s="92" t="str">
        <f>IF($N110="","",N(G110)*N(H110))</f>
        <v/>
      </c>
      <c r="N110" s="96" t="str">
        <f>IFERROR(MATCH(SMALL(LM_order,102),LM_order,0)+3,"")</f>
        <v/>
      </c>
    </row>
    <row r="111">
      <c r="B111" s="91" t="str">
        <f>IF($N111="","",INDEX('Loans'!$B$1:$B$1000,$N111)&amp;"")</f>
        <v/>
      </c>
      <c r="C111" s="91" t="str">
        <f>IF($N111="","",INDEX('Loans'!$A$1:$A$1000,$N111)&amp;"")</f>
        <v/>
      </c>
      <c r="D111" s="91" t="str">
        <f>IF($N111="","",INDEX('Loans'!$C$1:$C$1000,$N111)&amp;"")</f>
        <v/>
      </c>
      <c r="E111" s="91" t="str">
        <f>IF($N111="","",INDEX('Loan maths'!$C$1:$C$1000,$N111)&amp;"")</f>
        <v/>
      </c>
      <c r="F111" s="91" t="str">
        <f>IF($N111="","",INDEX('Loans'!$K$1:$K$1000,$N111)&amp;"")</f>
        <v/>
      </c>
      <c r="G111" s="92" t="str">
        <f>IF($N111="","",INDEX('Deal maths'!$Y$1:$Y$1000,$N111))</f>
        <v/>
      </c>
      <c r="H111" s="93" t="str">
        <f>IF($N111="","",INDEX('Deal maths'!$AB$1:$AB$1000,$N111))</f>
        <v/>
      </c>
      <c r="I111" s="94" t="str">
        <f>IF($N111="","",INDEX('Deal maths'!$Z$1:$Z$1000,$N111))</f>
        <v/>
      </c>
      <c r="J111" s="94" t="str">
        <f>IF($N111="","",INDEX('Deal maths'!$AA$1:$AA$1000,$N111))</f>
        <v/>
      </c>
      <c r="K111" s="94" t="str">
        <f>IF($N111="","",INDEX('Deal maths'!$AG$1:$AG$1000,$N111))</f>
        <v/>
      </c>
      <c r="L111" s="95" t="str">
        <f>IF($N111="","",INDEX('Loan maths'!$P$1:$P$1000,$N111))</f>
        <v/>
      </c>
      <c r="M111" s="92" t="str">
        <f>IF($N111="","",N(G111)*N(H111))</f>
        <v/>
      </c>
      <c r="N111" s="96" t="str">
        <f>IFERROR(MATCH(SMALL(LM_order,103),LM_order,0)+3,"")</f>
        <v/>
      </c>
    </row>
    <row r="112">
      <c r="B112" s="91" t="str">
        <f>IF($N112="","",INDEX('Loans'!$B$1:$B$1000,$N112)&amp;"")</f>
        <v/>
      </c>
      <c r="C112" s="91" t="str">
        <f>IF($N112="","",INDEX('Loans'!$A$1:$A$1000,$N112)&amp;"")</f>
        <v/>
      </c>
      <c r="D112" s="91" t="str">
        <f>IF($N112="","",INDEX('Loans'!$C$1:$C$1000,$N112)&amp;"")</f>
        <v/>
      </c>
      <c r="E112" s="91" t="str">
        <f>IF($N112="","",INDEX('Loan maths'!$C$1:$C$1000,$N112)&amp;"")</f>
        <v/>
      </c>
      <c r="F112" s="91" t="str">
        <f>IF($N112="","",INDEX('Loans'!$K$1:$K$1000,$N112)&amp;"")</f>
        <v/>
      </c>
      <c r="G112" s="92" t="str">
        <f>IF($N112="","",INDEX('Deal maths'!$Y$1:$Y$1000,$N112))</f>
        <v/>
      </c>
      <c r="H112" s="93" t="str">
        <f>IF($N112="","",INDEX('Deal maths'!$AB$1:$AB$1000,$N112))</f>
        <v/>
      </c>
      <c r="I112" s="94" t="str">
        <f>IF($N112="","",INDEX('Deal maths'!$Z$1:$Z$1000,$N112))</f>
        <v/>
      </c>
      <c r="J112" s="94" t="str">
        <f>IF($N112="","",INDEX('Deal maths'!$AA$1:$AA$1000,$N112))</f>
        <v/>
      </c>
      <c r="K112" s="94" t="str">
        <f>IF($N112="","",INDEX('Deal maths'!$AG$1:$AG$1000,$N112))</f>
        <v/>
      </c>
      <c r="L112" s="95" t="str">
        <f>IF($N112="","",INDEX('Loan maths'!$P$1:$P$1000,$N112))</f>
        <v/>
      </c>
      <c r="M112" s="92" t="str">
        <f>IF($N112="","",N(G112)*N(H112))</f>
        <v/>
      </c>
      <c r="N112" s="96" t="str">
        <f>IFERROR(MATCH(SMALL(LM_order,104),LM_order,0)+3,"")</f>
        <v/>
      </c>
    </row>
    <row r="113">
      <c r="B113" s="91" t="str">
        <f>IF($N113="","",INDEX('Loans'!$B$1:$B$1000,$N113)&amp;"")</f>
        <v/>
      </c>
      <c r="C113" s="91" t="str">
        <f>IF($N113="","",INDEX('Loans'!$A$1:$A$1000,$N113)&amp;"")</f>
        <v/>
      </c>
      <c r="D113" s="91" t="str">
        <f>IF($N113="","",INDEX('Loans'!$C$1:$C$1000,$N113)&amp;"")</f>
        <v/>
      </c>
      <c r="E113" s="91" t="str">
        <f>IF($N113="","",INDEX('Loan maths'!$C$1:$C$1000,$N113)&amp;"")</f>
        <v/>
      </c>
      <c r="F113" s="91" t="str">
        <f>IF($N113="","",INDEX('Loans'!$K$1:$K$1000,$N113)&amp;"")</f>
        <v/>
      </c>
      <c r="G113" s="92" t="str">
        <f>IF($N113="","",INDEX('Deal maths'!$Y$1:$Y$1000,$N113))</f>
        <v/>
      </c>
      <c r="H113" s="93" t="str">
        <f>IF($N113="","",INDEX('Deal maths'!$AB$1:$AB$1000,$N113))</f>
        <v/>
      </c>
      <c r="I113" s="94" t="str">
        <f>IF($N113="","",INDEX('Deal maths'!$Z$1:$Z$1000,$N113))</f>
        <v/>
      </c>
      <c r="J113" s="94" t="str">
        <f>IF($N113="","",INDEX('Deal maths'!$AA$1:$AA$1000,$N113))</f>
        <v/>
      </c>
      <c r="K113" s="94" t="str">
        <f>IF($N113="","",INDEX('Deal maths'!$AG$1:$AG$1000,$N113))</f>
        <v/>
      </c>
      <c r="L113" s="95" t="str">
        <f>IF($N113="","",INDEX('Loan maths'!$P$1:$P$1000,$N113))</f>
        <v/>
      </c>
      <c r="M113" s="92" t="str">
        <f>IF($N113="","",N(G113)*N(H113))</f>
        <v/>
      </c>
      <c r="N113" s="96" t="str">
        <f>IFERROR(MATCH(SMALL(LM_order,105),LM_order,0)+3,"")</f>
        <v/>
      </c>
    </row>
    <row r="114">
      <c r="B114" s="91" t="str">
        <f>IF($N114="","",INDEX('Loans'!$B$1:$B$1000,$N114)&amp;"")</f>
        <v/>
      </c>
      <c r="C114" s="91" t="str">
        <f>IF($N114="","",INDEX('Loans'!$A$1:$A$1000,$N114)&amp;"")</f>
        <v/>
      </c>
      <c r="D114" s="91" t="str">
        <f>IF($N114="","",INDEX('Loans'!$C$1:$C$1000,$N114)&amp;"")</f>
        <v/>
      </c>
      <c r="E114" s="91" t="str">
        <f>IF($N114="","",INDEX('Loan maths'!$C$1:$C$1000,$N114)&amp;"")</f>
        <v/>
      </c>
      <c r="F114" s="91" t="str">
        <f>IF($N114="","",INDEX('Loans'!$K$1:$K$1000,$N114)&amp;"")</f>
        <v/>
      </c>
      <c r="G114" s="92" t="str">
        <f>IF($N114="","",INDEX('Deal maths'!$Y$1:$Y$1000,$N114))</f>
        <v/>
      </c>
      <c r="H114" s="93" t="str">
        <f>IF($N114="","",INDEX('Deal maths'!$AB$1:$AB$1000,$N114))</f>
        <v/>
      </c>
      <c r="I114" s="94" t="str">
        <f>IF($N114="","",INDEX('Deal maths'!$Z$1:$Z$1000,$N114))</f>
        <v/>
      </c>
      <c r="J114" s="94" t="str">
        <f>IF($N114="","",INDEX('Deal maths'!$AA$1:$AA$1000,$N114))</f>
        <v/>
      </c>
      <c r="K114" s="94" t="str">
        <f>IF($N114="","",INDEX('Deal maths'!$AG$1:$AG$1000,$N114))</f>
        <v/>
      </c>
      <c r="L114" s="95" t="str">
        <f>IF($N114="","",INDEX('Loan maths'!$P$1:$P$1000,$N114))</f>
        <v/>
      </c>
      <c r="M114" s="92" t="str">
        <f>IF($N114="","",N(G114)*N(H114))</f>
        <v/>
      </c>
      <c r="N114" s="96" t="str">
        <f>IFERROR(MATCH(SMALL(LM_order,106),LM_order,0)+3,"")</f>
        <v/>
      </c>
    </row>
    <row r="115">
      <c r="B115" s="91" t="str">
        <f>IF($N115="","",INDEX('Loans'!$B$1:$B$1000,$N115)&amp;"")</f>
        <v/>
      </c>
      <c r="C115" s="91" t="str">
        <f>IF($N115="","",INDEX('Loans'!$A$1:$A$1000,$N115)&amp;"")</f>
        <v/>
      </c>
      <c r="D115" s="91" t="str">
        <f>IF($N115="","",INDEX('Loans'!$C$1:$C$1000,$N115)&amp;"")</f>
        <v/>
      </c>
      <c r="E115" s="91" t="str">
        <f>IF($N115="","",INDEX('Loan maths'!$C$1:$C$1000,$N115)&amp;"")</f>
        <v/>
      </c>
      <c r="F115" s="91" t="str">
        <f>IF($N115="","",INDEX('Loans'!$K$1:$K$1000,$N115)&amp;"")</f>
        <v/>
      </c>
      <c r="G115" s="92" t="str">
        <f>IF($N115="","",INDEX('Deal maths'!$Y$1:$Y$1000,$N115))</f>
        <v/>
      </c>
      <c r="H115" s="93" t="str">
        <f>IF($N115="","",INDEX('Deal maths'!$AB$1:$AB$1000,$N115))</f>
        <v/>
      </c>
      <c r="I115" s="94" t="str">
        <f>IF($N115="","",INDEX('Deal maths'!$Z$1:$Z$1000,$N115))</f>
        <v/>
      </c>
      <c r="J115" s="94" t="str">
        <f>IF($N115="","",INDEX('Deal maths'!$AA$1:$AA$1000,$N115))</f>
        <v/>
      </c>
      <c r="K115" s="94" t="str">
        <f>IF($N115="","",INDEX('Deal maths'!$AG$1:$AG$1000,$N115))</f>
        <v/>
      </c>
      <c r="L115" s="95" t="str">
        <f>IF($N115="","",INDEX('Loan maths'!$P$1:$P$1000,$N115))</f>
        <v/>
      </c>
      <c r="M115" s="92" t="str">
        <f>IF($N115="","",N(G115)*N(H115))</f>
        <v/>
      </c>
      <c r="N115" s="96" t="str">
        <f>IFERROR(MATCH(SMALL(LM_order,107),LM_order,0)+3,"")</f>
        <v/>
      </c>
    </row>
    <row r="116">
      <c r="B116" s="91" t="str">
        <f>IF($N116="","",INDEX('Loans'!$B$1:$B$1000,$N116)&amp;"")</f>
        <v/>
      </c>
      <c r="C116" s="91" t="str">
        <f>IF($N116="","",INDEX('Loans'!$A$1:$A$1000,$N116)&amp;"")</f>
        <v/>
      </c>
      <c r="D116" s="91" t="str">
        <f>IF($N116="","",INDEX('Loans'!$C$1:$C$1000,$N116)&amp;"")</f>
        <v/>
      </c>
      <c r="E116" s="91" t="str">
        <f>IF($N116="","",INDEX('Loan maths'!$C$1:$C$1000,$N116)&amp;"")</f>
        <v/>
      </c>
      <c r="F116" s="91" t="str">
        <f>IF($N116="","",INDEX('Loans'!$K$1:$K$1000,$N116)&amp;"")</f>
        <v/>
      </c>
      <c r="G116" s="92" t="str">
        <f>IF($N116="","",INDEX('Deal maths'!$Y$1:$Y$1000,$N116))</f>
        <v/>
      </c>
      <c r="H116" s="93" t="str">
        <f>IF($N116="","",INDEX('Deal maths'!$AB$1:$AB$1000,$N116))</f>
        <v/>
      </c>
      <c r="I116" s="94" t="str">
        <f>IF($N116="","",INDEX('Deal maths'!$Z$1:$Z$1000,$N116))</f>
        <v/>
      </c>
      <c r="J116" s="94" t="str">
        <f>IF($N116="","",INDEX('Deal maths'!$AA$1:$AA$1000,$N116))</f>
        <v/>
      </c>
      <c r="K116" s="94" t="str">
        <f>IF($N116="","",INDEX('Deal maths'!$AG$1:$AG$1000,$N116))</f>
        <v/>
      </c>
      <c r="L116" s="95" t="str">
        <f>IF($N116="","",INDEX('Loan maths'!$P$1:$P$1000,$N116))</f>
        <v/>
      </c>
      <c r="M116" s="92" t="str">
        <f>IF($N116="","",N(G116)*N(H116))</f>
        <v/>
      </c>
      <c r="N116" s="96" t="str">
        <f>IFERROR(MATCH(SMALL(LM_order,108),LM_order,0)+3,"")</f>
        <v/>
      </c>
    </row>
    <row r="117">
      <c r="B117" s="91" t="str">
        <f>IF($N117="","",INDEX('Loans'!$B$1:$B$1000,$N117)&amp;"")</f>
        <v/>
      </c>
      <c r="C117" s="91" t="str">
        <f>IF($N117="","",INDEX('Loans'!$A$1:$A$1000,$N117)&amp;"")</f>
        <v/>
      </c>
      <c r="D117" s="91" t="str">
        <f>IF($N117="","",INDEX('Loans'!$C$1:$C$1000,$N117)&amp;"")</f>
        <v/>
      </c>
      <c r="E117" s="91" t="str">
        <f>IF($N117="","",INDEX('Loan maths'!$C$1:$C$1000,$N117)&amp;"")</f>
        <v/>
      </c>
      <c r="F117" s="91" t="str">
        <f>IF($N117="","",INDEX('Loans'!$K$1:$K$1000,$N117)&amp;"")</f>
        <v/>
      </c>
      <c r="G117" s="92" t="str">
        <f>IF($N117="","",INDEX('Deal maths'!$Y$1:$Y$1000,$N117))</f>
        <v/>
      </c>
      <c r="H117" s="93" t="str">
        <f>IF($N117="","",INDEX('Deal maths'!$AB$1:$AB$1000,$N117))</f>
        <v/>
      </c>
      <c r="I117" s="94" t="str">
        <f>IF($N117="","",INDEX('Deal maths'!$Z$1:$Z$1000,$N117))</f>
        <v/>
      </c>
      <c r="J117" s="94" t="str">
        <f>IF($N117="","",INDEX('Deal maths'!$AA$1:$AA$1000,$N117))</f>
        <v/>
      </c>
      <c r="K117" s="94" t="str">
        <f>IF($N117="","",INDEX('Deal maths'!$AG$1:$AG$1000,$N117))</f>
        <v/>
      </c>
      <c r="L117" s="95" t="str">
        <f>IF($N117="","",INDEX('Loan maths'!$P$1:$P$1000,$N117))</f>
        <v/>
      </c>
      <c r="M117" s="92" t="str">
        <f>IF($N117="","",N(G117)*N(H117))</f>
        <v/>
      </c>
      <c r="N117" s="96" t="str">
        <f>IFERROR(MATCH(SMALL(LM_order,109),LM_order,0)+3,"")</f>
        <v/>
      </c>
    </row>
    <row r="118">
      <c r="B118" s="91" t="str">
        <f>IF($N118="","",INDEX('Loans'!$B$1:$B$1000,$N118)&amp;"")</f>
        <v/>
      </c>
      <c r="C118" s="91" t="str">
        <f>IF($N118="","",INDEX('Loans'!$A$1:$A$1000,$N118)&amp;"")</f>
        <v/>
      </c>
      <c r="D118" s="91" t="str">
        <f>IF($N118="","",INDEX('Loans'!$C$1:$C$1000,$N118)&amp;"")</f>
        <v/>
      </c>
      <c r="E118" s="91" t="str">
        <f>IF($N118="","",INDEX('Loan maths'!$C$1:$C$1000,$N118)&amp;"")</f>
        <v/>
      </c>
      <c r="F118" s="91" t="str">
        <f>IF($N118="","",INDEX('Loans'!$K$1:$K$1000,$N118)&amp;"")</f>
        <v/>
      </c>
      <c r="G118" s="92" t="str">
        <f>IF($N118="","",INDEX('Deal maths'!$Y$1:$Y$1000,$N118))</f>
        <v/>
      </c>
      <c r="H118" s="93" t="str">
        <f>IF($N118="","",INDEX('Deal maths'!$AB$1:$AB$1000,$N118))</f>
        <v/>
      </c>
      <c r="I118" s="94" t="str">
        <f>IF($N118="","",INDEX('Deal maths'!$Z$1:$Z$1000,$N118))</f>
        <v/>
      </c>
      <c r="J118" s="94" t="str">
        <f>IF($N118="","",INDEX('Deal maths'!$AA$1:$AA$1000,$N118))</f>
        <v/>
      </c>
      <c r="K118" s="94" t="str">
        <f>IF($N118="","",INDEX('Deal maths'!$AG$1:$AG$1000,$N118))</f>
        <v/>
      </c>
      <c r="L118" s="95" t="str">
        <f>IF($N118="","",INDEX('Loan maths'!$P$1:$P$1000,$N118))</f>
        <v/>
      </c>
      <c r="M118" s="92" t="str">
        <f>IF($N118="","",N(G118)*N(H118))</f>
        <v/>
      </c>
      <c r="N118" s="96" t="str">
        <f>IFERROR(MATCH(SMALL(LM_order,110),LM_order,0)+3,"")</f>
        <v/>
      </c>
    </row>
    <row r="119">
      <c r="B119" s="91" t="str">
        <f>IF($N119="","",INDEX('Loans'!$B$1:$B$1000,$N119)&amp;"")</f>
        <v/>
      </c>
      <c r="C119" s="91" t="str">
        <f>IF($N119="","",INDEX('Loans'!$A$1:$A$1000,$N119)&amp;"")</f>
        <v/>
      </c>
      <c r="D119" s="91" t="str">
        <f>IF($N119="","",INDEX('Loans'!$C$1:$C$1000,$N119)&amp;"")</f>
        <v/>
      </c>
      <c r="E119" s="91" t="str">
        <f>IF($N119="","",INDEX('Loan maths'!$C$1:$C$1000,$N119)&amp;"")</f>
        <v/>
      </c>
      <c r="F119" s="91" t="str">
        <f>IF($N119="","",INDEX('Loans'!$K$1:$K$1000,$N119)&amp;"")</f>
        <v/>
      </c>
      <c r="G119" s="92" t="str">
        <f>IF($N119="","",INDEX('Deal maths'!$Y$1:$Y$1000,$N119))</f>
        <v/>
      </c>
      <c r="H119" s="93" t="str">
        <f>IF($N119="","",INDEX('Deal maths'!$AB$1:$AB$1000,$N119))</f>
        <v/>
      </c>
      <c r="I119" s="94" t="str">
        <f>IF($N119="","",INDEX('Deal maths'!$Z$1:$Z$1000,$N119))</f>
        <v/>
      </c>
      <c r="J119" s="94" t="str">
        <f>IF($N119="","",INDEX('Deal maths'!$AA$1:$AA$1000,$N119))</f>
        <v/>
      </c>
      <c r="K119" s="94" t="str">
        <f>IF($N119="","",INDEX('Deal maths'!$AG$1:$AG$1000,$N119))</f>
        <v/>
      </c>
      <c r="L119" s="95" t="str">
        <f>IF($N119="","",INDEX('Loan maths'!$P$1:$P$1000,$N119))</f>
        <v/>
      </c>
      <c r="M119" s="92" t="str">
        <f>IF($N119="","",N(G119)*N(H119))</f>
        <v/>
      </c>
      <c r="N119" s="96" t="str">
        <f>IFERROR(MATCH(SMALL(LM_order,111),LM_order,0)+3,"")</f>
        <v/>
      </c>
    </row>
    <row r="120">
      <c r="B120" s="91" t="str">
        <f>IF($N120="","",INDEX('Loans'!$B$1:$B$1000,$N120)&amp;"")</f>
        <v/>
      </c>
      <c r="C120" s="91" t="str">
        <f>IF($N120="","",INDEX('Loans'!$A$1:$A$1000,$N120)&amp;"")</f>
        <v/>
      </c>
      <c r="D120" s="91" t="str">
        <f>IF($N120="","",INDEX('Loans'!$C$1:$C$1000,$N120)&amp;"")</f>
        <v/>
      </c>
      <c r="E120" s="91" t="str">
        <f>IF($N120="","",INDEX('Loan maths'!$C$1:$C$1000,$N120)&amp;"")</f>
        <v/>
      </c>
      <c r="F120" s="91" t="str">
        <f>IF($N120="","",INDEX('Loans'!$K$1:$K$1000,$N120)&amp;"")</f>
        <v/>
      </c>
      <c r="G120" s="92" t="str">
        <f>IF($N120="","",INDEX('Deal maths'!$Y$1:$Y$1000,$N120))</f>
        <v/>
      </c>
      <c r="H120" s="93" t="str">
        <f>IF($N120="","",INDEX('Deal maths'!$AB$1:$AB$1000,$N120))</f>
        <v/>
      </c>
      <c r="I120" s="94" t="str">
        <f>IF($N120="","",INDEX('Deal maths'!$Z$1:$Z$1000,$N120))</f>
        <v/>
      </c>
      <c r="J120" s="94" t="str">
        <f>IF($N120="","",INDEX('Deal maths'!$AA$1:$AA$1000,$N120))</f>
        <v/>
      </c>
      <c r="K120" s="94" t="str">
        <f>IF($N120="","",INDEX('Deal maths'!$AG$1:$AG$1000,$N120))</f>
        <v/>
      </c>
      <c r="L120" s="95" t="str">
        <f>IF($N120="","",INDEX('Loan maths'!$P$1:$P$1000,$N120))</f>
        <v/>
      </c>
      <c r="M120" s="92" t="str">
        <f>IF($N120="","",N(G120)*N(H120))</f>
        <v/>
      </c>
      <c r="N120" s="96" t="str">
        <f>IFERROR(MATCH(SMALL(LM_order,112),LM_order,0)+3,"")</f>
        <v/>
      </c>
    </row>
    <row r="121">
      <c r="B121" s="91" t="str">
        <f>IF($N121="","",INDEX('Loans'!$B$1:$B$1000,$N121)&amp;"")</f>
        <v/>
      </c>
      <c r="C121" s="91" t="str">
        <f>IF($N121="","",INDEX('Loans'!$A$1:$A$1000,$N121)&amp;"")</f>
        <v/>
      </c>
      <c r="D121" s="91" t="str">
        <f>IF($N121="","",INDEX('Loans'!$C$1:$C$1000,$N121)&amp;"")</f>
        <v/>
      </c>
      <c r="E121" s="91" t="str">
        <f>IF($N121="","",INDEX('Loan maths'!$C$1:$C$1000,$N121)&amp;"")</f>
        <v/>
      </c>
      <c r="F121" s="91" t="str">
        <f>IF($N121="","",INDEX('Loans'!$K$1:$K$1000,$N121)&amp;"")</f>
        <v/>
      </c>
      <c r="G121" s="92" t="str">
        <f>IF($N121="","",INDEX('Deal maths'!$Y$1:$Y$1000,$N121))</f>
        <v/>
      </c>
      <c r="H121" s="93" t="str">
        <f>IF($N121="","",INDEX('Deal maths'!$AB$1:$AB$1000,$N121))</f>
        <v/>
      </c>
      <c r="I121" s="94" t="str">
        <f>IF($N121="","",INDEX('Deal maths'!$Z$1:$Z$1000,$N121))</f>
        <v/>
      </c>
      <c r="J121" s="94" t="str">
        <f>IF($N121="","",INDEX('Deal maths'!$AA$1:$AA$1000,$N121))</f>
        <v/>
      </c>
      <c r="K121" s="94" t="str">
        <f>IF($N121="","",INDEX('Deal maths'!$AG$1:$AG$1000,$N121))</f>
        <v/>
      </c>
      <c r="L121" s="95" t="str">
        <f>IF($N121="","",INDEX('Loan maths'!$P$1:$P$1000,$N121))</f>
        <v/>
      </c>
      <c r="M121" s="92" t="str">
        <f>IF($N121="","",N(G121)*N(H121))</f>
        <v/>
      </c>
      <c r="N121" s="96" t="str">
        <f>IFERROR(MATCH(SMALL(LM_order,113),LM_order,0)+3,"")</f>
        <v/>
      </c>
    </row>
    <row r="122">
      <c r="B122" s="91" t="str">
        <f>IF($N122="","",INDEX('Loans'!$B$1:$B$1000,$N122)&amp;"")</f>
        <v/>
      </c>
      <c r="C122" s="91" t="str">
        <f>IF($N122="","",INDEX('Loans'!$A$1:$A$1000,$N122)&amp;"")</f>
        <v/>
      </c>
      <c r="D122" s="91" t="str">
        <f>IF($N122="","",INDEX('Loans'!$C$1:$C$1000,$N122)&amp;"")</f>
        <v/>
      </c>
      <c r="E122" s="91" t="str">
        <f>IF($N122="","",INDEX('Loan maths'!$C$1:$C$1000,$N122)&amp;"")</f>
        <v/>
      </c>
      <c r="F122" s="91" t="str">
        <f>IF($N122="","",INDEX('Loans'!$K$1:$K$1000,$N122)&amp;"")</f>
        <v/>
      </c>
      <c r="G122" s="92" t="str">
        <f>IF($N122="","",INDEX('Deal maths'!$Y$1:$Y$1000,$N122))</f>
        <v/>
      </c>
      <c r="H122" s="93" t="str">
        <f>IF($N122="","",INDEX('Deal maths'!$AB$1:$AB$1000,$N122))</f>
        <v/>
      </c>
      <c r="I122" s="94" t="str">
        <f>IF($N122="","",INDEX('Deal maths'!$Z$1:$Z$1000,$N122))</f>
        <v/>
      </c>
      <c r="J122" s="94" t="str">
        <f>IF($N122="","",INDEX('Deal maths'!$AA$1:$AA$1000,$N122))</f>
        <v/>
      </c>
      <c r="K122" s="94" t="str">
        <f>IF($N122="","",INDEX('Deal maths'!$AG$1:$AG$1000,$N122))</f>
        <v/>
      </c>
      <c r="L122" s="95" t="str">
        <f>IF($N122="","",INDEX('Loan maths'!$P$1:$P$1000,$N122))</f>
        <v/>
      </c>
      <c r="M122" s="92" t="str">
        <f>IF($N122="","",N(G122)*N(H122))</f>
        <v/>
      </c>
      <c r="N122" s="96" t="str">
        <f>IFERROR(MATCH(SMALL(LM_order,114),LM_order,0)+3,"")</f>
        <v/>
      </c>
    </row>
    <row r="123">
      <c r="B123" s="91" t="str">
        <f>IF($N123="","",INDEX('Loans'!$B$1:$B$1000,$N123)&amp;"")</f>
        <v/>
      </c>
      <c r="C123" s="91" t="str">
        <f>IF($N123="","",INDEX('Loans'!$A$1:$A$1000,$N123)&amp;"")</f>
        <v/>
      </c>
      <c r="D123" s="91" t="str">
        <f>IF($N123="","",INDEX('Loans'!$C$1:$C$1000,$N123)&amp;"")</f>
        <v/>
      </c>
      <c r="E123" s="91" t="str">
        <f>IF($N123="","",INDEX('Loan maths'!$C$1:$C$1000,$N123)&amp;"")</f>
        <v/>
      </c>
      <c r="F123" s="91" t="str">
        <f>IF($N123="","",INDEX('Loans'!$K$1:$K$1000,$N123)&amp;"")</f>
        <v/>
      </c>
      <c r="G123" s="92" t="str">
        <f>IF($N123="","",INDEX('Deal maths'!$Y$1:$Y$1000,$N123))</f>
        <v/>
      </c>
      <c r="H123" s="93" t="str">
        <f>IF($N123="","",INDEX('Deal maths'!$AB$1:$AB$1000,$N123))</f>
        <v/>
      </c>
      <c r="I123" s="94" t="str">
        <f>IF($N123="","",INDEX('Deal maths'!$Z$1:$Z$1000,$N123))</f>
        <v/>
      </c>
      <c r="J123" s="94" t="str">
        <f>IF($N123="","",INDEX('Deal maths'!$AA$1:$AA$1000,$N123))</f>
        <v/>
      </c>
      <c r="K123" s="94" t="str">
        <f>IF($N123="","",INDEX('Deal maths'!$AG$1:$AG$1000,$N123))</f>
        <v/>
      </c>
      <c r="L123" s="95" t="str">
        <f>IF($N123="","",INDEX('Loan maths'!$P$1:$P$1000,$N123))</f>
        <v/>
      </c>
      <c r="M123" s="92" t="str">
        <f>IF($N123="","",N(G123)*N(H123))</f>
        <v/>
      </c>
      <c r="N123" s="96" t="str">
        <f>IFERROR(MATCH(SMALL(LM_order,115),LM_order,0)+3,"")</f>
        <v/>
      </c>
    </row>
    <row r="124">
      <c r="B124" s="91" t="str">
        <f>IF($N124="","",INDEX('Loans'!$B$1:$B$1000,$N124)&amp;"")</f>
        <v/>
      </c>
      <c r="C124" s="91" t="str">
        <f>IF($N124="","",INDEX('Loans'!$A$1:$A$1000,$N124)&amp;"")</f>
        <v/>
      </c>
      <c r="D124" s="91" t="str">
        <f>IF($N124="","",INDEX('Loans'!$C$1:$C$1000,$N124)&amp;"")</f>
        <v/>
      </c>
      <c r="E124" s="91" t="str">
        <f>IF($N124="","",INDEX('Loan maths'!$C$1:$C$1000,$N124)&amp;"")</f>
        <v/>
      </c>
      <c r="F124" s="91" t="str">
        <f>IF($N124="","",INDEX('Loans'!$K$1:$K$1000,$N124)&amp;"")</f>
        <v/>
      </c>
      <c r="G124" s="92" t="str">
        <f>IF($N124="","",INDEX('Deal maths'!$Y$1:$Y$1000,$N124))</f>
        <v/>
      </c>
      <c r="H124" s="93" t="str">
        <f>IF($N124="","",INDEX('Deal maths'!$AB$1:$AB$1000,$N124))</f>
        <v/>
      </c>
      <c r="I124" s="94" t="str">
        <f>IF($N124="","",INDEX('Deal maths'!$Z$1:$Z$1000,$N124))</f>
        <v/>
      </c>
      <c r="J124" s="94" t="str">
        <f>IF($N124="","",INDEX('Deal maths'!$AA$1:$AA$1000,$N124))</f>
        <v/>
      </c>
      <c r="K124" s="94" t="str">
        <f>IF($N124="","",INDEX('Deal maths'!$AG$1:$AG$1000,$N124))</f>
        <v/>
      </c>
      <c r="L124" s="95" t="str">
        <f>IF($N124="","",INDEX('Loan maths'!$P$1:$P$1000,$N124))</f>
        <v/>
      </c>
      <c r="M124" s="92" t="str">
        <f>IF($N124="","",N(G124)*N(H124))</f>
        <v/>
      </c>
      <c r="N124" s="96" t="str">
        <f>IFERROR(MATCH(SMALL(LM_order,116),LM_order,0)+3,"")</f>
        <v/>
      </c>
    </row>
    <row r="125">
      <c r="B125" s="91" t="str">
        <f>IF($N125="","",INDEX('Loans'!$B$1:$B$1000,$N125)&amp;"")</f>
        <v/>
      </c>
      <c r="C125" s="91" t="str">
        <f>IF($N125="","",INDEX('Loans'!$A$1:$A$1000,$N125)&amp;"")</f>
        <v/>
      </c>
      <c r="D125" s="91" t="str">
        <f>IF($N125="","",INDEX('Loans'!$C$1:$C$1000,$N125)&amp;"")</f>
        <v/>
      </c>
      <c r="E125" s="91" t="str">
        <f>IF($N125="","",INDEX('Loan maths'!$C$1:$C$1000,$N125)&amp;"")</f>
        <v/>
      </c>
      <c r="F125" s="91" t="str">
        <f>IF($N125="","",INDEX('Loans'!$K$1:$K$1000,$N125)&amp;"")</f>
        <v/>
      </c>
      <c r="G125" s="92" t="str">
        <f>IF($N125="","",INDEX('Deal maths'!$Y$1:$Y$1000,$N125))</f>
        <v/>
      </c>
      <c r="H125" s="93" t="str">
        <f>IF($N125="","",INDEX('Deal maths'!$AB$1:$AB$1000,$N125))</f>
        <v/>
      </c>
      <c r="I125" s="94" t="str">
        <f>IF($N125="","",INDEX('Deal maths'!$Z$1:$Z$1000,$N125))</f>
        <v/>
      </c>
      <c r="J125" s="94" t="str">
        <f>IF($N125="","",INDEX('Deal maths'!$AA$1:$AA$1000,$N125))</f>
        <v/>
      </c>
      <c r="K125" s="94" t="str">
        <f>IF($N125="","",INDEX('Deal maths'!$AG$1:$AG$1000,$N125))</f>
        <v/>
      </c>
      <c r="L125" s="95" t="str">
        <f>IF($N125="","",INDEX('Loan maths'!$P$1:$P$1000,$N125))</f>
        <v/>
      </c>
      <c r="M125" s="92" t="str">
        <f>IF($N125="","",N(G125)*N(H125))</f>
        <v/>
      </c>
      <c r="N125" s="96" t="str">
        <f>IFERROR(MATCH(SMALL(LM_order,117),LM_order,0)+3,"")</f>
        <v/>
      </c>
    </row>
    <row r="126">
      <c r="B126" s="91" t="str">
        <f>IF($N126="","",INDEX('Loans'!$B$1:$B$1000,$N126)&amp;"")</f>
        <v/>
      </c>
      <c r="C126" s="91" t="str">
        <f>IF($N126="","",INDEX('Loans'!$A$1:$A$1000,$N126)&amp;"")</f>
        <v/>
      </c>
      <c r="D126" s="91" t="str">
        <f>IF($N126="","",INDEX('Loans'!$C$1:$C$1000,$N126)&amp;"")</f>
        <v/>
      </c>
      <c r="E126" s="91" t="str">
        <f>IF($N126="","",INDEX('Loan maths'!$C$1:$C$1000,$N126)&amp;"")</f>
        <v/>
      </c>
      <c r="F126" s="91" t="str">
        <f>IF($N126="","",INDEX('Loans'!$K$1:$K$1000,$N126)&amp;"")</f>
        <v/>
      </c>
      <c r="G126" s="92" t="str">
        <f>IF($N126="","",INDEX('Deal maths'!$Y$1:$Y$1000,$N126))</f>
        <v/>
      </c>
      <c r="H126" s="93" t="str">
        <f>IF($N126="","",INDEX('Deal maths'!$AB$1:$AB$1000,$N126))</f>
        <v/>
      </c>
      <c r="I126" s="94" t="str">
        <f>IF($N126="","",INDEX('Deal maths'!$Z$1:$Z$1000,$N126))</f>
        <v/>
      </c>
      <c r="J126" s="94" t="str">
        <f>IF($N126="","",INDEX('Deal maths'!$AA$1:$AA$1000,$N126))</f>
        <v/>
      </c>
      <c r="K126" s="94" t="str">
        <f>IF($N126="","",INDEX('Deal maths'!$AG$1:$AG$1000,$N126))</f>
        <v/>
      </c>
      <c r="L126" s="95" t="str">
        <f>IF($N126="","",INDEX('Loan maths'!$P$1:$P$1000,$N126))</f>
        <v/>
      </c>
      <c r="M126" s="92" t="str">
        <f>IF($N126="","",N(G126)*N(H126))</f>
        <v/>
      </c>
      <c r="N126" s="96" t="str">
        <f>IFERROR(MATCH(SMALL(LM_order,118),LM_order,0)+3,"")</f>
        <v/>
      </c>
    </row>
    <row r="127">
      <c r="B127" s="91" t="str">
        <f>IF($N127="","",INDEX('Loans'!$B$1:$B$1000,$N127)&amp;"")</f>
        <v/>
      </c>
      <c r="C127" s="91" t="str">
        <f>IF($N127="","",INDEX('Loans'!$A$1:$A$1000,$N127)&amp;"")</f>
        <v/>
      </c>
      <c r="D127" s="91" t="str">
        <f>IF($N127="","",INDEX('Loans'!$C$1:$C$1000,$N127)&amp;"")</f>
        <v/>
      </c>
      <c r="E127" s="91" t="str">
        <f>IF($N127="","",INDEX('Loan maths'!$C$1:$C$1000,$N127)&amp;"")</f>
        <v/>
      </c>
      <c r="F127" s="91" t="str">
        <f>IF($N127="","",INDEX('Loans'!$K$1:$K$1000,$N127)&amp;"")</f>
        <v/>
      </c>
      <c r="G127" s="92" t="str">
        <f>IF($N127="","",INDEX('Deal maths'!$Y$1:$Y$1000,$N127))</f>
        <v/>
      </c>
      <c r="H127" s="93" t="str">
        <f>IF($N127="","",INDEX('Deal maths'!$AB$1:$AB$1000,$N127))</f>
        <v/>
      </c>
      <c r="I127" s="94" t="str">
        <f>IF($N127="","",INDEX('Deal maths'!$Z$1:$Z$1000,$N127))</f>
        <v/>
      </c>
      <c r="J127" s="94" t="str">
        <f>IF($N127="","",INDEX('Deal maths'!$AA$1:$AA$1000,$N127))</f>
        <v/>
      </c>
      <c r="K127" s="94" t="str">
        <f>IF($N127="","",INDEX('Deal maths'!$AG$1:$AG$1000,$N127))</f>
        <v/>
      </c>
      <c r="L127" s="95" t="str">
        <f>IF($N127="","",INDEX('Loan maths'!$P$1:$P$1000,$N127))</f>
        <v/>
      </c>
      <c r="M127" s="92" t="str">
        <f>IF($N127="","",N(G127)*N(H127))</f>
        <v/>
      </c>
      <c r="N127" s="96" t="str">
        <f>IFERROR(MATCH(SMALL(LM_order,119),LM_order,0)+3,"")</f>
        <v/>
      </c>
    </row>
    <row r="128">
      <c r="B128" s="91" t="str">
        <f>IF($N128="","",INDEX('Loans'!$B$1:$B$1000,$N128)&amp;"")</f>
        <v/>
      </c>
      <c r="C128" s="91" t="str">
        <f>IF($N128="","",INDEX('Loans'!$A$1:$A$1000,$N128)&amp;"")</f>
        <v/>
      </c>
      <c r="D128" s="91" t="str">
        <f>IF($N128="","",INDEX('Loans'!$C$1:$C$1000,$N128)&amp;"")</f>
        <v/>
      </c>
      <c r="E128" s="91" t="str">
        <f>IF($N128="","",INDEX('Loan maths'!$C$1:$C$1000,$N128)&amp;"")</f>
        <v/>
      </c>
      <c r="F128" s="91" t="str">
        <f>IF($N128="","",INDEX('Loans'!$K$1:$K$1000,$N128)&amp;"")</f>
        <v/>
      </c>
      <c r="G128" s="92" t="str">
        <f>IF($N128="","",INDEX('Deal maths'!$Y$1:$Y$1000,$N128))</f>
        <v/>
      </c>
      <c r="H128" s="93" t="str">
        <f>IF($N128="","",INDEX('Deal maths'!$AB$1:$AB$1000,$N128))</f>
        <v/>
      </c>
      <c r="I128" s="94" t="str">
        <f>IF($N128="","",INDEX('Deal maths'!$Z$1:$Z$1000,$N128))</f>
        <v/>
      </c>
      <c r="J128" s="94" t="str">
        <f>IF($N128="","",INDEX('Deal maths'!$AA$1:$AA$1000,$N128))</f>
        <v/>
      </c>
      <c r="K128" s="94" t="str">
        <f>IF($N128="","",INDEX('Deal maths'!$AG$1:$AG$1000,$N128))</f>
        <v/>
      </c>
      <c r="L128" s="95" t="str">
        <f>IF($N128="","",INDEX('Loan maths'!$P$1:$P$1000,$N128))</f>
        <v/>
      </c>
      <c r="M128" s="92" t="str">
        <f>IF($N128="","",N(G128)*N(H128))</f>
        <v/>
      </c>
      <c r="N128" s="96" t="str">
        <f>IFERROR(MATCH(SMALL(LM_order,120),LM_order,0)+3,"")</f>
        <v/>
      </c>
    </row>
    <row r="129">
      <c r="B129" s="91" t="str">
        <f>IF($N129="","",INDEX('Loans'!$B$1:$B$1000,$N129)&amp;"")</f>
        <v/>
      </c>
      <c r="C129" s="91" t="str">
        <f>IF($N129="","",INDEX('Loans'!$A$1:$A$1000,$N129)&amp;"")</f>
        <v/>
      </c>
      <c r="D129" s="91" t="str">
        <f>IF($N129="","",INDEX('Loans'!$C$1:$C$1000,$N129)&amp;"")</f>
        <v/>
      </c>
      <c r="E129" s="91" t="str">
        <f>IF($N129="","",INDEX('Loan maths'!$C$1:$C$1000,$N129)&amp;"")</f>
        <v/>
      </c>
      <c r="F129" s="91" t="str">
        <f>IF($N129="","",INDEX('Loans'!$K$1:$K$1000,$N129)&amp;"")</f>
        <v/>
      </c>
      <c r="G129" s="92" t="str">
        <f>IF($N129="","",INDEX('Deal maths'!$Y$1:$Y$1000,$N129))</f>
        <v/>
      </c>
      <c r="H129" s="93" t="str">
        <f>IF($N129="","",INDEX('Deal maths'!$AB$1:$AB$1000,$N129))</f>
        <v/>
      </c>
      <c r="I129" s="94" t="str">
        <f>IF($N129="","",INDEX('Deal maths'!$Z$1:$Z$1000,$N129))</f>
        <v/>
      </c>
      <c r="J129" s="94" t="str">
        <f>IF($N129="","",INDEX('Deal maths'!$AA$1:$AA$1000,$N129))</f>
        <v/>
      </c>
      <c r="K129" s="94" t="str">
        <f>IF($N129="","",INDEX('Deal maths'!$AG$1:$AG$1000,$N129))</f>
        <v/>
      </c>
      <c r="L129" s="95" t="str">
        <f>IF($N129="","",INDEX('Loan maths'!$P$1:$P$1000,$N129))</f>
        <v/>
      </c>
      <c r="M129" s="92" t="str">
        <f>IF($N129="","",N(G129)*N(H129))</f>
        <v/>
      </c>
      <c r="N129" s="96" t="str">
        <f>IFERROR(MATCH(SMALL(LM_order,121),LM_order,0)+3,"")</f>
        <v/>
      </c>
    </row>
    <row r="130">
      <c r="B130" s="91" t="str">
        <f>IF($N130="","",INDEX('Loans'!$B$1:$B$1000,$N130)&amp;"")</f>
        <v/>
      </c>
      <c r="C130" s="91" t="str">
        <f>IF($N130="","",INDEX('Loans'!$A$1:$A$1000,$N130)&amp;"")</f>
        <v/>
      </c>
      <c r="D130" s="91" t="str">
        <f>IF($N130="","",INDEX('Loans'!$C$1:$C$1000,$N130)&amp;"")</f>
        <v/>
      </c>
      <c r="E130" s="91" t="str">
        <f>IF($N130="","",INDEX('Loan maths'!$C$1:$C$1000,$N130)&amp;"")</f>
        <v/>
      </c>
      <c r="F130" s="91" t="str">
        <f>IF($N130="","",INDEX('Loans'!$K$1:$K$1000,$N130)&amp;"")</f>
        <v/>
      </c>
      <c r="G130" s="92" t="str">
        <f>IF($N130="","",INDEX('Deal maths'!$Y$1:$Y$1000,$N130))</f>
        <v/>
      </c>
      <c r="H130" s="93" t="str">
        <f>IF($N130="","",INDEX('Deal maths'!$AB$1:$AB$1000,$N130))</f>
        <v/>
      </c>
      <c r="I130" s="94" t="str">
        <f>IF($N130="","",INDEX('Deal maths'!$Z$1:$Z$1000,$N130))</f>
        <v/>
      </c>
      <c r="J130" s="94" t="str">
        <f>IF($N130="","",INDEX('Deal maths'!$AA$1:$AA$1000,$N130))</f>
        <v/>
      </c>
      <c r="K130" s="94" t="str">
        <f>IF($N130="","",INDEX('Deal maths'!$AG$1:$AG$1000,$N130))</f>
        <v/>
      </c>
      <c r="L130" s="95" t="str">
        <f>IF($N130="","",INDEX('Loan maths'!$P$1:$P$1000,$N130))</f>
        <v/>
      </c>
      <c r="M130" s="92" t="str">
        <f>IF($N130="","",N(G130)*N(H130))</f>
        <v/>
      </c>
      <c r="N130" s="96" t="str">
        <f>IFERROR(MATCH(SMALL(LM_order,122),LM_order,0)+3,"")</f>
        <v/>
      </c>
    </row>
    <row r="131">
      <c r="B131" s="91" t="str">
        <f>IF($N131="","",INDEX('Loans'!$B$1:$B$1000,$N131)&amp;"")</f>
        <v/>
      </c>
      <c r="C131" s="91" t="str">
        <f>IF($N131="","",INDEX('Loans'!$A$1:$A$1000,$N131)&amp;"")</f>
        <v/>
      </c>
      <c r="D131" s="91" t="str">
        <f>IF($N131="","",INDEX('Loans'!$C$1:$C$1000,$N131)&amp;"")</f>
        <v/>
      </c>
      <c r="E131" s="91" t="str">
        <f>IF($N131="","",INDEX('Loan maths'!$C$1:$C$1000,$N131)&amp;"")</f>
        <v/>
      </c>
      <c r="F131" s="91" t="str">
        <f>IF($N131="","",INDEX('Loans'!$K$1:$K$1000,$N131)&amp;"")</f>
        <v/>
      </c>
      <c r="G131" s="92" t="str">
        <f>IF($N131="","",INDEX('Deal maths'!$Y$1:$Y$1000,$N131))</f>
        <v/>
      </c>
      <c r="H131" s="93" t="str">
        <f>IF($N131="","",INDEX('Deal maths'!$AB$1:$AB$1000,$N131))</f>
        <v/>
      </c>
      <c r="I131" s="94" t="str">
        <f>IF($N131="","",INDEX('Deal maths'!$Z$1:$Z$1000,$N131))</f>
        <v/>
      </c>
      <c r="J131" s="94" t="str">
        <f>IF($N131="","",INDEX('Deal maths'!$AA$1:$AA$1000,$N131))</f>
        <v/>
      </c>
      <c r="K131" s="94" t="str">
        <f>IF($N131="","",INDEX('Deal maths'!$AG$1:$AG$1000,$N131))</f>
        <v/>
      </c>
      <c r="L131" s="95" t="str">
        <f>IF($N131="","",INDEX('Loan maths'!$P$1:$P$1000,$N131))</f>
        <v/>
      </c>
      <c r="M131" s="92" t="str">
        <f>IF($N131="","",N(G131)*N(H131))</f>
        <v/>
      </c>
      <c r="N131" s="96" t="str">
        <f>IFERROR(MATCH(SMALL(LM_order,123),LM_order,0)+3,"")</f>
        <v/>
      </c>
    </row>
    <row r="132">
      <c r="B132" s="91" t="str">
        <f>IF($N132="","",INDEX('Loans'!$B$1:$B$1000,$N132)&amp;"")</f>
        <v/>
      </c>
      <c r="C132" s="91" t="str">
        <f>IF($N132="","",INDEX('Loans'!$A$1:$A$1000,$N132)&amp;"")</f>
        <v/>
      </c>
      <c r="D132" s="91" t="str">
        <f>IF($N132="","",INDEX('Loans'!$C$1:$C$1000,$N132)&amp;"")</f>
        <v/>
      </c>
      <c r="E132" s="91" t="str">
        <f>IF($N132="","",INDEX('Loan maths'!$C$1:$C$1000,$N132)&amp;"")</f>
        <v/>
      </c>
      <c r="F132" s="91" t="str">
        <f>IF($N132="","",INDEX('Loans'!$K$1:$K$1000,$N132)&amp;"")</f>
        <v/>
      </c>
      <c r="G132" s="92" t="str">
        <f>IF($N132="","",INDEX('Deal maths'!$Y$1:$Y$1000,$N132))</f>
        <v/>
      </c>
      <c r="H132" s="93" t="str">
        <f>IF($N132="","",INDEX('Deal maths'!$AB$1:$AB$1000,$N132))</f>
        <v/>
      </c>
      <c r="I132" s="94" t="str">
        <f>IF($N132="","",INDEX('Deal maths'!$Z$1:$Z$1000,$N132))</f>
        <v/>
      </c>
      <c r="J132" s="94" t="str">
        <f>IF($N132="","",INDEX('Deal maths'!$AA$1:$AA$1000,$N132))</f>
        <v/>
      </c>
      <c r="K132" s="94" t="str">
        <f>IF($N132="","",INDEX('Deal maths'!$AG$1:$AG$1000,$N132))</f>
        <v/>
      </c>
      <c r="L132" s="95" t="str">
        <f>IF($N132="","",INDEX('Loan maths'!$P$1:$P$1000,$N132))</f>
        <v/>
      </c>
      <c r="M132" s="92" t="str">
        <f>IF($N132="","",N(G132)*N(H132))</f>
        <v/>
      </c>
      <c r="N132" s="96" t="str">
        <f>IFERROR(MATCH(SMALL(LM_order,124),LM_order,0)+3,"")</f>
        <v/>
      </c>
    </row>
    <row r="133">
      <c r="B133" s="91" t="str">
        <f>IF($N133="","",INDEX('Loans'!$B$1:$B$1000,$N133)&amp;"")</f>
        <v/>
      </c>
      <c r="C133" s="91" t="str">
        <f>IF($N133="","",INDEX('Loans'!$A$1:$A$1000,$N133)&amp;"")</f>
        <v/>
      </c>
      <c r="D133" s="91" t="str">
        <f>IF($N133="","",INDEX('Loans'!$C$1:$C$1000,$N133)&amp;"")</f>
        <v/>
      </c>
      <c r="E133" s="91" t="str">
        <f>IF($N133="","",INDEX('Loan maths'!$C$1:$C$1000,$N133)&amp;"")</f>
        <v/>
      </c>
      <c r="F133" s="91" t="str">
        <f>IF($N133="","",INDEX('Loans'!$K$1:$K$1000,$N133)&amp;"")</f>
        <v/>
      </c>
      <c r="G133" s="92" t="str">
        <f>IF($N133="","",INDEX('Deal maths'!$Y$1:$Y$1000,$N133))</f>
        <v/>
      </c>
      <c r="H133" s="93" t="str">
        <f>IF($N133="","",INDEX('Deal maths'!$AB$1:$AB$1000,$N133))</f>
        <v/>
      </c>
      <c r="I133" s="94" t="str">
        <f>IF($N133="","",INDEX('Deal maths'!$Z$1:$Z$1000,$N133))</f>
        <v/>
      </c>
      <c r="J133" s="94" t="str">
        <f>IF($N133="","",INDEX('Deal maths'!$AA$1:$AA$1000,$N133))</f>
        <v/>
      </c>
      <c r="K133" s="94" t="str">
        <f>IF($N133="","",INDEX('Deal maths'!$AG$1:$AG$1000,$N133))</f>
        <v/>
      </c>
      <c r="L133" s="95" t="str">
        <f>IF($N133="","",INDEX('Loan maths'!$P$1:$P$1000,$N133))</f>
        <v/>
      </c>
      <c r="M133" s="92" t="str">
        <f>IF($N133="","",N(G133)*N(H133))</f>
        <v/>
      </c>
      <c r="N133" s="96" t="str">
        <f>IFERROR(MATCH(SMALL(LM_order,125),LM_order,0)+3,"")</f>
        <v/>
      </c>
    </row>
    <row r="134">
      <c r="B134" s="91" t="str">
        <f>IF($N134="","",INDEX('Loans'!$B$1:$B$1000,$N134)&amp;"")</f>
        <v/>
      </c>
      <c r="C134" s="91" t="str">
        <f>IF($N134="","",INDEX('Loans'!$A$1:$A$1000,$N134)&amp;"")</f>
        <v/>
      </c>
      <c r="D134" s="91" t="str">
        <f>IF($N134="","",INDEX('Loans'!$C$1:$C$1000,$N134)&amp;"")</f>
        <v/>
      </c>
      <c r="E134" s="91" t="str">
        <f>IF($N134="","",INDEX('Loan maths'!$C$1:$C$1000,$N134)&amp;"")</f>
        <v/>
      </c>
      <c r="F134" s="91" t="str">
        <f>IF($N134="","",INDEX('Loans'!$K$1:$K$1000,$N134)&amp;"")</f>
        <v/>
      </c>
      <c r="G134" s="92" t="str">
        <f>IF($N134="","",INDEX('Deal maths'!$Y$1:$Y$1000,$N134))</f>
        <v/>
      </c>
      <c r="H134" s="93" t="str">
        <f>IF($N134="","",INDEX('Deal maths'!$AB$1:$AB$1000,$N134))</f>
        <v/>
      </c>
      <c r="I134" s="94" t="str">
        <f>IF($N134="","",INDEX('Deal maths'!$Z$1:$Z$1000,$N134))</f>
        <v/>
      </c>
      <c r="J134" s="94" t="str">
        <f>IF($N134="","",INDEX('Deal maths'!$AA$1:$AA$1000,$N134))</f>
        <v/>
      </c>
      <c r="K134" s="94" t="str">
        <f>IF($N134="","",INDEX('Deal maths'!$AG$1:$AG$1000,$N134))</f>
        <v/>
      </c>
      <c r="L134" s="95" t="str">
        <f>IF($N134="","",INDEX('Loan maths'!$P$1:$P$1000,$N134))</f>
        <v/>
      </c>
      <c r="M134" s="92" t="str">
        <f>IF($N134="","",N(G134)*N(H134))</f>
        <v/>
      </c>
      <c r="N134" s="96" t="str">
        <f>IFERROR(MATCH(SMALL(LM_order,126),LM_order,0)+3,"")</f>
        <v/>
      </c>
    </row>
    <row r="135">
      <c r="B135" s="91" t="str">
        <f>IF($N135="","",INDEX('Loans'!$B$1:$B$1000,$N135)&amp;"")</f>
        <v/>
      </c>
      <c r="C135" s="91" t="str">
        <f>IF($N135="","",INDEX('Loans'!$A$1:$A$1000,$N135)&amp;"")</f>
        <v/>
      </c>
      <c r="D135" s="91" t="str">
        <f>IF($N135="","",INDEX('Loans'!$C$1:$C$1000,$N135)&amp;"")</f>
        <v/>
      </c>
      <c r="E135" s="91" t="str">
        <f>IF($N135="","",INDEX('Loan maths'!$C$1:$C$1000,$N135)&amp;"")</f>
        <v/>
      </c>
      <c r="F135" s="91" t="str">
        <f>IF($N135="","",INDEX('Loans'!$K$1:$K$1000,$N135)&amp;"")</f>
        <v/>
      </c>
      <c r="G135" s="92" t="str">
        <f>IF($N135="","",INDEX('Deal maths'!$Y$1:$Y$1000,$N135))</f>
        <v/>
      </c>
      <c r="H135" s="93" t="str">
        <f>IF($N135="","",INDEX('Deal maths'!$AB$1:$AB$1000,$N135))</f>
        <v/>
      </c>
      <c r="I135" s="94" t="str">
        <f>IF($N135="","",INDEX('Deal maths'!$Z$1:$Z$1000,$N135))</f>
        <v/>
      </c>
      <c r="J135" s="94" t="str">
        <f>IF($N135="","",INDEX('Deal maths'!$AA$1:$AA$1000,$N135))</f>
        <v/>
      </c>
      <c r="K135" s="94" t="str">
        <f>IF($N135="","",INDEX('Deal maths'!$AG$1:$AG$1000,$N135))</f>
        <v/>
      </c>
      <c r="L135" s="95" t="str">
        <f>IF($N135="","",INDEX('Loan maths'!$P$1:$P$1000,$N135))</f>
        <v/>
      </c>
      <c r="M135" s="92" t="str">
        <f>IF($N135="","",N(G135)*N(H135))</f>
        <v/>
      </c>
      <c r="N135" s="96" t="str">
        <f>IFERROR(MATCH(SMALL(LM_order,127),LM_order,0)+3,"")</f>
        <v/>
      </c>
    </row>
    <row r="136">
      <c r="B136" s="91" t="str">
        <f>IF($N136="","",INDEX('Loans'!$B$1:$B$1000,$N136)&amp;"")</f>
        <v/>
      </c>
      <c r="C136" s="91" t="str">
        <f>IF($N136="","",INDEX('Loans'!$A$1:$A$1000,$N136)&amp;"")</f>
        <v/>
      </c>
      <c r="D136" s="91" t="str">
        <f>IF($N136="","",INDEX('Loans'!$C$1:$C$1000,$N136)&amp;"")</f>
        <v/>
      </c>
      <c r="E136" s="91" t="str">
        <f>IF($N136="","",INDEX('Loan maths'!$C$1:$C$1000,$N136)&amp;"")</f>
        <v/>
      </c>
      <c r="F136" s="91" t="str">
        <f>IF($N136="","",INDEX('Loans'!$K$1:$K$1000,$N136)&amp;"")</f>
        <v/>
      </c>
      <c r="G136" s="92" t="str">
        <f>IF($N136="","",INDEX('Deal maths'!$Y$1:$Y$1000,$N136))</f>
        <v/>
      </c>
      <c r="H136" s="93" t="str">
        <f>IF($N136="","",INDEX('Deal maths'!$AB$1:$AB$1000,$N136))</f>
        <v/>
      </c>
      <c r="I136" s="94" t="str">
        <f>IF($N136="","",INDEX('Deal maths'!$Z$1:$Z$1000,$N136))</f>
        <v/>
      </c>
      <c r="J136" s="94" t="str">
        <f>IF($N136="","",INDEX('Deal maths'!$AA$1:$AA$1000,$N136))</f>
        <v/>
      </c>
      <c r="K136" s="94" t="str">
        <f>IF($N136="","",INDEX('Deal maths'!$AG$1:$AG$1000,$N136))</f>
        <v/>
      </c>
      <c r="L136" s="95" t="str">
        <f>IF($N136="","",INDEX('Loan maths'!$P$1:$P$1000,$N136))</f>
        <v/>
      </c>
      <c r="M136" s="92" t="str">
        <f>IF($N136="","",N(G136)*N(H136))</f>
        <v/>
      </c>
      <c r="N136" s="96" t="str">
        <f>IFERROR(MATCH(SMALL(LM_order,128),LM_order,0)+3,"")</f>
        <v/>
      </c>
    </row>
    <row r="137">
      <c r="B137" s="91" t="str">
        <f>IF($N137="","",INDEX('Loans'!$B$1:$B$1000,$N137)&amp;"")</f>
        <v/>
      </c>
      <c r="C137" s="91" t="str">
        <f>IF($N137="","",INDEX('Loans'!$A$1:$A$1000,$N137)&amp;"")</f>
        <v/>
      </c>
      <c r="D137" s="91" t="str">
        <f>IF($N137="","",INDEX('Loans'!$C$1:$C$1000,$N137)&amp;"")</f>
        <v/>
      </c>
      <c r="E137" s="91" t="str">
        <f>IF($N137="","",INDEX('Loan maths'!$C$1:$C$1000,$N137)&amp;"")</f>
        <v/>
      </c>
      <c r="F137" s="91" t="str">
        <f>IF($N137="","",INDEX('Loans'!$K$1:$K$1000,$N137)&amp;"")</f>
        <v/>
      </c>
      <c r="G137" s="92" t="str">
        <f>IF($N137="","",INDEX('Deal maths'!$Y$1:$Y$1000,$N137))</f>
        <v/>
      </c>
      <c r="H137" s="93" t="str">
        <f>IF($N137="","",INDEX('Deal maths'!$AB$1:$AB$1000,$N137))</f>
        <v/>
      </c>
      <c r="I137" s="94" t="str">
        <f>IF($N137="","",INDEX('Deal maths'!$Z$1:$Z$1000,$N137))</f>
        <v/>
      </c>
      <c r="J137" s="94" t="str">
        <f>IF($N137="","",INDEX('Deal maths'!$AA$1:$AA$1000,$N137))</f>
        <v/>
      </c>
      <c r="K137" s="94" t="str">
        <f>IF($N137="","",INDEX('Deal maths'!$AG$1:$AG$1000,$N137))</f>
        <v/>
      </c>
      <c r="L137" s="95" t="str">
        <f>IF($N137="","",INDEX('Loan maths'!$P$1:$P$1000,$N137))</f>
        <v/>
      </c>
      <c r="M137" s="92" t="str">
        <f>IF($N137="","",N(G137)*N(H137))</f>
        <v/>
      </c>
      <c r="N137" s="96" t="str">
        <f>IFERROR(MATCH(SMALL(LM_order,129),LM_order,0)+3,"")</f>
        <v/>
      </c>
    </row>
    <row r="138">
      <c r="B138" s="91" t="str">
        <f>IF($N138="","",INDEX('Loans'!$B$1:$B$1000,$N138)&amp;"")</f>
        <v/>
      </c>
      <c r="C138" s="91" t="str">
        <f>IF($N138="","",INDEX('Loans'!$A$1:$A$1000,$N138)&amp;"")</f>
        <v/>
      </c>
      <c r="D138" s="91" t="str">
        <f>IF($N138="","",INDEX('Loans'!$C$1:$C$1000,$N138)&amp;"")</f>
        <v/>
      </c>
      <c r="E138" s="91" t="str">
        <f>IF($N138="","",INDEX('Loan maths'!$C$1:$C$1000,$N138)&amp;"")</f>
        <v/>
      </c>
      <c r="F138" s="91" t="str">
        <f>IF($N138="","",INDEX('Loans'!$K$1:$K$1000,$N138)&amp;"")</f>
        <v/>
      </c>
      <c r="G138" s="92" t="str">
        <f>IF($N138="","",INDEX('Deal maths'!$Y$1:$Y$1000,$N138))</f>
        <v/>
      </c>
      <c r="H138" s="93" t="str">
        <f>IF($N138="","",INDEX('Deal maths'!$AB$1:$AB$1000,$N138))</f>
        <v/>
      </c>
      <c r="I138" s="94" t="str">
        <f>IF($N138="","",INDEX('Deal maths'!$Z$1:$Z$1000,$N138))</f>
        <v/>
      </c>
      <c r="J138" s="94" t="str">
        <f>IF($N138="","",INDEX('Deal maths'!$AA$1:$AA$1000,$N138))</f>
        <v/>
      </c>
      <c r="K138" s="94" t="str">
        <f>IF($N138="","",INDEX('Deal maths'!$AG$1:$AG$1000,$N138))</f>
        <v/>
      </c>
      <c r="L138" s="95" t="str">
        <f>IF($N138="","",INDEX('Loan maths'!$P$1:$P$1000,$N138))</f>
        <v/>
      </c>
      <c r="M138" s="92" t="str">
        <f>IF($N138="","",N(G138)*N(H138))</f>
        <v/>
      </c>
      <c r="N138" s="96" t="str">
        <f>IFERROR(MATCH(SMALL(LM_order,130),LM_order,0)+3,"")</f>
        <v/>
      </c>
    </row>
    <row r="139">
      <c r="B139" s="91" t="str">
        <f>IF($N139="","",INDEX('Loans'!$B$1:$B$1000,$N139)&amp;"")</f>
        <v/>
      </c>
      <c r="C139" s="91" t="str">
        <f>IF($N139="","",INDEX('Loans'!$A$1:$A$1000,$N139)&amp;"")</f>
        <v/>
      </c>
      <c r="D139" s="91" t="str">
        <f>IF($N139="","",INDEX('Loans'!$C$1:$C$1000,$N139)&amp;"")</f>
        <v/>
      </c>
      <c r="E139" s="91" t="str">
        <f>IF($N139="","",INDEX('Loan maths'!$C$1:$C$1000,$N139)&amp;"")</f>
        <v/>
      </c>
      <c r="F139" s="91" t="str">
        <f>IF($N139="","",INDEX('Loans'!$K$1:$K$1000,$N139)&amp;"")</f>
        <v/>
      </c>
      <c r="G139" s="92" t="str">
        <f>IF($N139="","",INDEX('Deal maths'!$Y$1:$Y$1000,$N139))</f>
        <v/>
      </c>
      <c r="H139" s="93" t="str">
        <f>IF($N139="","",INDEX('Deal maths'!$AB$1:$AB$1000,$N139))</f>
        <v/>
      </c>
      <c r="I139" s="94" t="str">
        <f>IF($N139="","",INDEX('Deal maths'!$Z$1:$Z$1000,$N139))</f>
        <v/>
      </c>
      <c r="J139" s="94" t="str">
        <f>IF($N139="","",INDEX('Deal maths'!$AA$1:$AA$1000,$N139))</f>
        <v/>
      </c>
      <c r="K139" s="94" t="str">
        <f>IF($N139="","",INDEX('Deal maths'!$AG$1:$AG$1000,$N139))</f>
        <v/>
      </c>
      <c r="L139" s="95" t="str">
        <f>IF($N139="","",INDEX('Loan maths'!$P$1:$P$1000,$N139))</f>
        <v/>
      </c>
      <c r="M139" s="92" t="str">
        <f>IF($N139="","",N(G139)*N(H139))</f>
        <v/>
      </c>
      <c r="N139" s="96" t="str">
        <f>IFERROR(MATCH(SMALL(LM_order,131),LM_order,0)+3,"")</f>
        <v/>
      </c>
    </row>
    <row r="140">
      <c r="B140" s="91" t="str">
        <f>IF($N140="","",INDEX('Loans'!$B$1:$B$1000,$N140)&amp;"")</f>
        <v/>
      </c>
      <c r="C140" s="91" t="str">
        <f>IF($N140="","",INDEX('Loans'!$A$1:$A$1000,$N140)&amp;"")</f>
        <v/>
      </c>
      <c r="D140" s="91" t="str">
        <f>IF($N140="","",INDEX('Loans'!$C$1:$C$1000,$N140)&amp;"")</f>
        <v/>
      </c>
      <c r="E140" s="91" t="str">
        <f>IF($N140="","",INDEX('Loan maths'!$C$1:$C$1000,$N140)&amp;"")</f>
        <v/>
      </c>
      <c r="F140" s="91" t="str">
        <f>IF($N140="","",INDEX('Loans'!$K$1:$K$1000,$N140)&amp;"")</f>
        <v/>
      </c>
      <c r="G140" s="92" t="str">
        <f>IF($N140="","",INDEX('Deal maths'!$Y$1:$Y$1000,$N140))</f>
        <v/>
      </c>
      <c r="H140" s="93" t="str">
        <f>IF($N140="","",INDEX('Deal maths'!$AB$1:$AB$1000,$N140))</f>
        <v/>
      </c>
      <c r="I140" s="94" t="str">
        <f>IF($N140="","",INDEX('Deal maths'!$Z$1:$Z$1000,$N140))</f>
        <v/>
      </c>
      <c r="J140" s="94" t="str">
        <f>IF($N140="","",INDEX('Deal maths'!$AA$1:$AA$1000,$N140))</f>
        <v/>
      </c>
      <c r="K140" s="94" t="str">
        <f>IF($N140="","",INDEX('Deal maths'!$AG$1:$AG$1000,$N140))</f>
        <v/>
      </c>
      <c r="L140" s="95" t="str">
        <f>IF($N140="","",INDEX('Loan maths'!$P$1:$P$1000,$N140))</f>
        <v/>
      </c>
      <c r="M140" s="92" t="str">
        <f>IF($N140="","",N(G140)*N(H140))</f>
        <v/>
      </c>
      <c r="N140" s="96" t="str">
        <f>IFERROR(MATCH(SMALL(LM_order,132),LM_order,0)+3,"")</f>
        <v/>
      </c>
    </row>
    <row r="141">
      <c r="B141" s="91" t="str">
        <f>IF($N141="","",INDEX('Loans'!$B$1:$B$1000,$N141)&amp;"")</f>
        <v/>
      </c>
      <c r="C141" s="91" t="str">
        <f>IF($N141="","",INDEX('Loans'!$A$1:$A$1000,$N141)&amp;"")</f>
        <v/>
      </c>
      <c r="D141" s="91" t="str">
        <f>IF($N141="","",INDEX('Loans'!$C$1:$C$1000,$N141)&amp;"")</f>
        <v/>
      </c>
      <c r="E141" s="91" t="str">
        <f>IF($N141="","",INDEX('Loan maths'!$C$1:$C$1000,$N141)&amp;"")</f>
        <v/>
      </c>
      <c r="F141" s="91" t="str">
        <f>IF($N141="","",INDEX('Loans'!$K$1:$K$1000,$N141)&amp;"")</f>
        <v/>
      </c>
      <c r="G141" s="92" t="str">
        <f>IF($N141="","",INDEX('Deal maths'!$Y$1:$Y$1000,$N141))</f>
        <v/>
      </c>
      <c r="H141" s="93" t="str">
        <f>IF($N141="","",INDEX('Deal maths'!$AB$1:$AB$1000,$N141))</f>
        <v/>
      </c>
      <c r="I141" s="94" t="str">
        <f>IF($N141="","",INDEX('Deal maths'!$Z$1:$Z$1000,$N141))</f>
        <v/>
      </c>
      <c r="J141" s="94" t="str">
        <f>IF($N141="","",INDEX('Deal maths'!$AA$1:$AA$1000,$N141))</f>
        <v/>
      </c>
      <c r="K141" s="94" t="str">
        <f>IF($N141="","",INDEX('Deal maths'!$AG$1:$AG$1000,$N141))</f>
        <v/>
      </c>
      <c r="L141" s="95" t="str">
        <f>IF($N141="","",INDEX('Loan maths'!$P$1:$P$1000,$N141))</f>
        <v/>
      </c>
      <c r="M141" s="92" t="str">
        <f>IF($N141="","",N(G141)*N(H141))</f>
        <v/>
      </c>
      <c r="N141" s="96" t="str">
        <f>IFERROR(MATCH(SMALL(LM_order,133),LM_order,0)+3,"")</f>
        <v/>
      </c>
    </row>
    <row r="142">
      <c r="B142" s="91" t="str">
        <f>IF($N142="","",INDEX('Loans'!$B$1:$B$1000,$N142)&amp;"")</f>
        <v/>
      </c>
      <c r="C142" s="91" t="str">
        <f>IF($N142="","",INDEX('Loans'!$A$1:$A$1000,$N142)&amp;"")</f>
        <v/>
      </c>
      <c r="D142" s="91" t="str">
        <f>IF($N142="","",INDEX('Loans'!$C$1:$C$1000,$N142)&amp;"")</f>
        <v/>
      </c>
      <c r="E142" s="91" t="str">
        <f>IF($N142="","",INDEX('Loan maths'!$C$1:$C$1000,$N142)&amp;"")</f>
        <v/>
      </c>
      <c r="F142" s="91" t="str">
        <f>IF($N142="","",INDEX('Loans'!$K$1:$K$1000,$N142)&amp;"")</f>
        <v/>
      </c>
      <c r="G142" s="92" t="str">
        <f>IF($N142="","",INDEX('Deal maths'!$Y$1:$Y$1000,$N142))</f>
        <v/>
      </c>
      <c r="H142" s="93" t="str">
        <f>IF($N142="","",INDEX('Deal maths'!$AB$1:$AB$1000,$N142))</f>
        <v/>
      </c>
      <c r="I142" s="94" t="str">
        <f>IF($N142="","",INDEX('Deal maths'!$Z$1:$Z$1000,$N142))</f>
        <v/>
      </c>
      <c r="J142" s="94" t="str">
        <f>IF($N142="","",INDEX('Deal maths'!$AA$1:$AA$1000,$N142))</f>
        <v/>
      </c>
      <c r="K142" s="94" t="str">
        <f>IF($N142="","",INDEX('Deal maths'!$AG$1:$AG$1000,$N142))</f>
        <v/>
      </c>
      <c r="L142" s="95" t="str">
        <f>IF($N142="","",INDEX('Loan maths'!$P$1:$P$1000,$N142))</f>
        <v/>
      </c>
      <c r="M142" s="92" t="str">
        <f>IF($N142="","",N(G142)*N(H142))</f>
        <v/>
      </c>
      <c r="N142" s="96" t="str">
        <f>IFERROR(MATCH(SMALL(LM_order,134),LM_order,0)+3,"")</f>
        <v/>
      </c>
    </row>
    <row r="143">
      <c r="B143" s="91" t="str">
        <f>IF($N143="","",INDEX('Loans'!$B$1:$B$1000,$N143)&amp;"")</f>
        <v/>
      </c>
      <c r="C143" s="91" t="str">
        <f>IF($N143="","",INDEX('Loans'!$A$1:$A$1000,$N143)&amp;"")</f>
        <v/>
      </c>
      <c r="D143" s="91" t="str">
        <f>IF($N143="","",INDEX('Loans'!$C$1:$C$1000,$N143)&amp;"")</f>
        <v/>
      </c>
      <c r="E143" s="91" t="str">
        <f>IF($N143="","",INDEX('Loan maths'!$C$1:$C$1000,$N143)&amp;"")</f>
        <v/>
      </c>
      <c r="F143" s="91" t="str">
        <f>IF($N143="","",INDEX('Loans'!$K$1:$K$1000,$N143)&amp;"")</f>
        <v/>
      </c>
      <c r="G143" s="92" t="str">
        <f>IF($N143="","",INDEX('Deal maths'!$Y$1:$Y$1000,$N143))</f>
        <v/>
      </c>
      <c r="H143" s="93" t="str">
        <f>IF($N143="","",INDEX('Deal maths'!$AB$1:$AB$1000,$N143))</f>
        <v/>
      </c>
      <c r="I143" s="94" t="str">
        <f>IF($N143="","",INDEX('Deal maths'!$Z$1:$Z$1000,$N143))</f>
        <v/>
      </c>
      <c r="J143" s="94" t="str">
        <f>IF($N143="","",INDEX('Deal maths'!$AA$1:$AA$1000,$N143))</f>
        <v/>
      </c>
      <c r="K143" s="94" t="str">
        <f>IF($N143="","",INDEX('Deal maths'!$AG$1:$AG$1000,$N143))</f>
        <v/>
      </c>
      <c r="L143" s="95" t="str">
        <f>IF($N143="","",INDEX('Loan maths'!$P$1:$P$1000,$N143))</f>
        <v/>
      </c>
      <c r="M143" s="92" t="str">
        <f>IF($N143="","",N(G143)*N(H143))</f>
        <v/>
      </c>
      <c r="N143" s="96" t="str">
        <f>IFERROR(MATCH(SMALL(LM_order,135),LM_order,0)+3,"")</f>
        <v/>
      </c>
    </row>
    <row r="144">
      <c r="B144" s="91" t="str">
        <f>IF($N144="","",INDEX('Loans'!$B$1:$B$1000,$N144)&amp;"")</f>
        <v/>
      </c>
      <c r="C144" s="91" t="str">
        <f>IF($N144="","",INDEX('Loans'!$A$1:$A$1000,$N144)&amp;"")</f>
        <v/>
      </c>
      <c r="D144" s="91" t="str">
        <f>IF($N144="","",INDEX('Loans'!$C$1:$C$1000,$N144)&amp;"")</f>
        <v/>
      </c>
      <c r="E144" s="91" t="str">
        <f>IF($N144="","",INDEX('Loan maths'!$C$1:$C$1000,$N144)&amp;"")</f>
        <v/>
      </c>
      <c r="F144" s="91" t="str">
        <f>IF($N144="","",INDEX('Loans'!$K$1:$K$1000,$N144)&amp;"")</f>
        <v/>
      </c>
      <c r="G144" s="92" t="str">
        <f>IF($N144="","",INDEX('Deal maths'!$Y$1:$Y$1000,$N144))</f>
        <v/>
      </c>
      <c r="H144" s="93" t="str">
        <f>IF($N144="","",INDEX('Deal maths'!$AB$1:$AB$1000,$N144))</f>
        <v/>
      </c>
      <c r="I144" s="94" t="str">
        <f>IF($N144="","",INDEX('Deal maths'!$Z$1:$Z$1000,$N144))</f>
        <v/>
      </c>
      <c r="J144" s="94" t="str">
        <f>IF($N144="","",INDEX('Deal maths'!$AA$1:$AA$1000,$N144))</f>
        <v/>
      </c>
      <c r="K144" s="94" t="str">
        <f>IF($N144="","",INDEX('Deal maths'!$AG$1:$AG$1000,$N144))</f>
        <v/>
      </c>
      <c r="L144" s="95" t="str">
        <f>IF($N144="","",INDEX('Loan maths'!$P$1:$P$1000,$N144))</f>
        <v/>
      </c>
      <c r="M144" s="92" t="str">
        <f>IF($N144="","",N(G144)*N(H144))</f>
        <v/>
      </c>
      <c r="N144" s="96" t="str">
        <f>IFERROR(MATCH(SMALL(LM_order,136),LM_order,0)+3,"")</f>
        <v/>
      </c>
    </row>
    <row r="145">
      <c r="B145" s="91" t="str">
        <f>IF($N145="","",INDEX('Loans'!$B$1:$B$1000,$N145)&amp;"")</f>
        <v/>
      </c>
      <c r="C145" s="91" t="str">
        <f>IF($N145="","",INDEX('Loans'!$A$1:$A$1000,$N145)&amp;"")</f>
        <v/>
      </c>
      <c r="D145" s="91" t="str">
        <f>IF($N145="","",INDEX('Loans'!$C$1:$C$1000,$N145)&amp;"")</f>
        <v/>
      </c>
      <c r="E145" s="91" t="str">
        <f>IF($N145="","",INDEX('Loan maths'!$C$1:$C$1000,$N145)&amp;"")</f>
        <v/>
      </c>
      <c r="F145" s="91" t="str">
        <f>IF($N145="","",INDEX('Loans'!$K$1:$K$1000,$N145)&amp;"")</f>
        <v/>
      </c>
      <c r="G145" s="92" t="str">
        <f>IF($N145="","",INDEX('Deal maths'!$Y$1:$Y$1000,$N145))</f>
        <v/>
      </c>
      <c r="H145" s="93" t="str">
        <f>IF($N145="","",INDEX('Deal maths'!$AB$1:$AB$1000,$N145))</f>
        <v/>
      </c>
      <c r="I145" s="94" t="str">
        <f>IF($N145="","",INDEX('Deal maths'!$Z$1:$Z$1000,$N145))</f>
        <v/>
      </c>
      <c r="J145" s="94" t="str">
        <f>IF($N145="","",INDEX('Deal maths'!$AA$1:$AA$1000,$N145))</f>
        <v/>
      </c>
      <c r="K145" s="94" t="str">
        <f>IF($N145="","",INDEX('Deal maths'!$AG$1:$AG$1000,$N145))</f>
        <v/>
      </c>
      <c r="L145" s="95" t="str">
        <f>IF($N145="","",INDEX('Loan maths'!$P$1:$P$1000,$N145))</f>
        <v/>
      </c>
      <c r="M145" s="92" t="str">
        <f>IF($N145="","",N(G145)*N(H145))</f>
        <v/>
      </c>
      <c r="N145" s="96" t="str">
        <f>IFERROR(MATCH(SMALL(LM_order,137),LM_order,0)+3,"")</f>
        <v/>
      </c>
    </row>
    <row r="146">
      <c r="B146" s="91" t="str">
        <f>IF($N146="","",INDEX('Loans'!$B$1:$B$1000,$N146)&amp;"")</f>
        <v/>
      </c>
      <c r="C146" s="91" t="str">
        <f>IF($N146="","",INDEX('Loans'!$A$1:$A$1000,$N146)&amp;"")</f>
        <v/>
      </c>
      <c r="D146" s="91" t="str">
        <f>IF($N146="","",INDEX('Loans'!$C$1:$C$1000,$N146)&amp;"")</f>
        <v/>
      </c>
      <c r="E146" s="91" t="str">
        <f>IF($N146="","",INDEX('Loan maths'!$C$1:$C$1000,$N146)&amp;"")</f>
        <v/>
      </c>
      <c r="F146" s="91" t="str">
        <f>IF($N146="","",INDEX('Loans'!$K$1:$K$1000,$N146)&amp;"")</f>
        <v/>
      </c>
      <c r="G146" s="92" t="str">
        <f>IF($N146="","",INDEX('Deal maths'!$Y$1:$Y$1000,$N146))</f>
        <v/>
      </c>
      <c r="H146" s="93" t="str">
        <f>IF($N146="","",INDEX('Deal maths'!$AB$1:$AB$1000,$N146))</f>
        <v/>
      </c>
      <c r="I146" s="94" t="str">
        <f>IF($N146="","",INDEX('Deal maths'!$Z$1:$Z$1000,$N146))</f>
        <v/>
      </c>
      <c r="J146" s="94" t="str">
        <f>IF($N146="","",INDEX('Deal maths'!$AA$1:$AA$1000,$N146))</f>
        <v/>
      </c>
      <c r="K146" s="94" t="str">
        <f>IF($N146="","",INDEX('Deal maths'!$AG$1:$AG$1000,$N146))</f>
        <v/>
      </c>
      <c r="L146" s="95" t="str">
        <f>IF($N146="","",INDEX('Loan maths'!$P$1:$P$1000,$N146))</f>
        <v/>
      </c>
      <c r="M146" s="92" t="str">
        <f>IF($N146="","",N(G146)*N(H146))</f>
        <v/>
      </c>
      <c r="N146" s="96" t="str">
        <f>IFERROR(MATCH(SMALL(LM_order,138),LM_order,0)+3,"")</f>
        <v/>
      </c>
    </row>
    <row r="147">
      <c r="B147" s="91" t="str">
        <f>IF($N147="","",INDEX('Loans'!$B$1:$B$1000,$N147)&amp;"")</f>
        <v/>
      </c>
      <c r="C147" s="91" t="str">
        <f>IF($N147="","",INDEX('Loans'!$A$1:$A$1000,$N147)&amp;"")</f>
        <v/>
      </c>
      <c r="D147" s="91" t="str">
        <f>IF($N147="","",INDEX('Loans'!$C$1:$C$1000,$N147)&amp;"")</f>
        <v/>
      </c>
      <c r="E147" s="91" t="str">
        <f>IF($N147="","",INDEX('Loan maths'!$C$1:$C$1000,$N147)&amp;"")</f>
        <v/>
      </c>
      <c r="F147" s="91" t="str">
        <f>IF($N147="","",INDEX('Loans'!$K$1:$K$1000,$N147)&amp;"")</f>
        <v/>
      </c>
      <c r="G147" s="92" t="str">
        <f>IF($N147="","",INDEX('Deal maths'!$Y$1:$Y$1000,$N147))</f>
        <v/>
      </c>
      <c r="H147" s="93" t="str">
        <f>IF($N147="","",INDEX('Deal maths'!$AB$1:$AB$1000,$N147))</f>
        <v/>
      </c>
      <c r="I147" s="94" t="str">
        <f>IF($N147="","",INDEX('Deal maths'!$Z$1:$Z$1000,$N147))</f>
        <v/>
      </c>
      <c r="J147" s="94" t="str">
        <f>IF($N147="","",INDEX('Deal maths'!$AA$1:$AA$1000,$N147))</f>
        <v/>
      </c>
      <c r="K147" s="94" t="str">
        <f>IF($N147="","",INDEX('Deal maths'!$AG$1:$AG$1000,$N147))</f>
        <v/>
      </c>
      <c r="L147" s="95" t="str">
        <f>IF($N147="","",INDEX('Loan maths'!$P$1:$P$1000,$N147))</f>
        <v/>
      </c>
      <c r="M147" s="92" t="str">
        <f>IF($N147="","",N(G147)*N(H147))</f>
        <v/>
      </c>
      <c r="N147" s="96" t="str">
        <f>IFERROR(MATCH(SMALL(LM_order,139),LM_order,0)+3,"")</f>
        <v/>
      </c>
    </row>
    <row r="148">
      <c r="B148" s="91" t="str">
        <f>IF($N148="","",INDEX('Loans'!$B$1:$B$1000,$N148)&amp;"")</f>
        <v/>
      </c>
      <c r="C148" s="91" t="str">
        <f>IF($N148="","",INDEX('Loans'!$A$1:$A$1000,$N148)&amp;"")</f>
        <v/>
      </c>
      <c r="D148" s="91" t="str">
        <f>IF($N148="","",INDEX('Loans'!$C$1:$C$1000,$N148)&amp;"")</f>
        <v/>
      </c>
      <c r="E148" s="91" t="str">
        <f>IF($N148="","",INDEX('Loan maths'!$C$1:$C$1000,$N148)&amp;"")</f>
        <v/>
      </c>
      <c r="F148" s="91" t="str">
        <f>IF($N148="","",INDEX('Loans'!$K$1:$K$1000,$N148)&amp;"")</f>
        <v/>
      </c>
      <c r="G148" s="92" t="str">
        <f>IF($N148="","",INDEX('Deal maths'!$Y$1:$Y$1000,$N148))</f>
        <v/>
      </c>
      <c r="H148" s="93" t="str">
        <f>IF($N148="","",INDEX('Deal maths'!$AB$1:$AB$1000,$N148))</f>
        <v/>
      </c>
      <c r="I148" s="94" t="str">
        <f>IF($N148="","",INDEX('Deal maths'!$Z$1:$Z$1000,$N148))</f>
        <v/>
      </c>
      <c r="J148" s="94" t="str">
        <f>IF($N148="","",INDEX('Deal maths'!$AA$1:$AA$1000,$N148))</f>
        <v/>
      </c>
      <c r="K148" s="94" t="str">
        <f>IF($N148="","",INDEX('Deal maths'!$AG$1:$AG$1000,$N148))</f>
        <v/>
      </c>
      <c r="L148" s="95" t="str">
        <f>IF($N148="","",INDEX('Loan maths'!$P$1:$P$1000,$N148))</f>
        <v/>
      </c>
      <c r="M148" s="92" t="str">
        <f>IF($N148="","",N(G148)*N(H148))</f>
        <v/>
      </c>
      <c r="N148" s="96" t="str">
        <f>IFERROR(MATCH(SMALL(LM_order,140),LM_order,0)+3,"")</f>
        <v/>
      </c>
    </row>
    <row r="149">
      <c r="B149" s="91" t="str">
        <f>IF($N149="","",INDEX('Loans'!$B$1:$B$1000,$N149)&amp;"")</f>
        <v/>
      </c>
      <c r="C149" s="91" t="str">
        <f>IF($N149="","",INDEX('Loans'!$A$1:$A$1000,$N149)&amp;"")</f>
        <v/>
      </c>
      <c r="D149" s="91" t="str">
        <f>IF($N149="","",INDEX('Loans'!$C$1:$C$1000,$N149)&amp;"")</f>
        <v/>
      </c>
      <c r="E149" s="91" t="str">
        <f>IF($N149="","",INDEX('Loan maths'!$C$1:$C$1000,$N149)&amp;"")</f>
        <v/>
      </c>
      <c r="F149" s="91" t="str">
        <f>IF($N149="","",INDEX('Loans'!$K$1:$K$1000,$N149)&amp;"")</f>
        <v/>
      </c>
      <c r="G149" s="92" t="str">
        <f>IF($N149="","",INDEX('Deal maths'!$Y$1:$Y$1000,$N149))</f>
        <v/>
      </c>
      <c r="H149" s="93" t="str">
        <f>IF($N149="","",INDEX('Deal maths'!$AB$1:$AB$1000,$N149))</f>
        <v/>
      </c>
      <c r="I149" s="94" t="str">
        <f>IF($N149="","",INDEX('Deal maths'!$Z$1:$Z$1000,$N149))</f>
        <v/>
      </c>
      <c r="J149" s="94" t="str">
        <f>IF($N149="","",INDEX('Deal maths'!$AA$1:$AA$1000,$N149))</f>
        <v/>
      </c>
      <c r="K149" s="94" t="str">
        <f>IF($N149="","",INDEX('Deal maths'!$AG$1:$AG$1000,$N149))</f>
        <v/>
      </c>
      <c r="L149" s="95" t="str">
        <f>IF($N149="","",INDEX('Loan maths'!$P$1:$P$1000,$N149))</f>
        <v/>
      </c>
      <c r="M149" s="92" t="str">
        <f>IF($N149="","",N(G149)*N(H149))</f>
        <v/>
      </c>
      <c r="N149" s="96" t="str">
        <f>IFERROR(MATCH(SMALL(LM_order,141),LM_order,0)+3,"")</f>
        <v/>
      </c>
    </row>
    <row r="150">
      <c r="B150" s="91" t="str">
        <f>IF($N150="","",INDEX('Loans'!$B$1:$B$1000,$N150)&amp;"")</f>
        <v/>
      </c>
      <c r="C150" s="91" t="str">
        <f>IF($N150="","",INDEX('Loans'!$A$1:$A$1000,$N150)&amp;"")</f>
        <v/>
      </c>
      <c r="D150" s="91" t="str">
        <f>IF($N150="","",INDEX('Loans'!$C$1:$C$1000,$N150)&amp;"")</f>
        <v/>
      </c>
      <c r="E150" s="91" t="str">
        <f>IF($N150="","",INDEX('Loan maths'!$C$1:$C$1000,$N150)&amp;"")</f>
        <v/>
      </c>
      <c r="F150" s="91" t="str">
        <f>IF($N150="","",INDEX('Loans'!$K$1:$K$1000,$N150)&amp;"")</f>
        <v/>
      </c>
      <c r="G150" s="92" t="str">
        <f>IF($N150="","",INDEX('Deal maths'!$Y$1:$Y$1000,$N150))</f>
        <v/>
      </c>
      <c r="H150" s="93" t="str">
        <f>IF($N150="","",INDEX('Deal maths'!$AB$1:$AB$1000,$N150))</f>
        <v/>
      </c>
      <c r="I150" s="94" t="str">
        <f>IF($N150="","",INDEX('Deal maths'!$Z$1:$Z$1000,$N150))</f>
        <v/>
      </c>
      <c r="J150" s="94" t="str">
        <f>IF($N150="","",INDEX('Deal maths'!$AA$1:$AA$1000,$N150))</f>
        <v/>
      </c>
      <c r="K150" s="94" t="str">
        <f>IF($N150="","",INDEX('Deal maths'!$AG$1:$AG$1000,$N150))</f>
        <v/>
      </c>
      <c r="L150" s="95" t="str">
        <f>IF($N150="","",INDEX('Loan maths'!$P$1:$P$1000,$N150))</f>
        <v/>
      </c>
      <c r="M150" s="92" t="str">
        <f>IF($N150="","",N(G150)*N(H150))</f>
        <v/>
      </c>
      <c r="N150" s="96" t="str">
        <f>IFERROR(MATCH(SMALL(LM_order,142),LM_order,0)+3,"")</f>
        <v/>
      </c>
    </row>
    <row r="151">
      <c r="B151" s="91" t="str">
        <f>IF($N151="","",INDEX('Loans'!$B$1:$B$1000,$N151)&amp;"")</f>
        <v/>
      </c>
      <c r="C151" s="91" t="str">
        <f>IF($N151="","",INDEX('Loans'!$A$1:$A$1000,$N151)&amp;"")</f>
        <v/>
      </c>
      <c r="D151" s="91" t="str">
        <f>IF($N151="","",INDEX('Loans'!$C$1:$C$1000,$N151)&amp;"")</f>
        <v/>
      </c>
      <c r="E151" s="91" t="str">
        <f>IF($N151="","",INDEX('Loan maths'!$C$1:$C$1000,$N151)&amp;"")</f>
        <v/>
      </c>
      <c r="F151" s="91" t="str">
        <f>IF($N151="","",INDEX('Loans'!$K$1:$K$1000,$N151)&amp;"")</f>
        <v/>
      </c>
      <c r="G151" s="92" t="str">
        <f>IF($N151="","",INDEX('Deal maths'!$Y$1:$Y$1000,$N151))</f>
        <v/>
      </c>
      <c r="H151" s="93" t="str">
        <f>IF($N151="","",INDEX('Deal maths'!$AB$1:$AB$1000,$N151))</f>
        <v/>
      </c>
      <c r="I151" s="94" t="str">
        <f>IF($N151="","",INDEX('Deal maths'!$Z$1:$Z$1000,$N151))</f>
        <v/>
      </c>
      <c r="J151" s="94" t="str">
        <f>IF($N151="","",INDEX('Deal maths'!$AA$1:$AA$1000,$N151))</f>
        <v/>
      </c>
      <c r="K151" s="94" t="str">
        <f>IF($N151="","",INDEX('Deal maths'!$AG$1:$AG$1000,$N151))</f>
        <v/>
      </c>
      <c r="L151" s="95" t="str">
        <f>IF($N151="","",INDEX('Loan maths'!$P$1:$P$1000,$N151))</f>
        <v/>
      </c>
      <c r="M151" s="92" t="str">
        <f>IF($N151="","",N(G151)*N(H151))</f>
        <v/>
      </c>
      <c r="N151" s="96" t="str">
        <f>IFERROR(MATCH(SMALL(LM_order,143),LM_order,0)+3,"")</f>
        <v/>
      </c>
    </row>
    <row r="152">
      <c r="B152" s="91" t="str">
        <f>IF($N152="","",INDEX('Loans'!$B$1:$B$1000,$N152)&amp;"")</f>
        <v/>
      </c>
      <c r="C152" s="91" t="str">
        <f>IF($N152="","",INDEX('Loans'!$A$1:$A$1000,$N152)&amp;"")</f>
        <v/>
      </c>
      <c r="D152" s="91" t="str">
        <f>IF($N152="","",INDEX('Loans'!$C$1:$C$1000,$N152)&amp;"")</f>
        <v/>
      </c>
      <c r="E152" s="91" t="str">
        <f>IF($N152="","",INDEX('Loan maths'!$C$1:$C$1000,$N152)&amp;"")</f>
        <v/>
      </c>
      <c r="F152" s="91" t="str">
        <f>IF($N152="","",INDEX('Loans'!$K$1:$K$1000,$N152)&amp;"")</f>
        <v/>
      </c>
      <c r="G152" s="92" t="str">
        <f>IF($N152="","",INDEX('Deal maths'!$Y$1:$Y$1000,$N152))</f>
        <v/>
      </c>
      <c r="H152" s="93" t="str">
        <f>IF($N152="","",INDEX('Deal maths'!$AB$1:$AB$1000,$N152))</f>
        <v/>
      </c>
      <c r="I152" s="94" t="str">
        <f>IF($N152="","",INDEX('Deal maths'!$Z$1:$Z$1000,$N152))</f>
        <v/>
      </c>
      <c r="J152" s="94" t="str">
        <f>IF($N152="","",INDEX('Deal maths'!$AA$1:$AA$1000,$N152))</f>
        <v/>
      </c>
      <c r="K152" s="94" t="str">
        <f>IF($N152="","",INDEX('Deal maths'!$AG$1:$AG$1000,$N152))</f>
        <v/>
      </c>
      <c r="L152" s="95" t="str">
        <f>IF($N152="","",INDEX('Loan maths'!$P$1:$P$1000,$N152))</f>
        <v/>
      </c>
      <c r="M152" s="92" t="str">
        <f>IF($N152="","",N(G152)*N(H152))</f>
        <v/>
      </c>
      <c r="N152" s="96" t="str">
        <f>IFERROR(MATCH(SMALL(LM_order,144),LM_order,0)+3,"")</f>
        <v/>
      </c>
    </row>
    <row r="153">
      <c r="B153" s="91" t="str">
        <f>IF($N153="","",INDEX('Loans'!$B$1:$B$1000,$N153)&amp;"")</f>
        <v/>
      </c>
      <c r="C153" s="91" t="str">
        <f>IF($N153="","",INDEX('Loans'!$A$1:$A$1000,$N153)&amp;"")</f>
        <v/>
      </c>
      <c r="D153" s="91" t="str">
        <f>IF($N153="","",INDEX('Loans'!$C$1:$C$1000,$N153)&amp;"")</f>
        <v/>
      </c>
      <c r="E153" s="91" t="str">
        <f>IF($N153="","",INDEX('Loan maths'!$C$1:$C$1000,$N153)&amp;"")</f>
        <v/>
      </c>
      <c r="F153" s="91" t="str">
        <f>IF($N153="","",INDEX('Loans'!$K$1:$K$1000,$N153)&amp;"")</f>
        <v/>
      </c>
      <c r="G153" s="92" t="str">
        <f>IF($N153="","",INDEX('Deal maths'!$Y$1:$Y$1000,$N153))</f>
        <v/>
      </c>
      <c r="H153" s="93" t="str">
        <f>IF($N153="","",INDEX('Deal maths'!$AB$1:$AB$1000,$N153))</f>
        <v/>
      </c>
      <c r="I153" s="94" t="str">
        <f>IF($N153="","",INDEX('Deal maths'!$Z$1:$Z$1000,$N153))</f>
        <v/>
      </c>
      <c r="J153" s="94" t="str">
        <f>IF($N153="","",INDEX('Deal maths'!$AA$1:$AA$1000,$N153))</f>
        <v/>
      </c>
      <c r="K153" s="94" t="str">
        <f>IF($N153="","",INDEX('Deal maths'!$AG$1:$AG$1000,$N153))</f>
        <v/>
      </c>
      <c r="L153" s="95" t="str">
        <f>IF($N153="","",INDEX('Loan maths'!$P$1:$P$1000,$N153))</f>
        <v/>
      </c>
      <c r="M153" s="92" t="str">
        <f>IF($N153="","",N(G153)*N(H153))</f>
        <v/>
      </c>
      <c r="N153" s="96" t="str">
        <f>IFERROR(MATCH(SMALL(LM_order,145),LM_order,0)+3,"")</f>
        <v/>
      </c>
    </row>
    <row r="154">
      <c r="B154" s="91" t="str">
        <f>IF($N154="","",INDEX('Loans'!$B$1:$B$1000,$N154)&amp;"")</f>
        <v/>
      </c>
      <c r="C154" s="91" t="str">
        <f>IF($N154="","",INDEX('Loans'!$A$1:$A$1000,$N154)&amp;"")</f>
        <v/>
      </c>
      <c r="D154" s="91" t="str">
        <f>IF($N154="","",INDEX('Loans'!$C$1:$C$1000,$N154)&amp;"")</f>
        <v/>
      </c>
      <c r="E154" s="91" t="str">
        <f>IF($N154="","",INDEX('Loan maths'!$C$1:$C$1000,$N154)&amp;"")</f>
        <v/>
      </c>
      <c r="F154" s="91" t="str">
        <f>IF($N154="","",INDEX('Loans'!$K$1:$K$1000,$N154)&amp;"")</f>
        <v/>
      </c>
      <c r="G154" s="92" t="str">
        <f>IF($N154="","",INDEX('Deal maths'!$Y$1:$Y$1000,$N154))</f>
        <v/>
      </c>
      <c r="H154" s="93" t="str">
        <f>IF($N154="","",INDEX('Deal maths'!$AB$1:$AB$1000,$N154))</f>
        <v/>
      </c>
      <c r="I154" s="94" t="str">
        <f>IF($N154="","",INDEX('Deal maths'!$Z$1:$Z$1000,$N154))</f>
        <v/>
      </c>
      <c r="J154" s="94" t="str">
        <f>IF($N154="","",INDEX('Deal maths'!$AA$1:$AA$1000,$N154))</f>
        <v/>
      </c>
      <c r="K154" s="94" t="str">
        <f>IF($N154="","",INDEX('Deal maths'!$AG$1:$AG$1000,$N154))</f>
        <v/>
      </c>
      <c r="L154" s="95" t="str">
        <f>IF($N154="","",INDEX('Loan maths'!$P$1:$P$1000,$N154))</f>
        <v/>
      </c>
      <c r="M154" s="92" t="str">
        <f>IF($N154="","",N(G154)*N(H154))</f>
        <v/>
      </c>
      <c r="N154" s="96" t="str">
        <f>IFERROR(MATCH(SMALL(LM_order,146),LM_order,0)+3,"")</f>
        <v/>
      </c>
    </row>
    <row r="155">
      <c r="B155" s="91" t="str">
        <f>IF($N155="","",INDEX('Loans'!$B$1:$B$1000,$N155)&amp;"")</f>
        <v/>
      </c>
      <c r="C155" s="91" t="str">
        <f>IF($N155="","",INDEX('Loans'!$A$1:$A$1000,$N155)&amp;"")</f>
        <v/>
      </c>
      <c r="D155" s="91" t="str">
        <f>IF($N155="","",INDEX('Loans'!$C$1:$C$1000,$N155)&amp;"")</f>
        <v/>
      </c>
      <c r="E155" s="91" t="str">
        <f>IF($N155="","",INDEX('Loan maths'!$C$1:$C$1000,$N155)&amp;"")</f>
        <v/>
      </c>
      <c r="F155" s="91" t="str">
        <f>IF($N155="","",INDEX('Loans'!$K$1:$K$1000,$N155)&amp;"")</f>
        <v/>
      </c>
      <c r="G155" s="92" t="str">
        <f>IF($N155="","",INDEX('Deal maths'!$Y$1:$Y$1000,$N155))</f>
        <v/>
      </c>
      <c r="H155" s="93" t="str">
        <f>IF($N155="","",INDEX('Deal maths'!$AB$1:$AB$1000,$N155))</f>
        <v/>
      </c>
      <c r="I155" s="94" t="str">
        <f>IF($N155="","",INDEX('Deal maths'!$Z$1:$Z$1000,$N155))</f>
        <v/>
      </c>
      <c r="J155" s="94" t="str">
        <f>IF($N155="","",INDEX('Deal maths'!$AA$1:$AA$1000,$N155))</f>
        <v/>
      </c>
      <c r="K155" s="94" t="str">
        <f>IF($N155="","",INDEX('Deal maths'!$AG$1:$AG$1000,$N155))</f>
        <v/>
      </c>
      <c r="L155" s="95" t="str">
        <f>IF($N155="","",INDEX('Loan maths'!$P$1:$P$1000,$N155))</f>
        <v/>
      </c>
      <c r="M155" s="92" t="str">
        <f>IF($N155="","",N(G155)*N(H155))</f>
        <v/>
      </c>
      <c r="N155" s="96" t="str">
        <f>IFERROR(MATCH(SMALL(LM_order,147),LM_order,0)+3,"")</f>
        <v/>
      </c>
    </row>
    <row r="156">
      <c r="B156" s="91" t="str">
        <f>IF($N156="","",INDEX('Loans'!$B$1:$B$1000,$N156)&amp;"")</f>
        <v/>
      </c>
      <c r="C156" s="91" t="str">
        <f>IF($N156="","",INDEX('Loans'!$A$1:$A$1000,$N156)&amp;"")</f>
        <v/>
      </c>
      <c r="D156" s="91" t="str">
        <f>IF($N156="","",INDEX('Loans'!$C$1:$C$1000,$N156)&amp;"")</f>
        <v/>
      </c>
      <c r="E156" s="91" t="str">
        <f>IF($N156="","",INDEX('Loan maths'!$C$1:$C$1000,$N156)&amp;"")</f>
        <v/>
      </c>
      <c r="F156" s="91" t="str">
        <f>IF($N156="","",INDEX('Loans'!$K$1:$K$1000,$N156)&amp;"")</f>
        <v/>
      </c>
      <c r="G156" s="92" t="str">
        <f>IF($N156="","",INDEX('Deal maths'!$Y$1:$Y$1000,$N156))</f>
        <v/>
      </c>
      <c r="H156" s="93" t="str">
        <f>IF($N156="","",INDEX('Deal maths'!$AB$1:$AB$1000,$N156))</f>
        <v/>
      </c>
      <c r="I156" s="94" t="str">
        <f>IF($N156="","",INDEX('Deal maths'!$Z$1:$Z$1000,$N156))</f>
        <v/>
      </c>
      <c r="J156" s="94" t="str">
        <f>IF($N156="","",INDEX('Deal maths'!$AA$1:$AA$1000,$N156))</f>
        <v/>
      </c>
      <c r="K156" s="94" t="str">
        <f>IF($N156="","",INDEX('Deal maths'!$AG$1:$AG$1000,$N156))</f>
        <v/>
      </c>
      <c r="L156" s="95" t="str">
        <f>IF($N156="","",INDEX('Loan maths'!$P$1:$P$1000,$N156))</f>
        <v/>
      </c>
      <c r="M156" s="92" t="str">
        <f>IF($N156="","",N(G156)*N(H156))</f>
        <v/>
      </c>
      <c r="N156" s="96" t="str">
        <f>IFERROR(MATCH(SMALL(LM_order,148),LM_order,0)+3,"")</f>
        <v/>
      </c>
    </row>
    <row r="157">
      <c r="B157" s="91" t="str">
        <f>IF($N157="","",INDEX('Loans'!$B$1:$B$1000,$N157)&amp;"")</f>
        <v/>
      </c>
      <c r="C157" s="91" t="str">
        <f>IF($N157="","",INDEX('Loans'!$A$1:$A$1000,$N157)&amp;"")</f>
        <v/>
      </c>
      <c r="D157" s="91" t="str">
        <f>IF($N157="","",INDEX('Loans'!$C$1:$C$1000,$N157)&amp;"")</f>
        <v/>
      </c>
      <c r="E157" s="91" t="str">
        <f>IF($N157="","",INDEX('Loan maths'!$C$1:$C$1000,$N157)&amp;"")</f>
        <v/>
      </c>
      <c r="F157" s="91" t="str">
        <f>IF($N157="","",INDEX('Loans'!$K$1:$K$1000,$N157)&amp;"")</f>
        <v/>
      </c>
      <c r="G157" s="92" t="str">
        <f>IF($N157="","",INDEX('Deal maths'!$Y$1:$Y$1000,$N157))</f>
        <v/>
      </c>
      <c r="H157" s="93" t="str">
        <f>IF($N157="","",INDEX('Deal maths'!$AB$1:$AB$1000,$N157))</f>
        <v/>
      </c>
      <c r="I157" s="94" t="str">
        <f>IF($N157="","",INDEX('Deal maths'!$Z$1:$Z$1000,$N157))</f>
        <v/>
      </c>
      <c r="J157" s="94" t="str">
        <f>IF($N157="","",INDEX('Deal maths'!$AA$1:$AA$1000,$N157))</f>
        <v/>
      </c>
      <c r="K157" s="94" t="str">
        <f>IF($N157="","",INDEX('Deal maths'!$AG$1:$AG$1000,$N157))</f>
        <v/>
      </c>
      <c r="L157" s="95" t="str">
        <f>IF($N157="","",INDEX('Loan maths'!$P$1:$P$1000,$N157))</f>
        <v/>
      </c>
      <c r="M157" s="92" t="str">
        <f>IF($N157="","",N(G157)*N(H157))</f>
        <v/>
      </c>
      <c r="N157" s="96" t="str">
        <f>IFERROR(MATCH(SMALL(LM_order,149),LM_order,0)+3,"")</f>
        <v/>
      </c>
    </row>
    <row r="158">
      <c r="B158" s="91" t="str">
        <f>IF($N158="","",INDEX('Loans'!$B$1:$B$1000,$N158)&amp;"")</f>
        <v/>
      </c>
      <c r="C158" s="91" t="str">
        <f>IF($N158="","",INDEX('Loans'!$A$1:$A$1000,$N158)&amp;"")</f>
        <v/>
      </c>
      <c r="D158" s="91" t="str">
        <f>IF($N158="","",INDEX('Loans'!$C$1:$C$1000,$N158)&amp;"")</f>
        <v/>
      </c>
      <c r="E158" s="91" t="str">
        <f>IF($N158="","",INDEX('Loan maths'!$C$1:$C$1000,$N158)&amp;"")</f>
        <v/>
      </c>
      <c r="F158" s="91" t="str">
        <f>IF($N158="","",INDEX('Loans'!$K$1:$K$1000,$N158)&amp;"")</f>
        <v/>
      </c>
      <c r="G158" s="92" t="str">
        <f>IF($N158="","",INDEX('Deal maths'!$Y$1:$Y$1000,$N158))</f>
        <v/>
      </c>
      <c r="H158" s="93" t="str">
        <f>IF($N158="","",INDEX('Deal maths'!$AB$1:$AB$1000,$N158))</f>
        <v/>
      </c>
      <c r="I158" s="94" t="str">
        <f>IF($N158="","",INDEX('Deal maths'!$Z$1:$Z$1000,$N158))</f>
        <v/>
      </c>
      <c r="J158" s="94" t="str">
        <f>IF($N158="","",INDEX('Deal maths'!$AA$1:$AA$1000,$N158))</f>
        <v/>
      </c>
      <c r="K158" s="94" t="str">
        <f>IF($N158="","",INDEX('Deal maths'!$AG$1:$AG$1000,$N158))</f>
        <v/>
      </c>
      <c r="L158" s="95" t="str">
        <f>IF($N158="","",INDEX('Loan maths'!$P$1:$P$1000,$N158))</f>
        <v/>
      </c>
      <c r="M158" s="92" t="str">
        <f>IF($N158="","",N(G158)*N(H158))</f>
        <v/>
      </c>
      <c r="N158" s="96" t="str">
        <f>IFERROR(MATCH(SMALL(LM_order,150),LM_order,0)+3,"")</f>
        <v/>
      </c>
    </row>
    <row r="159">
      <c r="B159" s="91" t="str">
        <f>IF($N159="","",INDEX('Loans'!$B$1:$B$1000,$N159)&amp;"")</f>
        <v/>
      </c>
      <c r="C159" s="91" t="str">
        <f>IF($N159="","",INDEX('Loans'!$A$1:$A$1000,$N159)&amp;"")</f>
        <v/>
      </c>
      <c r="D159" s="91" t="str">
        <f>IF($N159="","",INDEX('Loans'!$C$1:$C$1000,$N159)&amp;"")</f>
        <v/>
      </c>
      <c r="E159" s="91" t="str">
        <f>IF($N159="","",INDEX('Loan maths'!$C$1:$C$1000,$N159)&amp;"")</f>
        <v/>
      </c>
      <c r="F159" s="91" t="str">
        <f>IF($N159="","",INDEX('Loans'!$K$1:$K$1000,$N159)&amp;"")</f>
        <v/>
      </c>
      <c r="G159" s="92" t="str">
        <f>IF($N159="","",INDEX('Deal maths'!$Y$1:$Y$1000,$N159))</f>
        <v/>
      </c>
      <c r="H159" s="93" t="str">
        <f>IF($N159="","",INDEX('Deal maths'!$AB$1:$AB$1000,$N159))</f>
        <v/>
      </c>
      <c r="I159" s="94" t="str">
        <f>IF($N159="","",INDEX('Deal maths'!$Z$1:$Z$1000,$N159))</f>
        <v/>
      </c>
      <c r="J159" s="94" t="str">
        <f>IF($N159="","",INDEX('Deal maths'!$AA$1:$AA$1000,$N159))</f>
        <v/>
      </c>
      <c r="K159" s="94" t="str">
        <f>IF($N159="","",INDEX('Deal maths'!$AG$1:$AG$1000,$N159))</f>
        <v/>
      </c>
      <c r="L159" s="95" t="str">
        <f>IF($N159="","",INDEX('Loan maths'!$P$1:$P$1000,$N159))</f>
        <v/>
      </c>
      <c r="M159" s="92" t="str">
        <f>IF($N159="","",N(G159)*N(H159))</f>
        <v/>
      </c>
      <c r="N159" s="96" t="str">
        <f>IFERROR(MATCH(SMALL(LM_order,151),LM_order,0)+3,"")</f>
        <v/>
      </c>
    </row>
    <row r="160">
      <c r="B160" s="91" t="str">
        <f>IF($N160="","",INDEX('Loans'!$B$1:$B$1000,$N160)&amp;"")</f>
        <v/>
      </c>
      <c r="C160" s="91" t="str">
        <f>IF($N160="","",INDEX('Loans'!$A$1:$A$1000,$N160)&amp;"")</f>
        <v/>
      </c>
      <c r="D160" s="91" t="str">
        <f>IF($N160="","",INDEX('Loans'!$C$1:$C$1000,$N160)&amp;"")</f>
        <v/>
      </c>
      <c r="E160" s="91" t="str">
        <f>IF($N160="","",INDEX('Loan maths'!$C$1:$C$1000,$N160)&amp;"")</f>
        <v/>
      </c>
      <c r="F160" s="91" t="str">
        <f>IF($N160="","",INDEX('Loans'!$K$1:$K$1000,$N160)&amp;"")</f>
        <v/>
      </c>
      <c r="G160" s="92" t="str">
        <f>IF($N160="","",INDEX('Deal maths'!$Y$1:$Y$1000,$N160))</f>
        <v/>
      </c>
      <c r="H160" s="93" t="str">
        <f>IF($N160="","",INDEX('Deal maths'!$AB$1:$AB$1000,$N160))</f>
        <v/>
      </c>
      <c r="I160" s="94" t="str">
        <f>IF($N160="","",INDEX('Deal maths'!$Z$1:$Z$1000,$N160))</f>
        <v/>
      </c>
      <c r="J160" s="94" t="str">
        <f>IF($N160="","",INDEX('Deal maths'!$AA$1:$AA$1000,$N160))</f>
        <v/>
      </c>
      <c r="K160" s="94" t="str">
        <f>IF($N160="","",INDEX('Deal maths'!$AG$1:$AG$1000,$N160))</f>
        <v/>
      </c>
      <c r="L160" s="95" t="str">
        <f>IF($N160="","",INDEX('Loan maths'!$P$1:$P$1000,$N160))</f>
        <v/>
      </c>
      <c r="M160" s="92" t="str">
        <f>IF($N160="","",N(G160)*N(H160))</f>
        <v/>
      </c>
      <c r="N160" s="96" t="str">
        <f>IFERROR(MATCH(SMALL(LM_order,152),LM_order,0)+3,"")</f>
        <v/>
      </c>
    </row>
    <row r="161">
      <c r="B161" s="91" t="str">
        <f>IF($N161="","",INDEX('Loans'!$B$1:$B$1000,$N161)&amp;"")</f>
        <v/>
      </c>
      <c r="C161" s="91" t="str">
        <f>IF($N161="","",INDEX('Loans'!$A$1:$A$1000,$N161)&amp;"")</f>
        <v/>
      </c>
      <c r="D161" s="91" t="str">
        <f>IF($N161="","",INDEX('Loans'!$C$1:$C$1000,$N161)&amp;"")</f>
        <v/>
      </c>
      <c r="E161" s="91" t="str">
        <f>IF($N161="","",INDEX('Loan maths'!$C$1:$C$1000,$N161)&amp;"")</f>
        <v/>
      </c>
      <c r="F161" s="91" t="str">
        <f>IF($N161="","",INDEX('Loans'!$K$1:$K$1000,$N161)&amp;"")</f>
        <v/>
      </c>
      <c r="G161" s="92" t="str">
        <f>IF($N161="","",INDEX('Deal maths'!$Y$1:$Y$1000,$N161))</f>
        <v/>
      </c>
      <c r="H161" s="93" t="str">
        <f>IF($N161="","",INDEX('Deal maths'!$AB$1:$AB$1000,$N161))</f>
        <v/>
      </c>
      <c r="I161" s="94" t="str">
        <f>IF($N161="","",INDEX('Deal maths'!$Z$1:$Z$1000,$N161))</f>
        <v/>
      </c>
      <c r="J161" s="94" t="str">
        <f>IF($N161="","",INDEX('Deal maths'!$AA$1:$AA$1000,$N161))</f>
        <v/>
      </c>
      <c r="K161" s="94" t="str">
        <f>IF($N161="","",INDEX('Deal maths'!$AG$1:$AG$1000,$N161))</f>
        <v/>
      </c>
      <c r="L161" s="95" t="str">
        <f>IF($N161="","",INDEX('Loan maths'!$P$1:$P$1000,$N161))</f>
        <v/>
      </c>
      <c r="M161" s="92" t="str">
        <f>IF($N161="","",N(G161)*N(H161))</f>
        <v/>
      </c>
      <c r="N161" s="96" t="str">
        <f>IFERROR(MATCH(SMALL(LM_order,153),LM_order,0)+3,"")</f>
        <v/>
      </c>
    </row>
    <row r="162">
      <c r="B162" s="91" t="str">
        <f>IF($N162="","",INDEX('Loans'!$B$1:$B$1000,$N162)&amp;"")</f>
        <v/>
      </c>
      <c r="C162" s="91" t="str">
        <f>IF($N162="","",INDEX('Loans'!$A$1:$A$1000,$N162)&amp;"")</f>
        <v/>
      </c>
      <c r="D162" s="91" t="str">
        <f>IF($N162="","",INDEX('Loans'!$C$1:$C$1000,$N162)&amp;"")</f>
        <v/>
      </c>
      <c r="E162" s="91" t="str">
        <f>IF($N162="","",INDEX('Loan maths'!$C$1:$C$1000,$N162)&amp;"")</f>
        <v/>
      </c>
      <c r="F162" s="91" t="str">
        <f>IF($N162="","",INDEX('Loans'!$K$1:$K$1000,$N162)&amp;"")</f>
        <v/>
      </c>
      <c r="G162" s="92" t="str">
        <f>IF($N162="","",INDEX('Deal maths'!$Y$1:$Y$1000,$N162))</f>
        <v/>
      </c>
      <c r="H162" s="93" t="str">
        <f>IF($N162="","",INDEX('Deal maths'!$AB$1:$AB$1000,$N162))</f>
        <v/>
      </c>
      <c r="I162" s="94" t="str">
        <f>IF($N162="","",INDEX('Deal maths'!$Z$1:$Z$1000,$N162))</f>
        <v/>
      </c>
      <c r="J162" s="94" t="str">
        <f>IF($N162="","",INDEX('Deal maths'!$AA$1:$AA$1000,$N162))</f>
        <v/>
      </c>
      <c r="K162" s="94" t="str">
        <f>IF($N162="","",INDEX('Deal maths'!$AG$1:$AG$1000,$N162))</f>
        <v/>
      </c>
      <c r="L162" s="95" t="str">
        <f>IF($N162="","",INDEX('Loan maths'!$P$1:$P$1000,$N162))</f>
        <v/>
      </c>
      <c r="M162" s="92" t="str">
        <f>IF($N162="","",N(G162)*N(H162))</f>
        <v/>
      </c>
      <c r="N162" s="96" t="str">
        <f>IFERROR(MATCH(SMALL(LM_order,154),LM_order,0)+3,"")</f>
        <v/>
      </c>
    </row>
    <row r="163">
      <c r="B163" s="91" t="str">
        <f>IF($N163="","",INDEX('Loans'!$B$1:$B$1000,$N163)&amp;"")</f>
        <v/>
      </c>
      <c r="C163" s="91" t="str">
        <f>IF($N163="","",INDEX('Loans'!$A$1:$A$1000,$N163)&amp;"")</f>
        <v/>
      </c>
      <c r="D163" s="91" t="str">
        <f>IF($N163="","",INDEX('Loans'!$C$1:$C$1000,$N163)&amp;"")</f>
        <v/>
      </c>
      <c r="E163" s="91" t="str">
        <f>IF($N163="","",INDEX('Loan maths'!$C$1:$C$1000,$N163)&amp;"")</f>
        <v/>
      </c>
      <c r="F163" s="91" t="str">
        <f>IF($N163="","",INDEX('Loans'!$K$1:$K$1000,$N163)&amp;"")</f>
        <v/>
      </c>
      <c r="G163" s="92" t="str">
        <f>IF($N163="","",INDEX('Deal maths'!$Y$1:$Y$1000,$N163))</f>
        <v/>
      </c>
      <c r="H163" s="93" t="str">
        <f>IF($N163="","",INDEX('Deal maths'!$AB$1:$AB$1000,$N163))</f>
        <v/>
      </c>
      <c r="I163" s="94" t="str">
        <f>IF($N163="","",INDEX('Deal maths'!$Z$1:$Z$1000,$N163))</f>
        <v/>
      </c>
      <c r="J163" s="94" t="str">
        <f>IF($N163="","",INDEX('Deal maths'!$AA$1:$AA$1000,$N163))</f>
        <v/>
      </c>
      <c r="K163" s="94" t="str">
        <f>IF($N163="","",INDEX('Deal maths'!$AG$1:$AG$1000,$N163))</f>
        <v/>
      </c>
      <c r="L163" s="95" t="str">
        <f>IF($N163="","",INDEX('Loan maths'!$P$1:$P$1000,$N163))</f>
        <v/>
      </c>
      <c r="M163" s="92" t="str">
        <f>IF($N163="","",N(G163)*N(H163))</f>
        <v/>
      </c>
      <c r="N163" s="96" t="str">
        <f>IFERROR(MATCH(SMALL(LM_order,155),LM_order,0)+3,"")</f>
        <v/>
      </c>
    </row>
    <row r="164">
      <c r="B164" s="91" t="str">
        <f>IF($N164="","",INDEX('Loans'!$B$1:$B$1000,$N164)&amp;"")</f>
        <v/>
      </c>
      <c r="C164" s="91" t="str">
        <f>IF($N164="","",INDEX('Loans'!$A$1:$A$1000,$N164)&amp;"")</f>
        <v/>
      </c>
      <c r="D164" s="91" t="str">
        <f>IF($N164="","",INDEX('Loans'!$C$1:$C$1000,$N164)&amp;"")</f>
        <v/>
      </c>
      <c r="E164" s="91" t="str">
        <f>IF($N164="","",INDEX('Loan maths'!$C$1:$C$1000,$N164)&amp;"")</f>
        <v/>
      </c>
      <c r="F164" s="91" t="str">
        <f>IF($N164="","",INDEX('Loans'!$K$1:$K$1000,$N164)&amp;"")</f>
        <v/>
      </c>
      <c r="G164" s="92" t="str">
        <f>IF($N164="","",INDEX('Deal maths'!$Y$1:$Y$1000,$N164))</f>
        <v/>
      </c>
      <c r="H164" s="93" t="str">
        <f>IF($N164="","",INDEX('Deal maths'!$AB$1:$AB$1000,$N164))</f>
        <v/>
      </c>
      <c r="I164" s="94" t="str">
        <f>IF($N164="","",INDEX('Deal maths'!$Z$1:$Z$1000,$N164))</f>
        <v/>
      </c>
      <c r="J164" s="94" t="str">
        <f>IF($N164="","",INDEX('Deal maths'!$AA$1:$AA$1000,$N164))</f>
        <v/>
      </c>
      <c r="K164" s="94" t="str">
        <f>IF($N164="","",INDEX('Deal maths'!$AG$1:$AG$1000,$N164))</f>
        <v/>
      </c>
      <c r="L164" s="95" t="str">
        <f>IF($N164="","",INDEX('Loan maths'!$P$1:$P$1000,$N164))</f>
        <v/>
      </c>
      <c r="M164" s="92" t="str">
        <f>IF($N164="","",N(G164)*N(H164))</f>
        <v/>
      </c>
      <c r="N164" s="96" t="str">
        <f>IFERROR(MATCH(SMALL(LM_order,156),LM_order,0)+3,"")</f>
        <v/>
      </c>
    </row>
    <row r="165">
      <c r="B165" s="91" t="str">
        <f>IF($N165="","",INDEX('Loans'!$B$1:$B$1000,$N165)&amp;"")</f>
        <v/>
      </c>
      <c r="C165" s="91" t="str">
        <f>IF($N165="","",INDEX('Loans'!$A$1:$A$1000,$N165)&amp;"")</f>
        <v/>
      </c>
      <c r="D165" s="91" t="str">
        <f>IF($N165="","",INDEX('Loans'!$C$1:$C$1000,$N165)&amp;"")</f>
        <v/>
      </c>
      <c r="E165" s="91" t="str">
        <f>IF($N165="","",INDEX('Loan maths'!$C$1:$C$1000,$N165)&amp;"")</f>
        <v/>
      </c>
      <c r="F165" s="91" t="str">
        <f>IF($N165="","",INDEX('Loans'!$K$1:$K$1000,$N165)&amp;"")</f>
        <v/>
      </c>
      <c r="G165" s="92" t="str">
        <f>IF($N165="","",INDEX('Deal maths'!$Y$1:$Y$1000,$N165))</f>
        <v/>
      </c>
      <c r="H165" s="93" t="str">
        <f>IF($N165="","",INDEX('Deal maths'!$AB$1:$AB$1000,$N165))</f>
        <v/>
      </c>
      <c r="I165" s="94" t="str">
        <f>IF($N165="","",INDEX('Deal maths'!$Z$1:$Z$1000,$N165))</f>
        <v/>
      </c>
      <c r="J165" s="94" t="str">
        <f>IF($N165="","",INDEX('Deal maths'!$AA$1:$AA$1000,$N165))</f>
        <v/>
      </c>
      <c r="K165" s="94" t="str">
        <f>IF($N165="","",INDEX('Deal maths'!$AG$1:$AG$1000,$N165))</f>
        <v/>
      </c>
      <c r="L165" s="95" t="str">
        <f>IF($N165="","",INDEX('Loan maths'!$P$1:$P$1000,$N165))</f>
        <v/>
      </c>
      <c r="M165" s="92" t="str">
        <f>IF($N165="","",N(G165)*N(H165))</f>
        <v/>
      </c>
      <c r="N165" s="96" t="str">
        <f>IFERROR(MATCH(SMALL(LM_order,157),LM_order,0)+3,"")</f>
        <v/>
      </c>
    </row>
    <row r="166">
      <c r="B166" s="91" t="str">
        <f>IF($N166="","",INDEX('Loans'!$B$1:$B$1000,$N166)&amp;"")</f>
        <v/>
      </c>
      <c r="C166" s="91" t="str">
        <f>IF($N166="","",INDEX('Loans'!$A$1:$A$1000,$N166)&amp;"")</f>
        <v/>
      </c>
      <c r="D166" s="91" t="str">
        <f>IF($N166="","",INDEX('Loans'!$C$1:$C$1000,$N166)&amp;"")</f>
        <v/>
      </c>
      <c r="E166" s="91" t="str">
        <f>IF($N166="","",INDEX('Loan maths'!$C$1:$C$1000,$N166)&amp;"")</f>
        <v/>
      </c>
      <c r="F166" s="91" t="str">
        <f>IF($N166="","",INDEX('Loans'!$K$1:$K$1000,$N166)&amp;"")</f>
        <v/>
      </c>
      <c r="G166" s="92" t="str">
        <f>IF($N166="","",INDEX('Deal maths'!$Y$1:$Y$1000,$N166))</f>
        <v/>
      </c>
      <c r="H166" s="93" t="str">
        <f>IF($N166="","",INDEX('Deal maths'!$AB$1:$AB$1000,$N166))</f>
        <v/>
      </c>
      <c r="I166" s="94" t="str">
        <f>IF($N166="","",INDEX('Deal maths'!$Z$1:$Z$1000,$N166))</f>
        <v/>
      </c>
      <c r="J166" s="94" t="str">
        <f>IF($N166="","",INDEX('Deal maths'!$AA$1:$AA$1000,$N166))</f>
        <v/>
      </c>
      <c r="K166" s="94" t="str">
        <f>IF($N166="","",INDEX('Deal maths'!$AG$1:$AG$1000,$N166))</f>
        <v/>
      </c>
      <c r="L166" s="95" t="str">
        <f>IF($N166="","",INDEX('Loan maths'!$P$1:$P$1000,$N166))</f>
        <v/>
      </c>
      <c r="M166" s="92" t="str">
        <f>IF($N166="","",N(G166)*N(H166))</f>
        <v/>
      </c>
      <c r="N166" s="96" t="str">
        <f>IFERROR(MATCH(SMALL(LM_order,158),LM_order,0)+3,"")</f>
        <v/>
      </c>
    </row>
    <row r="167">
      <c r="B167" s="91" t="str">
        <f>IF($N167="","",INDEX('Loans'!$B$1:$B$1000,$N167)&amp;"")</f>
        <v/>
      </c>
      <c r="C167" s="91" t="str">
        <f>IF($N167="","",INDEX('Loans'!$A$1:$A$1000,$N167)&amp;"")</f>
        <v/>
      </c>
      <c r="D167" s="91" t="str">
        <f>IF($N167="","",INDEX('Loans'!$C$1:$C$1000,$N167)&amp;"")</f>
        <v/>
      </c>
      <c r="E167" s="91" t="str">
        <f>IF($N167="","",INDEX('Loan maths'!$C$1:$C$1000,$N167)&amp;"")</f>
        <v/>
      </c>
      <c r="F167" s="91" t="str">
        <f>IF($N167="","",INDEX('Loans'!$K$1:$K$1000,$N167)&amp;"")</f>
        <v/>
      </c>
      <c r="G167" s="92" t="str">
        <f>IF($N167="","",INDEX('Deal maths'!$Y$1:$Y$1000,$N167))</f>
        <v/>
      </c>
      <c r="H167" s="93" t="str">
        <f>IF($N167="","",INDEX('Deal maths'!$AB$1:$AB$1000,$N167))</f>
        <v/>
      </c>
      <c r="I167" s="94" t="str">
        <f>IF($N167="","",INDEX('Deal maths'!$Z$1:$Z$1000,$N167))</f>
        <v/>
      </c>
      <c r="J167" s="94" t="str">
        <f>IF($N167="","",INDEX('Deal maths'!$AA$1:$AA$1000,$N167))</f>
        <v/>
      </c>
      <c r="K167" s="94" t="str">
        <f>IF($N167="","",INDEX('Deal maths'!$AG$1:$AG$1000,$N167))</f>
        <v/>
      </c>
      <c r="L167" s="95" t="str">
        <f>IF($N167="","",INDEX('Loan maths'!$P$1:$P$1000,$N167))</f>
        <v/>
      </c>
      <c r="M167" s="92" t="str">
        <f>IF($N167="","",N(G167)*N(H167))</f>
        <v/>
      </c>
      <c r="N167" s="96" t="str">
        <f>IFERROR(MATCH(SMALL(LM_order,159),LM_order,0)+3,"")</f>
        <v/>
      </c>
    </row>
    <row r="168">
      <c r="B168" s="91" t="str">
        <f>IF($N168="","",INDEX('Loans'!$B$1:$B$1000,$N168)&amp;"")</f>
        <v/>
      </c>
      <c r="C168" s="91" t="str">
        <f>IF($N168="","",INDEX('Loans'!$A$1:$A$1000,$N168)&amp;"")</f>
        <v/>
      </c>
      <c r="D168" s="91" t="str">
        <f>IF($N168="","",INDEX('Loans'!$C$1:$C$1000,$N168)&amp;"")</f>
        <v/>
      </c>
      <c r="E168" s="91" t="str">
        <f>IF($N168="","",INDEX('Loan maths'!$C$1:$C$1000,$N168)&amp;"")</f>
        <v/>
      </c>
      <c r="F168" s="91" t="str">
        <f>IF($N168="","",INDEX('Loans'!$K$1:$K$1000,$N168)&amp;"")</f>
        <v/>
      </c>
      <c r="G168" s="92" t="str">
        <f>IF($N168="","",INDEX('Deal maths'!$Y$1:$Y$1000,$N168))</f>
        <v/>
      </c>
      <c r="H168" s="93" t="str">
        <f>IF($N168="","",INDEX('Deal maths'!$AB$1:$AB$1000,$N168))</f>
        <v/>
      </c>
      <c r="I168" s="94" t="str">
        <f>IF($N168="","",INDEX('Deal maths'!$Z$1:$Z$1000,$N168))</f>
        <v/>
      </c>
      <c r="J168" s="94" t="str">
        <f>IF($N168="","",INDEX('Deal maths'!$AA$1:$AA$1000,$N168))</f>
        <v/>
      </c>
      <c r="K168" s="94" t="str">
        <f>IF($N168="","",INDEX('Deal maths'!$AG$1:$AG$1000,$N168))</f>
        <v/>
      </c>
      <c r="L168" s="95" t="str">
        <f>IF($N168="","",INDEX('Loan maths'!$P$1:$P$1000,$N168))</f>
        <v/>
      </c>
      <c r="M168" s="92" t="str">
        <f>IF($N168="","",N(G168)*N(H168))</f>
        <v/>
      </c>
      <c r="N168" s="96" t="str">
        <f>IFERROR(MATCH(SMALL(LM_order,160),LM_order,0)+3,"")</f>
        <v/>
      </c>
    </row>
    <row r="169">
      <c r="B169" s="91" t="str">
        <f>IF($N169="","",INDEX('Loans'!$B$1:$B$1000,$N169)&amp;"")</f>
        <v/>
      </c>
      <c r="C169" s="91" t="str">
        <f>IF($N169="","",INDEX('Loans'!$A$1:$A$1000,$N169)&amp;"")</f>
        <v/>
      </c>
      <c r="D169" s="91" t="str">
        <f>IF($N169="","",INDEX('Loans'!$C$1:$C$1000,$N169)&amp;"")</f>
        <v/>
      </c>
      <c r="E169" s="91" t="str">
        <f>IF($N169="","",INDEX('Loan maths'!$C$1:$C$1000,$N169)&amp;"")</f>
        <v/>
      </c>
      <c r="F169" s="91" t="str">
        <f>IF($N169="","",INDEX('Loans'!$K$1:$K$1000,$N169)&amp;"")</f>
        <v/>
      </c>
      <c r="G169" s="92" t="str">
        <f>IF($N169="","",INDEX('Deal maths'!$Y$1:$Y$1000,$N169))</f>
        <v/>
      </c>
      <c r="H169" s="93" t="str">
        <f>IF($N169="","",INDEX('Deal maths'!$AB$1:$AB$1000,$N169))</f>
        <v/>
      </c>
      <c r="I169" s="94" t="str">
        <f>IF($N169="","",INDEX('Deal maths'!$Z$1:$Z$1000,$N169))</f>
        <v/>
      </c>
      <c r="J169" s="94" t="str">
        <f>IF($N169="","",INDEX('Deal maths'!$AA$1:$AA$1000,$N169))</f>
        <v/>
      </c>
      <c r="K169" s="94" t="str">
        <f>IF($N169="","",INDEX('Deal maths'!$AG$1:$AG$1000,$N169))</f>
        <v/>
      </c>
      <c r="L169" s="95" t="str">
        <f>IF($N169="","",INDEX('Loan maths'!$P$1:$P$1000,$N169))</f>
        <v/>
      </c>
      <c r="M169" s="92" t="str">
        <f>IF($N169="","",N(G169)*N(H169))</f>
        <v/>
      </c>
      <c r="N169" s="96" t="str">
        <f>IFERROR(MATCH(SMALL(LM_order,161),LM_order,0)+3,"")</f>
        <v/>
      </c>
    </row>
    <row r="170">
      <c r="B170" s="91" t="str">
        <f>IF($N170="","",INDEX('Loans'!$B$1:$B$1000,$N170)&amp;"")</f>
        <v/>
      </c>
      <c r="C170" s="91" t="str">
        <f>IF($N170="","",INDEX('Loans'!$A$1:$A$1000,$N170)&amp;"")</f>
        <v/>
      </c>
      <c r="D170" s="91" t="str">
        <f>IF($N170="","",INDEX('Loans'!$C$1:$C$1000,$N170)&amp;"")</f>
        <v/>
      </c>
      <c r="E170" s="91" t="str">
        <f>IF($N170="","",INDEX('Loan maths'!$C$1:$C$1000,$N170)&amp;"")</f>
        <v/>
      </c>
      <c r="F170" s="91" t="str">
        <f>IF($N170="","",INDEX('Loans'!$K$1:$K$1000,$N170)&amp;"")</f>
        <v/>
      </c>
      <c r="G170" s="92" t="str">
        <f>IF($N170="","",INDEX('Deal maths'!$Y$1:$Y$1000,$N170))</f>
        <v/>
      </c>
      <c r="H170" s="93" t="str">
        <f>IF($N170="","",INDEX('Deal maths'!$AB$1:$AB$1000,$N170))</f>
        <v/>
      </c>
      <c r="I170" s="94" t="str">
        <f>IF($N170="","",INDEX('Deal maths'!$Z$1:$Z$1000,$N170))</f>
        <v/>
      </c>
      <c r="J170" s="94" t="str">
        <f>IF($N170="","",INDEX('Deal maths'!$AA$1:$AA$1000,$N170))</f>
        <v/>
      </c>
      <c r="K170" s="94" t="str">
        <f>IF($N170="","",INDEX('Deal maths'!$AG$1:$AG$1000,$N170))</f>
        <v/>
      </c>
      <c r="L170" s="95" t="str">
        <f>IF($N170="","",INDEX('Loan maths'!$P$1:$P$1000,$N170))</f>
        <v/>
      </c>
      <c r="M170" s="92" t="str">
        <f>IF($N170="","",N(G170)*N(H170))</f>
        <v/>
      </c>
      <c r="N170" s="96" t="str">
        <f>IFERROR(MATCH(SMALL(LM_order,162),LM_order,0)+3,"")</f>
        <v/>
      </c>
    </row>
    <row r="171">
      <c r="B171" s="91" t="str">
        <f>IF($N171="","",INDEX('Loans'!$B$1:$B$1000,$N171)&amp;"")</f>
        <v/>
      </c>
      <c r="C171" s="91" t="str">
        <f>IF($N171="","",INDEX('Loans'!$A$1:$A$1000,$N171)&amp;"")</f>
        <v/>
      </c>
      <c r="D171" s="91" t="str">
        <f>IF($N171="","",INDEX('Loans'!$C$1:$C$1000,$N171)&amp;"")</f>
        <v/>
      </c>
      <c r="E171" s="91" t="str">
        <f>IF($N171="","",INDEX('Loan maths'!$C$1:$C$1000,$N171)&amp;"")</f>
        <v/>
      </c>
      <c r="F171" s="91" t="str">
        <f>IF($N171="","",INDEX('Loans'!$K$1:$K$1000,$N171)&amp;"")</f>
        <v/>
      </c>
      <c r="G171" s="92" t="str">
        <f>IF($N171="","",INDEX('Deal maths'!$Y$1:$Y$1000,$N171))</f>
        <v/>
      </c>
      <c r="H171" s="93" t="str">
        <f>IF($N171="","",INDEX('Deal maths'!$AB$1:$AB$1000,$N171))</f>
        <v/>
      </c>
      <c r="I171" s="94" t="str">
        <f>IF($N171="","",INDEX('Deal maths'!$Z$1:$Z$1000,$N171))</f>
        <v/>
      </c>
      <c r="J171" s="94" t="str">
        <f>IF($N171="","",INDEX('Deal maths'!$AA$1:$AA$1000,$N171))</f>
        <v/>
      </c>
      <c r="K171" s="94" t="str">
        <f>IF($N171="","",INDEX('Deal maths'!$AG$1:$AG$1000,$N171))</f>
        <v/>
      </c>
      <c r="L171" s="95" t="str">
        <f>IF($N171="","",INDEX('Loan maths'!$P$1:$P$1000,$N171))</f>
        <v/>
      </c>
      <c r="M171" s="92" t="str">
        <f>IF($N171="","",N(G171)*N(H171))</f>
        <v/>
      </c>
      <c r="N171" s="96" t="str">
        <f>IFERROR(MATCH(SMALL(LM_order,163),LM_order,0)+3,"")</f>
        <v/>
      </c>
    </row>
    <row r="172">
      <c r="B172" s="91" t="str">
        <f>IF($N172="","",INDEX('Loans'!$B$1:$B$1000,$N172)&amp;"")</f>
        <v/>
      </c>
      <c r="C172" s="91" t="str">
        <f>IF($N172="","",INDEX('Loans'!$A$1:$A$1000,$N172)&amp;"")</f>
        <v/>
      </c>
      <c r="D172" s="91" t="str">
        <f>IF($N172="","",INDEX('Loans'!$C$1:$C$1000,$N172)&amp;"")</f>
        <v/>
      </c>
      <c r="E172" s="91" t="str">
        <f>IF($N172="","",INDEX('Loan maths'!$C$1:$C$1000,$N172)&amp;"")</f>
        <v/>
      </c>
      <c r="F172" s="91" t="str">
        <f>IF($N172="","",INDEX('Loans'!$K$1:$K$1000,$N172)&amp;"")</f>
        <v/>
      </c>
      <c r="G172" s="92" t="str">
        <f>IF($N172="","",INDEX('Deal maths'!$Y$1:$Y$1000,$N172))</f>
        <v/>
      </c>
      <c r="H172" s="93" t="str">
        <f>IF($N172="","",INDEX('Deal maths'!$AB$1:$AB$1000,$N172))</f>
        <v/>
      </c>
      <c r="I172" s="94" t="str">
        <f>IF($N172="","",INDEX('Deal maths'!$Z$1:$Z$1000,$N172))</f>
        <v/>
      </c>
      <c r="J172" s="94" t="str">
        <f>IF($N172="","",INDEX('Deal maths'!$AA$1:$AA$1000,$N172))</f>
        <v/>
      </c>
      <c r="K172" s="94" t="str">
        <f>IF($N172="","",INDEX('Deal maths'!$AG$1:$AG$1000,$N172))</f>
        <v/>
      </c>
      <c r="L172" s="95" t="str">
        <f>IF($N172="","",INDEX('Loan maths'!$P$1:$P$1000,$N172))</f>
        <v/>
      </c>
      <c r="M172" s="92" t="str">
        <f>IF($N172="","",N(G172)*N(H172))</f>
        <v/>
      </c>
      <c r="N172" s="96" t="str">
        <f>IFERROR(MATCH(SMALL(LM_order,164),LM_order,0)+3,"")</f>
        <v/>
      </c>
    </row>
    <row r="173">
      <c r="B173" s="91" t="str">
        <f>IF($N173="","",INDEX('Loans'!$B$1:$B$1000,$N173)&amp;"")</f>
        <v/>
      </c>
      <c r="C173" s="91" t="str">
        <f>IF($N173="","",INDEX('Loans'!$A$1:$A$1000,$N173)&amp;"")</f>
        <v/>
      </c>
      <c r="D173" s="91" t="str">
        <f>IF($N173="","",INDEX('Loans'!$C$1:$C$1000,$N173)&amp;"")</f>
        <v/>
      </c>
      <c r="E173" s="91" t="str">
        <f>IF($N173="","",INDEX('Loan maths'!$C$1:$C$1000,$N173)&amp;"")</f>
        <v/>
      </c>
      <c r="F173" s="91" t="str">
        <f>IF($N173="","",INDEX('Loans'!$K$1:$K$1000,$N173)&amp;"")</f>
        <v/>
      </c>
      <c r="G173" s="92" t="str">
        <f>IF($N173="","",INDEX('Deal maths'!$Y$1:$Y$1000,$N173))</f>
        <v/>
      </c>
      <c r="H173" s="93" t="str">
        <f>IF($N173="","",INDEX('Deal maths'!$AB$1:$AB$1000,$N173))</f>
        <v/>
      </c>
      <c r="I173" s="94" t="str">
        <f>IF($N173="","",INDEX('Deal maths'!$Z$1:$Z$1000,$N173))</f>
        <v/>
      </c>
      <c r="J173" s="94" t="str">
        <f>IF($N173="","",INDEX('Deal maths'!$AA$1:$AA$1000,$N173))</f>
        <v/>
      </c>
      <c r="K173" s="94" t="str">
        <f>IF($N173="","",INDEX('Deal maths'!$AG$1:$AG$1000,$N173))</f>
        <v/>
      </c>
      <c r="L173" s="95" t="str">
        <f>IF($N173="","",INDEX('Loan maths'!$P$1:$P$1000,$N173))</f>
        <v/>
      </c>
      <c r="M173" s="92" t="str">
        <f>IF($N173="","",N(G173)*N(H173))</f>
        <v/>
      </c>
      <c r="N173" s="96" t="str">
        <f>IFERROR(MATCH(SMALL(LM_order,165),LM_order,0)+3,"")</f>
        <v/>
      </c>
    </row>
    <row r="174">
      <c r="B174" s="91" t="str">
        <f>IF($N174="","",INDEX('Loans'!$B$1:$B$1000,$N174)&amp;"")</f>
        <v/>
      </c>
      <c r="C174" s="91" t="str">
        <f>IF($N174="","",INDEX('Loans'!$A$1:$A$1000,$N174)&amp;"")</f>
        <v/>
      </c>
      <c r="D174" s="91" t="str">
        <f>IF($N174="","",INDEX('Loans'!$C$1:$C$1000,$N174)&amp;"")</f>
        <v/>
      </c>
      <c r="E174" s="91" t="str">
        <f>IF($N174="","",INDEX('Loan maths'!$C$1:$C$1000,$N174)&amp;"")</f>
        <v/>
      </c>
      <c r="F174" s="91" t="str">
        <f>IF($N174="","",INDEX('Loans'!$K$1:$K$1000,$N174)&amp;"")</f>
        <v/>
      </c>
      <c r="G174" s="92" t="str">
        <f>IF($N174="","",INDEX('Deal maths'!$Y$1:$Y$1000,$N174))</f>
        <v/>
      </c>
      <c r="H174" s="93" t="str">
        <f>IF($N174="","",INDEX('Deal maths'!$AB$1:$AB$1000,$N174))</f>
        <v/>
      </c>
      <c r="I174" s="94" t="str">
        <f>IF($N174="","",INDEX('Deal maths'!$Z$1:$Z$1000,$N174))</f>
        <v/>
      </c>
      <c r="J174" s="94" t="str">
        <f>IF($N174="","",INDEX('Deal maths'!$AA$1:$AA$1000,$N174))</f>
        <v/>
      </c>
      <c r="K174" s="94" t="str">
        <f>IF($N174="","",INDEX('Deal maths'!$AG$1:$AG$1000,$N174))</f>
        <v/>
      </c>
      <c r="L174" s="95" t="str">
        <f>IF($N174="","",INDEX('Loan maths'!$P$1:$P$1000,$N174))</f>
        <v/>
      </c>
      <c r="M174" s="92" t="str">
        <f>IF($N174="","",N(G174)*N(H174))</f>
        <v/>
      </c>
      <c r="N174" s="96" t="str">
        <f>IFERROR(MATCH(SMALL(LM_order,166),LM_order,0)+3,"")</f>
        <v/>
      </c>
    </row>
    <row r="175">
      <c r="B175" s="91" t="str">
        <f>IF($N175="","",INDEX('Loans'!$B$1:$B$1000,$N175)&amp;"")</f>
        <v/>
      </c>
      <c r="C175" s="91" t="str">
        <f>IF($N175="","",INDEX('Loans'!$A$1:$A$1000,$N175)&amp;"")</f>
        <v/>
      </c>
      <c r="D175" s="91" t="str">
        <f>IF($N175="","",INDEX('Loans'!$C$1:$C$1000,$N175)&amp;"")</f>
        <v/>
      </c>
      <c r="E175" s="91" t="str">
        <f>IF($N175="","",INDEX('Loan maths'!$C$1:$C$1000,$N175)&amp;"")</f>
        <v/>
      </c>
      <c r="F175" s="91" t="str">
        <f>IF($N175="","",INDEX('Loans'!$K$1:$K$1000,$N175)&amp;"")</f>
        <v/>
      </c>
      <c r="G175" s="92" t="str">
        <f>IF($N175="","",INDEX('Deal maths'!$Y$1:$Y$1000,$N175))</f>
        <v/>
      </c>
      <c r="H175" s="93" t="str">
        <f>IF($N175="","",INDEX('Deal maths'!$AB$1:$AB$1000,$N175))</f>
        <v/>
      </c>
      <c r="I175" s="94" t="str">
        <f>IF($N175="","",INDEX('Deal maths'!$Z$1:$Z$1000,$N175))</f>
        <v/>
      </c>
      <c r="J175" s="94" t="str">
        <f>IF($N175="","",INDEX('Deal maths'!$AA$1:$AA$1000,$N175))</f>
        <v/>
      </c>
      <c r="K175" s="94" t="str">
        <f>IF($N175="","",INDEX('Deal maths'!$AG$1:$AG$1000,$N175))</f>
        <v/>
      </c>
      <c r="L175" s="95" t="str">
        <f>IF($N175="","",INDEX('Loan maths'!$P$1:$P$1000,$N175))</f>
        <v/>
      </c>
      <c r="M175" s="92" t="str">
        <f>IF($N175="","",N(G175)*N(H175))</f>
        <v/>
      </c>
      <c r="N175" s="96" t="str">
        <f>IFERROR(MATCH(SMALL(LM_order,167),LM_order,0)+3,"")</f>
        <v/>
      </c>
    </row>
    <row r="176">
      <c r="B176" s="91" t="str">
        <f>IF($N176="","",INDEX('Loans'!$B$1:$B$1000,$N176)&amp;"")</f>
        <v/>
      </c>
      <c r="C176" s="91" t="str">
        <f>IF($N176="","",INDEX('Loans'!$A$1:$A$1000,$N176)&amp;"")</f>
        <v/>
      </c>
      <c r="D176" s="91" t="str">
        <f>IF($N176="","",INDEX('Loans'!$C$1:$C$1000,$N176)&amp;"")</f>
        <v/>
      </c>
      <c r="E176" s="91" t="str">
        <f>IF($N176="","",INDEX('Loan maths'!$C$1:$C$1000,$N176)&amp;"")</f>
        <v/>
      </c>
      <c r="F176" s="91" t="str">
        <f>IF($N176="","",INDEX('Loans'!$K$1:$K$1000,$N176)&amp;"")</f>
        <v/>
      </c>
      <c r="G176" s="92" t="str">
        <f>IF($N176="","",INDEX('Deal maths'!$Y$1:$Y$1000,$N176))</f>
        <v/>
      </c>
      <c r="H176" s="93" t="str">
        <f>IF($N176="","",INDEX('Deal maths'!$AB$1:$AB$1000,$N176))</f>
        <v/>
      </c>
      <c r="I176" s="94" t="str">
        <f>IF($N176="","",INDEX('Deal maths'!$Z$1:$Z$1000,$N176))</f>
        <v/>
      </c>
      <c r="J176" s="94" t="str">
        <f>IF($N176="","",INDEX('Deal maths'!$AA$1:$AA$1000,$N176))</f>
        <v/>
      </c>
      <c r="K176" s="94" t="str">
        <f>IF($N176="","",INDEX('Deal maths'!$AG$1:$AG$1000,$N176))</f>
        <v/>
      </c>
      <c r="L176" s="95" t="str">
        <f>IF($N176="","",INDEX('Loan maths'!$P$1:$P$1000,$N176))</f>
        <v/>
      </c>
      <c r="M176" s="92" t="str">
        <f>IF($N176="","",N(G176)*N(H176))</f>
        <v/>
      </c>
      <c r="N176" s="96" t="str">
        <f>IFERROR(MATCH(SMALL(LM_order,168),LM_order,0)+3,"")</f>
        <v/>
      </c>
    </row>
    <row r="177">
      <c r="B177" s="91" t="str">
        <f>IF($N177="","",INDEX('Loans'!$B$1:$B$1000,$N177)&amp;"")</f>
        <v/>
      </c>
      <c r="C177" s="91" t="str">
        <f>IF($N177="","",INDEX('Loans'!$A$1:$A$1000,$N177)&amp;"")</f>
        <v/>
      </c>
      <c r="D177" s="91" t="str">
        <f>IF($N177="","",INDEX('Loans'!$C$1:$C$1000,$N177)&amp;"")</f>
        <v/>
      </c>
      <c r="E177" s="91" t="str">
        <f>IF($N177="","",INDEX('Loan maths'!$C$1:$C$1000,$N177)&amp;"")</f>
        <v/>
      </c>
      <c r="F177" s="91" t="str">
        <f>IF($N177="","",INDEX('Loans'!$K$1:$K$1000,$N177)&amp;"")</f>
        <v/>
      </c>
      <c r="G177" s="92" t="str">
        <f>IF($N177="","",INDEX('Deal maths'!$Y$1:$Y$1000,$N177))</f>
        <v/>
      </c>
      <c r="H177" s="93" t="str">
        <f>IF($N177="","",INDEX('Deal maths'!$AB$1:$AB$1000,$N177))</f>
        <v/>
      </c>
      <c r="I177" s="94" t="str">
        <f>IF($N177="","",INDEX('Deal maths'!$Z$1:$Z$1000,$N177))</f>
        <v/>
      </c>
      <c r="J177" s="94" t="str">
        <f>IF($N177="","",INDEX('Deal maths'!$AA$1:$AA$1000,$N177))</f>
        <v/>
      </c>
      <c r="K177" s="94" t="str">
        <f>IF($N177="","",INDEX('Deal maths'!$AG$1:$AG$1000,$N177))</f>
        <v/>
      </c>
      <c r="L177" s="95" t="str">
        <f>IF($N177="","",INDEX('Loan maths'!$P$1:$P$1000,$N177))</f>
        <v/>
      </c>
      <c r="M177" s="92" t="str">
        <f>IF($N177="","",N(G177)*N(H177))</f>
        <v/>
      </c>
      <c r="N177" s="96" t="str">
        <f>IFERROR(MATCH(SMALL(LM_order,169),LM_order,0)+3,"")</f>
        <v/>
      </c>
    </row>
    <row r="178">
      <c r="B178" s="91" t="str">
        <f>IF($N178="","",INDEX('Loans'!$B$1:$B$1000,$N178)&amp;"")</f>
        <v/>
      </c>
      <c r="C178" s="91" t="str">
        <f>IF($N178="","",INDEX('Loans'!$A$1:$A$1000,$N178)&amp;"")</f>
        <v/>
      </c>
      <c r="D178" s="91" t="str">
        <f>IF($N178="","",INDEX('Loans'!$C$1:$C$1000,$N178)&amp;"")</f>
        <v/>
      </c>
      <c r="E178" s="91" t="str">
        <f>IF($N178="","",INDEX('Loan maths'!$C$1:$C$1000,$N178)&amp;"")</f>
        <v/>
      </c>
      <c r="F178" s="91" t="str">
        <f>IF($N178="","",INDEX('Loans'!$K$1:$K$1000,$N178)&amp;"")</f>
        <v/>
      </c>
      <c r="G178" s="92" t="str">
        <f>IF($N178="","",INDEX('Deal maths'!$Y$1:$Y$1000,$N178))</f>
        <v/>
      </c>
      <c r="H178" s="93" t="str">
        <f>IF($N178="","",INDEX('Deal maths'!$AB$1:$AB$1000,$N178))</f>
        <v/>
      </c>
      <c r="I178" s="94" t="str">
        <f>IF($N178="","",INDEX('Deal maths'!$Z$1:$Z$1000,$N178))</f>
        <v/>
      </c>
      <c r="J178" s="94" t="str">
        <f>IF($N178="","",INDEX('Deal maths'!$AA$1:$AA$1000,$N178))</f>
        <v/>
      </c>
      <c r="K178" s="94" t="str">
        <f>IF($N178="","",INDEX('Deal maths'!$AG$1:$AG$1000,$N178))</f>
        <v/>
      </c>
      <c r="L178" s="95" t="str">
        <f>IF($N178="","",INDEX('Loan maths'!$P$1:$P$1000,$N178))</f>
        <v/>
      </c>
      <c r="M178" s="92" t="str">
        <f>IF($N178="","",N(G178)*N(H178))</f>
        <v/>
      </c>
      <c r="N178" s="96" t="str">
        <f>IFERROR(MATCH(SMALL(LM_order,170),LM_order,0)+3,"")</f>
        <v/>
      </c>
    </row>
    <row r="179">
      <c r="B179" s="91" t="str">
        <f>IF($N179="","",INDEX('Loans'!$B$1:$B$1000,$N179)&amp;"")</f>
        <v/>
      </c>
      <c r="C179" s="91" t="str">
        <f>IF($N179="","",INDEX('Loans'!$A$1:$A$1000,$N179)&amp;"")</f>
        <v/>
      </c>
      <c r="D179" s="91" t="str">
        <f>IF($N179="","",INDEX('Loans'!$C$1:$C$1000,$N179)&amp;"")</f>
        <v/>
      </c>
      <c r="E179" s="91" t="str">
        <f>IF($N179="","",INDEX('Loan maths'!$C$1:$C$1000,$N179)&amp;"")</f>
        <v/>
      </c>
      <c r="F179" s="91" t="str">
        <f>IF($N179="","",INDEX('Loans'!$K$1:$K$1000,$N179)&amp;"")</f>
        <v/>
      </c>
      <c r="G179" s="92" t="str">
        <f>IF($N179="","",INDEX('Deal maths'!$Y$1:$Y$1000,$N179))</f>
        <v/>
      </c>
      <c r="H179" s="93" t="str">
        <f>IF($N179="","",INDEX('Deal maths'!$AB$1:$AB$1000,$N179))</f>
        <v/>
      </c>
      <c r="I179" s="94" t="str">
        <f>IF($N179="","",INDEX('Deal maths'!$Z$1:$Z$1000,$N179))</f>
        <v/>
      </c>
      <c r="J179" s="94" t="str">
        <f>IF($N179="","",INDEX('Deal maths'!$AA$1:$AA$1000,$N179))</f>
        <v/>
      </c>
      <c r="K179" s="94" t="str">
        <f>IF($N179="","",INDEX('Deal maths'!$AG$1:$AG$1000,$N179))</f>
        <v/>
      </c>
      <c r="L179" s="95" t="str">
        <f>IF($N179="","",INDEX('Loan maths'!$P$1:$P$1000,$N179))</f>
        <v/>
      </c>
      <c r="M179" s="92" t="str">
        <f>IF($N179="","",N(G179)*N(H179))</f>
        <v/>
      </c>
      <c r="N179" s="96" t="str">
        <f>IFERROR(MATCH(SMALL(LM_order,171),LM_order,0)+3,"")</f>
        <v/>
      </c>
    </row>
    <row r="180">
      <c r="B180" s="91" t="str">
        <f>IF($N180="","",INDEX('Loans'!$B$1:$B$1000,$N180)&amp;"")</f>
        <v/>
      </c>
      <c r="C180" s="91" t="str">
        <f>IF($N180="","",INDEX('Loans'!$A$1:$A$1000,$N180)&amp;"")</f>
        <v/>
      </c>
      <c r="D180" s="91" t="str">
        <f>IF($N180="","",INDEX('Loans'!$C$1:$C$1000,$N180)&amp;"")</f>
        <v/>
      </c>
      <c r="E180" s="91" t="str">
        <f>IF($N180="","",INDEX('Loan maths'!$C$1:$C$1000,$N180)&amp;"")</f>
        <v/>
      </c>
      <c r="F180" s="91" t="str">
        <f>IF($N180="","",INDEX('Loans'!$K$1:$K$1000,$N180)&amp;"")</f>
        <v/>
      </c>
      <c r="G180" s="92" t="str">
        <f>IF($N180="","",INDEX('Deal maths'!$Y$1:$Y$1000,$N180))</f>
        <v/>
      </c>
      <c r="H180" s="93" t="str">
        <f>IF($N180="","",INDEX('Deal maths'!$AB$1:$AB$1000,$N180))</f>
        <v/>
      </c>
      <c r="I180" s="94" t="str">
        <f>IF($N180="","",INDEX('Deal maths'!$Z$1:$Z$1000,$N180))</f>
        <v/>
      </c>
      <c r="J180" s="94" t="str">
        <f>IF($N180="","",INDEX('Deal maths'!$AA$1:$AA$1000,$N180))</f>
        <v/>
      </c>
      <c r="K180" s="94" t="str">
        <f>IF($N180="","",INDEX('Deal maths'!$AG$1:$AG$1000,$N180))</f>
        <v/>
      </c>
      <c r="L180" s="95" t="str">
        <f>IF($N180="","",INDEX('Loan maths'!$P$1:$P$1000,$N180))</f>
        <v/>
      </c>
      <c r="M180" s="92" t="str">
        <f>IF($N180="","",N(G180)*N(H180))</f>
        <v/>
      </c>
      <c r="N180" s="96" t="str">
        <f>IFERROR(MATCH(SMALL(LM_order,172),LM_order,0)+3,"")</f>
        <v/>
      </c>
    </row>
    <row r="181">
      <c r="B181" s="91" t="str">
        <f>IF($N181="","",INDEX('Loans'!$B$1:$B$1000,$N181)&amp;"")</f>
        <v/>
      </c>
      <c r="C181" s="91" t="str">
        <f>IF($N181="","",INDEX('Loans'!$A$1:$A$1000,$N181)&amp;"")</f>
        <v/>
      </c>
      <c r="D181" s="91" t="str">
        <f>IF($N181="","",INDEX('Loans'!$C$1:$C$1000,$N181)&amp;"")</f>
        <v/>
      </c>
      <c r="E181" s="91" t="str">
        <f>IF($N181="","",INDEX('Loan maths'!$C$1:$C$1000,$N181)&amp;"")</f>
        <v/>
      </c>
      <c r="F181" s="91" t="str">
        <f>IF($N181="","",INDEX('Loans'!$K$1:$K$1000,$N181)&amp;"")</f>
        <v/>
      </c>
      <c r="G181" s="92" t="str">
        <f>IF($N181="","",INDEX('Deal maths'!$Y$1:$Y$1000,$N181))</f>
        <v/>
      </c>
      <c r="H181" s="93" t="str">
        <f>IF($N181="","",INDEX('Deal maths'!$AB$1:$AB$1000,$N181))</f>
        <v/>
      </c>
      <c r="I181" s="94" t="str">
        <f>IF($N181="","",INDEX('Deal maths'!$Z$1:$Z$1000,$N181))</f>
        <v/>
      </c>
      <c r="J181" s="94" t="str">
        <f>IF($N181="","",INDEX('Deal maths'!$AA$1:$AA$1000,$N181))</f>
        <v/>
      </c>
      <c r="K181" s="94" t="str">
        <f>IF($N181="","",INDEX('Deal maths'!$AG$1:$AG$1000,$N181))</f>
        <v/>
      </c>
      <c r="L181" s="95" t="str">
        <f>IF($N181="","",INDEX('Loan maths'!$P$1:$P$1000,$N181))</f>
        <v/>
      </c>
      <c r="M181" s="92" t="str">
        <f>IF($N181="","",N(G181)*N(H181))</f>
        <v/>
      </c>
      <c r="N181" s="96" t="str">
        <f>IFERROR(MATCH(SMALL(LM_order,173),LM_order,0)+3,"")</f>
        <v/>
      </c>
    </row>
    <row r="182">
      <c r="B182" s="91" t="str">
        <f>IF($N182="","",INDEX('Loans'!$B$1:$B$1000,$N182)&amp;"")</f>
        <v/>
      </c>
      <c r="C182" s="91" t="str">
        <f>IF($N182="","",INDEX('Loans'!$A$1:$A$1000,$N182)&amp;"")</f>
        <v/>
      </c>
      <c r="D182" s="91" t="str">
        <f>IF($N182="","",INDEX('Loans'!$C$1:$C$1000,$N182)&amp;"")</f>
        <v/>
      </c>
      <c r="E182" s="91" t="str">
        <f>IF($N182="","",INDEX('Loan maths'!$C$1:$C$1000,$N182)&amp;"")</f>
        <v/>
      </c>
      <c r="F182" s="91" t="str">
        <f>IF($N182="","",INDEX('Loans'!$K$1:$K$1000,$N182)&amp;"")</f>
        <v/>
      </c>
      <c r="G182" s="92" t="str">
        <f>IF($N182="","",INDEX('Deal maths'!$Y$1:$Y$1000,$N182))</f>
        <v/>
      </c>
      <c r="H182" s="93" t="str">
        <f>IF($N182="","",INDEX('Deal maths'!$AB$1:$AB$1000,$N182))</f>
        <v/>
      </c>
      <c r="I182" s="94" t="str">
        <f>IF($N182="","",INDEX('Deal maths'!$Z$1:$Z$1000,$N182))</f>
        <v/>
      </c>
      <c r="J182" s="94" t="str">
        <f>IF($N182="","",INDEX('Deal maths'!$AA$1:$AA$1000,$N182))</f>
        <v/>
      </c>
      <c r="K182" s="94" t="str">
        <f>IF($N182="","",INDEX('Deal maths'!$AG$1:$AG$1000,$N182))</f>
        <v/>
      </c>
      <c r="L182" s="95" t="str">
        <f>IF($N182="","",INDEX('Loan maths'!$P$1:$P$1000,$N182))</f>
        <v/>
      </c>
      <c r="M182" s="92" t="str">
        <f>IF($N182="","",N(G182)*N(H182))</f>
        <v/>
      </c>
      <c r="N182" s="96" t="str">
        <f>IFERROR(MATCH(SMALL(LM_order,174),LM_order,0)+3,"")</f>
        <v/>
      </c>
    </row>
    <row r="183">
      <c r="B183" s="91" t="str">
        <f>IF($N183="","",INDEX('Loans'!$B$1:$B$1000,$N183)&amp;"")</f>
        <v/>
      </c>
      <c r="C183" s="91" t="str">
        <f>IF($N183="","",INDEX('Loans'!$A$1:$A$1000,$N183)&amp;"")</f>
        <v/>
      </c>
      <c r="D183" s="91" t="str">
        <f>IF($N183="","",INDEX('Loans'!$C$1:$C$1000,$N183)&amp;"")</f>
        <v/>
      </c>
      <c r="E183" s="91" t="str">
        <f>IF($N183="","",INDEX('Loan maths'!$C$1:$C$1000,$N183)&amp;"")</f>
        <v/>
      </c>
      <c r="F183" s="91" t="str">
        <f>IF($N183="","",INDEX('Loans'!$K$1:$K$1000,$N183)&amp;"")</f>
        <v/>
      </c>
      <c r="G183" s="92" t="str">
        <f>IF($N183="","",INDEX('Deal maths'!$Y$1:$Y$1000,$N183))</f>
        <v/>
      </c>
      <c r="H183" s="93" t="str">
        <f>IF($N183="","",INDEX('Deal maths'!$AB$1:$AB$1000,$N183))</f>
        <v/>
      </c>
      <c r="I183" s="94" t="str">
        <f>IF($N183="","",INDEX('Deal maths'!$Z$1:$Z$1000,$N183))</f>
        <v/>
      </c>
      <c r="J183" s="94" t="str">
        <f>IF($N183="","",INDEX('Deal maths'!$AA$1:$AA$1000,$N183))</f>
        <v/>
      </c>
      <c r="K183" s="94" t="str">
        <f>IF($N183="","",INDEX('Deal maths'!$AG$1:$AG$1000,$N183))</f>
        <v/>
      </c>
      <c r="L183" s="95" t="str">
        <f>IF($N183="","",INDEX('Loan maths'!$P$1:$P$1000,$N183))</f>
        <v/>
      </c>
      <c r="M183" s="92" t="str">
        <f>IF($N183="","",N(G183)*N(H183))</f>
        <v/>
      </c>
      <c r="N183" s="96" t="str">
        <f>IFERROR(MATCH(SMALL(LM_order,175),LM_order,0)+3,"")</f>
        <v/>
      </c>
    </row>
    <row r="184">
      <c r="B184" s="91" t="str">
        <f>IF($N184="","",INDEX('Loans'!$B$1:$B$1000,$N184)&amp;"")</f>
        <v/>
      </c>
      <c r="C184" s="91" t="str">
        <f>IF($N184="","",INDEX('Loans'!$A$1:$A$1000,$N184)&amp;"")</f>
        <v/>
      </c>
      <c r="D184" s="91" t="str">
        <f>IF($N184="","",INDEX('Loans'!$C$1:$C$1000,$N184)&amp;"")</f>
        <v/>
      </c>
      <c r="E184" s="91" t="str">
        <f>IF($N184="","",INDEX('Loan maths'!$C$1:$C$1000,$N184)&amp;"")</f>
        <v/>
      </c>
      <c r="F184" s="91" t="str">
        <f>IF($N184="","",INDEX('Loans'!$K$1:$K$1000,$N184)&amp;"")</f>
        <v/>
      </c>
      <c r="G184" s="92" t="str">
        <f>IF($N184="","",INDEX('Deal maths'!$Y$1:$Y$1000,$N184))</f>
        <v/>
      </c>
      <c r="H184" s="93" t="str">
        <f>IF($N184="","",INDEX('Deal maths'!$AB$1:$AB$1000,$N184))</f>
        <v/>
      </c>
      <c r="I184" s="94" t="str">
        <f>IF($N184="","",INDEX('Deal maths'!$Z$1:$Z$1000,$N184))</f>
        <v/>
      </c>
      <c r="J184" s="94" t="str">
        <f>IF($N184="","",INDEX('Deal maths'!$AA$1:$AA$1000,$N184))</f>
        <v/>
      </c>
      <c r="K184" s="94" t="str">
        <f>IF($N184="","",INDEX('Deal maths'!$AG$1:$AG$1000,$N184))</f>
        <v/>
      </c>
      <c r="L184" s="95" t="str">
        <f>IF($N184="","",INDEX('Loan maths'!$P$1:$P$1000,$N184))</f>
        <v/>
      </c>
      <c r="M184" s="92" t="str">
        <f>IF($N184="","",N(G184)*N(H184))</f>
        <v/>
      </c>
      <c r="N184" s="96" t="str">
        <f>IFERROR(MATCH(SMALL(LM_order,176),LM_order,0)+3,"")</f>
        <v/>
      </c>
    </row>
    <row r="185">
      <c r="B185" s="91" t="str">
        <f>IF($N185="","",INDEX('Loans'!$B$1:$B$1000,$N185)&amp;"")</f>
        <v/>
      </c>
      <c r="C185" s="91" t="str">
        <f>IF($N185="","",INDEX('Loans'!$A$1:$A$1000,$N185)&amp;"")</f>
        <v/>
      </c>
      <c r="D185" s="91" t="str">
        <f>IF($N185="","",INDEX('Loans'!$C$1:$C$1000,$N185)&amp;"")</f>
        <v/>
      </c>
      <c r="E185" s="91" t="str">
        <f>IF($N185="","",INDEX('Loan maths'!$C$1:$C$1000,$N185)&amp;"")</f>
        <v/>
      </c>
      <c r="F185" s="91" t="str">
        <f>IF($N185="","",INDEX('Loans'!$K$1:$K$1000,$N185)&amp;"")</f>
        <v/>
      </c>
      <c r="G185" s="92" t="str">
        <f>IF($N185="","",INDEX('Deal maths'!$Y$1:$Y$1000,$N185))</f>
        <v/>
      </c>
      <c r="H185" s="93" t="str">
        <f>IF($N185="","",INDEX('Deal maths'!$AB$1:$AB$1000,$N185))</f>
        <v/>
      </c>
      <c r="I185" s="94" t="str">
        <f>IF($N185="","",INDEX('Deal maths'!$Z$1:$Z$1000,$N185))</f>
        <v/>
      </c>
      <c r="J185" s="94" t="str">
        <f>IF($N185="","",INDEX('Deal maths'!$AA$1:$AA$1000,$N185))</f>
        <v/>
      </c>
      <c r="K185" s="94" t="str">
        <f>IF($N185="","",INDEX('Deal maths'!$AG$1:$AG$1000,$N185))</f>
        <v/>
      </c>
      <c r="L185" s="95" t="str">
        <f>IF($N185="","",INDEX('Loan maths'!$P$1:$P$1000,$N185))</f>
        <v/>
      </c>
      <c r="M185" s="92" t="str">
        <f>IF($N185="","",N(G185)*N(H185))</f>
        <v/>
      </c>
      <c r="N185" s="96" t="str">
        <f>IFERROR(MATCH(SMALL(LM_order,177),LM_order,0)+3,"")</f>
        <v/>
      </c>
    </row>
    <row r="186">
      <c r="B186" s="91" t="str">
        <f>IF($N186="","",INDEX('Loans'!$B$1:$B$1000,$N186)&amp;"")</f>
        <v/>
      </c>
      <c r="C186" s="91" t="str">
        <f>IF($N186="","",INDEX('Loans'!$A$1:$A$1000,$N186)&amp;"")</f>
        <v/>
      </c>
      <c r="D186" s="91" t="str">
        <f>IF($N186="","",INDEX('Loans'!$C$1:$C$1000,$N186)&amp;"")</f>
        <v/>
      </c>
      <c r="E186" s="91" t="str">
        <f>IF($N186="","",INDEX('Loan maths'!$C$1:$C$1000,$N186)&amp;"")</f>
        <v/>
      </c>
      <c r="F186" s="91" t="str">
        <f>IF($N186="","",INDEX('Loans'!$K$1:$K$1000,$N186)&amp;"")</f>
        <v/>
      </c>
      <c r="G186" s="92" t="str">
        <f>IF($N186="","",INDEX('Deal maths'!$Y$1:$Y$1000,$N186))</f>
        <v/>
      </c>
      <c r="H186" s="93" t="str">
        <f>IF($N186="","",INDEX('Deal maths'!$AB$1:$AB$1000,$N186))</f>
        <v/>
      </c>
      <c r="I186" s="94" t="str">
        <f>IF($N186="","",INDEX('Deal maths'!$Z$1:$Z$1000,$N186))</f>
        <v/>
      </c>
      <c r="J186" s="94" t="str">
        <f>IF($N186="","",INDEX('Deal maths'!$AA$1:$AA$1000,$N186))</f>
        <v/>
      </c>
      <c r="K186" s="94" t="str">
        <f>IF($N186="","",INDEX('Deal maths'!$AG$1:$AG$1000,$N186))</f>
        <v/>
      </c>
      <c r="L186" s="95" t="str">
        <f>IF($N186="","",INDEX('Loan maths'!$P$1:$P$1000,$N186))</f>
        <v/>
      </c>
      <c r="M186" s="92" t="str">
        <f>IF($N186="","",N(G186)*N(H186))</f>
        <v/>
      </c>
      <c r="N186" s="96" t="str">
        <f>IFERROR(MATCH(SMALL(LM_order,178),LM_order,0)+3,"")</f>
        <v/>
      </c>
    </row>
    <row r="187">
      <c r="B187" s="91" t="str">
        <f>IF($N187="","",INDEX('Loans'!$B$1:$B$1000,$N187)&amp;"")</f>
        <v/>
      </c>
      <c r="C187" s="91" t="str">
        <f>IF($N187="","",INDEX('Loans'!$A$1:$A$1000,$N187)&amp;"")</f>
        <v/>
      </c>
      <c r="D187" s="91" t="str">
        <f>IF($N187="","",INDEX('Loans'!$C$1:$C$1000,$N187)&amp;"")</f>
        <v/>
      </c>
      <c r="E187" s="91" t="str">
        <f>IF($N187="","",INDEX('Loan maths'!$C$1:$C$1000,$N187)&amp;"")</f>
        <v/>
      </c>
      <c r="F187" s="91" t="str">
        <f>IF($N187="","",INDEX('Loans'!$K$1:$K$1000,$N187)&amp;"")</f>
        <v/>
      </c>
      <c r="G187" s="92" t="str">
        <f>IF($N187="","",INDEX('Deal maths'!$Y$1:$Y$1000,$N187))</f>
        <v/>
      </c>
      <c r="H187" s="93" t="str">
        <f>IF($N187="","",INDEX('Deal maths'!$AB$1:$AB$1000,$N187))</f>
        <v/>
      </c>
      <c r="I187" s="94" t="str">
        <f>IF($N187="","",INDEX('Deal maths'!$Z$1:$Z$1000,$N187))</f>
        <v/>
      </c>
      <c r="J187" s="94" t="str">
        <f>IF($N187="","",INDEX('Deal maths'!$AA$1:$AA$1000,$N187))</f>
        <v/>
      </c>
      <c r="K187" s="94" t="str">
        <f>IF($N187="","",INDEX('Deal maths'!$AG$1:$AG$1000,$N187))</f>
        <v/>
      </c>
      <c r="L187" s="95" t="str">
        <f>IF($N187="","",INDEX('Loan maths'!$P$1:$P$1000,$N187))</f>
        <v/>
      </c>
      <c r="M187" s="92" t="str">
        <f>IF($N187="","",N(G187)*N(H187))</f>
        <v/>
      </c>
      <c r="N187" s="96" t="str">
        <f>IFERROR(MATCH(SMALL(LM_order,179),LM_order,0)+3,"")</f>
        <v/>
      </c>
    </row>
    <row r="188">
      <c r="B188" s="91" t="str">
        <f>IF($N188="","",INDEX('Loans'!$B$1:$B$1000,$N188)&amp;"")</f>
        <v/>
      </c>
      <c r="C188" s="91" t="str">
        <f>IF($N188="","",INDEX('Loans'!$A$1:$A$1000,$N188)&amp;"")</f>
        <v/>
      </c>
      <c r="D188" s="91" t="str">
        <f>IF($N188="","",INDEX('Loans'!$C$1:$C$1000,$N188)&amp;"")</f>
        <v/>
      </c>
      <c r="E188" s="91" t="str">
        <f>IF($N188="","",INDEX('Loan maths'!$C$1:$C$1000,$N188)&amp;"")</f>
        <v/>
      </c>
      <c r="F188" s="91" t="str">
        <f>IF($N188="","",INDEX('Loans'!$K$1:$K$1000,$N188)&amp;"")</f>
        <v/>
      </c>
      <c r="G188" s="92" t="str">
        <f>IF($N188="","",INDEX('Deal maths'!$Y$1:$Y$1000,$N188))</f>
        <v/>
      </c>
      <c r="H188" s="93" t="str">
        <f>IF($N188="","",INDEX('Deal maths'!$AB$1:$AB$1000,$N188))</f>
        <v/>
      </c>
      <c r="I188" s="94" t="str">
        <f>IF($N188="","",INDEX('Deal maths'!$Z$1:$Z$1000,$N188))</f>
        <v/>
      </c>
      <c r="J188" s="94" t="str">
        <f>IF($N188="","",INDEX('Deal maths'!$AA$1:$AA$1000,$N188))</f>
        <v/>
      </c>
      <c r="K188" s="94" t="str">
        <f>IF($N188="","",INDEX('Deal maths'!$AG$1:$AG$1000,$N188))</f>
        <v/>
      </c>
      <c r="L188" s="95" t="str">
        <f>IF($N188="","",INDEX('Loan maths'!$P$1:$P$1000,$N188))</f>
        <v/>
      </c>
      <c r="M188" s="92" t="str">
        <f>IF($N188="","",N(G188)*N(H188))</f>
        <v/>
      </c>
      <c r="N188" s="96" t="str">
        <f>IFERROR(MATCH(SMALL(LM_order,180),LM_order,0)+3,"")</f>
        <v/>
      </c>
    </row>
    <row r="189">
      <c r="B189" s="91" t="str">
        <f>IF($N189="","",INDEX('Loans'!$B$1:$B$1000,$N189)&amp;"")</f>
        <v/>
      </c>
      <c r="C189" s="91" t="str">
        <f>IF($N189="","",INDEX('Loans'!$A$1:$A$1000,$N189)&amp;"")</f>
        <v/>
      </c>
      <c r="D189" s="91" t="str">
        <f>IF($N189="","",INDEX('Loans'!$C$1:$C$1000,$N189)&amp;"")</f>
        <v/>
      </c>
      <c r="E189" s="91" t="str">
        <f>IF($N189="","",INDEX('Loan maths'!$C$1:$C$1000,$N189)&amp;"")</f>
        <v/>
      </c>
      <c r="F189" s="91" t="str">
        <f>IF($N189="","",INDEX('Loans'!$K$1:$K$1000,$N189)&amp;"")</f>
        <v/>
      </c>
      <c r="G189" s="92" t="str">
        <f>IF($N189="","",INDEX('Deal maths'!$Y$1:$Y$1000,$N189))</f>
        <v/>
      </c>
      <c r="H189" s="93" t="str">
        <f>IF($N189="","",INDEX('Deal maths'!$AB$1:$AB$1000,$N189))</f>
        <v/>
      </c>
      <c r="I189" s="94" t="str">
        <f>IF($N189="","",INDEX('Deal maths'!$Z$1:$Z$1000,$N189))</f>
        <v/>
      </c>
      <c r="J189" s="94" t="str">
        <f>IF($N189="","",INDEX('Deal maths'!$AA$1:$AA$1000,$N189))</f>
        <v/>
      </c>
      <c r="K189" s="94" t="str">
        <f>IF($N189="","",INDEX('Deal maths'!$AG$1:$AG$1000,$N189))</f>
        <v/>
      </c>
      <c r="L189" s="95" t="str">
        <f>IF($N189="","",INDEX('Loan maths'!$P$1:$P$1000,$N189))</f>
        <v/>
      </c>
      <c r="M189" s="92" t="str">
        <f>IF($N189="","",N(G189)*N(H189))</f>
        <v/>
      </c>
      <c r="N189" s="96" t="str">
        <f>IFERROR(MATCH(SMALL(LM_order,181),LM_order,0)+3,"")</f>
        <v/>
      </c>
    </row>
    <row r="190">
      <c r="B190" s="91" t="str">
        <f>IF($N190="","",INDEX('Loans'!$B$1:$B$1000,$N190)&amp;"")</f>
        <v/>
      </c>
      <c r="C190" s="91" t="str">
        <f>IF($N190="","",INDEX('Loans'!$A$1:$A$1000,$N190)&amp;"")</f>
        <v/>
      </c>
      <c r="D190" s="91" t="str">
        <f>IF($N190="","",INDEX('Loans'!$C$1:$C$1000,$N190)&amp;"")</f>
        <v/>
      </c>
      <c r="E190" s="91" t="str">
        <f>IF($N190="","",INDEX('Loan maths'!$C$1:$C$1000,$N190)&amp;"")</f>
        <v/>
      </c>
      <c r="F190" s="91" t="str">
        <f>IF($N190="","",INDEX('Loans'!$K$1:$K$1000,$N190)&amp;"")</f>
        <v/>
      </c>
      <c r="G190" s="92" t="str">
        <f>IF($N190="","",INDEX('Deal maths'!$Y$1:$Y$1000,$N190))</f>
        <v/>
      </c>
      <c r="H190" s="93" t="str">
        <f>IF($N190="","",INDEX('Deal maths'!$AB$1:$AB$1000,$N190))</f>
        <v/>
      </c>
      <c r="I190" s="94" t="str">
        <f>IF($N190="","",INDEX('Deal maths'!$Z$1:$Z$1000,$N190))</f>
        <v/>
      </c>
      <c r="J190" s="94" t="str">
        <f>IF($N190="","",INDEX('Deal maths'!$AA$1:$AA$1000,$N190))</f>
        <v/>
      </c>
      <c r="K190" s="94" t="str">
        <f>IF($N190="","",INDEX('Deal maths'!$AG$1:$AG$1000,$N190))</f>
        <v/>
      </c>
      <c r="L190" s="95" t="str">
        <f>IF($N190="","",INDEX('Loan maths'!$P$1:$P$1000,$N190))</f>
        <v/>
      </c>
      <c r="M190" s="92" t="str">
        <f>IF($N190="","",N(G190)*N(H190))</f>
        <v/>
      </c>
      <c r="N190" s="96" t="str">
        <f>IFERROR(MATCH(SMALL(LM_order,182),LM_order,0)+3,"")</f>
        <v/>
      </c>
    </row>
    <row r="191">
      <c r="B191" s="91" t="str">
        <f>IF($N191="","",INDEX('Loans'!$B$1:$B$1000,$N191)&amp;"")</f>
        <v/>
      </c>
      <c r="C191" s="91" t="str">
        <f>IF($N191="","",INDEX('Loans'!$A$1:$A$1000,$N191)&amp;"")</f>
        <v/>
      </c>
      <c r="D191" s="91" t="str">
        <f>IF($N191="","",INDEX('Loans'!$C$1:$C$1000,$N191)&amp;"")</f>
        <v/>
      </c>
      <c r="E191" s="91" t="str">
        <f>IF($N191="","",INDEX('Loan maths'!$C$1:$C$1000,$N191)&amp;"")</f>
        <v/>
      </c>
      <c r="F191" s="91" t="str">
        <f>IF($N191="","",INDEX('Loans'!$K$1:$K$1000,$N191)&amp;"")</f>
        <v/>
      </c>
      <c r="G191" s="92" t="str">
        <f>IF($N191="","",INDEX('Deal maths'!$Y$1:$Y$1000,$N191))</f>
        <v/>
      </c>
      <c r="H191" s="93" t="str">
        <f>IF($N191="","",INDEX('Deal maths'!$AB$1:$AB$1000,$N191))</f>
        <v/>
      </c>
      <c r="I191" s="94" t="str">
        <f>IF($N191="","",INDEX('Deal maths'!$Z$1:$Z$1000,$N191))</f>
        <v/>
      </c>
      <c r="J191" s="94" t="str">
        <f>IF($N191="","",INDEX('Deal maths'!$AA$1:$AA$1000,$N191))</f>
        <v/>
      </c>
      <c r="K191" s="94" t="str">
        <f>IF($N191="","",INDEX('Deal maths'!$AG$1:$AG$1000,$N191))</f>
        <v/>
      </c>
      <c r="L191" s="95" t="str">
        <f>IF($N191="","",INDEX('Loan maths'!$P$1:$P$1000,$N191))</f>
        <v/>
      </c>
      <c r="M191" s="92" t="str">
        <f>IF($N191="","",N(G191)*N(H191))</f>
        <v/>
      </c>
      <c r="N191" s="96" t="str">
        <f>IFERROR(MATCH(SMALL(LM_order,183),LM_order,0)+3,"")</f>
        <v/>
      </c>
    </row>
    <row r="192">
      <c r="B192" s="91" t="str">
        <f>IF($N192="","",INDEX('Loans'!$B$1:$B$1000,$N192)&amp;"")</f>
        <v/>
      </c>
      <c r="C192" s="91" t="str">
        <f>IF($N192="","",INDEX('Loans'!$A$1:$A$1000,$N192)&amp;"")</f>
        <v/>
      </c>
      <c r="D192" s="91" t="str">
        <f>IF($N192="","",INDEX('Loans'!$C$1:$C$1000,$N192)&amp;"")</f>
        <v/>
      </c>
      <c r="E192" s="91" t="str">
        <f>IF($N192="","",INDEX('Loan maths'!$C$1:$C$1000,$N192)&amp;"")</f>
        <v/>
      </c>
      <c r="F192" s="91" t="str">
        <f>IF($N192="","",INDEX('Loans'!$K$1:$K$1000,$N192)&amp;"")</f>
        <v/>
      </c>
      <c r="G192" s="92" t="str">
        <f>IF($N192="","",INDEX('Deal maths'!$Y$1:$Y$1000,$N192))</f>
        <v/>
      </c>
      <c r="H192" s="93" t="str">
        <f>IF($N192="","",INDEX('Deal maths'!$AB$1:$AB$1000,$N192))</f>
        <v/>
      </c>
      <c r="I192" s="94" t="str">
        <f>IF($N192="","",INDEX('Deal maths'!$Z$1:$Z$1000,$N192))</f>
        <v/>
      </c>
      <c r="J192" s="94" t="str">
        <f>IF($N192="","",INDEX('Deal maths'!$AA$1:$AA$1000,$N192))</f>
        <v/>
      </c>
      <c r="K192" s="94" t="str">
        <f>IF($N192="","",INDEX('Deal maths'!$AG$1:$AG$1000,$N192))</f>
        <v/>
      </c>
      <c r="L192" s="95" t="str">
        <f>IF($N192="","",INDEX('Loan maths'!$P$1:$P$1000,$N192))</f>
        <v/>
      </c>
      <c r="M192" s="92" t="str">
        <f>IF($N192="","",N(G192)*N(H192))</f>
        <v/>
      </c>
      <c r="N192" s="96" t="str">
        <f>IFERROR(MATCH(SMALL(LM_order,184),LM_order,0)+3,"")</f>
        <v/>
      </c>
    </row>
    <row r="193">
      <c r="B193" s="91" t="str">
        <f>IF($N193="","",INDEX('Loans'!$B$1:$B$1000,$N193)&amp;"")</f>
        <v/>
      </c>
      <c r="C193" s="91" t="str">
        <f>IF($N193="","",INDEX('Loans'!$A$1:$A$1000,$N193)&amp;"")</f>
        <v/>
      </c>
      <c r="D193" s="91" t="str">
        <f>IF($N193="","",INDEX('Loans'!$C$1:$C$1000,$N193)&amp;"")</f>
        <v/>
      </c>
      <c r="E193" s="91" t="str">
        <f>IF($N193="","",INDEX('Loan maths'!$C$1:$C$1000,$N193)&amp;"")</f>
        <v/>
      </c>
      <c r="F193" s="91" t="str">
        <f>IF($N193="","",INDEX('Loans'!$K$1:$K$1000,$N193)&amp;"")</f>
        <v/>
      </c>
      <c r="G193" s="92" t="str">
        <f>IF($N193="","",INDEX('Deal maths'!$Y$1:$Y$1000,$N193))</f>
        <v/>
      </c>
      <c r="H193" s="93" t="str">
        <f>IF($N193="","",INDEX('Deal maths'!$AB$1:$AB$1000,$N193))</f>
        <v/>
      </c>
      <c r="I193" s="94" t="str">
        <f>IF($N193="","",INDEX('Deal maths'!$Z$1:$Z$1000,$N193))</f>
        <v/>
      </c>
      <c r="J193" s="94" t="str">
        <f>IF($N193="","",INDEX('Deal maths'!$AA$1:$AA$1000,$N193))</f>
        <v/>
      </c>
      <c r="K193" s="94" t="str">
        <f>IF($N193="","",INDEX('Deal maths'!$AG$1:$AG$1000,$N193))</f>
        <v/>
      </c>
      <c r="L193" s="95" t="str">
        <f>IF($N193="","",INDEX('Loan maths'!$P$1:$P$1000,$N193))</f>
        <v/>
      </c>
      <c r="M193" s="92" t="str">
        <f>IF($N193="","",N(G193)*N(H193))</f>
        <v/>
      </c>
      <c r="N193" s="96" t="str">
        <f>IFERROR(MATCH(SMALL(LM_order,185),LM_order,0)+3,"")</f>
        <v/>
      </c>
    </row>
    <row r="194">
      <c r="B194" s="91" t="str">
        <f>IF($N194="","",INDEX('Loans'!$B$1:$B$1000,$N194)&amp;"")</f>
        <v/>
      </c>
      <c r="C194" s="91" t="str">
        <f>IF($N194="","",INDEX('Loans'!$A$1:$A$1000,$N194)&amp;"")</f>
        <v/>
      </c>
      <c r="D194" s="91" t="str">
        <f>IF($N194="","",INDEX('Loans'!$C$1:$C$1000,$N194)&amp;"")</f>
        <v/>
      </c>
      <c r="E194" s="91" t="str">
        <f>IF($N194="","",INDEX('Loan maths'!$C$1:$C$1000,$N194)&amp;"")</f>
        <v/>
      </c>
      <c r="F194" s="91" t="str">
        <f>IF($N194="","",INDEX('Loans'!$K$1:$K$1000,$N194)&amp;"")</f>
        <v/>
      </c>
      <c r="G194" s="92" t="str">
        <f>IF($N194="","",INDEX('Deal maths'!$Y$1:$Y$1000,$N194))</f>
        <v/>
      </c>
      <c r="H194" s="93" t="str">
        <f>IF($N194="","",INDEX('Deal maths'!$AB$1:$AB$1000,$N194))</f>
        <v/>
      </c>
      <c r="I194" s="94" t="str">
        <f>IF($N194="","",INDEX('Deal maths'!$Z$1:$Z$1000,$N194))</f>
        <v/>
      </c>
      <c r="J194" s="94" t="str">
        <f>IF($N194="","",INDEX('Deal maths'!$AA$1:$AA$1000,$N194))</f>
        <v/>
      </c>
      <c r="K194" s="94" t="str">
        <f>IF($N194="","",INDEX('Deal maths'!$AG$1:$AG$1000,$N194))</f>
        <v/>
      </c>
      <c r="L194" s="95" t="str">
        <f>IF($N194="","",INDEX('Loan maths'!$P$1:$P$1000,$N194))</f>
        <v/>
      </c>
      <c r="M194" s="92" t="str">
        <f>IF($N194="","",N(G194)*N(H194))</f>
        <v/>
      </c>
      <c r="N194" s="96" t="str">
        <f>IFERROR(MATCH(SMALL(LM_order,186),LM_order,0)+3,"")</f>
        <v/>
      </c>
    </row>
    <row r="195">
      <c r="B195" s="91" t="str">
        <f>IF($N195="","",INDEX('Loans'!$B$1:$B$1000,$N195)&amp;"")</f>
        <v/>
      </c>
      <c r="C195" s="91" t="str">
        <f>IF($N195="","",INDEX('Loans'!$A$1:$A$1000,$N195)&amp;"")</f>
        <v/>
      </c>
      <c r="D195" s="91" t="str">
        <f>IF($N195="","",INDEX('Loans'!$C$1:$C$1000,$N195)&amp;"")</f>
        <v/>
      </c>
      <c r="E195" s="91" t="str">
        <f>IF($N195="","",INDEX('Loan maths'!$C$1:$C$1000,$N195)&amp;"")</f>
        <v/>
      </c>
      <c r="F195" s="91" t="str">
        <f>IF($N195="","",INDEX('Loans'!$K$1:$K$1000,$N195)&amp;"")</f>
        <v/>
      </c>
      <c r="G195" s="92" t="str">
        <f>IF($N195="","",INDEX('Deal maths'!$Y$1:$Y$1000,$N195))</f>
        <v/>
      </c>
      <c r="H195" s="93" t="str">
        <f>IF($N195="","",INDEX('Deal maths'!$AB$1:$AB$1000,$N195))</f>
        <v/>
      </c>
      <c r="I195" s="94" t="str">
        <f>IF($N195="","",INDEX('Deal maths'!$Z$1:$Z$1000,$N195))</f>
        <v/>
      </c>
      <c r="J195" s="94" t="str">
        <f>IF($N195="","",INDEX('Deal maths'!$AA$1:$AA$1000,$N195))</f>
        <v/>
      </c>
      <c r="K195" s="94" t="str">
        <f>IF($N195="","",INDEX('Deal maths'!$AG$1:$AG$1000,$N195))</f>
        <v/>
      </c>
      <c r="L195" s="95" t="str">
        <f>IF($N195="","",INDEX('Loan maths'!$P$1:$P$1000,$N195))</f>
        <v/>
      </c>
      <c r="M195" s="92" t="str">
        <f>IF($N195="","",N(G195)*N(H195))</f>
        <v/>
      </c>
      <c r="N195" s="96" t="str">
        <f>IFERROR(MATCH(SMALL(LM_order,187),LM_order,0)+3,"")</f>
        <v/>
      </c>
    </row>
    <row r="196">
      <c r="B196" s="91" t="str">
        <f>IF($N196="","",INDEX('Loans'!$B$1:$B$1000,$N196)&amp;"")</f>
        <v/>
      </c>
      <c r="C196" s="91" t="str">
        <f>IF($N196="","",INDEX('Loans'!$A$1:$A$1000,$N196)&amp;"")</f>
        <v/>
      </c>
      <c r="D196" s="91" t="str">
        <f>IF($N196="","",INDEX('Loans'!$C$1:$C$1000,$N196)&amp;"")</f>
        <v/>
      </c>
      <c r="E196" s="91" t="str">
        <f>IF($N196="","",INDEX('Loan maths'!$C$1:$C$1000,$N196)&amp;"")</f>
        <v/>
      </c>
      <c r="F196" s="91" t="str">
        <f>IF($N196="","",INDEX('Loans'!$K$1:$K$1000,$N196)&amp;"")</f>
        <v/>
      </c>
      <c r="G196" s="92" t="str">
        <f>IF($N196="","",INDEX('Deal maths'!$Y$1:$Y$1000,$N196))</f>
        <v/>
      </c>
      <c r="H196" s="93" t="str">
        <f>IF($N196="","",INDEX('Deal maths'!$AB$1:$AB$1000,$N196))</f>
        <v/>
      </c>
      <c r="I196" s="94" t="str">
        <f>IF($N196="","",INDEX('Deal maths'!$Z$1:$Z$1000,$N196))</f>
        <v/>
      </c>
      <c r="J196" s="94" t="str">
        <f>IF($N196="","",INDEX('Deal maths'!$AA$1:$AA$1000,$N196))</f>
        <v/>
      </c>
      <c r="K196" s="94" t="str">
        <f>IF($N196="","",INDEX('Deal maths'!$AG$1:$AG$1000,$N196))</f>
        <v/>
      </c>
      <c r="L196" s="95" t="str">
        <f>IF($N196="","",INDEX('Loan maths'!$P$1:$P$1000,$N196))</f>
        <v/>
      </c>
      <c r="M196" s="92" t="str">
        <f>IF($N196="","",N(G196)*N(H196))</f>
        <v/>
      </c>
      <c r="N196" s="96" t="str">
        <f>IFERROR(MATCH(SMALL(LM_order,188),LM_order,0)+3,"")</f>
        <v/>
      </c>
    </row>
    <row r="197">
      <c r="B197" s="91" t="str">
        <f>IF($N197="","",INDEX('Loans'!$B$1:$B$1000,$N197)&amp;"")</f>
        <v/>
      </c>
      <c r="C197" s="91" t="str">
        <f>IF($N197="","",INDEX('Loans'!$A$1:$A$1000,$N197)&amp;"")</f>
        <v/>
      </c>
      <c r="D197" s="91" t="str">
        <f>IF($N197="","",INDEX('Loans'!$C$1:$C$1000,$N197)&amp;"")</f>
        <v/>
      </c>
      <c r="E197" s="91" t="str">
        <f>IF($N197="","",INDEX('Loan maths'!$C$1:$C$1000,$N197)&amp;"")</f>
        <v/>
      </c>
      <c r="F197" s="91" t="str">
        <f>IF($N197="","",INDEX('Loans'!$K$1:$K$1000,$N197)&amp;"")</f>
        <v/>
      </c>
      <c r="G197" s="92" t="str">
        <f>IF($N197="","",INDEX('Deal maths'!$Y$1:$Y$1000,$N197))</f>
        <v/>
      </c>
      <c r="H197" s="93" t="str">
        <f>IF($N197="","",INDEX('Deal maths'!$AB$1:$AB$1000,$N197))</f>
        <v/>
      </c>
      <c r="I197" s="94" t="str">
        <f>IF($N197="","",INDEX('Deal maths'!$Z$1:$Z$1000,$N197))</f>
        <v/>
      </c>
      <c r="J197" s="94" t="str">
        <f>IF($N197="","",INDEX('Deal maths'!$AA$1:$AA$1000,$N197))</f>
        <v/>
      </c>
      <c r="K197" s="94" t="str">
        <f>IF($N197="","",INDEX('Deal maths'!$AG$1:$AG$1000,$N197))</f>
        <v/>
      </c>
      <c r="L197" s="95" t="str">
        <f>IF($N197="","",INDEX('Loan maths'!$P$1:$P$1000,$N197))</f>
        <v/>
      </c>
      <c r="M197" s="92" t="str">
        <f>IF($N197="","",N(G197)*N(H197))</f>
        <v/>
      </c>
      <c r="N197" s="96" t="str">
        <f>IFERROR(MATCH(SMALL(LM_order,189),LM_order,0)+3,"")</f>
        <v/>
      </c>
    </row>
    <row r="198">
      <c r="B198" s="91" t="str">
        <f>IF($N198="","",INDEX('Loans'!$B$1:$B$1000,$N198)&amp;"")</f>
        <v/>
      </c>
      <c r="C198" s="91" t="str">
        <f>IF($N198="","",INDEX('Loans'!$A$1:$A$1000,$N198)&amp;"")</f>
        <v/>
      </c>
      <c r="D198" s="91" t="str">
        <f>IF($N198="","",INDEX('Loans'!$C$1:$C$1000,$N198)&amp;"")</f>
        <v/>
      </c>
      <c r="E198" s="91" t="str">
        <f>IF($N198="","",INDEX('Loan maths'!$C$1:$C$1000,$N198)&amp;"")</f>
        <v/>
      </c>
      <c r="F198" s="91" t="str">
        <f>IF($N198="","",INDEX('Loans'!$K$1:$K$1000,$N198)&amp;"")</f>
        <v/>
      </c>
      <c r="G198" s="92" t="str">
        <f>IF($N198="","",INDEX('Deal maths'!$Y$1:$Y$1000,$N198))</f>
        <v/>
      </c>
      <c r="H198" s="93" t="str">
        <f>IF($N198="","",INDEX('Deal maths'!$AB$1:$AB$1000,$N198))</f>
        <v/>
      </c>
      <c r="I198" s="94" t="str">
        <f>IF($N198="","",INDEX('Deal maths'!$Z$1:$Z$1000,$N198))</f>
        <v/>
      </c>
      <c r="J198" s="94" t="str">
        <f>IF($N198="","",INDEX('Deal maths'!$AA$1:$AA$1000,$N198))</f>
        <v/>
      </c>
      <c r="K198" s="94" t="str">
        <f>IF($N198="","",INDEX('Deal maths'!$AG$1:$AG$1000,$N198))</f>
        <v/>
      </c>
      <c r="L198" s="95" t="str">
        <f>IF($N198="","",INDEX('Loan maths'!$P$1:$P$1000,$N198))</f>
        <v/>
      </c>
      <c r="M198" s="92" t="str">
        <f>IF($N198="","",N(G198)*N(H198))</f>
        <v/>
      </c>
      <c r="N198" s="96" t="str">
        <f>IFERROR(MATCH(SMALL(LM_order,190),LM_order,0)+3,"")</f>
        <v/>
      </c>
    </row>
    <row r="199">
      <c r="B199" s="91" t="str">
        <f>IF($N199="","",INDEX('Loans'!$B$1:$B$1000,$N199)&amp;"")</f>
        <v/>
      </c>
      <c r="C199" s="91" t="str">
        <f>IF($N199="","",INDEX('Loans'!$A$1:$A$1000,$N199)&amp;"")</f>
        <v/>
      </c>
      <c r="D199" s="91" t="str">
        <f>IF($N199="","",INDEX('Loans'!$C$1:$C$1000,$N199)&amp;"")</f>
        <v/>
      </c>
      <c r="E199" s="91" t="str">
        <f>IF($N199="","",INDEX('Loan maths'!$C$1:$C$1000,$N199)&amp;"")</f>
        <v/>
      </c>
      <c r="F199" s="91" t="str">
        <f>IF($N199="","",INDEX('Loans'!$K$1:$K$1000,$N199)&amp;"")</f>
        <v/>
      </c>
      <c r="G199" s="92" t="str">
        <f>IF($N199="","",INDEX('Deal maths'!$Y$1:$Y$1000,$N199))</f>
        <v/>
      </c>
      <c r="H199" s="93" t="str">
        <f>IF($N199="","",INDEX('Deal maths'!$AB$1:$AB$1000,$N199))</f>
        <v/>
      </c>
      <c r="I199" s="94" t="str">
        <f>IF($N199="","",INDEX('Deal maths'!$Z$1:$Z$1000,$N199))</f>
        <v/>
      </c>
      <c r="J199" s="94" t="str">
        <f>IF($N199="","",INDEX('Deal maths'!$AA$1:$AA$1000,$N199))</f>
        <v/>
      </c>
      <c r="K199" s="94" t="str">
        <f>IF($N199="","",INDEX('Deal maths'!$AG$1:$AG$1000,$N199))</f>
        <v/>
      </c>
      <c r="L199" s="95" t="str">
        <f>IF($N199="","",INDEX('Loan maths'!$P$1:$P$1000,$N199))</f>
        <v/>
      </c>
      <c r="M199" s="92" t="str">
        <f>IF($N199="","",N(G199)*N(H199))</f>
        <v/>
      </c>
      <c r="N199" s="96" t="str">
        <f>IFERROR(MATCH(SMALL(LM_order,191),LM_order,0)+3,"")</f>
        <v/>
      </c>
    </row>
    <row r="200">
      <c r="B200" s="91" t="str">
        <f>IF($N200="","",INDEX('Loans'!$B$1:$B$1000,$N200)&amp;"")</f>
        <v/>
      </c>
      <c r="C200" s="91" t="str">
        <f>IF($N200="","",INDEX('Loans'!$A$1:$A$1000,$N200)&amp;"")</f>
        <v/>
      </c>
      <c r="D200" s="91" t="str">
        <f>IF($N200="","",INDEX('Loans'!$C$1:$C$1000,$N200)&amp;"")</f>
        <v/>
      </c>
      <c r="E200" s="91" t="str">
        <f>IF($N200="","",INDEX('Loan maths'!$C$1:$C$1000,$N200)&amp;"")</f>
        <v/>
      </c>
      <c r="F200" s="91" t="str">
        <f>IF($N200="","",INDEX('Loans'!$K$1:$K$1000,$N200)&amp;"")</f>
        <v/>
      </c>
      <c r="G200" s="92" t="str">
        <f>IF($N200="","",INDEX('Deal maths'!$Y$1:$Y$1000,$N200))</f>
        <v/>
      </c>
      <c r="H200" s="93" t="str">
        <f>IF($N200="","",INDEX('Deal maths'!$AB$1:$AB$1000,$N200))</f>
        <v/>
      </c>
      <c r="I200" s="94" t="str">
        <f>IF($N200="","",INDEX('Deal maths'!$Z$1:$Z$1000,$N200))</f>
        <v/>
      </c>
      <c r="J200" s="94" t="str">
        <f>IF($N200="","",INDEX('Deal maths'!$AA$1:$AA$1000,$N200))</f>
        <v/>
      </c>
      <c r="K200" s="94" t="str">
        <f>IF($N200="","",INDEX('Deal maths'!$AG$1:$AG$1000,$N200))</f>
        <v/>
      </c>
      <c r="L200" s="95" t="str">
        <f>IF($N200="","",INDEX('Loan maths'!$P$1:$P$1000,$N200))</f>
        <v/>
      </c>
      <c r="M200" s="92" t="str">
        <f>IF($N200="","",N(G200)*N(H200))</f>
        <v/>
      </c>
      <c r="N200" s="96" t="str">
        <f>IFERROR(MATCH(SMALL(LM_order,192),LM_order,0)+3,"")</f>
        <v/>
      </c>
    </row>
    <row r="201">
      <c r="B201" s="91" t="str">
        <f>IF($N201="","",INDEX('Loans'!$B$1:$B$1000,$N201)&amp;"")</f>
        <v/>
      </c>
      <c r="C201" s="91" t="str">
        <f>IF($N201="","",INDEX('Loans'!$A$1:$A$1000,$N201)&amp;"")</f>
        <v/>
      </c>
      <c r="D201" s="91" t="str">
        <f>IF($N201="","",INDEX('Loans'!$C$1:$C$1000,$N201)&amp;"")</f>
        <v/>
      </c>
      <c r="E201" s="91" t="str">
        <f>IF($N201="","",INDEX('Loan maths'!$C$1:$C$1000,$N201)&amp;"")</f>
        <v/>
      </c>
      <c r="F201" s="91" t="str">
        <f>IF($N201="","",INDEX('Loans'!$K$1:$K$1000,$N201)&amp;"")</f>
        <v/>
      </c>
      <c r="G201" s="92" t="str">
        <f>IF($N201="","",INDEX('Deal maths'!$Y$1:$Y$1000,$N201))</f>
        <v/>
      </c>
      <c r="H201" s="93" t="str">
        <f>IF($N201="","",INDEX('Deal maths'!$AB$1:$AB$1000,$N201))</f>
        <v/>
      </c>
      <c r="I201" s="94" t="str">
        <f>IF($N201="","",INDEX('Deal maths'!$Z$1:$Z$1000,$N201))</f>
        <v/>
      </c>
      <c r="J201" s="94" t="str">
        <f>IF($N201="","",INDEX('Deal maths'!$AA$1:$AA$1000,$N201))</f>
        <v/>
      </c>
      <c r="K201" s="94" t="str">
        <f>IF($N201="","",INDEX('Deal maths'!$AG$1:$AG$1000,$N201))</f>
        <v/>
      </c>
      <c r="L201" s="95" t="str">
        <f>IF($N201="","",INDEX('Loan maths'!$P$1:$P$1000,$N201))</f>
        <v/>
      </c>
      <c r="M201" s="92" t="str">
        <f>IF($N201="","",N(G201)*N(H201))</f>
        <v/>
      </c>
      <c r="N201" s="96" t="str">
        <f>IFERROR(MATCH(SMALL(LM_order,193),LM_order,0)+3,"")</f>
        <v/>
      </c>
    </row>
    <row r="202">
      <c r="B202" s="91" t="str">
        <f>IF($N202="","",INDEX('Loans'!$B$1:$B$1000,$N202)&amp;"")</f>
        <v/>
      </c>
      <c r="C202" s="91" t="str">
        <f>IF($N202="","",INDEX('Loans'!$A$1:$A$1000,$N202)&amp;"")</f>
        <v/>
      </c>
      <c r="D202" s="91" t="str">
        <f>IF($N202="","",INDEX('Loans'!$C$1:$C$1000,$N202)&amp;"")</f>
        <v/>
      </c>
      <c r="E202" s="91" t="str">
        <f>IF($N202="","",INDEX('Loan maths'!$C$1:$C$1000,$N202)&amp;"")</f>
        <v/>
      </c>
      <c r="F202" s="91" t="str">
        <f>IF($N202="","",INDEX('Loans'!$K$1:$K$1000,$N202)&amp;"")</f>
        <v/>
      </c>
      <c r="G202" s="92" t="str">
        <f>IF($N202="","",INDEX('Deal maths'!$Y$1:$Y$1000,$N202))</f>
        <v/>
      </c>
      <c r="H202" s="93" t="str">
        <f>IF($N202="","",INDEX('Deal maths'!$AB$1:$AB$1000,$N202))</f>
        <v/>
      </c>
      <c r="I202" s="94" t="str">
        <f>IF($N202="","",INDEX('Deal maths'!$Z$1:$Z$1000,$N202))</f>
        <v/>
      </c>
      <c r="J202" s="94" t="str">
        <f>IF($N202="","",INDEX('Deal maths'!$AA$1:$AA$1000,$N202))</f>
        <v/>
      </c>
      <c r="K202" s="94" t="str">
        <f>IF($N202="","",INDEX('Deal maths'!$AG$1:$AG$1000,$N202))</f>
        <v/>
      </c>
      <c r="L202" s="95" t="str">
        <f>IF($N202="","",INDEX('Loan maths'!$P$1:$P$1000,$N202))</f>
        <v/>
      </c>
      <c r="M202" s="92" t="str">
        <f>IF($N202="","",N(G202)*N(H202))</f>
        <v/>
      </c>
      <c r="N202" s="96" t="str">
        <f>IFERROR(MATCH(SMALL(LM_order,194),LM_order,0)+3,"")</f>
        <v/>
      </c>
    </row>
    <row r="203">
      <c r="B203" s="91" t="str">
        <f>IF($N203="","",INDEX('Loans'!$B$1:$B$1000,$N203)&amp;"")</f>
        <v/>
      </c>
      <c r="C203" s="91" t="str">
        <f>IF($N203="","",INDEX('Loans'!$A$1:$A$1000,$N203)&amp;"")</f>
        <v/>
      </c>
      <c r="D203" s="91" t="str">
        <f>IF($N203="","",INDEX('Loans'!$C$1:$C$1000,$N203)&amp;"")</f>
        <v/>
      </c>
      <c r="E203" s="91" t="str">
        <f>IF($N203="","",INDEX('Loan maths'!$C$1:$C$1000,$N203)&amp;"")</f>
        <v/>
      </c>
      <c r="F203" s="91" t="str">
        <f>IF($N203="","",INDEX('Loans'!$K$1:$K$1000,$N203)&amp;"")</f>
        <v/>
      </c>
      <c r="G203" s="92" t="str">
        <f>IF($N203="","",INDEX('Deal maths'!$Y$1:$Y$1000,$N203))</f>
        <v/>
      </c>
      <c r="H203" s="93" t="str">
        <f>IF($N203="","",INDEX('Deal maths'!$AB$1:$AB$1000,$N203))</f>
        <v/>
      </c>
      <c r="I203" s="94" t="str">
        <f>IF($N203="","",INDEX('Deal maths'!$Z$1:$Z$1000,$N203))</f>
        <v/>
      </c>
      <c r="J203" s="94" t="str">
        <f>IF($N203="","",INDEX('Deal maths'!$AA$1:$AA$1000,$N203))</f>
        <v/>
      </c>
      <c r="K203" s="94" t="str">
        <f>IF($N203="","",INDEX('Deal maths'!$AG$1:$AG$1000,$N203))</f>
        <v/>
      </c>
      <c r="L203" s="95" t="str">
        <f>IF($N203="","",INDEX('Loan maths'!$P$1:$P$1000,$N203))</f>
        <v/>
      </c>
      <c r="M203" s="92" t="str">
        <f>IF($N203="","",N(G203)*N(H203))</f>
        <v/>
      </c>
      <c r="N203" s="96" t="str">
        <f>IFERROR(MATCH(SMALL(LM_order,195),LM_order,0)+3,"")</f>
        <v/>
      </c>
    </row>
    <row r="204">
      <c r="B204" s="91" t="str">
        <f>IF($N204="","",INDEX('Loans'!$B$1:$B$1000,$N204)&amp;"")</f>
        <v/>
      </c>
      <c r="C204" s="91" t="str">
        <f>IF($N204="","",INDEX('Loans'!$A$1:$A$1000,$N204)&amp;"")</f>
        <v/>
      </c>
      <c r="D204" s="91" t="str">
        <f>IF($N204="","",INDEX('Loans'!$C$1:$C$1000,$N204)&amp;"")</f>
        <v/>
      </c>
      <c r="E204" s="91" t="str">
        <f>IF($N204="","",INDEX('Loan maths'!$C$1:$C$1000,$N204)&amp;"")</f>
        <v/>
      </c>
      <c r="F204" s="91" t="str">
        <f>IF($N204="","",INDEX('Loans'!$K$1:$K$1000,$N204)&amp;"")</f>
        <v/>
      </c>
      <c r="G204" s="92" t="str">
        <f>IF($N204="","",INDEX('Deal maths'!$Y$1:$Y$1000,$N204))</f>
        <v/>
      </c>
      <c r="H204" s="93" t="str">
        <f>IF($N204="","",INDEX('Deal maths'!$AB$1:$AB$1000,$N204))</f>
        <v/>
      </c>
      <c r="I204" s="94" t="str">
        <f>IF($N204="","",INDEX('Deal maths'!$Z$1:$Z$1000,$N204))</f>
        <v/>
      </c>
      <c r="J204" s="94" t="str">
        <f>IF($N204="","",INDEX('Deal maths'!$AA$1:$AA$1000,$N204))</f>
        <v/>
      </c>
      <c r="K204" s="94" t="str">
        <f>IF($N204="","",INDEX('Deal maths'!$AG$1:$AG$1000,$N204))</f>
        <v/>
      </c>
      <c r="L204" s="95" t="str">
        <f>IF($N204="","",INDEX('Loan maths'!$P$1:$P$1000,$N204))</f>
        <v/>
      </c>
      <c r="M204" s="92" t="str">
        <f>IF($N204="","",N(G204)*N(H204))</f>
        <v/>
      </c>
      <c r="N204" s="96" t="str">
        <f>IFERROR(MATCH(SMALL(LM_order,196),LM_order,0)+3,"")</f>
        <v/>
      </c>
    </row>
    <row r="205">
      <c r="B205" s="91" t="str">
        <f>IF($N205="","",INDEX('Loans'!$B$1:$B$1000,$N205)&amp;"")</f>
        <v/>
      </c>
      <c r="C205" s="91" t="str">
        <f>IF($N205="","",INDEX('Loans'!$A$1:$A$1000,$N205)&amp;"")</f>
        <v/>
      </c>
      <c r="D205" s="91" t="str">
        <f>IF($N205="","",INDEX('Loans'!$C$1:$C$1000,$N205)&amp;"")</f>
        <v/>
      </c>
      <c r="E205" s="91" t="str">
        <f>IF($N205="","",INDEX('Loan maths'!$C$1:$C$1000,$N205)&amp;"")</f>
        <v/>
      </c>
      <c r="F205" s="91" t="str">
        <f>IF($N205="","",INDEX('Loans'!$K$1:$K$1000,$N205)&amp;"")</f>
        <v/>
      </c>
      <c r="G205" s="92" t="str">
        <f>IF($N205="","",INDEX('Deal maths'!$Y$1:$Y$1000,$N205))</f>
        <v/>
      </c>
      <c r="H205" s="93" t="str">
        <f>IF($N205="","",INDEX('Deal maths'!$AB$1:$AB$1000,$N205))</f>
        <v/>
      </c>
      <c r="I205" s="94" t="str">
        <f>IF($N205="","",INDEX('Deal maths'!$Z$1:$Z$1000,$N205))</f>
        <v/>
      </c>
      <c r="J205" s="94" t="str">
        <f>IF($N205="","",INDEX('Deal maths'!$AA$1:$AA$1000,$N205))</f>
        <v/>
      </c>
      <c r="K205" s="94" t="str">
        <f>IF($N205="","",INDEX('Deal maths'!$AG$1:$AG$1000,$N205))</f>
        <v/>
      </c>
      <c r="L205" s="95" t="str">
        <f>IF($N205="","",INDEX('Loan maths'!$P$1:$P$1000,$N205))</f>
        <v/>
      </c>
      <c r="M205" s="92" t="str">
        <f>IF($N205="","",N(G205)*N(H205))</f>
        <v/>
      </c>
      <c r="N205" s="96" t="str">
        <f>IFERROR(MATCH(SMALL(LM_order,197),LM_order,0)+3,"")</f>
        <v/>
      </c>
    </row>
    <row r="206">
      <c r="B206" s="91" t="str">
        <f>IF($N206="","",INDEX('Loans'!$B$1:$B$1000,$N206)&amp;"")</f>
        <v/>
      </c>
      <c r="C206" s="91" t="str">
        <f>IF($N206="","",INDEX('Loans'!$A$1:$A$1000,$N206)&amp;"")</f>
        <v/>
      </c>
      <c r="D206" s="91" t="str">
        <f>IF($N206="","",INDEX('Loans'!$C$1:$C$1000,$N206)&amp;"")</f>
        <v/>
      </c>
      <c r="E206" s="91" t="str">
        <f>IF($N206="","",INDEX('Loan maths'!$C$1:$C$1000,$N206)&amp;"")</f>
        <v/>
      </c>
      <c r="F206" s="91" t="str">
        <f>IF($N206="","",INDEX('Loans'!$K$1:$K$1000,$N206)&amp;"")</f>
        <v/>
      </c>
      <c r="G206" s="92" t="str">
        <f>IF($N206="","",INDEX('Deal maths'!$Y$1:$Y$1000,$N206))</f>
        <v/>
      </c>
      <c r="H206" s="93" t="str">
        <f>IF($N206="","",INDEX('Deal maths'!$AB$1:$AB$1000,$N206))</f>
        <v/>
      </c>
      <c r="I206" s="94" t="str">
        <f>IF($N206="","",INDEX('Deal maths'!$Z$1:$Z$1000,$N206))</f>
        <v/>
      </c>
      <c r="J206" s="94" t="str">
        <f>IF($N206="","",INDEX('Deal maths'!$AA$1:$AA$1000,$N206))</f>
        <v/>
      </c>
      <c r="K206" s="94" t="str">
        <f>IF($N206="","",INDEX('Deal maths'!$AG$1:$AG$1000,$N206))</f>
        <v/>
      </c>
      <c r="L206" s="95" t="str">
        <f>IF($N206="","",INDEX('Loan maths'!$P$1:$P$1000,$N206))</f>
        <v/>
      </c>
      <c r="M206" s="92" t="str">
        <f>IF($N206="","",N(G206)*N(H206))</f>
        <v/>
      </c>
      <c r="N206" s="96" t="str">
        <f>IFERROR(MATCH(SMALL(LM_order,198),LM_order,0)+3,"")</f>
        <v/>
      </c>
    </row>
    <row r="207">
      <c r="B207" s="91" t="str">
        <f>IF($N207="","",INDEX('Loans'!$B$1:$B$1000,$N207)&amp;"")</f>
        <v/>
      </c>
      <c r="C207" s="91" t="str">
        <f>IF($N207="","",INDEX('Loans'!$A$1:$A$1000,$N207)&amp;"")</f>
        <v/>
      </c>
      <c r="D207" s="91" t="str">
        <f>IF($N207="","",INDEX('Loans'!$C$1:$C$1000,$N207)&amp;"")</f>
        <v/>
      </c>
      <c r="E207" s="91" t="str">
        <f>IF($N207="","",INDEX('Loan maths'!$C$1:$C$1000,$N207)&amp;"")</f>
        <v/>
      </c>
      <c r="F207" s="91" t="str">
        <f>IF($N207="","",INDEX('Loans'!$K$1:$K$1000,$N207)&amp;"")</f>
        <v/>
      </c>
      <c r="G207" s="92" t="str">
        <f>IF($N207="","",INDEX('Deal maths'!$Y$1:$Y$1000,$N207))</f>
        <v/>
      </c>
      <c r="H207" s="93" t="str">
        <f>IF($N207="","",INDEX('Deal maths'!$AB$1:$AB$1000,$N207))</f>
        <v/>
      </c>
      <c r="I207" s="94" t="str">
        <f>IF($N207="","",INDEX('Deal maths'!$Z$1:$Z$1000,$N207))</f>
        <v/>
      </c>
      <c r="J207" s="94" t="str">
        <f>IF($N207="","",INDEX('Deal maths'!$AA$1:$AA$1000,$N207))</f>
        <v/>
      </c>
      <c r="K207" s="94" t="str">
        <f>IF($N207="","",INDEX('Deal maths'!$AG$1:$AG$1000,$N207))</f>
        <v/>
      </c>
      <c r="L207" s="95" t="str">
        <f>IF($N207="","",INDEX('Loan maths'!$P$1:$P$1000,$N207))</f>
        <v/>
      </c>
      <c r="M207" s="92" t="str">
        <f>IF($N207="","",N(G207)*N(H207))</f>
        <v/>
      </c>
      <c r="N207" s="96" t="str">
        <f>IFERROR(MATCH(SMALL(LM_order,199),LM_order,0)+3,"")</f>
        <v/>
      </c>
    </row>
    <row r="208">
      <c r="B208" s="91" t="str">
        <f>IF($N208="","",INDEX('Loans'!$B$1:$B$1000,$N208)&amp;"")</f>
        <v/>
      </c>
      <c r="C208" s="91" t="str">
        <f>IF($N208="","",INDEX('Loans'!$A$1:$A$1000,$N208)&amp;"")</f>
        <v/>
      </c>
      <c r="D208" s="91" t="str">
        <f>IF($N208="","",INDEX('Loans'!$C$1:$C$1000,$N208)&amp;"")</f>
        <v/>
      </c>
      <c r="E208" s="91" t="str">
        <f>IF($N208="","",INDEX('Loan maths'!$C$1:$C$1000,$N208)&amp;"")</f>
        <v/>
      </c>
      <c r="F208" s="91" t="str">
        <f>IF($N208="","",INDEX('Loans'!$K$1:$K$1000,$N208)&amp;"")</f>
        <v/>
      </c>
      <c r="G208" s="92" t="str">
        <f>IF($N208="","",INDEX('Deal maths'!$Y$1:$Y$1000,$N208))</f>
        <v/>
      </c>
      <c r="H208" s="93" t="str">
        <f>IF($N208="","",INDEX('Deal maths'!$AB$1:$AB$1000,$N208))</f>
        <v/>
      </c>
      <c r="I208" s="94" t="str">
        <f>IF($N208="","",INDEX('Deal maths'!$Z$1:$Z$1000,$N208))</f>
        <v/>
      </c>
      <c r="J208" s="94" t="str">
        <f>IF($N208="","",INDEX('Deal maths'!$AA$1:$AA$1000,$N208))</f>
        <v/>
      </c>
      <c r="K208" s="94" t="str">
        <f>IF($N208="","",INDEX('Deal maths'!$AG$1:$AG$1000,$N208))</f>
        <v/>
      </c>
      <c r="L208" s="95" t="str">
        <f>IF($N208="","",INDEX('Loan maths'!$P$1:$P$1000,$N208))</f>
        <v/>
      </c>
      <c r="M208" s="92" t="str">
        <f>IF($N208="","",N(G208)*N(H208))</f>
        <v/>
      </c>
      <c r="N208" s="96" t="str">
        <f>IFERROR(MATCH(SMALL(LM_order,200),LM_order,0)+3,"")</f>
        <v/>
      </c>
    </row>
    <row r="209">
      <c r="B209" s="91" t="str">
        <f>IF($N209="","",INDEX('Loans'!$B$1:$B$1000,$N209)&amp;"")</f>
        <v/>
      </c>
      <c r="C209" s="91" t="str">
        <f>IF($N209="","",INDEX('Loans'!$A$1:$A$1000,$N209)&amp;"")</f>
        <v/>
      </c>
      <c r="D209" s="91" t="str">
        <f>IF($N209="","",INDEX('Loans'!$C$1:$C$1000,$N209)&amp;"")</f>
        <v/>
      </c>
      <c r="E209" s="91" t="str">
        <f>IF($N209="","",INDEX('Loan maths'!$C$1:$C$1000,$N209)&amp;"")</f>
        <v/>
      </c>
      <c r="F209" s="91" t="str">
        <f>IF($N209="","",INDEX('Loans'!$K$1:$K$1000,$N209)&amp;"")</f>
        <v/>
      </c>
      <c r="G209" s="92" t="str">
        <f>IF($N209="","",INDEX('Deal maths'!$Y$1:$Y$1000,$N209))</f>
        <v/>
      </c>
      <c r="H209" s="93" t="str">
        <f>IF($N209="","",INDEX('Deal maths'!$AB$1:$AB$1000,$N209))</f>
        <v/>
      </c>
      <c r="I209" s="94" t="str">
        <f>IF($N209="","",INDEX('Deal maths'!$Z$1:$Z$1000,$N209))</f>
        <v/>
      </c>
      <c r="J209" s="94" t="str">
        <f>IF($N209="","",INDEX('Deal maths'!$AA$1:$AA$1000,$N209))</f>
        <v/>
      </c>
      <c r="K209" s="94" t="str">
        <f>IF($N209="","",INDEX('Deal maths'!$AG$1:$AG$1000,$N209))</f>
        <v/>
      </c>
      <c r="L209" s="95" t="str">
        <f>IF($N209="","",INDEX('Loan maths'!$P$1:$P$1000,$N209))</f>
        <v/>
      </c>
      <c r="M209" s="92" t="str">
        <f>IF($N209="","",N(G209)*N(H209))</f>
        <v/>
      </c>
      <c r="N209" s="96" t="str">
        <f>IFERROR(MATCH(SMALL(LM_order,201),LM_order,0)+3,"")</f>
        <v/>
      </c>
    </row>
    <row r="210">
      <c r="B210" s="91" t="str">
        <f>IF($N210="","",INDEX('Loans'!$B$1:$B$1000,$N210)&amp;"")</f>
        <v/>
      </c>
      <c r="C210" s="91" t="str">
        <f>IF($N210="","",INDEX('Loans'!$A$1:$A$1000,$N210)&amp;"")</f>
        <v/>
      </c>
      <c r="D210" s="91" t="str">
        <f>IF($N210="","",INDEX('Loans'!$C$1:$C$1000,$N210)&amp;"")</f>
        <v/>
      </c>
      <c r="E210" s="91" t="str">
        <f>IF($N210="","",INDEX('Loan maths'!$C$1:$C$1000,$N210)&amp;"")</f>
        <v/>
      </c>
      <c r="F210" s="91" t="str">
        <f>IF($N210="","",INDEX('Loans'!$K$1:$K$1000,$N210)&amp;"")</f>
        <v/>
      </c>
      <c r="G210" s="92" t="str">
        <f>IF($N210="","",INDEX('Deal maths'!$Y$1:$Y$1000,$N210))</f>
        <v/>
      </c>
      <c r="H210" s="93" t="str">
        <f>IF($N210="","",INDEX('Deal maths'!$AB$1:$AB$1000,$N210))</f>
        <v/>
      </c>
      <c r="I210" s="94" t="str">
        <f>IF($N210="","",INDEX('Deal maths'!$Z$1:$Z$1000,$N210))</f>
        <v/>
      </c>
      <c r="J210" s="94" t="str">
        <f>IF($N210="","",INDEX('Deal maths'!$AA$1:$AA$1000,$N210))</f>
        <v/>
      </c>
      <c r="K210" s="94" t="str">
        <f>IF($N210="","",INDEX('Deal maths'!$AG$1:$AG$1000,$N210))</f>
        <v/>
      </c>
      <c r="L210" s="95" t="str">
        <f>IF($N210="","",INDEX('Loan maths'!$P$1:$P$1000,$N210))</f>
        <v/>
      </c>
      <c r="M210" s="92" t="str">
        <f>IF($N210="","",N(G210)*N(H210))</f>
        <v/>
      </c>
      <c r="N210" s="96" t="str">
        <f>IFERROR(MATCH(SMALL(LM_order,202),LM_order,0)+3,"")</f>
        <v/>
      </c>
    </row>
    <row r="211">
      <c r="B211" s="91" t="str">
        <f>IF($N211="","",INDEX('Loans'!$B$1:$B$1000,$N211)&amp;"")</f>
        <v/>
      </c>
      <c r="C211" s="91" t="str">
        <f>IF($N211="","",INDEX('Loans'!$A$1:$A$1000,$N211)&amp;"")</f>
        <v/>
      </c>
      <c r="D211" s="91" t="str">
        <f>IF($N211="","",INDEX('Loans'!$C$1:$C$1000,$N211)&amp;"")</f>
        <v/>
      </c>
      <c r="E211" s="91" t="str">
        <f>IF($N211="","",INDEX('Loan maths'!$C$1:$C$1000,$N211)&amp;"")</f>
        <v/>
      </c>
      <c r="F211" s="91" t="str">
        <f>IF($N211="","",INDEX('Loans'!$K$1:$K$1000,$N211)&amp;"")</f>
        <v/>
      </c>
      <c r="G211" s="92" t="str">
        <f>IF($N211="","",INDEX('Deal maths'!$Y$1:$Y$1000,$N211))</f>
        <v/>
      </c>
      <c r="H211" s="93" t="str">
        <f>IF($N211="","",INDEX('Deal maths'!$AB$1:$AB$1000,$N211))</f>
        <v/>
      </c>
      <c r="I211" s="94" t="str">
        <f>IF($N211="","",INDEX('Deal maths'!$Z$1:$Z$1000,$N211))</f>
        <v/>
      </c>
      <c r="J211" s="94" t="str">
        <f>IF($N211="","",INDEX('Deal maths'!$AA$1:$AA$1000,$N211))</f>
        <v/>
      </c>
      <c r="K211" s="94" t="str">
        <f>IF($N211="","",INDEX('Deal maths'!$AG$1:$AG$1000,$N211))</f>
        <v/>
      </c>
      <c r="L211" s="95" t="str">
        <f>IF($N211="","",INDEX('Loan maths'!$P$1:$P$1000,$N211))</f>
        <v/>
      </c>
      <c r="M211" s="92" t="str">
        <f>IF($N211="","",N(G211)*N(H211))</f>
        <v/>
      </c>
      <c r="N211" s="96" t="str">
        <f>IFERROR(MATCH(SMALL(LM_order,203),LM_order,0)+3,"")</f>
        <v/>
      </c>
    </row>
    <row r="212">
      <c r="B212" s="91" t="str">
        <f>IF($N212="","",INDEX('Loans'!$B$1:$B$1000,$N212)&amp;"")</f>
        <v/>
      </c>
      <c r="C212" s="91" t="str">
        <f>IF($N212="","",INDEX('Loans'!$A$1:$A$1000,$N212)&amp;"")</f>
        <v/>
      </c>
      <c r="D212" s="91" t="str">
        <f>IF($N212="","",INDEX('Loans'!$C$1:$C$1000,$N212)&amp;"")</f>
        <v/>
      </c>
      <c r="E212" s="91" t="str">
        <f>IF($N212="","",INDEX('Loan maths'!$C$1:$C$1000,$N212)&amp;"")</f>
        <v/>
      </c>
      <c r="F212" s="91" t="str">
        <f>IF($N212="","",INDEX('Loans'!$K$1:$K$1000,$N212)&amp;"")</f>
        <v/>
      </c>
      <c r="G212" s="92" t="str">
        <f>IF($N212="","",INDEX('Deal maths'!$Y$1:$Y$1000,$N212))</f>
        <v/>
      </c>
      <c r="H212" s="93" t="str">
        <f>IF($N212="","",INDEX('Deal maths'!$AB$1:$AB$1000,$N212))</f>
        <v/>
      </c>
      <c r="I212" s="94" t="str">
        <f>IF($N212="","",INDEX('Deal maths'!$Z$1:$Z$1000,$N212))</f>
        <v/>
      </c>
      <c r="J212" s="94" t="str">
        <f>IF($N212="","",INDEX('Deal maths'!$AA$1:$AA$1000,$N212))</f>
        <v/>
      </c>
      <c r="K212" s="94" t="str">
        <f>IF($N212="","",INDEX('Deal maths'!$AG$1:$AG$1000,$N212))</f>
        <v/>
      </c>
      <c r="L212" s="95" t="str">
        <f>IF($N212="","",INDEX('Loan maths'!$P$1:$P$1000,$N212))</f>
        <v/>
      </c>
      <c r="M212" s="92" t="str">
        <f>IF($N212="","",N(G212)*N(H212))</f>
        <v/>
      </c>
      <c r="N212" s="96" t="str">
        <f>IFERROR(MATCH(SMALL(LM_order,204),LM_order,0)+3,"")</f>
        <v/>
      </c>
    </row>
    <row r="213">
      <c r="B213" s="91" t="str">
        <f>IF($N213="","",INDEX('Loans'!$B$1:$B$1000,$N213)&amp;"")</f>
        <v/>
      </c>
      <c r="C213" s="91" t="str">
        <f>IF($N213="","",INDEX('Loans'!$A$1:$A$1000,$N213)&amp;"")</f>
        <v/>
      </c>
      <c r="D213" s="91" t="str">
        <f>IF($N213="","",INDEX('Loans'!$C$1:$C$1000,$N213)&amp;"")</f>
        <v/>
      </c>
      <c r="E213" s="91" t="str">
        <f>IF($N213="","",INDEX('Loan maths'!$C$1:$C$1000,$N213)&amp;"")</f>
        <v/>
      </c>
      <c r="F213" s="91" t="str">
        <f>IF($N213="","",INDEX('Loans'!$K$1:$K$1000,$N213)&amp;"")</f>
        <v/>
      </c>
      <c r="G213" s="92" t="str">
        <f>IF($N213="","",INDEX('Deal maths'!$Y$1:$Y$1000,$N213))</f>
        <v/>
      </c>
      <c r="H213" s="93" t="str">
        <f>IF($N213="","",INDEX('Deal maths'!$AB$1:$AB$1000,$N213))</f>
        <v/>
      </c>
      <c r="I213" s="94" t="str">
        <f>IF($N213="","",INDEX('Deal maths'!$Z$1:$Z$1000,$N213))</f>
        <v/>
      </c>
      <c r="J213" s="94" t="str">
        <f>IF($N213="","",INDEX('Deal maths'!$AA$1:$AA$1000,$N213))</f>
        <v/>
      </c>
      <c r="K213" s="94" t="str">
        <f>IF($N213="","",INDEX('Deal maths'!$AG$1:$AG$1000,$N213))</f>
        <v/>
      </c>
      <c r="L213" s="95" t="str">
        <f>IF($N213="","",INDEX('Loan maths'!$P$1:$P$1000,$N213))</f>
        <v/>
      </c>
      <c r="M213" s="92" t="str">
        <f>IF($N213="","",N(G213)*N(H213))</f>
        <v/>
      </c>
      <c r="N213" s="96" t="str">
        <f>IFERROR(MATCH(SMALL(LM_order,205),LM_order,0)+3,"")</f>
        <v/>
      </c>
    </row>
    <row r="214">
      <c r="B214" s="91" t="str">
        <f>IF($N214="","",INDEX('Loans'!$B$1:$B$1000,$N214)&amp;"")</f>
        <v/>
      </c>
      <c r="C214" s="91" t="str">
        <f>IF($N214="","",INDEX('Loans'!$A$1:$A$1000,$N214)&amp;"")</f>
        <v/>
      </c>
      <c r="D214" s="91" t="str">
        <f>IF($N214="","",INDEX('Loans'!$C$1:$C$1000,$N214)&amp;"")</f>
        <v/>
      </c>
      <c r="E214" s="91" t="str">
        <f>IF($N214="","",INDEX('Loan maths'!$C$1:$C$1000,$N214)&amp;"")</f>
        <v/>
      </c>
      <c r="F214" s="91" t="str">
        <f>IF($N214="","",INDEX('Loans'!$K$1:$K$1000,$N214)&amp;"")</f>
        <v/>
      </c>
      <c r="G214" s="92" t="str">
        <f>IF($N214="","",INDEX('Deal maths'!$Y$1:$Y$1000,$N214))</f>
        <v/>
      </c>
      <c r="H214" s="93" t="str">
        <f>IF($N214="","",INDEX('Deal maths'!$AB$1:$AB$1000,$N214))</f>
        <v/>
      </c>
      <c r="I214" s="94" t="str">
        <f>IF($N214="","",INDEX('Deal maths'!$Z$1:$Z$1000,$N214))</f>
        <v/>
      </c>
      <c r="J214" s="94" t="str">
        <f>IF($N214="","",INDEX('Deal maths'!$AA$1:$AA$1000,$N214))</f>
        <v/>
      </c>
      <c r="K214" s="94" t="str">
        <f>IF($N214="","",INDEX('Deal maths'!$AG$1:$AG$1000,$N214))</f>
        <v/>
      </c>
      <c r="L214" s="95" t="str">
        <f>IF($N214="","",INDEX('Loan maths'!$P$1:$P$1000,$N214))</f>
        <v/>
      </c>
      <c r="M214" s="92" t="str">
        <f>IF($N214="","",N(G214)*N(H214))</f>
        <v/>
      </c>
      <c r="N214" s="96" t="str">
        <f>IFERROR(MATCH(SMALL(LM_order,206),LM_order,0)+3,"")</f>
        <v/>
      </c>
    </row>
    <row r="215">
      <c r="B215" s="91" t="str">
        <f>IF($N215="","",INDEX('Loans'!$B$1:$B$1000,$N215)&amp;"")</f>
        <v/>
      </c>
      <c r="C215" s="91" t="str">
        <f>IF($N215="","",INDEX('Loans'!$A$1:$A$1000,$N215)&amp;"")</f>
        <v/>
      </c>
      <c r="D215" s="91" t="str">
        <f>IF($N215="","",INDEX('Loans'!$C$1:$C$1000,$N215)&amp;"")</f>
        <v/>
      </c>
      <c r="E215" s="91" t="str">
        <f>IF($N215="","",INDEX('Loan maths'!$C$1:$C$1000,$N215)&amp;"")</f>
        <v/>
      </c>
      <c r="F215" s="91" t="str">
        <f>IF($N215="","",INDEX('Loans'!$K$1:$K$1000,$N215)&amp;"")</f>
        <v/>
      </c>
      <c r="G215" s="92" t="str">
        <f>IF($N215="","",INDEX('Deal maths'!$Y$1:$Y$1000,$N215))</f>
        <v/>
      </c>
      <c r="H215" s="93" t="str">
        <f>IF($N215="","",INDEX('Deal maths'!$AB$1:$AB$1000,$N215))</f>
        <v/>
      </c>
      <c r="I215" s="94" t="str">
        <f>IF($N215="","",INDEX('Deal maths'!$Z$1:$Z$1000,$N215))</f>
        <v/>
      </c>
      <c r="J215" s="94" t="str">
        <f>IF($N215="","",INDEX('Deal maths'!$AA$1:$AA$1000,$N215))</f>
        <v/>
      </c>
      <c r="K215" s="94" t="str">
        <f>IF($N215="","",INDEX('Deal maths'!$AG$1:$AG$1000,$N215))</f>
        <v/>
      </c>
      <c r="L215" s="95" t="str">
        <f>IF($N215="","",INDEX('Loan maths'!$P$1:$P$1000,$N215))</f>
        <v/>
      </c>
      <c r="M215" s="92" t="str">
        <f>IF($N215="","",N(G215)*N(H215))</f>
        <v/>
      </c>
      <c r="N215" s="96" t="str">
        <f>IFERROR(MATCH(SMALL(LM_order,207),LM_order,0)+3,"")</f>
        <v/>
      </c>
    </row>
    <row r="216">
      <c r="B216" s="91" t="str">
        <f>IF($N216="","",INDEX('Loans'!$B$1:$B$1000,$N216)&amp;"")</f>
        <v/>
      </c>
      <c r="C216" s="91" t="str">
        <f>IF($N216="","",INDEX('Loans'!$A$1:$A$1000,$N216)&amp;"")</f>
        <v/>
      </c>
      <c r="D216" s="91" t="str">
        <f>IF($N216="","",INDEX('Loans'!$C$1:$C$1000,$N216)&amp;"")</f>
        <v/>
      </c>
      <c r="E216" s="91" t="str">
        <f>IF($N216="","",INDEX('Loan maths'!$C$1:$C$1000,$N216)&amp;"")</f>
        <v/>
      </c>
      <c r="F216" s="91" t="str">
        <f>IF($N216="","",INDEX('Loans'!$K$1:$K$1000,$N216)&amp;"")</f>
        <v/>
      </c>
      <c r="G216" s="92" t="str">
        <f>IF($N216="","",INDEX('Deal maths'!$Y$1:$Y$1000,$N216))</f>
        <v/>
      </c>
      <c r="H216" s="93" t="str">
        <f>IF($N216="","",INDEX('Deal maths'!$AB$1:$AB$1000,$N216))</f>
        <v/>
      </c>
      <c r="I216" s="94" t="str">
        <f>IF($N216="","",INDEX('Deal maths'!$Z$1:$Z$1000,$N216))</f>
        <v/>
      </c>
      <c r="J216" s="94" t="str">
        <f>IF($N216="","",INDEX('Deal maths'!$AA$1:$AA$1000,$N216))</f>
        <v/>
      </c>
      <c r="K216" s="94" t="str">
        <f>IF($N216="","",INDEX('Deal maths'!$AG$1:$AG$1000,$N216))</f>
        <v/>
      </c>
      <c r="L216" s="95" t="str">
        <f>IF($N216="","",INDEX('Loan maths'!$P$1:$P$1000,$N216))</f>
        <v/>
      </c>
      <c r="M216" s="92" t="str">
        <f>IF($N216="","",N(G216)*N(H216))</f>
        <v/>
      </c>
      <c r="N216" s="96" t="str">
        <f>IFERROR(MATCH(SMALL(LM_order,208),LM_order,0)+3,"")</f>
        <v/>
      </c>
    </row>
    <row r="217">
      <c r="B217" s="91" t="str">
        <f>IF($N217="","",INDEX('Loans'!$B$1:$B$1000,$N217)&amp;"")</f>
        <v/>
      </c>
      <c r="C217" s="91" t="str">
        <f>IF($N217="","",INDEX('Loans'!$A$1:$A$1000,$N217)&amp;"")</f>
        <v/>
      </c>
      <c r="D217" s="91" t="str">
        <f>IF($N217="","",INDEX('Loans'!$C$1:$C$1000,$N217)&amp;"")</f>
        <v/>
      </c>
      <c r="E217" s="91" t="str">
        <f>IF($N217="","",INDEX('Loan maths'!$C$1:$C$1000,$N217)&amp;"")</f>
        <v/>
      </c>
      <c r="F217" s="91" t="str">
        <f>IF($N217="","",INDEX('Loans'!$K$1:$K$1000,$N217)&amp;"")</f>
        <v/>
      </c>
      <c r="G217" s="92" t="str">
        <f>IF($N217="","",INDEX('Deal maths'!$Y$1:$Y$1000,$N217))</f>
        <v/>
      </c>
      <c r="H217" s="93" t="str">
        <f>IF($N217="","",INDEX('Deal maths'!$AB$1:$AB$1000,$N217))</f>
        <v/>
      </c>
      <c r="I217" s="94" t="str">
        <f>IF($N217="","",INDEX('Deal maths'!$Z$1:$Z$1000,$N217))</f>
        <v/>
      </c>
      <c r="J217" s="94" t="str">
        <f>IF($N217="","",INDEX('Deal maths'!$AA$1:$AA$1000,$N217))</f>
        <v/>
      </c>
      <c r="K217" s="94" t="str">
        <f>IF($N217="","",INDEX('Deal maths'!$AG$1:$AG$1000,$N217))</f>
        <v/>
      </c>
      <c r="L217" s="95" t="str">
        <f>IF($N217="","",INDEX('Loan maths'!$P$1:$P$1000,$N217))</f>
        <v/>
      </c>
      <c r="M217" s="92" t="str">
        <f>IF($N217="","",N(G217)*N(H217))</f>
        <v/>
      </c>
      <c r="N217" s="96" t="str">
        <f>IFERROR(MATCH(SMALL(LM_order,209),LM_order,0)+3,"")</f>
        <v/>
      </c>
    </row>
    <row r="218">
      <c r="B218" s="91" t="str">
        <f>IF($N218="","",INDEX('Loans'!$B$1:$B$1000,$N218)&amp;"")</f>
        <v/>
      </c>
      <c r="C218" s="91" t="str">
        <f>IF($N218="","",INDEX('Loans'!$A$1:$A$1000,$N218)&amp;"")</f>
        <v/>
      </c>
      <c r="D218" s="91" t="str">
        <f>IF($N218="","",INDEX('Loans'!$C$1:$C$1000,$N218)&amp;"")</f>
        <v/>
      </c>
      <c r="E218" s="91" t="str">
        <f>IF($N218="","",INDEX('Loan maths'!$C$1:$C$1000,$N218)&amp;"")</f>
        <v/>
      </c>
      <c r="F218" s="91" t="str">
        <f>IF($N218="","",INDEX('Loans'!$K$1:$K$1000,$N218)&amp;"")</f>
        <v/>
      </c>
      <c r="G218" s="92" t="str">
        <f>IF($N218="","",INDEX('Deal maths'!$Y$1:$Y$1000,$N218))</f>
        <v/>
      </c>
      <c r="H218" s="93" t="str">
        <f>IF($N218="","",INDEX('Deal maths'!$AB$1:$AB$1000,$N218))</f>
        <v/>
      </c>
      <c r="I218" s="94" t="str">
        <f>IF($N218="","",INDEX('Deal maths'!$Z$1:$Z$1000,$N218))</f>
        <v/>
      </c>
      <c r="J218" s="94" t="str">
        <f>IF($N218="","",INDEX('Deal maths'!$AA$1:$AA$1000,$N218))</f>
        <v/>
      </c>
      <c r="K218" s="94" t="str">
        <f>IF($N218="","",INDEX('Deal maths'!$AG$1:$AG$1000,$N218))</f>
        <v/>
      </c>
      <c r="L218" s="95" t="str">
        <f>IF($N218="","",INDEX('Loan maths'!$P$1:$P$1000,$N218))</f>
        <v/>
      </c>
      <c r="M218" s="92" t="str">
        <f>IF($N218="","",N(G218)*N(H218))</f>
        <v/>
      </c>
      <c r="N218" s="96" t="str">
        <f>IFERROR(MATCH(SMALL(LM_order,210),LM_order,0)+3,"")</f>
        <v/>
      </c>
    </row>
    <row r="219">
      <c r="B219" s="91" t="str">
        <f>IF($N219="","",INDEX('Loans'!$B$1:$B$1000,$N219)&amp;"")</f>
        <v/>
      </c>
      <c r="C219" s="91" t="str">
        <f>IF($N219="","",INDEX('Loans'!$A$1:$A$1000,$N219)&amp;"")</f>
        <v/>
      </c>
      <c r="D219" s="91" t="str">
        <f>IF($N219="","",INDEX('Loans'!$C$1:$C$1000,$N219)&amp;"")</f>
        <v/>
      </c>
      <c r="E219" s="91" t="str">
        <f>IF($N219="","",INDEX('Loan maths'!$C$1:$C$1000,$N219)&amp;"")</f>
        <v/>
      </c>
      <c r="F219" s="91" t="str">
        <f>IF($N219="","",INDEX('Loans'!$K$1:$K$1000,$N219)&amp;"")</f>
        <v/>
      </c>
      <c r="G219" s="92" t="str">
        <f>IF($N219="","",INDEX('Deal maths'!$Y$1:$Y$1000,$N219))</f>
        <v/>
      </c>
      <c r="H219" s="93" t="str">
        <f>IF($N219="","",INDEX('Deal maths'!$AB$1:$AB$1000,$N219))</f>
        <v/>
      </c>
      <c r="I219" s="94" t="str">
        <f>IF($N219="","",INDEX('Deal maths'!$Z$1:$Z$1000,$N219))</f>
        <v/>
      </c>
      <c r="J219" s="94" t="str">
        <f>IF($N219="","",INDEX('Deal maths'!$AA$1:$AA$1000,$N219))</f>
        <v/>
      </c>
      <c r="K219" s="94" t="str">
        <f>IF($N219="","",INDEX('Deal maths'!$AG$1:$AG$1000,$N219))</f>
        <v/>
      </c>
      <c r="L219" s="95" t="str">
        <f>IF($N219="","",INDEX('Loan maths'!$P$1:$P$1000,$N219))</f>
        <v/>
      </c>
      <c r="M219" s="92" t="str">
        <f>IF($N219="","",N(G219)*N(H219))</f>
        <v/>
      </c>
      <c r="N219" s="96" t="str">
        <f>IFERROR(MATCH(SMALL(LM_order,211),LM_order,0)+3,"")</f>
        <v/>
      </c>
    </row>
    <row r="220">
      <c r="B220" s="91" t="str">
        <f>IF($N220="","",INDEX('Loans'!$B$1:$B$1000,$N220)&amp;"")</f>
        <v/>
      </c>
      <c r="C220" s="91" t="str">
        <f>IF($N220="","",INDEX('Loans'!$A$1:$A$1000,$N220)&amp;"")</f>
        <v/>
      </c>
      <c r="D220" s="91" t="str">
        <f>IF($N220="","",INDEX('Loans'!$C$1:$C$1000,$N220)&amp;"")</f>
        <v/>
      </c>
      <c r="E220" s="91" t="str">
        <f>IF($N220="","",INDEX('Loan maths'!$C$1:$C$1000,$N220)&amp;"")</f>
        <v/>
      </c>
      <c r="F220" s="91" t="str">
        <f>IF($N220="","",INDEX('Loans'!$K$1:$K$1000,$N220)&amp;"")</f>
        <v/>
      </c>
      <c r="G220" s="92" t="str">
        <f>IF($N220="","",INDEX('Deal maths'!$Y$1:$Y$1000,$N220))</f>
        <v/>
      </c>
      <c r="H220" s="93" t="str">
        <f>IF($N220="","",INDEX('Deal maths'!$AB$1:$AB$1000,$N220))</f>
        <v/>
      </c>
      <c r="I220" s="94" t="str">
        <f>IF($N220="","",INDEX('Deal maths'!$Z$1:$Z$1000,$N220))</f>
        <v/>
      </c>
      <c r="J220" s="94" t="str">
        <f>IF($N220="","",INDEX('Deal maths'!$AA$1:$AA$1000,$N220))</f>
        <v/>
      </c>
      <c r="K220" s="94" t="str">
        <f>IF($N220="","",INDEX('Deal maths'!$AG$1:$AG$1000,$N220))</f>
        <v/>
      </c>
      <c r="L220" s="95" t="str">
        <f>IF($N220="","",INDEX('Loan maths'!$P$1:$P$1000,$N220))</f>
        <v/>
      </c>
      <c r="M220" s="92" t="str">
        <f>IF($N220="","",N(G220)*N(H220))</f>
        <v/>
      </c>
      <c r="N220" s="96" t="str">
        <f>IFERROR(MATCH(SMALL(LM_order,212),LM_order,0)+3,"")</f>
        <v/>
      </c>
    </row>
    <row r="221">
      <c r="B221" s="91" t="str">
        <f>IF($N221="","",INDEX('Loans'!$B$1:$B$1000,$N221)&amp;"")</f>
        <v/>
      </c>
      <c r="C221" s="91" t="str">
        <f>IF($N221="","",INDEX('Loans'!$A$1:$A$1000,$N221)&amp;"")</f>
        <v/>
      </c>
      <c r="D221" s="91" t="str">
        <f>IF($N221="","",INDEX('Loans'!$C$1:$C$1000,$N221)&amp;"")</f>
        <v/>
      </c>
      <c r="E221" s="91" t="str">
        <f>IF($N221="","",INDEX('Loan maths'!$C$1:$C$1000,$N221)&amp;"")</f>
        <v/>
      </c>
      <c r="F221" s="91" t="str">
        <f>IF($N221="","",INDEX('Loans'!$K$1:$K$1000,$N221)&amp;"")</f>
        <v/>
      </c>
      <c r="G221" s="92" t="str">
        <f>IF($N221="","",INDEX('Deal maths'!$Y$1:$Y$1000,$N221))</f>
        <v/>
      </c>
      <c r="H221" s="93" t="str">
        <f>IF($N221="","",INDEX('Deal maths'!$AB$1:$AB$1000,$N221))</f>
        <v/>
      </c>
      <c r="I221" s="94" t="str">
        <f>IF($N221="","",INDEX('Deal maths'!$Z$1:$Z$1000,$N221))</f>
        <v/>
      </c>
      <c r="J221" s="94" t="str">
        <f>IF($N221="","",INDEX('Deal maths'!$AA$1:$AA$1000,$N221))</f>
        <v/>
      </c>
      <c r="K221" s="94" t="str">
        <f>IF($N221="","",INDEX('Deal maths'!$AG$1:$AG$1000,$N221))</f>
        <v/>
      </c>
      <c r="L221" s="95" t="str">
        <f>IF($N221="","",INDEX('Loan maths'!$P$1:$P$1000,$N221))</f>
        <v/>
      </c>
      <c r="M221" s="92" t="str">
        <f>IF($N221="","",N(G221)*N(H221))</f>
        <v/>
      </c>
      <c r="N221" s="96" t="str">
        <f>IFERROR(MATCH(SMALL(LM_order,213),LM_order,0)+3,"")</f>
        <v/>
      </c>
    </row>
    <row r="222">
      <c r="B222" s="91" t="str">
        <f>IF($N222="","",INDEX('Loans'!$B$1:$B$1000,$N222)&amp;"")</f>
        <v/>
      </c>
      <c r="C222" s="91" t="str">
        <f>IF($N222="","",INDEX('Loans'!$A$1:$A$1000,$N222)&amp;"")</f>
        <v/>
      </c>
      <c r="D222" s="91" t="str">
        <f>IF($N222="","",INDEX('Loans'!$C$1:$C$1000,$N222)&amp;"")</f>
        <v/>
      </c>
      <c r="E222" s="91" t="str">
        <f>IF($N222="","",INDEX('Loan maths'!$C$1:$C$1000,$N222)&amp;"")</f>
        <v/>
      </c>
      <c r="F222" s="91" t="str">
        <f>IF($N222="","",INDEX('Loans'!$K$1:$K$1000,$N222)&amp;"")</f>
        <v/>
      </c>
      <c r="G222" s="92" t="str">
        <f>IF($N222="","",INDEX('Deal maths'!$Y$1:$Y$1000,$N222))</f>
        <v/>
      </c>
      <c r="H222" s="93" t="str">
        <f>IF($N222="","",INDEX('Deal maths'!$AB$1:$AB$1000,$N222))</f>
        <v/>
      </c>
      <c r="I222" s="94" t="str">
        <f>IF($N222="","",INDEX('Deal maths'!$Z$1:$Z$1000,$N222))</f>
        <v/>
      </c>
      <c r="J222" s="94" t="str">
        <f>IF($N222="","",INDEX('Deal maths'!$AA$1:$AA$1000,$N222))</f>
        <v/>
      </c>
      <c r="K222" s="94" t="str">
        <f>IF($N222="","",INDEX('Deal maths'!$AG$1:$AG$1000,$N222))</f>
        <v/>
      </c>
      <c r="L222" s="95" t="str">
        <f>IF($N222="","",INDEX('Loan maths'!$P$1:$P$1000,$N222))</f>
        <v/>
      </c>
      <c r="M222" s="92" t="str">
        <f>IF($N222="","",N(G222)*N(H222))</f>
        <v/>
      </c>
      <c r="N222" s="96" t="str">
        <f>IFERROR(MATCH(SMALL(LM_order,214),LM_order,0)+3,"")</f>
        <v/>
      </c>
    </row>
    <row r="223">
      <c r="B223" s="91" t="str">
        <f>IF($N223="","",INDEX('Loans'!$B$1:$B$1000,$N223)&amp;"")</f>
        <v/>
      </c>
      <c r="C223" s="91" t="str">
        <f>IF($N223="","",INDEX('Loans'!$A$1:$A$1000,$N223)&amp;"")</f>
        <v/>
      </c>
      <c r="D223" s="91" t="str">
        <f>IF($N223="","",INDEX('Loans'!$C$1:$C$1000,$N223)&amp;"")</f>
        <v/>
      </c>
      <c r="E223" s="91" t="str">
        <f>IF($N223="","",INDEX('Loan maths'!$C$1:$C$1000,$N223)&amp;"")</f>
        <v/>
      </c>
      <c r="F223" s="91" t="str">
        <f>IF($N223="","",INDEX('Loans'!$K$1:$K$1000,$N223)&amp;"")</f>
        <v/>
      </c>
      <c r="G223" s="92" t="str">
        <f>IF($N223="","",INDEX('Deal maths'!$Y$1:$Y$1000,$N223))</f>
        <v/>
      </c>
      <c r="H223" s="93" t="str">
        <f>IF($N223="","",INDEX('Deal maths'!$AB$1:$AB$1000,$N223))</f>
        <v/>
      </c>
      <c r="I223" s="94" t="str">
        <f>IF($N223="","",INDEX('Deal maths'!$Z$1:$Z$1000,$N223))</f>
        <v/>
      </c>
      <c r="J223" s="94" t="str">
        <f>IF($N223="","",INDEX('Deal maths'!$AA$1:$AA$1000,$N223))</f>
        <v/>
      </c>
      <c r="K223" s="94" t="str">
        <f>IF($N223="","",INDEX('Deal maths'!$AG$1:$AG$1000,$N223))</f>
        <v/>
      </c>
      <c r="L223" s="95" t="str">
        <f>IF($N223="","",INDEX('Loan maths'!$P$1:$P$1000,$N223))</f>
        <v/>
      </c>
      <c r="M223" s="92" t="str">
        <f>IF($N223="","",N(G223)*N(H223))</f>
        <v/>
      </c>
      <c r="N223" s="96" t="str">
        <f>IFERROR(MATCH(SMALL(LM_order,215),LM_order,0)+3,"")</f>
        <v/>
      </c>
    </row>
    <row r="224">
      <c r="B224" s="91" t="str">
        <f>IF($N224="","",INDEX('Loans'!$B$1:$B$1000,$N224)&amp;"")</f>
        <v/>
      </c>
      <c r="C224" s="91" t="str">
        <f>IF($N224="","",INDEX('Loans'!$A$1:$A$1000,$N224)&amp;"")</f>
        <v/>
      </c>
      <c r="D224" s="91" t="str">
        <f>IF($N224="","",INDEX('Loans'!$C$1:$C$1000,$N224)&amp;"")</f>
        <v/>
      </c>
      <c r="E224" s="91" t="str">
        <f>IF($N224="","",INDEX('Loan maths'!$C$1:$C$1000,$N224)&amp;"")</f>
        <v/>
      </c>
      <c r="F224" s="91" t="str">
        <f>IF($N224="","",INDEX('Loans'!$K$1:$K$1000,$N224)&amp;"")</f>
        <v/>
      </c>
      <c r="G224" s="92" t="str">
        <f>IF($N224="","",INDEX('Deal maths'!$Y$1:$Y$1000,$N224))</f>
        <v/>
      </c>
      <c r="H224" s="93" t="str">
        <f>IF($N224="","",INDEX('Deal maths'!$AB$1:$AB$1000,$N224))</f>
        <v/>
      </c>
      <c r="I224" s="94" t="str">
        <f>IF($N224="","",INDEX('Deal maths'!$Z$1:$Z$1000,$N224))</f>
        <v/>
      </c>
      <c r="J224" s="94" t="str">
        <f>IF($N224="","",INDEX('Deal maths'!$AA$1:$AA$1000,$N224))</f>
        <v/>
      </c>
      <c r="K224" s="94" t="str">
        <f>IF($N224="","",INDEX('Deal maths'!$AG$1:$AG$1000,$N224))</f>
        <v/>
      </c>
      <c r="L224" s="95" t="str">
        <f>IF($N224="","",INDEX('Loan maths'!$P$1:$P$1000,$N224))</f>
        <v/>
      </c>
      <c r="M224" s="92" t="str">
        <f>IF($N224="","",N(G224)*N(H224))</f>
        <v/>
      </c>
      <c r="N224" s="96" t="str">
        <f>IFERROR(MATCH(SMALL(LM_order,216),LM_order,0)+3,"")</f>
        <v/>
      </c>
    </row>
    <row r="225">
      <c r="B225" s="91" t="str">
        <f>IF($N225="","",INDEX('Loans'!$B$1:$B$1000,$N225)&amp;"")</f>
        <v/>
      </c>
      <c r="C225" s="91" t="str">
        <f>IF($N225="","",INDEX('Loans'!$A$1:$A$1000,$N225)&amp;"")</f>
        <v/>
      </c>
      <c r="D225" s="91" t="str">
        <f>IF($N225="","",INDEX('Loans'!$C$1:$C$1000,$N225)&amp;"")</f>
        <v/>
      </c>
      <c r="E225" s="91" t="str">
        <f>IF($N225="","",INDEX('Loan maths'!$C$1:$C$1000,$N225)&amp;"")</f>
        <v/>
      </c>
      <c r="F225" s="91" t="str">
        <f>IF($N225="","",INDEX('Loans'!$K$1:$K$1000,$N225)&amp;"")</f>
        <v/>
      </c>
      <c r="G225" s="92" t="str">
        <f>IF($N225="","",INDEX('Deal maths'!$Y$1:$Y$1000,$N225))</f>
        <v/>
      </c>
      <c r="H225" s="93" t="str">
        <f>IF($N225="","",INDEX('Deal maths'!$AB$1:$AB$1000,$N225))</f>
        <v/>
      </c>
      <c r="I225" s="94" t="str">
        <f>IF($N225="","",INDEX('Deal maths'!$Z$1:$Z$1000,$N225))</f>
        <v/>
      </c>
      <c r="J225" s="94" t="str">
        <f>IF($N225="","",INDEX('Deal maths'!$AA$1:$AA$1000,$N225))</f>
        <v/>
      </c>
      <c r="K225" s="94" t="str">
        <f>IF($N225="","",INDEX('Deal maths'!$AG$1:$AG$1000,$N225))</f>
        <v/>
      </c>
      <c r="L225" s="95" t="str">
        <f>IF($N225="","",INDEX('Loan maths'!$P$1:$P$1000,$N225))</f>
        <v/>
      </c>
      <c r="M225" s="92" t="str">
        <f>IF($N225="","",N(G225)*N(H225))</f>
        <v/>
      </c>
      <c r="N225" s="96" t="str">
        <f>IFERROR(MATCH(SMALL(LM_order,217),LM_order,0)+3,"")</f>
        <v/>
      </c>
    </row>
    <row r="226">
      <c r="B226" s="91" t="str">
        <f>IF($N226="","",INDEX('Loans'!$B$1:$B$1000,$N226)&amp;"")</f>
        <v/>
      </c>
      <c r="C226" s="91" t="str">
        <f>IF($N226="","",INDEX('Loans'!$A$1:$A$1000,$N226)&amp;"")</f>
        <v/>
      </c>
      <c r="D226" s="91" t="str">
        <f>IF($N226="","",INDEX('Loans'!$C$1:$C$1000,$N226)&amp;"")</f>
        <v/>
      </c>
      <c r="E226" s="91" t="str">
        <f>IF($N226="","",INDEX('Loan maths'!$C$1:$C$1000,$N226)&amp;"")</f>
        <v/>
      </c>
      <c r="F226" s="91" t="str">
        <f>IF($N226="","",INDEX('Loans'!$K$1:$K$1000,$N226)&amp;"")</f>
        <v/>
      </c>
      <c r="G226" s="92" t="str">
        <f>IF($N226="","",INDEX('Deal maths'!$Y$1:$Y$1000,$N226))</f>
        <v/>
      </c>
      <c r="H226" s="93" t="str">
        <f>IF($N226="","",INDEX('Deal maths'!$AB$1:$AB$1000,$N226))</f>
        <v/>
      </c>
      <c r="I226" s="94" t="str">
        <f>IF($N226="","",INDEX('Deal maths'!$Z$1:$Z$1000,$N226))</f>
        <v/>
      </c>
      <c r="J226" s="94" t="str">
        <f>IF($N226="","",INDEX('Deal maths'!$AA$1:$AA$1000,$N226))</f>
        <v/>
      </c>
      <c r="K226" s="94" t="str">
        <f>IF($N226="","",INDEX('Deal maths'!$AG$1:$AG$1000,$N226))</f>
        <v/>
      </c>
      <c r="L226" s="95" t="str">
        <f>IF($N226="","",INDEX('Loan maths'!$P$1:$P$1000,$N226))</f>
        <v/>
      </c>
      <c r="M226" s="92" t="str">
        <f>IF($N226="","",N(G226)*N(H226))</f>
        <v/>
      </c>
      <c r="N226" s="96" t="str">
        <f>IFERROR(MATCH(SMALL(LM_order,218),LM_order,0)+3,"")</f>
        <v/>
      </c>
    </row>
    <row r="227">
      <c r="B227" s="91" t="str">
        <f>IF($N227="","",INDEX('Loans'!$B$1:$B$1000,$N227)&amp;"")</f>
        <v/>
      </c>
      <c r="C227" s="91" t="str">
        <f>IF($N227="","",INDEX('Loans'!$A$1:$A$1000,$N227)&amp;"")</f>
        <v/>
      </c>
      <c r="D227" s="91" t="str">
        <f>IF($N227="","",INDEX('Loans'!$C$1:$C$1000,$N227)&amp;"")</f>
        <v/>
      </c>
      <c r="E227" s="91" t="str">
        <f>IF($N227="","",INDEX('Loan maths'!$C$1:$C$1000,$N227)&amp;"")</f>
        <v/>
      </c>
      <c r="F227" s="91" t="str">
        <f>IF($N227="","",INDEX('Loans'!$K$1:$K$1000,$N227)&amp;"")</f>
        <v/>
      </c>
      <c r="G227" s="92" t="str">
        <f>IF($N227="","",INDEX('Deal maths'!$Y$1:$Y$1000,$N227))</f>
        <v/>
      </c>
      <c r="H227" s="93" t="str">
        <f>IF($N227="","",INDEX('Deal maths'!$AB$1:$AB$1000,$N227))</f>
        <v/>
      </c>
      <c r="I227" s="94" t="str">
        <f>IF($N227="","",INDEX('Deal maths'!$Z$1:$Z$1000,$N227))</f>
        <v/>
      </c>
      <c r="J227" s="94" t="str">
        <f>IF($N227="","",INDEX('Deal maths'!$AA$1:$AA$1000,$N227))</f>
        <v/>
      </c>
      <c r="K227" s="94" t="str">
        <f>IF($N227="","",INDEX('Deal maths'!$AG$1:$AG$1000,$N227))</f>
        <v/>
      </c>
      <c r="L227" s="95" t="str">
        <f>IF($N227="","",INDEX('Loan maths'!$P$1:$P$1000,$N227))</f>
        <v/>
      </c>
      <c r="M227" s="92" t="str">
        <f>IF($N227="","",N(G227)*N(H227))</f>
        <v/>
      </c>
      <c r="N227" s="96" t="str">
        <f>IFERROR(MATCH(SMALL(LM_order,219),LM_order,0)+3,"")</f>
        <v/>
      </c>
    </row>
    <row r="228">
      <c r="B228" s="91" t="str">
        <f>IF($N228="","",INDEX('Loans'!$B$1:$B$1000,$N228)&amp;"")</f>
        <v/>
      </c>
      <c r="C228" s="91" t="str">
        <f>IF($N228="","",INDEX('Loans'!$A$1:$A$1000,$N228)&amp;"")</f>
        <v/>
      </c>
      <c r="D228" s="91" t="str">
        <f>IF($N228="","",INDEX('Loans'!$C$1:$C$1000,$N228)&amp;"")</f>
        <v/>
      </c>
      <c r="E228" s="91" t="str">
        <f>IF($N228="","",INDEX('Loan maths'!$C$1:$C$1000,$N228)&amp;"")</f>
        <v/>
      </c>
      <c r="F228" s="91" t="str">
        <f>IF($N228="","",INDEX('Loans'!$K$1:$K$1000,$N228)&amp;"")</f>
        <v/>
      </c>
      <c r="G228" s="92" t="str">
        <f>IF($N228="","",INDEX('Deal maths'!$Y$1:$Y$1000,$N228))</f>
        <v/>
      </c>
      <c r="H228" s="93" t="str">
        <f>IF($N228="","",INDEX('Deal maths'!$AB$1:$AB$1000,$N228))</f>
        <v/>
      </c>
      <c r="I228" s="94" t="str">
        <f>IF($N228="","",INDEX('Deal maths'!$Z$1:$Z$1000,$N228))</f>
        <v/>
      </c>
      <c r="J228" s="94" t="str">
        <f>IF($N228="","",INDEX('Deal maths'!$AA$1:$AA$1000,$N228))</f>
        <v/>
      </c>
      <c r="K228" s="94" t="str">
        <f>IF($N228="","",INDEX('Deal maths'!$AG$1:$AG$1000,$N228))</f>
        <v/>
      </c>
      <c r="L228" s="95" t="str">
        <f>IF($N228="","",INDEX('Loan maths'!$P$1:$P$1000,$N228))</f>
        <v/>
      </c>
      <c r="M228" s="92" t="str">
        <f>IF($N228="","",N(G228)*N(H228))</f>
        <v/>
      </c>
      <c r="N228" s="96" t="str">
        <f>IFERROR(MATCH(SMALL(LM_order,220),LM_order,0)+3,"")</f>
        <v/>
      </c>
    </row>
    <row r="229">
      <c r="B229" s="91" t="str">
        <f>IF($N229="","",INDEX('Loans'!$B$1:$B$1000,$N229)&amp;"")</f>
        <v/>
      </c>
      <c r="C229" s="91" t="str">
        <f>IF($N229="","",INDEX('Loans'!$A$1:$A$1000,$N229)&amp;"")</f>
        <v/>
      </c>
      <c r="D229" s="91" t="str">
        <f>IF($N229="","",INDEX('Loans'!$C$1:$C$1000,$N229)&amp;"")</f>
        <v/>
      </c>
      <c r="E229" s="91" t="str">
        <f>IF($N229="","",INDEX('Loan maths'!$C$1:$C$1000,$N229)&amp;"")</f>
        <v/>
      </c>
      <c r="F229" s="91" t="str">
        <f>IF($N229="","",INDEX('Loans'!$K$1:$K$1000,$N229)&amp;"")</f>
        <v/>
      </c>
      <c r="G229" s="92" t="str">
        <f>IF($N229="","",INDEX('Deal maths'!$Y$1:$Y$1000,$N229))</f>
        <v/>
      </c>
      <c r="H229" s="93" t="str">
        <f>IF($N229="","",INDEX('Deal maths'!$AB$1:$AB$1000,$N229))</f>
        <v/>
      </c>
      <c r="I229" s="94" t="str">
        <f>IF($N229="","",INDEX('Deal maths'!$Z$1:$Z$1000,$N229))</f>
        <v/>
      </c>
      <c r="J229" s="94" t="str">
        <f>IF($N229="","",INDEX('Deal maths'!$AA$1:$AA$1000,$N229))</f>
        <v/>
      </c>
      <c r="K229" s="94" t="str">
        <f>IF($N229="","",INDEX('Deal maths'!$AG$1:$AG$1000,$N229))</f>
        <v/>
      </c>
      <c r="L229" s="95" t="str">
        <f>IF($N229="","",INDEX('Loan maths'!$P$1:$P$1000,$N229))</f>
        <v/>
      </c>
      <c r="M229" s="92" t="str">
        <f>IF($N229="","",N(G229)*N(H229))</f>
        <v/>
      </c>
      <c r="N229" s="96" t="str">
        <f>IFERROR(MATCH(SMALL(LM_order,221),LM_order,0)+3,"")</f>
        <v/>
      </c>
    </row>
    <row r="230">
      <c r="B230" s="91" t="str">
        <f>IF($N230="","",INDEX('Loans'!$B$1:$B$1000,$N230)&amp;"")</f>
        <v/>
      </c>
      <c r="C230" s="91" t="str">
        <f>IF($N230="","",INDEX('Loans'!$A$1:$A$1000,$N230)&amp;"")</f>
        <v/>
      </c>
      <c r="D230" s="91" t="str">
        <f>IF($N230="","",INDEX('Loans'!$C$1:$C$1000,$N230)&amp;"")</f>
        <v/>
      </c>
      <c r="E230" s="91" t="str">
        <f>IF($N230="","",INDEX('Loan maths'!$C$1:$C$1000,$N230)&amp;"")</f>
        <v/>
      </c>
      <c r="F230" s="91" t="str">
        <f>IF($N230="","",INDEX('Loans'!$K$1:$K$1000,$N230)&amp;"")</f>
        <v/>
      </c>
      <c r="G230" s="92" t="str">
        <f>IF($N230="","",INDEX('Deal maths'!$Y$1:$Y$1000,$N230))</f>
        <v/>
      </c>
      <c r="H230" s="93" t="str">
        <f>IF($N230="","",INDEX('Deal maths'!$AB$1:$AB$1000,$N230))</f>
        <v/>
      </c>
      <c r="I230" s="94" t="str">
        <f>IF($N230="","",INDEX('Deal maths'!$Z$1:$Z$1000,$N230))</f>
        <v/>
      </c>
      <c r="J230" s="94" t="str">
        <f>IF($N230="","",INDEX('Deal maths'!$AA$1:$AA$1000,$N230))</f>
        <v/>
      </c>
      <c r="K230" s="94" t="str">
        <f>IF($N230="","",INDEX('Deal maths'!$AG$1:$AG$1000,$N230))</f>
        <v/>
      </c>
      <c r="L230" s="95" t="str">
        <f>IF($N230="","",INDEX('Loan maths'!$P$1:$P$1000,$N230))</f>
        <v/>
      </c>
      <c r="M230" s="92" t="str">
        <f>IF($N230="","",N(G230)*N(H230))</f>
        <v/>
      </c>
      <c r="N230" s="96" t="str">
        <f>IFERROR(MATCH(SMALL(LM_order,222),LM_order,0)+3,"")</f>
        <v/>
      </c>
    </row>
    <row r="231">
      <c r="B231" s="91" t="str">
        <f>IF($N231="","",INDEX('Loans'!$B$1:$B$1000,$N231)&amp;"")</f>
        <v/>
      </c>
      <c r="C231" s="91" t="str">
        <f>IF($N231="","",INDEX('Loans'!$A$1:$A$1000,$N231)&amp;"")</f>
        <v/>
      </c>
      <c r="D231" s="91" t="str">
        <f>IF($N231="","",INDEX('Loans'!$C$1:$C$1000,$N231)&amp;"")</f>
        <v/>
      </c>
      <c r="E231" s="91" t="str">
        <f>IF($N231="","",INDEX('Loan maths'!$C$1:$C$1000,$N231)&amp;"")</f>
        <v/>
      </c>
      <c r="F231" s="91" t="str">
        <f>IF($N231="","",INDEX('Loans'!$K$1:$K$1000,$N231)&amp;"")</f>
        <v/>
      </c>
      <c r="G231" s="92" t="str">
        <f>IF($N231="","",INDEX('Deal maths'!$Y$1:$Y$1000,$N231))</f>
        <v/>
      </c>
      <c r="H231" s="93" t="str">
        <f>IF($N231="","",INDEX('Deal maths'!$AB$1:$AB$1000,$N231))</f>
        <v/>
      </c>
      <c r="I231" s="94" t="str">
        <f>IF($N231="","",INDEX('Deal maths'!$Z$1:$Z$1000,$N231))</f>
        <v/>
      </c>
      <c r="J231" s="94" t="str">
        <f>IF($N231="","",INDEX('Deal maths'!$AA$1:$AA$1000,$N231))</f>
        <v/>
      </c>
      <c r="K231" s="94" t="str">
        <f>IF($N231="","",INDEX('Deal maths'!$AG$1:$AG$1000,$N231))</f>
        <v/>
      </c>
      <c r="L231" s="95" t="str">
        <f>IF($N231="","",INDEX('Loan maths'!$P$1:$P$1000,$N231))</f>
        <v/>
      </c>
      <c r="M231" s="92" t="str">
        <f>IF($N231="","",N(G231)*N(H231))</f>
        <v/>
      </c>
      <c r="N231" s="96" t="str">
        <f>IFERROR(MATCH(SMALL(LM_order,223),LM_order,0)+3,"")</f>
        <v/>
      </c>
    </row>
    <row r="232">
      <c r="B232" s="91" t="str">
        <f>IF($N232="","",INDEX('Loans'!$B$1:$B$1000,$N232)&amp;"")</f>
        <v/>
      </c>
      <c r="C232" s="91" t="str">
        <f>IF($N232="","",INDEX('Loans'!$A$1:$A$1000,$N232)&amp;"")</f>
        <v/>
      </c>
      <c r="D232" s="91" t="str">
        <f>IF($N232="","",INDEX('Loans'!$C$1:$C$1000,$N232)&amp;"")</f>
        <v/>
      </c>
      <c r="E232" s="91" t="str">
        <f>IF($N232="","",INDEX('Loan maths'!$C$1:$C$1000,$N232)&amp;"")</f>
        <v/>
      </c>
      <c r="F232" s="91" t="str">
        <f>IF($N232="","",INDEX('Loans'!$K$1:$K$1000,$N232)&amp;"")</f>
        <v/>
      </c>
      <c r="G232" s="92" t="str">
        <f>IF($N232="","",INDEX('Deal maths'!$Y$1:$Y$1000,$N232))</f>
        <v/>
      </c>
      <c r="H232" s="93" t="str">
        <f>IF($N232="","",INDEX('Deal maths'!$AB$1:$AB$1000,$N232))</f>
        <v/>
      </c>
      <c r="I232" s="94" t="str">
        <f>IF($N232="","",INDEX('Deal maths'!$Z$1:$Z$1000,$N232))</f>
        <v/>
      </c>
      <c r="J232" s="94" t="str">
        <f>IF($N232="","",INDEX('Deal maths'!$AA$1:$AA$1000,$N232))</f>
        <v/>
      </c>
      <c r="K232" s="94" t="str">
        <f>IF($N232="","",INDEX('Deal maths'!$AG$1:$AG$1000,$N232))</f>
        <v/>
      </c>
      <c r="L232" s="95" t="str">
        <f>IF($N232="","",INDEX('Loan maths'!$P$1:$P$1000,$N232))</f>
        <v/>
      </c>
      <c r="M232" s="92" t="str">
        <f>IF($N232="","",N(G232)*N(H232))</f>
        <v/>
      </c>
      <c r="N232" s="96" t="str">
        <f>IFERROR(MATCH(SMALL(LM_order,224),LM_order,0)+3,"")</f>
        <v/>
      </c>
    </row>
    <row r="233">
      <c r="B233" s="91" t="str">
        <f>IF($N233="","",INDEX('Loans'!$B$1:$B$1000,$N233)&amp;"")</f>
        <v/>
      </c>
      <c r="C233" s="91" t="str">
        <f>IF($N233="","",INDEX('Loans'!$A$1:$A$1000,$N233)&amp;"")</f>
        <v/>
      </c>
      <c r="D233" s="91" t="str">
        <f>IF($N233="","",INDEX('Loans'!$C$1:$C$1000,$N233)&amp;"")</f>
        <v/>
      </c>
      <c r="E233" s="91" t="str">
        <f>IF($N233="","",INDEX('Loan maths'!$C$1:$C$1000,$N233)&amp;"")</f>
        <v/>
      </c>
      <c r="F233" s="91" t="str">
        <f>IF($N233="","",INDEX('Loans'!$K$1:$K$1000,$N233)&amp;"")</f>
        <v/>
      </c>
      <c r="G233" s="92" t="str">
        <f>IF($N233="","",INDEX('Deal maths'!$Y$1:$Y$1000,$N233))</f>
        <v/>
      </c>
      <c r="H233" s="93" t="str">
        <f>IF($N233="","",INDEX('Deal maths'!$AB$1:$AB$1000,$N233))</f>
        <v/>
      </c>
      <c r="I233" s="94" t="str">
        <f>IF($N233="","",INDEX('Deal maths'!$Z$1:$Z$1000,$N233))</f>
        <v/>
      </c>
      <c r="J233" s="94" t="str">
        <f>IF($N233="","",INDEX('Deal maths'!$AA$1:$AA$1000,$N233))</f>
        <v/>
      </c>
      <c r="K233" s="94" t="str">
        <f>IF($N233="","",INDEX('Deal maths'!$AG$1:$AG$1000,$N233))</f>
        <v/>
      </c>
      <c r="L233" s="95" t="str">
        <f>IF($N233="","",INDEX('Loan maths'!$P$1:$P$1000,$N233))</f>
        <v/>
      </c>
      <c r="M233" s="92" t="str">
        <f>IF($N233="","",N(G233)*N(H233))</f>
        <v/>
      </c>
      <c r="N233" s="96" t="str">
        <f>IFERROR(MATCH(SMALL(LM_order,225),LM_order,0)+3,"")</f>
        <v/>
      </c>
    </row>
    <row r="234">
      <c r="B234" s="91" t="str">
        <f>IF($N234="","",INDEX('Loans'!$B$1:$B$1000,$N234)&amp;"")</f>
        <v/>
      </c>
      <c r="C234" s="91" t="str">
        <f>IF($N234="","",INDEX('Loans'!$A$1:$A$1000,$N234)&amp;"")</f>
        <v/>
      </c>
      <c r="D234" s="91" t="str">
        <f>IF($N234="","",INDEX('Loans'!$C$1:$C$1000,$N234)&amp;"")</f>
        <v/>
      </c>
      <c r="E234" s="91" t="str">
        <f>IF($N234="","",INDEX('Loan maths'!$C$1:$C$1000,$N234)&amp;"")</f>
        <v/>
      </c>
      <c r="F234" s="91" t="str">
        <f>IF($N234="","",INDEX('Loans'!$K$1:$K$1000,$N234)&amp;"")</f>
        <v/>
      </c>
      <c r="G234" s="92" t="str">
        <f>IF($N234="","",INDEX('Deal maths'!$Y$1:$Y$1000,$N234))</f>
        <v/>
      </c>
      <c r="H234" s="93" t="str">
        <f>IF($N234="","",INDEX('Deal maths'!$AB$1:$AB$1000,$N234))</f>
        <v/>
      </c>
      <c r="I234" s="94" t="str">
        <f>IF($N234="","",INDEX('Deal maths'!$Z$1:$Z$1000,$N234))</f>
        <v/>
      </c>
      <c r="J234" s="94" t="str">
        <f>IF($N234="","",INDEX('Deal maths'!$AA$1:$AA$1000,$N234))</f>
        <v/>
      </c>
      <c r="K234" s="94" t="str">
        <f>IF($N234="","",INDEX('Deal maths'!$AG$1:$AG$1000,$N234))</f>
        <v/>
      </c>
      <c r="L234" s="95" t="str">
        <f>IF($N234="","",INDEX('Loan maths'!$P$1:$P$1000,$N234))</f>
        <v/>
      </c>
      <c r="M234" s="92" t="str">
        <f>IF($N234="","",N(G234)*N(H234))</f>
        <v/>
      </c>
      <c r="N234" s="96" t="str">
        <f>IFERROR(MATCH(SMALL(LM_order,226),LM_order,0)+3,"")</f>
        <v/>
      </c>
    </row>
    <row r="235">
      <c r="B235" s="91" t="str">
        <f>IF($N235="","",INDEX('Loans'!$B$1:$B$1000,$N235)&amp;"")</f>
        <v/>
      </c>
      <c r="C235" s="91" t="str">
        <f>IF($N235="","",INDEX('Loans'!$A$1:$A$1000,$N235)&amp;"")</f>
        <v/>
      </c>
      <c r="D235" s="91" t="str">
        <f>IF($N235="","",INDEX('Loans'!$C$1:$C$1000,$N235)&amp;"")</f>
        <v/>
      </c>
      <c r="E235" s="91" t="str">
        <f>IF($N235="","",INDEX('Loan maths'!$C$1:$C$1000,$N235)&amp;"")</f>
        <v/>
      </c>
      <c r="F235" s="91" t="str">
        <f>IF($N235="","",INDEX('Loans'!$K$1:$K$1000,$N235)&amp;"")</f>
        <v/>
      </c>
      <c r="G235" s="92" t="str">
        <f>IF($N235="","",INDEX('Deal maths'!$Y$1:$Y$1000,$N235))</f>
        <v/>
      </c>
      <c r="H235" s="93" t="str">
        <f>IF($N235="","",INDEX('Deal maths'!$AB$1:$AB$1000,$N235))</f>
        <v/>
      </c>
      <c r="I235" s="94" t="str">
        <f>IF($N235="","",INDEX('Deal maths'!$Z$1:$Z$1000,$N235))</f>
        <v/>
      </c>
      <c r="J235" s="94" t="str">
        <f>IF($N235="","",INDEX('Deal maths'!$AA$1:$AA$1000,$N235))</f>
        <v/>
      </c>
      <c r="K235" s="94" t="str">
        <f>IF($N235="","",INDEX('Deal maths'!$AG$1:$AG$1000,$N235))</f>
        <v/>
      </c>
      <c r="L235" s="95" t="str">
        <f>IF($N235="","",INDEX('Loan maths'!$P$1:$P$1000,$N235))</f>
        <v/>
      </c>
      <c r="M235" s="92" t="str">
        <f>IF($N235="","",N(G235)*N(H235))</f>
        <v/>
      </c>
      <c r="N235" s="96" t="str">
        <f>IFERROR(MATCH(SMALL(LM_order,227),LM_order,0)+3,"")</f>
        <v/>
      </c>
    </row>
    <row r="236">
      <c r="B236" s="91" t="str">
        <f>IF($N236="","",INDEX('Loans'!$B$1:$B$1000,$N236)&amp;"")</f>
        <v/>
      </c>
      <c r="C236" s="91" t="str">
        <f>IF($N236="","",INDEX('Loans'!$A$1:$A$1000,$N236)&amp;"")</f>
        <v/>
      </c>
      <c r="D236" s="91" t="str">
        <f>IF($N236="","",INDEX('Loans'!$C$1:$C$1000,$N236)&amp;"")</f>
        <v/>
      </c>
      <c r="E236" s="91" t="str">
        <f>IF($N236="","",INDEX('Loan maths'!$C$1:$C$1000,$N236)&amp;"")</f>
        <v/>
      </c>
      <c r="F236" s="91" t="str">
        <f>IF($N236="","",INDEX('Loans'!$K$1:$K$1000,$N236)&amp;"")</f>
        <v/>
      </c>
      <c r="G236" s="92" t="str">
        <f>IF($N236="","",INDEX('Deal maths'!$Y$1:$Y$1000,$N236))</f>
        <v/>
      </c>
      <c r="H236" s="93" t="str">
        <f>IF($N236="","",INDEX('Deal maths'!$AB$1:$AB$1000,$N236))</f>
        <v/>
      </c>
      <c r="I236" s="94" t="str">
        <f>IF($N236="","",INDEX('Deal maths'!$Z$1:$Z$1000,$N236))</f>
        <v/>
      </c>
      <c r="J236" s="94" t="str">
        <f>IF($N236="","",INDEX('Deal maths'!$AA$1:$AA$1000,$N236))</f>
        <v/>
      </c>
      <c r="K236" s="94" t="str">
        <f>IF($N236="","",INDEX('Deal maths'!$AG$1:$AG$1000,$N236))</f>
        <v/>
      </c>
      <c r="L236" s="95" t="str">
        <f>IF($N236="","",INDEX('Loan maths'!$P$1:$P$1000,$N236))</f>
        <v/>
      </c>
      <c r="M236" s="92" t="str">
        <f>IF($N236="","",N(G236)*N(H236))</f>
        <v/>
      </c>
      <c r="N236" s="96" t="str">
        <f>IFERROR(MATCH(SMALL(LM_order,228),LM_order,0)+3,"")</f>
        <v/>
      </c>
    </row>
    <row r="237">
      <c r="B237" s="91" t="str">
        <f>IF($N237="","",INDEX('Loans'!$B$1:$B$1000,$N237)&amp;"")</f>
        <v/>
      </c>
      <c r="C237" s="91" t="str">
        <f>IF($N237="","",INDEX('Loans'!$A$1:$A$1000,$N237)&amp;"")</f>
        <v/>
      </c>
      <c r="D237" s="91" t="str">
        <f>IF($N237="","",INDEX('Loans'!$C$1:$C$1000,$N237)&amp;"")</f>
        <v/>
      </c>
      <c r="E237" s="91" t="str">
        <f>IF($N237="","",INDEX('Loan maths'!$C$1:$C$1000,$N237)&amp;"")</f>
        <v/>
      </c>
      <c r="F237" s="91" t="str">
        <f>IF($N237="","",INDEX('Loans'!$K$1:$K$1000,$N237)&amp;"")</f>
        <v/>
      </c>
      <c r="G237" s="92" t="str">
        <f>IF($N237="","",INDEX('Deal maths'!$Y$1:$Y$1000,$N237))</f>
        <v/>
      </c>
      <c r="H237" s="93" t="str">
        <f>IF($N237="","",INDEX('Deal maths'!$AB$1:$AB$1000,$N237))</f>
        <v/>
      </c>
      <c r="I237" s="94" t="str">
        <f>IF($N237="","",INDEX('Deal maths'!$Z$1:$Z$1000,$N237))</f>
        <v/>
      </c>
      <c r="J237" s="94" t="str">
        <f>IF($N237="","",INDEX('Deal maths'!$AA$1:$AA$1000,$N237))</f>
        <v/>
      </c>
      <c r="K237" s="94" t="str">
        <f>IF($N237="","",INDEX('Deal maths'!$AG$1:$AG$1000,$N237))</f>
        <v/>
      </c>
      <c r="L237" s="95" t="str">
        <f>IF($N237="","",INDEX('Loan maths'!$P$1:$P$1000,$N237))</f>
        <v/>
      </c>
      <c r="M237" s="92" t="str">
        <f>IF($N237="","",N(G237)*N(H237))</f>
        <v/>
      </c>
      <c r="N237" s="96" t="str">
        <f>IFERROR(MATCH(SMALL(LM_order,229),LM_order,0)+3,"")</f>
        <v/>
      </c>
    </row>
    <row r="238">
      <c r="B238" s="91" t="str">
        <f>IF($N238="","",INDEX('Loans'!$B$1:$B$1000,$N238)&amp;"")</f>
        <v/>
      </c>
      <c r="C238" s="91" t="str">
        <f>IF($N238="","",INDEX('Loans'!$A$1:$A$1000,$N238)&amp;"")</f>
        <v/>
      </c>
      <c r="D238" s="91" t="str">
        <f>IF($N238="","",INDEX('Loans'!$C$1:$C$1000,$N238)&amp;"")</f>
        <v/>
      </c>
      <c r="E238" s="91" t="str">
        <f>IF($N238="","",INDEX('Loan maths'!$C$1:$C$1000,$N238)&amp;"")</f>
        <v/>
      </c>
      <c r="F238" s="91" t="str">
        <f>IF($N238="","",INDEX('Loans'!$K$1:$K$1000,$N238)&amp;"")</f>
        <v/>
      </c>
      <c r="G238" s="92" t="str">
        <f>IF($N238="","",INDEX('Deal maths'!$Y$1:$Y$1000,$N238))</f>
        <v/>
      </c>
      <c r="H238" s="93" t="str">
        <f>IF($N238="","",INDEX('Deal maths'!$AB$1:$AB$1000,$N238))</f>
        <v/>
      </c>
      <c r="I238" s="94" t="str">
        <f>IF($N238="","",INDEX('Deal maths'!$Z$1:$Z$1000,$N238))</f>
        <v/>
      </c>
      <c r="J238" s="94" t="str">
        <f>IF($N238="","",INDEX('Deal maths'!$AA$1:$AA$1000,$N238))</f>
        <v/>
      </c>
      <c r="K238" s="94" t="str">
        <f>IF($N238="","",INDEX('Deal maths'!$AG$1:$AG$1000,$N238))</f>
        <v/>
      </c>
      <c r="L238" s="95" t="str">
        <f>IF($N238="","",INDEX('Loan maths'!$P$1:$P$1000,$N238))</f>
        <v/>
      </c>
      <c r="M238" s="92" t="str">
        <f>IF($N238="","",N(G238)*N(H238))</f>
        <v/>
      </c>
      <c r="N238" s="96" t="str">
        <f>IFERROR(MATCH(SMALL(LM_order,230),LM_order,0)+3,"")</f>
        <v/>
      </c>
    </row>
    <row r="239">
      <c r="B239" s="91" t="str">
        <f>IF($N239="","",INDEX('Loans'!$B$1:$B$1000,$N239)&amp;"")</f>
        <v/>
      </c>
      <c r="C239" s="91" t="str">
        <f>IF($N239="","",INDEX('Loans'!$A$1:$A$1000,$N239)&amp;"")</f>
        <v/>
      </c>
      <c r="D239" s="91" t="str">
        <f>IF($N239="","",INDEX('Loans'!$C$1:$C$1000,$N239)&amp;"")</f>
        <v/>
      </c>
      <c r="E239" s="91" t="str">
        <f>IF($N239="","",INDEX('Loan maths'!$C$1:$C$1000,$N239)&amp;"")</f>
        <v/>
      </c>
      <c r="F239" s="91" t="str">
        <f>IF($N239="","",INDEX('Loans'!$K$1:$K$1000,$N239)&amp;"")</f>
        <v/>
      </c>
      <c r="G239" s="92" t="str">
        <f>IF($N239="","",INDEX('Deal maths'!$Y$1:$Y$1000,$N239))</f>
        <v/>
      </c>
      <c r="H239" s="93" t="str">
        <f>IF($N239="","",INDEX('Deal maths'!$AB$1:$AB$1000,$N239))</f>
        <v/>
      </c>
      <c r="I239" s="94" t="str">
        <f>IF($N239="","",INDEX('Deal maths'!$Z$1:$Z$1000,$N239))</f>
        <v/>
      </c>
      <c r="J239" s="94" t="str">
        <f>IF($N239="","",INDEX('Deal maths'!$AA$1:$AA$1000,$N239))</f>
        <v/>
      </c>
      <c r="K239" s="94" t="str">
        <f>IF($N239="","",INDEX('Deal maths'!$AG$1:$AG$1000,$N239))</f>
        <v/>
      </c>
      <c r="L239" s="95" t="str">
        <f>IF($N239="","",INDEX('Loan maths'!$P$1:$P$1000,$N239))</f>
        <v/>
      </c>
      <c r="M239" s="92" t="str">
        <f>IF($N239="","",N(G239)*N(H239))</f>
        <v/>
      </c>
      <c r="N239" s="96" t="str">
        <f>IFERROR(MATCH(SMALL(LM_order,231),LM_order,0)+3,"")</f>
        <v/>
      </c>
    </row>
    <row r="240">
      <c r="B240" s="91" t="str">
        <f>IF($N240="","",INDEX('Loans'!$B$1:$B$1000,$N240)&amp;"")</f>
        <v/>
      </c>
      <c r="C240" s="91" t="str">
        <f>IF($N240="","",INDEX('Loans'!$A$1:$A$1000,$N240)&amp;"")</f>
        <v/>
      </c>
      <c r="D240" s="91" t="str">
        <f>IF($N240="","",INDEX('Loans'!$C$1:$C$1000,$N240)&amp;"")</f>
        <v/>
      </c>
      <c r="E240" s="91" t="str">
        <f>IF($N240="","",INDEX('Loan maths'!$C$1:$C$1000,$N240)&amp;"")</f>
        <v/>
      </c>
      <c r="F240" s="91" t="str">
        <f>IF($N240="","",INDEX('Loans'!$K$1:$K$1000,$N240)&amp;"")</f>
        <v/>
      </c>
      <c r="G240" s="92" t="str">
        <f>IF($N240="","",INDEX('Deal maths'!$Y$1:$Y$1000,$N240))</f>
        <v/>
      </c>
      <c r="H240" s="93" t="str">
        <f>IF($N240="","",INDEX('Deal maths'!$AB$1:$AB$1000,$N240))</f>
        <v/>
      </c>
      <c r="I240" s="94" t="str">
        <f>IF($N240="","",INDEX('Deal maths'!$Z$1:$Z$1000,$N240))</f>
        <v/>
      </c>
      <c r="J240" s="94" t="str">
        <f>IF($N240="","",INDEX('Deal maths'!$AA$1:$AA$1000,$N240))</f>
        <v/>
      </c>
      <c r="K240" s="94" t="str">
        <f>IF($N240="","",INDEX('Deal maths'!$AG$1:$AG$1000,$N240))</f>
        <v/>
      </c>
      <c r="L240" s="95" t="str">
        <f>IF($N240="","",INDEX('Loan maths'!$P$1:$P$1000,$N240))</f>
        <v/>
      </c>
      <c r="M240" s="92" t="str">
        <f>IF($N240="","",N(G240)*N(H240))</f>
        <v/>
      </c>
      <c r="N240" s="96" t="str">
        <f>IFERROR(MATCH(SMALL(LM_order,232),LM_order,0)+3,"")</f>
        <v/>
      </c>
    </row>
    <row r="241">
      <c r="B241" s="91" t="str">
        <f>IF($N241="","",INDEX('Loans'!$B$1:$B$1000,$N241)&amp;"")</f>
        <v/>
      </c>
      <c r="C241" s="91" t="str">
        <f>IF($N241="","",INDEX('Loans'!$A$1:$A$1000,$N241)&amp;"")</f>
        <v/>
      </c>
      <c r="D241" s="91" t="str">
        <f>IF($N241="","",INDEX('Loans'!$C$1:$C$1000,$N241)&amp;"")</f>
        <v/>
      </c>
      <c r="E241" s="91" t="str">
        <f>IF($N241="","",INDEX('Loan maths'!$C$1:$C$1000,$N241)&amp;"")</f>
        <v/>
      </c>
      <c r="F241" s="91" t="str">
        <f>IF($N241="","",INDEX('Loans'!$K$1:$K$1000,$N241)&amp;"")</f>
        <v/>
      </c>
      <c r="G241" s="92" t="str">
        <f>IF($N241="","",INDEX('Deal maths'!$Y$1:$Y$1000,$N241))</f>
        <v/>
      </c>
      <c r="H241" s="93" t="str">
        <f>IF($N241="","",INDEX('Deal maths'!$AB$1:$AB$1000,$N241))</f>
        <v/>
      </c>
      <c r="I241" s="94" t="str">
        <f>IF($N241="","",INDEX('Deal maths'!$Z$1:$Z$1000,$N241))</f>
        <v/>
      </c>
      <c r="J241" s="94" t="str">
        <f>IF($N241="","",INDEX('Deal maths'!$AA$1:$AA$1000,$N241))</f>
        <v/>
      </c>
      <c r="K241" s="94" t="str">
        <f>IF($N241="","",INDEX('Deal maths'!$AG$1:$AG$1000,$N241))</f>
        <v/>
      </c>
      <c r="L241" s="95" t="str">
        <f>IF($N241="","",INDEX('Loan maths'!$P$1:$P$1000,$N241))</f>
        <v/>
      </c>
      <c r="M241" s="92" t="str">
        <f>IF($N241="","",N(G241)*N(H241))</f>
        <v/>
      </c>
      <c r="N241" s="96" t="str">
        <f>IFERROR(MATCH(SMALL(LM_order,233),LM_order,0)+3,"")</f>
        <v/>
      </c>
    </row>
    <row r="242">
      <c r="B242" s="91" t="str">
        <f>IF($N242="","",INDEX('Loans'!$B$1:$B$1000,$N242)&amp;"")</f>
        <v/>
      </c>
      <c r="C242" s="91" t="str">
        <f>IF($N242="","",INDEX('Loans'!$A$1:$A$1000,$N242)&amp;"")</f>
        <v/>
      </c>
      <c r="D242" s="91" t="str">
        <f>IF($N242="","",INDEX('Loans'!$C$1:$C$1000,$N242)&amp;"")</f>
        <v/>
      </c>
      <c r="E242" s="91" t="str">
        <f>IF($N242="","",INDEX('Loan maths'!$C$1:$C$1000,$N242)&amp;"")</f>
        <v/>
      </c>
      <c r="F242" s="91" t="str">
        <f>IF($N242="","",INDEX('Loans'!$K$1:$K$1000,$N242)&amp;"")</f>
        <v/>
      </c>
      <c r="G242" s="92" t="str">
        <f>IF($N242="","",INDEX('Deal maths'!$Y$1:$Y$1000,$N242))</f>
        <v/>
      </c>
      <c r="H242" s="93" t="str">
        <f>IF($N242="","",INDEX('Deal maths'!$AB$1:$AB$1000,$N242))</f>
        <v/>
      </c>
      <c r="I242" s="94" t="str">
        <f>IF($N242="","",INDEX('Deal maths'!$Z$1:$Z$1000,$N242))</f>
        <v/>
      </c>
      <c r="J242" s="94" t="str">
        <f>IF($N242="","",INDEX('Deal maths'!$AA$1:$AA$1000,$N242))</f>
        <v/>
      </c>
      <c r="K242" s="94" t="str">
        <f>IF($N242="","",INDEX('Deal maths'!$AG$1:$AG$1000,$N242))</f>
        <v/>
      </c>
      <c r="L242" s="95" t="str">
        <f>IF($N242="","",INDEX('Loan maths'!$P$1:$P$1000,$N242))</f>
        <v/>
      </c>
      <c r="M242" s="92" t="str">
        <f>IF($N242="","",N(G242)*N(H242))</f>
        <v/>
      </c>
      <c r="N242" s="96" t="str">
        <f>IFERROR(MATCH(SMALL(LM_order,234),LM_order,0)+3,"")</f>
        <v/>
      </c>
    </row>
    <row r="243">
      <c r="B243" s="91" t="str">
        <f>IF($N243="","",INDEX('Loans'!$B$1:$B$1000,$N243)&amp;"")</f>
        <v/>
      </c>
      <c r="C243" s="91" t="str">
        <f>IF($N243="","",INDEX('Loans'!$A$1:$A$1000,$N243)&amp;"")</f>
        <v/>
      </c>
      <c r="D243" s="91" t="str">
        <f>IF($N243="","",INDEX('Loans'!$C$1:$C$1000,$N243)&amp;"")</f>
        <v/>
      </c>
      <c r="E243" s="91" t="str">
        <f>IF($N243="","",INDEX('Loan maths'!$C$1:$C$1000,$N243)&amp;"")</f>
        <v/>
      </c>
      <c r="F243" s="91" t="str">
        <f>IF($N243="","",INDEX('Loans'!$K$1:$K$1000,$N243)&amp;"")</f>
        <v/>
      </c>
      <c r="G243" s="92" t="str">
        <f>IF($N243="","",INDEX('Deal maths'!$Y$1:$Y$1000,$N243))</f>
        <v/>
      </c>
      <c r="H243" s="93" t="str">
        <f>IF($N243="","",INDEX('Deal maths'!$AB$1:$AB$1000,$N243))</f>
        <v/>
      </c>
      <c r="I243" s="94" t="str">
        <f>IF($N243="","",INDEX('Deal maths'!$Z$1:$Z$1000,$N243))</f>
        <v/>
      </c>
      <c r="J243" s="94" t="str">
        <f>IF($N243="","",INDEX('Deal maths'!$AA$1:$AA$1000,$N243))</f>
        <v/>
      </c>
      <c r="K243" s="94" t="str">
        <f>IF($N243="","",INDEX('Deal maths'!$AG$1:$AG$1000,$N243))</f>
        <v/>
      </c>
      <c r="L243" s="95" t="str">
        <f>IF($N243="","",INDEX('Loan maths'!$P$1:$P$1000,$N243))</f>
        <v/>
      </c>
      <c r="M243" s="92" t="str">
        <f>IF($N243="","",N(G243)*N(H243))</f>
        <v/>
      </c>
      <c r="N243" s="96" t="str">
        <f>IFERROR(MATCH(SMALL(LM_order,235),LM_order,0)+3,"")</f>
        <v/>
      </c>
    </row>
    <row r="244">
      <c r="B244" s="91" t="str">
        <f>IF($N244="","",INDEX('Loans'!$B$1:$B$1000,$N244)&amp;"")</f>
        <v/>
      </c>
      <c r="C244" s="91" t="str">
        <f>IF($N244="","",INDEX('Loans'!$A$1:$A$1000,$N244)&amp;"")</f>
        <v/>
      </c>
      <c r="D244" s="91" t="str">
        <f>IF($N244="","",INDEX('Loans'!$C$1:$C$1000,$N244)&amp;"")</f>
        <v/>
      </c>
      <c r="E244" s="91" t="str">
        <f>IF($N244="","",INDEX('Loan maths'!$C$1:$C$1000,$N244)&amp;"")</f>
        <v/>
      </c>
      <c r="F244" s="91" t="str">
        <f>IF($N244="","",INDEX('Loans'!$K$1:$K$1000,$N244)&amp;"")</f>
        <v/>
      </c>
      <c r="G244" s="92" t="str">
        <f>IF($N244="","",INDEX('Deal maths'!$Y$1:$Y$1000,$N244))</f>
        <v/>
      </c>
      <c r="H244" s="93" t="str">
        <f>IF($N244="","",INDEX('Deal maths'!$AB$1:$AB$1000,$N244))</f>
        <v/>
      </c>
      <c r="I244" s="94" t="str">
        <f>IF($N244="","",INDEX('Deal maths'!$Z$1:$Z$1000,$N244))</f>
        <v/>
      </c>
      <c r="J244" s="94" t="str">
        <f>IF($N244="","",INDEX('Deal maths'!$AA$1:$AA$1000,$N244))</f>
        <v/>
      </c>
      <c r="K244" s="94" t="str">
        <f>IF($N244="","",INDEX('Deal maths'!$AG$1:$AG$1000,$N244))</f>
        <v/>
      </c>
      <c r="L244" s="95" t="str">
        <f>IF($N244="","",INDEX('Loan maths'!$P$1:$P$1000,$N244))</f>
        <v/>
      </c>
      <c r="M244" s="92" t="str">
        <f>IF($N244="","",N(G244)*N(H244))</f>
        <v/>
      </c>
      <c r="N244" s="96" t="str">
        <f>IFERROR(MATCH(SMALL(LM_order,236),LM_order,0)+3,"")</f>
        <v/>
      </c>
    </row>
    <row r="245">
      <c r="B245" s="91" t="str">
        <f>IF($N245="","",INDEX('Loans'!$B$1:$B$1000,$N245)&amp;"")</f>
        <v/>
      </c>
      <c r="C245" s="91" t="str">
        <f>IF($N245="","",INDEX('Loans'!$A$1:$A$1000,$N245)&amp;"")</f>
        <v/>
      </c>
      <c r="D245" s="91" t="str">
        <f>IF($N245="","",INDEX('Loans'!$C$1:$C$1000,$N245)&amp;"")</f>
        <v/>
      </c>
      <c r="E245" s="91" t="str">
        <f>IF($N245="","",INDEX('Loan maths'!$C$1:$C$1000,$N245)&amp;"")</f>
        <v/>
      </c>
      <c r="F245" s="91" t="str">
        <f>IF($N245="","",INDEX('Loans'!$K$1:$K$1000,$N245)&amp;"")</f>
        <v/>
      </c>
      <c r="G245" s="92" t="str">
        <f>IF($N245="","",INDEX('Deal maths'!$Y$1:$Y$1000,$N245))</f>
        <v/>
      </c>
      <c r="H245" s="93" t="str">
        <f>IF($N245="","",INDEX('Deal maths'!$AB$1:$AB$1000,$N245))</f>
        <v/>
      </c>
      <c r="I245" s="94" t="str">
        <f>IF($N245="","",INDEX('Deal maths'!$Z$1:$Z$1000,$N245))</f>
        <v/>
      </c>
      <c r="J245" s="94" t="str">
        <f>IF($N245="","",INDEX('Deal maths'!$AA$1:$AA$1000,$N245))</f>
        <v/>
      </c>
      <c r="K245" s="94" t="str">
        <f>IF($N245="","",INDEX('Deal maths'!$AG$1:$AG$1000,$N245))</f>
        <v/>
      </c>
      <c r="L245" s="95" t="str">
        <f>IF($N245="","",INDEX('Loan maths'!$P$1:$P$1000,$N245))</f>
        <v/>
      </c>
      <c r="M245" s="92" t="str">
        <f>IF($N245="","",N(G245)*N(H245))</f>
        <v/>
      </c>
      <c r="N245" s="96" t="str">
        <f>IFERROR(MATCH(SMALL(LM_order,237),LM_order,0)+3,"")</f>
        <v/>
      </c>
    </row>
    <row r="246">
      <c r="B246" s="91" t="str">
        <f>IF($N246="","",INDEX('Loans'!$B$1:$B$1000,$N246)&amp;"")</f>
        <v/>
      </c>
      <c r="C246" s="91" t="str">
        <f>IF($N246="","",INDEX('Loans'!$A$1:$A$1000,$N246)&amp;"")</f>
        <v/>
      </c>
      <c r="D246" s="91" t="str">
        <f>IF($N246="","",INDEX('Loans'!$C$1:$C$1000,$N246)&amp;"")</f>
        <v/>
      </c>
      <c r="E246" s="91" t="str">
        <f>IF($N246="","",INDEX('Loan maths'!$C$1:$C$1000,$N246)&amp;"")</f>
        <v/>
      </c>
      <c r="F246" s="91" t="str">
        <f>IF($N246="","",INDEX('Loans'!$K$1:$K$1000,$N246)&amp;"")</f>
        <v/>
      </c>
      <c r="G246" s="92" t="str">
        <f>IF($N246="","",INDEX('Deal maths'!$Y$1:$Y$1000,$N246))</f>
        <v/>
      </c>
      <c r="H246" s="93" t="str">
        <f>IF($N246="","",INDEX('Deal maths'!$AB$1:$AB$1000,$N246))</f>
        <v/>
      </c>
      <c r="I246" s="94" t="str">
        <f>IF($N246="","",INDEX('Deal maths'!$Z$1:$Z$1000,$N246))</f>
        <v/>
      </c>
      <c r="J246" s="94" t="str">
        <f>IF($N246="","",INDEX('Deal maths'!$AA$1:$AA$1000,$N246))</f>
        <v/>
      </c>
      <c r="K246" s="94" t="str">
        <f>IF($N246="","",INDEX('Deal maths'!$AG$1:$AG$1000,$N246))</f>
        <v/>
      </c>
      <c r="L246" s="95" t="str">
        <f>IF($N246="","",INDEX('Loan maths'!$P$1:$P$1000,$N246))</f>
        <v/>
      </c>
      <c r="M246" s="92" t="str">
        <f>IF($N246="","",N(G246)*N(H246))</f>
        <v/>
      </c>
      <c r="N246" s="96" t="str">
        <f>IFERROR(MATCH(SMALL(LM_order,238),LM_order,0)+3,"")</f>
        <v/>
      </c>
    </row>
    <row r="247">
      <c r="B247" s="91" t="str">
        <f>IF($N247="","",INDEX('Loans'!$B$1:$B$1000,$N247)&amp;"")</f>
        <v/>
      </c>
      <c r="C247" s="91" t="str">
        <f>IF($N247="","",INDEX('Loans'!$A$1:$A$1000,$N247)&amp;"")</f>
        <v/>
      </c>
      <c r="D247" s="91" t="str">
        <f>IF($N247="","",INDEX('Loans'!$C$1:$C$1000,$N247)&amp;"")</f>
        <v/>
      </c>
      <c r="E247" s="91" t="str">
        <f>IF($N247="","",INDEX('Loan maths'!$C$1:$C$1000,$N247)&amp;"")</f>
        <v/>
      </c>
      <c r="F247" s="91" t="str">
        <f>IF($N247="","",INDEX('Loans'!$K$1:$K$1000,$N247)&amp;"")</f>
        <v/>
      </c>
      <c r="G247" s="92" t="str">
        <f>IF($N247="","",INDEX('Deal maths'!$Y$1:$Y$1000,$N247))</f>
        <v/>
      </c>
      <c r="H247" s="93" t="str">
        <f>IF($N247="","",INDEX('Deal maths'!$AB$1:$AB$1000,$N247))</f>
        <v/>
      </c>
      <c r="I247" s="94" t="str">
        <f>IF($N247="","",INDEX('Deal maths'!$Z$1:$Z$1000,$N247))</f>
        <v/>
      </c>
      <c r="J247" s="94" t="str">
        <f>IF($N247="","",INDEX('Deal maths'!$AA$1:$AA$1000,$N247))</f>
        <v/>
      </c>
      <c r="K247" s="94" t="str">
        <f>IF($N247="","",INDEX('Deal maths'!$AG$1:$AG$1000,$N247))</f>
        <v/>
      </c>
      <c r="L247" s="95" t="str">
        <f>IF($N247="","",INDEX('Loan maths'!$P$1:$P$1000,$N247))</f>
        <v/>
      </c>
      <c r="M247" s="92" t="str">
        <f>IF($N247="","",N(G247)*N(H247))</f>
        <v/>
      </c>
      <c r="N247" s="96" t="str">
        <f>IFERROR(MATCH(SMALL(LM_order,239),LM_order,0)+3,"")</f>
        <v/>
      </c>
    </row>
    <row r="248">
      <c r="B248" s="91" t="str">
        <f>IF($N248="","",INDEX('Loans'!$B$1:$B$1000,$N248)&amp;"")</f>
        <v/>
      </c>
      <c r="C248" s="91" t="str">
        <f>IF($N248="","",INDEX('Loans'!$A$1:$A$1000,$N248)&amp;"")</f>
        <v/>
      </c>
      <c r="D248" s="91" t="str">
        <f>IF($N248="","",INDEX('Loans'!$C$1:$C$1000,$N248)&amp;"")</f>
        <v/>
      </c>
      <c r="E248" s="91" t="str">
        <f>IF($N248="","",INDEX('Loan maths'!$C$1:$C$1000,$N248)&amp;"")</f>
        <v/>
      </c>
      <c r="F248" s="91" t="str">
        <f>IF($N248="","",INDEX('Loans'!$K$1:$K$1000,$N248)&amp;"")</f>
        <v/>
      </c>
      <c r="G248" s="92" t="str">
        <f>IF($N248="","",INDEX('Deal maths'!$Y$1:$Y$1000,$N248))</f>
        <v/>
      </c>
      <c r="H248" s="93" t="str">
        <f>IF($N248="","",INDEX('Deal maths'!$AB$1:$AB$1000,$N248))</f>
        <v/>
      </c>
      <c r="I248" s="94" t="str">
        <f>IF($N248="","",INDEX('Deal maths'!$Z$1:$Z$1000,$N248))</f>
        <v/>
      </c>
      <c r="J248" s="94" t="str">
        <f>IF($N248="","",INDEX('Deal maths'!$AA$1:$AA$1000,$N248))</f>
        <v/>
      </c>
      <c r="K248" s="94" t="str">
        <f>IF($N248="","",INDEX('Deal maths'!$AG$1:$AG$1000,$N248))</f>
        <v/>
      </c>
      <c r="L248" s="95" t="str">
        <f>IF($N248="","",INDEX('Loan maths'!$P$1:$P$1000,$N248))</f>
        <v/>
      </c>
      <c r="M248" s="92" t="str">
        <f>IF($N248="","",N(G248)*N(H248))</f>
        <v/>
      </c>
      <c r="N248" s="96" t="str">
        <f>IFERROR(MATCH(SMALL(LM_order,240),LM_order,0)+3,"")</f>
        <v/>
      </c>
    </row>
    <row r="249">
      <c r="B249" s="91" t="str">
        <f>IF($N249="","",INDEX('Loans'!$B$1:$B$1000,$N249)&amp;"")</f>
        <v/>
      </c>
      <c r="C249" s="91" t="str">
        <f>IF($N249="","",INDEX('Loans'!$A$1:$A$1000,$N249)&amp;"")</f>
        <v/>
      </c>
      <c r="D249" s="91" t="str">
        <f>IF($N249="","",INDEX('Loans'!$C$1:$C$1000,$N249)&amp;"")</f>
        <v/>
      </c>
      <c r="E249" s="91" t="str">
        <f>IF($N249="","",INDEX('Loan maths'!$C$1:$C$1000,$N249)&amp;"")</f>
        <v/>
      </c>
      <c r="F249" s="91" t="str">
        <f>IF($N249="","",INDEX('Loans'!$K$1:$K$1000,$N249)&amp;"")</f>
        <v/>
      </c>
      <c r="G249" s="92" t="str">
        <f>IF($N249="","",INDEX('Deal maths'!$Y$1:$Y$1000,$N249))</f>
        <v/>
      </c>
      <c r="H249" s="93" t="str">
        <f>IF($N249="","",INDEX('Deal maths'!$AB$1:$AB$1000,$N249))</f>
        <v/>
      </c>
      <c r="I249" s="94" t="str">
        <f>IF($N249="","",INDEX('Deal maths'!$Z$1:$Z$1000,$N249))</f>
        <v/>
      </c>
      <c r="J249" s="94" t="str">
        <f>IF($N249="","",INDEX('Deal maths'!$AA$1:$AA$1000,$N249))</f>
        <v/>
      </c>
      <c r="K249" s="94" t="str">
        <f>IF($N249="","",INDEX('Deal maths'!$AG$1:$AG$1000,$N249))</f>
        <v/>
      </c>
      <c r="L249" s="95" t="str">
        <f>IF($N249="","",INDEX('Loan maths'!$P$1:$P$1000,$N249))</f>
        <v/>
      </c>
      <c r="M249" s="92" t="str">
        <f>IF($N249="","",N(G249)*N(H249))</f>
        <v/>
      </c>
      <c r="N249" s="96" t="str">
        <f>IFERROR(MATCH(SMALL(LM_order,241),LM_order,0)+3,"")</f>
        <v/>
      </c>
    </row>
    <row r="250">
      <c r="B250" s="91" t="str">
        <f>IF($N250="","",INDEX('Loans'!$B$1:$B$1000,$N250)&amp;"")</f>
        <v/>
      </c>
      <c r="C250" s="91" t="str">
        <f>IF($N250="","",INDEX('Loans'!$A$1:$A$1000,$N250)&amp;"")</f>
        <v/>
      </c>
      <c r="D250" s="91" t="str">
        <f>IF($N250="","",INDEX('Loans'!$C$1:$C$1000,$N250)&amp;"")</f>
        <v/>
      </c>
      <c r="E250" s="91" t="str">
        <f>IF($N250="","",INDEX('Loan maths'!$C$1:$C$1000,$N250)&amp;"")</f>
        <v/>
      </c>
      <c r="F250" s="91" t="str">
        <f>IF($N250="","",INDEX('Loans'!$K$1:$K$1000,$N250)&amp;"")</f>
        <v/>
      </c>
      <c r="G250" s="92" t="str">
        <f>IF($N250="","",INDEX('Deal maths'!$Y$1:$Y$1000,$N250))</f>
        <v/>
      </c>
      <c r="H250" s="93" t="str">
        <f>IF($N250="","",INDEX('Deal maths'!$AB$1:$AB$1000,$N250))</f>
        <v/>
      </c>
      <c r="I250" s="94" t="str">
        <f>IF($N250="","",INDEX('Deal maths'!$Z$1:$Z$1000,$N250))</f>
        <v/>
      </c>
      <c r="J250" s="94" t="str">
        <f>IF($N250="","",INDEX('Deal maths'!$AA$1:$AA$1000,$N250))</f>
        <v/>
      </c>
      <c r="K250" s="94" t="str">
        <f>IF($N250="","",INDEX('Deal maths'!$AG$1:$AG$1000,$N250))</f>
        <v/>
      </c>
      <c r="L250" s="95" t="str">
        <f>IF($N250="","",INDEX('Loan maths'!$P$1:$P$1000,$N250))</f>
        <v/>
      </c>
      <c r="M250" s="92" t="str">
        <f>IF($N250="","",N(G250)*N(H250))</f>
        <v/>
      </c>
      <c r="N250" s="96" t="str">
        <f>IFERROR(MATCH(SMALL(LM_order,242),LM_order,0)+3,"")</f>
        <v/>
      </c>
    </row>
    <row r="251">
      <c r="B251" s="91" t="str">
        <f>IF($N251="","",INDEX('Loans'!$B$1:$B$1000,$N251)&amp;"")</f>
        <v/>
      </c>
      <c r="C251" s="91" t="str">
        <f>IF($N251="","",INDEX('Loans'!$A$1:$A$1000,$N251)&amp;"")</f>
        <v/>
      </c>
      <c r="D251" s="91" t="str">
        <f>IF($N251="","",INDEX('Loans'!$C$1:$C$1000,$N251)&amp;"")</f>
        <v/>
      </c>
      <c r="E251" s="91" t="str">
        <f>IF($N251="","",INDEX('Loan maths'!$C$1:$C$1000,$N251)&amp;"")</f>
        <v/>
      </c>
      <c r="F251" s="91" t="str">
        <f>IF($N251="","",INDEX('Loans'!$K$1:$K$1000,$N251)&amp;"")</f>
        <v/>
      </c>
      <c r="G251" s="92" t="str">
        <f>IF($N251="","",INDEX('Deal maths'!$Y$1:$Y$1000,$N251))</f>
        <v/>
      </c>
      <c r="H251" s="93" t="str">
        <f>IF($N251="","",INDEX('Deal maths'!$AB$1:$AB$1000,$N251))</f>
        <v/>
      </c>
      <c r="I251" s="94" t="str">
        <f>IF($N251="","",INDEX('Deal maths'!$Z$1:$Z$1000,$N251))</f>
        <v/>
      </c>
      <c r="J251" s="94" t="str">
        <f>IF($N251="","",INDEX('Deal maths'!$AA$1:$AA$1000,$N251))</f>
        <v/>
      </c>
      <c r="K251" s="94" t="str">
        <f>IF($N251="","",INDEX('Deal maths'!$AG$1:$AG$1000,$N251))</f>
        <v/>
      </c>
      <c r="L251" s="95" t="str">
        <f>IF($N251="","",INDEX('Loan maths'!$P$1:$P$1000,$N251))</f>
        <v/>
      </c>
      <c r="M251" s="92" t="str">
        <f>IF($N251="","",N(G251)*N(H251))</f>
        <v/>
      </c>
      <c r="N251" s="96" t="str">
        <f>IFERROR(MATCH(SMALL(LM_order,243),LM_order,0)+3,"")</f>
        <v/>
      </c>
    </row>
    <row r="252">
      <c r="B252" s="91" t="str">
        <f>IF($N252="","",INDEX('Loans'!$B$1:$B$1000,$N252)&amp;"")</f>
        <v/>
      </c>
      <c r="C252" s="91" t="str">
        <f>IF($N252="","",INDEX('Loans'!$A$1:$A$1000,$N252)&amp;"")</f>
        <v/>
      </c>
      <c r="D252" s="91" t="str">
        <f>IF($N252="","",INDEX('Loans'!$C$1:$C$1000,$N252)&amp;"")</f>
        <v/>
      </c>
      <c r="E252" s="91" t="str">
        <f>IF($N252="","",INDEX('Loan maths'!$C$1:$C$1000,$N252)&amp;"")</f>
        <v/>
      </c>
      <c r="F252" s="91" t="str">
        <f>IF($N252="","",INDEX('Loans'!$K$1:$K$1000,$N252)&amp;"")</f>
        <v/>
      </c>
      <c r="G252" s="92" t="str">
        <f>IF($N252="","",INDEX('Deal maths'!$Y$1:$Y$1000,$N252))</f>
        <v/>
      </c>
      <c r="H252" s="93" t="str">
        <f>IF($N252="","",INDEX('Deal maths'!$AB$1:$AB$1000,$N252))</f>
        <v/>
      </c>
      <c r="I252" s="94" t="str">
        <f>IF($N252="","",INDEX('Deal maths'!$Z$1:$Z$1000,$N252))</f>
        <v/>
      </c>
      <c r="J252" s="94" t="str">
        <f>IF($N252="","",INDEX('Deal maths'!$AA$1:$AA$1000,$N252))</f>
        <v/>
      </c>
      <c r="K252" s="94" t="str">
        <f>IF($N252="","",INDEX('Deal maths'!$AG$1:$AG$1000,$N252))</f>
        <v/>
      </c>
      <c r="L252" s="95" t="str">
        <f>IF($N252="","",INDEX('Loan maths'!$P$1:$P$1000,$N252))</f>
        <v/>
      </c>
      <c r="M252" s="92" t="str">
        <f>IF($N252="","",N(G252)*N(H252))</f>
        <v/>
      </c>
      <c r="N252" s="96" t="str">
        <f>IFERROR(MATCH(SMALL(LM_order,244),LM_order,0)+3,"")</f>
        <v/>
      </c>
    </row>
    <row r="253">
      <c r="B253" s="91" t="str">
        <f>IF($N253="","",INDEX('Loans'!$B$1:$B$1000,$N253)&amp;"")</f>
        <v/>
      </c>
      <c r="C253" s="91" t="str">
        <f>IF($N253="","",INDEX('Loans'!$A$1:$A$1000,$N253)&amp;"")</f>
        <v/>
      </c>
      <c r="D253" s="91" t="str">
        <f>IF($N253="","",INDEX('Loans'!$C$1:$C$1000,$N253)&amp;"")</f>
        <v/>
      </c>
      <c r="E253" s="91" t="str">
        <f>IF($N253="","",INDEX('Loan maths'!$C$1:$C$1000,$N253)&amp;"")</f>
        <v/>
      </c>
      <c r="F253" s="91" t="str">
        <f>IF($N253="","",INDEX('Loans'!$K$1:$K$1000,$N253)&amp;"")</f>
        <v/>
      </c>
      <c r="G253" s="92" t="str">
        <f>IF($N253="","",INDEX('Deal maths'!$Y$1:$Y$1000,$N253))</f>
        <v/>
      </c>
      <c r="H253" s="93" t="str">
        <f>IF($N253="","",INDEX('Deal maths'!$AB$1:$AB$1000,$N253))</f>
        <v/>
      </c>
      <c r="I253" s="94" t="str">
        <f>IF($N253="","",INDEX('Deal maths'!$Z$1:$Z$1000,$N253))</f>
        <v/>
      </c>
      <c r="J253" s="94" t="str">
        <f>IF($N253="","",INDEX('Deal maths'!$AA$1:$AA$1000,$N253))</f>
        <v/>
      </c>
      <c r="K253" s="94" t="str">
        <f>IF($N253="","",INDEX('Deal maths'!$AG$1:$AG$1000,$N253))</f>
        <v/>
      </c>
      <c r="L253" s="95" t="str">
        <f>IF($N253="","",INDEX('Loan maths'!$P$1:$P$1000,$N253))</f>
        <v/>
      </c>
      <c r="M253" s="92" t="str">
        <f>IF($N253="","",N(G253)*N(H253))</f>
        <v/>
      </c>
      <c r="N253" s="96" t="str">
        <f>IFERROR(MATCH(SMALL(LM_order,245),LM_order,0)+3,"")</f>
        <v/>
      </c>
    </row>
    <row r="254">
      <c r="B254" s="91" t="str">
        <f>IF($N254="","",INDEX('Loans'!$B$1:$B$1000,$N254)&amp;"")</f>
        <v/>
      </c>
      <c r="C254" s="91" t="str">
        <f>IF($N254="","",INDEX('Loans'!$A$1:$A$1000,$N254)&amp;"")</f>
        <v/>
      </c>
      <c r="D254" s="91" t="str">
        <f>IF($N254="","",INDEX('Loans'!$C$1:$C$1000,$N254)&amp;"")</f>
        <v/>
      </c>
      <c r="E254" s="91" t="str">
        <f>IF($N254="","",INDEX('Loan maths'!$C$1:$C$1000,$N254)&amp;"")</f>
        <v/>
      </c>
      <c r="F254" s="91" t="str">
        <f>IF($N254="","",INDEX('Loans'!$K$1:$K$1000,$N254)&amp;"")</f>
        <v/>
      </c>
      <c r="G254" s="92" t="str">
        <f>IF($N254="","",INDEX('Deal maths'!$Y$1:$Y$1000,$N254))</f>
        <v/>
      </c>
      <c r="H254" s="93" t="str">
        <f>IF($N254="","",INDEX('Deal maths'!$AB$1:$AB$1000,$N254))</f>
        <v/>
      </c>
      <c r="I254" s="94" t="str">
        <f>IF($N254="","",INDEX('Deal maths'!$Z$1:$Z$1000,$N254))</f>
        <v/>
      </c>
      <c r="J254" s="94" t="str">
        <f>IF($N254="","",INDEX('Deal maths'!$AA$1:$AA$1000,$N254))</f>
        <v/>
      </c>
      <c r="K254" s="94" t="str">
        <f>IF($N254="","",INDEX('Deal maths'!$AG$1:$AG$1000,$N254))</f>
        <v/>
      </c>
      <c r="L254" s="95" t="str">
        <f>IF($N254="","",INDEX('Loan maths'!$P$1:$P$1000,$N254))</f>
        <v/>
      </c>
      <c r="M254" s="92" t="str">
        <f>IF($N254="","",N(G254)*N(H254))</f>
        <v/>
      </c>
      <c r="N254" s="96" t="str">
        <f>IFERROR(MATCH(SMALL(LM_order,246),LM_order,0)+3,"")</f>
        <v/>
      </c>
    </row>
    <row r="255">
      <c r="B255" s="91" t="str">
        <f>IF($N255="","",INDEX('Loans'!$B$1:$B$1000,$N255)&amp;"")</f>
        <v/>
      </c>
      <c r="C255" s="91" t="str">
        <f>IF($N255="","",INDEX('Loans'!$A$1:$A$1000,$N255)&amp;"")</f>
        <v/>
      </c>
      <c r="D255" s="91" t="str">
        <f>IF($N255="","",INDEX('Loans'!$C$1:$C$1000,$N255)&amp;"")</f>
        <v/>
      </c>
      <c r="E255" s="91" t="str">
        <f>IF($N255="","",INDEX('Loan maths'!$C$1:$C$1000,$N255)&amp;"")</f>
        <v/>
      </c>
      <c r="F255" s="91" t="str">
        <f>IF($N255="","",INDEX('Loans'!$K$1:$K$1000,$N255)&amp;"")</f>
        <v/>
      </c>
      <c r="G255" s="92" t="str">
        <f>IF($N255="","",INDEX('Deal maths'!$Y$1:$Y$1000,$N255))</f>
        <v/>
      </c>
      <c r="H255" s="93" t="str">
        <f>IF($N255="","",INDEX('Deal maths'!$AB$1:$AB$1000,$N255))</f>
        <v/>
      </c>
      <c r="I255" s="94" t="str">
        <f>IF($N255="","",INDEX('Deal maths'!$Z$1:$Z$1000,$N255))</f>
        <v/>
      </c>
      <c r="J255" s="94" t="str">
        <f>IF($N255="","",INDEX('Deal maths'!$AA$1:$AA$1000,$N255))</f>
        <v/>
      </c>
      <c r="K255" s="94" t="str">
        <f>IF($N255="","",INDEX('Deal maths'!$AG$1:$AG$1000,$N255))</f>
        <v/>
      </c>
      <c r="L255" s="95" t="str">
        <f>IF($N255="","",INDEX('Loan maths'!$P$1:$P$1000,$N255))</f>
        <v/>
      </c>
      <c r="M255" s="92" t="str">
        <f>IF($N255="","",N(G255)*N(H255))</f>
        <v/>
      </c>
      <c r="N255" s="96" t="str">
        <f>IFERROR(MATCH(SMALL(LM_order,247),LM_order,0)+3,"")</f>
        <v/>
      </c>
    </row>
    <row r="256">
      <c r="B256" s="91" t="str">
        <f>IF($N256="","",INDEX('Loans'!$B$1:$B$1000,$N256)&amp;"")</f>
        <v/>
      </c>
      <c r="C256" s="91" t="str">
        <f>IF($N256="","",INDEX('Loans'!$A$1:$A$1000,$N256)&amp;"")</f>
        <v/>
      </c>
      <c r="D256" s="91" t="str">
        <f>IF($N256="","",INDEX('Loans'!$C$1:$C$1000,$N256)&amp;"")</f>
        <v/>
      </c>
      <c r="E256" s="91" t="str">
        <f>IF($N256="","",INDEX('Loan maths'!$C$1:$C$1000,$N256)&amp;"")</f>
        <v/>
      </c>
      <c r="F256" s="91" t="str">
        <f>IF($N256="","",INDEX('Loans'!$K$1:$K$1000,$N256)&amp;"")</f>
        <v/>
      </c>
      <c r="G256" s="92" t="str">
        <f>IF($N256="","",INDEX('Deal maths'!$Y$1:$Y$1000,$N256))</f>
        <v/>
      </c>
      <c r="H256" s="93" t="str">
        <f>IF($N256="","",INDEX('Deal maths'!$AB$1:$AB$1000,$N256))</f>
        <v/>
      </c>
      <c r="I256" s="94" t="str">
        <f>IF($N256="","",INDEX('Deal maths'!$Z$1:$Z$1000,$N256))</f>
        <v/>
      </c>
      <c r="J256" s="94" t="str">
        <f>IF($N256="","",INDEX('Deal maths'!$AA$1:$AA$1000,$N256))</f>
        <v/>
      </c>
      <c r="K256" s="94" t="str">
        <f>IF($N256="","",INDEX('Deal maths'!$AG$1:$AG$1000,$N256))</f>
        <v/>
      </c>
      <c r="L256" s="95" t="str">
        <f>IF($N256="","",INDEX('Loan maths'!$P$1:$P$1000,$N256))</f>
        <v/>
      </c>
      <c r="M256" s="92" t="str">
        <f>IF($N256="","",N(G256)*N(H256))</f>
        <v/>
      </c>
      <c r="N256" s="96" t="str">
        <f>IFERROR(MATCH(SMALL(LM_order,248),LM_order,0)+3,"")</f>
        <v/>
      </c>
    </row>
    <row r="257">
      <c r="B257" s="91" t="str">
        <f>IF($N257="","",INDEX('Loans'!$B$1:$B$1000,$N257)&amp;"")</f>
        <v/>
      </c>
      <c r="C257" s="91" t="str">
        <f>IF($N257="","",INDEX('Loans'!$A$1:$A$1000,$N257)&amp;"")</f>
        <v/>
      </c>
      <c r="D257" s="91" t="str">
        <f>IF($N257="","",INDEX('Loans'!$C$1:$C$1000,$N257)&amp;"")</f>
        <v/>
      </c>
      <c r="E257" s="91" t="str">
        <f>IF($N257="","",INDEX('Loan maths'!$C$1:$C$1000,$N257)&amp;"")</f>
        <v/>
      </c>
      <c r="F257" s="91" t="str">
        <f>IF($N257="","",INDEX('Loans'!$K$1:$K$1000,$N257)&amp;"")</f>
        <v/>
      </c>
      <c r="G257" s="92" t="str">
        <f>IF($N257="","",INDEX('Deal maths'!$Y$1:$Y$1000,$N257))</f>
        <v/>
      </c>
      <c r="H257" s="93" t="str">
        <f>IF($N257="","",INDEX('Deal maths'!$AB$1:$AB$1000,$N257))</f>
        <v/>
      </c>
      <c r="I257" s="94" t="str">
        <f>IF($N257="","",INDEX('Deal maths'!$Z$1:$Z$1000,$N257))</f>
        <v/>
      </c>
      <c r="J257" s="94" t="str">
        <f>IF($N257="","",INDEX('Deal maths'!$AA$1:$AA$1000,$N257))</f>
        <v/>
      </c>
      <c r="K257" s="94" t="str">
        <f>IF($N257="","",INDEX('Deal maths'!$AG$1:$AG$1000,$N257))</f>
        <v/>
      </c>
      <c r="L257" s="95" t="str">
        <f>IF($N257="","",INDEX('Loan maths'!$P$1:$P$1000,$N257))</f>
        <v/>
      </c>
      <c r="M257" s="92" t="str">
        <f>IF($N257="","",N(G257)*N(H257))</f>
        <v/>
      </c>
      <c r="N257" s="96" t="str">
        <f>IFERROR(MATCH(SMALL(LM_order,249),LM_order,0)+3,"")</f>
        <v/>
      </c>
    </row>
    <row r="258">
      <c r="B258" s="91" t="str">
        <f>IF($N258="","",INDEX('Loans'!$B$1:$B$1000,$N258)&amp;"")</f>
        <v/>
      </c>
      <c r="C258" s="91" t="str">
        <f>IF($N258="","",INDEX('Loans'!$A$1:$A$1000,$N258)&amp;"")</f>
        <v/>
      </c>
      <c r="D258" s="91" t="str">
        <f>IF($N258="","",INDEX('Loans'!$C$1:$C$1000,$N258)&amp;"")</f>
        <v/>
      </c>
      <c r="E258" s="91" t="str">
        <f>IF($N258="","",INDEX('Loan maths'!$C$1:$C$1000,$N258)&amp;"")</f>
        <v/>
      </c>
      <c r="F258" s="91" t="str">
        <f>IF($N258="","",INDEX('Loans'!$K$1:$K$1000,$N258)&amp;"")</f>
        <v/>
      </c>
      <c r="G258" s="92" t="str">
        <f>IF($N258="","",INDEX('Deal maths'!$Y$1:$Y$1000,$N258))</f>
        <v/>
      </c>
      <c r="H258" s="93" t="str">
        <f>IF($N258="","",INDEX('Deal maths'!$AB$1:$AB$1000,$N258))</f>
        <v/>
      </c>
      <c r="I258" s="94" t="str">
        <f>IF($N258="","",INDEX('Deal maths'!$Z$1:$Z$1000,$N258))</f>
        <v/>
      </c>
      <c r="J258" s="94" t="str">
        <f>IF($N258="","",INDEX('Deal maths'!$AA$1:$AA$1000,$N258))</f>
        <v/>
      </c>
      <c r="K258" s="94" t="str">
        <f>IF($N258="","",INDEX('Deal maths'!$AG$1:$AG$1000,$N258))</f>
        <v/>
      </c>
      <c r="L258" s="95" t="str">
        <f>IF($N258="","",INDEX('Loan maths'!$P$1:$P$1000,$N258))</f>
        <v/>
      </c>
      <c r="M258" s="92" t="str">
        <f>IF($N258="","",N(G258)*N(H258))</f>
        <v/>
      </c>
      <c r="N258" s="96" t="str">
        <f>IFERROR(MATCH(SMALL(LM_order,250),LM_order,0)+3,"")</f>
        <v/>
      </c>
    </row>
    <row r="259">
      <c r="B259" s="91" t="str">
        <f>IF($N259="","",INDEX('Loans'!$B$1:$B$1000,$N259)&amp;"")</f>
        <v/>
      </c>
      <c r="C259" s="91" t="str">
        <f>IF($N259="","",INDEX('Loans'!$A$1:$A$1000,$N259)&amp;"")</f>
        <v/>
      </c>
      <c r="D259" s="91" t="str">
        <f>IF($N259="","",INDEX('Loans'!$C$1:$C$1000,$N259)&amp;"")</f>
        <v/>
      </c>
      <c r="E259" s="91" t="str">
        <f>IF($N259="","",INDEX('Loan maths'!$C$1:$C$1000,$N259)&amp;"")</f>
        <v/>
      </c>
      <c r="F259" s="91" t="str">
        <f>IF($N259="","",INDEX('Loans'!$K$1:$K$1000,$N259)&amp;"")</f>
        <v/>
      </c>
      <c r="G259" s="92" t="str">
        <f>IF($N259="","",INDEX('Deal maths'!$Y$1:$Y$1000,$N259))</f>
        <v/>
      </c>
      <c r="H259" s="93" t="str">
        <f>IF($N259="","",INDEX('Deal maths'!$AB$1:$AB$1000,$N259))</f>
        <v/>
      </c>
      <c r="I259" s="94" t="str">
        <f>IF($N259="","",INDEX('Deal maths'!$Z$1:$Z$1000,$N259))</f>
        <v/>
      </c>
      <c r="J259" s="94" t="str">
        <f>IF($N259="","",INDEX('Deal maths'!$AA$1:$AA$1000,$N259))</f>
        <v/>
      </c>
      <c r="K259" s="94" t="str">
        <f>IF($N259="","",INDEX('Deal maths'!$AG$1:$AG$1000,$N259))</f>
        <v/>
      </c>
      <c r="L259" s="95" t="str">
        <f>IF($N259="","",INDEX('Loan maths'!$P$1:$P$1000,$N259))</f>
        <v/>
      </c>
      <c r="M259" s="92" t="str">
        <f>IF($N259="","",N(G259)*N(H259))</f>
        <v/>
      </c>
      <c r="N259" s="96" t="str">
        <f>IFERROR(MATCH(SMALL(LM_order,251),LM_order,0)+3,"")</f>
        <v/>
      </c>
    </row>
    <row r="260">
      <c r="B260" s="91" t="str">
        <f>IF($N260="","",INDEX('Loans'!$B$1:$B$1000,$N260)&amp;"")</f>
        <v/>
      </c>
      <c r="C260" s="91" t="str">
        <f>IF($N260="","",INDEX('Loans'!$A$1:$A$1000,$N260)&amp;"")</f>
        <v/>
      </c>
      <c r="D260" s="91" t="str">
        <f>IF($N260="","",INDEX('Loans'!$C$1:$C$1000,$N260)&amp;"")</f>
        <v/>
      </c>
      <c r="E260" s="91" t="str">
        <f>IF($N260="","",INDEX('Loan maths'!$C$1:$C$1000,$N260)&amp;"")</f>
        <v/>
      </c>
      <c r="F260" s="91" t="str">
        <f>IF($N260="","",INDEX('Loans'!$K$1:$K$1000,$N260)&amp;"")</f>
        <v/>
      </c>
      <c r="G260" s="92" t="str">
        <f>IF($N260="","",INDEX('Deal maths'!$Y$1:$Y$1000,$N260))</f>
        <v/>
      </c>
      <c r="H260" s="93" t="str">
        <f>IF($N260="","",INDEX('Deal maths'!$AB$1:$AB$1000,$N260))</f>
        <v/>
      </c>
      <c r="I260" s="94" t="str">
        <f>IF($N260="","",INDEX('Deal maths'!$Z$1:$Z$1000,$N260))</f>
        <v/>
      </c>
      <c r="J260" s="94" t="str">
        <f>IF($N260="","",INDEX('Deal maths'!$AA$1:$AA$1000,$N260))</f>
        <v/>
      </c>
      <c r="K260" s="94" t="str">
        <f>IF($N260="","",INDEX('Deal maths'!$AG$1:$AG$1000,$N260))</f>
        <v/>
      </c>
      <c r="L260" s="95" t="str">
        <f>IF($N260="","",INDEX('Loan maths'!$P$1:$P$1000,$N260))</f>
        <v/>
      </c>
      <c r="M260" s="92" t="str">
        <f>IF($N260="","",N(G260)*N(H260))</f>
        <v/>
      </c>
      <c r="N260" s="96" t="str">
        <f>IFERROR(MATCH(SMALL(LM_order,252),LM_order,0)+3,"")</f>
        <v/>
      </c>
    </row>
    <row r="261">
      <c r="B261" s="91" t="str">
        <f>IF($N261="","",INDEX('Loans'!$B$1:$B$1000,$N261)&amp;"")</f>
        <v/>
      </c>
      <c r="C261" s="91" t="str">
        <f>IF($N261="","",INDEX('Loans'!$A$1:$A$1000,$N261)&amp;"")</f>
        <v/>
      </c>
      <c r="D261" s="91" t="str">
        <f>IF($N261="","",INDEX('Loans'!$C$1:$C$1000,$N261)&amp;"")</f>
        <v/>
      </c>
      <c r="E261" s="91" t="str">
        <f>IF($N261="","",INDEX('Loan maths'!$C$1:$C$1000,$N261)&amp;"")</f>
        <v/>
      </c>
      <c r="F261" s="91" t="str">
        <f>IF($N261="","",INDEX('Loans'!$K$1:$K$1000,$N261)&amp;"")</f>
        <v/>
      </c>
      <c r="G261" s="92" t="str">
        <f>IF($N261="","",INDEX('Deal maths'!$Y$1:$Y$1000,$N261))</f>
        <v/>
      </c>
      <c r="H261" s="93" t="str">
        <f>IF($N261="","",INDEX('Deal maths'!$AB$1:$AB$1000,$N261))</f>
        <v/>
      </c>
      <c r="I261" s="94" t="str">
        <f>IF($N261="","",INDEX('Deal maths'!$Z$1:$Z$1000,$N261))</f>
        <v/>
      </c>
      <c r="J261" s="94" t="str">
        <f>IF($N261="","",INDEX('Deal maths'!$AA$1:$AA$1000,$N261))</f>
        <v/>
      </c>
      <c r="K261" s="94" t="str">
        <f>IF($N261="","",INDEX('Deal maths'!$AG$1:$AG$1000,$N261))</f>
        <v/>
      </c>
      <c r="L261" s="95" t="str">
        <f>IF($N261="","",INDEX('Loan maths'!$P$1:$P$1000,$N261))</f>
        <v/>
      </c>
      <c r="M261" s="92" t="str">
        <f>IF($N261="","",N(G261)*N(H261))</f>
        <v/>
      </c>
      <c r="N261" s="96" t="str">
        <f>IFERROR(MATCH(SMALL(LM_order,253),LM_order,0)+3,"")</f>
        <v/>
      </c>
    </row>
    <row r="262">
      <c r="B262" s="91" t="str">
        <f>IF($N262="","",INDEX('Loans'!$B$1:$B$1000,$N262)&amp;"")</f>
        <v/>
      </c>
      <c r="C262" s="91" t="str">
        <f>IF($N262="","",INDEX('Loans'!$A$1:$A$1000,$N262)&amp;"")</f>
        <v/>
      </c>
      <c r="D262" s="91" t="str">
        <f>IF($N262="","",INDEX('Loans'!$C$1:$C$1000,$N262)&amp;"")</f>
        <v/>
      </c>
      <c r="E262" s="91" t="str">
        <f>IF($N262="","",INDEX('Loan maths'!$C$1:$C$1000,$N262)&amp;"")</f>
        <v/>
      </c>
      <c r="F262" s="91" t="str">
        <f>IF($N262="","",INDEX('Loans'!$K$1:$K$1000,$N262)&amp;"")</f>
        <v/>
      </c>
      <c r="G262" s="92" t="str">
        <f>IF($N262="","",INDEX('Deal maths'!$Y$1:$Y$1000,$N262))</f>
        <v/>
      </c>
      <c r="H262" s="93" t="str">
        <f>IF($N262="","",INDEX('Deal maths'!$AB$1:$AB$1000,$N262))</f>
        <v/>
      </c>
      <c r="I262" s="94" t="str">
        <f>IF($N262="","",INDEX('Deal maths'!$Z$1:$Z$1000,$N262))</f>
        <v/>
      </c>
      <c r="J262" s="94" t="str">
        <f>IF($N262="","",INDEX('Deal maths'!$AA$1:$AA$1000,$N262))</f>
        <v/>
      </c>
      <c r="K262" s="94" t="str">
        <f>IF($N262="","",INDEX('Deal maths'!$AG$1:$AG$1000,$N262))</f>
        <v/>
      </c>
      <c r="L262" s="95" t="str">
        <f>IF($N262="","",INDEX('Loan maths'!$P$1:$P$1000,$N262))</f>
        <v/>
      </c>
      <c r="M262" s="92" t="str">
        <f>IF($N262="","",N(G262)*N(H262))</f>
        <v/>
      </c>
      <c r="N262" s="96" t="str">
        <f>IFERROR(MATCH(SMALL(LM_order,254),LM_order,0)+3,"")</f>
        <v/>
      </c>
    </row>
    <row r="263">
      <c r="B263" s="91" t="str">
        <f>IF($N263="","",INDEX('Loans'!$B$1:$B$1000,$N263)&amp;"")</f>
        <v/>
      </c>
      <c r="C263" s="91" t="str">
        <f>IF($N263="","",INDEX('Loans'!$A$1:$A$1000,$N263)&amp;"")</f>
        <v/>
      </c>
      <c r="D263" s="91" t="str">
        <f>IF($N263="","",INDEX('Loans'!$C$1:$C$1000,$N263)&amp;"")</f>
        <v/>
      </c>
      <c r="E263" s="91" t="str">
        <f>IF($N263="","",INDEX('Loan maths'!$C$1:$C$1000,$N263)&amp;"")</f>
        <v/>
      </c>
      <c r="F263" s="91" t="str">
        <f>IF($N263="","",INDEX('Loans'!$K$1:$K$1000,$N263)&amp;"")</f>
        <v/>
      </c>
      <c r="G263" s="92" t="str">
        <f>IF($N263="","",INDEX('Deal maths'!$Y$1:$Y$1000,$N263))</f>
        <v/>
      </c>
      <c r="H263" s="93" t="str">
        <f>IF($N263="","",INDEX('Deal maths'!$AB$1:$AB$1000,$N263))</f>
        <v/>
      </c>
      <c r="I263" s="94" t="str">
        <f>IF($N263="","",INDEX('Deal maths'!$Z$1:$Z$1000,$N263))</f>
        <v/>
      </c>
      <c r="J263" s="94" t="str">
        <f>IF($N263="","",INDEX('Deal maths'!$AA$1:$AA$1000,$N263))</f>
        <v/>
      </c>
      <c r="K263" s="94" t="str">
        <f>IF($N263="","",INDEX('Deal maths'!$AG$1:$AG$1000,$N263))</f>
        <v/>
      </c>
      <c r="L263" s="95" t="str">
        <f>IF($N263="","",INDEX('Loan maths'!$P$1:$P$1000,$N263))</f>
        <v/>
      </c>
      <c r="M263" s="92" t="str">
        <f>IF($N263="","",N(G263)*N(H263))</f>
        <v/>
      </c>
      <c r="N263" s="96" t="str">
        <f>IFERROR(MATCH(SMALL(LM_order,255),LM_order,0)+3,"")</f>
        <v/>
      </c>
    </row>
    <row r="264">
      <c r="B264" s="91" t="str">
        <f>IF($N264="","",INDEX('Loans'!$B$1:$B$1000,$N264)&amp;"")</f>
        <v/>
      </c>
      <c r="C264" s="91" t="str">
        <f>IF($N264="","",INDEX('Loans'!$A$1:$A$1000,$N264)&amp;"")</f>
        <v/>
      </c>
      <c r="D264" s="91" t="str">
        <f>IF($N264="","",INDEX('Loans'!$C$1:$C$1000,$N264)&amp;"")</f>
        <v/>
      </c>
      <c r="E264" s="91" t="str">
        <f>IF($N264="","",INDEX('Loan maths'!$C$1:$C$1000,$N264)&amp;"")</f>
        <v/>
      </c>
      <c r="F264" s="91" t="str">
        <f>IF($N264="","",INDEX('Loans'!$K$1:$K$1000,$N264)&amp;"")</f>
        <v/>
      </c>
      <c r="G264" s="92" t="str">
        <f>IF($N264="","",INDEX('Deal maths'!$Y$1:$Y$1000,$N264))</f>
        <v/>
      </c>
      <c r="H264" s="93" t="str">
        <f>IF($N264="","",INDEX('Deal maths'!$AB$1:$AB$1000,$N264))</f>
        <v/>
      </c>
      <c r="I264" s="94" t="str">
        <f>IF($N264="","",INDEX('Deal maths'!$Z$1:$Z$1000,$N264))</f>
        <v/>
      </c>
      <c r="J264" s="94" t="str">
        <f>IF($N264="","",INDEX('Deal maths'!$AA$1:$AA$1000,$N264))</f>
        <v/>
      </c>
      <c r="K264" s="94" t="str">
        <f>IF($N264="","",INDEX('Deal maths'!$AG$1:$AG$1000,$N264))</f>
        <v/>
      </c>
      <c r="L264" s="95" t="str">
        <f>IF($N264="","",INDEX('Loan maths'!$P$1:$P$1000,$N264))</f>
        <v/>
      </c>
      <c r="M264" s="92" t="str">
        <f>IF($N264="","",N(G264)*N(H264))</f>
        <v/>
      </c>
      <c r="N264" s="96" t="str">
        <f>IFERROR(MATCH(SMALL(LM_order,256),LM_order,0)+3,"")</f>
        <v/>
      </c>
    </row>
    <row r="265">
      <c r="B265" s="91" t="str">
        <f>IF($N265="","",INDEX('Loans'!$B$1:$B$1000,$N265)&amp;"")</f>
        <v/>
      </c>
      <c r="C265" s="91" t="str">
        <f>IF($N265="","",INDEX('Loans'!$A$1:$A$1000,$N265)&amp;"")</f>
        <v/>
      </c>
      <c r="D265" s="91" t="str">
        <f>IF($N265="","",INDEX('Loans'!$C$1:$C$1000,$N265)&amp;"")</f>
        <v/>
      </c>
      <c r="E265" s="91" t="str">
        <f>IF($N265="","",INDEX('Loan maths'!$C$1:$C$1000,$N265)&amp;"")</f>
        <v/>
      </c>
      <c r="F265" s="91" t="str">
        <f>IF($N265="","",INDEX('Loans'!$K$1:$K$1000,$N265)&amp;"")</f>
        <v/>
      </c>
      <c r="G265" s="92" t="str">
        <f>IF($N265="","",INDEX('Deal maths'!$Y$1:$Y$1000,$N265))</f>
        <v/>
      </c>
      <c r="H265" s="93" t="str">
        <f>IF($N265="","",INDEX('Deal maths'!$AB$1:$AB$1000,$N265))</f>
        <v/>
      </c>
      <c r="I265" s="94" t="str">
        <f>IF($N265="","",INDEX('Deal maths'!$Z$1:$Z$1000,$N265))</f>
        <v/>
      </c>
      <c r="J265" s="94" t="str">
        <f>IF($N265="","",INDEX('Deal maths'!$AA$1:$AA$1000,$N265))</f>
        <v/>
      </c>
      <c r="K265" s="94" t="str">
        <f>IF($N265="","",INDEX('Deal maths'!$AG$1:$AG$1000,$N265))</f>
        <v/>
      </c>
      <c r="L265" s="95" t="str">
        <f>IF($N265="","",INDEX('Loan maths'!$P$1:$P$1000,$N265))</f>
        <v/>
      </c>
      <c r="M265" s="92" t="str">
        <f>IF($N265="","",N(G265)*N(H265))</f>
        <v/>
      </c>
      <c r="N265" s="96" t="str">
        <f>IFERROR(MATCH(SMALL(LM_order,257),LM_order,0)+3,"")</f>
        <v/>
      </c>
    </row>
    <row r="266">
      <c r="B266" s="91" t="str">
        <f>IF($N266="","",INDEX('Loans'!$B$1:$B$1000,$N266)&amp;"")</f>
        <v/>
      </c>
      <c r="C266" s="91" t="str">
        <f>IF($N266="","",INDEX('Loans'!$A$1:$A$1000,$N266)&amp;"")</f>
        <v/>
      </c>
      <c r="D266" s="91" t="str">
        <f>IF($N266="","",INDEX('Loans'!$C$1:$C$1000,$N266)&amp;"")</f>
        <v/>
      </c>
      <c r="E266" s="91" t="str">
        <f>IF($N266="","",INDEX('Loan maths'!$C$1:$C$1000,$N266)&amp;"")</f>
        <v/>
      </c>
      <c r="F266" s="91" t="str">
        <f>IF($N266="","",INDEX('Loans'!$K$1:$K$1000,$N266)&amp;"")</f>
        <v/>
      </c>
      <c r="G266" s="92" t="str">
        <f>IF($N266="","",INDEX('Deal maths'!$Y$1:$Y$1000,$N266))</f>
        <v/>
      </c>
      <c r="H266" s="93" t="str">
        <f>IF($N266="","",INDEX('Deal maths'!$AB$1:$AB$1000,$N266))</f>
        <v/>
      </c>
      <c r="I266" s="94" t="str">
        <f>IF($N266="","",INDEX('Deal maths'!$Z$1:$Z$1000,$N266))</f>
        <v/>
      </c>
      <c r="J266" s="94" t="str">
        <f>IF($N266="","",INDEX('Deal maths'!$AA$1:$AA$1000,$N266))</f>
        <v/>
      </c>
      <c r="K266" s="94" t="str">
        <f>IF($N266="","",INDEX('Deal maths'!$AG$1:$AG$1000,$N266))</f>
        <v/>
      </c>
      <c r="L266" s="95" t="str">
        <f>IF($N266="","",INDEX('Loan maths'!$P$1:$P$1000,$N266))</f>
        <v/>
      </c>
      <c r="M266" s="92" t="str">
        <f>IF($N266="","",N(G266)*N(H266))</f>
        <v/>
      </c>
      <c r="N266" s="96" t="str">
        <f>IFERROR(MATCH(SMALL(LM_order,258),LM_order,0)+3,"")</f>
        <v/>
      </c>
    </row>
    <row r="267">
      <c r="B267" s="91" t="str">
        <f>IF($N267="","",INDEX('Loans'!$B$1:$B$1000,$N267)&amp;"")</f>
        <v/>
      </c>
      <c r="C267" s="91" t="str">
        <f>IF($N267="","",INDEX('Loans'!$A$1:$A$1000,$N267)&amp;"")</f>
        <v/>
      </c>
      <c r="D267" s="91" t="str">
        <f>IF($N267="","",INDEX('Loans'!$C$1:$C$1000,$N267)&amp;"")</f>
        <v/>
      </c>
      <c r="E267" s="91" t="str">
        <f>IF($N267="","",INDEX('Loan maths'!$C$1:$C$1000,$N267)&amp;"")</f>
        <v/>
      </c>
      <c r="F267" s="91" t="str">
        <f>IF($N267="","",INDEX('Loans'!$K$1:$K$1000,$N267)&amp;"")</f>
        <v/>
      </c>
      <c r="G267" s="92" t="str">
        <f>IF($N267="","",INDEX('Deal maths'!$Y$1:$Y$1000,$N267))</f>
        <v/>
      </c>
      <c r="H267" s="93" t="str">
        <f>IF($N267="","",INDEX('Deal maths'!$AB$1:$AB$1000,$N267))</f>
        <v/>
      </c>
      <c r="I267" s="94" t="str">
        <f>IF($N267="","",INDEX('Deal maths'!$Z$1:$Z$1000,$N267))</f>
        <v/>
      </c>
      <c r="J267" s="94" t="str">
        <f>IF($N267="","",INDEX('Deal maths'!$AA$1:$AA$1000,$N267))</f>
        <v/>
      </c>
      <c r="K267" s="94" t="str">
        <f>IF($N267="","",INDEX('Deal maths'!$AG$1:$AG$1000,$N267))</f>
        <v/>
      </c>
      <c r="L267" s="95" t="str">
        <f>IF($N267="","",INDEX('Loan maths'!$P$1:$P$1000,$N267))</f>
        <v/>
      </c>
      <c r="M267" s="92" t="str">
        <f>IF($N267="","",N(G267)*N(H267))</f>
        <v/>
      </c>
      <c r="N267" s="96" t="str">
        <f>IFERROR(MATCH(SMALL(LM_order,259),LM_order,0)+3,"")</f>
        <v/>
      </c>
    </row>
    <row r="268">
      <c r="B268" s="91" t="str">
        <f>IF($N268="","",INDEX('Loans'!$B$1:$B$1000,$N268)&amp;"")</f>
        <v/>
      </c>
      <c r="C268" s="91" t="str">
        <f>IF($N268="","",INDEX('Loans'!$A$1:$A$1000,$N268)&amp;"")</f>
        <v/>
      </c>
      <c r="D268" s="91" t="str">
        <f>IF($N268="","",INDEX('Loans'!$C$1:$C$1000,$N268)&amp;"")</f>
        <v/>
      </c>
      <c r="E268" s="91" t="str">
        <f>IF($N268="","",INDEX('Loan maths'!$C$1:$C$1000,$N268)&amp;"")</f>
        <v/>
      </c>
      <c r="F268" s="91" t="str">
        <f>IF($N268="","",INDEX('Loans'!$K$1:$K$1000,$N268)&amp;"")</f>
        <v/>
      </c>
      <c r="G268" s="92" t="str">
        <f>IF($N268="","",INDEX('Deal maths'!$Y$1:$Y$1000,$N268))</f>
        <v/>
      </c>
      <c r="H268" s="93" t="str">
        <f>IF($N268="","",INDEX('Deal maths'!$AB$1:$AB$1000,$N268))</f>
        <v/>
      </c>
      <c r="I268" s="94" t="str">
        <f>IF($N268="","",INDEX('Deal maths'!$Z$1:$Z$1000,$N268))</f>
        <v/>
      </c>
      <c r="J268" s="94" t="str">
        <f>IF($N268="","",INDEX('Deal maths'!$AA$1:$AA$1000,$N268))</f>
        <v/>
      </c>
      <c r="K268" s="94" t="str">
        <f>IF($N268="","",INDEX('Deal maths'!$AG$1:$AG$1000,$N268))</f>
        <v/>
      </c>
      <c r="L268" s="95" t="str">
        <f>IF($N268="","",INDEX('Loan maths'!$P$1:$P$1000,$N268))</f>
        <v/>
      </c>
      <c r="M268" s="92" t="str">
        <f>IF($N268="","",N(G268)*N(H268))</f>
        <v/>
      </c>
      <c r="N268" s="96" t="str">
        <f>IFERROR(MATCH(SMALL(LM_order,260),LM_order,0)+3,"")</f>
        <v/>
      </c>
    </row>
    <row r="269">
      <c r="B269" s="91" t="str">
        <f>IF($N269="","",INDEX('Loans'!$B$1:$B$1000,$N269)&amp;"")</f>
        <v/>
      </c>
      <c r="C269" s="91" t="str">
        <f>IF($N269="","",INDEX('Loans'!$A$1:$A$1000,$N269)&amp;"")</f>
        <v/>
      </c>
      <c r="D269" s="91" t="str">
        <f>IF($N269="","",INDEX('Loans'!$C$1:$C$1000,$N269)&amp;"")</f>
        <v/>
      </c>
      <c r="E269" s="91" t="str">
        <f>IF($N269="","",INDEX('Loan maths'!$C$1:$C$1000,$N269)&amp;"")</f>
        <v/>
      </c>
      <c r="F269" s="91" t="str">
        <f>IF($N269="","",INDEX('Loans'!$K$1:$K$1000,$N269)&amp;"")</f>
        <v/>
      </c>
      <c r="G269" s="92" t="str">
        <f>IF($N269="","",INDEX('Deal maths'!$Y$1:$Y$1000,$N269))</f>
        <v/>
      </c>
      <c r="H269" s="93" t="str">
        <f>IF($N269="","",INDEX('Deal maths'!$AB$1:$AB$1000,$N269))</f>
        <v/>
      </c>
      <c r="I269" s="94" t="str">
        <f>IF($N269="","",INDEX('Deal maths'!$Z$1:$Z$1000,$N269))</f>
        <v/>
      </c>
      <c r="J269" s="94" t="str">
        <f>IF($N269="","",INDEX('Deal maths'!$AA$1:$AA$1000,$N269))</f>
        <v/>
      </c>
      <c r="K269" s="94" t="str">
        <f>IF($N269="","",INDEX('Deal maths'!$AG$1:$AG$1000,$N269))</f>
        <v/>
      </c>
      <c r="L269" s="95" t="str">
        <f>IF($N269="","",INDEX('Loan maths'!$P$1:$P$1000,$N269))</f>
        <v/>
      </c>
      <c r="M269" s="92" t="str">
        <f>IF($N269="","",N(G269)*N(H269))</f>
        <v/>
      </c>
      <c r="N269" s="96" t="str">
        <f>IFERROR(MATCH(SMALL(LM_order,261),LM_order,0)+3,"")</f>
        <v/>
      </c>
    </row>
    <row r="270">
      <c r="B270" s="91" t="str">
        <f>IF($N270="","",INDEX('Loans'!$B$1:$B$1000,$N270)&amp;"")</f>
        <v/>
      </c>
      <c r="C270" s="91" t="str">
        <f>IF($N270="","",INDEX('Loans'!$A$1:$A$1000,$N270)&amp;"")</f>
        <v/>
      </c>
      <c r="D270" s="91" t="str">
        <f>IF($N270="","",INDEX('Loans'!$C$1:$C$1000,$N270)&amp;"")</f>
        <v/>
      </c>
      <c r="E270" s="91" t="str">
        <f>IF($N270="","",INDEX('Loan maths'!$C$1:$C$1000,$N270)&amp;"")</f>
        <v/>
      </c>
      <c r="F270" s="91" t="str">
        <f>IF($N270="","",INDEX('Loans'!$K$1:$K$1000,$N270)&amp;"")</f>
        <v/>
      </c>
      <c r="G270" s="92" t="str">
        <f>IF($N270="","",INDEX('Deal maths'!$Y$1:$Y$1000,$N270))</f>
        <v/>
      </c>
      <c r="H270" s="93" t="str">
        <f>IF($N270="","",INDEX('Deal maths'!$AB$1:$AB$1000,$N270))</f>
        <v/>
      </c>
      <c r="I270" s="94" t="str">
        <f>IF($N270="","",INDEX('Deal maths'!$Z$1:$Z$1000,$N270))</f>
        <v/>
      </c>
      <c r="J270" s="94" t="str">
        <f>IF($N270="","",INDEX('Deal maths'!$AA$1:$AA$1000,$N270))</f>
        <v/>
      </c>
      <c r="K270" s="94" t="str">
        <f>IF($N270="","",INDEX('Deal maths'!$AG$1:$AG$1000,$N270))</f>
        <v/>
      </c>
      <c r="L270" s="95" t="str">
        <f>IF($N270="","",INDEX('Loan maths'!$P$1:$P$1000,$N270))</f>
        <v/>
      </c>
      <c r="M270" s="92" t="str">
        <f>IF($N270="","",N(G270)*N(H270))</f>
        <v/>
      </c>
      <c r="N270" s="96" t="str">
        <f>IFERROR(MATCH(SMALL(LM_order,262),LM_order,0)+3,"")</f>
        <v/>
      </c>
    </row>
    <row r="271">
      <c r="B271" s="91" t="str">
        <f>IF($N271="","",INDEX('Loans'!$B$1:$B$1000,$N271)&amp;"")</f>
        <v/>
      </c>
      <c r="C271" s="91" t="str">
        <f>IF($N271="","",INDEX('Loans'!$A$1:$A$1000,$N271)&amp;"")</f>
        <v/>
      </c>
      <c r="D271" s="91" t="str">
        <f>IF($N271="","",INDEX('Loans'!$C$1:$C$1000,$N271)&amp;"")</f>
        <v/>
      </c>
      <c r="E271" s="91" t="str">
        <f>IF($N271="","",INDEX('Loan maths'!$C$1:$C$1000,$N271)&amp;"")</f>
        <v/>
      </c>
      <c r="F271" s="91" t="str">
        <f>IF($N271="","",INDEX('Loans'!$K$1:$K$1000,$N271)&amp;"")</f>
        <v/>
      </c>
      <c r="G271" s="92" t="str">
        <f>IF($N271="","",INDEX('Deal maths'!$Y$1:$Y$1000,$N271))</f>
        <v/>
      </c>
      <c r="H271" s="93" t="str">
        <f>IF($N271="","",INDEX('Deal maths'!$AB$1:$AB$1000,$N271))</f>
        <v/>
      </c>
      <c r="I271" s="94" t="str">
        <f>IF($N271="","",INDEX('Deal maths'!$Z$1:$Z$1000,$N271))</f>
        <v/>
      </c>
      <c r="J271" s="94" t="str">
        <f>IF($N271="","",INDEX('Deal maths'!$AA$1:$AA$1000,$N271))</f>
        <v/>
      </c>
      <c r="K271" s="94" t="str">
        <f>IF($N271="","",INDEX('Deal maths'!$AG$1:$AG$1000,$N271))</f>
        <v/>
      </c>
      <c r="L271" s="95" t="str">
        <f>IF($N271="","",INDEX('Loan maths'!$P$1:$P$1000,$N271))</f>
        <v/>
      </c>
      <c r="M271" s="92" t="str">
        <f>IF($N271="","",N(G271)*N(H271))</f>
        <v/>
      </c>
      <c r="N271" s="96" t="str">
        <f>IFERROR(MATCH(SMALL(LM_order,263),LM_order,0)+3,"")</f>
        <v/>
      </c>
    </row>
    <row r="272">
      <c r="B272" s="91" t="str">
        <f>IF($N272="","",INDEX('Loans'!$B$1:$B$1000,$N272)&amp;"")</f>
        <v/>
      </c>
      <c r="C272" s="91" t="str">
        <f>IF($N272="","",INDEX('Loans'!$A$1:$A$1000,$N272)&amp;"")</f>
        <v/>
      </c>
      <c r="D272" s="91" t="str">
        <f>IF($N272="","",INDEX('Loans'!$C$1:$C$1000,$N272)&amp;"")</f>
        <v/>
      </c>
      <c r="E272" s="91" t="str">
        <f>IF($N272="","",INDEX('Loan maths'!$C$1:$C$1000,$N272)&amp;"")</f>
        <v/>
      </c>
      <c r="F272" s="91" t="str">
        <f>IF($N272="","",INDEX('Loans'!$K$1:$K$1000,$N272)&amp;"")</f>
        <v/>
      </c>
      <c r="G272" s="92" t="str">
        <f>IF($N272="","",INDEX('Deal maths'!$Y$1:$Y$1000,$N272))</f>
        <v/>
      </c>
      <c r="H272" s="93" t="str">
        <f>IF($N272="","",INDEX('Deal maths'!$AB$1:$AB$1000,$N272))</f>
        <v/>
      </c>
      <c r="I272" s="94" t="str">
        <f>IF($N272="","",INDEX('Deal maths'!$Z$1:$Z$1000,$N272))</f>
        <v/>
      </c>
      <c r="J272" s="94" t="str">
        <f>IF($N272="","",INDEX('Deal maths'!$AA$1:$AA$1000,$N272))</f>
        <v/>
      </c>
      <c r="K272" s="94" t="str">
        <f>IF($N272="","",INDEX('Deal maths'!$AG$1:$AG$1000,$N272))</f>
        <v/>
      </c>
      <c r="L272" s="95" t="str">
        <f>IF($N272="","",INDEX('Loan maths'!$P$1:$P$1000,$N272))</f>
        <v/>
      </c>
      <c r="M272" s="92" t="str">
        <f>IF($N272="","",N(G272)*N(H272))</f>
        <v/>
      </c>
      <c r="N272" s="96" t="str">
        <f>IFERROR(MATCH(SMALL(LM_order,264),LM_order,0)+3,"")</f>
        <v/>
      </c>
    </row>
    <row r="273">
      <c r="B273" s="91" t="str">
        <f>IF($N273="","",INDEX('Loans'!$B$1:$B$1000,$N273)&amp;"")</f>
        <v/>
      </c>
      <c r="C273" s="91" t="str">
        <f>IF($N273="","",INDEX('Loans'!$A$1:$A$1000,$N273)&amp;"")</f>
        <v/>
      </c>
      <c r="D273" s="91" t="str">
        <f>IF($N273="","",INDEX('Loans'!$C$1:$C$1000,$N273)&amp;"")</f>
        <v/>
      </c>
      <c r="E273" s="91" t="str">
        <f>IF($N273="","",INDEX('Loan maths'!$C$1:$C$1000,$N273)&amp;"")</f>
        <v/>
      </c>
      <c r="F273" s="91" t="str">
        <f>IF($N273="","",INDEX('Loans'!$K$1:$K$1000,$N273)&amp;"")</f>
        <v/>
      </c>
      <c r="G273" s="92" t="str">
        <f>IF($N273="","",INDEX('Deal maths'!$Y$1:$Y$1000,$N273))</f>
        <v/>
      </c>
      <c r="H273" s="93" t="str">
        <f>IF($N273="","",INDEX('Deal maths'!$AB$1:$AB$1000,$N273))</f>
        <v/>
      </c>
      <c r="I273" s="94" t="str">
        <f>IF($N273="","",INDEX('Deal maths'!$Z$1:$Z$1000,$N273))</f>
        <v/>
      </c>
      <c r="J273" s="94" t="str">
        <f>IF($N273="","",INDEX('Deal maths'!$AA$1:$AA$1000,$N273))</f>
        <v/>
      </c>
      <c r="K273" s="94" t="str">
        <f>IF($N273="","",INDEX('Deal maths'!$AG$1:$AG$1000,$N273))</f>
        <v/>
      </c>
      <c r="L273" s="95" t="str">
        <f>IF($N273="","",INDEX('Loan maths'!$P$1:$P$1000,$N273))</f>
        <v/>
      </c>
      <c r="M273" s="92" t="str">
        <f>IF($N273="","",N(G273)*N(H273))</f>
        <v/>
      </c>
      <c r="N273" s="96" t="str">
        <f>IFERROR(MATCH(SMALL(LM_order,265),LM_order,0)+3,"")</f>
        <v/>
      </c>
    </row>
    <row r="274">
      <c r="B274" s="91" t="str">
        <f>IF($N274="","",INDEX('Loans'!$B$1:$B$1000,$N274)&amp;"")</f>
        <v/>
      </c>
      <c r="C274" s="91" t="str">
        <f>IF($N274="","",INDEX('Loans'!$A$1:$A$1000,$N274)&amp;"")</f>
        <v/>
      </c>
      <c r="D274" s="91" t="str">
        <f>IF($N274="","",INDEX('Loans'!$C$1:$C$1000,$N274)&amp;"")</f>
        <v/>
      </c>
      <c r="E274" s="91" t="str">
        <f>IF($N274="","",INDEX('Loan maths'!$C$1:$C$1000,$N274)&amp;"")</f>
        <v/>
      </c>
      <c r="F274" s="91" t="str">
        <f>IF($N274="","",INDEX('Loans'!$K$1:$K$1000,$N274)&amp;"")</f>
        <v/>
      </c>
      <c r="G274" s="92" t="str">
        <f>IF($N274="","",INDEX('Deal maths'!$Y$1:$Y$1000,$N274))</f>
        <v/>
      </c>
      <c r="H274" s="93" t="str">
        <f>IF($N274="","",INDEX('Deal maths'!$AB$1:$AB$1000,$N274))</f>
        <v/>
      </c>
      <c r="I274" s="94" t="str">
        <f>IF($N274="","",INDEX('Deal maths'!$Z$1:$Z$1000,$N274))</f>
        <v/>
      </c>
      <c r="J274" s="94" t="str">
        <f>IF($N274="","",INDEX('Deal maths'!$AA$1:$AA$1000,$N274))</f>
        <v/>
      </c>
      <c r="K274" s="94" t="str">
        <f>IF($N274="","",INDEX('Deal maths'!$AG$1:$AG$1000,$N274))</f>
        <v/>
      </c>
      <c r="L274" s="95" t="str">
        <f>IF($N274="","",INDEX('Loan maths'!$P$1:$P$1000,$N274))</f>
        <v/>
      </c>
      <c r="M274" s="92" t="str">
        <f>IF($N274="","",N(G274)*N(H274))</f>
        <v/>
      </c>
      <c r="N274" s="96" t="str">
        <f>IFERROR(MATCH(SMALL(LM_order,266),LM_order,0)+3,"")</f>
        <v/>
      </c>
    </row>
    <row r="275">
      <c r="B275" s="91" t="str">
        <f>IF($N275="","",INDEX('Loans'!$B$1:$B$1000,$N275)&amp;"")</f>
        <v/>
      </c>
      <c r="C275" s="91" t="str">
        <f>IF($N275="","",INDEX('Loans'!$A$1:$A$1000,$N275)&amp;"")</f>
        <v/>
      </c>
      <c r="D275" s="91" t="str">
        <f>IF($N275="","",INDEX('Loans'!$C$1:$C$1000,$N275)&amp;"")</f>
        <v/>
      </c>
      <c r="E275" s="91" t="str">
        <f>IF($N275="","",INDEX('Loan maths'!$C$1:$C$1000,$N275)&amp;"")</f>
        <v/>
      </c>
      <c r="F275" s="91" t="str">
        <f>IF($N275="","",INDEX('Loans'!$K$1:$K$1000,$N275)&amp;"")</f>
        <v/>
      </c>
      <c r="G275" s="92" t="str">
        <f>IF($N275="","",INDEX('Deal maths'!$Y$1:$Y$1000,$N275))</f>
        <v/>
      </c>
      <c r="H275" s="93" t="str">
        <f>IF($N275="","",INDEX('Deal maths'!$AB$1:$AB$1000,$N275))</f>
        <v/>
      </c>
      <c r="I275" s="94" t="str">
        <f>IF($N275="","",INDEX('Deal maths'!$Z$1:$Z$1000,$N275))</f>
        <v/>
      </c>
      <c r="J275" s="94" t="str">
        <f>IF($N275="","",INDEX('Deal maths'!$AA$1:$AA$1000,$N275))</f>
        <v/>
      </c>
      <c r="K275" s="94" t="str">
        <f>IF($N275="","",INDEX('Deal maths'!$AG$1:$AG$1000,$N275))</f>
        <v/>
      </c>
      <c r="L275" s="95" t="str">
        <f>IF($N275="","",INDEX('Loan maths'!$P$1:$P$1000,$N275))</f>
        <v/>
      </c>
      <c r="M275" s="92" t="str">
        <f>IF($N275="","",N(G275)*N(H275))</f>
        <v/>
      </c>
      <c r="N275" s="96" t="str">
        <f>IFERROR(MATCH(SMALL(LM_order,267),LM_order,0)+3,"")</f>
        <v/>
      </c>
    </row>
    <row r="276">
      <c r="B276" s="91" t="str">
        <f>IF($N276="","",INDEX('Loans'!$B$1:$B$1000,$N276)&amp;"")</f>
        <v/>
      </c>
      <c r="C276" s="91" t="str">
        <f>IF($N276="","",INDEX('Loans'!$A$1:$A$1000,$N276)&amp;"")</f>
        <v/>
      </c>
      <c r="D276" s="91" t="str">
        <f>IF($N276="","",INDEX('Loans'!$C$1:$C$1000,$N276)&amp;"")</f>
        <v/>
      </c>
      <c r="E276" s="91" t="str">
        <f>IF($N276="","",INDEX('Loan maths'!$C$1:$C$1000,$N276)&amp;"")</f>
        <v/>
      </c>
      <c r="F276" s="91" t="str">
        <f>IF($N276="","",INDEX('Loans'!$K$1:$K$1000,$N276)&amp;"")</f>
        <v/>
      </c>
      <c r="G276" s="92" t="str">
        <f>IF($N276="","",INDEX('Deal maths'!$Y$1:$Y$1000,$N276))</f>
        <v/>
      </c>
      <c r="H276" s="93" t="str">
        <f>IF($N276="","",INDEX('Deal maths'!$AB$1:$AB$1000,$N276))</f>
        <v/>
      </c>
      <c r="I276" s="94" t="str">
        <f>IF($N276="","",INDEX('Deal maths'!$Z$1:$Z$1000,$N276))</f>
        <v/>
      </c>
      <c r="J276" s="94" t="str">
        <f>IF($N276="","",INDEX('Deal maths'!$AA$1:$AA$1000,$N276))</f>
        <v/>
      </c>
      <c r="K276" s="94" t="str">
        <f>IF($N276="","",INDEX('Deal maths'!$AG$1:$AG$1000,$N276))</f>
        <v/>
      </c>
      <c r="L276" s="95" t="str">
        <f>IF($N276="","",INDEX('Loan maths'!$P$1:$P$1000,$N276))</f>
        <v/>
      </c>
      <c r="M276" s="92" t="str">
        <f>IF($N276="","",N(G276)*N(H276))</f>
        <v/>
      </c>
      <c r="N276" s="96" t="str">
        <f>IFERROR(MATCH(SMALL(LM_order,268),LM_order,0)+3,"")</f>
        <v/>
      </c>
    </row>
    <row r="277">
      <c r="B277" s="91" t="str">
        <f>IF($N277="","",INDEX('Loans'!$B$1:$B$1000,$N277)&amp;"")</f>
        <v/>
      </c>
      <c r="C277" s="91" t="str">
        <f>IF($N277="","",INDEX('Loans'!$A$1:$A$1000,$N277)&amp;"")</f>
        <v/>
      </c>
      <c r="D277" s="91" t="str">
        <f>IF($N277="","",INDEX('Loans'!$C$1:$C$1000,$N277)&amp;"")</f>
        <v/>
      </c>
      <c r="E277" s="91" t="str">
        <f>IF($N277="","",INDEX('Loan maths'!$C$1:$C$1000,$N277)&amp;"")</f>
        <v/>
      </c>
      <c r="F277" s="91" t="str">
        <f>IF($N277="","",INDEX('Loans'!$K$1:$K$1000,$N277)&amp;"")</f>
        <v/>
      </c>
      <c r="G277" s="92" t="str">
        <f>IF($N277="","",INDEX('Deal maths'!$Y$1:$Y$1000,$N277))</f>
        <v/>
      </c>
      <c r="H277" s="93" t="str">
        <f>IF($N277="","",INDEX('Deal maths'!$AB$1:$AB$1000,$N277))</f>
        <v/>
      </c>
      <c r="I277" s="94" t="str">
        <f>IF($N277="","",INDEX('Deal maths'!$Z$1:$Z$1000,$N277))</f>
        <v/>
      </c>
      <c r="J277" s="94" t="str">
        <f>IF($N277="","",INDEX('Deal maths'!$AA$1:$AA$1000,$N277))</f>
        <v/>
      </c>
      <c r="K277" s="94" t="str">
        <f>IF($N277="","",INDEX('Deal maths'!$AG$1:$AG$1000,$N277))</f>
        <v/>
      </c>
      <c r="L277" s="95" t="str">
        <f>IF($N277="","",INDEX('Loan maths'!$P$1:$P$1000,$N277))</f>
        <v/>
      </c>
      <c r="M277" s="92" t="str">
        <f>IF($N277="","",N(G277)*N(H277))</f>
        <v/>
      </c>
      <c r="N277" s="96" t="str">
        <f>IFERROR(MATCH(SMALL(LM_order,269),LM_order,0)+3,"")</f>
        <v/>
      </c>
    </row>
    <row r="278">
      <c r="B278" s="91" t="str">
        <f>IF($N278="","",INDEX('Loans'!$B$1:$B$1000,$N278)&amp;"")</f>
        <v/>
      </c>
      <c r="C278" s="91" t="str">
        <f>IF($N278="","",INDEX('Loans'!$A$1:$A$1000,$N278)&amp;"")</f>
        <v/>
      </c>
      <c r="D278" s="91" t="str">
        <f>IF($N278="","",INDEX('Loans'!$C$1:$C$1000,$N278)&amp;"")</f>
        <v/>
      </c>
      <c r="E278" s="91" t="str">
        <f>IF($N278="","",INDEX('Loan maths'!$C$1:$C$1000,$N278)&amp;"")</f>
        <v/>
      </c>
      <c r="F278" s="91" t="str">
        <f>IF($N278="","",INDEX('Loans'!$K$1:$K$1000,$N278)&amp;"")</f>
        <v/>
      </c>
      <c r="G278" s="92" t="str">
        <f>IF($N278="","",INDEX('Deal maths'!$Y$1:$Y$1000,$N278))</f>
        <v/>
      </c>
      <c r="H278" s="93" t="str">
        <f>IF($N278="","",INDEX('Deal maths'!$AB$1:$AB$1000,$N278))</f>
        <v/>
      </c>
      <c r="I278" s="94" t="str">
        <f>IF($N278="","",INDEX('Deal maths'!$Z$1:$Z$1000,$N278))</f>
        <v/>
      </c>
      <c r="J278" s="94" t="str">
        <f>IF($N278="","",INDEX('Deal maths'!$AA$1:$AA$1000,$N278))</f>
        <v/>
      </c>
      <c r="K278" s="94" t="str">
        <f>IF($N278="","",INDEX('Deal maths'!$AG$1:$AG$1000,$N278))</f>
        <v/>
      </c>
      <c r="L278" s="95" t="str">
        <f>IF($N278="","",INDEX('Loan maths'!$P$1:$P$1000,$N278))</f>
        <v/>
      </c>
      <c r="M278" s="92" t="str">
        <f>IF($N278="","",N(G278)*N(H278))</f>
        <v/>
      </c>
      <c r="N278" s="96" t="str">
        <f>IFERROR(MATCH(SMALL(LM_order,270),LM_order,0)+3,"")</f>
        <v/>
      </c>
    </row>
    <row r="279">
      <c r="B279" s="91" t="str">
        <f>IF($N279="","",INDEX('Loans'!$B$1:$B$1000,$N279)&amp;"")</f>
        <v/>
      </c>
      <c r="C279" s="91" t="str">
        <f>IF($N279="","",INDEX('Loans'!$A$1:$A$1000,$N279)&amp;"")</f>
        <v/>
      </c>
      <c r="D279" s="91" t="str">
        <f>IF($N279="","",INDEX('Loans'!$C$1:$C$1000,$N279)&amp;"")</f>
        <v/>
      </c>
      <c r="E279" s="91" t="str">
        <f>IF($N279="","",INDEX('Loan maths'!$C$1:$C$1000,$N279)&amp;"")</f>
        <v/>
      </c>
      <c r="F279" s="91" t="str">
        <f>IF($N279="","",INDEX('Loans'!$K$1:$K$1000,$N279)&amp;"")</f>
        <v/>
      </c>
      <c r="G279" s="92" t="str">
        <f>IF($N279="","",INDEX('Deal maths'!$Y$1:$Y$1000,$N279))</f>
        <v/>
      </c>
      <c r="H279" s="93" t="str">
        <f>IF($N279="","",INDEX('Deal maths'!$AB$1:$AB$1000,$N279))</f>
        <v/>
      </c>
      <c r="I279" s="94" t="str">
        <f>IF($N279="","",INDEX('Deal maths'!$Z$1:$Z$1000,$N279))</f>
        <v/>
      </c>
      <c r="J279" s="94" t="str">
        <f>IF($N279="","",INDEX('Deal maths'!$AA$1:$AA$1000,$N279))</f>
        <v/>
      </c>
      <c r="K279" s="94" t="str">
        <f>IF($N279="","",INDEX('Deal maths'!$AG$1:$AG$1000,$N279))</f>
        <v/>
      </c>
      <c r="L279" s="95" t="str">
        <f>IF($N279="","",INDEX('Loan maths'!$P$1:$P$1000,$N279))</f>
        <v/>
      </c>
      <c r="M279" s="92" t="str">
        <f>IF($N279="","",N(G279)*N(H279))</f>
        <v/>
      </c>
      <c r="N279" s="96" t="str">
        <f>IFERROR(MATCH(SMALL(LM_order,271),LM_order,0)+3,"")</f>
        <v/>
      </c>
    </row>
    <row r="280">
      <c r="B280" s="91" t="str">
        <f>IF($N280="","",INDEX('Loans'!$B$1:$B$1000,$N280)&amp;"")</f>
        <v/>
      </c>
      <c r="C280" s="91" t="str">
        <f>IF($N280="","",INDEX('Loans'!$A$1:$A$1000,$N280)&amp;"")</f>
        <v/>
      </c>
      <c r="D280" s="91" t="str">
        <f>IF($N280="","",INDEX('Loans'!$C$1:$C$1000,$N280)&amp;"")</f>
        <v/>
      </c>
      <c r="E280" s="91" t="str">
        <f>IF($N280="","",INDEX('Loan maths'!$C$1:$C$1000,$N280)&amp;"")</f>
        <v/>
      </c>
      <c r="F280" s="91" t="str">
        <f>IF($N280="","",INDEX('Loans'!$K$1:$K$1000,$N280)&amp;"")</f>
        <v/>
      </c>
      <c r="G280" s="92" t="str">
        <f>IF($N280="","",INDEX('Deal maths'!$Y$1:$Y$1000,$N280))</f>
        <v/>
      </c>
      <c r="H280" s="93" t="str">
        <f>IF($N280="","",INDEX('Deal maths'!$AB$1:$AB$1000,$N280))</f>
        <v/>
      </c>
      <c r="I280" s="94" t="str">
        <f>IF($N280="","",INDEX('Deal maths'!$Z$1:$Z$1000,$N280))</f>
        <v/>
      </c>
      <c r="J280" s="94" t="str">
        <f>IF($N280="","",INDEX('Deal maths'!$AA$1:$AA$1000,$N280))</f>
        <v/>
      </c>
      <c r="K280" s="94" t="str">
        <f>IF($N280="","",INDEX('Deal maths'!$AG$1:$AG$1000,$N280))</f>
        <v/>
      </c>
      <c r="L280" s="95" t="str">
        <f>IF($N280="","",INDEX('Loan maths'!$P$1:$P$1000,$N280))</f>
        <v/>
      </c>
      <c r="M280" s="92" t="str">
        <f>IF($N280="","",N(G280)*N(H280))</f>
        <v/>
      </c>
      <c r="N280" s="96" t="str">
        <f>IFERROR(MATCH(SMALL(LM_order,272),LM_order,0)+3,"")</f>
        <v/>
      </c>
    </row>
    <row r="281">
      <c r="B281" s="91" t="str">
        <f>IF($N281="","",INDEX('Loans'!$B$1:$B$1000,$N281)&amp;"")</f>
        <v/>
      </c>
      <c r="C281" s="91" t="str">
        <f>IF($N281="","",INDEX('Loans'!$A$1:$A$1000,$N281)&amp;"")</f>
        <v/>
      </c>
      <c r="D281" s="91" t="str">
        <f>IF($N281="","",INDEX('Loans'!$C$1:$C$1000,$N281)&amp;"")</f>
        <v/>
      </c>
      <c r="E281" s="91" t="str">
        <f>IF($N281="","",INDEX('Loan maths'!$C$1:$C$1000,$N281)&amp;"")</f>
        <v/>
      </c>
      <c r="F281" s="91" t="str">
        <f>IF($N281="","",INDEX('Loans'!$K$1:$K$1000,$N281)&amp;"")</f>
        <v/>
      </c>
      <c r="G281" s="92" t="str">
        <f>IF($N281="","",INDEX('Deal maths'!$Y$1:$Y$1000,$N281))</f>
        <v/>
      </c>
      <c r="H281" s="93" t="str">
        <f>IF($N281="","",INDEX('Deal maths'!$AB$1:$AB$1000,$N281))</f>
        <v/>
      </c>
      <c r="I281" s="94" t="str">
        <f>IF($N281="","",INDEX('Deal maths'!$Z$1:$Z$1000,$N281))</f>
        <v/>
      </c>
      <c r="J281" s="94" t="str">
        <f>IF($N281="","",INDEX('Deal maths'!$AA$1:$AA$1000,$N281))</f>
        <v/>
      </c>
      <c r="K281" s="94" t="str">
        <f>IF($N281="","",INDEX('Deal maths'!$AG$1:$AG$1000,$N281))</f>
        <v/>
      </c>
      <c r="L281" s="95" t="str">
        <f>IF($N281="","",INDEX('Loan maths'!$P$1:$P$1000,$N281))</f>
        <v/>
      </c>
      <c r="M281" s="92" t="str">
        <f>IF($N281="","",N(G281)*N(H281))</f>
        <v/>
      </c>
      <c r="N281" s="96" t="str">
        <f>IFERROR(MATCH(SMALL(LM_order,273),LM_order,0)+3,"")</f>
        <v/>
      </c>
    </row>
    <row r="282">
      <c r="B282" s="91" t="str">
        <f>IF($N282="","",INDEX('Loans'!$B$1:$B$1000,$N282)&amp;"")</f>
        <v/>
      </c>
      <c r="C282" s="91" t="str">
        <f>IF($N282="","",INDEX('Loans'!$A$1:$A$1000,$N282)&amp;"")</f>
        <v/>
      </c>
      <c r="D282" s="91" t="str">
        <f>IF($N282="","",INDEX('Loans'!$C$1:$C$1000,$N282)&amp;"")</f>
        <v/>
      </c>
      <c r="E282" s="91" t="str">
        <f>IF($N282="","",INDEX('Loan maths'!$C$1:$C$1000,$N282)&amp;"")</f>
        <v/>
      </c>
      <c r="F282" s="91" t="str">
        <f>IF($N282="","",INDEX('Loans'!$K$1:$K$1000,$N282)&amp;"")</f>
        <v/>
      </c>
      <c r="G282" s="92" t="str">
        <f>IF($N282="","",INDEX('Deal maths'!$Y$1:$Y$1000,$N282))</f>
        <v/>
      </c>
      <c r="H282" s="93" t="str">
        <f>IF($N282="","",INDEX('Deal maths'!$AB$1:$AB$1000,$N282))</f>
        <v/>
      </c>
      <c r="I282" s="94" t="str">
        <f>IF($N282="","",INDEX('Deal maths'!$Z$1:$Z$1000,$N282))</f>
        <v/>
      </c>
      <c r="J282" s="94" t="str">
        <f>IF($N282="","",INDEX('Deal maths'!$AA$1:$AA$1000,$N282))</f>
        <v/>
      </c>
      <c r="K282" s="94" t="str">
        <f>IF($N282="","",INDEX('Deal maths'!$AG$1:$AG$1000,$N282))</f>
        <v/>
      </c>
      <c r="L282" s="95" t="str">
        <f>IF($N282="","",INDEX('Loan maths'!$P$1:$P$1000,$N282))</f>
        <v/>
      </c>
      <c r="M282" s="92" t="str">
        <f>IF($N282="","",N(G282)*N(H282))</f>
        <v/>
      </c>
      <c r="N282" s="96" t="str">
        <f>IFERROR(MATCH(SMALL(LM_order,274),LM_order,0)+3,"")</f>
        <v/>
      </c>
    </row>
    <row r="283">
      <c r="B283" s="91" t="str">
        <f>IF($N283="","",INDEX('Loans'!$B$1:$B$1000,$N283)&amp;"")</f>
        <v/>
      </c>
      <c r="C283" s="91" t="str">
        <f>IF($N283="","",INDEX('Loans'!$A$1:$A$1000,$N283)&amp;"")</f>
        <v/>
      </c>
      <c r="D283" s="91" t="str">
        <f>IF($N283="","",INDEX('Loans'!$C$1:$C$1000,$N283)&amp;"")</f>
        <v/>
      </c>
      <c r="E283" s="91" t="str">
        <f>IF($N283="","",INDEX('Loan maths'!$C$1:$C$1000,$N283)&amp;"")</f>
        <v/>
      </c>
      <c r="F283" s="91" t="str">
        <f>IF($N283="","",INDEX('Loans'!$K$1:$K$1000,$N283)&amp;"")</f>
        <v/>
      </c>
      <c r="G283" s="92" t="str">
        <f>IF($N283="","",INDEX('Deal maths'!$Y$1:$Y$1000,$N283))</f>
        <v/>
      </c>
      <c r="H283" s="93" t="str">
        <f>IF($N283="","",INDEX('Deal maths'!$AB$1:$AB$1000,$N283))</f>
        <v/>
      </c>
      <c r="I283" s="94" t="str">
        <f>IF($N283="","",INDEX('Deal maths'!$Z$1:$Z$1000,$N283))</f>
        <v/>
      </c>
      <c r="J283" s="94" t="str">
        <f>IF($N283="","",INDEX('Deal maths'!$AA$1:$AA$1000,$N283))</f>
        <v/>
      </c>
      <c r="K283" s="94" t="str">
        <f>IF($N283="","",INDEX('Deal maths'!$AG$1:$AG$1000,$N283))</f>
        <v/>
      </c>
      <c r="L283" s="95" t="str">
        <f>IF($N283="","",INDEX('Loan maths'!$P$1:$P$1000,$N283))</f>
        <v/>
      </c>
      <c r="M283" s="92" t="str">
        <f>IF($N283="","",N(G283)*N(H283))</f>
        <v/>
      </c>
      <c r="N283" s="96" t="str">
        <f>IFERROR(MATCH(SMALL(LM_order,275),LM_order,0)+3,"")</f>
        <v/>
      </c>
    </row>
    <row r="284">
      <c r="B284" s="91" t="str">
        <f>IF($N284="","",INDEX('Loans'!$B$1:$B$1000,$N284)&amp;"")</f>
        <v/>
      </c>
      <c r="C284" s="91" t="str">
        <f>IF($N284="","",INDEX('Loans'!$A$1:$A$1000,$N284)&amp;"")</f>
        <v/>
      </c>
      <c r="D284" s="91" t="str">
        <f>IF($N284="","",INDEX('Loans'!$C$1:$C$1000,$N284)&amp;"")</f>
        <v/>
      </c>
      <c r="E284" s="91" t="str">
        <f>IF($N284="","",INDEX('Loan maths'!$C$1:$C$1000,$N284)&amp;"")</f>
        <v/>
      </c>
      <c r="F284" s="91" t="str">
        <f>IF($N284="","",INDEX('Loans'!$K$1:$K$1000,$N284)&amp;"")</f>
        <v/>
      </c>
      <c r="G284" s="92" t="str">
        <f>IF($N284="","",INDEX('Deal maths'!$Y$1:$Y$1000,$N284))</f>
        <v/>
      </c>
      <c r="H284" s="93" t="str">
        <f>IF($N284="","",INDEX('Deal maths'!$AB$1:$AB$1000,$N284))</f>
        <v/>
      </c>
      <c r="I284" s="94" t="str">
        <f>IF($N284="","",INDEX('Deal maths'!$Z$1:$Z$1000,$N284))</f>
        <v/>
      </c>
      <c r="J284" s="94" t="str">
        <f>IF($N284="","",INDEX('Deal maths'!$AA$1:$AA$1000,$N284))</f>
        <v/>
      </c>
      <c r="K284" s="94" t="str">
        <f>IF($N284="","",INDEX('Deal maths'!$AG$1:$AG$1000,$N284))</f>
        <v/>
      </c>
      <c r="L284" s="95" t="str">
        <f>IF($N284="","",INDEX('Loan maths'!$P$1:$P$1000,$N284))</f>
        <v/>
      </c>
      <c r="M284" s="92" t="str">
        <f>IF($N284="","",N(G284)*N(H284))</f>
        <v/>
      </c>
      <c r="N284" s="96" t="str">
        <f>IFERROR(MATCH(SMALL(LM_order,276),LM_order,0)+3,"")</f>
        <v/>
      </c>
    </row>
    <row r="285">
      <c r="B285" s="91" t="str">
        <f>IF($N285="","",INDEX('Loans'!$B$1:$B$1000,$N285)&amp;"")</f>
        <v/>
      </c>
      <c r="C285" s="91" t="str">
        <f>IF($N285="","",INDEX('Loans'!$A$1:$A$1000,$N285)&amp;"")</f>
        <v/>
      </c>
      <c r="D285" s="91" t="str">
        <f>IF($N285="","",INDEX('Loans'!$C$1:$C$1000,$N285)&amp;"")</f>
        <v/>
      </c>
      <c r="E285" s="91" t="str">
        <f>IF($N285="","",INDEX('Loan maths'!$C$1:$C$1000,$N285)&amp;"")</f>
        <v/>
      </c>
      <c r="F285" s="91" t="str">
        <f>IF($N285="","",INDEX('Loans'!$K$1:$K$1000,$N285)&amp;"")</f>
        <v/>
      </c>
      <c r="G285" s="92" t="str">
        <f>IF($N285="","",INDEX('Deal maths'!$Y$1:$Y$1000,$N285))</f>
        <v/>
      </c>
      <c r="H285" s="93" t="str">
        <f>IF($N285="","",INDEX('Deal maths'!$AB$1:$AB$1000,$N285))</f>
        <v/>
      </c>
      <c r="I285" s="94" t="str">
        <f>IF($N285="","",INDEX('Deal maths'!$Z$1:$Z$1000,$N285))</f>
        <v/>
      </c>
      <c r="J285" s="94" t="str">
        <f>IF($N285="","",INDEX('Deal maths'!$AA$1:$AA$1000,$N285))</f>
        <v/>
      </c>
      <c r="K285" s="94" t="str">
        <f>IF($N285="","",INDEX('Deal maths'!$AG$1:$AG$1000,$N285))</f>
        <v/>
      </c>
      <c r="L285" s="95" t="str">
        <f>IF($N285="","",INDEX('Loan maths'!$P$1:$P$1000,$N285))</f>
        <v/>
      </c>
      <c r="M285" s="92" t="str">
        <f>IF($N285="","",N(G285)*N(H285))</f>
        <v/>
      </c>
      <c r="N285" s="96" t="str">
        <f>IFERROR(MATCH(SMALL(LM_order,277),LM_order,0)+3,"")</f>
        <v/>
      </c>
    </row>
    <row r="286">
      <c r="B286" s="91" t="str">
        <f>IF($N286="","",INDEX('Loans'!$B$1:$B$1000,$N286)&amp;"")</f>
        <v/>
      </c>
      <c r="C286" s="91" t="str">
        <f>IF($N286="","",INDEX('Loans'!$A$1:$A$1000,$N286)&amp;"")</f>
        <v/>
      </c>
      <c r="D286" s="91" t="str">
        <f>IF($N286="","",INDEX('Loans'!$C$1:$C$1000,$N286)&amp;"")</f>
        <v/>
      </c>
      <c r="E286" s="91" t="str">
        <f>IF($N286="","",INDEX('Loan maths'!$C$1:$C$1000,$N286)&amp;"")</f>
        <v/>
      </c>
      <c r="F286" s="91" t="str">
        <f>IF($N286="","",INDEX('Loans'!$K$1:$K$1000,$N286)&amp;"")</f>
        <v/>
      </c>
      <c r="G286" s="92" t="str">
        <f>IF($N286="","",INDEX('Deal maths'!$Y$1:$Y$1000,$N286))</f>
        <v/>
      </c>
      <c r="H286" s="93" t="str">
        <f>IF($N286="","",INDEX('Deal maths'!$AB$1:$AB$1000,$N286))</f>
        <v/>
      </c>
      <c r="I286" s="94" t="str">
        <f>IF($N286="","",INDEX('Deal maths'!$Z$1:$Z$1000,$N286))</f>
        <v/>
      </c>
      <c r="J286" s="94" t="str">
        <f>IF($N286="","",INDEX('Deal maths'!$AA$1:$AA$1000,$N286))</f>
        <v/>
      </c>
      <c r="K286" s="94" t="str">
        <f>IF($N286="","",INDEX('Deal maths'!$AG$1:$AG$1000,$N286))</f>
        <v/>
      </c>
      <c r="L286" s="95" t="str">
        <f>IF($N286="","",INDEX('Loan maths'!$P$1:$P$1000,$N286))</f>
        <v/>
      </c>
      <c r="M286" s="92" t="str">
        <f>IF($N286="","",N(G286)*N(H286))</f>
        <v/>
      </c>
      <c r="N286" s="96" t="str">
        <f>IFERROR(MATCH(SMALL(LM_order,278),LM_order,0)+3,"")</f>
        <v/>
      </c>
    </row>
    <row r="287">
      <c r="B287" s="91" t="str">
        <f>IF($N287="","",INDEX('Loans'!$B$1:$B$1000,$N287)&amp;"")</f>
        <v/>
      </c>
      <c r="C287" s="91" t="str">
        <f>IF($N287="","",INDEX('Loans'!$A$1:$A$1000,$N287)&amp;"")</f>
        <v/>
      </c>
      <c r="D287" s="91" t="str">
        <f>IF($N287="","",INDEX('Loans'!$C$1:$C$1000,$N287)&amp;"")</f>
        <v/>
      </c>
      <c r="E287" s="91" t="str">
        <f>IF($N287="","",INDEX('Loan maths'!$C$1:$C$1000,$N287)&amp;"")</f>
        <v/>
      </c>
      <c r="F287" s="91" t="str">
        <f>IF($N287="","",INDEX('Loans'!$K$1:$K$1000,$N287)&amp;"")</f>
        <v/>
      </c>
      <c r="G287" s="92" t="str">
        <f>IF($N287="","",INDEX('Deal maths'!$Y$1:$Y$1000,$N287))</f>
        <v/>
      </c>
      <c r="H287" s="93" t="str">
        <f>IF($N287="","",INDEX('Deal maths'!$AB$1:$AB$1000,$N287))</f>
        <v/>
      </c>
      <c r="I287" s="94" t="str">
        <f>IF($N287="","",INDEX('Deal maths'!$Z$1:$Z$1000,$N287))</f>
        <v/>
      </c>
      <c r="J287" s="94" t="str">
        <f>IF($N287="","",INDEX('Deal maths'!$AA$1:$AA$1000,$N287))</f>
        <v/>
      </c>
      <c r="K287" s="94" t="str">
        <f>IF($N287="","",INDEX('Deal maths'!$AG$1:$AG$1000,$N287))</f>
        <v/>
      </c>
      <c r="L287" s="95" t="str">
        <f>IF($N287="","",INDEX('Loan maths'!$P$1:$P$1000,$N287))</f>
        <v/>
      </c>
      <c r="M287" s="92" t="str">
        <f>IF($N287="","",N(G287)*N(H287))</f>
        <v/>
      </c>
      <c r="N287" s="96" t="str">
        <f>IFERROR(MATCH(SMALL(LM_order,279),LM_order,0)+3,"")</f>
        <v/>
      </c>
    </row>
    <row r="288">
      <c r="B288" s="91" t="str">
        <f>IF($N288="","",INDEX('Loans'!$B$1:$B$1000,$N288)&amp;"")</f>
        <v/>
      </c>
      <c r="C288" s="91" t="str">
        <f>IF($N288="","",INDEX('Loans'!$A$1:$A$1000,$N288)&amp;"")</f>
        <v/>
      </c>
      <c r="D288" s="91" t="str">
        <f>IF($N288="","",INDEX('Loans'!$C$1:$C$1000,$N288)&amp;"")</f>
        <v/>
      </c>
      <c r="E288" s="91" t="str">
        <f>IF($N288="","",INDEX('Loan maths'!$C$1:$C$1000,$N288)&amp;"")</f>
        <v/>
      </c>
      <c r="F288" s="91" t="str">
        <f>IF($N288="","",INDEX('Loans'!$K$1:$K$1000,$N288)&amp;"")</f>
        <v/>
      </c>
      <c r="G288" s="92" t="str">
        <f>IF($N288="","",INDEX('Deal maths'!$Y$1:$Y$1000,$N288))</f>
        <v/>
      </c>
      <c r="H288" s="93" t="str">
        <f>IF($N288="","",INDEX('Deal maths'!$AB$1:$AB$1000,$N288))</f>
        <v/>
      </c>
      <c r="I288" s="94" t="str">
        <f>IF($N288="","",INDEX('Deal maths'!$Z$1:$Z$1000,$N288))</f>
        <v/>
      </c>
      <c r="J288" s="94" t="str">
        <f>IF($N288="","",INDEX('Deal maths'!$AA$1:$AA$1000,$N288))</f>
        <v/>
      </c>
      <c r="K288" s="94" t="str">
        <f>IF($N288="","",INDEX('Deal maths'!$AG$1:$AG$1000,$N288))</f>
        <v/>
      </c>
      <c r="L288" s="95" t="str">
        <f>IF($N288="","",INDEX('Loan maths'!$P$1:$P$1000,$N288))</f>
        <v/>
      </c>
      <c r="M288" s="92" t="str">
        <f>IF($N288="","",N(G288)*N(H288))</f>
        <v/>
      </c>
      <c r="N288" s="96" t="str">
        <f>IFERROR(MATCH(SMALL(LM_order,280),LM_order,0)+3,"")</f>
        <v/>
      </c>
    </row>
    <row r="289">
      <c r="B289" s="91" t="str">
        <f>IF($N289="","",INDEX('Loans'!$B$1:$B$1000,$N289)&amp;"")</f>
        <v/>
      </c>
      <c r="C289" s="91" t="str">
        <f>IF($N289="","",INDEX('Loans'!$A$1:$A$1000,$N289)&amp;"")</f>
        <v/>
      </c>
      <c r="D289" s="91" t="str">
        <f>IF($N289="","",INDEX('Loans'!$C$1:$C$1000,$N289)&amp;"")</f>
        <v/>
      </c>
      <c r="E289" s="91" t="str">
        <f>IF($N289="","",INDEX('Loan maths'!$C$1:$C$1000,$N289)&amp;"")</f>
        <v/>
      </c>
      <c r="F289" s="91" t="str">
        <f>IF($N289="","",INDEX('Loans'!$K$1:$K$1000,$N289)&amp;"")</f>
        <v/>
      </c>
      <c r="G289" s="92" t="str">
        <f>IF($N289="","",INDEX('Deal maths'!$Y$1:$Y$1000,$N289))</f>
        <v/>
      </c>
      <c r="H289" s="93" t="str">
        <f>IF($N289="","",INDEX('Deal maths'!$AB$1:$AB$1000,$N289))</f>
        <v/>
      </c>
      <c r="I289" s="94" t="str">
        <f>IF($N289="","",INDEX('Deal maths'!$Z$1:$Z$1000,$N289))</f>
        <v/>
      </c>
      <c r="J289" s="94" t="str">
        <f>IF($N289="","",INDEX('Deal maths'!$AA$1:$AA$1000,$N289))</f>
        <v/>
      </c>
      <c r="K289" s="94" t="str">
        <f>IF($N289="","",INDEX('Deal maths'!$AG$1:$AG$1000,$N289))</f>
        <v/>
      </c>
      <c r="L289" s="95" t="str">
        <f>IF($N289="","",INDEX('Loan maths'!$P$1:$P$1000,$N289))</f>
        <v/>
      </c>
      <c r="M289" s="92" t="str">
        <f>IF($N289="","",N(G289)*N(H289))</f>
        <v/>
      </c>
      <c r="N289" s="96" t="str">
        <f>IFERROR(MATCH(SMALL(LM_order,281),LM_order,0)+3,"")</f>
        <v/>
      </c>
    </row>
    <row r="290">
      <c r="B290" s="91" t="str">
        <f>IF($N290="","",INDEX('Loans'!$B$1:$B$1000,$N290)&amp;"")</f>
        <v/>
      </c>
      <c r="C290" s="91" t="str">
        <f>IF($N290="","",INDEX('Loans'!$A$1:$A$1000,$N290)&amp;"")</f>
        <v/>
      </c>
      <c r="D290" s="91" t="str">
        <f>IF($N290="","",INDEX('Loans'!$C$1:$C$1000,$N290)&amp;"")</f>
        <v/>
      </c>
      <c r="E290" s="91" t="str">
        <f>IF($N290="","",INDEX('Loan maths'!$C$1:$C$1000,$N290)&amp;"")</f>
        <v/>
      </c>
      <c r="F290" s="91" t="str">
        <f>IF($N290="","",INDEX('Loans'!$K$1:$K$1000,$N290)&amp;"")</f>
        <v/>
      </c>
      <c r="G290" s="92" t="str">
        <f>IF($N290="","",INDEX('Deal maths'!$Y$1:$Y$1000,$N290))</f>
        <v/>
      </c>
      <c r="H290" s="93" t="str">
        <f>IF($N290="","",INDEX('Deal maths'!$AB$1:$AB$1000,$N290))</f>
        <v/>
      </c>
      <c r="I290" s="94" t="str">
        <f>IF($N290="","",INDEX('Deal maths'!$Z$1:$Z$1000,$N290))</f>
        <v/>
      </c>
      <c r="J290" s="94" t="str">
        <f>IF($N290="","",INDEX('Deal maths'!$AA$1:$AA$1000,$N290))</f>
        <v/>
      </c>
      <c r="K290" s="94" t="str">
        <f>IF($N290="","",INDEX('Deal maths'!$AG$1:$AG$1000,$N290))</f>
        <v/>
      </c>
      <c r="L290" s="95" t="str">
        <f>IF($N290="","",INDEX('Loan maths'!$P$1:$P$1000,$N290))</f>
        <v/>
      </c>
      <c r="M290" s="92" t="str">
        <f>IF($N290="","",N(G290)*N(H290))</f>
        <v/>
      </c>
      <c r="N290" s="96" t="str">
        <f>IFERROR(MATCH(SMALL(LM_order,282),LM_order,0)+3,"")</f>
        <v/>
      </c>
    </row>
    <row r="291">
      <c r="B291" s="91" t="str">
        <f>IF($N291="","",INDEX('Loans'!$B$1:$B$1000,$N291)&amp;"")</f>
        <v/>
      </c>
      <c r="C291" s="91" t="str">
        <f>IF($N291="","",INDEX('Loans'!$A$1:$A$1000,$N291)&amp;"")</f>
        <v/>
      </c>
      <c r="D291" s="91" t="str">
        <f>IF($N291="","",INDEX('Loans'!$C$1:$C$1000,$N291)&amp;"")</f>
        <v/>
      </c>
      <c r="E291" s="91" t="str">
        <f>IF($N291="","",INDEX('Loan maths'!$C$1:$C$1000,$N291)&amp;"")</f>
        <v/>
      </c>
      <c r="F291" s="91" t="str">
        <f>IF($N291="","",INDEX('Loans'!$K$1:$K$1000,$N291)&amp;"")</f>
        <v/>
      </c>
      <c r="G291" s="92" t="str">
        <f>IF($N291="","",INDEX('Deal maths'!$Y$1:$Y$1000,$N291))</f>
        <v/>
      </c>
      <c r="H291" s="93" t="str">
        <f>IF($N291="","",INDEX('Deal maths'!$AB$1:$AB$1000,$N291))</f>
        <v/>
      </c>
      <c r="I291" s="94" t="str">
        <f>IF($N291="","",INDEX('Deal maths'!$Z$1:$Z$1000,$N291))</f>
        <v/>
      </c>
      <c r="J291" s="94" t="str">
        <f>IF($N291="","",INDEX('Deal maths'!$AA$1:$AA$1000,$N291))</f>
        <v/>
      </c>
      <c r="K291" s="94" t="str">
        <f>IF($N291="","",INDEX('Deal maths'!$AG$1:$AG$1000,$N291))</f>
        <v/>
      </c>
      <c r="L291" s="95" t="str">
        <f>IF($N291="","",INDEX('Loan maths'!$P$1:$P$1000,$N291))</f>
        <v/>
      </c>
      <c r="M291" s="92" t="str">
        <f>IF($N291="","",N(G291)*N(H291))</f>
        <v/>
      </c>
      <c r="N291" s="96" t="str">
        <f>IFERROR(MATCH(SMALL(LM_order,283),LM_order,0)+3,"")</f>
        <v/>
      </c>
    </row>
    <row r="292">
      <c r="B292" s="91" t="str">
        <f>IF($N292="","",INDEX('Loans'!$B$1:$B$1000,$N292)&amp;"")</f>
        <v/>
      </c>
      <c r="C292" s="91" t="str">
        <f>IF($N292="","",INDEX('Loans'!$A$1:$A$1000,$N292)&amp;"")</f>
        <v/>
      </c>
      <c r="D292" s="91" t="str">
        <f>IF($N292="","",INDEX('Loans'!$C$1:$C$1000,$N292)&amp;"")</f>
        <v/>
      </c>
      <c r="E292" s="91" t="str">
        <f>IF($N292="","",INDEX('Loan maths'!$C$1:$C$1000,$N292)&amp;"")</f>
        <v/>
      </c>
      <c r="F292" s="91" t="str">
        <f>IF($N292="","",INDEX('Loans'!$K$1:$K$1000,$N292)&amp;"")</f>
        <v/>
      </c>
      <c r="G292" s="92" t="str">
        <f>IF($N292="","",INDEX('Deal maths'!$Y$1:$Y$1000,$N292))</f>
        <v/>
      </c>
      <c r="H292" s="93" t="str">
        <f>IF($N292="","",INDEX('Deal maths'!$AB$1:$AB$1000,$N292))</f>
        <v/>
      </c>
      <c r="I292" s="94" t="str">
        <f>IF($N292="","",INDEX('Deal maths'!$Z$1:$Z$1000,$N292))</f>
        <v/>
      </c>
      <c r="J292" s="94" t="str">
        <f>IF($N292="","",INDEX('Deal maths'!$AA$1:$AA$1000,$N292))</f>
        <v/>
      </c>
      <c r="K292" s="94" t="str">
        <f>IF($N292="","",INDEX('Deal maths'!$AG$1:$AG$1000,$N292))</f>
        <v/>
      </c>
      <c r="L292" s="95" t="str">
        <f>IF($N292="","",INDEX('Loan maths'!$P$1:$P$1000,$N292))</f>
        <v/>
      </c>
      <c r="M292" s="92" t="str">
        <f>IF($N292="","",N(G292)*N(H292))</f>
        <v/>
      </c>
      <c r="N292" s="96" t="str">
        <f>IFERROR(MATCH(SMALL(LM_order,284),LM_order,0)+3,"")</f>
        <v/>
      </c>
    </row>
    <row r="293">
      <c r="B293" s="91" t="str">
        <f>IF($N293="","",INDEX('Loans'!$B$1:$B$1000,$N293)&amp;"")</f>
        <v/>
      </c>
      <c r="C293" s="91" t="str">
        <f>IF($N293="","",INDEX('Loans'!$A$1:$A$1000,$N293)&amp;"")</f>
        <v/>
      </c>
      <c r="D293" s="91" t="str">
        <f>IF($N293="","",INDEX('Loans'!$C$1:$C$1000,$N293)&amp;"")</f>
        <v/>
      </c>
      <c r="E293" s="91" t="str">
        <f>IF($N293="","",INDEX('Loan maths'!$C$1:$C$1000,$N293)&amp;"")</f>
        <v/>
      </c>
      <c r="F293" s="91" t="str">
        <f>IF($N293="","",INDEX('Loans'!$K$1:$K$1000,$N293)&amp;"")</f>
        <v/>
      </c>
      <c r="G293" s="92" t="str">
        <f>IF($N293="","",INDEX('Deal maths'!$Y$1:$Y$1000,$N293))</f>
        <v/>
      </c>
      <c r="H293" s="93" t="str">
        <f>IF($N293="","",INDEX('Deal maths'!$AB$1:$AB$1000,$N293))</f>
        <v/>
      </c>
      <c r="I293" s="94" t="str">
        <f>IF($N293="","",INDEX('Deal maths'!$Z$1:$Z$1000,$N293))</f>
        <v/>
      </c>
      <c r="J293" s="94" t="str">
        <f>IF($N293="","",INDEX('Deal maths'!$AA$1:$AA$1000,$N293))</f>
        <v/>
      </c>
      <c r="K293" s="94" t="str">
        <f>IF($N293="","",INDEX('Deal maths'!$AG$1:$AG$1000,$N293))</f>
        <v/>
      </c>
      <c r="L293" s="95" t="str">
        <f>IF($N293="","",INDEX('Loan maths'!$P$1:$P$1000,$N293))</f>
        <v/>
      </c>
      <c r="M293" s="92" t="str">
        <f>IF($N293="","",N(G293)*N(H293))</f>
        <v/>
      </c>
      <c r="N293" s="96" t="str">
        <f>IFERROR(MATCH(SMALL(LM_order,285),LM_order,0)+3,"")</f>
        <v/>
      </c>
    </row>
    <row r="294">
      <c r="B294" s="91" t="str">
        <f>IF($N294="","",INDEX('Loans'!$B$1:$B$1000,$N294)&amp;"")</f>
        <v/>
      </c>
      <c r="C294" s="91" t="str">
        <f>IF($N294="","",INDEX('Loans'!$A$1:$A$1000,$N294)&amp;"")</f>
        <v/>
      </c>
      <c r="D294" s="91" t="str">
        <f>IF($N294="","",INDEX('Loans'!$C$1:$C$1000,$N294)&amp;"")</f>
        <v/>
      </c>
      <c r="E294" s="91" t="str">
        <f>IF($N294="","",INDEX('Loan maths'!$C$1:$C$1000,$N294)&amp;"")</f>
        <v/>
      </c>
      <c r="F294" s="91" t="str">
        <f>IF($N294="","",INDEX('Loans'!$K$1:$K$1000,$N294)&amp;"")</f>
        <v/>
      </c>
      <c r="G294" s="92" t="str">
        <f>IF($N294="","",INDEX('Deal maths'!$Y$1:$Y$1000,$N294))</f>
        <v/>
      </c>
      <c r="H294" s="93" t="str">
        <f>IF($N294="","",INDEX('Deal maths'!$AB$1:$AB$1000,$N294))</f>
        <v/>
      </c>
      <c r="I294" s="94" t="str">
        <f>IF($N294="","",INDEX('Deal maths'!$Z$1:$Z$1000,$N294))</f>
        <v/>
      </c>
      <c r="J294" s="94" t="str">
        <f>IF($N294="","",INDEX('Deal maths'!$AA$1:$AA$1000,$N294))</f>
        <v/>
      </c>
      <c r="K294" s="94" t="str">
        <f>IF($N294="","",INDEX('Deal maths'!$AG$1:$AG$1000,$N294))</f>
        <v/>
      </c>
      <c r="L294" s="95" t="str">
        <f>IF($N294="","",INDEX('Loan maths'!$P$1:$P$1000,$N294))</f>
        <v/>
      </c>
      <c r="M294" s="92" t="str">
        <f>IF($N294="","",N(G294)*N(H294))</f>
        <v/>
      </c>
      <c r="N294" s="96" t="str">
        <f>IFERROR(MATCH(SMALL(LM_order,286),LM_order,0)+3,"")</f>
        <v/>
      </c>
    </row>
    <row r="295">
      <c r="B295" s="91" t="str">
        <f>IF($N295="","",INDEX('Loans'!$B$1:$B$1000,$N295)&amp;"")</f>
        <v/>
      </c>
      <c r="C295" s="91" t="str">
        <f>IF($N295="","",INDEX('Loans'!$A$1:$A$1000,$N295)&amp;"")</f>
        <v/>
      </c>
      <c r="D295" s="91" t="str">
        <f>IF($N295="","",INDEX('Loans'!$C$1:$C$1000,$N295)&amp;"")</f>
        <v/>
      </c>
      <c r="E295" s="91" t="str">
        <f>IF($N295="","",INDEX('Loan maths'!$C$1:$C$1000,$N295)&amp;"")</f>
        <v/>
      </c>
      <c r="F295" s="91" t="str">
        <f>IF($N295="","",INDEX('Loans'!$K$1:$K$1000,$N295)&amp;"")</f>
        <v/>
      </c>
      <c r="G295" s="92" t="str">
        <f>IF($N295="","",INDEX('Deal maths'!$Y$1:$Y$1000,$N295))</f>
        <v/>
      </c>
      <c r="H295" s="93" t="str">
        <f>IF($N295="","",INDEX('Deal maths'!$AB$1:$AB$1000,$N295))</f>
        <v/>
      </c>
      <c r="I295" s="94" t="str">
        <f>IF($N295="","",INDEX('Deal maths'!$Z$1:$Z$1000,$N295))</f>
        <v/>
      </c>
      <c r="J295" s="94" t="str">
        <f>IF($N295="","",INDEX('Deal maths'!$AA$1:$AA$1000,$N295))</f>
        <v/>
      </c>
      <c r="K295" s="94" t="str">
        <f>IF($N295="","",INDEX('Deal maths'!$AG$1:$AG$1000,$N295))</f>
        <v/>
      </c>
      <c r="L295" s="95" t="str">
        <f>IF($N295="","",INDEX('Loan maths'!$P$1:$P$1000,$N295))</f>
        <v/>
      </c>
      <c r="M295" s="92" t="str">
        <f>IF($N295="","",N(G295)*N(H295))</f>
        <v/>
      </c>
      <c r="N295" s="96" t="str">
        <f>IFERROR(MATCH(SMALL(LM_order,287),LM_order,0)+3,"")</f>
        <v/>
      </c>
    </row>
    <row r="296">
      <c r="B296" s="91" t="str">
        <f>IF($N296="","",INDEX('Loans'!$B$1:$B$1000,$N296)&amp;"")</f>
        <v/>
      </c>
      <c r="C296" s="91" t="str">
        <f>IF($N296="","",INDEX('Loans'!$A$1:$A$1000,$N296)&amp;"")</f>
        <v/>
      </c>
      <c r="D296" s="91" t="str">
        <f>IF($N296="","",INDEX('Loans'!$C$1:$C$1000,$N296)&amp;"")</f>
        <v/>
      </c>
      <c r="E296" s="91" t="str">
        <f>IF($N296="","",INDEX('Loan maths'!$C$1:$C$1000,$N296)&amp;"")</f>
        <v/>
      </c>
      <c r="F296" s="91" t="str">
        <f>IF($N296="","",INDEX('Loans'!$K$1:$K$1000,$N296)&amp;"")</f>
        <v/>
      </c>
      <c r="G296" s="92" t="str">
        <f>IF($N296="","",INDEX('Deal maths'!$Y$1:$Y$1000,$N296))</f>
        <v/>
      </c>
      <c r="H296" s="93" t="str">
        <f>IF($N296="","",INDEX('Deal maths'!$AB$1:$AB$1000,$N296))</f>
        <v/>
      </c>
      <c r="I296" s="94" t="str">
        <f>IF($N296="","",INDEX('Deal maths'!$Z$1:$Z$1000,$N296))</f>
        <v/>
      </c>
      <c r="J296" s="94" t="str">
        <f>IF($N296="","",INDEX('Deal maths'!$AA$1:$AA$1000,$N296))</f>
        <v/>
      </c>
      <c r="K296" s="94" t="str">
        <f>IF($N296="","",INDEX('Deal maths'!$AG$1:$AG$1000,$N296))</f>
        <v/>
      </c>
      <c r="L296" s="95" t="str">
        <f>IF($N296="","",INDEX('Loan maths'!$P$1:$P$1000,$N296))</f>
        <v/>
      </c>
      <c r="M296" s="92" t="str">
        <f>IF($N296="","",N(G296)*N(H296))</f>
        <v/>
      </c>
      <c r="N296" s="96" t="str">
        <f>IFERROR(MATCH(SMALL(LM_order,288),LM_order,0)+3,"")</f>
        <v/>
      </c>
    </row>
    <row r="297">
      <c r="B297" s="91" t="str">
        <f>IF($N297="","",INDEX('Loans'!$B$1:$B$1000,$N297)&amp;"")</f>
        <v/>
      </c>
      <c r="C297" s="91" t="str">
        <f>IF($N297="","",INDEX('Loans'!$A$1:$A$1000,$N297)&amp;"")</f>
        <v/>
      </c>
      <c r="D297" s="91" t="str">
        <f>IF($N297="","",INDEX('Loans'!$C$1:$C$1000,$N297)&amp;"")</f>
        <v/>
      </c>
      <c r="E297" s="91" t="str">
        <f>IF($N297="","",INDEX('Loan maths'!$C$1:$C$1000,$N297)&amp;"")</f>
        <v/>
      </c>
      <c r="F297" s="91" t="str">
        <f>IF($N297="","",INDEX('Loans'!$K$1:$K$1000,$N297)&amp;"")</f>
        <v/>
      </c>
      <c r="G297" s="92" t="str">
        <f>IF($N297="","",INDEX('Deal maths'!$Y$1:$Y$1000,$N297))</f>
        <v/>
      </c>
      <c r="H297" s="93" t="str">
        <f>IF($N297="","",INDEX('Deal maths'!$AB$1:$AB$1000,$N297))</f>
        <v/>
      </c>
      <c r="I297" s="94" t="str">
        <f>IF($N297="","",INDEX('Deal maths'!$Z$1:$Z$1000,$N297))</f>
        <v/>
      </c>
      <c r="J297" s="94" t="str">
        <f>IF($N297="","",INDEX('Deal maths'!$AA$1:$AA$1000,$N297))</f>
        <v/>
      </c>
      <c r="K297" s="94" t="str">
        <f>IF($N297="","",INDEX('Deal maths'!$AG$1:$AG$1000,$N297))</f>
        <v/>
      </c>
      <c r="L297" s="95" t="str">
        <f>IF($N297="","",INDEX('Loan maths'!$P$1:$P$1000,$N297))</f>
        <v/>
      </c>
      <c r="M297" s="92" t="str">
        <f>IF($N297="","",N(G297)*N(H297))</f>
        <v/>
      </c>
      <c r="N297" s="96" t="str">
        <f>IFERROR(MATCH(SMALL(LM_order,289),LM_order,0)+3,"")</f>
        <v/>
      </c>
    </row>
    <row r="298">
      <c r="B298" s="91" t="str">
        <f>IF($N298="","",INDEX('Loans'!$B$1:$B$1000,$N298)&amp;"")</f>
        <v/>
      </c>
      <c r="C298" s="91" t="str">
        <f>IF($N298="","",INDEX('Loans'!$A$1:$A$1000,$N298)&amp;"")</f>
        <v/>
      </c>
      <c r="D298" s="91" t="str">
        <f>IF($N298="","",INDEX('Loans'!$C$1:$C$1000,$N298)&amp;"")</f>
        <v/>
      </c>
      <c r="E298" s="91" t="str">
        <f>IF($N298="","",INDEX('Loan maths'!$C$1:$C$1000,$N298)&amp;"")</f>
        <v/>
      </c>
      <c r="F298" s="91" t="str">
        <f>IF($N298="","",INDEX('Loans'!$K$1:$K$1000,$N298)&amp;"")</f>
        <v/>
      </c>
      <c r="G298" s="92" t="str">
        <f>IF($N298="","",INDEX('Deal maths'!$Y$1:$Y$1000,$N298))</f>
        <v/>
      </c>
      <c r="H298" s="93" t="str">
        <f>IF($N298="","",INDEX('Deal maths'!$AB$1:$AB$1000,$N298))</f>
        <v/>
      </c>
      <c r="I298" s="94" t="str">
        <f>IF($N298="","",INDEX('Deal maths'!$Z$1:$Z$1000,$N298))</f>
        <v/>
      </c>
      <c r="J298" s="94" t="str">
        <f>IF($N298="","",INDEX('Deal maths'!$AA$1:$AA$1000,$N298))</f>
        <v/>
      </c>
      <c r="K298" s="94" t="str">
        <f>IF($N298="","",INDEX('Deal maths'!$AG$1:$AG$1000,$N298))</f>
        <v/>
      </c>
      <c r="L298" s="95" t="str">
        <f>IF($N298="","",INDEX('Loan maths'!$P$1:$P$1000,$N298))</f>
        <v/>
      </c>
      <c r="M298" s="92" t="str">
        <f>IF($N298="","",N(G298)*N(H298))</f>
        <v/>
      </c>
      <c r="N298" s="96" t="str">
        <f>IFERROR(MATCH(SMALL(LM_order,290),LM_order,0)+3,"")</f>
        <v/>
      </c>
    </row>
    <row r="299">
      <c r="B299" s="91" t="str">
        <f>IF($N299="","",INDEX('Loans'!$B$1:$B$1000,$N299)&amp;"")</f>
        <v/>
      </c>
      <c r="C299" s="91" t="str">
        <f>IF($N299="","",INDEX('Loans'!$A$1:$A$1000,$N299)&amp;"")</f>
        <v/>
      </c>
      <c r="D299" s="91" t="str">
        <f>IF($N299="","",INDEX('Loans'!$C$1:$C$1000,$N299)&amp;"")</f>
        <v/>
      </c>
      <c r="E299" s="91" t="str">
        <f>IF($N299="","",INDEX('Loan maths'!$C$1:$C$1000,$N299)&amp;"")</f>
        <v/>
      </c>
      <c r="F299" s="91" t="str">
        <f>IF($N299="","",INDEX('Loans'!$K$1:$K$1000,$N299)&amp;"")</f>
        <v/>
      </c>
      <c r="G299" s="92" t="str">
        <f>IF($N299="","",INDEX('Deal maths'!$Y$1:$Y$1000,$N299))</f>
        <v/>
      </c>
      <c r="H299" s="93" t="str">
        <f>IF($N299="","",INDEX('Deal maths'!$AB$1:$AB$1000,$N299))</f>
        <v/>
      </c>
      <c r="I299" s="94" t="str">
        <f>IF($N299="","",INDEX('Deal maths'!$Z$1:$Z$1000,$N299))</f>
        <v/>
      </c>
      <c r="J299" s="94" t="str">
        <f>IF($N299="","",INDEX('Deal maths'!$AA$1:$AA$1000,$N299))</f>
        <v/>
      </c>
      <c r="K299" s="94" t="str">
        <f>IF($N299="","",INDEX('Deal maths'!$AG$1:$AG$1000,$N299))</f>
        <v/>
      </c>
      <c r="L299" s="95" t="str">
        <f>IF($N299="","",INDEX('Loan maths'!$P$1:$P$1000,$N299))</f>
        <v/>
      </c>
      <c r="M299" s="92" t="str">
        <f>IF($N299="","",N(G299)*N(H299))</f>
        <v/>
      </c>
      <c r="N299" s="96" t="str">
        <f>IFERROR(MATCH(SMALL(LM_order,291),LM_order,0)+3,"")</f>
        <v/>
      </c>
    </row>
    <row r="300">
      <c r="B300" s="91" t="str">
        <f>IF($N300="","",INDEX('Loans'!$B$1:$B$1000,$N300)&amp;"")</f>
        <v/>
      </c>
      <c r="C300" s="91" t="str">
        <f>IF($N300="","",INDEX('Loans'!$A$1:$A$1000,$N300)&amp;"")</f>
        <v/>
      </c>
      <c r="D300" s="91" t="str">
        <f>IF($N300="","",INDEX('Loans'!$C$1:$C$1000,$N300)&amp;"")</f>
        <v/>
      </c>
      <c r="E300" s="91" t="str">
        <f>IF($N300="","",INDEX('Loan maths'!$C$1:$C$1000,$N300)&amp;"")</f>
        <v/>
      </c>
      <c r="F300" s="91" t="str">
        <f>IF($N300="","",INDEX('Loans'!$K$1:$K$1000,$N300)&amp;"")</f>
        <v/>
      </c>
      <c r="G300" s="92" t="str">
        <f>IF($N300="","",INDEX('Deal maths'!$Y$1:$Y$1000,$N300))</f>
        <v/>
      </c>
      <c r="H300" s="93" t="str">
        <f>IF($N300="","",INDEX('Deal maths'!$AB$1:$AB$1000,$N300))</f>
        <v/>
      </c>
      <c r="I300" s="94" t="str">
        <f>IF($N300="","",INDEX('Deal maths'!$Z$1:$Z$1000,$N300))</f>
        <v/>
      </c>
      <c r="J300" s="94" t="str">
        <f>IF($N300="","",INDEX('Deal maths'!$AA$1:$AA$1000,$N300))</f>
        <v/>
      </c>
      <c r="K300" s="94" t="str">
        <f>IF($N300="","",INDEX('Deal maths'!$AG$1:$AG$1000,$N300))</f>
        <v/>
      </c>
      <c r="L300" s="95" t="str">
        <f>IF($N300="","",INDEX('Loan maths'!$P$1:$P$1000,$N300))</f>
        <v/>
      </c>
      <c r="M300" s="92" t="str">
        <f>IF($N300="","",N(G300)*N(H300))</f>
        <v/>
      </c>
      <c r="N300" s="96" t="str">
        <f>IFERROR(MATCH(SMALL(LM_order,292),LM_order,0)+3,"")</f>
        <v/>
      </c>
    </row>
    <row r="301">
      <c r="B301" s="91" t="str">
        <f>IF($N301="","",INDEX('Loans'!$B$1:$B$1000,$N301)&amp;"")</f>
        <v/>
      </c>
      <c r="C301" s="91" t="str">
        <f>IF($N301="","",INDEX('Loans'!$A$1:$A$1000,$N301)&amp;"")</f>
        <v/>
      </c>
      <c r="D301" s="91" t="str">
        <f>IF($N301="","",INDEX('Loans'!$C$1:$C$1000,$N301)&amp;"")</f>
        <v/>
      </c>
      <c r="E301" s="91" t="str">
        <f>IF($N301="","",INDEX('Loan maths'!$C$1:$C$1000,$N301)&amp;"")</f>
        <v/>
      </c>
      <c r="F301" s="91" t="str">
        <f>IF($N301="","",INDEX('Loans'!$K$1:$K$1000,$N301)&amp;"")</f>
        <v/>
      </c>
      <c r="G301" s="92" t="str">
        <f>IF($N301="","",INDEX('Deal maths'!$Y$1:$Y$1000,$N301))</f>
        <v/>
      </c>
      <c r="H301" s="93" t="str">
        <f>IF($N301="","",INDEX('Deal maths'!$AB$1:$AB$1000,$N301))</f>
        <v/>
      </c>
      <c r="I301" s="94" t="str">
        <f>IF($N301="","",INDEX('Deal maths'!$Z$1:$Z$1000,$N301))</f>
        <v/>
      </c>
      <c r="J301" s="94" t="str">
        <f>IF($N301="","",INDEX('Deal maths'!$AA$1:$AA$1000,$N301))</f>
        <v/>
      </c>
      <c r="K301" s="94" t="str">
        <f>IF($N301="","",INDEX('Deal maths'!$AG$1:$AG$1000,$N301))</f>
        <v/>
      </c>
      <c r="L301" s="95" t="str">
        <f>IF($N301="","",INDEX('Loan maths'!$P$1:$P$1000,$N301))</f>
        <v/>
      </c>
      <c r="M301" s="92" t="str">
        <f>IF($N301="","",N(G301)*N(H301))</f>
        <v/>
      </c>
      <c r="N301" s="96" t="str">
        <f>IFERROR(MATCH(SMALL(LM_order,293),LM_order,0)+3,"")</f>
        <v/>
      </c>
    </row>
    <row r="302">
      <c r="B302" s="91" t="str">
        <f>IF($N302="","",INDEX('Loans'!$B$1:$B$1000,$N302)&amp;"")</f>
        <v/>
      </c>
      <c r="C302" s="91" t="str">
        <f>IF($N302="","",INDEX('Loans'!$A$1:$A$1000,$N302)&amp;"")</f>
        <v/>
      </c>
      <c r="D302" s="91" t="str">
        <f>IF($N302="","",INDEX('Loans'!$C$1:$C$1000,$N302)&amp;"")</f>
        <v/>
      </c>
      <c r="E302" s="91" t="str">
        <f>IF($N302="","",INDEX('Loan maths'!$C$1:$C$1000,$N302)&amp;"")</f>
        <v/>
      </c>
      <c r="F302" s="91" t="str">
        <f>IF($N302="","",INDEX('Loans'!$K$1:$K$1000,$N302)&amp;"")</f>
        <v/>
      </c>
      <c r="G302" s="92" t="str">
        <f>IF($N302="","",INDEX('Deal maths'!$Y$1:$Y$1000,$N302))</f>
        <v/>
      </c>
      <c r="H302" s="93" t="str">
        <f>IF($N302="","",INDEX('Deal maths'!$AB$1:$AB$1000,$N302))</f>
        <v/>
      </c>
      <c r="I302" s="94" t="str">
        <f>IF($N302="","",INDEX('Deal maths'!$Z$1:$Z$1000,$N302))</f>
        <v/>
      </c>
      <c r="J302" s="94" t="str">
        <f>IF($N302="","",INDEX('Deal maths'!$AA$1:$AA$1000,$N302))</f>
        <v/>
      </c>
      <c r="K302" s="94" t="str">
        <f>IF($N302="","",INDEX('Deal maths'!$AG$1:$AG$1000,$N302))</f>
        <v/>
      </c>
      <c r="L302" s="95" t="str">
        <f>IF($N302="","",INDEX('Loan maths'!$P$1:$P$1000,$N302))</f>
        <v/>
      </c>
      <c r="M302" s="92" t="str">
        <f>IF($N302="","",N(G302)*N(H302))</f>
        <v/>
      </c>
      <c r="N302" s="96" t="str">
        <f>IFERROR(MATCH(SMALL(LM_order,294),LM_order,0)+3,"")</f>
        <v/>
      </c>
    </row>
    <row r="303">
      <c r="B303" s="91" t="str">
        <f>IF($N303="","",INDEX('Loans'!$B$1:$B$1000,$N303)&amp;"")</f>
        <v/>
      </c>
      <c r="C303" s="91" t="str">
        <f>IF($N303="","",INDEX('Loans'!$A$1:$A$1000,$N303)&amp;"")</f>
        <v/>
      </c>
      <c r="D303" s="91" t="str">
        <f>IF($N303="","",INDEX('Loans'!$C$1:$C$1000,$N303)&amp;"")</f>
        <v/>
      </c>
      <c r="E303" s="91" t="str">
        <f>IF($N303="","",INDEX('Loan maths'!$C$1:$C$1000,$N303)&amp;"")</f>
        <v/>
      </c>
      <c r="F303" s="91" t="str">
        <f>IF($N303="","",INDEX('Loans'!$K$1:$K$1000,$N303)&amp;"")</f>
        <v/>
      </c>
      <c r="G303" s="92" t="str">
        <f>IF($N303="","",INDEX('Deal maths'!$Y$1:$Y$1000,$N303))</f>
        <v/>
      </c>
      <c r="H303" s="93" t="str">
        <f>IF($N303="","",INDEX('Deal maths'!$AB$1:$AB$1000,$N303))</f>
        <v/>
      </c>
      <c r="I303" s="94" t="str">
        <f>IF($N303="","",INDEX('Deal maths'!$Z$1:$Z$1000,$N303))</f>
        <v/>
      </c>
      <c r="J303" s="94" t="str">
        <f>IF($N303="","",INDEX('Deal maths'!$AA$1:$AA$1000,$N303))</f>
        <v/>
      </c>
      <c r="K303" s="94" t="str">
        <f>IF($N303="","",INDEX('Deal maths'!$AG$1:$AG$1000,$N303))</f>
        <v/>
      </c>
      <c r="L303" s="95" t="str">
        <f>IF($N303="","",INDEX('Loan maths'!$P$1:$P$1000,$N303))</f>
        <v/>
      </c>
      <c r="M303" s="92" t="str">
        <f>IF($N303="","",N(G303)*N(H303))</f>
        <v/>
      </c>
      <c r="N303" s="96" t="str">
        <f>IFERROR(MATCH(SMALL(LM_order,295),LM_order,0)+3,"")</f>
        <v/>
      </c>
    </row>
    <row r="304">
      <c r="B304" s="91" t="str">
        <f>IF($N304="","",INDEX('Loans'!$B$1:$B$1000,$N304)&amp;"")</f>
        <v/>
      </c>
      <c r="C304" s="91" t="str">
        <f>IF($N304="","",INDEX('Loans'!$A$1:$A$1000,$N304)&amp;"")</f>
        <v/>
      </c>
      <c r="D304" s="91" t="str">
        <f>IF($N304="","",INDEX('Loans'!$C$1:$C$1000,$N304)&amp;"")</f>
        <v/>
      </c>
      <c r="E304" s="91" t="str">
        <f>IF($N304="","",INDEX('Loan maths'!$C$1:$C$1000,$N304)&amp;"")</f>
        <v/>
      </c>
      <c r="F304" s="91" t="str">
        <f>IF($N304="","",INDEX('Loans'!$K$1:$K$1000,$N304)&amp;"")</f>
        <v/>
      </c>
      <c r="G304" s="92" t="str">
        <f>IF($N304="","",INDEX('Deal maths'!$Y$1:$Y$1000,$N304))</f>
        <v/>
      </c>
      <c r="H304" s="93" t="str">
        <f>IF($N304="","",INDEX('Deal maths'!$AB$1:$AB$1000,$N304))</f>
        <v/>
      </c>
      <c r="I304" s="94" t="str">
        <f>IF($N304="","",INDEX('Deal maths'!$Z$1:$Z$1000,$N304))</f>
        <v/>
      </c>
      <c r="J304" s="94" t="str">
        <f>IF($N304="","",INDEX('Deal maths'!$AA$1:$AA$1000,$N304))</f>
        <v/>
      </c>
      <c r="K304" s="94" t="str">
        <f>IF($N304="","",INDEX('Deal maths'!$AG$1:$AG$1000,$N304))</f>
        <v/>
      </c>
      <c r="L304" s="95" t="str">
        <f>IF($N304="","",INDEX('Loan maths'!$P$1:$P$1000,$N304))</f>
        <v/>
      </c>
      <c r="M304" s="92" t="str">
        <f>IF($N304="","",N(G304)*N(H304))</f>
        <v/>
      </c>
      <c r="N304" s="96" t="str">
        <f>IFERROR(MATCH(SMALL(LM_order,296),LM_order,0)+3,"")</f>
        <v/>
      </c>
    </row>
    <row r="305">
      <c r="B305" s="91" t="str">
        <f>IF($N305="","",INDEX('Loans'!$B$1:$B$1000,$N305)&amp;"")</f>
        <v/>
      </c>
      <c r="C305" s="91" t="str">
        <f>IF($N305="","",INDEX('Loans'!$A$1:$A$1000,$N305)&amp;"")</f>
        <v/>
      </c>
      <c r="D305" s="91" t="str">
        <f>IF($N305="","",INDEX('Loans'!$C$1:$C$1000,$N305)&amp;"")</f>
        <v/>
      </c>
      <c r="E305" s="91" t="str">
        <f>IF($N305="","",INDEX('Loan maths'!$C$1:$C$1000,$N305)&amp;"")</f>
        <v/>
      </c>
      <c r="F305" s="91" t="str">
        <f>IF($N305="","",INDEX('Loans'!$K$1:$K$1000,$N305)&amp;"")</f>
        <v/>
      </c>
      <c r="G305" s="92" t="str">
        <f>IF($N305="","",INDEX('Deal maths'!$Y$1:$Y$1000,$N305))</f>
        <v/>
      </c>
      <c r="H305" s="93" t="str">
        <f>IF($N305="","",INDEX('Deal maths'!$AB$1:$AB$1000,$N305))</f>
        <v/>
      </c>
      <c r="I305" s="94" t="str">
        <f>IF($N305="","",INDEX('Deal maths'!$Z$1:$Z$1000,$N305))</f>
        <v/>
      </c>
      <c r="J305" s="94" t="str">
        <f>IF($N305="","",INDEX('Deal maths'!$AA$1:$AA$1000,$N305))</f>
        <v/>
      </c>
      <c r="K305" s="94" t="str">
        <f>IF($N305="","",INDEX('Deal maths'!$AG$1:$AG$1000,$N305))</f>
        <v/>
      </c>
      <c r="L305" s="95" t="str">
        <f>IF($N305="","",INDEX('Loan maths'!$P$1:$P$1000,$N305))</f>
        <v/>
      </c>
      <c r="M305" s="92" t="str">
        <f>IF($N305="","",N(G305)*N(H305))</f>
        <v/>
      </c>
      <c r="N305" s="96" t="str">
        <f>IFERROR(MATCH(SMALL(LM_order,297),LM_order,0)+3,"")</f>
        <v/>
      </c>
    </row>
    <row r="306">
      <c r="B306" s="91" t="str">
        <f>IF($N306="","",INDEX('Loans'!$B$1:$B$1000,$N306)&amp;"")</f>
        <v/>
      </c>
      <c r="C306" s="91" t="str">
        <f>IF($N306="","",INDEX('Loans'!$A$1:$A$1000,$N306)&amp;"")</f>
        <v/>
      </c>
      <c r="D306" s="91" t="str">
        <f>IF($N306="","",INDEX('Loans'!$C$1:$C$1000,$N306)&amp;"")</f>
        <v/>
      </c>
      <c r="E306" s="91" t="str">
        <f>IF($N306="","",INDEX('Loan maths'!$C$1:$C$1000,$N306)&amp;"")</f>
        <v/>
      </c>
      <c r="F306" s="91" t="str">
        <f>IF($N306="","",INDEX('Loans'!$K$1:$K$1000,$N306)&amp;"")</f>
        <v/>
      </c>
      <c r="G306" s="92" t="str">
        <f>IF($N306="","",INDEX('Deal maths'!$Y$1:$Y$1000,$N306))</f>
        <v/>
      </c>
      <c r="H306" s="93" t="str">
        <f>IF($N306="","",INDEX('Deal maths'!$AB$1:$AB$1000,$N306))</f>
        <v/>
      </c>
      <c r="I306" s="94" t="str">
        <f>IF($N306="","",INDEX('Deal maths'!$Z$1:$Z$1000,$N306))</f>
        <v/>
      </c>
      <c r="J306" s="94" t="str">
        <f>IF($N306="","",INDEX('Deal maths'!$AA$1:$AA$1000,$N306))</f>
        <v/>
      </c>
      <c r="K306" s="94" t="str">
        <f>IF($N306="","",INDEX('Deal maths'!$AG$1:$AG$1000,$N306))</f>
        <v/>
      </c>
      <c r="L306" s="95" t="str">
        <f>IF($N306="","",INDEX('Loan maths'!$P$1:$P$1000,$N306))</f>
        <v/>
      </c>
      <c r="M306" s="92" t="str">
        <f>IF($N306="","",N(G306)*N(H306))</f>
        <v/>
      </c>
      <c r="N306" s="96" t="str">
        <f>IFERROR(MATCH(SMALL(LM_order,298),LM_order,0)+3,"")</f>
        <v/>
      </c>
    </row>
    <row r="307">
      <c r="B307" s="91" t="str">
        <f>IF($N307="","",INDEX('Loans'!$B$1:$B$1000,$N307)&amp;"")</f>
        <v/>
      </c>
      <c r="C307" s="91" t="str">
        <f>IF($N307="","",INDEX('Loans'!$A$1:$A$1000,$N307)&amp;"")</f>
        <v/>
      </c>
      <c r="D307" s="91" t="str">
        <f>IF($N307="","",INDEX('Loans'!$C$1:$C$1000,$N307)&amp;"")</f>
        <v/>
      </c>
      <c r="E307" s="91" t="str">
        <f>IF($N307="","",INDEX('Loan maths'!$C$1:$C$1000,$N307)&amp;"")</f>
        <v/>
      </c>
      <c r="F307" s="91" t="str">
        <f>IF($N307="","",INDEX('Loans'!$K$1:$K$1000,$N307)&amp;"")</f>
        <v/>
      </c>
      <c r="G307" s="92" t="str">
        <f>IF($N307="","",INDEX('Deal maths'!$Y$1:$Y$1000,$N307))</f>
        <v/>
      </c>
      <c r="H307" s="93" t="str">
        <f>IF($N307="","",INDEX('Deal maths'!$AB$1:$AB$1000,$N307))</f>
        <v/>
      </c>
      <c r="I307" s="94" t="str">
        <f>IF($N307="","",INDEX('Deal maths'!$Z$1:$Z$1000,$N307))</f>
        <v/>
      </c>
      <c r="J307" s="94" t="str">
        <f>IF($N307="","",INDEX('Deal maths'!$AA$1:$AA$1000,$N307))</f>
        <v/>
      </c>
      <c r="K307" s="94" t="str">
        <f>IF($N307="","",INDEX('Deal maths'!$AG$1:$AG$1000,$N307))</f>
        <v/>
      </c>
      <c r="L307" s="95" t="str">
        <f>IF($N307="","",INDEX('Loan maths'!$P$1:$P$1000,$N307))</f>
        <v/>
      </c>
      <c r="M307" s="92" t="str">
        <f>IF($N307="","",N(G307)*N(H307))</f>
        <v/>
      </c>
      <c r="N307" s="96" t="str">
        <f>IFERROR(MATCH(SMALL(LM_order,299),LM_order,0)+3,"")</f>
        <v/>
      </c>
    </row>
    <row r="308">
      <c r="B308" s="91" t="str">
        <f>IF($N308="","",INDEX('Loans'!$B$1:$B$1000,$N308)&amp;"")</f>
        <v/>
      </c>
      <c r="C308" s="91" t="str">
        <f>IF($N308="","",INDEX('Loans'!$A$1:$A$1000,$N308)&amp;"")</f>
        <v/>
      </c>
      <c r="D308" s="91" t="str">
        <f>IF($N308="","",INDEX('Loans'!$C$1:$C$1000,$N308)&amp;"")</f>
        <v/>
      </c>
      <c r="E308" s="91" t="str">
        <f>IF($N308="","",INDEX('Loan maths'!$C$1:$C$1000,$N308)&amp;"")</f>
        <v/>
      </c>
      <c r="F308" s="91" t="str">
        <f>IF($N308="","",INDEX('Loans'!$K$1:$K$1000,$N308)&amp;"")</f>
        <v/>
      </c>
      <c r="G308" s="92" t="str">
        <f>IF($N308="","",INDEX('Deal maths'!$Y$1:$Y$1000,$N308))</f>
        <v/>
      </c>
      <c r="H308" s="93" t="str">
        <f>IF($N308="","",INDEX('Deal maths'!$AB$1:$AB$1000,$N308))</f>
        <v/>
      </c>
      <c r="I308" s="94" t="str">
        <f>IF($N308="","",INDEX('Deal maths'!$Z$1:$Z$1000,$N308))</f>
        <v/>
      </c>
      <c r="J308" s="94" t="str">
        <f>IF($N308="","",INDEX('Deal maths'!$AA$1:$AA$1000,$N308))</f>
        <v/>
      </c>
      <c r="K308" s="94" t="str">
        <f>IF($N308="","",INDEX('Deal maths'!$AG$1:$AG$1000,$N308))</f>
        <v/>
      </c>
      <c r="L308" s="95" t="str">
        <f>IF($N308="","",INDEX('Loan maths'!$P$1:$P$1000,$N308))</f>
        <v/>
      </c>
      <c r="M308" s="92" t="str">
        <f>IF($N308="","",N(G308)*N(H308))</f>
        <v/>
      </c>
      <c r="N308" s="96" t="str">
        <f>IFERROR(MATCH(SMALL(LM_order,300),LM_order,0)+3,"")</f>
        <v/>
      </c>
    </row>
  </sheetData>
  <sheetProtection selectLockedCells="0" selectUnlockedCells="0" sheet="1" objects="0" insertRows="1" insertHyperlinks="1" autoFilter="1" scenarios="0" formatColumns="0" deleteColumns="1" insertColumns="1" pivotTables="1" deleteRows="1" formatCells="1" formatRows="0" sort="1"/>
  <mergeCells count="1">
    <mergeCell ref="B2:N2"/>
  </mergeCells>
  <conditionalFormatting sqref="B9:N308">
    <cfRule type="expression" priority="1" dxfId="7">
      <formula>$N9&lt;&gt;""</formula>
    </cfRule>
  </conditionalFormatting>
  <hyperlinks>
    <hyperlink xmlns:r="http://schemas.openxmlformats.org/officeDocument/2006/relationships" ref="P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1.xml><?xml version="1.0" encoding="utf-8"?>
<worksheet xmlns="http://schemas.openxmlformats.org/spreadsheetml/2006/main">
  <sheetPr>
    <tabColor rgb="00FD7E14"/>
    <outlinePr summaryBelow="1" summaryRight="1"/>
    <pageSetUpPr fitToPage="1"/>
  </sheetPr>
  <dimension ref="A1:Y308"/>
  <sheetViews>
    <sheetView showGridLines="0" workbookViewId="0">
      <pane ySplit="8" topLeftCell="A9" activePane="bottomLeft" state="frozen"/>
      <selection pane="bottomLeft" activeCell="A1" sqref="A1"/>
    </sheetView>
  </sheetViews>
  <sheetFormatPr baseColWidth="8" defaultRowHeight="15"/>
  <cols>
    <col width="2" customWidth="1" min="1" max="1"/>
    <col width="34" customWidth="1" min="2" max="2"/>
    <col width="21" customWidth="1" min="3" max="3"/>
    <col width="17" customWidth="1" min="4" max="4"/>
    <col width="15" customWidth="1" min="5" max="5"/>
    <col width="9" customWidth="1" min="6" max="6"/>
    <col width="16" customWidth="1" min="7" max="7"/>
    <col width="12" customWidth="1" min="8" max="8"/>
    <col width="9" customWidth="1" min="9" max="9"/>
    <col width="9" customWidth="1" min="10" max="10"/>
    <col width="14" customWidth="1" min="11" max="11"/>
    <col width="30" customWidth="1" min="12" max="12"/>
    <col hidden="1" width="13" customWidth="1" min="25" max="25"/>
  </cols>
  <sheetData>
    <row r="1" ht="36" customHeight="1">
      <c r="A1" s="21" t="inlineStr">
        <is>
          <t>Investments held</t>
        </is>
      </c>
      <c r="B1" s="2" t="n"/>
      <c r="C1" s="2" t="n"/>
      <c r="D1" s="2" t="n"/>
      <c r="E1" s="2" t="n"/>
      <c r="F1" s="2" t="n"/>
      <c r="G1" s="2" t="n"/>
      <c r="H1" s="2" t="n"/>
      <c r="I1" s="2" t="n"/>
      <c r="J1" s="2" t="n"/>
      <c r="K1" s="2" t="n"/>
      <c r="L1" s="22" t="inlineStr">
        <is>
          <t>every investment held at the As at date</t>
        </is>
      </c>
      <c r="N1" s="23" t="inlineStr">
        <is>
          <t>◂ Start here</t>
        </is>
      </c>
    </row>
    <row r="2" ht="42" customHeight="1">
      <c r="B2" s="45" t="inlineStr">
        <is>
          <t>Every treasury investment held at the As at date: money on call and in money market funds first, then the term deals, soonest maturity first, at nominal (Face value where given, else Principal). Days left is the days to maturity, or a notice account's notice. The tiles count every deal; the list shows the first 300. Pooled funds are on the Position sheet. Nothing to type here.</t>
        </is>
      </c>
    </row>
    <row r="3">
      <c r="B3" s="48" t="str">
        <f>"As at "&amp;TEXT(AsAt,"dd/mm/yyyy")&amp;"     Period from "&amp;TEXT(PeriodFrom,"dd/mm/yyyy")&amp;"     HRA "&amp;HRA</f>
        <v>As at 30/09/2026     Period from 01/04/2026     HRA None</v>
      </c>
    </row>
    <row r="4"/>
    <row r="5" ht="30" customHeight="1">
      <c r="B5" s="50">
        <f>COUNT('List maths'!$E$4:$E$3997)</f>
        <v>0</v>
      </c>
      <c r="C5" s="66">
        <f>SUMPRODUCT(('Deal maths'!$F$4:$F$2000&gt;AsAt)*('Deal maths'!$E$4:$E$2000&lt;=AsAt)*('Deal maths'!$H$4:$H$2000+('Deal maths'!$H$4:$H$2000=0)*'Deal maths'!$D$4:$D$2000))+SUM('Deal maths'!$M$4:$M$2000)</f>
        <v>0</v>
      </c>
      <c r="D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v>
      </c>
      <c r="E5" s="67">
        <f>IFERROR(SUMPRODUCT(('Deal maths'!$F$4:$F$2000&gt;AsAt)*('Deal maths'!$E$4:$E$2000&lt;=AsAt)*('Deal maths'!$H$4:$H$2000+('Deal maths'!$H$4:$H$2000=0)*'Deal maths'!$D$4:$D$2000)*('Deal maths'!$F$4:$F$2000-AsAt))/365.25/(SUMPRODUCT(('Deal maths'!$F$4:$F$2000&gt;AsAt)*('Deal maths'!$E$4:$E$2000&lt;=AsAt)*('Deal maths'!$H$4:$H$2000+('Deal maths'!$H$4:$H$2000=0)*'Deal maths'!$D$4:$D$2000))),0)</f>
        <v>0</v>
      </c>
      <c r="F5" s="66">
        <f>SUMPRODUCT(('Deal maths'!$F$4:$F$2000&gt;AsAt)*('Deal maths'!$E$4:$E$2000&lt;=AsAt)*('Deal maths'!$H$4:$H$2000+('Deal maths'!$H$4:$H$2000=0)*'Deal maths'!$D$4:$D$2000)*'Deal maths'!$G$4:$G$2000)+SUMPRODUCT('Deal maths'!$M$4:$M$2000*'Deal maths'!$N$4:$N$2000)</f>
        <v>0</v>
      </c>
      <c r="G5" s="90" t="str">
        <f>IFERROR(INT(SMALL('List maths'!$E$4:$E$3997,COUNTIF('List maths'!$E$4:$E$3997,"&lt;1")+1)),"–")</f>
        <v>–</v>
      </c>
    </row>
    <row r="6" ht="26" customHeight="1">
      <c r="B6" s="68" t="inlineStr">
        <is>
          <t>Deals</t>
        </is>
      </c>
      <c r="C6" s="68" t="inlineStr">
        <is>
          <t>Invested</t>
        </is>
      </c>
      <c r="D6" s="68" t="inlineStr">
        <is>
          <t>Average rate</t>
        </is>
      </c>
      <c r="E6" s="68" t="inlineStr">
        <is>
          <t>Average life of term deals</t>
        </is>
      </c>
      <c r="F6" s="68" t="inlineStr">
        <is>
          <t>A year's interest</t>
        </is>
      </c>
      <c r="G6" s="68" t="inlineStr">
        <is>
          <t>Next maturity</t>
        </is>
      </c>
    </row>
    <row r="7">
      <c r="B7" s="38" t="str">
        <f>IF(COUNT('List maths'!$E$4:$E$3997)&gt;300,"The first 300 of "&amp;COUNT('List maths'!$E$4:$E$3997)&amp;" investments: the rest are on the Term investments and Call accounts sheets, and in the tiles.","")</f>
        <v/>
      </c>
    </row>
    <row r="8" ht="28" customHeight="1">
      <c r="B8" s="53" t="inlineStr">
        <is>
          <t>Counterparty</t>
        </is>
      </c>
      <c r="C8" s="53" t="inlineStr">
        <is>
          <t>Type</t>
        </is>
      </c>
      <c r="D8" s="53" t="inlineStr">
        <is>
          <t>Counterparty type</t>
        </is>
      </c>
      <c r="E8" s="54" t="inlineStr">
        <is>
          <t>Amount</t>
        </is>
      </c>
      <c r="F8" s="54" t="inlineStr">
        <is>
          <t>Rate</t>
        </is>
      </c>
      <c r="G8" s="54" t="inlineStr">
        <is>
          <t>Start date</t>
        </is>
      </c>
      <c r="H8" s="54" t="inlineStr">
        <is>
          <t>Maturity date</t>
        </is>
      </c>
      <c r="I8" s="54" t="inlineStr">
        <is>
          <t>Days left</t>
        </is>
      </c>
      <c r="J8" s="97" t="inlineStr">
        <is>
          <t>Rating</t>
        </is>
      </c>
      <c r="K8" s="54" t="inlineStr">
        <is>
          <t>A year's interest</t>
        </is>
      </c>
      <c r="L8" s="97" t="inlineStr">
        <is>
          <t>From</t>
        </is>
      </c>
    </row>
    <row r="9">
      <c r="B9" s="91" t="str">
        <f>IF($Y9="","",IF($Y9&lt;=1997,INDEX('Term investments'!$B$1:$B$2000,$Y9+3),INDEX('Call accounts and MMFs'!$B$1:$B$2000,$Y9-1997+3))&amp;"")</f>
        <v/>
      </c>
      <c r="C9" s="91" t="str">
        <f>IF($Y9="","",IF($Y9&lt;=1997,INDEX('Term investments'!$A$1:$A$2000,$Y9+3),INDEX('Call accounts and MMFs'!$A$1:$A$2000,$Y9-1997+3))&amp;"")</f>
        <v/>
      </c>
      <c r="D9" s="91" t="str">
        <f>IF($Y9="","",IF($Y9&lt;=1997,INDEX('Term investments'!$C$1:$C$2000,$Y9+3),INDEX('Call accounts and MMFs'!$C$1:$C$2000,$Y9-1997+3))&amp;"")</f>
        <v/>
      </c>
      <c r="E9" s="92" t="str">
        <f>IF($Y9="","",IF($Y9&lt;=1997,IF(N(INDEX('Deal maths'!$H$1:$H$2000,$Y9+3))&gt;0,N(INDEX('Deal maths'!$H$1:$H$2000,$Y9+3)),N(INDEX('Deal maths'!$D$1:$D$2000,$Y9+3))),N(INDEX('Deal maths'!$M$1:$M$2000,$Y9-1997+3))))</f>
        <v/>
      </c>
      <c r="F9" s="93" t="str">
        <f>IF($Y9="","",IF($Y9&lt;=1997,INDEX('Deal maths'!$G$1:$G$2000,$Y9+3),INDEX('Deal maths'!$N$1:$N$2000,$Y9-1997+3)))</f>
        <v/>
      </c>
      <c r="G9" s="94" t="str">
        <f>IF($Y9="","",IF($Y9&lt;=1997,INDEX('Deal maths'!$E$1:$E$2000,$Y9+3),""))</f>
        <v/>
      </c>
      <c r="H9" s="94" t="str">
        <f>IF($Y9="","",IF($Y9&lt;=1997,INDEX('Deal maths'!$F$1:$F$2000,$Y9+3),""))</f>
        <v/>
      </c>
      <c r="I9" s="98" t="str">
        <f>IF($Y9="","",IF($Y9&lt;=1997,N(INDEX('Deal maths'!$F$1:$F$2000,$Y9+3))-AsAt,N(INDEX('Deal maths'!$O$1:$O$2000,$Y9-1997+3))))</f>
        <v/>
      </c>
      <c r="J9" s="99" t="str">
        <f>IF($Y9="","",IF($Y9&lt;=1997,INDEX('Term investments'!$J$1:$J$2000,$Y9+3),INDEX('Call accounts and MMFs'!$G$1:$G$2000,$Y9-1997+3))&amp;"")</f>
        <v/>
      </c>
      <c r="K9" s="92" t="str">
        <f>IF($Y9="","",N(E9)*N(F9))</f>
        <v/>
      </c>
      <c r="L9" s="100" t="str">
        <f>IF($Y9="","",IF($Y9&lt;=1997,"Term investments, row "&amp;($Y9+3),"Call accounts and MMFs, row "&amp;($Y9-1997+3)))</f>
        <v/>
      </c>
      <c r="Y9" t="str">
        <f>IFERROR(MATCH(SMALL('List maths'!$E$4:$E$3997,1),'List maths'!$E$4:$E$3997,0),"")</f>
        <v/>
      </c>
    </row>
    <row r="10">
      <c r="B10" s="91" t="str">
        <f>IF($Y10="","",IF($Y10&lt;=1997,INDEX('Term investments'!$B$1:$B$2000,$Y10+3),INDEX('Call accounts and MMFs'!$B$1:$B$2000,$Y10-1997+3))&amp;"")</f>
        <v/>
      </c>
      <c r="C10" s="91" t="str">
        <f>IF($Y10="","",IF($Y10&lt;=1997,INDEX('Term investments'!$A$1:$A$2000,$Y10+3),INDEX('Call accounts and MMFs'!$A$1:$A$2000,$Y10-1997+3))&amp;"")</f>
        <v/>
      </c>
      <c r="D10" s="91" t="str">
        <f>IF($Y10="","",IF($Y10&lt;=1997,INDEX('Term investments'!$C$1:$C$2000,$Y10+3),INDEX('Call accounts and MMFs'!$C$1:$C$2000,$Y10-1997+3))&amp;"")</f>
        <v/>
      </c>
      <c r="E10" s="92" t="str">
        <f>IF($Y10="","",IF($Y10&lt;=1997,IF(N(INDEX('Deal maths'!$H$1:$H$2000,$Y10+3))&gt;0,N(INDEX('Deal maths'!$H$1:$H$2000,$Y10+3)),N(INDEX('Deal maths'!$D$1:$D$2000,$Y10+3))),N(INDEX('Deal maths'!$M$1:$M$2000,$Y10-1997+3))))</f>
        <v/>
      </c>
      <c r="F10" s="93" t="str">
        <f>IF($Y10="","",IF($Y10&lt;=1997,INDEX('Deal maths'!$G$1:$G$2000,$Y10+3),INDEX('Deal maths'!$N$1:$N$2000,$Y10-1997+3)))</f>
        <v/>
      </c>
      <c r="G10" s="94" t="str">
        <f>IF($Y10="","",IF($Y10&lt;=1997,INDEX('Deal maths'!$E$1:$E$2000,$Y10+3),""))</f>
        <v/>
      </c>
      <c r="H10" s="94" t="str">
        <f>IF($Y10="","",IF($Y10&lt;=1997,INDEX('Deal maths'!$F$1:$F$2000,$Y10+3),""))</f>
        <v/>
      </c>
      <c r="I10" s="98" t="str">
        <f>IF($Y10="","",IF($Y10&lt;=1997,N(INDEX('Deal maths'!$F$1:$F$2000,$Y10+3))-AsAt,N(INDEX('Deal maths'!$O$1:$O$2000,$Y10-1997+3))))</f>
        <v/>
      </c>
      <c r="J10" s="99" t="str">
        <f>IF($Y10="","",IF($Y10&lt;=1997,INDEX('Term investments'!$J$1:$J$2000,$Y10+3),INDEX('Call accounts and MMFs'!$G$1:$G$2000,$Y10-1997+3))&amp;"")</f>
        <v/>
      </c>
      <c r="K10" s="92" t="str">
        <f>IF($Y10="","",N(E10)*N(F10))</f>
        <v/>
      </c>
      <c r="L10" s="100" t="str">
        <f>IF($Y10="","",IF($Y10&lt;=1997,"Term investments, row "&amp;($Y10+3),"Call accounts and MMFs, row "&amp;($Y10-1997+3)))</f>
        <v/>
      </c>
      <c r="Y10" t="str">
        <f>IFERROR(MATCH(SMALL('List maths'!$E$4:$E$3997,2),'List maths'!$E$4:$E$3997,0),"")</f>
        <v/>
      </c>
    </row>
    <row r="11">
      <c r="B11" s="91" t="str">
        <f>IF($Y11="","",IF($Y11&lt;=1997,INDEX('Term investments'!$B$1:$B$2000,$Y11+3),INDEX('Call accounts and MMFs'!$B$1:$B$2000,$Y11-1997+3))&amp;"")</f>
        <v/>
      </c>
      <c r="C11" s="91" t="str">
        <f>IF($Y11="","",IF($Y11&lt;=1997,INDEX('Term investments'!$A$1:$A$2000,$Y11+3),INDEX('Call accounts and MMFs'!$A$1:$A$2000,$Y11-1997+3))&amp;"")</f>
        <v/>
      </c>
      <c r="D11" s="91" t="str">
        <f>IF($Y11="","",IF($Y11&lt;=1997,INDEX('Term investments'!$C$1:$C$2000,$Y11+3),INDEX('Call accounts and MMFs'!$C$1:$C$2000,$Y11-1997+3))&amp;"")</f>
        <v/>
      </c>
      <c r="E11" s="92" t="str">
        <f>IF($Y11="","",IF($Y11&lt;=1997,IF(N(INDEX('Deal maths'!$H$1:$H$2000,$Y11+3))&gt;0,N(INDEX('Deal maths'!$H$1:$H$2000,$Y11+3)),N(INDEX('Deal maths'!$D$1:$D$2000,$Y11+3))),N(INDEX('Deal maths'!$M$1:$M$2000,$Y11-1997+3))))</f>
        <v/>
      </c>
      <c r="F11" s="93" t="str">
        <f>IF($Y11="","",IF($Y11&lt;=1997,INDEX('Deal maths'!$G$1:$G$2000,$Y11+3),INDEX('Deal maths'!$N$1:$N$2000,$Y11-1997+3)))</f>
        <v/>
      </c>
      <c r="G11" s="94" t="str">
        <f>IF($Y11="","",IF($Y11&lt;=1997,INDEX('Deal maths'!$E$1:$E$2000,$Y11+3),""))</f>
        <v/>
      </c>
      <c r="H11" s="94" t="str">
        <f>IF($Y11="","",IF($Y11&lt;=1997,INDEX('Deal maths'!$F$1:$F$2000,$Y11+3),""))</f>
        <v/>
      </c>
      <c r="I11" s="98" t="str">
        <f>IF($Y11="","",IF($Y11&lt;=1997,N(INDEX('Deal maths'!$F$1:$F$2000,$Y11+3))-AsAt,N(INDEX('Deal maths'!$O$1:$O$2000,$Y11-1997+3))))</f>
        <v/>
      </c>
      <c r="J11" s="99" t="str">
        <f>IF($Y11="","",IF($Y11&lt;=1997,INDEX('Term investments'!$J$1:$J$2000,$Y11+3),INDEX('Call accounts and MMFs'!$G$1:$G$2000,$Y11-1997+3))&amp;"")</f>
        <v/>
      </c>
      <c r="K11" s="92" t="str">
        <f>IF($Y11="","",N(E11)*N(F11))</f>
        <v/>
      </c>
      <c r="L11" s="100" t="str">
        <f>IF($Y11="","",IF($Y11&lt;=1997,"Term investments, row "&amp;($Y11+3),"Call accounts and MMFs, row "&amp;($Y11-1997+3)))</f>
        <v/>
      </c>
      <c r="Y11" t="str">
        <f>IFERROR(MATCH(SMALL('List maths'!$E$4:$E$3997,3),'List maths'!$E$4:$E$3997,0),"")</f>
        <v/>
      </c>
    </row>
    <row r="12">
      <c r="B12" s="91" t="str">
        <f>IF($Y12="","",IF($Y12&lt;=1997,INDEX('Term investments'!$B$1:$B$2000,$Y12+3),INDEX('Call accounts and MMFs'!$B$1:$B$2000,$Y12-1997+3))&amp;"")</f>
        <v/>
      </c>
      <c r="C12" s="91" t="str">
        <f>IF($Y12="","",IF($Y12&lt;=1997,INDEX('Term investments'!$A$1:$A$2000,$Y12+3),INDEX('Call accounts and MMFs'!$A$1:$A$2000,$Y12-1997+3))&amp;"")</f>
        <v/>
      </c>
      <c r="D12" s="91" t="str">
        <f>IF($Y12="","",IF($Y12&lt;=1997,INDEX('Term investments'!$C$1:$C$2000,$Y12+3),INDEX('Call accounts and MMFs'!$C$1:$C$2000,$Y12-1997+3))&amp;"")</f>
        <v/>
      </c>
      <c r="E12" s="92" t="str">
        <f>IF($Y12="","",IF($Y12&lt;=1997,IF(N(INDEX('Deal maths'!$H$1:$H$2000,$Y12+3))&gt;0,N(INDEX('Deal maths'!$H$1:$H$2000,$Y12+3)),N(INDEX('Deal maths'!$D$1:$D$2000,$Y12+3))),N(INDEX('Deal maths'!$M$1:$M$2000,$Y12-1997+3))))</f>
        <v/>
      </c>
      <c r="F12" s="93" t="str">
        <f>IF($Y12="","",IF($Y12&lt;=1997,INDEX('Deal maths'!$G$1:$G$2000,$Y12+3),INDEX('Deal maths'!$N$1:$N$2000,$Y12-1997+3)))</f>
        <v/>
      </c>
      <c r="G12" s="94" t="str">
        <f>IF($Y12="","",IF($Y12&lt;=1997,INDEX('Deal maths'!$E$1:$E$2000,$Y12+3),""))</f>
        <v/>
      </c>
      <c r="H12" s="94" t="str">
        <f>IF($Y12="","",IF($Y12&lt;=1997,INDEX('Deal maths'!$F$1:$F$2000,$Y12+3),""))</f>
        <v/>
      </c>
      <c r="I12" s="98" t="str">
        <f>IF($Y12="","",IF($Y12&lt;=1997,N(INDEX('Deal maths'!$F$1:$F$2000,$Y12+3))-AsAt,N(INDEX('Deal maths'!$O$1:$O$2000,$Y12-1997+3))))</f>
        <v/>
      </c>
      <c r="J12" s="99" t="str">
        <f>IF($Y12="","",IF($Y12&lt;=1997,INDEX('Term investments'!$J$1:$J$2000,$Y12+3),INDEX('Call accounts and MMFs'!$G$1:$G$2000,$Y12-1997+3))&amp;"")</f>
        <v/>
      </c>
      <c r="K12" s="92" t="str">
        <f>IF($Y12="","",N(E12)*N(F12))</f>
        <v/>
      </c>
      <c r="L12" s="100" t="str">
        <f>IF($Y12="","",IF($Y12&lt;=1997,"Term investments, row "&amp;($Y12+3),"Call accounts and MMFs, row "&amp;($Y12-1997+3)))</f>
        <v/>
      </c>
      <c r="Y12" t="str">
        <f>IFERROR(MATCH(SMALL('List maths'!$E$4:$E$3997,4),'List maths'!$E$4:$E$3997,0),"")</f>
        <v/>
      </c>
    </row>
    <row r="13">
      <c r="B13" s="91" t="str">
        <f>IF($Y13="","",IF($Y13&lt;=1997,INDEX('Term investments'!$B$1:$B$2000,$Y13+3),INDEX('Call accounts and MMFs'!$B$1:$B$2000,$Y13-1997+3))&amp;"")</f>
        <v/>
      </c>
      <c r="C13" s="91" t="str">
        <f>IF($Y13="","",IF($Y13&lt;=1997,INDEX('Term investments'!$A$1:$A$2000,$Y13+3),INDEX('Call accounts and MMFs'!$A$1:$A$2000,$Y13-1997+3))&amp;"")</f>
        <v/>
      </c>
      <c r="D13" s="91" t="str">
        <f>IF($Y13="","",IF($Y13&lt;=1997,INDEX('Term investments'!$C$1:$C$2000,$Y13+3),INDEX('Call accounts and MMFs'!$C$1:$C$2000,$Y13-1997+3))&amp;"")</f>
        <v/>
      </c>
      <c r="E13" s="92" t="str">
        <f>IF($Y13="","",IF($Y13&lt;=1997,IF(N(INDEX('Deal maths'!$H$1:$H$2000,$Y13+3))&gt;0,N(INDEX('Deal maths'!$H$1:$H$2000,$Y13+3)),N(INDEX('Deal maths'!$D$1:$D$2000,$Y13+3))),N(INDEX('Deal maths'!$M$1:$M$2000,$Y13-1997+3))))</f>
        <v/>
      </c>
      <c r="F13" s="93" t="str">
        <f>IF($Y13="","",IF($Y13&lt;=1997,INDEX('Deal maths'!$G$1:$G$2000,$Y13+3),INDEX('Deal maths'!$N$1:$N$2000,$Y13-1997+3)))</f>
        <v/>
      </c>
      <c r="G13" s="94" t="str">
        <f>IF($Y13="","",IF($Y13&lt;=1997,INDEX('Deal maths'!$E$1:$E$2000,$Y13+3),""))</f>
        <v/>
      </c>
      <c r="H13" s="94" t="str">
        <f>IF($Y13="","",IF($Y13&lt;=1997,INDEX('Deal maths'!$F$1:$F$2000,$Y13+3),""))</f>
        <v/>
      </c>
      <c r="I13" s="98" t="str">
        <f>IF($Y13="","",IF($Y13&lt;=1997,N(INDEX('Deal maths'!$F$1:$F$2000,$Y13+3))-AsAt,N(INDEX('Deal maths'!$O$1:$O$2000,$Y13-1997+3))))</f>
        <v/>
      </c>
      <c r="J13" s="99" t="str">
        <f>IF($Y13="","",IF($Y13&lt;=1997,INDEX('Term investments'!$J$1:$J$2000,$Y13+3),INDEX('Call accounts and MMFs'!$G$1:$G$2000,$Y13-1997+3))&amp;"")</f>
        <v/>
      </c>
      <c r="K13" s="92" t="str">
        <f>IF($Y13="","",N(E13)*N(F13))</f>
        <v/>
      </c>
      <c r="L13" s="100" t="str">
        <f>IF($Y13="","",IF($Y13&lt;=1997,"Term investments, row "&amp;($Y13+3),"Call accounts and MMFs, row "&amp;($Y13-1997+3)))</f>
        <v/>
      </c>
      <c r="Y13" t="str">
        <f>IFERROR(MATCH(SMALL('List maths'!$E$4:$E$3997,5),'List maths'!$E$4:$E$3997,0),"")</f>
        <v/>
      </c>
    </row>
    <row r="14">
      <c r="B14" s="91" t="str">
        <f>IF($Y14="","",IF($Y14&lt;=1997,INDEX('Term investments'!$B$1:$B$2000,$Y14+3),INDEX('Call accounts and MMFs'!$B$1:$B$2000,$Y14-1997+3))&amp;"")</f>
        <v/>
      </c>
      <c r="C14" s="91" t="str">
        <f>IF($Y14="","",IF($Y14&lt;=1997,INDEX('Term investments'!$A$1:$A$2000,$Y14+3),INDEX('Call accounts and MMFs'!$A$1:$A$2000,$Y14-1997+3))&amp;"")</f>
        <v/>
      </c>
      <c r="D14" s="91" t="str">
        <f>IF($Y14="","",IF($Y14&lt;=1997,INDEX('Term investments'!$C$1:$C$2000,$Y14+3),INDEX('Call accounts and MMFs'!$C$1:$C$2000,$Y14-1997+3))&amp;"")</f>
        <v/>
      </c>
      <c r="E14" s="92" t="str">
        <f>IF($Y14="","",IF($Y14&lt;=1997,IF(N(INDEX('Deal maths'!$H$1:$H$2000,$Y14+3))&gt;0,N(INDEX('Deal maths'!$H$1:$H$2000,$Y14+3)),N(INDEX('Deal maths'!$D$1:$D$2000,$Y14+3))),N(INDEX('Deal maths'!$M$1:$M$2000,$Y14-1997+3))))</f>
        <v/>
      </c>
      <c r="F14" s="93" t="str">
        <f>IF($Y14="","",IF($Y14&lt;=1997,INDEX('Deal maths'!$G$1:$G$2000,$Y14+3),INDEX('Deal maths'!$N$1:$N$2000,$Y14-1997+3)))</f>
        <v/>
      </c>
      <c r="G14" s="94" t="str">
        <f>IF($Y14="","",IF($Y14&lt;=1997,INDEX('Deal maths'!$E$1:$E$2000,$Y14+3),""))</f>
        <v/>
      </c>
      <c r="H14" s="94" t="str">
        <f>IF($Y14="","",IF($Y14&lt;=1997,INDEX('Deal maths'!$F$1:$F$2000,$Y14+3),""))</f>
        <v/>
      </c>
      <c r="I14" s="98" t="str">
        <f>IF($Y14="","",IF($Y14&lt;=1997,N(INDEX('Deal maths'!$F$1:$F$2000,$Y14+3))-AsAt,N(INDEX('Deal maths'!$O$1:$O$2000,$Y14-1997+3))))</f>
        <v/>
      </c>
      <c r="J14" s="99" t="str">
        <f>IF($Y14="","",IF($Y14&lt;=1997,INDEX('Term investments'!$J$1:$J$2000,$Y14+3),INDEX('Call accounts and MMFs'!$G$1:$G$2000,$Y14-1997+3))&amp;"")</f>
        <v/>
      </c>
      <c r="K14" s="92" t="str">
        <f>IF($Y14="","",N(E14)*N(F14))</f>
        <v/>
      </c>
      <c r="L14" s="100" t="str">
        <f>IF($Y14="","",IF($Y14&lt;=1997,"Term investments, row "&amp;($Y14+3),"Call accounts and MMFs, row "&amp;($Y14-1997+3)))</f>
        <v/>
      </c>
      <c r="Y14" t="str">
        <f>IFERROR(MATCH(SMALL('List maths'!$E$4:$E$3997,6),'List maths'!$E$4:$E$3997,0),"")</f>
        <v/>
      </c>
    </row>
    <row r="15">
      <c r="B15" s="91" t="str">
        <f>IF($Y15="","",IF($Y15&lt;=1997,INDEX('Term investments'!$B$1:$B$2000,$Y15+3),INDEX('Call accounts and MMFs'!$B$1:$B$2000,$Y15-1997+3))&amp;"")</f>
        <v/>
      </c>
      <c r="C15" s="91" t="str">
        <f>IF($Y15="","",IF($Y15&lt;=1997,INDEX('Term investments'!$A$1:$A$2000,$Y15+3),INDEX('Call accounts and MMFs'!$A$1:$A$2000,$Y15-1997+3))&amp;"")</f>
        <v/>
      </c>
      <c r="D15" s="91" t="str">
        <f>IF($Y15="","",IF($Y15&lt;=1997,INDEX('Term investments'!$C$1:$C$2000,$Y15+3),INDEX('Call accounts and MMFs'!$C$1:$C$2000,$Y15-1997+3))&amp;"")</f>
        <v/>
      </c>
      <c r="E15" s="92" t="str">
        <f>IF($Y15="","",IF($Y15&lt;=1997,IF(N(INDEX('Deal maths'!$H$1:$H$2000,$Y15+3))&gt;0,N(INDEX('Deal maths'!$H$1:$H$2000,$Y15+3)),N(INDEX('Deal maths'!$D$1:$D$2000,$Y15+3))),N(INDEX('Deal maths'!$M$1:$M$2000,$Y15-1997+3))))</f>
        <v/>
      </c>
      <c r="F15" s="93" t="str">
        <f>IF($Y15="","",IF($Y15&lt;=1997,INDEX('Deal maths'!$G$1:$G$2000,$Y15+3),INDEX('Deal maths'!$N$1:$N$2000,$Y15-1997+3)))</f>
        <v/>
      </c>
      <c r="G15" s="94" t="str">
        <f>IF($Y15="","",IF($Y15&lt;=1997,INDEX('Deal maths'!$E$1:$E$2000,$Y15+3),""))</f>
        <v/>
      </c>
      <c r="H15" s="94" t="str">
        <f>IF($Y15="","",IF($Y15&lt;=1997,INDEX('Deal maths'!$F$1:$F$2000,$Y15+3),""))</f>
        <v/>
      </c>
      <c r="I15" s="98" t="str">
        <f>IF($Y15="","",IF($Y15&lt;=1997,N(INDEX('Deal maths'!$F$1:$F$2000,$Y15+3))-AsAt,N(INDEX('Deal maths'!$O$1:$O$2000,$Y15-1997+3))))</f>
        <v/>
      </c>
      <c r="J15" s="99" t="str">
        <f>IF($Y15="","",IF($Y15&lt;=1997,INDEX('Term investments'!$J$1:$J$2000,$Y15+3),INDEX('Call accounts and MMFs'!$G$1:$G$2000,$Y15-1997+3))&amp;"")</f>
        <v/>
      </c>
      <c r="K15" s="92" t="str">
        <f>IF($Y15="","",N(E15)*N(F15))</f>
        <v/>
      </c>
      <c r="L15" s="100" t="str">
        <f>IF($Y15="","",IF($Y15&lt;=1997,"Term investments, row "&amp;($Y15+3),"Call accounts and MMFs, row "&amp;($Y15-1997+3)))</f>
        <v/>
      </c>
      <c r="Y15" t="str">
        <f>IFERROR(MATCH(SMALL('List maths'!$E$4:$E$3997,7),'List maths'!$E$4:$E$3997,0),"")</f>
        <v/>
      </c>
    </row>
    <row r="16">
      <c r="B16" s="91" t="str">
        <f>IF($Y16="","",IF($Y16&lt;=1997,INDEX('Term investments'!$B$1:$B$2000,$Y16+3),INDEX('Call accounts and MMFs'!$B$1:$B$2000,$Y16-1997+3))&amp;"")</f>
        <v/>
      </c>
      <c r="C16" s="91" t="str">
        <f>IF($Y16="","",IF($Y16&lt;=1997,INDEX('Term investments'!$A$1:$A$2000,$Y16+3),INDEX('Call accounts and MMFs'!$A$1:$A$2000,$Y16-1997+3))&amp;"")</f>
        <v/>
      </c>
      <c r="D16" s="91" t="str">
        <f>IF($Y16="","",IF($Y16&lt;=1997,INDEX('Term investments'!$C$1:$C$2000,$Y16+3),INDEX('Call accounts and MMFs'!$C$1:$C$2000,$Y16-1997+3))&amp;"")</f>
        <v/>
      </c>
      <c r="E16" s="92" t="str">
        <f>IF($Y16="","",IF($Y16&lt;=1997,IF(N(INDEX('Deal maths'!$H$1:$H$2000,$Y16+3))&gt;0,N(INDEX('Deal maths'!$H$1:$H$2000,$Y16+3)),N(INDEX('Deal maths'!$D$1:$D$2000,$Y16+3))),N(INDEX('Deal maths'!$M$1:$M$2000,$Y16-1997+3))))</f>
        <v/>
      </c>
      <c r="F16" s="93" t="str">
        <f>IF($Y16="","",IF($Y16&lt;=1997,INDEX('Deal maths'!$G$1:$G$2000,$Y16+3),INDEX('Deal maths'!$N$1:$N$2000,$Y16-1997+3)))</f>
        <v/>
      </c>
      <c r="G16" s="94" t="str">
        <f>IF($Y16="","",IF($Y16&lt;=1997,INDEX('Deal maths'!$E$1:$E$2000,$Y16+3),""))</f>
        <v/>
      </c>
      <c r="H16" s="94" t="str">
        <f>IF($Y16="","",IF($Y16&lt;=1997,INDEX('Deal maths'!$F$1:$F$2000,$Y16+3),""))</f>
        <v/>
      </c>
      <c r="I16" s="98" t="str">
        <f>IF($Y16="","",IF($Y16&lt;=1997,N(INDEX('Deal maths'!$F$1:$F$2000,$Y16+3))-AsAt,N(INDEX('Deal maths'!$O$1:$O$2000,$Y16-1997+3))))</f>
        <v/>
      </c>
      <c r="J16" s="99" t="str">
        <f>IF($Y16="","",IF($Y16&lt;=1997,INDEX('Term investments'!$J$1:$J$2000,$Y16+3),INDEX('Call accounts and MMFs'!$G$1:$G$2000,$Y16-1997+3))&amp;"")</f>
        <v/>
      </c>
      <c r="K16" s="92" t="str">
        <f>IF($Y16="","",N(E16)*N(F16))</f>
        <v/>
      </c>
      <c r="L16" s="100" t="str">
        <f>IF($Y16="","",IF($Y16&lt;=1997,"Term investments, row "&amp;($Y16+3),"Call accounts and MMFs, row "&amp;($Y16-1997+3)))</f>
        <v/>
      </c>
      <c r="Y16" t="str">
        <f>IFERROR(MATCH(SMALL('List maths'!$E$4:$E$3997,8),'List maths'!$E$4:$E$3997,0),"")</f>
        <v/>
      </c>
    </row>
    <row r="17">
      <c r="B17" s="91" t="str">
        <f>IF($Y17="","",IF($Y17&lt;=1997,INDEX('Term investments'!$B$1:$B$2000,$Y17+3),INDEX('Call accounts and MMFs'!$B$1:$B$2000,$Y17-1997+3))&amp;"")</f>
        <v/>
      </c>
      <c r="C17" s="91" t="str">
        <f>IF($Y17="","",IF($Y17&lt;=1997,INDEX('Term investments'!$A$1:$A$2000,$Y17+3),INDEX('Call accounts and MMFs'!$A$1:$A$2000,$Y17-1997+3))&amp;"")</f>
        <v/>
      </c>
      <c r="D17" s="91" t="str">
        <f>IF($Y17="","",IF($Y17&lt;=1997,INDEX('Term investments'!$C$1:$C$2000,$Y17+3),INDEX('Call accounts and MMFs'!$C$1:$C$2000,$Y17-1997+3))&amp;"")</f>
        <v/>
      </c>
      <c r="E17" s="92" t="str">
        <f>IF($Y17="","",IF($Y17&lt;=1997,IF(N(INDEX('Deal maths'!$H$1:$H$2000,$Y17+3))&gt;0,N(INDEX('Deal maths'!$H$1:$H$2000,$Y17+3)),N(INDEX('Deal maths'!$D$1:$D$2000,$Y17+3))),N(INDEX('Deal maths'!$M$1:$M$2000,$Y17-1997+3))))</f>
        <v/>
      </c>
      <c r="F17" s="93" t="str">
        <f>IF($Y17="","",IF($Y17&lt;=1997,INDEX('Deal maths'!$G$1:$G$2000,$Y17+3),INDEX('Deal maths'!$N$1:$N$2000,$Y17-1997+3)))</f>
        <v/>
      </c>
      <c r="G17" s="94" t="str">
        <f>IF($Y17="","",IF($Y17&lt;=1997,INDEX('Deal maths'!$E$1:$E$2000,$Y17+3),""))</f>
        <v/>
      </c>
      <c r="H17" s="94" t="str">
        <f>IF($Y17="","",IF($Y17&lt;=1997,INDEX('Deal maths'!$F$1:$F$2000,$Y17+3),""))</f>
        <v/>
      </c>
      <c r="I17" s="98" t="str">
        <f>IF($Y17="","",IF($Y17&lt;=1997,N(INDEX('Deal maths'!$F$1:$F$2000,$Y17+3))-AsAt,N(INDEX('Deal maths'!$O$1:$O$2000,$Y17-1997+3))))</f>
        <v/>
      </c>
      <c r="J17" s="99" t="str">
        <f>IF($Y17="","",IF($Y17&lt;=1997,INDEX('Term investments'!$J$1:$J$2000,$Y17+3),INDEX('Call accounts and MMFs'!$G$1:$G$2000,$Y17-1997+3))&amp;"")</f>
        <v/>
      </c>
      <c r="K17" s="92" t="str">
        <f>IF($Y17="","",N(E17)*N(F17))</f>
        <v/>
      </c>
      <c r="L17" s="100" t="str">
        <f>IF($Y17="","",IF($Y17&lt;=1997,"Term investments, row "&amp;($Y17+3),"Call accounts and MMFs, row "&amp;($Y17-1997+3)))</f>
        <v/>
      </c>
      <c r="Y17" t="str">
        <f>IFERROR(MATCH(SMALL('List maths'!$E$4:$E$3997,9),'List maths'!$E$4:$E$3997,0),"")</f>
        <v/>
      </c>
    </row>
    <row r="18">
      <c r="B18" s="91" t="str">
        <f>IF($Y18="","",IF($Y18&lt;=1997,INDEX('Term investments'!$B$1:$B$2000,$Y18+3),INDEX('Call accounts and MMFs'!$B$1:$B$2000,$Y18-1997+3))&amp;"")</f>
        <v/>
      </c>
      <c r="C18" s="91" t="str">
        <f>IF($Y18="","",IF($Y18&lt;=1997,INDEX('Term investments'!$A$1:$A$2000,$Y18+3),INDEX('Call accounts and MMFs'!$A$1:$A$2000,$Y18-1997+3))&amp;"")</f>
        <v/>
      </c>
      <c r="D18" s="91" t="str">
        <f>IF($Y18="","",IF($Y18&lt;=1997,INDEX('Term investments'!$C$1:$C$2000,$Y18+3),INDEX('Call accounts and MMFs'!$C$1:$C$2000,$Y18-1997+3))&amp;"")</f>
        <v/>
      </c>
      <c r="E18" s="92" t="str">
        <f>IF($Y18="","",IF($Y18&lt;=1997,IF(N(INDEX('Deal maths'!$H$1:$H$2000,$Y18+3))&gt;0,N(INDEX('Deal maths'!$H$1:$H$2000,$Y18+3)),N(INDEX('Deal maths'!$D$1:$D$2000,$Y18+3))),N(INDEX('Deal maths'!$M$1:$M$2000,$Y18-1997+3))))</f>
        <v/>
      </c>
      <c r="F18" s="93" t="str">
        <f>IF($Y18="","",IF($Y18&lt;=1997,INDEX('Deal maths'!$G$1:$G$2000,$Y18+3),INDEX('Deal maths'!$N$1:$N$2000,$Y18-1997+3)))</f>
        <v/>
      </c>
      <c r="G18" s="94" t="str">
        <f>IF($Y18="","",IF($Y18&lt;=1997,INDEX('Deal maths'!$E$1:$E$2000,$Y18+3),""))</f>
        <v/>
      </c>
      <c r="H18" s="94" t="str">
        <f>IF($Y18="","",IF($Y18&lt;=1997,INDEX('Deal maths'!$F$1:$F$2000,$Y18+3),""))</f>
        <v/>
      </c>
      <c r="I18" s="98" t="str">
        <f>IF($Y18="","",IF($Y18&lt;=1997,N(INDEX('Deal maths'!$F$1:$F$2000,$Y18+3))-AsAt,N(INDEX('Deal maths'!$O$1:$O$2000,$Y18-1997+3))))</f>
        <v/>
      </c>
      <c r="J18" s="99" t="str">
        <f>IF($Y18="","",IF($Y18&lt;=1997,INDEX('Term investments'!$J$1:$J$2000,$Y18+3),INDEX('Call accounts and MMFs'!$G$1:$G$2000,$Y18-1997+3))&amp;"")</f>
        <v/>
      </c>
      <c r="K18" s="92" t="str">
        <f>IF($Y18="","",N(E18)*N(F18))</f>
        <v/>
      </c>
      <c r="L18" s="100" t="str">
        <f>IF($Y18="","",IF($Y18&lt;=1997,"Term investments, row "&amp;($Y18+3),"Call accounts and MMFs, row "&amp;($Y18-1997+3)))</f>
        <v/>
      </c>
      <c r="Y18" t="str">
        <f>IFERROR(MATCH(SMALL('List maths'!$E$4:$E$3997,10),'List maths'!$E$4:$E$3997,0),"")</f>
        <v/>
      </c>
    </row>
    <row r="19">
      <c r="B19" s="91" t="str">
        <f>IF($Y19="","",IF($Y19&lt;=1997,INDEX('Term investments'!$B$1:$B$2000,$Y19+3),INDEX('Call accounts and MMFs'!$B$1:$B$2000,$Y19-1997+3))&amp;"")</f>
        <v/>
      </c>
      <c r="C19" s="91" t="str">
        <f>IF($Y19="","",IF($Y19&lt;=1997,INDEX('Term investments'!$A$1:$A$2000,$Y19+3),INDEX('Call accounts and MMFs'!$A$1:$A$2000,$Y19-1997+3))&amp;"")</f>
        <v/>
      </c>
      <c r="D19" s="91" t="str">
        <f>IF($Y19="","",IF($Y19&lt;=1997,INDEX('Term investments'!$C$1:$C$2000,$Y19+3),INDEX('Call accounts and MMFs'!$C$1:$C$2000,$Y19-1997+3))&amp;"")</f>
        <v/>
      </c>
      <c r="E19" s="92" t="str">
        <f>IF($Y19="","",IF($Y19&lt;=1997,IF(N(INDEX('Deal maths'!$H$1:$H$2000,$Y19+3))&gt;0,N(INDEX('Deal maths'!$H$1:$H$2000,$Y19+3)),N(INDEX('Deal maths'!$D$1:$D$2000,$Y19+3))),N(INDEX('Deal maths'!$M$1:$M$2000,$Y19-1997+3))))</f>
        <v/>
      </c>
      <c r="F19" s="93" t="str">
        <f>IF($Y19="","",IF($Y19&lt;=1997,INDEX('Deal maths'!$G$1:$G$2000,$Y19+3),INDEX('Deal maths'!$N$1:$N$2000,$Y19-1997+3)))</f>
        <v/>
      </c>
      <c r="G19" s="94" t="str">
        <f>IF($Y19="","",IF($Y19&lt;=1997,INDEX('Deal maths'!$E$1:$E$2000,$Y19+3),""))</f>
        <v/>
      </c>
      <c r="H19" s="94" t="str">
        <f>IF($Y19="","",IF($Y19&lt;=1997,INDEX('Deal maths'!$F$1:$F$2000,$Y19+3),""))</f>
        <v/>
      </c>
      <c r="I19" s="98" t="str">
        <f>IF($Y19="","",IF($Y19&lt;=1997,N(INDEX('Deal maths'!$F$1:$F$2000,$Y19+3))-AsAt,N(INDEX('Deal maths'!$O$1:$O$2000,$Y19-1997+3))))</f>
        <v/>
      </c>
      <c r="J19" s="99" t="str">
        <f>IF($Y19="","",IF($Y19&lt;=1997,INDEX('Term investments'!$J$1:$J$2000,$Y19+3),INDEX('Call accounts and MMFs'!$G$1:$G$2000,$Y19-1997+3))&amp;"")</f>
        <v/>
      </c>
      <c r="K19" s="92" t="str">
        <f>IF($Y19="","",N(E19)*N(F19))</f>
        <v/>
      </c>
      <c r="L19" s="100" t="str">
        <f>IF($Y19="","",IF($Y19&lt;=1997,"Term investments, row "&amp;($Y19+3),"Call accounts and MMFs, row "&amp;($Y19-1997+3)))</f>
        <v/>
      </c>
      <c r="Y19" t="str">
        <f>IFERROR(MATCH(SMALL('List maths'!$E$4:$E$3997,11),'List maths'!$E$4:$E$3997,0),"")</f>
        <v/>
      </c>
    </row>
    <row r="20">
      <c r="B20" s="91" t="str">
        <f>IF($Y20="","",IF($Y20&lt;=1997,INDEX('Term investments'!$B$1:$B$2000,$Y20+3),INDEX('Call accounts and MMFs'!$B$1:$B$2000,$Y20-1997+3))&amp;"")</f>
        <v/>
      </c>
      <c r="C20" s="91" t="str">
        <f>IF($Y20="","",IF($Y20&lt;=1997,INDEX('Term investments'!$A$1:$A$2000,$Y20+3),INDEX('Call accounts and MMFs'!$A$1:$A$2000,$Y20-1997+3))&amp;"")</f>
        <v/>
      </c>
      <c r="D20" s="91" t="str">
        <f>IF($Y20="","",IF($Y20&lt;=1997,INDEX('Term investments'!$C$1:$C$2000,$Y20+3),INDEX('Call accounts and MMFs'!$C$1:$C$2000,$Y20-1997+3))&amp;"")</f>
        <v/>
      </c>
      <c r="E20" s="92" t="str">
        <f>IF($Y20="","",IF($Y20&lt;=1997,IF(N(INDEX('Deal maths'!$H$1:$H$2000,$Y20+3))&gt;0,N(INDEX('Deal maths'!$H$1:$H$2000,$Y20+3)),N(INDEX('Deal maths'!$D$1:$D$2000,$Y20+3))),N(INDEX('Deal maths'!$M$1:$M$2000,$Y20-1997+3))))</f>
        <v/>
      </c>
      <c r="F20" s="93" t="str">
        <f>IF($Y20="","",IF($Y20&lt;=1997,INDEX('Deal maths'!$G$1:$G$2000,$Y20+3),INDEX('Deal maths'!$N$1:$N$2000,$Y20-1997+3)))</f>
        <v/>
      </c>
      <c r="G20" s="94" t="str">
        <f>IF($Y20="","",IF($Y20&lt;=1997,INDEX('Deal maths'!$E$1:$E$2000,$Y20+3),""))</f>
        <v/>
      </c>
      <c r="H20" s="94" t="str">
        <f>IF($Y20="","",IF($Y20&lt;=1997,INDEX('Deal maths'!$F$1:$F$2000,$Y20+3),""))</f>
        <v/>
      </c>
      <c r="I20" s="98" t="str">
        <f>IF($Y20="","",IF($Y20&lt;=1997,N(INDEX('Deal maths'!$F$1:$F$2000,$Y20+3))-AsAt,N(INDEX('Deal maths'!$O$1:$O$2000,$Y20-1997+3))))</f>
        <v/>
      </c>
      <c r="J20" s="99" t="str">
        <f>IF($Y20="","",IF($Y20&lt;=1997,INDEX('Term investments'!$J$1:$J$2000,$Y20+3),INDEX('Call accounts and MMFs'!$G$1:$G$2000,$Y20-1997+3))&amp;"")</f>
        <v/>
      </c>
      <c r="K20" s="92" t="str">
        <f>IF($Y20="","",N(E20)*N(F20))</f>
        <v/>
      </c>
      <c r="L20" s="100" t="str">
        <f>IF($Y20="","",IF($Y20&lt;=1997,"Term investments, row "&amp;($Y20+3),"Call accounts and MMFs, row "&amp;($Y20-1997+3)))</f>
        <v/>
      </c>
      <c r="Y20" t="str">
        <f>IFERROR(MATCH(SMALL('List maths'!$E$4:$E$3997,12),'List maths'!$E$4:$E$3997,0),"")</f>
        <v/>
      </c>
    </row>
    <row r="21">
      <c r="B21" s="91" t="str">
        <f>IF($Y21="","",IF($Y21&lt;=1997,INDEX('Term investments'!$B$1:$B$2000,$Y21+3),INDEX('Call accounts and MMFs'!$B$1:$B$2000,$Y21-1997+3))&amp;"")</f>
        <v/>
      </c>
      <c r="C21" s="91" t="str">
        <f>IF($Y21="","",IF($Y21&lt;=1997,INDEX('Term investments'!$A$1:$A$2000,$Y21+3),INDEX('Call accounts and MMFs'!$A$1:$A$2000,$Y21-1997+3))&amp;"")</f>
        <v/>
      </c>
      <c r="D21" s="91" t="str">
        <f>IF($Y21="","",IF($Y21&lt;=1997,INDEX('Term investments'!$C$1:$C$2000,$Y21+3),INDEX('Call accounts and MMFs'!$C$1:$C$2000,$Y21-1997+3))&amp;"")</f>
        <v/>
      </c>
      <c r="E21" s="92" t="str">
        <f>IF($Y21="","",IF($Y21&lt;=1997,IF(N(INDEX('Deal maths'!$H$1:$H$2000,$Y21+3))&gt;0,N(INDEX('Deal maths'!$H$1:$H$2000,$Y21+3)),N(INDEX('Deal maths'!$D$1:$D$2000,$Y21+3))),N(INDEX('Deal maths'!$M$1:$M$2000,$Y21-1997+3))))</f>
        <v/>
      </c>
      <c r="F21" s="93" t="str">
        <f>IF($Y21="","",IF($Y21&lt;=1997,INDEX('Deal maths'!$G$1:$G$2000,$Y21+3),INDEX('Deal maths'!$N$1:$N$2000,$Y21-1997+3)))</f>
        <v/>
      </c>
      <c r="G21" s="94" t="str">
        <f>IF($Y21="","",IF($Y21&lt;=1997,INDEX('Deal maths'!$E$1:$E$2000,$Y21+3),""))</f>
        <v/>
      </c>
      <c r="H21" s="94" t="str">
        <f>IF($Y21="","",IF($Y21&lt;=1997,INDEX('Deal maths'!$F$1:$F$2000,$Y21+3),""))</f>
        <v/>
      </c>
      <c r="I21" s="98" t="str">
        <f>IF($Y21="","",IF($Y21&lt;=1997,N(INDEX('Deal maths'!$F$1:$F$2000,$Y21+3))-AsAt,N(INDEX('Deal maths'!$O$1:$O$2000,$Y21-1997+3))))</f>
        <v/>
      </c>
      <c r="J21" s="99" t="str">
        <f>IF($Y21="","",IF($Y21&lt;=1997,INDEX('Term investments'!$J$1:$J$2000,$Y21+3),INDEX('Call accounts and MMFs'!$G$1:$G$2000,$Y21-1997+3))&amp;"")</f>
        <v/>
      </c>
      <c r="K21" s="92" t="str">
        <f>IF($Y21="","",N(E21)*N(F21))</f>
        <v/>
      </c>
      <c r="L21" s="100" t="str">
        <f>IF($Y21="","",IF($Y21&lt;=1997,"Term investments, row "&amp;($Y21+3),"Call accounts and MMFs, row "&amp;($Y21-1997+3)))</f>
        <v/>
      </c>
      <c r="Y21" t="str">
        <f>IFERROR(MATCH(SMALL('List maths'!$E$4:$E$3997,13),'List maths'!$E$4:$E$3997,0),"")</f>
        <v/>
      </c>
    </row>
    <row r="22">
      <c r="B22" s="91" t="str">
        <f>IF($Y22="","",IF($Y22&lt;=1997,INDEX('Term investments'!$B$1:$B$2000,$Y22+3),INDEX('Call accounts and MMFs'!$B$1:$B$2000,$Y22-1997+3))&amp;"")</f>
        <v/>
      </c>
      <c r="C22" s="91" t="str">
        <f>IF($Y22="","",IF($Y22&lt;=1997,INDEX('Term investments'!$A$1:$A$2000,$Y22+3),INDEX('Call accounts and MMFs'!$A$1:$A$2000,$Y22-1997+3))&amp;"")</f>
        <v/>
      </c>
      <c r="D22" s="91" t="str">
        <f>IF($Y22="","",IF($Y22&lt;=1997,INDEX('Term investments'!$C$1:$C$2000,$Y22+3),INDEX('Call accounts and MMFs'!$C$1:$C$2000,$Y22-1997+3))&amp;"")</f>
        <v/>
      </c>
      <c r="E22" s="92" t="str">
        <f>IF($Y22="","",IF($Y22&lt;=1997,IF(N(INDEX('Deal maths'!$H$1:$H$2000,$Y22+3))&gt;0,N(INDEX('Deal maths'!$H$1:$H$2000,$Y22+3)),N(INDEX('Deal maths'!$D$1:$D$2000,$Y22+3))),N(INDEX('Deal maths'!$M$1:$M$2000,$Y22-1997+3))))</f>
        <v/>
      </c>
      <c r="F22" s="93" t="str">
        <f>IF($Y22="","",IF($Y22&lt;=1997,INDEX('Deal maths'!$G$1:$G$2000,$Y22+3),INDEX('Deal maths'!$N$1:$N$2000,$Y22-1997+3)))</f>
        <v/>
      </c>
      <c r="G22" s="94" t="str">
        <f>IF($Y22="","",IF($Y22&lt;=1997,INDEX('Deal maths'!$E$1:$E$2000,$Y22+3),""))</f>
        <v/>
      </c>
      <c r="H22" s="94" t="str">
        <f>IF($Y22="","",IF($Y22&lt;=1997,INDEX('Deal maths'!$F$1:$F$2000,$Y22+3),""))</f>
        <v/>
      </c>
      <c r="I22" s="98" t="str">
        <f>IF($Y22="","",IF($Y22&lt;=1997,N(INDEX('Deal maths'!$F$1:$F$2000,$Y22+3))-AsAt,N(INDEX('Deal maths'!$O$1:$O$2000,$Y22-1997+3))))</f>
        <v/>
      </c>
      <c r="J22" s="99" t="str">
        <f>IF($Y22="","",IF($Y22&lt;=1997,INDEX('Term investments'!$J$1:$J$2000,$Y22+3),INDEX('Call accounts and MMFs'!$G$1:$G$2000,$Y22-1997+3))&amp;"")</f>
        <v/>
      </c>
      <c r="K22" s="92" t="str">
        <f>IF($Y22="","",N(E22)*N(F22))</f>
        <v/>
      </c>
      <c r="L22" s="100" t="str">
        <f>IF($Y22="","",IF($Y22&lt;=1997,"Term investments, row "&amp;($Y22+3),"Call accounts and MMFs, row "&amp;($Y22-1997+3)))</f>
        <v/>
      </c>
      <c r="Y22" t="str">
        <f>IFERROR(MATCH(SMALL('List maths'!$E$4:$E$3997,14),'List maths'!$E$4:$E$3997,0),"")</f>
        <v/>
      </c>
    </row>
    <row r="23">
      <c r="B23" s="91" t="str">
        <f>IF($Y23="","",IF($Y23&lt;=1997,INDEX('Term investments'!$B$1:$B$2000,$Y23+3),INDEX('Call accounts and MMFs'!$B$1:$B$2000,$Y23-1997+3))&amp;"")</f>
        <v/>
      </c>
      <c r="C23" s="91" t="str">
        <f>IF($Y23="","",IF($Y23&lt;=1997,INDEX('Term investments'!$A$1:$A$2000,$Y23+3),INDEX('Call accounts and MMFs'!$A$1:$A$2000,$Y23-1997+3))&amp;"")</f>
        <v/>
      </c>
      <c r="D23" s="91" t="str">
        <f>IF($Y23="","",IF($Y23&lt;=1997,INDEX('Term investments'!$C$1:$C$2000,$Y23+3),INDEX('Call accounts and MMFs'!$C$1:$C$2000,$Y23-1997+3))&amp;"")</f>
        <v/>
      </c>
      <c r="E23" s="92" t="str">
        <f>IF($Y23="","",IF($Y23&lt;=1997,IF(N(INDEX('Deal maths'!$H$1:$H$2000,$Y23+3))&gt;0,N(INDEX('Deal maths'!$H$1:$H$2000,$Y23+3)),N(INDEX('Deal maths'!$D$1:$D$2000,$Y23+3))),N(INDEX('Deal maths'!$M$1:$M$2000,$Y23-1997+3))))</f>
        <v/>
      </c>
      <c r="F23" s="93" t="str">
        <f>IF($Y23="","",IF($Y23&lt;=1997,INDEX('Deal maths'!$G$1:$G$2000,$Y23+3),INDEX('Deal maths'!$N$1:$N$2000,$Y23-1997+3)))</f>
        <v/>
      </c>
      <c r="G23" s="94" t="str">
        <f>IF($Y23="","",IF($Y23&lt;=1997,INDEX('Deal maths'!$E$1:$E$2000,$Y23+3),""))</f>
        <v/>
      </c>
      <c r="H23" s="94" t="str">
        <f>IF($Y23="","",IF($Y23&lt;=1997,INDEX('Deal maths'!$F$1:$F$2000,$Y23+3),""))</f>
        <v/>
      </c>
      <c r="I23" s="98" t="str">
        <f>IF($Y23="","",IF($Y23&lt;=1997,N(INDEX('Deal maths'!$F$1:$F$2000,$Y23+3))-AsAt,N(INDEX('Deal maths'!$O$1:$O$2000,$Y23-1997+3))))</f>
        <v/>
      </c>
      <c r="J23" s="99" t="str">
        <f>IF($Y23="","",IF($Y23&lt;=1997,INDEX('Term investments'!$J$1:$J$2000,$Y23+3),INDEX('Call accounts and MMFs'!$G$1:$G$2000,$Y23-1997+3))&amp;"")</f>
        <v/>
      </c>
      <c r="K23" s="92" t="str">
        <f>IF($Y23="","",N(E23)*N(F23))</f>
        <v/>
      </c>
      <c r="L23" s="100" t="str">
        <f>IF($Y23="","",IF($Y23&lt;=1997,"Term investments, row "&amp;($Y23+3),"Call accounts and MMFs, row "&amp;($Y23-1997+3)))</f>
        <v/>
      </c>
      <c r="Y23" t="str">
        <f>IFERROR(MATCH(SMALL('List maths'!$E$4:$E$3997,15),'List maths'!$E$4:$E$3997,0),"")</f>
        <v/>
      </c>
    </row>
    <row r="24">
      <c r="B24" s="91" t="str">
        <f>IF($Y24="","",IF($Y24&lt;=1997,INDEX('Term investments'!$B$1:$B$2000,$Y24+3),INDEX('Call accounts and MMFs'!$B$1:$B$2000,$Y24-1997+3))&amp;"")</f>
        <v/>
      </c>
      <c r="C24" s="91" t="str">
        <f>IF($Y24="","",IF($Y24&lt;=1997,INDEX('Term investments'!$A$1:$A$2000,$Y24+3),INDEX('Call accounts and MMFs'!$A$1:$A$2000,$Y24-1997+3))&amp;"")</f>
        <v/>
      </c>
      <c r="D24" s="91" t="str">
        <f>IF($Y24="","",IF($Y24&lt;=1997,INDEX('Term investments'!$C$1:$C$2000,$Y24+3),INDEX('Call accounts and MMFs'!$C$1:$C$2000,$Y24-1997+3))&amp;"")</f>
        <v/>
      </c>
      <c r="E24" s="92" t="str">
        <f>IF($Y24="","",IF($Y24&lt;=1997,IF(N(INDEX('Deal maths'!$H$1:$H$2000,$Y24+3))&gt;0,N(INDEX('Deal maths'!$H$1:$H$2000,$Y24+3)),N(INDEX('Deal maths'!$D$1:$D$2000,$Y24+3))),N(INDEX('Deal maths'!$M$1:$M$2000,$Y24-1997+3))))</f>
        <v/>
      </c>
      <c r="F24" s="93" t="str">
        <f>IF($Y24="","",IF($Y24&lt;=1997,INDEX('Deal maths'!$G$1:$G$2000,$Y24+3),INDEX('Deal maths'!$N$1:$N$2000,$Y24-1997+3)))</f>
        <v/>
      </c>
      <c r="G24" s="94" t="str">
        <f>IF($Y24="","",IF($Y24&lt;=1997,INDEX('Deal maths'!$E$1:$E$2000,$Y24+3),""))</f>
        <v/>
      </c>
      <c r="H24" s="94" t="str">
        <f>IF($Y24="","",IF($Y24&lt;=1997,INDEX('Deal maths'!$F$1:$F$2000,$Y24+3),""))</f>
        <v/>
      </c>
      <c r="I24" s="98" t="str">
        <f>IF($Y24="","",IF($Y24&lt;=1997,N(INDEX('Deal maths'!$F$1:$F$2000,$Y24+3))-AsAt,N(INDEX('Deal maths'!$O$1:$O$2000,$Y24-1997+3))))</f>
        <v/>
      </c>
      <c r="J24" s="99" t="str">
        <f>IF($Y24="","",IF($Y24&lt;=1997,INDEX('Term investments'!$J$1:$J$2000,$Y24+3),INDEX('Call accounts and MMFs'!$G$1:$G$2000,$Y24-1997+3))&amp;"")</f>
        <v/>
      </c>
      <c r="K24" s="92" t="str">
        <f>IF($Y24="","",N(E24)*N(F24))</f>
        <v/>
      </c>
      <c r="L24" s="100" t="str">
        <f>IF($Y24="","",IF($Y24&lt;=1997,"Term investments, row "&amp;($Y24+3),"Call accounts and MMFs, row "&amp;($Y24-1997+3)))</f>
        <v/>
      </c>
      <c r="Y24" t="str">
        <f>IFERROR(MATCH(SMALL('List maths'!$E$4:$E$3997,16),'List maths'!$E$4:$E$3997,0),"")</f>
        <v/>
      </c>
    </row>
    <row r="25">
      <c r="B25" s="91" t="str">
        <f>IF($Y25="","",IF($Y25&lt;=1997,INDEX('Term investments'!$B$1:$B$2000,$Y25+3),INDEX('Call accounts and MMFs'!$B$1:$B$2000,$Y25-1997+3))&amp;"")</f>
        <v/>
      </c>
      <c r="C25" s="91" t="str">
        <f>IF($Y25="","",IF($Y25&lt;=1997,INDEX('Term investments'!$A$1:$A$2000,$Y25+3),INDEX('Call accounts and MMFs'!$A$1:$A$2000,$Y25-1997+3))&amp;"")</f>
        <v/>
      </c>
      <c r="D25" s="91" t="str">
        <f>IF($Y25="","",IF($Y25&lt;=1997,INDEX('Term investments'!$C$1:$C$2000,$Y25+3),INDEX('Call accounts and MMFs'!$C$1:$C$2000,$Y25-1997+3))&amp;"")</f>
        <v/>
      </c>
      <c r="E25" s="92" t="str">
        <f>IF($Y25="","",IF($Y25&lt;=1997,IF(N(INDEX('Deal maths'!$H$1:$H$2000,$Y25+3))&gt;0,N(INDEX('Deal maths'!$H$1:$H$2000,$Y25+3)),N(INDEX('Deal maths'!$D$1:$D$2000,$Y25+3))),N(INDEX('Deal maths'!$M$1:$M$2000,$Y25-1997+3))))</f>
        <v/>
      </c>
      <c r="F25" s="93" t="str">
        <f>IF($Y25="","",IF($Y25&lt;=1997,INDEX('Deal maths'!$G$1:$G$2000,$Y25+3),INDEX('Deal maths'!$N$1:$N$2000,$Y25-1997+3)))</f>
        <v/>
      </c>
      <c r="G25" s="94" t="str">
        <f>IF($Y25="","",IF($Y25&lt;=1997,INDEX('Deal maths'!$E$1:$E$2000,$Y25+3),""))</f>
        <v/>
      </c>
      <c r="H25" s="94" t="str">
        <f>IF($Y25="","",IF($Y25&lt;=1997,INDEX('Deal maths'!$F$1:$F$2000,$Y25+3),""))</f>
        <v/>
      </c>
      <c r="I25" s="98" t="str">
        <f>IF($Y25="","",IF($Y25&lt;=1997,N(INDEX('Deal maths'!$F$1:$F$2000,$Y25+3))-AsAt,N(INDEX('Deal maths'!$O$1:$O$2000,$Y25-1997+3))))</f>
        <v/>
      </c>
      <c r="J25" s="99" t="str">
        <f>IF($Y25="","",IF($Y25&lt;=1997,INDEX('Term investments'!$J$1:$J$2000,$Y25+3),INDEX('Call accounts and MMFs'!$G$1:$G$2000,$Y25-1997+3))&amp;"")</f>
        <v/>
      </c>
      <c r="K25" s="92" t="str">
        <f>IF($Y25="","",N(E25)*N(F25))</f>
        <v/>
      </c>
      <c r="L25" s="100" t="str">
        <f>IF($Y25="","",IF($Y25&lt;=1997,"Term investments, row "&amp;($Y25+3),"Call accounts and MMFs, row "&amp;($Y25-1997+3)))</f>
        <v/>
      </c>
      <c r="Y25" t="str">
        <f>IFERROR(MATCH(SMALL('List maths'!$E$4:$E$3997,17),'List maths'!$E$4:$E$3997,0),"")</f>
        <v/>
      </c>
    </row>
    <row r="26">
      <c r="B26" s="91" t="str">
        <f>IF($Y26="","",IF($Y26&lt;=1997,INDEX('Term investments'!$B$1:$B$2000,$Y26+3),INDEX('Call accounts and MMFs'!$B$1:$B$2000,$Y26-1997+3))&amp;"")</f>
        <v/>
      </c>
      <c r="C26" s="91" t="str">
        <f>IF($Y26="","",IF($Y26&lt;=1997,INDEX('Term investments'!$A$1:$A$2000,$Y26+3),INDEX('Call accounts and MMFs'!$A$1:$A$2000,$Y26-1997+3))&amp;"")</f>
        <v/>
      </c>
      <c r="D26" s="91" t="str">
        <f>IF($Y26="","",IF($Y26&lt;=1997,INDEX('Term investments'!$C$1:$C$2000,$Y26+3),INDEX('Call accounts and MMFs'!$C$1:$C$2000,$Y26-1997+3))&amp;"")</f>
        <v/>
      </c>
      <c r="E26" s="92" t="str">
        <f>IF($Y26="","",IF($Y26&lt;=1997,IF(N(INDEX('Deal maths'!$H$1:$H$2000,$Y26+3))&gt;0,N(INDEX('Deal maths'!$H$1:$H$2000,$Y26+3)),N(INDEX('Deal maths'!$D$1:$D$2000,$Y26+3))),N(INDEX('Deal maths'!$M$1:$M$2000,$Y26-1997+3))))</f>
        <v/>
      </c>
      <c r="F26" s="93" t="str">
        <f>IF($Y26="","",IF($Y26&lt;=1997,INDEX('Deal maths'!$G$1:$G$2000,$Y26+3),INDEX('Deal maths'!$N$1:$N$2000,$Y26-1997+3)))</f>
        <v/>
      </c>
      <c r="G26" s="94" t="str">
        <f>IF($Y26="","",IF($Y26&lt;=1997,INDEX('Deal maths'!$E$1:$E$2000,$Y26+3),""))</f>
        <v/>
      </c>
      <c r="H26" s="94" t="str">
        <f>IF($Y26="","",IF($Y26&lt;=1997,INDEX('Deal maths'!$F$1:$F$2000,$Y26+3),""))</f>
        <v/>
      </c>
      <c r="I26" s="98" t="str">
        <f>IF($Y26="","",IF($Y26&lt;=1997,N(INDEX('Deal maths'!$F$1:$F$2000,$Y26+3))-AsAt,N(INDEX('Deal maths'!$O$1:$O$2000,$Y26-1997+3))))</f>
        <v/>
      </c>
      <c r="J26" s="99" t="str">
        <f>IF($Y26="","",IF($Y26&lt;=1997,INDEX('Term investments'!$J$1:$J$2000,$Y26+3),INDEX('Call accounts and MMFs'!$G$1:$G$2000,$Y26-1997+3))&amp;"")</f>
        <v/>
      </c>
      <c r="K26" s="92" t="str">
        <f>IF($Y26="","",N(E26)*N(F26))</f>
        <v/>
      </c>
      <c r="L26" s="100" t="str">
        <f>IF($Y26="","",IF($Y26&lt;=1997,"Term investments, row "&amp;($Y26+3),"Call accounts and MMFs, row "&amp;($Y26-1997+3)))</f>
        <v/>
      </c>
      <c r="Y26" t="str">
        <f>IFERROR(MATCH(SMALL('List maths'!$E$4:$E$3997,18),'List maths'!$E$4:$E$3997,0),"")</f>
        <v/>
      </c>
    </row>
    <row r="27">
      <c r="B27" s="91" t="str">
        <f>IF($Y27="","",IF($Y27&lt;=1997,INDEX('Term investments'!$B$1:$B$2000,$Y27+3),INDEX('Call accounts and MMFs'!$B$1:$B$2000,$Y27-1997+3))&amp;"")</f>
        <v/>
      </c>
      <c r="C27" s="91" t="str">
        <f>IF($Y27="","",IF($Y27&lt;=1997,INDEX('Term investments'!$A$1:$A$2000,$Y27+3),INDEX('Call accounts and MMFs'!$A$1:$A$2000,$Y27-1997+3))&amp;"")</f>
        <v/>
      </c>
      <c r="D27" s="91" t="str">
        <f>IF($Y27="","",IF($Y27&lt;=1997,INDEX('Term investments'!$C$1:$C$2000,$Y27+3),INDEX('Call accounts and MMFs'!$C$1:$C$2000,$Y27-1997+3))&amp;"")</f>
        <v/>
      </c>
      <c r="E27" s="92" t="str">
        <f>IF($Y27="","",IF($Y27&lt;=1997,IF(N(INDEX('Deal maths'!$H$1:$H$2000,$Y27+3))&gt;0,N(INDEX('Deal maths'!$H$1:$H$2000,$Y27+3)),N(INDEX('Deal maths'!$D$1:$D$2000,$Y27+3))),N(INDEX('Deal maths'!$M$1:$M$2000,$Y27-1997+3))))</f>
        <v/>
      </c>
      <c r="F27" s="93" t="str">
        <f>IF($Y27="","",IF($Y27&lt;=1997,INDEX('Deal maths'!$G$1:$G$2000,$Y27+3),INDEX('Deal maths'!$N$1:$N$2000,$Y27-1997+3)))</f>
        <v/>
      </c>
      <c r="G27" s="94" t="str">
        <f>IF($Y27="","",IF($Y27&lt;=1997,INDEX('Deal maths'!$E$1:$E$2000,$Y27+3),""))</f>
        <v/>
      </c>
      <c r="H27" s="94" t="str">
        <f>IF($Y27="","",IF($Y27&lt;=1997,INDEX('Deal maths'!$F$1:$F$2000,$Y27+3),""))</f>
        <v/>
      </c>
      <c r="I27" s="98" t="str">
        <f>IF($Y27="","",IF($Y27&lt;=1997,N(INDEX('Deal maths'!$F$1:$F$2000,$Y27+3))-AsAt,N(INDEX('Deal maths'!$O$1:$O$2000,$Y27-1997+3))))</f>
        <v/>
      </c>
      <c r="J27" s="99" t="str">
        <f>IF($Y27="","",IF($Y27&lt;=1997,INDEX('Term investments'!$J$1:$J$2000,$Y27+3),INDEX('Call accounts and MMFs'!$G$1:$G$2000,$Y27-1997+3))&amp;"")</f>
        <v/>
      </c>
      <c r="K27" s="92" t="str">
        <f>IF($Y27="","",N(E27)*N(F27))</f>
        <v/>
      </c>
      <c r="L27" s="100" t="str">
        <f>IF($Y27="","",IF($Y27&lt;=1997,"Term investments, row "&amp;($Y27+3),"Call accounts and MMFs, row "&amp;($Y27-1997+3)))</f>
        <v/>
      </c>
      <c r="Y27" t="str">
        <f>IFERROR(MATCH(SMALL('List maths'!$E$4:$E$3997,19),'List maths'!$E$4:$E$3997,0),"")</f>
        <v/>
      </c>
    </row>
    <row r="28">
      <c r="B28" s="91" t="str">
        <f>IF($Y28="","",IF($Y28&lt;=1997,INDEX('Term investments'!$B$1:$B$2000,$Y28+3),INDEX('Call accounts and MMFs'!$B$1:$B$2000,$Y28-1997+3))&amp;"")</f>
        <v/>
      </c>
      <c r="C28" s="91" t="str">
        <f>IF($Y28="","",IF($Y28&lt;=1997,INDEX('Term investments'!$A$1:$A$2000,$Y28+3),INDEX('Call accounts and MMFs'!$A$1:$A$2000,$Y28-1997+3))&amp;"")</f>
        <v/>
      </c>
      <c r="D28" s="91" t="str">
        <f>IF($Y28="","",IF($Y28&lt;=1997,INDEX('Term investments'!$C$1:$C$2000,$Y28+3),INDEX('Call accounts and MMFs'!$C$1:$C$2000,$Y28-1997+3))&amp;"")</f>
        <v/>
      </c>
      <c r="E28" s="92" t="str">
        <f>IF($Y28="","",IF($Y28&lt;=1997,IF(N(INDEX('Deal maths'!$H$1:$H$2000,$Y28+3))&gt;0,N(INDEX('Deal maths'!$H$1:$H$2000,$Y28+3)),N(INDEX('Deal maths'!$D$1:$D$2000,$Y28+3))),N(INDEX('Deal maths'!$M$1:$M$2000,$Y28-1997+3))))</f>
        <v/>
      </c>
      <c r="F28" s="93" t="str">
        <f>IF($Y28="","",IF($Y28&lt;=1997,INDEX('Deal maths'!$G$1:$G$2000,$Y28+3),INDEX('Deal maths'!$N$1:$N$2000,$Y28-1997+3)))</f>
        <v/>
      </c>
      <c r="G28" s="94" t="str">
        <f>IF($Y28="","",IF($Y28&lt;=1997,INDEX('Deal maths'!$E$1:$E$2000,$Y28+3),""))</f>
        <v/>
      </c>
      <c r="H28" s="94" t="str">
        <f>IF($Y28="","",IF($Y28&lt;=1997,INDEX('Deal maths'!$F$1:$F$2000,$Y28+3),""))</f>
        <v/>
      </c>
      <c r="I28" s="98" t="str">
        <f>IF($Y28="","",IF($Y28&lt;=1997,N(INDEX('Deal maths'!$F$1:$F$2000,$Y28+3))-AsAt,N(INDEX('Deal maths'!$O$1:$O$2000,$Y28-1997+3))))</f>
        <v/>
      </c>
      <c r="J28" s="99" t="str">
        <f>IF($Y28="","",IF($Y28&lt;=1997,INDEX('Term investments'!$J$1:$J$2000,$Y28+3),INDEX('Call accounts and MMFs'!$G$1:$G$2000,$Y28-1997+3))&amp;"")</f>
        <v/>
      </c>
      <c r="K28" s="92" t="str">
        <f>IF($Y28="","",N(E28)*N(F28))</f>
        <v/>
      </c>
      <c r="L28" s="100" t="str">
        <f>IF($Y28="","",IF($Y28&lt;=1997,"Term investments, row "&amp;($Y28+3),"Call accounts and MMFs, row "&amp;($Y28-1997+3)))</f>
        <v/>
      </c>
      <c r="Y28" t="str">
        <f>IFERROR(MATCH(SMALL('List maths'!$E$4:$E$3997,20),'List maths'!$E$4:$E$3997,0),"")</f>
        <v/>
      </c>
    </row>
    <row r="29">
      <c r="B29" s="91" t="str">
        <f>IF($Y29="","",IF($Y29&lt;=1997,INDEX('Term investments'!$B$1:$B$2000,$Y29+3),INDEX('Call accounts and MMFs'!$B$1:$B$2000,$Y29-1997+3))&amp;"")</f>
        <v/>
      </c>
      <c r="C29" s="91" t="str">
        <f>IF($Y29="","",IF($Y29&lt;=1997,INDEX('Term investments'!$A$1:$A$2000,$Y29+3),INDEX('Call accounts and MMFs'!$A$1:$A$2000,$Y29-1997+3))&amp;"")</f>
        <v/>
      </c>
      <c r="D29" s="91" t="str">
        <f>IF($Y29="","",IF($Y29&lt;=1997,INDEX('Term investments'!$C$1:$C$2000,$Y29+3),INDEX('Call accounts and MMFs'!$C$1:$C$2000,$Y29-1997+3))&amp;"")</f>
        <v/>
      </c>
      <c r="E29" s="92" t="str">
        <f>IF($Y29="","",IF($Y29&lt;=1997,IF(N(INDEX('Deal maths'!$H$1:$H$2000,$Y29+3))&gt;0,N(INDEX('Deal maths'!$H$1:$H$2000,$Y29+3)),N(INDEX('Deal maths'!$D$1:$D$2000,$Y29+3))),N(INDEX('Deal maths'!$M$1:$M$2000,$Y29-1997+3))))</f>
        <v/>
      </c>
      <c r="F29" s="93" t="str">
        <f>IF($Y29="","",IF($Y29&lt;=1997,INDEX('Deal maths'!$G$1:$G$2000,$Y29+3),INDEX('Deal maths'!$N$1:$N$2000,$Y29-1997+3)))</f>
        <v/>
      </c>
      <c r="G29" s="94" t="str">
        <f>IF($Y29="","",IF($Y29&lt;=1997,INDEX('Deal maths'!$E$1:$E$2000,$Y29+3),""))</f>
        <v/>
      </c>
      <c r="H29" s="94" t="str">
        <f>IF($Y29="","",IF($Y29&lt;=1997,INDEX('Deal maths'!$F$1:$F$2000,$Y29+3),""))</f>
        <v/>
      </c>
      <c r="I29" s="98" t="str">
        <f>IF($Y29="","",IF($Y29&lt;=1997,N(INDEX('Deal maths'!$F$1:$F$2000,$Y29+3))-AsAt,N(INDEX('Deal maths'!$O$1:$O$2000,$Y29-1997+3))))</f>
        <v/>
      </c>
      <c r="J29" s="99" t="str">
        <f>IF($Y29="","",IF($Y29&lt;=1997,INDEX('Term investments'!$J$1:$J$2000,$Y29+3),INDEX('Call accounts and MMFs'!$G$1:$G$2000,$Y29-1997+3))&amp;"")</f>
        <v/>
      </c>
      <c r="K29" s="92" t="str">
        <f>IF($Y29="","",N(E29)*N(F29))</f>
        <v/>
      </c>
      <c r="L29" s="100" t="str">
        <f>IF($Y29="","",IF($Y29&lt;=1997,"Term investments, row "&amp;($Y29+3),"Call accounts and MMFs, row "&amp;($Y29-1997+3)))</f>
        <v/>
      </c>
      <c r="Y29" t="str">
        <f>IFERROR(MATCH(SMALL('List maths'!$E$4:$E$3997,21),'List maths'!$E$4:$E$3997,0),"")</f>
        <v/>
      </c>
    </row>
    <row r="30">
      <c r="B30" s="91" t="str">
        <f>IF($Y30="","",IF($Y30&lt;=1997,INDEX('Term investments'!$B$1:$B$2000,$Y30+3),INDEX('Call accounts and MMFs'!$B$1:$B$2000,$Y30-1997+3))&amp;"")</f>
        <v/>
      </c>
      <c r="C30" s="91" t="str">
        <f>IF($Y30="","",IF($Y30&lt;=1997,INDEX('Term investments'!$A$1:$A$2000,$Y30+3),INDEX('Call accounts and MMFs'!$A$1:$A$2000,$Y30-1997+3))&amp;"")</f>
        <v/>
      </c>
      <c r="D30" s="91" t="str">
        <f>IF($Y30="","",IF($Y30&lt;=1997,INDEX('Term investments'!$C$1:$C$2000,$Y30+3),INDEX('Call accounts and MMFs'!$C$1:$C$2000,$Y30-1997+3))&amp;"")</f>
        <v/>
      </c>
      <c r="E30" s="92" t="str">
        <f>IF($Y30="","",IF($Y30&lt;=1997,IF(N(INDEX('Deal maths'!$H$1:$H$2000,$Y30+3))&gt;0,N(INDEX('Deal maths'!$H$1:$H$2000,$Y30+3)),N(INDEX('Deal maths'!$D$1:$D$2000,$Y30+3))),N(INDEX('Deal maths'!$M$1:$M$2000,$Y30-1997+3))))</f>
        <v/>
      </c>
      <c r="F30" s="93" t="str">
        <f>IF($Y30="","",IF($Y30&lt;=1997,INDEX('Deal maths'!$G$1:$G$2000,$Y30+3),INDEX('Deal maths'!$N$1:$N$2000,$Y30-1997+3)))</f>
        <v/>
      </c>
      <c r="G30" s="94" t="str">
        <f>IF($Y30="","",IF($Y30&lt;=1997,INDEX('Deal maths'!$E$1:$E$2000,$Y30+3),""))</f>
        <v/>
      </c>
      <c r="H30" s="94" t="str">
        <f>IF($Y30="","",IF($Y30&lt;=1997,INDEX('Deal maths'!$F$1:$F$2000,$Y30+3),""))</f>
        <v/>
      </c>
      <c r="I30" s="98" t="str">
        <f>IF($Y30="","",IF($Y30&lt;=1997,N(INDEX('Deal maths'!$F$1:$F$2000,$Y30+3))-AsAt,N(INDEX('Deal maths'!$O$1:$O$2000,$Y30-1997+3))))</f>
        <v/>
      </c>
      <c r="J30" s="99" t="str">
        <f>IF($Y30="","",IF($Y30&lt;=1997,INDEX('Term investments'!$J$1:$J$2000,$Y30+3),INDEX('Call accounts and MMFs'!$G$1:$G$2000,$Y30-1997+3))&amp;"")</f>
        <v/>
      </c>
      <c r="K30" s="92" t="str">
        <f>IF($Y30="","",N(E30)*N(F30))</f>
        <v/>
      </c>
      <c r="L30" s="100" t="str">
        <f>IF($Y30="","",IF($Y30&lt;=1997,"Term investments, row "&amp;($Y30+3),"Call accounts and MMFs, row "&amp;($Y30-1997+3)))</f>
        <v/>
      </c>
      <c r="Y30" t="str">
        <f>IFERROR(MATCH(SMALL('List maths'!$E$4:$E$3997,22),'List maths'!$E$4:$E$3997,0),"")</f>
        <v/>
      </c>
    </row>
    <row r="31">
      <c r="B31" s="91" t="str">
        <f>IF($Y31="","",IF($Y31&lt;=1997,INDEX('Term investments'!$B$1:$B$2000,$Y31+3),INDEX('Call accounts and MMFs'!$B$1:$B$2000,$Y31-1997+3))&amp;"")</f>
        <v/>
      </c>
      <c r="C31" s="91" t="str">
        <f>IF($Y31="","",IF($Y31&lt;=1997,INDEX('Term investments'!$A$1:$A$2000,$Y31+3),INDEX('Call accounts and MMFs'!$A$1:$A$2000,$Y31-1997+3))&amp;"")</f>
        <v/>
      </c>
      <c r="D31" s="91" t="str">
        <f>IF($Y31="","",IF($Y31&lt;=1997,INDEX('Term investments'!$C$1:$C$2000,$Y31+3),INDEX('Call accounts and MMFs'!$C$1:$C$2000,$Y31-1997+3))&amp;"")</f>
        <v/>
      </c>
      <c r="E31" s="92" t="str">
        <f>IF($Y31="","",IF($Y31&lt;=1997,IF(N(INDEX('Deal maths'!$H$1:$H$2000,$Y31+3))&gt;0,N(INDEX('Deal maths'!$H$1:$H$2000,$Y31+3)),N(INDEX('Deal maths'!$D$1:$D$2000,$Y31+3))),N(INDEX('Deal maths'!$M$1:$M$2000,$Y31-1997+3))))</f>
        <v/>
      </c>
      <c r="F31" s="93" t="str">
        <f>IF($Y31="","",IF($Y31&lt;=1997,INDEX('Deal maths'!$G$1:$G$2000,$Y31+3),INDEX('Deal maths'!$N$1:$N$2000,$Y31-1997+3)))</f>
        <v/>
      </c>
      <c r="G31" s="94" t="str">
        <f>IF($Y31="","",IF($Y31&lt;=1997,INDEX('Deal maths'!$E$1:$E$2000,$Y31+3),""))</f>
        <v/>
      </c>
      <c r="H31" s="94" t="str">
        <f>IF($Y31="","",IF($Y31&lt;=1997,INDEX('Deal maths'!$F$1:$F$2000,$Y31+3),""))</f>
        <v/>
      </c>
      <c r="I31" s="98" t="str">
        <f>IF($Y31="","",IF($Y31&lt;=1997,N(INDEX('Deal maths'!$F$1:$F$2000,$Y31+3))-AsAt,N(INDEX('Deal maths'!$O$1:$O$2000,$Y31-1997+3))))</f>
        <v/>
      </c>
      <c r="J31" s="99" t="str">
        <f>IF($Y31="","",IF($Y31&lt;=1997,INDEX('Term investments'!$J$1:$J$2000,$Y31+3),INDEX('Call accounts and MMFs'!$G$1:$G$2000,$Y31-1997+3))&amp;"")</f>
        <v/>
      </c>
      <c r="K31" s="92" t="str">
        <f>IF($Y31="","",N(E31)*N(F31))</f>
        <v/>
      </c>
      <c r="L31" s="100" t="str">
        <f>IF($Y31="","",IF($Y31&lt;=1997,"Term investments, row "&amp;($Y31+3),"Call accounts and MMFs, row "&amp;($Y31-1997+3)))</f>
        <v/>
      </c>
      <c r="Y31" t="str">
        <f>IFERROR(MATCH(SMALL('List maths'!$E$4:$E$3997,23),'List maths'!$E$4:$E$3997,0),"")</f>
        <v/>
      </c>
    </row>
    <row r="32">
      <c r="B32" s="91" t="str">
        <f>IF($Y32="","",IF($Y32&lt;=1997,INDEX('Term investments'!$B$1:$B$2000,$Y32+3),INDEX('Call accounts and MMFs'!$B$1:$B$2000,$Y32-1997+3))&amp;"")</f>
        <v/>
      </c>
      <c r="C32" s="91" t="str">
        <f>IF($Y32="","",IF($Y32&lt;=1997,INDEX('Term investments'!$A$1:$A$2000,$Y32+3),INDEX('Call accounts and MMFs'!$A$1:$A$2000,$Y32-1997+3))&amp;"")</f>
        <v/>
      </c>
      <c r="D32" s="91" t="str">
        <f>IF($Y32="","",IF($Y32&lt;=1997,INDEX('Term investments'!$C$1:$C$2000,$Y32+3),INDEX('Call accounts and MMFs'!$C$1:$C$2000,$Y32-1997+3))&amp;"")</f>
        <v/>
      </c>
      <c r="E32" s="92" t="str">
        <f>IF($Y32="","",IF($Y32&lt;=1997,IF(N(INDEX('Deal maths'!$H$1:$H$2000,$Y32+3))&gt;0,N(INDEX('Deal maths'!$H$1:$H$2000,$Y32+3)),N(INDEX('Deal maths'!$D$1:$D$2000,$Y32+3))),N(INDEX('Deal maths'!$M$1:$M$2000,$Y32-1997+3))))</f>
        <v/>
      </c>
      <c r="F32" s="93" t="str">
        <f>IF($Y32="","",IF($Y32&lt;=1997,INDEX('Deal maths'!$G$1:$G$2000,$Y32+3),INDEX('Deal maths'!$N$1:$N$2000,$Y32-1997+3)))</f>
        <v/>
      </c>
      <c r="G32" s="94" t="str">
        <f>IF($Y32="","",IF($Y32&lt;=1997,INDEX('Deal maths'!$E$1:$E$2000,$Y32+3),""))</f>
        <v/>
      </c>
      <c r="H32" s="94" t="str">
        <f>IF($Y32="","",IF($Y32&lt;=1997,INDEX('Deal maths'!$F$1:$F$2000,$Y32+3),""))</f>
        <v/>
      </c>
      <c r="I32" s="98" t="str">
        <f>IF($Y32="","",IF($Y32&lt;=1997,N(INDEX('Deal maths'!$F$1:$F$2000,$Y32+3))-AsAt,N(INDEX('Deal maths'!$O$1:$O$2000,$Y32-1997+3))))</f>
        <v/>
      </c>
      <c r="J32" s="99" t="str">
        <f>IF($Y32="","",IF($Y32&lt;=1997,INDEX('Term investments'!$J$1:$J$2000,$Y32+3),INDEX('Call accounts and MMFs'!$G$1:$G$2000,$Y32-1997+3))&amp;"")</f>
        <v/>
      </c>
      <c r="K32" s="92" t="str">
        <f>IF($Y32="","",N(E32)*N(F32))</f>
        <v/>
      </c>
      <c r="L32" s="100" t="str">
        <f>IF($Y32="","",IF($Y32&lt;=1997,"Term investments, row "&amp;($Y32+3),"Call accounts and MMFs, row "&amp;($Y32-1997+3)))</f>
        <v/>
      </c>
      <c r="Y32" t="str">
        <f>IFERROR(MATCH(SMALL('List maths'!$E$4:$E$3997,24),'List maths'!$E$4:$E$3997,0),"")</f>
        <v/>
      </c>
    </row>
    <row r="33">
      <c r="B33" s="91" t="str">
        <f>IF($Y33="","",IF($Y33&lt;=1997,INDEX('Term investments'!$B$1:$B$2000,$Y33+3),INDEX('Call accounts and MMFs'!$B$1:$B$2000,$Y33-1997+3))&amp;"")</f>
        <v/>
      </c>
      <c r="C33" s="91" t="str">
        <f>IF($Y33="","",IF($Y33&lt;=1997,INDEX('Term investments'!$A$1:$A$2000,$Y33+3),INDEX('Call accounts and MMFs'!$A$1:$A$2000,$Y33-1997+3))&amp;"")</f>
        <v/>
      </c>
      <c r="D33" s="91" t="str">
        <f>IF($Y33="","",IF($Y33&lt;=1997,INDEX('Term investments'!$C$1:$C$2000,$Y33+3),INDEX('Call accounts and MMFs'!$C$1:$C$2000,$Y33-1997+3))&amp;"")</f>
        <v/>
      </c>
      <c r="E33" s="92" t="str">
        <f>IF($Y33="","",IF($Y33&lt;=1997,IF(N(INDEX('Deal maths'!$H$1:$H$2000,$Y33+3))&gt;0,N(INDEX('Deal maths'!$H$1:$H$2000,$Y33+3)),N(INDEX('Deal maths'!$D$1:$D$2000,$Y33+3))),N(INDEX('Deal maths'!$M$1:$M$2000,$Y33-1997+3))))</f>
        <v/>
      </c>
      <c r="F33" s="93" t="str">
        <f>IF($Y33="","",IF($Y33&lt;=1997,INDEX('Deal maths'!$G$1:$G$2000,$Y33+3),INDEX('Deal maths'!$N$1:$N$2000,$Y33-1997+3)))</f>
        <v/>
      </c>
      <c r="G33" s="94" t="str">
        <f>IF($Y33="","",IF($Y33&lt;=1997,INDEX('Deal maths'!$E$1:$E$2000,$Y33+3),""))</f>
        <v/>
      </c>
      <c r="H33" s="94" t="str">
        <f>IF($Y33="","",IF($Y33&lt;=1997,INDEX('Deal maths'!$F$1:$F$2000,$Y33+3),""))</f>
        <v/>
      </c>
      <c r="I33" s="98" t="str">
        <f>IF($Y33="","",IF($Y33&lt;=1997,N(INDEX('Deal maths'!$F$1:$F$2000,$Y33+3))-AsAt,N(INDEX('Deal maths'!$O$1:$O$2000,$Y33-1997+3))))</f>
        <v/>
      </c>
      <c r="J33" s="99" t="str">
        <f>IF($Y33="","",IF($Y33&lt;=1997,INDEX('Term investments'!$J$1:$J$2000,$Y33+3),INDEX('Call accounts and MMFs'!$G$1:$G$2000,$Y33-1997+3))&amp;"")</f>
        <v/>
      </c>
      <c r="K33" s="92" t="str">
        <f>IF($Y33="","",N(E33)*N(F33))</f>
        <v/>
      </c>
      <c r="L33" s="100" t="str">
        <f>IF($Y33="","",IF($Y33&lt;=1997,"Term investments, row "&amp;($Y33+3),"Call accounts and MMFs, row "&amp;($Y33-1997+3)))</f>
        <v/>
      </c>
      <c r="Y33" t="str">
        <f>IFERROR(MATCH(SMALL('List maths'!$E$4:$E$3997,25),'List maths'!$E$4:$E$3997,0),"")</f>
        <v/>
      </c>
    </row>
    <row r="34">
      <c r="B34" s="91" t="str">
        <f>IF($Y34="","",IF($Y34&lt;=1997,INDEX('Term investments'!$B$1:$B$2000,$Y34+3),INDEX('Call accounts and MMFs'!$B$1:$B$2000,$Y34-1997+3))&amp;"")</f>
        <v/>
      </c>
      <c r="C34" s="91" t="str">
        <f>IF($Y34="","",IF($Y34&lt;=1997,INDEX('Term investments'!$A$1:$A$2000,$Y34+3),INDEX('Call accounts and MMFs'!$A$1:$A$2000,$Y34-1997+3))&amp;"")</f>
        <v/>
      </c>
      <c r="D34" s="91" t="str">
        <f>IF($Y34="","",IF($Y34&lt;=1997,INDEX('Term investments'!$C$1:$C$2000,$Y34+3),INDEX('Call accounts and MMFs'!$C$1:$C$2000,$Y34-1997+3))&amp;"")</f>
        <v/>
      </c>
      <c r="E34" s="92" t="str">
        <f>IF($Y34="","",IF($Y34&lt;=1997,IF(N(INDEX('Deal maths'!$H$1:$H$2000,$Y34+3))&gt;0,N(INDEX('Deal maths'!$H$1:$H$2000,$Y34+3)),N(INDEX('Deal maths'!$D$1:$D$2000,$Y34+3))),N(INDEX('Deal maths'!$M$1:$M$2000,$Y34-1997+3))))</f>
        <v/>
      </c>
      <c r="F34" s="93" t="str">
        <f>IF($Y34="","",IF($Y34&lt;=1997,INDEX('Deal maths'!$G$1:$G$2000,$Y34+3),INDEX('Deal maths'!$N$1:$N$2000,$Y34-1997+3)))</f>
        <v/>
      </c>
      <c r="G34" s="94" t="str">
        <f>IF($Y34="","",IF($Y34&lt;=1997,INDEX('Deal maths'!$E$1:$E$2000,$Y34+3),""))</f>
        <v/>
      </c>
      <c r="H34" s="94" t="str">
        <f>IF($Y34="","",IF($Y34&lt;=1997,INDEX('Deal maths'!$F$1:$F$2000,$Y34+3),""))</f>
        <v/>
      </c>
      <c r="I34" s="98" t="str">
        <f>IF($Y34="","",IF($Y34&lt;=1997,N(INDEX('Deal maths'!$F$1:$F$2000,$Y34+3))-AsAt,N(INDEX('Deal maths'!$O$1:$O$2000,$Y34-1997+3))))</f>
        <v/>
      </c>
      <c r="J34" s="99" t="str">
        <f>IF($Y34="","",IF($Y34&lt;=1997,INDEX('Term investments'!$J$1:$J$2000,$Y34+3),INDEX('Call accounts and MMFs'!$G$1:$G$2000,$Y34-1997+3))&amp;"")</f>
        <v/>
      </c>
      <c r="K34" s="92" t="str">
        <f>IF($Y34="","",N(E34)*N(F34))</f>
        <v/>
      </c>
      <c r="L34" s="100" t="str">
        <f>IF($Y34="","",IF($Y34&lt;=1997,"Term investments, row "&amp;($Y34+3),"Call accounts and MMFs, row "&amp;($Y34-1997+3)))</f>
        <v/>
      </c>
      <c r="Y34" t="str">
        <f>IFERROR(MATCH(SMALL('List maths'!$E$4:$E$3997,26),'List maths'!$E$4:$E$3997,0),"")</f>
        <v/>
      </c>
    </row>
    <row r="35">
      <c r="B35" s="91" t="str">
        <f>IF($Y35="","",IF($Y35&lt;=1997,INDEX('Term investments'!$B$1:$B$2000,$Y35+3),INDEX('Call accounts and MMFs'!$B$1:$B$2000,$Y35-1997+3))&amp;"")</f>
        <v/>
      </c>
      <c r="C35" s="91" t="str">
        <f>IF($Y35="","",IF($Y35&lt;=1997,INDEX('Term investments'!$A$1:$A$2000,$Y35+3),INDEX('Call accounts and MMFs'!$A$1:$A$2000,$Y35-1997+3))&amp;"")</f>
        <v/>
      </c>
      <c r="D35" s="91" t="str">
        <f>IF($Y35="","",IF($Y35&lt;=1997,INDEX('Term investments'!$C$1:$C$2000,$Y35+3),INDEX('Call accounts and MMFs'!$C$1:$C$2000,$Y35-1997+3))&amp;"")</f>
        <v/>
      </c>
      <c r="E35" s="92" t="str">
        <f>IF($Y35="","",IF($Y35&lt;=1997,IF(N(INDEX('Deal maths'!$H$1:$H$2000,$Y35+3))&gt;0,N(INDEX('Deal maths'!$H$1:$H$2000,$Y35+3)),N(INDEX('Deal maths'!$D$1:$D$2000,$Y35+3))),N(INDEX('Deal maths'!$M$1:$M$2000,$Y35-1997+3))))</f>
        <v/>
      </c>
      <c r="F35" s="93" t="str">
        <f>IF($Y35="","",IF($Y35&lt;=1997,INDEX('Deal maths'!$G$1:$G$2000,$Y35+3),INDEX('Deal maths'!$N$1:$N$2000,$Y35-1997+3)))</f>
        <v/>
      </c>
      <c r="G35" s="94" t="str">
        <f>IF($Y35="","",IF($Y35&lt;=1997,INDEX('Deal maths'!$E$1:$E$2000,$Y35+3),""))</f>
        <v/>
      </c>
      <c r="H35" s="94" t="str">
        <f>IF($Y35="","",IF($Y35&lt;=1997,INDEX('Deal maths'!$F$1:$F$2000,$Y35+3),""))</f>
        <v/>
      </c>
      <c r="I35" s="98" t="str">
        <f>IF($Y35="","",IF($Y35&lt;=1997,N(INDEX('Deal maths'!$F$1:$F$2000,$Y35+3))-AsAt,N(INDEX('Deal maths'!$O$1:$O$2000,$Y35-1997+3))))</f>
        <v/>
      </c>
      <c r="J35" s="99" t="str">
        <f>IF($Y35="","",IF($Y35&lt;=1997,INDEX('Term investments'!$J$1:$J$2000,$Y35+3),INDEX('Call accounts and MMFs'!$G$1:$G$2000,$Y35-1997+3))&amp;"")</f>
        <v/>
      </c>
      <c r="K35" s="92" t="str">
        <f>IF($Y35="","",N(E35)*N(F35))</f>
        <v/>
      </c>
      <c r="L35" s="100" t="str">
        <f>IF($Y35="","",IF($Y35&lt;=1997,"Term investments, row "&amp;($Y35+3),"Call accounts and MMFs, row "&amp;($Y35-1997+3)))</f>
        <v/>
      </c>
      <c r="Y35" t="str">
        <f>IFERROR(MATCH(SMALL('List maths'!$E$4:$E$3997,27),'List maths'!$E$4:$E$3997,0),"")</f>
        <v/>
      </c>
    </row>
    <row r="36">
      <c r="B36" s="91" t="str">
        <f>IF($Y36="","",IF($Y36&lt;=1997,INDEX('Term investments'!$B$1:$B$2000,$Y36+3),INDEX('Call accounts and MMFs'!$B$1:$B$2000,$Y36-1997+3))&amp;"")</f>
        <v/>
      </c>
      <c r="C36" s="91" t="str">
        <f>IF($Y36="","",IF($Y36&lt;=1997,INDEX('Term investments'!$A$1:$A$2000,$Y36+3),INDEX('Call accounts and MMFs'!$A$1:$A$2000,$Y36-1997+3))&amp;"")</f>
        <v/>
      </c>
      <c r="D36" s="91" t="str">
        <f>IF($Y36="","",IF($Y36&lt;=1997,INDEX('Term investments'!$C$1:$C$2000,$Y36+3),INDEX('Call accounts and MMFs'!$C$1:$C$2000,$Y36-1997+3))&amp;"")</f>
        <v/>
      </c>
      <c r="E36" s="92" t="str">
        <f>IF($Y36="","",IF($Y36&lt;=1997,IF(N(INDEX('Deal maths'!$H$1:$H$2000,$Y36+3))&gt;0,N(INDEX('Deal maths'!$H$1:$H$2000,$Y36+3)),N(INDEX('Deal maths'!$D$1:$D$2000,$Y36+3))),N(INDEX('Deal maths'!$M$1:$M$2000,$Y36-1997+3))))</f>
        <v/>
      </c>
      <c r="F36" s="93" t="str">
        <f>IF($Y36="","",IF($Y36&lt;=1997,INDEX('Deal maths'!$G$1:$G$2000,$Y36+3),INDEX('Deal maths'!$N$1:$N$2000,$Y36-1997+3)))</f>
        <v/>
      </c>
      <c r="G36" s="94" t="str">
        <f>IF($Y36="","",IF($Y36&lt;=1997,INDEX('Deal maths'!$E$1:$E$2000,$Y36+3),""))</f>
        <v/>
      </c>
      <c r="H36" s="94" t="str">
        <f>IF($Y36="","",IF($Y36&lt;=1997,INDEX('Deal maths'!$F$1:$F$2000,$Y36+3),""))</f>
        <v/>
      </c>
      <c r="I36" s="98" t="str">
        <f>IF($Y36="","",IF($Y36&lt;=1997,N(INDEX('Deal maths'!$F$1:$F$2000,$Y36+3))-AsAt,N(INDEX('Deal maths'!$O$1:$O$2000,$Y36-1997+3))))</f>
        <v/>
      </c>
      <c r="J36" s="99" t="str">
        <f>IF($Y36="","",IF($Y36&lt;=1997,INDEX('Term investments'!$J$1:$J$2000,$Y36+3),INDEX('Call accounts and MMFs'!$G$1:$G$2000,$Y36-1997+3))&amp;"")</f>
        <v/>
      </c>
      <c r="K36" s="92" t="str">
        <f>IF($Y36="","",N(E36)*N(F36))</f>
        <v/>
      </c>
      <c r="L36" s="100" t="str">
        <f>IF($Y36="","",IF($Y36&lt;=1997,"Term investments, row "&amp;($Y36+3),"Call accounts and MMFs, row "&amp;($Y36-1997+3)))</f>
        <v/>
      </c>
      <c r="Y36" t="str">
        <f>IFERROR(MATCH(SMALL('List maths'!$E$4:$E$3997,28),'List maths'!$E$4:$E$3997,0),"")</f>
        <v/>
      </c>
    </row>
    <row r="37">
      <c r="B37" s="91" t="str">
        <f>IF($Y37="","",IF($Y37&lt;=1997,INDEX('Term investments'!$B$1:$B$2000,$Y37+3),INDEX('Call accounts and MMFs'!$B$1:$B$2000,$Y37-1997+3))&amp;"")</f>
        <v/>
      </c>
      <c r="C37" s="91" t="str">
        <f>IF($Y37="","",IF($Y37&lt;=1997,INDEX('Term investments'!$A$1:$A$2000,$Y37+3),INDEX('Call accounts and MMFs'!$A$1:$A$2000,$Y37-1997+3))&amp;"")</f>
        <v/>
      </c>
      <c r="D37" s="91" t="str">
        <f>IF($Y37="","",IF($Y37&lt;=1997,INDEX('Term investments'!$C$1:$C$2000,$Y37+3),INDEX('Call accounts and MMFs'!$C$1:$C$2000,$Y37-1997+3))&amp;"")</f>
        <v/>
      </c>
      <c r="E37" s="92" t="str">
        <f>IF($Y37="","",IF($Y37&lt;=1997,IF(N(INDEX('Deal maths'!$H$1:$H$2000,$Y37+3))&gt;0,N(INDEX('Deal maths'!$H$1:$H$2000,$Y37+3)),N(INDEX('Deal maths'!$D$1:$D$2000,$Y37+3))),N(INDEX('Deal maths'!$M$1:$M$2000,$Y37-1997+3))))</f>
        <v/>
      </c>
      <c r="F37" s="93" t="str">
        <f>IF($Y37="","",IF($Y37&lt;=1997,INDEX('Deal maths'!$G$1:$G$2000,$Y37+3),INDEX('Deal maths'!$N$1:$N$2000,$Y37-1997+3)))</f>
        <v/>
      </c>
      <c r="G37" s="94" t="str">
        <f>IF($Y37="","",IF($Y37&lt;=1997,INDEX('Deal maths'!$E$1:$E$2000,$Y37+3),""))</f>
        <v/>
      </c>
      <c r="H37" s="94" t="str">
        <f>IF($Y37="","",IF($Y37&lt;=1997,INDEX('Deal maths'!$F$1:$F$2000,$Y37+3),""))</f>
        <v/>
      </c>
      <c r="I37" s="98" t="str">
        <f>IF($Y37="","",IF($Y37&lt;=1997,N(INDEX('Deal maths'!$F$1:$F$2000,$Y37+3))-AsAt,N(INDEX('Deal maths'!$O$1:$O$2000,$Y37-1997+3))))</f>
        <v/>
      </c>
      <c r="J37" s="99" t="str">
        <f>IF($Y37="","",IF($Y37&lt;=1997,INDEX('Term investments'!$J$1:$J$2000,$Y37+3),INDEX('Call accounts and MMFs'!$G$1:$G$2000,$Y37-1997+3))&amp;"")</f>
        <v/>
      </c>
      <c r="K37" s="92" t="str">
        <f>IF($Y37="","",N(E37)*N(F37))</f>
        <v/>
      </c>
      <c r="L37" s="100" t="str">
        <f>IF($Y37="","",IF($Y37&lt;=1997,"Term investments, row "&amp;($Y37+3),"Call accounts and MMFs, row "&amp;($Y37-1997+3)))</f>
        <v/>
      </c>
      <c r="Y37" t="str">
        <f>IFERROR(MATCH(SMALL('List maths'!$E$4:$E$3997,29),'List maths'!$E$4:$E$3997,0),"")</f>
        <v/>
      </c>
    </row>
    <row r="38">
      <c r="B38" s="91" t="str">
        <f>IF($Y38="","",IF($Y38&lt;=1997,INDEX('Term investments'!$B$1:$B$2000,$Y38+3),INDEX('Call accounts and MMFs'!$B$1:$B$2000,$Y38-1997+3))&amp;"")</f>
        <v/>
      </c>
      <c r="C38" s="91" t="str">
        <f>IF($Y38="","",IF($Y38&lt;=1997,INDEX('Term investments'!$A$1:$A$2000,$Y38+3),INDEX('Call accounts and MMFs'!$A$1:$A$2000,$Y38-1997+3))&amp;"")</f>
        <v/>
      </c>
      <c r="D38" s="91" t="str">
        <f>IF($Y38="","",IF($Y38&lt;=1997,INDEX('Term investments'!$C$1:$C$2000,$Y38+3),INDEX('Call accounts and MMFs'!$C$1:$C$2000,$Y38-1997+3))&amp;"")</f>
        <v/>
      </c>
      <c r="E38" s="92" t="str">
        <f>IF($Y38="","",IF($Y38&lt;=1997,IF(N(INDEX('Deal maths'!$H$1:$H$2000,$Y38+3))&gt;0,N(INDEX('Deal maths'!$H$1:$H$2000,$Y38+3)),N(INDEX('Deal maths'!$D$1:$D$2000,$Y38+3))),N(INDEX('Deal maths'!$M$1:$M$2000,$Y38-1997+3))))</f>
        <v/>
      </c>
      <c r="F38" s="93" t="str">
        <f>IF($Y38="","",IF($Y38&lt;=1997,INDEX('Deal maths'!$G$1:$G$2000,$Y38+3),INDEX('Deal maths'!$N$1:$N$2000,$Y38-1997+3)))</f>
        <v/>
      </c>
      <c r="G38" s="94" t="str">
        <f>IF($Y38="","",IF($Y38&lt;=1997,INDEX('Deal maths'!$E$1:$E$2000,$Y38+3),""))</f>
        <v/>
      </c>
      <c r="H38" s="94" t="str">
        <f>IF($Y38="","",IF($Y38&lt;=1997,INDEX('Deal maths'!$F$1:$F$2000,$Y38+3),""))</f>
        <v/>
      </c>
      <c r="I38" s="98" t="str">
        <f>IF($Y38="","",IF($Y38&lt;=1997,N(INDEX('Deal maths'!$F$1:$F$2000,$Y38+3))-AsAt,N(INDEX('Deal maths'!$O$1:$O$2000,$Y38-1997+3))))</f>
        <v/>
      </c>
      <c r="J38" s="99" t="str">
        <f>IF($Y38="","",IF($Y38&lt;=1997,INDEX('Term investments'!$J$1:$J$2000,$Y38+3),INDEX('Call accounts and MMFs'!$G$1:$G$2000,$Y38-1997+3))&amp;"")</f>
        <v/>
      </c>
      <c r="K38" s="92" t="str">
        <f>IF($Y38="","",N(E38)*N(F38))</f>
        <v/>
      </c>
      <c r="L38" s="100" t="str">
        <f>IF($Y38="","",IF($Y38&lt;=1997,"Term investments, row "&amp;($Y38+3),"Call accounts and MMFs, row "&amp;($Y38-1997+3)))</f>
        <v/>
      </c>
      <c r="Y38" t="str">
        <f>IFERROR(MATCH(SMALL('List maths'!$E$4:$E$3997,30),'List maths'!$E$4:$E$3997,0),"")</f>
        <v/>
      </c>
    </row>
    <row r="39">
      <c r="B39" s="91" t="str">
        <f>IF($Y39="","",IF($Y39&lt;=1997,INDEX('Term investments'!$B$1:$B$2000,$Y39+3),INDEX('Call accounts and MMFs'!$B$1:$B$2000,$Y39-1997+3))&amp;"")</f>
        <v/>
      </c>
      <c r="C39" s="91" t="str">
        <f>IF($Y39="","",IF($Y39&lt;=1997,INDEX('Term investments'!$A$1:$A$2000,$Y39+3),INDEX('Call accounts and MMFs'!$A$1:$A$2000,$Y39-1997+3))&amp;"")</f>
        <v/>
      </c>
      <c r="D39" s="91" t="str">
        <f>IF($Y39="","",IF($Y39&lt;=1997,INDEX('Term investments'!$C$1:$C$2000,$Y39+3),INDEX('Call accounts and MMFs'!$C$1:$C$2000,$Y39-1997+3))&amp;"")</f>
        <v/>
      </c>
      <c r="E39" s="92" t="str">
        <f>IF($Y39="","",IF($Y39&lt;=1997,IF(N(INDEX('Deal maths'!$H$1:$H$2000,$Y39+3))&gt;0,N(INDEX('Deal maths'!$H$1:$H$2000,$Y39+3)),N(INDEX('Deal maths'!$D$1:$D$2000,$Y39+3))),N(INDEX('Deal maths'!$M$1:$M$2000,$Y39-1997+3))))</f>
        <v/>
      </c>
      <c r="F39" s="93" t="str">
        <f>IF($Y39="","",IF($Y39&lt;=1997,INDEX('Deal maths'!$G$1:$G$2000,$Y39+3),INDEX('Deal maths'!$N$1:$N$2000,$Y39-1997+3)))</f>
        <v/>
      </c>
      <c r="G39" s="94" t="str">
        <f>IF($Y39="","",IF($Y39&lt;=1997,INDEX('Deal maths'!$E$1:$E$2000,$Y39+3),""))</f>
        <v/>
      </c>
      <c r="H39" s="94" t="str">
        <f>IF($Y39="","",IF($Y39&lt;=1997,INDEX('Deal maths'!$F$1:$F$2000,$Y39+3),""))</f>
        <v/>
      </c>
      <c r="I39" s="98" t="str">
        <f>IF($Y39="","",IF($Y39&lt;=1997,N(INDEX('Deal maths'!$F$1:$F$2000,$Y39+3))-AsAt,N(INDEX('Deal maths'!$O$1:$O$2000,$Y39-1997+3))))</f>
        <v/>
      </c>
      <c r="J39" s="99" t="str">
        <f>IF($Y39="","",IF($Y39&lt;=1997,INDEX('Term investments'!$J$1:$J$2000,$Y39+3),INDEX('Call accounts and MMFs'!$G$1:$G$2000,$Y39-1997+3))&amp;"")</f>
        <v/>
      </c>
      <c r="K39" s="92" t="str">
        <f>IF($Y39="","",N(E39)*N(F39))</f>
        <v/>
      </c>
      <c r="L39" s="100" t="str">
        <f>IF($Y39="","",IF($Y39&lt;=1997,"Term investments, row "&amp;($Y39+3),"Call accounts and MMFs, row "&amp;($Y39-1997+3)))</f>
        <v/>
      </c>
      <c r="Y39" t="str">
        <f>IFERROR(MATCH(SMALL('List maths'!$E$4:$E$3997,31),'List maths'!$E$4:$E$3997,0),"")</f>
        <v/>
      </c>
    </row>
    <row r="40">
      <c r="B40" s="91" t="str">
        <f>IF($Y40="","",IF($Y40&lt;=1997,INDEX('Term investments'!$B$1:$B$2000,$Y40+3),INDEX('Call accounts and MMFs'!$B$1:$B$2000,$Y40-1997+3))&amp;"")</f>
        <v/>
      </c>
      <c r="C40" s="91" t="str">
        <f>IF($Y40="","",IF($Y40&lt;=1997,INDEX('Term investments'!$A$1:$A$2000,$Y40+3),INDEX('Call accounts and MMFs'!$A$1:$A$2000,$Y40-1997+3))&amp;"")</f>
        <v/>
      </c>
      <c r="D40" s="91" t="str">
        <f>IF($Y40="","",IF($Y40&lt;=1997,INDEX('Term investments'!$C$1:$C$2000,$Y40+3),INDEX('Call accounts and MMFs'!$C$1:$C$2000,$Y40-1997+3))&amp;"")</f>
        <v/>
      </c>
      <c r="E40" s="92" t="str">
        <f>IF($Y40="","",IF($Y40&lt;=1997,IF(N(INDEX('Deal maths'!$H$1:$H$2000,$Y40+3))&gt;0,N(INDEX('Deal maths'!$H$1:$H$2000,$Y40+3)),N(INDEX('Deal maths'!$D$1:$D$2000,$Y40+3))),N(INDEX('Deal maths'!$M$1:$M$2000,$Y40-1997+3))))</f>
        <v/>
      </c>
      <c r="F40" s="93" t="str">
        <f>IF($Y40="","",IF($Y40&lt;=1997,INDEX('Deal maths'!$G$1:$G$2000,$Y40+3),INDEX('Deal maths'!$N$1:$N$2000,$Y40-1997+3)))</f>
        <v/>
      </c>
      <c r="G40" s="94" t="str">
        <f>IF($Y40="","",IF($Y40&lt;=1997,INDEX('Deal maths'!$E$1:$E$2000,$Y40+3),""))</f>
        <v/>
      </c>
      <c r="H40" s="94" t="str">
        <f>IF($Y40="","",IF($Y40&lt;=1997,INDEX('Deal maths'!$F$1:$F$2000,$Y40+3),""))</f>
        <v/>
      </c>
      <c r="I40" s="98" t="str">
        <f>IF($Y40="","",IF($Y40&lt;=1997,N(INDEX('Deal maths'!$F$1:$F$2000,$Y40+3))-AsAt,N(INDEX('Deal maths'!$O$1:$O$2000,$Y40-1997+3))))</f>
        <v/>
      </c>
      <c r="J40" s="99" t="str">
        <f>IF($Y40="","",IF($Y40&lt;=1997,INDEX('Term investments'!$J$1:$J$2000,$Y40+3),INDEX('Call accounts and MMFs'!$G$1:$G$2000,$Y40-1997+3))&amp;"")</f>
        <v/>
      </c>
      <c r="K40" s="92" t="str">
        <f>IF($Y40="","",N(E40)*N(F40))</f>
        <v/>
      </c>
      <c r="L40" s="100" t="str">
        <f>IF($Y40="","",IF($Y40&lt;=1997,"Term investments, row "&amp;($Y40+3),"Call accounts and MMFs, row "&amp;($Y40-1997+3)))</f>
        <v/>
      </c>
      <c r="Y40" t="str">
        <f>IFERROR(MATCH(SMALL('List maths'!$E$4:$E$3997,32),'List maths'!$E$4:$E$3997,0),"")</f>
        <v/>
      </c>
    </row>
    <row r="41">
      <c r="B41" s="91" t="str">
        <f>IF($Y41="","",IF($Y41&lt;=1997,INDEX('Term investments'!$B$1:$B$2000,$Y41+3),INDEX('Call accounts and MMFs'!$B$1:$B$2000,$Y41-1997+3))&amp;"")</f>
        <v/>
      </c>
      <c r="C41" s="91" t="str">
        <f>IF($Y41="","",IF($Y41&lt;=1997,INDEX('Term investments'!$A$1:$A$2000,$Y41+3),INDEX('Call accounts and MMFs'!$A$1:$A$2000,$Y41-1997+3))&amp;"")</f>
        <v/>
      </c>
      <c r="D41" s="91" t="str">
        <f>IF($Y41="","",IF($Y41&lt;=1997,INDEX('Term investments'!$C$1:$C$2000,$Y41+3),INDEX('Call accounts and MMFs'!$C$1:$C$2000,$Y41-1997+3))&amp;"")</f>
        <v/>
      </c>
      <c r="E41" s="92" t="str">
        <f>IF($Y41="","",IF($Y41&lt;=1997,IF(N(INDEX('Deal maths'!$H$1:$H$2000,$Y41+3))&gt;0,N(INDEX('Deal maths'!$H$1:$H$2000,$Y41+3)),N(INDEX('Deal maths'!$D$1:$D$2000,$Y41+3))),N(INDEX('Deal maths'!$M$1:$M$2000,$Y41-1997+3))))</f>
        <v/>
      </c>
      <c r="F41" s="93" t="str">
        <f>IF($Y41="","",IF($Y41&lt;=1997,INDEX('Deal maths'!$G$1:$G$2000,$Y41+3),INDEX('Deal maths'!$N$1:$N$2000,$Y41-1997+3)))</f>
        <v/>
      </c>
      <c r="G41" s="94" t="str">
        <f>IF($Y41="","",IF($Y41&lt;=1997,INDEX('Deal maths'!$E$1:$E$2000,$Y41+3),""))</f>
        <v/>
      </c>
      <c r="H41" s="94" t="str">
        <f>IF($Y41="","",IF($Y41&lt;=1997,INDEX('Deal maths'!$F$1:$F$2000,$Y41+3),""))</f>
        <v/>
      </c>
      <c r="I41" s="98" t="str">
        <f>IF($Y41="","",IF($Y41&lt;=1997,N(INDEX('Deal maths'!$F$1:$F$2000,$Y41+3))-AsAt,N(INDEX('Deal maths'!$O$1:$O$2000,$Y41-1997+3))))</f>
        <v/>
      </c>
      <c r="J41" s="99" t="str">
        <f>IF($Y41="","",IF($Y41&lt;=1997,INDEX('Term investments'!$J$1:$J$2000,$Y41+3),INDEX('Call accounts and MMFs'!$G$1:$G$2000,$Y41-1997+3))&amp;"")</f>
        <v/>
      </c>
      <c r="K41" s="92" t="str">
        <f>IF($Y41="","",N(E41)*N(F41))</f>
        <v/>
      </c>
      <c r="L41" s="100" t="str">
        <f>IF($Y41="","",IF($Y41&lt;=1997,"Term investments, row "&amp;($Y41+3),"Call accounts and MMFs, row "&amp;($Y41-1997+3)))</f>
        <v/>
      </c>
      <c r="Y41" t="str">
        <f>IFERROR(MATCH(SMALL('List maths'!$E$4:$E$3997,33),'List maths'!$E$4:$E$3997,0),"")</f>
        <v/>
      </c>
    </row>
    <row r="42">
      <c r="B42" s="91" t="str">
        <f>IF($Y42="","",IF($Y42&lt;=1997,INDEX('Term investments'!$B$1:$B$2000,$Y42+3),INDEX('Call accounts and MMFs'!$B$1:$B$2000,$Y42-1997+3))&amp;"")</f>
        <v/>
      </c>
      <c r="C42" s="91" t="str">
        <f>IF($Y42="","",IF($Y42&lt;=1997,INDEX('Term investments'!$A$1:$A$2000,$Y42+3),INDEX('Call accounts and MMFs'!$A$1:$A$2000,$Y42-1997+3))&amp;"")</f>
        <v/>
      </c>
      <c r="D42" s="91" t="str">
        <f>IF($Y42="","",IF($Y42&lt;=1997,INDEX('Term investments'!$C$1:$C$2000,$Y42+3),INDEX('Call accounts and MMFs'!$C$1:$C$2000,$Y42-1997+3))&amp;"")</f>
        <v/>
      </c>
      <c r="E42" s="92" t="str">
        <f>IF($Y42="","",IF($Y42&lt;=1997,IF(N(INDEX('Deal maths'!$H$1:$H$2000,$Y42+3))&gt;0,N(INDEX('Deal maths'!$H$1:$H$2000,$Y42+3)),N(INDEX('Deal maths'!$D$1:$D$2000,$Y42+3))),N(INDEX('Deal maths'!$M$1:$M$2000,$Y42-1997+3))))</f>
        <v/>
      </c>
      <c r="F42" s="93" t="str">
        <f>IF($Y42="","",IF($Y42&lt;=1997,INDEX('Deal maths'!$G$1:$G$2000,$Y42+3),INDEX('Deal maths'!$N$1:$N$2000,$Y42-1997+3)))</f>
        <v/>
      </c>
      <c r="G42" s="94" t="str">
        <f>IF($Y42="","",IF($Y42&lt;=1997,INDEX('Deal maths'!$E$1:$E$2000,$Y42+3),""))</f>
        <v/>
      </c>
      <c r="H42" s="94" t="str">
        <f>IF($Y42="","",IF($Y42&lt;=1997,INDEX('Deal maths'!$F$1:$F$2000,$Y42+3),""))</f>
        <v/>
      </c>
      <c r="I42" s="98" t="str">
        <f>IF($Y42="","",IF($Y42&lt;=1997,N(INDEX('Deal maths'!$F$1:$F$2000,$Y42+3))-AsAt,N(INDEX('Deal maths'!$O$1:$O$2000,$Y42-1997+3))))</f>
        <v/>
      </c>
      <c r="J42" s="99" t="str">
        <f>IF($Y42="","",IF($Y42&lt;=1997,INDEX('Term investments'!$J$1:$J$2000,$Y42+3),INDEX('Call accounts and MMFs'!$G$1:$G$2000,$Y42-1997+3))&amp;"")</f>
        <v/>
      </c>
      <c r="K42" s="92" t="str">
        <f>IF($Y42="","",N(E42)*N(F42))</f>
        <v/>
      </c>
      <c r="L42" s="100" t="str">
        <f>IF($Y42="","",IF($Y42&lt;=1997,"Term investments, row "&amp;($Y42+3),"Call accounts and MMFs, row "&amp;($Y42-1997+3)))</f>
        <v/>
      </c>
      <c r="Y42" t="str">
        <f>IFERROR(MATCH(SMALL('List maths'!$E$4:$E$3997,34),'List maths'!$E$4:$E$3997,0),"")</f>
        <v/>
      </c>
    </row>
    <row r="43">
      <c r="B43" s="91" t="str">
        <f>IF($Y43="","",IF($Y43&lt;=1997,INDEX('Term investments'!$B$1:$B$2000,$Y43+3),INDEX('Call accounts and MMFs'!$B$1:$B$2000,$Y43-1997+3))&amp;"")</f>
        <v/>
      </c>
      <c r="C43" s="91" t="str">
        <f>IF($Y43="","",IF($Y43&lt;=1997,INDEX('Term investments'!$A$1:$A$2000,$Y43+3),INDEX('Call accounts and MMFs'!$A$1:$A$2000,$Y43-1997+3))&amp;"")</f>
        <v/>
      </c>
      <c r="D43" s="91" t="str">
        <f>IF($Y43="","",IF($Y43&lt;=1997,INDEX('Term investments'!$C$1:$C$2000,$Y43+3),INDEX('Call accounts and MMFs'!$C$1:$C$2000,$Y43-1997+3))&amp;"")</f>
        <v/>
      </c>
      <c r="E43" s="92" t="str">
        <f>IF($Y43="","",IF($Y43&lt;=1997,IF(N(INDEX('Deal maths'!$H$1:$H$2000,$Y43+3))&gt;0,N(INDEX('Deal maths'!$H$1:$H$2000,$Y43+3)),N(INDEX('Deal maths'!$D$1:$D$2000,$Y43+3))),N(INDEX('Deal maths'!$M$1:$M$2000,$Y43-1997+3))))</f>
        <v/>
      </c>
      <c r="F43" s="93" t="str">
        <f>IF($Y43="","",IF($Y43&lt;=1997,INDEX('Deal maths'!$G$1:$G$2000,$Y43+3),INDEX('Deal maths'!$N$1:$N$2000,$Y43-1997+3)))</f>
        <v/>
      </c>
      <c r="G43" s="94" t="str">
        <f>IF($Y43="","",IF($Y43&lt;=1997,INDEX('Deal maths'!$E$1:$E$2000,$Y43+3),""))</f>
        <v/>
      </c>
      <c r="H43" s="94" t="str">
        <f>IF($Y43="","",IF($Y43&lt;=1997,INDEX('Deal maths'!$F$1:$F$2000,$Y43+3),""))</f>
        <v/>
      </c>
      <c r="I43" s="98" t="str">
        <f>IF($Y43="","",IF($Y43&lt;=1997,N(INDEX('Deal maths'!$F$1:$F$2000,$Y43+3))-AsAt,N(INDEX('Deal maths'!$O$1:$O$2000,$Y43-1997+3))))</f>
        <v/>
      </c>
      <c r="J43" s="99" t="str">
        <f>IF($Y43="","",IF($Y43&lt;=1997,INDEX('Term investments'!$J$1:$J$2000,$Y43+3),INDEX('Call accounts and MMFs'!$G$1:$G$2000,$Y43-1997+3))&amp;"")</f>
        <v/>
      </c>
      <c r="K43" s="92" t="str">
        <f>IF($Y43="","",N(E43)*N(F43))</f>
        <v/>
      </c>
      <c r="L43" s="100" t="str">
        <f>IF($Y43="","",IF($Y43&lt;=1997,"Term investments, row "&amp;($Y43+3),"Call accounts and MMFs, row "&amp;($Y43-1997+3)))</f>
        <v/>
      </c>
      <c r="Y43" t="str">
        <f>IFERROR(MATCH(SMALL('List maths'!$E$4:$E$3997,35),'List maths'!$E$4:$E$3997,0),"")</f>
        <v/>
      </c>
    </row>
    <row r="44">
      <c r="B44" s="91" t="str">
        <f>IF($Y44="","",IF($Y44&lt;=1997,INDEX('Term investments'!$B$1:$B$2000,$Y44+3),INDEX('Call accounts and MMFs'!$B$1:$B$2000,$Y44-1997+3))&amp;"")</f>
        <v/>
      </c>
      <c r="C44" s="91" t="str">
        <f>IF($Y44="","",IF($Y44&lt;=1997,INDEX('Term investments'!$A$1:$A$2000,$Y44+3),INDEX('Call accounts and MMFs'!$A$1:$A$2000,$Y44-1997+3))&amp;"")</f>
        <v/>
      </c>
      <c r="D44" s="91" t="str">
        <f>IF($Y44="","",IF($Y44&lt;=1997,INDEX('Term investments'!$C$1:$C$2000,$Y44+3),INDEX('Call accounts and MMFs'!$C$1:$C$2000,$Y44-1997+3))&amp;"")</f>
        <v/>
      </c>
      <c r="E44" s="92" t="str">
        <f>IF($Y44="","",IF($Y44&lt;=1997,IF(N(INDEX('Deal maths'!$H$1:$H$2000,$Y44+3))&gt;0,N(INDEX('Deal maths'!$H$1:$H$2000,$Y44+3)),N(INDEX('Deal maths'!$D$1:$D$2000,$Y44+3))),N(INDEX('Deal maths'!$M$1:$M$2000,$Y44-1997+3))))</f>
        <v/>
      </c>
      <c r="F44" s="93" t="str">
        <f>IF($Y44="","",IF($Y44&lt;=1997,INDEX('Deal maths'!$G$1:$G$2000,$Y44+3),INDEX('Deal maths'!$N$1:$N$2000,$Y44-1997+3)))</f>
        <v/>
      </c>
      <c r="G44" s="94" t="str">
        <f>IF($Y44="","",IF($Y44&lt;=1997,INDEX('Deal maths'!$E$1:$E$2000,$Y44+3),""))</f>
        <v/>
      </c>
      <c r="H44" s="94" t="str">
        <f>IF($Y44="","",IF($Y44&lt;=1997,INDEX('Deal maths'!$F$1:$F$2000,$Y44+3),""))</f>
        <v/>
      </c>
      <c r="I44" s="98" t="str">
        <f>IF($Y44="","",IF($Y44&lt;=1997,N(INDEX('Deal maths'!$F$1:$F$2000,$Y44+3))-AsAt,N(INDEX('Deal maths'!$O$1:$O$2000,$Y44-1997+3))))</f>
        <v/>
      </c>
      <c r="J44" s="99" t="str">
        <f>IF($Y44="","",IF($Y44&lt;=1997,INDEX('Term investments'!$J$1:$J$2000,$Y44+3),INDEX('Call accounts and MMFs'!$G$1:$G$2000,$Y44-1997+3))&amp;"")</f>
        <v/>
      </c>
      <c r="K44" s="92" t="str">
        <f>IF($Y44="","",N(E44)*N(F44))</f>
        <v/>
      </c>
      <c r="L44" s="100" t="str">
        <f>IF($Y44="","",IF($Y44&lt;=1997,"Term investments, row "&amp;($Y44+3),"Call accounts and MMFs, row "&amp;($Y44-1997+3)))</f>
        <v/>
      </c>
      <c r="Y44" t="str">
        <f>IFERROR(MATCH(SMALL('List maths'!$E$4:$E$3997,36),'List maths'!$E$4:$E$3997,0),"")</f>
        <v/>
      </c>
    </row>
    <row r="45">
      <c r="B45" s="91" t="str">
        <f>IF($Y45="","",IF($Y45&lt;=1997,INDEX('Term investments'!$B$1:$B$2000,$Y45+3),INDEX('Call accounts and MMFs'!$B$1:$B$2000,$Y45-1997+3))&amp;"")</f>
        <v/>
      </c>
      <c r="C45" s="91" t="str">
        <f>IF($Y45="","",IF($Y45&lt;=1997,INDEX('Term investments'!$A$1:$A$2000,$Y45+3),INDEX('Call accounts and MMFs'!$A$1:$A$2000,$Y45-1997+3))&amp;"")</f>
        <v/>
      </c>
      <c r="D45" s="91" t="str">
        <f>IF($Y45="","",IF($Y45&lt;=1997,INDEX('Term investments'!$C$1:$C$2000,$Y45+3),INDEX('Call accounts and MMFs'!$C$1:$C$2000,$Y45-1997+3))&amp;"")</f>
        <v/>
      </c>
      <c r="E45" s="92" t="str">
        <f>IF($Y45="","",IF($Y45&lt;=1997,IF(N(INDEX('Deal maths'!$H$1:$H$2000,$Y45+3))&gt;0,N(INDEX('Deal maths'!$H$1:$H$2000,$Y45+3)),N(INDEX('Deal maths'!$D$1:$D$2000,$Y45+3))),N(INDEX('Deal maths'!$M$1:$M$2000,$Y45-1997+3))))</f>
        <v/>
      </c>
      <c r="F45" s="93" t="str">
        <f>IF($Y45="","",IF($Y45&lt;=1997,INDEX('Deal maths'!$G$1:$G$2000,$Y45+3),INDEX('Deal maths'!$N$1:$N$2000,$Y45-1997+3)))</f>
        <v/>
      </c>
      <c r="G45" s="94" t="str">
        <f>IF($Y45="","",IF($Y45&lt;=1997,INDEX('Deal maths'!$E$1:$E$2000,$Y45+3),""))</f>
        <v/>
      </c>
      <c r="H45" s="94" t="str">
        <f>IF($Y45="","",IF($Y45&lt;=1997,INDEX('Deal maths'!$F$1:$F$2000,$Y45+3),""))</f>
        <v/>
      </c>
      <c r="I45" s="98" t="str">
        <f>IF($Y45="","",IF($Y45&lt;=1997,N(INDEX('Deal maths'!$F$1:$F$2000,$Y45+3))-AsAt,N(INDEX('Deal maths'!$O$1:$O$2000,$Y45-1997+3))))</f>
        <v/>
      </c>
      <c r="J45" s="99" t="str">
        <f>IF($Y45="","",IF($Y45&lt;=1997,INDEX('Term investments'!$J$1:$J$2000,$Y45+3),INDEX('Call accounts and MMFs'!$G$1:$G$2000,$Y45-1997+3))&amp;"")</f>
        <v/>
      </c>
      <c r="K45" s="92" t="str">
        <f>IF($Y45="","",N(E45)*N(F45))</f>
        <v/>
      </c>
      <c r="L45" s="100" t="str">
        <f>IF($Y45="","",IF($Y45&lt;=1997,"Term investments, row "&amp;($Y45+3),"Call accounts and MMFs, row "&amp;($Y45-1997+3)))</f>
        <v/>
      </c>
      <c r="Y45" t="str">
        <f>IFERROR(MATCH(SMALL('List maths'!$E$4:$E$3997,37),'List maths'!$E$4:$E$3997,0),"")</f>
        <v/>
      </c>
    </row>
    <row r="46">
      <c r="B46" s="91" t="str">
        <f>IF($Y46="","",IF($Y46&lt;=1997,INDEX('Term investments'!$B$1:$B$2000,$Y46+3),INDEX('Call accounts and MMFs'!$B$1:$B$2000,$Y46-1997+3))&amp;"")</f>
        <v/>
      </c>
      <c r="C46" s="91" t="str">
        <f>IF($Y46="","",IF($Y46&lt;=1997,INDEX('Term investments'!$A$1:$A$2000,$Y46+3),INDEX('Call accounts and MMFs'!$A$1:$A$2000,$Y46-1997+3))&amp;"")</f>
        <v/>
      </c>
      <c r="D46" s="91" t="str">
        <f>IF($Y46="","",IF($Y46&lt;=1997,INDEX('Term investments'!$C$1:$C$2000,$Y46+3),INDEX('Call accounts and MMFs'!$C$1:$C$2000,$Y46-1997+3))&amp;"")</f>
        <v/>
      </c>
      <c r="E46" s="92" t="str">
        <f>IF($Y46="","",IF($Y46&lt;=1997,IF(N(INDEX('Deal maths'!$H$1:$H$2000,$Y46+3))&gt;0,N(INDEX('Deal maths'!$H$1:$H$2000,$Y46+3)),N(INDEX('Deal maths'!$D$1:$D$2000,$Y46+3))),N(INDEX('Deal maths'!$M$1:$M$2000,$Y46-1997+3))))</f>
        <v/>
      </c>
      <c r="F46" s="93" t="str">
        <f>IF($Y46="","",IF($Y46&lt;=1997,INDEX('Deal maths'!$G$1:$G$2000,$Y46+3),INDEX('Deal maths'!$N$1:$N$2000,$Y46-1997+3)))</f>
        <v/>
      </c>
      <c r="G46" s="94" t="str">
        <f>IF($Y46="","",IF($Y46&lt;=1997,INDEX('Deal maths'!$E$1:$E$2000,$Y46+3),""))</f>
        <v/>
      </c>
      <c r="H46" s="94" t="str">
        <f>IF($Y46="","",IF($Y46&lt;=1997,INDEX('Deal maths'!$F$1:$F$2000,$Y46+3),""))</f>
        <v/>
      </c>
      <c r="I46" s="98" t="str">
        <f>IF($Y46="","",IF($Y46&lt;=1997,N(INDEX('Deal maths'!$F$1:$F$2000,$Y46+3))-AsAt,N(INDEX('Deal maths'!$O$1:$O$2000,$Y46-1997+3))))</f>
        <v/>
      </c>
      <c r="J46" s="99" t="str">
        <f>IF($Y46="","",IF($Y46&lt;=1997,INDEX('Term investments'!$J$1:$J$2000,$Y46+3),INDEX('Call accounts and MMFs'!$G$1:$G$2000,$Y46-1997+3))&amp;"")</f>
        <v/>
      </c>
      <c r="K46" s="92" t="str">
        <f>IF($Y46="","",N(E46)*N(F46))</f>
        <v/>
      </c>
      <c r="L46" s="100" t="str">
        <f>IF($Y46="","",IF($Y46&lt;=1997,"Term investments, row "&amp;($Y46+3),"Call accounts and MMFs, row "&amp;($Y46-1997+3)))</f>
        <v/>
      </c>
      <c r="Y46" t="str">
        <f>IFERROR(MATCH(SMALL('List maths'!$E$4:$E$3997,38),'List maths'!$E$4:$E$3997,0),"")</f>
        <v/>
      </c>
    </row>
    <row r="47">
      <c r="B47" s="91" t="str">
        <f>IF($Y47="","",IF($Y47&lt;=1997,INDEX('Term investments'!$B$1:$B$2000,$Y47+3),INDEX('Call accounts and MMFs'!$B$1:$B$2000,$Y47-1997+3))&amp;"")</f>
        <v/>
      </c>
      <c r="C47" s="91" t="str">
        <f>IF($Y47="","",IF($Y47&lt;=1997,INDEX('Term investments'!$A$1:$A$2000,$Y47+3),INDEX('Call accounts and MMFs'!$A$1:$A$2000,$Y47-1997+3))&amp;"")</f>
        <v/>
      </c>
      <c r="D47" s="91" t="str">
        <f>IF($Y47="","",IF($Y47&lt;=1997,INDEX('Term investments'!$C$1:$C$2000,$Y47+3),INDEX('Call accounts and MMFs'!$C$1:$C$2000,$Y47-1997+3))&amp;"")</f>
        <v/>
      </c>
      <c r="E47" s="92" t="str">
        <f>IF($Y47="","",IF($Y47&lt;=1997,IF(N(INDEX('Deal maths'!$H$1:$H$2000,$Y47+3))&gt;0,N(INDEX('Deal maths'!$H$1:$H$2000,$Y47+3)),N(INDEX('Deal maths'!$D$1:$D$2000,$Y47+3))),N(INDEX('Deal maths'!$M$1:$M$2000,$Y47-1997+3))))</f>
        <v/>
      </c>
      <c r="F47" s="93" t="str">
        <f>IF($Y47="","",IF($Y47&lt;=1997,INDEX('Deal maths'!$G$1:$G$2000,$Y47+3),INDEX('Deal maths'!$N$1:$N$2000,$Y47-1997+3)))</f>
        <v/>
      </c>
      <c r="G47" s="94" t="str">
        <f>IF($Y47="","",IF($Y47&lt;=1997,INDEX('Deal maths'!$E$1:$E$2000,$Y47+3),""))</f>
        <v/>
      </c>
      <c r="H47" s="94" t="str">
        <f>IF($Y47="","",IF($Y47&lt;=1997,INDEX('Deal maths'!$F$1:$F$2000,$Y47+3),""))</f>
        <v/>
      </c>
      <c r="I47" s="98" t="str">
        <f>IF($Y47="","",IF($Y47&lt;=1997,N(INDEX('Deal maths'!$F$1:$F$2000,$Y47+3))-AsAt,N(INDEX('Deal maths'!$O$1:$O$2000,$Y47-1997+3))))</f>
        <v/>
      </c>
      <c r="J47" s="99" t="str">
        <f>IF($Y47="","",IF($Y47&lt;=1997,INDEX('Term investments'!$J$1:$J$2000,$Y47+3),INDEX('Call accounts and MMFs'!$G$1:$G$2000,$Y47-1997+3))&amp;"")</f>
        <v/>
      </c>
      <c r="K47" s="92" t="str">
        <f>IF($Y47="","",N(E47)*N(F47))</f>
        <v/>
      </c>
      <c r="L47" s="100" t="str">
        <f>IF($Y47="","",IF($Y47&lt;=1997,"Term investments, row "&amp;($Y47+3),"Call accounts and MMFs, row "&amp;($Y47-1997+3)))</f>
        <v/>
      </c>
      <c r="Y47" t="str">
        <f>IFERROR(MATCH(SMALL('List maths'!$E$4:$E$3997,39),'List maths'!$E$4:$E$3997,0),"")</f>
        <v/>
      </c>
    </row>
    <row r="48">
      <c r="B48" s="91" t="str">
        <f>IF($Y48="","",IF($Y48&lt;=1997,INDEX('Term investments'!$B$1:$B$2000,$Y48+3),INDEX('Call accounts and MMFs'!$B$1:$B$2000,$Y48-1997+3))&amp;"")</f>
        <v/>
      </c>
      <c r="C48" s="91" t="str">
        <f>IF($Y48="","",IF($Y48&lt;=1997,INDEX('Term investments'!$A$1:$A$2000,$Y48+3),INDEX('Call accounts and MMFs'!$A$1:$A$2000,$Y48-1997+3))&amp;"")</f>
        <v/>
      </c>
      <c r="D48" s="91" t="str">
        <f>IF($Y48="","",IF($Y48&lt;=1997,INDEX('Term investments'!$C$1:$C$2000,$Y48+3),INDEX('Call accounts and MMFs'!$C$1:$C$2000,$Y48-1997+3))&amp;"")</f>
        <v/>
      </c>
      <c r="E48" s="92" t="str">
        <f>IF($Y48="","",IF($Y48&lt;=1997,IF(N(INDEX('Deal maths'!$H$1:$H$2000,$Y48+3))&gt;0,N(INDEX('Deal maths'!$H$1:$H$2000,$Y48+3)),N(INDEX('Deal maths'!$D$1:$D$2000,$Y48+3))),N(INDEX('Deal maths'!$M$1:$M$2000,$Y48-1997+3))))</f>
        <v/>
      </c>
      <c r="F48" s="93" t="str">
        <f>IF($Y48="","",IF($Y48&lt;=1997,INDEX('Deal maths'!$G$1:$G$2000,$Y48+3),INDEX('Deal maths'!$N$1:$N$2000,$Y48-1997+3)))</f>
        <v/>
      </c>
      <c r="G48" s="94" t="str">
        <f>IF($Y48="","",IF($Y48&lt;=1997,INDEX('Deal maths'!$E$1:$E$2000,$Y48+3),""))</f>
        <v/>
      </c>
      <c r="H48" s="94" t="str">
        <f>IF($Y48="","",IF($Y48&lt;=1997,INDEX('Deal maths'!$F$1:$F$2000,$Y48+3),""))</f>
        <v/>
      </c>
      <c r="I48" s="98" t="str">
        <f>IF($Y48="","",IF($Y48&lt;=1997,N(INDEX('Deal maths'!$F$1:$F$2000,$Y48+3))-AsAt,N(INDEX('Deal maths'!$O$1:$O$2000,$Y48-1997+3))))</f>
        <v/>
      </c>
      <c r="J48" s="99" t="str">
        <f>IF($Y48="","",IF($Y48&lt;=1997,INDEX('Term investments'!$J$1:$J$2000,$Y48+3),INDEX('Call accounts and MMFs'!$G$1:$G$2000,$Y48-1997+3))&amp;"")</f>
        <v/>
      </c>
      <c r="K48" s="92" t="str">
        <f>IF($Y48="","",N(E48)*N(F48))</f>
        <v/>
      </c>
      <c r="L48" s="100" t="str">
        <f>IF($Y48="","",IF($Y48&lt;=1997,"Term investments, row "&amp;($Y48+3),"Call accounts and MMFs, row "&amp;($Y48-1997+3)))</f>
        <v/>
      </c>
      <c r="Y48" t="str">
        <f>IFERROR(MATCH(SMALL('List maths'!$E$4:$E$3997,40),'List maths'!$E$4:$E$3997,0),"")</f>
        <v/>
      </c>
    </row>
    <row r="49">
      <c r="B49" s="91" t="str">
        <f>IF($Y49="","",IF($Y49&lt;=1997,INDEX('Term investments'!$B$1:$B$2000,$Y49+3),INDEX('Call accounts and MMFs'!$B$1:$B$2000,$Y49-1997+3))&amp;"")</f>
        <v/>
      </c>
      <c r="C49" s="91" t="str">
        <f>IF($Y49="","",IF($Y49&lt;=1997,INDEX('Term investments'!$A$1:$A$2000,$Y49+3),INDEX('Call accounts and MMFs'!$A$1:$A$2000,$Y49-1997+3))&amp;"")</f>
        <v/>
      </c>
      <c r="D49" s="91" t="str">
        <f>IF($Y49="","",IF($Y49&lt;=1997,INDEX('Term investments'!$C$1:$C$2000,$Y49+3),INDEX('Call accounts and MMFs'!$C$1:$C$2000,$Y49-1997+3))&amp;"")</f>
        <v/>
      </c>
      <c r="E49" s="92" t="str">
        <f>IF($Y49="","",IF($Y49&lt;=1997,IF(N(INDEX('Deal maths'!$H$1:$H$2000,$Y49+3))&gt;0,N(INDEX('Deal maths'!$H$1:$H$2000,$Y49+3)),N(INDEX('Deal maths'!$D$1:$D$2000,$Y49+3))),N(INDEX('Deal maths'!$M$1:$M$2000,$Y49-1997+3))))</f>
        <v/>
      </c>
      <c r="F49" s="93" t="str">
        <f>IF($Y49="","",IF($Y49&lt;=1997,INDEX('Deal maths'!$G$1:$G$2000,$Y49+3),INDEX('Deal maths'!$N$1:$N$2000,$Y49-1997+3)))</f>
        <v/>
      </c>
      <c r="G49" s="94" t="str">
        <f>IF($Y49="","",IF($Y49&lt;=1997,INDEX('Deal maths'!$E$1:$E$2000,$Y49+3),""))</f>
        <v/>
      </c>
      <c r="H49" s="94" t="str">
        <f>IF($Y49="","",IF($Y49&lt;=1997,INDEX('Deal maths'!$F$1:$F$2000,$Y49+3),""))</f>
        <v/>
      </c>
      <c r="I49" s="98" t="str">
        <f>IF($Y49="","",IF($Y49&lt;=1997,N(INDEX('Deal maths'!$F$1:$F$2000,$Y49+3))-AsAt,N(INDEX('Deal maths'!$O$1:$O$2000,$Y49-1997+3))))</f>
        <v/>
      </c>
      <c r="J49" s="99" t="str">
        <f>IF($Y49="","",IF($Y49&lt;=1997,INDEX('Term investments'!$J$1:$J$2000,$Y49+3),INDEX('Call accounts and MMFs'!$G$1:$G$2000,$Y49-1997+3))&amp;"")</f>
        <v/>
      </c>
      <c r="K49" s="92" t="str">
        <f>IF($Y49="","",N(E49)*N(F49))</f>
        <v/>
      </c>
      <c r="L49" s="100" t="str">
        <f>IF($Y49="","",IF($Y49&lt;=1997,"Term investments, row "&amp;($Y49+3),"Call accounts and MMFs, row "&amp;($Y49-1997+3)))</f>
        <v/>
      </c>
      <c r="Y49" t="str">
        <f>IFERROR(MATCH(SMALL('List maths'!$E$4:$E$3997,41),'List maths'!$E$4:$E$3997,0),"")</f>
        <v/>
      </c>
    </row>
    <row r="50">
      <c r="B50" s="91" t="str">
        <f>IF($Y50="","",IF($Y50&lt;=1997,INDEX('Term investments'!$B$1:$B$2000,$Y50+3),INDEX('Call accounts and MMFs'!$B$1:$B$2000,$Y50-1997+3))&amp;"")</f>
        <v/>
      </c>
      <c r="C50" s="91" t="str">
        <f>IF($Y50="","",IF($Y50&lt;=1997,INDEX('Term investments'!$A$1:$A$2000,$Y50+3),INDEX('Call accounts and MMFs'!$A$1:$A$2000,$Y50-1997+3))&amp;"")</f>
        <v/>
      </c>
      <c r="D50" s="91" t="str">
        <f>IF($Y50="","",IF($Y50&lt;=1997,INDEX('Term investments'!$C$1:$C$2000,$Y50+3),INDEX('Call accounts and MMFs'!$C$1:$C$2000,$Y50-1997+3))&amp;"")</f>
        <v/>
      </c>
      <c r="E50" s="92" t="str">
        <f>IF($Y50="","",IF($Y50&lt;=1997,IF(N(INDEX('Deal maths'!$H$1:$H$2000,$Y50+3))&gt;0,N(INDEX('Deal maths'!$H$1:$H$2000,$Y50+3)),N(INDEX('Deal maths'!$D$1:$D$2000,$Y50+3))),N(INDEX('Deal maths'!$M$1:$M$2000,$Y50-1997+3))))</f>
        <v/>
      </c>
      <c r="F50" s="93" t="str">
        <f>IF($Y50="","",IF($Y50&lt;=1997,INDEX('Deal maths'!$G$1:$G$2000,$Y50+3),INDEX('Deal maths'!$N$1:$N$2000,$Y50-1997+3)))</f>
        <v/>
      </c>
      <c r="G50" s="94" t="str">
        <f>IF($Y50="","",IF($Y50&lt;=1997,INDEX('Deal maths'!$E$1:$E$2000,$Y50+3),""))</f>
        <v/>
      </c>
      <c r="H50" s="94" t="str">
        <f>IF($Y50="","",IF($Y50&lt;=1997,INDEX('Deal maths'!$F$1:$F$2000,$Y50+3),""))</f>
        <v/>
      </c>
      <c r="I50" s="98" t="str">
        <f>IF($Y50="","",IF($Y50&lt;=1997,N(INDEX('Deal maths'!$F$1:$F$2000,$Y50+3))-AsAt,N(INDEX('Deal maths'!$O$1:$O$2000,$Y50-1997+3))))</f>
        <v/>
      </c>
      <c r="J50" s="99" t="str">
        <f>IF($Y50="","",IF($Y50&lt;=1997,INDEX('Term investments'!$J$1:$J$2000,$Y50+3),INDEX('Call accounts and MMFs'!$G$1:$G$2000,$Y50-1997+3))&amp;"")</f>
        <v/>
      </c>
      <c r="K50" s="92" t="str">
        <f>IF($Y50="","",N(E50)*N(F50))</f>
        <v/>
      </c>
      <c r="L50" s="100" t="str">
        <f>IF($Y50="","",IF($Y50&lt;=1997,"Term investments, row "&amp;($Y50+3),"Call accounts and MMFs, row "&amp;($Y50-1997+3)))</f>
        <v/>
      </c>
      <c r="Y50" t="str">
        <f>IFERROR(MATCH(SMALL('List maths'!$E$4:$E$3997,42),'List maths'!$E$4:$E$3997,0),"")</f>
        <v/>
      </c>
    </row>
    <row r="51">
      <c r="B51" s="91" t="str">
        <f>IF($Y51="","",IF($Y51&lt;=1997,INDEX('Term investments'!$B$1:$B$2000,$Y51+3),INDEX('Call accounts and MMFs'!$B$1:$B$2000,$Y51-1997+3))&amp;"")</f>
        <v/>
      </c>
      <c r="C51" s="91" t="str">
        <f>IF($Y51="","",IF($Y51&lt;=1997,INDEX('Term investments'!$A$1:$A$2000,$Y51+3),INDEX('Call accounts and MMFs'!$A$1:$A$2000,$Y51-1997+3))&amp;"")</f>
        <v/>
      </c>
      <c r="D51" s="91" t="str">
        <f>IF($Y51="","",IF($Y51&lt;=1997,INDEX('Term investments'!$C$1:$C$2000,$Y51+3),INDEX('Call accounts and MMFs'!$C$1:$C$2000,$Y51-1997+3))&amp;"")</f>
        <v/>
      </c>
      <c r="E51" s="92" t="str">
        <f>IF($Y51="","",IF($Y51&lt;=1997,IF(N(INDEX('Deal maths'!$H$1:$H$2000,$Y51+3))&gt;0,N(INDEX('Deal maths'!$H$1:$H$2000,$Y51+3)),N(INDEX('Deal maths'!$D$1:$D$2000,$Y51+3))),N(INDEX('Deal maths'!$M$1:$M$2000,$Y51-1997+3))))</f>
        <v/>
      </c>
      <c r="F51" s="93" t="str">
        <f>IF($Y51="","",IF($Y51&lt;=1997,INDEX('Deal maths'!$G$1:$G$2000,$Y51+3),INDEX('Deal maths'!$N$1:$N$2000,$Y51-1997+3)))</f>
        <v/>
      </c>
      <c r="G51" s="94" t="str">
        <f>IF($Y51="","",IF($Y51&lt;=1997,INDEX('Deal maths'!$E$1:$E$2000,$Y51+3),""))</f>
        <v/>
      </c>
      <c r="H51" s="94" t="str">
        <f>IF($Y51="","",IF($Y51&lt;=1997,INDEX('Deal maths'!$F$1:$F$2000,$Y51+3),""))</f>
        <v/>
      </c>
      <c r="I51" s="98" t="str">
        <f>IF($Y51="","",IF($Y51&lt;=1997,N(INDEX('Deal maths'!$F$1:$F$2000,$Y51+3))-AsAt,N(INDEX('Deal maths'!$O$1:$O$2000,$Y51-1997+3))))</f>
        <v/>
      </c>
      <c r="J51" s="99" t="str">
        <f>IF($Y51="","",IF($Y51&lt;=1997,INDEX('Term investments'!$J$1:$J$2000,$Y51+3),INDEX('Call accounts and MMFs'!$G$1:$G$2000,$Y51-1997+3))&amp;"")</f>
        <v/>
      </c>
      <c r="K51" s="92" t="str">
        <f>IF($Y51="","",N(E51)*N(F51))</f>
        <v/>
      </c>
      <c r="L51" s="100" t="str">
        <f>IF($Y51="","",IF($Y51&lt;=1997,"Term investments, row "&amp;($Y51+3),"Call accounts and MMFs, row "&amp;($Y51-1997+3)))</f>
        <v/>
      </c>
      <c r="Y51" t="str">
        <f>IFERROR(MATCH(SMALL('List maths'!$E$4:$E$3997,43),'List maths'!$E$4:$E$3997,0),"")</f>
        <v/>
      </c>
    </row>
    <row r="52">
      <c r="B52" s="91" t="str">
        <f>IF($Y52="","",IF($Y52&lt;=1997,INDEX('Term investments'!$B$1:$B$2000,$Y52+3),INDEX('Call accounts and MMFs'!$B$1:$B$2000,$Y52-1997+3))&amp;"")</f>
        <v/>
      </c>
      <c r="C52" s="91" t="str">
        <f>IF($Y52="","",IF($Y52&lt;=1997,INDEX('Term investments'!$A$1:$A$2000,$Y52+3),INDEX('Call accounts and MMFs'!$A$1:$A$2000,$Y52-1997+3))&amp;"")</f>
        <v/>
      </c>
      <c r="D52" s="91" t="str">
        <f>IF($Y52="","",IF($Y52&lt;=1997,INDEX('Term investments'!$C$1:$C$2000,$Y52+3),INDEX('Call accounts and MMFs'!$C$1:$C$2000,$Y52-1997+3))&amp;"")</f>
        <v/>
      </c>
      <c r="E52" s="92" t="str">
        <f>IF($Y52="","",IF($Y52&lt;=1997,IF(N(INDEX('Deal maths'!$H$1:$H$2000,$Y52+3))&gt;0,N(INDEX('Deal maths'!$H$1:$H$2000,$Y52+3)),N(INDEX('Deal maths'!$D$1:$D$2000,$Y52+3))),N(INDEX('Deal maths'!$M$1:$M$2000,$Y52-1997+3))))</f>
        <v/>
      </c>
      <c r="F52" s="93" t="str">
        <f>IF($Y52="","",IF($Y52&lt;=1997,INDEX('Deal maths'!$G$1:$G$2000,$Y52+3),INDEX('Deal maths'!$N$1:$N$2000,$Y52-1997+3)))</f>
        <v/>
      </c>
      <c r="G52" s="94" t="str">
        <f>IF($Y52="","",IF($Y52&lt;=1997,INDEX('Deal maths'!$E$1:$E$2000,$Y52+3),""))</f>
        <v/>
      </c>
      <c r="H52" s="94" t="str">
        <f>IF($Y52="","",IF($Y52&lt;=1997,INDEX('Deal maths'!$F$1:$F$2000,$Y52+3),""))</f>
        <v/>
      </c>
      <c r="I52" s="98" t="str">
        <f>IF($Y52="","",IF($Y52&lt;=1997,N(INDEX('Deal maths'!$F$1:$F$2000,$Y52+3))-AsAt,N(INDEX('Deal maths'!$O$1:$O$2000,$Y52-1997+3))))</f>
        <v/>
      </c>
      <c r="J52" s="99" t="str">
        <f>IF($Y52="","",IF($Y52&lt;=1997,INDEX('Term investments'!$J$1:$J$2000,$Y52+3),INDEX('Call accounts and MMFs'!$G$1:$G$2000,$Y52-1997+3))&amp;"")</f>
        <v/>
      </c>
      <c r="K52" s="92" t="str">
        <f>IF($Y52="","",N(E52)*N(F52))</f>
        <v/>
      </c>
      <c r="L52" s="100" t="str">
        <f>IF($Y52="","",IF($Y52&lt;=1997,"Term investments, row "&amp;($Y52+3),"Call accounts and MMFs, row "&amp;($Y52-1997+3)))</f>
        <v/>
      </c>
      <c r="Y52" t="str">
        <f>IFERROR(MATCH(SMALL('List maths'!$E$4:$E$3997,44),'List maths'!$E$4:$E$3997,0),"")</f>
        <v/>
      </c>
    </row>
    <row r="53">
      <c r="B53" s="91" t="str">
        <f>IF($Y53="","",IF($Y53&lt;=1997,INDEX('Term investments'!$B$1:$B$2000,$Y53+3),INDEX('Call accounts and MMFs'!$B$1:$B$2000,$Y53-1997+3))&amp;"")</f>
        <v/>
      </c>
      <c r="C53" s="91" t="str">
        <f>IF($Y53="","",IF($Y53&lt;=1997,INDEX('Term investments'!$A$1:$A$2000,$Y53+3),INDEX('Call accounts and MMFs'!$A$1:$A$2000,$Y53-1997+3))&amp;"")</f>
        <v/>
      </c>
      <c r="D53" s="91" t="str">
        <f>IF($Y53="","",IF($Y53&lt;=1997,INDEX('Term investments'!$C$1:$C$2000,$Y53+3),INDEX('Call accounts and MMFs'!$C$1:$C$2000,$Y53-1997+3))&amp;"")</f>
        <v/>
      </c>
      <c r="E53" s="92" t="str">
        <f>IF($Y53="","",IF($Y53&lt;=1997,IF(N(INDEX('Deal maths'!$H$1:$H$2000,$Y53+3))&gt;0,N(INDEX('Deal maths'!$H$1:$H$2000,$Y53+3)),N(INDEX('Deal maths'!$D$1:$D$2000,$Y53+3))),N(INDEX('Deal maths'!$M$1:$M$2000,$Y53-1997+3))))</f>
        <v/>
      </c>
      <c r="F53" s="93" t="str">
        <f>IF($Y53="","",IF($Y53&lt;=1997,INDEX('Deal maths'!$G$1:$G$2000,$Y53+3),INDEX('Deal maths'!$N$1:$N$2000,$Y53-1997+3)))</f>
        <v/>
      </c>
      <c r="G53" s="94" t="str">
        <f>IF($Y53="","",IF($Y53&lt;=1997,INDEX('Deal maths'!$E$1:$E$2000,$Y53+3),""))</f>
        <v/>
      </c>
      <c r="H53" s="94" t="str">
        <f>IF($Y53="","",IF($Y53&lt;=1997,INDEX('Deal maths'!$F$1:$F$2000,$Y53+3),""))</f>
        <v/>
      </c>
      <c r="I53" s="98" t="str">
        <f>IF($Y53="","",IF($Y53&lt;=1997,N(INDEX('Deal maths'!$F$1:$F$2000,$Y53+3))-AsAt,N(INDEX('Deal maths'!$O$1:$O$2000,$Y53-1997+3))))</f>
        <v/>
      </c>
      <c r="J53" s="99" t="str">
        <f>IF($Y53="","",IF($Y53&lt;=1997,INDEX('Term investments'!$J$1:$J$2000,$Y53+3),INDEX('Call accounts and MMFs'!$G$1:$G$2000,$Y53-1997+3))&amp;"")</f>
        <v/>
      </c>
      <c r="K53" s="92" t="str">
        <f>IF($Y53="","",N(E53)*N(F53))</f>
        <v/>
      </c>
      <c r="L53" s="100" t="str">
        <f>IF($Y53="","",IF($Y53&lt;=1997,"Term investments, row "&amp;($Y53+3),"Call accounts and MMFs, row "&amp;($Y53-1997+3)))</f>
        <v/>
      </c>
      <c r="Y53" t="str">
        <f>IFERROR(MATCH(SMALL('List maths'!$E$4:$E$3997,45),'List maths'!$E$4:$E$3997,0),"")</f>
        <v/>
      </c>
    </row>
    <row r="54">
      <c r="B54" s="91" t="str">
        <f>IF($Y54="","",IF($Y54&lt;=1997,INDEX('Term investments'!$B$1:$B$2000,$Y54+3),INDEX('Call accounts and MMFs'!$B$1:$B$2000,$Y54-1997+3))&amp;"")</f>
        <v/>
      </c>
      <c r="C54" s="91" t="str">
        <f>IF($Y54="","",IF($Y54&lt;=1997,INDEX('Term investments'!$A$1:$A$2000,$Y54+3),INDEX('Call accounts and MMFs'!$A$1:$A$2000,$Y54-1997+3))&amp;"")</f>
        <v/>
      </c>
      <c r="D54" s="91" t="str">
        <f>IF($Y54="","",IF($Y54&lt;=1997,INDEX('Term investments'!$C$1:$C$2000,$Y54+3),INDEX('Call accounts and MMFs'!$C$1:$C$2000,$Y54-1997+3))&amp;"")</f>
        <v/>
      </c>
      <c r="E54" s="92" t="str">
        <f>IF($Y54="","",IF($Y54&lt;=1997,IF(N(INDEX('Deal maths'!$H$1:$H$2000,$Y54+3))&gt;0,N(INDEX('Deal maths'!$H$1:$H$2000,$Y54+3)),N(INDEX('Deal maths'!$D$1:$D$2000,$Y54+3))),N(INDEX('Deal maths'!$M$1:$M$2000,$Y54-1997+3))))</f>
        <v/>
      </c>
      <c r="F54" s="93" t="str">
        <f>IF($Y54="","",IF($Y54&lt;=1997,INDEX('Deal maths'!$G$1:$G$2000,$Y54+3),INDEX('Deal maths'!$N$1:$N$2000,$Y54-1997+3)))</f>
        <v/>
      </c>
      <c r="G54" s="94" t="str">
        <f>IF($Y54="","",IF($Y54&lt;=1997,INDEX('Deal maths'!$E$1:$E$2000,$Y54+3),""))</f>
        <v/>
      </c>
      <c r="H54" s="94" t="str">
        <f>IF($Y54="","",IF($Y54&lt;=1997,INDEX('Deal maths'!$F$1:$F$2000,$Y54+3),""))</f>
        <v/>
      </c>
      <c r="I54" s="98" t="str">
        <f>IF($Y54="","",IF($Y54&lt;=1997,N(INDEX('Deal maths'!$F$1:$F$2000,$Y54+3))-AsAt,N(INDEX('Deal maths'!$O$1:$O$2000,$Y54-1997+3))))</f>
        <v/>
      </c>
      <c r="J54" s="99" t="str">
        <f>IF($Y54="","",IF($Y54&lt;=1997,INDEX('Term investments'!$J$1:$J$2000,$Y54+3),INDEX('Call accounts and MMFs'!$G$1:$G$2000,$Y54-1997+3))&amp;"")</f>
        <v/>
      </c>
      <c r="K54" s="92" t="str">
        <f>IF($Y54="","",N(E54)*N(F54))</f>
        <v/>
      </c>
      <c r="L54" s="100" t="str">
        <f>IF($Y54="","",IF($Y54&lt;=1997,"Term investments, row "&amp;($Y54+3),"Call accounts and MMFs, row "&amp;($Y54-1997+3)))</f>
        <v/>
      </c>
      <c r="Y54" t="str">
        <f>IFERROR(MATCH(SMALL('List maths'!$E$4:$E$3997,46),'List maths'!$E$4:$E$3997,0),"")</f>
        <v/>
      </c>
    </row>
    <row r="55">
      <c r="B55" s="91" t="str">
        <f>IF($Y55="","",IF($Y55&lt;=1997,INDEX('Term investments'!$B$1:$B$2000,$Y55+3),INDEX('Call accounts and MMFs'!$B$1:$B$2000,$Y55-1997+3))&amp;"")</f>
        <v/>
      </c>
      <c r="C55" s="91" t="str">
        <f>IF($Y55="","",IF($Y55&lt;=1997,INDEX('Term investments'!$A$1:$A$2000,$Y55+3),INDEX('Call accounts and MMFs'!$A$1:$A$2000,$Y55-1997+3))&amp;"")</f>
        <v/>
      </c>
      <c r="D55" s="91" t="str">
        <f>IF($Y55="","",IF($Y55&lt;=1997,INDEX('Term investments'!$C$1:$C$2000,$Y55+3),INDEX('Call accounts and MMFs'!$C$1:$C$2000,$Y55-1997+3))&amp;"")</f>
        <v/>
      </c>
      <c r="E55" s="92" t="str">
        <f>IF($Y55="","",IF($Y55&lt;=1997,IF(N(INDEX('Deal maths'!$H$1:$H$2000,$Y55+3))&gt;0,N(INDEX('Deal maths'!$H$1:$H$2000,$Y55+3)),N(INDEX('Deal maths'!$D$1:$D$2000,$Y55+3))),N(INDEX('Deal maths'!$M$1:$M$2000,$Y55-1997+3))))</f>
        <v/>
      </c>
      <c r="F55" s="93" t="str">
        <f>IF($Y55="","",IF($Y55&lt;=1997,INDEX('Deal maths'!$G$1:$G$2000,$Y55+3),INDEX('Deal maths'!$N$1:$N$2000,$Y55-1997+3)))</f>
        <v/>
      </c>
      <c r="G55" s="94" t="str">
        <f>IF($Y55="","",IF($Y55&lt;=1997,INDEX('Deal maths'!$E$1:$E$2000,$Y55+3),""))</f>
        <v/>
      </c>
      <c r="H55" s="94" t="str">
        <f>IF($Y55="","",IF($Y55&lt;=1997,INDEX('Deal maths'!$F$1:$F$2000,$Y55+3),""))</f>
        <v/>
      </c>
      <c r="I55" s="98" t="str">
        <f>IF($Y55="","",IF($Y55&lt;=1997,N(INDEX('Deal maths'!$F$1:$F$2000,$Y55+3))-AsAt,N(INDEX('Deal maths'!$O$1:$O$2000,$Y55-1997+3))))</f>
        <v/>
      </c>
      <c r="J55" s="99" t="str">
        <f>IF($Y55="","",IF($Y55&lt;=1997,INDEX('Term investments'!$J$1:$J$2000,$Y55+3),INDEX('Call accounts and MMFs'!$G$1:$G$2000,$Y55-1997+3))&amp;"")</f>
        <v/>
      </c>
      <c r="K55" s="92" t="str">
        <f>IF($Y55="","",N(E55)*N(F55))</f>
        <v/>
      </c>
      <c r="L55" s="100" t="str">
        <f>IF($Y55="","",IF($Y55&lt;=1997,"Term investments, row "&amp;($Y55+3),"Call accounts and MMFs, row "&amp;($Y55-1997+3)))</f>
        <v/>
      </c>
      <c r="Y55" t="str">
        <f>IFERROR(MATCH(SMALL('List maths'!$E$4:$E$3997,47),'List maths'!$E$4:$E$3997,0),"")</f>
        <v/>
      </c>
    </row>
    <row r="56">
      <c r="B56" s="91" t="str">
        <f>IF($Y56="","",IF($Y56&lt;=1997,INDEX('Term investments'!$B$1:$B$2000,$Y56+3),INDEX('Call accounts and MMFs'!$B$1:$B$2000,$Y56-1997+3))&amp;"")</f>
        <v/>
      </c>
      <c r="C56" s="91" t="str">
        <f>IF($Y56="","",IF($Y56&lt;=1997,INDEX('Term investments'!$A$1:$A$2000,$Y56+3),INDEX('Call accounts and MMFs'!$A$1:$A$2000,$Y56-1997+3))&amp;"")</f>
        <v/>
      </c>
      <c r="D56" s="91" t="str">
        <f>IF($Y56="","",IF($Y56&lt;=1997,INDEX('Term investments'!$C$1:$C$2000,$Y56+3),INDEX('Call accounts and MMFs'!$C$1:$C$2000,$Y56-1997+3))&amp;"")</f>
        <v/>
      </c>
      <c r="E56" s="92" t="str">
        <f>IF($Y56="","",IF($Y56&lt;=1997,IF(N(INDEX('Deal maths'!$H$1:$H$2000,$Y56+3))&gt;0,N(INDEX('Deal maths'!$H$1:$H$2000,$Y56+3)),N(INDEX('Deal maths'!$D$1:$D$2000,$Y56+3))),N(INDEX('Deal maths'!$M$1:$M$2000,$Y56-1997+3))))</f>
        <v/>
      </c>
      <c r="F56" s="93" t="str">
        <f>IF($Y56="","",IF($Y56&lt;=1997,INDEX('Deal maths'!$G$1:$G$2000,$Y56+3),INDEX('Deal maths'!$N$1:$N$2000,$Y56-1997+3)))</f>
        <v/>
      </c>
      <c r="G56" s="94" t="str">
        <f>IF($Y56="","",IF($Y56&lt;=1997,INDEX('Deal maths'!$E$1:$E$2000,$Y56+3),""))</f>
        <v/>
      </c>
      <c r="H56" s="94" t="str">
        <f>IF($Y56="","",IF($Y56&lt;=1997,INDEX('Deal maths'!$F$1:$F$2000,$Y56+3),""))</f>
        <v/>
      </c>
      <c r="I56" s="98" t="str">
        <f>IF($Y56="","",IF($Y56&lt;=1997,N(INDEX('Deal maths'!$F$1:$F$2000,$Y56+3))-AsAt,N(INDEX('Deal maths'!$O$1:$O$2000,$Y56-1997+3))))</f>
        <v/>
      </c>
      <c r="J56" s="99" t="str">
        <f>IF($Y56="","",IF($Y56&lt;=1997,INDEX('Term investments'!$J$1:$J$2000,$Y56+3),INDEX('Call accounts and MMFs'!$G$1:$G$2000,$Y56-1997+3))&amp;"")</f>
        <v/>
      </c>
      <c r="K56" s="92" t="str">
        <f>IF($Y56="","",N(E56)*N(F56))</f>
        <v/>
      </c>
      <c r="L56" s="100" t="str">
        <f>IF($Y56="","",IF($Y56&lt;=1997,"Term investments, row "&amp;($Y56+3),"Call accounts and MMFs, row "&amp;($Y56-1997+3)))</f>
        <v/>
      </c>
      <c r="Y56" t="str">
        <f>IFERROR(MATCH(SMALL('List maths'!$E$4:$E$3997,48),'List maths'!$E$4:$E$3997,0),"")</f>
        <v/>
      </c>
    </row>
    <row r="57">
      <c r="B57" s="91" t="str">
        <f>IF($Y57="","",IF($Y57&lt;=1997,INDEX('Term investments'!$B$1:$B$2000,$Y57+3),INDEX('Call accounts and MMFs'!$B$1:$B$2000,$Y57-1997+3))&amp;"")</f>
        <v/>
      </c>
      <c r="C57" s="91" t="str">
        <f>IF($Y57="","",IF($Y57&lt;=1997,INDEX('Term investments'!$A$1:$A$2000,$Y57+3),INDEX('Call accounts and MMFs'!$A$1:$A$2000,$Y57-1997+3))&amp;"")</f>
        <v/>
      </c>
      <c r="D57" s="91" t="str">
        <f>IF($Y57="","",IF($Y57&lt;=1997,INDEX('Term investments'!$C$1:$C$2000,$Y57+3),INDEX('Call accounts and MMFs'!$C$1:$C$2000,$Y57-1997+3))&amp;"")</f>
        <v/>
      </c>
      <c r="E57" s="92" t="str">
        <f>IF($Y57="","",IF($Y57&lt;=1997,IF(N(INDEX('Deal maths'!$H$1:$H$2000,$Y57+3))&gt;0,N(INDEX('Deal maths'!$H$1:$H$2000,$Y57+3)),N(INDEX('Deal maths'!$D$1:$D$2000,$Y57+3))),N(INDEX('Deal maths'!$M$1:$M$2000,$Y57-1997+3))))</f>
        <v/>
      </c>
      <c r="F57" s="93" t="str">
        <f>IF($Y57="","",IF($Y57&lt;=1997,INDEX('Deal maths'!$G$1:$G$2000,$Y57+3),INDEX('Deal maths'!$N$1:$N$2000,$Y57-1997+3)))</f>
        <v/>
      </c>
      <c r="G57" s="94" t="str">
        <f>IF($Y57="","",IF($Y57&lt;=1997,INDEX('Deal maths'!$E$1:$E$2000,$Y57+3),""))</f>
        <v/>
      </c>
      <c r="H57" s="94" t="str">
        <f>IF($Y57="","",IF($Y57&lt;=1997,INDEX('Deal maths'!$F$1:$F$2000,$Y57+3),""))</f>
        <v/>
      </c>
      <c r="I57" s="98" t="str">
        <f>IF($Y57="","",IF($Y57&lt;=1997,N(INDEX('Deal maths'!$F$1:$F$2000,$Y57+3))-AsAt,N(INDEX('Deal maths'!$O$1:$O$2000,$Y57-1997+3))))</f>
        <v/>
      </c>
      <c r="J57" s="99" t="str">
        <f>IF($Y57="","",IF($Y57&lt;=1997,INDEX('Term investments'!$J$1:$J$2000,$Y57+3),INDEX('Call accounts and MMFs'!$G$1:$G$2000,$Y57-1997+3))&amp;"")</f>
        <v/>
      </c>
      <c r="K57" s="92" t="str">
        <f>IF($Y57="","",N(E57)*N(F57))</f>
        <v/>
      </c>
      <c r="L57" s="100" t="str">
        <f>IF($Y57="","",IF($Y57&lt;=1997,"Term investments, row "&amp;($Y57+3),"Call accounts and MMFs, row "&amp;($Y57-1997+3)))</f>
        <v/>
      </c>
      <c r="Y57" t="str">
        <f>IFERROR(MATCH(SMALL('List maths'!$E$4:$E$3997,49),'List maths'!$E$4:$E$3997,0),"")</f>
        <v/>
      </c>
    </row>
    <row r="58">
      <c r="B58" s="91" t="str">
        <f>IF($Y58="","",IF($Y58&lt;=1997,INDEX('Term investments'!$B$1:$B$2000,$Y58+3),INDEX('Call accounts and MMFs'!$B$1:$B$2000,$Y58-1997+3))&amp;"")</f>
        <v/>
      </c>
      <c r="C58" s="91" t="str">
        <f>IF($Y58="","",IF($Y58&lt;=1997,INDEX('Term investments'!$A$1:$A$2000,$Y58+3),INDEX('Call accounts and MMFs'!$A$1:$A$2000,$Y58-1997+3))&amp;"")</f>
        <v/>
      </c>
      <c r="D58" s="91" t="str">
        <f>IF($Y58="","",IF($Y58&lt;=1997,INDEX('Term investments'!$C$1:$C$2000,$Y58+3),INDEX('Call accounts and MMFs'!$C$1:$C$2000,$Y58-1997+3))&amp;"")</f>
        <v/>
      </c>
      <c r="E58" s="92" t="str">
        <f>IF($Y58="","",IF($Y58&lt;=1997,IF(N(INDEX('Deal maths'!$H$1:$H$2000,$Y58+3))&gt;0,N(INDEX('Deal maths'!$H$1:$H$2000,$Y58+3)),N(INDEX('Deal maths'!$D$1:$D$2000,$Y58+3))),N(INDEX('Deal maths'!$M$1:$M$2000,$Y58-1997+3))))</f>
        <v/>
      </c>
      <c r="F58" s="93" t="str">
        <f>IF($Y58="","",IF($Y58&lt;=1997,INDEX('Deal maths'!$G$1:$G$2000,$Y58+3),INDEX('Deal maths'!$N$1:$N$2000,$Y58-1997+3)))</f>
        <v/>
      </c>
      <c r="G58" s="94" t="str">
        <f>IF($Y58="","",IF($Y58&lt;=1997,INDEX('Deal maths'!$E$1:$E$2000,$Y58+3),""))</f>
        <v/>
      </c>
      <c r="H58" s="94" t="str">
        <f>IF($Y58="","",IF($Y58&lt;=1997,INDEX('Deal maths'!$F$1:$F$2000,$Y58+3),""))</f>
        <v/>
      </c>
      <c r="I58" s="98" t="str">
        <f>IF($Y58="","",IF($Y58&lt;=1997,N(INDEX('Deal maths'!$F$1:$F$2000,$Y58+3))-AsAt,N(INDEX('Deal maths'!$O$1:$O$2000,$Y58-1997+3))))</f>
        <v/>
      </c>
      <c r="J58" s="99" t="str">
        <f>IF($Y58="","",IF($Y58&lt;=1997,INDEX('Term investments'!$J$1:$J$2000,$Y58+3),INDEX('Call accounts and MMFs'!$G$1:$G$2000,$Y58-1997+3))&amp;"")</f>
        <v/>
      </c>
      <c r="K58" s="92" t="str">
        <f>IF($Y58="","",N(E58)*N(F58))</f>
        <v/>
      </c>
      <c r="L58" s="100" t="str">
        <f>IF($Y58="","",IF($Y58&lt;=1997,"Term investments, row "&amp;($Y58+3),"Call accounts and MMFs, row "&amp;($Y58-1997+3)))</f>
        <v/>
      </c>
      <c r="Y58" t="str">
        <f>IFERROR(MATCH(SMALL('List maths'!$E$4:$E$3997,50),'List maths'!$E$4:$E$3997,0),"")</f>
        <v/>
      </c>
    </row>
    <row r="59">
      <c r="B59" s="91" t="str">
        <f>IF($Y59="","",IF($Y59&lt;=1997,INDEX('Term investments'!$B$1:$B$2000,$Y59+3),INDEX('Call accounts and MMFs'!$B$1:$B$2000,$Y59-1997+3))&amp;"")</f>
        <v/>
      </c>
      <c r="C59" s="91" t="str">
        <f>IF($Y59="","",IF($Y59&lt;=1997,INDEX('Term investments'!$A$1:$A$2000,$Y59+3),INDEX('Call accounts and MMFs'!$A$1:$A$2000,$Y59-1997+3))&amp;"")</f>
        <v/>
      </c>
      <c r="D59" s="91" t="str">
        <f>IF($Y59="","",IF($Y59&lt;=1997,INDEX('Term investments'!$C$1:$C$2000,$Y59+3),INDEX('Call accounts and MMFs'!$C$1:$C$2000,$Y59-1997+3))&amp;"")</f>
        <v/>
      </c>
      <c r="E59" s="92" t="str">
        <f>IF($Y59="","",IF($Y59&lt;=1997,IF(N(INDEX('Deal maths'!$H$1:$H$2000,$Y59+3))&gt;0,N(INDEX('Deal maths'!$H$1:$H$2000,$Y59+3)),N(INDEX('Deal maths'!$D$1:$D$2000,$Y59+3))),N(INDEX('Deal maths'!$M$1:$M$2000,$Y59-1997+3))))</f>
        <v/>
      </c>
      <c r="F59" s="93" t="str">
        <f>IF($Y59="","",IF($Y59&lt;=1997,INDEX('Deal maths'!$G$1:$G$2000,$Y59+3),INDEX('Deal maths'!$N$1:$N$2000,$Y59-1997+3)))</f>
        <v/>
      </c>
      <c r="G59" s="94" t="str">
        <f>IF($Y59="","",IF($Y59&lt;=1997,INDEX('Deal maths'!$E$1:$E$2000,$Y59+3),""))</f>
        <v/>
      </c>
      <c r="H59" s="94" t="str">
        <f>IF($Y59="","",IF($Y59&lt;=1997,INDEX('Deal maths'!$F$1:$F$2000,$Y59+3),""))</f>
        <v/>
      </c>
      <c r="I59" s="98" t="str">
        <f>IF($Y59="","",IF($Y59&lt;=1997,N(INDEX('Deal maths'!$F$1:$F$2000,$Y59+3))-AsAt,N(INDEX('Deal maths'!$O$1:$O$2000,$Y59-1997+3))))</f>
        <v/>
      </c>
      <c r="J59" s="99" t="str">
        <f>IF($Y59="","",IF($Y59&lt;=1997,INDEX('Term investments'!$J$1:$J$2000,$Y59+3),INDEX('Call accounts and MMFs'!$G$1:$G$2000,$Y59-1997+3))&amp;"")</f>
        <v/>
      </c>
      <c r="K59" s="92" t="str">
        <f>IF($Y59="","",N(E59)*N(F59))</f>
        <v/>
      </c>
      <c r="L59" s="100" t="str">
        <f>IF($Y59="","",IF($Y59&lt;=1997,"Term investments, row "&amp;($Y59+3),"Call accounts and MMFs, row "&amp;($Y59-1997+3)))</f>
        <v/>
      </c>
      <c r="Y59" t="str">
        <f>IFERROR(MATCH(SMALL('List maths'!$E$4:$E$3997,51),'List maths'!$E$4:$E$3997,0),"")</f>
        <v/>
      </c>
    </row>
    <row r="60">
      <c r="B60" s="91" t="str">
        <f>IF($Y60="","",IF($Y60&lt;=1997,INDEX('Term investments'!$B$1:$B$2000,$Y60+3),INDEX('Call accounts and MMFs'!$B$1:$B$2000,$Y60-1997+3))&amp;"")</f>
        <v/>
      </c>
      <c r="C60" s="91" t="str">
        <f>IF($Y60="","",IF($Y60&lt;=1997,INDEX('Term investments'!$A$1:$A$2000,$Y60+3),INDEX('Call accounts and MMFs'!$A$1:$A$2000,$Y60-1997+3))&amp;"")</f>
        <v/>
      </c>
      <c r="D60" s="91" t="str">
        <f>IF($Y60="","",IF($Y60&lt;=1997,INDEX('Term investments'!$C$1:$C$2000,$Y60+3),INDEX('Call accounts and MMFs'!$C$1:$C$2000,$Y60-1997+3))&amp;"")</f>
        <v/>
      </c>
      <c r="E60" s="92" t="str">
        <f>IF($Y60="","",IF($Y60&lt;=1997,IF(N(INDEX('Deal maths'!$H$1:$H$2000,$Y60+3))&gt;0,N(INDEX('Deal maths'!$H$1:$H$2000,$Y60+3)),N(INDEX('Deal maths'!$D$1:$D$2000,$Y60+3))),N(INDEX('Deal maths'!$M$1:$M$2000,$Y60-1997+3))))</f>
        <v/>
      </c>
      <c r="F60" s="93" t="str">
        <f>IF($Y60="","",IF($Y60&lt;=1997,INDEX('Deal maths'!$G$1:$G$2000,$Y60+3),INDEX('Deal maths'!$N$1:$N$2000,$Y60-1997+3)))</f>
        <v/>
      </c>
      <c r="G60" s="94" t="str">
        <f>IF($Y60="","",IF($Y60&lt;=1997,INDEX('Deal maths'!$E$1:$E$2000,$Y60+3),""))</f>
        <v/>
      </c>
      <c r="H60" s="94" t="str">
        <f>IF($Y60="","",IF($Y60&lt;=1997,INDEX('Deal maths'!$F$1:$F$2000,$Y60+3),""))</f>
        <v/>
      </c>
      <c r="I60" s="98" t="str">
        <f>IF($Y60="","",IF($Y60&lt;=1997,N(INDEX('Deal maths'!$F$1:$F$2000,$Y60+3))-AsAt,N(INDEX('Deal maths'!$O$1:$O$2000,$Y60-1997+3))))</f>
        <v/>
      </c>
      <c r="J60" s="99" t="str">
        <f>IF($Y60="","",IF($Y60&lt;=1997,INDEX('Term investments'!$J$1:$J$2000,$Y60+3),INDEX('Call accounts and MMFs'!$G$1:$G$2000,$Y60-1997+3))&amp;"")</f>
        <v/>
      </c>
      <c r="K60" s="92" t="str">
        <f>IF($Y60="","",N(E60)*N(F60))</f>
        <v/>
      </c>
      <c r="L60" s="100" t="str">
        <f>IF($Y60="","",IF($Y60&lt;=1997,"Term investments, row "&amp;($Y60+3),"Call accounts and MMFs, row "&amp;($Y60-1997+3)))</f>
        <v/>
      </c>
      <c r="Y60" t="str">
        <f>IFERROR(MATCH(SMALL('List maths'!$E$4:$E$3997,52),'List maths'!$E$4:$E$3997,0),"")</f>
        <v/>
      </c>
    </row>
    <row r="61">
      <c r="B61" s="91" t="str">
        <f>IF($Y61="","",IF($Y61&lt;=1997,INDEX('Term investments'!$B$1:$B$2000,$Y61+3),INDEX('Call accounts and MMFs'!$B$1:$B$2000,$Y61-1997+3))&amp;"")</f>
        <v/>
      </c>
      <c r="C61" s="91" t="str">
        <f>IF($Y61="","",IF($Y61&lt;=1997,INDEX('Term investments'!$A$1:$A$2000,$Y61+3),INDEX('Call accounts and MMFs'!$A$1:$A$2000,$Y61-1997+3))&amp;"")</f>
        <v/>
      </c>
      <c r="D61" s="91" t="str">
        <f>IF($Y61="","",IF($Y61&lt;=1997,INDEX('Term investments'!$C$1:$C$2000,$Y61+3),INDEX('Call accounts and MMFs'!$C$1:$C$2000,$Y61-1997+3))&amp;"")</f>
        <v/>
      </c>
      <c r="E61" s="92" t="str">
        <f>IF($Y61="","",IF($Y61&lt;=1997,IF(N(INDEX('Deal maths'!$H$1:$H$2000,$Y61+3))&gt;0,N(INDEX('Deal maths'!$H$1:$H$2000,$Y61+3)),N(INDEX('Deal maths'!$D$1:$D$2000,$Y61+3))),N(INDEX('Deal maths'!$M$1:$M$2000,$Y61-1997+3))))</f>
        <v/>
      </c>
      <c r="F61" s="93" t="str">
        <f>IF($Y61="","",IF($Y61&lt;=1997,INDEX('Deal maths'!$G$1:$G$2000,$Y61+3),INDEX('Deal maths'!$N$1:$N$2000,$Y61-1997+3)))</f>
        <v/>
      </c>
      <c r="G61" s="94" t="str">
        <f>IF($Y61="","",IF($Y61&lt;=1997,INDEX('Deal maths'!$E$1:$E$2000,$Y61+3),""))</f>
        <v/>
      </c>
      <c r="H61" s="94" t="str">
        <f>IF($Y61="","",IF($Y61&lt;=1997,INDEX('Deal maths'!$F$1:$F$2000,$Y61+3),""))</f>
        <v/>
      </c>
      <c r="I61" s="98" t="str">
        <f>IF($Y61="","",IF($Y61&lt;=1997,N(INDEX('Deal maths'!$F$1:$F$2000,$Y61+3))-AsAt,N(INDEX('Deal maths'!$O$1:$O$2000,$Y61-1997+3))))</f>
        <v/>
      </c>
      <c r="J61" s="99" t="str">
        <f>IF($Y61="","",IF($Y61&lt;=1997,INDEX('Term investments'!$J$1:$J$2000,$Y61+3),INDEX('Call accounts and MMFs'!$G$1:$G$2000,$Y61-1997+3))&amp;"")</f>
        <v/>
      </c>
      <c r="K61" s="92" t="str">
        <f>IF($Y61="","",N(E61)*N(F61))</f>
        <v/>
      </c>
      <c r="L61" s="100" t="str">
        <f>IF($Y61="","",IF($Y61&lt;=1997,"Term investments, row "&amp;($Y61+3),"Call accounts and MMFs, row "&amp;($Y61-1997+3)))</f>
        <v/>
      </c>
      <c r="Y61" t="str">
        <f>IFERROR(MATCH(SMALL('List maths'!$E$4:$E$3997,53),'List maths'!$E$4:$E$3997,0),"")</f>
        <v/>
      </c>
    </row>
    <row r="62">
      <c r="B62" s="91" t="str">
        <f>IF($Y62="","",IF($Y62&lt;=1997,INDEX('Term investments'!$B$1:$B$2000,$Y62+3),INDEX('Call accounts and MMFs'!$B$1:$B$2000,$Y62-1997+3))&amp;"")</f>
        <v/>
      </c>
      <c r="C62" s="91" t="str">
        <f>IF($Y62="","",IF($Y62&lt;=1997,INDEX('Term investments'!$A$1:$A$2000,$Y62+3),INDEX('Call accounts and MMFs'!$A$1:$A$2000,$Y62-1997+3))&amp;"")</f>
        <v/>
      </c>
      <c r="D62" s="91" t="str">
        <f>IF($Y62="","",IF($Y62&lt;=1997,INDEX('Term investments'!$C$1:$C$2000,$Y62+3),INDEX('Call accounts and MMFs'!$C$1:$C$2000,$Y62-1997+3))&amp;"")</f>
        <v/>
      </c>
      <c r="E62" s="92" t="str">
        <f>IF($Y62="","",IF($Y62&lt;=1997,IF(N(INDEX('Deal maths'!$H$1:$H$2000,$Y62+3))&gt;0,N(INDEX('Deal maths'!$H$1:$H$2000,$Y62+3)),N(INDEX('Deal maths'!$D$1:$D$2000,$Y62+3))),N(INDEX('Deal maths'!$M$1:$M$2000,$Y62-1997+3))))</f>
        <v/>
      </c>
      <c r="F62" s="93" t="str">
        <f>IF($Y62="","",IF($Y62&lt;=1997,INDEX('Deal maths'!$G$1:$G$2000,$Y62+3),INDEX('Deal maths'!$N$1:$N$2000,$Y62-1997+3)))</f>
        <v/>
      </c>
      <c r="G62" s="94" t="str">
        <f>IF($Y62="","",IF($Y62&lt;=1997,INDEX('Deal maths'!$E$1:$E$2000,$Y62+3),""))</f>
        <v/>
      </c>
      <c r="H62" s="94" t="str">
        <f>IF($Y62="","",IF($Y62&lt;=1997,INDEX('Deal maths'!$F$1:$F$2000,$Y62+3),""))</f>
        <v/>
      </c>
      <c r="I62" s="98" t="str">
        <f>IF($Y62="","",IF($Y62&lt;=1997,N(INDEX('Deal maths'!$F$1:$F$2000,$Y62+3))-AsAt,N(INDEX('Deal maths'!$O$1:$O$2000,$Y62-1997+3))))</f>
        <v/>
      </c>
      <c r="J62" s="99" t="str">
        <f>IF($Y62="","",IF($Y62&lt;=1997,INDEX('Term investments'!$J$1:$J$2000,$Y62+3),INDEX('Call accounts and MMFs'!$G$1:$G$2000,$Y62-1997+3))&amp;"")</f>
        <v/>
      </c>
      <c r="K62" s="92" t="str">
        <f>IF($Y62="","",N(E62)*N(F62))</f>
        <v/>
      </c>
      <c r="L62" s="100" t="str">
        <f>IF($Y62="","",IF($Y62&lt;=1997,"Term investments, row "&amp;($Y62+3),"Call accounts and MMFs, row "&amp;($Y62-1997+3)))</f>
        <v/>
      </c>
      <c r="Y62" t="str">
        <f>IFERROR(MATCH(SMALL('List maths'!$E$4:$E$3997,54),'List maths'!$E$4:$E$3997,0),"")</f>
        <v/>
      </c>
    </row>
    <row r="63">
      <c r="B63" s="91" t="str">
        <f>IF($Y63="","",IF($Y63&lt;=1997,INDEX('Term investments'!$B$1:$B$2000,$Y63+3),INDEX('Call accounts and MMFs'!$B$1:$B$2000,$Y63-1997+3))&amp;"")</f>
        <v/>
      </c>
      <c r="C63" s="91" t="str">
        <f>IF($Y63="","",IF($Y63&lt;=1997,INDEX('Term investments'!$A$1:$A$2000,$Y63+3),INDEX('Call accounts and MMFs'!$A$1:$A$2000,$Y63-1997+3))&amp;"")</f>
        <v/>
      </c>
      <c r="D63" s="91" t="str">
        <f>IF($Y63="","",IF($Y63&lt;=1997,INDEX('Term investments'!$C$1:$C$2000,$Y63+3),INDEX('Call accounts and MMFs'!$C$1:$C$2000,$Y63-1997+3))&amp;"")</f>
        <v/>
      </c>
      <c r="E63" s="92" t="str">
        <f>IF($Y63="","",IF($Y63&lt;=1997,IF(N(INDEX('Deal maths'!$H$1:$H$2000,$Y63+3))&gt;0,N(INDEX('Deal maths'!$H$1:$H$2000,$Y63+3)),N(INDEX('Deal maths'!$D$1:$D$2000,$Y63+3))),N(INDEX('Deal maths'!$M$1:$M$2000,$Y63-1997+3))))</f>
        <v/>
      </c>
      <c r="F63" s="93" t="str">
        <f>IF($Y63="","",IF($Y63&lt;=1997,INDEX('Deal maths'!$G$1:$G$2000,$Y63+3),INDEX('Deal maths'!$N$1:$N$2000,$Y63-1997+3)))</f>
        <v/>
      </c>
      <c r="G63" s="94" t="str">
        <f>IF($Y63="","",IF($Y63&lt;=1997,INDEX('Deal maths'!$E$1:$E$2000,$Y63+3),""))</f>
        <v/>
      </c>
      <c r="H63" s="94" t="str">
        <f>IF($Y63="","",IF($Y63&lt;=1997,INDEX('Deal maths'!$F$1:$F$2000,$Y63+3),""))</f>
        <v/>
      </c>
      <c r="I63" s="98" t="str">
        <f>IF($Y63="","",IF($Y63&lt;=1997,N(INDEX('Deal maths'!$F$1:$F$2000,$Y63+3))-AsAt,N(INDEX('Deal maths'!$O$1:$O$2000,$Y63-1997+3))))</f>
        <v/>
      </c>
      <c r="J63" s="99" t="str">
        <f>IF($Y63="","",IF($Y63&lt;=1997,INDEX('Term investments'!$J$1:$J$2000,$Y63+3),INDEX('Call accounts and MMFs'!$G$1:$G$2000,$Y63-1997+3))&amp;"")</f>
        <v/>
      </c>
      <c r="K63" s="92" t="str">
        <f>IF($Y63="","",N(E63)*N(F63))</f>
        <v/>
      </c>
      <c r="L63" s="100" t="str">
        <f>IF($Y63="","",IF($Y63&lt;=1997,"Term investments, row "&amp;($Y63+3),"Call accounts and MMFs, row "&amp;($Y63-1997+3)))</f>
        <v/>
      </c>
      <c r="Y63" t="str">
        <f>IFERROR(MATCH(SMALL('List maths'!$E$4:$E$3997,55),'List maths'!$E$4:$E$3997,0),"")</f>
        <v/>
      </c>
    </row>
    <row r="64">
      <c r="B64" s="91" t="str">
        <f>IF($Y64="","",IF($Y64&lt;=1997,INDEX('Term investments'!$B$1:$B$2000,$Y64+3),INDEX('Call accounts and MMFs'!$B$1:$B$2000,$Y64-1997+3))&amp;"")</f>
        <v/>
      </c>
      <c r="C64" s="91" t="str">
        <f>IF($Y64="","",IF($Y64&lt;=1997,INDEX('Term investments'!$A$1:$A$2000,$Y64+3),INDEX('Call accounts and MMFs'!$A$1:$A$2000,$Y64-1997+3))&amp;"")</f>
        <v/>
      </c>
      <c r="D64" s="91" t="str">
        <f>IF($Y64="","",IF($Y64&lt;=1997,INDEX('Term investments'!$C$1:$C$2000,$Y64+3),INDEX('Call accounts and MMFs'!$C$1:$C$2000,$Y64-1997+3))&amp;"")</f>
        <v/>
      </c>
      <c r="E64" s="92" t="str">
        <f>IF($Y64="","",IF($Y64&lt;=1997,IF(N(INDEX('Deal maths'!$H$1:$H$2000,$Y64+3))&gt;0,N(INDEX('Deal maths'!$H$1:$H$2000,$Y64+3)),N(INDEX('Deal maths'!$D$1:$D$2000,$Y64+3))),N(INDEX('Deal maths'!$M$1:$M$2000,$Y64-1997+3))))</f>
        <v/>
      </c>
      <c r="F64" s="93" t="str">
        <f>IF($Y64="","",IF($Y64&lt;=1997,INDEX('Deal maths'!$G$1:$G$2000,$Y64+3),INDEX('Deal maths'!$N$1:$N$2000,$Y64-1997+3)))</f>
        <v/>
      </c>
      <c r="G64" s="94" t="str">
        <f>IF($Y64="","",IF($Y64&lt;=1997,INDEX('Deal maths'!$E$1:$E$2000,$Y64+3),""))</f>
        <v/>
      </c>
      <c r="H64" s="94" t="str">
        <f>IF($Y64="","",IF($Y64&lt;=1997,INDEX('Deal maths'!$F$1:$F$2000,$Y64+3),""))</f>
        <v/>
      </c>
      <c r="I64" s="98" t="str">
        <f>IF($Y64="","",IF($Y64&lt;=1997,N(INDEX('Deal maths'!$F$1:$F$2000,$Y64+3))-AsAt,N(INDEX('Deal maths'!$O$1:$O$2000,$Y64-1997+3))))</f>
        <v/>
      </c>
      <c r="J64" s="99" t="str">
        <f>IF($Y64="","",IF($Y64&lt;=1997,INDEX('Term investments'!$J$1:$J$2000,$Y64+3),INDEX('Call accounts and MMFs'!$G$1:$G$2000,$Y64-1997+3))&amp;"")</f>
        <v/>
      </c>
      <c r="K64" s="92" t="str">
        <f>IF($Y64="","",N(E64)*N(F64))</f>
        <v/>
      </c>
      <c r="L64" s="100" t="str">
        <f>IF($Y64="","",IF($Y64&lt;=1997,"Term investments, row "&amp;($Y64+3),"Call accounts and MMFs, row "&amp;($Y64-1997+3)))</f>
        <v/>
      </c>
      <c r="Y64" t="str">
        <f>IFERROR(MATCH(SMALL('List maths'!$E$4:$E$3997,56),'List maths'!$E$4:$E$3997,0),"")</f>
        <v/>
      </c>
    </row>
    <row r="65">
      <c r="B65" s="91" t="str">
        <f>IF($Y65="","",IF($Y65&lt;=1997,INDEX('Term investments'!$B$1:$B$2000,$Y65+3),INDEX('Call accounts and MMFs'!$B$1:$B$2000,$Y65-1997+3))&amp;"")</f>
        <v/>
      </c>
      <c r="C65" s="91" t="str">
        <f>IF($Y65="","",IF($Y65&lt;=1997,INDEX('Term investments'!$A$1:$A$2000,$Y65+3),INDEX('Call accounts and MMFs'!$A$1:$A$2000,$Y65-1997+3))&amp;"")</f>
        <v/>
      </c>
      <c r="D65" s="91" t="str">
        <f>IF($Y65="","",IF($Y65&lt;=1997,INDEX('Term investments'!$C$1:$C$2000,$Y65+3),INDEX('Call accounts and MMFs'!$C$1:$C$2000,$Y65-1997+3))&amp;"")</f>
        <v/>
      </c>
      <c r="E65" s="92" t="str">
        <f>IF($Y65="","",IF($Y65&lt;=1997,IF(N(INDEX('Deal maths'!$H$1:$H$2000,$Y65+3))&gt;0,N(INDEX('Deal maths'!$H$1:$H$2000,$Y65+3)),N(INDEX('Deal maths'!$D$1:$D$2000,$Y65+3))),N(INDEX('Deal maths'!$M$1:$M$2000,$Y65-1997+3))))</f>
        <v/>
      </c>
      <c r="F65" s="93" t="str">
        <f>IF($Y65="","",IF($Y65&lt;=1997,INDEX('Deal maths'!$G$1:$G$2000,$Y65+3),INDEX('Deal maths'!$N$1:$N$2000,$Y65-1997+3)))</f>
        <v/>
      </c>
      <c r="G65" s="94" t="str">
        <f>IF($Y65="","",IF($Y65&lt;=1997,INDEX('Deal maths'!$E$1:$E$2000,$Y65+3),""))</f>
        <v/>
      </c>
      <c r="H65" s="94" t="str">
        <f>IF($Y65="","",IF($Y65&lt;=1997,INDEX('Deal maths'!$F$1:$F$2000,$Y65+3),""))</f>
        <v/>
      </c>
      <c r="I65" s="98" t="str">
        <f>IF($Y65="","",IF($Y65&lt;=1997,N(INDEX('Deal maths'!$F$1:$F$2000,$Y65+3))-AsAt,N(INDEX('Deal maths'!$O$1:$O$2000,$Y65-1997+3))))</f>
        <v/>
      </c>
      <c r="J65" s="99" t="str">
        <f>IF($Y65="","",IF($Y65&lt;=1997,INDEX('Term investments'!$J$1:$J$2000,$Y65+3),INDEX('Call accounts and MMFs'!$G$1:$G$2000,$Y65-1997+3))&amp;"")</f>
        <v/>
      </c>
      <c r="K65" s="92" t="str">
        <f>IF($Y65="","",N(E65)*N(F65))</f>
        <v/>
      </c>
      <c r="L65" s="100" t="str">
        <f>IF($Y65="","",IF($Y65&lt;=1997,"Term investments, row "&amp;($Y65+3),"Call accounts and MMFs, row "&amp;($Y65-1997+3)))</f>
        <v/>
      </c>
      <c r="Y65" t="str">
        <f>IFERROR(MATCH(SMALL('List maths'!$E$4:$E$3997,57),'List maths'!$E$4:$E$3997,0),"")</f>
        <v/>
      </c>
    </row>
    <row r="66">
      <c r="B66" s="91" t="str">
        <f>IF($Y66="","",IF($Y66&lt;=1997,INDEX('Term investments'!$B$1:$B$2000,$Y66+3),INDEX('Call accounts and MMFs'!$B$1:$B$2000,$Y66-1997+3))&amp;"")</f>
        <v/>
      </c>
      <c r="C66" s="91" t="str">
        <f>IF($Y66="","",IF($Y66&lt;=1997,INDEX('Term investments'!$A$1:$A$2000,$Y66+3),INDEX('Call accounts and MMFs'!$A$1:$A$2000,$Y66-1997+3))&amp;"")</f>
        <v/>
      </c>
      <c r="D66" s="91" t="str">
        <f>IF($Y66="","",IF($Y66&lt;=1997,INDEX('Term investments'!$C$1:$C$2000,$Y66+3),INDEX('Call accounts and MMFs'!$C$1:$C$2000,$Y66-1997+3))&amp;"")</f>
        <v/>
      </c>
      <c r="E66" s="92" t="str">
        <f>IF($Y66="","",IF($Y66&lt;=1997,IF(N(INDEX('Deal maths'!$H$1:$H$2000,$Y66+3))&gt;0,N(INDEX('Deal maths'!$H$1:$H$2000,$Y66+3)),N(INDEX('Deal maths'!$D$1:$D$2000,$Y66+3))),N(INDEX('Deal maths'!$M$1:$M$2000,$Y66-1997+3))))</f>
        <v/>
      </c>
      <c r="F66" s="93" t="str">
        <f>IF($Y66="","",IF($Y66&lt;=1997,INDEX('Deal maths'!$G$1:$G$2000,$Y66+3),INDEX('Deal maths'!$N$1:$N$2000,$Y66-1997+3)))</f>
        <v/>
      </c>
      <c r="G66" s="94" t="str">
        <f>IF($Y66="","",IF($Y66&lt;=1997,INDEX('Deal maths'!$E$1:$E$2000,$Y66+3),""))</f>
        <v/>
      </c>
      <c r="H66" s="94" t="str">
        <f>IF($Y66="","",IF($Y66&lt;=1997,INDEX('Deal maths'!$F$1:$F$2000,$Y66+3),""))</f>
        <v/>
      </c>
      <c r="I66" s="98" t="str">
        <f>IF($Y66="","",IF($Y66&lt;=1997,N(INDEX('Deal maths'!$F$1:$F$2000,$Y66+3))-AsAt,N(INDEX('Deal maths'!$O$1:$O$2000,$Y66-1997+3))))</f>
        <v/>
      </c>
      <c r="J66" s="99" t="str">
        <f>IF($Y66="","",IF($Y66&lt;=1997,INDEX('Term investments'!$J$1:$J$2000,$Y66+3),INDEX('Call accounts and MMFs'!$G$1:$G$2000,$Y66-1997+3))&amp;"")</f>
        <v/>
      </c>
      <c r="K66" s="92" t="str">
        <f>IF($Y66="","",N(E66)*N(F66))</f>
        <v/>
      </c>
      <c r="L66" s="100" t="str">
        <f>IF($Y66="","",IF($Y66&lt;=1997,"Term investments, row "&amp;($Y66+3),"Call accounts and MMFs, row "&amp;($Y66-1997+3)))</f>
        <v/>
      </c>
      <c r="Y66" t="str">
        <f>IFERROR(MATCH(SMALL('List maths'!$E$4:$E$3997,58),'List maths'!$E$4:$E$3997,0),"")</f>
        <v/>
      </c>
    </row>
    <row r="67">
      <c r="B67" s="91" t="str">
        <f>IF($Y67="","",IF($Y67&lt;=1997,INDEX('Term investments'!$B$1:$B$2000,$Y67+3),INDEX('Call accounts and MMFs'!$B$1:$B$2000,$Y67-1997+3))&amp;"")</f>
        <v/>
      </c>
      <c r="C67" s="91" t="str">
        <f>IF($Y67="","",IF($Y67&lt;=1997,INDEX('Term investments'!$A$1:$A$2000,$Y67+3),INDEX('Call accounts and MMFs'!$A$1:$A$2000,$Y67-1997+3))&amp;"")</f>
        <v/>
      </c>
      <c r="D67" s="91" t="str">
        <f>IF($Y67="","",IF($Y67&lt;=1997,INDEX('Term investments'!$C$1:$C$2000,$Y67+3),INDEX('Call accounts and MMFs'!$C$1:$C$2000,$Y67-1997+3))&amp;"")</f>
        <v/>
      </c>
      <c r="E67" s="92" t="str">
        <f>IF($Y67="","",IF($Y67&lt;=1997,IF(N(INDEX('Deal maths'!$H$1:$H$2000,$Y67+3))&gt;0,N(INDEX('Deal maths'!$H$1:$H$2000,$Y67+3)),N(INDEX('Deal maths'!$D$1:$D$2000,$Y67+3))),N(INDEX('Deal maths'!$M$1:$M$2000,$Y67-1997+3))))</f>
        <v/>
      </c>
      <c r="F67" s="93" t="str">
        <f>IF($Y67="","",IF($Y67&lt;=1997,INDEX('Deal maths'!$G$1:$G$2000,$Y67+3),INDEX('Deal maths'!$N$1:$N$2000,$Y67-1997+3)))</f>
        <v/>
      </c>
      <c r="G67" s="94" t="str">
        <f>IF($Y67="","",IF($Y67&lt;=1997,INDEX('Deal maths'!$E$1:$E$2000,$Y67+3),""))</f>
        <v/>
      </c>
      <c r="H67" s="94" t="str">
        <f>IF($Y67="","",IF($Y67&lt;=1997,INDEX('Deal maths'!$F$1:$F$2000,$Y67+3),""))</f>
        <v/>
      </c>
      <c r="I67" s="98" t="str">
        <f>IF($Y67="","",IF($Y67&lt;=1997,N(INDEX('Deal maths'!$F$1:$F$2000,$Y67+3))-AsAt,N(INDEX('Deal maths'!$O$1:$O$2000,$Y67-1997+3))))</f>
        <v/>
      </c>
      <c r="J67" s="99" t="str">
        <f>IF($Y67="","",IF($Y67&lt;=1997,INDEX('Term investments'!$J$1:$J$2000,$Y67+3),INDEX('Call accounts and MMFs'!$G$1:$G$2000,$Y67-1997+3))&amp;"")</f>
        <v/>
      </c>
      <c r="K67" s="92" t="str">
        <f>IF($Y67="","",N(E67)*N(F67))</f>
        <v/>
      </c>
      <c r="L67" s="100" t="str">
        <f>IF($Y67="","",IF($Y67&lt;=1997,"Term investments, row "&amp;($Y67+3),"Call accounts and MMFs, row "&amp;($Y67-1997+3)))</f>
        <v/>
      </c>
      <c r="Y67" t="str">
        <f>IFERROR(MATCH(SMALL('List maths'!$E$4:$E$3997,59),'List maths'!$E$4:$E$3997,0),"")</f>
        <v/>
      </c>
    </row>
    <row r="68">
      <c r="B68" s="91" t="str">
        <f>IF($Y68="","",IF($Y68&lt;=1997,INDEX('Term investments'!$B$1:$B$2000,$Y68+3),INDEX('Call accounts and MMFs'!$B$1:$B$2000,$Y68-1997+3))&amp;"")</f>
        <v/>
      </c>
      <c r="C68" s="91" t="str">
        <f>IF($Y68="","",IF($Y68&lt;=1997,INDEX('Term investments'!$A$1:$A$2000,$Y68+3),INDEX('Call accounts and MMFs'!$A$1:$A$2000,$Y68-1997+3))&amp;"")</f>
        <v/>
      </c>
      <c r="D68" s="91" t="str">
        <f>IF($Y68="","",IF($Y68&lt;=1997,INDEX('Term investments'!$C$1:$C$2000,$Y68+3),INDEX('Call accounts and MMFs'!$C$1:$C$2000,$Y68-1997+3))&amp;"")</f>
        <v/>
      </c>
      <c r="E68" s="92" t="str">
        <f>IF($Y68="","",IF($Y68&lt;=1997,IF(N(INDEX('Deal maths'!$H$1:$H$2000,$Y68+3))&gt;0,N(INDEX('Deal maths'!$H$1:$H$2000,$Y68+3)),N(INDEX('Deal maths'!$D$1:$D$2000,$Y68+3))),N(INDEX('Deal maths'!$M$1:$M$2000,$Y68-1997+3))))</f>
        <v/>
      </c>
      <c r="F68" s="93" t="str">
        <f>IF($Y68="","",IF($Y68&lt;=1997,INDEX('Deal maths'!$G$1:$G$2000,$Y68+3),INDEX('Deal maths'!$N$1:$N$2000,$Y68-1997+3)))</f>
        <v/>
      </c>
      <c r="G68" s="94" t="str">
        <f>IF($Y68="","",IF($Y68&lt;=1997,INDEX('Deal maths'!$E$1:$E$2000,$Y68+3),""))</f>
        <v/>
      </c>
      <c r="H68" s="94" t="str">
        <f>IF($Y68="","",IF($Y68&lt;=1997,INDEX('Deal maths'!$F$1:$F$2000,$Y68+3),""))</f>
        <v/>
      </c>
      <c r="I68" s="98" t="str">
        <f>IF($Y68="","",IF($Y68&lt;=1997,N(INDEX('Deal maths'!$F$1:$F$2000,$Y68+3))-AsAt,N(INDEX('Deal maths'!$O$1:$O$2000,$Y68-1997+3))))</f>
        <v/>
      </c>
      <c r="J68" s="99" t="str">
        <f>IF($Y68="","",IF($Y68&lt;=1997,INDEX('Term investments'!$J$1:$J$2000,$Y68+3),INDEX('Call accounts and MMFs'!$G$1:$G$2000,$Y68-1997+3))&amp;"")</f>
        <v/>
      </c>
      <c r="K68" s="92" t="str">
        <f>IF($Y68="","",N(E68)*N(F68))</f>
        <v/>
      </c>
      <c r="L68" s="100" t="str">
        <f>IF($Y68="","",IF($Y68&lt;=1997,"Term investments, row "&amp;($Y68+3),"Call accounts and MMFs, row "&amp;($Y68-1997+3)))</f>
        <v/>
      </c>
      <c r="Y68" t="str">
        <f>IFERROR(MATCH(SMALL('List maths'!$E$4:$E$3997,60),'List maths'!$E$4:$E$3997,0),"")</f>
        <v/>
      </c>
    </row>
    <row r="69">
      <c r="B69" s="91" t="str">
        <f>IF($Y69="","",IF($Y69&lt;=1997,INDEX('Term investments'!$B$1:$B$2000,$Y69+3),INDEX('Call accounts and MMFs'!$B$1:$B$2000,$Y69-1997+3))&amp;"")</f>
        <v/>
      </c>
      <c r="C69" s="91" t="str">
        <f>IF($Y69="","",IF($Y69&lt;=1997,INDEX('Term investments'!$A$1:$A$2000,$Y69+3),INDEX('Call accounts and MMFs'!$A$1:$A$2000,$Y69-1997+3))&amp;"")</f>
        <v/>
      </c>
      <c r="D69" s="91" t="str">
        <f>IF($Y69="","",IF($Y69&lt;=1997,INDEX('Term investments'!$C$1:$C$2000,$Y69+3),INDEX('Call accounts and MMFs'!$C$1:$C$2000,$Y69-1997+3))&amp;"")</f>
        <v/>
      </c>
      <c r="E69" s="92" t="str">
        <f>IF($Y69="","",IF($Y69&lt;=1997,IF(N(INDEX('Deal maths'!$H$1:$H$2000,$Y69+3))&gt;0,N(INDEX('Deal maths'!$H$1:$H$2000,$Y69+3)),N(INDEX('Deal maths'!$D$1:$D$2000,$Y69+3))),N(INDEX('Deal maths'!$M$1:$M$2000,$Y69-1997+3))))</f>
        <v/>
      </c>
      <c r="F69" s="93" t="str">
        <f>IF($Y69="","",IF($Y69&lt;=1997,INDEX('Deal maths'!$G$1:$G$2000,$Y69+3),INDEX('Deal maths'!$N$1:$N$2000,$Y69-1997+3)))</f>
        <v/>
      </c>
      <c r="G69" s="94" t="str">
        <f>IF($Y69="","",IF($Y69&lt;=1997,INDEX('Deal maths'!$E$1:$E$2000,$Y69+3),""))</f>
        <v/>
      </c>
      <c r="H69" s="94" t="str">
        <f>IF($Y69="","",IF($Y69&lt;=1997,INDEX('Deal maths'!$F$1:$F$2000,$Y69+3),""))</f>
        <v/>
      </c>
      <c r="I69" s="98" t="str">
        <f>IF($Y69="","",IF($Y69&lt;=1997,N(INDEX('Deal maths'!$F$1:$F$2000,$Y69+3))-AsAt,N(INDEX('Deal maths'!$O$1:$O$2000,$Y69-1997+3))))</f>
        <v/>
      </c>
      <c r="J69" s="99" t="str">
        <f>IF($Y69="","",IF($Y69&lt;=1997,INDEX('Term investments'!$J$1:$J$2000,$Y69+3),INDEX('Call accounts and MMFs'!$G$1:$G$2000,$Y69-1997+3))&amp;"")</f>
        <v/>
      </c>
      <c r="K69" s="92" t="str">
        <f>IF($Y69="","",N(E69)*N(F69))</f>
        <v/>
      </c>
      <c r="L69" s="100" t="str">
        <f>IF($Y69="","",IF($Y69&lt;=1997,"Term investments, row "&amp;($Y69+3),"Call accounts and MMFs, row "&amp;($Y69-1997+3)))</f>
        <v/>
      </c>
      <c r="Y69" t="str">
        <f>IFERROR(MATCH(SMALL('List maths'!$E$4:$E$3997,61),'List maths'!$E$4:$E$3997,0),"")</f>
        <v/>
      </c>
    </row>
    <row r="70">
      <c r="B70" s="91" t="str">
        <f>IF($Y70="","",IF($Y70&lt;=1997,INDEX('Term investments'!$B$1:$B$2000,$Y70+3),INDEX('Call accounts and MMFs'!$B$1:$B$2000,$Y70-1997+3))&amp;"")</f>
        <v/>
      </c>
      <c r="C70" s="91" t="str">
        <f>IF($Y70="","",IF($Y70&lt;=1997,INDEX('Term investments'!$A$1:$A$2000,$Y70+3),INDEX('Call accounts and MMFs'!$A$1:$A$2000,$Y70-1997+3))&amp;"")</f>
        <v/>
      </c>
      <c r="D70" s="91" t="str">
        <f>IF($Y70="","",IF($Y70&lt;=1997,INDEX('Term investments'!$C$1:$C$2000,$Y70+3),INDEX('Call accounts and MMFs'!$C$1:$C$2000,$Y70-1997+3))&amp;"")</f>
        <v/>
      </c>
      <c r="E70" s="92" t="str">
        <f>IF($Y70="","",IF($Y70&lt;=1997,IF(N(INDEX('Deal maths'!$H$1:$H$2000,$Y70+3))&gt;0,N(INDEX('Deal maths'!$H$1:$H$2000,$Y70+3)),N(INDEX('Deal maths'!$D$1:$D$2000,$Y70+3))),N(INDEX('Deal maths'!$M$1:$M$2000,$Y70-1997+3))))</f>
        <v/>
      </c>
      <c r="F70" s="93" t="str">
        <f>IF($Y70="","",IF($Y70&lt;=1997,INDEX('Deal maths'!$G$1:$G$2000,$Y70+3),INDEX('Deal maths'!$N$1:$N$2000,$Y70-1997+3)))</f>
        <v/>
      </c>
      <c r="G70" s="94" t="str">
        <f>IF($Y70="","",IF($Y70&lt;=1997,INDEX('Deal maths'!$E$1:$E$2000,$Y70+3),""))</f>
        <v/>
      </c>
      <c r="H70" s="94" t="str">
        <f>IF($Y70="","",IF($Y70&lt;=1997,INDEX('Deal maths'!$F$1:$F$2000,$Y70+3),""))</f>
        <v/>
      </c>
      <c r="I70" s="98" t="str">
        <f>IF($Y70="","",IF($Y70&lt;=1997,N(INDEX('Deal maths'!$F$1:$F$2000,$Y70+3))-AsAt,N(INDEX('Deal maths'!$O$1:$O$2000,$Y70-1997+3))))</f>
        <v/>
      </c>
      <c r="J70" s="99" t="str">
        <f>IF($Y70="","",IF($Y70&lt;=1997,INDEX('Term investments'!$J$1:$J$2000,$Y70+3),INDEX('Call accounts and MMFs'!$G$1:$G$2000,$Y70-1997+3))&amp;"")</f>
        <v/>
      </c>
      <c r="K70" s="92" t="str">
        <f>IF($Y70="","",N(E70)*N(F70))</f>
        <v/>
      </c>
      <c r="L70" s="100" t="str">
        <f>IF($Y70="","",IF($Y70&lt;=1997,"Term investments, row "&amp;($Y70+3),"Call accounts and MMFs, row "&amp;($Y70-1997+3)))</f>
        <v/>
      </c>
      <c r="Y70" t="str">
        <f>IFERROR(MATCH(SMALL('List maths'!$E$4:$E$3997,62),'List maths'!$E$4:$E$3997,0),"")</f>
        <v/>
      </c>
    </row>
    <row r="71">
      <c r="B71" s="91" t="str">
        <f>IF($Y71="","",IF($Y71&lt;=1997,INDEX('Term investments'!$B$1:$B$2000,$Y71+3),INDEX('Call accounts and MMFs'!$B$1:$B$2000,$Y71-1997+3))&amp;"")</f>
        <v/>
      </c>
      <c r="C71" s="91" t="str">
        <f>IF($Y71="","",IF($Y71&lt;=1997,INDEX('Term investments'!$A$1:$A$2000,$Y71+3),INDEX('Call accounts and MMFs'!$A$1:$A$2000,$Y71-1997+3))&amp;"")</f>
        <v/>
      </c>
      <c r="D71" s="91" t="str">
        <f>IF($Y71="","",IF($Y71&lt;=1997,INDEX('Term investments'!$C$1:$C$2000,$Y71+3),INDEX('Call accounts and MMFs'!$C$1:$C$2000,$Y71-1997+3))&amp;"")</f>
        <v/>
      </c>
      <c r="E71" s="92" t="str">
        <f>IF($Y71="","",IF($Y71&lt;=1997,IF(N(INDEX('Deal maths'!$H$1:$H$2000,$Y71+3))&gt;0,N(INDEX('Deal maths'!$H$1:$H$2000,$Y71+3)),N(INDEX('Deal maths'!$D$1:$D$2000,$Y71+3))),N(INDEX('Deal maths'!$M$1:$M$2000,$Y71-1997+3))))</f>
        <v/>
      </c>
      <c r="F71" s="93" t="str">
        <f>IF($Y71="","",IF($Y71&lt;=1997,INDEX('Deal maths'!$G$1:$G$2000,$Y71+3),INDEX('Deal maths'!$N$1:$N$2000,$Y71-1997+3)))</f>
        <v/>
      </c>
      <c r="G71" s="94" t="str">
        <f>IF($Y71="","",IF($Y71&lt;=1997,INDEX('Deal maths'!$E$1:$E$2000,$Y71+3),""))</f>
        <v/>
      </c>
      <c r="H71" s="94" t="str">
        <f>IF($Y71="","",IF($Y71&lt;=1997,INDEX('Deal maths'!$F$1:$F$2000,$Y71+3),""))</f>
        <v/>
      </c>
      <c r="I71" s="98" t="str">
        <f>IF($Y71="","",IF($Y71&lt;=1997,N(INDEX('Deal maths'!$F$1:$F$2000,$Y71+3))-AsAt,N(INDEX('Deal maths'!$O$1:$O$2000,$Y71-1997+3))))</f>
        <v/>
      </c>
      <c r="J71" s="99" t="str">
        <f>IF($Y71="","",IF($Y71&lt;=1997,INDEX('Term investments'!$J$1:$J$2000,$Y71+3),INDEX('Call accounts and MMFs'!$G$1:$G$2000,$Y71-1997+3))&amp;"")</f>
        <v/>
      </c>
      <c r="K71" s="92" t="str">
        <f>IF($Y71="","",N(E71)*N(F71))</f>
        <v/>
      </c>
      <c r="L71" s="100" t="str">
        <f>IF($Y71="","",IF($Y71&lt;=1997,"Term investments, row "&amp;($Y71+3),"Call accounts and MMFs, row "&amp;($Y71-1997+3)))</f>
        <v/>
      </c>
      <c r="Y71" t="str">
        <f>IFERROR(MATCH(SMALL('List maths'!$E$4:$E$3997,63),'List maths'!$E$4:$E$3997,0),"")</f>
        <v/>
      </c>
    </row>
    <row r="72">
      <c r="B72" s="91" t="str">
        <f>IF($Y72="","",IF($Y72&lt;=1997,INDEX('Term investments'!$B$1:$B$2000,$Y72+3),INDEX('Call accounts and MMFs'!$B$1:$B$2000,$Y72-1997+3))&amp;"")</f>
        <v/>
      </c>
      <c r="C72" s="91" t="str">
        <f>IF($Y72="","",IF($Y72&lt;=1997,INDEX('Term investments'!$A$1:$A$2000,$Y72+3),INDEX('Call accounts and MMFs'!$A$1:$A$2000,$Y72-1997+3))&amp;"")</f>
        <v/>
      </c>
      <c r="D72" s="91" t="str">
        <f>IF($Y72="","",IF($Y72&lt;=1997,INDEX('Term investments'!$C$1:$C$2000,$Y72+3),INDEX('Call accounts and MMFs'!$C$1:$C$2000,$Y72-1997+3))&amp;"")</f>
        <v/>
      </c>
      <c r="E72" s="92" t="str">
        <f>IF($Y72="","",IF($Y72&lt;=1997,IF(N(INDEX('Deal maths'!$H$1:$H$2000,$Y72+3))&gt;0,N(INDEX('Deal maths'!$H$1:$H$2000,$Y72+3)),N(INDEX('Deal maths'!$D$1:$D$2000,$Y72+3))),N(INDEX('Deal maths'!$M$1:$M$2000,$Y72-1997+3))))</f>
        <v/>
      </c>
      <c r="F72" s="93" t="str">
        <f>IF($Y72="","",IF($Y72&lt;=1997,INDEX('Deal maths'!$G$1:$G$2000,$Y72+3),INDEX('Deal maths'!$N$1:$N$2000,$Y72-1997+3)))</f>
        <v/>
      </c>
      <c r="G72" s="94" t="str">
        <f>IF($Y72="","",IF($Y72&lt;=1997,INDEX('Deal maths'!$E$1:$E$2000,$Y72+3),""))</f>
        <v/>
      </c>
      <c r="H72" s="94" t="str">
        <f>IF($Y72="","",IF($Y72&lt;=1997,INDEX('Deal maths'!$F$1:$F$2000,$Y72+3),""))</f>
        <v/>
      </c>
      <c r="I72" s="98" t="str">
        <f>IF($Y72="","",IF($Y72&lt;=1997,N(INDEX('Deal maths'!$F$1:$F$2000,$Y72+3))-AsAt,N(INDEX('Deal maths'!$O$1:$O$2000,$Y72-1997+3))))</f>
        <v/>
      </c>
      <c r="J72" s="99" t="str">
        <f>IF($Y72="","",IF($Y72&lt;=1997,INDEX('Term investments'!$J$1:$J$2000,$Y72+3),INDEX('Call accounts and MMFs'!$G$1:$G$2000,$Y72-1997+3))&amp;"")</f>
        <v/>
      </c>
      <c r="K72" s="92" t="str">
        <f>IF($Y72="","",N(E72)*N(F72))</f>
        <v/>
      </c>
      <c r="L72" s="100" t="str">
        <f>IF($Y72="","",IF($Y72&lt;=1997,"Term investments, row "&amp;($Y72+3),"Call accounts and MMFs, row "&amp;($Y72-1997+3)))</f>
        <v/>
      </c>
      <c r="Y72" t="str">
        <f>IFERROR(MATCH(SMALL('List maths'!$E$4:$E$3997,64),'List maths'!$E$4:$E$3997,0),"")</f>
        <v/>
      </c>
    </row>
    <row r="73">
      <c r="B73" s="91" t="str">
        <f>IF($Y73="","",IF($Y73&lt;=1997,INDEX('Term investments'!$B$1:$B$2000,$Y73+3),INDEX('Call accounts and MMFs'!$B$1:$B$2000,$Y73-1997+3))&amp;"")</f>
        <v/>
      </c>
      <c r="C73" s="91" t="str">
        <f>IF($Y73="","",IF($Y73&lt;=1997,INDEX('Term investments'!$A$1:$A$2000,$Y73+3),INDEX('Call accounts and MMFs'!$A$1:$A$2000,$Y73-1997+3))&amp;"")</f>
        <v/>
      </c>
      <c r="D73" s="91" t="str">
        <f>IF($Y73="","",IF($Y73&lt;=1997,INDEX('Term investments'!$C$1:$C$2000,$Y73+3),INDEX('Call accounts and MMFs'!$C$1:$C$2000,$Y73-1997+3))&amp;"")</f>
        <v/>
      </c>
      <c r="E73" s="92" t="str">
        <f>IF($Y73="","",IF($Y73&lt;=1997,IF(N(INDEX('Deal maths'!$H$1:$H$2000,$Y73+3))&gt;0,N(INDEX('Deal maths'!$H$1:$H$2000,$Y73+3)),N(INDEX('Deal maths'!$D$1:$D$2000,$Y73+3))),N(INDEX('Deal maths'!$M$1:$M$2000,$Y73-1997+3))))</f>
        <v/>
      </c>
      <c r="F73" s="93" t="str">
        <f>IF($Y73="","",IF($Y73&lt;=1997,INDEX('Deal maths'!$G$1:$G$2000,$Y73+3),INDEX('Deal maths'!$N$1:$N$2000,$Y73-1997+3)))</f>
        <v/>
      </c>
      <c r="G73" s="94" t="str">
        <f>IF($Y73="","",IF($Y73&lt;=1997,INDEX('Deal maths'!$E$1:$E$2000,$Y73+3),""))</f>
        <v/>
      </c>
      <c r="H73" s="94" t="str">
        <f>IF($Y73="","",IF($Y73&lt;=1997,INDEX('Deal maths'!$F$1:$F$2000,$Y73+3),""))</f>
        <v/>
      </c>
      <c r="I73" s="98" t="str">
        <f>IF($Y73="","",IF($Y73&lt;=1997,N(INDEX('Deal maths'!$F$1:$F$2000,$Y73+3))-AsAt,N(INDEX('Deal maths'!$O$1:$O$2000,$Y73-1997+3))))</f>
        <v/>
      </c>
      <c r="J73" s="99" t="str">
        <f>IF($Y73="","",IF($Y73&lt;=1997,INDEX('Term investments'!$J$1:$J$2000,$Y73+3),INDEX('Call accounts and MMFs'!$G$1:$G$2000,$Y73-1997+3))&amp;"")</f>
        <v/>
      </c>
      <c r="K73" s="92" t="str">
        <f>IF($Y73="","",N(E73)*N(F73))</f>
        <v/>
      </c>
      <c r="L73" s="100" t="str">
        <f>IF($Y73="","",IF($Y73&lt;=1997,"Term investments, row "&amp;($Y73+3),"Call accounts and MMFs, row "&amp;($Y73-1997+3)))</f>
        <v/>
      </c>
      <c r="Y73" t="str">
        <f>IFERROR(MATCH(SMALL('List maths'!$E$4:$E$3997,65),'List maths'!$E$4:$E$3997,0),"")</f>
        <v/>
      </c>
    </row>
    <row r="74">
      <c r="B74" s="91" t="str">
        <f>IF($Y74="","",IF($Y74&lt;=1997,INDEX('Term investments'!$B$1:$B$2000,$Y74+3),INDEX('Call accounts and MMFs'!$B$1:$B$2000,$Y74-1997+3))&amp;"")</f>
        <v/>
      </c>
      <c r="C74" s="91" t="str">
        <f>IF($Y74="","",IF($Y74&lt;=1997,INDEX('Term investments'!$A$1:$A$2000,$Y74+3),INDEX('Call accounts and MMFs'!$A$1:$A$2000,$Y74-1997+3))&amp;"")</f>
        <v/>
      </c>
      <c r="D74" s="91" t="str">
        <f>IF($Y74="","",IF($Y74&lt;=1997,INDEX('Term investments'!$C$1:$C$2000,$Y74+3),INDEX('Call accounts and MMFs'!$C$1:$C$2000,$Y74-1997+3))&amp;"")</f>
        <v/>
      </c>
      <c r="E74" s="92" t="str">
        <f>IF($Y74="","",IF($Y74&lt;=1997,IF(N(INDEX('Deal maths'!$H$1:$H$2000,$Y74+3))&gt;0,N(INDEX('Deal maths'!$H$1:$H$2000,$Y74+3)),N(INDEX('Deal maths'!$D$1:$D$2000,$Y74+3))),N(INDEX('Deal maths'!$M$1:$M$2000,$Y74-1997+3))))</f>
        <v/>
      </c>
      <c r="F74" s="93" t="str">
        <f>IF($Y74="","",IF($Y74&lt;=1997,INDEX('Deal maths'!$G$1:$G$2000,$Y74+3),INDEX('Deal maths'!$N$1:$N$2000,$Y74-1997+3)))</f>
        <v/>
      </c>
      <c r="G74" s="94" t="str">
        <f>IF($Y74="","",IF($Y74&lt;=1997,INDEX('Deal maths'!$E$1:$E$2000,$Y74+3),""))</f>
        <v/>
      </c>
      <c r="H74" s="94" t="str">
        <f>IF($Y74="","",IF($Y74&lt;=1997,INDEX('Deal maths'!$F$1:$F$2000,$Y74+3),""))</f>
        <v/>
      </c>
      <c r="I74" s="98" t="str">
        <f>IF($Y74="","",IF($Y74&lt;=1997,N(INDEX('Deal maths'!$F$1:$F$2000,$Y74+3))-AsAt,N(INDEX('Deal maths'!$O$1:$O$2000,$Y74-1997+3))))</f>
        <v/>
      </c>
      <c r="J74" s="99" t="str">
        <f>IF($Y74="","",IF($Y74&lt;=1997,INDEX('Term investments'!$J$1:$J$2000,$Y74+3),INDEX('Call accounts and MMFs'!$G$1:$G$2000,$Y74-1997+3))&amp;"")</f>
        <v/>
      </c>
      <c r="K74" s="92" t="str">
        <f>IF($Y74="","",N(E74)*N(F74))</f>
        <v/>
      </c>
      <c r="L74" s="100" t="str">
        <f>IF($Y74="","",IF($Y74&lt;=1997,"Term investments, row "&amp;($Y74+3),"Call accounts and MMFs, row "&amp;($Y74-1997+3)))</f>
        <v/>
      </c>
      <c r="Y74" t="str">
        <f>IFERROR(MATCH(SMALL('List maths'!$E$4:$E$3997,66),'List maths'!$E$4:$E$3997,0),"")</f>
        <v/>
      </c>
    </row>
    <row r="75">
      <c r="B75" s="91" t="str">
        <f>IF($Y75="","",IF($Y75&lt;=1997,INDEX('Term investments'!$B$1:$B$2000,$Y75+3),INDEX('Call accounts and MMFs'!$B$1:$B$2000,$Y75-1997+3))&amp;"")</f>
        <v/>
      </c>
      <c r="C75" s="91" t="str">
        <f>IF($Y75="","",IF($Y75&lt;=1997,INDEX('Term investments'!$A$1:$A$2000,$Y75+3),INDEX('Call accounts and MMFs'!$A$1:$A$2000,$Y75-1997+3))&amp;"")</f>
        <v/>
      </c>
      <c r="D75" s="91" t="str">
        <f>IF($Y75="","",IF($Y75&lt;=1997,INDEX('Term investments'!$C$1:$C$2000,$Y75+3),INDEX('Call accounts and MMFs'!$C$1:$C$2000,$Y75-1997+3))&amp;"")</f>
        <v/>
      </c>
      <c r="E75" s="92" t="str">
        <f>IF($Y75="","",IF($Y75&lt;=1997,IF(N(INDEX('Deal maths'!$H$1:$H$2000,$Y75+3))&gt;0,N(INDEX('Deal maths'!$H$1:$H$2000,$Y75+3)),N(INDEX('Deal maths'!$D$1:$D$2000,$Y75+3))),N(INDEX('Deal maths'!$M$1:$M$2000,$Y75-1997+3))))</f>
        <v/>
      </c>
      <c r="F75" s="93" t="str">
        <f>IF($Y75="","",IF($Y75&lt;=1997,INDEX('Deal maths'!$G$1:$G$2000,$Y75+3),INDEX('Deal maths'!$N$1:$N$2000,$Y75-1997+3)))</f>
        <v/>
      </c>
      <c r="G75" s="94" t="str">
        <f>IF($Y75="","",IF($Y75&lt;=1997,INDEX('Deal maths'!$E$1:$E$2000,$Y75+3),""))</f>
        <v/>
      </c>
      <c r="H75" s="94" t="str">
        <f>IF($Y75="","",IF($Y75&lt;=1997,INDEX('Deal maths'!$F$1:$F$2000,$Y75+3),""))</f>
        <v/>
      </c>
      <c r="I75" s="98" t="str">
        <f>IF($Y75="","",IF($Y75&lt;=1997,N(INDEX('Deal maths'!$F$1:$F$2000,$Y75+3))-AsAt,N(INDEX('Deal maths'!$O$1:$O$2000,$Y75-1997+3))))</f>
        <v/>
      </c>
      <c r="J75" s="99" t="str">
        <f>IF($Y75="","",IF($Y75&lt;=1997,INDEX('Term investments'!$J$1:$J$2000,$Y75+3),INDEX('Call accounts and MMFs'!$G$1:$G$2000,$Y75-1997+3))&amp;"")</f>
        <v/>
      </c>
      <c r="K75" s="92" t="str">
        <f>IF($Y75="","",N(E75)*N(F75))</f>
        <v/>
      </c>
      <c r="L75" s="100" t="str">
        <f>IF($Y75="","",IF($Y75&lt;=1997,"Term investments, row "&amp;($Y75+3),"Call accounts and MMFs, row "&amp;($Y75-1997+3)))</f>
        <v/>
      </c>
      <c r="Y75" t="str">
        <f>IFERROR(MATCH(SMALL('List maths'!$E$4:$E$3997,67),'List maths'!$E$4:$E$3997,0),"")</f>
        <v/>
      </c>
    </row>
    <row r="76">
      <c r="B76" s="91" t="str">
        <f>IF($Y76="","",IF($Y76&lt;=1997,INDEX('Term investments'!$B$1:$B$2000,$Y76+3),INDEX('Call accounts and MMFs'!$B$1:$B$2000,$Y76-1997+3))&amp;"")</f>
        <v/>
      </c>
      <c r="C76" s="91" t="str">
        <f>IF($Y76="","",IF($Y76&lt;=1997,INDEX('Term investments'!$A$1:$A$2000,$Y76+3),INDEX('Call accounts and MMFs'!$A$1:$A$2000,$Y76-1997+3))&amp;"")</f>
        <v/>
      </c>
      <c r="D76" s="91" t="str">
        <f>IF($Y76="","",IF($Y76&lt;=1997,INDEX('Term investments'!$C$1:$C$2000,$Y76+3),INDEX('Call accounts and MMFs'!$C$1:$C$2000,$Y76-1997+3))&amp;"")</f>
        <v/>
      </c>
      <c r="E76" s="92" t="str">
        <f>IF($Y76="","",IF($Y76&lt;=1997,IF(N(INDEX('Deal maths'!$H$1:$H$2000,$Y76+3))&gt;0,N(INDEX('Deal maths'!$H$1:$H$2000,$Y76+3)),N(INDEX('Deal maths'!$D$1:$D$2000,$Y76+3))),N(INDEX('Deal maths'!$M$1:$M$2000,$Y76-1997+3))))</f>
        <v/>
      </c>
      <c r="F76" s="93" t="str">
        <f>IF($Y76="","",IF($Y76&lt;=1997,INDEX('Deal maths'!$G$1:$G$2000,$Y76+3),INDEX('Deal maths'!$N$1:$N$2000,$Y76-1997+3)))</f>
        <v/>
      </c>
      <c r="G76" s="94" t="str">
        <f>IF($Y76="","",IF($Y76&lt;=1997,INDEX('Deal maths'!$E$1:$E$2000,$Y76+3),""))</f>
        <v/>
      </c>
      <c r="H76" s="94" t="str">
        <f>IF($Y76="","",IF($Y76&lt;=1997,INDEX('Deal maths'!$F$1:$F$2000,$Y76+3),""))</f>
        <v/>
      </c>
      <c r="I76" s="98" t="str">
        <f>IF($Y76="","",IF($Y76&lt;=1997,N(INDEX('Deal maths'!$F$1:$F$2000,$Y76+3))-AsAt,N(INDEX('Deal maths'!$O$1:$O$2000,$Y76-1997+3))))</f>
        <v/>
      </c>
      <c r="J76" s="99" t="str">
        <f>IF($Y76="","",IF($Y76&lt;=1997,INDEX('Term investments'!$J$1:$J$2000,$Y76+3),INDEX('Call accounts and MMFs'!$G$1:$G$2000,$Y76-1997+3))&amp;"")</f>
        <v/>
      </c>
      <c r="K76" s="92" t="str">
        <f>IF($Y76="","",N(E76)*N(F76))</f>
        <v/>
      </c>
      <c r="L76" s="100" t="str">
        <f>IF($Y76="","",IF($Y76&lt;=1997,"Term investments, row "&amp;($Y76+3),"Call accounts and MMFs, row "&amp;($Y76-1997+3)))</f>
        <v/>
      </c>
      <c r="Y76" t="str">
        <f>IFERROR(MATCH(SMALL('List maths'!$E$4:$E$3997,68),'List maths'!$E$4:$E$3997,0),"")</f>
        <v/>
      </c>
    </row>
    <row r="77">
      <c r="B77" s="91" t="str">
        <f>IF($Y77="","",IF($Y77&lt;=1997,INDEX('Term investments'!$B$1:$B$2000,$Y77+3),INDEX('Call accounts and MMFs'!$B$1:$B$2000,$Y77-1997+3))&amp;"")</f>
        <v/>
      </c>
      <c r="C77" s="91" t="str">
        <f>IF($Y77="","",IF($Y77&lt;=1997,INDEX('Term investments'!$A$1:$A$2000,$Y77+3),INDEX('Call accounts and MMFs'!$A$1:$A$2000,$Y77-1997+3))&amp;"")</f>
        <v/>
      </c>
      <c r="D77" s="91" t="str">
        <f>IF($Y77="","",IF($Y77&lt;=1997,INDEX('Term investments'!$C$1:$C$2000,$Y77+3),INDEX('Call accounts and MMFs'!$C$1:$C$2000,$Y77-1997+3))&amp;"")</f>
        <v/>
      </c>
      <c r="E77" s="92" t="str">
        <f>IF($Y77="","",IF($Y77&lt;=1997,IF(N(INDEX('Deal maths'!$H$1:$H$2000,$Y77+3))&gt;0,N(INDEX('Deal maths'!$H$1:$H$2000,$Y77+3)),N(INDEX('Deal maths'!$D$1:$D$2000,$Y77+3))),N(INDEX('Deal maths'!$M$1:$M$2000,$Y77-1997+3))))</f>
        <v/>
      </c>
      <c r="F77" s="93" t="str">
        <f>IF($Y77="","",IF($Y77&lt;=1997,INDEX('Deal maths'!$G$1:$G$2000,$Y77+3),INDEX('Deal maths'!$N$1:$N$2000,$Y77-1997+3)))</f>
        <v/>
      </c>
      <c r="G77" s="94" t="str">
        <f>IF($Y77="","",IF($Y77&lt;=1997,INDEX('Deal maths'!$E$1:$E$2000,$Y77+3),""))</f>
        <v/>
      </c>
      <c r="H77" s="94" t="str">
        <f>IF($Y77="","",IF($Y77&lt;=1997,INDEX('Deal maths'!$F$1:$F$2000,$Y77+3),""))</f>
        <v/>
      </c>
      <c r="I77" s="98" t="str">
        <f>IF($Y77="","",IF($Y77&lt;=1997,N(INDEX('Deal maths'!$F$1:$F$2000,$Y77+3))-AsAt,N(INDEX('Deal maths'!$O$1:$O$2000,$Y77-1997+3))))</f>
        <v/>
      </c>
      <c r="J77" s="99" t="str">
        <f>IF($Y77="","",IF($Y77&lt;=1997,INDEX('Term investments'!$J$1:$J$2000,$Y77+3),INDEX('Call accounts and MMFs'!$G$1:$G$2000,$Y77-1997+3))&amp;"")</f>
        <v/>
      </c>
      <c r="K77" s="92" t="str">
        <f>IF($Y77="","",N(E77)*N(F77))</f>
        <v/>
      </c>
      <c r="L77" s="100" t="str">
        <f>IF($Y77="","",IF($Y77&lt;=1997,"Term investments, row "&amp;($Y77+3),"Call accounts and MMFs, row "&amp;($Y77-1997+3)))</f>
        <v/>
      </c>
      <c r="Y77" t="str">
        <f>IFERROR(MATCH(SMALL('List maths'!$E$4:$E$3997,69),'List maths'!$E$4:$E$3997,0),"")</f>
        <v/>
      </c>
    </row>
    <row r="78">
      <c r="B78" s="91" t="str">
        <f>IF($Y78="","",IF($Y78&lt;=1997,INDEX('Term investments'!$B$1:$B$2000,$Y78+3),INDEX('Call accounts and MMFs'!$B$1:$B$2000,$Y78-1997+3))&amp;"")</f>
        <v/>
      </c>
      <c r="C78" s="91" t="str">
        <f>IF($Y78="","",IF($Y78&lt;=1997,INDEX('Term investments'!$A$1:$A$2000,$Y78+3),INDEX('Call accounts and MMFs'!$A$1:$A$2000,$Y78-1997+3))&amp;"")</f>
        <v/>
      </c>
      <c r="D78" s="91" t="str">
        <f>IF($Y78="","",IF($Y78&lt;=1997,INDEX('Term investments'!$C$1:$C$2000,$Y78+3),INDEX('Call accounts and MMFs'!$C$1:$C$2000,$Y78-1997+3))&amp;"")</f>
        <v/>
      </c>
      <c r="E78" s="92" t="str">
        <f>IF($Y78="","",IF($Y78&lt;=1997,IF(N(INDEX('Deal maths'!$H$1:$H$2000,$Y78+3))&gt;0,N(INDEX('Deal maths'!$H$1:$H$2000,$Y78+3)),N(INDEX('Deal maths'!$D$1:$D$2000,$Y78+3))),N(INDEX('Deal maths'!$M$1:$M$2000,$Y78-1997+3))))</f>
        <v/>
      </c>
      <c r="F78" s="93" t="str">
        <f>IF($Y78="","",IF($Y78&lt;=1997,INDEX('Deal maths'!$G$1:$G$2000,$Y78+3),INDEX('Deal maths'!$N$1:$N$2000,$Y78-1997+3)))</f>
        <v/>
      </c>
      <c r="G78" s="94" t="str">
        <f>IF($Y78="","",IF($Y78&lt;=1997,INDEX('Deal maths'!$E$1:$E$2000,$Y78+3),""))</f>
        <v/>
      </c>
      <c r="H78" s="94" t="str">
        <f>IF($Y78="","",IF($Y78&lt;=1997,INDEX('Deal maths'!$F$1:$F$2000,$Y78+3),""))</f>
        <v/>
      </c>
      <c r="I78" s="98" t="str">
        <f>IF($Y78="","",IF($Y78&lt;=1997,N(INDEX('Deal maths'!$F$1:$F$2000,$Y78+3))-AsAt,N(INDEX('Deal maths'!$O$1:$O$2000,$Y78-1997+3))))</f>
        <v/>
      </c>
      <c r="J78" s="99" t="str">
        <f>IF($Y78="","",IF($Y78&lt;=1997,INDEX('Term investments'!$J$1:$J$2000,$Y78+3),INDEX('Call accounts and MMFs'!$G$1:$G$2000,$Y78-1997+3))&amp;"")</f>
        <v/>
      </c>
      <c r="K78" s="92" t="str">
        <f>IF($Y78="","",N(E78)*N(F78))</f>
        <v/>
      </c>
      <c r="L78" s="100" t="str">
        <f>IF($Y78="","",IF($Y78&lt;=1997,"Term investments, row "&amp;($Y78+3),"Call accounts and MMFs, row "&amp;($Y78-1997+3)))</f>
        <v/>
      </c>
      <c r="Y78" t="str">
        <f>IFERROR(MATCH(SMALL('List maths'!$E$4:$E$3997,70),'List maths'!$E$4:$E$3997,0),"")</f>
        <v/>
      </c>
    </row>
    <row r="79">
      <c r="B79" s="91" t="str">
        <f>IF($Y79="","",IF($Y79&lt;=1997,INDEX('Term investments'!$B$1:$B$2000,$Y79+3),INDEX('Call accounts and MMFs'!$B$1:$B$2000,$Y79-1997+3))&amp;"")</f>
        <v/>
      </c>
      <c r="C79" s="91" t="str">
        <f>IF($Y79="","",IF($Y79&lt;=1997,INDEX('Term investments'!$A$1:$A$2000,$Y79+3),INDEX('Call accounts and MMFs'!$A$1:$A$2000,$Y79-1997+3))&amp;"")</f>
        <v/>
      </c>
      <c r="D79" s="91" t="str">
        <f>IF($Y79="","",IF($Y79&lt;=1997,INDEX('Term investments'!$C$1:$C$2000,$Y79+3),INDEX('Call accounts and MMFs'!$C$1:$C$2000,$Y79-1997+3))&amp;"")</f>
        <v/>
      </c>
      <c r="E79" s="92" t="str">
        <f>IF($Y79="","",IF($Y79&lt;=1997,IF(N(INDEX('Deal maths'!$H$1:$H$2000,$Y79+3))&gt;0,N(INDEX('Deal maths'!$H$1:$H$2000,$Y79+3)),N(INDEX('Deal maths'!$D$1:$D$2000,$Y79+3))),N(INDEX('Deal maths'!$M$1:$M$2000,$Y79-1997+3))))</f>
        <v/>
      </c>
      <c r="F79" s="93" t="str">
        <f>IF($Y79="","",IF($Y79&lt;=1997,INDEX('Deal maths'!$G$1:$G$2000,$Y79+3),INDEX('Deal maths'!$N$1:$N$2000,$Y79-1997+3)))</f>
        <v/>
      </c>
      <c r="G79" s="94" t="str">
        <f>IF($Y79="","",IF($Y79&lt;=1997,INDEX('Deal maths'!$E$1:$E$2000,$Y79+3),""))</f>
        <v/>
      </c>
      <c r="H79" s="94" t="str">
        <f>IF($Y79="","",IF($Y79&lt;=1997,INDEX('Deal maths'!$F$1:$F$2000,$Y79+3),""))</f>
        <v/>
      </c>
      <c r="I79" s="98" t="str">
        <f>IF($Y79="","",IF($Y79&lt;=1997,N(INDEX('Deal maths'!$F$1:$F$2000,$Y79+3))-AsAt,N(INDEX('Deal maths'!$O$1:$O$2000,$Y79-1997+3))))</f>
        <v/>
      </c>
      <c r="J79" s="99" t="str">
        <f>IF($Y79="","",IF($Y79&lt;=1997,INDEX('Term investments'!$J$1:$J$2000,$Y79+3),INDEX('Call accounts and MMFs'!$G$1:$G$2000,$Y79-1997+3))&amp;"")</f>
        <v/>
      </c>
      <c r="K79" s="92" t="str">
        <f>IF($Y79="","",N(E79)*N(F79))</f>
        <v/>
      </c>
      <c r="L79" s="100" t="str">
        <f>IF($Y79="","",IF($Y79&lt;=1997,"Term investments, row "&amp;($Y79+3),"Call accounts and MMFs, row "&amp;($Y79-1997+3)))</f>
        <v/>
      </c>
      <c r="Y79" t="str">
        <f>IFERROR(MATCH(SMALL('List maths'!$E$4:$E$3997,71),'List maths'!$E$4:$E$3997,0),"")</f>
        <v/>
      </c>
    </row>
    <row r="80">
      <c r="B80" s="91" t="str">
        <f>IF($Y80="","",IF($Y80&lt;=1997,INDEX('Term investments'!$B$1:$B$2000,$Y80+3),INDEX('Call accounts and MMFs'!$B$1:$B$2000,$Y80-1997+3))&amp;"")</f>
        <v/>
      </c>
      <c r="C80" s="91" t="str">
        <f>IF($Y80="","",IF($Y80&lt;=1997,INDEX('Term investments'!$A$1:$A$2000,$Y80+3),INDEX('Call accounts and MMFs'!$A$1:$A$2000,$Y80-1997+3))&amp;"")</f>
        <v/>
      </c>
      <c r="D80" s="91" t="str">
        <f>IF($Y80="","",IF($Y80&lt;=1997,INDEX('Term investments'!$C$1:$C$2000,$Y80+3),INDEX('Call accounts and MMFs'!$C$1:$C$2000,$Y80-1997+3))&amp;"")</f>
        <v/>
      </c>
      <c r="E80" s="92" t="str">
        <f>IF($Y80="","",IF($Y80&lt;=1997,IF(N(INDEX('Deal maths'!$H$1:$H$2000,$Y80+3))&gt;0,N(INDEX('Deal maths'!$H$1:$H$2000,$Y80+3)),N(INDEX('Deal maths'!$D$1:$D$2000,$Y80+3))),N(INDEX('Deal maths'!$M$1:$M$2000,$Y80-1997+3))))</f>
        <v/>
      </c>
      <c r="F80" s="93" t="str">
        <f>IF($Y80="","",IF($Y80&lt;=1997,INDEX('Deal maths'!$G$1:$G$2000,$Y80+3),INDEX('Deal maths'!$N$1:$N$2000,$Y80-1997+3)))</f>
        <v/>
      </c>
      <c r="G80" s="94" t="str">
        <f>IF($Y80="","",IF($Y80&lt;=1997,INDEX('Deal maths'!$E$1:$E$2000,$Y80+3),""))</f>
        <v/>
      </c>
      <c r="H80" s="94" t="str">
        <f>IF($Y80="","",IF($Y80&lt;=1997,INDEX('Deal maths'!$F$1:$F$2000,$Y80+3),""))</f>
        <v/>
      </c>
      <c r="I80" s="98" t="str">
        <f>IF($Y80="","",IF($Y80&lt;=1997,N(INDEX('Deal maths'!$F$1:$F$2000,$Y80+3))-AsAt,N(INDEX('Deal maths'!$O$1:$O$2000,$Y80-1997+3))))</f>
        <v/>
      </c>
      <c r="J80" s="99" t="str">
        <f>IF($Y80="","",IF($Y80&lt;=1997,INDEX('Term investments'!$J$1:$J$2000,$Y80+3),INDEX('Call accounts and MMFs'!$G$1:$G$2000,$Y80-1997+3))&amp;"")</f>
        <v/>
      </c>
      <c r="K80" s="92" t="str">
        <f>IF($Y80="","",N(E80)*N(F80))</f>
        <v/>
      </c>
      <c r="L80" s="100" t="str">
        <f>IF($Y80="","",IF($Y80&lt;=1997,"Term investments, row "&amp;($Y80+3),"Call accounts and MMFs, row "&amp;($Y80-1997+3)))</f>
        <v/>
      </c>
      <c r="Y80" t="str">
        <f>IFERROR(MATCH(SMALL('List maths'!$E$4:$E$3997,72),'List maths'!$E$4:$E$3997,0),"")</f>
        <v/>
      </c>
    </row>
    <row r="81">
      <c r="B81" s="91" t="str">
        <f>IF($Y81="","",IF($Y81&lt;=1997,INDEX('Term investments'!$B$1:$B$2000,$Y81+3),INDEX('Call accounts and MMFs'!$B$1:$B$2000,$Y81-1997+3))&amp;"")</f>
        <v/>
      </c>
      <c r="C81" s="91" t="str">
        <f>IF($Y81="","",IF($Y81&lt;=1997,INDEX('Term investments'!$A$1:$A$2000,$Y81+3),INDEX('Call accounts and MMFs'!$A$1:$A$2000,$Y81-1997+3))&amp;"")</f>
        <v/>
      </c>
      <c r="D81" s="91" t="str">
        <f>IF($Y81="","",IF($Y81&lt;=1997,INDEX('Term investments'!$C$1:$C$2000,$Y81+3),INDEX('Call accounts and MMFs'!$C$1:$C$2000,$Y81-1997+3))&amp;"")</f>
        <v/>
      </c>
      <c r="E81" s="92" t="str">
        <f>IF($Y81="","",IF($Y81&lt;=1997,IF(N(INDEX('Deal maths'!$H$1:$H$2000,$Y81+3))&gt;0,N(INDEX('Deal maths'!$H$1:$H$2000,$Y81+3)),N(INDEX('Deal maths'!$D$1:$D$2000,$Y81+3))),N(INDEX('Deal maths'!$M$1:$M$2000,$Y81-1997+3))))</f>
        <v/>
      </c>
      <c r="F81" s="93" t="str">
        <f>IF($Y81="","",IF($Y81&lt;=1997,INDEX('Deal maths'!$G$1:$G$2000,$Y81+3),INDEX('Deal maths'!$N$1:$N$2000,$Y81-1997+3)))</f>
        <v/>
      </c>
      <c r="G81" s="94" t="str">
        <f>IF($Y81="","",IF($Y81&lt;=1997,INDEX('Deal maths'!$E$1:$E$2000,$Y81+3),""))</f>
        <v/>
      </c>
      <c r="H81" s="94" t="str">
        <f>IF($Y81="","",IF($Y81&lt;=1997,INDEX('Deal maths'!$F$1:$F$2000,$Y81+3),""))</f>
        <v/>
      </c>
      <c r="I81" s="98" t="str">
        <f>IF($Y81="","",IF($Y81&lt;=1997,N(INDEX('Deal maths'!$F$1:$F$2000,$Y81+3))-AsAt,N(INDEX('Deal maths'!$O$1:$O$2000,$Y81-1997+3))))</f>
        <v/>
      </c>
      <c r="J81" s="99" t="str">
        <f>IF($Y81="","",IF($Y81&lt;=1997,INDEX('Term investments'!$J$1:$J$2000,$Y81+3),INDEX('Call accounts and MMFs'!$G$1:$G$2000,$Y81-1997+3))&amp;"")</f>
        <v/>
      </c>
      <c r="K81" s="92" t="str">
        <f>IF($Y81="","",N(E81)*N(F81))</f>
        <v/>
      </c>
      <c r="L81" s="100" t="str">
        <f>IF($Y81="","",IF($Y81&lt;=1997,"Term investments, row "&amp;($Y81+3),"Call accounts and MMFs, row "&amp;($Y81-1997+3)))</f>
        <v/>
      </c>
      <c r="Y81" t="str">
        <f>IFERROR(MATCH(SMALL('List maths'!$E$4:$E$3997,73),'List maths'!$E$4:$E$3997,0),"")</f>
        <v/>
      </c>
    </row>
    <row r="82">
      <c r="B82" s="91" t="str">
        <f>IF($Y82="","",IF($Y82&lt;=1997,INDEX('Term investments'!$B$1:$B$2000,$Y82+3),INDEX('Call accounts and MMFs'!$B$1:$B$2000,$Y82-1997+3))&amp;"")</f>
        <v/>
      </c>
      <c r="C82" s="91" t="str">
        <f>IF($Y82="","",IF($Y82&lt;=1997,INDEX('Term investments'!$A$1:$A$2000,$Y82+3),INDEX('Call accounts and MMFs'!$A$1:$A$2000,$Y82-1997+3))&amp;"")</f>
        <v/>
      </c>
      <c r="D82" s="91" t="str">
        <f>IF($Y82="","",IF($Y82&lt;=1997,INDEX('Term investments'!$C$1:$C$2000,$Y82+3),INDEX('Call accounts and MMFs'!$C$1:$C$2000,$Y82-1997+3))&amp;"")</f>
        <v/>
      </c>
      <c r="E82" s="92" t="str">
        <f>IF($Y82="","",IF($Y82&lt;=1997,IF(N(INDEX('Deal maths'!$H$1:$H$2000,$Y82+3))&gt;0,N(INDEX('Deal maths'!$H$1:$H$2000,$Y82+3)),N(INDEX('Deal maths'!$D$1:$D$2000,$Y82+3))),N(INDEX('Deal maths'!$M$1:$M$2000,$Y82-1997+3))))</f>
        <v/>
      </c>
      <c r="F82" s="93" t="str">
        <f>IF($Y82="","",IF($Y82&lt;=1997,INDEX('Deal maths'!$G$1:$G$2000,$Y82+3),INDEX('Deal maths'!$N$1:$N$2000,$Y82-1997+3)))</f>
        <v/>
      </c>
      <c r="G82" s="94" t="str">
        <f>IF($Y82="","",IF($Y82&lt;=1997,INDEX('Deal maths'!$E$1:$E$2000,$Y82+3),""))</f>
        <v/>
      </c>
      <c r="H82" s="94" t="str">
        <f>IF($Y82="","",IF($Y82&lt;=1997,INDEX('Deal maths'!$F$1:$F$2000,$Y82+3),""))</f>
        <v/>
      </c>
      <c r="I82" s="98" t="str">
        <f>IF($Y82="","",IF($Y82&lt;=1997,N(INDEX('Deal maths'!$F$1:$F$2000,$Y82+3))-AsAt,N(INDEX('Deal maths'!$O$1:$O$2000,$Y82-1997+3))))</f>
        <v/>
      </c>
      <c r="J82" s="99" t="str">
        <f>IF($Y82="","",IF($Y82&lt;=1997,INDEX('Term investments'!$J$1:$J$2000,$Y82+3),INDEX('Call accounts and MMFs'!$G$1:$G$2000,$Y82-1997+3))&amp;"")</f>
        <v/>
      </c>
      <c r="K82" s="92" t="str">
        <f>IF($Y82="","",N(E82)*N(F82))</f>
        <v/>
      </c>
      <c r="L82" s="100" t="str">
        <f>IF($Y82="","",IF($Y82&lt;=1997,"Term investments, row "&amp;($Y82+3),"Call accounts and MMFs, row "&amp;($Y82-1997+3)))</f>
        <v/>
      </c>
      <c r="Y82" t="str">
        <f>IFERROR(MATCH(SMALL('List maths'!$E$4:$E$3997,74),'List maths'!$E$4:$E$3997,0),"")</f>
        <v/>
      </c>
    </row>
    <row r="83">
      <c r="B83" s="91" t="str">
        <f>IF($Y83="","",IF($Y83&lt;=1997,INDEX('Term investments'!$B$1:$B$2000,$Y83+3),INDEX('Call accounts and MMFs'!$B$1:$B$2000,$Y83-1997+3))&amp;"")</f>
        <v/>
      </c>
      <c r="C83" s="91" t="str">
        <f>IF($Y83="","",IF($Y83&lt;=1997,INDEX('Term investments'!$A$1:$A$2000,$Y83+3),INDEX('Call accounts and MMFs'!$A$1:$A$2000,$Y83-1997+3))&amp;"")</f>
        <v/>
      </c>
      <c r="D83" s="91" t="str">
        <f>IF($Y83="","",IF($Y83&lt;=1997,INDEX('Term investments'!$C$1:$C$2000,$Y83+3),INDEX('Call accounts and MMFs'!$C$1:$C$2000,$Y83-1997+3))&amp;"")</f>
        <v/>
      </c>
      <c r="E83" s="92" t="str">
        <f>IF($Y83="","",IF($Y83&lt;=1997,IF(N(INDEX('Deal maths'!$H$1:$H$2000,$Y83+3))&gt;0,N(INDEX('Deal maths'!$H$1:$H$2000,$Y83+3)),N(INDEX('Deal maths'!$D$1:$D$2000,$Y83+3))),N(INDEX('Deal maths'!$M$1:$M$2000,$Y83-1997+3))))</f>
        <v/>
      </c>
      <c r="F83" s="93" t="str">
        <f>IF($Y83="","",IF($Y83&lt;=1997,INDEX('Deal maths'!$G$1:$G$2000,$Y83+3),INDEX('Deal maths'!$N$1:$N$2000,$Y83-1997+3)))</f>
        <v/>
      </c>
      <c r="G83" s="94" t="str">
        <f>IF($Y83="","",IF($Y83&lt;=1997,INDEX('Deal maths'!$E$1:$E$2000,$Y83+3),""))</f>
        <v/>
      </c>
      <c r="H83" s="94" t="str">
        <f>IF($Y83="","",IF($Y83&lt;=1997,INDEX('Deal maths'!$F$1:$F$2000,$Y83+3),""))</f>
        <v/>
      </c>
      <c r="I83" s="98" t="str">
        <f>IF($Y83="","",IF($Y83&lt;=1997,N(INDEX('Deal maths'!$F$1:$F$2000,$Y83+3))-AsAt,N(INDEX('Deal maths'!$O$1:$O$2000,$Y83-1997+3))))</f>
        <v/>
      </c>
      <c r="J83" s="99" t="str">
        <f>IF($Y83="","",IF($Y83&lt;=1997,INDEX('Term investments'!$J$1:$J$2000,$Y83+3),INDEX('Call accounts and MMFs'!$G$1:$G$2000,$Y83-1997+3))&amp;"")</f>
        <v/>
      </c>
      <c r="K83" s="92" t="str">
        <f>IF($Y83="","",N(E83)*N(F83))</f>
        <v/>
      </c>
      <c r="L83" s="100" t="str">
        <f>IF($Y83="","",IF($Y83&lt;=1997,"Term investments, row "&amp;($Y83+3),"Call accounts and MMFs, row "&amp;($Y83-1997+3)))</f>
        <v/>
      </c>
      <c r="Y83" t="str">
        <f>IFERROR(MATCH(SMALL('List maths'!$E$4:$E$3997,75),'List maths'!$E$4:$E$3997,0),"")</f>
        <v/>
      </c>
    </row>
    <row r="84">
      <c r="B84" s="91" t="str">
        <f>IF($Y84="","",IF($Y84&lt;=1997,INDEX('Term investments'!$B$1:$B$2000,$Y84+3),INDEX('Call accounts and MMFs'!$B$1:$B$2000,$Y84-1997+3))&amp;"")</f>
        <v/>
      </c>
      <c r="C84" s="91" t="str">
        <f>IF($Y84="","",IF($Y84&lt;=1997,INDEX('Term investments'!$A$1:$A$2000,$Y84+3),INDEX('Call accounts and MMFs'!$A$1:$A$2000,$Y84-1997+3))&amp;"")</f>
        <v/>
      </c>
      <c r="D84" s="91" t="str">
        <f>IF($Y84="","",IF($Y84&lt;=1997,INDEX('Term investments'!$C$1:$C$2000,$Y84+3),INDEX('Call accounts and MMFs'!$C$1:$C$2000,$Y84-1997+3))&amp;"")</f>
        <v/>
      </c>
      <c r="E84" s="92" t="str">
        <f>IF($Y84="","",IF($Y84&lt;=1997,IF(N(INDEX('Deal maths'!$H$1:$H$2000,$Y84+3))&gt;0,N(INDEX('Deal maths'!$H$1:$H$2000,$Y84+3)),N(INDEX('Deal maths'!$D$1:$D$2000,$Y84+3))),N(INDEX('Deal maths'!$M$1:$M$2000,$Y84-1997+3))))</f>
        <v/>
      </c>
      <c r="F84" s="93" t="str">
        <f>IF($Y84="","",IF($Y84&lt;=1997,INDEX('Deal maths'!$G$1:$G$2000,$Y84+3),INDEX('Deal maths'!$N$1:$N$2000,$Y84-1997+3)))</f>
        <v/>
      </c>
      <c r="G84" s="94" t="str">
        <f>IF($Y84="","",IF($Y84&lt;=1997,INDEX('Deal maths'!$E$1:$E$2000,$Y84+3),""))</f>
        <v/>
      </c>
      <c r="H84" s="94" t="str">
        <f>IF($Y84="","",IF($Y84&lt;=1997,INDEX('Deal maths'!$F$1:$F$2000,$Y84+3),""))</f>
        <v/>
      </c>
      <c r="I84" s="98" t="str">
        <f>IF($Y84="","",IF($Y84&lt;=1997,N(INDEX('Deal maths'!$F$1:$F$2000,$Y84+3))-AsAt,N(INDEX('Deal maths'!$O$1:$O$2000,$Y84-1997+3))))</f>
        <v/>
      </c>
      <c r="J84" s="99" t="str">
        <f>IF($Y84="","",IF($Y84&lt;=1997,INDEX('Term investments'!$J$1:$J$2000,$Y84+3),INDEX('Call accounts and MMFs'!$G$1:$G$2000,$Y84-1997+3))&amp;"")</f>
        <v/>
      </c>
      <c r="K84" s="92" t="str">
        <f>IF($Y84="","",N(E84)*N(F84))</f>
        <v/>
      </c>
      <c r="L84" s="100" t="str">
        <f>IF($Y84="","",IF($Y84&lt;=1997,"Term investments, row "&amp;($Y84+3),"Call accounts and MMFs, row "&amp;($Y84-1997+3)))</f>
        <v/>
      </c>
      <c r="Y84" t="str">
        <f>IFERROR(MATCH(SMALL('List maths'!$E$4:$E$3997,76),'List maths'!$E$4:$E$3997,0),"")</f>
        <v/>
      </c>
    </row>
    <row r="85">
      <c r="B85" s="91" t="str">
        <f>IF($Y85="","",IF($Y85&lt;=1997,INDEX('Term investments'!$B$1:$B$2000,$Y85+3),INDEX('Call accounts and MMFs'!$B$1:$B$2000,$Y85-1997+3))&amp;"")</f>
        <v/>
      </c>
      <c r="C85" s="91" t="str">
        <f>IF($Y85="","",IF($Y85&lt;=1997,INDEX('Term investments'!$A$1:$A$2000,$Y85+3),INDEX('Call accounts and MMFs'!$A$1:$A$2000,$Y85-1997+3))&amp;"")</f>
        <v/>
      </c>
      <c r="D85" s="91" t="str">
        <f>IF($Y85="","",IF($Y85&lt;=1997,INDEX('Term investments'!$C$1:$C$2000,$Y85+3),INDEX('Call accounts and MMFs'!$C$1:$C$2000,$Y85-1997+3))&amp;"")</f>
        <v/>
      </c>
      <c r="E85" s="92" t="str">
        <f>IF($Y85="","",IF($Y85&lt;=1997,IF(N(INDEX('Deal maths'!$H$1:$H$2000,$Y85+3))&gt;0,N(INDEX('Deal maths'!$H$1:$H$2000,$Y85+3)),N(INDEX('Deal maths'!$D$1:$D$2000,$Y85+3))),N(INDEX('Deal maths'!$M$1:$M$2000,$Y85-1997+3))))</f>
        <v/>
      </c>
      <c r="F85" s="93" t="str">
        <f>IF($Y85="","",IF($Y85&lt;=1997,INDEX('Deal maths'!$G$1:$G$2000,$Y85+3),INDEX('Deal maths'!$N$1:$N$2000,$Y85-1997+3)))</f>
        <v/>
      </c>
      <c r="G85" s="94" t="str">
        <f>IF($Y85="","",IF($Y85&lt;=1997,INDEX('Deal maths'!$E$1:$E$2000,$Y85+3),""))</f>
        <v/>
      </c>
      <c r="H85" s="94" t="str">
        <f>IF($Y85="","",IF($Y85&lt;=1997,INDEX('Deal maths'!$F$1:$F$2000,$Y85+3),""))</f>
        <v/>
      </c>
      <c r="I85" s="98" t="str">
        <f>IF($Y85="","",IF($Y85&lt;=1997,N(INDEX('Deal maths'!$F$1:$F$2000,$Y85+3))-AsAt,N(INDEX('Deal maths'!$O$1:$O$2000,$Y85-1997+3))))</f>
        <v/>
      </c>
      <c r="J85" s="99" t="str">
        <f>IF($Y85="","",IF($Y85&lt;=1997,INDEX('Term investments'!$J$1:$J$2000,$Y85+3),INDEX('Call accounts and MMFs'!$G$1:$G$2000,$Y85-1997+3))&amp;"")</f>
        <v/>
      </c>
      <c r="K85" s="92" t="str">
        <f>IF($Y85="","",N(E85)*N(F85))</f>
        <v/>
      </c>
      <c r="L85" s="100" t="str">
        <f>IF($Y85="","",IF($Y85&lt;=1997,"Term investments, row "&amp;($Y85+3),"Call accounts and MMFs, row "&amp;($Y85-1997+3)))</f>
        <v/>
      </c>
      <c r="Y85" t="str">
        <f>IFERROR(MATCH(SMALL('List maths'!$E$4:$E$3997,77),'List maths'!$E$4:$E$3997,0),"")</f>
        <v/>
      </c>
    </row>
    <row r="86">
      <c r="B86" s="91" t="str">
        <f>IF($Y86="","",IF($Y86&lt;=1997,INDEX('Term investments'!$B$1:$B$2000,$Y86+3),INDEX('Call accounts and MMFs'!$B$1:$B$2000,$Y86-1997+3))&amp;"")</f>
        <v/>
      </c>
      <c r="C86" s="91" t="str">
        <f>IF($Y86="","",IF($Y86&lt;=1997,INDEX('Term investments'!$A$1:$A$2000,$Y86+3),INDEX('Call accounts and MMFs'!$A$1:$A$2000,$Y86-1997+3))&amp;"")</f>
        <v/>
      </c>
      <c r="D86" s="91" t="str">
        <f>IF($Y86="","",IF($Y86&lt;=1997,INDEX('Term investments'!$C$1:$C$2000,$Y86+3),INDEX('Call accounts and MMFs'!$C$1:$C$2000,$Y86-1997+3))&amp;"")</f>
        <v/>
      </c>
      <c r="E86" s="92" t="str">
        <f>IF($Y86="","",IF($Y86&lt;=1997,IF(N(INDEX('Deal maths'!$H$1:$H$2000,$Y86+3))&gt;0,N(INDEX('Deal maths'!$H$1:$H$2000,$Y86+3)),N(INDEX('Deal maths'!$D$1:$D$2000,$Y86+3))),N(INDEX('Deal maths'!$M$1:$M$2000,$Y86-1997+3))))</f>
        <v/>
      </c>
      <c r="F86" s="93" t="str">
        <f>IF($Y86="","",IF($Y86&lt;=1997,INDEX('Deal maths'!$G$1:$G$2000,$Y86+3),INDEX('Deal maths'!$N$1:$N$2000,$Y86-1997+3)))</f>
        <v/>
      </c>
      <c r="G86" s="94" t="str">
        <f>IF($Y86="","",IF($Y86&lt;=1997,INDEX('Deal maths'!$E$1:$E$2000,$Y86+3),""))</f>
        <v/>
      </c>
      <c r="H86" s="94" t="str">
        <f>IF($Y86="","",IF($Y86&lt;=1997,INDEX('Deal maths'!$F$1:$F$2000,$Y86+3),""))</f>
        <v/>
      </c>
      <c r="I86" s="98" t="str">
        <f>IF($Y86="","",IF($Y86&lt;=1997,N(INDEX('Deal maths'!$F$1:$F$2000,$Y86+3))-AsAt,N(INDEX('Deal maths'!$O$1:$O$2000,$Y86-1997+3))))</f>
        <v/>
      </c>
      <c r="J86" s="99" t="str">
        <f>IF($Y86="","",IF($Y86&lt;=1997,INDEX('Term investments'!$J$1:$J$2000,$Y86+3),INDEX('Call accounts and MMFs'!$G$1:$G$2000,$Y86-1997+3))&amp;"")</f>
        <v/>
      </c>
      <c r="K86" s="92" t="str">
        <f>IF($Y86="","",N(E86)*N(F86))</f>
        <v/>
      </c>
      <c r="L86" s="100" t="str">
        <f>IF($Y86="","",IF($Y86&lt;=1997,"Term investments, row "&amp;($Y86+3),"Call accounts and MMFs, row "&amp;($Y86-1997+3)))</f>
        <v/>
      </c>
      <c r="Y86" t="str">
        <f>IFERROR(MATCH(SMALL('List maths'!$E$4:$E$3997,78),'List maths'!$E$4:$E$3997,0),"")</f>
        <v/>
      </c>
    </row>
    <row r="87">
      <c r="B87" s="91" t="str">
        <f>IF($Y87="","",IF($Y87&lt;=1997,INDEX('Term investments'!$B$1:$B$2000,$Y87+3),INDEX('Call accounts and MMFs'!$B$1:$B$2000,$Y87-1997+3))&amp;"")</f>
        <v/>
      </c>
      <c r="C87" s="91" t="str">
        <f>IF($Y87="","",IF($Y87&lt;=1997,INDEX('Term investments'!$A$1:$A$2000,$Y87+3),INDEX('Call accounts and MMFs'!$A$1:$A$2000,$Y87-1997+3))&amp;"")</f>
        <v/>
      </c>
      <c r="D87" s="91" t="str">
        <f>IF($Y87="","",IF($Y87&lt;=1997,INDEX('Term investments'!$C$1:$C$2000,$Y87+3),INDEX('Call accounts and MMFs'!$C$1:$C$2000,$Y87-1997+3))&amp;"")</f>
        <v/>
      </c>
      <c r="E87" s="92" t="str">
        <f>IF($Y87="","",IF($Y87&lt;=1997,IF(N(INDEX('Deal maths'!$H$1:$H$2000,$Y87+3))&gt;0,N(INDEX('Deal maths'!$H$1:$H$2000,$Y87+3)),N(INDEX('Deal maths'!$D$1:$D$2000,$Y87+3))),N(INDEX('Deal maths'!$M$1:$M$2000,$Y87-1997+3))))</f>
        <v/>
      </c>
      <c r="F87" s="93" t="str">
        <f>IF($Y87="","",IF($Y87&lt;=1997,INDEX('Deal maths'!$G$1:$G$2000,$Y87+3),INDEX('Deal maths'!$N$1:$N$2000,$Y87-1997+3)))</f>
        <v/>
      </c>
      <c r="G87" s="94" t="str">
        <f>IF($Y87="","",IF($Y87&lt;=1997,INDEX('Deal maths'!$E$1:$E$2000,$Y87+3),""))</f>
        <v/>
      </c>
      <c r="H87" s="94" t="str">
        <f>IF($Y87="","",IF($Y87&lt;=1997,INDEX('Deal maths'!$F$1:$F$2000,$Y87+3),""))</f>
        <v/>
      </c>
      <c r="I87" s="98" t="str">
        <f>IF($Y87="","",IF($Y87&lt;=1997,N(INDEX('Deal maths'!$F$1:$F$2000,$Y87+3))-AsAt,N(INDEX('Deal maths'!$O$1:$O$2000,$Y87-1997+3))))</f>
        <v/>
      </c>
      <c r="J87" s="99" t="str">
        <f>IF($Y87="","",IF($Y87&lt;=1997,INDEX('Term investments'!$J$1:$J$2000,$Y87+3),INDEX('Call accounts and MMFs'!$G$1:$G$2000,$Y87-1997+3))&amp;"")</f>
        <v/>
      </c>
      <c r="K87" s="92" t="str">
        <f>IF($Y87="","",N(E87)*N(F87))</f>
        <v/>
      </c>
      <c r="L87" s="100" t="str">
        <f>IF($Y87="","",IF($Y87&lt;=1997,"Term investments, row "&amp;($Y87+3),"Call accounts and MMFs, row "&amp;($Y87-1997+3)))</f>
        <v/>
      </c>
      <c r="Y87" t="str">
        <f>IFERROR(MATCH(SMALL('List maths'!$E$4:$E$3997,79),'List maths'!$E$4:$E$3997,0),"")</f>
        <v/>
      </c>
    </row>
    <row r="88">
      <c r="B88" s="91" t="str">
        <f>IF($Y88="","",IF($Y88&lt;=1997,INDEX('Term investments'!$B$1:$B$2000,$Y88+3),INDEX('Call accounts and MMFs'!$B$1:$B$2000,$Y88-1997+3))&amp;"")</f>
        <v/>
      </c>
      <c r="C88" s="91" t="str">
        <f>IF($Y88="","",IF($Y88&lt;=1997,INDEX('Term investments'!$A$1:$A$2000,$Y88+3),INDEX('Call accounts and MMFs'!$A$1:$A$2000,$Y88-1997+3))&amp;"")</f>
        <v/>
      </c>
      <c r="D88" s="91" t="str">
        <f>IF($Y88="","",IF($Y88&lt;=1997,INDEX('Term investments'!$C$1:$C$2000,$Y88+3),INDEX('Call accounts and MMFs'!$C$1:$C$2000,$Y88-1997+3))&amp;"")</f>
        <v/>
      </c>
      <c r="E88" s="92" t="str">
        <f>IF($Y88="","",IF($Y88&lt;=1997,IF(N(INDEX('Deal maths'!$H$1:$H$2000,$Y88+3))&gt;0,N(INDEX('Deal maths'!$H$1:$H$2000,$Y88+3)),N(INDEX('Deal maths'!$D$1:$D$2000,$Y88+3))),N(INDEX('Deal maths'!$M$1:$M$2000,$Y88-1997+3))))</f>
        <v/>
      </c>
      <c r="F88" s="93" t="str">
        <f>IF($Y88="","",IF($Y88&lt;=1997,INDEX('Deal maths'!$G$1:$G$2000,$Y88+3),INDEX('Deal maths'!$N$1:$N$2000,$Y88-1997+3)))</f>
        <v/>
      </c>
      <c r="G88" s="94" t="str">
        <f>IF($Y88="","",IF($Y88&lt;=1997,INDEX('Deal maths'!$E$1:$E$2000,$Y88+3),""))</f>
        <v/>
      </c>
      <c r="H88" s="94" t="str">
        <f>IF($Y88="","",IF($Y88&lt;=1997,INDEX('Deal maths'!$F$1:$F$2000,$Y88+3),""))</f>
        <v/>
      </c>
      <c r="I88" s="98" t="str">
        <f>IF($Y88="","",IF($Y88&lt;=1997,N(INDEX('Deal maths'!$F$1:$F$2000,$Y88+3))-AsAt,N(INDEX('Deal maths'!$O$1:$O$2000,$Y88-1997+3))))</f>
        <v/>
      </c>
      <c r="J88" s="99" t="str">
        <f>IF($Y88="","",IF($Y88&lt;=1997,INDEX('Term investments'!$J$1:$J$2000,$Y88+3),INDEX('Call accounts and MMFs'!$G$1:$G$2000,$Y88-1997+3))&amp;"")</f>
        <v/>
      </c>
      <c r="K88" s="92" t="str">
        <f>IF($Y88="","",N(E88)*N(F88))</f>
        <v/>
      </c>
      <c r="L88" s="100" t="str">
        <f>IF($Y88="","",IF($Y88&lt;=1997,"Term investments, row "&amp;($Y88+3),"Call accounts and MMFs, row "&amp;($Y88-1997+3)))</f>
        <v/>
      </c>
      <c r="Y88" t="str">
        <f>IFERROR(MATCH(SMALL('List maths'!$E$4:$E$3997,80),'List maths'!$E$4:$E$3997,0),"")</f>
        <v/>
      </c>
    </row>
    <row r="89">
      <c r="B89" s="91" t="str">
        <f>IF($Y89="","",IF($Y89&lt;=1997,INDEX('Term investments'!$B$1:$B$2000,$Y89+3),INDEX('Call accounts and MMFs'!$B$1:$B$2000,$Y89-1997+3))&amp;"")</f>
        <v/>
      </c>
      <c r="C89" s="91" t="str">
        <f>IF($Y89="","",IF($Y89&lt;=1997,INDEX('Term investments'!$A$1:$A$2000,$Y89+3),INDEX('Call accounts and MMFs'!$A$1:$A$2000,$Y89-1997+3))&amp;"")</f>
        <v/>
      </c>
      <c r="D89" s="91" t="str">
        <f>IF($Y89="","",IF($Y89&lt;=1997,INDEX('Term investments'!$C$1:$C$2000,$Y89+3),INDEX('Call accounts and MMFs'!$C$1:$C$2000,$Y89-1997+3))&amp;"")</f>
        <v/>
      </c>
      <c r="E89" s="92" t="str">
        <f>IF($Y89="","",IF($Y89&lt;=1997,IF(N(INDEX('Deal maths'!$H$1:$H$2000,$Y89+3))&gt;0,N(INDEX('Deal maths'!$H$1:$H$2000,$Y89+3)),N(INDEX('Deal maths'!$D$1:$D$2000,$Y89+3))),N(INDEX('Deal maths'!$M$1:$M$2000,$Y89-1997+3))))</f>
        <v/>
      </c>
      <c r="F89" s="93" t="str">
        <f>IF($Y89="","",IF($Y89&lt;=1997,INDEX('Deal maths'!$G$1:$G$2000,$Y89+3),INDEX('Deal maths'!$N$1:$N$2000,$Y89-1997+3)))</f>
        <v/>
      </c>
      <c r="G89" s="94" t="str">
        <f>IF($Y89="","",IF($Y89&lt;=1997,INDEX('Deal maths'!$E$1:$E$2000,$Y89+3),""))</f>
        <v/>
      </c>
      <c r="H89" s="94" t="str">
        <f>IF($Y89="","",IF($Y89&lt;=1997,INDEX('Deal maths'!$F$1:$F$2000,$Y89+3),""))</f>
        <v/>
      </c>
      <c r="I89" s="98" t="str">
        <f>IF($Y89="","",IF($Y89&lt;=1997,N(INDEX('Deal maths'!$F$1:$F$2000,$Y89+3))-AsAt,N(INDEX('Deal maths'!$O$1:$O$2000,$Y89-1997+3))))</f>
        <v/>
      </c>
      <c r="J89" s="99" t="str">
        <f>IF($Y89="","",IF($Y89&lt;=1997,INDEX('Term investments'!$J$1:$J$2000,$Y89+3),INDEX('Call accounts and MMFs'!$G$1:$G$2000,$Y89-1997+3))&amp;"")</f>
        <v/>
      </c>
      <c r="K89" s="92" t="str">
        <f>IF($Y89="","",N(E89)*N(F89))</f>
        <v/>
      </c>
      <c r="L89" s="100" t="str">
        <f>IF($Y89="","",IF($Y89&lt;=1997,"Term investments, row "&amp;($Y89+3),"Call accounts and MMFs, row "&amp;($Y89-1997+3)))</f>
        <v/>
      </c>
      <c r="Y89" t="str">
        <f>IFERROR(MATCH(SMALL('List maths'!$E$4:$E$3997,81),'List maths'!$E$4:$E$3997,0),"")</f>
        <v/>
      </c>
    </row>
    <row r="90">
      <c r="B90" s="91" t="str">
        <f>IF($Y90="","",IF($Y90&lt;=1997,INDEX('Term investments'!$B$1:$B$2000,$Y90+3),INDEX('Call accounts and MMFs'!$B$1:$B$2000,$Y90-1997+3))&amp;"")</f>
        <v/>
      </c>
      <c r="C90" s="91" t="str">
        <f>IF($Y90="","",IF($Y90&lt;=1997,INDEX('Term investments'!$A$1:$A$2000,$Y90+3),INDEX('Call accounts and MMFs'!$A$1:$A$2000,$Y90-1997+3))&amp;"")</f>
        <v/>
      </c>
      <c r="D90" s="91" t="str">
        <f>IF($Y90="","",IF($Y90&lt;=1997,INDEX('Term investments'!$C$1:$C$2000,$Y90+3),INDEX('Call accounts and MMFs'!$C$1:$C$2000,$Y90-1997+3))&amp;"")</f>
        <v/>
      </c>
      <c r="E90" s="92" t="str">
        <f>IF($Y90="","",IF($Y90&lt;=1997,IF(N(INDEX('Deal maths'!$H$1:$H$2000,$Y90+3))&gt;0,N(INDEX('Deal maths'!$H$1:$H$2000,$Y90+3)),N(INDEX('Deal maths'!$D$1:$D$2000,$Y90+3))),N(INDEX('Deal maths'!$M$1:$M$2000,$Y90-1997+3))))</f>
        <v/>
      </c>
      <c r="F90" s="93" t="str">
        <f>IF($Y90="","",IF($Y90&lt;=1997,INDEX('Deal maths'!$G$1:$G$2000,$Y90+3),INDEX('Deal maths'!$N$1:$N$2000,$Y90-1997+3)))</f>
        <v/>
      </c>
      <c r="G90" s="94" t="str">
        <f>IF($Y90="","",IF($Y90&lt;=1997,INDEX('Deal maths'!$E$1:$E$2000,$Y90+3),""))</f>
        <v/>
      </c>
      <c r="H90" s="94" t="str">
        <f>IF($Y90="","",IF($Y90&lt;=1997,INDEX('Deal maths'!$F$1:$F$2000,$Y90+3),""))</f>
        <v/>
      </c>
      <c r="I90" s="98" t="str">
        <f>IF($Y90="","",IF($Y90&lt;=1997,N(INDEX('Deal maths'!$F$1:$F$2000,$Y90+3))-AsAt,N(INDEX('Deal maths'!$O$1:$O$2000,$Y90-1997+3))))</f>
        <v/>
      </c>
      <c r="J90" s="99" t="str">
        <f>IF($Y90="","",IF($Y90&lt;=1997,INDEX('Term investments'!$J$1:$J$2000,$Y90+3),INDEX('Call accounts and MMFs'!$G$1:$G$2000,$Y90-1997+3))&amp;"")</f>
        <v/>
      </c>
      <c r="K90" s="92" t="str">
        <f>IF($Y90="","",N(E90)*N(F90))</f>
        <v/>
      </c>
      <c r="L90" s="100" t="str">
        <f>IF($Y90="","",IF($Y90&lt;=1997,"Term investments, row "&amp;($Y90+3),"Call accounts and MMFs, row "&amp;($Y90-1997+3)))</f>
        <v/>
      </c>
      <c r="Y90" t="str">
        <f>IFERROR(MATCH(SMALL('List maths'!$E$4:$E$3997,82),'List maths'!$E$4:$E$3997,0),"")</f>
        <v/>
      </c>
    </row>
    <row r="91">
      <c r="B91" s="91" t="str">
        <f>IF($Y91="","",IF($Y91&lt;=1997,INDEX('Term investments'!$B$1:$B$2000,$Y91+3),INDEX('Call accounts and MMFs'!$B$1:$B$2000,$Y91-1997+3))&amp;"")</f>
        <v/>
      </c>
      <c r="C91" s="91" t="str">
        <f>IF($Y91="","",IF($Y91&lt;=1997,INDEX('Term investments'!$A$1:$A$2000,$Y91+3),INDEX('Call accounts and MMFs'!$A$1:$A$2000,$Y91-1997+3))&amp;"")</f>
        <v/>
      </c>
      <c r="D91" s="91" t="str">
        <f>IF($Y91="","",IF($Y91&lt;=1997,INDEX('Term investments'!$C$1:$C$2000,$Y91+3),INDEX('Call accounts and MMFs'!$C$1:$C$2000,$Y91-1997+3))&amp;"")</f>
        <v/>
      </c>
      <c r="E91" s="92" t="str">
        <f>IF($Y91="","",IF($Y91&lt;=1997,IF(N(INDEX('Deal maths'!$H$1:$H$2000,$Y91+3))&gt;0,N(INDEX('Deal maths'!$H$1:$H$2000,$Y91+3)),N(INDEX('Deal maths'!$D$1:$D$2000,$Y91+3))),N(INDEX('Deal maths'!$M$1:$M$2000,$Y91-1997+3))))</f>
        <v/>
      </c>
      <c r="F91" s="93" t="str">
        <f>IF($Y91="","",IF($Y91&lt;=1997,INDEX('Deal maths'!$G$1:$G$2000,$Y91+3),INDEX('Deal maths'!$N$1:$N$2000,$Y91-1997+3)))</f>
        <v/>
      </c>
      <c r="G91" s="94" t="str">
        <f>IF($Y91="","",IF($Y91&lt;=1997,INDEX('Deal maths'!$E$1:$E$2000,$Y91+3),""))</f>
        <v/>
      </c>
      <c r="H91" s="94" t="str">
        <f>IF($Y91="","",IF($Y91&lt;=1997,INDEX('Deal maths'!$F$1:$F$2000,$Y91+3),""))</f>
        <v/>
      </c>
      <c r="I91" s="98" t="str">
        <f>IF($Y91="","",IF($Y91&lt;=1997,N(INDEX('Deal maths'!$F$1:$F$2000,$Y91+3))-AsAt,N(INDEX('Deal maths'!$O$1:$O$2000,$Y91-1997+3))))</f>
        <v/>
      </c>
      <c r="J91" s="99" t="str">
        <f>IF($Y91="","",IF($Y91&lt;=1997,INDEX('Term investments'!$J$1:$J$2000,$Y91+3),INDEX('Call accounts and MMFs'!$G$1:$G$2000,$Y91-1997+3))&amp;"")</f>
        <v/>
      </c>
      <c r="K91" s="92" t="str">
        <f>IF($Y91="","",N(E91)*N(F91))</f>
        <v/>
      </c>
      <c r="L91" s="100" t="str">
        <f>IF($Y91="","",IF($Y91&lt;=1997,"Term investments, row "&amp;($Y91+3),"Call accounts and MMFs, row "&amp;($Y91-1997+3)))</f>
        <v/>
      </c>
      <c r="Y91" t="str">
        <f>IFERROR(MATCH(SMALL('List maths'!$E$4:$E$3997,83),'List maths'!$E$4:$E$3997,0),"")</f>
        <v/>
      </c>
    </row>
    <row r="92">
      <c r="B92" s="91" t="str">
        <f>IF($Y92="","",IF($Y92&lt;=1997,INDEX('Term investments'!$B$1:$B$2000,$Y92+3),INDEX('Call accounts and MMFs'!$B$1:$B$2000,$Y92-1997+3))&amp;"")</f>
        <v/>
      </c>
      <c r="C92" s="91" t="str">
        <f>IF($Y92="","",IF($Y92&lt;=1997,INDEX('Term investments'!$A$1:$A$2000,$Y92+3),INDEX('Call accounts and MMFs'!$A$1:$A$2000,$Y92-1997+3))&amp;"")</f>
        <v/>
      </c>
      <c r="D92" s="91" t="str">
        <f>IF($Y92="","",IF($Y92&lt;=1997,INDEX('Term investments'!$C$1:$C$2000,$Y92+3),INDEX('Call accounts and MMFs'!$C$1:$C$2000,$Y92-1997+3))&amp;"")</f>
        <v/>
      </c>
      <c r="E92" s="92" t="str">
        <f>IF($Y92="","",IF($Y92&lt;=1997,IF(N(INDEX('Deal maths'!$H$1:$H$2000,$Y92+3))&gt;0,N(INDEX('Deal maths'!$H$1:$H$2000,$Y92+3)),N(INDEX('Deal maths'!$D$1:$D$2000,$Y92+3))),N(INDEX('Deal maths'!$M$1:$M$2000,$Y92-1997+3))))</f>
        <v/>
      </c>
      <c r="F92" s="93" t="str">
        <f>IF($Y92="","",IF($Y92&lt;=1997,INDEX('Deal maths'!$G$1:$G$2000,$Y92+3),INDEX('Deal maths'!$N$1:$N$2000,$Y92-1997+3)))</f>
        <v/>
      </c>
      <c r="G92" s="94" t="str">
        <f>IF($Y92="","",IF($Y92&lt;=1997,INDEX('Deal maths'!$E$1:$E$2000,$Y92+3),""))</f>
        <v/>
      </c>
      <c r="H92" s="94" t="str">
        <f>IF($Y92="","",IF($Y92&lt;=1997,INDEX('Deal maths'!$F$1:$F$2000,$Y92+3),""))</f>
        <v/>
      </c>
      <c r="I92" s="98" t="str">
        <f>IF($Y92="","",IF($Y92&lt;=1997,N(INDEX('Deal maths'!$F$1:$F$2000,$Y92+3))-AsAt,N(INDEX('Deal maths'!$O$1:$O$2000,$Y92-1997+3))))</f>
        <v/>
      </c>
      <c r="J92" s="99" t="str">
        <f>IF($Y92="","",IF($Y92&lt;=1997,INDEX('Term investments'!$J$1:$J$2000,$Y92+3),INDEX('Call accounts and MMFs'!$G$1:$G$2000,$Y92-1997+3))&amp;"")</f>
        <v/>
      </c>
      <c r="K92" s="92" t="str">
        <f>IF($Y92="","",N(E92)*N(F92))</f>
        <v/>
      </c>
      <c r="L92" s="100" t="str">
        <f>IF($Y92="","",IF($Y92&lt;=1997,"Term investments, row "&amp;($Y92+3),"Call accounts and MMFs, row "&amp;($Y92-1997+3)))</f>
        <v/>
      </c>
      <c r="Y92" t="str">
        <f>IFERROR(MATCH(SMALL('List maths'!$E$4:$E$3997,84),'List maths'!$E$4:$E$3997,0),"")</f>
        <v/>
      </c>
    </row>
    <row r="93">
      <c r="B93" s="91" t="str">
        <f>IF($Y93="","",IF($Y93&lt;=1997,INDEX('Term investments'!$B$1:$B$2000,$Y93+3),INDEX('Call accounts and MMFs'!$B$1:$B$2000,$Y93-1997+3))&amp;"")</f>
        <v/>
      </c>
      <c r="C93" s="91" t="str">
        <f>IF($Y93="","",IF($Y93&lt;=1997,INDEX('Term investments'!$A$1:$A$2000,$Y93+3),INDEX('Call accounts and MMFs'!$A$1:$A$2000,$Y93-1997+3))&amp;"")</f>
        <v/>
      </c>
      <c r="D93" s="91" t="str">
        <f>IF($Y93="","",IF($Y93&lt;=1997,INDEX('Term investments'!$C$1:$C$2000,$Y93+3),INDEX('Call accounts and MMFs'!$C$1:$C$2000,$Y93-1997+3))&amp;"")</f>
        <v/>
      </c>
      <c r="E93" s="92" t="str">
        <f>IF($Y93="","",IF($Y93&lt;=1997,IF(N(INDEX('Deal maths'!$H$1:$H$2000,$Y93+3))&gt;0,N(INDEX('Deal maths'!$H$1:$H$2000,$Y93+3)),N(INDEX('Deal maths'!$D$1:$D$2000,$Y93+3))),N(INDEX('Deal maths'!$M$1:$M$2000,$Y93-1997+3))))</f>
        <v/>
      </c>
      <c r="F93" s="93" t="str">
        <f>IF($Y93="","",IF($Y93&lt;=1997,INDEX('Deal maths'!$G$1:$G$2000,$Y93+3),INDEX('Deal maths'!$N$1:$N$2000,$Y93-1997+3)))</f>
        <v/>
      </c>
      <c r="G93" s="94" t="str">
        <f>IF($Y93="","",IF($Y93&lt;=1997,INDEX('Deal maths'!$E$1:$E$2000,$Y93+3),""))</f>
        <v/>
      </c>
      <c r="H93" s="94" t="str">
        <f>IF($Y93="","",IF($Y93&lt;=1997,INDEX('Deal maths'!$F$1:$F$2000,$Y93+3),""))</f>
        <v/>
      </c>
      <c r="I93" s="98" t="str">
        <f>IF($Y93="","",IF($Y93&lt;=1997,N(INDEX('Deal maths'!$F$1:$F$2000,$Y93+3))-AsAt,N(INDEX('Deal maths'!$O$1:$O$2000,$Y93-1997+3))))</f>
        <v/>
      </c>
      <c r="J93" s="99" t="str">
        <f>IF($Y93="","",IF($Y93&lt;=1997,INDEX('Term investments'!$J$1:$J$2000,$Y93+3),INDEX('Call accounts and MMFs'!$G$1:$G$2000,$Y93-1997+3))&amp;"")</f>
        <v/>
      </c>
      <c r="K93" s="92" t="str">
        <f>IF($Y93="","",N(E93)*N(F93))</f>
        <v/>
      </c>
      <c r="L93" s="100" t="str">
        <f>IF($Y93="","",IF($Y93&lt;=1997,"Term investments, row "&amp;($Y93+3),"Call accounts and MMFs, row "&amp;($Y93-1997+3)))</f>
        <v/>
      </c>
      <c r="Y93" t="str">
        <f>IFERROR(MATCH(SMALL('List maths'!$E$4:$E$3997,85),'List maths'!$E$4:$E$3997,0),"")</f>
        <v/>
      </c>
    </row>
    <row r="94">
      <c r="B94" s="91" t="str">
        <f>IF($Y94="","",IF($Y94&lt;=1997,INDEX('Term investments'!$B$1:$B$2000,$Y94+3),INDEX('Call accounts and MMFs'!$B$1:$B$2000,$Y94-1997+3))&amp;"")</f>
        <v/>
      </c>
      <c r="C94" s="91" t="str">
        <f>IF($Y94="","",IF($Y94&lt;=1997,INDEX('Term investments'!$A$1:$A$2000,$Y94+3),INDEX('Call accounts and MMFs'!$A$1:$A$2000,$Y94-1997+3))&amp;"")</f>
        <v/>
      </c>
      <c r="D94" s="91" t="str">
        <f>IF($Y94="","",IF($Y94&lt;=1997,INDEX('Term investments'!$C$1:$C$2000,$Y94+3),INDEX('Call accounts and MMFs'!$C$1:$C$2000,$Y94-1997+3))&amp;"")</f>
        <v/>
      </c>
      <c r="E94" s="92" t="str">
        <f>IF($Y94="","",IF($Y94&lt;=1997,IF(N(INDEX('Deal maths'!$H$1:$H$2000,$Y94+3))&gt;0,N(INDEX('Deal maths'!$H$1:$H$2000,$Y94+3)),N(INDEX('Deal maths'!$D$1:$D$2000,$Y94+3))),N(INDEX('Deal maths'!$M$1:$M$2000,$Y94-1997+3))))</f>
        <v/>
      </c>
      <c r="F94" s="93" t="str">
        <f>IF($Y94="","",IF($Y94&lt;=1997,INDEX('Deal maths'!$G$1:$G$2000,$Y94+3),INDEX('Deal maths'!$N$1:$N$2000,$Y94-1997+3)))</f>
        <v/>
      </c>
      <c r="G94" s="94" t="str">
        <f>IF($Y94="","",IF($Y94&lt;=1997,INDEX('Deal maths'!$E$1:$E$2000,$Y94+3),""))</f>
        <v/>
      </c>
      <c r="H94" s="94" t="str">
        <f>IF($Y94="","",IF($Y94&lt;=1997,INDEX('Deal maths'!$F$1:$F$2000,$Y94+3),""))</f>
        <v/>
      </c>
      <c r="I94" s="98" t="str">
        <f>IF($Y94="","",IF($Y94&lt;=1997,N(INDEX('Deal maths'!$F$1:$F$2000,$Y94+3))-AsAt,N(INDEX('Deal maths'!$O$1:$O$2000,$Y94-1997+3))))</f>
        <v/>
      </c>
      <c r="J94" s="99" t="str">
        <f>IF($Y94="","",IF($Y94&lt;=1997,INDEX('Term investments'!$J$1:$J$2000,$Y94+3),INDEX('Call accounts and MMFs'!$G$1:$G$2000,$Y94-1997+3))&amp;"")</f>
        <v/>
      </c>
      <c r="K94" s="92" t="str">
        <f>IF($Y94="","",N(E94)*N(F94))</f>
        <v/>
      </c>
      <c r="L94" s="100" t="str">
        <f>IF($Y94="","",IF($Y94&lt;=1997,"Term investments, row "&amp;($Y94+3),"Call accounts and MMFs, row "&amp;($Y94-1997+3)))</f>
        <v/>
      </c>
      <c r="Y94" t="str">
        <f>IFERROR(MATCH(SMALL('List maths'!$E$4:$E$3997,86),'List maths'!$E$4:$E$3997,0),"")</f>
        <v/>
      </c>
    </row>
    <row r="95">
      <c r="B95" s="91" t="str">
        <f>IF($Y95="","",IF($Y95&lt;=1997,INDEX('Term investments'!$B$1:$B$2000,$Y95+3),INDEX('Call accounts and MMFs'!$B$1:$B$2000,$Y95-1997+3))&amp;"")</f>
        <v/>
      </c>
      <c r="C95" s="91" t="str">
        <f>IF($Y95="","",IF($Y95&lt;=1997,INDEX('Term investments'!$A$1:$A$2000,$Y95+3),INDEX('Call accounts and MMFs'!$A$1:$A$2000,$Y95-1997+3))&amp;"")</f>
        <v/>
      </c>
      <c r="D95" s="91" t="str">
        <f>IF($Y95="","",IF($Y95&lt;=1997,INDEX('Term investments'!$C$1:$C$2000,$Y95+3),INDEX('Call accounts and MMFs'!$C$1:$C$2000,$Y95-1997+3))&amp;"")</f>
        <v/>
      </c>
      <c r="E95" s="92" t="str">
        <f>IF($Y95="","",IF($Y95&lt;=1997,IF(N(INDEX('Deal maths'!$H$1:$H$2000,$Y95+3))&gt;0,N(INDEX('Deal maths'!$H$1:$H$2000,$Y95+3)),N(INDEX('Deal maths'!$D$1:$D$2000,$Y95+3))),N(INDEX('Deal maths'!$M$1:$M$2000,$Y95-1997+3))))</f>
        <v/>
      </c>
      <c r="F95" s="93" t="str">
        <f>IF($Y95="","",IF($Y95&lt;=1997,INDEX('Deal maths'!$G$1:$G$2000,$Y95+3),INDEX('Deal maths'!$N$1:$N$2000,$Y95-1997+3)))</f>
        <v/>
      </c>
      <c r="G95" s="94" t="str">
        <f>IF($Y95="","",IF($Y95&lt;=1997,INDEX('Deal maths'!$E$1:$E$2000,$Y95+3),""))</f>
        <v/>
      </c>
      <c r="H95" s="94" t="str">
        <f>IF($Y95="","",IF($Y95&lt;=1997,INDEX('Deal maths'!$F$1:$F$2000,$Y95+3),""))</f>
        <v/>
      </c>
      <c r="I95" s="98" t="str">
        <f>IF($Y95="","",IF($Y95&lt;=1997,N(INDEX('Deal maths'!$F$1:$F$2000,$Y95+3))-AsAt,N(INDEX('Deal maths'!$O$1:$O$2000,$Y95-1997+3))))</f>
        <v/>
      </c>
      <c r="J95" s="99" t="str">
        <f>IF($Y95="","",IF($Y95&lt;=1997,INDEX('Term investments'!$J$1:$J$2000,$Y95+3),INDEX('Call accounts and MMFs'!$G$1:$G$2000,$Y95-1997+3))&amp;"")</f>
        <v/>
      </c>
      <c r="K95" s="92" t="str">
        <f>IF($Y95="","",N(E95)*N(F95))</f>
        <v/>
      </c>
      <c r="L95" s="100" t="str">
        <f>IF($Y95="","",IF($Y95&lt;=1997,"Term investments, row "&amp;($Y95+3),"Call accounts and MMFs, row "&amp;($Y95-1997+3)))</f>
        <v/>
      </c>
      <c r="Y95" t="str">
        <f>IFERROR(MATCH(SMALL('List maths'!$E$4:$E$3997,87),'List maths'!$E$4:$E$3997,0),"")</f>
        <v/>
      </c>
    </row>
    <row r="96">
      <c r="B96" s="91" t="str">
        <f>IF($Y96="","",IF($Y96&lt;=1997,INDEX('Term investments'!$B$1:$B$2000,$Y96+3),INDEX('Call accounts and MMFs'!$B$1:$B$2000,$Y96-1997+3))&amp;"")</f>
        <v/>
      </c>
      <c r="C96" s="91" t="str">
        <f>IF($Y96="","",IF($Y96&lt;=1997,INDEX('Term investments'!$A$1:$A$2000,$Y96+3),INDEX('Call accounts and MMFs'!$A$1:$A$2000,$Y96-1997+3))&amp;"")</f>
        <v/>
      </c>
      <c r="D96" s="91" t="str">
        <f>IF($Y96="","",IF($Y96&lt;=1997,INDEX('Term investments'!$C$1:$C$2000,$Y96+3),INDEX('Call accounts and MMFs'!$C$1:$C$2000,$Y96-1997+3))&amp;"")</f>
        <v/>
      </c>
      <c r="E96" s="92" t="str">
        <f>IF($Y96="","",IF($Y96&lt;=1997,IF(N(INDEX('Deal maths'!$H$1:$H$2000,$Y96+3))&gt;0,N(INDEX('Deal maths'!$H$1:$H$2000,$Y96+3)),N(INDEX('Deal maths'!$D$1:$D$2000,$Y96+3))),N(INDEX('Deal maths'!$M$1:$M$2000,$Y96-1997+3))))</f>
        <v/>
      </c>
      <c r="F96" s="93" t="str">
        <f>IF($Y96="","",IF($Y96&lt;=1997,INDEX('Deal maths'!$G$1:$G$2000,$Y96+3),INDEX('Deal maths'!$N$1:$N$2000,$Y96-1997+3)))</f>
        <v/>
      </c>
      <c r="G96" s="94" t="str">
        <f>IF($Y96="","",IF($Y96&lt;=1997,INDEX('Deal maths'!$E$1:$E$2000,$Y96+3),""))</f>
        <v/>
      </c>
      <c r="H96" s="94" t="str">
        <f>IF($Y96="","",IF($Y96&lt;=1997,INDEX('Deal maths'!$F$1:$F$2000,$Y96+3),""))</f>
        <v/>
      </c>
      <c r="I96" s="98" t="str">
        <f>IF($Y96="","",IF($Y96&lt;=1997,N(INDEX('Deal maths'!$F$1:$F$2000,$Y96+3))-AsAt,N(INDEX('Deal maths'!$O$1:$O$2000,$Y96-1997+3))))</f>
        <v/>
      </c>
      <c r="J96" s="99" t="str">
        <f>IF($Y96="","",IF($Y96&lt;=1997,INDEX('Term investments'!$J$1:$J$2000,$Y96+3),INDEX('Call accounts and MMFs'!$G$1:$G$2000,$Y96-1997+3))&amp;"")</f>
        <v/>
      </c>
      <c r="K96" s="92" t="str">
        <f>IF($Y96="","",N(E96)*N(F96))</f>
        <v/>
      </c>
      <c r="L96" s="100" t="str">
        <f>IF($Y96="","",IF($Y96&lt;=1997,"Term investments, row "&amp;($Y96+3),"Call accounts and MMFs, row "&amp;($Y96-1997+3)))</f>
        <v/>
      </c>
      <c r="Y96" t="str">
        <f>IFERROR(MATCH(SMALL('List maths'!$E$4:$E$3997,88),'List maths'!$E$4:$E$3997,0),"")</f>
        <v/>
      </c>
    </row>
    <row r="97">
      <c r="B97" s="91" t="str">
        <f>IF($Y97="","",IF($Y97&lt;=1997,INDEX('Term investments'!$B$1:$B$2000,$Y97+3),INDEX('Call accounts and MMFs'!$B$1:$B$2000,$Y97-1997+3))&amp;"")</f>
        <v/>
      </c>
      <c r="C97" s="91" t="str">
        <f>IF($Y97="","",IF($Y97&lt;=1997,INDEX('Term investments'!$A$1:$A$2000,$Y97+3),INDEX('Call accounts and MMFs'!$A$1:$A$2000,$Y97-1997+3))&amp;"")</f>
        <v/>
      </c>
      <c r="D97" s="91" t="str">
        <f>IF($Y97="","",IF($Y97&lt;=1997,INDEX('Term investments'!$C$1:$C$2000,$Y97+3),INDEX('Call accounts and MMFs'!$C$1:$C$2000,$Y97-1997+3))&amp;"")</f>
        <v/>
      </c>
      <c r="E97" s="92" t="str">
        <f>IF($Y97="","",IF($Y97&lt;=1997,IF(N(INDEX('Deal maths'!$H$1:$H$2000,$Y97+3))&gt;0,N(INDEX('Deal maths'!$H$1:$H$2000,$Y97+3)),N(INDEX('Deal maths'!$D$1:$D$2000,$Y97+3))),N(INDEX('Deal maths'!$M$1:$M$2000,$Y97-1997+3))))</f>
        <v/>
      </c>
      <c r="F97" s="93" t="str">
        <f>IF($Y97="","",IF($Y97&lt;=1997,INDEX('Deal maths'!$G$1:$G$2000,$Y97+3),INDEX('Deal maths'!$N$1:$N$2000,$Y97-1997+3)))</f>
        <v/>
      </c>
      <c r="G97" s="94" t="str">
        <f>IF($Y97="","",IF($Y97&lt;=1997,INDEX('Deal maths'!$E$1:$E$2000,$Y97+3),""))</f>
        <v/>
      </c>
      <c r="H97" s="94" t="str">
        <f>IF($Y97="","",IF($Y97&lt;=1997,INDEX('Deal maths'!$F$1:$F$2000,$Y97+3),""))</f>
        <v/>
      </c>
      <c r="I97" s="98" t="str">
        <f>IF($Y97="","",IF($Y97&lt;=1997,N(INDEX('Deal maths'!$F$1:$F$2000,$Y97+3))-AsAt,N(INDEX('Deal maths'!$O$1:$O$2000,$Y97-1997+3))))</f>
        <v/>
      </c>
      <c r="J97" s="99" t="str">
        <f>IF($Y97="","",IF($Y97&lt;=1997,INDEX('Term investments'!$J$1:$J$2000,$Y97+3),INDEX('Call accounts and MMFs'!$G$1:$G$2000,$Y97-1997+3))&amp;"")</f>
        <v/>
      </c>
      <c r="K97" s="92" t="str">
        <f>IF($Y97="","",N(E97)*N(F97))</f>
        <v/>
      </c>
      <c r="L97" s="100" t="str">
        <f>IF($Y97="","",IF($Y97&lt;=1997,"Term investments, row "&amp;($Y97+3),"Call accounts and MMFs, row "&amp;($Y97-1997+3)))</f>
        <v/>
      </c>
      <c r="Y97" t="str">
        <f>IFERROR(MATCH(SMALL('List maths'!$E$4:$E$3997,89),'List maths'!$E$4:$E$3997,0),"")</f>
        <v/>
      </c>
    </row>
    <row r="98">
      <c r="B98" s="91" t="str">
        <f>IF($Y98="","",IF($Y98&lt;=1997,INDEX('Term investments'!$B$1:$B$2000,$Y98+3),INDEX('Call accounts and MMFs'!$B$1:$B$2000,$Y98-1997+3))&amp;"")</f>
        <v/>
      </c>
      <c r="C98" s="91" t="str">
        <f>IF($Y98="","",IF($Y98&lt;=1997,INDEX('Term investments'!$A$1:$A$2000,$Y98+3),INDEX('Call accounts and MMFs'!$A$1:$A$2000,$Y98-1997+3))&amp;"")</f>
        <v/>
      </c>
      <c r="D98" s="91" t="str">
        <f>IF($Y98="","",IF($Y98&lt;=1997,INDEX('Term investments'!$C$1:$C$2000,$Y98+3),INDEX('Call accounts and MMFs'!$C$1:$C$2000,$Y98-1997+3))&amp;"")</f>
        <v/>
      </c>
      <c r="E98" s="92" t="str">
        <f>IF($Y98="","",IF($Y98&lt;=1997,IF(N(INDEX('Deal maths'!$H$1:$H$2000,$Y98+3))&gt;0,N(INDEX('Deal maths'!$H$1:$H$2000,$Y98+3)),N(INDEX('Deal maths'!$D$1:$D$2000,$Y98+3))),N(INDEX('Deal maths'!$M$1:$M$2000,$Y98-1997+3))))</f>
        <v/>
      </c>
      <c r="F98" s="93" t="str">
        <f>IF($Y98="","",IF($Y98&lt;=1997,INDEX('Deal maths'!$G$1:$G$2000,$Y98+3),INDEX('Deal maths'!$N$1:$N$2000,$Y98-1997+3)))</f>
        <v/>
      </c>
      <c r="G98" s="94" t="str">
        <f>IF($Y98="","",IF($Y98&lt;=1997,INDEX('Deal maths'!$E$1:$E$2000,$Y98+3),""))</f>
        <v/>
      </c>
      <c r="H98" s="94" t="str">
        <f>IF($Y98="","",IF($Y98&lt;=1997,INDEX('Deal maths'!$F$1:$F$2000,$Y98+3),""))</f>
        <v/>
      </c>
      <c r="I98" s="98" t="str">
        <f>IF($Y98="","",IF($Y98&lt;=1997,N(INDEX('Deal maths'!$F$1:$F$2000,$Y98+3))-AsAt,N(INDEX('Deal maths'!$O$1:$O$2000,$Y98-1997+3))))</f>
        <v/>
      </c>
      <c r="J98" s="99" t="str">
        <f>IF($Y98="","",IF($Y98&lt;=1997,INDEX('Term investments'!$J$1:$J$2000,$Y98+3),INDEX('Call accounts and MMFs'!$G$1:$G$2000,$Y98-1997+3))&amp;"")</f>
        <v/>
      </c>
      <c r="K98" s="92" t="str">
        <f>IF($Y98="","",N(E98)*N(F98))</f>
        <v/>
      </c>
      <c r="L98" s="100" t="str">
        <f>IF($Y98="","",IF($Y98&lt;=1997,"Term investments, row "&amp;($Y98+3),"Call accounts and MMFs, row "&amp;($Y98-1997+3)))</f>
        <v/>
      </c>
      <c r="Y98" t="str">
        <f>IFERROR(MATCH(SMALL('List maths'!$E$4:$E$3997,90),'List maths'!$E$4:$E$3997,0),"")</f>
        <v/>
      </c>
    </row>
    <row r="99">
      <c r="B99" s="91" t="str">
        <f>IF($Y99="","",IF($Y99&lt;=1997,INDEX('Term investments'!$B$1:$B$2000,$Y99+3),INDEX('Call accounts and MMFs'!$B$1:$B$2000,$Y99-1997+3))&amp;"")</f>
        <v/>
      </c>
      <c r="C99" s="91" t="str">
        <f>IF($Y99="","",IF($Y99&lt;=1997,INDEX('Term investments'!$A$1:$A$2000,$Y99+3),INDEX('Call accounts and MMFs'!$A$1:$A$2000,$Y99-1997+3))&amp;"")</f>
        <v/>
      </c>
      <c r="D99" s="91" t="str">
        <f>IF($Y99="","",IF($Y99&lt;=1997,INDEX('Term investments'!$C$1:$C$2000,$Y99+3),INDEX('Call accounts and MMFs'!$C$1:$C$2000,$Y99-1997+3))&amp;"")</f>
        <v/>
      </c>
      <c r="E99" s="92" t="str">
        <f>IF($Y99="","",IF($Y99&lt;=1997,IF(N(INDEX('Deal maths'!$H$1:$H$2000,$Y99+3))&gt;0,N(INDEX('Deal maths'!$H$1:$H$2000,$Y99+3)),N(INDEX('Deal maths'!$D$1:$D$2000,$Y99+3))),N(INDEX('Deal maths'!$M$1:$M$2000,$Y99-1997+3))))</f>
        <v/>
      </c>
      <c r="F99" s="93" t="str">
        <f>IF($Y99="","",IF($Y99&lt;=1997,INDEX('Deal maths'!$G$1:$G$2000,$Y99+3),INDEX('Deal maths'!$N$1:$N$2000,$Y99-1997+3)))</f>
        <v/>
      </c>
      <c r="G99" s="94" t="str">
        <f>IF($Y99="","",IF($Y99&lt;=1997,INDEX('Deal maths'!$E$1:$E$2000,$Y99+3),""))</f>
        <v/>
      </c>
      <c r="H99" s="94" t="str">
        <f>IF($Y99="","",IF($Y99&lt;=1997,INDEX('Deal maths'!$F$1:$F$2000,$Y99+3),""))</f>
        <v/>
      </c>
      <c r="I99" s="98" t="str">
        <f>IF($Y99="","",IF($Y99&lt;=1997,N(INDEX('Deal maths'!$F$1:$F$2000,$Y99+3))-AsAt,N(INDEX('Deal maths'!$O$1:$O$2000,$Y99-1997+3))))</f>
        <v/>
      </c>
      <c r="J99" s="99" t="str">
        <f>IF($Y99="","",IF($Y99&lt;=1997,INDEX('Term investments'!$J$1:$J$2000,$Y99+3),INDEX('Call accounts and MMFs'!$G$1:$G$2000,$Y99-1997+3))&amp;"")</f>
        <v/>
      </c>
      <c r="K99" s="92" t="str">
        <f>IF($Y99="","",N(E99)*N(F99))</f>
        <v/>
      </c>
      <c r="L99" s="100" t="str">
        <f>IF($Y99="","",IF($Y99&lt;=1997,"Term investments, row "&amp;($Y99+3),"Call accounts and MMFs, row "&amp;($Y99-1997+3)))</f>
        <v/>
      </c>
      <c r="Y99" t="str">
        <f>IFERROR(MATCH(SMALL('List maths'!$E$4:$E$3997,91),'List maths'!$E$4:$E$3997,0),"")</f>
        <v/>
      </c>
    </row>
    <row r="100">
      <c r="B100" s="91" t="str">
        <f>IF($Y100="","",IF($Y100&lt;=1997,INDEX('Term investments'!$B$1:$B$2000,$Y100+3),INDEX('Call accounts and MMFs'!$B$1:$B$2000,$Y100-1997+3))&amp;"")</f>
        <v/>
      </c>
      <c r="C100" s="91" t="str">
        <f>IF($Y100="","",IF($Y100&lt;=1997,INDEX('Term investments'!$A$1:$A$2000,$Y100+3),INDEX('Call accounts and MMFs'!$A$1:$A$2000,$Y100-1997+3))&amp;"")</f>
        <v/>
      </c>
      <c r="D100" s="91" t="str">
        <f>IF($Y100="","",IF($Y100&lt;=1997,INDEX('Term investments'!$C$1:$C$2000,$Y100+3),INDEX('Call accounts and MMFs'!$C$1:$C$2000,$Y100-1997+3))&amp;"")</f>
        <v/>
      </c>
      <c r="E100" s="92" t="str">
        <f>IF($Y100="","",IF($Y100&lt;=1997,IF(N(INDEX('Deal maths'!$H$1:$H$2000,$Y100+3))&gt;0,N(INDEX('Deal maths'!$H$1:$H$2000,$Y100+3)),N(INDEX('Deal maths'!$D$1:$D$2000,$Y100+3))),N(INDEX('Deal maths'!$M$1:$M$2000,$Y100-1997+3))))</f>
        <v/>
      </c>
      <c r="F100" s="93" t="str">
        <f>IF($Y100="","",IF($Y100&lt;=1997,INDEX('Deal maths'!$G$1:$G$2000,$Y100+3),INDEX('Deal maths'!$N$1:$N$2000,$Y100-1997+3)))</f>
        <v/>
      </c>
      <c r="G100" s="94" t="str">
        <f>IF($Y100="","",IF($Y100&lt;=1997,INDEX('Deal maths'!$E$1:$E$2000,$Y100+3),""))</f>
        <v/>
      </c>
      <c r="H100" s="94" t="str">
        <f>IF($Y100="","",IF($Y100&lt;=1997,INDEX('Deal maths'!$F$1:$F$2000,$Y100+3),""))</f>
        <v/>
      </c>
      <c r="I100" s="98" t="str">
        <f>IF($Y100="","",IF($Y100&lt;=1997,N(INDEX('Deal maths'!$F$1:$F$2000,$Y100+3))-AsAt,N(INDEX('Deal maths'!$O$1:$O$2000,$Y100-1997+3))))</f>
        <v/>
      </c>
      <c r="J100" s="99" t="str">
        <f>IF($Y100="","",IF($Y100&lt;=1997,INDEX('Term investments'!$J$1:$J$2000,$Y100+3),INDEX('Call accounts and MMFs'!$G$1:$G$2000,$Y100-1997+3))&amp;"")</f>
        <v/>
      </c>
      <c r="K100" s="92" t="str">
        <f>IF($Y100="","",N(E100)*N(F100))</f>
        <v/>
      </c>
      <c r="L100" s="100" t="str">
        <f>IF($Y100="","",IF($Y100&lt;=1997,"Term investments, row "&amp;($Y100+3),"Call accounts and MMFs, row "&amp;($Y100-1997+3)))</f>
        <v/>
      </c>
      <c r="Y100" t="str">
        <f>IFERROR(MATCH(SMALL('List maths'!$E$4:$E$3997,92),'List maths'!$E$4:$E$3997,0),"")</f>
        <v/>
      </c>
    </row>
    <row r="101">
      <c r="B101" s="91" t="str">
        <f>IF($Y101="","",IF($Y101&lt;=1997,INDEX('Term investments'!$B$1:$B$2000,$Y101+3),INDEX('Call accounts and MMFs'!$B$1:$B$2000,$Y101-1997+3))&amp;"")</f>
        <v/>
      </c>
      <c r="C101" s="91" t="str">
        <f>IF($Y101="","",IF($Y101&lt;=1997,INDEX('Term investments'!$A$1:$A$2000,$Y101+3),INDEX('Call accounts and MMFs'!$A$1:$A$2000,$Y101-1997+3))&amp;"")</f>
        <v/>
      </c>
      <c r="D101" s="91" t="str">
        <f>IF($Y101="","",IF($Y101&lt;=1997,INDEX('Term investments'!$C$1:$C$2000,$Y101+3),INDEX('Call accounts and MMFs'!$C$1:$C$2000,$Y101-1997+3))&amp;"")</f>
        <v/>
      </c>
      <c r="E101" s="92" t="str">
        <f>IF($Y101="","",IF($Y101&lt;=1997,IF(N(INDEX('Deal maths'!$H$1:$H$2000,$Y101+3))&gt;0,N(INDEX('Deal maths'!$H$1:$H$2000,$Y101+3)),N(INDEX('Deal maths'!$D$1:$D$2000,$Y101+3))),N(INDEX('Deal maths'!$M$1:$M$2000,$Y101-1997+3))))</f>
        <v/>
      </c>
      <c r="F101" s="93" t="str">
        <f>IF($Y101="","",IF($Y101&lt;=1997,INDEX('Deal maths'!$G$1:$G$2000,$Y101+3),INDEX('Deal maths'!$N$1:$N$2000,$Y101-1997+3)))</f>
        <v/>
      </c>
      <c r="G101" s="94" t="str">
        <f>IF($Y101="","",IF($Y101&lt;=1997,INDEX('Deal maths'!$E$1:$E$2000,$Y101+3),""))</f>
        <v/>
      </c>
      <c r="H101" s="94" t="str">
        <f>IF($Y101="","",IF($Y101&lt;=1997,INDEX('Deal maths'!$F$1:$F$2000,$Y101+3),""))</f>
        <v/>
      </c>
      <c r="I101" s="98" t="str">
        <f>IF($Y101="","",IF($Y101&lt;=1997,N(INDEX('Deal maths'!$F$1:$F$2000,$Y101+3))-AsAt,N(INDEX('Deal maths'!$O$1:$O$2000,$Y101-1997+3))))</f>
        <v/>
      </c>
      <c r="J101" s="99" t="str">
        <f>IF($Y101="","",IF($Y101&lt;=1997,INDEX('Term investments'!$J$1:$J$2000,$Y101+3),INDEX('Call accounts and MMFs'!$G$1:$G$2000,$Y101-1997+3))&amp;"")</f>
        <v/>
      </c>
      <c r="K101" s="92" t="str">
        <f>IF($Y101="","",N(E101)*N(F101))</f>
        <v/>
      </c>
      <c r="L101" s="100" t="str">
        <f>IF($Y101="","",IF($Y101&lt;=1997,"Term investments, row "&amp;($Y101+3),"Call accounts and MMFs, row "&amp;($Y101-1997+3)))</f>
        <v/>
      </c>
      <c r="Y101" t="str">
        <f>IFERROR(MATCH(SMALL('List maths'!$E$4:$E$3997,93),'List maths'!$E$4:$E$3997,0),"")</f>
        <v/>
      </c>
    </row>
    <row r="102">
      <c r="B102" s="91" t="str">
        <f>IF($Y102="","",IF($Y102&lt;=1997,INDEX('Term investments'!$B$1:$B$2000,$Y102+3),INDEX('Call accounts and MMFs'!$B$1:$B$2000,$Y102-1997+3))&amp;"")</f>
        <v/>
      </c>
      <c r="C102" s="91" t="str">
        <f>IF($Y102="","",IF($Y102&lt;=1997,INDEX('Term investments'!$A$1:$A$2000,$Y102+3),INDEX('Call accounts and MMFs'!$A$1:$A$2000,$Y102-1997+3))&amp;"")</f>
        <v/>
      </c>
      <c r="D102" s="91" t="str">
        <f>IF($Y102="","",IF($Y102&lt;=1997,INDEX('Term investments'!$C$1:$C$2000,$Y102+3),INDEX('Call accounts and MMFs'!$C$1:$C$2000,$Y102-1997+3))&amp;"")</f>
        <v/>
      </c>
      <c r="E102" s="92" t="str">
        <f>IF($Y102="","",IF($Y102&lt;=1997,IF(N(INDEX('Deal maths'!$H$1:$H$2000,$Y102+3))&gt;0,N(INDEX('Deal maths'!$H$1:$H$2000,$Y102+3)),N(INDEX('Deal maths'!$D$1:$D$2000,$Y102+3))),N(INDEX('Deal maths'!$M$1:$M$2000,$Y102-1997+3))))</f>
        <v/>
      </c>
      <c r="F102" s="93" t="str">
        <f>IF($Y102="","",IF($Y102&lt;=1997,INDEX('Deal maths'!$G$1:$G$2000,$Y102+3),INDEX('Deal maths'!$N$1:$N$2000,$Y102-1997+3)))</f>
        <v/>
      </c>
      <c r="G102" s="94" t="str">
        <f>IF($Y102="","",IF($Y102&lt;=1997,INDEX('Deal maths'!$E$1:$E$2000,$Y102+3),""))</f>
        <v/>
      </c>
      <c r="H102" s="94" t="str">
        <f>IF($Y102="","",IF($Y102&lt;=1997,INDEX('Deal maths'!$F$1:$F$2000,$Y102+3),""))</f>
        <v/>
      </c>
      <c r="I102" s="98" t="str">
        <f>IF($Y102="","",IF($Y102&lt;=1997,N(INDEX('Deal maths'!$F$1:$F$2000,$Y102+3))-AsAt,N(INDEX('Deal maths'!$O$1:$O$2000,$Y102-1997+3))))</f>
        <v/>
      </c>
      <c r="J102" s="99" t="str">
        <f>IF($Y102="","",IF($Y102&lt;=1997,INDEX('Term investments'!$J$1:$J$2000,$Y102+3),INDEX('Call accounts and MMFs'!$G$1:$G$2000,$Y102-1997+3))&amp;"")</f>
        <v/>
      </c>
      <c r="K102" s="92" t="str">
        <f>IF($Y102="","",N(E102)*N(F102))</f>
        <v/>
      </c>
      <c r="L102" s="100" t="str">
        <f>IF($Y102="","",IF($Y102&lt;=1997,"Term investments, row "&amp;($Y102+3),"Call accounts and MMFs, row "&amp;($Y102-1997+3)))</f>
        <v/>
      </c>
      <c r="Y102" t="str">
        <f>IFERROR(MATCH(SMALL('List maths'!$E$4:$E$3997,94),'List maths'!$E$4:$E$3997,0),"")</f>
        <v/>
      </c>
    </row>
    <row r="103">
      <c r="B103" s="91" t="str">
        <f>IF($Y103="","",IF($Y103&lt;=1997,INDEX('Term investments'!$B$1:$B$2000,$Y103+3),INDEX('Call accounts and MMFs'!$B$1:$B$2000,$Y103-1997+3))&amp;"")</f>
        <v/>
      </c>
      <c r="C103" s="91" t="str">
        <f>IF($Y103="","",IF($Y103&lt;=1997,INDEX('Term investments'!$A$1:$A$2000,$Y103+3),INDEX('Call accounts and MMFs'!$A$1:$A$2000,$Y103-1997+3))&amp;"")</f>
        <v/>
      </c>
      <c r="D103" s="91" t="str">
        <f>IF($Y103="","",IF($Y103&lt;=1997,INDEX('Term investments'!$C$1:$C$2000,$Y103+3),INDEX('Call accounts and MMFs'!$C$1:$C$2000,$Y103-1997+3))&amp;"")</f>
        <v/>
      </c>
      <c r="E103" s="92" t="str">
        <f>IF($Y103="","",IF($Y103&lt;=1997,IF(N(INDEX('Deal maths'!$H$1:$H$2000,$Y103+3))&gt;0,N(INDEX('Deal maths'!$H$1:$H$2000,$Y103+3)),N(INDEX('Deal maths'!$D$1:$D$2000,$Y103+3))),N(INDEX('Deal maths'!$M$1:$M$2000,$Y103-1997+3))))</f>
        <v/>
      </c>
      <c r="F103" s="93" t="str">
        <f>IF($Y103="","",IF($Y103&lt;=1997,INDEX('Deal maths'!$G$1:$G$2000,$Y103+3),INDEX('Deal maths'!$N$1:$N$2000,$Y103-1997+3)))</f>
        <v/>
      </c>
      <c r="G103" s="94" t="str">
        <f>IF($Y103="","",IF($Y103&lt;=1997,INDEX('Deal maths'!$E$1:$E$2000,$Y103+3),""))</f>
        <v/>
      </c>
      <c r="H103" s="94" t="str">
        <f>IF($Y103="","",IF($Y103&lt;=1997,INDEX('Deal maths'!$F$1:$F$2000,$Y103+3),""))</f>
        <v/>
      </c>
      <c r="I103" s="98" t="str">
        <f>IF($Y103="","",IF($Y103&lt;=1997,N(INDEX('Deal maths'!$F$1:$F$2000,$Y103+3))-AsAt,N(INDEX('Deal maths'!$O$1:$O$2000,$Y103-1997+3))))</f>
        <v/>
      </c>
      <c r="J103" s="99" t="str">
        <f>IF($Y103="","",IF($Y103&lt;=1997,INDEX('Term investments'!$J$1:$J$2000,$Y103+3),INDEX('Call accounts and MMFs'!$G$1:$G$2000,$Y103-1997+3))&amp;"")</f>
        <v/>
      </c>
      <c r="K103" s="92" t="str">
        <f>IF($Y103="","",N(E103)*N(F103))</f>
        <v/>
      </c>
      <c r="L103" s="100" t="str">
        <f>IF($Y103="","",IF($Y103&lt;=1997,"Term investments, row "&amp;($Y103+3),"Call accounts and MMFs, row "&amp;($Y103-1997+3)))</f>
        <v/>
      </c>
      <c r="Y103" t="str">
        <f>IFERROR(MATCH(SMALL('List maths'!$E$4:$E$3997,95),'List maths'!$E$4:$E$3997,0),"")</f>
        <v/>
      </c>
    </row>
    <row r="104">
      <c r="B104" s="91" t="str">
        <f>IF($Y104="","",IF($Y104&lt;=1997,INDEX('Term investments'!$B$1:$B$2000,$Y104+3),INDEX('Call accounts and MMFs'!$B$1:$B$2000,$Y104-1997+3))&amp;"")</f>
        <v/>
      </c>
      <c r="C104" s="91" t="str">
        <f>IF($Y104="","",IF($Y104&lt;=1997,INDEX('Term investments'!$A$1:$A$2000,$Y104+3),INDEX('Call accounts and MMFs'!$A$1:$A$2000,$Y104-1997+3))&amp;"")</f>
        <v/>
      </c>
      <c r="D104" s="91" t="str">
        <f>IF($Y104="","",IF($Y104&lt;=1997,INDEX('Term investments'!$C$1:$C$2000,$Y104+3),INDEX('Call accounts and MMFs'!$C$1:$C$2000,$Y104-1997+3))&amp;"")</f>
        <v/>
      </c>
      <c r="E104" s="92" t="str">
        <f>IF($Y104="","",IF($Y104&lt;=1997,IF(N(INDEX('Deal maths'!$H$1:$H$2000,$Y104+3))&gt;0,N(INDEX('Deal maths'!$H$1:$H$2000,$Y104+3)),N(INDEX('Deal maths'!$D$1:$D$2000,$Y104+3))),N(INDEX('Deal maths'!$M$1:$M$2000,$Y104-1997+3))))</f>
        <v/>
      </c>
      <c r="F104" s="93" t="str">
        <f>IF($Y104="","",IF($Y104&lt;=1997,INDEX('Deal maths'!$G$1:$G$2000,$Y104+3),INDEX('Deal maths'!$N$1:$N$2000,$Y104-1997+3)))</f>
        <v/>
      </c>
      <c r="G104" s="94" t="str">
        <f>IF($Y104="","",IF($Y104&lt;=1997,INDEX('Deal maths'!$E$1:$E$2000,$Y104+3),""))</f>
        <v/>
      </c>
      <c r="H104" s="94" t="str">
        <f>IF($Y104="","",IF($Y104&lt;=1997,INDEX('Deal maths'!$F$1:$F$2000,$Y104+3),""))</f>
        <v/>
      </c>
      <c r="I104" s="98" t="str">
        <f>IF($Y104="","",IF($Y104&lt;=1997,N(INDEX('Deal maths'!$F$1:$F$2000,$Y104+3))-AsAt,N(INDEX('Deal maths'!$O$1:$O$2000,$Y104-1997+3))))</f>
        <v/>
      </c>
      <c r="J104" s="99" t="str">
        <f>IF($Y104="","",IF($Y104&lt;=1997,INDEX('Term investments'!$J$1:$J$2000,$Y104+3),INDEX('Call accounts and MMFs'!$G$1:$G$2000,$Y104-1997+3))&amp;"")</f>
        <v/>
      </c>
      <c r="K104" s="92" t="str">
        <f>IF($Y104="","",N(E104)*N(F104))</f>
        <v/>
      </c>
      <c r="L104" s="100" t="str">
        <f>IF($Y104="","",IF($Y104&lt;=1997,"Term investments, row "&amp;($Y104+3),"Call accounts and MMFs, row "&amp;($Y104-1997+3)))</f>
        <v/>
      </c>
      <c r="Y104" t="str">
        <f>IFERROR(MATCH(SMALL('List maths'!$E$4:$E$3997,96),'List maths'!$E$4:$E$3997,0),"")</f>
        <v/>
      </c>
    </row>
    <row r="105">
      <c r="B105" s="91" t="str">
        <f>IF($Y105="","",IF($Y105&lt;=1997,INDEX('Term investments'!$B$1:$B$2000,$Y105+3),INDEX('Call accounts and MMFs'!$B$1:$B$2000,$Y105-1997+3))&amp;"")</f>
        <v/>
      </c>
      <c r="C105" s="91" t="str">
        <f>IF($Y105="","",IF($Y105&lt;=1997,INDEX('Term investments'!$A$1:$A$2000,$Y105+3),INDEX('Call accounts and MMFs'!$A$1:$A$2000,$Y105-1997+3))&amp;"")</f>
        <v/>
      </c>
      <c r="D105" s="91" t="str">
        <f>IF($Y105="","",IF($Y105&lt;=1997,INDEX('Term investments'!$C$1:$C$2000,$Y105+3),INDEX('Call accounts and MMFs'!$C$1:$C$2000,$Y105-1997+3))&amp;"")</f>
        <v/>
      </c>
      <c r="E105" s="92" t="str">
        <f>IF($Y105="","",IF($Y105&lt;=1997,IF(N(INDEX('Deal maths'!$H$1:$H$2000,$Y105+3))&gt;0,N(INDEX('Deal maths'!$H$1:$H$2000,$Y105+3)),N(INDEX('Deal maths'!$D$1:$D$2000,$Y105+3))),N(INDEX('Deal maths'!$M$1:$M$2000,$Y105-1997+3))))</f>
        <v/>
      </c>
      <c r="F105" s="93" t="str">
        <f>IF($Y105="","",IF($Y105&lt;=1997,INDEX('Deal maths'!$G$1:$G$2000,$Y105+3),INDEX('Deal maths'!$N$1:$N$2000,$Y105-1997+3)))</f>
        <v/>
      </c>
      <c r="G105" s="94" t="str">
        <f>IF($Y105="","",IF($Y105&lt;=1997,INDEX('Deal maths'!$E$1:$E$2000,$Y105+3),""))</f>
        <v/>
      </c>
      <c r="H105" s="94" t="str">
        <f>IF($Y105="","",IF($Y105&lt;=1997,INDEX('Deal maths'!$F$1:$F$2000,$Y105+3),""))</f>
        <v/>
      </c>
      <c r="I105" s="98" t="str">
        <f>IF($Y105="","",IF($Y105&lt;=1997,N(INDEX('Deal maths'!$F$1:$F$2000,$Y105+3))-AsAt,N(INDEX('Deal maths'!$O$1:$O$2000,$Y105-1997+3))))</f>
        <v/>
      </c>
      <c r="J105" s="99" t="str">
        <f>IF($Y105="","",IF($Y105&lt;=1997,INDEX('Term investments'!$J$1:$J$2000,$Y105+3),INDEX('Call accounts and MMFs'!$G$1:$G$2000,$Y105-1997+3))&amp;"")</f>
        <v/>
      </c>
      <c r="K105" s="92" t="str">
        <f>IF($Y105="","",N(E105)*N(F105))</f>
        <v/>
      </c>
      <c r="L105" s="100" t="str">
        <f>IF($Y105="","",IF($Y105&lt;=1997,"Term investments, row "&amp;($Y105+3),"Call accounts and MMFs, row "&amp;($Y105-1997+3)))</f>
        <v/>
      </c>
      <c r="Y105" t="str">
        <f>IFERROR(MATCH(SMALL('List maths'!$E$4:$E$3997,97),'List maths'!$E$4:$E$3997,0),"")</f>
        <v/>
      </c>
    </row>
    <row r="106">
      <c r="B106" s="91" t="str">
        <f>IF($Y106="","",IF($Y106&lt;=1997,INDEX('Term investments'!$B$1:$B$2000,$Y106+3),INDEX('Call accounts and MMFs'!$B$1:$B$2000,$Y106-1997+3))&amp;"")</f>
        <v/>
      </c>
      <c r="C106" s="91" t="str">
        <f>IF($Y106="","",IF($Y106&lt;=1997,INDEX('Term investments'!$A$1:$A$2000,$Y106+3),INDEX('Call accounts and MMFs'!$A$1:$A$2000,$Y106-1997+3))&amp;"")</f>
        <v/>
      </c>
      <c r="D106" s="91" t="str">
        <f>IF($Y106="","",IF($Y106&lt;=1997,INDEX('Term investments'!$C$1:$C$2000,$Y106+3),INDEX('Call accounts and MMFs'!$C$1:$C$2000,$Y106-1997+3))&amp;"")</f>
        <v/>
      </c>
      <c r="E106" s="92" t="str">
        <f>IF($Y106="","",IF($Y106&lt;=1997,IF(N(INDEX('Deal maths'!$H$1:$H$2000,$Y106+3))&gt;0,N(INDEX('Deal maths'!$H$1:$H$2000,$Y106+3)),N(INDEX('Deal maths'!$D$1:$D$2000,$Y106+3))),N(INDEX('Deal maths'!$M$1:$M$2000,$Y106-1997+3))))</f>
        <v/>
      </c>
      <c r="F106" s="93" t="str">
        <f>IF($Y106="","",IF($Y106&lt;=1997,INDEX('Deal maths'!$G$1:$G$2000,$Y106+3),INDEX('Deal maths'!$N$1:$N$2000,$Y106-1997+3)))</f>
        <v/>
      </c>
      <c r="G106" s="94" t="str">
        <f>IF($Y106="","",IF($Y106&lt;=1997,INDEX('Deal maths'!$E$1:$E$2000,$Y106+3),""))</f>
        <v/>
      </c>
      <c r="H106" s="94" t="str">
        <f>IF($Y106="","",IF($Y106&lt;=1997,INDEX('Deal maths'!$F$1:$F$2000,$Y106+3),""))</f>
        <v/>
      </c>
      <c r="I106" s="98" t="str">
        <f>IF($Y106="","",IF($Y106&lt;=1997,N(INDEX('Deal maths'!$F$1:$F$2000,$Y106+3))-AsAt,N(INDEX('Deal maths'!$O$1:$O$2000,$Y106-1997+3))))</f>
        <v/>
      </c>
      <c r="J106" s="99" t="str">
        <f>IF($Y106="","",IF($Y106&lt;=1997,INDEX('Term investments'!$J$1:$J$2000,$Y106+3),INDEX('Call accounts and MMFs'!$G$1:$G$2000,$Y106-1997+3))&amp;"")</f>
        <v/>
      </c>
      <c r="K106" s="92" t="str">
        <f>IF($Y106="","",N(E106)*N(F106))</f>
        <v/>
      </c>
      <c r="L106" s="100" t="str">
        <f>IF($Y106="","",IF($Y106&lt;=1997,"Term investments, row "&amp;($Y106+3),"Call accounts and MMFs, row "&amp;($Y106-1997+3)))</f>
        <v/>
      </c>
      <c r="Y106" t="str">
        <f>IFERROR(MATCH(SMALL('List maths'!$E$4:$E$3997,98),'List maths'!$E$4:$E$3997,0),"")</f>
        <v/>
      </c>
    </row>
    <row r="107">
      <c r="B107" s="91" t="str">
        <f>IF($Y107="","",IF($Y107&lt;=1997,INDEX('Term investments'!$B$1:$B$2000,$Y107+3),INDEX('Call accounts and MMFs'!$B$1:$B$2000,$Y107-1997+3))&amp;"")</f>
        <v/>
      </c>
      <c r="C107" s="91" t="str">
        <f>IF($Y107="","",IF($Y107&lt;=1997,INDEX('Term investments'!$A$1:$A$2000,$Y107+3),INDEX('Call accounts and MMFs'!$A$1:$A$2000,$Y107-1997+3))&amp;"")</f>
        <v/>
      </c>
      <c r="D107" s="91" t="str">
        <f>IF($Y107="","",IF($Y107&lt;=1997,INDEX('Term investments'!$C$1:$C$2000,$Y107+3),INDEX('Call accounts and MMFs'!$C$1:$C$2000,$Y107-1997+3))&amp;"")</f>
        <v/>
      </c>
      <c r="E107" s="92" t="str">
        <f>IF($Y107="","",IF($Y107&lt;=1997,IF(N(INDEX('Deal maths'!$H$1:$H$2000,$Y107+3))&gt;0,N(INDEX('Deal maths'!$H$1:$H$2000,$Y107+3)),N(INDEX('Deal maths'!$D$1:$D$2000,$Y107+3))),N(INDEX('Deal maths'!$M$1:$M$2000,$Y107-1997+3))))</f>
        <v/>
      </c>
      <c r="F107" s="93" t="str">
        <f>IF($Y107="","",IF($Y107&lt;=1997,INDEX('Deal maths'!$G$1:$G$2000,$Y107+3),INDEX('Deal maths'!$N$1:$N$2000,$Y107-1997+3)))</f>
        <v/>
      </c>
      <c r="G107" s="94" t="str">
        <f>IF($Y107="","",IF($Y107&lt;=1997,INDEX('Deal maths'!$E$1:$E$2000,$Y107+3),""))</f>
        <v/>
      </c>
      <c r="H107" s="94" t="str">
        <f>IF($Y107="","",IF($Y107&lt;=1997,INDEX('Deal maths'!$F$1:$F$2000,$Y107+3),""))</f>
        <v/>
      </c>
      <c r="I107" s="98" t="str">
        <f>IF($Y107="","",IF($Y107&lt;=1997,N(INDEX('Deal maths'!$F$1:$F$2000,$Y107+3))-AsAt,N(INDEX('Deal maths'!$O$1:$O$2000,$Y107-1997+3))))</f>
        <v/>
      </c>
      <c r="J107" s="99" t="str">
        <f>IF($Y107="","",IF($Y107&lt;=1997,INDEX('Term investments'!$J$1:$J$2000,$Y107+3),INDEX('Call accounts and MMFs'!$G$1:$G$2000,$Y107-1997+3))&amp;"")</f>
        <v/>
      </c>
      <c r="K107" s="92" t="str">
        <f>IF($Y107="","",N(E107)*N(F107))</f>
        <v/>
      </c>
      <c r="L107" s="100" t="str">
        <f>IF($Y107="","",IF($Y107&lt;=1997,"Term investments, row "&amp;($Y107+3),"Call accounts and MMFs, row "&amp;($Y107-1997+3)))</f>
        <v/>
      </c>
      <c r="Y107" t="str">
        <f>IFERROR(MATCH(SMALL('List maths'!$E$4:$E$3997,99),'List maths'!$E$4:$E$3997,0),"")</f>
        <v/>
      </c>
    </row>
    <row r="108">
      <c r="B108" s="91" t="str">
        <f>IF($Y108="","",IF($Y108&lt;=1997,INDEX('Term investments'!$B$1:$B$2000,$Y108+3),INDEX('Call accounts and MMFs'!$B$1:$B$2000,$Y108-1997+3))&amp;"")</f>
        <v/>
      </c>
      <c r="C108" s="91" t="str">
        <f>IF($Y108="","",IF($Y108&lt;=1997,INDEX('Term investments'!$A$1:$A$2000,$Y108+3),INDEX('Call accounts and MMFs'!$A$1:$A$2000,$Y108-1997+3))&amp;"")</f>
        <v/>
      </c>
      <c r="D108" s="91" t="str">
        <f>IF($Y108="","",IF($Y108&lt;=1997,INDEX('Term investments'!$C$1:$C$2000,$Y108+3),INDEX('Call accounts and MMFs'!$C$1:$C$2000,$Y108-1997+3))&amp;"")</f>
        <v/>
      </c>
      <c r="E108" s="92" t="str">
        <f>IF($Y108="","",IF($Y108&lt;=1997,IF(N(INDEX('Deal maths'!$H$1:$H$2000,$Y108+3))&gt;0,N(INDEX('Deal maths'!$H$1:$H$2000,$Y108+3)),N(INDEX('Deal maths'!$D$1:$D$2000,$Y108+3))),N(INDEX('Deal maths'!$M$1:$M$2000,$Y108-1997+3))))</f>
        <v/>
      </c>
      <c r="F108" s="93" t="str">
        <f>IF($Y108="","",IF($Y108&lt;=1997,INDEX('Deal maths'!$G$1:$G$2000,$Y108+3),INDEX('Deal maths'!$N$1:$N$2000,$Y108-1997+3)))</f>
        <v/>
      </c>
      <c r="G108" s="94" t="str">
        <f>IF($Y108="","",IF($Y108&lt;=1997,INDEX('Deal maths'!$E$1:$E$2000,$Y108+3),""))</f>
        <v/>
      </c>
      <c r="H108" s="94" t="str">
        <f>IF($Y108="","",IF($Y108&lt;=1997,INDEX('Deal maths'!$F$1:$F$2000,$Y108+3),""))</f>
        <v/>
      </c>
      <c r="I108" s="98" t="str">
        <f>IF($Y108="","",IF($Y108&lt;=1997,N(INDEX('Deal maths'!$F$1:$F$2000,$Y108+3))-AsAt,N(INDEX('Deal maths'!$O$1:$O$2000,$Y108-1997+3))))</f>
        <v/>
      </c>
      <c r="J108" s="99" t="str">
        <f>IF($Y108="","",IF($Y108&lt;=1997,INDEX('Term investments'!$J$1:$J$2000,$Y108+3),INDEX('Call accounts and MMFs'!$G$1:$G$2000,$Y108-1997+3))&amp;"")</f>
        <v/>
      </c>
      <c r="K108" s="92" t="str">
        <f>IF($Y108="","",N(E108)*N(F108))</f>
        <v/>
      </c>
      <c r="L108" s="100" t="str">
        <f>IF($Y108="","",IF($Y108&lt;=1997,"Term investments, row "&amp;($Y108+3),"Call accounts and MMFs, row "&amp;($Y108-1997+3)))</f>
        <v/>
      </c>
      <c r="Y108" t="str">
        <f>IFERROR(MATCH(SMALL('List maths'!$E$4:$E$3997,100),'List maths'!$E$4:$E$3997,0),"")</f>
        <v/>
      </c>
    </row>
    <row r="109">
      <c r="B109" s="91" t="str">
        <f>IF($Y109="","",IF($Y109&lt;=1997,INDEX('Term investments'!$B$1:$B$2000,$Y109+3),INDEX('Call accounts and MMFs'!$B$1:$B$2000,$Y109-1997+3))&amp;"")</f>
        <v/>
      </c>
      <c r="C109" s="91" t="str">
        <f>IF($Y109="","",IF($Y109&lt;=1997,INDEX('Term investments'!$A$1:$A$2000,$Y109+3),INDEX('Call accounts and MMFs'!$A$1:$A$2000,$Y109-1997+3))&amp;"")</f>
        <v/>
      </c>
      <c r="D109" s="91" t="str">
        <f>IF($Y109="","",IF($Y109&lt;=1997,INDEX('Term investments'!$C$1:$C$2000,$Y109+3),INDEX('Call accounts and MMFs'!$C$1:$C$2000,$Y109-1997+3))&amp;"")</f>
        <v/>
      </c>
      <c r="E109" s="92" t="str">
        <f>IF($Y109="","",IF($Y109&lt;=1997,IF(N(INDEX('Deal maths'!$H$1:$H$2000,$Y109+3))&gt;0,N(INDEX('Deal maths'!$H$1:$H$2000,$Y109+3)),N(INDEX('Deal maths'!$D$1:$D$2000,$Y109+3))),N(INDEX('Deal maths'!$M$1:$M$2000,$Y109-1997+3))))</f>
        <v/>
      </c>
      <c r="F109" s="93" t="str">
        <f>IF($Y109="","",IF($Y109&lt;=1997,INDEX('Deal maths'!$G$1:$G$2000,$Y109+3),INDEX('Deal maths'!$N$1:$N$2000,$Y109-1997+3)))</f>
        <v/>
      </c>
      <c r="G109" s="94" t="str">
        <f>IF($Y109="","",IF($Y109&lt;=1997,INDEX('Deal maths'!$E$1:$E$2000,$Y109+3),""))</f>
        <v/>
      </c>
      <c r="H109" s="94" t="str">
        <f>IF($Y109="","",IF($Y109&lt;=1997,INDEX('Deal maths'!$F$1:$F$2000,$Y109+3),""))</f>
        <v/>
      </c>
      <c r="I109" s="98" t="str">
        <f>IF($Y109="","",IF($Y109&lt;=1997,N(INDEX('Deal maths'!$F$1:$F$2000,$Y109+3))-AsAt,N(INDEX('Deal maths'!$O$1:$O$2000,$Y109-1997+3))))</f>
        <v/>
      </c>
      <c r="J109" s="99" t="str">
        <f>IF($Y109="","",IF($Y109&lt;=1997,INDEX('Term investments'!$J$1:$J$2000,$Y109+3),INDEX('Call accounts and MMFs'!$G$1:$G$2000,$Y109-1997+3))&amp;"")</f>
        <v/>
      </c>
      <c r="K109" s="92" t="str">
        <f>IF($Y109="","",N(E109)*N(F109))</f>
        <v/>
      </c>
      <c r="L109" s="100" t="str">
        <f>IF($Y109="","",IF($Y109&lt;=1997,"Term investments, row "&amp;($Y109+3),"Call accounts and MMFs, row "&amp;($Y109-1997+3)))</f>
        <v/>
      </c>
      <c r="Y109" t="str">
        <f>IFERROR(MATCH(SMALL('List maths'!$E$4:$E$3997,101),'List maths'!$E$4:$E$3997,0),"")</f>
        <v/>
      </c>
    </row>
    <row r="110">
      <c r="B110" s="91" t="str">
        <f>IF($Y110="","",IF($Y110&lt;=1997,INDEX('Term investments'!$B$1:$B$2000,$Y110+3),INDEX('Call accounts and MMFs'!$B$1:$B$2000,$Y110-1997+3))&amp;"")</f>
        <v/>
      </c>
      <c r="C110" s="91" t="str">
        <f>IF($Y110="","",IF($Y110&lt;=1997,INDEX('Term investments'!$A$1:$A$2000,$Y110+3),INDEX('Call accounts and MMFs'!$A$1:$A$2000,$Y110-1997+3))&amp;"")</f>
        <v/>
      </c>
      <c r="D110" s="91" t="str">
        <f>IF($Y110="","",IF($Y110&lt;=1997,INDEX('Term investments'!$C$1:$C$2000,$Y110+3),INDEX('Call accounts and MMFs'!$C$1:$C$2000,$Y110-1997+3))&amp;"")</f>
        <v/>
      </c>
      <c r="E110" s="92" t="str">
        <f>IF($Y110="","",IF($Y110&lt;=1997,IF(N(INDEX('Deal maths'!$H$1:$H$2000,$Y110+3))&gt;0,N(INDEX('Deal maths'!$H$1:$H$2000,$Y110+3)),N(INDEX('Deal maths'!$D$1:$D$2000,$Y110+3))),N(INDEX('Deal maths'!$M$1:$M$2000,$Y110-1997+3))))</f>
        <v/>
      </c>
      <c r="F110" s="93" t="str">
        <f>IF($Y110="","",IF($Y110&lt;=1997,INDEX('Deal maths'!$G$1:$G$2000,$Y110+3),INDEX('Deal maths'!$N$1:$N$2000,$Y110-1997+3)))</f>
        <v/>
      </c>
      <c r="G110" s="94" t="str">
        <f>IF($Y110="","",IF($Y110&lt;=1997,INDEX('Deal maths'!$E$1:$E$2000,$Y110+3),""))</f>
        <v/>
      </c>
      <c r="H110" s="94" t="str">
        <f>IF($Y110="","",IF($Y110&lt;=1997,INDEX('Deal maths'!$F$1:$F$2000,$Y110+3),""))</f>
        <v/>
      </c>
      <c r="I110" s="98" t="str">
        <f>IF($Y110="","",IF($Y110&lt;=1997,N(INDEX('Deal maths'!$F$1:$F$2000,$Y110+3))-AsAt,N(INDEX('Deal maths'!$O$1:$O$2000,$Y110-1997+3))))</f>
        <v/>
      </c>
      <c r="J110" s="99" t="str">
        <f>IF($Y110="","",IF($Y110&lt;=1997,INDEX('Term investments'!$J$1:$J$2000,$Y110+3),INDEX('Call accounts and MMFs'!$G$1:$G$2000,$Y110-1997+3))&amp;"")</f>
        <v/>
      </c>
      <c r="K110" s="92" t="str">
        <f>IF($Y110="","",N(E110)*N(F110))</f>
        <v/>
      </c>
      <c r="L110" s="100" t="str">
        <f>IF($Y110="","",IF($Y110&lt;=1997,"Term investments, row "&amp;($Y110+3),"Call accounts and MMFs, row "&amp;($Y110-1997+3)))</f>
        <v/>
      </c>
      <c r="Y110" t="str">
        <f>IFERROR(MATCH(SMALL('List maths'!$E$4:$E$3997,102),'List maths'!$E$4:$E$3997,0),"")</f>
        <v/>
      </c>
    </row>
    <row r="111">
      <c r="B111" s="91" t="str">
        <f>IF($Y111="","",IF($Y111&lt;=1997,INDEX('Term investments'!$B$1:$B$2000,$Y111+3),INDEX('Call accounts and MMFs'!$B$1:$B$2000,$Y111-1997+3))&amp;"")</f>
        <v/>
      </c>
      <c r="C111" s="91" t="str">
        <f>IF($Y111="","",IF($Y111&lt;=1997,INDEX('Term investments'!$A$1:$A$2000,$Y111+3),INDEX('Call accounts and MMFs'!$A$1:$A$2000,$Y111-1997+3))&amp;"")</f>
        <v/>
      </c>
      <c r="D111" s="91" t="str">
        <f>IF($Y111="","",IF($Y111&lt;=1997,INDEX('Term investments'!$C$1:$C$2000,$Y111+3),INDEX('Call accounts and MMFs'!$C$1:$C$2000,$Y111-1997+3))&amp;"")</f>
        <v/>
      </c>
      <c r="E111" s="92" t="str">
        <f>IF($Y111="","",IF($Y111&lt;=1997,IF(N(INDEX('Deal maths'!$H$1:$H$2000,$Y111+3))&gt;0,N(INDEX('Deal maths'!$H$1:$H$2000,$Y111+3)),N(INDEX('Deal maths'!$D$1:$D$2000,$Y111+3))),N(INDEX('Deal maths'!$M$1:$M$2000,$Y111-1997+3))))</f>
        <v/>
      </c>
      <c r="F111" s="93" t="str">
        <f>IF($Y111="","",IF($Y111&lt;=1997,INDEX('Deal maths'!$G$1:$G$2000,$Y111+3),INDEX('Deal maths'!$N$1:$N$2000,$Y111-1997+3)))</f>
        <v/>
      </c>
      <c r="G111" s="94" t="str">
        <f>IF($Y111="","",IF($Y111&lt;=1997,INDEX('Deal maths'!$E$1:$E$2000,$Y111+3),""))</f>
        <v/>
      </c>
      <c r="H111" s="94" t="str">
        <f>IF($Y111="","",IF($Y111&lt;=1997,INDEX('Deal maths'!$F$1:$F$2000,$Y111+3),""))</f>
        <v/>
      </c>
      <c r="I111" s="98" t="str">
        <f>IF($Y111="","",IF($Y111&lt;=1997,N(INDEX('Deal maths'!$F$1:$F$2000,$Y111+3))-AsAt,N(INDEX('Deal maths'!$O$1:$O$2000,$Y111-1997+3))))</f>
        <v/>
      </c>
      <c r="J111" s="99" t="str">
        <f>IF($Y111="","",IF($Y111&lt;=1997,INDEX('Term investments'!$J$1:$J$2000,$Y111+3),INDEX('Call accounts and MMFs'!$G$1:$G$2000,$Y111-1997+3))&amp;"")</f>
        <v/>
      </c>
      <c r="K111" s="92" t="str">
        <f>IF($Y111="","",N(E111)*N(F111))</f>
        <v/>
      </c>
      <c r="L111" s="100" t="str">
        <f>IF($Y111="","",IF($Y111&lt;=1997,"Term investments, row "&amp;($Y111+3),"Call accounts and MMFs, row "&amp;($Y111-1997+3)))</f>
        <v/>
      </c>
      <c r="Y111" t="str">
        <f>IFERROR(MATCH(SMALL('List maths'!$E$4:$E$3997,103),'List maths'!$E$4:$E$3997,0),"")</f>
        <v/>
      </c>
    </row>
    <row r="112">
      <c r="B112" s="91" t="str">
        <f>IF($Y112="","",IF($Y112&lt;=1997,INDEX('Term investments'!$B$1:$B$2000,$Y112+3),INDEX('Call accounts and MMFs'!$B$1:$B$2000,$Y112-1997+3))&amp;"")</f>
        <v/>
      </c>
      <c r="C112" s="91" t="str">
        <f>IF($Y112="","",IF($Y112&lt;=1997,INDEX('Term investments'!$A$1:$A$2000,$Y112+3),INDEX('Call accounts and MMFs'!$A$1:$A$2000,$Y112-1997+3))&amp;"")</f>
        <v/>
      </c>
      <c r="D112" s="91" t="str">
        <f>IF($Y112="","",IF($Y112&lt;=1997,INDEX('Term investments'!$C$1:$C$2000,$Y112+3),INDEX('Call accounts and MMFs'!$C$1:$C$2000,$Y112-1997+3))&amp;"")</f>
        <v/>
      </c>
      <c r="E112" s="92" t="str">
        <f>IF($Y112="","",IF($Y112&lt;=1997,IF(N(INDEX('Deal maths'!$H$1:$H$2000,$Y112+3))&gt;0,N(INDEX('Deal maths'!$H$1:$H$2000,$Y112+3)),N(INDEX('Deal maths'!$D$1:$D$2000,$Y112+3))),N(INDEX('Deal maths'!$M$1:$M$2000,$Y112-1997+3))))</f>
        <v/>
      </c>
      <c r="F112" s="93" t="str">
        <f>IF($Y112="","",IF($Y112&lt;=1997,INDEX('Deal maths'!$G$1:$G$2000,$Y112+3),INDEX('Deal maths'!$N$1:$N$2000,$Y112-1997+3)))</f>
        <v/>
      </c>
      <c r="G112" s="94" t="str">
        <f>IF($Y112="","",IF($Y112&lt;=1997,INDEX('Deal maths'!$E$1:$E$2000,$Y112+3),""))</f>
        <v/>
      </c>
      <c r="H112" s="94" t="str">
        <f>IF($Y112="","",IF($Y112&lt;=1997,INDEX('Deal maths'!$F$1:$F$2000,$Y112+3),""))</f>
        <v/>
      </c>
      <c r="I112" s="98" t="str">
        <f>IF($Y112="","",IF($Y112&lt;=1997,N(INDEX('Deal maths'!$F$1:$F$2000,$Y112+3))-AsAt,N(INDEX('Deal maths'!$O$1:$O$2000,$Y112-1997+3))))</f>
        <v/>
      </c>
      <c r="J112" s="99" t="str">
        <f>IF($Y112="","",IF($Y112&lt;=1997,INDEX('Term investments'!$J$1:$J$2000,$Y112+3),INDEX('Call accounts and MMFs'!$G$1:$G$2000,$Y112-1997+3))&amp;"")</f>
        <v/>
      </c>
      <c r="K112" s="92" t="str">
        <f>IF($Y112="","",N(E112)*N(F112))</f>
        <v/>
      </c>
      <c r="L112" s="100" t="str">
        <f>IF($Y112="","",IF($Y112&lt;=1997,"Term investments, row "&amp;($Y112+3),"Call accounts and MMFs, row "&amp;($Y112-1997+3)))</f>
        <v/>
      </c>
      <c r="Y112" t="str">
        <f>IFERROR(MATCH(SMALL('List maths'!$E$4:$E$3997,104),'List maths'!$E$4:$E$3997,0),"")</f>
        <v/>
      </c>
    </row>
    <row r="113">
      <c r="B113" s="91" t="str">
        <f>IF($Y113="","",IF($Y113&lt;=1997,INDEX('Term investments'!$B$1:$B$2000,$Y113+3),INDEX('Call accounts and MMFs'!$B$1:$B$2000,$Y113-1997+3))&amp;"")</f>
        <v/>
      </c>
      <c r="C113" s="91" t="str">
        <f>IF($Y113="","",IF($Y113&lt;=1997,INDEX('Term investments'!$A$1:$A$2000,$Y113+3),INDEX('Call accounts and MMFs'!$A$1:$A$2000,$Y113-1997+3))&amp;"")</f>
        <v/>
      </c>
      <c r="D113" s="91" t="str">
        <f>IF($Y113="","",IF($Y113&lt;=1997,INDEX('Term investments'!$C$1:$C$2000,$Y113+3),INDEX('Call accounts and MMFs'!$C$1:$C$2000,$Y113-1997+3))&amp;"")</f>
        <v/>
      </c>
      <c r="E113" s="92" t="str">
        <f>IF($Y113="","",IF($Y113&lt;=1997,IF(N(INDEX('Deal maths'!$H$1:$H$2000,$Y113+3))&gt;0,N(INDEX('Deal maths'!$H$1:$H$2000,$Y113+3)),N(INDEX('Deal maths'!$D$1:$D$2000,$Y113+3))),N(INDEX('Deal maths'!$M$1:$M$2000,$Y113-1997+3))))</f>
        <v/>
      </c>
      <c r="F113" s="93" t="str">
        <f>IF($Y113="","",IF($Y113&lt;=1997,INDEX('Deal maths'!$G$1:$G$2000,$Y113+3),INDEX('Deal maths'!$N$1:$N$2000,$Y113-1997+3)))</f>
        <v/>
      </c>
      <c r="G113" s="94" t="str">
        <f>IF($Y113="","",IF($Y113&lt;=1997,INDEX('Deal maths'!$E$1:$E$2000,$Y113+3),""))</f>
        <v/>
      </c>
      <c r="H113" s="94" t="str">
        <f>IF($Y113="","",IF($Y113&lt;=1997,INDEX('Deal maths'!$F$1:$F$2000,$Y113+3),""))</f>
        <v/>
      </c>
      <c r="I113" s="98" t="str">
        <f>IF($Y113="","",IF($Y113&lt;=1997,N(INDEX('Deal maths'!$F$1:$F$2000,$Y113+3))-AsAt,N(INDEX('Deal maths'!$O$1:$O$2000,$Y113-1997+3))))</f>
        <v/>
      </c>
      <c r="J113" s="99" t="str">
        <f>IF($Y113="","",IF($Y113&lt;=1997,INDEX('Term investments'!$J$1:$J$2000,$Y113+3),INDEX('Call accounts and MMFs'!$G$1:$G$2000,$Y113-1997+3))&amp;"")</f>
        <v/>
      </c>
      <c r="K113" s="92" t="str">
        <f>IF($Y113="","",N(E113)*N(F113))</f>
        <v/>
      </c>
      <c r="L113" s="100" t="str">
        <f>IF($Y113="","",IF($Y113&lt;=1997,"Term investments, row "&amp;($Y113+3),"Call accounts and MMFs, row "&amp;($Y113-1997+3)))</f>
        <v/>
      </c>
      <c r="Y113" t="str">
        <f>IFERROR(MATCH(SMALL('List maths'!$E$4:$E$3997,105),'List maths'!$E$4:$E$3997,0),"")</f>
        <v/>
      </c>
    </row>
    <row r="114">
      <c r="B114" s="91" t="str">
        <f>IF($Y114="","",IF($Y114&lt;=1997,INDEX('Term investments'!$B$1:$B$2000,$Y114+3),INDEX('Call accounts and MMFs'!$B$1:$B$2000,$Y114-1997+3))&amp;"")</f>
        <v/>
      </c>
      <c r="C114" s="91" t="str">
        <f>IF($Y114="","",IF($Y114&lt;=1997,INDEX('Term investments'!$A$1:$A$2000,$Y114+3),INDEX('Call accounts and MMFs'!$A$1:$A$2000,$Y114-1997+3))&amp;"")</f>
        <v/>
      </c>
      <c r="D114" s="91" t="str">
        <f>IF($Y114="","",IF($Y114&lt;=1997,INDEX('Term investments'!$C$1:$C$2000,$Y114+3),INDEX('Call accounts and MMFs'!$C$1:$C$2000,$Y114-1997+3))&amp;"")</f>
        <v/>
      </c>
      <c r="E114" s="92" t="str">
        <f>IF($Y114="","",IF($Y114&lt;=1997,IF(N(INDEX('Deal maths'!$H$1:$H$2000,$Y114+3))&gt;0,N(INDEX('Deal maths'!$H$1:$H$2000,$Y114+3)),N(INDEX('Deal maths'!$D$1:$D$2000,$Y114+3))),N(INDEX('Deal maths'!$M$1:$M$2000,$Y114-1997+3))))</f>
        <v/>
      </c>
      <c r="F114" s="93" t="str">
        <f>IF($Y114="","",IF($Y114&lt;=1997,INDEX('Deal maths'!$G$1:$G$2000,$Y114+3),INDEX('Deal maths'!$N$1:$N$2000,$Y114-1997+3)))</f>
        <v/>
      </c>
      <c r="G114" s="94" t="str">
        <f>IF($Y114="","",IF($Y114&lt;=1997,INDEX('Deal maths'!$E$1:$E$2000,$Y114+3),""))</f>
        <v/>
      </c>
      <c r="H114" s="94" t="str">
        <f>IF($Y114="","",IF($Y114&lt;=1997,INDEX('Deal maths'!$F$1:$F$2000,$Y114+3),""))</f>
        <v/>
      </c>
      <c r="I114" s="98" t="str">
        <f>IF($Y114="","",IF($Y114&lt;=1997,N(INDEX('Deal maths'!$F$1:$F$2000,$Y114+3))-AsAt,N(INDEX('Deal maths'!$O$1:$O$2000,$Y114-1997+3))))</f>
        <v/>
      </c>
      <c r="J114" s="99" t="str">
        <f>IF($Y114="","",IF($Y114&lt;=1997,INDEX('Term investments'!$J$1:$J$2000,$Y114+3),INDEX('Call accounts and MMFs'!$G$1:$G$2000,$Y114-1997+3))&amp;"")</f>
        <v/>
      </c>
      <c r="K114" s="92" t="str">
        <f>IF($Y114="","",N(E114)*N(F114))</f>
        <v/>
      </c>
      <c r="L114" s="100" t="str">
        <f>IF($Y114="","",IF($Y114&lt;=1997,"Term investments, row "&amp;($Y114+3),"Call accounts and MMFs, row "&amp;($Y114-1997+3)))</f>
        <v/>
      </c>
      <c r="Y114" t="str">
        <f>IFERROR(MATCH(SMALL('List maths'!$E$4:$E$3997,106),'List maths'!$E$4:$E$3997,0),"")</f>
        <v/>
      </c>
    </row>
    <row r="115">
      <c r="B115" s="91" t="str">
        <f>IF($Y115="","",IF($Y115&lt;=1997,INDEX('Term investments'!$B$1:$B$2000,$Y115+3),INDEX('Call accounts and MMFs'!$B$1:$B$2000,$Y115-1997+3))&amp;"")</f>
        <v/>
      </c>
      <c r="C115" s="91" t="str">
        <f>IF($Y115="","",IF($Y115&lt;=1997,INDEX('Term investments'!$A$1:$A$2000,$Y115+3),INDEX('Call accounts and MMFs'!$A$1:$A$2000,$Y115-1997+3))&amp;"")</f>
        <v/>
      </c>
      <c r="D115" s="91" t="str">
        <f>IF($Y115="","",IF($Y115&lt;=1997,INDEX('Term investments'!$C$1:$C$2000,$Y115+3),INDEX('Call accounts and MMFs'!$C$1:$C$2000,$Y115-1997+3))&amp;"")</f>
        <v/>
      </c>
      <c r="E115" s="92" t="str">
        <f>IF($Y115="","",IF($Y115&lt;=1997,IF(N(INDEX('Deal maths'!$H$1:$H$2000,$Y115+3))&gt;0,N(INDEX('Deal maths'!$H$1:$H$2000,$Y115+3)),N(INDEX('Deal maths'!$D$1:$D$2000,$Y115+3))),N(INDEX('Deal maths'!$M$1:$M$2000,$Y115-1997+3))))</f>
        <v/>
      </c>
      <c r="F115" s="93" t="str">
        <f>IF($Y115="","",IF($Y115&lt;=1997,INDEX('Deal maths'!$G$1:$G$2000,$Y115+3),INDEX('Deal maths'!$N$1:$N$2000,$Y115-1997+3)))</f>
        <v/>
      </c>
      <c r="G115" s="94" t="str">
        <f>IF($Y115="","",IF($Y115&lt;=1997,INDEX('Deal maths'!$E$1:$E$2000,$Y115+3),""))</f>
        <v/>
      </c>
      <c r="H115" s="94" t="str">
        <f>IF($Y115="","",IF($Y115&lt;=1997,INDEX('Deal maths'!$F$1:$F$2000,$Y115+3),""))</f>
        <v/>
      </c>
      <c r="I115" s="98" t="str">
        <f>IF($Y115="","",IF($Y115&lt;=1997,N(INDEX('Deal maths'!$F$1:$F$2000,$Y115+3))-AsAt,N(INDEX('Deal maths'!$O$1:$O$2000,$Y115-1997+3))))</f>
        <v/>
      </c>
      <c r="J115" s="99" t="str">
        <f>IF($Y115="","",IF($Y115&lt;=1997,INDEX('Term investments'!$J$1:$J$2000,$Y115+3),INDEX('Call accounts and MMFs'!$G$1:$G$2000,$Y115-1997+3))&amp;"")</f>
        <v/>
      </c>
      <c r="K115" s="92" t="str">
        <f>IF($Y115="","",N(E115)*N(F115))</f>
        <v/>
      </c>
      <c r="L115" s="100" t="str">
        <f>IF($Y115="","",IF($Y115&lt;=1997,"Term investments, row "&amp;($Y115+3),"Call accounts and MMFs, row "&amp;($Y115-1997+3)))</f>
        <v/>
      </c>
      <c r="Y115" t="str">
        <f>IFERROR(MATCH(SMALL('List maths'!$E$4:$E$3997,107),'List maths'!$E$4:$E$3997,0),"")</f>
        <v/>
      </c>
    </row>
    <row r="116">
      <c r="B116" s="91" t="str">
        <f>IF($Y116="","",IF($Y116&lt;=1997,INDEX('Term investments'!$B$1:$B$2000,$Y116+3),INDEX('Call accounts and MMFs'!$B$1:$B$2000,$Y116-1997+3))&amp;"")</f>
        <v/>
      </c>
      <c r="C116" s="91" t="str">
        <f>IF($Y116="","",IF($Y116&lt;=1997,INDEX('Term investments'!$A$1:$A$2000,$Y116+3),INDEX('Call accounts and MMFs'!$A$1:$A$2000,$Y116-1997+3))&amp;"")</f>
        <v/>
      </c>
      <c r="D116" s="91" t="str">
        <f>IF($Y116="","",IF($Y116&lt;=1997,INDEX('Term investments'!$C$1:$C$2000,$Y116+3),INDEX('Call accounts and MMFs'!$C$1:$C$2000,$Y116-1997+3))&amp;"")</f>
        <v/>
      </c>
      <c r="E116" s="92" t="str">
        <f>IF($Y116="","",IF($Y116&lt;=1997,IF(N(INDEX('Deal maths'!$H$1:$H$2000,$Y116+3))&gt;0,N(INDEX('Deal maths'!$H$1:$H$2000,$Y116+3)),N(INDEX('Deal maths'!$D$1:$D$2000,$Y116+3))),N(INDEX('Deal maths'!$M$1:$M$2000,$Y116-1997+3))))</f>
        <v/>
      </c>
      <c r="F116" s="93" t="str">
        <f>IF($Y116="","",IF($Y116&lt;=1997,INDEX('Deal maths'!$G$1:$G$2000,$Y116+3),INDEX('Deal maths'!$N$1:$N$2000,$Y116-1997+3)))</f>
        <v/>
      </c>
      <c r="G116" s="94" t="str">
        <f>IF($Y116="","",IF($Y116&lt;=1997,INDEX('Deal maths'!$E$1:$E$2000,$Y116+3),""))</f>
        <v/>
      </c>
      <c r="H116" s="94" t="str">
        <f>IF($Y116="","",IF($Y116&lt;=1997,INDEX('Deal maths'!$F$1:$F$2000,$Y116+3),""))</f>
        <v/>
      </c>
      <c r="I116" s="98" t="str">
        <f>IF($Y116="","",IF($Y116&lt;=1997,N(INDEX('Deal maths'!$F$1:$F$2000,$Y116+3))-AsAt,N(INDEX('Deal maths'!$O$1:$O$2000,$Y116-1997+3))))</f>
        <v/>
      </c>
      <c r="J116" s="99" t="str">
        <f>IF($Y116="","",IF($Y116&lt;=1997,INDEX('Term investments'!$J$1:$J$2000,$Y116+3),INDEX('Call accounts and MMFs'!$G$1:$G$2000,$Y116-1997+3))&amp;"")</f>
        <v/>
      </c>
      <c r="K116" s="92" t="str">
        <f>IF($Y116="","",N(E116)*N(F116))</f>
        <v/>
      </c>
      <c r="L116" s="100" t="str">
        <f>IF($Y116="","",IF($Y116&lt;=1997,"Term investments, row "&amp;($Y116+3),"Call accounts and MMFs, row "&amp;($Y116-1997+3)))</f>
        <v/>
      </c>
      <c r="Y116" t="str">
        <f>IFERROR(MATCH(SMALL('List maths'!$E$4:$E$3997,108),'List maths'!$E$4:$E$3997,0),"")</f>
        <v/>
      </c>
    </row>
    <row r="117">
      <c r="B117" s="91" t="str">
        <f>IF($Y117="","",IF($Y117&lt;=1997,INDEX('Term investments'!$B$1:$B$2000,$Y117+3),INDEX('Call accounts and MMFs'!$B$1:$B$2000,$Y117-1997+3))&amp;"")</f>
        <v/>
      </c>
      <c r="C117" s="91" t="str">
        <f>IF($Y117="","",IF($Y117&lt;=1997,INDEX('Term investments'!$A$1:$A$2000,$Y117+3),INDEX('Call accounts and MMFs'!$A$1:$A$2000,$Y117-1997+3))&amp;"")</f>
        <v/>
      </c>
      <c r="D117" s="91" t="str">
        <f>IF($Y117="","",IF($Y117&lt;=1997,INDEX('Term investments'!$C$1:$C$2000,$Y117+3),INDEX('Call accounts and MMFs'!$C$1:$C$2000,$Y117-1997+3))&amp;"")</f>
        <v/>
      </c>
      <c r="E117" s="92" t="str">
        <f>IF($Y117="","",IF($Y117&lt;=1997,IF(N(INDEX('Deal maths'!$H$1:$H$2000,$Y117+3))&gt;0,N(INDEX('Deal maths'!$H$1:$H$2000,$Y117+3)),N(INDEX('Deal maths'!$D$1:$D$2000,$Y117+3))),N(INDEX('Deal maths'!$M$1:$M$2000,$Y117-1997+3))))</f>
        <v/>
      </c>
      <c r="F117" s="93" t="str">
        <f>IF($Y117="","",IF($Y117&lt;=1997,INDEX('Deal maths'!$G$1:$G$2000,$Y117+3),INDEX('Deal maths'!$N$1:$N$2000,$Y117-1997+3)))</f>
        <v/>
      </c>
      <c r="G117" s="94" t="str">
        <f>IF($Y117="","",IF($Y117&lt;=1997,INDEX('Deal maths'!$E$1:$E$2000,$Y117+3),""))</f>
        <v/>
      </c>
      <c r="H117" s="94" t="str">
        <f>IF($Y117="","",IF($Y117&lt;=1997,INDEX('Deal maths'!$F$1:$F$2000,$Y117+3),""))</f>
        <v/>
      </c>
      <c r="I117" s="98" t="str">
        <f>IF($Y117="","",IF($Y117&lt;=1997,N(INDEX('Deal maths'!$F$1:$F$2000,$Y117+3))-AsAt,N(INDEX('Deal maths'!$O$1:$O$2000,$Y117-1997+3))))</f>
        <v/>
      </c>
      <c r="J117" s="99" t="str">
        <f>IF($Y117="","",IF($Y117&lt;=1997,INDEX('Term investments'!$J$1:$J$2000,$Y117+3),INDEX('Call accounts and MMFs'!$G$1:$G$2000,$Y117-1997+3))&amp;"")</f>
        <v/>
      </c>
      <c r="K117" s="92" t="str">
        <f>IF($Y117="","",N(E117)*N(F117))</f>
        <v/>
      </c>
      <c r="L117" s="100" t="str">
        <f>IF($Y117="","",IF($Y117&lt;=1997,"Term investments, row "&amp;($Y117+3),"Call accounts and MMFs, row "&amp;($Y117-1997+3)))</f>
        <v/>
      </c>
      <c r="Y117" t="str">
        <f>IFERROR(MATCH(SMALL('List maths'!$E$4:$E$3997,109),'List maths'!$E$4:$E$3997,0),"")</f>
        <v/>
      </c>
    </row>
    <row r="118">
      <c r="B118" s="91" t="str">
        <f>IF($Y118="","",IF($Y118&lt;=1997,INDEX('Term investments'!$B$1:$B$2000,$Y118+3),INDEX('Call accounts and MMFs'!$B$1:$B$2000,$Y118-1997+3))&amp;"")</f>
        <v/>
      </c>
      <c r="C118" s="91" t="str">
        <f>IF($Y118="","",IF($Y118&lt;=1997,INDEX('Term investments'!$A$1:$A$2000,$Y118+3),INDEX('Call accounts and MMFs'!$A$1:$A$2000,$Y118-1997+3))&amp;"")</f>
        <v/>
      </c>
      <c r="D118" s="91" t="str">
        <f>IF($Y118="","",IF($Y118&lt;=1997,INDEX('Term investments'!$C$1:$C$2000,$Y118+3),INDEX('Call accounts and MMFs'!$C$1:$C$2000,$Y118-1997+3))&amp;"")</f>
        <v/>
      </c>
      <c r="E118" s="92" t="str">
        <f>IF($Y118="","",IF($Y118&lt;=1997,IF(N(INDEX('Deal maths'!$H$1:$H$2000,$Y118+3))&gt;0,N(INDEX('Deal maths'!$H$1:$H$2000,$Y118+3)),N(INDEX('Deal maths'!$D$1:$D$2000,$Y118+3))),N(INDEX('Deal maths'!$M$1:$M$2000,$Y118-1997+3))))</f>
        <v/>
      </c>
      <c r="F118" s="93" t="str">
        <f>IF($Y118="","",IF($Y118&lt;=1997,INDEX('Deal maths'!$G$1:$G$2000,$Y118+3),INDEX('Deal maths'!$N$1:$N$2000,$Y118-1997+3)))</f>
        <v/>
      </c>
      <c r="G118" s="94" t="str">
        <f>IF($Y118="","",IF($Y118&lt;=1997,INDEX('Deal maths'!$E$1:$E$2000,$Y118+3),""))</f>
        <v/>
      </c>
      <c r="H118" s="94" t="str">
        <f>IF($Y118="","",IF($Y118&lt;=1997,INDEX('Deal maths'!$F$1:$F$2000,$Y118+3),""))</f>
        <v/>
      </c>
      <c r="I118" s="98" t="str">
        <f>IF($Y118="","",IF($Y118&lt;=1997,N(INDEX('Deal maths'!$F$1:$F$2000,$Y118+3))-AsAt,N(INDEX('Deal maths'!$O$1:$O$2000,$Y118-1997+3))))</f>
        <v/>
      </c>
      <c r="J118" s="99" t="str">
        <f>IF($Y118="","",IF($Y118&lt;=1997,INDEX('Term investments'!$J$1:$J$2000,$Y118+3),INDEX('Call accounts and MMFs'!$G$1:$G$2000,$Y118-1997+3))&amp;"")</f>
        <v/>
      </c>
      <c r="K118" s="92" t="str">
        <f>IF($Y118="","",N(E118)*N(F118))</f>
        <v/>
      </c>
      <c r="L118" s="100" t="str">
        <f>IF($Y118="","",IF($Y118&lt;=1997,"Term investments, row "&amp;($Y118+3),"Call accounts and MMFs, row "&amp;($Y118-1997+3)))</f>
        <v/>
      </c>
      <c r="Y118" t="str">
        <f>IFERROR(MATCH(SMALL('List maths'!$E$4:$E$3997,110),'List maths'!$E$4:$E$3997,0),"")</f>
        <v/>
      </c>
    </row>
    <row r="119">
      <c r="B119" s="91" t="str">
        <f>IF($Y119="","",IF($Y119&lt;=1997,INDEX('Term investments'!$B$1:$B$2000,$Y119+3),INDEX('Call accounts and MMFs'!$B$1:$B$2000,$Y119-1997+3))&amp;"")</f>
        <v/>
      </c>
      <c r="C119" s="91" t="str">
        <f>IF($Y119="","",IF($Y119&lt;=1997,INDEX('Term investments'!$A$1:$A$2000,$Y119+3),INDEX('Call accounts and MMFs'!$A$1:$A$2000,$Y119-1997+3))&amp;"")</f>
        <v/>
      </c>
      <c r="D119" s="91" t="str">
        <f>IF($Y119="","",IF($Y119&lt;=1997,INDEX('Term investments'!$C$1:$C$2000,$Y119+3),INDEX('Call accounts and MMFs'!$C$1:$C$2000,$Y119-1997+3))&amp;"")</f>
        <v/>
      </c>
      <c r="E119" s="92" t="str">
        <f>IF($Y119="","",IF($Y119&lt;=1997,IF(N(INDEX('Deal maths'!$H$1:$H$2000,$Y119+3))&gt;0,N(INDEX('Deal maths'!$H$1:$H$2000,$Y119+3)),N(INDEX('Deal maths'!$D$1:$D$2000,$Y119+3))),N(INDEX('Deal maths'!$M$1:$M$2000,$Y119-1997+3))))</f>
        <v/>
      </c>
      <c r="F119" s="93" t="str">
        <f>IF($Y119="","",IF($Y119&lt;=1997,INDEX('Deal maths'!$G$1:$G$2000,$Y119+3),INDEX('Deal maths'!$N$1:$N$2000,$Y119-1997+3)))</f>
        <v/>
      </c>
      <c r="G119" s="94" t="str">
        <f>IF($Y119="","",IF($Y119&lt;=1997,INDEX('Deal maths'!$E$1:$E$2000,$Y119+3),""))</f>
        <v/>
      </c>
      <c r="H119" s="94" t="str">
        <f>IF($Y119="","",IF($Y119&lt;=1997,INDEX('Deal maths'!$F$1:$F$2000,$Y119+3),""))</f>
        <v/>
      </c>
      <c r="I119" s="98" t="str">
        <f>IF($Y119="","",IF($Y119&lt;=1997,N(INDEX('Deal maths'!$F$1:$F$2000,$Y119+3))-AsAt,N(INDEX('Deal maths'!$O$1:$O$2000,$Y119-1997+3))))</f>
        <v/>
      </c>
      <c r="J119" s="99" t="str">
        <f>IF($Y119="","",IF($Y119&lt;=1997,INDEX('Term investments'!$J$1:$J$2000,$Y119+3),INDEX('Call accounts and MMFs'!$G$1:$G$2000,$Y119-1997+3))&amp;"")</f>
        <v/>
      </c>
      <c r="K119" s="92" t="str">
        <f>IF($Y119="","",N(E119)*N(F119))</f>
        <v/>
      </c>
      <c r="L119" s="100" t="str">
        <f>IF($Y119="","",IF($Y119&lt;=1997,"Term investments, row "&amp;($Y119+3),"Call accounts and MMFs, row "&amp;($Y119-1997+3)))</f>
        <v/>
      </c>
      <c r="Y119" t="str">
        <f>IFERROR(MATCH(SMALL('List maths'!$E$4:$E$3997,111),'List maths'!$E$4:$E$3997,0),"")</f>
        <v/>
      </c>
    </row>
    <row r="120">
      <c r="B120" s="91" t="str">
        <f>IF($Y120="","",IF($Y120&lt;=1997,INDEX('Term investments'!$B$1:$B$2000,$Y120+3),INDEX('Call accounts and MMFs'!$B$1:$B$2000,$Y120-1997+3))&amp;"")</f>
        <v/>
      </c>
      <c r="C120" s="91" t="str">
        <f>IF($Y120="","",IF($Y120&lt;=1997,INDEX('Term investments'!$A$1:$A$2000,$Y120+3),INDEX('Call accounts and MMFs'!$A$1:$A$2000,$Y120-1997+3))&amp;"")</f>
        <v/>
      </c>
      <c r="D120" s="91" t="str">
        <f>IF($Y120="","",IF($Y120&lt;=1997,INDEX('Term investments'!$C$1:$C$2000,$Y120+3),INDEX('Call accounts and MMFs'!$C$1:$C$2000,$Y120-1997+3))&amp;"")</f>
        <v/>
      </c>
      <c r="E120" s="92" t="str">
        <f>IF($Y120="","",IF($Y120&lt;=1997,IF(N(INDEX('Deal maths'!$H$1:$H$2000,$Y120+3))&gt;0,N(INDEX('Deal maths'!$H$1:$H$2000,$Y120+3)),N(INDEX('Deal maths'!$D$1:$D$2000,$Y120+3))),N(INDEX('Deal maths'!$M$1:$M$2000,$Y120-1997+3))))</f>
        <v/>
      </c>
      <c r="F120" s="93" t="str">
        <f>IF($Y120="","",IF($Y120&lt;=1997,INDEX('Deal maths'!$G$1:$G$2000,$Y120+3),INDEX('Deal maths'!$N$1:$N$2000,$Y120-1997+3)))</f>
        <v/>
      </c>
      <c r="G120" s="94" t="str">
        <f>IF($Y120="","",IF($Y120&lt;=1997,INDEX('Deal maths'!$E$1:$E$2000,$Y120+3),""))</f>
        <v/>
      </c>
      <c r="H120" s="94" t="str">
        <f>IF($Y120="","",IF($Y120&lt;=1997,INDEX('Deal maths'!$F$1:$F$2000,$Y120+3),""))</f>
        <v/>
      </c>
      <c r="I120" s="98" t="str">
        <f>IF($Y120="","",IF($Y120&lt;=1997,N(INDEX('Deal maths'!$F$1:$F$2000,$Y120+3))-AsAt,N(INDEX('Deal maths'!$O$1:$O$2000,$Y120-1997+3))))</f>
        <v/>
      </c>
      <c r="J120" s="99" t="str">
        <f>IF($Y120="","",IF($Y120&lt;=1997,INDEX('Term investments'!$J$1:$J$2000,$Y120+3),INDEX('Call accounts and MMFs'!$G$1:$G$2000,$Y120-1997+3))&amp;"")</f>
        <v/>
      </c>
      <c r="K120" s="92" t="str">
        <f>IF($Y120="","",N(E120)*N(F120))</f>
        <v/>
      </c>
      <c r="L120" s="100" t="str">
        <f>IF($Y120="","",IF($Y120&lt;=1997,"Term investments, row "&amp;($Y120+3),"Call accounts and MMFs, row "&amp;($Y120-1997+3)))</f>
        <v/>
      </c>
      <c r="Y120" t="str">
        <f>IFERROR(MATCH(SMALL('List maths'!$E$4:$E$3997,112),'List maths'!$E$4:$E$3997,0),"")</f>
        <v/>
      </c>
    </row>
    <row r="121">
      <c r="B121" s="91" t="str">
        <f>IF($Y121="","",IF($Y121&lt;=1997,INDEX('Term investments'!$B$1:$B$2000,$Y121+3),INDEX('Call accounts and MMFs'!$B$1:$B$2000,$Y121-1997+3))&amp;"")</f>
        <v/>
      </c>
      <c r="C121" s="91" t="str">
        <f>IF($Y121="","",IF($Y121&lt;=1997,INDEX('Term investments'!$A$1:$A$2000,$Y121+3),INDEX('Call accounts and MMFs'!$A$1:$A$2000,$Y121-1997+3))&amp;"")</f>
        <v/>
      </c>
      <c r="D121" s="91" t="str">
        <f>IF($Y121="","",IF($Y121&lt;=1997,INDEX('Term investments'!$C$1:$C$2000,$Y121+3),INDEX('Call accounts and MMFs'!$C$1:$C$2000,$Y121-1997+3))&amp;"")</f>
        <v/>
      </c>
      <c r="E121" s="92" t="str">
        <f>IF($Y121="","",IF($Y121&lt;=1997,IF(N(INDEX('Deal maths'!$H$1:$H$2000,$Y121+3))&gt;0,N(INDEX('Deal maths'!$H$1:$H$2000,$Y121+3)),N(INDEX('Deal maths'!$D$1:$D$2000,$Y121+3))),N(INDEX('Deal maths'!$M$1:$M$2000,$Y121-1997+3))))</f>
        <v/>
      </c>
      <c r="F121" s="93" t="str">
        <f>IF($Y121="","",IF($Y121&lt;=1997,INDEX('Deal maths'!$G$1:$G$2000,$Y121+3),INDEX('Deal maths'!$N$1:$N$2000,$Y121-1997+3)))</f>
        <v/>
      </c>
      <c r="G121" s="94" t="str">
        <f>IF($Y121="","",IF($Y121&lt;=1997,INDEX('Deal maths'!$E$1:$E$2000,$Y121+3),""))</f>
        <v/>
      </c>
      <c r="H121" s="94" t="str">
        <f>IF($Y121="","",IF($Y121&lt;=1997,INDEX('Deal maths'!$F$1:$F$2000,$Y121+3),""))</f>
        <v/>
      </c>
      <c r="I121" s="98" t="str">
        <f>IF($Y121="","",IF($Y121&lt;=1997,N(INDEX('Deal maths'!$F$1:$F$2000,$Y121+3))-AsAt,N(INDEX('Deal maths'!$O$1:$O$2000,$Y121-1997+3))))</f>
        <v/>
      </c>
      <c r="J121" s="99" t="str">
        <f>IF($Y121="","",IF($Y121&lt;=1997,INDEX('Term investments'!$J$1:$J$2000,$Y121+3),INDEX('Call accounts and MMFs'!$G$1:$G$2000,$Y121-1997+3))&amp;"")</f>
        <v/>
      </c>
      <c r="K121" s="92" t="str">
        <f>IF($Y121="","",N(E121)*N(F121))</f>
        <v/>
      </c>
      <c r="L121" s="100" t="str">
        <f>IF($Y121="","",IF($Y121&lt;=1997,"Term investments, row "&amp;($Y121+3),"Call accounts and MMFs, row "&amp;($Y121-1997+3)))</f>
        <v/>
      </c>
      <c r="Y121" t="str">
        <f>IFERROR(MATCH(SMALL('List maths'!$E$4:$E$3997,113),'List maths'!$E$4:$E$3997,0),"")</f>
        <v/>
      </c>
    </row>
    <row r="122">
      <c r="B122" s="91" t="str">
        <f>IF($Y122="","",IF($Y122&lt;=1997,INDEX('Term investments'!$B$1:$B$2000,$Y122+3),INDEX('Call accounts and MMFs'!$B$1:$B$2000,$Y122-1997+3))&amp;"")</f>
        <v/>
      </c>
      <c r="C122" s="91" t="str">
        <f>IF($Y122="","",IF($Y122&lt;=1997,INDEX('Term investments'!$A$1:$A$2000,$Y122+3),INDEX('Call accounts and MMFs'!$A$1:$A$2000,$Y122-1997+3))&amp;"")</f>
        <v/>
      </c>
      <c r="D122" s="91" t="str">
        <f>IF($Y122="","",IF($Y122&lt;=1997,INDEX('Term investments'!$C$1:$C$2000,$Y122+3),INDEX('Call accounts and MMFs'!$C$1:$C$2000,$Y122-1997+3))&amp;"")</f>
        <v/>
      </c>
      <c r="E122" s="92" t="str">
        <f>IF($Y122="","",IF($Y122&lt;=1997,IF(N(INDEX('Deal maths'!$H$1:$H$2000,$Y122+3))&gt;0,N(INDEX('Deal maths'!$H$1:$H$2000,$Y122+3)),N(INDEX('Deal maths'!$D$1:$D$2000,$Y122+3))),N(INDEX('Deal maths'!$M$1:$M$2000,$Y122-1997+3))))</f>
        <v/>
      </c>
      <c r="F122" s="93" t="str">
        <f>IF($Y122="","",IF($Y122&lt;=1997,INDEX('Deal maths'!$G$1:$G$2000,$Y122+3),INDEX('Deal maths'!$N$1:$N$2000,$Y122-1997+3)))</f>
        <v/>
      </c>
      <c r="G122" s="94" t="str">
        <f>IF($Y122="","",IF($Y122&lt;=1997,INDEX('Deal maths'!$E$1:$E$2000,$Y122+3),""))</f>
        <v/>
      </c>
      <c r="H122" s="94" t="str">
        <f>IF($Y122="","",IF($Y122&lt;=1997,INDEX('Deal maths'!$F$1:$F$2000,$Y122+3),""))</f>
        <v/>
      </c>
      <c r="I122" s="98" t="str">
        <f>IF($Y122="","",IF($Y122&lt;=1997,N(INDEX('Deal maths'!$F$1:$F$2000,$Y122+3))-AsAt,N(INDEX('Deal maths'!$O$1:$O$2000,$Y122-1997+3))))</f>
        <v/>
      </c>
      <c r="J122" s="99" t="str">
        <f>IF($Y122="","",IF($Y122&lt;=1997,INDEX('Term investments'!$J$1:$J$2000,$Y122+3),INDEX('Call accounts and MMFs'!$G$1:$G$2000,$Y122-1997+3))&amp;"")</f>
        <v/>
      </c>
      <c r="K122" s="92" t="str">
        <f>IF($Y122="","",N(E122)*N(F122))</f>
        <v/>
      </c>
      <c r="L122" s="100" t="str">
        <f>IF($Y122="","",IF($Y122&lt;=1997,"Term investments, row "&amp;($Y122+3),"Call accounts and MMFs, row "&amp;($Y122-1997+3)))</f>
        <v/>
      </c>
      <c r="Y122" t="str">
        <f>IFERROR(MATCH(SMALL('List maths'!$E$4:$E$3997,114),'List maths'!$E$4:$E$3997,0),"")</f>
        <v/>
      </c>
    </row>
    <row r="123">
      <c r="B123" s="91" t="str">
        <f>IF($Y123="","",IF($Y123&lt;=1997,INDEX('Term investments'!$B$1:$B$2000,$Y123+3),INDEX('Call accounts and MMFs'!$B$1:$B$2000,$Y123-1997+3))&amp;"")</f>
        <v/>
      </c>
      <c r="C123" s="91" t="str">
        <f>IF($Y123="","",IF($Y123&lt;=1997,INDEX('Term investments'!$A$1:$A$2000,$Y123+3),INDEX('Call accounts and MMFs'!$A$1:$A$2000,$Y123-1997+3))&amp;"")</f>
        <v/>
      </c>
      <c r="D123" s="91" t="str">
        <f>IF($Y123="","",IF($Y123&lt;=1997,INDEX('Term investments'!$C$1:$C$2000,$Y123+3),INDEX('Call accounts and MMFs'!$C$1:$C$2000,$Y123-1997+3))&amp;"")</f>
        <v/>
      </c>
      <c r="E123" s="92" t="str">
        <f>IF($Y123="","",IF($Y123&lt;=1997,IF(N(INDEX('Deal maths'!$H$1:$H$2000,$Y123+3))&gt;0,N(INDEX('Deal maths'!$H$1:$H$2000,$Y123+3)),N(INDEX('Deal maths'!$D$1:$D$2000,$Y123+3))),N(INDEX('Deal maths'!$M$1:$M$2000,$Y123-1997+3))))</f>
        <v/>
      </c>
      <c r="F123" s="93" t="str">
        <f>IF($Y123="","",IF($Y123&lt;=1997,INDEX('Deal maths'!$G$1:$G$2000,$Y123+3),INDEX('Deal maths'!$N$1:$N$2000,$Y123-1997+3)))</f>
        <v/>
      </c>
      <c r="G123" s="94" t="str">
        <f>IF($Y123="","",IF($Y123&lt;=1997,INDEX('Deal maths'!$E$1:$E$2000,$Y123+3),""))</f>
        <v/>
      </c>
      <c r="H123" s="94" t="str">
        <f>IF($Y123="","",IF($Y123&lt;=1997,INDEX('Deal maths'!$F$1:$F$2000,$Y123+3),""))</f>
        <v/>
      </c>
      <c r="I123" s="98" t="str">
        <f>IF($Y123="","",IF($Y123&lt;=1997,N(INDEX('Deal maths'!$F$1:$F$2000,$Y123+3))-AsAt,N(INDEX('Deal maths'!$O$1:$O$2000,$Y123-1997+3))))</f>
        <v/>
      </c>
      <c r="J123" s="99" t="str">
        <f>IF($Y123="","",IF($Y123&lt;=1997,INDEX('Term investments'!$J$1:$J$2000,$Y123+3),INDEX('Call accounts and MMFs'!$G$1:$G$2000,$Y123-1997+3))&amp;"")</f>
        <v/>
      </c>
      <c r="K123" s="92" t="str">
        <f>IF($Y123="","",N(E123)*N(F123))</f>
        <v/>
      </c>
      <c r="L123" s="100" t="str">
        <f>IF($Y123="","",IF($Y123&lt;=1997,"Term investments, row "&amp;($Y123+3),"Call accounts and MMFs, row "&amp;($Y123-1997+3)))</f>
        <v/>
      </c>
      <c r="Y123" t="str">
        <f>IFERROR(MATCH(SMALL('List maths'!$E$4:$E$3997,115),'List maths'!$E$4:$E$3997,0),"")</f>
        <v/>
      </c>
    </row>
    <row r="124">
      <c r="B124" s="91" t="str">
        <f>IF($Y124="","",IF($Y124&lt;=1997,INDEX('Term investments'!$B$1:$B$2000,$Y124+3),INDEX('Call accounts and MMFs'!$B$1:$B$2000,$Y124-1997+3))&amp;"")</f>
        <v/>
      </c>
      <c r="C124" s="91" t="str">
        <f>IF($Y124="","",IF($Y124&lt;=1997,INDEX('Term investments'!$A$1:$A$2000,$Y124+3),INDEX('Call accounts and MMFs'!$A$1:$A$2000,$Y124-1997+3))&amp;"")</f>
        <v/>
      </c>
      <c r="D124" s="91" t="str">
        <f>IF($Y124="","",IF($Y124&lt;=1997,INDEX('Term investments'!$C$1:$C$2000,$Y124+3),INDEX('Call accounts and MMFs'!$C$1:$C$2000,$Y124-1997+3))&amp;"")</f>
        <v/>
      </c>
      <c r="E124" s="92" t="str">
        <f>IF($Y124="","",IF($Y124&lt;=1997,IF(N(INDEX('Deal maths'!$H$1:$H$2000,$Y124+3))&gt;0,N(INDEX('Deal maths'!$H$1:$H$2000,$Y124+3)),N(INDEX('Deal maths'!$D$1:$D$2000,$Y124+3))),N(INDEX('Deal maths'!$M$1:$M$2000,$Y124-1997+3))))</f>
        <v/>
      </c>
      <c r="F124" s="93" t="str">
        <f>IF($Y124="","",IF($Y124&lt;=1997,INDEX('Deal maths'!$G$1:$G$2000,$Y124+3),INDEX('Deal maths'!$N$1:$N$2000,$Y124-1997+3)))</f>
        <v/>
      </c>
      <c r="G124" s="94" t="str">
        <f>IF($Y124="","",IF($Y124&lt;=1997,INDEX('Deal maths'!$E$1:$E$2000,$Y124+3),""))</f>
        <v/>
      </c>
      <c r="H124" s="94" t="str">
        <f>IF($Y124="","",IF($Y124&lt;=1997,INDEX('Deal maths'!$F$1:$F$2000,$Y124+3),""))</f>
        <v/>
      </c>
      <c r="I124" s="98" t="str">
        <f>IF($Y124="","",IF($Y124&lt;=1997,N(INDEX('Deal maths'!$F$1:$F$2000,$Y124+3))-AsAt,N(INDEX('Deal maths'!$O$1:$O$2000,$Y124-1997+3))))</f>
        <v/>
      </c>
      <c r="J124" s="99" t="str">
        <f>IF($Y124="","",IF($Y124&lt;=1997,INDEX('Term investments'!$J$1:$J$2000,$Y124+3),INDEX('Call accounts and MMFs'!$G$1:$G$2000,$Y124-1997+3))&amp;"")</f>
        <v/>
      </c>
      <c r="K124" s="92" t="str">
        <f>IF($Y124="","",N(E124)*N(F124))</f>
        <v/>
      </c>
      <c r="L124" s="100" t="str">
        <f>IF($Y124="","",IF($Y124&lt;=1997,"Term investments, row "&amp;($Y124+3),"Call accounts and MMFs, row "&amp;($Y124-1997+3)))</f>
        <v/>
      </c>
      <c r="Y124" t="str">
        <f>IFERROR(MATCH(SMALL('List maths'!$E$4:$E$3997,116),'List maths'!$E$4:$E$3997,0),"")</f>
        <v/>
      </c>
    </row>
    <row r="125">
      <c r="B125" s="91" t="str">
        <f>IF($Y125="","",IF($Y125&lt;=1997,INDEX('Term investments'!$B$1:$B$2000,$Y125+3),INDEX('Call accounts and MMFs'!$B$1:$B$2000,$Y125-1997+3))&amp;"")</f>
        <v/>
      </c>
      <c r="C125" s="91" t="str">
        <f>IF($Y125="","",IF($Y125&lt;=1997,INDEX('Term investments'!$A$1:$A$2000,$Y125+3),INDEX('Call accounts and MMFs'!$A$1:$A$2000,$Y125-1997+3))&amp;"")</f>
        <v/>
      </c>
      <c r="D125" s="91" t="str">
        <f>IF($Y125="","",IF($Y125&lt;=1997,INDEX('Term investments'!$C$1:$C$2000,$Y125+3),INDEX('Call accounts and MMFs'!$C$1:$C$2000,$Y125-1997+3))&amp;"")</f>
        <v/>
      </c>
      <c r="E125" s="92" t="str">
        <f>IF($Y125="","",IF($Y125&lt;=1997,IF(N(INDEX('Deal maths'!$H$1:$H$2000,$Y125+3))&gt;0,N(INDEX('Deal maths'!$H$1:$H$2000,$Y125+3)),N(INDEX('Deal maths'!$D$1:$D$2000,$Y125+3))),N(INDEX('Deal maths'!$M$1:$M$2000,$Y125-1997+3))))</f>
        <v/>
      </c>
      <c r="F125" s="93" t="str">
        <f>IF($Y125="","",IF($Y125&lt;=1997,INDEX('Deal maths'!$G$1:$G$2000,$Y125+3),INDEX('Deal maths'!$N$1:$N$2000,$Y125-1997+3)))</f>
        <v/>
      </c>
      <c r="G125" s="94" t="str">
        <f>IF($Y125="","",IF($Y125&lt;=1997,INDEX('Deal maths'!$E$1:$E$2000,$Y125+3),""))</f>
        <v/>
      </c>
      <c r="H125" s="94" t="str">
        <f>IF($Y125="","",IF($Y125&lt;=1997,INDEX('Deal maths'!$F$1:$F$2000,$Y125+3),""))</f>
        <v/>
      </c>
      <c r="I125" s="98" t="str">
        <f>IF($Y125="","",IF($Y125&lt;=1997,N(INDEX('Deal maths'!$F$1:$F$2000,$Y125+3))-AsAt,N(INDEX('Deal maths'!$O$1:$O$2000,$Y125-1997+3))))</f>
        <v/>
      </c>
      <c r="J125" s="99" t="str">
        <f>IF($Y125="","",IF($Y125&lt;=1997,INDEX('Term investments'!$J$1:$J$2000,$Y125+3),INDEX('Call accounts and MMFs'!$G$1:$G$2000,$Y125-1997+3))&amp;"")</f>
        <v/>
      </c>
      <c r="K125" s="92" t="str">
        <f>IF($Y125="","",N(E125)*N(F125))</f>
        <v/>
      </c>
      <c r="L125" s="100" t="str">
        <f>IF($Y125="","",IF($Y125&lt;=1997,"Term investments, row "&amp;($Y125+3),"Call accounts and MMFs, row "&amp;($Y125-1997+3)))</f>
        <v/>
      </c>
      <c r="Y125" t="str">
        <f>IFERROR(MATCH(SMALL('List maths'!$E$4:$E$3997,117),'List maths'!$E$4:$E$3997,0),"")</f>
        <v/>
      </c>
    </row>
    <row r="126">
      <c r="B126" s="91" t="str">
        <f>IF($Y126="","",IF($Y126&lt;=1997,INDEX('Term investments'!$B$1:$B$2000,$Y126+3),INDEX('Call accounts and MMFs'!$B$1:$B$2000,$Y126-1997+3))&amp;"")</f>
        <v/>
      </c>
      <c r="C126" s="91" t="str">
        <f>IF($Y126="","",IF($Y126&lt;=1997,INDEX('Term investments'!$A$1:$A$2000,$Y126+3),INDEX('Call accounts and MMFs'!$A$1:$A$2000,$Y126-1997+3))&amp;"")</f>
        <v/>
      </c>
      <c r="D126" s="91" t="str">
        <f>IF($Y126="","",IF($Y126&lt;=1997,INDEX('Term investments'!$C$1:$C$2000,$Y126+3),INDEX('Call accounts and MMFs'!$C$1:$C$2000,$Y126-1997+3))&amp;"")</f>
        <v/>
      </c>
      <c r="E126" s="92" t="str">
        <f>IF($Y126="","",IF($Y126&lt;=1997,IF(N(INDEX('Deal maths'!$H$1:$H$2000,$Y126+3))&gt;0,N(INDEX('Deal maths'!$H$1:$H$2000,$Y126+3)),N(INDEX('Deal maths'!$D$1:$D$2000,$Y126+3))),N(INDEX('Deal maths'!$M$1:$M$2000,$Y126-1997+3))))</f>
        <v/>
      </c>
      <c r="F126" s="93" t="str">
        <f>IF($Y126="","",IF($Y126&lt;=1997,INDEX('Deal maths'!$G$1:$G$2000,$Y126+3),INDEX('Deal maths'!$N$1:$N$2000,$Y126-1997+3)))</f>
        <v/>
      </c>
      <c r="G126" s="94" t="str">
        <f>IF($Y126="","",IF($Y126&lt;=1997,INDEX('Deal maths'!$E$1:$E$2000,$Y126+3),""))</f>
        <v/>
      </c>
      <c r="H126" s="94" t="str">
        <f>IF($Y126="","",IF($Y126&lt;=1997,INDEX('Deal maths'!$F$1:$F$2000,$Y126+3),""))</f>
        <v/>
      </c>
      <c r="I126" s="98" t="str">
        <f>IF($Y126="","",IF($Y126&lt;=1997,N(INDEX('Deal maths'!$F$1:$F$2000,$Y126+3))-AsAt,N(INDEX('Deal maths'!$O$1:$O$2000,$Y126-1997+3))))</f>
        <v/>
      </c>
      <c r="J126" s="99" t="str">
        <f>IF($Y126="","",IF($Y126&lt;=1997,INDEX('Term investments'!$J$1:$J$2000,$Y126+3),INDEX('Call accounts and MMFs'!$G$1:$G$2000,$Y126-1997+3))&amp;"")</f>
        <v/>
      </c>
      <c r="K126" s="92" t="str">
        <f>IF($Y126="","",N(E126)*N(F126))</f>
        <v/>
      </c>
      <c r="L126" s="100" t="str">
        <f>IF($Y126="","",IF($Y126&lt;=1997,"Term investments, row "&amp;($Y126+3),"Call accounts and MMFs, row "&amp;($Y126-1997+3)))</f>
        <v/>
      </c>
      <c r="Y126" t="str">
        <f>IFERROR(MATCH(SMALL('List maths'!$E$4:$E$3997,118),'List maths'!$E$4:$E$3997,0),"")</f>
        <v/>
      </c>
    </row>
    <row r="127">
      <c r="B127" s="91" t="str">
        <f>IF($Y127="","",IF($Y127&lt;=1997,INDEX('Term investments'!$B$1:$B$2000,$Y127+3),INDEX('Call accounts and MMFs'!$B$1:$B$2000,$Y127-1997+3))&amp;"")</f>
        <v/>
      </c>
      <c r="C127" s="91" t="str">
        <f>IF($Y127="","",IF($Y127&lt;=1997,INDEX('Term investments'!$A$1:$A$2000,$Y127+3),INDEX('Call accounts and MMFs'!$A$1:$A$2000,$Y127-1997+3))&amp;"")</f>
        <v/>
      </c>
      <c r="D127" s="91" t="str">
        <f>IF($Y127="","",IF($Y127&lt;=1997,INDEX('Term investments'!$C$1:$C$2000,$Y127+3),INDEX('Call accounts and MMFs'!$C$1:$C$2000,$Y127-1997+3))&amp;"")</f>
        <v/>
      </c>
      <c r="E127" s="92" t="str">
        <f>IF($Y127="","",IF($Y127&lt;=1997,IF(N(INDEX('Deal maths'!$H$1:$H$2000,$Y127+3))&gt;0,N(INDEX('Deal maths'!$H$1:$H$2000,$Y127+3)),N(INDEX('Deal maths'!$D$1:$D$2000,$Y127+3))),N(INDEX('Deal maths'!$M$1:$M$2000,$Y127-1997+3))))</f>
        <v/>
      </c>
      <c r="F127" s="93" t="str">
        <f>IF($Y127="","",IF($Y127&lt;=1997,INDEX('Deal maths'!$G$1:$G$2000,$Y127+3),INDEX('Deal maths'!$N$1:$N$2000,$Y127-1997+3)))</f>
        <v/>
      </c>
      <c r="G127" s="94" t="str">
        <f>IF($Y127="","",IF($Y127&lt;=1997,INDEX('Deal maths'!$E$1:$E$2000,$Y127+3),""))</f>
        <v/>
      </c>
      <c r="H127" s="94" t="str">
        <f>IF($Y127="","",IF($Y127&lt;=1997,INDEX('Deal maths'!$F$1:$F$2000,$Y127+3),""))</f>
        <v/>
      </c>
      <c r="I127" s="98" t="str">
        <f>IF($Y127="","",IF($Y127&lt;=1997,N(INDEX('Deal maths'!$F$1:$F$2000,$Y127+3))-AsAt,N(INDEX('Deal maths'!$O$1:$O$2000,$Y127-1997+3))))</f>
        <v/>
      </c>
      <c r="J127" s="99" t="str">
        <f>IF($Y127="","",IF($Y127&lt;=1997,INDEX('Term investments'!$J$1:$J$2000,$Y127+3),INDEX('Call accounts and MMFs'!$G$1:$G$2000,$Y127-1997+3))&amp;"")</f>
        <v/>
      </c>
      <c r="K127" s="92" t="str">
        <f>IF($Y127="","",N(E127)*N(F127))</f>
        <v/>
      </c>
      <c r="L127" s="100" t="str">
        <f>IF($Y127="","",IF($Y127&lt;=1997,"Term investments, row "&amp;($Y127+3),"Call accounts and MMFs, row "&amp;($Y127-1997+3)))</f>
        <v/>
      </c>
      <c r="Y127" t="str">
        <f>IFERROR(MATCH(SMALL('List maths'!$E$4:$E$3997,119),'List maths'!$E$4:$E$3997,0),"")</f>
        <v/>
      </c>
    </row>
    <row r="128">
      <c r="B128" s="91" t="str">
        <f>IF($Y128="","",IF($Y128&lt;=1997,INDEX('Term investments'!$B$1:$B$2000,$Y128+3),INDEX('Call accounts and MMFs'!$B$1:$B$2000,$Y128-1997+3))&amp;"")</f>
        <v/>
      </c>
      <c r="C128" s="91" t="str">
        <f>IF($Y128="","",IF($Y128&lt;=1997,INDEX('Term investments'!$A$1:$A$2000,$Y128+3),INDEX('Call accounts and MMFs'!$A$1:$A$2000,$Y128-1997+3))&amp;"")</f>
        <v/>
      </c>
      <c r="D128" s="91" t="str">
        <f>IF($Y128="","",IF($Y128&lt;=1997,INDEX('Term investments'!$C$1:$C$2000,$Y128+3),INDEX('Call accounts and MMFs'!$C$1:$C$2000,$Y128-1997+3))&amp;"")</f>
        <v/>
      </c>
      <c r="E128" s="92" t="str">
        <f>IF($Y128="","",IF($Y128&lt;=1997,IF(N(INDEX('Deal maths'!$H$1:$H$2000,$Y128+3))&gt;0,N(INDEX('Deal maths'!$H$1:$H$2000,$Y128+3)),N(INDEX('Deal maths'!$D$1:$D$2000,$Y128+3))),N(INDEX('Deal maths'!$M$1:$M$2000,$Y128-1997+3))))</f>
        <v/>
      </c>
      <c r="F128" s="93" t="str">
        <f>IF($Y128="","",IF($Y128&lt;=1997,INDEX('Deal maths'!$G$1:$G$2000,$Y128+3),INDEX('Deal maths'!$N$1:$N$2000,$Y128-1997+3)))</f>
        <v/>
      </c>
      <c r="G128" s="94" t="str">
        <f>IF($Y128="","",IF($Y128&lt;=1997,INDEX('Deal maths'!$E$1:$E$2000,$Y128+3),""))</f>
        <v/>
      </c>
      <c r="H128" s="94" t="str">
        <f>IF($Y128="","",IF($Y128&lt;=1997,INDEX('Deal maths'!$F$1:$F$2000,$Y128+3),""))</f>
        <v/>
      </c>
      <c r="I128" s="98" t="str">
        <f>IF($Y128="","",IF($Y128&lt;=1997,N(INDEX('Deal maths'!$F$1:$F$2000,$Y128+3))-AsAt,N(INDEX('Deal maths'!$O$1:$O$2000,$Y128-1997+3))))</f>
        <v/>
      </c>
      <c r="J128" s="99" t="str">
        <f>IF($Y128="","",IF($Y128&lt;=1997,INDEX('Term investments'!$J$1:$J$2000,$Y128+3),INDEX('Call accounts and MMFs'!$G$1:$G$2000,$Y128-1997+3))&amp;"")</f>
        <v/>
      </c>
      <c r="K128" s="92" t="str">
        <f>IF($Y128="","",N(E128)*N(F128))</f>
        <v/>
      </c>
      <c r="L128" s="100" t="str">
        <f>IF($Y128="","",IF($Y128&lt;=1997,"Term investments, row "&amp;($Y128+3),"Call accounts and MMFs, row "&amp;($Y128-1997+3)))</f>
        <v/>
      </c>
      <c r="Y128" t="str">
        <f>IFERROR(MATCH(SMALL('List maths'!$E$4:$E$3997,120),'List maths'!$E$4:$E$3997,0),"")</f>
        <v/>
      </c>
    </row>
    <row r="129">
      <c r="B129" s="91" t="str">
        <f>IF($Y129="","",IF($Y129&lt;=1997,INDEX('Term investments'!$B$1:$B$2000,$Y129+3),INDEX('Call accounts and MMFs'!$B$1:$B$2000,$Y129-1997+3))&amp;"")</f>
        <v/>
      </c>
      <c r="C129" s="91" t="str">
        <f>IF($Y129="","",IF($Y129&lt;=1997,INDEX('Term investments'!$A$1:$A$2000,$Y129+3),INDEX('Call accounts and MMFs'!$A$1:$A$2000,$Y129-1997+3))&amp;"")</f>
        <v/>
      </c>
      <c r="D129" s="91" t="str">
        <f>IF($Y129="","",IF($Y129&lt;=1997,INDEX('Term investments'!$C$1:$C$2000,$Y129+3),INDEX('Call accounts and MMFs'!$C$1:$C$2000,$Y129-1997+3))&amp;"")</f>
        <v/>
      </c>
      <c r="E129" s="92" t="str">
        <f>IF($Y129="","",IF($Y129&lt;=1997,IF(N(INDEX('Deal maths'!$H$1:$H$2000,$Y129+3))&gt;0,N(INDEX('Deal maths'!$H$1:$H$2000,$Y129+3)),N(INDEX('Deal maths'!$D$1:$D$2000,$Y129+3))),N(INDEX('Deal maths'!$M$1:$M$2000,$Y129-1997+3))))</f>
        <v/>
      </c>
      <c r="F129" s="93" t="str">
        <f>IF($Y129="","",IF($Y129&lt;=1997,INDEX('Deal maths'!$G$1:$G$2000,$Y129+3),INDEX('Deal maths'!$N$1:$N$2000,$Y129-1997+3)))</f>
        <v/>
      </c>
      <c r="G129" s="94" t="str">
        <f>IF($Y129="","",IF($Y129&lt;=1997,INDEX('Deal maths'!$E$1:$E$2000,$Y129+3),""))</f>
        <v/>
      </c>
      <c r="H129" s="94" t="str">
        <f>IF($Y129="","",IF($Y129&lt;=1997,INDEX('Deal maths'!$F$1:$F$2000,$Y129+3),""))</f>
        <v/>
      </c>
      <c r="I129" s="98" t="str">
        <f>IF($Y129="","",IF($Y129&lt;=1997,N(INDEX('Deal maths'!$F$1:$F$2000,$Y129+3))-AsAt,N(INDEX('Deal maths'!$O$1:$O$2000,$Y129-1997+3))))</f>
        <v/>
      </c>
      <c r="J129" s="99" t="str">
        <f>IF($Y129="","",IF($Y129&lt;=1997,INDEX('Term investments'!$J$1:$J$2000,$Y129+3),INDEX('Call accounts and MMFs'!$G$1:$G$2000,$Y129-1997+3))&amp;"")</f>
        <v/>
      </c>
      <c r="K129" s="92" t="str">
        <f>IF($Y129="","",N(E129)*N(F129))</f>
        <v/>
      </c>
      <c r="L129" s="100" t="str">
        <f>IF($Y129="","",IF($Y129&lt;=1997,"Term investments, row "&amp;($Y129+3),"Call accounts and MMFs, row "&amp;($Y129-1997+3)))</f>
        <v/>
      </c>
      <c r="Y129" t="str">
        <f>IFERROR(MATCH(SMALL('List maths'!$E$4:$E$3997,121),'List maths'!$E$4:$E$3997,0),"")</f>
        <v/>
      </c>
    </row>
    <row r="130">
      <c r="B130" s="91" t="str">
        <f>IF($Y130="","",IF($Y130&lt;=1997,INDEX('Term investments'!$B$1:$B$2000,$Y130+3),INDEX('Call accounts and MMFs'!$B$1:$B$2000,$Y130-1997+3))&amp;"")</f>
        <v/>
      </c>
      <c r="C130" s="91" t="str">
        <f>IF($Y130="","",IF($Y130&lt;=1997,INDEX('Term investments'!$A$1:$A$2000,$Y130+3),INDEX('Call accounts and MMFs'!$A$1:$A$2000,$Y130-1997+3))&amp;"")</f>
        <v/>
      </c>
      <c r="D130" s="91" t="str">
        <f>IF($Y130="","",IF($Y130&lt;=1997,INDEX('Term investments'!$C$1:$C$2000,$Y130+3),INDEX('Call accounts and MMFs'!$C$1:$C$2000,$Y130-1997+3))&amp;"")</f>
        <v/>
      </c>
      <c r="E130" s="92" t="str">
        <f>IF($Y130="","",IF($Y130&lt;=1997,IF(N(INDEX('Deal maths'!$H$1:$H$2000,$Y130+3))&gt;0,N(INDEX('Deal maths'!$H$1:$H$2000,$Y130+3)),N(INDEX('Deal maths'!$D$1:$D$2000,$Y130+3))),N(INDEX('Deal maths'!$M$1:$M$2000,$Y130-1997+3))))</f>
        <v/>
      </c>
      <c r="F130" s="93" t="str">
        <f>IF($Y130="","",IF($Y130&lt;=1997,INDEX('Deal maths'!$G$1:$G$2000,$Y130+3),INDEX('Deal maths'!$N$1:$N$2000,$Y130-1997+3)))</f>
        <v/>
      </c>
      <c r="G130" s="94" t="str">
        <f>IF($Y130="","",IF($Y130&lt;=1997,INDEX('Deal maths'!$E$1:$E$2000,$Y130+3),""))</f>
        <v/>
      </c>
      <c r="H130" s="94" t="str">
        <f>IF($Y130="","",IF($Y130&lt;=1997,INDEX('Deal maths'!$F$1:$F$2000,$Y130+3),""))</f>
        <v/>
      </c>
      <c r="I130" s="98" t="str">
        <f>IF($Y130="","",IF($Y130&lt;=1997,N(INDEX('Deal maths'!$F$1:$F$2000,$Y130+3))-AsAt,N(INDEX('Deal maths'!$O$1:$O$2000,$Y130-1997+3))))</f>
        <v/>
      </c>
      <c r="J130" s="99" t="str">
        <f>IF($Y130="","",IF($Y130&lt;=1997,INDEX('Term investments'!$J$1:$J$2000,$Y130+3),INDEX('Call accounts and MMFs'!$G$1:$G$2000,$Y130-1997+3))&amp;"")</f>
        <v/>
      </c>
      <c r="K130" s="92" t="str">
        <f>IF($Y130="","",N(E130)*N(F130))</f>
        <v/>
      </c>
      <c r="L130" s="100" t="str">
        <f>IF($Y130="","",IF($Y130&lt;=1997,"Term investments, row "&amp;($Y130+3),"Call accounts and MMFs, row "&amp;($Y130-1997+3)))</f>
        <v/>
      </c>
      <c r="Y130" t="str">
        <f>IFERROR(MATCH(SMALL('List maths'!$E$4:$E$3997,122),'List maths'!$E$4:$E$3997,0),"")</f>
        <v/>
      </c>
    </row>
    <row r="131">
      <c r="B131" s="91" t="str">
        <f>IF($Y131="","",IF($Y131&lt;=1997,INDEX('Term investments'!$B$1:$B$2000,$Y131+3),INDEX('Call accounts and MMFs'!$B$1:$B$2000,$Y131-1997+3))&amp;"")</f>
        <v/>
      </c>
      <c r="C131" s="91" t="str">
        <f>IF($Y131="","",IF($Y131&lt;=1997,INDEX('Term investments'!$A$1:$A$2000,$Y131+3),INDEX('Call accounts and MMFs'!$A$1:$A$2000,$Y131-1997+3))&amp;"")</f>
        <v/>
      </c>
      <c r="D131" s="91" t="str">
        <f>IF($Y131="","",IF($Y131&lt;=1997,INDEX('Term investments'!$C$1:$C$2000,$Y131+3),INDEX('Call accounts and MMFs'!$C$1:$C$2000,$Y131-1997+3))&amp;"")</f>
        <v/>
      </c>
      <c r="E131" s="92" t="str">
        <f>IF($Y131="","",IF($Y131&lt;=1997,IF(N(INDEX('Deal maths'!$H$1:$H$2000,$Y131+3))&gt;0,N(INDEX('Deal maths'!$H$1:$H$2000,$Y131+3)),N(INDEX('Deal maths'!$D$1:$D$2000,$Y131+3))),N(INDEX('Deal maths'!$M$1:$M$2000,$Y131-1997+3))))</f>
        <v/>
      </c>
      <c r="F131" s="93" t="str">
        <f>IF($Y131="","",IF($Y131&lt;=1997,INDEX('Deal maths'!$G$1:$G$2000,$Y131+3),INDEX('Deal maths'!$N$1:$N$2000,$Y131-1997+3)))</f>
        <v/>
      </c>
      <c r="G131" s="94" t="str">
        <f>IF($Y131="","",IF($Y131&lt;=1997,INDEX('Deal maths'!$E$1:$E$2000,$Y131+3),""))</f>
        <v/>
      </c>
      <c r="H131" s="94" t="str">
        <f>IF($Y131="","",IF($Y131&lt;=1997,INDEX('Deal maths'!$F$1:$F$2000,$Y131+3),""))</f>
        <v/>
      </c>
      <c r="I131" s="98" t="str">
        <f>IF($Y131="","",IF($Y131&lt;=1997,N(INDEX('Deal maths'!$F$1:$F$2000,$Y131+3))-AsAt,N(INDEX('Deal maths'!$O$1:$O$2000,$Y131-1997+3))))</f>
        <v/>
      </c>
      <c r="J131" s="99" t="str">
        <f>IF($Y131="","",IF($Y131&lt;=1997,INDEX('Term investments'!$J$1:$J$2000,$Y131+3),INDEX('Call accounts and MMFs'!$G$1:$G$2000,$Y131-1997+3))&amp;"")</f>
        <v/>
      </c>
      <c r="K131" s="92" t="str">
        <f>IF($Y131="","",N(E131)*N(F131))</f>
        <v/>
      </c>
      <c r="L131" s="100" t="str">
        <f>IF($Y131="","",IF($Y131&lt;=1997,"Term investments, row "&amp;($Y131+3),"Call accounts and MMFs, row "&amp;($Y131-1997+3)))</f>
        <v/>
      </c>
      <c r="Y131" t="str">
        <f>IFERROR(MATCH(SMALL('List maths'!$E$4:$E$3997,123),'List maths'!$E$4:$E$3997,0),"")</f>
        <v/>
      </c>
    </row>
    <row r="132">
      <c r="B132" s="91" t="str">
        <f>IF($Y132="","",IF($Y132&lt;=1997,INDEX('Term investments'!$B$1:$B$2000,$Y132+3),INDEX('Call accounts and MMFs'!$B$1:$B$2000,$Y132-1997+3))&amp;"")</f>
        <v/>
      </c>
      <c r="C132" s="91" t="str">
        <f>IF($Y132="","",IF($Y132&lt;=1997,INDEX('Term investments'!$A$1:$A$2000,$Y132+3),INDEX('Call accounts and MMFs'!$A$1:$A$2000,$Y132-1997+3))&amp;"")</f>
        <v/>
      </c>
      <c r="D132" s="91" t="str">
        <f>IF($Y132="","",IF($Y132&lt;=1997,INDEX('Term investments'!$C$1:$C$2000,$Y132+3),INDEX('Call accounts and MMFs'!$C$1:$C$2000,$Y132-1997+3))&amp;"")</f>
        <v/>
      </c>
      <c r="E132" s="92" t="str">
        <f>IF($Y132="","",IF($Y132&lt;=1997,IF(N(INDEX('Deal maths'!$H$1:$H$2000,$Y132+3))&gt;0,N(INDEX('Deal maths'!$H$1:$H$2000,$Y132+3)),N(INDEX('Deal maths'!$D$1:$D$2000,$Y132+3))),N(INDEX('Deal maths'!$M$1:$M$2000,$Y132-1997+3))))</f>
        <v/>
      </c>
      <c r="F132" s="93" t="str">
        <f>IF($Y132="","",IF($Y132&lt;=1997,INDEX('Deal maths'!$G$1:$G$2000,$Y132+3),INDEX('Deal maths'!$N$1:$N$2000,$Y132-1997+3)))</f>
        <v/>
      </c>
      <c r="G132" s="94" t="str">
        <f>IF($Y132="","",IF($Y132&lt;=1997,INDEX('Deal maths'!$E$1:$E$2000,$Y132+3),""))</f>
        <v/>
      </c>
      <c r="H132" s="94" t="str">
        <f>IF($Y132="","",IF($Y132&lt;=1997,INDEX('Deal maths'!$F$1:$F$2000,$Y132+3),""))</f>
        <v/>
      </c>
      <c r="I132" s="98" t="str">
        <f>IF($Y132="","",IF($Y132&lt;=1997,N(INDEX('Deal maths'!$F$1:$F$2000,$Y132+3))-AsAt,N(INDEX('Deal maths'!$O$1:$O$2000,$Y132-1997+3))))</f>
        <v/>
      </c>
      <c r="J132" s="99" t="str">
        <f>IF($Y132="","",IF($Y132&lt;=1997,INDEX('Term investments'!$J$1:$J$2000,$Y132+3),INDEX('Call accounts and MMFs'!$G$1:$G$2000,$Y132-1997+3))&amp;"")</f>
        <v/>
      </c>
      <c r="K132" s="92" t="str">
        <f>IF($Y132="","",N(E132)*N(F132))</f>
        <v/>
      </c>
      <c r="L132" s="100" t="str">
        <f>IF($Y132="","",IF($Y132&lt;=1997,"Term investments, row "&amp;($Y132+3),"Call accounts and MMFs, row "&amp;($Y132-1997+3)))</f>
        <v/>
      </c>
      <c r="Y132" t="str">
        <f>IFERROR(MATCH(SMALL('List maths'!$E$4:$E$3997,124),'List maths'!$E$4:$E$3997,0),"")</f>
        <v/>
      </c>
    </row>
    <row r="133">
      <c r="B133" s="91" t="str">
        <f>IF($Y133="","",IF($Y133&lt;=1997,INDEX('Term investments'!$B$1:$B$2000,$Y133+3),INDEX('Call accounts and MMFs'!$B$1:$B$2000,$Y133-1997+3))&amp;"")</f>
        <v/>
      </c>
      <c r="C133" s="91" t="str">
        <f>IF($Y133="","",IF($Y133&lt;=1997,INDEX('Term investments'!$A$1:$A$2000,$Y133+3),INDEX('Call accounts and MMFs'!$A$1:$A$2000,$Y133-1997+3))&amp;"")</f>
        <v/>
      </c>
      <c r="D133" s="91" t="str">
        <f>IF($Y133="","",IF($Y133&lt;=1997,INDEX('Term investments'!$C$1:$C$2000,$Y133+3),INDEX('Call accounts and MMFs'!$C$1:$C$2000,$Y133-1997+3))&amp;"")</f>
        <v/>
      </c>
      <c r="E133" s="92" t="str">
        <f>IF($Y133="","",IF($Y133&lt;=1997,IF(N(INDEX('Deal maths'!$H$1:$H$2000,$Y133+3))&gt;0,N(INDEX('Deal maths'!$H$1:$H$2000,$Y133+3)),N(INDEX('Deal maths'!$D$1:$D$2000,$Y133+3))),N(INDEX('Deal maths'!$M$1:$M$2000,$Y133-1997+3))))</f>
        <v/>
      </c>
      <c r="F133" s="93" t="str">
        <f>IF($Y133="","",IF($Y133&lt;=1997,INDEX('Deal maths'!$G$1:$G$2000,$Y133+3),INDEX('Deal maths'!$N$1:$N$2000,$Y133-1997+3)))</f>
        <v/>
      </c>
      <c r="G133" s="94" t="str">
        <f>IF($Y133="","",IF($Y133&lt;=1997,INDEX('Deal maths'!$E$1:$E$2000,$Y133+3),""))</f>
        <v/>
      </c>
      <c r="H133" s="94" t="str">
        <f>IF($Y133="","",IF($Y133&lt;=1997,INDEX('Deal maths'!$F$1:$F$2000,$Y133+3),""))</f>
        <v/>
      </c>
      <c r="I133" s="98" t="str">
        <f>IF($Y133="","",IF($Y133&lt;=1997,N(INDEX('Deal maths'!$F$1:$F$2000,$Y133+3))-AsAt,N(INDEX('Deal maths'!$O$1:$O$2000,$Y133-1997+3))))</f>
        <v/>
      </c>
      <c r="J133" s="99" t="str">
        <f>IF($Y133="","",IF($Y133&lt;=1997,INDEX('Term investments'!$J$1:$J$2000,$Y133+3),INDEX('Call accounts and MMFs'!$G$1:$G$2000,$Y133-1997+3))&amp;"")</f>
        <v/>
      </c>
      <c r="K133" s="92" t="str">
        <f>IF($Y133="","",N(E133)*N(F133))</f>
        <v/>
      </c>
      <c r="L133" s="100" t="str">
        <f>IF($Y133="","",IF($Y133&lt;=1997,"Term investments, row "&amp;($Y133+3),"Call accounts and MMFs, row "&amp;($Y133-1997+3)))</f>
        <v/>
      </c>
      <c r="Y133" t="str">
        <f>IFERROR(MATCH(SMALL('List maths'!$E$4:$E$3997,125),'List maths'!$E$4:$E$3997,0),"")</f>
        <v/>
      </c>
    </row>
    <row r="134">
      <c r="B134" s="91" t="str">
        <f>IF($Y134="","",IF($Y134&lt;=1997,INDEX('Term investments'!$B$1:$B$2000,$Y134+3),INDEX('Call accounts and MMFs'!$B$1:$B$2000,$Y134-1997+3))&amp;"")</f>
        <v/>
      </c>
      <c r="C134" s="91" t="str">
        <f>IF($Y134="","",IF($Y134&lt;=1997,INDEX('Term investments'!$A$1:$A$2000,$Y134+3),INDEX('Call accounts and MMFs'!$A$1:$A$2000,$Y134-1997+3))&amp;"")</f>
        <v/>
      </c>
      <c r="D134" s="91" t="str">
        <f>IF($Y134="","",IF($Y134&lt;=1997,INDEX('Term investments'!$C$1:$C$2000,$Y134+3),INDEX('Call accounts and MMFs'!$C$1:$C$2000,$Y134-1997+3))&amp;"")</f>
        <v/>
      </c>
      <c r="E134" s="92" t="str">
        <f>IF($Y134="","",IF($Y134&lt;=1997,IF(N(INDEX('Deal maths'!$H$1:$H$2000,$Y134+3))&gt;0,N(INDEX('Deal maths'!$H$1:$H$2000,$Y134+3)),N(INDEX('Deal maths'!$D$1:$D$2000,$Y134+3))),N(INDEX('Deal maths'!$M$1:$M$2000,$Y134-1997+3))))</f>
        <v/>
      </c>
      <c r="F134" s="93" t="str">
        <f>IF($Y134="","",IF($Y134&lt;=1997,INDEX('Deal maths'!$G$1:$G$2000,$Y134+3),INDEX('Deal maths'!$N$1:$N$2000,$Y134-1997+3)))</f>
        <v/>
      </c>
      <c r="G134" s="94" t="str">
        <f>IF($Y134="","",IF($Y134&lt;=1997,INDEX('Deal maths'!$E$1:$E$2000,$Y134+3),""))</f>
        <v/>
      </c>
      <c r="H134" s="94" t="str">
        <f>IF($Y134="","",IF($Y134&lt;=1997,INDEX('Deal maths'!$F$1:$F$2000,$Y134+3),""))</f>
        <v/>
      </c>
      <c r="I134" s="98" t="str">
        <f>IF($Y134="","",IF($Y134&lt;=1997,N(INDEX('Deal maths'!$F$1:$F$2000,$Y134+3))-AsAt,N(INDEX('Deal maths'!$O$1:$O$2000,$Y134-1997+3))))</f>
        <v/>
      </c>
      <c r="J134" s="99" t="str">
        <f>IF($Y134="","",IF($Y134&lt;=1997,INDEX('Term investments'!$J$1:$J$2000,$Y134+3),INDEX('Call accounts and MMFs'!$G$1:$G$2000,$Y134-1997+3))&amp;"")</f>
        <v/>
      </c>
      <c r="K134" s="92" t="str">
        <f>IF($Y134="","",N(E134)*N(F134))</f>
        <v/>
      </c>
      <c r="L134" s="100" t="str">
        <f>IF($Y134="","",IF($Y134&lt;=1997,"Term investments, row "&amp;($Y134+3),"Call accounts and MMFs, row "&amp;($Y134-1997+3)))</f>
        <v/>
      </c>
      <c r="Y134" t="str">
        <f>IFERROR(MATCH(SMALL('List maths'!$E$4:$E$3997,126),'List maths'!$E$4:$E$3997,0),"")</f>
        <v/>
      </c>
    </row>
    <row r="135">
      <c r="B135" s="91" t="str">
        <f>IF($Y135="","",IF($Y135&lt;=1997,INDEX('Term investments'!$B$1:$B$2000,$Y135+3),INDEX('Call accounts and MMFs'!$B$1:$B$2000,$Y135-1997+3))&amp;"")</f>
        <v/>
      </c>
      <c r="C135" s="91" t="str">
        <f>IF($Y135="","",IF($Y135&lt;=1997,INDEX('Term investments'!$A$1:$A$2000,$Y135+3),INDEX('Call accounts and MMFs'!$A$1:$A$2000,$Y135-1997+3))&amp;"")</f>
        <v/>
      </c>
      <c r="D135" s="91" t="str">
        <f>IF($Y135="","",IF($Y135&lt;=1997,INDEX('Term investments'!$C$1:$C$2000,$Y135+3),INDEX('Call accounts and MMFs'!$C$1:$C$2000,$Y135-1997+3))&amp;"")</f>
        <v/>
      </c>
      <c r="E135" s="92" t="str">
        <f>IF($Y135="","",IF($Y135&lt;=1997,IF(N(INDEX('Deal maths'!$H$1:$H$2000,$Y135+3))&gt;0,N(INDEX('Deal maths'!$H$1:$H$2000,$Y135+3)),N(INDEX('Deal maths'!$D$1:$D$2000,$Y135+3))),N(INDEX('Deal maths'!$M$1:$M$2000,$Y135-1997+3))))</f>
        <v/>
      </c>
      <c r="F135" s="93" t="str">
        <f>IF($Y135="","",IF($Y135&lt;=1997,INDEX('Deal maths'!$G$1:$G$2000,$Y135+3),INDEX('Deal maths'!$N$1:$N$2000,$Y135-1997+3)))</f>
        <v/>
      </c>
      <c r="G135" s="94" t="str">
        <f>IF($Y135="","",IF($Y135&lt;=1997,INDEX('Deal maths'!$E$1:$E$2000,$Y135+3),""))</f>
        <v/>
      </c>
      <c r="H135" s="94" t="str">
        <f>IF($Y135="","",IF($Y135&lt;=1997,INDEX('Deal maths'!$F$1:$F$2000,$Y135+3),""))</f>
        <v/>
      </c>
      <c r="I135" s="98" t="str">
        <f>IF($Y135="","",IF($Y135&lt;=1997,N(INDEX('Deal maths'!$F$1:$F$2000,$Y135+3))-AsAt,N(INDEX('Deal maths'!$O$1:$O$2000,$Y135-1997+3))))</f>
        <v/>
      </c>
      <c r="J135" s="99" t="str">
        <f>IF($Y135="","",IF($Y135&lt;=1997,INDEX('Term investments'!$J$1:$J$2000,$Y135+3),INDEX('Call accounts and MMFs'!$G$1:$G$2000,$Y135-1997+3))&amp;"")</f>
        <v/>
      </c>
      <c r="K135" s="92" t="str">
        <f>IF($Y135="","",N(E135)*N(F135))</f>
        <v/>
      </c>
      <c r="L135" s="100" t="str">
        <f>IF($Y135="","",IF($Y135&lt;=1997,"Term investments, row "&amp;($Y135+3),"Call accounts and MMFs, row "&amp;($Y135-1997+3)))</f>
        <v/>
      </c>
      <c r="Y135" t="str">
        <f>IFERROR(MATCH(SMALL('List maths'!$E$4:$E$3997,127),'List maths'!$E$4:$E$3997,0),"")</f>
        <v/>
      </c>
    </row>
    <row r="136">
      <c r="B136" s="91" t="str">
        <f>IF($Y136="","",IF($Y136&lt;=1997,INDEX('Term investments'!$B$1:$B$2000,$Y136+3),INDEX('Call accounts and MMFs'!$B$1:$B$2000,$Y136-1997+3))&amp;"")</f>
        <v/>
      </c>
      <c r="C136" s="91" t="str">
        <f>IF($Y136="","",IF($Y136&lt;=1997,INDEX('Term investments'!$A$1:$A$2000,$Y136+3),INDEX('Call accounts and MMFs'!$A$1:$A$2000,$Y136-1997+3))&amp;"")</f>
        <v/>
      </c>
      <c r="D136" s="91" t="str">
        <f>IF($Y136="","",IF($Y136&lt;=1997,INDEX('Term investments'!$C$1:$C$2000,$Y136+3),INDEX('Call accounts and MMFs'!$C$1:$C$2000,$Y136-1997+3))&amp;"")</f>
        <v/>
      </c>
      <c r="E136" s="92" t="str">
        <f>IF($Y136="","",IF($Y136&lt;=1997,IF(N(INDEX('Deal maths'!$H$1:$H$2000,$Y136+3))&gt;0,N(INDEX('Deal maths'!$H$1:$H$2000,$Y136+3)),N(INDEX('Deal maths'!$D$1:$D$2000,$Y136+3))),N(INDEX('Deal maths'!$M$1:$M$2000,$Y136-1997+3))))</f>
        <v/>
      </c>
      <c r="F136" s="93" t="str">
        <f>IF($Y136="","",IF($Y136&lt;=1997,INDEX('Deal maths'!$G$1:$G$2000,$Y136+3),INDEX('Deal maths'!$N$1:$N$2000,$Y136-1997+3)))</f>
        <v/>
      </c>
      <c r="G136" s="94" t="str">
        <f>IF($Y136="","",IF($Y136&lt;=1997,INDEX('Deal maths'!$E$1:$E$2000,$Y136+3),""))</f>
        <v/>
      </c>
      <c r="H136" s="94" t="str">
        <f>IF($Y136="","",IF($Y136&lt;=1997,INDEX('Deal maths'!$F$1:$F$2000,$Y136+3),""))</f>
        <v/>
      </c>
      <c r="I136" s="98" t="str">
        <f>IF($Y136="","",IF($Y136&lt;=1997,N(INDEX('Deal maths'!$F$1:$F$2000,$Y136+3))-AsAt,N(INDEX('Deal maths'!$O$1:$O$2000,$Y136-1997+3))))</f>
        <v/>
      </c>
      <c r="J136" s="99" t="str">
        <f>IF($Y136="","",IF($Y136&lt;=1997,INDEX('Term investments'!$J$1:$J$2000,$Y136+3),INDEX('Call accounts and MMFs'!$G$1:$G$2000,$Y136-1997+3))&amp;"")</f>
        <v/>
      </c>
      <c r="K136" s="92" t="str">
        <f>IF($Y136="","",N(E136)*N(F136))</f>
        <v/>
      </c>
      <c r="L136" s="100" t="str">
        <f>IF($Y136="","",IF($Y136&lt;=1997,"Term investments, row "&amp;($Y136+3),"Call accounts and MMFs, row "&amp;($Y136-1997+3)))</f>
        <v/>
      </c>
      <c r="Y136" t="str">
        <f>IFERROR(MATCH(SMALL('List maths'!$E$4:$E$3997,128),'List maths'!$E$4:$E$3997,0),"")</f>
        <v/>
      </c>
    </row>
    <row r="137">
      <c r="B137" s="91" t="str">
        <f>IF($Y137="","",IF($Y137&lt;=1997,INDEX('Term investments'!$B$1:$B$2000,$Y137+3),INDEX('Call accounts and MMFs'!$B$1:$B$2000,$Y137-1997+3))&amp;"")</f>
        <v/>
      </c>
      <c r="C137" s="91" t="str">
        <f>IF($Y137="","",IF($Y137&lt;=1997,INDEX('Term investments'!$A$1:$A$2000,$Y137+3),INDEX('Call accounts and MMFs'!$A$1:$A$2000,$Y137-1997+3))&amp;"")</f>
        <v/>
      </c>
      <c r="D137" s="91" t="str">
        <f>IF($Y137="","",IF($Y137&lt;=1997,INDEX('Term investments'!$C$1:$C$2000,$Y137+3),INDEX('Call accounts and MMFs'!$C$1:$C$2000,$Y137-1997+3))&amp;"")</f>
        <v/>
      </c>
      <c r="E137" s="92" t="str">
        <f>IF($Y137="","",IF($Y137&lt;=1997,IF(N(INDEX('Deal maths'!$H$1:$H$2000,$Y137+3))&gt;0,N(INDEX('Deal maths'!$H$1:$H$2000,$Y137+3)),N(INDEX('Deal maths'!$D$1:$D$2000,$Y137+3))),N(INDEX('Deal maths'!$M$1:$M$2000,$Y137-1997+3))))</f>
        <v/>
      </c>
      <c r="F137" s="93" t="str">
        <f>IF($Y137="","",IF($Y137&lt;=1997,INDEX('Deal maths'!$G$1:$G$2000,$Y137+3),INDEX('Deal maths'!$N$1:$N$2000,$Y137-1997+3)))</f>
        <v/>
      </c>
      <c r="G137" s="94" t="str">
        <f>IF($Y137="","",IF($Y137&lt;=1997,INDEX('Deal maths'!$E$1:$E$2000,$Y137+3),""))</f>
        <v/>
      </c>
      <c r="H137" s="94" t="str">
        <f>IF($Y137="","",IF($Y137&lt;=1997,INDEX('Deal maths'!$F$1:$F$2000,$Y137+3),""))</f>
        <v/>
      </c>
      <c r="I137" s="98" t="str">
        <f>IF($Y137="","",IF($Y137&lt;=1997,N(INDEX('Deal maths'!$F$1:$F$2000,$Y137+3))-AsAt,N(INDEX('Deal maths'!$O$1:$O$2000,$Y137-1997+3))))</f>
        <v/>
      </c>
      <c r="J137" s="99" t="str">
        <f>IF($Y137="","",IF($Y137&lt;=1997,INDEX('Term investments'!$J$1:$J$2000,$Y137+3),INDEX('Call accounts and MMFs'!$G$1:$G$2000,$Y137-1997+3))&amp;"")</f>
        <v/>
      </c>
      <c r="K137" s="92" t="str">
        <f>IF($Y137="","",N(E137)*N(F137))</f>
        <v/>
      </c>
      <c r="L137" s="100" t="str">
        <f>IF($Y137="","",IF($Y137&lt;=1997,"Term investments, row "&amp;($Y137+3),"Call accounts and MMFs, row "&amp;($Y137-1997+3)))</f>
        <v/>
      </c>
      <c r="Y137" t="str">
        <f>IFERROR(MATCH(SMALL('List maths'!$E$4:$E$3997,129),'List maths'!$E$4:$E$3997,0),"")</f>
        <v/>
      </c>
    </row>
    <row r="138">
      <c r="B138" s="91" t="str">
        <f>IF($Y138="","",IF($Y138&lt;=1997,INDEX('Term investments'!$B$1:$B$2000,$Y138+3),INDEX('Call accounts and MMFs'!$B$1:$B$2000,$Y138-1997+3))&amp;"")</f>
        <v/>
      </c>
      <c r="C138" s="91" t="str">
        <f>IF($Y138="","",IF($Y138&lt;=1997,INDEX('Term investments'!$A$1:$A$2000,$Y138+3),INDEX('Call accounts and MMFs'!$A$1:$A$2000,$Y138-1997+3))&amp;"")</f>
        <v/>
      </c>
      <c r="D138" s="91" t="str">
        <f>IF($Y138="","",IF($Y138&lt;=1997,INDEX('Term investments'!$C$1:$C$2000,$Y138+3),INDEX('Call accounts and MMFs'!$C$1:$C$2000,$Y138-1997+3))&amp;"")</f>
        <v/>
      </c>
      <c r="E138" s="92" t="str">
        <f>IF($Y138="","",IF($Y138&lt;=1997,IF(N(INDEX('Deal maths'!$H$1:$H$2000,$Y138+3))&gt;0,N(INDEX('Deal maths'!$H$1:$H$2000,$Y138+3)),N(INDEX('Deal maths'!$D$1:$D$2000,$Y138+3))),N(INDEX('Deal maths'!$M$1:$M$2000,$Y138-1997+3))))</f>
        <v/>
      </c>
      <c r="F138" s="93" t="str">
        <f>IF($Y138="","",IF($Y138&lt;=1997,INDEX('Deal maths'!$G$1:$G$2000,$Y138+3),INDEX('Deal maths'!$N$1:$N$2000,$Y138-1997+3)))</f>
        <v/>
      </c>
      <c r="G138" s="94" t="str">
        <f>IF($Y138="","",IF($Y138&lt;=1997,INDEX('Deal maths'!$E$1:$E$2000,$Y138+3),""))</f>
        <v/>
      </c>
      <c r="H138" s="94" t="str">
        <f>IF($Y138="","",IF($Y138&lt;=1997,INDEX('Deal maths'!$F$1:$F$2000,$Y138+3),""))</f>
        <v/>
      </c>
      <c r="I138" s="98" t="str">
        <f>IF($Y138="","",IF($Y138&lt;=1997,N(INDEX('Deal maths'!$F$1:$F$2000,$Y138+3))-AsAt,N(INDEX('Deal maths'!$O$1:$O$2000,$Y138-1997+3))))</f>
        <v/>
      </c>
      <c r="J138" s="99" t="str">
        <f>IF($Y138="","",IF($Y138&lt;=1997,INDEX('Term investments'!$J$1:$J$2000,$Y138+3),INDEX('Call accounts and MMFs'!$G$1:$G$2000,$Y138-1997+3))&amp;"")</f>
        <v/>
      </c>
      <c r="K138" s="92" t="str">
        <f>IF($Y138="","",N(E138)*N(F138))</f>
        <v/>
      </c>
      <c r="L138" s="100" t="str">
        <f>IF($Y138="","",IF($Y138&lt;=1997,"Term investments, row "&amp;($Y138+3),"Call accounts and MMFs, row "&amp;($Y138-1997+3)))</f>
        <v/>
      </c>
      <c r="Y138" t="str">
        <f>IFERROR(MATCH(SMALL('List maths'!$E$4:$E$3997,130),'List maths'!$E$4:$E$3997,0),"")</f>
        <v/>
      </c>
    </row>
    <row r="139">
      <c r="B139" s="91" t="str">
        <f>IF($Y139="","",IF($Y139&lt;=1997,INDEX('Term investments'!$B$1:$B$2000,$Y139+3),INDEX('Call accounts and MMFs'!$B$1:$B$2000,$Y139-1997+3))&amp;"")</f>
        <v/>
      </c>
      <c r="C139" s="91" t="str">
        <f>IF($Y139="","",IF($Y139&lt;=1997,INDEX('Term investments'!$A$1:$A$2000,$Y139+3),INDEX('Call accounts and MMFs'!$A$1:$A$2000,$Y139-1997+3))&amp;"")</f>
        <v/>
      </c>
      <c r="D139" s="91" t="str">
        <f>IF($Y139="","",IF($Y139&lt;=1997,INDEX('Term investments'!$C$1:$C$2000,$Y139+3),INDEX('Call accounts and MMFs'!$C$1:$C$2000,$Y139-1997+3))&amp;"")</f>
        <v/>
      </c>
      <c r="E139" s="92" t="str">
        <f>IF($Y139="","",IF($Y139&lt;=1997,IF(N(INDEX('Deal maths'!$H$1:$H$2000,$Y139+3))&gt;0,N(INDEX('Deal maths'!$H$1:$H$2000,$Y139+3)),N(INDEX('Deal maths'!$D$1:$D$2000,$Y139+3))),N(INDEX('Deal maths'!$M$1:$M$2000,$Y139-1997+3))))</f>
        <v/>
      </c>
      <c r="F139" s="93" t="str">
        <f>IF($Y139="","",IF($Y139&lt;=1997,INDEX('Deal maths'!$G$1:$G$2000,$Y139+3),INDEX('Deal maths'!$N$1:$N$2000,$Y139-1997+3)))</f>
        <v/>
      </c>
      <c r="G139" s="94" t="str">
        <f>IF($Y139="","",IF($Y139&lt;=1997,INDEX('Deal maths'!$E$1:$E$2000,$Y139+3),""))</f>
        <v/>
      </c>
      <c r="H139" s="94" t="str">
        <f>IF($Y139="","",IF($Y139&lt;=1997,INDEX('Deal maths'!$F$1:$F$2000,$Y139+3),""))</f>
        <v/>
      </c>
      <c r="I139" s="98" t="str">
        <f>IF($Y139="","",IF($Y139&lt;=1997,N(INDEX('Deal maths'!$F$1:$F$2000,$Y139+3))-AsAt,N(INDEX('Deal maths'!$O$1:$O$2000,$Y139-1997+3))))</f>
        <v/>
      </c>
      <c r="J139" s="99" t="str">
        <f>IF($Y139="","",IF($Y139&lt;=1997,INDEX('Term investments'!$J$1:$J$2000,$Y139+3),INDEX('Call accounts and MMFs'!$G$1:$G$2000,$Y139-1997+3))&amp;"")</f>
        <v/>
      </c>
      <c r="K139" s="92" t="str">
        <f>IF($Y139="","",N(E139)*N(F139))</f>
        <v/>
      </c>
      <c r="L139" s="100" t="str">
        <f>IF($Y139="","",IF($Y139&lt;=1997,"Term investments, row "&amp;($Y139+3),"Call accounts and MMFs, row "&amp;($Y139-1997+3)))</f>
        <v/>
      </c>
      <c r="Y139" t="str">
        <f>IFERROR(MATCH(SMALL('List maths'!$E$4:$E$3997,131),'List maths'!$E$4:$E$3997,0),"")</f>
        <v/>
      </c>
    </row>
    <row r="140">
      <c r="B140" s="91" t="str">
        <f>IF($Y140="","",IF($Y140&lt;=1997,INDEX('Term investments'!$B$1:$B$2000,$Y140+3),INDEX('Call accounts and MMFs'!$B$1:$B$2000,$Y140-1997+3))&amp;"")</f>
        <v/>
      </c>
      <c r="C140" s="91" t="str">
        <f>IF($Y140="","",IF($Y140&lt;=1997,INDEX('Term investments'!$A$1:$A$2000,$Y140+3),INDEX('Call accounts and MMFs'!$A$1:$A$2000,$Y140-1997+3))&amp;"")</f>
        <v/>
      </c>
      <c r="D140" s="91" t="str">
        <f>IF($Y140="","",IF($Y140&lt;=1997,INDEX('Term investments'!$C$1:$C$2000,$Y140+3),INDEX('Call accounts and MMFs'!$C$1:$C$2000,$Y140-1997+3))&amp;"")</f>
        <v/>
      </c>
      <c r="E140" s="92" t="str">
        <f>IF($Y140="","",IF($Y140&lt;=1997,IF(N(INDEX('Deal maths'!$H$1:$H$2000,$Y140+3))&gt;0,N(INDEX('Deal maths'!$H$1:$H$2000,$Y140+3)),N(INDEX('Deal maths'!$D$1:$D$2000,$Y140+3))),N(INDEX('Deal maths'!$M$1:$M$2000,$Y140-1997+3))))</f>
        <v/>
      </c>
      <c r="F140" s="93" t="str">
        <f>IF($Y140="","",IF($Y140&lt;=1997,INDEX('Deal maths'!$G$1:$G$2000,$Y140+3),INDEX('Deal maths'!$N$1:$N$2000,$Y140-1997+3)))</f>
        <v/>
      </c>
      <c r="G140" s="94" t="str">
        <f>IF($Y140="","",IF($Y140&lt;=1997,INDEX('Deal maths'!$E$1:$E$2000,$Y140+3),""))</f>
        <v/>
      </c>
      <c r="H140" s="94" t="str">
        <f>IF($Y140="","",IF($Y140&lt;=1997,INDEX('Deal maths'!$F$1:$F$2000,$Y140+3),""))</f>
        <v/>
      </c>
      <c r="I140" s="98" t="str">
        <f>IF($Y140="","",IF($Y140&lt;=1997,N(INDEX('Deal maths'!$F$1:$F$2000,$Y140+3))-AsAt,N(INDEX('Deal maths'!$O$1:$O$2000,$Y140-1997+3))))</f>
        <v/>
      </c>
      <c r="J140" s="99" t="str">
        <f>IF($Y140="","",IF($Y140&lt;=1997,INDEX('Term investments'!$J$1:$J$2000,$Y140+3),INDEX('Call accounts and MMFs'!$G$1:$G$2000,$Y140-1997+3))&amp;"")</f>
        <v/>
      </c>
      <c r="K140" s="92" t="str">
        <f>IF($Y140="","",N(E140)*N(F140))</f>
        <v/>
      </c>
      <c r="L140" s="100" t="str">
        <f>IF($Y140="","",IF($Y140&lt;=1997,"Term investments, row "&amp;($Y140+3),"Call accounts and MMFs, row "&amp;($Y140-1997+3)))</f>
        <v/>
      </c>
      <c r="Y140" t="str">
        <f>IFERROR(MATCH(SMALL('List maths'!$E$4:$E$3997,132),'List maths'!$E$4:$E$3997,0),"")</f>
        <v/>
      </c>
    </row>
    <row r="141">
      <c r="B141" s="91" t="str">
        <f>IF($Y141="","",IF($Y141&lt;=1997,INDEX('Term investments'!$B$1:$B$2000,$Y141+3),INDEX('Call accounts and MMFs'!$B$1:$B$2000,$Y141-1997+3))&amp;"")</f>
        <v/>
      </c>
      <c r="C141" s="91" t="str">
        <f>IF($Y141="","",IF($Y141&lt;=1997,INDEX('Term investments'!$A$1:$A$2000,$Y141+3),INDEX('Call accounts and MMFs'!$A$1:$A$2000,$Y141-1997+3))&amp;"")</f>
        <v/>
      </c>
      <c r="D141" s="91" t="str">
        <f>IF($Y141="","",IF($Y141&lt;=1997,INDEX('Term investments'!$C$1:$C$2000,$Y141+3),INDEX('Call accounts and MMFs'!$C$1:$C$2000,$Y141-1997+3))&amp;"")</f>
        <v/>
      </c>
      <c r="E141" s="92" t="str">
        <f>IF($Y141="","",IF($Y141&lt;=1997,IF(N(INDEX('Deal maths'!$H$1:$H$2000,$Y141+3))&gt;0,N(INDEX('Deal maths'!$H$1:$H$2000,$Y141+3)),N(INDEX('Deal maths'!$D$1:$D$2000,$Y141+3))),N(INDEX('Deal maths'!$M$1:$M$2000,$Y141-1997+3))))</f>
        <v/>
      </c>
      <c r="F141" s="93" t="str">
        <f>IF($Y141="","",IF($Y141&lt;=1997,INDEX('Deal maths'!$G$1:$G$2000,$Y141+3),INDEX('Deal maths'!$N$1:$N$2000,$Y141-1997+3)))</f>
        <v/>
      </c>
      <c r="G141" s="94" t="str">
        <f>IF($Y141="","",IF($Y141&lt;=1997,INDEX('Deal maths'!$E$1:$E$2000,$Y141+3),""))</f>
        <v/>
      </c>
      <c r="H141" s="94" t="str">
        <f>IF($Y141="","",IF($Y141&lt;=1997,INDEX('Deal maths'!$F$1:$F$2000,$Y141+3),""))</f>
        <v/>
      </c>
      <c r="I141" s="98" t="str">
        <f>IF($Y141="","",IF($Y141&lt;=1997,N(INDEX('Deal maths'!$F$1:$F$2000,$Y141+3))-AsAt,N(INDEX('Deal maths'!$O$1:$O$2000,$Y141-1997+3))))</f>
        <v/>
      </c>
      <c r="J141" s="99" t="str">
        <f>IF($Y141="","",IF($Y141&lt;=1997,INDEX('Term investments'!$J$1:$J$2000,$Y141+3),INDEX('Call accounts and MMFs'!$G$1:$G$2000,$Y141-1997+3))&amp;"")</f>
        <v/>
      </c>
      <c r="K141" s="92" t="str">
        <f>IF($Y141="","",N(E141)*N(F141))</f>
        <v/>
      </c>
      <c r="L141" s="100" t="str">
        <f>IF($Y141="","",IF($Y141&lt;=1997,"Term investments, row "&amp;($Y141+3),"Call accounts and MMFs, row "&amp;($Y141-1997+3)))</f>
        <v/>
      </c>
      <c r="Y141" t="str">
        <f>IFERROR(MATCH(SMALL('List maths'!$E$4:$E$3997,133),'List maths'!$E$4:$E$3997,0),"")</f>
        <v/>
      </c>
    </row>
    <row r="142">
      <c r="B142" s="91" t="str">
        <f>IF($Y142="","",IF($Y142&lt;=1997,INDEX('Term investments'!$B$1:$B$2000,$Y142+3),INDEX('Call accounts and MMFs'!$B$1:$B$2000,$Y142-1997+3))&amp;"")</f>
        <v/>
      </c>
      <c r="C142" s="91" t="str">
        <f>IF($Y142="","",IF($Y142&lt;=1997,INDEX('Term investments'!$A$1:$A$2000,$Y142+3),INDEX('Call accounts and MMFs'!$A$1:$A$2000,$Y142-1997+3))&amp;"")</f>
        <v/>
      </c>
      <c r="D142" s="91" t="str">
        <f>IF($Y142="","",IF($Y142&lt;=1997,INDEX('Term investments'!$C$1:$C$2000,$Y142+3),INDEX('Call accounts and MMFs'!$C$1:$C$2000,$Y142-1997+3))&amp;"")</f>
        <v/>
      </c>
      <c r="E142" s="92" t="str">
        <f>IF($Y142="","",IF($Y142&lt;=1997,IF(N(INDEX('Deal maths'!$H$1:$H$2000,$Y142+3))&gt;0,N(INDEX('Deal maths'!$H$1:$H$2000,$Y142+3)),N(INDEX('Deal maths'!$D$1:$D$2000,$Y142+3))),N(INDEX('Deal maths'!$M$1:$M$2000,$Y142-1997+3))))</f>
        <v/>
      </c>
      <c r="F142" s="93" t="str">
        <f>IF($Y142="","",IF($Y142&lt;=1997,INDEX('Deal maths'!$G$1:$G$2000,$Y142+3),INDEX('Deal maths'!$N$1:$N$2000,$Y142-1997+3)))</f>
        <v/>
      </c>
      <c r="G142" s="94" t="str">
        <f>IF($Y142="","",IF($Y142&lt;=1997,INDEX('Deal maths'!$E$1:$E$2000,$Y142+3),""))</f>
        <v/>
      </c>
      <c r="H142" s="94" t="str">
        <f>IF($Y142="","",IF($Y142&lt;=1997,INDEX('Deal maths'!$F$1:$F$2000,$Y142+3),""))</f>
        <v/>
      </c>
      <c r="I142" s="98" t="str">
        <f>IF($Y142="","",IF($Y142&lt;=1997,N(INDEX('Deal maths'!$F$1:$F$2000,$Y142+3))-AsAt,N(INDEX('Deal maths'!$O$1:$O$2000,$Y142-1997+3))))</f>
        <v/>
      </c>
      <c r="J142" s="99" t="str">
        <f>IF($Y142="","",IF($Y142&lt;=1997,INDEX('Term investments'!$J$1:$J$2000,$Y142+3),INDEX('Call accounts and MMFs'!$G$1:$G$2000,$Y142-1997+3))&amp;"")</f>
        <v/>
      </c>
      <c r="K142" s="92" t="str">
        <f>IF($Y142="","",N(E142)*N(F142))</f>
        <v/>
      </c>
      <c r="L142" s="100" t="str">
        <f>IF($Y142="","",IF($Y142&lt;=1997,"Term investments, row "&amp;($Y142+3),"Call accounts and MMFs, row "&amp;($Y142-1997+3)))</f>
        <v/>
      </c>
      <c r="Y142" t="str">
        <f>IFERROR(MATCH(SMALL('List maths'!$E$4:$E$3997,134),'List maths'!$E$4:$E$3997,0),"")</f>
        <v/>
      </c>
    </row>
    <row r="143">
      <c r="B143" s="91" t="str">
        <f>IF($Y143="","",IF($Y143&lt;=1997,INDEX('Term investments'!$B$1:$B$2000,$Y143+3),INDEX('Call accounts and MMFs'!$B$1:$B$2000,$Y143-1997+3))&amp;"")</f>
        <v/>
      </c>
      <c r="C143" s="91" t="str">
        <f>IF($Y143="","",IF($Y143&lt;=1997,INDEX('Term investments'!$A$1:$A$2000,$Y143+3),INDEX('Call accounts and MMFs'!$A$1:$A$2000,$Y143-1997+3))&amp;"")</f>
        <v/>
      </c>
      <c r="D143" s="91" t="str">
        <f>IF($Y143="","",IF($Y143&lt;=1997,INDEX('Term investments'!$C$1:$C$2000,$Y143+3),INDEX('Call accounts and MMFs'!$C$1:$C$2000,$Y143-1997+3))&amp;"")</f>
        <v/>
      </c>
      <c r="E143" s="92" t="str">
        <f>IF($Y143="","",IF($Y143&lt;=1997,IF(N(INDEX('Deal maths'!$H$1:$H$2000,$Y143+3))&gt;0,N(INDEX('Deal maths'!$H$1:$H$2000,$Y143+3)),N(INDEX('Deal maths'!$D$1:$D$2000,$Y143+3))),N(INDEX('Deal maths'!$M$1:$M$2000,$Y143-1997+3))))</f>
        <v/>
      </c>
      <c r="F143" s="93" t="str">
        <f>IF($Y143="","",IF($Y143&lt;=1997,INDEX('Deal maths'!$G$1:$G$2000,$Y143+3),INDEX('Deal maths'!$N$1:$N$2000,$Y143-1997+3)))</f>
        <v/>
      </c>
      <c r="G143" s="94" t="str">
        <f>IF($Y143="","",IF($Y143&lt;=1997,INDEX('Deal maths'!$E$1:$E$2000,$Y143+3),""))</f>
        <v/>
      </c>
      <c r="H143" s="94" t="str">
        <f>IF($Y143="","",IF($Y143&lt;=1997,INDEX('Deal maths'!$F$1:$F$2000,$Y143+3),""))</f>
        <v/>
      </c>
      <c r="I143" s="98" t="str">
        <f>IF($Y143="","",IF($Y143&lt;=1997,N(INDEX('Deal maths'!$F$1:$F$2000,$Y143+3))-AsAt,N(INDEX('Deal maths'!$O$1:$O$2000,$Y143-1997+3))))</f>
        <v/>
      </c>
      <c r="J143" s="99" t="str">
        <f>IF($Y143="","",IF($Y143&lt;=1997,INDEX('Term investments'!$J$1:$J$2000,$Y143+3),INDEX('Call accounts and MMFs'!$G$1:$G$2000,$Y143-1997+3))&amp;"")</f>
        <v/>
      </c>
      <c r="K143" s="92" t="str">
        <f>IF($Y143="","",N(E143)*N(F143))</f>
        <v/>
      </c>
      <c r="L143" s="100" t="str">
        <f>IF($Y143="","",IF($Y143&lt;=1997,"Term investments, row "&amp;($Y143+3),"Call accounts and MMFs, row "&amp;($Y143-1997+3)))</f>
        <v/>
      </c>
      <c r="Y143" t="str">
        <f>IFERROR(MATCH(SMALL('List maths'!$E$4:$E$3997,135),'List maths'!$E$4:$E$3997,0),"")</f>
        <v/>
      </c>
    </row>
    <row r="144">
      <c r="B144" s="91" t="str">
        <f>IF($Y144="","",IF($Y144&lt;=1997,INDEX('Term investments'!$B$1:$B$2000,$Y144+3),INDEX('Call accounts and MMFs'!$B$1:$B$2000,$Y144-1997+3))&amp;"")</f>
        <v/>
      </c>
      <c r="C144" s="91" t="str">
        <f>IF($Y144="","",IF($Y144&lt;=1997,INDEX('Term investments'!$A$1:$A$2000,$Y144+3),INDEX('Call accounts and MMFs'!$A$1:$A$2000,$Y144-1997+3))&amp;"")</f>
        <v/>
      </c>
      <c r="D144" s="91" t="str">
        <f>IF($Y144="","",IF($Y144&lt;=1997,INDEX('Term investments'!$C$1:$C$2000,$Y144+3),INDEX('Call accounts and MMFs'!$C$1:$C$2000,$Y144-1997+3))&amp;"")</f>
        <v/>
      </c>
      <c r="E144" s="92" t="str">
        <f>IF($Y144="","",IF($Y144&lt;=1997,IF(N(INDEX('Deal maths'!$H$1:$H$2000,$Y144+3))&gt;0,N(INDEX('Deal maths'!$H$1:$H$2000,$Y144+3)),N(INDEX('Deal maths'!$D$1:$D$2000,$Y144+3))),N(INDEX('Deal maths'!$M$1:$M$2000,$Y144-1997+3))))</f>
        <v/>
      </c>
      <c r="F144" s="93" t="str">
        <f>IF($Y144="","",IF($Y144&lt;=1997,INDEX('Deal maths'!$G$1:$G$2000,$Y144+3),INDEX('Deal maths'!$N$1:$N$2000,$Y144-1997+3)))</f>
        <v/>
      </c>
      <c r="G144" s="94" t="str">
        <f>IF($Y144="","",IF($Y144&lt;=1997,INDEX('Deal maths'!$E$1:$E$2000,$Y144+3),""))</f>
        <v/>
      </c>
      <c r="H144" s="94" t="str">
        <f>IF($Y144="","",IF($Y144&lt;=1997,INDEX('Deal maths'!$F$1:$F$2000,$Y144+3),""))</f>
        <v/>
      </c>
      <c r="I144" s="98" t="str">
        <f>IF($Y144="","",IF($Y144&lt;=1997,N(INDEX('Deal maths'!$F$1:$F$2000,$Y144+3))-AsAt,N(INDEX('Deal maths'!$O$1:$O$2000,$Y144-1997+3))))</f>
        <v/>
      </c>
      <c r="J144" s="99" t="str">
        <f>IF($Y144="","",IF($Y144&lt;=1997,INDEX('Term investments'!$J$1:$J$2000,$Y144+3),INDEX('Call accounts and MMFs'!$G$1:$G$2000,$Y144-1997+3))&amp;"")</f>
        <v/>
      </c>
      <c r="K144" s="92" t="str">
        <f>IF($Y144="","",N(E144)*N(F144))</f>
        <v/>
      </c>
      <c r="L144" s="100" t="str">
        <f>IF($Y144="","",IF($Y144&lt;=1997,"Term investments, row "&amp;($Y144+3),"Call accounts and MMFs, row "&amp;($Y144-1997+3)))</f>
        <v/>
      </c>
      <c r="Y144" t="str">
        <f>IFERROR(MATCH(SMALL('List maths'!$E$4:$E$3997,136),'List maths'!$E$4:$E$3997,0),"")</f>
        <v/>
      </c>
    </row>
    <row r="145">
      <c r="B145" s="91" t="str">
        <f>IF($Y145="","",IF($Y145&lt;=1997,INDEX('Term investments'!$B$1:$B$2000,$Y145+3),INDEX('Call accounts and MMFs'!$B$1:$B$2000,$Y145-1997+3))&amp;"")</f>
        <v/>
      </c>
      <c r="C145" s="91" t="str">
        <f>IF($Y145="","",IF($Y145&lt;=1997,INDEX('Term investments'!$A$1:$A$2000,$Y145+3),INDEX('Call accounts and MMFs'!$A$1:$A$2000,$Y145-1997+3))&amp;"")</f>
        <v/>
      </c>
      <c r="D145" s="91" t="str">
        <f>IF($Y145="","",IF($Y145&lt;=1997,INDEX('Term investments'!$C$1:$C$2000,$Y145+3),INDEX('Call accounts and MMFs'!$C$1:$C$2000,$Y145-1997+3))&amp;"")</f>
        <v/>
      </c>
      <c r="E145" s="92" t="str">
        <f>IF($Y145="","",IF($Y145&lt;=1997,IF(N(INDEX('Deal maths'!$H$1:$H$2000,$Y145+3))&gt;0,N(INDEX('Deal maths'!$H$1:$H$2000,$Y145+3)),N(INDEX('Deal maths'!$D$1:$D$2000,$Y145+3))),N(INDEX('Deal maths'!$M$1:$M$2000,$Y145-1997+3))))</f>
        <v/>
      </c>
      <c r="F145" s="93" t="str">
        <f>IF($Y145="","",IF($Y145&lt;=1997,INDEX('Deal maths'!$G$1:$G$2000,$Y145+3),INDEX('Deal maths'!$N$1:$N$2000,$Y145-1997+3)))</f>
        <v/>
      </c>
      <c r="G145" s="94" t="str">
        <f>IF($Y145="","",IF($Y145&lt;=1997,INDEX('Deal maths'!$E$1:$E$2000,$Y145+3),""))</f>
        <v/>
      </c>
      <c r="H145" s="94" t="str">
        <f>IF($Y145="","",IF($Y145&lt;=1997,INDEX('Deal maths'!$F$1:$F$2000,$Y145+3),""))</f>
        <v/>
      </c>
      <c r="I145" s="98" t="str">
        <f>IF($Y145="","",IF($Y145&lt;=1997,N(INDEX('Deal maths'!$F$1:$F$2000,$Y145+3))-AsAt,N(INDEX('Deal maths'!$O$1:$O$2000,$Y145-1997+3))))</f>
        <v/>
      </c>
      <c r="J145" s="99" t="str">
        <f>IF($Y145="","",IF($Y145&lt;=1997,INDEX('Term investments'!$J$1:$J$2000,$Y145+3),INDEX('Call accounts and MMFs'!$G$1:$G$2000,$Y145-1997+3))&amp;"")</f>
        <v/>
      </c>
      <c r="K145" s="92" t="str">
        <f>IF($Y145="","",N(E145)*N(F145))</f>
        <v/>
      </c>
      <c r="L145" s="100" t="str">
        <f>IF($Y145="","",IF($Y145&lt;=1997,"Term investments, row "&amp;($Y145+3),"Call accounts and MMFs, row "&amp;($Y145-1997+3)))</f>
        <v/>
      </c>
      <c r="Y145" t="str">
        <f>IFERROR(MATCH(SMALL('List maths'!$E$4:$E$3997,137),'List maths'!$E$4:$E$3997,0),"")</f>
        <v/>
      </c>
    </row>
    <row r="146">
      <c r="B146" s="91" t="str">
        <f>IF($Y146="","",IF($Y146&lt;=1997,INDEX('Term investments'!$B$1:$B$2000,$Y146+3),INDEX('Call accounts and MMFs'!$B$1:$B$2000,$Y146-1997+3))&amp;"")</f>
        <v/>
      </c>
      <c r="C146" s="91" t="str">
        <f>IF($Y146="","",IF($Y146&lt;=1997,INDEX('Term investments'!$A$1:$A$2000,$Y146+3),INDEX('Call accounts and MMFs'!$A$1:$A$2000,$Y146-1997+3))&amp;"")</f>
        <v/>
      </c>
      <c r="D146" s="91" t="str">
        <f>IF($Y146="","",IF($Y146&lt;=1997,INDEX('Term investments'!$C$1:$C$2000,$Y146+3),INDEX('Call accounts and MMFs'!$C$1:$C$2000,$Y146-1997+3))&amp;"")</f>
        <v/>
      </c>
      <c r="E146" s="92" t="str">
        <f>IF($Y146="","",IF($Y146&lt;=1997,IF(N(INDEX('Deal maths'!$H$1:$H$2000,$Y146+3))&gt;0,N(INDEX('Deal maths'!$H$1:$H$2000,$Y146+3)),N(INDEX('Deal maths'!$D$1:$D$2000,$Y146+3))),N(INDEX('Deal maths'!$M$1:$M$2000,$Y146-1997+3))))</f>
        <v/>
      </c>
      <c r="F146" s="93" t="str">
        <f>IF($Y146="","",IF($Y146&lt;=1997,INDEX('Deal maths'!$G$1:$G$2000,$Y146+3),INDEX('Deal maths'!$N$1:$N$2000,$Y146-1997+3)))</f>
        <v/>
      </c>
      <c r="G146" s="94" t="str">
        <f>IF($Y146="","",IF($Y146&lt;=1997,INDEX('Deal maths'!$E$1:$E$2000,$Y146+3),""))</f>
        <v/>
      </c>
      <c r="H146" s="94" t="str">
        <f>IF($Y146="","",IF($Y146&lt;=1997,INDEX('Deal maths'!$F$1:$F$2000,$Y146+3),""))</f>
        <v/>
      </c>
      <c r="I146" s="98" t="str">
        <f>IF($Y146="","",IF($Y146&lt;=1997,N(INDEX('Deal maths'!$F$1:$F$2000,$Y146+3))-AsAt,N(INDEX('Deal maths'!$O$1:$O$2000,$Y146-1997+3))))</f>
        <v/>
      </c>
      <c r="J146" s="99" t="str">
        <f>IF($Y146="","",IF($Y146&lt;=1997,INDEX('Term investments'!$J$1:$J$2000,$Y146+3),INDEX('Call accounts and MMFs'!$G$1:$G$2000,$Y146-1997+3))&amp;"")</f>
        <v/>
      </c>
      <c r="K146" s="92" t="str">
        <f>IF($Y146="","",N(E146)*N(F146))</f>
        <v/>
      </c>
      <c r="L146" s="100" t="str">
        <f>IF($Y146="","",IF($Y146&lt;=1997,"Term investments, row "&amp;($Y146+3),"Call accounts and MMFs, row "&amp;($Y146-1997+3)))</f>
        <v/>
      </c>
      <c r="Y146" t="str">
        <f>IFERROR(MATCH(SMALL('List maths'!$E$4:$E$3997,138),'List maths'!$E$4:$E$3997,0),"")</f>
        <v/>
      </c>
    </row>
    <row r="147">
      <c r="B147" s="91" t="str">
        <f>IF($Y147="","",IF($Y147&lt;=1997,INDEX('Term investments'!$B$1:$B$2000,$Y147+3),INDEX('Call accounts and MMFs'!$B$1:$B$2000,$Y147-1997+3))&amp;"")</f>
        <v/>
      </c>
      <c r="C147" s="91" t="str">
        <f>IF($Y147="","",IF($Y147&lt;=1997,INDEX('Term investments'!$A$1:$A$2000,$Y147+3),INDEX('Call accounts and MMFs'!$A$1:$A$2000,$Y147-1997+3))&amp;"")</f>
        <v/>
      </c>
      <c r="D147" s="91" t="str">
        <f>IF($Y147="","",IF($Y147&lt;=1997,INDEX('Term investments'!$C$1:$C$2000,$Y147+3),INDEX('Call accounts and MMFs'!$C$1:$C$2000,$Y147-1997+3))&amp;"")</f>
        <v/>
      </c>
      <c r="E147" s="92" t="str">
        <f>IF($Y147="","",IF($Y147&lt;=1997,IF(N(INDEX('Deal maths'!$H$1:$H$2000,$Y147+3))&gt;0,N(INDEX('Deal maths'!$H$1:$H$2000,$Y147+3)),N(INDEX('Deal maths'!$D$1:$D$2000,$Y147+3))),N(INDEX('Deal maths'!$M$1:$M$2000,$Y147-1997+3))))</f>
        <v/>
      </c>
      <c r="F147" s="93" t="str">
        <f>IF($Y147="","",IF($Y147&lt;=1997,INDEX('Deal maths'!$G$1:$G$2000,$Y147+3),INDEX('Deal maths'!$N$1:$N$2000,$Y147-1997+3)))</f>
        <v/>
      </c>
      <c r="G147" s="94" t="str">
        <f>IF($Y147="","",IF($Y147&lt;=1997,INDEX('Deal maths'!$E$1:$E$2000,$Y147+3),""))</f>
        <v/>
      </c>
      <c r="H147" s="94" t="str">
        <f>IF($Y147="","",IF($Y147&lt;=1997,INDEX('Deal maths'!$F$1:$F$2000,$Y147+3),""))</f>
        <v/>
      </c>
      <c r="I147" s="98" t="str">
        <f>IF($Y147="","",IF($Y147&lt;=1997,N(INDEX('Deal maths'!$F$1:$F$2000,$Y147+3))-AsAt,N(INDEX('Deal maths'!$O$1:$O$2000,$Y147-1997+3))))</f>
        <v/>
      </c>
      <c r="J147" s="99" t="str">
        <f>IF($Y147="","",IF($Y147&lt;=1997,INDEX('Term investments'!$J$1:$J$2000,$Y147+3),INDEX('Call accounts and MMFs'!$G$1:$G$2000,$Y147-1997+3))&amp;"")</f>
        <v/>
      </c>
      <c r="K147" s="92" t="str">
        <f>IF($Y147="","",N(E147)*N(F147))</f>
        <v/>
      </c>
      <c r="L147" s="100" t="str">
        <f>IF($Y147="","",IF($Y147&lt;=1997,"Term investments, row "&amp;($Y147+3),"Call accounts and MMFs, row "&amp;($Y147-1997+3)))</f>
        <v/>
      </c>
      <c r="Y147" t="str">
        <f>IFERROR(MATCH(SMALL('List maths'!$E$4:$E$3997,139),'List maths'!$E$4:$E$3997,0),"")</f>
        <v/>
      </c>
    </row>
    <row r="148">
      <c r="B148" s="91" t="str">
        <f>IF($Y148="","",IF($Y148&lt;=1997,INDEX('Term investments'!$B$1:$B$2000,$Y148+3),INDEX('Call accounts and MMFs'!$B$1:$B$2000,$Y148-1997+3))&amp;"")</f>
        <v/>
      </c>
      <c r="C148" s="91" t="str">
        <f>IF($Y148="","",IF($Y148&lt;=1997,INDEX('Term investments'!$A$1:$A$2000,$Y148+3),INDEX('Call accounts and MMFs'!$A$1:$A$2000,$Y148-1997+3))&amp;"")</f>
        <v/>
      </c>
      <c r="D148" s="91" t="str">
        <f>IF($Y148="","",IF($Y148&lt;=1997,INDEX('Term investments'!$C$1:$C$2000,$Y148+3),INDEX('Call accounts and MMFs'!$C$1:$C$2000,$Y148-1997+3))&amp;"")</f>
        <v/>
      </c>
      <c r="E148" s="92" t="str">
        <f>IF($Y148="","",IF($Y148&lt;=1997,IF(N(INDEX('Deal maths'!$H$1:$H$2000,$Y148+3))&gt;0,N(INDEX('Deal maths'!$H$1:$H$2000,$Y148+3)),N(INDEX('Deal maths'!$D$1:$D$2000,$Y148+3))),N(INDEX('Deal maths'!$M$1:$M$2000,$Y148-1997+3))))</f>
        <v/>
      </c>
      <c r="F148" s="93" t="str">
        <f>IF($Y148="","",IF($Y148&lt;=1997,INDEX('Deal maths'!$G$1:$G$2000,$Y148+3),INDEX('Deal maths'!$N$1:$N$2000,$Y148-1997+3)))</f>
        <v/>
      </c>
      <c r="G148" s="94" t="str">
        <f>IF($Y148="","",IF($Y148&lt;=1997,INDEX('Deal maths'!$E$1:$E$2000,$Y148+3),""))</f>
        <v/>
      </c>
      <c r="H148" s="94" t="str">
        <f>IF($Y148="","",IF($Y148&lt;=1997,INDEX('Deal maths'!$F$1:$F$2000,$Y148+3),""))</f>
        <v/>
      </c>
      <c r="I148" s="98" t="str">
        <f>IF($Y148="","",IF($Y148&lt;=1997,N(INDEX('Deal maths'!$F$1:$F$2000,$Y148+3))-AsAt,N(INDEX('Deal maths'!$O$1:$O$2000,$Y148-1997+3))))</f>
        <v/>
      </c>
      <c r="J148" s="99" t="str">
        <f>IF($Y148="","",IF($Y148&lt;=1997,INDEX('Term investments'!$J$1:$J$2000,$Y148+3),INDEX('Call accounts and MMFs'!$G$1:$G$2000,$Y148-1997+3))&amp;"")</f>
        <v/>
      </c>
      <c r="K148" s="92" t="str">
        <f>IF($Y148="","",N(E148)*N(F148))</f>
        <v/>
      </c>
      <c r="L148" s="100" t="str">
        <f>IF($Y148="","",IF($Y148&lt;=1997,"Term investments, row "&amp;($Y148+3),"Call accounts and MMFs, row "&amp;($Y148-1997+3)))</f>
        <v/>
      </c>
      <c r="Y148" t="str">
        <f>IFERROR(MATCH(SMALL('List maths'!$E$4:$E$3997,140),'List maths'!$E$4:$E$3997,0),"")</f>
        <v/>
      </c>
    </row>
    <row r="149">
      <c r="B149" s="91" t="str">
        <f>IF($Y149="","",IF($Y149&lt;=1997,INDEX('Term investments'!$B$1:$B$2000,$Y149+3),INDEX('Call accounts and MMFs'!$B$1:$B$2000,$Y149-1997+3))&amp;"")</f>
        <v/>
      </c>
      <c r="C149" s="91" t="str">
        <f>IF($Y149="","",IF($Y149&lt;=1997,INDEX('Term investments'!$A$1:$A$2000,$Y149+3),INDEX('Call accounts and MMFs'!$A$1:$A$2000,$Y149-1997+3))&amp;"")</f>
        <v/>
      </c>
      <c r="D149" s="91" t="str">
        <f>IF($Y149="","",IF($Y149&lt;=1997,INDEX('Term investments'!$C$1:$C$2000,$Y149+3),INDEX('Call accounts and MMFs'!$C$1:$C$2000,$Y149-1997+3))&amp;"")</f>
        <v/>
      </c>
      <c r="E149" s="92" t="str">
        <f>IF($Y149="","",IF($Y149&lt;=1997,IF(N(INDEX('Deal maths'!$H$1:$H$2000,$Y149+3))&gt;0,N(INDEX('Deal maths'!$H$1:$H$2000,$Y149+3)),N(INDEX('Deal maths'!$D$1:$D$2000,$Y149+3))),N(INDEX('Deal maths'!$M$1:$M$2000,$Y149-1997+3))))</f>
        <v/>
      </c>
      <c r="F149" s="93" t="str">
        <f>IF($Y149="","",IF($Y149&lt;=1997,INDEX('Deal maths'!$G$1:$G$2000,$Y149+3),INDEX('Deal maths'!$N$1:$N$2000,$Y149-1997+3)))</f>
        <v/>
      </c>
      <c r="G149" s="94" t="str">
        <f>IF($Y149="","",IF($Y149&lt;=1997,INDEX('Deal maths'!$E$1:$E$2000,$Y149+3),""))</f>
        <v/>
      </c>
      <c r="H149" s="94" t="str">
        <f>IF($Y149="","",IF($Y149&lt;=1997,INDEX('Deal maths'!$F$1:$F$2000,$Y149+3),""))</f>
        <v/>
      </c>
      <c r="I149" s="98" t="str">
        <f>IF($Y149="","",IF($Y149&lt;=1997,N(INDEX('Deal maths'!$F$1:$F$2000,$Y149+3))-AsAt,N(INDEX('Deal maths'!$O$1:$O$2000,$Y149-1997+3))))</f>
        <v/>
      </c>
      <c r="J149" s="99" t="str">
        <f>IF($Y149="","",IF($Y149&lt;=1997,INDEX('Term investments'!$J$1:$J$2000,$Y149+3),INDEX('Call accounts and MMFs'!$G$1:$G$2000,$Y149-1997+3))&amp;"")</f>
        <v/>
      </c>
      <c r="K149" s="92" t="str">
        <f>IF($Y149="","",N(E149)*N(F149))</f>
        <v/>
      </c>
      <c r="L149" s="100" t="str">
        <f>IF($Y149="","",IF($Y149&lt;=1997,"Term investments, row "&amp;($Y149+3),"Call accounts and MMFs, row "&amp;($Y149-1997+3)))</f>
        <v/>
      </c>
      <c r="Y149" t="str">
        <f>IFERROR(MATCH(SMALL('List maths'!$E$4:$E$3997,141),'List maths'!$E$4:$E$3997,0),"")</f>
        <v/>
      </c>
    </row>
    <row r="150">
      <c r="B150" s="91" t="str">
        <f>IF($Y150="","",IF($Y150&lt;=1997,INDEX('Term investments'!$B$1:$B$2000,$Y150+3),INDEX('Call accounts and MMFs'!$B$1:$B$2000,$Y150-1997+3))&amp;"")</f>
        <v/>
      </c>
      <c r="C150" s="91" t="str">
        <f>IF($Y150="","",IF($Y150&lt;=1997,INDEX('Term investments'!$A$1:$A$2000,$Y150+3),INDEX('Call accounts and MMFs'!$A$1:$A$2000,$Y150-1997+3))&amp;"")</f>
        <v/>
      </c>
      <c r="D150" s="91" t="str">
        <f>IF($Y150="","",IF($Y150&lt;=1997,INDEX('Term investments'!$C$1:$C$2000,$Y150+3),INDEX('Call accounts and MMFs'!$C$1:$C$2000,$Y150-1997+3))&amp;"")</f>
        <v/>
      </c>
      <c r="E150" s="92" t="str">
        <f>IF($Y150="","",IF($Y150&lt;=1997,IF(N(INDEX('Deal maths'!$H$1:$H$2000,$Y150+3))&gt;0,N(INDEX('Deal maths'!$H$1:$H$2000,$Y150+3)),N(INDEX('Deal maths'!$D$1:$D$2000,$Y150+3))),N(INDEX('Deal maths'!$M$1:$M$2000,$Y150-1997+3))))</f>
        <v/>
      </c>
      <c r="F150" s="93" t="str">
        <f>IF($Y150="","",IF($Y150&lt;=1997,INDEX('Deal maths'!$G$1:$G$2000,$Y150+3),INDEX('Deal maths'!$N$1:$N$2000,$Y150-1997+3)))</f>
        <v/>
      </c>
      <c r="G150" s="94" t="str">
        <f>IF($Y150="","",IF($Y150&lt;=1997,INDEX('Deal maths'!$E$1:$E$2000,$Y150+3),""))</f>
        <v/>
      </c>
      <c r="H150" s="94" t="str">
        <f>IF($Y150="","",IF($Y150&lt;=1997,INDEX('Deal maths'!$F$1:$F$2000,$Y150+3),""))</f>
        <v/>
      </c>
      <c r="I150" s="98" t="str">
        <f>IF($Y150="","",IF($Y150&lt;=1997,N(INDEX('Deal maths'!$F$1:$F$2000,$Y150+3))-AsAt,N(INDEX('Deal maths'!$O$1:$O$2000,$Y150-1997+3))))</f>
        <v/>
      </c>
      <c r="J150" s="99" t="str">
        <f>IF($Y150="","",IF($Y150&lt;=1997,INDEX('Term investments'!$J$1:$J$2000,$Y150+3),INDEX('Call accounts and MMFs'!$G$1:$G$2000,$Y150-1997+3))&amp;"")</f>
        <v/>
      </c>
      <c r="K150" s="92" t="str">
        <f>IF($Y150="","",N(E150)*N(F150))</f>
        <v/>
      </c>
      <c r="L150" s="100" t="str">
        <f>IF($Y150="","",IF($Y150&lt;=1997,"Term investments, row "&amp;($Y150+3),"Call accounts and MMFs, row "&amp;($Y150-1997+3)))</f>
        <v/>
      </c>
      <c r="Y150" t="str">
        <f>IFERROR(MATCH(SMALL('List maths'!$E$4:$E$3997,142),'List maths'!$E$4:$E$3997,0),"")</f>
        <v/>
      </c>
    </row>
    <row r="151">
      <c r="B151" s="91" t="str">
        <f>IF($Y151="","",IF($Y151&lt;=1997,INDEX('Term investments'!$B$1:$B$2000,$Y151+3),INDEX('Call accounts and MMFs'!$B$1:$B$2000,$Y151-1997+3))&amp;"")</f>
        <v/>
      </c>
      <c r="C151" s="91" t="str">
        <f>IF($Y151="","",IF($Y151&lt;=1997,INDEX('Term investments'!$A$1:$A$2000,$Y151+3),INDEX('Call accounts and MMFs'!$A$1:$A$2000,$Y151-1997+3))&amp;"")</f>
        <v/>
      </c>
      <c r="D151" s="91" t="str">
        <f>IF($Y151="","",IF($Y151&lt;=1997,INDEX('Term investments'!$C$1:$C$2000,$Y151+3),INDEX('Call accounts and MMFs'!$C$1:$C$2000,$Y151-1997+3))&amp;"")</f>
        <v/>
      </c>
      <c r="E151" s="92" t="str">
        <f>IF($Y151="","",IF($Y151&lt;=1997,IF(N(INDEX('Deal maths'!$H$1:$H$2000,$Y151+3))&gt;0,N(INDEX('Deal maths'!$H$1:$H$2000,$Y151+3)),N(INDEX('Deal maths'!$D$1:$D$2000,$Y151+3))),N(INDEX('Deal maths'!$M$1:$M$2000,$Y151-1997+3))))</f>
        <v/>
      </c>
      <c r="F151" s="93" t="str">
        <f>IF($Y151="","",IF($Y151&lt;=1997,INDEX('Deal maths'!$G$1:$G$2000,$Y151+3),INDEX('Deal maths'!$N$1:$N$2000,$Y151-1997+3)))</f>
        <v/>
      </c>
      <c r="G151" s="94" t="str">
        <f>IF($Y151="","",IF($Y151&lt;=1997,INDEX('Deal maths'!$E$1:$E$2000,$Y151+3),""))</f>
        <v/>
      </c>
      <c r="H151" s="94" t="str">
        <f>IF($Y151="","",IF($Y151&lt;=1997,INDEX('Deal maths'!$F$1:$F$2000,$Y151+3),""))</f>
        <v/>
      </c>
      <c r="I151" s="98" t="str">
        <f>IF($Y151="","",IF($Y151&lt;=1997,N(INDEX('Deal maths'!$F$1:$F$2000,$Y151+3))-AsAt,N(INDEX('Deal maths'!$O$1:$O$2000,$Y151-1997+3))))</f>
        <v/>
      </c>
      <c r="J151" s="99" t="str">
        <f>IF($Y151="","",IF($Y151&lt;=1997,INDEX('Term investments'!$J$1:$J$2000,$Y151+3),INDEX('Call accounts and MMFs'!$G$1:$G$2000,$Y151-1997+3))&amp;"")</f>
        <v/>
      </c>
      <c r="K151" s="92" t="str">
        <f>IF($Y151="","",N(E151)*N(F151))</f>
        <v/>
      </c>
      <c r="L151" s="100" t="str">
        <f>IF($Y151="","",IF($Y151&lt;=1997,"Term investments, row "&amp;($Y151+3),"Call accounts and MMFs, row "&amp;($Y151-1997+3)))</f>
        <v/>
      </c>
      <c r="Y151" t="str">
        <f>IFERROR(MATCH(SMALL('List maths'!$E$4:$E$3997,143),'List maths'!$E$4:$E$3997,0),"")</f>
        <v/>
      </c>
    </row>
    <row r="152">
      <c r="B152" s="91" t="str">
        <f>IF($Y152="","",IF($Y152&lt;=1997,INDEX('Term investments'!$B$1:$B$2000,$Y152+3),INDEX('Call accounts and MMFs'!$B$1:$B$2000,$Y152-1997+3))&amp;"")</f>
        <v/>
      </c>
      <c r="C152" s="91" t="str">
        <f>IF($Y152="","",IF($Y152&lt;=1997,INDEX('Term investments'!$A$1:$A$2000,$Y152+3),INDEX('Call accounts and MMFs'!$A$1:$A$2000,$Y152-1997+3))&amp;"")</f>
        <v/>
      </c>
      <c r="D152" s="91" t="str">
        <f>IF($Y152="","",IF($Y152&lt;=1997,INDEX('Term investments'!$C$1:$C$2000,$Y152+3),INDEX('Call accounts and MMFs'!$C$1:$C$2000,$Y152-1997+3))&amp;"")</f>
        <v/>
      </c>
      <c r="E152" s="92" t="str">
        <f>IF($Y152="","",IF($Y152&lt;=1997,IF(N(INDEX('Deal maths'!$H$1:$H$2000,$Y152+3))&gt;0,N(INDEX('Deal maths'!$H$1:$H$2000,$Y152+3)),N(INDEX('Deal maths'!$D$1:$D$2000,$Y152+3))),N(INDEX('Deal maths'!$M$1:$M$2000,$Y152-1997+3))))</f>
        <v/>
      </c>
      <c r="F152" s="93" t="str">
        <f>IF($Y152="","",IF($Y152&lt;=1997,INDEX('Deal maths'!$G$1:$G$2000,$Y152+3),INDEX('Deal maths'!$N$1:$N$2000,$Y152-1997+3)))</f>
        <v/>
      </c>
      <c r="G152" s="94" t="str">
        <f>IF($Y152="","",IF($Y152&lt;=1997,INDEX('Deal maths'!$E$1:$E$2000,$Y152+3),""))</f>
        <v/>
      </c>
      <c r="H152" s="94" t="str">
        <f>IF($Y152="","",IF($Y152&lt;=1997,INDEX('Deal maths'!$F$1:$F$2000,$Y152+3),""))</f>
        <v/>
      </c>
      <c r="I152" s="98" t="str">
        <f>IF($Y152="","",IF($Y152&lt;=1997,N(INDEX('Deal maths'!$F$1:$F$2000,$Y152+3))-AsAt,N(INDEX('Deal maths'!$O$1:$O$2000,$Y152-1997+3))))</f>
        <v/>
      </c>
      <c r="J152" s="99" t="str">
        <f>IF($Y152="","",IF($Y152&lt;=1997,INDEX('Term investments'!$J$1:$J$2000,$Y152+3),INDEX('Call accounts and MMFs'!$G$1:$G$2000,$Y152-1997+3))&amp;"")</f>
        <v/>
      </c>
      <c r="K152" s="92" t="str">
        <f>IF($Y152="","",N(E152)*N(F152))</f>
        <v/>
      </c>
      <c r="L152" s="100" t="str">
        <f>IF($Y152="","",IF($Y152&lt;=1997,"Term investments, row "&amp;($Y152+3),"Call accounts and MMFs, row "&amp;($Y152-1997+3)))</f>
        <v/>
      </c>
      <c r="Y152" t="str">
        <f>IFERROR(MATCH(SMALL('List maths'!$E$4:$E$3997,144),'List maths'!$E$4:$E$3997,0),"")</f>
        <v/>
      </c>
    </row>
    <row r="153">
      <c r="B153" s="91" t="str">
        <f>IF($Y153="","",IF($Y153&lt;=1997,INDEX('Term investments'!$B$1:$B$2000,$Y153+3),INDEX('Call accounts and MMFs'!$B$1:$B$2000,$Y153-1997+3))&amp;"")</f>
        <v/>
      </c>
      <c r="C153" s="91" t="str">
        <f>IF($Y153="","",IF($Y153&lt;=1997,INDEX('Term investments'!$A$1:$A$2000,$Y153+3),INDEX('Call accounts and MMFs'!$A$1:$A$2000,$Y153-1997+3))&amp;"")</f>
        <v/>
      </c>
      <c r="D153" s="91" t="str">
        <f>IF($Y153="","",IF($Y153&lt;=1997,INDEX('Term investments'!$C$1:$C$2000,$Y153+3),INDEX('Call accounts and MMFs'!$C$1:$C$2000,$Y153-1997+3))&amp;"")</f>
        <v/>
      </c>
      <c r="E153" s="92" t="str">
        <f>IF($Y153="","",IF($Y153&lt;=1997,IF(N(INDEX('Deal maths'!$H$1:$H$2000,$Y153+3))&gt;0,N(INDEX('Deal maths'!$H$1:$H$2000,$Y153+3)),N(INDEX('Deal maths'!$D$1:$D$2000,$Y153+3))),N(INDEX('Deal maths'!$M$1:$M$2000,$Y153-1997+3))))</f>
        <v/>
      </c>
      <c r="F153" s="93" t="str">
        <f>IF($Y153="","",IF($Y153&lt;=1997,INDEX('Deal maths'!$G$1:$G$2000,$Y153+3),INDEX('Deal maths'!$N$1:$N$2000,$Y153-1997+3)))</f>
        <v/>
      </c>
      <c r="G153" s="94" t="str">
        <f>IF($Y153="","",IF($Y153&lt;=1997,INDEX('Deal maths'!$E$1:$E$2000,$Y153+3),""))</f>
        <v/>
      </c>
      <c r="H153" s="94" t="str">
        <f>IF($Y153="","",IF($Y153&lt;=1997,INDEX('Deal maths'!$F$1:$F$2000,$Y153+3),""))</f>
        <v/>
      </c>
      <c r="I153" s="98" t="str">
        <f>IF($Y153="","",IF($Y153&lt;=1997,N(INDEX('Deal maths'!$F$1:$F$2000,$Y153+3))-AsAt,N(INDEX('Deal maths'!$O$1:$O$2000,$Y153-1997+3))))</f>
        <v/>
      </c>
      <c r="J153" s="99" t="str">
        <f>IF($Y153="","",IF($Y153&lt;=1997,INDEX('Term investments'!$J$1:$J$2000,$Y153+3),INDEX('Call accounts and MMFs'!$G$1:$G$2000,$Y153-1997+3))&amp;"")</f>
        <v/>
      </c>
      <c r="K153" s="92" t="str">
        <f>IF($Y153="","",N(E153)*N(F153))</f>
        <v/>
      </c>
      <c r="L153" s="100" t="str">
        <f>IF($Y153="","",IF($Y153&lt;=1997,"Term investments, row "&amp;($Y153+3),"Call accounts and MMFs, row "&amp;($Y153-1997+3)))</f>
        <v/>
      </c>
      <c r="Y153" t="str">
        <f>IFERROR(MATCH(SMALL('List maths'!$E$4:$E$3997,145),'List maths'!$E$4:$E$3997,0),"")</f>
        <v/>
      </c>
    </row>
    <row r="154">
      <c r="B154" s="91" t="str">
        <f>IF($Y154="","",IF($Y154&lt;=1997,INDEX('Term investments'!$B$1:$B$2000,$Y154+3),INDEX('Call accounts and MMFs'!$B$1:$B$2000,$Y154-1997+3))&amp;"")</f>
        <v/>
      </c>
      <c r="C154" s="91" t="str">
        <f>IF($Y154="","",IF($Y154&lt;=1997,INDEX('Term investments'!$A$1:$A$2000,$Y154+3),INDEX('Call accounts and MMFs'!$A$1:$A$2000,$Y154-1997+3))&amp;"")</f>
        <v/>
      </c>
      <c r="D154" s="91" t="str">
        <f>IF($Y154="","",IF($Y154&lt;=1997,INDEX('Term investments'!$C$1:$C$2000,$Y154+3),INDEX('Call accounts and MMFs'!$C$1:$C$2000,$Y154-1997+3))&amp;"")</f>
        <v/>
      </c>
      <c r="E154" s="92" t="str">
        <f>IF($Y154="","",IF($Y154&lt;=1997,IF(N(INDEX('Deal maths'!$H$1:$H$2000,$Y154+3))&gt;0,N(INDEX('Deal maths'!$H$1:$H$2000,$Y154+3)),N(INDEX('Deal maths'!$D$1:$D$2000,$Y154+3))),N(INDEX('Deal maths'!$M$1:$M$2000,$Y154-1997+3))))</f>
        <v/>
      </c>
      <c r="F154" s="93" t="str">
        <f>IF($Y154="","",IF($Y154&lt;=1997,INDEX('Deal maths'!$G$1:$G$2000,$Y154+3),INDEX('Deal maths'!$N$1:$N$2000,$Y154-1997+3)))</f>
        <v/>
      </c>
      <c r="G154" s="94" t="str">
        <f>IF($Y154="","",IF($Y154&lt;=1997,INDEX('Deal maths'!$E$1:$E$2000,$Y154+3),""))</f>
        <v/>
      </c>
      <c r="H154" s="94" t="str">
        <f>IF($Y154="","",IF($Y154&lt;=1997,INDEX('Deal maths'!$F$1:$F$2000,$Y154+3),""))</f>
        <v/>
      </c>
      <c r="I154" s="98" t="str">
        <f>IF($Y154="","",IF($Y154&lt;=1997,N(INDEX('Deal maths'!$F$1:$F$2000,$Y154+3))-AsAt,N(INDEX('Deal maths'!$O$1:$O$2000,$Y154-1997+3))))</f>
        <v/>
      </c>
      <c r="J154" s="99" t="str">
        <f>IF($Y154="","",IF($Y154&lt;=1997,INDEX('Term investments'!$J$1:$J$2000,$Y154+3),INDEX('Call accounts and MMFs'!$G$1:$G$2000,$Y154-1997+3))&amp;"")</f>
        <v/>
      </c>
      <c r="K154" s="92" t="str">
        <f>IF($Y154="","",N(E154)*N(F154))</f>
        <v/>
      </c>
      <c r="L154" s="100" t="str">
        <f>IF($Y154="","",IF($Y154&lt;=1997,"Term investments, row "&amp;($Y154+3),"Call accounts and MMFs, row "&amp;($Y154-1997+3)))</f>
        <v/>
      </c>
      <c r="Y154" t="str">
        <f>IFERROR(MATCH(SMALL('List maths'!$E$4:$E$3997,146),'List maths'!$E$4:$E$3997,0),"")</f>
        <v/>
      </c>
    </row>
    <row r="155">
      <c r="B155" s="91" t="str">
        <f>IF($Y155="","",IF($Y155&lt;=1997,INDEX('Term investments'!$B$1:$B$2000,$Y155+3),INDEX('Call accounts and MMFs'!$B$1:$B$2000,$Y155-1997+3))&amp;"")</f>
        <v/>
      </c>
      <c r="C155" s="91" t="str">
        <f>IF($Y155="","",IF($Y155&lt;=1997,INDEX('Term investments'!$A$1:$A$2000,$Y155+3),INDEX('Call accounts and MMFs'!$A$1:$A$2000,$Y155-1997+3))&amp;"")</f>
        <v/>
      </c>
      <c r="D155" s="91" t="str">
        <f>IF($Y155="","",IF($Y155&lt;=1997,INDEX('Term investments'!$C$1:$C$2000,$Y155+3),INDEX('Call accounts and MMFs'!$C$1:$C$2000,$Y155-1997+3))&amp;"")</f>
        <v/>
      </c>
      <c r="E155" s="92" t="str">
        <f>IF($Y155="","",IF($Y155&lt;=1997,IF(N(INDEX('Deal maths'!$H$1:$H$2000,$Y155+3))&gt;0,N(INDEX('Deal maths'!$H$1:$H$2000,$Y155+3)),N(INDEX('Deal maths'!$D$1:$D$2000,$Y155+3))),N(INDEX('Deal maths'!$M$1:$M$2000,$Y155-1997+3))))</f>
        <v/>
      </c>
      <c r="F155" s="93" t="str">
        <f>IF($Y155="","",IF($Y155&lt;=1997,INDEX('Deal maths'!$G$1:$G$2000,$Y155+3),INDEX('Deal maths'!$N$1:$N$2000,$Y155-1997+3)))</f>
        <v/>
      </c>
      <c r="G155" s="94" t="str">
        <f>IF($Y155="","",IF($Y155&lt;=1997,INDEX('Deal maths'!$E$1:$E$2000,$Y155+3),""))</f>
        <v/>
      </c>
      <c r="H155" s="94" t="str">
        <f>IF($Y155="","",IF($Y155&lt;=1997,INDEX('Deal maths'!$F$1:$F$2000,$Y155+3),""))</f>
        <v/>
      </c>
      <c r="I155" s="98" t="str">
        <f>IF($Y155="","",IF($Y155&lt;=1997,N(INDEX('Deal maths'!$F$1:$F$2000,$Y155+3))-AsAt,N(INDEX('Deal maths'!$O$1:$O$2000,$Y155-1997+3))))</f>
        <v/>
      </c>
      <c r="J155" s="99" t="str">
        <f>IF($Y155="","",IF($Y155&lt;=1997,INDEX('Term investments'!$J$1:$J$2000,$Y155+3),INDEX('Call accounts and MMFs'!$G$1:$G$2000,$Y155-1997+3))&amp;"")</f>
        <v/>
      </c>
      <c r="K155" s="92" t="str">
        <f>IF($Y155="","",N(E155)*N(F155))</f>
        <v/>
      </c>
      <c r="L155" s="100" t="str">
        <f>IF($Y155="","",IF($Y155&lt;=1997,"Term investments, row "&amp;($Y155+3),"Call accounts and MMFs, row "&amp;($Y155-1997+3)))</f>
        <v/>
      </c>
      <c r="Y155" t="str">
        <f>IFERROR(MATCH(SMALL('List maths'!$E$4:$E$3997,147),'List maths'!$E$4:$E$3997,0),"")</f>
        <v/>
      </c>
    </row>
    <row r="156">
      <c r="B156" s="91" t="str">
        <f>IF($Y156="","",IF($Y156&lt;=1997,INDEX('Term investments'!$B$1:$B$2000,$Y156+3),INDEX('Call accounts and MMFs'!$B$1:$B$2000,$Y156-1997+3))&amp;"")</f>
        <v/>
      </c>
      <c r="C156" s="91" t="str">
        <f>IF($Y156="","",IF($Y156&lt;=1997,INDEX('Term investments'!$A$1:$A$2000,$Y156+3),INDEX('Call accounts and MMFs'!$A$1:$A$2000,$Y156-1997+3))&amp;"")</f>
        <v/>
      </c>
      <c r="D156" s="91" t="str">
        <f>IF($Y156="","",IF($Y156&lt;=1997,INDEX('Term investments'!$C$1:$C$2000,$Y156+3),INDEX('Call accounts and MMFs'!$C$1:$C$2000,$Y156-1997+3))&amp;"")</f>
        <v/>
      </c>
      <c r="E156" s="92" t="str">
        <f>IF($Y156="","",IF($Y156&lt;=1997,IF(N(INDEX('Deal maths'!$H$1:$H$2000,$Y156+3))&gt;0,N(INDEX('Deal maths'!$H$1:$H$2000,$Y156+3)),N(INDEX('Deal maths'!$D$1:$D$2000,$Y156+3))),N(INDEX('Deal maths'!$M$1:$M$2000,$Y156-1997+3))))</f>
        <v/>
      </c>
      <c r="F156" s="93" t="str">
        <f>IF($Y156="","",IF($Y156&lt;=1997,INDEX('Deal maths'!$G$1:$G$2000,$Y156+3),INDEX('Deal maths'!$N$1:$N$2000,$Y156-1997+3)))</f>
        <v/>
      </c>
      <c r="G156" s="94" t="str">
        <f>IF($Y156="","",IF($Y156&lt;=1997,INDEX('Deal maths'!$E$1:$E$2000,$Y156+3),""))</f>
        <v/>
      </c>
      <c r="H156" s="94" t="str">
        <f>IF($Y156="","",IF($Y156&lt;=1997,INDEX('Deal maths'!$F$1:$F$2000,$Y156+3),""))</f>
        <v/>
      </c>
      <c r="I156" s="98" t="str">
        <f>IF($Y156="","",IF($Y156&lt;=1997,N(INDEX('Deal maths'!$F$1:$F$2000,$Y156+3))-AsAt,N(INDEX('Deal maths'!$O$1:$O$2000,$Y156-1997+3))))</f>
        <v/>
      </c>
      <c r="J156" s="99" t="str">
        <f>IF($Y156="","",IF($Y156&lt;=1997,INDEX('Term investments'!$J$1:$J$2000,$Y156+3),INDEX('Call accounts and MMFs'!$G$1:$G$2000,$Y156-1997+3))&amp;"")</f>
        <v/>
      </c>
      <c r="K156" s="92" t="str">
        <f>IF($Y156="","",N(E156)*N(F156))</f>
        <v/>
      </c>
      <c r="L156" s="100" t="str">
        <f>IF($Y156="","",IF($Y156&lt;=1997,"Term investments, row "&amp;($Y156+3),"Call accounts and MMFs, row "&amp;($Y156-1997+3)))</f>
        <v/>
      </c>
      <c r="Y156" t="str">
        <f>IFERROR(MATCH(SMALL('List maths'!$E$4:$E$3997,148),'List maths'!$E$4:$E$3997,0),"")</f>
        <v/>
      </c>
    </row>
    <row r="157">
      <c r="B157" s="91" t="str">
        <f>IF($Y157="","",IF($Y157&lt;=1997,INDEX('Term investments'!$B$1:$B$2000,$Y157+3),INDEX('Call accounts and MMFs'!$B$1:$B$2000,$Y157-1997+3))&amp;"")</f>
        <v/>
      </c>
      <c r="C157" s="91" t="str">
        <f>IF($Y157="","",IF($Y157&lt;=1997,INDEX('Term investments'!$A$1:$A$2000,$Y157+3),INDEX('Call accounts and MMFs'!$A$1:$A$2000,$Y157-1997+3))&amp;"")</f>
        <v/>
      </c>
      <c r="D157" s="91" t="str">
        <f>IF($Y157="","",IF($Y157&lt;=1997,INDEX('Term investments'!$C$1:$C$2000,$Y157+3),INDEX('Call accounts and MMFs'!$C$1:$C$2000,$Y157-1997+3))&amp;"")</f>
        <v/>
      </c>
      <c r="E157" s="92" t="str">
        <f>IF($Y157="","",IF($Y157&lt;=1997,IF(N(INDEX('Deal maths'!$H$1:$H$2000,$Y157+3))&gt;0,N(INDEX('Deal maths'!$H$1:$H$2000,$Y157+3)),N(INDEX('Deal maths'!$D$1:$D$2000,$Y157+3))),N(INDEX('Deal maths'!$M$1:$M$2000,$Y157-1997+3))))</f>
        <v/>
      </c>
      <c r="F157" s="93" t="str">
        <f>IF($Y157="","",IF($Y157&lt;=1997,INDEX('Deal maths'!$G$1:$G$2000,$Y157+3),INDEX('Deal maths'!$N$1:$N$2000,$Y157-1997+3)))</f>
        <v/>
      </c>
      <c r="G157" s="94" t="str">
        <f>IF($Y157="","",IF($Y157&lt;=1997,INDEX('Deal maths'!$E$1:$E$2000,$Y157+3),""))</f>
        <v/>
      </c>
      <c r="H157" s="94" t="str">
        <f>IF($Y157="","",IF($Y157&lt;=1997,INDEX('Deal maths'!$F$1:$F$2000,$Y157+3),""))</f>
        <v/>
      </c>
      <c r="I157" s="98" t="str">
        <f>IF($Y157="","",IF($Y157&lt;=1997,N(INDEX('Deal maths'!$F$1:$F$2000,$Y157+3))-AsAt,N(INDEX('Deal maths'!$O$1:$O$2000,$Y157-1997+3))))</f>
        <v/>
      </c>
      <c r="J157" s="99" t="str">
        <f>IF($Y157="","",IF($Y157&lt;=1997,INDEX('Term investments'!$J$1:$J$2000,$Y157+3),INDEX('Call accounts and MMFs'!$G$1:$G$2000,$Y157-1997+3))&amp;"")</f>
        <v/>
      </c>
      <c r="K157" s="92" t="str">
        <f>IF($Y157="","",N(E157)*N(F157))</f>
        <v/>
      </c>
      <c r="L157" s="100" t="str">
        <f>IF($Y157="","",IF($Y157&lt;=1997,"Term investments, row "&amp;($Y157+3),"Call accounts and MMFs, row "&amp;($Y157-1997+3)))</f>
        <v/>
      </c>
      <c r="Y157" t="str">
        <f>IFERROR(MATCH(SMALL('List maths'!$E$4:$E$3997,149),'List maths'!$E$4:$E$3997,0),"")</f>
        <v/>
      </c>
    </row>
    <row r="158">
      <c r="B158" s="91" t="str">
        <f>IF($Y158="","",IF($Y158&lt;=1997,INDEX('Term investments'!$B$1:$B$2000,$Y158+3),INDEX('Call accounts and MMFs'!$B$1:$B$2000,$Y158-1997+3))&amp;"")</f>
        <v/>
      </c>
      <c r="C158" s="91" t="str">
        <f>IF($Y158="","",IF($Y158&lt;=1997,INDEX('Term investments'!$A$1:$A$2000,$Y158+3),INDEX('Call accounts and MMFs'!$A$1:$A$2000,$Y158-1997+3))&amp;"")</f>
        <v/>
      </c>
      <c r="D158" s="91" t="str">
        <f>IF($Y158="","",IF($Y158&lt;=1997,INDEX('Term investments'!$C$1:$C$2000,$Y158+3),INDEX('Call accounts and MMFs'!$C$1:$C$2000,$Y158-1997+3))&amp;"")</f>
        <v/>
      </c>
      <c r="E158" s="92" t="str">
        <f>IF($Y158="","",IF($Y158&lt;=1997,IF(N(INDEX('Deal maths'!$H$1:$H$2000,$Y158+3))&gt;0,N(INDEX('Deal maths'!$H$1:$H$2000,$Y158+3)),N(INDEX('Deal maths'!$D$1:$D$2000,$Y158+3))),N(INDEX('Deal maths'!$M$1:$M$2000,$Y158-1997+3))))</f>
        <v/>
      </c>
      <c r="F158" s="93" t="str">
        <f>IF($Y158="","",IF($Y158&lt;=1997,INDEX('Deal maths'!$G$1:$G$2000,$Y158+3),INDEX('Deal maths'!$N$1:$N$2000,$Y158-1997+3)))</f>
        <v/>
      </c>
      <c r="G158" s="94" t="str">
        <f>IF($Y158="","",IF($Y158&lt;=1997,INDEX('Deal maths'!$E$1:$E$2000,$Y158+3),""))</f>
        <v/>
      </c>
      <c r="H158" s="94" t="str">
        <f>IF($Y158="","",IF($Y158&lt;=1997,INDEX('Deal maths'!$F$1:$F$2000,$Y158+3),""))</f>
        <v/>
      </c>
      <c r="I158" s="98" t="str">
        <f>IF($Y158="","",IF($Y158&lt;=1997,N(INDEX('Deal maths'!$F$1:$F$2000,$Y158+3))-AsAt,N(INDEX('Deal maths'!$O$1:$O$2000,$Y158-1997+3))))</f>
        <v/>
      </c>
      <c r="J158" s="99" t="str">
        <f>IF($Y158="","",IF($Y158&lt;=1997,INDEX('Term investments'!$J$1:$J$2000,$Y158+3),INDEX('Call accounts and MMFs'!$G$1:$G$2000,$Y158-1997+3))&amp;"")</f>
        <v/>
      </c>
      <c r="K158" s="92" t="str">
        <f>IF($Y158="","",N(E158)*N(F158))</f>
        <v/>
      </c>
      <c r="L158" s="100" t="str">
        <f>IF($Y158="","",IF($Y158&lt;=1997,"Term investments, row "&amp;($Y158+3),"Call accounts and MMFs, row "&amp;($Y158-1997+3)))</f>
        <v/>
      </c>
      <c r="Y158" t="str">
        <f>IFERROR(MATCH(SMALL('List maths'!$E$4:$E$3997,150),'List maths'!$E$4:$E$3997,0),"")</f>
        <v/>
      </c>
    </row>
    <row r="159">
      <c r="B159" s="91" t="str">
        <f>IF($Y159="","",IF($Y159&lt;=1997,INDEX('Term investments'!$B$1:$B$2000,$Y159+3),INDEX('Call accounts and MMFs'!$B$1:$B$2000,$Y159-1997+3))&amp;"")</f>
        <v/>
      </c>
      <c r="C159" s="91" t="str">
        <f>IF($Y159="","",IF($Y159&lt;=1997,INDEX('Term investments'!$A$1:$A$2000,$Y159+3),INDEX('Call accounts and MMFs'!$A$1:$A$2000,$Y159-1997+3))&amp;"")</f>
        <v/>
      </c>
      <c r="D159" s="91" t="str">
        <f>IF($Y159="","",IF($Y159&lt;=1997,INDEX('Term investments'!$C$1:$C$2000,$Y159+3),INDEX('Call accounts and MMFs'!$C$1:$C$2000,$Y159-1997+3))&amp;"")</f>
        <v/>
      </c>
      <c r="E159" s="92" t="str">
        <f>IF($Y159="","",IF($Y159&lt;=1997,IF(N(INDEX('Deal maths'!$H$1:$H$2000,$Y159+3))&gt;0,N(INDEX('Deal maths'!$H$1:$H$2000,$Y159+3)),N(INDEX('Deal maths'!$D$1:$D$2000,$Y159+3))),N(INDEX('Deal maths'!$M$1:$M$2000,$Y159-1997+3))))</f>
        <v/>
      </c>
      <c r="F159" s="93" t="str">
        <f>IF($Y159="","",IF($Y159&lt;=1997,INDEX('Deal maths'!$G$1:$G$2000,$Y159+3),INDEX('Deal maths'!$N$1:$N$2000,$Y159-1997+3)))</f>
        <v/>
      </c>
      <c r="G159" s="94" t="str">
        <f>IF($Y159="","",IF($Y159&lt;=1997,INDEX('Deal maths'!$E$1:$E$2000,$Y159+3),""))</f>
        <v/>
      </c>
      <c r="H159" s="94" t="str">
        <f>IF($Y159="","",IF($Y159&lt;=1997,INDEX('Deal maths'!$F$1:$F$2000,$Y159+3),""))</f>
        <v/>
      </c>
      <c r="I159" s="98" t="str">
        <f>IF($Y159="","",IF($Y159&lt;=1997,N(INDEX('Deal maths'!$F$1:$F$2000,$Y159+3))-AsAt,N(INDEX('Deal maths'!$O$1:$O$2000,$Y159-1997+3))))</f>
        <v/>
      </c>
      <c r="J159" s="99" t="str">
        <f>IF($Y159="","",IF($Y159&lt;=1997,INDEX('Term investments'!$J$1:$J$2000,$Y159+3),INDEX('Call accounts and MMFs'!$G$1:$G$2000,$Y159-1997+3))&amp;"")</f>
        <v/>
      </c>
      <c r="K159" s="92" t="str">
        <f>IF($Y159="","",N(E159)*N(F159))</f>
        <v/>
      </c>
      <c r="L159" s="100" t="str">
        <f>IF($Y159="","",IF($Y159&lt;=1997,"Term investments, row "&amp;($Y159+3),"Call accounts and MMFs, row "&amp;($Y159-1997+3)))</f>
        <v/>
      </c>
      <c r="Y159" t="str">
        <f>IFERROR(MATCH(SMALL('List maths'!$E$4:$E$3997,151),'List maths'!$E$4:$E$3997,0),"")</f>
        <v/>
      </c>
    </row>
    <row r="160">
      <c r="B160" s="91" t="str">
        <f>IF($Y160="","",IF($Y160&lt;=1997,INDEX('Term investments'!$B$1:$B$2000,$Y160+3),INDEX('Call accounts and MMFs'!$B$1:$B$2000,$Y160-1997+3))&amp;"")</f>
        <v/>
      </c>
      <c r="C160" s="91" t="str">
        <f>IF($Y160="","",IF($Y160&lt;=1997,INDEX('Term investments'!$A$1:$A$2000,$Y160+3),INDEX('Call accounts and MMFs'!$A$1:$A$2000,$Y160-1997+3))&amp;"")</f>
        <v/>
      </c>
      <c r="D160" s="91" t="str">
        <f>IF($Y160="","",IF($Y160&lt;=1997,INDEX('Term investments'!$C$1:$C$2000,$Y160+3),INDEX('Call accounts and MMFs'!$C$1:$C$2000,$Y160-1997+3))&amp;"")</f>
        <v/>
      </c>
      <c r="E160" s="92" t="str">
        <f>IF($Y160="","",IF($Y160&lt;=1997,IF(N(INDEX('Deal maths'!$H$1:$H$2000,$Y160+3))&gt;0,N(INDEX('Deal maths'!$H$1:$H$2000,$Y160+3)),N(INDEX('Deal maths'!$D$1:$D$2000,$Y160+3))),N(INDEX('Deal maths'!$M$1:$M$2000,$Y160-1997+3))))</f>
        <v/>
      </c>
      <c r="F160" s="93" t="str">
        <f>IF($Y160="","",IF($Y160&lt;=1997,INDEX('Deal maths'!$G$1:$G$2000,$Y160+3),INDEX('Deal maths'!$N$1:$N$2000,$Y160-1997+3)))</f>
        <v/>
      </c>
      <c r="G160" s="94" t="str">
        <f>IF($Y160="","",IF($Y160&lt;=1997,INDEX('Deal maths'!$E$1:$E$2000,$Y160+3),""))</f>
        <v/>
      </c>
      <c r="H160" s="94" t="str">
        <f>IF($Y160="","",IF($Y160&lt;=1997,INDEX('Deal maths'!$F$1:$F$2000,$Y160+3),""))</f>
        <v/>
      </c>
      <c r="I160" s="98" t="str">
        <f>IF($Y160="","",IF($Y160&lt;=1997,N(INDEX('Deal maths'!$F$1:$F$2000,$Y160+3))-AsAt,N(INDEX('Deal maths'!$O$1:$O$2000,$Y160-1997+3))))</f>
        <v/>
      </c>
      <c r="J160" s="99" t="str">
        <f>IF($Y160="","",IF($Y160&lt;=1997,INDEX('Term investments'!$J$1:$J$2000,$Y160+3),INDEX('Call accounts and MMFs'!$G$1:$G$2000,$Y160-1997+3))&amp;"")</f>
        <v/>
      </c>
      <c r="K160" s="92" t="str">
        <f>IF($Y160="","",N(E160)*N(F160))</f>
        <v/>
      </c>
      <c r="L160" s="100" t="str">
        <f>IF($Y160="","",IF($Y160&lt;=1997,"Term investments, row "&amp;($Y160+3),"Call accounts and MMFs, row "&amp;($Y160-1997+3)))</f>
        <v/>
      </c>
      <c r="Y160" t="str">
        <f>IFERROR(MATCH(SMALL('List maths'!$E$4:$E$3997,152),'List maths'!$E$4:$E$3997,0),"")</f>
        <v/>
      </c>
    </row>
    <row r="161">
      <c r="B161" s="91" t="str">
        <f>IF($Y161="","",IF($Y161&lt;=1997,INDEX('Term investments'!$B$1:$B$2000,$Y161+3),INDEX('Call accounts and MMFs'!$B$1:$B$2000,$Y161-1997+3))&amp;"")</f>
        <v/>
      </c>
      <c r="C161" s="91" t="str">
        <f>IF($Y161="","",IF($Y161&lt;=1997,INDEX('Term investments'!$A$1:$A$2000,$Y161+3),INDEX('Call accounts and MMFs'!$A$1:$A$2000,$Y161-1997+3))&amp;"")</f>
        <v/>
      </c>
      <c r="D161" s="91" t="str">
        <f>IF($Y161="","",IF($Y161&lt;=1997,INDEX('Term investments'!$C$1:$C$2000,$Y161+3),INDEX('Call accounts and MMFs'!$C$1:$C$2000,$Y161-1997+3))&amp;"")</f>
        <v/>
      </c>
      <c r="E161" s="92" t="str">
        <f>IF($Y161="","",IF($Y161&lt;=1997,IF(N(INDEX('Deal maths'!$H$1:$H$2000,$Y161+3))&gt;0,N(INDEX('Deal maths'!$H$1:$H$2000,$Y161+3)),N(INDEX('Deal maths'!$D$1:$D$2000,$Y161+3))),N(INDEX('Deal maths'!$M$1:$M$2000,$Y161-1997+3))))</f>
        <v/>
      </c>
      <c r="F161" s="93" t="str">
        <f>IF($Y161="","",IF($Y161&lt;=1997,INDEX('Deal maths'!$G$1:$G$2000,$Y161+3),INDEX('Deal maths'!$N$1:$N$2000,$Y161-1997+3)))</f>
        <v/>
      </c>
      <c r="G161" s="94" t="str">
        <f>IF($Y161="","",IF($Y161&lt;=1997,INDEX('Deal maths'!$E$1:$E$2000,$Y161+3),""))</f>
        <v/>
      </c>
      <c r="H161" s="94" t="str">
        <f>IF($Y161="","",IF($Y161&lt;=1997,INDEX('Deal maths'!$F$1:$F$2000,$Y161+3),""))</f>
        <v/>
      </c>
      <c r="I161" s="98" t="str">
        <f>IF($Y161="","",IF($Y161&lt;=1997,N(INDEX('Deal maths'!$F$1:$F$2000,$Y161+3))-AsAt,N(INDEX('Deal maths'!$O$1:$O$2000,$Y161-1997+3))))</f>
        <v/>
      </c>
      <c r="J161" s="99" t="str">
        <f>IF($Y161="","",IF($Y161&lt;=1997,INDEX('Term investments'!$J$1:$J$2000,$Y161+3),INDEX('Call accounts and MMFs'!$G$1:$G$2000,$Y161-1997+3))&amp;"")</f>
        <v/>
      </c>
      <c r="K161" s="92" t="str">
        <f>IF($Y161="","",N(E161)*N(F161))</f>
        <v/>
      </c>
      <c r="L161" s="100" t="str">
        <f>IF($Y161="","",IF($Y161&lt;=1997,"Term investments, row "&amp;($Y161+3),"Call accounts and MMFs, row "&amp;($Y161-1997+3)))</f>
        <v/>
      </c>
      <c r="Y161" t="str">
        <f>IFERROR(MATCH(SMALL('List maths'!$E$4:$E$3997,153),'List maths'!$E$4:$E$3997,0),"")</f>
        <v/>
      </c>
    </row>
    <row r="162">
      <c r="B162" s="91" t="str">
        <f>IF($Y162="","",IF($Y162&lt;=1997,INDEX('Term investments'!$B$1:$B$2000,$Y162+3),INDEX('Call accounts and MMFs'!$B$1:$B$2000,$Y162-1997+3))&amp;"")</f>
        <v/>
      </c>
      <c r="C162" s="91" t="str">
        <f>IF($Y162="","",IF($Y162&lt;=1997,INDEX('Term investments'!$A$1:$A$2000,$Y162+3),INDEX('Call accounts and MMFs'!$A$1:$A$2000,$Y162-1997+3))&amp;"")</f>
        <v/>
      </c>
      <c r="D162" s="91" t="str">
        <f>IF($Y162="","",IF($Y162&lt;=1997,INDEX('Term investments'!$C$1:$C$2000,$Y162+3),INDEX('Call accounts and MMFs'!$C$1:$C$2000,$Y162-1997+3))&amp;"")</f>
        <v/>
      </c>
      <c r="E162" s="92" t="str">
        <f>IF($Y162="","",IF($Y162&lt;=1997,IF(N(INDEX('Deal maths'!$H$1:$H$2000,$Y162+3))&gt;0,N(INDEX('Deal maths'!$H$1:$H$2000,$Y162+3)),N(INDEX('Deal maths'!$D$1:$D$2000,$Y162+3))),N(INDEX('Deal maths'!$M$1:$M$2000,$Y162-1997+3))))</f>
        <v/>
      </c>
      <c r="F162" s="93" t="str">
        <f>IF($Y162="","",IF($Y162&lt;=1997,INDEX('Deal maths'!$G$1:$G$2000,$Y162+3),INDEX('Deal maths'!$N$1:$N$2000,$Y162-1997+3)))</f>
        <v/>
      </c>
      <c r="G162" s="94" t="str">
        <f>IF($Y162="","",IF($Y162&lt;=1997,INDEX('Deal maths'!$E$1:$E$2000,$Y162+3),""))</f>
        <v/>
      </c>
      <c r="H162" s="94" t="str">
        <f>IF($Y162="","",IF($Y162&lt;=1997,INDEX('Deal maths'!$F$1:$F$2000,$Y162+3),""))</f>
        <v/>
      </c>
      <c r="I162" s="98" t="str">
        <f>IF($Y162="","",IF($Y162&lt;=1997,N(INDEX('Deal maths'!$F$1:$F$2000,$Y162+3))-AsAt,N(INDEX('Deal maths'!$O$1:$O$2000,$Y162-1997+3))))</f>
        <v/>
      </c>
      <c r="J162" s="99" t="str">
        <f>IF($Y162="","",IF($Y162&lt;=1997,INDEX('Term investments'!$J$1:$J$2000,$Y162+3),INDEX('Call accounts and MMFs'!$G$1:$G$2000,$Y162-1997+3))&amp;"")</f>
        <v/>
      </c>
      <c r="K162" s="92" t="str">
        <f>IF($Y162="","",N(E162)*N(F162))</f>
        <v/>
      </c>
      <c r="L162" s="100" t="str">
        <f>IF($Y162="","",IF($Y162&lt;=1997,"Term investments, row "&amp;($Y162+3),"Call accounts and MMFs, row "&amp;($Y162-1997+3)))</f>
        <v/>
      </c>
      <c r="Y162" t="str">
        <f>IFERROR(MATCH(SMALL('List maths'!$E$4:$E$3997,154),'List maths'!$E$4:$E$3997,0),"")</f>
        <v/>
      </c>
    </row>
    <row r="163">
      <c r="B163" s="91" t="str">
        <f>IF($Y163="","",IF($Y163&lt;=1997,INDEX('Term investments'!$B$1:$B$2000,$Y163+3),INDEX('Call accounts and MMFs'!$B$1:$B$2000,$Y163-1997+3))&amp;"")</f>
        <v/>
      </c>
      <c r="C163" s="91" t="str">
        <f>IF($Y163="","",IF($Y163&lt;=1997,INDEX('Term investments'!$A$1:$A$2000,$Y163+3),INDEX('Call accounts and MMFs'!$A$1:$A$2000,$Y163-1997+3))&amp;"")</f>
        <v/>
      </c>
      <c r="D163" s="91" t="str">
        <f>IF($Y163="","",IF($Y163&lt;=1997,INDEX('Term investments'!$C$1:$C$2000,$Y163+3),INDEX('Call accounts and MMFs'!$C$1:$C$2000,$Y163-1997+3))&amp;"")</f>
        <v/>
      </c>
      <c r="E163" s="92" t="str">
        <f>IF($Y163="","",IF($Y163&lt;=1997,IF(N(INDEX('Deal maths'!$H$1:$H$2000,$Y163+3))&gt;0,N(INDEX('Deal maths'!$H$1:$H$2000,$Y163+3)),N(INDEX('Deal maths'!$D$1:$D$2000,$Y163+3))),N(INDEX('Deal maths'!$M$1:$M$2000,$Y163-1997+3))))</f>
        <v/>
      </c>
      <c r="F163" s="93" t="str">
        <f>IF($Y163="","",IF($Y163&lt;=1997,INDEX('Deal maths'!$G$1:$G$2000,$Y163+3),INDEX('Deal maths'!$N$1:$N$2000,$Y163-1997+3)))</f>
        <v/>
      </c>
      <c r="G163" s="94" t="str">
        <f>IF($Y163="","",IF($Y163&lt;=1997,INDEX('Deal maths'!$E$1:$E$2000,$Y163+3),""))</f>
        <v/>
      </c>
      <c r="H163" s="94" t="str">
        <f>IF($Y163="","",IF($Y163&lt;=1997,INDEX('Deal maths'!$F$1:$F$2000,$Y163+3),""))</f>
        <v/>
      </c>
      <c r="I163" s="98" t="str">
        <f>IF($Y163="","",IF($Y163&lt;=1997,N(INDEX('Deal maths'!$F$1:$F$2000,$Y163+3))-AsAt,N(INDEX('Deal maths'!$O$1:$O$2000,$Y163-1997+3))))</f>
        <v/>
      </c>
      <c r="J163" s="99" t="str">
        <f>IF($Y163="","",IF($Y163&lt;=1997,INDEX('Term investments'!$J$1:$J$2000,$Y163+3),INDEX('Call accounts and MMFs'!$G$1:$G$2000,$Y163-1997+3))&amp;"")</f>
        <v/>
      </c>
      <c r="K163" s="92" t="str">
        <f>IF($Y163="","",N(E163)*N(F163))</f>
        <v/>
      </c>
      <c r="L163" s="100" t="str">
        <f>IF($Y163="","",IF($Y163&lt;=1997,"Term investments, row "&amp;($Y163+3),"Call accounts and MMFs, row "&amp;($Y163-1997+3)))</f>
        <v/>
      </c>
      <c r="Y163" t="str">
        <f>IFERROR(MATCH(SMALL('List maths'!$E$4:$E$3997,155),'List maths'!$E$4:$E$3997,0),"")</f>
        <v/>
      </c>
    </row>
    <row r="164">
      <c r="B164" s="91" t="str">
        <f>IF($Y164="","",IF($Y164&lt;=1997,INDEX('Term investments'!$B$1:$B$2000,$Y164+3),INDEX('Call accounts and MMFs'!$B$1:$B$2000,$Y164-1997+3))&amp;"")</f>
        <v/>
      </c>
      <c r="C164" s="91" t="str">
        <f>IF($Y164="","",IF($Y164&lt;=1997,INDEX('Term investments'!$A$1:$A$2000,$Y164+3),INDEX('Call accounts and MMFs'!$A$1:$A$2000,$Y164-1997+3))&amp;"")</f>
        <v/>
      </c>
      <c r="D164" s="91" t="str">
        <f>IF($Y164="","",IF($Y164&lt;=1997,INDEX('Term investments'!$C$1:$C$2000,$Y164+3),INDEX('Call accounts and MMFs'!$C$1:$C$2000,$Y164-1997+3))&amp;"")</f>
        <v/>
      </c>
      <c r="E164" s="92" t="str">
        <f>IF($Y164="","",IF($Y164&lt;=1997,IF(N(INDEX('Deal maths'!$H$1:$H$2000,$Y164+3))&gt;0,N(INDEX('Deal maths'!$H$1:$H$2000,$Y164+3)),N(INDEX('Deal maths'!$D$1:$D$2000,$Y164+3))),N(INDEX('Deal maths'!$M$1:$M$2000,$Y164-1997+3))))</f>
        <v/>
      </c>
      <c r="F164" s="93" t="str">
        <f>IF($Y164="","",IF($Y164&lt;=1997,INDEX('Deal maths'!$G$1:$G$2000,$Y164+3),INDEX('Deal maths'!$N$1:$N$2000,$Y164-1997+3)))</f>
        <v/>
      </c>
      <c r="G164" s="94" t="str">
        <f>IF($Y164="","",IF($Y164&lt;=1997,INDEX('Deal maths'!$E$1:$E$2000,$Y164+3),""))</f>
        <v/>
      </c>
      <c r="H164" s="94" t="str">
        <f>IF($Y164="","",IF($Y164&lt;=1997,INDEX('Deal maths'!$F$1:$F$2000,$Y164+3),""))</f>
        <v/>
      </c>
      <c r="I164" s="98" t="str">
        <f>IF($Y164="","",IF($Y164&lt;=1997,N(INDEX('Deal maths'!$F$1:$F$2000,$Y164+3))-AsAt,N(INDEX('Deal maths'!$O$1:$O$2000,$Y164-1997+3))))</f>
        <v/>
      </c>
      <c r="J164" s="99" t="str">
        <f>IF($Y164="","",IF($Y164&lt;=1997,INDEX('Term investments'!$J$1:$J$2000,$Y164+3),INDEX('Call accounts and MMFs'!$G$1:$G$2000,$Y164-1997+3))&amp;"")</f>
        <v/>
      </c>
      <c r="K164" s="92" t="str">
        <f>IF($Y164="","",N(E164)*N(F164))</f>
        <v/>
      </c>
      <c r="L164" s="100" t="str">
        <f>IF($Y164="","",IF($Y164&lt;=1997,"Term investments, row "&amp;($Y164+3),"Call accounts and MMFs, row "&amp;($Y164-1997+3)))</f>
        <v/>
      </c>
      <c r="Y164" t="str">
        <f>IFERROR(MATCH(SMALL('List maths'!$E$4:$E$3997,156),'List maths'!$E$4:$E$3997,0),"")</f>
        <v/>
      </c>
    </row>
    <row r="165">
      <c r="B165" s="91" t="str">
        <f>IF($Y165="","",IF($Y165&lt;=1997,INDEX('Term investments'!$B$1:$B$2000,$Y165+3),INDEX('Call accounts and MMFs'!$B$1:$B$2000,$Y165-1997+3))&amp;"")</f>
        <v/>
      </c>
      <c r="C165" s="91" t="str">
        <f>IF($Y165="","",IF($Y165&lt;=1997,INDEX('Term investments'!$A$1:$A$2000,$Y165+3),INDEX('Call accounts and MMFs'!$A$1:$A$2000,$Y165-1997+3))&amp;"")</f>
        <v/>
      </c>
      <c r="D165" s="91" t="str">
        <f>IF($Y165="","",IF($Y165&lt;=1997,INDEX('Term investments'!$C$1:$C$2000,$Y165+3),INDEX('Call accounts and MMFs'!$C$1:$C$2000,$Y165-1997+3))&amp;"")</f>
        <v/>
      </c>
      <c r="E165" s="92" t="str">
        <f>IF($Y165="","",IF($Y165&lt;=1997,IF(N(INDEX('Deal maths'!$H$1:$H$2000,$Y165+3))&gt;0,N(INDEX('Deal maths'!$H$1:$H$2000,$Y165+3)),N(INDEX('Deal maths'!$D$1:$D$2000,$Y165+3))),N(INDEX('Deal maths'!$M$1:$M$2000,$Y165-1997+3))))</f>
        <v/>
      </c>
      <c r="F165" s="93" t="str">
        <f>IF($Y165="","",IF($Y165&lt;=1997,INDEX('Deal maths'!$G$1:$G$2000,$Y165+3),INDEX('Deal maths'!$N$1:$N$2000,$Y165-1997+3)))</f>
        <v/>
      </c>
      <c r="G165" s="94" t="str">
        <f>IF($Y165="","",IF($Y165&lt;=1997,INDEX('Deal maths'!$E$1:$E$2000,$Y165+3),""))</f>
        <v/>
      </c>
      <c r="H165" s="94" t="str">
        <f>IF($Y165="","",IF($Y165&lt;=1997,INDEX('Deal maths'!$F$1:$F$2000,$Y165+3),""))</f>
        <v/>
      </c>
      <c r="I165" s="98" t="str">
        <f>IF($Y165="","",IF($Y165&lt;=1997,N(INDEX('Deal maths'!$F$1:$F$2000,$Y165+3))-AsAt,N(INDEX('Deal maths'!$O$1:$O$2000,$Y165-1997+3))))</f>
        <v/>
      </c>
      <c r="J165" s="99" t="str">
        <f>IF($Y165="","",IF($Y165&lt;=1997,INDEX('Term investments'!$J$1:$J$2000,$Y165+3),INDEX('Call accounts and MMFs'!$G$1:$G$2000,$Y165-1997+3))&amp;"")</f>
        <v/>
      </c>
      <c r="K165" s="92" t="str">
        <f>IF($Y165="","",N(E165)*N(F165))</f>
        <v/>
      </c>
      <c r="L165" s="100" t="str">
        <f>IF($Y165="","",IF($Y165&lt;=1997,"Term investments, row "&amp;($Y165+3),"Call accounts and MMFs, row "&amp;($Y165-1997+3)))</f>
        <v/>
      </c>
      <c r="Y165" t="str">
        <f>IFERROR(MATCH(SMALL('List maths'!$E$4:$E$3997,157),'List maths'!$E$4:$E$3997,0),"")</f>
        <v/>
      </c>
    </row>
    <row r="166">
      <c r="B166" s="91" t="str">
        <f>IF($Y166="","",IF($Y166&lt;=1997,INDEX('Term investments'!$B$1:$B$2000,$Y166+3),INDEX('Call accounts and MMFs'!$B$1:$B$2000,$Y166-1997+3))&amp;"")</f>
        <v/>
      </c>
      <c r="C166" s="91" t="str">
        <f>IF($Y166="","",IF($Y166&lt;=1997,INDEX('Term investments'!$A$1:$A$2000,$Y166+3),INDEX('Call accounts and MMFs'!$A$1:$A$2000,$Y166-1997+3))&amp;"")</f>
        <v/>
      </c>
      <c r="D166" s="91" t="str">
        <f>IF($Y166="","",IF($Y166&lt;=1997,INDEX('Term investments'!$C$1:$C$2000,$Y166+3),INDEX('Call accounts and MMFs'!$C$1:$C$2000,$Y166-1997+3))&amp;"")</f>
        <v/>
      </c>
      <c r="E166" s="92" t="str">
        <f>IF($Y166="","",IF($Y166&lt;=1997,IF(N(INDEX('Deal maths'!$H$1:$H$2000,$Y166+3))&gt;0,N(INDEX('Deal maths'!$H$1:$H$2000,$Y166+3)),N(INDEX('Deal maths'!$D$1:$D$2000,$Y166+3))),N(INDEX('Deal maths'!$M$1:$M$2000,$Y166-1997+3))))</f>
        <v/>
      </c>
      <c r="F166" s="93" t="str">
        <f>IF($Y166="","",IF($Y166&lt;=1997,INDEX('Deal maths'!$G$1:$G$2000,$Y166+3),INDEX('Deal maths'!$N$1:$N$2000,$Y166-1997+3)))</f>
        <v/>
      </c>
      <c r="G166" s="94" t="str">
        <f>IF($Y166="","",IF($Y166&lt;=1997,INDEX('Deal maths'!$E$1:$E$2000,$Y166+3),""))</f>
        <v/>
      </c>
      <c r="H166" s="94" t="str">
        <f>IF($Y166="","",IF($Y166&lt;=1997,INDEX('Deal maths'!$F$1:$F$2000,$Y166+3),""))</f>
        <v/>
      </c>
      <c r="I166" s="98" t="str">
        <f>IF($Y166="","",IF($Y166&lt;=1997,N(INDEX('Deal maths'!$F$1:$F$2000,$Y166+3))-AsAt,N(INDEX('Deal maths'!$O$1:$O$2000,$Y166-1997+3))))</f>
        <v/>
      </c>
      <c r="J166" s="99" t="str">
        <f>IF($Y166="","",IF($Y166&lt;=1997,INDEX('Term investments'!$J$1:$J$2000,$Y166+3),INDEX('Call accounts and MMFs'!$G$1:$G$2000,$Y166-1997+3))&amp;"")</f>
        <v/>
      </c>
      <c r="K166" s="92" t="str">
        <f>IF($Y166="","",N(E166)*N(F166))</f>
        <v/>
      </c>
      <c r="L166" s="100" t="str">
        <f>IF($Y166="","",IF($Y166&lt;=1997,"Term investments, row "&amp;($Y166+3),"Call accounts and MMFs, row "&amp;($Y166-1997+3)))</f>
        <v/>
      </c>
      <c r="Y166" t="str">
        <f>IFERROR(MATCH(SMALL('List maths'!$E$4:$E$3997,158),'List maths'!$E$4:$E$3997,0),"")</f>
        <v/>
      </c>
    </row>
    <row r="167">
      <c r="B167" s="91" t="str">
        <f>IF($Y167="","",IF($Y167&lt;=1997,INDEX('Term investments'!$B$1:$B$2000,$Y167+3),INDEX('Call accounts and MMFs'!$B$1:$B$2000,$Y167-1997+3))&amp;"")</f>
        <v/>
      </c>
      <c r="C167" s="91" t="str">
        <f>IF($Y167="","",IF($Y167&lt;=1997,INDEX('Term investments'!$A$1:$A$2000,$Y167+3),INDEX('Call accounts and MMFs'!$A$1:$A$2000,$Y167-1997+3))&amp;"")</f>
        <v/>
      </c>
      <c r="D167" s="91" t="str">
        <f>IF($Y167="","",IF($Y167&lt;=1997,INDEX('Term investments'!$C$1:$C$2000,$Y167+3),INDEX('Call accounts and MMFs'!$C$1:$C$2000,$Y167-1997+3))&amp;"")</f>
        <v/>
      </c>
      <c r="E167" s="92" t="str">
        <f>IF($Y167="","",IF($Y167&lt;=1997,IF(N(INDEX('Deal maths'!$H$1:$H$2000,$Y167+3))&gt;0,N(INDEX('Deal maths'!$H$1:$H$2000,$Y167+3)),N(INDEX('Deal maths'!$D$1:$D$2000,$Y167+3))),N(INDEX('Deal maths'!$M$1:$M$2000,$Y167-1997+3))))</f>
        <v/>
      </c>
      <c r="F167" s="93" t="str">
        <f>IF($Y167="","",IF($Y167&lt;=1997,INDEX('Deal maths'!$G$1:$G$2000,$Y167+3),INDEX('Deal maths'!$N$1:$N$2000,$Y167-1997+3)))</f>
        <v/>
      </c>
      <c r="G167" s="94" t="str">
        <f>IF($Y167="","",IF($Y167&lt;=1997,INDEX('Deal maths'!$E$1:$E$2000,$Y167+3),""))</f>
        <v/>
      </c>
      <c r="H167" s="94" t="str">
        <f>IF($Y167="","",IF($Y167&lt;=1997,INDEX('Deal maths'!$F$1:$F$2000,$Y167+3),""))</f>
        <v/>
      </c>
      <c r="I167" s="98" t="str">
        <f>IF($Y167="","",IF($Y167&lt;=1997,N(INDEX('Deal maths'!$F$1:$F$2000,$Y167+3))-AsAt,N(INDEX('Deal maths'!$O$1:$O$2000,$Y167-1997+3))))</f>
        <v/>
      </c>
      <c r="J167" s="99" t="str">
        <f>IF($Y167="","",IF($Y167&lt;=1997,INDEX('Term investments'!$J$1:$J$2000,$Y167+3),INDEX('Call accounts and MMFs'!$G$1:$G$2000,$Y167-1997+3))&amp;"")</f>
        <v/>
      </c>
      <c r="K167" s="92" t="str">
        <f>IF($Y167="","",N(E167)*N(F167))</f>
        <v/>
      </c>
      <c r="L167" s="100" t="str">
        <f>IF($Y167="","",IF($Y167&lt;=1997,"Term investments, row "&amp;($Y167+3),"Call accounts and MMFs, row "&amp;($Y167-1997+3)))</f>
        <v/>
      </c>
      <c r="Y167" t="str">
        <f>IFERROR(MATCH(SMALL('List maths'!$E$4:$E$3997,159),'List maths'!$E$4:$E$3997,0),"")</f>
        <v/>
      </c>
    </row>
    <row r="168">
      <c r="B168" s="91" t="str">
        <f>IF($Y168="","",IF($Y168&lt;=1997,INDEX('Term investments'!$B$1:$B$2000,$Y168+3),INDEX('Call accounts and MMFs'!$B$1:$B$2000,$Y168-1997+3))&amp;"")</f>
        <v/>
      </c>
      <c r="C168" s="91" t="str">
        <f>IF($Y168="","",IF($Y168&lt;=1997,INDEX('Term investments'!$A$1:$A$2000,$Y168+3),INDEX('Call accounts and MMFs'!$A$1:$A$2000,$Y168-1997+3))&amp;"")</f>
        <v/>
      </c>
      <c r="D168" s="91" t="str">
        <f>IF($Y168="","",IF($Y168&lt;=1997,INDEX('Term investments'!$C$1:$C$2000,$Y168+3),INDEX('Call accounts and MMFs'!$C$1:$C$2000,$Y168-1997+3))&amp;"")</f>
        <v/>
      </c>
      <c r="E168" s="92" t="str">
        <f>IF($Y168="","",IF($Y168&lt;=1997,IF(N(INDEX('Deal maths'!$H$1:$H$2000,$Y168+3))&gt;0,N(INDEX('Deal maths'!$H$1:$H$2000,$Y168+3)),N(INDEX('Deal maths'!$D$1:$D$2000,$Y168+3))),N(INDEX('Deal maths'!$M$1:$M$2000,$Y168-1997+3))))</f>
        <v/>
      </c>
      <c r="F168" s="93" t="str">
        <f>IF($Y168="","",IF($Y168&lt;=1997,INDEX('Deal maths'!$G$1:$G$2000,$Y168+3),INDEX('Deal maths'!$N$1:$N$2000,$Y168-1997+3)))</f>
        <v/>
      </c>
      <c r="G168" s="94" t="str">
        <f>IF($Y168="","",IF($Y168&lt;=1997,INDEX('Deal maths'!$E$1:$E$2000,$Y168+3),""))</f>
        <v/>
      </c>
      <c r="H168" s="94" t="str">
        <f>IF($Y168="","",IF($Y168&lt;=1997,INDEX('Deal maths'!$F$1:$F$2000,$Y168+3),""))</f>
        <v/>
      </c>
      <c r="I168" s="98" t="str">
        <f>IF($Y168="","",IF($Y168&lt;=1997,N(INDEX('Deal maths'!$F$1:$F$2000,$Y168+3))-AsAt,N(INDEX('Deal maths'!$O$1:$O$2000,$Y168-1997+3))))</f>
        <v/>
      </c>
      <c r="J168" s="99" t="str">
        <f>IF($Y168="","",IF($Y168&lt;=1997,INDEX('Term investments'!$J$1:$J$2000,$Y168+3),INDEX('Call accounts and MMFs'!$G$1:$G$2000,$Y168-1997+3))&amp;"")</f>
        <v/>
      </c>
      <c r="K168" s="92" t="str">
        <f>IF($Y168="","",N(E168)*N(F168))</f>
        <v/>
      </c>
      <c r="L168" s="100" t="str">
        <f>IF($Y168="","",IF($Y168&lt;=1997,"Term investments, row "&amp;($Y168+3),"Call accounts and MMFs, row "&amp;($Y168-1997+3)))</f>
        <v/>
      </c>
      <c r="Y168" t="str">
        <f>IFERROR(MATCH(SMALL('List maths'!$E$4:$E$3997,160),'List maths'!$E$4:$E$3997,0),"")</f>
        <v/>
      </c>
    </row>
    <row r="169">
      <c r="B169" s="91" t="str">
        <f>IF($Y169="","",IF($Y169&lt;=1997,INDEX('Term investments'!$B$1:$B$2000,$Y169+3),INDEX('Call accounts and MMFs'!$B$1:$B$2000,$Y169-1997+3))&amp;"")</f>
        <v/>
      </c>
      <c r="C169" s="91" t="str">
        <f>IF($Y169="","",IF($Y169&lt;=1997,INDEX('Term investments'!$A$1:$A$2000,$Y169+3),INDEX('Call accounts and MMFs'!$A$1:$A$2000,$Y169-1997+3))&amp;"")</f>
        <v/>
      </c>
      <c r="D169" s="91" t="str">
        <f>IF($Y169="","",IF($Y169&lt;=1997,INDEX('Term investments'!$C$1:$C$2000,$Y169+3),INDEX('Call accounts and MMFs'!$C$1:$C$2000,$Y169-1997+3))&amp;"")</f>
        <v/>
      </c>
      <c r="E169" s="92" t="str">
        <f>IF($Y169="","",IF($Y169&lt;=1997,IF(N(INDEX('Deal maths'!$H$1:$H$2000,$Y169+3))&gt;0,N(INDEX('Deal maths'!$H$1:$H$2000,$Y169+3)),N(INDEX('Deal maths'!$D$1:$D$2000,$Y169+3))),N(INDEX('Deal maths'!$M$1:$M$2000,$Y169-1997+3))))</f>
        <v/>
      </c>
      <c r="F169" s="93" t="str">
        <f>IF($Y169="","",IF($Y169&lt;=1997,INDEX('Deal maths'!$G$1:$G$2000,$Y169+3),INDEX('Deal maths'!$N$1:$N$2000,$Y169-1997+3)))</f>
        <v/>
      </c>
      <c r="G169" s="94" t="str">
        <f>IF($Y169="","",IF($Y169&lt;=1997,INDEX('Deal maths'!$E$1:$E$2000,$Y169+3),""))</f>
        <v/>
      </c>
      <c r="H169" s="94" t="str">
        <f>IF($Y169="","",IF($Y169&lt;=1997,INDEX('Deal maths'!$F$1:$F$2000,$Y169+3),""))</f>
        <v/>
      </c>
      <c r="I169" s="98" t="str">
        <f>IF($Y169="","",IF($Y169&lt;=1997,N(INDEX('Deal maths'!$F$1:$F$2000,$Y169+3))-AsAt,N(INDEX('Deal maths'!$O$1:$O$2000,$Y169-1997+3))))</f>
        <v/>
      </c>
      <c r="J169" s="99" t="str">
        <f>IF($Y169="","",IF($Y169&lt;=1997,INDEX('Term investments'!$J$1:$J$2000,$Y169+3),INDEX('Call accounts and MMFs'!$G$1:$G$2000,$Y169-1997+3))&amp;"")</f>
        <v/>
      </c>
      <c r="K169" s="92" t="str">
        <f>IF($Y169="","",N(E169)*N(F169))</f>
        <v/>
      </c>
      <c r="L169" s="100" t="str">
        <f>IF($Y169="","",IF($Y169&lt;=1997,"Term investments, row "&amp;($Y169+3),"Call accounts and MMFs, row "&amp;($Y169-1997+3)))</f>
        <v/>
      </c>
      <c r="Y169" t="str">
        <f>IFERROR(MATCH(SMALL('List maths'!$E$4:$E$3997,161),'List maths'!$E$4:$E$3997,0),"")</f>
        <v/>
      </c>
    </row>
    <row r="170">
      <c r="B170" s="91" t="str">
        <f>IF($Y170="","",IF($Y170&lt;=1997,INDEX('Term investments'!$B$1:$B$2000,$Y170+3),INDEX('Call accounts and MMFs'!$B$1:$B$2000,$Y170-1997+3))&amp;"")</f>
        <v/>
      </c>
      <c r="C170" s="91" t="str">
        <f>IF($Y170="","",IF($Y170&lt;=1997,INDEX('Term investments'!$A$1:$A$2000,$Y170+3),INDEX('Call accounts and MMFs'!$A$1:$A$2000,$Y170-1997+3))&amp;"")</f>
        <v/>
      </c>
      <c r="D170" s="91" t="str">
        <f>IF($Y170="","",IF($Y170&lt;=1997,INDEX('Term investments'!$C$1:$C$2000,$Y170+3),INDEX('Call accounts and MMFs'!$C$1:$C$2000,$Y170-1997+3))&amp;"")</f>
        <v/>
      </c>
      <c r="E170" s="92" t="str">
        <f>IF($Y170="","",IF($Y170&lt;=1997,IF(N(INDEX('Deal maths'!$H$1:$H$2000,$Y170+3))&gt;0,N(INDEX('Deal maths'!$H$1:$H$2000,$Y170+3)),N(INDEX('Deal maths'!$D$1:$D$2000,$Y170+3))),N(INDEX('Deal maths'!$M$1:$M$2000,$Y170-1997+3))))</f>
        <v/>
      </c>
      <c r="F170" s="93" t="str">
        <f>IF($Y170="","",IF($Y170&lt;=1997,INDEX('Deal maths'!$G$1:$G$2000,$Y170+3),INDEX('Deal maths'!$N$1:$N$2000,$Y170-1997+3)))</f>
        <v/>
      </c>
      <c r="G170" s="94" t="str">
        <f>IF($Y170="","",IF($Y170&lt;=1997,INDEX('Deal maths'!$E$1:$E$2000,$Y170+3),""))</f>
        <v/>
      </c>
      <c r="H170" s="94" t="str">
        <f>IF($Y170="","",IF($Y170&lt;=1997,INDEX('Deal maths'!$F$1:$F$2000,$Y170+3),""))</f>
        <v/>
      </c>
      <c r="I170" s="98" t="str">
        <f>IF($Y170="","",IF($Y170&lt;=1997,N(INDEX('Deal maths'!$F$1:$F$2000,$Y170+3))-AsAt,N(INDEX('Deal maths'!$O$1:$O$2000,$Y170-1997+3))))</f>
        <v/>
      </c>
      <c r="J170" s="99" t="str">
        <f>IF($Y170="","",IF($Y170&lt;=1997,INDEX('Term investments'!$J$1:$J$2000,$Y170+3),INDEX('Call accounts and MMFs'!$G$1:$G$2000,$Y170-1997+3))&amp;"")</f>
        <v/>
      </c>
      <c r="K170" s="92" t="str">
        <f>IF($Y170="","",N(E170)*N(F170))</f>
        <v/>
      </c>
      <c r="L170" s="100" t="str">
        <f>IF($Y170="","",IF($Y170&lt;=1997,"Term investments, row "&amp;($Y170+3),"Call accounts and MMFs, row "&amp;($Y170-1997+3)))</f>
        <v/>
      </c>
      <c r="Y170" t="str">
        <f>IFERROR(MATCH(SMALL('List maths'!$E$4:$E$3997,162),'List maths'!$E$4:$E$3997,0),"")</f>
        <v/>
      </c>
    </row>
    <row r="171">
      <c r="B171" s="91" t="str">
        <f>IF($Y171="","",IF($Y171&lt;=1997,INDEX('Term investments'!$B$1:$B$2000,$Y171+3),INDEX('Call accounts and MMFs'!$B$1:$B$2000,$Y171-1997+3))&amp;"")</f>
        <v/>
      </c>
      <c r="C171" s="91" t="str">
        <f>IF($Y171="","",IF($Y171&lt;=1997,INDEX('Term investments'!$A$1:$A$2000,$Y171+3),INDEX('Call accounts and MMFs'!$A$1:$A$2000,$Y171-1997+3))&amp;"")</f>
        <v/>
      </c>
      <c r="D171" s="91" t="str">
        <f>IF($Y171="","",IF($Y171&lt;=1997,INDEX('Term investments'!$C$1:$C$2000,$Y171+3),INDEX('Call accounts and MMFs'!$C$1:$C$2000,$Y171-1997+3))&amp;"")</f>
        <v/>
      </c>
      <c r="E171" s="92" t="str">
        <f>IF($Y171="","",IF($Y171&lt;=1997,IF(N(INDEX('Deal maths'!$H$1:$H$2000,$Y171+3))&gt;0,N(INDEX('Deal maths'!$H$1:$H$2000,$Y171+3)),N(INDEX('Deal maths'!$D$1:$D$2000,$Y171+3))),N(INDEX('Deal maths'!$M$1:$M$2000,$Y171-1997+3))))</f>
        <v/>
      </c>
      <c r="F171" s="93" t="str">
        <f>IF($Y171="","",IF($Y171&lt;=1997,INDEX('Deal maths'!$G$1:$G$2000,$Y171+3),INDEX('Deal maths'!$N$1:$N$2000,$Y171-1997+3)))</f>
        <v/>
      </c>
      <c r="G171" s="94" t="str">
        <f>IF($Y171="","",IF($Y171&lt;=1997,INDEX('Deal maths'!$E$1:$E$2000,$Y171+3),""))</f>
        <v/>
      </c>
      <c r="H171" s="94" t="str">
        <f>IF($Y171="","",IF($Y171&lt;=1997,INDEX('Deal maths'!$F$1:$F$2000,$Y171+3),""))</f>
        <v/>
      </c>
      <c r="I171" s="98" t="str">
        <f>IF($Y171="","",IF($Y171&lt;=1997,N(INDEX('Deal maths'!$F$1:$F$2000,$Y171+3))-AsAt,N(INDEX('Deal maths'!$O$1:$O$2000,$Y171-1997+3))))</f>
        <v/>
      </c>
      <c r="J171" s="99" t="str">
        <f>IF($Y171="","",IF($Y171&lt;=1997,INDEX('Term investments'!$J$1:$J$2000,$Y171+3),INDEX('Call accounts and MMFs'!$G$1:$G$2000,$Y171-1997+3))&amp;"")</f>
        <v/>
      </c>
      <c r="K171" s="92" t="str">
        <f>IF($Y171="","",N(E171)*N(F171))</f>
        <v/>
      </c>
      <c r="L171" s="100" t="str">
        <f>IF($Y171="","",IF($Y171&lt;=1997,"Term investments, row "&amp;($Y171+3),"Call accounts and MMFs, row "&amp;($Y171-1997+3)))</f>
        <v/>
      </c>
      <c r="Y171" t="str">
        <f>IFERROR(MATCH(SMALL('List maths'!$E$4:$E$3997,163),'List maths'!$E$4:$E$3997,0),"")</f>
        <v/>
      </c>
    </row>
    <row r="172">
      <c r="B172" s="91" t="str">
        <f>IF($Y172="","",IF($Y172&lt;=1997,INDEX('Term investments'!$B$1:$B$2000,$Y172+3),INDEX('Call accounts and MMFs'!$B$1:$B$2000,$Y172-1997+3))&amp;"")</f>
        <v/>
      </c>
      <c r="C172" s="91" t="str">
        <f>IF($Y172="","",IF($Y172&lt;=1997,INDEX('Term investments'!$A$1:$A$2000,$Y172+3),INDEX('Call accounts and MMFs'!$A$1:$A$2000,$Y172-1997+3))&amp;"")</f>
        <v/>
      </c>
      <c r="D172" s="91" t="str">
        <f>IF($Y172="","",IF($Y172&lt;=1997,INDEX('Term investments'!$C$1:$C$2000,$Y172+3),INDEX('Call accounts and MMFs'!$C$1:$C$2000,$Y172-1997+3))&amp;"")</f>
        <v/>
      </c>
      <c r="E172" s="92" t="str">
        <f>IF($Y172="","",IF($Y172&lt;=1997,IF(N(INDEX('Deal maths'!$H$1:$H$2000,$Y172+3))&gt;0,N(INDEX('Deal maths'!$H$1:$H$2000,$Y172+3)),N(INDEX('Deal maths'!$D$1:$D$2000,$Y172+3))),N(INDEX('Deal maths'!$M$1:$M$2000,$Y172-1997+3))))</f>
        <v/>
      </c>
      <c r="F172" s="93" t="str">
        <f>IF($Y172="","",IF($Y172&lt;=1997,INDEX('Deal maths'!$G$1:$G$2000,$Y172+3),INDEX('Deal maths'!$N$1:$N$2000,$Y172-1997+3)))</f>
        <v/>
      </c>
      <c r="G172" s="94" t="str">
        <f>IF($Y172="","",IF($Y172&lt;=1997,INDEX('Deal maths'!$E$1:$E$2000,$Y172+3),""))</f>
        <v/>
      </c>
      <c r="H172" s="94" t="str">
        <f>IF($Y172="","",IF($Y172&lt;=1997,INDEX('Deal maths'!$F$1:$F$2000,$Y172+3),""))</f>
        <v/>
      </c>
      <c r="I172" s="98" t="str">
        <f>IF($Y172="","",IF($Y172&lt;=1997,N(INDEX('Deal maths'!$F$1:$F$2000,$Y172+3))-AsAt,N(INDEX('Deal maths'!$O$1:$O$2000,$Y172-1997+3))))</f>
        <v/>
      </c>
      <c r="J172" s="99" t="str">
        <f>IF($Y172="","",IF($Y172&lt;=1997,INDEX('Term investments'!$J$1:$J$2000,$Y172+3),INDEX('Call accounts and MMFs'!$G$1:$G$2000,$Y172-1997+3))&amp;"")</f>
        <v/>
      </c>
      <c r="K172" s="92" t="str">
        <f>IF($Y172="","",N(E172)*N(F172))</f>
        <v/>
      </c>
      <c r="L172" s="100" t="str">
        <f>IF($Y172="","",IF($Y172&lt;=1997,"Term investments, row "&amp;($Y172+3),"Call accounts and MMFs, row "&amp;($Y172-1997+3)))</f>
        <v/>
      </c>
      <c r="Y172" t="str">
        <f>IFERROR(MATCH(SMALL('List maths'!$E$4:$E$3997,164),'List maths'!$E$4:$E$3997,0),"")</f>
        <v/>
      </c>
    </row>
    <row r="173">
      <c r="B173" s="91" t="str">
        <f>IF($Y173="","",IF($Y173&lt;=1997,INDEX('Term investments'!$B$1:$B$2000,$Y173+3),INDEX('Call accounts and MMFs'!$B$1:$B$2000,$Y173-1997+3))&amp;"")</f>
        <v/>
      </c>
      <c r="C173" s="91" t="str">
        <f>IF($Y173="","",IF($Y173&lt;=1997,INDEX('Term investments'!$A$1:$A$2000,$Y173+3),INDEX('Call accounts and MMFs'!$A$1:$A$2000,$Y173-1997+3))&amp;"")</f>
        <v/>
      </c>
      <c r="D173" s="91" t="str">
        <f>IF($Y173="","",IF($Y173&lt;=1997,INDEX('Term investments'!$C$1:$C$2000,$Y173+3),INDEX('Call accounts and MMFs'!$C$1:$C$2000,$Y173-1997+3))&amp;"")</f>
        <v/>
      </c>
      <c r="E173" s="92" t="str">
        <f>IF($Y173="","",IF($Y173&lt;=1997,IF(N(INDEX('Deal maths'!$H$1:$H$2000,$Y173+3))&gt;0,N(INDEX('Deal maths'!$H$1:$H$2000,$Y173+3)),N(INDEX('Deal maths'!$D$1:$D$2000,$Y173+3))),N(INDEX('Deal maths'!$M$1:$M$2000,$Y173-1997+3))))</f>
        <v/>
      </c>
      <c r="F173" s="93" t="str">
        <f>IF($Y173="","",IF($Y173&lt;=1997,INDEX('Deal maths'!$G$1:$G$2000,$Y173+3),INDEX('Deal maths'!$N$1:$N$2000,$Y173-1997+3)))</f>
        <v/>
      </c>
      <c r="G173" s="94" t="str">
        <f>IF($Y173="","",IF($Y173&lt;=1997,INDEX('Deal maths'!$E$1:$E$2000,$Y173+3),""))</f>
        <v/>
      </c>
      <c r="H173" s="94" t="str">
        <f>IF($Y173="","",IF($Y173&lt;=1997,INDEX('Deal maths'!$F$1:$F$2000,$Y173+3),""))</f>
        <v/>
      </c>
      <c r="I173" s="98" t="str">
        <f>IF($Y173="","",IF($Y173&lt;=1997,N(INDEX('Deal maths'!$F$1:$F$2000,$Y173+3))-AsAt,N(INDEX('Deal maths'!$O$1:$O$2000,$Y173-1997+3))))</f>
        <v/>
      </c>
      <c r="J173" s="99" t="str">
        <f>IF($Y173="","",IF($Y173&lt;=1997,INDEX('Term investments'!$J$1:$J$2000,$Y173+3),INDEX('Call accounts and MMFs'!$G$1:$G$2000,$Y173-1997+3))&amp;"")</f>
        <v/>
      </c>
      <c r="K173" s="92" t="str">
        <f>IF($Y173="","",N(E173)*N(F173))</f>
        <v/>
      </c>
      <c r="L173" s="100" t="str">
        <f>IF($Y173="","",IF($Y173&lt;=1997,"Term investments, row "&amp;($Y173+3),"Call accounts and MMFs, row "&amp;($Y173-1997+3)))</f>
        <v/>
      </c>
      <c r="Y173" t="str">
        <f>IFERROR(MATCH(SMALL('List maths'!$E$4:$E$3997,165),'List maths'!$E$4:$E$3997,0),"")</f>
        <v/>
      </c>
    </row>
    <row r="174">
      <c r="B174" s="91" t="str">
        <f>IF($Y174="","",IF($Y174&lt;=1997,INDEX('Term investments'!$B$1:$B$2000,$Y174+3),INDEX('Call accounts and MMFs'!$B$1:$B$2000,$Y174-1997+3))&amp;"")</f>
        <v/>
      </c>
      <c r="C174" s="91" t="str">
        <f>IF($Y174="","",IF($Y174&lt;=1997,INDEX('Term investments'!$A$1:$A$2000,$Y174+3),INDEX('Call accounts and MMFs'!$A$1:$A$2000,$Y174-1997+3))&amp;"")</f>
        <v/>
      </c>
      <c r="D174" s="91" t="str">
        <f>IF($Y174="","",IF($Y174&lt;=1997,INDEX('Term investments'!$C$1:$C$2000,$Y174+3),INDEX('Call accounts and MMFs'!$C$1:$C$2000,$Y174-1997+3))&amp;"")</f>
        <v/>
      </c>
      <c r="E174" s="92" t="str">
        <f>IF($Y174="","",IF($Y174&lt;=1997,IF(N(INDEX('Deal maths'!$H$1:$H$2000,$Y174+3))&gt;0,N(INDEX('Deal maths'!$H$1:$H$2000,$Y174+3)),N(INDEX('Deal maths'!$D$1:$D$2000,$Y174+3))),N(INDEX('Deal maths'!$M$1:$M$2000,$Y174-1997+3))))</f>
        <v/>
      </c>
      <c r="F174" s="93" t="str">
        <f>IF($Y174="","",IF($Y174&lt;=1997,INDEX('Deal maths'!$G$1:$G$2000,$Y174+3),INDEX('Deal maths'!$N$1:$N$2000,$Y174-1997+3)))</f>
        <v/>
      </c>
      <c r="G174" s="94" t="str">
        <f>IF($Y174="","",IF($Y174&lt;=1997,INDEX('Deal maths'!$E$1:$E$2000,$Y174+3),""))</f>
        <v/>
      </c>
      <c r="H174" s="94" t="str">
        <f>IF($Y174="","",IF($Y174&lt;=1997,INDEX('Deal maths'!$F$1:$F$2000,$Y174+3),""))</f>
        <v/>
      </c>
      <c r="I174" s="98" t="str">
        <f>IF($Y174="","",IF($Y174&lt;=1997,N(INDEX('Deal maths'!$F$1:$F$2000,$Y174+3))-AsAt,N(INDEX('Deal maths'!$O$1:$O$2000,$Y174-1997+3))))</f>
        <v/>
      </c>
      <c r="J174" s="99" t="str">
        <f>IF($Y174="","",IF($Y174&lt;=1997,INDEX('Term investments'!$J$1:$J$2000,$Y174+3),INDEX('Call accounts and MMFs'!$G$1:$G$2000,$Y174-1997+3))&amp;"")</f>
        <v/>
      </c>
      <c r="K174" s="92" t="str">
        <f>IF($Y174="","",N(E174)*N(F174))</f>
        <v/>
      </c>
      <c r="L174" s="100" t="str">
        <f>IF($Y174="","",IF($Y174&lt;=1997,"Term investments, row "&amp;($Y174+3),"Call accounts and MMFs, row "&amp;($Y174-1997+3)))</f>
        <v/>
      </c>
      <c r="Y174" t="str">
        <f>IFERROR(MATCH(SMALL('List maths'!$E$4:$E$3997,166),'List maths'!$E$4:$E$3997,0),"")</f>
        <v/>
      </c>
    </row>
    <row r="175">
      <c r="B175" s="91" t="str">
        <f>IF($Y175="","",IF($Y175&lt;=1997,INDEX('Term investments'!$B$1:$B$2000,$Y175+3),INDEX('Call accounts and MMFs'!$B$1:$B$2000,$Y175-1997+3))&amp;"")</f>
        <v/>
      </c>
      <c r="C175" s="91" t="str">
        <f>IF($Y175="","",IF($Y175&lt;=1997,INDEX('Term investments'!$A$1:$A$2000,$Y175+3),INDEX('Call accounts and MMFs'!$A$1:$A$2000,$Y175-1997+3))&amp;"")</f>
        <v/>
      </c>
      <c r="D175" s="91" t="str">
        <f>IF($Y175="","",IF($Y175&lt;=1997,INDEX('Term investments'!$C$1:$C$2000,$Y175+3),INDEX('Call accounts and MMFs'!$C$1:$C$2000,$Y175-1997+3))&amp;"")</f>
        <v/>
      </c>
      <c r="E175" s="92" t="str">
        <f>IF($Y175="","",IF($Y175&lt;=1997,IF(N(INDEX('Deal maths'!$H$1:$H$2000,$Y175+3))&gt;0,N(INDEX('Deal maths'!$H$1:$H$2000,$Y175+3)),N(INDEX('Deal maths'!$D$1:$D$2000,$Y175+3))),N(INDEX('Deal maths'!$M$1:$M$2000,$Y175-1997+3))))</f>
        <v/>
      </c>
      <c r="F175" s="93" t="str">
        <f>IF($Y175="","",IF($Y175&lt;=1997,INDEX('Deal maths'!$G$1:$G$2000,$Y175+3),INDEX('Deal maths'!$N$1:$N$2000,$Y175-1997+3)))</f>
        <v/>
      </c>
      <c r="G175" s="94" t="str">
        <f>IF($Y175="","",IF($Y175&lt;=1997,INDEX('Deal maths'!$E$1:$E$2000,$Y175+3),""))</f>
        <v/>
      </c>
      <c r="H175" s="94" t="str">
        <f>IF($Y175="","",IF($Y175&lt;=1997,INDEX('Deal maths'!$F$1:$F$2000,$Y175+3),""))</f>
        <v/>
      </c>
      <c r="I175" s="98" t="str">
        <f>IF($Y175="","",IF($Y175&lt;=1997,N(INDEX('Deal maths'!$F$1:$F$2000,$Y175+3))-AsAt,N(INDEX('Deal maths'!$O$1:$O$2000,$Y175-1997+3))))</f>
        <v/>
      </c>
      <c r="J175" s="99" t="str">
        <f>IF($Y175="","",IF($Y175&lt;=1997,INDEX('Term investments'!$J$1:$J$2000,$Y175+3),INDEX('Call accounts and MMFs'!$G$1:$G$2000,$Y175-1997+3))&amp;"")</f>
        <v/>
      </c>
      <c r="K175" s="92" t="str">
        <f>IF($Y175="","",N(E175)*N(F175))</f>
        <v/>
      </c>
      <c r="L175" s="100" t="str">
        <f>IF($Y175="","",IF($Y175&lt;=1997,"Term investments, row "&amp;($Y175+3),"Call accounts and MMFs, row "&amp;($Y175-1997+3)))</f>
        <v/>
      </c>
      <c r="Y175" t="str">
        <f>IFERROR(MATCH(SMALL('List maths'!$E$4:$E$3997,167),'List maths'!$E$4:$E$3997,0),"")</f>
        <v/>
      </c>
    </row>
    <row r="176">
      <c r="B176" s="91" t="str">
        <f>IF($Y176="","",IF($Y176&lt;=1997,INDEX('Term investments'!$B$1:$B$2000,$Y176+3),INDEX('Call accounts and MMFs'!$B$1:$B$2000,$Y176-1997+3))&amp;"")</f>
        <v/>
      </c>
      <c r="C176" s="91" t="str">
        <f>IF($Y176="","",IF($Y176&lt;=1997,INDEX('Term investments'!$A$1:$A$2000,$Y176+3),INDEX('Call accounts and MMFs'!$A$1:$A$2000,$Y176-1997+3))&amp;"")</f>
        <v/>
      </c>
      <c r="D176" s="91" t="str">
        <f>IF($Y176="","",IF($Y176&lt;=1997,INDEX('Term investments'!$C$1:$C$2000,$Y176+3),INDEX('Call accounts and MMFs'!$C$1:$C$2000,$Y176-1997+3))&amp;"")</f>
        <v/>
      </c>
      <c r="E176" s="92" t="str">
        <f>IF($Y176="","",IF($Y176&lt;=1997,IF(N(INDEX('Deal maths'!$H$1:$H$2000,$Y176+3))&gt;0,N(INDEX('Deal maths'!$H$1:$H$2000,$Y176+3)),N(INDEX('Deal maths'!$D$1:$D$2000,$Y176+3))),N(INDEX('Deal maths'!$M$1:$M$2000,$Y176-1997+3))))</f>
        <v/>
      </c>
      <c r="F176" s="93" t="str">
        <f>IF($Y176="","",IF($Y176&lt;=1997,INDEX('Deal maths'!$G$1:$G$2000,$Y176+3),INDEX('Deal maths'!$N$1:$N$2000,$Y176-1997+3)))</f>
        <v/>
      </c>
      <c r="G176" s="94" t="str">
        <f>IF($Y176="","",IF($Y176&lt;=1997,INDEX('Deal maths'!$E$1:$E$2000,$Y176+3),""))</f>
        <v/>
      </c>
      <c r="H176" s="94" t="str">
        <f>IF($Y176="","",IF($Y176&lt;=1997,INDEX('Deal maths'!$F$1:$F$2000,$Y176+3),""))</f>
        <v/>
      </c>
      <c r="I176" s="98" t="str">
        <f>IF($Y176="","",IF($Y176&lt;=1997,N(INDEX('Deal maths'!$F$1:$F$2000,$Y176+3))-AsAt,N(INDEX('Deal maths'!$O$1:$O$2000,$Y176-1997+3))))</f>
        <v/>
      </c>
      <c r="J176" s="99" t="str">
        <f>IF($Y176="","",IF($Y176&lt;=1997,INDEX('Term investments'!$J$1:$J$2000,$Y176+3),INDEX('Call accounts and MMFs'!$G$1:$G$2000,$Y176-1997+3))&amp;"")</f>
        <v/>
      </c>
      <c r="K176" s="92" t="str">
        <f>IF($Y176="","",N(E176)*N(F176))</f>
        <v/>
      </c>
      <c r="L176" s="100" t="str">
        <f>IF($Y176="","",IF($Y176&lt;=1997,"Term investments, row "&amp;($Y176+3),"Call accounts and MMFs, row "&amp;($Y176-1997+3)))</f>
        <v/>
      </c>
      <c r="Y176" t="str">
        <f>IFERROR(MATCH(SMALL('List maths'!$E$4:$E$3997,168),'List maths'!$E$4:$E$3997,0),"")</f>
        <v/>
      </c>
    </row>
    <row r="177">
      <c r="B177" s="91" t="str">
        <f>IF($Y177="","",IF($Y177&lt;=1997,INDEX('Term investments'!$B$1:$B$2000,$Y177+3),INDEX('Call accounts and MMFs'!$B$1:$B$2000,$Y177-1997+3))&amp;"")</f>
        <v/>
      </c>
      <c r="C177" s="91" t="str">
        <f>IF($Y177="","",IF($Y177&lt;=1997,INDEX('Term investments'!$A$1:$A$2000,$Y177+3),INDEX('Call accounts and MMFs'!$A$1:$A$2000,$Y177-1997+3))&amp;"")</f>
        <v/>
      </c>
      <c r="D177" s="91" t="str">
        <f>IF($Y177="","",IF($Y177&lt;=1997,INDEX('Term investments'!$C$1:$C$2000,$Y177+3),INDEX('Call accounts and MMFs'!$C$1:$C$2000,$Y177-1997+3))&amp;"")</f>
        <v/>
      </c>
      <c r="E177" s="92" t="str">
        <f>IF($Y177="","",IF($Y177&lt;=1997,IF(N(INDEX('Deal maths'!$H$1:$H$2000,$Y177+3))&gt;0,N(INDEX('Deal maths'!$H$1:$H$2000,$Y177+3)),N(INDEX('Deal maths'!$D$1:$D$2000,$Y177+3))),N(INDEX('Deal maths'!$M$1:$M$2000,$Y177-1997+3))))</f>
        <v/>
      </c>
      <c r="F177" s="93" t="str">
        <f>IF($Y177="","",IF($Y177&lt;=1997,INDEX('Deal maths'!$G$1:$G$2000,$Y177+3),INDEX('Deal maths'!$N$1:$N$2000,$Y177-1997+3)))</f>
        <v/>
      </c>
      <c r="G177" s="94" t="str">
        <f>IF($Y177="","",IF($Y177&lt;=1997,INDEX('Deal maths'!$E$1:$E$2000,$Y177+3),""))</f>
        <v/>
      </c>
      <c r="H177" s="94" t="str">
        <f>IF($Y177="","",IF($Y177&lt;=1997,INDEX('Deal maths'!$F$1:$F$2000,$Y177+3),""))</f>
        <v/>
      </c>
      <c r="I177" s="98" t="str">
        <f>IF($Y177="","",IF($Y177&lt;=1997,N(INDEX('Deal maths'!$F$1:$F$2000,$Y177+3))-AsAt,N(INDEX('Deal maths'!$O$1:$O$2000,$Y177-1997+3))))</f>
        <v/>
      </c>
      <c r="J177" s="99" t="str">
        <f>IF($Y177="","",IF($Y177&lt;=1997,INDEX('Term investments'!$J$1:$J$2000,$Y177+3),INDEX('Call accounts and MMFs'!$G$1:$G$2000,$Y177-1997+3))&amp;"")</f>
        <v/>
      </c>
      <c r="K177" s="92" t="str">
        <f>IF($Y177="","",N(E177)*N(F177))</f>
        <v/>
      </c>
      <c r="L177" s="100" t="str">
        <f>IF($Y177="","",IF($Y177&lt;=1997,"Term investments, row "&amp;($Y177+3),"Call accounts and MMFs, row "&amp;($Y177-1997+3)))</f>
        <v/>
      </c>
      <c r="Y177" t="str">
        <f>IFERROR(MATCH(SMALL('List maths'!$E$4:$E$3997,169),'List maths'!$E$4:$E$3997,0),"")</f>
        <v/>
      </c>
    </row>
    <row r="178">
      <c r="B178" s="91" t="str">
        <f>IF($Y178="","",IF($Y178&lt;=1997,INDEX('Term investments'!$B$1:$B$2000,$Y178+3),INDEX('Call accounts and MMFs'!$B$1:$B$2000,$Y178-1997+3))&amp;"")</f>
        <v/>
      </c>
      <c r="C178" s="91" t="str">
        <f>IF($Y178="","",IF($Y178&lt;=1997,INDEX('Term investments'!$A$1:$A$2000,$Y178+3),INDEX('Call accounts and MMFs'!$A$1:$A$2000,$Y178-1997+3))&amp;"")</f>
        <v/>
      </c>
      <c r="D178" s="91" t="str">
        <f>IF($Y178="","",IF($Y178&lt;=1997,INDEX('Term investments'!$C$1:$C$2000,$Y178+3),INDEX('Call accounts and MMFs'!$C$1:$C$2000,$Y178-1997+3))&amp;"")</f>
        <v/>
      </c>
      <c r="E178" s="92" t="str">
        <f>IF($Y178="","",IF($Y178&lt;=1997,IF(N(INDEX('Deal maths'!$H$1:$H$2000,$Y178+3))&gt;0,N(INDEX('Deal maths'!$H$1:$H$2000,$Y178+3)),N(INDEX('Deal maths'!$D$1:$D$2000,$Y178+3))),N(INDEX('Deal maths'!$M$1:$M$2000,$Y178-1997+3))))</f>
        <v/>
      </c>
      <c r="F178" s="93" t="str">
        <f>IF($Y178="","",IF($Y178&lt;=1997,INDEX('Deal maths'!$G$1:$G$2000,$Y178+3),INDEX('Deal maths'!$N$1:$N$2000,$Y178-1997+3)))</f>
        <v/>
      </c>
      <c r="G178" s="94" t="str">
        <f>IF($Y178="","",IF($Y178&lt;=1997,INDEX('Deal maths'!$E$1:$E$2000,$Y178+3),""))</f>
        <v/>
      </c>
      <c r="H178" s="94" t="str">
        <f>IF($Y178="","",IF($Y178&lt;=1997,INDEX('Deal maths'!$F$1:$F$2000,$Y178+3),""))</f>
        <v/>
      </c>
      <c r="I178" s="98" t="str">
        <f>IF($Y178="","",IF($Y178&lt;=1997,N(INDEX('Deal maths'!$F$1:$F$2000,$Y178+3))-AsAt,N(INDEX('Deal maths'!$O$1:$O$2000,$Y178-1997+3))))</f>
        <v/>
      </c>
      <c r="J178" s="99" t="str">
        <f>IF($Y178="","",IF($Y178&lt;=1997,INDEX('Term investments'!$J$1:$J$2000,$Y178+3),INDEX('Call accounts and MMFs'!$G$1:$G$2000,$Y178-1997+3))&amp;"")</f>
        <v/>
      </c>
      <c r="K178" s="92" t="str">
        <f>IF($Y178="","",N(E178)*N(F178))</f>
        <v/>
      </c>
      <c r="L178" s="100" t="str">
        <f>IF($Y178="","",IF($Y178&lt;=1997,"Term investments, row "&amp;($Y178+3),"Call accounts and MMFs, row "&amp;($Y178-1997+3)))</f>
        <v/>
      </c>
      <c r="Y178" t="str">
        <f>IFERROR(MATCH(SMALL('List maths'!$E$4:$E$3997,170),'List maths'!$E$4:$E$3997,0),"")</f>
        <v/>
      </c>
    </row>
    <row r="179">
      <c r="B179" s="91" t="str">
        <f>IF($Y179="","",IF($Y179&lt;=1997,INDEX('Term investments'!$B$1:$B$2000,$Y179+3),INDEX('Call accounts and MMFs'!$B$1:$B$2000,$Y179-1997+3))&amp;"")</f>
        <v/>
      </c>
      <c r="C179" s="91" t="str">
        <f>IF($Y179="","",IF($Y179&lt;=1997,INDEX('Term investments'!$A$1:$A$2000,$Y179+3),INDEX('Call accounts and MMFs'!$A$1:$A$2000,$Y179-1997+3))&amp;"")</f>
        <v/>
      </c>
      <c r="D179" s="91" t="str">
        <f>IF($Y179="","",IF($Y179&lt;=1997,INDEX('Term investments'!$C$1:$C$2000,$Y179+3),INDEX('Call accounts and MMFs'!$C$1:$C$2000,$Y179-1997+3))&amp;"")</f>
        <v/>
      </c>
      <c r="E179" s="92" t="str">
        <f>IF($Y179="","",IF($Y179&lt;=1997,IF(N(INDEX('Deal maths'!$H$1:$H$2000,$Y179+3))&gt;0,N(INDEX('Deal maths'!$H$1:$H$2000,$Y179+3)),N(INDEX('Deal maths'!$D$1:$D$2000,$Y179+3))),N(INDEX('Deal maths'!$M$1:$M$2000,$Y179-1997+3))))</f>
        <v/>
      </c>
      <c r="F179" s="93" t="str">
        <f>IF($Y179="","",IF($Y179&lt;=1997,INDEX('Deal maths'!$G$1:$G$2000,$Y179+3),INDEX('Deal maths'!$N$1:$N$2000,$Y179-1997+3)))</f>
        <v/>
      </c>
      <c r="G179" s="94" t="str">
        <f>IF($Y179="","",IF($Y179&lt;=1997,INDEX('Deal maths'!$E$1:$E$2000,$Y179+3),""))</f>
        <v/>
      </c>
      <c r="H179" s="94" t="str">
        <f>IF($Y179="","",IF($Y179&lt;=1997,INDEX('Deal maths'!$F$1:$F$2000,$Y179+3),""))</f>
        <v/>
      </c>
      <c r="I179" s="98" t="str">
        <f>IF($Y179="","",IF($Y179&lt;=1997,N(INDEX('Deal maths'!$F$1:$F$2000,$Y179+3))-AsAt,N(INDEX('Deal maths'!$O$1:$O$2000,$Y179-1997+3))))</f>
        <v/>
      </c>
      <c r="J179" s="99" t="str">
        <f>IF($Y179="","",IF($Y179&lt;=1997,INDEX('Term investments'!$J$1:$J$2000,$Y179+3),INDEX('Call accounts and MMFs'!$G$1:$G$2000,$Y179-1997+3))&amp;"")</f>
        <v/>
      </c>
      <c r="K179" s="92" t="str">
        <f>IF($Y179="","",N(E179)*N(F179))</f>
        <v/>
      </c>
      <c r="L179" s="100" t="str">
        <f>IF($Y179="","",IF($Y179&lt;=1997,"Term investments, row "&amp;($Y179+3),"Call accounts and MMFs, row "&amp;($Y179-1997+3)))</f>
        <v/>
      </c>
      <c r="Y179" t="str">
        <f>IFERROR(MATCH(SMALL('List maths'!$E$4:$E$3997,171),'List maths'!$E$4:$E$3997,0),"")</f>
        <v/>
      </c>
    </row>
    <row r="180">
      <c r="B180" s="91" t="str">
        <f>IF($Y180="","",IF($Y180&lt;=1997,INDEX('Term investments'!$B$1:$B$2000,$Y180+3),INDEX('Call accounts and MMFs'!$B$1:$B$2000,$Y180-1997+3))&amp;"")</f>
        <v/>
      </c>
      <c r="C180" s="91" t="str">
        <f>IF($Y180="","",IF($Y180&lt;=1997,INDEX('Term investments'!$A$1:$A$2000,$Y180+3),INDEX('Call accounts and MMFs'!$A$1:$A$2000,$Y180-1997+3))&amp;"")</f>
        <v/>
      </c>
      <c r="D180" s="91" t="str">
        <f>IF($Y180="","",IF($Y180&lt;=1997,INDEX('Term investments'!$C$1:$C$2000,$Y180+3),INDEX('Call accounts and MMFs'!$C$1:$C$2000,$Y180-1997+3))&amp;"")</f>
        <v/>
      </c>
      <c r="E180" s="92" t="str">
        <f>IF($Y180="","",IF($Y180&lt;=1997,IF(N(INDEX('Deal maths'!$H$1:$H$2000,$Y180+3))&gt;0,N(INDEX('Deal maths'!$H$1:$H$2000,$Y180+3)),N(INDEX('Deal maths'!$D$1:$D$2000,$Y180+3))),N(INDEX('Deal maths'!$M$1:$M$2000,$Y180-1997+3))))</f>
        <v/>
      </c>
      <c r="F180" s="93" t="str">
        <f>IF($Y180="","",IF($Y180&lt;=1997,INDEX('Deal maths'!$G$1:$G$2000,$Y180+3),INDEX('Deal maths'!$N$1:$N$2000,$Y180-1997+3)))</f>
        <v/>
      </c>
      <c r="G180" s="94" t="str">
        <f>IF($Y180="","",IF($Y180&lt;=1997,INDEX('Deal maths'!$E$1:$E$2000,$Y180+3),""))</f>
        <v/>
      </c>
      <c r="H180" s="94" t="str">
        <f>IF($Y180="","",IF($Y180&lt;=1997,INDEX('Deal maths'!$F$1:$F$2000,$Y180+3),""))</f>
        <v/>
      </c>
      <c r="I180" s="98" t="str">
        <f>IF($Y180="","",IF($Y180&lt;=1997,N(INDEX('Deal maths'!$F$1:$F$2000,$Y180+3))-AsAt,N(INDEX('Deal maths'!$O$1:$O$2000,$Y180-1997+3))))</f>
        <v/>
      </c>
      <c r="J180" s="99" t="str">
        <f>IF($Y180="","",IF($Y180&lt;=1997,INDEX('Term investments'!$J$1:$J$2000,$Y180+3),INDEX('Call accounts and MMFs'!$G$1:$G$2000,$Y180-1997+3))&amp;"")</f>
        <v/>
      </c>
      <c r="K180" s="92" t="str">
        <f>IF($Y180="","",N(E180)*N(F180))</f>
        <v/>
      </c>
      <c r="L180" s="100" t="str">
        <f>IF($Y180="","",IF($Y180&lt;=1997,"Term investments, row "&amp;($Y180+3),"Call accounts and MMFs, row "&amp;($Y180-1997+3)))</f>
        <v/>
      </c>
      <c r="Y180" t="str">
        <f>IFERROR(MATCH(SMALL('List maths'!$E$4:$E$3997,172),'List maths'!$E$4:$E$3997,0),"")</f>
        <v/>
      </c>
    </row>
    <row r="181">
      <c r="B181" s="91" t="str">
        <f>IF($Y181="","",IF($Y181&lt;=1997,INDEX('Term investments'!$B$1:$B$2000,$Y181+3),INDEX('Call accounts and MMFs'!$B$1:$B$2000,$Y181-1997+3))&amp;"")</f>
        <v/>
      </c>
      <c r="C181" s="91" t="str">
        <f>IF($Y181="","",IF($Y181&lt;=1997,INDEX('Term investments'!$A$1:$A$2000,$Y181+3),INDEX('Call accounts and MMFs'!$A$1:$A$2000,$Y181-1997+3))&amp;"")</f>
        <v/>
      </c>
      <c r="D181" s="91" t="str">
        <f>IF($Y181="","",IF($Y181&lt;=1997,INDEX('Term investments'!$C$1:$C$2000,$Y181+3),INDEX('Call accounts and MMFs'!$C$1:$C$2000,$Y181-1997+3))&amp;"")</f>
        <v/>
      </c>
      <c r="E181" s="92" t="str">
        <f>IF($Y181="","",IF($Y181&lt;=1997,IF(N(INDEX('Deal maths'!$H$1:$H$2000,$Y181+3))&gt;0,N(INDEX('Deal maths'!$H$1:$H$2000,$Y181+3)),N(INDEX('Deal maths'!$D$1:$D$2000,$Y181+3))),N(INDEX('Deal maths'!$M$1:$M$2000,$Y181-1997+3))))</f>
        <v/>
      </c>
      <c r="F181" s="93" t="str">
        <f>IF($Y181="","",IF($Y181&lt;=1997,INDEX('Deal maths'!$G$1:$G$2000,$Y181+3),INDEX('Deal maths'!$N$1:$N$2000,$Y181-1997+3)))</f>
        <v/>
      </c>
      <c r="G181" s="94" t="str">
        <f>IF($Y181="","",IF($Y181&lt;=1997,INDEX('Deal maths'!$E$1:$E$2000,$Y181+3),""))</f>
        <v/>
      </c>
      <c r="H181" s="94" t="str">
        <f>IF($Y181="","",IF($Y181&lt;=1997,INDEX('Deal maths'!$F$1:$F$2000,$Y181+3),""))</f>
        <v/>
      </c>
      <c r="I181" s="98" t="str">
        <f>IF($Y181="","",IF($Y181&lt;=1997,N(INDEX('Deal maths'!$F$1:$F$2000,$Y181+3))-AsAt,N(INDEX('Deal maths'!$O$1:$O$2000,$Y181-1997+3))))</f>
        <v/>
      </c>
      <c r="J181" s="99" t="str">
        <f>IF($Y181="","",IF($Y181&lt;=1997,INDEX('Term investments'!$J$1:$J$2000,$Y181+3),INDEX('Call accounts and MMFs'!$G$1:$G$2000,$Y181-1997+3))&amp;"")</f>
        <v/>
      </c>
      <c r="K181" s="92" t="str">
        <f>IF($Y181="","",N(E181)*N(F181))</f>
        <v/>
      </c>
      <c r="L181" s="100" t="str">
        <f>IF($Y181="","",IF($Y181&lt;=1997,"Term investments, row "&amp;($Y181+3),"Call accounts and MMFs, row "&amp;($Y181-1997+3)))</f>
        <v/>
      </c>
      <c r="Y181" t="str">
        <f>IFERROR(MATCH(SMALL('List maths'!$E$4:$E$3997,173),'List maths'!$E$4:$E$3997,0),"")</f>
        <v/>
      </c>
    </row>
    <row r="182">
      <c r="B182" s="91" t="str">
        <f>IF($Y182="","",IF($Y182&lt;=1997,INDEX('Term investments'!$B$1:$B$2000,$Y182+3),INDEX('Call accounts and MMFs'!$B$1:$B$2000,$Y182-1997+3))&amp;"")</f>
        <v/>
      </c>
      <c r="C182" s="91" t="str">
        <f>IF($Y182="","",IF($Y182&lt;=1997,INDEX('Term investments'!$A$1:$A$2000,$Y182+3),INDEX('Call accounts and MMFs'!$A$1:$A$2000,$Y182-1997+3))&amp;"")</f>
        <v/>
      </c>
      <c r="D182" s="91" t="str">
        <f>IF($Y182="","",IF($Y182&lt;=1997,INDEX('Term investments'!$C$1:$C$2000,$Y182+3),INDEX('Call accounts and MMFs'!$C$1:$C$2000,$Y182-1997+3))&amp;"")</f>
        <v/>
      </c>
      <c r="E182" s="92" t="str">
        <f>IF($Y182="","",IF($Y182&lt;=1997,IF(N(INDEX('Deal maths'!$H$1:$H$2000,$Y182+3))&gt;0,N(INDEX('Deal maths'!$H$1:$H$2000,$Y182+3)),N(INDEX('Deal maths'!$D$1:$D$2000,$Y182+3))),N(INDEX('Deal maths'!$M$1:$M$2000,$Y182-1997+3))))</f>
        <v/>
      </c>
      <c r="F182" s="93" t="str">
        <f>IF($Y182="","",IF($Y182&lt;=1997,INDEX('Deal maths'!$G$1:$G$2000,$Y182+3),INDEX('Deal maths'!$N$1:$N$2000,$Y182-1997+3)))</f>
        <v/>
      </c>
      <c r="G182" s="94" t="str">
        <f>IF($Y182="","",IF($Y182&lt;=1997,INDEX('Deal maths'!$E$1:$E$2000,$Y182+3),""))</f>
        <v/>
      </c>
      <c r="H182" s="94" t="str">
        <f>IF($Y182="","",IF($Y182&lt;=1997,INDEX('Deal maths'!$F$1:$F$2000,$Y182+3),""))</f>
        <v/>
      </c>
      <c r="I182" s="98" t="str">
        <f>IF($Y182="","",IF($Y182&lt;=1997,N(INDEX('Deal maths'!$F$1:$F$2000,$Y182+3))-AsAt,N(INDEX('Deal maths'!$O$1:$O$2000,$Y182-1997+3))))</f>
        <v/>
      </c>
      <c r="J182" s="99" t="str">
        <f>IF($Y182="","",IF($Y182&lt;=1997,INDEX('Term investments'!$J$1:$J$2000,$Y182+3),INDEX('Call accounts and MMFs'!$G$1:$G$2000,$Y182-1997+3))&amp;"")</f>
        <v/>
      </c>
      <c r="K182" s="92" t="str">
        <f>IF($Y182="","",N(E182)*N(F182))</f>
        <v/>
      </c>
      <c r="L182" s="100" t="str">
        <f>IF($Y182="","",IF($Y182&lt;=1997,"Term investments, row "&amp;($Y182+3),"Call accounts and MMFs, row "&amp;($Y182-1997+3)))</f>
        <v/>
      </c>
      <c r="Y182" t="str">
        <f>IFERROR(MATCH(SMALL('List maths'!$E$4:$E$3997,174),'List maths'!$E$4:$E$3997,0),"")</f>
        <v/>
      </c>
    </row>
    <row r="183">
      <c r="B183" s="91" t="str">
        <f>IF($Y183="","",IF($Y183&lt;=1997,INDEX('Term investments'!$B$1:$B$2000,$Y183+3),INDEX('Call accounts and MMFs'!$B$1:$B$2000,$Y183-1997+3))&amp;"")</f>
        <v/>
      </c>
      <c r="C183" s="91" t="str">
        <f>IF($Y183="","",IF($Y183&lt;=1997,INDEX('Term investments'!$A$1:$A$2000,$Y183+3),INDEX('Call accounts and MMFs'!$A$1:$A$2000,$Y183-1997+3))&amp;"")</f>
        <v/>
      </c>
      <c r="D183" s="91" t="str">
        <f>IF($Y183="","",IF($Y183&lt;=1997,INDEX('Term investments'!$C$1:$C$2000,$Y183+3),INDEX('Call accounts and MMFs'!$C$1:$C$2000,$Y183-1997+3))&amp;"")</f>
        <v/>
      </c>
      <c r="E183" s="92" t="str">
        <f>IF($Y183="","",IF($Y183&lt;=1997,IF(N(INDEX('Deal maths'!$H$1:$H$2000,$Y183+3))&gt;0,N(INDEX('Deal maths'!$H$1:$H$2000,$Y183+3)),N(INDEX('Deal maths'!$D$1:$D$2000,$Y183+3))),N(INDEX('Deal maths'!$M$1:$M$2000,$Y183-1997+3))))</f>
        <v/>
      </c>
      <c r="F183" s="93" t="str">
        <f>IF($Y183="","",IF($Y183&lt;=1997,INDEX('Deal maths'!$G$1:$G$2000,$Y183+3),INDEX('Deal maths'!$N$1:$N$2000,$Y183-1997+3)))</f>
        <v/>
      </c>
      <c r="G183" s="94" t="str">
        <f>IF($Y183="","",IF($Y183&lt;=1997,INDEX('Deal maths'!$E$1:$E$2000,$Y183+3),""))</f>
        <v/>
      </c>
      <c r="H183" s="94" t="str">
        <f>IF($Y183="","",IF($Y183&lt;=1997,INDEX('Deal maths'!$F$1:$F$2000,$Y183+3),""))</f>
        <v/>
      </c>
      <c r="I183" s="98" t="str">
        <f>IF($Y183="","",IF($Y183&lt;=1997,N(INDEX('Deal maths'!$F$1:$F$2000,$Y183+3))-AsAt,N(INDEX('Deal maths'!$O$1:$O$2000,$Y183-1997+3))))</f>
        <v/>
      </c>
      <c r="J183" s="99" t="str">
        <f>IF($Y183="","",IF($Y183&lt;=1997,INDEX('Term investments'!$J$1:$J$2000,$Y183+3),INDEX('Call accounts and MMFs'!$G$1:$G$2000,$Y183-1997+3))&amp;"")</f>
        <v/>
      </c>
      <c r="K183" s="92" t="str">
        <f>IF($Y183="","",N(E183)*N(F183))</f>
        <v/>
      </c>
      <c r="L183" s="100" t="str">
        <f>IF($Y183="","",IF($Y183&lt;=1997,"Term investments, row "&amp;($Y183+3),"Call accounts and MMFs, row "&amp;($Y183-1997+3)))</f>
        <v/>
      </c>
      <c r="Y183" t="str">
        <f>IFERROR(MATCH(SMALL('List maths'!$E$4:$E$3997,175),'List maths'!$E$4:$E$3997,0),"")</f>
        <v/>
      </c>
    </row>
    <row r="184">
      <c r="B184" s="91" t="str">
        <f>IF($Y184="","",IF($Y184&lt;=1997,INDEX('Term investments'!$B$1:$B$2000,$Y184+3),INDEX('Call accounts and MMFs'!$B$1:$B$2000,$Y184-1997+3))&amp;"")</f>
        <v/>
      </c>
      <c r="C184" s="91" t="str">
        <f>IF($Y184="","",IF($Y184&lt;=1997,INDEX('Term investments'!$A$1:$A$2000,$Y184+3),INDEX('Call accounts and MMFs'!$A$1:$A$2000,$Y184-1997+3))&amp;"")</f>
        <v/>
      </c>
      <c r="D184" s="91" t="str">
        <f>IF($Y184="","",IF($Y184&lt;=1997,INDEX('Term investments'!$C$1:$C$2000,$Y184+3),INDEX('Call accounts and MMFs'!$C$1:$C$2000,$Y184-1997+3))&amp;"")</f>
        <v/>
      </c>
      <c r="E184" s="92" t="str">
        <f>IF($Y184="","",IF($Y184&lt;=1997,IF(N(INDEX('Deal maths'!$H$1:$H$2000,$Y184+3))&gt;0,N(INDEX('Deal maths'!$H$1:$H$2000,$Y184+3)),N(INDEX('Deal maths'!$D$1:$D$2000,$Y184+3))),N(INDEX('Deal maths'!$M$1:$M$2000,$Y184-1997+3))))</f>
        <v/>
      </c>
      <c r="F184" s="93" t="str">
        <f>IF($Y184="","",IF($Y184&lt;=1997,INDEX('Deal maths'!$G$1:$G$2000,$Y184+3),INDEX('Deal maths'!$N$1:$N$2000,$Y184-1997+3)))</f>
        <v/>
      </c>
      <c r="G184" s="94" t="str">
        <f>IF($Y184="","",IF($Y184&lt;=1997,INDEX('Deal maths'!$E$1:$E$2000,$Y184+3),""))</f>
        <v/>
      </c>
      <c r="H184" s="94" t="str">
        <f>IF($Y184="","",IF($Y184&lt;=1997,INDEX('Deal maths'!$F$1:$F$2000,$Y184+3),""))</f>
        <v/>
      </c>
      <c r="I184" s="98" t="str">
        <f>IF($Y184="","",IF($Y184&lt;=1997,N(INDEX('Deal maths'!$F$1:$F$2000,$Y184+3))-AsAt,N(INDEX('Deal maths'!$O$1:$O$2000,$Y184-1997+3))))</f>
        <v/>
      </c>
      <c r="J184" s="99" t="str">
        <f>IF($Y184="","",IF($Y184&lt;=1997,INDEX('Term investments'!$J$1:$J$2000,$Y184+3),INDEX('Call accounts and MMFs'!$G$1:$G$2000,$Y184-1997+3))&amp;"")</f>
        <v/>
      </c>
      <c r="K184" s="92" t="str">
        <f>IF($Y184="","",N(E184)*N(F184))</f>
        <v/>
      </c>
      <c r="L184" s="100" t="str">
        <f>IF($Y184="","",IF($Y184&lt;=1997,"Term investments, row "&amp;($Y184+3),"Call accounts and MMFs, row "&amp;($Y184-1997+3)))</f>
        <v/>
      </c>
      <c r="Y184" t="str">
        <f>IFERROR(MATCH(SMALL('List maths'!$E$4:$E$3997,176),'List maths'!$E$4:$E$3997,0),"")</f>
        <v/>
      </c>
    </row>
    <row r="185">
      <c r="B185" s="91" t="str">
        <f>IF($Y185="","",IF($Y185&lt;=1997,INDEX('Term investments'!$B$1:$B$2000,$Y185+3),INDEX('Call accounts and MMFs'!$B$1:$B$2000,$Y185-1997+3))&amp;"")</f>
        <v/>
      </c>
      <c r="C185" s="91" t="str">
        <f>IF($Y185="","",IF($Y185&lt;=1997,INDEX('Term investments'!$A$1:$A$2000,$Y185+3),INDEX('Call accounts and MMFs'!$A$1:$A$2000,$Y185-1997+3))&amp;"")</f>
        <v/>
      </c>
      <c r="D185" s="91" t="str">
        <f>IF($Y185="","",IF($Y185&lt;=1997,INDEX('Term investments'!$C$1:$C$2000,$Y185+3),INDEX('Call accounts and MMFs'!$C$1:$C$2000,$Y185-1997+3))&amp;"")</f>
        <v/>
      </c>
      <c r="E185" s="92" t="str">
        <f>IF($Y185="","",IF($Y185&lt;=1997,IF(N(INDEX('Deal maths'!$H$1:$H$2000,$Y185+3))&gt;0,N(INDEX('Deal maths'!$H$1:$H$2000,$Y185+3)),N(INDEX('Deal maths'!$D$1:$D$2000,$Y185+3))),N(INDEX('Deal maths'!$M$1:$M$2000,$Y185-1997+3))))</f>
        <v/>
      </c>
      <c r="F185" s="93" t="str">
        <f>IF($Y185="","",IF($Y185&lt;=1997,INDEX('Deal maths'!$G$1:$G$2000,$Y185+3),INDEX('Deal maths'!$N$1:$N$2000,$Y185-1997+3)))</f>
        <v/>
      </c>
      <c r="G185" s="94" t="str">
        <f>IF($Y185="","",IF($Y185&lt;=1997,INDEX('Deal maths'!$E$1:$E$2000,$Y185+3),""))</f>
        <v/>
      </c>
      <c r="H185" s="94" t="str">
        <f>IF($Y185="","",IF($Y185&lt;=1997,INDEX('Deal maths'!$F$1:$F$2000,$Y185+3),""))</f>
        <v/>
      </c>
      <c r="I185" s="98" t="str">
        <f>IF($Y185="","",IF($Y185&lt;=1997,N(INDEX('Deal maths'!$F$1:$F$2000,$Y185+3))-AsAt,N(INDEX('Deal maths'!$O$1:$O$2000,$Y185-1997+3))))</f>
        <v/>
      </c>
      <c r="J185" s="99" t="str">
        <f>IF($Y185="","",IF($Y185&lt;=1997,INDEX('Term investments'!$J$1:$J$2000,$Y185+3),INDEX('Call accounts and MMFs'!$G$1:$G$2000,$Y185-1997+3))&amp;"")</f>
        <v/>
      </c>
      <c r="K185" s="92" t="str">
        <f>IF($Y185="","",N(E185)*N(F185))</f>
        <v/>
      </c>
      <c r="L185" s="100" t="str">
        <f>IF($Y185="","",IF($Y185&lt;=1997,"Term investments, row "&amp;($Y185+3),"Call accounts and MMFs, row "&amp;($Y185-1997+3)))</f>
        <v/>
      </c>
      <c r="Y185" t="str">
        <f>IFERROR(MATCH(SMALL('List maths'!$E$4:$E$3997,177),'List maths'!$E$4:$E$3997,0),"")</f>
        <v/>
      </c>
    </row>
    <row r="186">
      <c r="B186" s="91" t="str">
        <f>IF($Y186="","",IF($Y186&lt;=1997,INDEX('Term investments'!$B$1:$B$2000,$Y186+3),INDEX('Call accounts and MMFs'!$B$1:$B$2000,$Y186-1997+3))&amp;"")</f>
        <v/>
      </c>
      <c r="C186" s="91" t="str">
        <f>IF($Y186="","",IF($Y186&lt;=1997,INDEX('Term investments'!$A$1:$A$2000,$Y186+3),INDEX('Call accounts and MMFs'!$A$1:$A$2000,$Y186-1997+3))&amp;"")</f>
        <v/>
      </c>
      <c r="D186" s="91" t="str">
        <f>IF($Y186="","",IF($Y186&lt;=1997,INDEX('Term investments'!$C$1:$C$2000,$Y186+3),INDEX('Call accounts and MMFs'!$C$1:$C$2000,$Y186-1997+3))&amp;"")</f>
        <v/>
      </c>
      <c r="E186" s="92" t="str">
        <f>IF($Y186="","",IF($Y186&lt;=1997,IF(N(INDEX('Deal maths'!$H$1:$H$2000,$Y186+3))&gt;0,N(INDEX('Deal maths'!$H$1:$H$2000,$Y186+3)),N(INDEX('Deal maths'!$D$1:$D$2000,$Y186+3))),N(INDEX('Deal maths'!$M$1:$M$2000,$Y186-1997+3))))</f>
        <v/>
      </c>
      <c r="F186" s="93" t="str">
        <f>IF($Y186="","",IF($Y186&lt;=1997,INDEX('Deal maths'!$G$1:$G$2000,$Y186+3),INDEX('Deal maths'!$N$1:$N$2000,$Y186-1997+3)))</f>
        <v/>
      </c>
      <c r="G186" s="94" t="str">
        <f>IF($Y186="","",IF($Y186&lt;=1997,INDEX('Deal maths'!$E$1:$E$2000,$Y186+3),""))</f>
        <v/>
      </c>
      <c r="H186" s="94" t="str">
        <f>IF($Y186="","",IF($Y186&lt;=1997,INDEX('Deal maths'!$F$1:$F$2000,$Y186+3),""))</f>
        <v/>
      </c>
      <c r="I186" s="98" t="str">
        <f>IF($Y186="","",IF($Y186&lt;=1997,N(INDEX('Deal maths'!$F$1:$F$2000,$Y186+3))-AsAt,N(INDEX('Deal maths'!$O$1:$O$2000,$Y186-1997+3))))</f>
        <v/>
      </c>
      <c r="J186" s="99" t="str">
        <f>IF($Y186="","",IF($Y186&lt;=1997,INDEX('Term investments'!$J$1:$J$2000,$Y186+3),INDEX('Call accounts and MMFs'!$G$1:$G$2000,$Y186-1997+3))&amp;"")</f>
        <v/>
      </c>
      <c r="K186" s="92" t="str">
        <f>IF($Y186="","",N(E186)*N(F186))</f>
        <v/>
      </c>
      <c r="L186" s="100" t="str">
        <f>IF($Y186="","",IF($Y186&lt;=1997,"Term investments, row "&amp;($Y186+3),"Call accounts and MMFs, row "&amp;($Y186-1997+3)))</f>
        <v/>
      </c>
      <c r="Y186" t="str">
        <f>IFERROR(MATCH(SMALL('List maths'!$E$4:$E$3997,178),'List maths'!$E$4:$E$3997,0),"")</f>
        <v/>
      </c>
    </row>
    <row r="187">
      <c r="B187" s="91" t="str">
        <f>IF($Y187="","",IF($Y187&lt;=1997,INDEX('Term investments'!$B$1:$B$2000,$Y187+3),INDEX('Call accounts and MMFs'!$B$1:$B$2000,$Y187-1997+3))&amp;"")</f>
        <v/>
      </c>
      <c r="C187" s="91" t="str">
        <f>IF($Y187="","",IF($Y187&lt;=1997,INDEX('Term investments'!$A$1:$A$2000,$Y187+3),INDEX('Call accounts and MMFs'!$A$1:$A$2000,$Y187-1997+3))&amp;"")</f>
        <v/>
      </c>
      <c r="D187" s="91" t="str">
        <f>IF($Y187="","",IF($Y187&lt;=1997,INDEX('Term investments'!$C$1:$C$2000,$Y187+3),INDEX('Call accounts and MMFs'!$C$1:$C$2000,$Y187-1997+3))&amp;"")</f>
        <v/>
      </c>
      <c r="E187" s="92" t="str">
        <f>IF($Y187="","",IF($Y187&lt;=1997,IF(N(INDEX('Deal maths'!$H$1:$H$2000,$Y187+3))&gt;0,N(INDEX('Deal maths'!$H$1:$H$2000,$Y187+3)),N(INDEX('Deal maths'!$D$1:$D$2000,$Y187+3))),N(INDEX('Deal maths'!$M$1:$M$2000,$Y187-1997+3))))</f>
        <v/>
      </c>
      <c r="F187" s="93" t="str">
        <f>IF($Y187="","",IF($Y187&lt;=1997,INDEX('Deal maths'!$G$1:$G$2000,$Y187+3),INDEX('Deal maths'!$N$1:$N$2000,$Y187-1997+3)))</f>
        <v/>
      </c>
      <c r="G187" s="94" t="str">
        <f>IF($Y187="","",IF($Y187&lt;=1997,INDEX('Deal maths'!$E$1:$E$2000,$Y187+3),""))</f>
        <v/>
      </c>
      <c r="H187" s="94" t="str">
        <f>IF($Y187="","",IF($Y187&lt;=1997,INDEX('Deal maths'!$F$1:$F$2000,$Y187+3),""))</f>
        <v/>
      </c>
      <c r="I187" s="98" t="str">
        <f>IF($Y187="","",IF($Y187&lt;=1997,N(INDEX('Deal maths'!$F$1:$F$2000,$Y187+3))-AsAt,N(INDEX('Deal maths'!$O$1:$O$2000,$Y187-1997+3))))</f>
        <v/>
      </c>
      <c r="J187" s="99" t="str">
        <f>IF($Y187="","",IF($Y187&lt;=1997,INDEX('Term investments'!$J$1:$J$2000,$Y187+3),INDEX('Call accounts and MMFs'!$G$1:$G$2000,$Y187-1997+3))&amp;"")</f>
        <v/>
      </c>
      <c r="K187" s="92" t="str">
        <f>IF($Y187="","",N(E187)*N(F187))</f>
        <v/>
      </c>
      <c r="L187" s="100" t="str">
        <f>IF($Y187="","",IF($Y187&lt;=1997,"Term investments, row "&amp;($Y187+3),"Call accounts and MMFs, row "&amp;($Y187-1997+3)))</f>
        <v/>
      </c>
      <c r="Y187" t="str">
        <f>IFERROR(MATCH(SMALL('List maths'!$E$4:$E$3997,179),'List maths'!$E$4:$E$3997,0),"")</f>
        <v/>
      </c>
    </row>
    <row r="188">
      <c r="B188" s="91" t="str">
        <f>IF($Y188="","",IF($Y188&lt;=1997,INDEX('Term investments'!$B$1:$B$2000,$Y188+3),INDEX('Call accounts and MMFs'!$B$1:$B$2000,$Y188-1997+3))&amp;"")</f>
        <v/>
      </c>
      <c r="C188" s="91" t="str">
        <f>IF($Y188="","",IF($Y188&lt;=1997,INDEX('Term investments'!$A$1:$A$2000,$Y188+3),INDEX('Call accounts and MMFs'!$A$1:$A$2000,$Y188-1997+3))&amp;"")</f>
        <v/>
      </c>
      <c r="D188" s="91" t="str">
        <f>IF($Y188="","",IF($Y188&lt;=1997,INDEX('Term investments'!$C$1:$C$2000,$Y188+3),INDEX('Call accounts and MMFs'!$C$1:$C$2000,$Y188-1997+3))&amp;"")</f>
        <v/>
      </c>
      <c r="E188" s="92" t="str">
        <f>IF($Y188="","",IF($Y188&lt;=1997,IF(N(INDEX('Deal maths'!$H$1:$H$2000,$Y188+3))&gt;0,N(INDEX('Deal maths'!$H$1:$H$2000,$Y188+3)),N(INDEX('Deal maths'!$D$1:$D$2000,$Y188+3))),N(INDEX('Deal maths'!$M$1:$M$2000,$Y188-1997+3))))</f>
        <v/>
      </c>
      <c r="F188" s="93" t="str">
        <f>IF($Y188="","",IF($Y188&lt;=1997,INDEX('Deal maths'!$G$1:$G$2000,$Y188+3),INDEX('Deal maths'!$N$1:$N$2000,$Y188-1997+3)))</f>
        <v/>
      </c>
      <c r="G188" s="94" t="str">
        <f>IF($Y188="","",IF($Y188&lt;=1997,INDEX('Deal maths'!$E$1:$E$2000,$Y188+3),""))</f>
        <v/>
      </c>
      <c r="H188" s="94" t="str">
        <f>IF($Y188="","",IF($Y188&lt;=1997,INDEX('Deal maths'!$F$1:$F$2000,$Y188+3),""))</f>
        <v/>
      </c>
      <c r="I188" s="98" t="str">
        <f>IF($Y188="","",IF($Y188&lt;=1997,N(INDEX('Deal maths'!$F$1:$F$2000,$Y188+3))-AsAt,N(INDEX('Deal maths'!$O$1:$O$2000,$Y188-1997+3))))</f>
        <v/>
      </c>
      <c r="J188" s="99" t="str">
        <f>IF($Y188="","",IF($Y188&lt;=1997,INDEX('Term investments'!$J$1:$J$2000,$Y188+3),INDEX('Call accounts and MMFs'!$G$1:$G$2000,$Y188-1997+3))&amp;"")</f>
        <v/>
      </c>
      <c r="K188" s="92" t="str">
        <f>IF($Y188="","",N(E188)*N(F188))</f>
        <v/>
      </c>
      <c r="L188" s="100" t="str">
        <f>IF($Y188="","",IF($Y188&lt;=1997,"Term investments, row "&amp;($Y188+3),"Call accounts and MMFs, row "&amp;($Y188-1997+3)))</f>
        <v/>
      </c>
      <c r="Y188" t="str">
        <f>IFERROR(MATCH(SMALL('List maths'!$E$4:$E$3997,180),'List maths'!$E$4:$E$3997,0),"")</f>
        <v/>
      </c>
    </row>
    <row r="189">
      <c r="B189" s="91" t="str">
        <f>IF($Y189="","",IF($Y189&lt;=1997,INDEX('Term investments'!$B$1:$B$2000,$Y189+3),INDEX('Call accounts and MMFs'!$B$1:$B$2000,$Y189-1997+3))&amp;"")</f>
        <v/>
      </c>
      <c r="C189" s="91" t="str">
        <f>IF($Y189="","",IF($Y189&lt;=1997,INDEX('Term investments'!$A$1:$A$2000,$Y189+3),INDEX('Call accounts and MMFs'!$A$1:$A$2000,$Y189-1997+3))&amp;"")</f>
        <v/>
      </c>
      <c r="D189" s="91" t="str">
        <f>IF($Y189="","",IF($Y189&lt;=1997,INDEX('Term investments'!$C$1:$C$2000,$Y189+3),INDEX('Call accounts and MMFs'!$C$1:$C$2000,$Y189-1997+3))&amp;"")</f>
        <v/>
      </c>
      <c r="E189" s="92" t="str">
        <f>IF($Y189="","",IF($Y189&lt;=1997,IF(N(INDEX('Deal maths'!$H$1:$H$2000,$Y189+3))&gt;0,N(INDEX('Deal maths'!$H$1:$H$2000,$Y189+3)),N(INDEX('Deal maths'!$D$1:$D$2000,$Y189+3))),N(INDEX('Deal maths'!$M$1:$M$2000,$Y189-1997+3))))</f>
        <v/>
      </c>
      <c r="F189" s="93" t="str">
        <f>IF($Y189="","",IF($Y189&lt;=1997,INDEX('Deal maths'!$G$1:$G$2000,$Y189+3),INDEX('Deal maths'!$N$1:$N$2000,$Y189-1997+3)))</f>
        <v/>
      </c>
      <c r="G189" s="94" t="str">
        <f>IF($Y189="","",IF($Y189&lt;=1997,INDEX('Deal maths'!$E$1:$E$2000,$Y189+3),""))</f>
        <v/>
      </c>
      <c r="H189" s="94" t="str">
        <f>IF($Y189="","",IF($Y189&lt;=1997,INDEX('Deal maths'!$F$1:$F$2000,$Y189+3),""))</f>
        <v/>
      </c>
      <c r="I189" s="98" t="str">
        <f>IF($Y189="","",IF($Y189&lt;=1997,N(INDEX('Deal maths'!$F$1:$F$2000,$Y189+3))-AsAt,N(INDEX('Deal maths'!$O$1:$O$2000,$Y189-1997+3))))</f>
        <v/>
      </c>
      <c r="J189" s="99" t="str">
        <f>IF($Y189="","",IF($Y189&lt;=1997,INDEX('Term investments'!$J$1:$J$2000,$Y189+3),INDEX('Call accounts and MMFs'!$G$1:$G$2000,$Y189-1997+3))&amp;"")</f>
        <v/>
      </c>
      <c r="K189" s="92" t="str">
        <f>IF($Y189="","",N(E189)*N(F189))</f>
        <v/>
      </c>
      <c r="L189" s="100" t="str">
        <f>IF($Y189="","",IF($Y189&lt;=1997,"Term investments, row "&amp;($Y189+3),"Call accounts and MMFs, row "&amp;($Y189-1997+3)))</f>
        <v/>
      </c>
      <c r="Y189" t="str">
        <f>IFERROR(MATCH(SMALL('List maths'!$E$4:$E$3997,181),'List maths'!$E$4:$E$3997,0),"")</f>
        <v/>
      </c>
    </row>
    <row r="190">
      <c r="B190" s="91" t="str">
        <f>IF($Y190="","",IF($Y190&lt;=1997,INDEX('Term investments'!$B$1:$B$2000,$Y190+3),INDEX('Call accounts and MMFs'!$B$1:$B$2000,$Y190-1997+3))&amp;"")</f>
        <v/>
      </c>
      <c r="C190" s="91" t="str">
        <f>IF($Y190="","",IF($Y190&lt;=1997,INDEX('Term investments'!$A$1:$A$2000,$Y190+3),INDEX('Call accounts and MMFs'!$A$1:$A$2000,$Y190-1997+3))&amp;"")</f>
        <v/>
      </c>
      <c r="D190" s="91" t="str">
        <f>IF($Y190="","",IF($Y190&lt;=1997,INDEX('Term investments'!$C$1:$C$2000,$Y190+3),INDEX('Call accounts and MMFs'!$C$1:$C$2000,$Y190-1997+3))&amp;"")</f>
        <v/>
      </c>
      <c r="E190" s="92" t="str">
        <f>IF($Y190="","",IF($Y190&lt;=1997,IF(N(INDEX('Deal maths'!$H$1:$H$2000,$Y190+3))&gt;0,N(INDEX('Deal maths'!$H$1:$H$2000,$Y190+3)),N(INDEX('Deal maths'!$D$1:$D$2000,$Y190+3))),N(INDEX('Deal maths'!$M$1:$M$2000,$Y190-1997+3))))</f>
        <v/>
      </c>
      <c r="F190" s="93" t="str">
        <f>IF($Y190="","",IF($Y190&lt;=1997,INDEX('Deal maths'!$G$1:$G$2000,$Y190+3),INDEX('Deal maths'!$N$1:$N$2000,$Y190-1997+3)))</f>
        <v/>
      </c>
      <c r="G190" s="94" t="str">
        <f>IF($Y190="","",IF($Y190&lt;=1997,INDEX('Deal maths'!$E$1:$E$2000,$Y190+3),""))</f>
        <v/>
      </c>
      <c r="H190" s="94" t="str">
        <f>IF($Y190="","",IF($Y190&lt;=1997,INDEX('Deal maths'!$F$1:$F$2000,$Y190+3),""))</f>
        <v/>
      </c>
      <c r="I190" s="98" t="str">
        <f>IF($Y190="","",IF($Y190&lt;=1997,N(INDEX('Deal maths'!$F$1:$F$2000,$Y190+3))-AsAt,N(INDEX('Deal maths'!$O$1:$O$2000,$Y190-1997+3))))</f>
        <v/>
      </c>
      <c r="J190" s="99" t="str">
        <f>IF($Y190="","",IF($Y190&lt;=1997,INDEX('Term investments'!$J$1:$J$2000,$Y190+3),INDEX('Call accounts and MMFs'!$G$1:$G$2000,$Y190-1997+3))&amp;"")</f>
        <v/>
      </c>
      <c r="K190" s="92" t="str">
        <f>IF($Y190="","",N(E190)*N(F190))</f>
        <v/>
      </c>
      <c r="L190" s="100" t="str">
        <f>IF($Y190="","",IF($Y190&lt;=1997,"Term investments, row "&amp;($Y190+3),"Call accounts and MMFs, row "&amp;($Y190-1997+3)))</f>
        <v/>
      </c>
      <c r="Y190" t="str">
        <f>IFERROR(MATCH(SMALL('List maths'!$E$4:$E$3997,182),'List maths'!$E$4:$E$3997,0),"")</f>
        <v/>
      </c>
    </row>
    <row r="191">
      <c r="B191" s="91" t="str">
        <f>IF($Y191="","",IF($Y191&lt;=1997,INDEX('Term investments'!$B$1:$B$2000,$Y191+3),INDEX('Call accounts and MMFs'!$B$1:$B$2000,$Y191-1997+3))&amp;"")</f>
        <v/>
      </c>
      <c r="C191" s="91" t="str">
        <f>IF($Y191="","",IF($Y191&lt;=1997,INDEX('Term investments'!$A$1:$A$2000,$Y191+3),INDEX('Call accounts and MMFs'!$A$1:$A$2000,$Y191-1997+3))&amp;"")</f>
        <v/>
      </c>
      <c r="D191" s="91" t="str">
        <f>IF($Y191="","",IF($Y191&lt;=1997,INDEX('Term investments'!$C$1:$C$2000,$Y191+3),INDEX('Call accounts and MMFs'!$C$1:$C$2000,$Y191-1997+3))&amp;"")</f>
        <v/>
      </c>
      <c r="E191" s="92" t="str">
        <f>IF($Y191="","",IF($Y191&lt;=1997,IF(N(INDEX('Deal maths'!$H$1:$H$2000,$Y191+3))&gt;0,N(INDEX('Deal maths'!$H$1:$H$2000,$Y191+3)),N(INDEX('Deal maths'!$D$1:$D$2000,$Y191+3))),N(INDEX('Deal maths'!$M$1:$M$2000,$Y191-1997+3))))</f>
        <v/>
      </c>
      <c r="F191" s="93" t="str">
        <f>IF($Y191="","",IF($Y191&lt;=1997,INDEX('Deal maths'!$G$1:$G$2000,$Y191+3),INDEX('Deal maths'!$N$1:$N$2000,$Y191-1997+3)))</f>
        <v/>
      </c>
      <c r="G191" s="94" t="str">
        <f>IF($Y191="","",IF($Y191&lt;=1997,INDEX('Deal maths'!$E$1:$E$2000,$Y191+3),""))</f>
        <v/>
      </c>
      <c r="H191" s="94" t="str">
        <f>IF($Y191="","",IF($Y191&lt;=1997,INDEX('Deal maths'!$F$1:$F$2000,$Y191+3),""))</f>
        <v/>
      </c>
      <c r="I191" s="98" t="str">
        <f>IF($Y191="","",IF($Y191&lt;=1997,N(INDEX('Deal maths'!$F$1:$F$2000,$Y191+3))-AsAt,N(INDEX('Deal maths'!$O$1:$O$2000,$Y191-1997+3))))</f>
        <v/>
      </c>
      <c r="J191" s="99" t="str">
        <f>IF($Y191="","",IF($Y191&lt;=1997,INDEX('Term investments'!$J$1:$J$2000,$Y191+3),INDEX('Call accounts and MMFs'!$G$1:$G$2000,$Y191-1997+3))&amp;"")</f>
        <v/>
      </c>
      <c r="K191" s="92" t="str">
        <f>IF($Y191="","",N(E191)*N(F191))</f>
        <v/>
      </c>
      <c r="L191" s="100" t="str">
        <f>IF($Y191="","",IF($Y191&lt;=1997,"Term investments, row "&amp;($Y191+3),"Call accounts and MMFs, row "&amp;($Y191-1997+3)))</f>
        <v/>
      </c>
      <c r="Y191" t="str">
        <f>IFERROR(MATCH(SMALL('List maths'!$E$4:$E$3997,183),'List maths'!$E$4:$E$3997,0),"")</f>
        <v/>
      </c>
    </row>
    <row r="192">
      <c r="B192" s="91" t="str">
        <f>IF($Y192="","",IF($Y192&lt;=1997,INDEX('Term investments'!$B$1:$B$2000,$Y192+3),INDEX('Call accounts and MMFs'!$B$1:$B$2000,$Y192-1997+3))&amp;"")</f>
        <v/>
      </c>
      <c r="C192" s="91" t="str">
        <f>IF($Y192="","",IF($Y192&lt;=1997,INDEX('Term investments'!$A$1:$A$2000,$Y192+3),INDEX('Call accounts and MMFs'!$A$1:$A$2000,$Y192-1997+3))&amp;"")</f>
        <v/>
      </c>
      <c r="D192" s="91" t="str">
        <f>IF($Y192="","",IF($Y192&lt;=1997,INDEX('Term investments'!$C$1:$C$2000,$Y192+3),INDEX('Call accounts and MMFs'!$C$1:$C$2000,$Y192-1997+3))&amp;"")</f>
        <v/>
      </c>
      <c r="E192" s="92" t="str">
        <f>IF($Y192="","",IF($Y192&lt;=1997,IF(N(INDEX('Deal maths'!$H$1:$H$2000,$Y192+3))&gt;0,N(INDEX('Deal maths'!$H$1:$H$2000,$Y192+3)),N(INDEX('Deal maths'!$D$1:$D$2000,$Y192+3))),N(INDEX('Deal maths'!$M$1:$M$2000,$Y192-1997+3))))</f>
        <v/>
      </c>
      <c r="F192" s="93" t="str">
        <f>IF($Y192="","",IF($Y192&lt;=1997,INDEX('Deal maths'!$G$1:$G$2000,$Y192+3),INDEX('Deal maths'!$N$1:$N$2000,$Y192-1997+3)))</f>
        <v/>
      </c>
      <c r="G192" s="94" t="str">
        <f>IF($Y192="","",IF($Y192&lt;=1997,INDEX('Deal maths'!$E$1:$E$2000,$Y192+3),""))</f>
        <v/>
      </c>
      <c r="H192" s="94" t="str">
        <f>IF($Y192="","",IF($Y192&lt;=1997,INDEX('Deal maths'!$F$1:$F$2000,$Y192+3),""))</f>
        <v/>
      </c>
      <c r="I192" s="98" t="str">
        <f>IF($Y192="","",IF($Y192&lt;=1997,N(INDEX('Deal maths'!$F$1:$F$2000,$Y192+3))-AsAt,N(INDEX('Deal maths'!$O$1:$O$2000,$Y192-1997+3))))</f>
        <v/>
      </c>
      <c r="J192" s="99" t="str">
        <f>IF($Y192="","",IF($Y192&lt;=1997,INDEX('Term investments'!$J$1:$J$2000,$Y192+3),INDEX('Call accounts and MMFs'!$G$1:$G$2000,$Y192-1997+3))&amp;"")</f>
        <v/>
      </c>
      <c r="K192" s="92" t="str">
        <f>IF($Y192="","",N(E192)*N(F192))</f>
        <v/>
      </c>
      <c r="L192" s="100" t="str">
        <f>IF($Y192="","",IF($Y192&lt;=1997,"Term investments, row "&amp;($Y192+3),"Call accounts and MMFs, row "&amp;($Y192-1997+3)))</f>
        <v/>
      </c>
      <c r="Y192" t="str">
        <f>IFERROR(MATCH(SMALL('List maths'!$E$4:$E$3997,184),'List maths'!$E$4:$E$3997,0),"")</f>
        <v/>
      </c>
    </row>
    <row r="193">
      <c r="B193" s="91" t="str">
        <f>IF($Y193="","",IF($Y193&lt;=1997,INDEX('Term investments'!$B$1:$B$2000,$Y193+3),INDEX('Call accounts and MMFs'!$B$1:$B$2000,$Y193-1997+3))&amp;"")</f>
        <v/>
      </c>
      <c r="C193" s="91" t="str">
        <f>IF($Y193="","",IF($Y193&lt;=1997,INDEX('Term investments'!$A$1:$A$2000,$Y193+3),INDEX('Call accounts and MMFs'!$A$1:$A$2000,$Y193-1997+3))&amp;"")</f>
        <v/>
      </c>
      <c r="D193" s="91" t="str">
        <f>IF($Y193="","",IF($Y193&lt;=1997,INDEX('Term investments'!$C$1:$C$2000,$Y193+3),INDEX('Call accounts and MMFs'!$C$1:$C$2000,$Y193-1997+3))&amp;"")</f>
        <v/>
      </c>
      <c r="E193" s="92" t="str">
        <f>IF($Y193="","",IF($Y193&lt;=1997,IF(N(INDEX('Deal maths'!$H$1:$H$2000,$Y193+3))&gt;0,N(INDEX('Deal maths'!$H$1:$H$2000,$Y193+3)),N(INDEX('Deal maths'!$D$1:$D$2000,$Y193+3))),N(INDEX('Deal maths'!$M$1:$M$2000,$Y193-1997+3))))</f>
        <v/>
      </c>
      <c r="F193" s="93" t="str">
        <f>IF($Y193="","",IF($Y193&lt;=1997,INDEX('Deal maths'!$G$1:$G$2000,$Y193+3),INDEX('Deal maths'!$N$1:$N$2000,$Y193-1997+3)))</f>
        <v/>
      </c>
      <c r="G193" s="94" t="str">
        <f>IF($Y193="","",IF($Y193&lt;=1997,INDEX('Deal maths'!$E$1:$E$2000,$Y193+3),""))</f>
        <v/>
      </c>
      <c r="H193" s="94" t="str">
        <f>IF($Y193="","",IF($Y193&lt;=1997,INDEX('Deal maths'!$F$1:$F$2000,$Y193+3),""))</f>
        <v/>
      </c>
      <c r="I193" s="98" t="str">
        <f>IF($Y193="","",IF($Y193&lt;=1997,N(INDEX('Deal maths'!$F$1:$F$2000,$Y193+3))-AsAt,N(INDEX('Deal maths'!$O$1:$O$2000,$Y193-1997+3))))</f>
        <v/>
      </c>
      <c r="J193" s="99" t="str">
        <f>IF($Y193="","",IF($Y193&lt;=1997,INDEX('Term investments'!$J$1:$J$2000,$Y193+3),INDEX('Call accounts and MMFs'!$G$1:$G$2000,$Y193-1997+3))&amp;"")</f>
        <v/>
      </c>
      <c r="K193" s="92" t="str">
        <f>IF($Y193="","",N(E193)*N(F193))</f>
        <v/>
      </c>
      <c r="L193" s="100" t="str">
        <f>IF($Y193="","",IF($Y193&lt;=1997,"Term investments, row "&amp;($Y193+3),"Call accounts and MMFs, row "&amp;($Y193-1997+3)))</f>
        <v/>
      </c>
      <c r="Y193" t="str">
        <f>IFERROR(MATCH(SMALL('List maths'!$E$4:$E$3997,185),'List maths'!$E$4:$E$3997,0),"")</f>
        <v/>
      </c>
    </row>
    <row r="194">
      <c r="B194" s="91" t="str">
        <f>IF($Y194="","",IF($Y194&lt;=1997,INDEX('Term investments'!$B$1:$B$2000,$Y194+3),INDEX('Call accounts and MMFs'!$B$1:$B$2000,$Y194-1997+3))&amp;"")</f>
        <v/>
      </c>
      <c r="C194" s="91" t="str">
        <f>IF($Y194="","",IF($Y194&lt;=1997,INDEX('Term investments'!$A$1:$A$2000,$Y194+3),INDEX('Call accounts and MMFs'!$A$1:$A$2000,$Y194-1997+3))&amp;"")</f>
        <v/>
      </c>
      <c r="D194" s="91" t="str">
        <f>IF($Y194="","",IF($Y194&lt;=1997,INDEX('Term investments'!$C$1:$C$2000,$Y194+3),INDEX('Call accounts and MMFs'!$C$1:$C$2000,$Y194-1997+3))&amp;"")</f>
        <v/>
      </c>
      <c r="E194" s="92" t="str">
        <f>IF($Y194="","",IF($Y194&lt;=1997,IF(N(INDEX('Deal maths'!$H$1:$H$2000,$Y194+3))&gt;0,N(INDEX('Deal maths'!$H$1:$H$2000,$Y194+3)),N(INDEX('Deal maths'!$D$1:$D$2000,$Y194+3))),N(INDEX('Deal maths'!$M$1:$M$2000,$Y194-1997+3))))</f>
        <v/>
      </c>
      <c r="F194" s="93" t="str">
        <f>IF($Y194="","",IF($Y194&lt;=1997,INDEX('Deal maths'!$G$1:$G$2000,$Y194+3),INDEX('Deal maths'!$N$1:$N$2000,$Y194-1997+3)))</f>
        <v/>
      </c>
      <c r="G194" s="94" t="str">
        <f>IF($Y194="","",IF($Y194&lt;=1997,INDEX('Deal maths'!$E$1:$E$2000,$Y194+3),""))</f>
        <v/>
      </c>
      <c r="H194" s="94" t="str">
        <f>IF($Y194="","",IF($Y194&lt;=1997,INDEX('Deal maths'!$F$1:$F$2000,$Y194+3),""))</f>
        <v/>
      </c>
      <c r="I194" s="98" t="str">
        <f>IF($Y194="","",IF($Y194&lt;=1997,N(INDEX('Deal maths'!$F$1:$F$2000,$Y194+3))-AsAt,N(INDEX('Deal maths'!$O$1:$O$2000,$Y194-1997+3))))</f>
        <v/>
      </c>
      <c r="J194" s="99" t="str">
        <f>IF($Y194="","",IF($Y194&lt;=1997,INDEX('Term investments'!$J$1:$J$2000,$Y194+3),INDEX('Call accounts and MMFs'!$G$1:$G$2000,$Y194-1997+3))&amp;"")</f>
        <v/>
      </c>
      <c r="K194" s="92" t="str">
        <f>IF($Y194="","",N(E194)*N(F194))</f>
        <v/>
      </c>
      <c r="L194" s="100" t="str">
        <f>IF($Y194="","",IF($Y194&lt;=1997,"Term investments, row "&amp;($Y194+3),"Call accounts and MMFs, row "&amp;($Y194-1997+3)))</f>
        <v/>
      </c>
      <c r="Y194" t="str">
        <f>IFERROR(MATCH(SMALL('List maths'!$E$4:$E$3997,186),'List maths'!$E$4:$E$3997,0),"")</f>
        <v/>
      </c>
    </row>
    <row r="195">
      <c r="B195" s="91" t="str">
        <f>IF($Y195="","",IF($Y195&lt;=1997,INDEX('Term investments'!$B$1:$B$2000,$Y195+3),INDEX('Call accounts and MMFs'!$B$1:$B$2000,$Y195-1997+3))&amp;"")</f>
        <v/>
      </c>
      <c r="C195" s="91" t="str">
        <f>IF($Y195="","",IF($Y195&lt;=1997,INDEX('Term investments'!$A$1:$A$2000,$Y195+3),INDEX('Call accounts and MMFs'!$A$1:$A$2000,$Y195-1997+3))&amp;"")</f>
        <v/>
      </c>
      <c r="D195" s="91" t="str">
        <f>IF($Y195="","",IF($Y195&lt;=1997,INDEX('Term investments'!$C$1:$C$2000,$Y195+3),INDEX('Call accounts and MMFs'!$C$1:$C$2000,$Y195-1997+3))&amp;"")</f>
        <v/>
      </c>
      <c r="E195" s="92" t="str">
        <f>IF($Y195="","",IF($Y195&lt;=1997,IF(N(INDEX('Deal maths'!$H$1:$H$2000,$Y195+3))&gt;0,N(INDEX('Deal maths'!$H$1:$H$2000,$Y195+3)),N(INDEX('Deal maths'!$D$1:$D$2000,$Y195+3))),N(INDEX('Deal maths'!$M$1:$M$2000,$Y195-1997+3))))</f>
        <v/>
      </c>
      <c r="F195" s="93" t="str">
        <f>IF($Y195="","",IF($Y195&lt;=1997,INDEX('Deal maths'!$G$1:$G$2000,$Y195+3),INDEX('Deal maths'!$N$1:$N$2000,$Y195-1997+3)))</f>
        <v/>
      </c>
      <c r="G195" s="94" t="str">
        <f>IF($Y195="","",IF($Y195&lt;=1997,INDEX('Deal maths'!$E$1:$E$2000,$Y195+3),""))</f>
        <v/>
      </c>
      <c r="H195" s="94" t="str">
        <f>IF($Y195="","",IF($Y195&lt;=1997,INDEX('Deal maths'!$F$1:$F$2000,$Y195+3),""))</f>
        <v/>
      </c>
      <c r="I195" s="98" t="str">
        <f>IF($Y195="","",IF($Y195&lt;=1997,N(INDEX('Deal maths'!$F$1:$F$2000,$Y195+3))-AsAt,N(INDEX('Deal maths'!$O$1:$O$2000,$Y195-1997+3))))</f>
        <v/>
      </c>
      <c r="J195" s="99" t="str">
        <f>IF($Y195="","",IF($Y195&lt;=1997,INDEX('Term investments'!$J$1:$J$2000,$Y195+3),INDEX('Call accounts and MMFs'!$G$1:$G$2000,$Y195-1997+3))&amp;"")</f>
        <v/>
      </c>
      <c r="K195" s="92" t="str">
        <f>IF($Y195="","",N(E195)*N(F195))</f>
        <v/>
      </c>
      <c r="L195" s="100" t="str">
        <f>IF($Y195="","",IF($Y195&lt;=1997,"Term investments, row "&amp;($Y195+3),"Call accounts and MMFs, row "&amp;($Y195-1997+3)))</f>
        <v/>
      </c>
      <c r="Y195" t="str">
        <f>IFERROR(MATCH(SMALL('List maths'!$E$4:$E$3997,187),'List maths'!$E$4:$E$3997,0),"")</f>
        <v/>
      </c>
    </row>
    <row r="196">
      <c r="B196" s="91" t="str">
        <f>IF($Y196="","",IF($Y196&lt;=1997,INDEX('Term investments'!$B$1:$B$2000,$Y196+3),INDEX('Call accounts and MMFs'!$B$1:$B$2000,$Y196-1997+3))&amp;"")</f>
        <v/>
      </c>
      <c r="C196" s="91" t="str">
        <f>IF($Y196="","",IF($Y196&lt;=1997,INDEX('Term investments'!$A$1:$A$2000,$Y196+3),INDEX('Call accounts and MMFs'!$A$1:$A$2000,$Y196-1997+3))&amp;"")</f>
        <v/>
      </c>
      <c r="D196" s="91" t="str">
        <f>IF($Y196="","",IF($Y196&lt;=1997,INDEX('Term investments'!$C$1:$C$2000,$Y196+3),INDEX('Call accounts and MMFs'!$C$1:$C$2000,$Y196-1997+3))&amp;"")</f>
        <v/>
      </c>
      <c r="E196" s="92" t="str">
        <f>IF($Y196="","",IF($Y196&lt;=1997,IF(N(INDEX('Deal maths'!$H$1:$H$2000,$Y196+3))&gt;0,N(INDEX('Deal maths'!$H$1:$H$2000,$Y196+3)),N(INDEX('Deal maths'!$D$1:$D$2000,$Y196+3))),N(INDEX('Deal maths'!$M$1:$M$2000,$Y196-1997+3))))</f>
        <v/>
      </c>
      <c r="F196" s="93" t="str">
        <f>IF($Y196="","",IF($Y196&lt;=1997,INDEX('Deal maths'!$G$1:$G$2000,$Y196+3),INDEX('Deal maths'!$N$1:$N$2000,$Y196-1997+3)))</f>
        <v/>
      </c>
      <c r="G196" s="94" t="str">
        <f>IF($Y196="","",IF($Y196&lt;=1997,INDEX('Deal maths'!$E$1:$E$2000,$Y196+3),""))</f>
        <v/>
      </c>
      <c r="H196" s="94" t="str">
        <f>IF($Y196="","",IF($Y196&lt;=1997,INDEX('Deal maths'!$F$1:$F$2000,$Y196+3),""))</f>
        <v/>
      </c>
      <c r="I196" s="98" t="str">
        <f>IF($Y196="","",IF($Y196&lt;=1997,N(INDEX('Deal maths'!$F$1:$F$2000,$Y196+3))-AsAt,N(INDEX('Deal maths'!$O$1:$O$2000,$Y196-1997+3))))</f>
        <v/>
      </c>
      <c r="J196" s="99" t="str">
        <f>IF($Y196="","",IF($Y196&lt;=1997,INDEX('Term investments'!$J$1:$J$2000,$Y196+3),INDEX('Call accounts and MMFs'!$G$1:$G$2000,$Y196-1997+3))&amp;"")</f>
        <v/>
      </c>
      <c r="K196" s="92" t="str">
        <f>IF($Y196="","",N(E196)*N(F196))</f>
        <v/>
      </c>
      <c r="L196" s="100" t="str">
        <f>IF($Y196="","",IF($Y196&lt;=1997,"Term investments, row "&amp;($Y196+3),"Call accounts and MMFs, row "&amp;($Y196-1997+3)))</f>
        <v/>
      </c>
      <c r="Y196" t="str">
        <f>IFERROR(MATCH(SMALL('List maths'!$E$4:$E$3997,188),'List maths'!$E$4:$E$3997,0),"")</f>
        <v/>
      </c>
    </row>
    <row r="197">
      <c r="B197" s="91" t="str">
        <f>IF($Y197="","",IF($Y197&lt;=1997,INDEX('Term investments'!$B$1:$B$2000,$Y197+3),INDEX('Call accounts and MMFs'!$B$1:$B$2000,$Y197-1997+3))&amp;"")</f>
        <v/>
      </c>
      <c r="C197" s="91" t="str">
        <f>IF($Y197="","",IF($Y197&lt;=1997,INDEX('Term investments'!$A$1:$A$2000,$Y197+3),INDEX('Call accounts and MMFs'!$A$1:$A$2000,$Y197-1997+3))&amp;"")</f>
        <v/>
      </c>
      <c r="D197" s="91" t="str">
        <f>IF($Y197="","",IF($Y197&lt;=1997,INDEX('Term investments'!$C$1:$C$2000,$Y197+3),INDEX('Call accounts and MMFs'!$C$1:$C$2000,$Y197-1997+3))&amp;"")</f>
        <v/>
      </c>
      <c r="E197" s="92" t="str">
        <f>IF($Y197="","",IF($Y197&lt;=1997,IF(N(INDEX('Deal maths'!$H$1:$H$2000,$Y197+3))&gt;0,N(INDEX('Deal maths'!$H$1:$H$2000,$Y197+3)),N(INDEX('Deal maths'!$D$1:$D$2000,$Y197+3))),N(INDEX('Deal maths'!$M$1:$M$2000,$Y197-1997+3))))</f>
        <v/>
      </c>
      <c r="F197" s="93" t="str">
        <f>IF($Y197="","",IF($Y197&lt;=1997,INDEX('Deal maths'!$G$1:$G$2000,$Y197+3),INDEX('Deal maths'!$N$1:$N$2000,$Y197-1997+3)))</f>
        <v/>
      </c>
      <c r="G197" s="94" t="str">
        <f>IF($Y197="","",IF($Y197&lt;=1997,INDEX('Deal maths'!$E$1:$E$2000,$Y197+3),""))</f>
        <v/>
      </c>
      <c r="H197" s="94" t="str">
        <f>IF($Y197="","",IF($Y197&lt;=1997,INDEX('Deal maths'!$F$1:$F$2000,$Y197+3),""))</f>
        <v/>
      </c>
      <c r="I197" s="98" t="str">
        <f>IF($Y197="","",IF($Y197&lt;=1997,N(INDEX('Deal maths'!$F$1:$F$2000,$Y197+3))-AsAt,N(INDEX('Deal maths'!$O$1:$O$2000,$Y197-1997+3))))</f>
        <v/>
      </c>
      <c r="J197" s="99" t="str">
        <f>IF($Y197="","",IF($Y197&lt;=1997,INDEX('Term investments'!$J$1:$J$2000,$Y197+3),INDEX('Call accounts and MMFs'!$G$1:$G$2000,$Y197-1997+3))&amp;"")</f>
        <v/>
      </c>
      <c r="K197" s="92" t="str">
        <f>IF($Y197="","",N(E197)*N(F197))</f>
        <v/>
      </c>
      <c r="L197" s="100" t="str">
        <f>IF($Y197="","",IF($Y197&lt;=1997,"Term investments, row "&amp;($Y197+3),"Call accounts and MMFs, row "&amp;($Y197-1997+3)))</f>
        <v/>
      </c>
      <c r="Y197" t="str">
        <f>IFERROR(MATCH(SMALL('List maths'!$E$4:$E$3997,189),'List maths'!$E$4:$E$3997,0),"")</f>
        <v/>
      </c>
    </row>
    <row r="198">
      <c r="B198" s="91" t="str">
        <f>IF($Y198="","",IF($Y198&lt;=1997,INDEX('Term investments'!$B$1:$B$2000,$Y198+3),INDEX('Call accounts and MMFs'!$B$1:$B$2000,$Y198-1997+3))&amp;"")</f>
        <v/>
      </c>
      <c r="C198" s="91" t="str">
        <f>IF($Y198="","",IF($Y198&lt;=1997,INDEX('Term investments'!$A$1:$A$2000,$Y198+3),INDEX('Call accounts and MMFs'!$A$1:$A$2000,$Y198-1997+3))&amp;"")</f>
        <v/>
      </c>
      <c r="D198" s="91" t="str">
        <f>IF($Y198="","",IF($Y198&lt;=1997,INDEX('Term investments'!$C$1:$C$2000,$Y198+3),INDEX('Call accounts and MMFs'!$C$1:$C$2000,$Y198-1997+3))&amp;"")</f>
        <v/>
      </c>
      <c r="E198" s="92" t="str">
        <f>IF($Y198="","",IF($Y198&lt;=1997,IF(N(INDEX('Deal maths'!$H$1:$H$2000,$Y198+3))&gt;0,N(INDEX('Deal maths'!$H$1:$H$2000,$Y198+3)),N(INDEX('Deal maths'!$D$1:$D$2000,$Y198+3))),N(INDEX('Deal maths'!$M$1:$M$2000,$Y198-1997+3))))</f>
        <v/>
      </c>
      <c r="F198" s="93" t="str">
        <f>IF($Y198="","",IF($Y198&lt;=1997,INDEX('Deal maths'!$G$1:$G$2000,$Y198+3),INDEX('Deal maths'!$N$1:$N$2000,$Y198-1997+3)))</f>
        <v/>
      </c>
      <c r="G198" s="94" t="str">
        <f>IF($Y198="","",IF($Y198&lt;=1997,INDEX('Deal maths'!$E$1:$E$2000,$Y198+3),""))</f>
        <v/>
      </c>
      <c r="H198" s="94" t="str">
        <f>IF($Y198="","",IF($Y198&lt;=1997,INDEX('Deal maths'!$F$1:$F$2000,$Y198+3),""))</f>
        <v/>
      </c>
      <c r="I198" s="98" t="str">
        <f>IF($Y198="","",IF($Y198&lt;=1997,N(INDEX('Deal maths'!$F$1:$F$2000,$Y198+3))-AsAt,N(INDEX('Deal maths'!$O$1:$O$2000,$Y198-1997+3))))</f>
        <v/>
      </c>
      <c r="J198" s="99" t="str">
        <f>IF($Y198="","",IF($Y198&lt;=1997,INDEX('Term investments'!$J$1:$J$2000,$Y198+3),INDEX('Call accounts and MMFs'!$G$1:$G$2000,$Y198-1997+3))&amp;"")</f>
        <v/>
      </c>
      <c r="K198" s="92" t="str">
        <f>IF($Y198="","",N(E198)*N(F198))</f>
        <v/>
      </c>
      <c r="L198" s="100" t="str">
        <f>IF($Y198="","",IF($Y198&lt;=1997,"Term investments, row "&amp;($Y198+3),"Call accounts and MMFs, row "&amp;($Y198-1997+3)))</f>
        <v/>
      </c>
      <c r="Y198" t="str">
        <f>IFERROR(MATCH(SMALL('List maths'!$E$4:$E$3997,190),'List maths'!$E$4:$E$3997,0),"")</f>
        <v/>
      </c>
    </row>
    <row r="199">
      <c r="B199" s="91" t="str">
        <f>IF($Y199="","",IF($Y199&lt;=1997,INDEX('Term investments'!$B$1:$B$2000,$Y199+3),INDEX('Call accounts and MMFs'!$B$1:$B$2000,$Y199-1997+3))&amp;"")</f>
        <v/>
      </c>
      <c r="C199" s="91" t="str">
        <f>IF($Y199="","",IF($Y199&lt;=1997,INDEX('Term investments'!$A$1:$A$2000,$Y199+3),INDEX('Call accounts and MMFs'!$A$1:$A$2000,$Y199-1997+3))&amp;"")</f>
        <v/>
      </c>
      <c r="D199" s="91" t="str">
        <f>IF($Y199="","",IF($Y199&lt;=1997,INDEX('Term investments'!$C$1:$C$2000,$Y199+3),INDEX('Call accounts and MMFs'!$C$1:$C$2000,$Y199-1997+3))&amp;"")</f>
        <v/>
      </c>
      <c r="E199" s="92" t="str">
        <f>IF($Y199="","",IF($Y199&lt;=1997,IF(N(INDEX('Deal maths'!$H$1:$H$2000,$Y199+3))&gt;0,N(INDEX('Deal maths'!$H$1:$H$2000,$Y199+3)),N(INDEX('Deal maths'!$D$1:$D$2000,$Y199+3))),N(INDEX('Deal maths'!$M$1:$M$2000,$Y199-1997+3))))</f>
        <v/>
      </c>
      <c r="F199" s="93" t="str">
        <f>IF($Y199="","",IF($Y199&lt;=1997,INDEX('Deal maths'!$G$1:$G$2000,$Y199+3),INDEX('Deal maths'!$N$1:$N$2000,$Y199-1997+3)))</f>
        <v/>
      </c>
      <c r="G199" s="94" t="str">
        <f>IF($Y199="","",IF($Y199&lt;=1997,INDEX('Deal maths'!$E$1:$E$2000,$Y199+3),""))</f>
        <v/>
      </c>
      <c r="H199" s="94" t="str">
        <f>IF($Y199="","",IF($Y199&lt;=1997,INDEX('Deal maths'!$F$1:$F$2000,$Y199+3),""))</f>
        <v/>
      </c>
      <c r="I199" s="98" t="str">
        <f>IF($Y199="","",IF($Y199&lt;=1997,N(INDEX('Deal maths'!$F$1:$F$2000,$Y199+3))-AsAt,N(INDEX('Deal maths'!$O$1:$O$2000,$Y199-1997+3))))</f>
        <v/>
      </c>
      <c r="J199" s="99" t="str">
        <f>IF($Y199="","",IF($Y199&lt;=1997,INDEX('Term investments'!$J$1:$J$2000,$Y199+3),INDEX('Call accounts and MMFs'!$G$1:$G$2000,$Y199-1997+3))&amp;"")</f>
        <v/>
      </c>
      <c r="K199" s="92" t="str">
        <f>IF($Y199="","",N(E199)*N(F199))</f>
        <v/>
      </c>
      <c r="L199" s="100" t="str">
        <f>IF($Y199="","",IF($Y199&lt;=1997,"Term investments, row "&amp;($Y199+3),"Call accounts and MMFs, row "&amp;($Y199-1997+3)))</f>
        <v/>
      </c>
      <c r="Y199" t="str">
        <f>IFERROR(MATCH(SMALL('List maths'!$E$4:$E$3997,191),'List maths'!$E$4:$E$3997,0),"")</f>
        <v/>
      </c>
    </row>
    <row r="200">
      <c r="B200" s="91" t="str">
        <f>IF($Y200="","",IF($Y200&lt;=1997,INDEX('Term investments'!$B$1:$B$2000,$Y200+3),INDEX('Call accounts and MMFs'!$B$1:$B$2000,$Y200-1997+3))&amp;"")</f>
        <v/>
      </c>
      <c r="C200" s="91" t="str">
        <f>IF($Y200="","",IF($Y200&lt;=1997,INDEX('Term investments'!$A$1:$A$2000,$Y200+3),INDEX('Call accounts and MMFs'!$A$1:$A$2000,$Y200-1997+3))&amp;"")</f>
        <v/>
      </c>
      <c r="D200" s="91" t="str">
        <f>IF($Y200="","",IF($Y200&lt;=1997,INDEX('Term investments'!$C$1:$C$2000,$Y200+3),INDEX('Call accounts and MMFs'!$C$1:$C$2000,$Y200-1997+3))&amp;"")</f>
        <v/>
      </c>
      <c r="E200" s="92" t="str">
        <f>IF($Y200="","",IF($Y200&lt;=1997,IF(N(INDEX('Deal maths'!$H$1:$H$2000,$Y200+3))&gt;0,N(INDEX('Deal maths'!$H$1:$H$2000,$Y200+3)),N(INDEX('Deal maths'!$D$1:$D$2000,$Y200+3))),N(INDEX('Deal maths'!$M$1:$M$2000,$Y200-1997+3))))</f>
        <v/>
      </c>
      <c r="F200" s="93" t="str">
        <f>IF($Y200="","",IF($Y200&lt;=1997,INDEX('Deal maths'!$G$1:$G$2000,$Y200+3),INDEX('Deal maths'!$N$1:$N$2000,$Y200-1997+3)))</f>
        <v/>
      </c>
      <c r="G200" s="94" t="str">
        <f>IF($Y200="","",IF($Y200&lt;=1997,INDEX('Deal maths'!$E$1:$E$2000,$Y200+3),""))</f>
        <v/>
      </c>
      <c r="H200" s="94" t="str">
        <f>IF($Y200="","",IF($Y200&lt;=1997,INDEX('Deal maths'!$F$1:$F$2000,$Y200+3),""))</f>
        <v/>
      </c>
      <c r="I200" s="98" t="str">
        <f>IF($Y200="","",IF($Y200&lt;=1997,N(INDEX('Deal maths'!$F$1:$F$2000,$Y200+3))-AsAt,N(INDEX('Deal maths'!$O$1:$O$2000,$Y200-1997+3))))</f>
        <v/>
      </c>
      <c r="J200" s="99" t="str">
        <f>IF($Y200="","",IF($Y200&lt;=1997,INDEX('Term investments'!$J$1:$J$2000,$Y200+3),INDEX('Call accounts and MMFs'!$G$1:$G$2000,$Y200-1997+3))&amp;"")</f>
        <v/>
      </c>
      <c r="K200" s="92" t="str">
        <f>IF($Y200="","",N(E200)*N(F200))</f>
        <v/>
      </c>
      <c r="L200" s="100" t="str">
        <f>IF($Y200="","",IF($Y200&lt;=1997,"Term investments, row "&amp;($Y200+3),"Call accounts and MMFs, row "&amp;($Y200-1997+3)))</f>
        <v/>
      </c>
      <c r="Y200" t="str">
        <f>IFERROR(MATCH(SMALL('List maths'!$E$4:$E$3997,192),'List maths'!$E$4:$E$3997,0),"")</f>
        <v/>
      </c>
    </row>
    <row r="201">
      <c r="B201" s="91" t="str">
        <f>IF($Y201="","",IF($Y201&lt;=1997,INDEX('Term investments'!$B$1:$B$2000,$Y201+3),INDEX('Call accounts and MMFs'!$B$1:$B$2000,$Y201-1997+3))&amp;"")</f>
        <v/>
      </c>
      <c r="C201" s="91" t="str">
        <f>IF($Y201="","",IF($Y201&lt;=1997,INDEX('Term investments'!$A$1:$A$2000,$Y201+3),INDEX('Call accounts and MMFs'!$A$1:$A$2000,$Y201-1997+3))&amp;"")</f>
        <v/>
      </c>
      <c r="D201" s="91" t="str">
        <f>IF($Y201="","",IF($Y201&lt;=1997,INDEX('Term investments'!$C$1:$C$2000,$Y201+3),INDEX('Call accounts and MMFs'!$C$1:$C$2000,$Y201-1997+3))&amp;"")</f>
        <v/>
      </c>
      <c r="E201" s="92" t="str">
        <f>IF($Y201="","",IF($Y201&lt;=1997,IF(N(INDEX('Deal maths'!$H$1:$H$2000,$Y201+3))&gt;0,N(INDEX('Deal maths'!$H$1:$H$2000,$Y201+3)),N(INDEX('Deal maths'!$D$1:$D$2000,$Y201+3))),N(INDEX('Deal maths'!$M$1:$M$2000,$Y201-1997+3))))</f>
        <v/>
      </c>
      <c r="F201" s="93" t="str">
        <f>IF($Y201="","",IF($Y201&lt;=1997,INDEX('Deal maths'!$G$1:$G$2000,$Y201+3),INDEX('Deal maths'!$N$1:$N$2000,$Y201-1997+3)))</f>
        <v/>
      </c>
      <c r="G201" s="94" t="str">
        <f>IF($Y201="","",IF($Y201&lt;=1997,INDEX('Deal maths'!$E$1:$E$2000,$Y201+3),""))</f>
        <v/>
      </c>
      <c r="H201" s="94" t="str">
        <f>IF($Y201="","",IF($Y201&lt;=1997,INDEX('Deal maths'!$F$1:$F$2000,$Y201+3),""))</f>
        <v/>
      </c>
      <c r="I201" s="98" t="str">
        <f>IF($Y201="","",IF($Y201&lt;=1997,N(INDEX('Deal maths'!$F$1:$F$2000,$Y201+3))-AsAt,N(INDEX('Deal maths'!$O$1:$O$2000,$Y201-1997+3))))</f>
        <v/>
      </c>
      <c r="J201" s="99" t="str">
        <f>IF($Y201="","",IF($Y201&lt;=1997,INDEX('Term investments'!$J$1:$J$2000,$Y201+3),INDEX('Call accounts and MMFs'!$G$1:$G$2000,$Y201-1997+3))&amp;"")</f>
        <v/>
      </c>
      <c r="K201" s="92" t="str">
        <f>IF($Y201="","",N(E201)*N(F201))</f>
        <v/>
      </c>
      <c r="L201" s="100" t="str">
        <f>IF($Y201="","",IF($Y201&lt;=1997,"Term investments, row "&amp;($Y201+3),"Call accounts and MMFs, row "&amp;($Y201-1997+3)))</f>
        <v/>
      </c>
      <c r="Y201" t="str">
        <f>IFERROR(MATCH(SMALL('List maths'!$E$4:$E$3997,193),'List maths'!$E$4:$E$3997,0),"")</f>
        <v/>
      </c>
    </row>
    <row r="202">
      <c r="B202" s="91" t="str">
        <f>IF($Y202="","",IF($Y202&lt;=1997,INDEX('Term investments'!$B$1:$B$2000,$Y202+3),INDEX('Call accounts and MMFs'!$B$1:$B$2000,$Y202-1997+3))&amp;"")</f>
        <v/>
      </c>
      <c r="C202" s="91" t="str">
        <f>IF($Y202="","",IF($Y202&lt;=1997,INDEX('Term investments'!$A$1:$A$2000,$Y202+3),INDEX('Call accounts and MMFs'!$A$1:$A$2000,$Y202-1997+3))&amp;"")</f>
        <v/>
      </c>
      <c r="D202" s="91" t="str">
        <f>IF($Y202="","",IF($Y202&lt;=1997,INDEX('Term investments'!$C$1:$C$2000,$Y202+3),INDEX('Call accounts and MMFs'!$C$1:$C$2000,$Y202-1997+3))&amp;"")</f>
        <v/>
      </c>
      <c r="E202" s="92" t="str">
        <f>IF($Y202="","",IF($Y202&lt;=1997,IF(N(INDEX('Deal maths'!$H$1:$H$2000,$Y202+3))&gt;0,N(INDEX('Deal maths'!$H$1:$H$2000,$Y202+3)),N(INDEX('Deal maths'!$D$1:$D$2000,$Y202+3))),N(INDEX('Deal maths'!$M$1:$M$2000,$Y202-1997+3))))</f>
        <v/>
      </c>
      <c r="F202" s="93" t="str">
        <f>IF($Y202="","",IF($Y202&lt;=1997,INDEX('Deal maths'!$G$1:$G$2000,$Y202+3),INDEX('Deal maths'!$N$1:$N$2000,$Y202-1997+3)))</f>
        <v/>
      </c>
      <c r="G202" s="94" t="str">
        <f>IF($Y202="","",IF($Y202&lt;=1997,INDEX('Deal maths'!$E$1:$E$2000,$Y202+3),""))</f>
        <v/>
      </c>
      <c r="H202" s="94" t="str">
        <f>IF($Y202="","",IF($Y202&lt;=1997,INDEX('Deal maths'!$F$1:$F$2000,$Y202+3),""))</f>
        <v/>
      </c>
      <c r="I202" s="98" t="str">
        <f>IF($Y202="","",IF($Y202&lt;=1997,N(INDEX('Deal maths'!$F$1:$F$2000,$Y202+3))-AsAt,N(INDEX('Deal maths'!$O$1:$O$2000,$Y202-1997+3))))</f>
        <v/>
      </c>
      <c r="J202" s="99" t="str">
        <f>IF($Y202="","",IF($Y202&lt;=1997,INDEX('Term investments'!$J$1:$J$2000,$Y202+3),INDEX('Call accounts and MMFs'!$G$1:$G$2000,$Y202-1997+3))&amp;"")</f>
        <v/>
      </c>
      <c r="K202" s="92" t="str">
        <f>IF($Y202="","",N(E202)*N(F202))</f>
        <v/>
      </c>
      <c r="L202" s="100" t="str">
        <f>IF($Y202="","",IF($Y202&lt;=1997,"Term investments, row "&amp;($Y202+3),"Call accounts and MMFs, row "&amp;($Y202-1997+3)))</f>
        <v/>
      </c>
      <c r="Y202" t="str">
        <f>IFERROR(MATCH(SMALL('List maths'!$E$4:$E$3997,194),'List maths'!$E$4:$E$3997,0),"")</f>
        <v/>
      </c>
    </row>
    <row r="203">
      <c r="B203" s="91" t="str">
        <f>IF($Y203="","",IF($Y203&lt;=1997,INDEX('Term investments'!$B$1:$B$2000,$Y203+3),INDEX('Call accounts and MMFs'!$B$1:$B$2000,$Y203-1997+3))&amp;"")</f>
        <v/>
      </c>
      <c r="C203" s="91" t="str">
        <f>IF($Y203="","",IF($Y203&lt;=1997,INDEX('Term investments'!$A$1:$A$2000,$Y203+3),INDEX('Call accounts and MMFs'!$A$1:$A$2000,$Y203-1997+3))&amp;"")</f>
        <v/>
      </c>
      <c r="D203" s="91" t="str">
        <f>IF($Y203="","",IF($Y203&lt;=1997,INDEX('Term investments'!$C$1:$C$2000,$Y203+3),INDEX('Call accounts and MMFs'!$C$1:$C$2000,$Y203-1997+3))&amp;"")</f>
        <v/>
      </c>
      <c r="E203" s="92" t="str">
        <f>IF($Y203="","",IF($Y203&lt;=1997,IF(N(INDEX('Deal maths'!$H$1:$H$2000,$Y203+3))&gt;0,N(INDEX('Deal maths'!$H$1:$H$2000,$Y203+3)),N(INDEX('Deal maths'!$D$1:$D$2000,$Y203+3))),N(INDEX('Deal maths'!$M$1:$M$2000,$Y203-1997+3))))</f>
        <v/>
      </c>
      <c r="F203" s="93" t="str">
        <f>IF($Y203="","",IF($Y203&lt;=1997,INDEX('Deal maths'!$G$1:$G$2000,$Y203+3),INDEX('Deal maths'!$N$1:$N$2000,$Y203-1997+3)))</f>
        <v/>
      </c>
      <c r="G203" s="94" t="str">
        <f>IF($Y203="","",IF($Y203&lt;=1997,INDEX('Deal maths'!$E$1:$E$2000,$Y203+3),""))</f>
        <v/>
      </c>
      <c r="H203" s="94" t="str">
        <f>IF($Y203="","",IF($Y203&lt;=1997,INDEX('Deal maths'!$F$1:$F$2000,$Y203+3),""))</f>
        <v/>
      </c>
      <c r="I203" s="98" t="str">
        <f>IF($Y203="","",IF($Y203&lt;=1997,N(INDEX('Deal maths'!$F$1:$F$2000,$Y203+3))-AsAt,N(INDEX('Deal maths'!$O$1:$O$2000,$Y203-1997+3))))</f>
        <v/>
      </c>
      <c r="J203" s="99" t="str">
        <f>IF($Y203="","",IF($Y203&lt;=1997,INDEX('Term investments'!$J$1:$J$2000,$Y203+3),INDEX('Call accounts and MMFs'!$G$1:$G$2000,$Y203-1997+3))&amp;"")</f>
        <v/>
      </c>
      <c r="K203" s="92" t="str">
        <f>IF($Y203="","",N(E203)*N(F203))</f>
        <v/>
      </c>
      <c r="L203" s="100" t="str">
        <f>IF($Y203="","",IF($Y203&lt;=1997,"Term investments, row "&amp;($Y203+3),"Call accounts and MMFs, row "&amp;($Y203-1997+3)))</f>
        <v/>
      </c>
      <c r="Y203" t="str">
        <f>IFERROR(MATCH(SMALL('List maths'!$E$4:$E$3997,195),'List maths'!$E$4:$E$3997,0),"")</f>
        <v/>
      </c>
    </row>
    <row r="204">
      <c r="B204" s="91" t="str">
        <f>IF($Y204="","",IF($Y204&lt;=1997,INDEX('Term investments'!$B$1:$B$2000,$Y204+3),INDEX('Call accounts and MMFs'!$B$1:$B$2000,$Y204-1997+3))&amp;"")</f>
        <v/>
      </c>
      <c r="C204" s="91" t="str">
        <f>IF($Y204="","",IF($Y204&lt;=1997,INDEX('Term investments'!$A$1:$A$2000,$Y204+3),INDEX('Call accounts and MMFs'!$A$1:$A$2000,$Y204-1997+3))&amp;"")</f>
        <v/>
      </c>
      <c r="D204" s="91" t="str">
        <f>IF($Y204="","",IF($Y204&lt;=1997,INDEX('Term investments'!$C$1:$C$2000,$Y204+3),INDEX('Call accounts and MMFs'!$C$1:$C$2000,$Y204-1997+3))&amp;"")</f>
        <v/>
      </c>
      <c r="E204" s="92" t="str">
        <f>IF($Y204="","",IF($Y204&lt;=1997,IF(N(INDEX('Deal maths'!$H$1:$H$2000,$Y204+3))&gt;0,N(INDEX('Deal maths'!$H$1:$H$2000,$Y204+3)),N(INDEX('Deal maths'!$D$1:$D$2000,$Y204+3))),N(INDEX('Deal maths'!$M$1:$M$2000,$Y204-1997+3))))</f>
        <v/>
      </c>
      <c r="F204" s="93" t="str">
        <f>IF($Y204="","",IF($Y204&lt;=1997,INDEX('Deal maths'!$G$1:$G$2000,$Y204+3),INDEX('Deal maths'!$N$1:$N$2000,$Y204-1997+3)))</f>
        <v/>
      </c>
      <c r="G204" s="94" t="str">
        <f>IF($Y204="","",IF($Y204&lt;=1997,INDEX('Deal maths'!$E$1:$E$2000,$Y204+3),""))</f>
        <v/>
      </c>
      <c r="H204" s="94" t="str">
        <f>IF($Y204="","",IF($Y204&lt;=1997,INDEX('Deal maths'!$F$1:$F$2000,$Y204+3),""))</f>
        <v/>
      </c>
      <c r="I204" s="98" t="str">
        <f>IF($Y204="","",IF($Y204&lt;=1997,N(INDEX('Deal maths'!$F$1:$F$2000,$Y204+3))-AsAt,N(INDEX('Deal maths'!$O$1:$O$2000,$Y204-1997+3))))</f>
        <v/>
      </c>
      <c r="J204" s="99" t="str">
        <f>IF($Y204="","",IF($Y204&lt;=1997,INDEX('Term investments'!$J$1:$J$2000,$Y204+3),INDEX('Call accounts and MMFs'!$G$1:$G$2000,$Y204-1997+3))&amp;"")</f>
        <v/>
      </c>
      <c r="K204" s="92" t="str">
        <f>IF($Y204="","",N(E204)*N(F204))</f>
        <v/>
      </c>
      <c r="L204" s="100" t="str">
        <f>IF($Y204="","",IF($Y204&lt;=1997,"Term investments, row "&amp;($Y204+3),"Call accounts and MMFs, row "&amp;($Y204-1997+3)))</f>
        <v/>
      </c>
      <c r="Y204" t="str">
        <f>IFERROR(MATCH(SMALL('List maths'!$E$4:$E$3997,196),'List maths'!$E$4:$E$3997,0),"")</f>
        <v/>
      </c>
    </row>
    <row r="205">
      <c r="B205" s="91" t="str">
        <f>IF($Y205="","",IF($Y205&lt;=1997,INDEX('Term investments'!$B$1:$B$2000,$Y205+3),INDEX('Call accounts and MMFs'!$B$1:$B$2000,$Y205-1997+3))&amp;"")</f>
        <v/>
      </c>
      <c r="C205" s="91" t="str">
        <f>IF($Y205="","",IF($Y205&lt;=1997,INDEX('Term investments'!$A$1:$A$2000,$Y205+3),INDEX('Call accounts and MMFs'!$A$1:$A$2000,$Y205-1997+3))&amp;"")</f>
        <v/>
      </c>
      <c r="D205" s="91" t="str">
        <f>IF($Y205="","",IF($Y205&lt;=1997,INDEX('Term investments'!$C$1:$C$2000,$Y205+3),INDEX('Call accounts and MMFs'!$C$1:$C$2000,$Y205-1997+3))&amp;"")</f>
        <v/>
      </c>
      <c r="E205" s="92" t="str">
        <f>IF($Y205="","",IF($Y205&lt;=1997,IF(N(INDEX('Deal maths'!$H$1:$H$2000,$Y205+3))&gt;0,N(INDEX('Deal maths'!$H$1:$H$2000,$Y205+3)),N(INDEX('Deal maths'!$D$1:$D$2000,$Y205+3))),N(INDEX('Deal maths'!$M$1:$M$2000,$Y205-1997+3))))</f>
        <v/>
      </c>
      <c r="F205" s="93" t="str">
        <f>IF($Y205="","",IF($Y205&lt;=1997,INDEX('Deal maths'!$G$1:$G$2000,$Y205+3),INDEX('Deal maths'!$N$1:$N$2000,$Y205-1997+3)))</f>
        <v/>
      </c>
      <c r="G205" s="94" t="str">
        <f>IF($Y205="","",IF($Y205&lt;=1997,INDEX('Deal maths'!$E$1:$E$2000,$Y205+3),""))</f>
        <v/>
      </c>
      <c r="H205" s="94" t="str">
        <f>IF($Y205="","",IF($Y205&lt;=1997,INDEX('Deal maths'!$F$1:$F$2000,$Y205+3),""))</f>
        <v/>
      </c>
      <c r="I205" s="98" t="str">
        <f>IF($Y205="","",IF($Y205&lt;=1997,N(INDEX('Deal maths'!$F$1:$F$2000,$Y205+3))-AsAt,N(INDEX('Deal maths'!$O$1:$O$2000,$Y205-1997+3))))</f>
        <v/>
      </c>
      <c r="J205" s="99" t="str">
        <f>IF($Y205="","",IF($Y205&lt;=1997,INDEX('Term investments'!$J$1:$J$2000,$Y205+3),INDEX('Call accounts and MMFs'!$G$1:$G$2000,$Y205-1997+3))&amp;"")</f>
        <v/>
      </c>
      <c r="K205" s="92" t="str">
        <f>IF($Y205="","",N(E205)*N(F205))</f>
        <v/>
      </c>
      <c r="L205" s="100" t="str">
        <f>IF($Y205="","",IF($Y205&lt;=1997,"Term investments, row "&amp;($Y205+3),"Call accounts and MMFs, row "&amp;($Y205-1997+3)))</f>
        <v/>
      </c>
      <c r="Y205" t="str">
        <f>IFERROR(MATCH(SMALL('List maths'!$E$4:$E$3997,197),'List maths'!$E$4:$E$3997,0),"")</f>
        <v/>
      </c>
    </row>
    <row r="206">
      <c r="B206" s="91" t="str">
        <f>IF($Y206="","",IF($Y206&lt;=1997,INDEX('Term investments'!$B$1:$B$2000,$Y206+3),INDEX('Call accounts and MMFs'!$B$1:$B$2000,$Y206-1997+3))&amp;"")</f>
        <v/>
      </c>
      <c r="C206" s="91" t="str">
        <f>IF($Y206="","",IF($Y206&lt;=1997,INDEX('Term investments'!$A$1:$A$2000,$Y206+3),INDEX('Call accounts and MMFs'!$A$1:$A$2000,$Y206-1997+3))&amp;"")</f>
        <v/>
      </c>
      <c r="D206" s="91" t="str">
        <f>IF($Y206="","",IF($Y206&lt;=1997,INDEX('Term investments'!$C$1:$C$2000,$Y206+3),INDEX('Call accounts and MMFs'!$C$1:$C$2000,$Y206-1997+3))&amp;"")</f>
        <v/>
      </c>
      <c r="E206" s="92" t="str">
        <f>IF($Y206="","",IF($Y206&lt;=1997,IF(N(INDEX('Deal maths'!$H$1:$H$2000,$Y206+3))&gt;0,N(INDEX('Deal maths'!$H$1:$H$2000,$Y206+3)),N(INDEX('Deal maths'!$D$1:$D$2000,$Y206+3))),N(INDEX('Deal maths'!$M$1:$M$2000,$Y206-1997+3))))</f>
        <v/>
      </c>
      <c r="F206" s="93" t="str">
        <f>IF($Y206="","",IF($Y206&lt;=1997,INDEX('Deal maths'!$G$1:$G$2000,$Y206+3),INDEX('Deal maths'!$N$1:$N$2000,$Y206-1997+3)))</f>
        <v/>
      </c>
      <c r="G206" s="94" t="str">
        <f>IF($Y206="","",IF($Y206&lt;=1997,INDEX('Deal maths'!$E$1:$E$2000,$Y206+3),""))</f>
        <v/>
      </c>
      <c r="H206" s="94" t="str">
        <f>IF($Y206="","",IF($Y206&lt;=1997,INDEX('Deal maths'!$F$1:$F$2000,$Y206+3),""))</f>
        <v/>
      </c>
      <c r="I206" s="98" t="str">
        <f>IF($Y206="","",IF($Y206&lt;=1997,N(INDEX('Deal maths'!$F$1:$F$2000,$Y206+3))-AsAt,N(INDEX('Deal maths'!$O$1:$O$2000,$Y206-1997+3))))</f>
        <v/>
      </c>
      <c r="J206" s="99" t="str">
        <f>IF($Y206="","",IF($Y206&lt;=1997,INDEX('Term investments'!$J$1:$J$2000,$Y206+3),INDEX('Call accounts and MMFs'!$G$1:$G$2000,$Y206-1997+3))&amp;"")</f>
        <v/>
      </c>
      <c r="K206" s="92" t="str">
        <f>IF($Y206="","",N(E206)*N(F206))</f>
        <v/>
      </c>
      <c r="L206" s="100" t="str">
        <f>IF($Y206="","",IF($Y206&lt;=1997,"Term investments, row "&amp;($Y206+3),"Call accounts and MMFs, row "&amp;($Y206-1997+3)))</f>
        <v/>
      </c>
      <c r="Y206" t="str">
        <f>IFERROR(MATCH(SMALL('List maths'!$E$4:$E$3997,198),'List maths'!$E$4:$E$3997,0),"")</f>
        <v/>
      </c>
    </row>
    <row r="207">
      <c r="B207" s="91" t="str">
        <f>IF($Y207="","",IF($Y207&lt;=1997,INDEX('Term investments'!$B$1:$B$2000,$Y207+3),INDEX('Call accounts and MMFs'!$B$1:$B$2000,$Y207-1997+3))&amp;"")</f>
        <v/>
      </c>
      <c r="C207" s="91" t="str">
        <f>IF($Y207="","",IF($Y207&lt;=1997,INDEX('Term investments'!$A$1:$A$2000,$Y207+3),INDEX('Call accounts and MMFs'!$A$1:$A$2000,$Y207-1997+3))&amp;"")</f>
        <v/>
      </c>
      <c r="D207" s="91" t="str">
        <f>IF($Y207="","",IF($Y207&lt;=1997,INDEX('Term investments'!$C$1:$C$2000,$Y207+3),INDEX('Call accounts and MMFs'!$C$1:$C$2000,$Y207-1997+3))&amp;"")</f>
        <v/>
      </c>
      <c r="E207" s="92" t="str">
        <f>IF($Y207="","",IF($Y207&lt;=1997,IF(N(INDEX('Deal maths'!$H$1:$H$2000,$Y207+3))&gt;0,N(INDEX('Deal maths'!$H$1:$H$2000,$Y207+3)),N(INDEX('Deal maths'!$D$1:$D$2000,$Y207+3))),N(INDEX('Deal maths'!$M$1:$M$2000,$Y207-1997+3))))</f>
        <v/>
      </c>
      <c r="F207" s="93" t="str">
        <f>IF($Y207="","",IF($Y207&lt;=1997,INDEX('Deal maths'!$G$1:$G$2000,$Y207+3),INDEX('Deal maths'!$N$1:$N$2000,$Y207-1997+3)))</f>
        <v/>
      </c>
      <c r="G207" s="94" t="str">
        <f>IF($Y207="","",IF($Y207&lt;=1997,INDEX('Deal maths'!$E$1:$E$2000,$Y207+3),""))</f>
        <v/>
      </c>
      <c r="H207" s="94" t="str">
        <f>IF($Y207="","",IF($Y207&lt;=1997,INDEX('Deal maths'!$F$1:$F$2000,$Y207+3),""))</f>
        <v/>
      </c>
      <c r="I207" s="98" t="str">
        <f>IF($Y207="","",IF($Y207&lt;=1997,N(INDEX('Deal maths'!$F$1:$F$2000,$Y207+3))-AsAt,N(INDEX('Deal maths'!$O$1:$O$2000,$Y207-1997+3))))</f>
        <v/>
      </c>
      <c r="J207" s="99" t="str">
        <f>IF($Y207="","",IF($Y207&lt;=1997,INDEX('Term investments'!$J$1:$J$2000,$Y207+3),INDEX('Call accounts and MMFs'!$G$1:$G$2000,$Y207-1997+3))&amp;"")</f>
        <v/>
      </c>
      <c r="K207" s="92" t="str">
        <f>IF($Y207="","",N(E207)*N(F207))</f>
        <v/>
      </c>
      <c r="L207" s="100" t="str">
        <f>IF($Y207="","",IF($Y207&lt;=1997,"Term investments, row "&amp;($Y207+3),"Call accounts and MMFs, row "&amp;($Y207-1997+3)))</f>
        <v/>
      </c>
      <c r="Y207" t="str">
        <f>IFERROR(MATCH(SMALL('List maths'!$E$4:$E$3997,199),'List maths'!$E$4:$E$3997,0),"")</f>
        <v/>
      </c>
    </row>
    <row r="208">
      <c r="B208" s="91" t="str">
        <f>IF($Y208="","",IF($Y208&lt;=1997,INDEX('Term investments'!$B$1:$B$2000,$Y208+3),INDEX('Call accounts and MMFs'!$B$1:$B$2000,$Y208-1997+3))&amp;"")</f>
        <v/>
      </c>
      <c r="C208" s="91" t="str">
        <f>IF($Y208="","",IF($Y208&lt;=1997,INDEX('Term investments'!$A$1:$A$2000,$Y208+3),INDEX('Call accounts and MMFs'!$A$1:$A$2000,$Y208-1997+3))&amp;"")</f>
        <v/>
      </c>
      <c r="D208" s="91" t="str">
        <f>IF($Y208="","",IF($Y208&lt;=1997,INDEX('Term investments'!$C$1:$C$2000,$Y208+3),INDEX('Call accounts and MMFs'!$C$1:$C$2000,$Y208-1997+3))&amp;"")</f>
        <v/>
      </c>
      <c r="E208" s="92" t="str">
        <f>IF($Y208="","",IF($Y208&lt;=1997,IF(N(INDEX('Deal maths'!$H$1:$H$2000,$Y208+3))&gt;0,N(INDEX('Deal maths'!$H$1:$H$2000,$Y208+3)),N(INDEX('Deal maths'!$D$1:$D$2000,$Y208+3))),N(INDEX('Deal maths'!$M$1:$M$2000,$Y208-1997+3))))</f>
        <v/>
      </c>
      <c r="F208" s="93" t="str">
        <f>IF($Y208="","",IF($Y208&lt;=1997,INDEX('Deal maths'!$G$1:$G$2000,$Y208+3),INDEX('Deal maths'!$N$1:$N$2000,$Y208-1997+3)))</f>
        <v/>
      </c>
      <c r="G208" s="94" t="str">
        <f>IF($Y208="","",IF($Y208&lt;=1997,INDEX('Deal maths'!$E$1:$E$2000,$Y208+3),""))</f>
        <v/>
      </c>
      <c r="H208" s="94" t="str">
        <f>IF($Y208="","",IF($Y208&lt;=1997,INDEX('Deal maths'!$F$1:$F$2000,$Y208+3),""))</f>
        <v/>
      </c>
      <c r="I208" s="98" t="str">
        <f>IF($Y208="","",IF($Y208&lt;=1997,N(INDEX('Deal maths'!$F$1:$F$2000,$Y208+3))-AsAt,N(INDEX('Deal maths'!$O$1:$O$2000,$Y208-1997+3))))</f>
        <v/>
      </c>
      <c r="J208" s="99" t="str">
        <f>IF($Y208="","",IF($Y208&lt;=1997,INDEX('Term investments'!$J$1:$J$2000,$Y208+3),INDEX('Call accounts and MMFs'!$G$1:$G$2000,$Y208-1997+3))&amp;"")</f>
        <v/>
      </c>
      <c r="K208" s="92" t="str">
        <f>IF($Y208="","",N(E208)*N(F208))</f>
        <v/>
      </c>
      <c r="L208" s="100" t="str">
        <f>IF($Y208="","",IF($Y208&lt;=1997,"Term investments, row "&amp;($Y208+3),"Call accounts and MMFs, row "&amp;($Y208-1997+3)))</f>
        <v/>
      </c>
      <c r="Y208" t="str">
        <f>IFERROR(MATCH(SMALL('List maths'!$E$4:$E$3997,200),'List maths'!$E$4:$E$3997,0),"")</f>
        <v/>
      </c>
    </row>
    <row r="209">
      <c r="B209" s="91" t="str">
        <f>IF($Y209="","",IF($Y209&lt;=1997,INDEX('Term investments'!$B$1:$B$2000,$Y209+3),INDEX('Call accounts and MMFs'!$B$1:$B$2000,$Y209-1997+3))&amp;"")</f>
        <v/>
      </c>
      <c r="C209" s="91" t="str">
        <f>IF($Y209="","",IF($Y209&lt;=1997,INDEX('Term investments'!$A$1:$A$2000,$Y209+3),INDEX('Call accounts and MMFs'!$A$1:$A$2000,$Y209-1997+3))&amp;"")</f>
        <v/>
      </c>
      <c r="D209" s="91" t="str">
        <f>IF($Y209="","",IF($Y209&lt;=1997,INDEX('Term investments'!$C$1:$C$2000,$Y209+3),INDEX('Call accounts and MMFs'!$C$1:$C$2000,$Y209-1997+3))&amp;"")</f>
        <v/>
      </c>
      <c r="E209" s="92" t="str">
        <f>IF($Y209="","",IF($Y209&lt;=1997,IF(N(INDEX('Deal maths'!$H$1:$H$2000,$Y209+3))&gt;0,N(INDEX('Deal maths'!$H$1:$H$2000,$Y209+3)),N(INDEX('Deal maths'!$D$1:$D$2000,$Y209+3))),N(INDEX('Deal maths'!$M$1:$M$2000,$Y209-1997+3))))</f>
        <v/>
      </c>
      <c r="F209" s="93" t="str">
        <f>IF($Y209="","",IF($Y209&lt;=1997,INDEX('Deal maths'!$G$1:$G$2000,$Y209+3),INDEX('Deal maths'!$N$1:$N$2000,$Y209-1997+3)))</f>
        <v/>
      </c>
      <c r="G209" s="94" t="str">
        <f>IF($Y209="","",IF($Y209&lt;=1997,INDEX('Deal maths'!$E$1:$E$2000,$Y209+3),""))</f>
        <v/>
      </c>
      <c r="H209" s="94" t="str">
        <f>IF($Y209="","",IF($Y209&lt;=1997,INDEX('Deal maths'!$F$1:$F$2000,$Y209+3),""))</f>
        <v/>
      </c>
      <c r="I209" s="98" t="str">
        <f>IF($Y209="","",IF($Y209&lt;=1997,N(INDEX('Deal maths'!$F$1:$F$2000,$Y209+3))-AsAt,N(INDEX('Deal maths'!$O$1:$O$2000,$Y209-1997+3))))</f>
        <v/>
      </c>
      <c r="J209" s="99" t="str">
        <f>IF($Y209="","",IF($Y209&lt;=1997,INDEX('Term investments'!$J$1:$J$2000,$Y209+3),INDEX('Call accounts and MMFs'!$G$1:$G$2000,$Y209-1997+3))&amp;"")</f>
        <v/>
      </c>
      <c r="K209" s="92" t="str">
        <f>IF($Y209="","",N(E209)*N(F209))</f>
        <v/>
      </c>
      <c r="L209" s="100" t="str">
        <f>IF($Y209="","",IF($Y209&lt;=1997,"Term investments, row "&amp;($Y209+3),"Call accounts and MMFs, row "&amp;($Y209-1997+3)))</f>
        <v/>
      </c>
      <c r="Y209" t="str">
        <f>IFERROR(MATCH(SMALL('List maths'!$E$4:$E$3997,201),'List maths'!$E$4:$E$3997,0),"")</f>
        <v/>
      </c>
    </row>
    <row r="210">
      <c r="B210" s="91" t="str">
        <f>IF($Y210="","",IF($Y210&lt;=1997,INDEX('Term investments'!$B$1:$B$2000,$Y210+3),INDEX('Call accounts and MMFs'!$B$1:$B$2000,$Y210-1997+3))&amp;"")</f>
        <v/>
      </c>
      <c r="C210" s="91" t="str">
        <f>IF($Y210="","",IF($Y210&lt;=1997,INDEX('Term investments'!$A$1:$A$2000,$Y210+3),INDEX('Call accounts and MMFs'!$A$1:$A$2000,$Y210-1997+3))&amp;"")</f>
        <v/>
      </c>
      <c r="D210" s="91" t="str">
        <f>IF($Y210="","",IF($Y210&lt;=1997,INDEX('Term investments'!$C$1:$C$2000,$Y210+3),INDEX('Call accounts and MMFs'!$C$1:$C$2000,$Y210-1997+3))&amp;"")</f>
        <v/>
      </c>
      <c r="E210" s="92" t="str">
        <f>IF($Y210="","",IF($Y210&lt;=1997,IF(N(INDEX('Deal maths'!$H$1:$H$2000,$Y210+3))&gt;0,N(INDEX('Deal maths'!$H$1:$H$2000,$Y210+3)),N(INDEX('Deal maths'!$D$1:$D$2000,$Y210+3))),N(INDEX('Deal maths'!$M$1:$M$2000,$Y210-1997+3))))</f>
        <v/>
      </c>
      <c r="F210" s="93" t="str">
        <f>IF($Y210="","",IF($Y210&lt;=1997,INDEX('Deal maths'!$G$1:$G$2000,$Y210+3),INDEX('Deal maths'!$N$1:$N$2000,$Y210-1997+3)))</f>
        <v/>
      </c>
      <c r="G210" s="94" t="str">
        <f>IF($Y210="","",IF($Y210&lt;=1997,INDEX('Deal maths'!$E$1:$E$2000,$Y210+3),""))</f>
        <v/>
      </c>
      <c r="H210" s="94" t="str">
        <f>IF($Y210="","",IF($Y210&lt;=1997,INDEX('Deal maths'!$F$1:$F$2000,$Y210+3),""))</f>
        <v/>
      </c>
      <c r="I210" s="98" t="str">
        <f>IF($Y210="","",IF($Y210&lt;=1997,N(INDEX('Deal maths'!$F$1:$F$2000,$Y210+3))-AsAt,N(INDEX('Deal maths'!$O$1:$O$2000,$Y210-1997+3))))</f>
        <v/>
      </c>
      <c r="J210" s="99" t="str">
        <f>IF($Y210="","",IF($Y210&lt;=1997,INDEX('Term investments'!$J$1:$J$2000,$Y210+3),INDEX('Call accounts and MMFs'!$G$1:$G$2000,$Y210-1997+3))&amp;"")</f>
        <v/>
      </c>
      <c r="K210" s="92" t="str">
        <f>IF($Y210="","",N(E210)*N(F210))</f>
        <v/>
      </c>
      <c r="L210" s="100" t="str">
        <f>IF($Y210="","",IF($Y210&lt;=1997,"Term investments, row "&amp;($Y210+3),"Call accounts and MMFs, row "&amp;($Y210-1997+3)))</f>
        <v/>
      </c>
      <c r="Y210" t="str">
        <f>IFERROR(MATCH(SMALL('List maths'!$E$4:$E$3997,202),'List maths'!$E$4:$E$3997,0),"")</f>
        <v/>
      </c>
    </row>
    <row r="211">
      <c r="B211" s="91" t="str">
        <f>IF($Y211="","",IF($Y211&lt;=1997,INDEX('Term investments'!$B$1:$B$2000,$Y211+3),INDEX('Call accounts and MMFs'!$B$1:$B$2000,$Y211-1997+3))&amp;"")</f>
        <v/>
      </c>
      <c r="C211" s="91" t="str">
        <f>IF($Y211="","",IF($Y211&lt;=1997,INDEX('Term investments'!$A$1:$A$2000,$Y211+3),INDEX('Call accounts and MMFs'!$A$1:$A$2000,$Y211-1997+3))&amp;"")</f>
        <v/>
      </c>
      <c r="D211" s="91" t="str">
        <f>IF($Y211="","",IF($Y211&lt;=1997,INDEX('Term investments'!$C$1:$C$2000,$Y211+3),INDEX('Call accounts and MMFs'!$C$1:$C$2000,$Y211-1997+3))&amp;"")</f>
        <v/>
      </c>
      <c r="E211" s="92" t="str">
        <f>IF($Y211="","",IF($Y211&lt;=1997,IF(N(INDEX('Deal maths'!$H$1:$H$2000,$Y211+3))&gt;0,N(INDEX('Deal maths'!$H$1:$H$2000,$Y211+3)),N(INDEX('Deal maths'!$D$1:$D$2000,$Y211+3))),N(INDEX('Deal maths'!$M$1:$M$2000,$Y211-1997+3))))</f>
        <v/>
      </c>
      <c r="F211" s="93" t="str">
        <f>IF($Y211="","",IF($Y211&lt;=1997,INDEX('Deal maths'!$G$1:$G$2000,$Y211+3),INDEX('Deal maths'!$N$1:$N$2000,$Y211-1997+3)))</f>
        <v/>
      </c>
      <c r="G211" s="94" t="str">
        <f>IF($Y211="","",IF($Y211&lt;=1997,INDEX('Deal maths'!$E$1:$E$2000,$Y211+3),""))</f>
        <v/>
      </c>
      <c r="H211" s="94" t="str">
        <f>IF($Y211="","",IF($Y211&lt;=1997,INDEX('Deal maths'!$F$1:$F$2000,$Y211+3),""))</f>
        <v/>
      </c>
      <c r="I211" s="98" t="str">
        <f>IF($Y211="","",IF($Y211&lt;=1997,N(INDEX('Deal maths'!$F$1:$F$2000,$Y211+3))-AsAt,N(INDEX('Deal maths'!$O$1:$O$2000,$Y211-1997+3))))</f>
        <v/>
      </c>
      <c r="J211" s="99" t="str">
        <f>IF($Y211="","",IF($Y211&lt;=1997,INDEX('Term investments'!$J$1:$J$2000,$Y211+3),INDEX('Call accounts and MMFs'!$G$1:$G$2000,$Y211-1997+3))&amp;"")</f>
        <v/>
      </c>
      <c r="K211" s="92" t="str">
        <f>IF($Y211="","",N(E211)*N(F211))</f>
        <v/>
      </c>
      <c r="L211" s="100" t="str">
        <f>IF($Y211="","",IF($Y211&lt;=1997,"Term investments, row "&amp;($Y211+3),"Call accounts and MMFs, row "&amp;($Y211-1997+3)))</f>
        <v/>
      </c>
      <c r="Y211" t="str">
        <f>IFERROR(MATCH(SMALL('List maths'!$E$4:$E$3997,203),'List maths'!$E$4:$E$3997,0),"")</f>
        <v/>
      </c>
    </row>
    <row r="212">
      <c r="B212" s="91" t="str">
        <f>IF($Y212="","",IF($Y212&lt;=1997,INDEX('Term investments'!$B$1:$B$2000,$Y212+3),INDEX('Call accounts and MMFs'!$B$1:$B$2000,$Y212-1997+3))&amp;"")</f>
        <v/>
      </c>
      <c r="C212" s="91" t="str">
        <f>IF($Y212="","",IF($Y212&lt;=1997,INDEX('Term investments'!$A$1:$A$2000,$Y212+3),INDEX('Call accounts and MMFs'!$A$1:$A$2000,$Y212-1997+3))&amp;"")</f>
        <v/>
      </c>
      <c r="D212" s="91" t="str">
        <f>IF($Y212="","",IF($Y212&lt;=1997,INDEX('Term investments'!$C$1:$C$2000,$Y212+3),INDEX('Call accounts and MMFs'!$C$1:$C$2000,$Y212-1997+3))&amp;"")</f>
        <v/>
      </c>
      <c r="E212" s="92" t="str">
        <f>IF($Y212="","",IF($Y212&lt;=1997,IF(N(INDEX('Deal maths'!$H$1:$H$2000,$Y212+3))&gt;0,N(INDEX('Deal maths'!$H$1:$H$2000,$Y212+3)),N(INDEX('Deal maths'!$D$1:$D$2000,$Y212+3))),N(INDEX('Deal maths'!$M$1:$M$2000,$Y212-1997+3))))</f>
        <v/>
      </c>
      <c r="F212" s="93" t="str">
        <f>IF($Y212="","",IF($Y212&lt;=1997,INDEX('Deal maths'!$G$1:$G$2000,$Y212+3),INDEX('Deal maths'!$N$1:$N$2000,$Y212-1997+3)))</f>
        <v/>
      </c>
      <c r="G212" s="94" t="str">
        <f>IF($Y212="","",IF($Y212&lt;=1997,INDEX('Deal maths'!$E$1:$E$2000,$Y212+3),""))</f>
        <v/>
      </c>
      <c r="H212" s="94" t="str">
        <f>IF($Y212="","",IF($Y212&lt;=1997,INDEX('Deal maths'!$F$1:$F$2000,$Y212+3),""))</f>
        <v/>
      </c>
      <c r="I212" s="98" t="str">
        <f>IF($Y212="","",IF($Y212&lt;=1997,N(INDEX('Deal maths'!$F$1:$F$2000,$Y212+3))-AsAt,N(INDEX('Deal maths'!$O$1:$O$2000,$Y212-1997+3))))</f>
        <v/>
      </c>
      <c r="J212" s="99" t="str">
        <f>IF($Y212="","",IF($Y212&lt;=1997,INDEX('Term investments'!$J$1:$J$2000,$Y212+3),INDEX('Call accounts and MMFs'!$G$1:$G$2000,$Y212-1997+3))&amp;"")</f>
        <v/>
      </c>
      <c r="K212" s="92" t="str">
        <f>IF($Y212="","",N(E212)*N(F212))</f>
        <v/>
      </c>
      <c r="L212" s="100" t="str">
        <f>IF($Y212="","",IF($Y212&lt;=1997,"Term investments, row "&amp;($Y212+3),"Call accounts and MMFs, row "&amp;($Y212-1997+3)))</f>
        <v/>
      </c>
      <c r="Y212" t="str">
        <f>IFERROR(MATCH(SMALL('List maths'!$E$4:$E$3997,204),'List maths'!$E$4:$E$3997,0),"")</f>
        <v/>
      </c>
    </row>
    <row r="213">
      <c r="B213" s="91" t="str">
        <f>IF($Y213="","",IF($Y213&lt;=1997,INDEX('Term investments'!$B$1:$B$2000,$Y213+3),INDEX('Call accounts and MMFs'!$B$1:$B$2000,$Y213-1997+3))&amp;"")</f>
        <v/>
      </c>
      <c r="C213" s="91" t="str">
        <f>IF($Y213="","",IF($Y213&lt;=1997,INDEX('Term investments'!$A$1:$A$2000,$Y213+3),INDEX('Call accounts and MMFs'!$A$1:$A$2000,$Y213-1997+3))&amp;"")</f>
        <v/>
      </c>
      <c r="D213" s="91" t="str">
        <f>IF($Y213="","",IF($Y213&lt;=1997,INDEX('Term investments'!$C$1:$C$2000,$Y213+3),INDEX('Call accounts and MMFs'!$C$1:$C$2000,$Y213-1997+3))&amp;"")</f>
        <v/>
      </c>
      <c r="E213" s="92" t="str">
        <f>IF($Y213="","",IF($Y213&lt;=1997,IF(N(INDEX('Deal maths'!$H$1:$H$2000,$Y213+3))&gt;0,N(INDEX('Deal maths'!$H$1:$H$2000,$Y213+3)),N(INDEX('Deal maths'!$D$1:$D$2000,$Y213+3))),N(INDEX('Deal maths'!$M$1:$M$2000,$Y213-1997+3))))</f>
        <v/>
      </c>
      <c r="F213" s="93" t="str">
        <f>IF($Y213="","",IF($Y213&lt;=1997,INDEX('Deal maths'!$G$1:$G$2000,$Y213+3),INDEX('Deal maths'!$N$1:$N$2000,$Y213-1997+3)))</f>
        <v/>
      </c>
      <c r="G213" s="94" t="str">
        <f>IF($Y213="","",IF($Y213&lt;=1997,INDEX('Deal maths'!$E$1:$E$2000,$Y213+3),""))</f>
        <v/>
      </c>
      <c r="H213" s="94" t="str">
        <f>IF($Y213="","",IF($Y213&lt;=1997,INDEX('Deal maths'!$F$1:$F$2000,$Y213+3),""))</f>
        <v/>
      </c>
      <c r="I213" s="98" t="str">
        <f>IF($Y213="","",IF($Y213&lt;=1997,N(INDEX('Deal maths'!$F$1:$F$2000,$Y213+3))-AsAt,N(INDEX('Deal maths'!$O$1:$O$2000,$Y213-1997+3))))</f>
        <v/>
      </c>
      <c r="J213" s="99" t="str">
        <f>IF($Y213="","",IF($Y213&lt;=1997,INDEX('Term investments'!$J$1:$J$2000,$Y213+3),INDEX('Call accounts and MMFs'!$G$1:$G$2000,$Y213-1997+3))&amp;"")</f>
        <v/>
      </c>
      <c r="K213" s="92" t="str">
        <f>IF($Y213="","",N(E213)*N(F213))</f>
        <v/>
      </c>
      <c r="L213" s="100" t="str">
        <f>IF($Y213="","",IF($Y213&lt;=1997,"Term investments, row "&amp;($Y213+3),"Call accounts and MMFs, row "&amp;($Y213-1997+3)))</f>
        <v/>
      </c>
      <c r="Y213" t="str">
        <f>IFERROR(MATCH(SMALL('List maths'!$E$4:$E$3997,205),'List maths'!$E$4:$E$3997,0),"")</f>
        <v/>
      </c>
    </row>
    <row r="214">
      <c r="B214" s="91" t="str">
        <f>IF($Y214="","",IF($Y214&lt;=1997,INDEX('Term investments'!$B$1:$B$2000,$Y214+3),INDEX('Call accounts and MMFs'!$B$1:$B$2000,$Y214-1997+3))&amp;"")</f>
        <v/>
      </c>
      <c r="C214" s="91" t="str">
        <f>IF($Y214="","",IF($Y214&lt;=1997,INDEX('Term investments'!$A$1:$A$2000,$Y214+3),INDEX('Call accounts and MMFs'!$A$1:$A$2000,$Y214-1997+3))&amp;"")</f>
        <v/>
      </c>
      <c r="D214" s="91" t="str">
        <f>IF($Y214="","",IF($Y214&lt;=1997,INDEX('Term investments'!$C$1:$C$2000,$Y214+3),INDEX('Call accounts and MMFs'!$C$1:$C$2000,$Y214-1997+3))&amp;"")</f>
        <v/>
      </c>
      <c r="E214" s="92" t="str">
        <f>IF($Y214="","",IF($Y214&lt;=1997,IF(N(INDEX('Deal maths'!$H$1:$H$2000,$Y214+3))&gt;0,N(INDEX('Deal maths'!$H$1:$H$2000,$Y214+3)),N(INDEX('Deal maths'!$D$1:$D$2000,$Y214+3))),N(INDEX('Deal maths'!$M$1:$M$2000,$Y214-1997+3))))</f>
        <v/>
      </c>
      <c r="F214" s="93" t="str">
        <f>IF($Y214="","",IF($Y214&lt;=1997,INDEX('Deal maths'!$G$1:$G$2000,$Y214+3),INDEX('Deal maths'!$N$1:$N$2000,$Y214-1997+3)))</f>
        <v/>
      </c>
      <c r="G214" s="94" t="str">
        <f>IF($Y214="","",IF($Y214&lt;=1997,INDEX('Deal maths'!$E$1:$E$2000,$Y214+3),""))</f>
        <v/>
      </c>
      <c r="H214" s="94" t="str">
        <f>IF($Y214="","",IF($Y214&lt;=1997,INDEX('Deal maths'!$F$1:$F$2000,$Y214+3),""))</f>
        <v/>
      </c>
      <c r="I214" s="98" t="str">
        <f>IF($Y214="","",IF($Y214&lt;=1997,N(INDEX('Deal maths'!$F$1:$F$2000,$Y214+3))-AsAt,N(INDEX('Deal maths'!$O$1:$O$2000,$Y214-1997+3))))</f>
        <v/>
      </c>
      <c r="J214" s="99" t="str">
        <f>IF($Y214="","",IF($Y214&lt;=1997,INDEX('Term investments'!$J$1:$J$2000,$Y214+3),INDEX('Call accounts and MMFs'!$G$1:$G$2000,$Y214-1997+3))&amp;"")</f>
        <v/>
      </c>
      <c r="K214" s="92" t="str">
        <f>IF($Y214="","",N(E214)*N(F214))</f>
        <v/>
      </c>
      <c r="L214" s="100" t="str">
        <f>IF($Y214="","",IF($Y214&lt;=1997,"Term investments, row "&amp;($Y214+3),"Call accounts and MMFs, row "&amp;($Y214-1997+3)))</f>
        <v/>
      </c>
      <c r="Y214" t="str">
        <f>IFERROR(MATCH(SMALL('List maths'!$E$4:$E$3997,206),'List maths'!$E$4:$E$3997,0),"")</f>
        <v/>
      </c>
    </row>
    <row r="215">
      <c r="B215" s="91" t="str">
        <f>IF($Y215="","",IF($Y215&lt;=1997,INDEX('Term investments'!$B$1:$B$2000,$Y215+3),INDEX('Call accounts and MMFs'!$B$1:$B$2000,$Y215-1997+3))&amp;"")</f>
        <v/>
      </c>
      <c r="C215" s="91" t="str">
        <f>IF($Y215="","",IF($Y215&lt;=1997,INDEX('Term investments'!$A$1:$A$2000,$Y215+3),INDEX('Call accounts and MMFs'!$A$1:$A$2000,$Y215-1997+3))&amp;"")</f>
        <v/>
      </c>
      <c r="D215" s="91" t="str">
        <f>IF($Y215="","",IF($Y215&lt;=1997,INDEX('Term investments'!$C$1:$C$2000,$Y215+3),INDEX('Call accounts and MMFs'!$C$1:$C$2000,$Y215-1997+3))&amp;"")</f>
        <v/>
      </c>
      <c r="E215" s="92" t="str">
        <f>IF($Y215="","",IF($Y215&lt;=1997,IF(N(INDEX('Deal maths'!$H$1:$H$2000,$Y215+3))&gt;0,N(INDEX('Deal maths'!$H$1:$H$2000,$Y215+3)),N(INDEX('Deal maths'!$D$1:$D$2000,$Y215+3))),N(INDEX('Deal maths'!$M$1:$M$2000,$Y215-1997+3))))</f>
        <v/>
      </c>
      <c r="F215" s="93" t="str">
        <f>IF($Y215="","",IF($Y215&lt;=1997,INDEX('Deal maths'!$G$1:$G$2000,$Y215+3),INDEX('Deal maths'!$N$1:$N$2000,$Y215-1997+3)))</f>
        <v/>
      </c>
      <c r="G215" s="94" t="str">
        <f>IF($Y215="","",IF($Y215&lt;=1997,INDEX('Deal maths'!$E$1:$E$2000,$Y215+3),""))</f>
        <v/>
      </c>
      <c r="H215" s="94" t="str">
        <f>IF($Y215="","",IF($Y215&lt;=1997,INDEX('Deal maths'!$F$1:$F$2000,$Y215+3),""))</f>
        <v/>
      </c>
      <c r="I215" s="98" t="str">
        <f>IF($Y215="","",IF($Y215&lt;=1997,N(INDEX('Deal maths'!$F$1:$F$2000,$Y215+3))-AsAt,N(INDEX('Deal maths'!$O$1:$O$2000,$Y215-1997+3))))</f>
        <v/>
      </c>
      <c r="J215" s="99" t="str">
        <f>IF($Y215="","",IF($Y215&lt;=1997,INDEX('Term investments'!$J$1:$J$2000,$Y215+3),INDEX('Call accounts and MMFs'!$G$1:$G$2000,$Y215-1997+3))&amp;"")</f>
        <v/>
      </c>
      <c r="K215" s="92" t="str">
        <f>IF($Y215="","",N(E215)*N(F215))</f>
        <v/>
      </c>
      <c r="L215" s="100" t="str">
        <f>IF($Y215="","",IF($Y215&lt;=1997,"Term investments, row "&amp;($Y215+3),"Call accounts and MMFs, row "&amp;($Y215-1997+3)))</f>
        <v/>
      </c>
      <c r="Y215" t="str">
        <f>IFERROR(MATCH(SMALL('List maths'!$E$4:$E$3997,207),'List maths'!$E$4:$E$3997,0),"")</f>
        <v/>
      </c>
    </row>
    <row r="216">
      <c r="B216" s="91" t="str">
        <f>IF($Y216="","",IF($Y216&lt;=1997,INDEX('Term investments'!$B$1:$B$2000,$Y216+3),INDEX('Call accounts and MMFs'!$B$1:$B$2000,$Y216-1997+3))&amp;"")</f>
        <v/>
      </c>
      <c r="C216" s="91" t="str">
        <f>IF($Y216="","",IF($Y216&lt;=1997,INDEX('Term investments'!$A$1:$A$2000,$Y216+3),INDEX('Call accounts and MMFs'!$A$1:$A$2000,$Y216-1997+3))&amp;"")</f>
        <v/>
      </c>
      <c r="D216" s="91" t="str">
        <f>IF($Y216="","",IF($Y216&lt;=1997,INDEX('Term investments'!$C$1:$C$2000,$Y216+3),INDEX('Call accounts and MMFs'!$C$1:$C$2000,$Y216-1997+3))&amp;"")</f>
        <v/>
      </c>
      <c r="E216" s="92" t="str">
        <f>IF($Y216="","",IF($Y216&lt;=1997,IF(N(INDEX('Deal maths'!$H$1:$H$2000,$Y216+3))&gt;0,N(INDEX('Deal maths'!$H$1:$H$2000,$Y216+3)),N(INDEX('Deal maths'!$D$1:$D$2000,$Y216+3))),N(INDEX('Deal maths'!$M$1:$M$2000,$Y216-1997+3))))</f>
        <v/>
      </c>
      <c r="F216" s="93" t="str">
        <f>IF($Y216="","",IF($Y216&lt;=1997,INDEX('Deal maths'!$G$1:$G$2000,$Y216+3),INDEX('Deal maths'!$N$1:$N$2000,$Y216-1997+3)))</f>
        <v/>
      </c>
      <c r="G216" s="94" t="str">
        <f>IF($Y216="","",IF($Y216&lt;=1997,INDEX('Deal maths'!$E$1:$E$2000,$Y216+3),""))</f>
        <v/>
      </c>
      <c r="H216" s="94" t="str">
        <f>IF($Y216="","",IF($Y216&lt;=1997,INDEX('Deal maths'!$F$1:$F$2000,$Y216+3),""))</f>
        <v/>
      </c>
      <c r="I216" s="98" t="str">
        <f>IF($Y216="","",IF($Y216&lt;=1997,N(INDEX('Deal maths'!$F$1:$F$2000,$Y216+3))-AsAt,N(INDEX('Deal maths'!$O$1:$O$2000,$Y216-1997+3))))</f>
        <v/>
      </c>
      <c r="J216" s="99" t="str">
        <f>IF($Y216="","",IF($Y216&lt;=1997,INDEX('Term investments'!$J$1:$J$2000,$Y216+3),INDEX('Call accounts and MMFs'!$G$1:$G$2000,$Y216-1997+3))&amp;"")</f>
        <v/>
      </c>
      <c r="K216" s="92" t="str">
        <f>IF($Y216="","",N(E216)*N(F216))</f>
        <v/>
      </c>
      <c r="L216" s="100" t="str">
        <f>IF($Y216="","",IF($Y216&lt;=1997,"Term investments, row "&amp;($Y216+3),"Call accounts and MMFs, row "&amp;($Y216-1997+3)))</f>
        <v/>
      </c>
      <c r="Y216" t="str">
        <f>IFERROR(MATCH(SMALL('List maths'!$E$4:$E$3997,208),'List maths'!$E$4:$E$3997,0),"")</f>
        <v/>
      </c>
    </row>
    <row r="217">
      <c r="B217" s="91" t="str">
        <f>IF($Y217="","",IF($Y217&lt;=1997,INDEX('Term investments'!$B$1:$B$2000,$Y217+3),INDEX('Call accounts and MMFs'!$B$1:$B$2000,$Y217-1997+3))&amp;"")</f>
        <v/>
      </c>
      <c r="C217" s="91" t="str">
        <f>IF($Y217="","",IF($Y217&lt;=1997,INDEX('Term investments'!$A$1:$A$2000,$Y217+3),INDEX('Call accounts and MMFs'!$A$1:$A$2000,$Y217-1997+3))&amp;"")</f>
        <v/>
      </c>
      <c r="D217" s="91" t="str">
        <f>IF($Y217="","",IF($Y217&lt;=1997,INDEX('Term investments'!$C$1:$C$2000,$Y217+3),INDEX('Call accounts and MMFs'!$C$1:$C$2000,$Y217-1997+3))&amp;"")</f>
        <v/>
      </c>
      <c r="E217" s="92" t="str">
        <f>IF($Y217="","",IF($Y217&lt;=1997,IF(N(INDEX('Deal maths'!$H$1:$H$2000,$Y217+3))&gt;0,N(INDEX('Deal maths'!$H$1:$H$2000,$Y217+3)),N(INDEX('Deal maths'!$D$1:$D$2000,$Y217+3))),N(INDEX('Deal maths'!$M$1:$M$2000,$Y217-1997+3))))</f>
        <v/>
      </c>
      <c r="F217" s="93" t="str">
        <f>IF($Y217="","",IF($Y217&lt;=1997,INDEX('Deal maths'!$G$1:$G$2000,$Y217+3),INDEX('Deal maths'!$N$1:$N$2000,$Y217-1997+3)))</f>
        <v/>
      </c>
      <c r="G217" s="94" t="str">
        <f>IF($Y217="","",IF($Y217&lt;=1997,INDEX('Deal maths'!$E$1:$E$2000,$Y217+3),""))</f>
        <v/>
      </c>
      <c r="H217" s="94" t="str">
        <f>IF($Y217="","",IF($Y217&lt;=1997,INDEX('Deal maths'!$F$1:$F$2000,$Y217+3),""))</f>
        <v/>
      </c>
      <c r="I217" s="98" t="str">
        <f>IF($Y217="","",IF($Y217&lt;=1997,N(INDEX('Deal maths'!$F$1:$F$2000,$Y217+3))-AsAt,N(INDEX('Deal maths'!$O$1:$O$2000,$Y217-1997+3))))</f>
        <v/>
      </c>
      <c r="J217" s="99" t="str">
        <f>IF($Y217="","",IF($Y217&lt;=1997,INDEX('Term investments'!$J$1:$J$2000,$Y217+3),INDEX('Call accounts and MMFs'!$G$1:$G$2000,$Y217-1997+3))&amp;"")</f>
        <v/>
      </c>
      <c r="K217" s="92" t="str">
        <f>IF($Y217="","",N(E217)*N(F217))</f>
        <v/>
      </c>
      <c r="L217" s="100" t="str">
        <f>IF($Y217="","",IF($Y217&lt;=1997,"Term investments, row "&amp;($Y217+3),"Call accounts and MMFs, row "&amp;($Y217-1997+3)))</f>
        <v/>
      </c>
      <c r="Y217" t="str">
        <f>IFERROR(MATCH(SMALL('List maths'!$E$4:$E$3997,209),'List maths'!$E$4:$E$3997,0),"")</f>
        <v/>
      </c>
    </row>
    <row r="218">
      <c r="B218" s="91" t="str">
        <f>IF($Y218="","",IF($Y218&lt;=1997,INDEX('Term investments'!$B$1:$B$2000,$Y218+3),INDEX('Call accounts and MMFs'!$B$1:$B$2000,$Y218-1997+3))&amp;"")</f>
        <v/>
      </c>
      <c r="C218" s="91" t="str">
        <f>IF($Y218="","",IF($Y218&lt;=1997,INDEX('Term investments'!$A$1:$A$2000,$Y218+3),INDEX('Call accounts and MMFs'!$A$1:$A$2000,$Y218-1997+3))&amp;"")</f>
        <v/>
      </c>
      <c r="D218" s="91" t="str">
        <f>IF($Y218="","",IF($Y218&lt;=1997,INDEX('Term investments'!$C$1:$C$2000,$Y218+3),INDEX('Call accounts and MMFs'!$C$1:$C$2000,$Y218-1997+3))&amp;"")</f>
        <v/>
      </c>
      <c r="E218" s="92" t="str">
        <f>IF($Y218="","",IF($Y218&lt;=1997,IF(N(INDEX('Deal maths'!$H$1:$H$2000,$Y218+3))&gt;0,N(INDEX('Deal maths'!$H$1:$H$2000,$Y218+3)),N(INDEX('Deal maths'!$D$1:$D$2000,$Y218+3))),N(INDEX('Deal maths'!$M$1:$M$2000,$Y218-1997+3))))</f>
        <v/>
      </c>
      <c r="F218" s="93" t="str">
        <f>IF($Y218="","",IF($Y218&lt;=1997,INDEX('Deal maths'!$G$1:$G$2000,$Y218+3),INDEX('Deal maths'!$N$1:$N$2000,$Y218-1997+3)))</f>
        <v/>
      </c>
      <c r="G218" s="94" t="str">
        <f>IF($Y218="","",IF($Y218&lt;=1997,INDEX('Deal maths'!$E$1:$E$2000,$Y218+3),""))</f>
        <v/>
      </c>
      <c r="H218" s="94" t="str">
        <f>IF($Y218="","",IF($Y218&lt;=1997,INDEX('Deal maths'!$F$1:$F$2000,$Y218+3),""))</f>
        <v/>
      </c>
      <c r="I218" s="98" t="str">
        <f>IF($Y218="","",IF($Y218&lt;=1997,N(INDEX('Deal maths'!$F$1:$F$2000,$Y218+3))-AsAt,N(INDEX('Deal maths'!$O$1:$O$2000,$Y218-1997+3))))</f>
        <v/>
      </c>
      <c r="J218" s="99" t="str">
        <f>IF($Y218="","",IF($Y218&lt;=1997,INDEX('Term investments'!$J$1:$J$2000,$Y218+3),INDEX('Call accounts and MMFs'!$G$1:$G$2000,$Y218-1997+3))&amp;"")</f>
        <v/>
      </c>
      <c r="K218" s="92" t="str">
        <f>IF($Y218="","",N(E218)*N(F218))</f>
        <v/>
      </c>
      <c r="L218" s="100" t="str">
        <f>IF($Y218="","",IF($Y218&lt;=1997,"Term investments, row "&amp;($Y218+3),"Call accounts and MMFs, row "&amp;($Y218-1997+3)))</f>
        <v/>
      </c>
      <c r="Y218" t="str">
        <f>IFERROR(MATCH(SMALL('List maths'!$E$4:$E$3997,210),'List maths'!$E$4:$E$3997,0),"")</f>
        <v/>
      </c>
    </row>
    <row r="219">
      <c r="B219" s="91" t="str">
        <f>IF($Y219="","",IF($Y219&lt;=1997,INDEX('Term investments'!$B$1:$B$2000,$Y219+3),INDEX('Call accounts and MMFs'!$B$1:$B$2000,$Y219-1997+3))&amp;"")</f>
        <v/>
      </c>
      <c r="C219" s="91" t="str">
        <f>IF($Y219="","",IF($Y219&lt;=1997,INDEX('Term investments'!$A$1:$A$2000,$Y219+3),INDEX('Call accounts and MMFs'!$A$1:$A$2000,$Y219-1997+3))&amp;"")</f>
        <v/>
      </c>
      <c r="D219" s="91" t="str">
        <f>IF($Y219="","",IF($Y219&lt;=1997,INDEX('Term investments'!$C$1:$C$2000,$Y219+3),INDEX('Call accounts and MMFs'!$C$1:$C$2000,$Y219-1997+3))&amp;"")</f>
        <v/>
      </c>
      <c r="E219" s="92" t="str">
        <f>IF($Y219="","",IF($Y219&lt;=1997,IF(N(INDEX('Deal maths'!$H$1:$H$2000,$Y219+3))&gt;0,N(INDEX('Deal maths'!$H$1:$H$2000,$Y219+3)),N(INDEX('Deal maths'!$D$1:$D$2000,$Y219+3))),N(INDEX('Deal maths'!$M$1:$M$2000,$Y219-1997+3))))</f>
        <v/>
      </c>
      <c r="F219" s="93" t="str">
        <f>IF($Y219="","",IF($Y219&lt;=1997,INDEX('Deal maths'!$G$1:$G$2000,$Y219+3),INDEX('Deal maths'!$N$1:$N$2000,$Y219-1997+3)))</f>
        <v/>
      </c>
      <c r="G219" s="94" t="str">
        <f>IF($Y219="","",IF($Y219&lt;=1997,INDEX('Deal maths'!$E$1:$E$2000,$Y219+3),""))</f>
        <v/>
      </c>
      <c r="H219" s="94" t="str">
        <f>IF($Y219="","",IF($Y219&lt;=1997,INDEX('Deal maths'!$F$1:$F$2000,$Y219+3),""))</f>
        <v/>
      </c>
      <c r="I219" s="98" t="str">
        <f>IF($Y219="","",IF($Y219&lt;=1997,N(INDEX('Deal maths'!$F$1:$F$2000,$Y219+3))-AsAt,N(INDEX('Deal maths'!$O$1:$O$2000,$Y219-1997+3))))</f>
        <v/>
      </c>
      <c r="J219" s="99" t="str">
        <f>IF($Y219="","",IF($Y219&lt;=1997,INDEX('Term investments'!$J$1:$J$2000,$Y219+3),INDEX('Call accounts and MMFs'!$G$1:$G$2000,$Y219-1997+3))&amp;"")</f>
        <v/>
      </c>
      <c r="K219" s="92" t="str">
        <f>IF($Y219="","",N(E219)*N(F219))</f>
        <v/>
      </c>
      <c r="L219" s="100" t="str">
        <f>IF($Y219="","",IF($Y219&lt;=1997,"Term investments, row "&amp;($Y219+3),"Call accounts and MMFs, row "&amp;($Y219-1997+3)))</f>
        <v/>
      </c>
      <c r="Y219" t="str">
        <f>IFERROR(MATCH(SMALL('List maths'!$E$4:$E$3997,211),'List maths'!$E$4:$E$3997,0),"")</f>
        <v/>
      </c>
    </row>
    <row r="220">
      <c r="B220" s="91" t="str">
        <f>IF($Y220="","",IF($Y220&lt;=1997,INDEX('Term investments'!$B$1:$B$2000,$Y220+3),INDEX('Call accounts and MMFs'!$B$1:$B$2000,$Y220-1997+3))&amp;"")</f>
        <v/>
      </c>
      <c r="C220" s="91" t="str">
        <f>IF($Y220="","",IF($Y220&lt;=1997,INDEX('Term investments'!$A$1:$A$2000,$Y220+3),INDEX('Call accounts and MMFs'!$A$1:$A$2000,$Y220-1997+3))&amp;"")</f>
        <v/>
      </c>
      <c r="D220" s="91" t="str">
        <f>IF($Y220="","",IF($Y220&lt;=1997,INDEX('Term investments'!$C$1:$C$2000,$Y220+3),INDEX('Call accounts and MMFs'!$C$1:$C$2000,$Y220-1997+3))&amp;"")</f>
        <v/>
      </c>
      <c r="E220" s="92" t="str">
        <f>IF($Y220="","",IF($Y220&lt;=1997,IF(N(INDEX('Deal maths'!$H$1:$H$2000,$Y220+3))&gt;0,N(INDEX('Deal maths'!$H$1:$H$2000,$Y220+3)),N(INDEX('Deal maths'!$D$1:$D$2000,$Y220+3))),N(INDEX('Deal maths'!$M$1:$M$2000,$Y220-1997+3))))</f>
        <v/>
      </c>
      <c r="F220" s="93" t="str">
        <f>IF($Y220="","",IF($Y220&lt;=1997,INDEX('Deal maths'!$G$1:$G$2000,$Y220+3),INDEX('Deal maths'!$N$1:$N$2000,$Y220-1997+3)))</f>
        <v/>
      </c>
      <c r="G220" s="94" t="str">
        <f>IF($Y220="","",IF($Y220&lt;=1997,INDEX('Deal maths'!$E$1:$E$2000,$Y220+3),""))</f>
        <v/>
      </c>
      <c r="H220" s="94" t="str">
        <f>IF($Y220="","",IF($Y220&lt;=1997,INDEX('Deal maths'!$F$1:$F$2000,$Y220+3),""))</f>
        <v/>
      </c>
      <c r="I220" s="98" t="str">
        <f>IF($Y220="","",IF($Y220&lt;=1997,N(INDEX('Deal maths'!$F$1:$F$2000,$Y220+3))-AsAt,N(INDEX('Deal maths'!$O$1:$O$2000,$Y220-1997+3))))</f>
        <v/>
      </c>
      <c r="J220" s="99" t="str">
        <f>IF($Y220="","",IF($Y220&lt;=1997,INDEX('Term investments'!$J$1:$J$2000,$Y220+3),INDEX('Call accounts and MMFs'!$G$1:$G$2000,$Y220-1997+3))&amp;"")</f>
        <v/>
      </c>
      <c r="K220" s="92" t="str">
        <f>IF($Y220="","",N(E220)*N(F220))</f>
        <v/>
      </c>
      <c r="L220" s="100" t="str">
        <f>IF($Y220="","",IF($Y220&lt;=1997,"Term investments, row "&amp;($Y220+3),"Call accounts and MMFs, row "&amp;($Y220-1997+3)))</f>
        <v/>
      </c>
      <c r="Y220" t="str">
        <f>IFERROR(MATCH(SMALL('List maths'!$E$4:$E$3997,212),'List maths'!$E$4:$E$3997,0),"")</f>
        <v/>
      </c>
    </row>
    <row r="221">
      <c r="B221" s="91" t="str">
        <f>IF($Y221="","",IF($Y221&lt;=1997,INDEX('Term investments'!$B$1:$B$2000,$Y221+3),INDEX('Call accounts and MMFs'!$B$1:$B$2000,$Y221-1997+3))&amp;"")</f>
        <v/>
      </c>
      <c r="C221" s="91" t="str">
        <f>IF($Y221="","",IF($Y221&lt;=1997,INDEX('Term investments'!$A$1:$A$2000,$Y221+3),INDEX('Call accounts and MMFs'!$A$1:$A$2000,$Y221-1997+3))&amp;"")</f>
        <v/>
      </c>
      <c r="D221" s="91" t="str">
        <f>IF($Y221="","",IF($Y221&lt;=1997,INDEX('Term investments'!$C$1:$C$2000,$Y221+3),INDEX('Call accounts and MMFs'!$C$1:$C$2000,$Y221-1997+3))&amp;"")</f>
        <v/>
      </c>
      <c r="E221" s="92" t="str">
        <f>IF($Y221="","",IF($Y221&lt;=1997,IF(N(INDEX('Deal maths'!$H$1:$H$2000,$Y221+3))&gt;0,N(INDEX('Deal maths'!$H$1:$H$2000,$Y221+3)),N(INDEX('Deal maths'!$D$1:$D$2000,$Y221+3))),N(INDEX('Deal maths'!$M$1:$M$2000,$Y221-1997+3))))</f>
        <v/>
      </c>
      <c r="F221" s="93" t="str">
        <f>IF($Y221="","",IF($Y221&lt;=1997,INDEX('Deal maths'!$G$1:$G$2000,$Y221+3),INDEX('Deal maths'!$N$1:$N$2000,$Y221-1997+3)))</f>
        <v/>
      </c>
      <c r="G221" s="94" t="str">
        <f>IF($Y221="","",IF($Y221&lt;=1997,INDEX('Deal maths'!$E$1:$E$2000,$Y221+3),""))</f>
        <v/>
      </c>
      <c r="H221" s="94" t="str">
        <f>IF($Y221="","",IF($Y221&lt;=1997,INDEX('Deal maths'!$F$1:$F$2000,$Y221+3),""))</f>
        <v/>
      </c>
      <c r="I221" s="98" t="str">
        <f>IF($Y221="","",IF($Y221&lt;=1997,N(INDEX('Deal maths'!$F$1:$F$2000,$Y221+3))-AsAt,N(INDEX('Deal maths'!$O$1:$O$2000,$Y221-1997+3))))</f>
        <v/>
      </c>
      <c r="J221" s="99" t="str">
        <f>IF($Y221="","",IF($Y221&lt;=1997,INDEX('Term investments'!$J$1:$J$2000,$Y221+3),INDEX('Call accounts and MMFs'!$G$1:$G$2000,$Y221-1997+3))&amp;"")</f>
        <v/>
      </c>
      <c r="K221" s="92" t="str">
        <f>IF($Y221="","",N(E221)*N(F221))</f>
        <v/>
      </c>
      <c r="L221" s="100" t="str">
        <f>IF($Y221="","",IF($Y221&lt;=1997,"Term investments, row "&amp;($Y221+3),"Call accounts and MMFs, row "&amp;($Y221-1997+3)))</f>
        <v/>
      </c>
      <c r="Y221" t="str">
        <f>IFERROR(MATCH(SMALL('List maths'!$E$4:$E$3997,213),'List maths'!$E$4:$E$3997,0),"")</f>
        <v/>
      </c>
    </row>
    <row r="222">
      <c r="B222" s="91" t="str">
        <f>IF($Y222="","",IF($Y222&lt;=1997,INDEX('Term investments'!$B$1:$B$2000,$Y222+3),INDEX('Call accounts and MMFs'!$B$1:$B$2000,$Y222-1997+3))&amp;"")</f>
        <v/>
      </c>
      <c r="C222" s="91" t="str">
        <f>IF($Y222="","",IF($Y222&lt;=1997,INDEX('Term investments'!$A$1:$A$2000,$Y222+3),INDEX('Call accounts and MMFs'!$A$1:$A$2000,$Y222-1997+3))&amp;"")</f>
        <v/>
      </c>
      <c r="D222" s="91" t="str">
        <f>IF($Y222="","",IF($Y222&lt;=1997,INDEX('Term investments'!$C$1:$C$2000,$Y222+3),INDEX('Call accounts and MMFs'!$C$1:$C$2000,$Y222-1997+3))&amp;"")</f>
        <v/>
      </c>
      <c r="E222" s="92" t="str">
        <f>IF($Y222="","",IF($Y222&lt;=1997,IF(N(INDEX('Deal maths'!$H$1:$H$2000,$Y222+3))&gt;0,N(INDEX('Deal maths'!$H$1:$H$2000,$Y222+3)),N(INDEX('Deal maths'!$D$1:$D$2000,$Y222+3))),N(INDEX('Deal maths'!$M$1:$M$2000,$Y222-1997+3))))</f>
        <v/>
      </c>
      <c r="F222" s="93" t="str">
        <f>IF($Y222="","",IF($Y222&lt;=1997,INDEX('Deal maths'!$G$1:$G$2000,$Y222+3),INDEX('Deal maths'!$N$1:$N$2000,$Y222-1997+3)))</f>
        <v/>
      </c>
      <c r="G222" s="94" t="str">
        <f>IF($Y222="","",IF($Y222&lt;=1997,INDEX('Deal maths'!$E$1:$E$2000,$Y222+3),""))</f>
        <v/>
      </c>
      <c r="H222" s="94" t="str">
        <f>IF($Y222="","",IF($Y222&lt;=1997,INDEX('Deal maths'!$F$1:$F$2000,$Y222+3),""))</f>
        <v/>
      </c>
      <c r="I222" s="98" t="str">
        <f>IF($Y222="","",IF($Y222&lt;=1997,N(INDEX('Deal maths'!$F$1:$F$2000,$Y222+3))-AsAt,N(INDEX('Deal maths'!$O$1:$O$2000,$Y222-1997+3))))</f>
        <v/>
      </c>
      <c r="J222" s="99" t="str">
        <f>IF($Y222="","",IF($Y222&lt;=1997,INDEX('Term investments'!$J$1:$J$2000,$Y222+3),INDEX('Call accounts and MMFs'!$G$1:$G$2000,$Y222-1997+3))&amp;"")</f>
        <v/>
      </c>
      <c r="K222" s="92" t="str">
        <f>IF($Y222="","",N(E222)*N(F222))</f>
        <v/>
      </c>
      <c r="L222" s="100" t="str">
        <f>IF($Y222="","",IF($Y222&lt;=1997,"Term investments, row "&amp;($Y222+3),"Call accounts and MMFs, row "&amp;($Y222-1997+3)))</f>
        <v/>
      </c>
      <c r="Y222" t="str">
        <f>IFERROR(MATCH(SMALL('List maths'!$E$4:$E$3997,214),'List maths'!$E$4:$E$3997,0),"")</f>
        <v/>
      </c>
    </row>
    <row r="223">
      <c r="B223" s="91" t="str">
        <f>IF($Y223="","",IF($Y223&lt;=1997,INDEX('Term investments'!$B$1:$B$2000,$Y223+3),INDEX('Call accounts and MMFs'!$B$1:$B$2000,$Y223-1997+3))&amp;"")</f>
        <v/>
      </c>
      <c r="C223" s="91" t="str">
        <f>IF($Y223="","",IF($Y223&lt;=1997,INDEX('Term investments'!$A$1:$A$2000,$Y223+3),INDEX('Call accounts and MMFs'!$A$1:$A$2000,$Y223-1997+3))&amp;"")</f>
        <v/>
      </c>
      <c r="D223" s="91" t="str">
        <f>IF($Y223="","",IF($Y223&lt;=1997,INDEX('Term investments'!$C$1:$C$2000,$Y223+3),INDEX('Call accounts and MMFs'!$C$1:$C$2000,$Y223-1997+3))&amp;"")</f>
        <v/>
      </c>
      <c r="E223" s="92" t="str">
        <f>IF($Y223="","",IF($Y223&lt;=1997,IF(N(INDEX('Deal maths'!$H$1:$H$2000,$Y223+3))&gt;0,N(INDEX('Deal maths'!$H$1:$H$2000,$Y223+3)),N(INDEX('Deal maths'!$D$1:$D$2000,$Y223+3))),N(INDEX('Deal maths'!$M$1:$M$2000,$Y223-1997+3))))</f>
        <v/>
      </c>
      <c r="F223" s="93" t="str">
        <f>IF($Y223="","",IF($Y223&lt;=1997,INDEX('Deal maths'!$G$1:$G$2000,$Y223+3),INDEX('Deal maths'!$N$1:$N$2000,$Y223-1997+3)))</f>
        <v/>
      </c>
      <c r="G223" s="94" t="str">
        <f>IF($Y223="","",IF($Y223&lt;=1997,INDEX('Deal maths'!$E$1:$E$2000,$Y223+3),""))</f>
        <v/>
      </c>
      <c r="H223" s="94" t="str">
        <f>IF($Y223="","",IF($Y223&lt;=1997,INDEX('Deal maths'!$F$1:$F$2000,$Y223+3),""))</f>
        <v/>
      </c>
      <c r="I223" s="98" t="str">
        <f>IF($Y223="","",IF($Y223&lt;=1997,N(INDEX('Deal maths'!$F$1:$F$2000,$Y223+3))-AsAt,N(INDEX('Deal maths'!$O$1:$O$2000,$Y223-1997+3))))</f>
        <v/>
      </c>
      <c r="J223" s="99" t="str">
        <f>IF($Y223="","",IF($Y223&lt;=1997,INDEX('Term investments'!$J$1:$J$2000,$Y223+3),INDEX('Call accounts and MMFs'!$G$1:$G$2000,$Y223-1997+3))&amp;"")</f>
        <v/>
      </c>
      <c r="K223" s="92" t="str">
        <f>IF($Y223="","",N(E223)*N(F223))</f>
        <v/>
      </c>
      <c r="L223" s="100" t="str">
        <f>IF($Y223="","",IF($Y223&lt;=1997,"Term investments, row "&amp;($Y223+3),"Call accounts and MMFs, row "&amp;($Y223-1997+3)))</f>
        <v/>
      </c>
      <c r="Y223" t="str">
        <f>IFERROR(MATCH(SMALL('List maths'!$E$4:$E$3997,215),'List maths'!$E$4:$E$3997,0),"")</f>
        <v/>
      </c>
    </row>
    <row r="224">
      <c r="B224" s="91" t="str">
        <f>IF($Y224="","",IF($Y224&lt;=1997,INDEX('Term investments'!$B$1:$B$2000,$Y224+3),INDEX('Call accounts and MMFs'!$B$1:$B$2000,$Y224-1997+3))&amp;"")</f>
        <v/>
      </c>
      <c r="C224" s="91" t="str">
        <f>IF($Y224="","",IF($Y224&lt;=1997,INDEX('Term investments'!$A$1:$A$2000,$Y224+3),INDEX('Call accounts and MMFs'!$A$1:$A$2000,$Y224-1997+3))&amp;"")</f>
        <v/>
      </c>
      <c r="D224" s="91" t="str">
        <f>IF($Y224="","",IF($Y224&lt;=1997,INDEX('Term investments'!$C$1:$C$2000,$Y224+3),INDEX('Call accounts and MMFs'!$C$1:$C$2000,$Y224-1997+3))&amp;"")</f>
        <v/>
      </c>
      <c r="E224" s="92" t="str">
        <f>IF($Y224="","",IF($Y224&lt;=1997,IF(N(INDEX('Deal maths'!$H$1:$H$2000,$Y224+3))&gt;0,N(INDEX('Deal maths'!$H$1:$H$2000,$Y224+3)),N(INDEX('Deal maths'!$D$1:$D$2000,$Y224+3))),N(INDEX('Deal maths'!$M$1:$M$2000,$Y224-1997+3))))</f>
        <v/>
      </c>
      <c r="F224" s="93" t="str">
        <f>IF($Y224="","",IF($Y224&lt;=1997,INDEX('Deal maths'!$G$1:$G$2000,$Y224+3),INDEX('Deal maths'!$N$1:$N$2000,$Y224-1997+3)))</f>
        <v/>
      </c>
      <c r="G224" s="94" t="str">
        <f>IF($Y224="","",IF($Y224&lt;=1997,INDEX('Deal maths'!$E$1:$E$2000,$Y224+3),""))</f>
        <v/>
      </c>
      <c r="H224" s="94" t="str">
        <f>IF($Y224="","",IF($Y224&lt;=1997,INDEX('Deal maths'!$F$1:$F$2000,$Y224+3),""))</f>
        <v/>
      </c>
      <c r="I224" s="98" t="str">
        <f>IF($Y224="","",IF($Y224&lt;=1997,N(INDEX('Deal maths'!$F$1:$F$2000,$Y224+3))-AsAt,N(INDEX('Deal maths'!$O$1:$O$2000,$Y224-1997+3))))</f>
        <v/>
      </c>
      <c r="J224" s="99" t="str">
        <f>IF($Y224="","",IF($Y224&lt;=1997,INDEX('Term investments'!$J$1:$J$2000,$Y224+3),INDEX('Call accounts and MMFs'!$G$1:$G$2000,$Y224-1997+3))&amp;"")</f>
        <v/>
      </c>
      <c r="K224" s="92" t="str">
        <f>IF($Y224="","",N(E224)*N(F224))</f>
        <v/>
      </c>
      <c r="L224" s="100" t="str">
        <f>IF($Y224="","",IF($Y224&lt;=1997,"Term investments, row "&amp;($Y224+3),"Call accounts and MMFs, row "&amp;($Y224-1997+3)))</f>
        <v/>
      </c>
      <c r="Y224" t="str">
        <f>IFERROR(MATCH(SMALL('List maths'!$E$4:$E$3997,216),'List maths'!$E$4:$E$3997,0),"")</f>
        <v/>
      </c>
    </row>
    <row r="225">
      <c r="B225" s="91" t="str">
        <f>IF($Y225="","",IF($Y225&lt;=1997,INDEX('Term investments'!$B$1:$B$2000,$Y225+3),INDEX('Call accounts and MMFs'!$B$1:$B$2000,$Y225-1997+3))&amp;"")</f>
        <v/>
      </c>
      <c r="C225" s="91" t="str">
        <f>IF($Y225="","",IF($Y225&lt;=1997,INDEX('Term investments'!$A$1:$A$2000,$Y225+3),INDEX('Call accounts and MMFs'!$A$1:$A$2000,$Y225-1997+3))&amp;"")</f>
        <v/>
      </c>
      <c r="D225" s="91" t="str">
        <f>IF($Y225="","",IF($Y225&lt;=1997,INDEX('Term investments'!$C$1:$C$2000,$Y225+3),INDEX('Call accounts and MMFs'!$C$1:$C$2000,$Y225-1997+3))&amp;"")</f>
        <v/>
      </c>
      <c r="E225" s="92" t="str">
        <f>IF($Y225="","",IF($Y225&lt;=1997,IF(N(INDEX('Deal maths'!$H$1:$H$2000,$Y225+3))&gt;0,N(INDEX('Deal maths'!$H$1:$H$2000,$Y225+3)),N(INDEX('Deal maths'!$D$1:$D$2000,$Y225+3))),N(INDEX('Deal maths'!$M$1:$M$2000,$Y225-1997+3))))</f>
        <v/>
      </c>
      <c r="F225" s="93" t="str">
        <f>IF($Y225="","",IF($Y225&lt;=1997,INDEX('Deal maths'!$G$1:$G$2000,$Y225+3),INDEX('Deal maths'!$N$1:$N$2000,$Y225-1997+3)))</f>
        <v/>
      </c>
      <c r="G225" s="94" t="str">
        <f>IF($Y225="","",IF($Y225&lt;=1997,INDEX('Deal maths'!$E$1:$E$2000,$Y225+3),""))</f>
        <v/>
      </c>
      <c r="H225" s="94" t="str">
        <f>IF($Y225="","",IF($Y225&lt;=1997,INDEX('Deal maths'!$F$1:$F$2000,$Y225+3),""))</f>
        <v/>
      </c>
      <c r="I225" s="98" t="str">
        <f>IF($Y225="","",IF($Y225&lt;=1997,N(INDEX('Deal maths'!$F$1:$F$2000,$Y225+3))-AsAt,N(INDEX('Deal maths'!$O$1:$O$2000,$Y225-1997+3))))</f>
        <v/>
      </c>
      <c r="J225" s="99" t="str">
        <f>IF($Y225="","",IF($Y225&lt;=1997,INDEX('Term investments'!$J$1:$J$2000,$Y225+3),INDEX('Call accounts and MMFs'!$G$1:$G$2000,$Y225-1997+3))&amp;"")</f>
        <v/>
      </c>
      <c r="K225" s="92" t="str">
        <f>IF($Y225="","",N(E225)*N(F225))</f>
        <v/>
      </c>
      <c r="L225" s="100" t="str">
        <f>IF($Y225="","",IF($Y225&lt;=1997,"Term investments, row "&amp;($Y225+3),"Call accounts and MMFs, row "&amp;($Y225-1997+3)))</f>
        <v/>
      </c>
      <c r="Y225" t="str">
        <f>IFERROR(MATCH(SMALL('List maths'!$E$4:$E$3997,217),'List maths'!$E$4:$E$3997,0),"")</f>
        <v/>
      </c>
    </row>
    <row r="226">
      <c r="B226" s="91" t="str">
        <f>IF($Y226="","",IF($Y226&lt;=1997,INDEX('Term investments'!$B$1:$B$2000,$Y226+3),INDEX('Call accounts and MMFs'!$B$1:$B$2000,$Y226-1997+3))&amp;"")</f>
        <v/>
      </c>
      <c r="C226" s="91" t="str">
        <f>IF($Y226="","",IF($Y226&lt;=1997,INDEX('Term investments'!$A$1:$A$2000,$Y226+3),INDEX('Call accounts and MMFs'!$A$1:$A$2000,$Y226-1997+3))&amp;"")</f>
        <v/>
      </c>
      <c r="D226" s="91" t="str">
        <f>IF($Y226="","",IF($Y226&lt;=1997,INDEX('Term investments'!$C$1:$C$2000,$Y226+3),INDEX('Call accounts and MMFs'!$C$1:$C$2000,$Y226-1997+3))&amp;"")</f>
        <v/>
      </c>
      <c r="E226" s="92" t="str">
        <f>IF($Y226="","",IF($Y226&lt;=1997,IF(N(INDEX('Deal maths'!$H$1:$H$2000,$Y226+3))&gt;0,N(INDEX('Deal maths'!$H$1:$H$2000,$Y226+3)),N(INDEX('Deal maths'!$D$1:$D$2000,$Y226+3))),N(INDEX('Deal maths'!$M$1:$M$2000,$Y226-1997+3))))</f>
        <v/>
      </c>
      <c r="F226" s="93" t="str">
        <f>IF($Y226="","",IF($Y226&lt;=1997,INDEX('Deal maths'!$G$1:$G$2000,$Y226+3),INDEX('Deal maths'!$N$1:$N$2000,$Y226-1997+3)))</f>
        <v/>
      </c>
      <c r="G226" s="94" t="str">
        <f>IF($Y226="","",IF($Y226&lt;=1997,INDEX('Deal maths'!$E$1:$E$2000,$Y226+3),""))</f>
        <v/>
      </c>
      <c r="H226" s="94" t="str">
        <f>IF($Y226="","",IF($Y226&lt;=1997,INDEX('Deal maths'!$F$1:$F$2000,$Y226+3),""))</f>
        <v/>
      </c>
      <c r="I226" s="98" t="str">
        <f>IF($Y226="","",IF($Y226&lt;=1997,N(INDEX('Deal maths'!$F$1:$F$2000,$Y226+3))-AsAt,N(INDEX('Deal maths'!$O$1:$O$2000,$Y226-1997+3))))</f>
        <v/>
      </c>
      <c r="J226" s="99" t="str">
        <f>IF($Y226="","",IF($Y226&lt;=1997,INDEX('Term investments'!$J$1:$J$2000,$Y226+3),INDEX('Call accounts and MMFs'!$G$1:$G$2000,$Y226-1997+3))&amp;"")</f>
        <v/>
      </c>
      <c r="K226" s="92" t="str">
        <f>IF($Y226="","",N(E226)*N(F226))</f>
        <v/>
      </c>
      <c r="L226" s="100" t="str">
        <f>IF($Y226="","",IF($Y226&lt;=1997,"Term investments, row "&amp;($Y226+3),"Call accounts and MMFs, row "&amp;($Y226-1997+3)))</f>
        <v/>
      </c>
      <c r="Y226" t="str">
        <f>IFERROR(MATCH(SMALL('List maths'!$E$4:$E$3997,218),'List maths'!$E$4:$E$3997,0),"")</f>
        <v/>
      </c>
    </row>
    <row r="227">
      <c r="B227" s="91" t="str">
        <f>IF($Y227="","",IF($Y227&lt;=1997,INDEX('Term investments'!$B$1:$B$2000,$Y227+3),INDEX('Call accounts and MMFs'!$B$1:$B$2000,$Y227-1997+3))&amp;"")</f>
        <v/>
      </c>
      <c r="C227" s="91" t="str">
        <f>IF($Y227="","",IF($Y227&lt;=1997,INDEX('Term investments'!$A$1:$A$2000,$Y227+3),INDEX('Call accounts and MMFs'!$A$1:$A$2000,$Y227-1997+3))&amp;"")</f>
        <v/>
      </c>
      <c r="D227" s="91" t="str">
        <f>IF($Y227="","",IF($Y227&lt;=1997,INDEX('Term investments'!$C$1:$C$2000,$Y227+3),INDEX('Call accounts and MMFs'!$C$1:$C$2000,$Y227-1997+3))&amp;"")</f>
        <v/>
      </c>
      <c r="E227" s="92" t="str">
        <f>IF($Y227="","",IF($Y227&lt;=1997,IF(N(INDEX('Deal maths'!$H$1:$H$2000,$Y227+3))&gt;0,N(INDEX('Deal maths'!$H$1:$H$2000,$Y227+3)),N(INDEX('Deal maths'!$D$1:$D$2000,$Y227+3))),N(INDEX('Deal maths'!$M$1:$M$2000,$Y227-1997+3))))</f>
        <v/>
      </c>
      <c r="F227" s="93" t="str">
        <f>IF($Y227="","",IF($Y227&lt;=1997,INDEX('Deal maths'!$G$1:$G$2000,$Y227+3),INDEX('Deal maths'!$N$1:$N$2000,$Y227-1997+3)))</f>
        <v/>
      </c>
      <c r="G227" s="94" t="str">
        <f>IF($Y227="","",IF($Y227&lt;=1997,INDEX('Deal maths'!$E$1:$E$2000,$Y227+3),""))</f>
        <v/>
      </c>
      <c r="H227" s="94" t="str">
        <f>IF($Y227="","",IF($Y227&lt;=1997,INDEX('Deal maths'!$F$1:$F$2000,$Y227+3),""))</f>
        <v/>
      </c>
      <c r="I227" s="98" t="str">
        <f>IF($Y227="","",IF($Y227&lt;=1997,N(INDEX('Deal maths'!$F$1:$F$2000,$Y227+3))-AsAt,N(INDEX('Deal maths'!$O$1:$O$2000,$Y227-1997+3))))</f>
        <v/>
      </c>
      <c r="J227" s="99" t="str">
        <f>IF($Y227="","",IF($Y227&lt;=1997,INDEX('Term investments'!$J$1:$J$2000,$Y227+3),INDEX('Call accounts and MMFs'!$G$1:$G$2000,$Y227-1997+3))&amp;"")</f>
        <v/>
      </c>
      <c r="K227" s="92" t="str">
        <f>IF($Y227="","",N(E227)*N(F227))</f>
        <v/>
      </c>
      <c r="L227" s="100" t="str">
        <f>IF($Y227="","",IF($Y227&lt;=1997,"Term investments, row "&amp;($Y227+3),"Call accounts and MMFs, row "&amp;($Y227-1997+3)))</f>
        <v/>
      </c>
      <c r="Y227" t="str">
        <f>IFERROR(MATCH(SMALL('List maths'!$E$4:$E$3997,219),'List maths'!$E$4:$E$3997,0),"")</f>
        <v/>
      </c>
    </row>
    <row r="228">
      <c r="B228" s="91" t="str">
        <f>IF($Y228="","",IF($Y228&lt;=1997,INDEX('Term investments'!$B$1:$B$2000,$Y228+3),INDEX('Call accounts and MMFs'!$B$1:$B$2000,$Y228-1997+3))&amp;"")</f>
        <v/>
      </c>
      <c r="C228" s="91" t="str">
        <f>IF($Y228="","",IF($Y228&lt;=1997,INDEX('Term investments'!$A$1:$A$2000,$Y228+3),INDEX('Call accounts and MMFs'!$A$1:$A$2000,$Y228-1997+3))&amp;"")</f>
        <v/>
      </c>
      <c r="D228" s="91" t="str">
        <f>IF($Y228="","",IF($Y228&lt;=1997,INDEX('Term investments'!$C$1:$C$2000,$Y228+3),INDEX('Call accounts and MMFs'!$C$1:$C$2000,$Y228-1997+3))&amp;"")</f>
        <v/>
      </c>
      <c r="E228" s="92" t="str">
        <f>IF($Y228="","",IF($Y228&lt;=1997,IF(N(INDEX('Deal maths'!$H$1:$H$2000,$Y228+3))&gt;0,N(INDEX('Deal maths'!$H$1:$H$2000,$Y228+3)),N(INDEX('Deal maths'!$D$1:$D$2000,$Y228+3))),N(INDEX('Deal maths'!$M$1:$M$2000,$Y228-1997+3))))</f>
        <v/>
      </c>
      <c r="F228" s="93" t="str">
        <f>IF($Y228="","",IF($Y228&lt;=1997,INDEX('Deal maths'!$G$1:$G$2000,$Y228+3),INDEX('Deal maths'!$N$1:$N$2000,$Y228-1997+3)))</f>
        <v/>
      </c>
      <c r="G228" s="94" t="str">
        <f>IF($Y228="","",IF($Y228&lt;=1997,INDEX('Deal maths'!$E$1:$E$2000,$Y228+3),""))</f>
        <v/>
      </c>
      <c r="H228" s="94" t="str">
        <f>IF($Y228="","",IF($Y228&lt;=1997,INDEX('Deal maths'!$F$1:$F$2000,$Y228+3),""))</f>
        <v/>
      </c>
      <c r="I228" s="98" t="str">
        <f>IF($Y228="","",IF($Y228&lt;=1997,N(INDEX('Deal maths'!$F$1:$F$2000,$Y228+3))-AsAt,N(INDEX('Deal maths'!$O$1:$O$2000,$Y228-1997+3))))</f>
        <v/>
      </c>
      <c r="J228" s="99" t="str">
        <f>IF($Y228="","",IF($Y228&lt;=1997,INDEX('Term investments'!$J$1:$J$2000,$Y228+3),INDEX('Call accounts and MMFs'!$G$1:$G$2000,$Y228-1997+3))&amp;"")</f>
        <v/>
      </c>
      <c r="K228" s="92" t="str">
        <f>IF($Y228="","",N(E228)*N(F228))</f>
        <v/>
      </c>
      <c r="L228" s="100" t="str">
        <f>IF($Y228="","",IF($Y228&lt;=1997,"Term investments, row "&amp;($Y228+3),"Call accounts and MMFs, row "&amp;($Y228-1997+3)))</f>
        <v/>
      </c>
      <c r="Y228" t="str">
        <f>IFERROR(MATCH(SMALL('List maths'!$E$4:$E$3997,220),'List maths'!$E$4:$E$3997,0),"")</f>
        <v/>
      </c>
    </row>
    <row r="229">
      <c r="B229" s="91" t="str">
        <f>IF($Y229="","",IF($Y229&lt;=1997,INDEX('Term investments'!$B$1:$B$2000,$Y229+3),INDEX('Call accounts and MMFs'!$B$1:$B$2000,$Y229-1997+3))&amp;"")</f>
        <v/>
      </c>
      <c r="C229" s="91" t="str">
        <f>IF($Y229="","",IF($Y229&lt;=1997,INDEX('Term investments'!$A$1:$A$2000,$Y229+3),INDEX('Call accounts and MMFs'!$A$1:$A$2000,$Y229-1997+3))&amp;"")</f>
        <v/>
      </c>
      <c r="D229" s="91" t="str">
        <f>IF($Y229="","",IF($Y229&lt;=1997,INDEX('Term investments'!$C$1:$C$2000,$Y229+3),INDEX('Call accounts and MMFs'!$C$1:$C$2000,$Y229-1997+3))&amp;"")</f>
        <v/>
      </c>
      <c r="E229" s="92" t="str">
        <f>IF($Y229="","",IF($Y229&lt;=1997,IF(N(INDEX('Deal maths'!$H$1:$H$2000,$Y229+3))&gt;0,N(INDEX('Deal maths'!$H$1:$H$2000,$Y229+3)),N(INDEX('Deal maths'!$D$1:$D$2000,$Y229+3))),N(INDEX('Deal maths'!$M$1:$M$2000,$Y229-1997+3))))</f>
        <v/>
      </c>
      <c r="F229" s="93" t="str">
        <f>IF($Y229="","",IF($Y229&lt;=1997,INDEX('Deal maths'!$G$1:$G$2000,$Y229+3),INDEX('Deal maths'!$N$1:$N$2000,$Y229-1997+3)))</f>
        <v/>
      </c>
      <c r="G229" s="94" t="str">
        <f>IF($Y229="","",IF($Y229&lt;=1997,INDEX('Deal maths'!$E$1:$E$2000,$Y229+3),""))</f>
        <v/>
      </c>
      <c r="H229" s="94" t="str">
        <f>IF($Y229="","",IF($Y229&lt;=1997,INDEX('Deal maths'!$F$1:$F$2000,$Y229+3),""))</f>
        <v/>
      </c>
      <c r="I229" s="98" t="str">
        <f>IF($Y229="","",IF($Y229&lt;=1997,N(INDEX('Deal maths'!$F$1:$F$2000,$Y229+3))-AsAt,N(INDEX('Deal maths'!$O$1:$O$2000,$Y229-1997+3))))</f>
        <v/>
      </c>
      <c r="J229" s="99" t="str">
        <f>IF($Y229="","",IF($Y229&lt;=1997,INDEX('Term investments'!$J$1:$J$2000,$Y229+3),INDEX('Call accounts and MMFs'!$G$1:$G$2000,$Y229-1997+3))&amp;"")</f>
        <v/>
      </c>
      <c r="K229" s="92" t="str">
        <f>IF($Y229="","",N(E229)*N(F229))</f>
        <v/>
      </c>
      <c r="L229" s="100" t="str">
        <f>IF($Y229="","",IF($Y229&lt;=1997,"Term investments, row "&amp;($Y229+3),"Call accounts and MMFs, row "&amp;($Y229-1997+3)))</f>
        <v/>
      </c>
      <c r="Y229" t="str">
        <f>IFERROR(MATCH(SMALL('List maths'!$E$4:$E$3997,221),'List maths'!$E$4:$E$3997,0),"")</f>
        <v/>
      </c>
    </row>
    <row r="230">
      <c r="B230" s="91" t="str">
        <f>IF($Y230="","",IF($Y230&lt;=1997,INDEX('Term investments'!$B$1:$B$2000,$Y230+3),INDEX('Call accounts and MMFs'!$B$1:$B$2000,$Y230-1997+3))&amp;"")</f>
        <v/>
      </c>
      <c r="C230" s="91" t="str">
        <f>IF($Y230="","",IF($Y230&lt;=1997,INDEX('Term investments'!$A$1:$A$2000,$Y230+3),INDEX('Call accounts and MMFs'!$A$1:$A$2000,$Y230-1997+3))&amp;"")</f>
        <v/>
      </c>
      <c r="D230" s="91" t="str">
        <f>IF($Y230="","",IF($Y230&lt;=1997,INDEX('Term investments'!$C$1:$C$2000,$Y230+3),INDEX('Call accounts and MMFs'!$C$1:$C$2000,$Y230-1997+3))&amp;"")</f>
        <v/>
      </c>
      <c r="E230" s="92" t="str">
        <f>IF($Y230="","",IF($Y230&lt;=1997,IF(N(INDEX('Deal maths'!$H$1:$H$2000,$Y230+3))&gt;0,N(INDEX('Deal maths'!$H$1:$H$2000,$Y230+3)),N(INDEX('Deal maths'!$D$1:$D$2000,$Y230+3))),N(INDEX('Deal maths'!$M$1:$M$2000,$Y230-1997+3))))</f>
        <v/>
      </c>
      <c r="F230" s="93" t="str">
        <f>IF($Y230="","",IF($Y230&lt;=1997,INDEX('Deal maths'!$G$1:$G$2000,$Y230+3),INDEX('Deal maths'!$N$1:$N$2000,$Y230-1997+3)))</f>
        <v/>
      </c>
      <c r="G230" s="94" t="str">
        <f>IF($Y230="","",IF($Y230&lt;=1997,INDEX('Deal maths'!$E$1:$E$2000,$Y230+3),""))</f>
        <v/>
      </c>
      <c r="H230" s="94" t="str">
        <f>IF($Y230="","",IF($Y230&lt;=1997,INDEX('Deal maths'!$F$1:$F$2000,$Y230+3),""))</f>
        <v/>
      </c>
      <c r="I230" s="98" t="str">
        <f>IF($Y230="","",IF($Y230&lt;=1997,N(INDEX('Deal maths'!$F$1:$F$2000,$Y230+3))-AsAt,N(INDEX('Deal maths'!$O$1:$O$2000,$Y230-1997+3))))</f>
        <v/>
      </c>
      <c r="J230" s="99" t="str">
        <f>IF($Y230="","",IF($Y230&lt;=1997,INDEX('Term investments'!$J$1:$J$2000,$Y230+3),INDEX('Call accounts and MMFs'!$G$1:$G$2000,$Y230-1997+3))&amp;"")</f>
        <v/>
      </c>
      <c r="K230" s="92" t="str">
        <f>IF($Y230="","",N(E230)*N(F230))</f>
        <v/>
      </c>
      <c r="L230" s="100" t="str">
        <f>IF($Y230="","",IF($Y230&lt;=1997,"Term investments, row "&amp;($Y230+3),"Call accounts and MMFs, row "&amp;($Y230-1997+3)))</f>
        <v/>
      </c>
      <c r="Y230" t="str">
        <f>IFERROR(MATCH(SMALL('List maths'!$E$4:$E$3997,222),'List maths'!$E$4:$E$3997,0),"")</f>
        <v/>
      </c>
    </row>
    <row r="231">
      <c r="B231" s="91" t="str">
        <f>IF($Y231="","",IF($Y231&lt;=1997,INDEX('Term investments'!$B$1:$B$2000,$Y231+3),INDEX('Call accounts and MMFs'!$B$1:$B$2000,$Y231-1997+3))&amp;"")</f>
        <v/>
      </c>
      <c r="C231" s="91" t="str">
        <f>IF($Y231="","",IF($Y231&lt;=1997,INDEX('Term investments'!$A$1:$A$2000,$Y231+3),INDEX('Call accounts and MMFs'!$A$1:$A$2000,$Y231-1997+3))&amp;"")</f>
        <v/>
      </c>
      <c r="D231" s="91" t="str">
        <f>IF($Y231="","",IF($Y231&lt;=1997,INDEX('Term investments'!$C$1:$C$2000,$Y231+3),INDEX('Call accounts and MMFs'!$C$1:$C$2000,$Y231-1997+3))&amp;"")</f>
        <v/>
      </c>
      <c r="E231" s="92" t="str">
        <f>IF($Y231="","",IF($Y231&lt;=1997,IF(N(INDEX('Deal maths'!$H$1:$H$2000,$Y231+3))&gt;0,N(INDEX('Deal maths'!$H$1:$H$2000,$Y231+3)),N(INDEX('Deal maths'!$D$1:$D$2000,$Y231+3))),N(INDEX('Deal maths'!$M$1:$M$2000,$Y231-1997+3))))</f>
        <v/>
      </c>
      <c r="F231" s="93" t="str">
        <f>IF($Y231="","",IF($Y231&lt;=1997,INDEX('Deal maths'!$G$1:$G$2000,$Y231+3),INDEX('Deal maths'!$N$1:$N$2000,$Y231-1997+3)))</f>
        <v/>
      </c>
      <c r="G231" s="94" t="str">
        <f>IF($Y231="","",IF($Y231&lt;=1997,INDEX('Deal maths'!$E$1:$E$2000,$Y231+3),""))</f>
        <v/>
      </c>
      <c r="H231" s="94" t="str">
        <f>IF($Y231="","",IF($Y231&lt;=1997,INDEX('Deal maths'!$F$1:$F$2000,$Y231+3),""))</f>
        <v/>
      </c>
      <c r="I231" s="98" t="str">
        <f>IF($Y231="","",IF($Y231&lt;=1997,N(INDEX('Deal maths'!$F$1:$F$2000,$Y231+3))-AsAt,N(INDEX('Deal maths'!$O$1:$O$2000,$Y231-1997+3))))</f>
        <v/>
      </c>
      <c r="J231" s="99" t="str">
        <f>IF($Y231="","",IF($Y231&lt;=1997,INDEX('Term investments'!$J$1:$J$2000,$Y231+3),INDEX('Call accounts and MMFs'!$G$1:$G$2000,$Y231-1997+3))&amp;"")</f>
        <v/>
      </c>
      <c r="K231" s="92" t="str">
        <f>IF($Y231="","",N(E231)*N(F231))</f>
        <v/>
      </c>
      <c r="L231" s="100" t="str">
        <f>IF($Y231="","",IF($Y231&lt;=1997,"Term investments, row "&amp;($Y231+3),"Call accounts and MMFs, row "&amp;($Y231-1997+3)))</f>
        <v/>
      </c>
      <c r="Y231" t="str">
        <f>IFERROR(MATCH(SMALL('List maths'!$E$4:$E$3997,223),'List maths'!$E$4:$E$3997,0),"")</f>
        <v/>
      </c>
    </row>
    <row r="232">
      <c r="B232" s="91" t="str">
        <f>IF($Y232="","",IF($Y232&lt;=1997,INDEX('Term investments'!$B$1:$B$2000,$Y232+3),INDEX('Call accounts and MMFs'!$B$1:$B$2000,$Y232-1997+3))&amp;"")</f>
        <v/>
      </c>
      <c r="C232" s="91" t="str">
        <f>IF($Y232="","",IF($Y232&lt;=1997,INDEX('Term investments'!$A$1:$A$2000,$Y232+3),INDEX('Call accounts and MMFs'!$A$1:$A$2000,$Y232-1997+3))&amp;"")</f>
        <v/>
      </c>
      <c r="D232" s="91" t="str">
        <f>IF($Y232="","",IF($Y232&lt;=1997,INDEX('Term investments'!$C$1:$C$2000,$Y232+3),INDEX('Call accounts and MMFs'!$C$1:$C$2000,$Y232-1997+3))&amp;"")</f>
        <v/>
      </c>
      <c r="E232" s="92" t="str">
        <f>IF($Y232="","",IF($Y232&lt;=1997,IF(N(INDEX('Deal maths'!$H$1:$H$2000,$Y232+3))&gt;0,N(INDEX('Deal maths'!$H$1:$H$2000,$Y232+3)),N(INDEX('Deal maths'!$D$1:$D$2000,$Y232+3))),N(INDEX('Deal maths'!$M$1:$M$2000,$Y232-1997+3))))</f>
        <v/>
      </c>
      <c r="F232" s="93" t="str">
        <f>IF($Y232="","",IF($Y232&lt;=1997,INDEX('Deal maths'!$G$1:$G$2000,$Y232+3),INDEX('Deal maths'!$N$1:$N$2000,$Y232-1997+3)))</f>
        <v/>
      </c>
      <c r="G232" s="94" t="str">
        <f>IF($Y232="","",IF($Y232&lt;=1997,INDEX('Deal maths'!$E$1:$E$2000,$Y232+3),""))</f>
        <v/>
      </c>
      <c r="H232" s="94" t="str">
        <f>IF($Y232="","",IF($Y232&lt;=1997,INDEX('Deal maths'!$F$1:$F$2000,$Y232+3),""))</f>
        <v/>
      </c>
      <c r="I232" s="98" t="str">
        <f>IF($Y232="","",IF($Y232&lt;=1997,N(INDEX('Deal maths'!$F$1:$F$2000,$Y232+3))-AsAt,N(INDEX('Deal maths'!$O$1:$O$2000,$Y232-1997+3))))</f>
        <v/>
      </c>
      <c r="J232" s="99" t="str">
        <f>IF($Y232="","",IF($Y232&lt;=1997,INDEX('Term investments'!$J$1:$J$2000,$Y232+3),INDEX('Call accounts and MMFs'!$G$1:$G$2000,$Y232-1997+3))&amp;"")</f>
        <v/>
      </c>
      <c r="K232" s="92" t="str">
        <f>IF($Y232="","",N(E232)*N(F232))</f>
        <v/>
      </c>
      <c r="L232" s="100" t="str">
        <f>IF($Y232="","",IF($Y232&lt;=1997,"Term investments, row "&amp;($Y232+3),"Call accounts and MMFs, row "&amp;($Y232-1997+3)))</f>
        <v/>
      </c>
      <c r="Y232" t="str">
        <f>IFERROR(MATCH(SMALL('List maths'!$E$4:$E$3997,224),'List maths'!$E$4:$E$3997,0),"")</f>
        <v/>
      </c>
    </row>
    <row r="233">
      <c r="B233" s="91" t="str">
        <f>IF($Y233="","",IF($Y233&lt;=1997,INDEX('Term investments'!$B$1:$B$2000,$Y233+3),INDEX('Call accounts and MMFs'!$B$1:$B$2000,$Y233-1997+3))&amp;"")</f>
        <v/>
      </c>
      <c r="C233" s="91" t="str">
        <f>IF($Y233="","",IF($Y233&lt;=1997,INDEX('Term investments'!$A$1:$A$2000,$Y233+3),INDEX('Call accounts and MMFs'!$A$1:$A$2000,$Y233-1997+3))&amp;"")</f>
        <v/>
      </c>
      <c r="D233" s="91" t="str">
        <f>IF($Y233="","",IF($Y233&lt;=1997,INDEX('Term investments'!$C$1:$C$2000,$Y233+3),INDEX('Call accounts and MMFs'!$C$1:$C$2000,$Y233-1997+3))&amp;"")</f>
        <v/>
      </c>
      <c r="E233" s="92" t="str">
        <f>IF($Y233="","",IF($Y233&lt;=1997,IF(N(INDEX('Deal maths'!$H$1:$H$2000,$Y233+3))&gt;0,N(INDEX('Deal maths'!$H$1:$H$2000,$Y233+3)),N(INDEX('Deal maths'!$D$1:$D$2000,$Y233+3))),N(INDEX('Deal maths'!$M$1:$M$2000,$Y233-1997+3))))</f>
        <v/>
      </c>
      <c r="F233" s="93" t="str">
        <f>IF($Y233="","",IF($Y233&lt;=1997,INDEX('Deal maths'!$G$1:$G$2000,$Y233+3),INDEX('Deal maths'!$N$1:$N$2000,$Y233-1997+3)))</f>
        <v/>
      </c>
      <c r="G233" s="94" t="str">
        <f>IF($Y233="","",IF($Y233&lt;=1997,INDEX('Deal maths'!$E$1:$E$2000,$Y233+3),""))</f>
        <v/>
      </c>
      <c r="H233" s="94" t="str">
        <f>IF($Y233="","",IF($Y233&lt;=1997,INDEX('Deal maths'!$F$1:$F$2000,$Y233+3),""))</f>
        <v/>
      </c>
      <c r="I233" s="98" t="str">
        <f>IF($Y233="","",IF($Y233&lt;=1997,N(INDEX('Deal maths'!$F$1:$F$2000,$Y233+3))-AsAt,N(INDEX('Deal maths'!$O$1:$O$2000,$Y233-1997+3))))</f>
        <v/>
      </c>
      <c r="J233" s="99" t="str">
        <f>IF($Y233="","",IF($Y233&lt;=1997,INDEX('Term investments'!$J$1:$J$2000,$Y233+3),INDEX('Call accounts and MMFs'!$G$1:$G$2000,$Y233-1997+3))&amp;"")</f>
        <v/>
      </c>
      <c r="K233" s="92" t="str">
        <f>IF($Y233="","",N(E233)*N(F233))</f>
        <v/>
      </c>
      <c r="L233" s="100" t="str">
        <f>IF($Y233="","",IF($Y233&lt;=1997,"Term investments, row "&amp;($Y233+3),"Call accounts and MMFs, row "&amp;($Y233-1997+3)))</f>
        <v/>
      </c>
      <c r="Y233" t="str">
        <f>IFERROR(MATCH(SMALL('List maths'!$E$4:$E$3997,225),'List maths'!$E$4:$E$3997,0),"")</f>
        <v/>
      </c>
    </row>
    <row r="234">
      <c r="B234" s="91" t="str">
        <f>IF($Y234="","",IF($Y234&lt;=1997,INDEX('Term investments'!$B$1:$B$2000,$Y234+3),INDEX('Call accounts and MMFs'!$B$1:$B$2000,$Y234-1997+3))&amp;"")</f>
        <v/>
      </c>
      <c r="C234" s="91" t="str">
        <f>IF($Y234="","",IF($Y234&lt;=1997,INDEX('Term investments'!$A$1:$A$2000,$Y234+3),INDEX('Call accounts and MMFs'!$A$1:$A$2000,$Y234-1997+3))&amp;"")</f>
        <v/>
      </c>
      <c r="D234" s="91" t="str">
        <f>IF($Y234="","",IF($Y234&lt;=1997,INDEX('Term investments'!$C$1:$C$2000,$Y234+3),INDEX('Call accounts and MMFs'!$C$1:$C$2000,$Y234-1997+3))&amp;"")</f>
        <v/>
      </c>
      <c r="E234" s="92" t="str">
        <f>IF($Y234="","",IF($Y234&lt;=1997,IF(N(INDEX('Deal maths'!$H$1:$H$2000,$Y234+3))&gt;0,N(INDEX('Deal maths'!$H$1:$H$2000,$Y234+3)),N(INDEX('Deal maths'!$D$1:$D$2000,$Y234+3))),N(INDEX('Deal maths'!$M$1:$M$2000,$Y234-1997+3))))</f>
        <v/>
      </c>
      <c r="F234" s="93" t="str">
        <f>IF($Y234="","",IF($Y234&lt;=1997,INDEX('Deal maths'!$G$1:$G$2000,$Y234+3),INDEX('Deal maths'!$N$1:$N$2000,$Y234-1997+3)))</f>
        <v/>
      </c>
      <c r="G234" s="94" t="str">
        <f>IF($Y234="","",IF($Y234&lt;=1997,INDEX('Deal maths'!$E$1:$E$2000,$Y234+3),""))</f>
        <v/>
      </c>
      <c r="H234" s="94" t="str">
        <f>IF($Y234="","",IF($Y234&lt;=1997,INDEX('Deal maths'!$F$1:$F$2000,$Y234+3),""))</f>
        <v/>
      </c>
      <c r="I234" s="98" t="str">
        <f>IF($Y234="","",IF($Y234&lt;=1997,N(INDEX('Deal maths'!$F$1:$F$2000,$Y234+3))-AsAt,N(INDEX('Deal maths'!$O$1:$O$2000,$Y234-1997+3))))</f>
        <v/>
      </c>
      <c r="J234" s="99" t="str">
        <f>IF($Y234="","",IF($Y234&lt;=1997,INDEX('Term investments'!$J$1:$J$2000,$Y234+3),INDEX('Call accounts and MMFs'!$G$1:$G$2000,$Y234-1997+3))&amp;"")</f>
        <v/>
      </c>
      <c r="K234" s="92" t="str">
        <f>IF($Y234="","",N(E234)*N(F234))</f>
        <v/>
      </c>
      <c r="L234" s="100" t="str">
        <f>IF($Y234="","",IF($Y234&lt;=1997,"Term investments, row "&amp;($Y234+3),"Call accounts and MMFs, row "&amp;($Y234-1997+3)))</f>
        <v/>
      </c>
      <c r="Y234" t="str">
        <f>IFERROR(MATCH(SMALL('List maths'!$E$4:$E$3997,226),'List maths'!$E$4:$E$3997,0),"")</f>
        <v/>
      </c>
    </row>
    <row r="235">
      <c r="B235" s="91" t="str">
        <f>IF($Y235="","",IF($Y235&lt;=1997,INDEX('Term investments'!$B$1:$B$2000,$Y235+3),INDEX('Call accounts and MMFs'!$B$1:$B$2000,$Y235-1997+3))&amp;"")</f>
        <v/>
      </c>
      <c r="C235" s="91" t="str">
        <f>IF($Y235="","",IF($Y235&lt;=1997,INDEX('Term investments'!$A$1:$A$2000,$Y235+3),INDEX('Call accounts and MMFs'!$A$1:$A$2000,$Y235-1997+3))&amp;"")</f>
        <v/>
      </c>
      <c r="D235" s="91" t="str">
        <f>IF($Y235="","",IF($Y235&lt;=1997,INDEX('Term investments'!$C$1:$C$2000,$Y235+3),INDEX('Call accounts and MMFs'!$C$1:$C$2000,$Y235-1997+3))&amp;"")</f>
        <v/>
      </c>
      <c r="E235" s="92" t="str">
        <f>IF($Y235="","",IF($Y235&lt;=1997,IF(N(INDEX('Deal maths'!$H$1:$H$2000,$Y235+3))&gt;0,N(INDEX('Deal maths'!$H$1:$H$2000,$Y235+3)),N(INDEX('Deal maths'!$D$1:$D$2000,$Y235+3))),N(INDEX('Deal maths'!$M$1:$M$2000,$Y235-1997+3))))</f>
        <v/>
      </c>
      <c r="F235" s="93" t="str">
        <f>IF($Y235="","",IF($Y235&lt;=1997,INDEX('Deal maths'!$G$1:$G$2000,$Y235+3),INDEX('Deal maths'!$N$1:$N$2000,$Y235-1997+3)))</f>
        <v/>
      </c>
      <c r="G235" s="94" t="str">
        <f>IF($Y235="","",IF($Y235&lt;=1997,INDEX('Deal maths'!$E$1:$E$2000,$Y235+3),""))</f>
        <v/>
      </c>
      <c r="H235" s="94" t="str">
        <f>IF($Y235="","",IF($Y235&lt;=1997,INDEX('Deal maths'!$F$1:$F$2000,$Y235+3),""))</f>
        <v/>
      </c>
      <c r="I235" s="98" t="str">
        <f>IF($Y235="","",IF($Y235&lt;=1997,N(INDEX('Deal maths'!$F$1:$F$2000,$Y235+3))-AsAt,N(INDEX('Deal maths'!$O$1:$O$2000,$Y235-1997+3))))</f>
        <v/>
      </c>
      <c r="J235" s="99" t="str">
        <f>IF($Y235="","",IF($Y235&lt;=1997,INDEX('Term investments'!$J$1:$J$2000,$Y235+3),INDEX('Call accounts and MMFs'!$G$1:$G$2000,$Y235-1997+3))&amp;"")</f>
        <v/>
      </c>
      <c r="K235" s="92" t="str">
        <f>IF($Y235="","",N(E235)*N(F235))</f>
        <v/>
      </c>
      <c r="L235" s="100" t="str">
        <f>IF($Y235="","",IF($Y235&lt;=1997,"Term investments, row "&amp;($Y235+3),"Call accounts and MMFs, row "&amp;($Y235-1997+3)))</f>
        <v/>
      </c>
      <c r="Y235" t="str">
        <f>IFERROR(MATCH(SMALL('List maths'!$E$4:$E$3997,227),'List maths'!$E$4:$E$3997,0),"")</f>
        <v/>
      </c>
    </row>
    <row r="236">
      <c r="B236" s="91" t="str">
        <f>IF($Y236="","",IF($Y236&lt;=1997,INDEX('Term investments'!$B$1:$B$2000,$Y236+3),INDEX('Call accounts and MMFs'!$B$1:$B$2000,$Y236-1997+3))&amp;"")</f>
        <v/>
      </c>
      <c r="C236" s="91" t="str">
        <f>IF($Y236="","",IF($Y236&lt;=1997,INDEX('Term investments'!$A$1:$A$2000,$Y236+3),INDEX('Call accounts and MMFs'!$A$1:$A$2000,$Y236-1997+3))&amp;"")</f>
        <v/>
      </c>
      <c r="D236" s="91" t="str">
        <f>IF($Y236="","",IF($Y236&lt;=1997,INDEX('Term investments'!$C$1:$C$2000,$Y236+3),INDEX('Call accounts and MMFs'!$C$1:$C$2000,$Y236-1997+3))&amp;"")</f>
        <v/>
      </c>
      <c r="E236" s="92" t="str">
        <f>IF($Y236="","",IF($Y236&lt;=1997,IF(N(INDEX('Deal maths'!$H$1:$H$2000,$Y236+3))&gt;0,N(INDEX('Deal maths'!$H$1:$H$2000,$Y236+3)),N(INDEX('Deal maths'!$D$1:$D$2000,$Y236+3))),N(INDEX('Deal maths'!$M$1:$M$2000,$Y236-1997+3))))</f>
        <v/>
      </c>
      <c r="F236" s="93" t="str">
        <f>IF($Y236="","",IF($Y236&lt;=1997,INDEX('Deal maths'!$G$1:$G$2000,$Y236+3),INDEX('Deal maths'!$N$1:$N$2000,$Y236-1997+3)))</f>
        <v/>
      </c>
      <c r="G236" s="94" t="str">
        <f>IF($Y236="","",IF($Y236&lt;=1997,INDEX('Deal maths'!$E$1:$E$2000,$Y236+3),""))</f>
        <v/>
      </c>
      <c r="H236" s="94" t="str">
        <f>IF($Y236="","",IF($Y236&lt;=1997,INDEX('Deal maths'!$F$1:$F$2000,$Y236+3),""))</f>
        <v/>
      </c>
      <c r="I236" s="98" t="str">
        <f>IF($Y236="","",IF($Y236&lt;=1997,N(INDEX('Deal maths'!$F$1:$F$2000,$Y236+3))-AsAt,N(INDEX('Deal maths'!$O$1:$O$2000,$Y236-1997+3))))</f>
        <v/>
      </c>
      <c r="J236" s="99" t="str">
        <f>IF($Y236="","",IF($Y236&lt;=1997,INDEX('Term investments'!$J$1:$J$2000,$Y236+3),INDEX('Call accounts and MMFs'!$G$1:$G$2000,$Y236-1997+3))&amp;"")</f>
        <v/>
      </c>
      <c r="K236" s="92" t="str">
        <f>IF($Y236="","",N(E236)*N(F236))</f>
        <v/>
      </c>
      <c r="L236" s="100" t="str">
        <f>IF($Y236="","",IF($Y236&lt;=1997,"Term investments, row "&amp;($Y236+3),"Call accounts and MMFs, row "&amp;($Y236-1997+3)))</f>
        <v/>
      </c>
      <c r="Y236" t="str">
        <f>IFERROR(MATCH(SMALL('List maths'!$E$4:$E$3997,228),'List maths'!$E$4:$E$3997,0),"")</f>
        <v/>
      </c>
    </row>
    <row r="237">
      <c r="B237" s="91" t="str">
        <f>IF($Y237="","",IF($Y237&lt;=1997,INDEX('Term investments'!$B$1:$B$2000,$Y237+3),INDEX('Call accounts and MMFs'!$B$1:$B$2000,$Y237-1997+3))&amp;"")</f>
        <v/>
      </c>
      <c r="C237" s="91" t="str">
        <f>IF($Y237="","",IF($Y237&lt;=1997,INDEX('Term investments'!$A$1:$A$2000,$Y237+3),INDEX('Call accounts and MMFs'!$A$1:$A$2000,$Y237-1997+3))&amp;"")</f>
        <v/>
      </c>
      <c r="D237" s="91" t="str">
        <f>IF($Y237="","",IF($Y237&lt;=1997,INDEX('Term investments'!$C$1:$C$2000,$Y237+3),INDEX('Call accounts and MMFs'!$C$1:$C$2000,$Y237-1997+3))&amp;"")</f>
        <v/>
      </c>
      <c r="E237" s="92" t="str">
        <f>IF($Y237="","",IF($Y237&lt;=1997,IF(N(INDEX('Deal maths'!$H$1:$H$2000,$Y237+3))&gt;0,N(INDEX('Deal maths'!$H$1:$H$2000,$Y237+3)),N(INDEX('Deal maths'!$D$1:$D$2000,$Y237+3))),N(INDEX('Deal maths'!$M$1:$M$2000,$Y237-1997+3))))</f>
        <v/>
      </c>
      <c r="F237" s="93" t="str">
        <f>IF($Y237="","",IF($Y237&lt;=1997,INDEX('Deal maths'!$G$1:$G$2000,$Y237+3),INDEX('Deal maths'!$N$1:$N$2000,$Y237-1997+3)))</f>
        <v/>
      </c>
      <c r="G237" s="94" t="str">
        <f>IF($Y237="","",IF($Y237&lt;=1997,INDEX('Deal maths'!$E$1:$E$2000,$Y237+3),""))</f>
        <v/>
      </c>
      <c r="H237" s="94" t="str">
        <f>IF($Y237="","",IF($Y237&lt;=1997,INDEX('Deal maths'!$F$1:$F$2000,$Y237+3),""))</f>
        <v/>
      </c>
      <c r="I237" s="98" t="str">
        <f>IF($Y237="","",IF($Y237&lt;=1997,N(INDEX('Deal maths'!$F$1:$F$2000,$Y237+3))-AsAt,N(INDEX('Deal maths'!$O$1:$O$2000,$Y237-1997+3))))</f>
        <v/>
      </c>
      <c r="J237" s="99" t="str">
        <f>IF($Y237="","",IF($Y237&lt;=1997,INDEX('Term investments'!$J$1:$J$2000,$Y237+3),INDEX('Call accounts and MMFs'!$G$1:$G$2000,$Y237-1997+3))&amp;"")</f>
        <v/>
      </c>
      <c r="K237" s="92" t="str">
        <f>IF($Y237="","",N(E237)*N(F237))</f>
        <v/>
      </c>
      <c r="L237" s="100" t="str">
        <f>IF($Y237="","",IF($Y237&lt;=1997,"Term investments, row "&amp;($Y237+3),"Call accounts and MMFs, row "&amp;($Y237-1997+3)))</f>
        <v/>
      </c>
      <c r="Y237" t="str">
        <f>IFERROR(MATCH(SMALL('List maths'!$E$4:$E$3997,229),'List maths'!$E$4:$E$3997,0),"")</f>
        <v/>
      </c>
    </row>
    <row r="238">
      <c r="B238" s="91" t="str">
        <f>IF($Y238="","",IF($Y238&lt;=1997,INDEX('Term investments'!$B$1:$B$2000,$Y238+3),INDEX('Call accounts and MMFs'!$B$1:$B$2000,$Y238-1997+3))&amp;"")</f>
        <v/>
      </c>
      <c r="C238" s="91" t="str">
        <f>IF($Y238="","",IF($Y238&lt;=1997,INDEX('Term investments'!$A$1:$A$2000,$Y238+3),INDEX('Call accounts and MMFs'!$A$1:$A$2000,$Y238-1997+3))&amp;"")</f>
        <v/>
      </c>
      <c r="D238" s="91" t="str">
        <f>IF($Y238="","",IF($Y238&lt;=1997,INDEX('Term investments'!$C$1:$C$2000,$Y238+3),INDEX('Call accounts and MMFs'!$C$1:$C$2000,$Y238-1997+3))&amp;"")</f>
        <v/>
      </c>
      <c r="E238" s="92" t="str">
        <f>IF($Y238="","",IF($Y238&lt;=1997,IF(N(INDEX('Deal maths'!$H$1:$H$2000,$Y238+3))&gt;0,N(INDEX('Deal maths'!$H$1:$H$2000,$Y238+3)),N(INDEX('Deal maths'!$D$1:$D$2000,$Y238+3))),N(INDEX('Deal maths'!$M$1:$M$2000,$Y238-1997+3))))</f>
        <v/>
      </c>
      <c r="F238" s="93" t="str">
        <f>IF($Y238="","",IF($Y238&lt;=1997,INDEX('Deal maths'!$G$1:$G$2000,$Y238+3),INDEX('Deal maths'!$N$1:$N$2000,$Y238-1997+3)))</f>
        <v/>
      </c>
      <c r="G238" s="94" t="str">
        <f>IF($Y238="","",IF($Y238&lt;=1997,INDEX('Deal maths'!$E$1:$E$2000,$Y238+3),""))</f>
        <v/>
      </c>
      <c r="H238" s="94" t="str">
        <f>IF($Y238="","",IF($Y238&lt;=1997,INDEX('Deal maths'!$F$1:$F$2000,$Y238+3),""))</f>
        <v/>
      </c>
      <c r="I238" s="98" t="str">
        <f>IF($Y238="","",IF($Y238&lt;=1997,N(INDEX('Deal maths'!$F$1:$F$2000,$Y238+3))-AsAt,N(INDEX('Deal maths'!$O$1:$O$2000,$Y238-1997+3))))</f>
        <v/>
      </c>
      <c r="J238" s="99" t="str">
        <f>IF($Y238="","",IF($Y238&lt;=1997,INDEX('Term investments'!$J$1:$J$2000,$Y238+3),INDEX('Call accounts and MMFs'!$G$1:$G$2000,$Y238-1997+3))&amp;"")</f>
        <v/>
      </c>
      <c r="K238" s="92" t="str">
        <f>IF($Y238="","",N(E238)*N(F238))</f>
        <v/>
      </c>
      <c r="L238" s="100" t="str">
        <f>IF($Y238="","",IF($Y238&lt;=1997,"Term investments, row "&amp;($Y238+3),"Call accounts and MMFs, row "&amp;($Y238-1997+3)))</f>
        <v/>
      </c>
      <c r="Y238" t="str">
        <f>IFERROR(MATCH(SMALL('List maths'!$E$4:$E$3997,230),'List maths'!$E$4:$E$3997,0),"")</f>
        <v/>
      </c>
    </row>
    <row r="239">
      <c r="B239" s="91" t="str">
        <f>IF($Y239="","",IF($Y239&lt;=1997,INDEX('Term investments'!$B$1:$B$2000,$Y239+3),INDEX('Call accounts and MMFs'!$B$1:$B$2000,$Y239-1997+3))&amp;"")</f>
        <v/>
      </c>
      <c r="C239" s="91" t="str">
        <f>IF($Y239="","",IF($Y239&lt;=1997,INDEX('Term investments'!$A$1:$A$2000,$Y239+3),INDEX('Call accounts and MMFs'!$A$1:$A$2000,$Y239-1997+3))&amp;"")</f>
        <v/>
      </c>
      <c r="D239" s="91" t="str">
        <f>IF($Y239="","",IF($Y239&lt;=1997,INDEX('Term investments'!$C$1:$C$2000,$Y239+3),INDEX('Call accounts and MMFs'!$C$1:$C$2000,$Y239-1997+3))&amp;"")</f>
        <v/>
      </c>
      <c r="E239" s="92" t="str">
        <f>IF($Y239="","",IF($Y239&lt;=1997,IF(N(INDEX('Deal maths'!$H$1:$H$2000,$Y239+3))&gt;0,N(INDEX('Deal maths'!$H$1:$H$2000,$Y239+3)),N(INDEX('Deal maths'!$D$1:$D$2000,$Y239+3))),N(INDEX('Deal maths'!$M$1:$M$2000,$Y239-1997+3))))</f>
        <v/>
      </c>
      <c r="F239" s="93" t="str">
        <f>IF($Y239="","",IF($Y239&lt;=1997,INDEX('Deal maths'!$G$1:$G$2000,$Y239+3),INDEX('Deal maths'!$N$1:$N$2000,$Y239-1997+3)))</f>
        <v/>
      </c>
      <c r="G239" s="94" t="str">
        <f>IF($Y239="","",IF($Y239&lt;=1997,INDEX('Deal maths'!$E$1:$E$2000,$Y239+3),""))</f>
        <v/>
      </c>
      <c r="H239" s="94" t="str">
        <f>IF($Y239="","",IF($Y239&lt;=1997,INDEX('Deal maths'!$F$1:$F$2000,$Y239+3),""))</f>
        <v/>
      </c>
      <c r="I239" s="98" t="str">
        <f>IF($Y239="","",IF($Y239&lt;=1997,N(INDEX('Deal maths'!$F$1:$F$2000,$Y239+3))-AsAt,N(INDEX('Deal maths'!$O$1:$O$2000,$Y239-1997+3))))</f>
        <v/>
      </c>
      <c r="J239" s="99" t="str">
        <f>IF($Y239="","",IF($Y239&lt;=1997,INDEX('Term investments'!$J$1:$J$2000,$Y239+3),INDEX('Call accounts and MMFs'!$G$1:$G$2000,$Y239-1997+3))&amp;"")</f>
        <v/>
      </c>
      <c r="K239" s="92" t="str">
        <f>IF($Y239="","",N(E239)*N(F239))</f>
        <v/>
      </c>
      <c r="L239" s="100" t="str">
        <f>IF($Y239="","",IF($Y239&lt;=1997,"Term investments, row "&amp;($Y239+3),"Call accounts and MMFs, row "&amp;($Y239-1997+3)))</f>
        <v/>
      </c>
      <c r="Y239" t="str">
        <f>IFERROR(MATCH(SMALL('List maths'!$E$4:$E$3997,231),'List maths'!$E$4:$E$3997,0),"")</f>
        <v/>
      </c>
    </row>
    <row r="240">
      <c r="B240" s="91" t="str">
        <f>IF($Y240="","",IF($Y240&lt;=1997,INDEX('Term investments'!$B$1:$B$2000,$Y240+3),INDEX('Call accounts and MMFs'!$B$1:$B$2000,$Y240-1997+3))&amp;"")</f>
        <v/>
      </c>
      <c r="C240" s="91" t="str">
        <f>IF($Y240="","",IF($Y240&lt;=1997,INDEX('Term investments'!$A$1:$A$2000,$Y240+3),INDEX('Call accounts and MMFs'!$A$1:$A$2000,$Y240-1997+3))&amp;"")</f>
        <v/>
      </c>
      <c r="D240" s="91" t="str">
        <f>IF($Y240="","",IF($Y240&lt;=1997,INDEX('Term investments'!$C$1:$C$2000,$Y240+3),INDEX('Call accounts and MMFs'!$C$1:$C$2000,$Y240-1997+3))&amp;"")</f>
        <v/>
      </c>
      <c r="E240" s="92" t="str">
        <f>IF($Y240="","",IF($Y240&lt;=1997,IF(N(INDEX('Deal maths'!$H$1:$H$2000,$Y240+3))&gt;0,N(INDEX('Deal maths'!$H$1:$H$2000,$Y240+3)),N(INDEX('Deal maths'!$D$1:$D$2000,$Y240+3))),N(INDEX('Deal maths'!$M$1:$M$2000,$Y240-1997+3))))</f>
        <v/>
      </c>
      <c r="F240" s="93" t="str">
        <f>IF($Y240="","",IF($Y240&lt;=1997,INDEX('Deal maths'!$G$1:$G$2000,$Y240+3),INDEX('Deal maths'!$N$1:$N$2000,$Y240-1997+3)))</f>
        <v/>
      </c>
      <c r="G240" s="94" t="str">
        <f>IF($Y240="","",IF($Y240&lt;=1997,INDEX('Deal maths'!$E$1:$E$2000,$Y240+3),""))</f>
        <v/>
      </c>
      <c r="H240" s="94" t="str">
        <f>IF($Y240="","",IF($Y240&lt;=1997,INDEX('Deal maths'!$F$1:$F$2000,$Y240+3),""))</f>
        <v/>
      </c>
      <c r="I240" s="98" t="str">
        <f>IF($Y240="","",IF($Y240&lt;=1997,N(INDEX('Deal maths'!$F$1:$F$2000,$Y240+3))-AsAt,N(INDEX('Deal maths'!$O$1:$O$2000,$Y240-1997+3))))</f>
        <v/>
      </c>
      <c r="J240" s="99" t="str">
        <f>IF($Y240="","",IF($Y240&lt;=1997,INDEX('Term investments'!$J$1:$J$2000,$Y240+3),INDEX('Call accounts and MMFs'!$G$1:$G$2000,$Y240-1997+3))&amp;"")</f>
        <v/>
      </c>
      <c r="K240" s="92" t="str">
        <f>IF($Y240="","",N(E240)*N(F240))</f>
        <v/>
      </c>
      <c r="L240" s="100" t="str">
        <f>IF($Y240="","",IF($Y240&lt;=1997,"Term investments, row "&amp;($Y240+3),"Call accounts and MMFs, row "&amp;($Y240-1997+3)))</f>
        <v/>
      </c>
      <c r="Y240" t="str">
        <f>IFERROR(MATCH(SMALL('List maths'!$E$4:$E$3997,232),'List maths'!$E$4:$E$3997,0),"")</f>
        <v/>
      </c>
    </row>
    <row r="241">
      <c r="B241" s="91" t="str">
        <f>IF($Y241="","",IF($Y241&lt;=1997,INDEX('Term investments'!$B$1:$B$2000,$Y241+3),INDEX('Call accounts and MMFs'!$B$1:$B$2000,$Y241-1997+3))&amp;"")</f>
        <v/>
      </c>
      <c r="C241" s="91" t="str">
        <f>IF($Y241="","",IF($Y241&lt;=1997,INDEX('Term investments'!$A$1:$A$2000,$Y241+3),INDEX('Call accounts and MMFs'!$A$1:$A$2000,$Y241-1997+3))&amp;"")</f>
        <v/>
      </c>
      <c r="D241" s="91" t="str">
        <f>IF($Y241="","",IF($Y241&lt;=1997,INDEX('Term investments'!$C$1:$C$2000,$Y241+3),INDEX('Call accounts and MMFs'!$C$1:$C$2000,$Y241-1997+3))&amp;"")</f>
        <v/>
      </c>
      <c r="E241" s="92" t="str">
        <f>IF($Y241="","",IF($Y241&lt;=1997,IF(N(INDEX('Deal maths'!$H$1:$H$2000,$Y241+3))&gt;0,N(INDEX('Deal maths'!$H$1:$H$2000,$Y241+3)),N(INDEX('Deal maths'!$D$1:$D$2000,$Y241+3))),N(INDEX('Deal maths'!$M$1:$M$2000,$Y241-1997+3))))</f>
        <v/>
      </c>
      <c r="F241" s="93" t="str">
        <f>IF($Y241="","",IF($Y241&lt;=1997,INDEX('Deal maths'!$G$1:$G$2000,$Y241+3),INDEX('Deal maths'!$N$1:$N$2000,$Y241-1997+3)))</f>
        <v/>
      </c>
      <c r="G241" s="94" t="str">
        <f>IF($Y241="","",IF($Y241&lt;=1997,INDEX('Deal maths'!$E$1:$E$2000,$Y241+3),""))</f>
        <v/>
      </c>
      <c r="H241" s="94" t="str">
        <f>IF($Y241="","",IF($Y241&lt;=1997,INDEX('Deal maths'!$F$1:$F$2000,$Y241+3),""))</f>
        <v/>
      </c>
      <c r="I241" s="98" t="str">
        <f>IF($Y241="","",IF($Y241&lt;=1997,N(INDEX('Deal maths'!$F$1:$F$2000,$Y241+3))-AsAt,N(INDEX('Deal maths'!$O$1:$O$2000,$Y241-1997+3))))</f>
        <v/>
      </c>
      <c r="J241" s="99" t="str">
        <f>IF($Y241="","",IF($Y241&lt;=1997,INDEX('Term investments'!$J$1:$J$2000,$Y241+3),INDEX('Call accounts and MMFs'!$G$1:$G$2000,$Y241-1997+3))&amp;"")</f>
        <v/>
      </c>
      <c r="K241" s="92" t="str">
        <f>IF($Y241="","",N(E241)*N(F241))</f>
        <v/>
      </c>
      <c r="L241" s="100" t="str">
        <f>IF($Y241="","",IF($Y241&lt;=1997,"Term investments, row "&amp;($Y241+3),"Call accounts and MMFs, row "&amp;($Y241-1997+3)))</f>
        <v/>
      </c>
      <c r="Y241" t="str">
        <f>IFERROR(MATCH(SMALL('List maths'!$E$4:$E$3997,233),'List maths'!$E$4:$E$3997,0),"")</f>
        <v/>
      </c>
    </row>
    <row r="242">
      <c r="B242" s="91" t="str">
        <f>IF($Y242="","",IF($Y242&lt;=1997,INDEX('Term investments'!$B$1:$B$2000,$Y242+3),INDEX('Call accounts and MMFs'!$B$1:$B$2000,$Y242-1997+3))&amp;"")</f>
        <v/>
      </c>
      <c r="C242" s="91" t="str">
        <f>IF($Y242="","",IF($Y242&lt;=1997,INDEX('Term investments'!$A$1:$A$2000,$Y242+3),INDEX('Call accounts and MMFs'!$A$1:$A$2000,$Y242-1997+3))&amp;"")</f>
        <v/>
      </c>
      <c r="D242" s="91" t="str">
        <f>IF($Y242="","",IF($Y242&lt;=1997,INDEX('Term investments'!$C$1:$C$2000,$Y242+3),INDEX('Call accounts and MMFs'!$C$1:$C$2000,$Y242-1997+3))&amp;"")</f>
        <v/>
      </c>
      <c r="E242" s="92" t="str">
        <f>IF($Y242="","",IF($Y242&lt;=1997,IF(N(INDEX('Deal maths'!$H$1:$H$2000,$Y242+3))&gt;0,N(INDEX('Deal maths'!$H$1:$H$2000,$Y242+3)),N(INDEX('Deal maths'!$D$1:$D$2000,$Y242+3))),N(INDEX('Deal maths'!$M$1:$M$2000,$Y242-1997+3))))</f>
        <v/>
      </c>
      <c r="F242" s="93" t="str">
        <f>IF($Y242="","",IF($Y242&lt;=1997,INDEX('Deal maths'!$G$1:$G$2000,$Y242+3),INDEX('Deal maths'!$N$1:$N$2000,$Y242-1997+3)))</f>
        <v/>
      </c>
      <c r="G242" s="94" t="str">
        <f>IF($Y242="","",IF($Y242&lt;=1997,INDEX('Deal maths'!$E$1:$E$2000,$Y242+3),""))</f>
        <v/>
      </c>
      <c r="H242" s="94" t="str">
        <f>IF($Y242="","",IF($Y242&lt;=1997,INDEX('Deal maths'!$F$1:$F$2000,$Y242+3),""))</f>
        <v/>
      </c>
      <c r="I242" s="98" t="str">
        <f>IF($Y242="","",IF($Y242&lt;=1997,N(INDEX('Deal maths'!$F$1:$F$2000,$Y242+3))-AsAt,N(INDEX('Deal maths'!$O$1:$O$2000,$Y242-1997+3))))</f>
        <v/>
      </c>
      <c r="J242" s="99" t="str">
        <f>IF($Y242="","",IF($Y242&lt;=1997,INDEX('Term investments'!$J$1:$J$2000,$Y242+3),INDEX('Call accounts and MMFs'!$G$1:$G$2000,$Y242-1997+3))&amp;"")</f>
        <v/>
      </c>
      <c r="K242" s="92" t="str">
        <f>IF($Y242="","",N(E242)*N(F242))</f>
        <v/>
      </c>
      <c r="L242" s="100" t="str">
        <f>IF($Y242="","",IF($Y242&lt;=1997,"Term investments, row "&amp;($Y242+3),"Call accounts and MMFs, row "&amp;($Y242-1997+3)))</f>
        <v/>
      </c>
      <c r="Y242" t="str">
        <f>IFERROR(MATCH(SMALL('List maths'!$E$4:$E$3997,234),'List maths'!$E$4:$E$3997,0),"")</f>
        <v/>
      </c>
    </row>
    <row r="243">
      <c r="B243" s="91" t="str">
        <f>IF($Y243="","",IF($Y243&lt;=1997,INDEX('Term investments'!$B$1:$B$2000,$Y243+3),INDEX('Call accounts and MMFs'!$B$1:$B$2000,$Y243-1997+3))&amp;"")</f>
        <v/>
      </c>
      <c r="C243" s="91" t="str">
        <f>IF($Y243="","",IF($Y243&lt;=1997,INDEX('Term investments'!$A$1:$A$2000,$Y243+3),INDEX('Call accounts and MMFs'!$A$1:$A$2000,$Y243-1997+3))&amp;"")</f>
        <v/>
      </c>
      <c r="D243" s="91" t="str">
        <f>IF($Y243="","",IF($Y243&lt;=1997,INDEX('Term investments'!$C$1:$C$2000,$Y243+3),INDEX('Call accounts and MMFs'!$C$1:$C$2000,$Y243-1997+3))&amp;"")</f>
        <v/>
      </c>
      <c r="E243" s="92" t="str">
        <f>IF($Y243="","",IF($Y243&lt;=1997,IF(N(INDEX('Deal maths'!$H$1:$H$2000,$Y243+3))&gt;0,N(INDEX('Deal maths'!$H$1:$H$2000,$Y243+3)),N(INDEX('Deal maths'!$D$1:$D$2000,$Y243+3))),N(INDEX('Deal maths'!$M$1:$M$2000,$Y243-1997+3))))</f>
        <v/>
      </c>
      <c r="F243" s="93" t="str">
        <f>IF($Y243="","",IF($Y243&lt;=1997,INDEX('Deal maths'!$G$1:$G$2000,$Y243+3),INDEX('Deal maths'!$N$1:$N$2000,$Y243-1997+3)))</f>
        <v/>
      </c>
      <c r="G243" s="94" t="str">
        <f>IF($Y243="","",IF($Y243&lt;=1997,INDEX('Deal maths'!$E$1:$E$2000,$Y243+3),""))</f>
        <v/>
      </c>
      <c r="H243" s="94" t="str">
        <f>IF($Y243="","",IF($Y243&lt;=1997,INDEX('Deal maths'!$F$1:$F$2000,$Y243+3),""))</f>
        <v/>
      </c>
      <c r="I243" s="98" t="str">
        <f>IF($Y243="","",IF($Y243&lt;=1997,N(INDEX('Deal maths'!$F$1:$F$2000,$Y243+3))-AsAt,N(INDEX('Deal maths'!$O$1:$O$2000,$Y243-1997+3))))</f>
        <v/>
      </c>
      <c r="J243" s="99" t="str">
        <f>IF($Y243="","",IF($Y243&lt;=1997,INDEX('Term investments'!$J$1:$J$2000,$Y243+3),INDEX('Call accounts and MMFs'!$G$1:$G$2000,$Y243-1997+3))&amp;"")</f>
        <v/>
      </c>
      <c r="K243" s="92" t="str">
        <f>IF($Y243="","",N(E243)*N(F243))</f>
        <v/>
      </c>
      <c r="L243" s="100" t="str">
        <f>IF($Y243="","",IF($Y243&lt;=1997,"Term investments, row "&amp;($Y243+3),"Call accounts and MMFs, row "&amp;($Y243-1997+3)))</f>
        <v/>
      </c>
      <c r="Y243" t="str">
        <f>IFERROR(MATCH(SMALL('List maths'!$E$4:$E$3997,235),'List maths'!$E$4:$E$3997,0),"")</f>
        <v/>
      </c>
    </row>
    <row r="244">
      <c r="B244" s="91" t="str">
        <f>IF($Y244="","",IF($Y244&lt;=1997,INDEX('Term investments'!$B$1:$B$2000,$Y244+3),INDEX('Call accounts and MMFs'!$B$1:$B$2000,$Y244-1997+3))&amp;"")</f>
        <v/>
      </c>
      <c r="C244" s="91" t="str">
        <f>IF($Y244="","",IF($Y244&lt;=1997,INDEX('Term investments'!$A$1:$A$2000,$Y244+3),INDEX('Call accounts and MMFs'!$A$1:$A$2000,$Y244-1997+3))&amp;"")</f>
        <v/>
      </c>
      <c r="D244" s="91" t="str">
        <f>IF($Y244="","",IF($Y244&lt;=1997,INDEX('Term investments'!$C$1:$C$2000,$Y244+3),INDEX('Call accounts and MMFs'!$C$1:$C$2000,$Y244-1997+3))&amp;"")</f>
        <v/>
      </c>
      <c r="E244" s="92" t="str">
        <f>IF($Y244="","",IF($Y244&lt;=1997,IF(N(INDEX('Deal maths'!$H$1:$H$2000,$Y244+3))&gt;0,N(INDEX('Deal maths'!$H$1:$H$2000,$Y244+3)),N(INDEX('Deal maths'!$D$1:$D$2000,$Y244+3))),N(INDEX('Deal maths'!$M$1:$M$2000,$Y244-1997+3))))</f>
        <v/>
      </c>
      <c r="F244" s="93" t="str">
        <f>IF($Y244="","",IF($Y244&lt;=1997,INDEX('Deal maths'!$G$1:$G$2000,$Y244+3),INDEX('Deal maths'!$N$1:$N$2000,$Y244-1997+3)))</f>
        <v/>
      </c>
      <c r="G244" s="94" t="str">
        <f>IF($Y244="","",IF($Y244&lt;=1997,INDEX('Deal maths'!$E$1:$E$2000,$Y244+3),""))</f>
        <v/>
      </c>
      <c r="H244" s="94" t="str">
        <f>IF($Y244="","",IF($Y244&lt;=1997,INDEX('Deal maths'!$F$1:$F$2000,$Y244+3),""))</f>
        <v/>
      </c>
      <c r="I244" s="98" t="str">
        <f>IF($Y244="","",IF($Y244&lt;=1997,N(INDEX('Deal maths'!$F$1:$F$2000,$Y244+3))-AsAt,N(INDEX('Deal maths'!$O$1:$O$2000,$Y244-1997+3))))</f>
        <v/>
      </c>
      <c r="J244" s="99" t="str">
        <f>IF($Y244="","",IF($Y244&lt;=1997,INDEX('Term investments'!$J$1:$J$2000,$Y244+3),INDEX('Call accounts and MMFs'!$G$1:$G$2000,$Y244-1997+3))&amp;"")</f>
        <v/>
      </c>
      <c r="K244" s="92" t="str">
        <f>IF($Y244="","",N(E244)*N(F244))</f>
        <v/>
      </c>
      <c r="L244" s="100" t="str">
        <f>IF($Y244="","",IF($Y244&lt;=1997,"Term investments, row "&amp;($Y244+3),"Call accounts and MMFs, row "&amp;($Y244-1997+3)))</f>
        <v/>
      </c>
      <c r="Y244" t="str">
        <f>IFERROR(MATCH(SMALL('List maths'!$E$4:$E$3997,236),'List maths'!$E$4:$E$3997,0),"")</f>
        <v/>
      </c>
    </row>
    <row r="245">
      <c r="B245" s="91" t="str">
        <f>IF($Y245="","",IF($Y245&lt;=1997,INDEX('Term investments'!$B$1:$B$2000,$Y245+3),INDEX('Call accounts and MMFs'!$B$1:$B$2000,$Y245-1997+3))&amp;"")</f>
        <v/>
      </c>
      <c r="C245" s="91" t="str">
        <f>IF($Y245="","",IF($Y245&lt;=1997,INDEX('Term investments'!$A$1:$A$2000,$Y245+3),INDEX('Call accounts and MMFs'!$A$1:$A$2000,$Y245-1997+3))&amp;"")</f>
        <v/>
      </c>
      <c r="D245" s="91" t="str">
        <f>IF($Y245="","",IF($Y245&lt;=1997,INDEX('Term investments'!$C$1:$C$2000,$Y245+3),INDEX('Call accounts and MMFs'!$C$1:$C$2000,$Y245-1997+3))&amp;"")</f>
        <v/>
      </c>
      <c r="E245" s="92" t="str">
        <f>IF($Y245="","",IF($Y245&lt;=1997,IF(N(INDEX('Deal maths'!$H$1:$H$2000,$Y245+3))&gt;0,N(INDEX('Deal maths'!$H$1:$H$2000,$Y245+3)),N(INDEX('Deal maths'!$D$1:$D$2000,$Y245+3))),N(INDEX('Deal maths'!$M$1:$M$2000,$Y245-1997+3))))</f>
        <v/>
      </c>
      <c r="F245" s="93" t="str">
        <f>IF($Y245="","",IF($Y245&lt;=1997,INDEX('Deal maths'!$G$1:$G$2000,$Y245+3),INDEX('Deal maths'!$N$1:$N$2000,$Y245-1997+3)))</f>
        <v/>
      </c>
      <c r="G245" s="94" t="str">
        <f>IF($Y245="","",IF($Y245&lt;=1997,INDEX('Deal maths'!$E$1:$E$2000,$Y245+3),""))</f>
        <v/>
      </c>
      <c r="H245" s="94" t="str">
        <f>IF($Y245="","",IF($Y245&lt;=1997,INDEX('Deal maths'!$F$1:$F$2000,$Y245+3),""))</f>
        <v/>
      </c>
      <c r="I245" s="98" t="str">
        <f>IF($Y245="","",IF($Y245&lt;=1997,N(INDEX('Deal maths'!$F$1:$F$2000,$Y245+3))-AsAt,N(INDEX('Deal maths'!$O$1:$O$2000,$Y245-1997+3))))</f>
        <v/>
      </c>
      <c r="J245" s="99" t="str">
        <f>IF($Y245="","",IF($Y245&lt;=1997,INDEX('Term investments'!$J$1:$J$2000,$Y245+3),INDEX('Call accounts and MMFs'!$G$1:$G$2000,$Y245-1997+3))&amp;"")</f>
        <v/>
      </c>
      <c r="K245" s="92" t="str">
        <f>IF($Y245="","",N(E245)*N(F245))</f>
        <v/>
      </c>
      <c r="L245" s="100" t="str">
        <f>IF($Y245="","",IF($Y245&lt;=1997,"Term investments, row "&amp;($Y245+3),"Call accounts and MMFs, row "&amp;($Y245-1997+3)))</f>
        <v/>
      </c>
      <c r="Y245" t="str">
        <f>IFERROR(MATCH(SMALL('List maths'!$E$4:$E$3997,237),'List maths'!$E$4:$E$3997,0),"")</f>
        <v/>
      </c>
    </row>
    <row r="246">
      <c r="B246" s="91" t="str">
        <f>IF($Y246="","",IF($Y246&lt;=1997,INDEX('Term investments'!$B$1:$B$2000,$Y246+3),INDEX('Call accounts and MMFs'!$B$1:$B$2000,$Y246-1997+3))&amp;"")</f>
        <v/>
      </c>
      <c r="C246" s="91" t="str">
        <f>IF($Y246="","",IF($Y246&lt;=1997,INDEX('Term investments'!$A$1:$A$2000,$Y246+3),INDEX('Call accounts and MMFs'!$A$1:$A$2000,$Y246-1997+3))&amp;"")</f>
        <v/>
      </c>
      <c r="D246" s="91" t="str">
        <f>IF($Y246="","",IF($Y246&lt;=1997,INDEX('Term investments'!$C$1:$C$2000,$Y246+3),INDEX('Call accounts and MMFs'!$C$1:$C$2000,$Y246-1997+3))&amp;"")</f>
        <v/>
      </c>
      <c r="E246" s="92" t="str">
        <f>IF($Y246="","",IF($Y246&lt;=1997,IF(N(INDEX('Deal maths'!$H$1:$H$2000,$Y246+3))&gt;0,N(INDEX('Deal maths'!$H$1:$H$2000,$Y246+3)),N(INDEX('Deal maths'!$D$1:$D$2000,$Y246+3))),N(INDEX('Deal maths'!$M$1:$M$2000,$Y246-1997+3))))</f>
        <v/>
      </c>
      <c r="F246" s="93" t="str">
        <f>IF($Y246="","",IF($Y246&lt;=1997,INDEX('Deal maths'!$G$1:$G$2000,$Y246+3),INDEX('Deal maths'!$N$1:$N$2000,$Y246-1997+3)))</f>
        <v/>
      </c>
      <c r="G246" s="94" t="str">
        <f>IF($Y246="","",IF($Y246&lt;=1997,INDEX('Deal maths'!$E$1:$E$2000,$Y246+3),""))</f>
        <v/>
      </c>
      <c r="H246" s="94" t="str">
        <f>IF($Y246="","",IF($Y246&lt;=1997,INDEX('Deal maths'!$F$1:$F$2000,$Y246+3),""))</f>
        <v/>
      </c>
      <c r="I246" s="98" t="str">
        <f>IF($Y246="","",IF($Y246&lt;=1997,N(INDEX('Deal maths'!$F$1:$F$2000,$Y246+3))-AsAt,N(INDEX('Deal maths'!$O$1:$O$2000,$Y246-1997+3))))</f>
        <v/>
      </c>
      <c r="J246" s="99" t="str">
        <f>IF($Y246="","",IF($Y246&lt;=1997,INDEX('Term investments'!$J$1:$J$2000,$Y246+3),INDEX('Call accounts and MMFs'!$G$1:$G$2000,$Y246-1997+3))&amp;"")</f>
        <v/>
      </c>
      <c r="K246" s="92" t="str">
        <f>IF($Y246="","",N(E246)*N(F246))</f>
        <v/>
      </c>
      <c r="L246" s="100" t="str">
        <f>IF($Y246="","",IF($Y246&lt;=1997,"Term investments, row "&amp;($Y246+3),"Call accounts and MMFs, row "&amp;($Y246-1997+3)))</f>
        <v/>
      </c>
      <c r="Y246" t="str">
        <f>IFERROR(MATCH(SMALL('List maths'!$E$4:$E$3997,238),'List maths'!$E$4:$E$3997,0),"")</f>
        <v/>
      </c>
    </row>
    <row r="247">
      <c r="B247" s="91" t="str">
        <f>IF($Y247="","",IF($Y247&lt;=1997,INDEX('Term investments'!$B$1:$B$2000,$Y247+3),INDEX('Call accounts and MMFs'!$B$1:$B$2000,$Y247-1997+3))&amp;"")</f>
        <v/>
      </c>
      <c r="C247" s="91" t="str">
        <f>IF($Y247="","",IF($Y247&lt;=1997,INDEX('Term investments'!$A$1:$A$2000,$Y247+3),INDEX('Call accounts and MMFs'!$A$1:$A$2000,$Y247-1997+3))&amp;"")</f>
        <v/>
      </c>
      <c r="D247" s="91" t="str">
        <f>IF($Y247="","",IF($Y247&lt;=1997,INDEX('Term investments'!$C$1:$C$2000,$Y247+3),INDEX('Call accounts and MMFs'!$C$1:$C$2000,$Y247-1997+3))&amp;"")</f>
        <v/>
      </c>
      <c r="E247" s="92" t="str">
        <f>IF($Y247="","",IF($Y247&lt;=1997,IF(N(INDEX('Deal maths'!$H$1:$H$2000,$Y247+3))&gt;0,N(INDEX('Deal maths'!$H$1:$H$2000,$Y247+3)),N(INDEX('Deal maths'!$D$1:$D$2000,$Y247+3))),N(INDEX('Deal maths'!$M$1:$M$2000,$Y247-1997+3))))</f>
        <v/>
      </c>
      <c r="F247" s="93" t="str">
        <f>IF($Y247="","",IF($Y247&lt;=1997,INDEX('Deal maths'!$G$1:$G$2000,$Y247+3),INDEX('Deal maths'!$N$1:$N$2000,$Y247-1997+3)))</f>
        <v/>
      </c>
      <c r="G247" s="94" t="str">
        <f>IF($Y247="","",IF($Y247&lt;=1997,INDEX('Deal maths'!$E$1:$E$2000,$Y247+3),""))</f>
        <v/>
      </c>
      <c r="H247" s="94" t="str">
        <f>IF($Y247="","",IF($Y247&lt;=1997,INDEX('Deal maths'!$F$1:$F$2000,$Y247+3),""))</f>
        <v/>
      </c>
      <c r="I247" s="98" t="str">
        <f>IF($Y247="","",IF($Y247&lt;=1997,N(INDEX('Deal maths'!$F$1:$F$2000,$Y247+3))-AsAt,N(INDEX('Deal maths'!$O$1:$O$2000,$Y247-1997+3))))</f>
        <v/>
      </c>
      <c r="J247" s="99" t="str">
        <f>IF($Y247="","",IF($Y247&lt;=1997,INDEX('Term investments'!$J$1:$J$2000,$Y247+3),INDEX('Call accounts and MMFs'!$G$1:$G$2000,$Y247-1997+3))&amp;"")</f>
        <v/>
      </c>
      <c r="K247" s="92" t="str">
        <f>IF($Y247="","",N(E247)*N(F247))</f>
        <v/>
      </c>
      <c r="L247" s="100" t="str">
        <f>IF($Y247="","",IF($Y247&lt;=1997,"Term investments, row "&amp;($Y247+3),"Call accounts and MMFs, row "&amp;($Y247-1997+3)))</f>
        <v/>
      </c>
      <c r="Y247" t="str">
        <f>IFERROR(MATCH(SMALL('List maths'!$E$4:$E$3997,239),'List maths'!$E$4:$E$3997,0),"")</f>
        <v/>
      </c>
    </row>
    <row r="248">
      <c r="B248" s="91" t="str">
        <f>IF($Y248="","",IF($Y248&lt;=1997,INDEX('Term investments'!$B$1:$B$2000,$Y248+3),INDEX('Call accounts and MMFs'!$B$1:$B$2000,$Y248-1997+3))&amp;"")</f>
        <v/>
      </c>
      <c r="C248" s="91" t="str">
        <f>IF($Y248="","",IF($Y248&lt;=1997,INDEX('Term investments'!$A$1:$A$2000,$Y248+3),INDEX('Call accounts and MMFs'!$A$1:$A$2000,$Y248-1997+3))&amp;"")</f>
        <v/>
      </c>
      <c r="D248" s="91" t="str">
        <f>IF($Y248="","",IF($Y248&lt;=1997,INDEX('Term investments'!$C$1:$C$2000,$Y248+3),INDEX('Call accounts and MMFs'!$C$1:$C$2000,$Y248-1997+3))&amp;"")</f>
        <v/>
      </c>
      <c r="E248" s="92" t="str">
        <f>IF($Y248="","",IF($Y248&lt;=1997,IF(N(INDEX('Deal maths'!$H$1:$H$2000,$Y248+3))&gt;0,N(INDEX('Deal maths'!$H$1:$H$2000,$Y248+3)),N(INDEX('Deal maths'!$D$1:$D$2000,$Y248+3))),N(INDEX('Deal maths'!$M$1:$M$2000,$Y248-1997+3))))</f>
        <v/>
      </c>
      <c r="F248" s="93" t="str">
        <f>IF($Y248="","",IF($Y248&lt;=1997,INDEX('Deal maths'!$G$1:$G$2000,$Y248+3),INDEX('Deal maths'!$N$1:$N$2000,$Y248-1997+3)))</f>
        <v/>
      </c>
      <c r="G248" s="94" t="str">
        <f>IF($Y248="","",IF($Y248&lt;=1997,INDEX('Deal maths'!$E$1:$E$2000,$Y248+3),""))</f>
        <v/>
      </c>
      <c r="H248" s="94" t="str">
        <f>IF($Y248="","",IF($Y248&lt;=1997,INDEX('Deal maths'!$F$1:$F$2000,$Y248+3),""))</f>
        <v/>
      </c>
      <c r="I248" s="98" t="str">
        <f>IF($Y248="","",IF($Y248&lt;=1997,N(INDEX('Deal maths'!$F$1:$F$2000,$Y248+3))-AsAt,N(INDEX('Deal maths'!$O$1:$O$2000,$Y248-1997+3))))</f>
        <v/>
      </c>
      <c r="J248" s="99" t="str">
        <f>IF($Y248="","",IF($Y248&lt;=1997,INDEX('Term investments'!$J$1:$J$2000,$Y248+3),INDEX('Call accounts and MMFs'!$G$1:$G$2000,$Y248-1997+3))&amp;"")</f>
        <v/>
      </c>
      <c r="K248" s="92" t="str">
        <f>IF($Y248="","",N(E248)*N(F248))</f>
        <v/>
      </c>
      <c r="L248" s="100" t="str">
        <f>IF($Y248="","",IF($Y248&lt;=1997,"Term investments, row "&amp;($Y248+3),"Call accounts and MMFs, row "&amp;($Y248-1997+3)))</f>
        <v/>
      </c>
      <c r="Y248" t="str">
        <f>IFERROR(MATCH(SMALL('List maths'!$E$4:$E$3997,240),'List maths'!$E$4:$E$3997,0),"")</f>
        <v/>
      </c>
    </row>
    <row r="249">
      <c r="B249" s="91" t="str">
        <f>IF($Y249="","",IF($Y249&lt;=1997,INDEX('Term investments'!$B$1:$B$2000,$Y249+3),INDEX('Call accounts and MMFs'!$B$1:$B$2000,$Y249-1997+3))&amp;"")</f>
        <v/>
      </c>
      <c r="C249" s="91" t="str">
        <f>IF($Y249="","",IF($Y249&lt;=1997,INDEX('Term investments'!$A$1:$A$2000,$Y249+3),INDEX('Call accounts and MMFs'!$A$1:$A$2000,$Y249-1997+3))&amp;"")</f>
        <v/>
      </c>
      <c r="D249" s="91" t="str">
        <f>IF($Y249="","",IF($Y249&lt;=1997,INDEX('Term investments'!$C$1:$C$2000,$Y249+3),INDEX('Call accounts and MMFs'!$C$1:$C$2000,$Y249-1997+3))&amp;"")</f>
        <v/>
      </c>
      <c r="E249" s="92" t="str">
        <f>IF($Y249="","",IF($Y249&lt;=1997,IF(N(INDEX('Deal maths'!$H$1:$H$2000,$Y249+3))&gt;0,N(INDEX('Deal maths'!$H$1:$H$2000,$Y249+3)),N(INDEX('Deal maths'!$D$1:$D$2000,$Y249+3))),N(INDEX('Deal maths'!$M$1:$M$2000,$Y249-1997+3))))</f>
        <v/>
      </c>
      <c r="F249" s="93" t="str">
        <f>IF($Y249="","",IF($Y249&lt;=1997,INDEX('Deal maths'!$G$1:$G$2000,$Y249+3),INDEX('Deal maths'!$N$1:$N$2000,$Y249-1997+3)))</f>
        <v/>
      </c>
      <c r="G249" s="94" t="str">
        <f>IF($Y249="","",IF($Y249&lt;=1997,INDEX('Deal maths'!$E$1:$E$2000,$Y249+3),""))</f>
        <v/>
      </c>
      <c r="H249" s="94" t="str">
        <f>IF($Y249="","",IF($Y249&lt;=1997,INDEX('Deal maths'!$F$1:$F$2000,$Y249+3),""))</f>
        <v/>
      </c>
      <c r="I249" s="98" t="str">
        <f>IF($Y249="","",IF($Y249&lt;=1997,N(INDEX('Deal maths'!$F$1:$F$2000,$Y249+3))-AsAt,N(INDEX('Deal maths'!$O$1:$O$2000,$Y249-1997+3))))</f>
        <v/>
      </c>
      <c r="J249" s="99" t="str">
        <f>IF($Y249="","",IF($Y249&lt;=1997,INDEX('Term investments'!$J$1:$J$2000,$Y249+3),INDEX('Call accounts and MMFs'!$G$1:$G$2000,$Y249-1997+3))&amp;"")</f>
        <v/>
      </c>
      <c r="K249" s="92" t="str">
        <f>IF($Y249="","",N(E249)*N(F249))</f>
        <v/>
      </c>
      <c r="L249" s="100" t="str">
        <f>IF($Y249="","",IF($Y249&lt;=1997,"Term investments, row "&amp;($Y249+3),"Call accounts and MMFs, row "&amp;($Y249-1997+3)))</f>
        <v/>
      </c>
      <c r="Y249" t="str">
        <f>IFERROR(MATCH(SMALL('List maths'!$E$4:$E$3997,241),'List maths'!$E$4:$E$3997,0),"")</f>
        <v/>
      </c>
    </row>
    <row r="250">
      <c r="B250" s="91" t="str">
        <f>IF($Y250="","",IF($Y250&lt;=1997,INDEX('Term investments'!$B$1:$B$2000,$Y250+3),INDEX('Call accounts and MMFs'!$B$1:$B$2000,$Y250-1997+3))&amp;"")</f>
        <v/>
      </c>
      <c r="C250" s="91" t="str">
        <f>IF($Y250="","",IF($Y250&lt;=1997,INDEX('Term investments'!$A$1:$A$2000,$Y250+3),INDEX('Call accounts and MMFs'!$A$1:$A$2000,$Y250-1997+3))&amp;"")</f>
        <v/>
      </c>
      <c r="D250" s="91" t="str">
        <f>IF($Y250="","",IF($Y250&lt;=1997,INDEX('Term investments'!$C$1:$C$2000,$Y250+3),INDEX('Call accounts and MMFs'!$C$1:$C$2000,$Y250-1997+3))&amp;"")</f>
        <v/>
      </c>
      <c r="E250" s="92" t="str">
        <f>IF($Y250="","",IF($Y250&lt;=1997,IF(N(INDEX('Deal maths'!$H$1:$H$2000,$Y250+3))&gt;0,N(INDEX('Deal maths'!$H$1:$H$2000,$Y250+3)),N(INDEX('Deal maths'!$D$1:$D$2000,$Y250+3))),N(INDEX('Deal maths'!$M$1:$M$2000,$Y250-1997+3))))</f>
        <v/>
      </c>
      <c r="F250" s="93" t="str">
        <f>IF($Y250="","",IF($Y250&lt;=1997,INDEX('Deal maths'!$G$1:$G$2000,$Y250+3),INDEX('Deal maths'!$N$1:$N$2000,$Y250-1997+3)))</f>
        <v/>
      </c>
      <c r="G250" s="94" t="str">
        <f>IF($Y250="","",IF($Y250&lt;=1997,INDEX('Deal maths'!$E$1:$E$2000,$Y250+3),""))</f>
        <v/>
      </c>
      <c r="H250" s="94" t="str">
        <f>IF($Y250="","",IF($Y250&lt;=1997,INDEX('Deal maths'!$F$1:$F$2000,$Y250+3),""))</f>
        <v/>
      </c>
      <c r="I250" s="98" t="str">
        <f>IF($Y250="","",IF($Y250&lt;=1997,N(INDEX('Deal maths'!$F$1:$F$2000,$Y250+3))-AsAt,N(INDEX('Deal maths'!$O$1:$O$2000,$Y250-1997+3))))</f>
        <v/>
      </c>
      <c r="J250" s="99" t="str">
        <f>IF($Y250="","",IF($Y250&lt;=1997,INDEX('Term investments'!$J$1:$J$2000,$Y250+3),INDEX('Call accounts and MMFs'!$G$1:$G$2000,$Y250-1997+3))&amp;"")</f>
        <v/>
      </c>
      <c r="K250" s="92" t="str">
        <f>IF($Y250="","",N(E250)*N(F250))</f>
        <v/>
      </c>
      <c r="L250" s="100" t="str">
        <f>IF($Y250="","",IF($Y250&lt;=1997,"Term investments, row "&amp;($Y250+3),"Call accounts and MMFs, row "&amp;($Y250-1997+3)))</f>
        <v/>
      </c>
      <c r="Y250" t="str">
        <f>IFERROR(MATCH(SMALL('List maths'!$E$4:$E$3997,242),'List maths'!$E$4:$E$3997,0),"")</f>
        <v/>
      </c>
    </row>
    <row r="251">
      <c r="B251" s="91" t="str">
        <f>IF($Y251="","",IF($Y251&lt;=1997,INDEX('Term investments'!$B$1:$B$2000,$Y251+3),INDEX('Call accounts and MMFs'!$B$1:$B$2000,$Y251-1997+3))&amp;"")</f>
        <v/>
      </c>
      <c r="C251" s="91" t="str">
        <f>IF($Y251="","",IF($Y251&lt;=1997,INDEX('Term investments'!$A$1:$A$2000,$Y251+3),INDEX('Call accounts and MMFs'!$A$1:$A$2000,$Y251-1997+3))&amp;"")</f>
        <v/>
      </c>
      <c r="D251" s="91" t="str">
        <f>IF($Y251="","",IF($Y251&lt;=1997,INDEX('Term investments'!$C$1:$C$2000,$Y251+3),INDEX('Call accounts and MMFs'!$C$1:$C$2000,$Y251-1997+3))&amp;"")</f>
        <v/>
      </c>
      <c r="E251" s="92" t="str">
        <f>IF($Y251="","",IF($Y251&lt;=1997,IF(N(INDEX('Deal maths'!$H$1:$H$2000,$Y251+3))&gt;0,N(INDEX('Deal maths'!$H$1:$H$2000,$Y251+3)),N(INDEX('Deal maths'!$D$1:$D$2000,$Y251+3))),N(INDEX('Deal maths'!$M$1:$M$2000,$Y251-1997+3))))</f>
        <v/>
      </c>
      <c r="F251" s="93" t="str">
        <f>IF($Y251="","",IF($Y251&lt;=1997,INDEX('Deal maths'!$G$1:$G$2000,$Y251+3),INDEX('Deal maths'!$N$1:$N$2000,$Y251-1997+3)))</f>
        <v/>
      </c>
      <c r="G251" s="94" t="str">
        <f>IF($Y251="","",IF($Y251&lt;=1997,INDEX('Deal maths'!$E$1:$E$2000,$Y251+3),""))</f>
        <v/>
      </c>
      <c r="H251" s="94" t="str">
        <f>IF($Y251="","",IF($Y251&lt;=1997,INDEX('Deal maths'!$F$1:$F$2000,$Y251+3),""))</f>
        <v/>
      </c>
      <c r="I251" s="98" t="str">
        <f>IF($Y251="","",IF($Y251&lt;=1997,N(INDEX('Deal maths'!$F$1:$F$2000,$Y251+3))-AsAt,N(INDEX('Deal maths'!$O$1:$O$2000,$Y251-1997+3))))</f>
        <v/>
      </c>
      <c r="J251" s="99" t="str">
        <f>IF($Y251="","",IF($Y251&lt;=1997,INDEX('Term investments'!$J$1:$J$2000,$Y251+3),INDEX('Call accounts and MMFs'!$G$1:$G$2000,$Y251-1997+3))&amp;"")</f>
        <v/>
      </c>
      <c r="K251" s="92" t="str">
        <f>IF($Y251="","",N(E251)*N(F251))</f>
        <v/>
      </c>
      <c r="L251" s="100" t="str">
        <f>IF($Y251="","",IF($Y251&lt;=1997,"Term investments, row "&amp;($Y251+3),"Call accounts and MMFs, row "&amp;($Y251-1997+3)))</f>
        <v/>
      </c>
      <c r="Y251" t="str">
        <f>IFERROR(MATCH(SMALL('List maths'!$E$4:$E$3997,243),'List maths'!$E$4:$E$3997,0),"")</f>
        <v/>
      </c>
    </row>
    <row r="252">
      <c r="B252" s="91" t="str">
        <f>IF($Y252="","",IF($Y252&lt;=1997,INDEX('Term investments'!$B$1:$B$2000,$Y252+3),INDEX('Call accounts and MMFs'!$B$1:$B$2000,$Y252-1997+3))&amp;"")</f>
        <v/>
      </c>
      <c r="C252" s="91" t="str">
        <f>IF($Y252="","",IF($Y252&lt;=1997,INDEX('Term investments'!$A$1:$A$2000,$Y252+3),INDEX('Call accounts and MMFs'!$A$1:$A$2000,$Y252-1997+3))&amp;"")</f>
        <v/>
      </c>
      <c r="D252" s="91" t="str">
        <f>IF($Y252="","",IF($Y252&lt;=1997,INDEX('Term investments'!$C$1:$C$2000,$Y252+3),INDEX('Call accounts and MMFs'!$C$1:$C$2000,$Y252-1997+3))&amp;"")</f>
        <v/>
      </c>
      <c r="E252" s="92" t="str">
        <f>IF($Y252="","",IF($Y252&lt;=1997,IF(N(INDEX('Deal maths'!$H$1:$H$2000,$Y252+3))&gt;0,N(INDEX('Deal maths'!$H$1:$H$2000,$Y252+3)),N(INDEX('Deal maths'!$D$1:$D$2000,$Y252+3))),N(INDEX('Deal maths'!$M$1:$M$2000,$Y252-1997+3))))</f>
        <v/>
      </c>
      <c r="F252" s="93" t="str">
        <f>IF($Y252="","",IF($Y252&lt;=1997,INDEX('Deal maths'!$G$1:$G$2000,$Y252+3),INDEX('Deal maths'!$N$1:$N$2000,$Y252-1997+3)))</f>
        <v/>
      </c>
      <c r="G252" s="94" t="str">
        <f>IF($Y252="","",IF($Y252&lt;=1997,INDEX('Deal maths'!$E$1:$E$2000,$Y252+3),""))</f>
        <v/>
      </c>
      <c r="H252" s="94" t="str">
        <f>IF($Y252="","",IF($Y252&lt;=1997,INDEX('Deal maths'!$F$1:$F$2000,$Y252+3),""))</f>
        <v/>
      </c>
      <c r="I252" s="98" t="str">
        <f>IF($Y252="","",IF($Y252&lt;=1997,N(INDEX('Deal maths'!$F$1:$F$2000,$Y252+3))-AsAt,N(INDEX('Deal maths'!$O$1:$O$2000,$Y252-1997+3))))</f>
        <v/>
      </c>
      <c r="J252" s="99" t="str">
        <f>IF($Y252="","",IF($Y252&lt;=1997,INDEX('Term investments'!$J$1:$J$2000,$Y252+3),INDEX('Call accounts and MMFs'!$G$1:$G$2000,$Y252-1997+3))&amp;"")</f>
        <v/>
      </c>
      <c r="K252" s="92" t="str">
        <f>IF($Y252="","",N(E252)*N(F252))</f>
        <v/>
      </c>
      <c r="L252" s="100" t="str">
        <f>IF($Y252="","",IF($Y252&lt;=1997,"Term investments, row "&amp;($Y252+3),"Call accounts and MMFs, row "&amp;($Y252-1997+3)))</f>
        <v/>
      </c>
      <c r="Y252" t="str">
        <f>IFERROR(MATCH(SMALL('List maths'!$E$4:$E$3997,244),'List maths'!$E$4:$E$3997,0),"")</f>
        <v/>
      </c>
    </row>
    <row r="253">
      <c r="B253" s="91" t="str">
        <f>IF($Y253="","",IF($Y253&lt;=1997,INDEX('Term investments'!$B$1:$B$2000,$Y253+3),INDEX('Call accounts and MMFs'!$B$1:$B$2000,$Y253-1997+3))&amp;"")</f>
        <v/>
      </c>
      <c r="C253" s="91" t="str">
        <f>IF($Y253="","",IF($Y253&lt;=1997,INDEX('Term investments'!$A$1:$A$2000,$Y253+3),INDEX('Call accounts and MMFs'!$A$1:$A$2000,$Y253-1997+3))&amp;"")</f>
        <v/>
      </c>
      <c r="D253" s="91" t="str">
        <f>IF($Y253="","",IF($Y253&lt;=1997,INDEX('Term investments'!$C$1:$C$2000,$Y253+3),INDEX('Call accounts and MMFs'!$C$1:$C$2000,$Y253-1997+3))&amp;"")</f>
        <v/>
      </c>
      <c r="E253" s="92" t="str">
        <f>IF($Y253="","",IF($Y253&lt;=1997,IF(N(INDEX('Deal maths'!$H$1:$H$2000,$Y253+3))&gt;0,N(INDEX('Deal maths'!$H$1:$H$2000,$Y253+3)),N(INDEX('Deal maths'!$D$1:$D$2000,$Y253+3))),N(INDEX('Deal maths'!$M$1:$M$2000,$Y253-1997+3))))</f>
        <v/>
      </c>
      <c r="F253" s="93" t="str">
        <f>IF($Y253="","",IF($Y253&lt;=1997,INDEX('Deal maths'!$G$1:$G$2000,$Y253+3),INDEX('Deal maths'!$N$1:$N$2000,$Y253-1997+3)))</f>
        <v/>
      </c>
      <c r="G253" s="94" t="str">
        <f>IF($Y253="","",IF($Y253&lt;=1997,INDEX('Deal maths'!$E$1:$E$2000,$Y253+3),""))</f>
        <v/>
      </c>
      <c r="H253" s="94" t="str">
        <f>IF($Y253="","",IF($Y253&lt;=1997,INDEX('Deal maths'!$F$1:$F$2000,$Y253+3),""))</f>
        <v/>
      </c>
      <c r="I253" s="98" t="str">
        <f>IF($Y253="","",IF($Y253&lt;=1997,N(INDEX('Deal maths'!$F$1:$F$2000,$Y253+3))-AsAt,N(INDEX('Deal maths'!$O$1:$O$2000,$Y253-1997+3))))</f>
        <v/>
      </c>
      <c r="J253" s="99" t="str">
        <f>IF($Y253="","",IF($Y253&lt;=1997,INDEX('Term investments'!$J$1:$J$2000,$Y253+3),INDEX('Call accounts and MMFs'!$G$1:$G$2000,$Y253-1997+3))&amp;"")</f>
        <v/>
      </c>
      <c r="K253" s="92" t="str">
        <f>IF($Y253="","",N(E253)*N(F253))</f>
        <v/>
      </c>
      <c r="L253" s="100" t="str">
        <f>IF($Y253="","",IF($Y253&lt;=1997,"Term investments, row "&amp;($Y253+3),"Call accounts and MMFs, row "&amp;($Y253-1997+3)))</f>
        <v/>
      </c>
      <c r="Y253" t="str">
        <f>IFERROR(MATCH(SMALL('List maths'!$E$4:$E$3997,245),'List maths'!$E$4:$E$3997,0),"")</f>
        <v/>
      </c>
    </row>
    <row r="254">
      <c r="B254" s="91" t="str">
        <f>IF($Y254="","",IF($Y254&lt;=1997,INDEX('Term investments'!$B$1:$B$2000,$Y254+3),INDEX('Call accounts and MMFs'!$B$1:$B$2000,$Y254-1997+3))&amp;"")</f>
        <v/>
      </c>
      <c r="C254" s="91" t="str">
        <f>IF($Y254="","",IF($Y254&lt;=1997,INDEX('Term investments'!$A$1:$A$2000,$Y254+3),INDEX('Call accounts and MMFs'!$A$1:$A$2000,$Y254-1997+3))&amp;"")</f>
        <v/>
      </c>
      <c r="D254" s="91" t="str">
        <f>IF($Y254="","",IF($Y254&lt;=1997,INDEX('Term investments'!$C$1:$C$2000,$Y254+3),INDEX('Call accounts and MMFs'!$C$1:$C$2000,$Y254-1997+3))&amp;"")</f>
        <v/>
      </c>
      <c r="E254" s="92" t="str">
        <f>IF($Y254="","",IF($Y254&lt;=1997,IF(N(INDEX('Deal maths'!$H$1:$H$2000,$Y254+3))&gt;0,N(INDEX('Deal maths'!$H$1:$H$2000,$Y254+3)),N(INDEX('Deal maths'!$D$1:$D$2000,$Y254+3))),N(INDEX('Deal maths'!$M$1:$M$2000,$Y254-1997+3))))</f>
        <v/>
      </c>
      <c r="F254" s="93" t="str">
        <f>IF($Y254="","",IF($Y254&lt;=1997,INDEX('Deal maths'!$G$1:$G$2000,$Y254+3),INDEX('Deal maths'!$N$1:$N$2000,$Y254-1997+3)))</f>
        <v/>
      </c>
      <c r="G254" s="94" t="str">
        <f>IF($Y254="","",IF($Y254&lt;=1997,INDEX('Deal maths'!$E$1:$E$2000,$Y254+3),""))</f>
        <v/>
      </c>
      <c r="H254" s="94" t="str">
        <f>IF($Y254="","",IF($Y254&lt;=1997,INDEX('Deal maths'!$F$1:$F$2000,$Y254+3),""))</f>
        <v/>
      </c>
      <c r="I254" s="98" t="str">
        <f>IF($Y254="","",IF($Y254&lt;=1997,N(INDEX('Deal maths'!$F$1:$F$2000,$Y254+3))-AsAt,N(INDEX('Deal maths'!$O$1:$O$2000,$Y254-1997+3))))</f>
        <v/>
      </c>
      <c r="J254" s="99" t="str">
        <f>IF($Y254="","",IF($Y254&lt;=1997,INDEX('Term investments'!$J$1:$J$2000,$Y254+3),INDEX('Call accounts and MMFs'!$G$1:$G$2000,$Y254-1997+3))&amp;"")</f>
        <v/>
      </c>
      <c r="K254" s="92" t="str">
        <f>IF($Y254="","",N(E254)*N(F254))</f>
        <v/>
      </c>
      <c r="L254" s="100" t="str">
        <f>IF($Y254="","",IF($Y254&lt;=1997,"Term investments, row "&amp;($Y254+3),"Call accounts and MMFs, row "&amp;($Y254-1997+3)))</f>
        <v/>
      </c>
      <c r="Y254" t="str">
        <f>IFERROR(MATCH(SMALL('List maths'!$E$4:$E$3997,246),'List maths'!$E$4:$E$3997,0),"")</f>
        <v/>
      </c>
    </row>
    <row r="255">
      <c r="B255" s="91" t="str">
        <f>IF($Y255="","",IF($Y255&lt;=1997,INDEX('Term investments'!$B$1:$B$2000,$Y255+3),INDEX('Call accounts and MMFs'!$B$1:$B$2000,$Y255-1997+3))&amp;"")</f>
        <v/>
      </c>
      <c r="C255" s="91" t="str">
        <f>IF($Y255="","",IF($Y255&lt;=1997,INDEX('Term investments'!$A$1:$A$2000,$Y255+3),INDEX('Call accounts and MMFs'!$A$1:$A$2000,$Y255-1997+3))&amp;"")</f>
        <v/>
      </c>
      <c r="D255" s="91" t="str">
        <f>IF($Y255="","",IF($Y255&lt;=1997,INDEX('Term investments'!$C$1:$C$2000,$Y255+3),INDEX('Call accounts and MMFs'!$C$1:$C$2000,$Y255-1997+3))&amp;"")</f>
        <v/>
      </c>
      <c r="E255" s="92" t="str">
        <f>IF($Y255="","",IF($Y255&lt;=1997,IF(N(INDEX('Deal maths'!$H$1:$H$2000,$Y255+3))&gt;0,N(INDEX('Deal maths'!$H$1:$H$2000,$Y255+3)),N(INDEX('Deal maths'!$D$1:$D$2000,$Y255+3))),N(INDEX('Deal maths'!$M$1:$M$2000,$Y255-1997+3))))</f>
        <v/>
      </c>
      <c r="F255" s="93" t="str">
        <f>IF($Y255="","",IF($Y255&lt;=1997,INDEX('Deal maths'!$G$1:$G$2000,$Y255+3),INDEX('Deal maths'!$N$1:$N$2000,$Y255-1997+3)))</f>
        <v/>
      </c>
      <c r="G255" s="94" t="str">
        <f>IF($Y255="","",IF($Y255&lt;=1997,INDEX('Deal maths'!$E$1:$E$2000,$Y255+3),""))</f>
        <v/>
      </c>
      <c r="H255" s="94" t="str">
        <f>IF($Y255="","",IF($Y255&lt;=1997,INDEX('Deal maths'!$F$1:$F$2000,$Y255+3),""))</f>
        <v/>
      </c>
      <c r="I255" s="98" t="str">
        <f>IF($Y255="","",IF($Y255&lt;=1997,N(INDEX('Deal maths'!$F$1:$F$2000,$Y255+3))-AsAt,N(INDEX('Deal maths'!$O$1:$O$2000,$Y255-1997+3))))</f>
        <v/>
      </c>
      <c r="J255" s="99" t="str">
        <f>IF($Y255="","",IF($Y255&lt;=1997,INDEX('Term investments'!$J$1:$J$2000,$Y255+3),INDEX('Call accounts and MMFs'!$G$1:$G$2000,$Y255-1997+3))&amp;"")</f>
        <v/>
      </c>
      <c r="K255" s="92" t="str">
        <f>IF($Y255="","",N(E255)*N(F255))</f>
        <v/>
      </c>
      <c r="L255" s="100" t="str">
        <f>IF($Y255="","",IF($Y255&lt;=1997,"Term investments, row "&amp;($Y255+3),"Call accounts and MMFs, row "&amp;($Y255-1997+3)))</f>
        <v/>
      </c>
      <c r="Y255" t="str">
        <f>IFERROR(MATCH(SMALL('List maths'!$E$4:$E$3997,247),'List maths'!$E$4:$E$3997,0),"")</f>
        <v/>
      </c>
    </row>
    <row r="256">
      <c r="B256" s="91" t="str">
        <f>IF($Y256="","",IF($Y256&lt;=1997,INDEX('Term investments'!$B$1:$B$2000,$Y256+3),INDEX('Call accounts and MMFs'!$B$1:$B$2000,$Y256-1997+3))&amp;"")</f>
        <v/>
      </c>
      <c r="C256" s="91" t="str">
        <f>IF($Y256="","",IF($Y256&lt;=1997,INDEX('Term investments'!$A$1:$A$2000,$Y256+3),INDEX('Call accounts and MMFs'!$A$1:$A$2000,$Y256-1997+3))&amp;"")</f>
        <v/>
      </c>
      <c r="D256" s="91" t="str">
        <f>IF($Y256="","",IF($Y256&lt;=1997,INDEX('Term investments'!$C$1:$C$2000,$Y256+3),INDEX('Call accounts and MMFs'!$C$1:$C$2000,$Y256-1997+3))&amp;"")</f>
        <v/>
      </c>
      <c r="E256" s="92" t="str">
        <f>IF($Y256="","",IF($Y256&lt;=1997,IF(N(INDEX('Deal maths'!$H$1:$H$2000,$Y256+3))&gt;0,N(INDEX('Deal maths'!$H$1:$H$2000,$Y256+3)),N(INDEX('Deal maths'!$D$1:$D$2000,$Y256+3))),N(INDEX('Deal maths'!$M$1:$M$2000,$Y256-1997+3))))</f>
        <v/>
      </c>
      <c r="F256" s="93" t="str">
        <f>IF($Y256="","",IF($Y256&lt;=1997,INDEX('Deal maths'!$G$1:$G$2000,$Y256+3),INDEX('Deal maths'!$N$1:$N$2000,$Y256-1997+3)))</f>
        <v/>
      </c>
      <c r="G256" s="94" t="str">
        <f>IF($Y256="","",IF($Y256&lt;=1997,INDEX('Deal maths'!$E$1:$E$2000,$Y256+3),""))</f>
        <v/>
      </c>
      <c r="H256" s="94" t="str">
        <f>IF($Y256="","",IF($Y256&lt;=1997,INDEX('Deal maths'!$F$1:$F$2000,$Y256+3),""))</f>
        <v/>
      </c>
      <c r="I256" s="98" t="str">
        <f>IF($Y256="","",IF($Y256&lt;=1997,N(INDEX('Deal maths'!$F$1:$F$2000,$Y256+3))-AsAt,N(INDEX('Deal maths'!$O$1:$O$2000,$Y256-1997+3))))</f>
        <v/>
      </c>
      <c r="J256" s="99" t="str">
        <f>IF($Y256="","",IF($Y256&lt;=1997,INDEX('Term investments'!$J$1:$J$2000,$Y256+3),INDEX('Call accounts and MMFs'!$G$1:$G$2000,$Y256-1997+3))&amp;"")</f>
        <v/>
      </c>
      <c r="K256" s="92" t="str">
        <f>IF($Y256="","",N(E256)*N(F256))</f>
        <v/>
      </c>
      <c r="L256" s="100" t="str">
        <f>IF($Y256="","",IF($Y256&lt;=1997,"Term investments, row "&amp;($Y256+3),"Call accounts and MMFs, row "&amp;($Y256-1997+3)))</f>
        <v/>
      </c>
      <c r="Y256" t="str">
        <f>IFERROR(MATCH(SMALL('List maths'!$E$4:$E$3997,248),'List maths'!$E$4:$E$3997,0),"")</f>
        <v/>
      </c>
    </row>
    <row r="257">
      <c r="B257" s="91" t="str">
        <f>IF($Y257="","",IF($Y257&lt;=1997,INDEX('Term investments'!$B$1:$B$2000,$Y257+3),INDEX('Call accounts and MMFs'!$B$1:$B$2000,$Y257-1997+3))&amp;"")</f>
        <v/>
      </c>
      <c r="C257" s="91" t="str">
        <f>IF($Y257="","",IF($Y257&lt;=1997,INDEX('Term investments'!$A$1:$A$2000,$Y257+3),INDEX('Call accounts and MMFs'!$A$1:$A$2000,$Y257-1997+3))&amp;"")</f>
        <v/>
      </c>
      <c r="D257" s="91" t="str">
        <f>IF($Y257="","",IF($Y257&lt;=1997,INDEX('Term investments'!$C$1:$C$2000,$Y257+3),INDEX('Call accounts and MMFs'!$C$1:$C$2000,$Y257-1997+3))&amp;"")</f>
        <v/>
      </c>
      <c r="E257" s="92" t="str">
        <f>IF($Y257="","",IF($Y257&lt;=1997,IF(N(INDEX('Deal maths'!$H$1:$H$2000,$Y257+3))&gt;0,N(INDEX('Deal maths'!$H$1:$H$2000,$Y257+3)),N(INDEX('Deal maths'!$D$1:$D$2000,$Y257+3))),N(INDEX('Deal maths'!$M$1:$M$2000,$Y257-1997+3))))</f>
        <v/>
      </c>
      <c r="F257" s="93" t="str">
        <f>IF($Y257="","",IF($Y257&lt;=1997,INDEX('Deal maths'!$G$1:$G$2000,$Y257+3),INDEX('Deal maths'!$N$1:$N$2000,$Y257-1997+3)))</f>
        <v/>
      </c>
      <c r="G257" s="94" t="str">
        <f>IF($Y257="","",IF($Y257&lt;=1997,INDEX('Deal maths'!$E$1:$E$2000,$Y257+3),""))</f>
        <v/>
      </c>
      <c r="H257" s="94" t="str">
        <f>IF($Y257="","",IF($Y257&lt;=1997,INDEX('Deal maths'!$F$1:$F$2000,$Y257+3),""))</f>
        <v/>
      </c>
      <c r="I257" s="98" t="str">
        <f>IF($Y257="","",IF($Y257&lt;=1997,N(INDEX('Deal maths'!$F$1:$F$2000,$Y257+3))-AsAt,N(INDEX('Deal maths'!$O$1:$O$2000,$Y257-1997+3))))</f>
        <v/>
      </c>
      <c r="J257" s="99" t="str">
        <f>IF($Y257="","",IF($Y257&lt;=1997,INDEX('Term investments'!$J$1:$J$2000,$Y257+3),INDEX('Call accounts and MMFs'!$G$1:$G$2000,$Y257-1997+3))&amp;"")</f>
        <v/>
      </c>
      <c r="K257" s="92" t="str">
        <f>IF($Y257="","",N(E257)*N(F257))</f>
        <v/>
      </c>
      <c r="L257" s="100" t="str">
        <f>IF($Y257="","",IF($Y257&lt;=1997,"Term investments, row "&amp;($Y257+3),"Call accounts and MMFs, row "&amp;($Y257-1997+3)))</f>
        <v/>
      </c>
      <c r="Y257" t="str">
        <f>IFERROR(MATCH(SMALL('List maths'!$E$4:$E$3997,249),'List maths'!$E$4:$E$3997,0),"")</f>
        <v/>
      </c>
    </row>
    <row r="258">
      <c r="B258" s="91" t="str">
        <f>IF($Y258="","",IF($Y258&lt;=1997,INDEX('Term investments'!$B$1:$B$2000,$Y258+3),INDEX('Call accounts and MMFs'!$B$1:$B$2000,$Y258-1997+3))&amp;"")</f>
        <v/>
      </c>
      <c r="C258" s="91" t="str">
        <f>IF($Y258="","",IF($Y258&lt;=1997,INDEX('Term investments'!$A$1:$A$2000,$Y258+3),INDEX('Call accounts and MMFs'!$A$1:$A$2000,$Y258-1997+3))&amp;"")</f>
        <v/>
      </c>
      <c r="D258" s="91" t="str">
        <f>IF($Y258="","",IF($Y258&lt;=1997,INDEX('Term investments'!$C$1:$C$2000,$Y258+3),INDEX('Call accounts and MMFs'!$C$1:$C$2000,$Y258-1997+3))&amp;"")</f>
        <v/>
      </c>
      <c r="E258" s="92" t="str">
        <f>IF($Y258="","",IF($Y258&lt;=1997,IF(N(INDEX('Deal maths'!$H$1:$H$2000,$Y258+3))&gt;0,N(INDEX('Deal maths'!$H$1:$H$2000,$Y258+3)),N(INDEX('Deal maths'!$D$1:$D$2000,$Y258+3))),N(INDEX('Deal maths'!$M$1:$M$2000,$Y258-1997+3))))</f>
        <v/>
      </c>
      <c r="F258" s="93" t="str">
        <f>IF($Y258="","",IF($Y258&lt;=1997,INDEX('Deal maths'!$G$1:$G$2000,$Y258+3),INDEX('Deal maths'!$N$1:$N$2000,$Y258-1997+3)))</f>
        <v/>
      </c>
      <c r="G258" s="94" t="str">
        <f>IF($Y258="","",IF($Y258&lt;=1997,INDEX('Deal maths'!$E$1:$E$2000,$Y258+3),""))</f>
        <v/>
      </c>
      <c r="H258" s="94" t="str">
        <f>IF($Y258="","",IF($Y258&lt;=1997,INDEX('Deal maths'!$F$1:$F$2000,$Y258+3),""))</f>
        <v/>
      </c>
      <c r="I258" s="98" t="str">
        <f>IF($Y258="","",IF($Y258&lt;=1997,N(INDEX('Deal maths'!$F$1:$F$2000,$Y258+3))-AsAt,N(INDEX('Deal maths'!$O$1:$O$2000,$Y258-1997+3))))</f>
        <v/>
      </c>
      <c r="J258" s="99" t="str">
        <f>IF($Y258="","",IF($Y258&lt;=1997,INDEX('Term investments'!$J$1:$J$2000,$Y258+3),INDEX('Call accounts and MMFs'!$G$1:$G$2000,$Y258-1997+3))&amp;"")</f>
        <v/>
      </c>
      <c r="K258" s="92" t="str">
        <f>IF($Y258="","",N(E258)*N(F258))</f>
        <v/>
      </c>
      <c r="L258" s="100" t="str">
        <f>IF($Y258="","",IF($Y258&lt;=1997,"Term investments, row "&amp;($Y258+3),"Call accounts and MMFs, row "&amp;($Y258-1997+3)))</f>
        <v/>
      </c>
      <c r="Y258" t="str">
        <f>IFERROR(MATCH(SMALL('List maths'!$E$4:$E$3997,250),'List maths'!$E$4:$E$3997,0),"")</f>
        <v/>
      </c>
    </row>
    <row r="259">
      <c r="B259" s="91" t="str">
        <f>IF($Y259="","",IF($Y259&lt;=1997,INDEX('Term investments'!$B$1:$B$2000,$Y259+3),INDEX('Call accounts and MMFs'!$B$1:$B$2000,$Y259-1997+3))&amp;"")</f>
        <v/>
      </c>
      <c r="C259" s="91" t="str">
        <f>IF($Y259="","",IF($Y259&lt;=1997,INDEX('Term investments'!$A$1:$A$2000,$Y259+3),INDEX('Call accounts and MMFs'!$A$1:$A$2000,$Y259-1997+3))&amp;"")</f>
        <v/>
      </c>
      <c r="D259" s="91" t="str">
        <f>IF($Y259="","",IF($Y259&lt;=1997,INDEX('Term investments'!$C$1:$C$2000,$Y259+3),INDEX('Call accounts and MMFs'!$C$1:$C$2000,$Y259-1997+3))&amp;"")</f>
        <v/>
      </c>
      <c r="E259" s="92" t="str">
        <f>IF($Y259="","",IF($Y259&lt;=1997,IF(N(INDEX('Deal maths'!$H$1:$H$2000,$Y259+3))&gt;0,N(INDEX('Deal maths'!$H$1:$H$2000,$Y259+3)),N(INDEX('Deal maths'!$D$1:$D$2000,$Y259+3))),N(INDEX('Deal maths'!$M$1:$M$2000,$Y259-1997+3))))</f>
        <v/>
      </c>
      <c r="F259" s="93" t="str">
        <f>IF($Y259="","",IF($Y259&lt;=1997,INDEX('Deal maths'!$G$1:$G$2000,$Y259+3),INDEX('Deal maths'!$N$1:$N$2000,$Y259-1997+3)))</f>
        <v/>
      </c>
      <c r="G259" s="94" t="str">
        <f>IF($Y259="","",IF($Y259&lt;=1997,INDEX('Deal maths'!$E$1:$E$2000,$Y259+3),""))</f>
        <v/>
      </c>
      <c r="H259" s="94" t="str">
        <f>IF($Y259="","",IF($Y259&lt;=1997,INDEX('Deal maths'!$F$1:$F$2000,$Y259+3),""))</f>
        <v/>
      </c>
      <c r="I259" s="98" t="str">
        <f>IF($Y259="","",IF($Y259&lt;=1997,N(INDEX('Deal maths'!$F$1:$F$2000,$Y259+3))-AsAt,N(INDEX('Deal maths'!$O$1:$O$2000,$Y259-1997+3))))</f>
        <v/>
      </c>
      <c r="J259" s="99" t="str">
        <f>IF($Y259="","",IF($Y259&lt;=1997,INDEX('Term investments'!$J$1:$J$2000,$Y259+3),INDEX('Call accounts and MMFs'!$G$1:$G$2000,$Y259-1997+3))&amp;"")</f>
        <v/>
      </c>
      <c r="K259" s="92" t="str">
        <f>IF($Y259="","",N(E259)*N(F259))</f>
        <v/>
      </c>
      <c r="L259" s="100" t="str">
        <f>IF($Y259="","",IF($Y259&lt;=1997,"Term investments, row "&amp;($Y259+3),"Call accounts and MMFs, row "&amp;($Y259-1997+3)))</f>
        <v/>
      </c>
      <c r="Y259" t="str">
        <f>IFERROR(MATCH(SMALL('List maths'!$E$4:$E$3997,251),'List maths'!$E$4:$E$3997,0),"")</f>
        <v/>
      </c>
    </row>
    <row r="260">
      <c r="B260" s="91" t="str">
        <f>IF($Y260="","",IF($Y260&lt;=1997,INDEX('Term investments'!$B$1:$B$2000,$Y260+3),INDEX('Call accounts and MMFs'!$B$1:$B$2000,$Y260-1997+3))&amp;"")</f>
        <v/>
      </c>
      <c r="C260" s="91" t="str">
        <f>IF($Y260="","",IF($Y260&lt;=1997,INDEX('Term investments'!$A$1:$A$2000,$Y260+3),INDEX('Call accounts and MMFs'!$A$1:$A$2000,$Y260-1997+3))&amp;"")</f>
        <v/>
      </c>
      <c r="D260" s="91" t="str">
        <f>IF($Y260="","",IF($Y260&lt;=1997,INDEX('Term investments'!$C$1:$C$2000,$Y260+3),INDEX('Call accounts and MMFs'!$C$1:$C$2000,$Y260-1997+3))&amp;"")</f>
        <v/>
      </c>
      <c r="E260" s="92" t="str">
        <f>IF($Y260="","",IF($Y260&lt;=1997,IF(N(INDEX('Deal maths'!$H$1:$H$2000,$Y260+3))&gt;0,N(INDEX('Deal maths'!$H$1:$H$2000,$Y260+3)),N(INDEX('Deal maths'!$D$1:$D$2000,$Y260+3))),N(INDEX('Deal maths'!$M$1:$M$2000,$Y260-1997+3))))</f>
        <v/>
      </c>
      <c r="F260" s="93" t="str">
        <f>IF($Y260="","",IF($Y260&lt;=1997,INDEX('Deal maths'!$G$1:$G$2000,$Y260+3),INDEX('Deal maths'!$N$1:$N$2000,$Y260-1997+3)))</f>
        <v/>
      </c>
      <c r="G260" s="94" t="str">
        <f>IF($Y260="","",IF($Y260&lt;=1997,INDEX('Deal maths'!$E$1:$E$2000,$Y260+3),""))</f>
        <v/>
      </c>
      <c r="H260" s="94" t="str">
        <f>IF($Y260="","",IF($Y260&lt;=1997,INDEX('Deal maths'!$F$1:$F$2000,$Y260+3),""))</f>
        <v/>
      </c>
      <c r="I260" s="98" t="str">
        <f>IF($Y260="","",IF($Y260&lt;=1997,N(INDEX('Deal maths'!$F$1:$F$2000,$Y260+3))-AsAt,N(INDEX('Deal maths'!$O$1:$O$2000,$Y260-1997+3))))</f>
        <v/>
      </c>
      <c r="J260" s="99" t="str">
        <f>IF($Y260="","",IF($Y260&lt;=1997,INDEX('Term investments'!$J$1:$J$2000,$Y260+3),INDEX('Call accounts and MMFs'!$G$1:$G$2000,$Y260-1997+3))&amp;"")</f>
        <v/>
      </c>
      <c r="K260" s="92" t="str">
        <f>IF($Y260="","",N(E260)*N(F260))</f>
        <v/>
      </c>
      <c r="L260" s="100" t="str">
        <f>IF($Y260="","",IF($Y260&lt;=1997,"Term investments, row "&amp;($Y260+3),"Call accounts and MMFs, row "&amp;($Y260-1997+3)))</f>
        <v/>
      </c>
      <c r="Y260" t="str">
        <f>IFERROR(MATCH(SMALL('List maths'!$E$4:$E$3997,252),'List maths'!$E$4:$E$3997,0),"")</f>
        <v/>
      </c>
    </row>
    <row r="261">
      <c r="B261" s="91" t="str">
        <f>IF($Y261="","",IF($Y261&lt;=1997,INDEX('Term investments'!$B$1:$B$2000,$Y261+3),INDEX('Call accounts and MMFs'!$B$1:$B$2000,$Y261-1997+3))&amp;"")</f>
        <v/>
      </c>
      <c r="C261" s="91" t="str">
        <f>IF($Y261="","",IF($Y261&lt;=1997,INDEX('Term investments'!$A$1:$A$2000,$Y261+3),INDEX('Call accounts and MMFs'!$A$1:$A$2000,$Y261-1997+3))&amp;"")</f>
        <v/>
      </c>
      <c r="D261" s="91" t="str">
        <f>IF($Y261="","",IF($Y261&lt;=1997,INDEX('Term investments'!$C$1:$C$2000,$Y261+3),INDEX('Call accounts and MMFs'!$C$1:$C$2000,$Y261-1997+3))&amp;"")</f>
        <v/>
      </c>
      <c r="E261" s="92" t="str">
        <f>IF($Y261="","",IF($Y261&lt;=1997,IF(N(INDEX('Deal maths'!$H$1:$H$2000,$Y261+3))&gt;0,N(INDEX('Deal maths'!$H$1:$H$2000,$Y261+3)),N(INDEX('Deal maths'!$D$1:$D$2000,$Y261+3))),N(INDEX('Deal maths'!$M$1:$M$2000,$Y261-1997+3))))</f>
        <v/>
      </c>
      <c r="F261" s="93" t="str">
        <f>IF($Y261="","",IF($Y261&lt;=1997,INDEX('Deal maths'!$G$1:$G$2000,$Y261+3),INDEX('Deal maths'!$N$1:$N$2000,$Y261-1997+3)))</f>
        <v/>
      </c>
      <c r="G261" s="94" t="str">
        <f>IF($Y261="","",IF($Y261&lt;=1997,INDEX('Deal maths'!$E$1:$E$2000,$Y261+3),""))</f>
        <v/>
      </c>
      <c r="H261" s="94" t="str">
        <f>IF($Y261="","",IF($Y261&lt;=1997,INDEX('Deal maths'!$F$1:$F$2000,$Y261+3),""))</f>
        <v/>
      </c>
      <c r="I261" s="98" t="str">
        <f>IF($Y261="","",IF($Y261&lt;=1997,N(INDEX('Deal maths'!$F$1:$F$2000,$Y261+3))-AsAt,N(INDEX('Deal maths'!$O$1:$O$2000,$Y261-1997+3))))</f>
        <v/>
      </c>
      <c r="J261" s="99" t="str">
        <f>IF($Y261="","",IF($Y261&lt;=1997,INDEX('Term investments'!$J$1:$J$2000,$Y261+3),INDEX('Call accounts and MMFs'!$G$1:$G$2000,$Y261-1997+3))&amp;"")</f>
        <v/>
      </c>
      <c r="K261" s="92" t="str">
        <f>IF($Y261="","",N(E261)*N(F261))</f>
        <v/>
      </c>
      <c r="L261" s="100" t="str">
        <f>IF($Y261="","",IF($Y261&lt;=1997,"Term investments, row "&amp;($Y261+3),"Call accounts and MMFs, row "&amp;($Y261-1997+3)))</f>
        <v/>
      </c>
      <c r="Y261" t="str">
        <f>IFERROR(MATCH(SMALL('List maths'!$E$4:$E$3997,253),'List maths'!$E$4:$E$3997,0),"")</f>
        <v/>
      </c>
    </row>
    <row r="262">
      <c r="B262" s="91" t="str">
        <f>IF($Y262="","",IF($Y262&lt;=1997,INDEX('Term investments'!$B$1:$B$2000,$Y262+3),INDEX('Call accounts and MMFs'!$B$1:$B$2000,$Y262-1997+3))&amp;"")</f>
        <v/>
      </c>
      <c r="C262" s="91" t="str">
        <f>IF($Y262="","",IF($Y262&lt;=1997,INDEX('Term investments'!$A$1:$A$2000,$Y262+3),INDEX('Call accounts and MMFs'!$A$1:$A$2000,$Y262-1997+3))&amp;"")</f>
        <v/>
      </c>
      <c r="D262" s="91" t="str">
        <f>IF($Y262="","",IF($Y262&lt;=1997,INDEX('Term investments'!$C$1:$C$2000,$Y262+3),INDEX('Call accounts and MMFs'!$C$1:$C$2000,$Y262-1997+3))&amp;"")</f>
        <v/>
      </c>
      <c r="E262" s="92" t="str">
        <f>IF($Y262="","",IF($Y262&lt;=1997,IF(N(INDEX('Deal maths'!$H$1:$H$2000,$Y262+3))&gt;0,N(INDEX('Deal maths'!$H$1:$H$2000,$Y262+3)),N(INDEX('Deal maths'!$D$1:$D$2000,$Y262+3))),N(INDEX('Deal maths'!$M$1:$M$2000,$Y262-1997+3))))</f>
        <v/>
      </c>
      <c r="F262" s="93" t="str">
        <f>IF($Y262="","",IF($Y262&lt;=1997,INDEX('Deal maths'!$G$1:$G$2000,$Y262+3),INDEX('Deal maths'!$N$1:$N$2000,$Y262-1997+3)))</f>
        <v/>
      </c>
      <c r="G262" s="94" t="str">
        <f>IF($Y262="","",IF($Y262&lt;=1997,INDEX('Deal maths'!$E$1:$E$2000,$Y262+3),""))</f>
        <v/>
      </c>
      <c r="H262" s="94" t="str">
        <f>IF($Y262="","",IF($Y262&lt;=1997,INDEX('Deal maths'!$F$1:$F$2000,$Y262+3),""))</f>
        <v/>
      </c>
      <c r="I262" s="98" t="str">
        <f>IF($Y262="","",IF($Y262&lt;=1997,N(INDEX('Deal maths'!$F$1:$F$2000,$Y262+3))-AsAt,N(INDEX('Deal maths'!$O$1:$O$2000,$Y262-1997+3))))</f>
        <v/>
      </c>
      <c r="J262" s="99" t="str">
        <f>IF($Y262="","",IF($Y262&lt;=1997,INDEX('Term investments'!$J$1:$J$2000,$Y262+3),INDEX('Call accounts and MMFs'!$G$1:$G$2000,$Y262-1997+3))&amp;"")</f>
        <v/>
      </c>
      <c r="K262" s="92" t="str">
        <f>IF($Y262="","",N(E262)*N(F262))</f>
        <v/>
      </c>
      <c r="L262" s="100" t="str">
        <f>IF($Y262="","",IF($Y262&lt;=1997,"Term investments, row "&amp;($Y262+3),"Call accounts and MMFs, row "&amp;($Y262-1997+3)))</f>
        <v/>
      </c>
      <c r="Y262" t="str">
        <f>IFERROR(MATCH(SMALL('List maths'!$E$4:$E$3997,254),'List maths'!$E$4:$E$3997,0),"")</f>
        <v/>
      </c>
    </row>
    <row r="263">
      <c r="B263" s="91" t="str">
        <f>IF($Y263="","",IF($Y263&lt;=1997,INDEX('Term investments'!$B$1:$B$2000,$Y263+3),INDEX('Call accounts and MMFs'!$B$1:$B$2000,$Y263-1997+3))&amp;"")</f>
        <v/>
      </c>
      <c r="C263" s="91" t="str">
        <f>IF($Y263="","",IF($Y263&lt;=1997,INDEX('Term investments'!$A$1:$A$2000,$Y263+3),INDEX('Call accounts and MMFs'!$A$1:$A$2000,$Y263-1997+3))&amp;"")</f>
        <v/>
      </c>
      <c r="D263" s="91" t="str">
        <f>IF($Y263="","",IF($Y263&lt;=1997,INDEX('Term investments'!$C$1:$C$2000,$Y263+3),INDEX('Call accounts and MMFs'!$C$1:$C$2000,$Y263-1997+3))&amp;"")</f>
        <v/>
      </c>
      <c r="E263" s="92" t="str">
        <f>IF($Y263="","",IF($Y263&lt;=1997,IF(N(INDEX('Deal maths'!$H$1:$H$2000,$Y263+3))&gt;0,N(INDEX('Deal maths'!$H$1:$H$2000,$Y263+3)),N(INDEX('Deal maths'!$D$1:$D$2000,$Y263+3))),N(INDEX('Deal maths'!$M$1:$M$2000,$Y263-1997+3))))</f>
        <v/>
      </c>
      <c r="F263" s="93" t="str">
        <f>IF($Y263="","",IF($Y263&lt;=1997,INDEX('Deal maths'!$G$1:$G$2000,$Y263+3),INDEX('Deal maths'!$N$1:$N$2000,$Y263-1997+3)))</f>
        <v/>
      </c>
      <c r="G263" s="94" t="str">
        <f>IF($Y263="","",IF($Y263&lt;=1997,INDEX('Deal maths'!$E$1:$E$2000,$Y263+3),""))</f>
        <v/>
      </c>
      <c r="H263" s="94" t="str">
        <f>IF($Y263="","",IF($Y263&lt;=1997,INDEX('Deal maths'!$F$1:$F$2000,$Y263+3),""))</f>
        <v/>
      </c>
      <c r="I263" s="98" t="str">
        <f>IF($Y263="","",IF($Y263&lt;=1997,N(INDEX('Deal maths'!$F$1:$F$2000,$Y263+3))-AsAt,N(INDEX('Deal maths'!$O$1:$O$2000,$Y263-1997+3))))</f>
        <v/>
      </c>
      <c r="J263" s="99" t="str">
        <f>IF($Y263="","",IF($Y263&lt;=1997,INDEX('Term investments'!$J$1:$J$2000,$Y263+3),INDEX('Call accounts and MMFs'!$G$1:$G$2000,$Y263-1997+3))&amp;"")</f>
        <v/>
      </c>
      <c r="K263" s="92" t="str">
        <f>IF($Y263="","",N(E263)*N(F263))</f>
        <v/>
      </c>
      <c r="L263" s="100" t="str">
        <f>IF($Y263="","",IF($Y263&lt;=1997,"Term investments, row "&amp;($Y263+3),"Call accounts and MMFs, row "&amp;($Y263-1997+3)))</f>
        <v/>
      </c>
      <c r="Y263" t="str">
        <f>IFERROR(MATCH(SMALL('List maths'!$E$4:$E$3997,255),'List maths'!$E$4:$E$3997,0),"")</f>
        <v/>
      </c>
    </row>
    <row r="264">
      <c r="B264" s="91" t="str">
        <f>IF($Y264="","",IF($Y264&lt;=1997,INDEX('Term investments'!$B$1:$B$2000,$Y264+3),INDEX('Call accounts and MMFs'!$B$1:$B$2000,$Y264-1997+3))&amp;"")</f>
        <v/>
      </c>
      <c r="C264" s="91" t="str">
        <f>IF($Y264="","",IF($Y264&lt;=1997,INDEX('Term investments'!$A$1:$A$2000,$Y264+3),INDEX('Call accounts and MMFs'!$A$1:$A$2000,$Y264-1997+3))&amp;"")</f>
        <v/>
      </c>
      <c r="D264" s="91" t="str">
        <f>IF($Y264="","",IF($Y264&lt;=1997,INDEX('Term investments'!$C$1:$C$2000,$Y264+3),INDEX('Call accounts and MMFs'!$C$1:$C$2000,$Y264-1997+3))&amp;"")</f>
        <v/>
      </c>
      <c r="E264" s="92" t="str">
        <f>IF($Y264="","",IF($Y264&lt;=1997,IF(N(INDEX('Deal maths'!$H$1:$H$2000,$Y264+3))&gt;0,N(INDEX('Deal maths'!$H$1:$H$2000,$Y264+3)),N(INDEX('Deal maths'!$D$1:$D$2000,$Y264+3))),N(INDEX('Deal maths'!$M$1:$M$2000,$Y264-1997+3))))</f>
        <v/>
      </c>
      <c r="F264" s="93" t="str">
        <f>IF($Y264="","",IF($Y264&lt;=1997,INDEX('Deal maths'!$G$1:$G$2000,$Y264+3),INDEX('Deal maths'!$N$1:$N$2000,$Y264-1997+3)))</f>
        <v/>
      </c>
      <c r="G264" s="94" t="str">
        <f>IF($Y264="","",IF($Y264&lt;=1997,INDEX('Deal maths'!$E$1:$E$2000,$Y264+3),""))</f>
        <v/>
      </c>
      <c r="H264" s="94" t="str">
        <f>IF($Y264="","",IF($Y264&lt;=1997,INDEX('Deal maths'!$F$1:$F$2000,$Y264+3),""))</f>
        <v/>
      </c>
      <c r="I264" s="98" t="str">
        <f>IF($Y264="","",IF($Y264&lt;=1997,N(INDEX('Deal maths'!$F$1:$F$2000,$Y264+3))-AsAt,N(INDEX('Deal maths'!$O$1:$O$2000,$Y264-1997+3))))</f>
        <v/>
      </c>
      <c r="J264" s="99" t="str">
        <f>IF($Y264="","",IF($Y264&lt;=1997,INDEX('Term investments'!$J$1:$J$2000,$Y264+3),INDEX('Call accounts and MMFs'!$G$1:$G$2000,$Y264-1997+3))&amp;"")</f>
        <v/>
      </c>
      <c r="K264" s="92" t="str">
        <f>IF($Y264="","",N(E264)*N(F264))</f>
        <v/>
      </c>
      <c r="L264" s="100" t="str">
        <f>IF($Y264="","",IF($Y264&lt;=1997,"Term investments, row "&amp;($Y264+3),"Call accounts and MMFs, row "&amp;($Y264-1997+3)))</f>
        <v/>
      </c>
      <c r="Y264" t="str">
        <f>IFERROR(MATCH(SMALL('List maths'!$E$4:$E$3997,256),'List maths'!$E$4:$E$3997,0),"")</f>
        <v/>
      </c>
    </row>
    <row r="265">
      <c r="B265" s="91" t="str">
        <f>IF($Y265="","",IF($Y265&lt;=1997,INDEX('Term investments'!$B$1:$B$2000,$Y265+3),INDEX('Call accounts and MMFs'!$B$1:$B$2000,$Y265-1997+3))&amp;"")</f>
        <v/>
      </c>
      <c r="C265" s="91" t="str">
        <f>IF($Y265="","",IF($Y265&lt;=1997,INDEX('Term investments'!$A$1:$A$2000,$Y265+3),INDEX('Call accounts and MMFs'!$A$1:$A$2000,$Y265-1997+3))&amp;"")</f>
        <v/>
      </c>
      <c r="D265" s="91" t="str">
        <f>IF($Y265="","",IF($Y265&lt;=1997,INDEX('Term investments'!$C$1:$C$2000,$Y265+3),INDEX('Call accounts and MMFs'!$C$1:$C$2000,$Y265-1997+3))&amp;"")</f>
        <v/>
      </c>
      <c r="E265" s="92" t="str">
        <f>IF($Y265="","",IF($Y265&lt;=1997,IF(N(INDEX('Deal maths'!$H$1:$H$2000,$Y265+3))&gt;0,N(INDEX('Deal maths'!$H$1:$H$2000,$Y265+3)),N(INDEX('Deal maths'!$D$1:$D$2000,$Y265+3))),N(INDEX('Deal maths'!$M$1:$M$2000,$Y265-1997+3))))</f>
        <v/>
      </c>
      <c r="F265" s="93" t="str">
        <f>IF($Y265="","",IF($Y265&lt;=1997,INDEX('Deal maths'!$G$1:$G$2000,$Y265+3),INDEX('Deal maths'!$N$1:$N$2000,$Y265-1997+3)))</f>
        <v/>
      </c>
      <c r="G265" s="94" t="str">
        <f>IF($Y265="","",IF($Y265&lt;=1997,INDEX('Deal maths'!$E$1:$E$2000,$Y265+3),""))</f>
        <v/>
      </c>
      <c r="H265" s="94" t="str">
        <f>IF($Y265="","",IF($Y265&lt;=1997,INDEX('Deal maths'!$F$1:$F$2000,$Y265+3),""))</f>
        <v/>
      </c>
      <c r="I265" s="98" t="str">
        <f>IF($Y265="","",IF($Y265&lt;=1997,N(INDEX('Deal maths'!$F$1:$F$2000,$Y265+3))-AsAt,N(INDEX('Deal maths'!$O$1:$O$2000,$Y265-1997+3))))</f>
        <v/>
      </c>
      <c r="J265" s="99" t="str">
        <f>IF($Y265="","",IF($Y265&lt;=1997,INDEX('Term investments'!$J$1:$J$2000,$Y265+3),INDEX('Call accounts and MMFs'!$G$1:$G$2000,$Y265-1997+3))&amp;"")</f>
        <v/>
      </c>
      <c r="K265" s="92" t="str">
        <f>IF($Y265="","",N(E265)*N(F265))</f>
        <v/>
      </c>
      <c r="L265" s="100" t="str">
        <f>IF($Y265="","",IF($Y265&lt;=1997,"Term investments, row "&amp;($Y265+3),"Call accounts and MMFs, row "&amp;($Y265-1997+3)))</f>
        <v/>
      </c>
      <c r="Y265" t="str">
        <f>IFERROR(MATCH(SMALL('List maths'!$E$4:$E$3997,257),'List maths'!$E$4:$E$3997,0),"")</f>
        <v/>
      </c>
    </row>
    <row r="266">
      <c r="B266" s="91" t="str">
        <f>IF($Y266="","",IF($Y266&lt;=1997,INDEX('Term investments'!$B$1:$B$2000,$Y266+3),INDEX('Call accounts and MMFs'!$B$1:$B$2000,$Y266-1997+3))&amp;"")</f>
        <v/>
      </c>
      <c r="C266" s="91" t="str">
        <f>IF($Y266="","",IF($Y266&lt;=1997,INDEX('Term investments'!$A$1:$A$2000,$Y266+3),INDEX('Call accounts and MMFs'!$A$1:$A$2000,$Y266-1997+3))&amp;"")</f>
        <v/>
      </c>
      <c r="D266" s="91" t="str">
        <f>IF($Y266="","",IF($Y266&lt;=1997,INDEX('Term investments'!$C$1:$C$2000,$Y266+3),INDEX('Call accounts and MMFs'!$C$1:$C$2000,$Y266-1997+3))&amp;"")</f>
        <v/>
      </c>
      <c r="E266" s="92" t="str">
        <f>IF($Y266="","",IF($Y266&lt;=1997,IF(N(INDEX('Deal maths'!$H$1:$H$2000,$Y266+3))&gt;0,N(INDEX('Deal maths'!$H$1:$H$2000,$Y266+3)),N(INDEX('Deal maths'!$D$1:$D$2000,$Y266+3))),N(INDEX('Deal maths'!$M$1:$M$2000,$Y266-1997+3))))</f>
        <v/>
      </c>
      <c r="F266" s="93" t="str">
        <f>IF($Y266="","",IF($Y266&lt;=1997,INDEX('Deal maths'!$G$1:$G$2000,$Y266+3),INDEX('Deal maths'!$N$1:$N$2000,$Y266-1997+3)))</f>
        <v/>
      </c>
      <c r="G266" s="94" t="str">
        <f>IF($Y266="","",IF($Y266&lt;=1997,INDEX('Deal maths'!$E$1:$E$2000,$Y266+3),""))</f>
        <v/>
      </c>
      <c r="H266" s="94" t="str">
        <f>IF($Y266="","",IF($Y266&lt;=1997,INDEX('Deal maths'!$F$1:$F$2000,$Y266+3),""))</f>
        <v/>
      </c>
      <c r="I266" s="98" t="str">
        <f>IF($Y266="","",IF($Y266&lt;=1997,N(INDEX('Deal maths'!$F$1:$F$2000,$Y266+3))-AsAt,N(INDEX('Deal maths'!$O$1:$O$2000,$Y266-1997+3))))</f>
        <v/>
      </c>
      <c r="J266" s="99" t="str">
        <f>IF($Y266="","",IF($Y266&lt;=1997,INDEX('Term investments'!$J$1:$J$2000,$Y266+3),INDEX('Call accounts and MMFs'!$G$1:$G$2000,$Y266-1997+3))&amp;"")</f>
        <v/>
      </c>
      <c r="K266" s="92" t="str">
        <f>IF($Y266="","",N(E266)*N(F266))</f>
        <v/>
      </c>
      <c r="L266" s="100" t="str">
        <f>IF($Y266="","",IF($Y266&lt;=1997,"Term investments, row "&amp;($Y266+3),"Call accounts and MMFs, row "&amp;($Y266-1997+3)))</f>
        <v/>
      </c>
      <c r="Y266" t="str">
        <f>IFERROR(MATCH(SMALL('List maths'!$E$4:$E$3997,258),'List maths'!$E$4:$E$3997,0),"")</f>
        <v/>
      </c>
    </row>
    <row r="267">
      <c r="B267" s="91" t="str">
        <f>IF($Y267="","",IF($Y267&lt;=1997,INDEX('Term investments'!$B$1:$B$2000,$Y267+3),INDEX('Call accounts and MMFs'!$B$1:$B$2000,$Y267-1997+3))&amp;"")</f>
        <v/>
      </c>
      <c r="C267" s="91" t="str">
        <f>IF($Y267="","",IF($Y267&lt;=1997,INDEX('Term investments'!$A$1:$A$2000,$Y267+3),INDEX('Call accounts and MMFs'!$A$1:$A$2000,$Y267-1997+3))&amp;"")</f>
        <v/>
      </c>
      <c r="D267" s="91" t="str">
        <f>IF($Y267="","",IF($Y267&lt;=1997,INDEX('Term investments'!$C$1:$C$2000,$Y267+3),INDEX('Call accounts and MMFs'!$C$1:$C$2000,$Y267-1997+3))&amp;"")</f>
        <v/>
      </c>
      <c r="E267" s="92" t="str">
        <f>IF($Y267="","",IF($Y267&lt;=1997,IF(N(INDEX('Deal maths'!$H$1:$H$2000,$Y267+3))&gt;0,N(INDEX('Deal maths'!$H$1:$H$2000,$Y267+3)),N(INDEX('Deal maths'!$D$1:$D$2000,$Y267+3))),N(INDEX('Deal maths'!$M$1:$M$2000,$Y267-1997+3))))</f>
        <v/>
      </c>
      <c r="F267" s="93" t="str">
        <f>IF($Y267="","",IF($Y267&lt;=1997,INDEX('Deal maths'!$G$1:$G$2000,$Y267+3),INDEX('Deal maths'!$N$1:$N$2000,$Y267-1997+3)))</f>
        <v/>
      </c>
      <c r="G267" s="94" t="str">
        <f>IF($Y267="","",IF($Y267&lt;=1997,INDEX('Deal maths'!$E$1:$E$2000,$Y267+3),""))</f>
        <v/>
      </c>
      <c r="H267" s="94" t="str">
        <f>IF($Y267="","",IF($Y267&lt;=1997,INDEX('Deal maths'!$F$1:$F$2000,$Y267+3),""))</f>
        <v/>
      </c>
      <c r="I267" s="98" t="str">
        <f>IF($Y267="","",IF($Y267&lt;=1997,N(INDEX('Deal maths'!$F$1:$F$2000,$Y267+3))-AsAt,N(INDEX('Deal maths'!$O$1:$O$2000,$Y267-1997+3))))</f>
        <v/>
      </c>
      <c r="J267" s="99" t="str">
        <f>IF($Y267="","",IF($Y267&lt;=1997,INDEX('Term investments'!$J$1:$J$2000,$Y267+3),INDEX('Call accounts and MMFs'!$G$1:$G$2000,$Y267-1997+3))&amp;"")</f>
        <v/>
      </c>
      <c r="K267" s="92" t="str">
        <f>IF($Y267="","",N(E267)*N(F267))</f>
        <v/>
      </c>
      <c r="L267" s="100" t="str">
        <f>IF($Y267="","",IF($Y267&lt;=1997,"Term investments, row "&amp;($Y267+3),"Call accounts and MMFs, row "&amp;($Y267-1997+3)))</f>
        <v/>
      </c>
      <c r="Y267" t="str">
        <f>IFERROR(MATCH(SMALL('List maths'!$E$4:$E$3997,259),'List maths'!$E$4:$E$3997,0),"")</f>
        <v/>
      </c>
    </row>
    <row r="268">
      <c r="B268" s="91" t="str">
        <f>IF($Y268="","",IF($Y268&lt;=1997,INDEX('Term investments'!$B$1:$B$2000,$Y268+3),INDEX('Call accounts and MMFs'!$B$1:$B$2000,$Y268-1997+3))&amp;"")</f>
        <v/>
      </c>
      <c r="C268" s="91" t="str">
        <f>IF($Y268="","",IF($Y268&lt;=1997,INDEX('Term investments'!$A$1:$A$2000,$Y268+3),INDEX('Call accounts and MMFs'!$A$1:$A$2000,$Y268-1997+3))&amp;"")</f>
        <v/>
      </c>
      <c r="D268" s="91" t="str">
        <f>IF($Y268="","",IF($Y268&lt;=1997,INDEX('Term investments'!$C$1:$C$2000,$Y268+3),INDEX('Call accounts and MMFs'!$C$1:$C$2000,$Y268-1997+3))&amp;"")</f>
        <v/>
      </c>
      <c r="E268" s="92" t="str">
        <f>IF($Y268="","",IF($Y268&lt;=1997,IF(N(INDEX('Deal maths'!$H$1:$H$2000,$Y268+3))&gt;0,N(INDEX('Deal maths'!$H$1:$H$2000,$Y268+3)),N(INDEX('Deal maths'!$D$1:$D$2000,$Y268+3))),N(INDEX('Deal maths'!$M$1:$M$2000,$Y268-1997+3))))</f>
        <v/>
      </c>
      <c r="F268" s="93" t="str">
        <f>IF($Y268="","",IF($Y268&lt;=1997,INDEX('Deal maths'!$G$1:$G$2000,$Y268+3),INDEX('Deal maths'!$N$1:$N$2000,$Y268-1997+3)))</f>
        <v/>
      </c>
      <c r="G268" s="94" t="str">
        <f>IF($Y268="","",IF($Y268&lt;=1997,INDEX('Deal maths'!$E$1:$E$2000,$Y268+3),""))</f>
        <v/>
      </c>
      <c r="H268" s="94" t="str">
        <f>IF($Y268="","",IF($Y268&lt;=1997,INDEX('Deal maths'!$F$1:$F$2000,$Y268+3),""))</f>
        <v/>
      </c>
      <c r="I268" s="98" t="str">
        <f>IF($Y268="","",IF($Y268&lt;=1997,N(INDEX('Deal maths'!$F$1:$F$2000,$Y268+3))-AsAt,N(INDEX('Deal maths'!$O$1:$O$2000,$Y268-1997+3))))</f>
        <v/>
      </c>
      <c r="J268" s="99" t="str">
        <f>IF($Y268="","",IF($Y268&lt;=1997,INDEX('Term investments'!$J$1:$J$2000,$Y268+3),INDEX('Call accounts and MMFs'!$G$1:$G$2000,$Y268-1997+3))&amp;"")</f>
        <v/>
      </c>
      <c r="K268" s="92" t="str">
        <f>IF($Y268="","",N(E268)*N(F268))</f>
        <v/>
      </c>
      <c r="L268" s="100" t="str">
        <f>IF($Y268="","",IF($Y268&lt;=1997,"Term investments, row "&amp;($Y268+3),"Call accounts and MMFs, row "&amp;($Y268-1997+3)))</f>
        <v/>
      </c>
      <c r="Y268" t="str">
        <f>IFERROR(MATCH(SMALL('List maths'!$E$4:$E$3997,260),'List maths'!$E$4:$E$3997,0),"")</f>
        <v/>
      </c>
    </row>
    <row r="269">
      <c r="B269" s="91" t="str">
        <f>IF($Y269="","",IF($Y269&lt;=1997,INDEX('Term investments'!$B$1:$B$2000,$Y269+3),INDEX('Call accounts and MMFs'!$B$1:$B$2000,$Y269-1997+3))&amp;"")</f>
        <v/>
      </c>
      <c r="C269" s="91" t="str">
        <f>IF($Y269="","",IF($Y269&lt;=1997,INDEX('Term investments'!$A$1:$A$2000,$Y269+3),INDEX('Call accounts and MMFs'!$A$1:$A$2000,$Y269-1997+3))&amp;"")</f>
        <v/>
      </c>
      <c r="D269" s="91" t="str">
        <f>IF($Y269="","",IF($Y269&lt;=1997,INDEX('Term investments'!$C$1:$C$2000,$Y269+3),INDEX('Call accounts and MMFs'!$C$1:$C$2000,$Y269-1997+3))&amp;"")</f>
        <v/>
      </c>
      <c r="E269" s="92" t="str">
        <f>IF($Y269="","",IF($Y269&lt;=1997,IF(N(INDEX('Deal maths'!$H$1:$H$2000,$Y269+3))&gt;0,N(INDEX('Deal maths'!$H$1:$H$2000,$Y269+3)),N(INDEX('Deal maths'!$D$1:$D$2000,$Y269+3))),N(INDEX('Deal maths'!$M$1:$M$2000,$Y269-1997+3))))</f>
        <v/>
      </c>
      <c r="F269" s="93" t="str">
        <f>IF($Y269="","",IF($Y269&lt;=1997,INDEX('Deal maths'!$G$1:$G$2000,$Y269+3),INDEX('Deal maths'!$N$1:$N$2000,$Y269-1997+3)))</f>
        <v/>
      </c>
      <c r="G269" s="94" t="str">
        <f>IF($Y269="","",IF($Y269&lt;=1997,INDEX('Deal maths'!$E$1:$E$2000,$Y269+3),""))</f>
        <v/>
      </c>
      <c r="H269" s="94" t="str">
        <f>IF($Y269="","",IF($Y269&lt;=1997,INDEX('Deal maths'!$F$1:$F$2000,$Y269+3),""))</f>
        <v/>
      </c>
      <c r="I269" s="98" t="str">
        <f>IF($Y269="","",IF($Y269&lt;=1997,N(INDEX('Deal maths'!$F$1:$F$2000,$Y269+3))-AsAt,N(INDEX('Deal maths'!$O$1:$O$2000,$Y269-1997+3))))</f>
        <v/>
      </c>
      <c r="J269" s="99" t="str">
        <f>IF($Y269="","",IF($Y269&lt;=1997,INDEX('Term investments'!$J$1:$J$2000,$Y269+3),INDEX('Call accounts and MMFs'!$G$1:$G$2000,$Y269-1997+3))&amp;"")</f>
        <v/>
      </c>
      <c r="K269" s="92" t="str">
        <f>IF($Y269="","",N(E269)*N(F269))</f>
        <v/>
      </c>
      <c r="L269" s="100" t="str">
        <f>IF($Y269="","",IF($Y269&lt;=1997,"Term investments, row "&amp;($Y269+3),"Call accounts and MMFs, row "&amp;($Y269-1997+3)))</f>
        <v/>
      </c>
      <c r="Y269" t="str">
        <f>IFERROR(MATCH(SMALL('List maths'!$E$4:$E$3997,261),'List maths'!$E$4:$E$3997,0),"")</f>
        <v/>
      </c>
    </row>
    <row r="270">
      <c r="B270" s="91" t="str">
        <f>IF($Y270="","",IF($Y270&lt;=1997,INDEX('Term investments'!$B$1:$B$2000,$Y270+3),INDEX('Call accounts and MMFs'!$B$1:$B$2000,$Y270-1997+3))&amp;"")</f>
        <v/>
      </c>
      <c r="C270" s="91" t="str">
        <f>IF($Y270="","",IF($Y270&lt;=1997,INDEX('Term investments'!$A$1:$A$2000,$Y270+3),INDEX('Call accounts and MMFs'!$A$1:$A$2000,$Y270-1997+3))&amp;"")</f>
        <v/>
      </c>
      <c r="D270" s="91" t="str">
        <f>IF($Y270="","",IF($Y270&lt;=1997,INDEX('Term investments'!$C$1:$C$2000,$Y270+3),INDEX('Call accounts and MMFs'!$C$1:$C$2000,$Y270-1997+3))&amp;"")</f>
        <v/>
      </c>
      <c r="E270" s="92" t="str">
        <f>IF($Y270="","",IF($Y270&lt;=1997,IF(N(INDEX('Deal maths'!$H$1:$H$2000,$Y270+3))&gt;0,N(INDEX('Deal maths'!$H$1:$H$2000,$Y270+3)),N(INDEX('Deal maths'!$D$1:$D$2000,$Y270+3))),N(INDEX('Deal maths'!$M$1:$M$2000,$Y270-1997+3))))</f>
        <v/>
      </c>
      <c r="F270" s="93" t="str">
        <f>IF($Y270="","",IF($Y270&lt;=1997,INDEX('Deal maths'!$G$1:$G$2000,$Y270+3),INDEX('Deal maths'!$N$1:$N$2000,$Y270-1997+3)))</f>
        <v/>
      </c>
      <c r="G270" s="94" t="str">
        <f>IF($Y270="","",IF($Y270&lt;=1997,INDEX('Deal maths'!$E$1:$E$2000,$Y270+3),""))</f>
        <v/>
      </c>
      <c r="H270" s="94" t="str">
        <f>IF($Y270="","",IF($Y270&lt;=1997,INDEX('Deal maths'!$F$1:$F$2000,$Y270+3),""))</f>
        <v/>
      </c>
      <c r="I270" s="98" t="str">
        <f>IF($Y270="","",IF($Y270&lt;=1997,N(INDEX('Deal maths'!$F$1:$F$2000,$Y270+3))-AsAt,N(INDEX('Deal maths'!$O$1:$O$2000,$Y270-1997+3))))</f>
        <v/>
      </c>
      <c r="J270" s="99" t="str">
        <f>IF($Y270="","",IF($Y270&lt;=1997,INDEX('Term investments'!$J$1:$J$2000,$Y270+3),INDEX('Call accounts and MMFs'!$G$1:$G$2000,$Y270-1997+3))&amp;"")</f>
        <v/>
      </c>
      <c r="K270" s="92" t="str">
        <f>IF($Y270="","",N(E270)*N(F270))</f>
        <v/>
      </c>
      <c r="L270" s="100" t="str">
        <f>IF($Y270="","",IF($Y270&lt;=1997,"Term investments, row "&amp;($Y270+3),"Call accounts and MMFs, row "&amp;($Y270-1997+3)))</f>
        <v/>
      </c>
      <c r="Y270" t="str">
        <f>IFERROR(MATCH(SMALL('List maths'!$E$4:$E$3997,262),'List maths'!$E$4:$E$3997,0),"")</f>
        <v/>
      </c>
    </row>
    <row r="271">
      <c r="B271" s="91" t="str">
        <f>IF($Y271="","",IF($Y271&lt;=1997,INDEX('Term investments'!$B$1:$B$2000,$Y271+3),INDEX('Call accounts and MMFs'!$B$1:$B$2000,$Y271-1997+3))&amp;"")</f>
        <v/>
      </c>
      <c r="C271" s="91" t="str">
        <f>IF($Y271="","",IF($Y271&lt;=1997,INDEX('Term investments'!$A$1:$A$2000,$Y271+3),INDEX('Call accounts and MMFs'!$A$1:$A$2000,$Y271-1997+3))&amp;"")</f>
        <v/>
      </c>
      <c r="D271" s="91" t="str">
        <f>IF($Y271="","",IF($Y271&lt;=1997,INDEX('Term investments'!$C$1:$C$2000,$Y271+3),INDEX('Call accounts and MMFs'!$C$1:$C$2000,$Y271-1997+3))&amp;"")</f>
        <v/>
      </c>
      <c r="E271" s="92" t="str">
        <f>IF($Y271="","",IF($Y271&lt;=1997,IF(N(INDEX('Deal maths'!$H$1:$H$2000,$Y271+3))&gt;0,N(INDEX('Deal maths'!$H$1:$H$2000,$Y271+3)),N(INDEX('Deal maths'!$D$1:$D$2000,$Y271+3))),N(INDEX('Deal maths'!$M$1:$M$2000,$Y271-1997+3))))</f>
        <v/>
      </c>
      <c r="F271" s="93" t="str">
        <f>IF($Y271="","",IF($Y271&lt;=1997,INDEX('Deal maths'!$G$1:$G$2000,$Y271+3),INDEX('Deal maths'!$N$1:$N$2000,$Y271-1997+3)))</f>
        <v/>
      </c>
      <c r="G271" s="94" t="str">
        <f>IF($Y271="","",IF($Y271&lt;=1997,INDEX('Deal maths'!$E$1:$E$2000,$Y271+3),""))</f>
        <v/>
      </c>
      <c r="H271" s="94" t="str">
        <f>IF($Y271="","",IF($Y271&lt;=1997,INDEX('Deal maths'!$F$1:$F$2000,$Y271+3),""))</f>
        <v/>
      </c>
      <c r="I271" s="98" t="str">
        <f>IF($Y271="","",IF($Y271&lt;=1997,N(INDEX('Deal maths'!$F$1:$F$2000,$Y271+3))-AsAt,N(INDEX('Deal maths'!$O$1:$O$2000,$Y271-1997+3))))</f>
        <v/>
      </c>
      <c r="J271" s="99" t="str">
        <f>IF($Y271="","",IF($Y271&lt;=1997,INDEX('Term investments'!$J$1:$J$2000,$Y271+3),INDEX('Call accounts and MMFs'!$G$1:$G$2000,$Y271-1997+3))&amp;"")</f>
        <v/>
      </c>
      <c r="K271" s="92" t="str">
        <f>IF($Y271="","",N(E271)*N(F271))</f>
        <v/>
      </c>
      <c r="L271" s="100" t="str">
        <f>IF($Y271="","",IF($Y271&lt;=1997,"Term investments, row "&amp;($Y271+3),"Call accounts and MMFs, row "&amp;($Y271-1997+3)))</f>
        <v/>
      </c>
      <c r="Y271" t="str">
        <f>IFERROR(MATCH(SMALL('List maths'!$E$4:$E$3997,263),'List maths'!$E$4:$E$3997,0),"")</f>
        <v/>
      </c>
    </row>
    <row r="272">
      <c r="B272" s="91" t="str">
        <f>IF($Y272="","",IF($Y272&lt;=1997,INDEX('Term investments'!$B$1:$B$2000,$Y272+3),INDEX('Call accounts and MMFs'!$B$1:$B$2000,$Y272-1997+3))&amp;"")</f>
        <v/>
      </c>
      <c r="C272" s="91" t="str">
        <f>IF($Y272="","",IF($Y272&lt;=1997,INDEX('Term investments'!$A$1:$A$2000,$Y272+3),INDEX('Call accounts and MMFs'!$A$1:$A$2000,$Y272-1997+3))&amp;"")</f>
        <v/>
      </c>
      <c r="D272" s="91" t="str">
        <f>IF($Y272="","",IF($Y272&lt;=1997,INDEX('Term investments'!$C$1:$C$2000,$Y272+3),INDEX('Call accounts and MMFs'!$C$1:$C$2000,$Y272-1997+3))&amp;"")</f>
        <v/>
      </c>
      <c r="E272" s="92" t="str">
        <f>IF($Y272="","",IF($Y272&lt;=1997,IF(N(INDEX('Deal maths'!$H$1:$H$2000,$Y272+3))&gt;0,N(INDEX('Deal maths'!$H$1:$H$2000,$Y272+3)),N(INDEX('Deal maths'!$D$1:$D$2000,$Y272+3))),N(INDEX('Deal maths'!$M$1:$M$2000,$Y272-1997+3))))</f>
        <v/>
      </c>
      <c r="F272" s="93" t="str">
        <f>IF($Y272="","",IF($Y272&lt;=1997,INDEX('Deal maths'!$G$1:$G$2000,$Y272+3),INDEX('Deal maths'!$N$1:$N$2000,$Y272-1997+3)))</f>
        <v/>
      </c>
      <c r="G272" s="94" t="str">
        <f>IF($Y272="","",IF($Y272&lt;=1997,INDEX('Deal maths'!$E$1:$E$2000,$Y272+3),""))</f>
        <v/>
      </c>
      <c r="H272" s="94" t="str">
        <f>IF($Y272="","",IF($Y272&lt;=1997,INDEX('Deal maths'!$F$1:$F$2000,$Y272+3),""))</f>
        <v/>
      </c>
      <c r="I272" s="98" t="str">
        <f>IF($Y272="","",IF($Y272&lt;=1997,N(INDEX('Deal maths'!$F$1:$F$2000,$Y272+3))-AsAt,N(INDEX('Deal maths'!$O$1:$O$2000,$Y272-1997+3))))</f>
        <v/>
      </c>
      <c r="J272" s="99" t="str">
        <f>IF($Y272="","",IF($Y272&lt;=1997,INDEX('Term investments'!$J$1:$J$2000,$Y272+3),INDEX('Call accounts and MMFs'!$G$1:$G$2000,$Y272-1997+3))&amp;"")</f>
        <v/>
      </c>
      <c r="K272" s="92" t="str">
        <f>IF($Y272="","",N(E272)*N(F272))</f>
        <v/>
      </c>
      <c r="L272" s="100" t="str">
        <f>IF($Y272="","",IF($Y272&lt;=1997,"Term investments, row "&amp;($Y272+3),"Call accounts and MMFs, row "&amp;($Y272-1997+3)))</f>
        <v/>
      </c>
      <c r="Y272" t="str">
        <f>IFERROR(MATCH(SMALL('List maths'!$E$4:$E$3997,264),'List maths'!$E$4:$E$3997,0),"")</f>
        <v/>
      </c>
    </row>
    <row r="273">
      <c r="B273" s="91" t="str">
        <f>IF($Y273="","",IF($Y273&lt;=1997,INDEX('Term investments'!$B$1:$B$2000,$Y273+3),INDEX('Call accounts and MMFs'!$B$1:$B$2000,$Y273-1997+3))&amp;"")</f>
        <v/>
      </c>
      <c r="C273" s="91" t="str">
        <f>IF($Y273="","",IF($Y273&lt;=1997,INDEX('Term investments'!$A$1:$A$2000,$Y273+3),INDEX('Call accounts and MMFs'!$A$1:$A$2000,$Y273-1997+3))&amp;"")</f>
        <v/>
      </c>
      <c r="D273" s="91" t="str">
        <f>IF($Y273="","",IF($Y273&lt;=1997,INDEX('Term investments'!$C$1:$C$2000,$Y273+3),INDEX('Call accounts and MMFs'!$C$1:$C$2000,$Y273-1997+3))&amp;"")</f>
        <v/>
      </c>
      <c r="E273" s="92" t="str">
        <f>IF($Y273="","",IF($Y273&lt;=1997,IF(N(INDEX('Deal maths'!$H$1:$H$2000,$Y273+3))&gt;0,N(INDEX('Deal maths'!$H$1:$H$2000,$Y273+3)),N(INDEX('Deal maths'!$D$1:$D$2000,$Y273+3))),N(INDEX('Deal maths'!$M$1:$M$2000,$Y273-1997+3))))</f>
        <v/>
      </c>
      <c r="F273" s="93" t="str">
        <f>IF($Y273="","",IF($Y273&lt;=1997,INDEX('Deal maths'!$G$1:$G$2000,$Y273+3),INDEX('Deal maths'!$N$1:$N$2000,$Y273-1997+3)))</f>
        <v/>
      </c>
      <c r="G273" s="94" t="str">
        <f>IF($Y273="","",IF($Y273&lt;=1997,INDEX('Deal maths'!$E$1:$E$2000,$Y273+3),""))</f>
        <v/>
      </c>
      <c r="H273" s="94" t="str">
        <f>IF($Y273="","",IF($Y273&lt;=1997,INDEX('Deal maths'!$F$1:$F$2000,$Y273+3),""))</f>
        <v/>
      </c>
      <c r="I273" s="98" t="str">
        <f>IF($Y273="","",IF($Y273&lt;=1997,N(INDEX('Deal maths'!$F$1:$F$2000,$Y273+3))-AsAt,N(INDEX('Deal maths'!$O$1:$O$2000,$Y273-1997+3))))</f>
        <v/>
      </c>
      <c r="J273" s="99" t="str">
        <f>IF($Y273="","",IF($Y273&lt;=1997,INDEX('Term investments'!$J$1:$J$2000,$Y273+3),INDEX('Call accounts and MMFs'!$G$1:$G$2000,$Y273-1997+3))&amp;"")</f>
        <v/>
      </c>
      <c r="K273" s="92" t="str">
        <f>IF($Y273="","",N(E273)*N(F273))</f>
        <v/>
      </c>
      <c r="L273" s="100" t="str">
        <f>IF($Y273="","",IF($Y273&lt;=1997,"Term investments, row "&amp;($Y273+3),"Call accounts and MMFs, row "&amp;($Y273-1997+3)))</f>
        <v/>
      </c>
      <c r="Y273" t="str">
        <f>IFERROR(MATCH(SMALL('List maths'!$E$4:$E$3997,265),'List maths'!$E$4:$E$3997,0),"")</f>
        <v/>
      </c>
    </row>
    <row r="274">
      <c r="B274" s="91" t="str">
        <f>IF($Y274="","",IF($Y274&lt;=1997,INDEX('Term investments'!$B$1:$B$2000,$Y274+3),INDEX('Call accounts and MMFs'!$B$1:$B$2000,$Y274-1997+3))&amp;"")</f>
        <v/>
      </c>
      <c r="C274" s="91" t="str">
        <f>IF($Y274="","",IF($Y274&lt;=1997,INDEX('Term investments'!$A$1:$A$2000,$Y274+3),INDEX('Call accounts and MMFs'!$A$1:$A$2000,$Y274-1997+3))&amp;"")</f>
        <v/>
      </c>
      <c r="D274" s="91" t="str">
        <f>IF($Y274="","",IF($Y274&lt;=1997,INDEX('Term investments'!$C$1:$C$2000,$Y274+3),INDEX('Call accounts and MMFs'!$C$1:$C$2000,$Y274-1997+3))&amp;"")</f>
        <v/>
      </c>
      <c r="E274" s="92" t="str">
        <f>IF($Y274="","",IF($Y274&lt;=1997,IF(N(INDEX('Deal maths'!$H$1:$H$2000,$Y274+3))&gt;0,N(INDEX('Deal maths'!$H$1:$H$2000,$Y274+3)),N(INDEX('Deal maths'!$D$1:$D$2000,$Y274+3))),N(INDEX('Deal maths'!$M$1:$M$2000,$Y274-1997+3))))</f>
        <v/>
      </c>
      <c r="F274" s="93" t="str">
        <f>IF($Y274="","",IF($Y274&lt;=1997,INDEX('Deal maths'!$G$1:$G$2000,$Y274+3),INDEX('Deal maths'!$N$1:$N$2000,$Y274-1997+3)))</f>
        <v/>
      </c>
      <c r="G274" s="94" t="str">
        <f>IF($Y274="","",IF($Y274&lt;=1997,INDEX('Deal maths'!$E$1:$E$2000,$Y274+3),""))</f>
        <v/>
      </c>
      <c r="H274" s="94" t="str">
        <f>IF($Y274="","",IF($Y274&lt;=1997,INDEX('Deal maths'!$F$1:$F$2000,$Y274+3),""))</f>
        <v/>
      </c>
      <c r="I274" s="98" t="str">
        <f>IF($Y274="","",IF($Y274&lt;=1997,N(INDEX('Deal maths'!$F$1:$F$2000,$Y274+3))-AsAt,N(INDEX('Deal maths'!$O$1:$O$2000,$Y274-1997+3))))</f>
        <v/>
      </c>
      <c r="J274" s="99" t="str">
        <f>IF($Y274="","",IF($Y274&lt;=1997,INDEX('Term investments'!$J$1:$J$2000,$Y274+3),INDEX('Call accounts and MMFs'!$G$1:$G$2000,$Y274-1997+3))&amp;"")</f>
        <v/>
      </c>
      <c r="K274" s="92" t="str">
        <f>IF($Y274="","",N(E274)*N(F274))</f>
        <v/>
      </c>
      <c r="L274" s="100" t="str">
        <f>IF($Y274="","",IF($Y274&lt;=1997,"Term investments, row "&amp;($Y274+3),"Call accounts and MMFs, row "&amp;($Y274-1997+3)))</f>
        <v/>
      </c>
      <c r="Y274" t="str">
        <f>IFERROR(MATCH(SMALL('List maths'!$E$4:$E$3997,266),'List maths'!$E$4:$E$3997,0),"")</f>
        <v/>
      </c>
    </row>
    <row r="275">
      <c r="B275" s="91" t="str">
        <f>IF($Y275="","",IF($Y275&lt;=1997,INDEX('Term investments'!$B$1:$B$2000,$Y275+3),INDEX('Call accounts and MMFs'!$B$1:$B$2000,$Y275-1997+3))&amp;"")</f>
        <v/>
      </c>
      <c r="C275" s="91" t="str">
        <f>IF($Y275="","",IF($Y275&lt;=1997,INDEX('Term investments'!$A$1:$A$2000,$Y275+3),INDEX('Call accounts and MMFs'!$A$1:$A$2000,$Y275-1997+3))&amp;"")</f>
        <v/>
      </c>
      <c r="D275" s="91" t="str">
        <f>IF($Y275="","",IF($Y275&lt;=1997,INDEX('Term investments'!$C$1:$C$2000,$Y275+3),INDEX('Call accounts and MMFs'!$C$1:$C$2000,$Y275-1997+3))&amp;"")</f>
        <v/>
      </c>
      <c r="E275" s="92" t="str">
        <f>IF($Y275="","",IF($Y275&lt;=1997,IF(N(INDEX('Deal maths'!$H$1:$H$2000,$Y275+3))&gt;0,N(INDEX('Deal maths'!$H$1:$H$2000,$Y275+3)),N(INDEX('Deal maths'!$D$1:$D$2000,$Y275+3))),N(INDEX('Deal maths'!$M$1:$M$2000,$Y275-1997+3))))</f>
        <v/>
      </c>
      <c r="F275" s="93" t="str">
        <f>IF($Y275="","",IF($Y275&lt;=1997,INDEX('Deal maths'!$G$1:$G$2000,$Y275+3),INDEX('Deal maths'!$N$1:$N$2000,$Y275-1997+3)))</f>
        <v/>
      </c>
      <c r="G275" s="94" t="str">
        <f>IF($Y275="","",IF($Y275&lt;=1997,INDEX('Deal maths'!$E$1:$E$2000,$Y275+3),""))</f>
        <v/>
      </c>
      <c r="H275" s="94" t="str">
        <f>IF($Y275="","",IF($Y275&lt;=1997,INDEX('Deal maths'!$F$1:$F$2000,$Y275+3),""))</f>
        <v/>
      </c>
      <c r="I275" s="98" t="str">
        <f>IF($Y275="","",IF($Y275&lt;=1997,N(INDEX('Deal maths'!$F$1:$F$2000,$Y275+3))-AsAt,N(INDEX('Deal maths'!$O$1:$O$2000,$Y275-1997+3))))</f>
        <v/>
      </c>
      <c r="J275" s="99" t="str">
        <f>IF($Y275="","",IF($Y275&lt;=1997,INDEX('Term investments'!$J$1:$J$2000,$Y275+3),INDEX('Call accounts and MMFs'!$G$1:$G$2000,$Y275-1997+3))&amp;"")</f>
        <v/>
      </c>
      <c r="K275" s="92" t="str">
        <f>IF($Y275="","",N(E275)*N(F275))</f>
        <v/>
      </c>
      <c r="L275" s="100" t="str">
        <f>IF($Y275="","",IF($Y275&lt;=1997,"Term investments, row "&amp;($Y275+3),"Call accounts and MMFs, row "&amp;($Y275-1997+3)))</f>
        <v/>
      </c>
      <c r="Y275" t="str">
        <f>IFERROR(MATCH(SMALL('List maths'!$E$4:$E$3997,267),'List maths'!$E$4:$E$3997,0),"")</f>
        <v/>
      </c>
    </row>
    <row r="276">
      <c r="B276" s="91" t="str">
        <f>IF($Y276="","",IF($Y276&lt;=1997,INDEX('Term investments'!$B$1:$B$2000,$Y276+3),INDEX('Call accounts and MMFs'!$B$1:$B$2000,$Y276-1997+3))&amp;"")</f>
        <v/>
      </c>
      <c r="C276" s="91" t="str">
        <f>IF($Y276="","",IF($Y276&lt;=1997,INDEX('Term investments'!$A$1:$A$2000,$Y276+3),INDEX('Call accounts and MMFs'!$A$1:$A$2000,$Y276-1997+3))&amp;"")</f>
        <v/>
      </c>
      <c r="D276" s="91" t="str">
        <f>IF($Y276="","",IF($Y276&lt;=1997,INDEX('Term investments'!$C$1:$C$2000,$Y276+3),INDEX('Call accounts and MMFs'!$C$1:$C$2000,$Y276-1997+3))&amp;"")</f>
        <v/>
      </c>
      <c r="E276" s="92" t="str">
        <f>IF($Y276="","",IF($Y276&lt;=1997,IF(N(INDEX('Deal maths'!$H$1:$H$2000,$Y276+3))&gt;0,N(INDEX('Deal maths'!$H$1:$H$2000,$Y276+3)),N(INDEX('Deal maths'!$D$1:$D$2000,$Y276+3))),N(INDEX('Deal maths'!$M$1:$M$2000,$Y276-1997+3))))</f>
        <v/>
      </c>
      <c r="F276" s="93" t="str">
        <f>IF($Y276="","",IF($Y276&lt;=1997,INDEX('Deal maths'!$G$1:$G$2000,$Y276+3),INDEX('Deal maths'!$N$1:$N$2000,$Y276-1997+3)))</f>
        <v/>
      </c>
      <c r="G276" s="94" t="str">
        <f>IF($Y276="","",IF($Y276&lt;=1997,INDEX('Deal maths'!$E$1:$E$2000,$Y276+3),""))</f>
        <v/>
      </c>
      <c r="H276" s="94" t="str">
        <f>IF($Y276="","",IF($Y276&lt;=1997,INDEX('Deal maths'!$F$1:$F$2000,$Y276+3),""))</f>
        <v/>
      </c>
      <c r="I276" s="98" t="str">
        <f>IF($Y276="","",IF($Y276&lt;=1997,N(INDEX('Deal maths'!$F$1:$F$2000,$Y276+3))-AsAt,N(INDEX('Deal maths'!$O$1:$O$2000,$Y276-1997+3))))</f>
        <v/>
      </c>
      <c r="J276" s="99" t="str">
        <f>IF($Y276="","",IF($Y276&lt;=1997,INDEX('Term investments'!$J$1:$J$2000,$Y276+3),INDEX('Call accounts and MMFs'!$G$1:$G$2000,$Y276-1997+3))&amp;"")</f>
        <v/>
      </c>
      <c r="K276" s="92" t="str">
        <f>IF($Y276="","",N(E276)*N(F276))</f>
        <v/>
      </c>
      <c r="L276" s="100" t="str">
        <f>IF($Y276="","",IF($Y276&lt;=1997,"Term investments, row "&amp;($Y276+3),"Call accounts and MMFs, row "&amp;($Y276-1997+3)))</f>
        <v/>
      </c>
      <c r="Y276" t="str">
        <f>IFERROR(MATCH(SMALL('List maths'!$E$4:$E$3997,268),'List maths'!$E$4:$E$3997,0),"")</f>
        <v/>
      </c>
    </row>
    <row r="277">
      <c r="B277" s="91" t="str">
        <f>IF($Y277="","",IF($Y277&lt;=1997,INDEX('Term investments'!$B$1:$B$2000,$Y277+3),INDEX('Call accounts and MMFs'!$B$1:$B$2000,$Y277-1997+3))&amp;"")</f>
        <v/>
      </c>
      <c r="C277" s="91" t="str">
        <f>IF($Y277="","",IF($Y277&lt;=1997,INDEX('Term investments'!$A$1:$A$2000,$Y277+3),INDEX('Call accounts and MMFs'!$A$1:$A$2000,$Y277-1997+3))&amp;"")</f>
        <v/>
      </c>
      <c r="D277" s="91" t="str">
        <f>IF($Y277="","",IF($Y277&lt;=1997,INDEX('Term investments'!$C$1:$C$2000,$Y277+3),INDEX('Call accounts and MMFs'!$C$1:$C$2000,$Y277-1997+3))&amp;"")</f>
        <v/>
      </c>
      <c r="E277" s="92" t="str">
        <f>IF($Y277="","",IF($Y277&lt;=1997,IF(N(INDEX('Deal maths'!$H$1:$H$2000,$Y277+3))&gt;0,N(INDEX('Deal maths'!$H$1:$H$2000,$Y277+3)),N(INDEX('Deal maths'!$D$1:$D$2000,$Y277+3))),N(INDEX('Deal maths'!$M$1:$M$2000,$Y277-1997+3))))</f>
        <v/>
      </c>
      <c r="F277" s="93" t="str">
        <f>IF($Y277="","",IF($Y277&lt;=1997,INDEX('Deal maths'!$G$1:$G$2000,$Y277+3),INDEX('Deal maths'!$N$1:$N$2000,$Y277-1997+3)))</f>
        <v/>
      </c>
      <c r="G277" s="94" t="str">
        <f>IF($Y277="","",IF($Y277&lt;=1997,INDEX('Deal maths'!$E$1:$E$2000,$Y277+3),""))</f>
        <v/>
      </c>
      <c r="H277" s="94" t="str">
        <f>IF($Y277="","",IF($Y277&lt;=1997,INDEX('Deal maths'!$F$1:$F$2000,$Y277+3),""))</f>
        <v/>
      </c>
      <c r="I277" s="98" t="str">
        <f>IF($Y277="","",IF($Y277&lt;=1997,N(INDEX('Deal maths'!$F$1:$F$2000,$Y277+3))-AsAt,N(INDEX('Deal maths'!$O$1:$O$2000,$Y277-1997+3))))</f>
        <v/>
      </c>
      <c r="J277" s="99" t="str">
        <f>IF($Y277="","",IF($Y277&lt;=1997,INDEX('Term investments'!$J$1:$J$2000,$Y277+3),INDEX('Call accounts and MMFs'!$G$1:$G$2000,$Y277-1997+3))&amp;"")</f>
        <v/>
      </c>
      <c r="K277" s="92" t="str">
        <f>IF($Y277="","",N(E277)*N(F277))</f>
        <v/>
      </c>
      <c r="L277" s="100" t="str">
        <f>IF($Y277="","",IF($Y277&lt;=1997,"Term investments, row "&amp;($Y277+3),"Call accounts and MMFs, row "&amp;($Y277-1997+3)))</f>
        <v/>
      </c>
      <c r="Y277" t="str">
        <f>IFERROR(MATCH(SMALL('List maths'!$E$4:$E$3997,269),'List maths'!$E$4:$E$3997,0),"")</f>
        <v/>
      </c>
    </row>
    <row r="278">
      <c r="B278" s="91" t="str">
        <f>IF($Y278="","",IF($Y278&lt;=1997,INDEX('Term investments'!$B$1:$B$2000,$Y278+3),INDEX('Call accounts and MMFs'!$B$1:$B$2000,$Y278-1997+3))&amp;"")</f>
        <v/>
      </c>
      <c r="C278" s="91" t="str">
        <f>IF($Y278="","",IF($Y278&lt;=1997,INDEX('Term investments'!$A$1:$A$2000,$Y278+3),INDEX('Call accounts and MMFs'!$A$1:$A$2000,$Y278-1997+3))&amp;"")</f>
        <v/>
      </c>
      <c r="D278" s="91" t="str">
        <f>IF($Y278="","",IF($Y278&lt;=1997,INDEX('Term investments'!$C$1:$C$2000,$Y278+3),INDEX('Call accounts and MMFs'!$C$1:$C$2000,$Y278-1997+3))&amp;"")</f>
        <v/>
      </c>
      <c r="E278" s="92" t="str">
        <f>IF($Y278="","",IF($Y278&lt;=1997,IF(N(INDEX('Deal maths'!$H$1:$H$2000,$Y278+3))&gt;0,N(INDEX('Deal maths'!$H$1:$H$2000,$Y278+3)),N(INDEX('Deal maths'!$D$1:$D$2000,$Y278+3))),N(INDEX('Deal maths'!$M$1:$M$2000,$Y278-1997+3))))</f>
        <v/>
      </c>
      <c r="F278" s="93" t="str">
        <f>IF($Y278="","",IF($Y278&lt;=1997,INDEX('Deal maths'!$G$1:$G$2000,$Y278+3),INDEX('Deal maths'!$N$1:$N$2000,$Y278-1997+3)))</f>
        <v/>
      </c>
      <c r="G278" s="94" t="str">
        <f>IF($Y278="","",IF($Y278&lt;=1997,INDEX('Deal maths'!$E$1:$E$2000,$Y278+3),""))</f>
        <v/>
      </c>
      <c r="H278" s="94" t="str">
        <f>IF($Y278="","",IF($Y278&lt;=1997,INDEX('Deal maths'!$F$1:$F$2000,$Y278+3),""))</f>
        <v/>
      </c>
      <c r="I278" s="98" t="str">
        <f>IF($Y278="","",IF($Y278&lt;=1997,N(INDEX('Deal maths'!$F$1:$F$2000,$Y278+3))-AsAt,N(INDEX('Deal maths'!$O$1:$O$2000,$Y278-1997+3))))</f>
        <v/>
      </c>
      <c r="J278" s="99" t="str">
        <f>IF($Y278="","",IF($Y278&lt;=1997,INDEX('Term investments'!$J$1:$J$2000,$Y278+3),INDEX('Call accounts and MMFs'!$G$1:$G$2000,$Y278-1997+3))&amp;"")</f>
        <v/>
      </c>
      <c r="K278" s="92" t="str">
        <f>IF($Y278="","",N(E278)*N(F278))</f>
        <v/>
      </c>
      <c r="L278" s="100" t="str">
        <f>IF($Y278="","",IF($Y278&lt;=1997,"Term investments, row "&amp;($Y278+3),"Call accounts and MMFs, row "&amp;($Y278-1997+3)))</f>
        <v/>
      </c>
      <c r="Y278" t="str">
        <f>IFERROR(MATCH(SMALL('List maths'!$E$4:$E$3997,270),'List maths'!$E$4:$E$3997,0),"")</f>
        <v/>
      </c>
    </row>
    <row r="279">
      <c r="B279" s="91" t="str">
        <f>IF($Y279="","",IF($Y279&lt;=1997,INDEX('Term investments'!$B$1:$B$2000,$Y279+3),INDEX('Call accounts and MMFs'!$B$1:$B$2000,$Y279-1997+3))&amp;"")</f>
        <v/>
      </c>
      <c r="C279" s="91" t="str">
        <f>IF($Y279="","",IF($Y279&lt;=1997,INDEX('Term investments'!$A$1:$A$2000,$Y279+3),INDEX('Call accounts and MMFs'!$A$1:$A$2000,$Y279-1997+3))&amp;"")</f>
        <v/>
      </c>
      <c r="D279" s="91" t="str">
        <f>IF($Y279="","",IF($Y279&lt;=1997,INDEX('Term investments'!$C$1:$C$2000,$Y279+3),INDEX('Call accounts and MMFs'!$C$1:$C$2000,$Y279-1997+3))&amp;"")</f>
        <v/>
      </c>
      <c r="E279" s="92" t="str">
        <f>IF($Y279="","",IF($Y279&lt;=1997,IF(N(INDEX('Deal maths'!$H$1:$H$2000,$Y279+3))&gt;0,N(INDEX('Deal maths'!$H$1:$H$2000,$Y279+3)),N(INDEX('Deal maths'!$D$1:$D$2000,$Y279+3))),N(INDEX('Deal maths'!$M$1:$M$2000,$Y279-1997+3))))</f>
        <v/>
      </c>
      <c r="F279" s="93" t="str">
        <f>IF($Y279="","",IF($Y279&lt;=1997,INDEX('Deal maths'!$G$1:$G$2000,$Y279+3),INDEX('Deal maths'!$N$1:$N$2000,$Y279-1997+3)))</f>
        <v/>
      </c>
      <c r="G279" s="94" t="str">
        <f>IF($Y279="","",IF($Y279&lt;=1997,INDEX('Deal maths'!$E$1:$E$2000,$Y279+3),""))</f>
        <v/>
      </c>
      <c r="H279" s="94" t="str">
        <f>IF($Y279="","",IF($Y279&lt;=1997,INDEX('Deal maths'!$F$1:$F$2000,$Y279+3),""))</f>
        <v/>
      </c>
      <c r="I279" s="98" t="str">
        <f>IF($Y279="","",IF($Y279&lt;=1997,N(INDEX('Deal maths'!$F$1:$F$2000,$Y279+3))-AsAt,N(INDEX('Deal maths'!$O$1:$O$2000,$Y279-1997+3))))</f>
        <v/>
      </c>
      <c r="J279" s="99" t="str">
        <f>IF($Y279="","",IF($Y279&lt;=1997,INDEX('Term investments'!$J$1:$J$2000,$Y279+3),INDEX('Call accounts and MMFs'!$G$1:$G$2000,$Y279-1997+3))&amp;"")</f>
        <v/>
      </c>
      <c r="K279" s="92" t="str">
        <f>IF($Y279="","",N(E279)*N(F279))</f>
        <v/>
      </c>
      <c r="L279" s="100" t="str">
        <f>IF($Y279="","",IF($Y279&lt;=1997,"Term investments, row "&amp;($Y279+3),"Call accounts and MMFs, row "&amp;($Y279-1997+3)))</f>
        <v/>
      </c>
      <c r="Y279" t="str">
        <f>IFERROR(MATCH(SMALL('List maths'!$E$4:$E$3997,271),'List maths'!$E$4:$E$3997,0),"")</f>
        <v/>
      </c>
    </row>
    <row r="280">
      <c r="B280" s="91" t="str">
        <f>IF($Y280="","",IF($Y280&lt;=1997,INDEX('Term investments'!$B$1:$B$2000,$Y280+3),INDEX('Call accounts and MMFs'!$B$1:$B$2000,$Y280-1997+3))&amp;"")</f>
        <v/>
      </c>
      <c r="C280" s="91" t="str">
        <f>IF($Y280="","",IF($Y280&lt;=1997,INDEX('Term investments'!$A$1:$A$2000,$Y280+3),INDEX('Call accounts and MMFs'!$A$1:$A$2000,$Y280-1997+3))&amp;"")</f>
        <v/>
      </c>
      <c r="D280" s="91" t="str">
        <f>IF($Y280="","",IF($Y280&lt;=1997,INDEX('Term investments'!$C$1:$C$2000,$Y280+3),INDEX('Call accounts and MMFs'!$C$1:$C$2000,$Y280-1997+3))&amp;"")</f>
        <v/>
      </c>
      <c r="E280" s="92" t="str">
        <f>IF($Y280="","",IF($Y280&lt;=1997,IF(N(INDEX('Deal maths'!$H$1:$H$2000,$Y280+3))&gt;0,N(INDEX('Deal maths'!$H$1:$H$2000,$Y280+3)),N(INDEX('Deal maths'!$D$1:$D$2000,$Y280+3))),N(INDEX('Deal maths'!$M$1:$M$2000,$Y280-1997+3))))</f>
        <v/>
      </c>
      <c r="F280" s="93" t="str">
        <f>IF($Y280="","",IF($Y280&lt;=1997,INDEX('Deal maths'!$G$1:$G$2000,$Y280+3),INDEX('Deal maths'!$N$1:$N$2000,$Y280-1997+3)))</f>
        <v/>
      </c>
      <c r="G280" s="94" t="str">
        <f>IF($Y280="","",IF($Y280&lt;=1997,INDEX('Deal maths'!$E$1:$E$2000,$Y280+3),""))</f>
        <v/>
      </c>
      <c r="H280" s="94" t="str">
        <f>IF($Y280="","",IF($Y280&lt;=1997,INDEX('Deal maths'!$F$1:$F$2000,$Y280+3),""))</f>
        <v/>
      </c>
      <c r="I280" s="98" t="str">
        <f>IF($Y280="","",IF($Y280&lt;=1997,N(INDEX('Deal maths'!$F$1:$F$2000,$Y280+3))-AsAt,N(INDEX('Deal maths'!$O$1:$O$2000,$Y280-1997+3))))</f>
        <v/>
      </c>
      <c r="J280" s="99" t="str">
        <f>IF($Y280="","",IF($Y280&lt;=1997,INDEX('Term investments'!$J$1:$J$2000,$Y280+3),INDEX('Call accounts and MMFs'!$G$1:$G$2000,$Y280-1997+3))&amp;"")</f>
        <v/>
      </c>
      <c r="K280" s="92" t="str">
        <f>IF($Y280="","",N(E280)*N(F280))</f>
        <v/>
      </c>
      <c r="L280" s="100" t="str">
        <f>IF($Y280="","",IF($Y280&lt;=1997,"Term investments, row "&amp;($Y280+3),"Call accounts and MMFs, row "&amp;($Y280-1997+3)))</f>
        <v/>
      </c>
      <c r="Y280" t="str">
        <f>IFERROR(MATCH(SMALL('List maths'!$E$4:$E$3997,272),'List maths'!$E$4:$E$3997,0),"")</f>
        <v/>
      </c>
    </row>
    <row r="281">
      <c r="B281" s="91" t="str">
        <f>IF($Y281="","",IF($Y281&lt;=1997,INDEX('Term investments'!$B$1:$B$2000,$Y281+3),INDEX('Call accounts and MMFs'!$B$1:$B$2000,$Y281-1997+3))&amp;"")</f>
        <v/>
      </c>
      <c r="C281" s="91" t="str">
        <f>IF($Y281="","",IF($Y281&lt;=1997,INDEX('Term investments'!$A$1:$A$2000,$Y281+3),INDEX('Call accounts and MMFs'!$A$1:$A$2000,$Y281-1997+3))&amp;"")</f>
        <v/>
      </c>
      <c r="D281" s="91" t="str">
        <f>IF($Y281="","",IF($Y281&lt;=1997,INDEX('Term investments'!$C$1:$C$2000,$Y281+3),INDEX('Call accounts and MMFs'!$C$1:$C$2000,$Y281-1997+3))&amp;"")</f>
        <v/>
      </c>
      <c r="E281" s="92" t="str">
        <f>IF($Y281="","",IF($Y281&lt;=1997,IF(N(INDEX('Deal maths'!$H$1:$H$2000,$Y281+3))&gt;0,N(INDEX('Deal maths'!$H$1:$H$2000,$Y281+3)),N(INDEX('Deal maths'!$D$1:$D$2000,$Y281+3))),N(INDEX('Deal maths'!$M$1:$M$2000,$Y281-1997+3))))</f>
        <v/>
      </c>
      <c r="F281" s="93" t="str">
        <f>IF($Y281="","",IF($Y281&lt;=1997,INDEX('Deal maths'!$G$1:$G$2000,$Y281+3),INDEX('Deal maths'!$N$1:$N$2000,$Y281-1997+3)))</f>
        <v/>
      </c>
      <c r="G281" s="94" t="str">
        <f>IF($Y281="","",IF($Y281&lt;=1997,INDEX('Deal maths'!$E$1:$E$2000,$Y281+3),""))</f>
        <v/>
      </c>
      <c r="H281" s="94" t="str">
        <f>IF($Y281="","",IF($Y281&lt;=1997,INDEX('Deal maths'!$F$1:$F$2000,$Y281+3),""))</f>
        <v/>
      </c>
      <c r="I281" s="98" t="str">
        <f>IF($Y281="","",IF($Y281&lt;=1997,N(INDEX('Deal maths'!$F$1:$F$2000,$Y281+3))-AsAt,N(INDEX('Deal maths'!$O$1:$O$2000,$Y281-1997+3))))</f>
        <v/>
      </c>
      <c r="J281" s="99" t="str">
        <f>IF($Y281="","",IF($Y281&lt;=1997,INDEX('Term investments'!$J$1:$J$2000,$Y281+3),INDEX('Call accounts and MMFs'!$G$1:$G$2000,$Y281-1997+3))&amp;"")</f>
        <v/>
      </c>
      <c r="K281" s="92" t="str">
        <f>IF($Y281="","",N(E281)*N(F281))</f>
        <v/>
      </c>
      <c r="L281" s="100" t="str">
        <f>IF($Y281="","",IF($Y281&lt;=1997,"Term investments, row "&amp;($Y281+3),"Call accounts and MMFs, row "&amp;($Y281-1997+3)))</f>
        <v/>
      </c>
      <c r="Y281" t="str">
        <f>IFERROR(MATCH(SMALL('List maths'!$E$4:$E$3997,273),'List maths'!$E$4:$E$3997,0),"")</f>
        <v/>
      </c>
    </row>
    <row r="282">
      <c r="B282" s="91" t="str">
        <f>IF($Y282="","",IF($Y282&lt;=1997,INDEX('Term investments'!$B$1:$B$2000,$Y282+3),INDEX('Call accounts and MMFs'!$B$1:$B$2000,$Y282-1997+3))&amp;"")</f>
        <v/>
      </c>
      <c r="C282" s="91" t="str">
        <f>IF($Y282="","",IF($Y282&lt;=1997,INDEX('Term investments'!$A$1:$A$2000,$Y282+3),INDEX('Call accounts and MMFs'!$A$1:$A$2000,$Y282-1997+3))&amp;"")</f>
        <v/>
      </c>
      <c r="D282" s="91" t="str">
        <f>IF($Y282="","",IF($Y282&lt;=1997,INDEX('Term investments'!$C$1:$C$2000,$Y282+3),INDEX('Call accounts and MMFs'!$C$1:$C$2000,$Y282-1997+3))&amp;"")</f>
        <v/>
      </c>
      <c r="E282" s="92" t="str">
        <f>IF($Y282="","",IF($Y282&lt;=1997,IF(N(INDEX('Deal maths'!$H$1:$H$2000,$Y282+3))&gt;0,N(INDEX('Deal maths'!$H$1:$H$2000,$Y282+3)),N(INDEX('Deal maths'!$D$1:$D$2000,$Y282+3))),N(INDEX('Deal maths'!$M$1:$M$2000,$Y282-1997+3))))</f>
        <v/>
      </c>
      <c r="F282" s="93" t="str">
        <f>IF($Y282="","",IF($Y282&lt;=1997,INDEX('Deal maths'!$G$1:$G$2000,$Y282+3),INDEX('Deal maths'!$N$1:$N$2000,$Y282-1997+3)))</f>
        <v/>
      </c>
      <c r="G282" s="94" t="str">
        <f>IF($Y282="","",IF($Y282&lt;=1997,INDEX('Deal maths'!$E$1:$E$2000,$Y282+3),""))</f>
        <v/>
      </c>
      <c r="H282" s="94" t="str">
        <f>IF($Y282="","",IF($Y282&lt;=1997,INDEX('Deal maths'!$F$1:$F$2000,$Y282+3),""))</f>
        <v/>
      </c>
      <c r="I282" s="98" t="str">
        <f>IF($Y282="","",IF($Y282&lt;=1997,N(INDEX('Deal maths'!$F$1:$F$2000,$Y282+3))-AsAt,N(INDEX('Deal maths'!$O$1:$O$2000,$Y282-1997+3))))</f>
        <v/>
      </c>
      <c r="J282" s="99" t="str">
        <f>IF($Y282="","",IF($Y282&lt;=1997,INDEX('Term investments'!$J$1:$J$2000,$Y282+3),INDEX('Call accounts and MMFs'!$G$1:$G$2000,$Y282-1997+3))&amp;"")</f>
        <v/>
      </c>
      <c r="K282" s="92" t="str">
        <f>IF($Y282="","",N(E282)*N(F282))</f>
        <v/>
      </c>
      <c r="L282" s="100" t="str">
        <f>IF($Y282="","",IF($Y282&lt;=1997,"Term investments, row "&amp;($Y282+3),"Call accounts and MMFs, row "&amp;($Y282-1997+3)))</f>
        <v/>
      </c>
      <c r="Y282" t="str">
        <f>IFERROR(MATCH(SMALL('List maths'!$E$4:$E$3997,274),'List maths'!$E$4:$E$3997,0),"")</f>
        <v/>
      </c>
    </row>
    <row r="283">
      <c r="B283" s="91" t="str">
        <f>IF($Y283="","",IF($Y283&lt;=1997,INDEX('Term investments'!$B$1:$B$2000,$Y283+3),INDEX('Call accounts and MMFs'!$B$1:$B$2000,$Y283-1997+3))&amp;"")</f>
        <v/>
      </c>
      <c r="C283" s="91" t="str">
        <f>IF($Y283="","",IF($Y283&lt;=1997,INDEX('Term investments'!$A$1:$A$2000,$Y283+3),INDEX('Call accounts and MMFs'!$A$1:$A$2000,$Y283-1997+3))&amp;"")</f>
        <v/>
      </c>
      <c r="D283" s="91" t="str">
        <f>IF($Y283="","",IF($Y283&lt;=1997,INDEX('Term investments'!$C$1:$C$2000,$Y283+3),INDEX('Call accounts and MMFs'!$C$1:$C$2000,$Y283-1997+3))&amp;"")</f>
        <v/>
      </c>
      <c r="E283" s="92" t="str">
        <f>IF($Y283="","",IF($Y283&lt;=1997,IF(N(INDEX('Deal maths'!$H$1:$H$2000,$Y283+3))&gt;0,N(INDEX('Deal maths'!$H$1:$H$2000,$Y283+3)),N(INDEX('Deal maths'!$D$1:$D$2000,$Y283+3))),N(INDEX('Deal maths'!$M$1:$M$2000,$Y283-1997+3))))</f>
        <v/>
      </c>
      <c r="F283" s="93" t="str">
        <f>IF($Y283="","",IF($Y283&lt;=1997,INDEX('Deal maths'!$G$1:$G$2000,$Y283+3),INDEX('Deal maths'!$N$1:$N$2000,$Y283-1997+3)))</f>
        <v/>
      </c>
      <c r="G283" s="94" t="str">
        <f>IF($Y283="","",IF($Y283&lt;=1997,INDEX('Deal maths'!$E$1:$E$2000,$Y283+3),""))</f>
        <v/>
      </c>
      <c r="H283" s="94" t="str">
        <f>IF($Y283="","",IF($Y283&lt;=1997,INDEX('Deal maths'!$F$1:$F$2000,$Y283+3),""))</f>
        <v/>
      </c>
      <c r="I283" s="98" t="str">
        <f>IF($Y283="","",IF($Y283&lt;=1997,N(INDEX('Deal maths'!$F$1:$F$2000,$Y283+3))-AsAt,N(INDEX('Deal maths'!$O$1:$O$2000,$Y283-1997+3))))</f>
        <v/>
      </c>
      <c r="J283" s="99" t="str">
        <f>IF($Y283="","",IF($Y283&lt;=1997,INDEX('Term investments'!$J$1:$J$2000,$Y283+3),INDEX('Call accounts and MMFs'!$G$1:$G$2000,$Y283-1997+3))&amp;"")</f>
        <v/>
      </c>
      <c r="K283" s="92" t="str">
        <f>IF($Y283="","",N(E283)*N(F283))</f>
        <v/>
      </c>
      <c r="L283" s="100" t="str">
        <f>IF($Y283="","",IF($Y283&lt;=1997,"Term investments, row "&amp;($Y283+3),"Call accounts and MMFs, row "&amp;($Y283-1997+3)))</f>
        <v/>
      </c>
      <c r="Y283" t="str">
        <f>IFERROR(MATCH(SMALL('List maths'!$E$4:$E$3997,275),'List maths'!$E$4:$E$3997,0),"")</f>
        <v/>
      </c>
    </row>
    <row r="284">
      <c r="B284" s="91" t="str">
        <f>IF($Y284="","",IF($Y284&lt;=1997,INDEX('Term investments'!$B$1:$B$2000,$Y284+3),INDEX('Call accounts and MMFs'!$B$1:$B$2000,$Y284-1997+3))&amp;"")</f>
        <v/>
      </c>
      <c r="C284" s="91" t="str">
        <f>IF($Y284="","",IF($Y284&lt;=1997,INDEX('Term investments'!$A$1:$A$2000,$Y284+3),INDEX('Call accounts and MMFs'!$A$1:$A$2000,$Y284-1997+3))&amp;"")</f>
        <v/>
      </c>
      <c r="D284" s="91" t="str">
        <f>IF($Y284="","",IF($Y284&lt;=1997,INDEX('Term investments'!$C$1:$C$2000,$Y284+3),INDEX('Call accounts and MMFs'!$C$1:$C$2000,$Y284-1997+3))&amp;"")</f>
        <v/>
      </c>
      <c r="E284" s="92" t="str">
        <f>IF($Y284="","",IF($Y284&lt;=1997,IF(N(INDEX('Deal maths'!$H$1:$H$2000,$Y284+3))&gt;0,N(INDEX('Deal maths'!$H$1:$H$2000,$Y284+3)),N(INDEX('Deal maths'!$D$1:$D$2000,$Y284+3))),N(INDEX('Deal maths'!$M$1:$M$2000,$Y284-1997+3))))</f>
        <v/>
      </c>
      <c r="F284" s="93" t="str">
        <f>IF($Y284="","",IF($Y284&lt;=1997,INDEX('Deal maths'!$G$1:$G$2000,$Y284+3),INDEX('Deal maths'!$N$1:$N$2000,$Y284-1997+3)))</f>
        <v/>
      </c>
      <c r="G284" s="94" t="str">
        <f>IF($Y284="","",IF($Y284&lt;=1997,INDEX('Deal maths'!$E$1:$E$2000,$Y284+3),""))</f>
        <v/>
      </c>
      <c r="H284" s="94" t="str">
        <f>IF($Y284="","",IF($Y284&lt;=1997,INDEX('Deal maths'!$F$1:$F$2000,$Y284+3),""))</f>
        <v/>
      </c>
      <c r="I284" s="98" t="str">
        <f>IF($Y284="","",IF($Y284&lt;=1997,N(INDEX('Deal maths'!$F$1:$F$2000,$Y284+3))-AsAt,N(INDEX('Deal maths'!$O$1:$O$2000,$Y284-1997+3))))</f>
        <v/>
      </c>
      <c r="J284" s="99" t="str">
        <f>IF($Y284="","",IF($Y284&lt;=1997,INDEX('Term investments'!$J$1:$J$2000,$Y284+3),INDEX('Call accounts and MMFs'!$G$1:$G$2000,$Y284-1997+3))&amp;"")</f>
        <v/>
      </c>
      <c r="K284" s="92" t="str">
        <f>IF($Y284="","",N(E284)*N(F284))</f>
        <v/>
      </c>
      <c r="L284" s="100" t="str">
        <f>IF($Y284="","",IF($Y284&lt;=1997,"Term investments, row "&amp;($Y284+3),"Call accounts and MMFs, row "&amp;($Y284-1997+3)))</f>
        <v/>
      </c>
      <c r="Y284" t="str">
        <f>IFERROR(MATCH(SMALL('List maths'!$E$4:$E$3997,276),'List maths'!$E$4:$E$3997,0),"")</f>
        <v/>
      </c>
    </row>
    <row r="285">
      <c r="B285" s="91" t="str">
        <f>IF($Y285="","",IF($Y285&lt;=1997,INDEX('Term investments'!$B$1:$B$2000,$Y285+3),INDEX('Call accounts and MMFs'!$B$1:$B$2000,$Y285-1997+3))&amp;"")</f>
        <v/>
      </c>
      <c r="C285" s="91" t="str">
        <f>IF($Y285="","",IF($Y285&lt;=1997,INDEX('Term investments'!$A$1:$A$2000,$Y285+3),INDEX('Call accounts and MMFs'!$A$1:$A$2000,$Y285-1997+3))&amp;"")</f>
        <v/>
      </c>
      <c r="D285" s="91" t="str">
        <f>IF($Y285="","",IF($Y285&lt;=1997,INDEX('Term investments'!$C$1:$C$2000,$Y285+3),INDEX('Call accounts and MMFs'!$C$1:$C$2000,$Y285-1997+3))&amp;"")</f>
        <v/>
      </c>
      <c r="E285" s="92" t="str">
        <f>IF($Y285="","",IF($Y285&lt;=1997,IF(N(INDEX('Deal maths'!$H$1:$H$2000,$Y285+3))&gt;0,N(INDEX('Deal maths'!$H$1:$H$2000,$Y285+3)),N(INDEX('Deal maths'!$D$1:$D$2000,$Y285+3))),N(INDEX('Deal maths'!$M$1:$M$2000,$Y285-1997+3))))</f>
        <v/>
      </c>
      <c r="F285" s="93" t="str">
        <f>IF($Y285="","",IF($Y285&lt;=1997,INDEX('Deal maths'!$G$1:$G$2000,$Y285+3),INDEX('Deal maths'!$N$1:$N$2000,$Y285-1997+3)))</f>
        <v/>
      </c>
      <c r="G285" s="94" t="str">
        <f>IF($Y285="","",IF($Y285&lt;=1997,INDEX('Deal maths'!$E$1:$E$2000,$Y285+3),""))</f>
        <v/>
      </c>
      <c r="H285" s="94" t="str">
        <f>IF($Y285="","",IF($Y285&lt;=1997,INDEX('Deal maths'!$F$1:$F$2000,$Y285+3),""))</f>
        <v/>
      </c>
      <c r="I285" s="98" t="str">
        <f>IF($Y285="","",IF($Y285&lt;=1997,N(INDEX('Deal maths'!$F$1:$F$2000,$Y285+3))-AsAt,N(INDEX('Deal maths'!$O$1:$O$2000,$Y285-1997+3))))</f>
        <v/>
      </c>
      <c r="J285" s="99" t="str">
        <f>IF($Y285="","",IF($Y285&lt;=1997,INDEX('Term investments'!$J$1:$J$2000,$Y285+3),INDEX('Call accounts and MMFs'!$G$1:$G$2000,$Y285-1997+3))&amp;"")</f>
        <v/>
      </c>
      <c r="K285" s="92" t="str">
        <f>IF($Y285="","",N(E285)*N(F285))</f>
        <v/>
      </c>
      <c r="L285" s="100" t="str">
        <f>IF($Y285="","",IF($Y285&lt;=1997,"Term investments, row "&amp;($Y285+3),"Call accounts and MMFs, row "&amp;($Y285-1997+3)))</f>
        <v/>
      </c>
      <c r="Y285" t="str">
        <f>IFERROR(MATCH(SMALL('List maths'!$E$4:$E$3997,277),'List maths'!$E$4:$E$3997,0),"")</f>
        <v/>
      </c>
    </row>
    <row r="286">
      <c r="B286" s="91" t="str">
        <f>IF($Y286="","",IF($Y286&lt;=1997,INDEX('Term investments'!$B$1:$B$2000,$Y286+3),INDEX('Call accounts and MMFs'!$B$1:$B$2000,$Y286-1997+3))&amp;"")</f>
        <v/>
      </c>
      <c r="C286" s="91" t="str">
        <f>IF($Y286="","",IF($Y286&lt;=1997,INDEX('Term investments'!$A$1:$A$2000,$Y286+3),INDEX('Call accounts and MMFs'!$A$1:$A$2000,$Y286-1997+3))&amp;"")</f>
        <v/>
      </c>
      <c r="D286" s="91" t="str">
        <f>IF($Y286="","",IF($Y286&lt;=1997,INDEX('Term investments'!$C$1:$C$2000,$Y286+3),INDEX('Call accounts and MMFs'!$C$1:$C$2000,$Y286-1997+3))&amp;"")</f>
        <v/>
      </c>
      <c r="E286" s="92" t="str">
        <f>IF($Y286="","",IF($Y286&lt;=1997,IF(N(INDEX('Deal maths'!$H$1:$H$2000,$Y286+3))&gt;0,N(INDEX('Deal maths'!$H$1:$H$2000,$Y286+3)),N(INDEX('Deal maths'!$D$1:$D$2000,$Y286+3))),N(INDEX('Deal maths'!$M$1:$M$2000,$Y286-1997+3))))</f>
        <v/>
      </c>
      <c r="F286" s="93" t="str">
        <f>IF($Y286="","",IF($Y286&lt;=1997,INDEX('Deal maths'!$G$1:$G$2000,$Y286+3),INDEX('Deal maths'!$N$1:$N$2000,$Y286-1997+3)))</f>
        <v/>
      </c>
      <c r="G286" s="94" t="str">
        <f>IF($Y286="","",IF($Y286&lt;=1997,INDEX('Deal maths'!$E$1:$E$2000,$Y286+3),""))</f>
        <v/>
      </c>
      <c r="H286" s="94" t="str">
        <f>IF($Y286="","",IF($Y286&lt;=1997,INDEX('Deal maths'!$F$1:$F$2000,$Y286+3),""))</f>
        <v/>
      </c>
      <c r="I286" s="98" t="str">
        <f>IF($Y286="","",IF($Y286&lt;=1997,N(INDEX('Deal maths'!$F$1:$F$2000,$Y286+3))-AsAt,N(INDEX('Deal maths'!$O$1:$O$2000,$Y286-1997+3))))</f>
        <v/>
      </c>
      <c r="J286" s="99" t="str">
        <f>IF($Y286="","",IF($Y286&lt;=1997,INDEX('Term investments'!$J$1:$J$2000,$Y286+3),INDEX('Call accounts and MMFs'!$G$1:$G$2000,$Y286-1997+3))&amp;"")</f>
        <v/>
      </c>
      <c r="K286" s="92" t="str">
        <f>IF($Y286="","",N(E286)*N(F286))</f>
        <v/>
      </c>
      <c r="L286" s="100" t="str">
        <f>IF($Y286="","",IF($Y286&lt;=1997,"Term investments, row "&amp;($Y286+3),"Call accounts and MMFs, row "&amp;($Y286-1997+3)))</f>
        <v/>
      </c>
      <c r="Y286" t="str">
        <f>IFERROR(MATCH(SMALL('List maths'!$E$4:$E$3997,278),'List maths'!$E$4:$E$3997,0),"")</f>
        <v/>
      </c>
    </row>
    <row r="287">
      <c r="B287" s="91" t="str">
        <f>IF($Y287="","",IF($Y287&lt;=1997,INDEX('Term investments'!$B$1:$B$2000,$Y287+3),INDEX('Call accounts and MMFs'!$B$1:$B$2000,$Y287-1997+3))&amp;"")</f>
        <v/>
      </c>
      <c r="C287" s="91" t="str">
        <f>IF($Y287="","",IF($Y287&lt;=1997,INDEX('Term investments'!$A$1:$A$2000,$Y287+3),INDEX('Call accounts and MMFs'!$A$1:$A$2000,$Y287-1997+3))&amp;"")</f>
        <v/>
      </c>
      <c r="D287" s="91" t="str">
        <f>IF($Y287="","",IF($Y287&lt;=1997,INDEX('Term investments'!$C$1:$C$2000,$Y287+3),INDEX('Call accounts and MMFs'!$C$1:$C$2000,$Y287-1997+3))&amp;"")</f>
        <v/>
      </c>
      <c r="E287" s="92" t="str">
        <f>IF($Y287="","",IF($Y287&lt;=1997,IF(N(INDEX('Deal maths'!$H$1:$H$2000,$Y287+3))&gt;0,N(INDEX('Deal maths'!$H$1:$H$2000,$Y287+3)),N(INDEX('Deal maths'!$D$1:$D$2000,$Y287+3))),N(INDEX('Deal maths'!$M$1:$M$2000,$Y287-1997+3))))</f>
        <v/>
      </c>
      <c r="F287" s="93" t="str">
        <f>IF($Y287="","",IF($Y287&lt;=1997,INDEX('Deal maths'!$G$1:$G$2000,$Y287+3),INDEX('Deal maths'!$N$1:$N$2000,$Y287-1997+3)))</f>
        <v/>
      </c>
      <c r="G287" s="94" t="str">
        <f>IF($Y287="","",IF($Y287&lt;=1997,INDEX('Deal maths'!$E$1:$E$2000,$Y287+3),""))</f>
        <v/>
      </c>
      <c r="H287" s="94" t="str">
        <f>IF($Y287="","",IF($Y287&lt;=1997,INDEX('Deal maths'!$F$1:$F$2000,$Y287+3),""))</f>
        <v/>
      </c>
      <c r="I287" s="98" t="str">
        <f>IF($Y287="","",IF($Y287&lt;=1997,N(INDEX('Deal maths'!$F$1:$F$2000,$Y287+3))-AsAt,N(INDEX('Deal maths'!$O$1:$O$2000,$Y287-1997+3))))</f>
        <v/>
      </c>
      <c r="J287" s="99" t="str">
        <f>IF($Y287="","",IF($Y287&lt;=1997,INDEX('Term investments'!$J$1:$J$2000,$Y287+3),INDEX('Call accounts and MMFs'!$G$1:$G$2000,$Y287-1997+3))&amp;"")</f>
        <v/>
      </c>
      <c r="K287" s="92" t="str">
        <f>IF($Y287="","",N(E287)*N(F287))</f>
        <v/>
      </c>
      <c r="L287" s="100" t="str">
        <f>IF($Y287="","",IF($Y287&lt;=1997,"Term investments, row "&amp;($Y287+3),"Call accounts and MMFs, row "&amp;($Y287-1997+3)))</f>
        <v/>
      </c>
      <c r="Y287" t="str">
        <f>IFERROR(MATCH(SMALL('List maths'!$E$4:$E$3997,279),'List maths'!$E$4:$E$3997,0),"")</f>
        <v/>
      </c>
    </row>
    <row r="288">
      <c r="B288" s="91" t="str">
        <f>IF($Y288="","",IF($Y288&lt;=1997,INDEX('Term investments'!$B$1:$B$2000,$Y288+3),INDEX('Call accounts and MMFs'!$B$1:$B$2000,$Y288-1997+3))&amp;"")</f>
        <v/>
      </c>
      <c r="C288" s="91" t="str">
        <f>IF($Y288="","",IF($Y288&lt;=1997,INDEX('Term investments'!$A$1:$A$2000,$Y288+3),INDEX('Call accounts and MMFs'!$A$1:$A$2000,$Y288-1997+3))&amp;"")</f>
        <v/>
      </c>
      <c r="D288" s="91" t="str">
        <f>IF($Y288="","",IF($Y288&lt;=1997,INDEX('Term investments'!$C$1:$C$2000,$Y288+3),INDEX('Call accounts and MMFs'!$C$1:$C$2000,$Y288-1997+3))&amp;"")</f>
        <v/>
      </c>
      <c r="E288" s="92" t="str">
        <f>IF($Y288="","",IF($Y288&lt;=1997,IF(N(INDEX('Deal maths'!$H$1:$H$2000,$Y288+3))&gt;0,N(INDEX('Deal maths'!$H$1:$H$2000,$Y288+3)),N(INDEX('Deal maths'!$D$1:$D$2000,$Y288+3))),N(INDEX('Deal maths'!$M$1:$M$2000,$Y288-1997+3))))</f>
        <v/>
      </c>
      <c r="F288" s="93" t="str">
        <f>IF($Y288="","",IF($Y288&lt;=1997,INDEX('Deal maths'!$G$1:$G$2000,$Y288+3),INDEX('Deal maths'!$N$1:$N$2000,$Y288-1997+3)))</f>
        <v/>
      </c>
      <c r="G288" s="94" t="str">
        <f>IF($Y288="","",IF($Y288&lt;=1997,INDEX('Deal maths'!$E$1:$E$2000,$Y288+3),""))</f>
        <v/>
      </c>
      <c r="H288" s="94" t="str">
        <f>IF($Y288="","",IF($Y288&lt;=1997,INDEX('Deal maths'!$F$1:$F$2000,$Y288+3),""))</f>
        <v/>
      </c>
      <c r="I288" s="98" t="str">
        <f>IF($Y288="","",IF($Y288&lt;=1997,N(INDEX('Deal maths'!$F$1:$F$2000,$Y288+3))-AsAt,N(INDEX('Deal maths'!$O$1:$O$2000,$Y288-1997+3))))</f>
        <v/>
      </c>
      <c r="J288" s="99" t="str">
        <f>IF($Y288="","",IF($Y288&lt;=1997,INDEX('Term investments'!$J$1:$J$2000,$Y288+3),INDEX('Call accounts and MMFs'!$G$1:$G$2000,$Y288-1997+3))&amp;"")</f>
        <v/>
      </c>
      <c r="K288" s="92" t="str">
        <f>IF($Y288="","",N(E288)*N(F288))</f>
        <v/>
      </c>
      <c r="L288" s="100" t="str">
        <f>IF($Y288="","",IF($Y288&lt;=1997,"Term investments, row "&amp;($Y288+3),"Call accounts and MMFs, row "&amp;($Y288-1997+3)))</f>
        <v/>
      </c>
      <c r="Y288" t="str">
        <f>IFERROR(MATCH(SMALL('List maths'!$E$4:$E$3997,280),'List maths'!$E$4:$E$3997,0),"")</f>
        <v/>
      </c>
    </row>
    <row r="289">
      <c r="B289" s="91" t="str">
        <f>IF($Y289="","",IF($Y289&lt;=1997,INDEX('Term investments'!$B$1:$B$2000,$Y289+3),INDEX('Call accounts and MMFs'!$B$1:$B$2000,$Y289-1997+3))&amp;"")</f>
        <v/>
      </c>
      <c r="C289" s="91" t="str">
        <f>IF($Y289="","",IF($Y289&lt;=1997,INDEX('Term investments'!$A$1:$A$2000,$Y289+3),INDEX('Call accounts and MMFs'!$A$1:$A$2000,$Y289-1997+3))&amp;"")</f>
        <v/>
      </c>
      <c r="D289" s="91" t="str">
        <f>IF($Y289="","",IF($Y289&lt;=1997,INDEX('Term investments'!$C$1:$C$2000,$Y289+3),INDEX('Call accounts and MMFs'!$C$1:$C$2000,$Y289-1997+3))&amp;"")</f>
        <v/>
      </c>
      <c r="E289" s="92" t="str">
        <f>IF($Y289="","",IF($Y289&lt;=1997,IF(N(INDEX('Deal maths'!$H$1:$H$2000,$Y289+3))&gt;0,N(INDEX('Deal maths'!$H$1:$H$2000,$Y289+3)),N(INDEX('Deal maths'!$D$1:$D$2000,$Y289+3))),N(INDEX('Deal maths'!$M$1:$M$2000,$Y289-1997+3))))</f>
        <v/>
      </c>
      <c r="F289" s="93" t="str">
        <f>IF($Y289="","",IF($Y289&lt;=1997,INDEX('Deal maths'!$G$1:$G$2000,$Y289+3),INDEX('Deal maths'!$N$1:$N$2000,$Y289-1997+3)))</f>
        <v/>
      </c>
      <c r="G289" s="94" t="str">
        <f>IF($Y289="","",IF($Y289&lt;=1997,INDEX('Deal maths'!$E$1:$E$2000,$Y289+3),""))</f>
        <v/>
      </c>
      <c r="H289" s="94" t="str">
        <f>IF($Y289="","",IF($Y289&lt;=1997,INDEX('Deal maths'!$F$1:$F$2000,$Y289+3),""))</f>
        <v/>
      </c>
      <c r="I289" s="98" t="str">
        <f>IF($Y289="","",IF($Y289&lt;=1997,N(INDEX('Deal maths'!$F$1:$F$2000,$Y289+3))-AsAt,N(INDEX('Deal maths'!$O$1:$O$2000,$Y289-1997+3))))</f>
        <v/>
      </c>
      <c r="J289" s="99" t="str">
        <f>IF($Y289="","",IF($Y289&lt;=1997,INDEX('Term investments'!$J$1:$J$2000,$Y289+3),INDEX('Call accounts and MMFs'!$G$1:$G$2000,$Y289-1997+3))&amp;"")</f>
        <v/>
      </c>
      <c r="K289" s="92" t="str">
        <f>IF($Y289="","",N(E289)*N(F289))</f>
        <v/>
      </c>
      <c r="L289" s="100" t="str">
        <f>IF($Y289="","",IF($Y289&lt;=1997,"Term investments, row "&amp;($Y289+3),"Call accounts and MMFs, row "&amp;($Y289-1997+3)))</f>
        <v/>
      </c>
      <c r="Y289" t="str">
        <f>IFERROR(MATCH(SMALL('List maths'!$E$4:$E$3997,281),'List maths'!$E$4:$E$3997,0),"")</f>
        <v/>
      </c>
    </row>
    <row r="290">
      <c r="B290" s="91" t="str">
        <f>IF($Y290="","",IF($Y290&lt;=1997,INDEX('Term investments'!$B$1:$B$2000,$Y290+3),INDEX('Call accounts and MMFs'!$B$1:$B$2000,$Y290-1997+3))&amp;"")</f>
        <v/>
      </c>
      <c r="C290" s="91" t="str">
        <f>IF($Y290="","",IF($Y290&lt;=1997,INDEX('Term investments'!$A$1:$A$2000,$Y290+3),INDEX('Call accounts and MMFs'!$A$1:$A$2000,$Y290-1997+3))&amp;"")</f>
        <v/>
      </c>
      <c r="D290" s="91" t="str">
        <f>IF($Y290="","",IF($Y290&lt;=1997,INDEX('Term investments'!$C$1:$C$2000,$Y290+3),INDEX('Call accounts and MMFs'!$C$1:$C$2000,$Y290-1997+3))&amp;"")</f>
        <v/>
      </c>
      <c r="E290" s="92" t="str">
        <f>IF($Y290="","",IF($Y290&lt;=1997,IF(N(INDEX('Deal maths'!$H$1:$H$2000,$Y290+3))&gt;0,N(INDEX('Deal maths'!$H$1:$H$2000,$Y290+3)),N(INDEX('Deal maths'!$D$1:$D$2000,$Y290+3))),N(INDEX('Deal maths'!$M$1:$M$2000,$Y290-1997+3))))</f>
        <v/>
      </c>
      <c r="F290" s="93" t="str">
        <f>IF($Y290="","",IF($Y290&lt;=1997,INDEX('Deal maths'!$G$1:$G$2000,$Y290+3),INDEX('Deal maths'!$N$1:$N$2000,$Y290-1997+3)))</f>
        <v/>
      </c>
      <c r="G290" s="94" t="str">
        <f>IF($Y290="","",IF($Y290&lt;=1997,INDEX('Deal maths'!$E$1:$E$2000,$Y290+3),""))</f>
        <v/>
      </c>
      <c r="H290" s="94" t="str">
        <f>IF($Y290="","",IF($Y290&lt;=1997,INDEX('Deal maths'!$F$1:$F$2000,$Y290+3),""))</f>
        <v/>
      </c>
      <c r="I290" s="98" t="str">
        <f>IF($Y290="","",IF($Y290&lt;=1997,N(INDEX('Deal maths'!$F$1:$F$2000,$Y290+3))-AsAt,N(INDEX('Deal maths'!$O$1:$O$2000,$Y290-1997+3))))</f>
        <v/>
      </c>
      <c r="J290" s="99" t="str">
        <f>IF($Y290="","",IF($Y290&lt;=1997,INDEX('Term investments'!$J$1:$J$2000,$Y290+3),INDEX('Call accounts and MMFs'!$G$1:$G$2000,$Y290-1997+3))&amp;"")</f>
        <v/>
      </c>
      <c r="K290" s="92" t="str">
        <f>IF($Y290="","",N(E290)*N(F290))</f>
        <v/>
      </c>
      <c r="L290" s="100" t="str">
        <f>IF($Y290="","",IF($Y290&lt;=1997,"Term investments, row "&amp;($Y290+3),"Call accounts and MMFs, row "&amp;($Y290-1997+3)))</f>
        <v/>
      </c>
      <c r="Y290" t="str">
        <f>IFERROR(MATCH(SMALL('List maths'!$E$4:$E$3997,282),'List maths'!$E$4:$E$3997,0),"")</f>
        <v/>
      </c>
    </row>
    <row r="291">
      <c r="B291" s="91" t="str">
        <f>IF($Y291="","",IF($Y291&lt;=1997,INDEX('Term investments'!$B$1:$B$2000,$Y291+3),INDEX('Call accounts and MMFs'!$B$1:$B$2000,$Y291-1997+3))&amp;"")</f>
        <v/>
      </c>
      <c r="C291" s="91" t="str">
        <f>IF($Y291="","",IF($Y291&lt;=1997,INDEX('Term investments'!$A$1:$A$2000,$Y291+3),INDEX('Call accounts and MMFs'!$A$1:$A$2000,$Y291-1997+3))&amp;"")</f>
        <v/>
      </c>
      <c r="D291" s="91" t="str">
        <f>IF($Y291="","",IF($Y291&lt;=1997,INDEX('Term investments'!$C$1:$C$2000,$Y291+3),INDEX('Call accounts and MMFs'!$C$1:$C$2000,$Y291-1997+3))&amp;"")</f>
        <v/>
      </c>
      <c r="E291" s="92" t="str">
        <f>IF($Y291="","",IF($Y291&lt;=1997,IF(N(INDEX('Deal maths'!$H$1:$H$2000,$Y291+3))&gt;0,N(INDEX('Deal maths'!$H$1:$H$2000,$Y291+3)),N(INDEX('Deal maths'!$D$1:$D$2000,$Y291+3))),N(INDEX('Deal maths'!$M$1:$M$2000,$Y291-1997+3))))</f>
        <v/>
      </c>
      <c r="F291" s="93" t="str">
        <f>IF($Y291="","",IF($Y291&lt;=1997,INDEX('Deal maths'!$G$1:$G$2000,$Y291+3),INDEX('Deal maths'!$N$1:$N$2000,$Y291-1997+3)))</f>
        <v/>
      </c>
      <c r="G291" s="94" t="str">
        <f>IF($Y291="","",IF($Y291&lt;=1997,INDEX('Deal maths'!$E$1:$E$2000,$Y291+3),""))</f>
        <v/>
      </c>
      <c r="H291" s="94" t="str">
        <f>IF($Y291="","",IF($Y291&lt;=1997,INDEX('Deal maths'!$F$1:$F$2000,$Y291+3),""))</f>
        <v/>
      </c>
      <c r="I291" s="98" t="str">
        <f>IF($Y291="","",IF($Y291&lt;=1997,N(INDEX('Deal maths'!$F$1:$F$2000,$Y291+3))-AsAt,N(INDEX('Deal maths'!$O$1:$O$2000,$Y291-1997+3))))</f>
        <v/>
      </c>
      <c r="J291" s="99" t="str">
        <f>IF($Y291="","",IF($Y291&lt;=1997,INDEX('Term investments'!$J$1:$J$2000,$Y291+3),INDEX('Call accounts and MMFs'!$G$1:$G$2000,$Y291-1997+3))&amp;"")</f>
        <v/>
      </c>
      <c r="K291" s="92" t="str">
        <f>IF($Y291="","",N(E291)*N(F291))</f>
        <v/>
      </c>
      <c r="L291" s="100" t="str">
        <f>IF($Y291="","",IF($Y291&lt;=1997,"Term investments, row "&amp;($Y291+3),"Call accounts and MMFs, row "&amp;($Y291-1997+3)))</f>
        <v/>
      </c>
      <c r="Y291" t="str">
        <f>IFERROR(MATCH(SMALL('List maths'!$E$4:$E$3997,283),'List maths'!$E$4:$E$3997,0),"")</f>
        <v/>
      </c>
    </row>
    <row r="292">
      <c r="B292" s="91" t="str">
        <f>IF($Y292="","",IF($Y292&lt;=1997,INDEX('Term investments'!$B$1:$B$2000,$Y292+3),INDEX('Call accounts and MMFs'!$B$1:$B$2000,$Y292-1997+3))&amp;"")</f>
        <v/>
      </c>
      <c r="C292" s="91" t="str">
        <f>IF($Y292="","",IF($Y292&lt;=1997,INDEX('Term investments'!$A$1:$A$2000,$Y292+3),INDEX('Call accounts and MMFs'!$A$1:$A$2000,$Y292-1997+3))&amp;"")</f>
        <v/>
      </c>
      <c r="D292" s="91" t="str">
        <f>IF($Y292="","",IF($Y292&lt;=1997,INDEX('Term investments'!$C$1:$C$2000,$Y292+3),INDEX('Call accounts and MMFs'!$C$1:$C$2000,$Y292-1997+3))&amp;"")</f>
        <v/>
      </c>
      <c r="E292" s="92" t="str">
        <f>IF($Y292="","",IF($Y292&lt;=1997,IF(N(INDEX('Deal maths'!$H$1:$H$2000,$Y292+3))&gt;0,N(INDEX('Deal maths'!$H$1:$H$2000,$Y292+3)),N(INDEX('Deal maths'!$D$1:$D$2000,$Y292+3))),N(INDEX('Deal maths'!$M$1:$M$2000,$Y292-1997+3))))</f>
        <v/>
      </c>
      <c r="F292" s="93" t="str">
        <f>IF($Y292="","",IF($Y292&lt;=1997,INDEX('Deal maths'!$G$1:$G$2000,$Y292+3),INDEX('Deal maths'!$N$1:$N$2000,$Y292-1997+3)))</f>
        <v/>
      </c>
      <c r="G292" s="94" t="str">
        <f>IF($Y292="","",IF($Y292&lt;=1997,INDEX('Deal maths'!$E$1:$E$2000,$Y292+3),""))</f>
        <v/>
      </c>
      <c r="H292" s="94" t="str">
        <f>IF($Y292="","",IF($Y292&lt;=1997,INDEX('Deal maths'!$F$1:$F$2000,$Y292+3),""))</f>
        <v/>
      </c>
      <c r="I292" s="98" t="str">
        <f>IF($Y292="","",IF($Y292&lt;=1997,N(INDEX('Deal maths'!$F$1:$F$2000,$Y292+3))-AsAt,N(INDEX('Deal maths'!$O$1:$O$2000,$Y292-1997+3))))</f>
        <v/>
      </c>
      <c r="J292" s="99" t="str">
        <f>IF($Y292="","",IF($Y292&lt;=1997,INDEX('Term investments'!$J$1:$J$2000,$Y292+3),INDEX('Call accounts and MMFs'!$G$1:$G$2000,$Y292-1997+3))&amp;"")</f>
        <v/>
      </c>
      <c r="K292" s="92" t="str">
        <f>IF($Y292="","",N(E292)*N(F292))</f>
        <v/>
      </c>
      <c r="L292" s="100" t="str">
        <f>IF($Y292="","",IF($Y292&lt;=1997,"Term investments, row "&amp;($Y292+3),"Call accounts and MMFs, row "&amp;($Y292-1997+3)))</f>
        <v/>
      </c>
      <c r="Y292" t="str">
        <f>IFERROR(MATCH(SMALL('List maths'!$E$4:$E$3997,284),'List maths'!$E$4:$E$3997,0),"")</f>
        <v/>
      </c>
    </row>
    <row r="293">
      <c r="B293" s="91" t="str">
        <f>IF($Y293="","",IF($Y293&lt;=1997,INDEX('Term investments'!$B$1:$B$2000,$Y293+3),INDEX('Call accounts and MMFs'!$B$1:$B$2000,$Y293-1997+3))&amp;"")</f>
        <v/>
      </c>
      <c r="C293" s="91" t="str">
        <f>IF($Y293="","",IF($Y293&lt;=1997,INDEX('Term investments'!$A$1:$A$2000,$Y293+3),INDEX('Call accounts and MMFs'!$A$1:$A$2000,$Y293-1997+3))&amp;"")</f>
        <v/>
      </c>
      <c r="D293" s="91" t="str">
        <f>IF($Y293="","",IF($Y293&lt;=1997,INDEX('Term investments'!$C$1:$C$2000,$Y293+3),INDEX('Call accounts and MMFs'!$C$1:$C$2000,$Y293-1997+3))&amp;"")</f>
        <v/>
      </c>
      <c r="E293" s="92" t="str">
        <f>IF($Y293="","",IF($Y293&lt;=1997,IF(N(INDEX('Deal maths'!$H$1:$H$2000,$Y293+3))&gt;0,N(INDEX('Deal maths'!$H$1:$H$2000,$Y293+3)),N(INDEX('Deal maths'!$D$1:$D$2000,$Y293+3))),N(INDEX('Deal maths'!$M$1:$M$2000,$Y293-1997+3))))</f>
        <v/>
      </c>
      <c r="F293" s="93" t="str">
        <f>IF($Y293="","",IF($Y293&lt;=1997,INDEX('Deal maths'!$G$1:$G$2000,$Y293+3),INDEX('Deal maths'!$N$1:$N$2000,$Y293-1997+3)))</f>
        <v/>
      </c>
      <c r="G293" s="94" t="str">
        <f>IF($Y293="","",IF($Y293&lt;=1997,INDEX('Deal maths'!$E$1:$E$2000,$Y293+3),""))</f>
        <v/>
      </c>
      <c r="H293" s="94" t="str">
        <f>IF($Y293="","",IF($Y293&lt;=1997,INDEX('Deal maths'!$F$1:$F$2000,$Y293+3),""))</f>
        <v/>
      </c>
      <c r="I293" s="98" t="str">
        <f>IF($Y293="","",IF($Y293&lt;=1997,N(INDEX('Deal maths'!$F$1:$F$2000,$Y293+3))-AsAt,N(INDEX('Deal maths'!$O$1:$O$2000,$Y293-1997+3))))</f>
        <v/>
      </c>
      <c r="J293" s="99" t="str">
        <f>IF($Y293="","",IF($Y293&lt;=1997,INDEX('Term investments'!$J$1:$J$2000,$Y293+3),INDEX('Call accounts and MMFs'!$G$1:$G$2000,$Y293-1997+3))&amp;"")</f>
        <v/>
      </c>
      <c r="K293" s="92" t="str">
        <f>IF($Y293="","",N(E293)*N(F293))</f>
        <v/>
      </c>
      <c r="L293" s="100" t="str">
        <f>IF($Y293="","",IF($Y293&lt;=1997,"Term investments, row "&amp;($Y293+3),"Call accounts and MMFs, row "&amp;($Y293-1997+3)))</f>
        <v/>
      </c>
      <c r="Y293" t="str">
        <f>IFERROR(MATCH(SMALL('List maths'!$E$4:$E$3997,285),'List maths'!$E$4:$E$3997,0),"")</f>
        <v/>
      </c>
    </row>
    <row r="294">
      <c r="B294" s="91" t="str">
        <f>IF($Y294="","",IF($Y294&lt;=1997,INDEX('Term investments'!$B$1:$B$2000,$Y294+3),INDEX('Call accounts and MMFs'!$B$1:$B$2000,$Y294-1997+3))&amp;"")</f>
        <v/>
      </c>
      <c r="C294" s="91" t="str">
        <f>IF($Y294="","",IF($Y294&lt;=1997,INDEX('Term investments'!$A$1:$A$2000,$Y294+3),INDEX('Call accounts and MMFs'!$A$1:$A$2000,$Y294-1997+3))&amp;"")</f>
        <v/>
      </c>
      <c r="D294" s="91" t="str">
        <f>IF($Y294="","",IF($Y294&lt;=1997,INDEX('Term investments'!$C$1:$C$2000,$Y294+3),INDEX('Call accounts and MMFs'!$C$1:$C$2000,$Y294-1997+3))&amp;"")</f>
        <v/>
      </c>
      <c r="E294" s="92" t="str">
        <f>IF($Y294="","",IF($Y294&lt;=1997,IF(N(INDEX('Deal maths'!$H$1:$H$2000,$Y294+3))&gt;0,N(INDEX('Deal maths'!$H$1:$H$2000,$Y294+3)),N(INDEX('Deal maths'!$D$1:$D$2000,$Y294+3))),N(INDEX('Deal maths'!$M$1:$M$2000,$Y294-1997+3))))</f>
        <v/>
      </c>
      <c r="F294" s="93" t="str">
        <f>IF($Y294="","",IF($Y294&lt;=1997,INDEX('Deal maths'!$G$1:$G$2000,$Y294+3),INDEX('Deal maths'!$N$1:$N$2000,$Y294-1997+3)))</f>
        <v/>
      </c>
      <c r="G294" s="94" t="str">
        <f>IF($Y294="","",IF($Y294&lt;=1997,INDEX('Deal maths'!$E$1:$E$2000,$Y294+3),""))</f>
        <v/>
      </c>
      <c r="H294" s="94" t="str">
        <f>IF($Y294="","",IF($Y294&lt;=1997,INDEX('Deal maths'!$F$1:$F$2000,$Y294+3),""))</f>
        <v/>
      </c>
      <c r="I294" s="98" t="str">
        <f>IF($Y294="","",IF($Y294&lt;=1997,N(INDEX('Deal maths'!$F$1:$F$2000,$Y294+3))-AsAt,N(INDEX('Deal maths'!$O$1:$O$2000,$Y294-1997+3))))</f>
        <v/>
      </c>
      <c r="J294" s="99" t="str">
        <f>IF($Y294="","",IF($Y294&lt;=1997,INDEX('Term investments'!$J$1:$J$2000,$Y294+3),INDEX('Call accounts and MMFs'!$G$1:$G$2000,$Y294-1997+3))&amp;"")</f>
        <v/>
      </c>
      <c r="K294" s="92" t="str">
        <f>IF($Y294="","",N(E294)*N(F294))</f>
        <v/>
      </c>
      <c r="L294" s="100" t="str">
        <f>IF($Y294="","",IF($Y294&lt;=1997,"Term investments, row "&amp;($Y294+3),"Call accounts and MMFs, row "&amp;($Y294-1997+3)))</f>
        <v/>
      </c>
      <c r="Y294" t="str">
        <f>IFERROR(MATCH(SMALL('List maths'!$E$4:$E$3997,286),'List maths'!$E$4:$E$3997,0),"")</f>
        <v/>
      </c>
    </row>
    <row r="295">
      <c r="B295" s="91" t="str">
        <f>IF($Y295="","",IF($Y295&lt;=1997,INDEX('Term investments'!$B$1:$B$2000,$Y295+3),INDEX('Call accounts and MMFs'!$B$1:$B$2000,$Y295-1997+3))&amp;"")</f>
        <v/>
      </c>
      <c r="C295" s="91" t="str">
        <f>IF($Y295="","",IF($Y295&lt;=1997,INDEX('Term investments'!$A$1:$A$2000,$Y295+3),INDEX('Call accounts and MMFs'!$A$1:$A$2000,$Y295-1997+3))&amp;"")</f>
        <v/>
      </c>
      <c r="D295" s="91" t="str">
        <f>IF($Y295="","",IF($Y295&lt;=1997,INDEX('Term investments'!$C$1:$C$2000,$Y295+3),INDEX('Call accounts and MMFs'!$C$1:$C$2000,$Y295-1997+3))&amp;"")</f>
        <v/>
      </c>
      <c r="E295" s="92" t="str">
        <f>IF($Y295="","",IF($Y295&lt;=1997,IF(N(INDEX('Deal maths'!$H$1:$H$2000,$Y295+3))&gt;0,N(INDEX('Deal maths'!$H$1:$H$2000,$Y295+3)),N(INDEX('Deal maths'!$D$1:$D$2000,$Y295+3))),N(INDEX('Deal maths'!$M$1:$M$2000,$Y295-1997+3))))</f>
        <v/>
      </c>
      <c r="F295" s="93" t="str">
        <f>IF($Y295="","",IF($Y295&lt;=1997,INDEX('Deal maths'!$G$1:$G$2000,$Y295+3),INDEX('Deal maths'!$N$1:$N$2000,$Y295-1997+3)))</f>
        <v/>
      </c>
      <c r="G295" s="94" t="str">
        <f>IF($Y295="","",IF($Y295&lt;=1997,INDEX('Deal maths'!$E$1:$E$2000,$Y295+3),""))</f>
        <v/>
      </c>
      <c r="H295" s="94" t="str">
        <f>IF($Y295="","",IF($Y295&lt;=1997,INDEX('Deal maths'!$F$1:$F$2000,$Y295+3),""))</f>
        <v/>
      </c>
      <c r="I295" s="98" t="str">
        <f>IF($Y295="","",IF($Y295&lt;=1997,N(INDEX('Deal maths'!$F$1:$F$2000,$Y295+3))-AsAt,N(INDEX('Deal maths'!$O$1:$O$2000,$Y295-1997+3))))</f>
        <v/>
      </c>
      <c r="J295" s="99" t="str">
        <f>IF($Y295="","",IF($Y295&lt;=1997,INDEX('Term investments'!$J$1:$J$2000,$Y295+3),INDEX('Call accounts and MMFs'!$G$1:$G$2000,$Y295-1997+3))&amp;"")</f>
        <v/>
      </c>
      <c r="K295" s="92" t="str">
        <f>IF($Y295="","",N(E295)*N(F295))</f>
        <v/>
      </c>
      <c r="L295" s="100" t="str">
        <f>IF($Y295="","",IF($Y295&lt;=1997,"Term investments, row "&amp;($Y295+3),"Call accounts and MMFs, row "&amp;($Y295-1997+3)))</f>
        <v/>
      </c>
      <c r="Y295" t="str">
        <f>IFERROR(MATCH(SMALL('List maths'!$E$4:$E$3997,287),'List maths'!$E$4:$E$3997,0),"")</f>
        <v/>
      </c>
    </row>
    <row r="296">
      <c r="B296" s="91" t="str">
        <f>IF($Y296="","",IF($Y296&lt;=1997,INDEX('Term investments'!$B$1:$B$2000,$Y296+3),INDEX('Call accounts and MMFs'!$B$1:$B$2000,$Y296-1997+3))&amp;"")</f>
        <v/>
      </c>
      <c r="C296" s="91" t="str">
        <f>IF($Y296="","",IF($Y296&lt;=1997,INDEX('Term investments'!$A$1:$A$2000,$Y296+3),INDEX('Call accounts and MMFs'!$A$1:$A$2000,$Y296-1997+3))&amp;"")</f>
        <v/>
      </c>
      <c r="D296" s="91" t="str">
        <f>IF($Y296="","",IF($Y296&lt;=1997,INDEX('Term investments'!$C$1:$C$2000,$Y296+3),INDEX('Call accounts and MMFs'!$C$1:$C$2000,$Y296-1997+3))&amp;"")</f>
        <v/>
      </c>
      <c r="E296" s="92" t="str">
        <f>IF($Y296="","",IF($Y296&lt;=1997,IF(N(INDEX('Deal maths'!$H$1:$H$2000,$Y296+3))&gt;0,N(INDEX('Deal maths'!$H$1:$H$2000,$Y296+3)),N(INDEX('Deal maths'!$D$1:$D$2000,$Y296+3))),N(INDEX('Deal maths'!$M$1:$M$2000,$Y296-1997+3))))</f>
        <v/>
      </c>
      <c r="F296" s="93" t="str">
        <f>IF($Y296="","",IF($Y296&lt;=1997,INDEX('Deal maths'!$G$1:$G$2000,$Y296+3),INDEX('Deal maths'!$N$1:$N$2000,$Y296-1997+3)))</f>
        <v/>
      </c>
      <c r="G296" s="94" t="str">
        <f>IF($Y296="","",IF($Y296&lt;=1997,INDEX('Deal maths'!$E$1:$E$2000,$Y296+3),""))</f>
        <v/>
      </c>
      <c r="H296" s="94" t="str">
        <f>IF($Y296="","",IF($Y296&lt;=1997,INDEX('Deal maths'!$F$1:$F$2000,$Y296+3),""))</f>
        <v/>
      </c>
      <c r="I296" s="98" t="str">
        <f>IF($Y296="","",IF($Y296&lt;=1997,N(INDEX('Deal maths'!$F$1:$F$2000,$Y296+3))-AsAt,N(INDEX('Deal maths'!$O$1:$O$2000,$Y296-1997+3))))</f>
        <v/>
      </c>
      <c r="J296" s="99" t="str">
        <f>IF($Y296="","",IF($Y296&lt;=1997,INDEX('Term investments'!$J$1:$J$2000,$Y296+3),INDEX('Call accounts and MMFs'!$G$1:$G$2000,$Y296-1997+3))&amp;"")</f>
        <v/>
      </c>
      <c r="K296" s="92" t="str">
        <f>IF($Y296="","",N(E296)*N(F296))</f>
        <v/>
      </c>
      <c r="L296" s="100" t="str">
        <f>IF($Y296="","",IF($Y296&lt;=1997,"Term investments, row "&amp;($Y296+3),"Call accounts and MMFs, row "&amp;($Y296-1997+3)))</f>
        <v/>
      </c>
      <c r="Y296" t="str">
        <f>IFERROR(MATCH(SMALL('List maths'!$E$4:$E$3997,288),'List maths'!$E$4:$E$3997,0),"")</f>
        <v/>
      </c>
    </row>
    <row r="297">
      <c r="B297" s="91" t="str">
        <f>IF($Y297="","",IF($Y297&lt;=1997,INDEX('Term investments'!$B$1:$B$2000,$Y297+3),INDEX('Call accounts and MMFs'!$B$1:$B$2000,$Y297-1997+3))&amp;"")</f>
        <v/>
      </c>
      <c r="C297" s="91" t="str">
        <f>IF($Y297="","",IF($Y297&lt;=1997,INDEX('Term investments'!$A$1:$A$2000,$Y297+3),INDEX('Call accounts and MMFs'!$A$1:$A$2000,$Y297-1997+3))&amp;"")</f>
        <v/>
      </c>
      <c r="D297" s="91" t="str">
        <f>IF($Y297="","",IF($Y297&lt;=1997,INDEX('Term investments'!$C$1:$C$2000,$Y297+3),INDEX('Call accounts and MMFs'!$C$1:$C$2000,$Y297-1997+3))&amp;"")</f>
        <v/>
      </c>
      <c r="E297" s="92" t="str">
        <f>IF($Y297="","",IF($Y297&lt;=1997,IF(N(INDEX('Deal maths'!$H$1:$H$2000,$Y297+3))&gt;0,N(INDEX('Deal maths'!$H$1:$H$2000,$Y297+3)),N(INDEX('Deal maths'!$D$1:$D$2000,$Y297+3))),N(INDEX('Deal maths'!$M$1:$M$2000,$Y297-1997+3))))</f>
        <v/>
      </c>
      <c r="F297" s="93" t="str">
        <f>IF($Y297="","",IF($Y297&lt;=1997,INDEX('Deal maths'!$G$1:$G$2000,$Y297+3),INDEX('Deal maths'!$N$1:$N$2000,$Y297-1997+3)))</f>
        <v/>
      </c>
      <c r="G297" s="94" t="str">
        <f>IF($Y297="","",IF($Y297&lt;=1997,INDEX('Deal maths'!$E$1:$E$2000,$Y297+3),""))</f>
        <v/>
      </c>
      <c r="H297" s="94" t="str">
        <f>IF($Y297="","",IF($Y297&lt;=1997,INDEX('Deal maths'!$F$1:$F$2000,$Y297+3),""))</f>
        <v/>
      </c>
      <c r="I297" s="98" t="str">
        <f>IF($Y297="","",IF($Y297&lt;=1997,N(INDEX('Deal maths'!$F$1:$F$2000,$Y297+3))-AsAt,N(INDEX('Deal maths'!$O$1:$O$2000,$Y297-1997+3))))</f>
        <v/>
      </c>
      <c r="J297" s="99" t="str">
        <f>IF($Y297="","",IF($Y297&lt;=1997,INDEX('Term investments'!$J$1:$J$2000,$Y297+3),INDEX('Call accounts and MMFs'!$G$1:$G$2000,$Y297-1997+3))&amp;"")</f>
        <v/>
      </c>
      <c r="K297" s="92" t="str">
        <f>IF($Y297="","",N(E297)*N(F297))</f>
        <v/>
      </c>
      <c r="L297" s="100" t="str">
        <f>IF($Y297="","",IF($Y297&lt;=1997,"Term investments, row "&amp;($Y297+3),"Call accounts and MMFs, row "&amp;($Y297-1997+3)))</f>
        <v/>
      </c>
      <c r="Y297" t="str">
        <f>IFERROR(MATCH(SMALL('List maths'!$E$4:$E$3997,289),'List maths'!$E$4:$E$3997,0),"")</f>
        <v/>
      </c>
    </row>
    <row r="298">
      <c r="B298" s="91" t="str">
        <f>IF($Y298="","",IF($Y298&lt;=1997,INDEX('Term investments'!$B$1:$B$2000,$Y298+3),INDEX('Call accounts and MMFs'!$B$1:$B$2000,$Y298-1997+3))&amp;"")</f>
        <v/>
      </c>
      <c r="C298" s="91" t="str">
        <f>IF($Y298="","",IF($Y298&lt;=1997,INDEX('Term investments'!$A$1:$A$2000,$Y298+3),INDEX('Call accounts and MMFs'!$A$1:$A$2000,$Y298-1997+3))&amp;"")</f>
        <v/>
      </c>
      <c r="D298" s="91" t="str">
        <f>IF($Y298="","",IF($Y298&lt;=1997,INDEX('Term investments'!$C$1:$C$2000,$Y298+3),INDEX('Call accounts and MMFs'!$C$1:$C$2000,$Y298-1997+3))&amp;"")</f>
        <v/>
      </c>
      <c r="E298" s="92" t="str">
        <f>IF($Y298="","",IF($Y298&lt;=1997,IF(N(INDEX('Deal maths'!$H$1:$H$2000,$Y298+3))&gt;0,N(INDEX('Deal maths'!$H$1:$H$2000,$Y298+3)),N(INDEX('Deal maths'!$D$1:$D$2000,$Y298+3))),N(INDEX('Deal maths'!$M$1:$M$2000,$Y298-1997+3))))</f>
        <v/>
      </c>
      <c r="F298" s="93" t="str">
        <f>IF($Y298="","",IF($Y298&lt;=1997,INDEX('Deal maths'!$G$1:$G$2000,$Y298+3),INDEX('Deal maths'!$N$1:$N$2000,$Y298-1997+3)))</f>
        <v/>
      </c>
      <c r="G298" s="94" t="str">
        <f>IF($Y298="","",IF($Y298&lt;=1997,INDEX('Deal maths'!$E$1:$E$2000,$Y298+3),""))</f>
        <v/>
      </c>
      <c r="H298" s="94" t="str">
        <f>IF($Y298="","",IF($Y298&lt;=1997,INDEX('Deal maths'!$F$1:$F$2000,$Y298+3),""))</f>
        <v/>
      </c>
      <c r="I298" s="98" t="str">
        <f>IF($Y298="","",IF($Y298&lt;=1997,N(INDEX('Deal maths'!$F$1:$F$2000,$Y298+3))-AsAt,N(INDEX('Deal maths'!$O$1:$O$2000,$Y298-1997+3))))</f>
        <v/>
      </c>
      <c r="J298" s="99" t="str">
        <f>IF($Y298="","",IF($Y298&lt;=1997,INDEX('Term investments'!$J$1:$J$2000,$Y298+3),INDEX('Call accounts and MMFs'!$G$1:$G$2000,$Y298-1997+3))&amp;"")</f>
        <v/>
      </c>
      <c r="K298" s="92" t="str">
        <f>IF($Y298="","",N(E298)*N(F298))</f>
        <v/>
      </c>
      <c r="L298" s="100" t="str">
        <f>IF($Y298="","",IF($Y298&lt;=1997,"Term investments, row "&amp;($Y298+3),"Call accounts and MMFs, row "&amp;($Y298-1997+3)))</f>
        <v/>
      </c>
      <c r="Y298" t="str">
        <f>IFERROR(MATCH(SMALL('List maths'!$E$4:$E$3997,290),'List maths'!$E$4:$E$3997,0),"")</f>
        <v/>
      </c>
    </row>
    <row r="299">
      <c r="B299" s="91" t="str">
        <f>IF($Y299="","",IF($Y299&lt;=1997,INDEX('Term investments'!$B$1:$B$2000,$Y299+3),INDEX('Call accounts and MMFs'!$B$1:$B$2000,$Y299-1997+3))&amp;"")</f>
        <v/>
      </c>
      <c r="C299" s="91" t="str">
        <f>IF($Y299="","",IF($Y299&lt;=1997,INDEX('Term investments'!$A$1:$A$2000,$Y299+3),INDEX('Call accounts and MMFs'!$A$1:$A$2000,$Y299-1997+3))&amp;"")</f>
        <v/>
      </c>
      <c r="D299" s="91" t="str">
        <f>IF($Y299="","",IF($Y299&lt;=1997,INDEX('Term investments'!$C$1:$C$2000,$Y299+3),INDEX('Call accounts and MMFs'!$C$1:$C$2000,$Y299-1997+3))&amp;"")</f>
        <v/>
      </c>
      <c r="E299" s="92" t="str">
        <f>IF($Y299="","",IF($Y299&lt;=1997,IF(N(INDEX('Deal maths'!$H$1:$H$2000,$Y299+3))&gt;0,N(INDEX('Deal maths'!$H$1:$H$2000,$Y299+3)),N(INDEX('Deal maths'!$D$1:$D$2000,$Y299+3))),N(INDEX('Deal maths'!$M$1:$M$2000,$Y299-1997+3))))</f>
        <v/>
      </c>
      <c r="F299" s="93" t="str">
        <f>IF($Y299="","",IF($Y299&lt;=1997,INDEX('Deal maths'!$G$1:$G$2000,$Y299+3),INDEX('Deal maths'!$N$1:$N$2000,$Y299-1997+3)))</f>
        <v/>
      </c>
      <c r="G299" s="94" t="str">
        <f>IF($Y299="","",IF($Y299&lt;=1997,INDEX('Deal maths'!$E$1:$E$2000,$Y299+3),""))</f>
        <v/>
      </c>
      <c r="H299" s="94" t="str">
        <f>IF($Y299="","",IF($Y299&lt;=1997,INDEX('Deal maths'!$F$1:$F$2000,$Y299+3),""))</f>
        <v/>
      </c>
      <c r="I299" s="98" t="str">
        <f>IF($Y299="","",IF($Y299&lt;=1997,N(INDEX('Deal maths'!$F$1:$F$2000,$Y299+3))-AsAt,N(INDEX('Deal maths'!$O$1:$O$2000,$Y299-1997+3))))</f>
        <v/>
      </c>
      <c r="J299" s="99" t="str">
        <f>IF($Y299="","",IF($Y299&lt;=1997,INDEX('Term investments'!$J$1:$J$2000,$Y299+3),INDEX('Call accounts and MMFs'!$G$1:$G$2000,$Y299-1997+3))&amp;"")</f>
        <v/>
      </c>
      <c r="K299" s="92" t="str">
        <f>IF($Y299="","",N(E299)*N(F299))</f>
        <v/>
      </c>
      <c r="L299" s="100" t="str">
        <f>IF($Y299="","",IF($Y299&lt;=1997,"Term investments, row "&amp;($Y299+3),"Call accounts and MMFs, row "&amp;($Y299-1997+3)))</f>
        <v/>
      </c>
      <c r="Y299" t="str">
        <f>IFERROR(MATCH(SMALL('List maths'!$E$4:$E$3997,291),'List maths'!$E$4:$E$3997,0),"")</f>
        <v/>
      </c>
    </row>
    <row r="300">
      <c r="B300" s="91" t="str">
        <f>IF($Y300="","",IF($Y300&lt;=1997,INDEX('Term investments'!$B$1:$B$2000,$Y300+3),INDEX('Call accounts and MMFs'!$B$1:$B$2000,$Y300-1997+3))&amp;"")</f>
        <v/>
      </c>
      <c r="C300" s="91" t="str">
        <f>IF($Y300="","",IF($Y300&lt;=1997,INDEX('Term investments'!$A$1:$A$2000,$Y300+3),INDEX('Call accounts and MMFs'!$A$1:$A$2000,$Y300-1997+3))&amp;"")</f>
        <v/>
      </c>
      <c r="D300" s="91" t="str">
        <f>IF($Y300="","",IF($Y300&lt;=1997,INDEX('Term investments'!$C$1:$C$2000,$Y300+3),INDEX('Call accounts and MMFs'!$C$1:$C$2000,$Y300-1997+3))&amp;"")</f>
        <v/>
      </c>
      <c r="E300" s="92" t="str">
        <f>IF($Y300="","",IF($Y300&lt;=1997,IF(N(INDEX('Deal maths'!$H$1:$H$2000,$Y300+3))&gt;0,N(INDEX('Deal maths'!$H$1:$H$2000,$Y300+3)),N(INDEX('Deal maths'!$D$1:$D$2000,$Y300+3))),N(INDEX('Deal maths'!$M$1:$M$2000,$Y300-1997+3))))</f>
        <v/>
      </c>
      <c r="F300" s="93" t="str">
        <f>IF($Y300="","",IF($Y300&lt;=1997,INDEX('Deal maths'!$G$1:$G$2000,$Y300+3),INDEX('Deal maths'!$N$1:$N$2000,$Y300-1997+3)))</f>
        <v/>
      </c>
      <c r="G300" s="94" t="str">
        <f>IF($Y300="","",IF($Y300&lt;=1997,INDEX('Deal maths'!$E$1:$E$2000,$Y300+3),""))</f>
        <v/>
      </c>
      <c r="H300" s="94" t="str">
        <f>IF($Y300="","",IF($Y300&lt;=1997,INDEX('Deal maths'!$F$1:$F$2000,$Y300+3),""))</f>
        <v/>
      </c>
      <c r="I300" s="98" t="str">
        <f>IF($Y300="","",IF($Y300&lt;=1997,N(INDEX('Deal maths'!$F$1:$F$2000,$Y300+3))-AsAt,N(INDEX('Deal maths'!$O$1:$O$2000,$Y300-1997+3))))</f>
        <v/>
      </c>
      <c r="J300" s="99" t="str">
        <f>IF($Y300="","",IF($Y300&lt;=1997,INDEX('Term investments'!$J$1:$J$2000,$Y300+3),INDEX('Call accounts and MMFs'!$G$1:$G$2000,$Y300-1997+3))&amp;"")</f>
        <v/>
      </c>
      <c r="K300" s="92" t="str">
        <f>IF($Y300="","",N(E300)*N(F300))</f>
        <v/>
      </c>
      <c r="L300" s="100" t="str">
        <f>IF($Y300="","",IF($Y300&lt;=1997,"Term investments, row "&amp;($Y300+3),"Call accounts and MMFs, row "&amp;($Y300-1997+3)))</f>
        <v/>
      </c>
      <c r="Y300" t="str">
        <f>IFERROR(MATCH(SMALL('List maths'!$E$4:$E$3997,292),'List maths'!$E$4:$E$3997,0),"")</f>
        <v/>
      </c>
    </row>
    <row r="301">
      <c r="B301" s="91" t="str">
        <f>IF($Y301="","",IF($Y301&lt;=1997,INDEX('Term investments'!$B$1:$B$2000,$Y301+3),INDEX('Call accounts and MMFs'!$B$1:$B$2000,$Y301-1997+3))&amp;"")</f>
        <v/>
      </c>
      <c r="C301" s="91" t="str">
        <f>IF($Y301="","",IF($Y301&lt;=1997,INDEX('Term investments'!$A$1:$A$2000,$Y301+3),INDEX('Call accounts and MMFs'!$A$1:$A$2000,$Y301-1997+3))&amp;"")</f>
        <v/>
      </c>
      <c r="D301" s="91" t="str">
        <f>IF($Y301="","",IF($Y301&lt;=1997,INDEX('Term investments'!$C$1:$C$2000,$Y301+3),INDEX('Call accounts and MMFs'!$C$1:$C$2000,$Y301-1997+3))&amp;"")</f>
        <v/>
      </c>
      <c r="E301" s="92" t="str">
        <f>IF($Y301="","",IF($Y301&lt;=1997,IF(N(INDEX('Deal maths'!$H$1:$H$2000,$Y301+3))&gt;0,N(INDEX('Deal maths'!$H$1:$H$2000,$Y301+3)),N(INDEX('Deal maths'!$D$1:$D$2000,$Y301+3))),N(INDEX('Deal maths'!$M$1:$M$2000,$Y301-1997+3))))</f>
        <v/>
      </c>
      <c r="F301" s="93" t="str">
        <f>IF($Y301="","",IF($Y301&lt;=1997,INDEX('Deal maths'!$G$1:$G$2000,$Y301+3),INDEX('Deal maths'!$N$1:$N$2000,$Y301-1997+3)))</f>
        <v/>
      </c>
      <c r="G301" s="94" t="str">
        <f>IF($Y301="","",IF($Y301&lt;=1997,INDEX('Deal maths'!$E$1:$E$2000,$Y301+3),""))</f>
        <v/>
      </c>
      <c r="H301" s="94" t="str">
        <f>IF($Y301="","",IF($Y301&lt;=1997,INDEX('Deal maths'!$F$1:$F$2000,$Y301+3),""))</f>
        <v/>
      </c>
      <c r="I301" s="98" t="str">
        <f>IF($Y301="","",IF($Y301&lt;=1997,N(INDEX('Deal maths'!$F$1:$F$2000,$Y301+3))-AsAt,N(INDEX('Deal maths'!$O$1:$O$2000,$Y301-1997+3))))</f>
        <v/>
      </c>
      <c r="J301" s="99" t="str">
        <f>IF($Y301="","",IF($Y301&lt;=1997,INDEX('Term investments'!$J$1:$J$2000,$Y301+3),INDEX('Call accounts and MMFs'!$G$1:$G$2000,$Y301-1997+3))&amp;"")</f>
        <v/>
      </c>
      <c r="K301" s="92" t="str">
        <f>IF($Y301="","",N(E301)*N(F301))</f>
        <v/>
      </c>
      <c r="L301" s="100" t="str">
        <f>IF($Y301="","",IF($Y301&lt;=1997,"Term investments, row "&amp;($Y301+3),"Call accounts and MMFs, row "&amp;($Y301-1997+3)))</f>
        <v/>
      </c>
      <c r="Y301" t="str">
        <f>IFERROR(MATCH(SMALL('List maths'!$E$4:$E$3997,293),'List maths'!$E$4:$E$3997,0),"")</f>
        <v/>
      </c>
    </row>
    <row r="302">
      <c r="B302" s="91" t="str">
        <f>IF($Y302="","",IF($Y302&lt;=1997,INDEX('Term investments'!$B$1:$B$2000,$Y302+3),INDEX('Call accounts and MMFs'!$B$1:$B$2000,$Y302-1997+3))&amp;"")</f>
        <v/>
      </c>
      <c r="C302" s="91" t="str">
        <f>IF($Y302="","",IF($Y302&lt;=1997,INDEX('Term investments'!$A$1:$A$2000,$Y302+3),INDEX('Call accounts and MMFs'!$A$1:$A$2000,$Y302-1997+3))&amp;"")</f>
        <v/>
      </c>
      <c r="D302" s="91" t="str">
        <f>IF($Y302="","",IF($Y302&lt;=1997,INDEX('Term investments'!$C$1:$C$2000,$Y302+3),INDEX('Call accounts and MMFs'!$C$1:$C$2000,$Y302-1997+3))&amp;"")</f>
        <v/>
      </c>
      <c r="E302" s="92" t="str">
        <f>IF($Y302="","",IF($Y302&lt;=1997,IF(N(INDEX('Deal maths'!$H$1:$H$2000,$Y302+3))&gt;0,N(INDEX('Deal maths'!$H$1:$H$2000,$Y302+3)),N(INDEX('Deal maths'!$D$1:$D$2000,$Y302+3))),N(INDEX('Deal maths'!$M$1:$M$2000,$Y302-1997+3))))</f>
        <v/>
      </c>
      <c r="F302" s="93" t="str">
        <f>IF($Y302="","",IF($Y302&lt;=1997,INDEX('Deal maths'!$G$1:$G$2000,$Y302+3),INDEX('Deal maths'!$N$1:$N$2000,$Y302-1997+3)))</f>
        <v/>
      </c>
      <c r="G302" s="94" t="str">
        <f>IF($Y302="","",IF($Y302&lt;=1997,INDEX('Deal maths'!$E$1:$E$2000,$Y302+3),""))</f>
        <v/>
      </c>
      <c r="H302" s="94" t="str">
        <f>IF($Y302="","",IF($Y302&lt;=1997,INDEX('Deal maths'!$F$1:$F$2000,$Y302+3),""))</f>
        <v/>
      </c>
      <c r="I302" s="98" t="str">
        <f>IF($Y302="","",IF($Y302&lt;=1997,N(INDEX('Deal maths'!$F$1:$F$2000,$Y302+3))-AsAt,N(INDEX('Deal maths'!$O$1:$O$2000,$Y302-1997+3))))</f>
        <v/>
      </c>
      <c r="J302" s="99" t="str">
        <f>IF($Y302="","",IF($Y302&lt;=1997,INDEX('Term investments'!$J$1:$J$2000,$Y302+3),INDEX('Call accounts and MMFs'!$G$1:$G$2000,$Y302-1997+3))&amp;"")</f>
        <v/>
      </c>
      <c r="K302" s="92" t="str">
        <f>IF($Y302="","",N(E302)*N(F302))</f>
        <v/>
      </c>
      <c r="L302" s="100" t="str">
        <f>IF($Y302="","",IF($Y302&lt;=1997,"Term investments, row "&amp;($Y302+3),"Call accounts and MMFs, row "&amp;($Y302-1997+3)))</f>
        <v/>
      </c>
      <c r="Y302" t="str">
        <f>IFERROR(MATCH(SMALL('List maths'!$E$4:$E$3997,294),'List maths'!$E$4:$E$3997,0),"")</f>
        <v/>
      </c>
    </row>
    <row r="303">
      <c r="B303" s="91" t="str">
        <f>IF($Y303="","",IF($Y303&lt;=1997,INDEX('Term investments'!$B$1:$B$2000,$Y303+3),INDEX('Call accounts and MMFs'!$B$1:$B$2000,$Y303-1997+3))&amp;"")</f>
        <v/>
      </c>
      <c r="C303" s="91" t="str">
        <f>IF($Y303="","",IF($Y303&lt;=1997,INDEX('Term investments'!$A$1:$A$2000,$Y303+3),INDEX('Call accounts and MMFs'!$A$1:$A$2000,$Y303-1997+3))&amp;"")</f>
        <v/>
      </c>
      <c r="D303" s="91" t="str">
        <f>IF($Y303="","",IF($Y303&lt;=1997,INDEX('Term investments'!$C$1:$C$2000,$Y303+3),INDEX('Call accounts and MMFs'!$C$1:$C$2000,$Y303-1997+3))&amp;"")</f>
        <v/>
      </c>
      <c r="E303" s="92" t="str">
        <f>IF($Y303="","",IF($Y303&lt;=1997,IF(N(INDEX('Deal maths'!$H$1:$H$2000,$Y303+3))&gt;0,N(INDEX('Deal maths'!$H$1:$H$2000,$Y303+3)),N(INDEX('Deal maths'!$D$1:$D$2000,$Y303+3))),N(INDEX('Deal maths'!$M$1:$M$2000,$Y303-1997+3))))</f>
        <v/>
      </c>
      <c r="F303" s="93" t="str">
        <f>IF($Y303="","",IF($Y303&lt;=1997,INDEX('Deal maths'!$G$1:$G$2000,$Y303+3),INDEX('Deal maths'!$N$1:$N$2000,$Y303-1997+3)))</f>
        <v/>
      </c>
      <c r="G303" s="94" t="str">
        <f>IF($Y303="","",IF($Y303&lt;=1997,INDEX('Deal maths'!$E$1:$E$2000,$Y303+3),""))</f>
        <v/>
      </c>
      <c r="H303" s="94" t="str">
        <f>IF($Y303="","",IF($Y303&lt;=1997,INDEX('Deal maths'!$F$1:$F$2000,$Y303+3),""))</f>
        <v/>
      </c>
      <c r="I303" s="98" t="str">
        <f>IF($Y303="","",IF($Y303&lt;=1997,N(INDEX('Deal maths'!$F$1:$F$2000,$Y303+3))-AsAt,N(INDEX('Deal maths'!$O$1:$O$2000,$Y303-1997+3))))</f>
        <v/>
      </c>
      <c r="J303" s="99" t="str">
        <f>IF($Y303="","",IF($Y303&lt;=1997,INDEX('Term investments'!$J$1:$J$2000,$Y303+3),INDEX('Call accounts and MMFs'!$G$1:$G$2000,$Y303-1997+3))&amp;"")</f>
        <v/>
      </c>
      <c r="K303" s="92" t="str">
        <f>IF($Y303="","",N(E303)*N(F303))</f>
        <v/>
      </c>
      <c r="L303" s="100" t="str">
        <f>IF($Y303="","",IF($Y303&lt;=1997,"Term investments, row "&amp;($Y303+3),"Call accounts and MMFs, row "&amp;($Y303-1997+3)))</f>
        <v/>
      </c>
      <c r="Y303" t="str">
        <f>IFERROR(MATCH(SMALL('List maths'!$E$4:$E$3997,295),'List maths'!$E$4:$E$3997,0),"")</f>
        <v/>
      </c>
    </row>
    <row r="304">
      <c r="B304" s="91" t="str">
        <f>IF($Y304="","",IF($Y304&lt;=1997,INDEX('Term investments'!$B$1:$B$2000,$Y304+3),INDEX('Call accounts and MMFs'!$B$1:$B$2000,$Y304-1997+3))&amp;"")</f>
        <v/>
      </c>
      <c r="C304" s="91" t="str">
        <f>IF($Y304="","",IF($Y304&lt;=1997,INDEX('Term investments'!$A$1:$A$2000,$Y304+3),INDEX('Call accounts and MMFs'!$A$1:$A$2000,$Y304-1997+3))&amp;"")</f>
        <v/>
      </c>
      <c r="D304" s="91" t="str">
        <f>IF($Y304="","",IF($Y304&lt;=1997,INDEX('Term investments'!$C$1:$C$2000,$Y304+3),INDEX('Call accounts and MMFs'!$C$1:$C$2000,$Y304-1997+3))&amp;"")</f>
        <v/>
      </c>
      <c r="E304" s="92" t="str">
        <f>IF($Y304="","",IF($Y304&lt;=1997,IF(N(INDEX('Deal maths'!$H$1:$H$2000,$Y304+3))&gt;0,N(INDEX('Deal maths'!$H$1:$H$2000,$Y304+3)),N(INDEX('Deal maths'!$D$1:$D$2000,$Y304+3))),N(INDEX('Deal maths'!$M$1:$M$2000,$Y304-1997+3))))</f>
        <v/>
      </c>
      <c r="F304" s="93" t="str">
        <f>IF($Y304="","",IF($Y304&lt;=1997,INDEX('Deal maths'!$G$1:$G$2000,$Y304+3),INDEX('Deal maths'!$N$1:$N$2000,$Y304-1997+3)))</f>
        <v/>
      </c>
      <c r="G304" s="94" t="str">
        <f>IF($Y304="","",IF($Y304&lt;=1997,INDEX('Deal maths'!$E$1:$E$2000,$Y304+3),""))</f>
        <v/>
      </c>
      <c r="H304" s="94" t="str">
        <f>IF($Y304="","",IF($Y304&lt;=1997,INDEX('Deal maths'!$F$1:$F$2000,$Y304+3),""))</f>
        <v/>
      </c>
      <c r="I304" s="98" t="str">
        <f>IF($Y304="","",IF($Y304&lt;=1997,N(INDEX('Deal maths'!$F$1:$F$2000,$Y304+3))-AsAt,N(INDEX('Deal maths'!$O$1:$O$2000,$Y304-1997+3))))</f>
        <v/>
      </c>
      <c r="J304" s="99" t="str">
        <f>IF($Y304="","",IF($Y304&lt;=1997,INDEX('Term investments'!$J$1:$J$2000,$Y304+3),INDEX('Call accounts and MMFs'!$G$1:$G$2000,$Y304-1997+3))&amp;"")</f>
        <v/>
      </c>
      <c r="K304" s="92" t="str">
        <f>IF($Y304="","",N(E304)*N(F304))</f>
        <v/>
      </c>
      <c r="L304" s="100" t="str">
        <f>IF($Y304="","",IF($Y304&lt;=1997,"Term investments, row "&amp;($Y304+3),"Call accounts and MMFs, row "&amp;($Y304-1997+3)))</f>
        <v/>
      </c>
      <c r="Y304" t="str">
        <f>IFERROR(MATCH(SMALL('List maths'!$E$4:$E$3997,296),'List maths'!$E$4:$E$3997,0),"")</f>
        <v/>
      </c>
    </row>
    <row r="305">
      <c r="B305" s="91" t="str">
        <f>IF($Y305="","",IF($Y305&lt;=1997,INDEX('Term investments'!$B$1:$B$2000,$Y305+3),INDEX('Call accounts and MMFs'!$B$1:$B$2000,$Y305-1997+3))&amp;"")</f>
        <v/>
      </c>
      <c r="C305" s="91" t="str">
        <f>IF($Y305="","",IF($Y305&lt;=1997,INDEX('Term investments'!$A$1:$A$2000,$Y305+3),INDEX('Call accounts and MMFs'!$A$1:$A$2000,$Y305-1997+3))&amp;"")</f>
        <v/>
      </c>
      <c r="D305" s="91" t="str">
        <f>IF($Y305="","",IF($Y305&lt;=1997,INDEX('Term investments'!$C$1:$C$2000,$Y305+3),INDEX('Call accounts and MMFs'!$C$1:$C$2000,$Y305-1997+3))&amp;"")</f>
        <v/>
      </c>
      <c r="E305" s="92" t="str">
        <f>IF($Y305="","",IF($Y305&lt;=1997,IF(N(INDEX('Deal maths'!$H$1:$H$2000,$Y305+3))&gt;0,N(INDEX('Deal maths'!$H$1:$H$2000,$Y305+3)),N(INDEX('Deal maths'!$D$1:$D$2000,$Y305+3))),N(INDEX('Deal maths'!$M$1:$M$2000,$Y305-1997+3))))</f>
        <v/>
      </c>
      <c r="F305" s="93" t="str">
        <f>IF($Y305="","",IF($Y305&lt;=1997,INDEX('Deal maths'!$G$1:$G$2000,$Y305+3),INDEX('Deal maths'!$N$1:$N$2000,$Y305-1997+3)))</f>
        <v/>
      </c>
      <c r="G305" s="94" t="str">
        <f>IF($Y305="","",IF($Y305&lt;=1997,INDEX('Deal maths'!$E$1:$E$2000,$Y305+3),""))</f>
        <v/>
      </c>
      <c r="H305" s="94" t="str">
        <f>IF($Y305="","",IF($Y305&lt;=1997,INDEX('Deal maths'!$F$1:$F$2000,$Y305+3),""))</f>
        <v/>
      </c>
      <c r="I305" s="98" t="str">
        <f>IF($Y305="","",IF($Y305&lt;=1997,N(INDEX('Deal maths'!$F$1:$F$2000,$Y305+3))-AsAt,N(INDEX('Deal maths'!$O$1:$O$2000,$Y305-1997+3))))</f>
        <v/>
      </c>
      <c r="J305" s="99" t="str">
        <f>IF($Y305="","",IF($Y305&lt;=1997,INDEX('Term investments'!$J$1:$J$2000,$Y305+3),INDEX('Call accounts and MMFs'!$G$1:$G$2000,$Y305-1997+3))&amp;"")</f>
        <v/>
      </c>
      <c r="K305" s="92" t="str">
        <f>IF($Y305="","",N(E305)*N(F305))</f>
        <v/>
      </c>
      <c r="L305" s="100" t="str">
        <f>IF($Y305="","",IF($Y305&lt;=1997,"Term investments, row "&amp;($Y305+3),"Call accounts and MMFs, row "&amp;($Y305-1997+3)))</f>
        <v/>
      </c>
      <c r="Y305" t="str">
        <f>IFERROR(MATCH(SMALL('List maths'!$E$4:$E$3997,297),'List maths'!$E$4:$E$3997,0),"")</f>
        <v/>
      </c>
    </row>
    <row r="306">
      <c r="B306" s="91" t="str">
        <f>IF($Y306="","",IF($Y306&lt;=1997,INDEX('Term investments'!$B$1:$B$2000,$Y306+3),INDEX('Call accounts and MMFs'!$B$1:$B$2000,$Y306-1997+3))&amp;"")</f>
        <v/>
      </c>
      <c r="C306" s="91" t="str">
        <f>IF($Y306="","",IF($Y306&lt;=1997,INDEX('Term investments'!$A$1:$A$2000,$Y306+3),INDEX('Call accounts and MMFs'!$A$1:$A$2000,$Y306-1997+3))&amp;"")</f>
        <v/>
      </c>
      <c r="D306" s="91" t="str">
        <f>IF($Y306="","",IF($Y306&lt;=1997,INDEX('Term investments'!$C$1:$C$2000,$Y306+3),INDEX('Call accounts and MMFs'!$C$1:$C$2000,$Y306-1997+3))&amp;"")</f>
        <v/>
      </c>
      <c r="E306" s="92" t="str">
        <f>IF($Y306="","",IF($Y306&lt;=1997,IF(N(INDEX('Deal maths'!$H$1:$H$2000,$Y306+3))&gt;0,N(INDEX('Deal maths'!$H$1:$H$2000,$Y306+3)),N(INDEX('Deal maths'!$D$1:$D$2000,$Y306+3))),N(INDEX('Deal maths'!$M$1:$M$2000,$Y306-1997+3))))</f>
        <v/>
      </c>
      <c r="F306" s="93" t="str">
        <f>IF($Y306="","",IF($Y306&lt;=1997,INDEX('Deal maths'!$G$1:$G$2000,$Y306+3),INDEX('Deal maths'!$N$1:$N$2000,$Y306-1997+3)))</f>
        <v/>
      </c>
      <c r="G306" s="94" t="str">
        <f>IF($Y306="","",IF($Y306&lt;=1997,INDEX('Deal maths'!$E$1:$E$2000,$Y306+3),""))</f>
        <v/>
      </c>
      <c r="H306" s="94" t="str">
        <f>IF($Y306="","",IF($Y306&lt;=1997,INDEX('Deal maths'!$F$1:$F$2000,$Y306+3),""))</f>
        <v/>
      </c>
      <c r="I306" s="98" t="str">
        <f>IF($Y306="","",IF($Y306&lt;=1997,N(INDEX('Deal maths'!$F$1:$F$2000,$Y306+3))-AsAt,N(INDEX('Deal maths'!$O$1:$O$2000,$Y306-1997+3))))</f>
        <v/>
      </c>
      <c r="J306" s="99" t="str">
        <f>IF($Y306="","",IF($Y306&lt;=1997,INDEX('Term investments'!$J$1:$J$2000,$Y306+3),INDEX('Call accounts and MMFs'!$G$1:$G$2000,$Y306-1997+3))&amp;"")</f>
        <v/>
      </c>
      <c r="K306" s="92" t="str">
        <f>IF($Y306="","",N(E306)*N(F306))</f>
        <v/>
      </c>
      <c r="L306" s="100" t="str">
        <f>IF($Y306="","",IF($Y306&lt;=1997,"Term investments, row "&amp;($Y306+3),"Call accounts and MMFs, row "&amp;($Y306-1997+3)))</f>
        <v/>
      </c>
      <c r="Y306" t="str">
        <f>IFERROR(MATCH(SMALL('List maths'!$E$4:$E$3997,298),'List maths'!$E$4:$E$3997,0),"")</f>
        <v/>
      </c>
    </row>
    <row r="307">
      <c r="B307" s="91" t="str">
        <f>IF($Y307="","",IF($Y307&lt;=1997,INDEX('Term investments'!$B$1:$B$2000,$Y307+3),INDEX('Call accounts and MMFs'!$B$1:$B$2000,$Y307-1997+3))&amp;"")</f>
        <v/>
      </c>
      <c r="C307" s="91" t="str">
        <f>IF($Y307="","",IF($Y307&lt;=1997,INDEX('Term investments'!$A$1:$A$2000,$Y307+3),INDEX('Call accounts and MMFs'!$A$1:$A$2000,$Y307-1997+3))&amp;"")</f>
        <v/>
      </c>
      <c r="D307" s="91" t="str">
        <f>IF($Y307="","",IF($Y307&lt;=1997,INDEX('Term investments'!$C$1:$C$2000,$Y307+3),INDEX('Call accounts and MMFs'!$C$1:$C$2000,$Y307-1997+3))&amp;"")</f>
        <v/>
      </c>
      <c r="E307" s="92" t="str">
        <f>IF($Y307="","",IF($Y307&lt;=1997,IF(N(INDEX('Deal maths'!$H$1:$H$2000,$Y307+3))&gt;0,N(INDEX('Deal maths'!$H$1:$H$2000,$Y307+3)),N(INDEX('Deal maths'!$D$1:$D$2000,$Y307+3))),N(INDEX('Deal maths'!$M$1:$M$2000,$Y307-1997+3))))</f>
        <v/>
      </c>
      <c r="F307" s="93" t="str">
        <f>IF($Y307="","",IF($Y307&lt;=1997,INDEX('Deal maths'!$G$1:$G$2000,$Y307+3),INDEX('Deal maths'!$N$1:$N$2000,$Y307-1997+3)))</f>
        <v/>
      </c>
      <c r="G307" s="94" t="str">
        <f>IF($Y307="","",IF($Y307&lt;=1997,INDEX('Deal maths'!$E$1:$E$2000,$Y307+3),""))</f>
        <v/>
      </c>
      <c r="H307" s="94" t="str">
        <f>IF($Y307="","",IF($Y307&lt;=1997,INDEX('Deal maths'!$F$1:$F$2000,$Y307+3),""))</f>
        <v/>
      </c>
      <c r="I307" s="98" t="str">
        <f>IF($Y307="","",IF($Y307&lt;=1997,N(INDEX('Deal maths'!$F$1:$F$2000,$Y307+3))-AsAt,N(INDEX('Deal maths'!$O$1:$O$2000,$Y307-1997+3))))</f>
        <v/>
      </c>
      <c r="J307" s="99" t="str">
        <f>IF($Y307="","",IF($Y307&lt;=1997,INDEX('Term investments'!$J$1:$J$2000,$Y307+3),INDEX('Call accounts and MMFs'!$G$1:$G$2000,$Y307-1997+3))&amp;"")</f>
        <v/>
      </c>
      <c r="K307" s="92" t="str">
        <f>IF($Y307="","",N(E307)*N(F307))</f>
        <v/>
      </c>
      <c r="L307" s="100" t="str">
        <f>IF($Y307="","",IF($Y307&lt;=1997,"Term investments, row "&amp;($Y307+3),"Call accounts and MMFs, row "&amp;($Y307-1997+3)))</f>
        <v/>
      </c>
      <c r="Y307" t="str">
        <f>IFERROR(MATCH(SMALL('List maths'!$E$4:$E$3997,299),'List maths'!$E$4:$E$3997,0),"")</f>
        <v/>
      </c>
    </row>
    <row r="308">
      <c r="B308" s="91" t="str">
        <f>IF($Y308="","",IF($Y308&lt;=1997,INDEX('Term investments'!$B$1:$B$2000,$Y308+3),INDEX('Call accounts and MMFs'!$B$1:$B$2000,$Y308-1997+3))&amp;"")</f>
        <v/>
      </c>
      <c r="C308" s="91" t="str">
        <f>IF($Y308="","",IF($Y308&lt;=1997,INDEX('Term investments'!$A$1:$A$2000,$Y308+3),INDEX('Call accounts and MMFs'!$A$1:$A$2000,$Y308-1997+3))&amp;"")</f>
        <v/>
      </c>
      <c r="D308" s="91" t="str">
        <f>IF($Y308="","",IF($Y308&lt;=1997,INDEX('Term investments'!$C$1:$C$2000,$Y308+3),INDEX('Call accounts and MMFs'!$C$1:$C$2000,$Y308-1997+3))&amp;"")</f>
        <v/>
      </c>
      <c r="E308" s="92" t="str">
        <f>IF($Y308="","",IF($Y308&lt;=1997,IF(N(INDEX('Deal maths'!$H$1:$H$2000,$Y308+3))&gt;0,N(INDEX('Deal maths'!$H$1:$H$2000,$Y308+3)),N(INDEX('Deal maths'!$D$1:$D$2000,$Y308+3))),N(INDEX('Deal maths'!$M$1:$M$2000,$Y308-1997+3))))</f>
        <v/>
      </c>
      <c r="F308" s="93" t="str">
        <f>IF($Y308="","",IF($Y308&lt;=1997,INDEX('Deal maths'!$G$1:$G$2000,$Y308+3),INDEX('Deal maths'!$N$1:$N$2000,$Y308-1997+3)))</f>
        <v/>
      </c>
      <c r="G308" s="94" t="str">
        <f>IF($Y308="","",IF($Y308&lt;=1997,INDEX('Deal maths'!$E$1:$E$2000,$Y308+3),""))</f>
        <v/>
      </c>
      <c r="H308" s="94" t="str">
        <f>IF($Y308="","",IF($Y308&lt;=1997,INDEX('Deal maths'!$F$1:$F$2000,$Y308+3),""))</f>
        <v/>
      </c>
      <c r="I308" s="98" t="str">
        <f>IF($Y308="","",IF($Y308&lt;=1997,N(INDEX('Deal maths'!$F$1:$F$2000,$Y308+3))-AsAt,N(INDEX('Deal maths'!$O$1:$O$2000,$Y308-1997+3))))</f>
        <v/>
      </c>
      <c r="J308" s="99" t="str">
        <f>IF($Y308="","",IF($Y308&lt;=1997,INDEX('Term investments'!$J$1:$J$2000,$Y308+3),INDEX('Call accounts and MMFs'!$G$1:$G$2000,$Y308-1997+3))&amp;"")</f>
        <v/>
      </c>
      <c r="K308" s="92" t="str">
        <f>IF($Y308="","",N(E308)*N(F308))</f>
        <v/>
      </c>
      <c r="L308" s="100" t="str">
        <f>IF($Y308="","",IF($Y308&lt;=1997,"Term investments, row "&amp;($Y308+3),"Call accounts and MMFs, row "&amp;($Y308-1997+3)))</f>
        <v/>
      </c>
      <c r="Y308" t="str">
        <f>IFERROR(MATCH(SMALL('List maths'!$E$4:$E$3997,300),'List maths'!$E$4:$E$3997,0),"")</f>
        <v/>
      </c>
    </row>
  </sheetData>
  <sheetProtection selectLockedCells="0" selectUnlockedCells="0" sheet="1" objects="0" insertRows="1" insertHyperlinks="1" autoFilter="1" scenarios="0" formatColumns="0" deleteColumns="1" insertColumns="1" pivotTables="1" deleteRows="1" formatCells="1" formatRows="0" sort="1"/>
  <mergeCells count="1">
    <mergeCell ref="B2:L2"/>
  </mergeCells>
  <conditionalFormatting sqref="B9:L308">
    <cfRule type="expression" priority="1" dxfId="7">
      <formula>$Y9&lt;&gt;""</formula>
    </cfRule>
  </conditionalFormatting>
  <hyperlinks>
    <hyperlink xmlns:r="http://schemas.openxmlformats.org/officeDocument/2006/relationships" ref="N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2.xml><?xml version="1.0" encoding="utf-8"?>
<worksheet xmlns="http://schemas.openxmlformats.org/spreadsheetml/2006/main">
  <sheetPr>
    <tabColor rgb="00FD7E14"/>
    <outlinePr summaryBelow="1" summaryRight="1"/>
    <pageSetUpPr fitToPage="1"/>
  </sheetPr>
  <dimension ref="A1:V17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9" customWidth="1" min="17" max="17"/>
    <col width="9" customWidth="1" min="18" max="18"/>
    <col width="9" customWidth="1" min="19" max="19"/>
    <col width="9" customWidth="1" min="20" max="20"/>
  </cols>
  <sheetData>
    <row r="1" ht="36" customHeight="1">
      <c r="A1" s="21" t="inlineStr">
        <is>
          <t>Benchmark</t>
        </is>
      </c>
      <c r="B1" s="2" t="n"/>
      <c r="C1" s="2" t="n"/>
      <c r="D1" s="2" t="n"/>
      <c r="E1" s="2" t="n"/>
      <c r="F1" s="2" t="n"/>
      <c r="G1" s="2" t="n"/>
      <c r="H1" s="2" t="n"/>
      <c r="I1" s="2" t="n"/>
      <c r="J1" s="2" t="n"/>
      <c r="K1" s="2" t="n"/>
      <c r="L1" s="2" t="n"/>
      <c r="M1" s="2" t="n"/>
      <c r="N1" s="2" t="n"/>
      <c r="O1" s="2" t="n"/>
      <c r="P1" s="2" t="n"/>
      <c r="Q1" s="2" t="n"/>
      <c r="R1" s="2" t="n"/>
      <c r="S1" s="2" t="n"/>
      <c r="T1" s="22" t="inlineStr">
        <is>
          <t>the liability benchmark and the other indicators, from the Projections sheet</t>
        </is>
      </c>
      <c r="V1" s="23" t="inlineStr">
        <is>
          <t>◂ Start here</t>
        </is>
      </c>
    </row>
    <row r="2" ht="70" customHeight="1">
      <c r="A2" s="45" t="inlineStr">
        <is>
          <t>The Prudential Code's liability benchmark and the indicators around it, worked from the Projections sheet and the loans as they run off, with the five charts the consultation draws (LB1 to LB5), for the whole authority, the General Fund and the HRA. Nothing to type: change the Projections sheet, the Loans sheet or Settings and this follows. The HRA block is nil under None; under One pool the HRA has no loans of its own and no liquidity allowance; under Two pools its benchmark is its net treasury position. Existing loans are the figures typed on Projections if any are, else the Loans sheet by instalment, by fund under Two pools; existing investments likewise, else the investment sheets — everything held at the first year end, then the term deals by maturity. The report tool works the same figures the same way; this sheet is for checking and for Excel.</t>
        </is>
      </c>
    </row>
    <row r="3">
      <c r="B3" s="101" t="inlineStr">
        <is>
          <t>Existing loans</t>
        </is>
      </c>
      <c r="C3" s="48" t="str">
        <f>IF(R3,"as typed on the Projections sheet","the Loans sheet, as the loans run off")</f>
        <v>the Loans sheet, as the loans run off</v>
      </c>
      <c r="E3" s="101" t="inlineStr">
        <is>
          <t>HRA</t>
        </is>
      </c>
      <c r="F3" s="48" t="str">
        <f>HRA</f>
        <v>None</v>
      </c>
      <c r="Q3" s="38" t="inlineStr">
        <is>
          <t>loans typed?</t>
        </is>
      </c>
      <c r="R3" s="38" t="b">
        <f>(COUNT('Projections'!$F$7:$F$57)+(HRA="Two pools")*COUNT('Projections'!$F$63:$F$113))&gt;0</f>
        <v>0</v>
      </c>
    </row>
    <row r="4">
      <c r="B4" s="101" t="inlineStr">
        <is>
          <t>Existing investments</t>
        </is>
      </c>
      <c r="C4" s="48" t="str">
        <f>IF(R4,"as typed on the Projections sheet","the investment sheets, as the term deals mature")</f>
        <v>the investment sheets, as the term deals mature</v>
      </c>
      <c r="Q4" s="38" t="inlineStr">
        <is>
          <t>investments typed?</t>
        </is>
      </c>
      <c r="R4" s="38" t="b">
        <f>COUNT('Projections'!$G$7:$G$57)&gt;0</f>
        <v>0</v>
      </c>
    </row>
    <row r="5"/>
    <row r="6" ht="18" customHeight="1">
      <c r="A6" s="8" t="inlineStr">
        <is>
          <t>Whole authority</t>
        </is>
      </c>
      <c r="D6" s="38" t="inlineStr">
        <is>
          <t>the two funds together: an internal charge is not a cost of the authority, so nothing here depends on the inter-fund columns</t>
        </is>
      </c>
    </row>
    <row r="7" ht="40" customHeight="1">
      <c r="A7" s="53" t="inlineStr">
        <is>
          <t>Year end</t>
        </is>
      </c>
      <c r="B7" s="54" t="inlineStr">
        <is>
          <t>Capital financing requirement</t>
        </is>
      </c>
      <c r="C7" s="54" t="inlineStr">
        <is>
          <t>Other balance sheet items</t>
        </is>
      </c>
      <c r="D7" s="54" t="inlineStr">
        <is>
          <t>Liquidity allowance</t>
        </is>
      </c>
      <c r="E7" s="54" t="inlineStr">
        <is>
          <t>Existing loan commitments</t>
        </is>
      </c>
      <c r="F7" s="54" t="inlineStr">
        <is>
          <t>Existing investment commitments</t>
        </is>
      </c>
      <c r="G7" s="54" t="inlineStr">
        <is>
          <t>Net treasury position</t>
        </is>
      </c>
      <c r="H7" s="54" t="inlineStr">
        <is>
          <t>Treasury investment benchmark</t>
        </is>
      </c>
      <c r="I7" s="54" t="inlineStr">
        <is>
          <t>Liability benchmark</t>
        </is>
      </c>
      <c r="J7" s="54" t="inlineStr">
        <is>
          <t>Borrowing requirement</t>
        </is>
      </c>
      <c r="K7" s="54" t="inlineStr">
        <is>
          <t>Above-benchmark borrowing</t>
        </is>
      </c>
      <c r="L7" s="54" t="inlineStr">
        <is>
          <t>Investment balance</t>
        </is>
      </c>
      <c r="M7" s="54" t="inlineStr">
        <is>
          <t>Strategic investments</t>
        </is>
      </c>
      <c r="N7" s="54" t="inlineStr">
        <is>
          <t>Excess investments</t>
        </is>
      </c>
      <c r="O7" s="54" t="inlineStr">
        <is>
          <t>Authorised limit</t>
        </is>
      </c>
      <c r="P7" s="102" t="inlineStr">
        <is>
          <t>Year end date</t>
        </is>
      </c>
      <c r="Q7" s="102" t="inlineStr">
        <is>
          <t>Borrowing requirement, signed</t>
        </is>
      </c>
      <c r="R7" s="102" t="inlineStr">
        <is>
          <t>Other balance sheet items, negated</t>
        </is>
      </c>
      <c r="S7" s="102" t="inlineStr">
        <is>
          <t>Existing investments, negated</t>
        </is>
      </c>
      <c r="T7" s="102" t="inlineStr">
        <is>
          <t>Investment benchmark, negated</t>
        </is>
      </c>
    </row>
    <row r="8" ht="15" customHeight="1">
      <c r="A8" s="55" t="str">
        <f>(YEAR(AsAt)-(MONTH(AsAt)&lt;4)+0)&amp;"/"&amp;RIGHT((YEAR(AsAt)-(MONTH(AsAt)&lt;4)+0)+1,2)</f>
        <v>2026/27</v>
      </c>
      <c r="B8" s="103">
        <f>B64+B120</f>
        <v>0</v>
      </c>
      <c r="C8" s="103">
        <f>C64+C120</f>
        <v>0</v>
      </c>
      <c r="D8" s="103">
        <f>D64</f>
        <v>0</v>
      </c>
      <c r="E8" s="103">
        <f>E64+E120</f>
        <v>0</v>
      </c>
      <c r="F8" s="103">
        <f>F64</f>
        <v>0</v>
      </c>
      <c r="G8" s="103">
        <f>B8-C8</f>
        <v>0</v>
      </c>
      <c r="H8" s="103">
        <f>MAX(D8,-G8)</f>
        <v>0</v>
      </c>
      <c r="I8" s="103">
        <f>G8+H8</f>
        <v>0</v>
      </c>
      <c r="J8" s="103">
        <f>MAX(0,I8-E8)</f>
        <v>0</v>
      </c>
      <c r="K8" s="103">
        <f>MAX(0,E8-MAX(0,I8))</f>
        <v>0</v>
      </c>
      <c r="L8" s="103">
        <f>MAX(0,E8+J8-G8)</f>
        <v>0</v>
      </c>
      <c r="M8" s="103">
        <f>MAX(0,H8-D8)</f>
        <v>0</v>
      </c>
      <c r="N8" s="103">
        <f>MAX(0,L8-H8)</f>
        <v>0</v>
      </c>
      <c r="O8" s="103">
        <f>MAX(MAX(I$8:I$58),MAX(E$8:E$58))</f>
        <v>0</v>
      </c>
      <c r="P8" s="104">
        <f>DATE((YEAR(AsAt)-(MONTH(AsAt)&lt;4)+0)+1,3,31)</f>
        <v>46477.0</v>
      </c>
      <c r="Q8" s="105">
        <f>J8-K8</f>
        <v>0</v>
      </c>
      <c r="R8" s="105">
        <f>-C8</f>
        <v>0</v>
      </c>
      <c r="S8" s="105">
        <f>-F8</f>
        <v>0</v>
      </c>
      <c r="T8" s="105">
        <f>-H8</f>
        <v>0</v>
      </c>
    </row>
    <row r="9" ht="15" customHeight="1">
      <c r="A9" s="55" t="str">
        <f>(YEAR(AsAt)-(MONTH(AsAt)&lt;4)+1)&amp;"/"&amp;RIGHT((YEAR(AsAt)-(MONTH(AsAt)&lt;4)+1)+1,2)</f>
        <v>2027/28</v>
      </c>
      <c r="B9" s="103">
        <f>B65+B121</f>
        <v>0</v>
      </c>
      <c r="C9" s="103">
        <f>C65+C121</f>
        <v>0</v>
      </c>
      <c r="D9" s="103">
        <f>D65</f>
        <v>0</v>
      </c>
      <c r="E9" s="103">
        <f>E65+E121</f>
        <v>0</v>
      </c>
      <c r="F9" s="103">
        <f>F65</f>
        <v>0</v>
      </c>
      <c r="G9" s="103">
        <f>B9-C9</f>
        <v>0</v>
      </c>
      <c r="H9" s="103">
        <f>MAX(D9,-G9)</f>
        <v>0</v>
      </c>
      <c r="I9" s="103">
        <f>G9+H9</f>
        <v>0</v>
      </c>
      <c r="J9" s="103">
        <f>MAX(0,I9-E9)</f>
        <v>0</v>
      </c>
      <c r="K9" s="103">
        <f>MAX(0,E9-MAX(0,I9))</f>
        <v>0</v>
      </c>
      <c r="L9" s="103">
        <f>MAX(0,E9+J9-G9)</f>
        <v>0</v>
      </c>
      <c r="M9" s="103">
        <f>MAX(0,H9-D9)</f>
        <v>0</v>
      </c>
      <c r="N9" s="103">
        <f>MAX(0,L9-H9)</f>
        <v>0</v>
      </c>
      <c r="O9" s="103">
        <f>MAX(MAX(I$8:I$58),MAX(E$8:E$58))</f>
        <v>0</v>
      </c>
      <c r="P9" s="104">
        <f>DATE((YEAR(AsAt)-(MONTH(AsAt)&lt;4)+1)+1,3,31)</f>
        <v>46843.0</v>
      </c>
      <c r="Q9" s="105">
        <f>J9-K9</f>
        <v>0</v>
      </c>
      <c r="R9" s="105">
        <f>-C9</f>
        <v>0</v>
      </c>
      <c r="S9" s="105">
        <f>-F9</f>
        <v>0</v>
      </c>
      <c r="T9" s="105">
        <f>-H9</f>
        <v>0</v>
      </c>
    </row>
    <row r="10" ht="15" customHeight="1">
      <c r="A10" s="55" t="str">
        <f>(YEAR(AsAt)-(MONTH(AsAt)&lt;4)+2)&amp;"/"&amp;RIGHT((YEAR(AsAt)-(MONTH(AsAt)&lt;4)+2)+1,2)</f>
        <v>2028/29</v>
      </c>
      <c r="B10" s="103">
        <f>B66+B122</f>
        <v>0</v>
      </c>
      <c r="C10" s="103">
        <f>C66+C122</f>
        <v>0</v>
      </c>
      <c r="D10" s="103">
        <f>D66</f>
        <v>0</v>
      </c>
      <c r="E10" s="103">
        <f>E66+E122</f>
        <v>0</v>
      </c>
      <c r="F10" s="103">
        <f>F66</f>
        <v>0</v>
      </c>
      <c r="G10" s="103">
        <f>B10-C10</f>
        <v>0</v>
      </c>
      <c r="H10" s="103">
        <f>MAX(D10,-G10)</f>
        <v>0</v>
      </c>
      <c r="I10" s="103">
        <f>G10+H10</f>
        <v>0</v>
      </c>
      <c r="J10" s="103">
        <f>MAX(0,I10-E10)</f>
        <v>0</v>
      </c>
      <c r="K10" s="103">
        <f>MAX(0,E10-MAX(0,I10))</f>
        <v>0</v>
      </c>
      <c r="L10" s="103">
        <f>MAX(0,E10+J10-G10)</f>
        <v>0</v>
      </c>
      <c r="M10" s="103">
        <f>MAX(0,H10-D10)</f>
        <v>0</v>
      </c>
      <c r="N10" s="103">
        <f>MAX(0,L10-H10)</f>
        <v>0</v>
      </c>
      <c r="O10" s="103">
        <f>MAX(MAX(I$8:I$58),MAX(E$8:E$58))</f>
        <v>0</v>
      </c>
      <c r="P10" s="104">
        <f>DATE((YEAR(AsAt)-(MONTH(AsAt)&lt;4)+2)+1,3,31)</f>
        <v>47208.0</v>
      </c>
      <c r="Q10" s="105">
        <f>J10-K10</f>
        <v>0</v>
      </c>
      <c r="R10" s="105">
        <f>-C10</f>
        <v>0</v>
      </c>
      <c r="S10" s="105">
        <f>-F10</f>
        <v>0</v>
      </c>
      <c r="T10" s="105">
        <f>-H10</f>
        <v>0</v>
      </c>
    </row>
    <row r="11" ht="15" customHeight="1">
      <c r="A11" s="55" t="str">
        <f>(YEAR(AsAt)-(MONTH(AsAt)&lt;4)+3)&amp;"/"&amp;RIGHT((YEAR(AsAt)-(MONTH(AsAt)&lt;4)+3)+1,2)</f>
        <v>2029/30</v>
      </c>
      <c r="B11" s="103">
        <f>B67+B123</f>
        <v>0</v>
      </c>
      <c r="C11" s="103">
        <f>C67+C123</f>
        <v>0</v>
      </c>
      <c r="D11" s="103">
        <f>D67</f>
        <v>0</v>
      </c>
      <c r="E11" s="103">
        <f>E67+E123</f>
        <v>0</v>
      </c>
      <c r="F11" s="103">
        <f>F67</f>
        <v>0</v>
      </c>
      <c r="G11" s="103">
        <f>B11-C11</f>
        <v>0</v>
      </c>
      <c r="H11" s="103">
        <f>MAX(D11,-G11)</f>
        <v>0</v>
      </c>
      <c r="I11" s="103">
        <f>G11+H11</f>
        <v>0</v>
      </c>
      <c r="J11" s="103">
        <f>MAX(0,I11-E11)</f>
        <v>0</v>
      </c>
      <c r="K11" s="103">
        <f>MAX(0,E11-MAX(0,I11))</f>
        <v>0</v>
      </c>
      <c r="L11" s="103">
        <f>MAX(0,E11+J11-G11)</f>
        <v>0</v>
      </c>
      <c r="M11" s="103">
        <f>MAX(0,H11-D11)</f>
        <v>0</v>
      </c>
      <c r="N11" s="103">
        <f>MAX(0,L11-H11)</f>
        <v>0</v>
      </c>
      <c r="O11" s="103">
        <f>MAX(MAX(I$8:I$58),MAX(E$8:E$58))</f>
        <v>0</v>
      </c>
      <c r="P11" s="104">
        <f>DATE((YEAR(AsAt)-(MONTH(AsAt)&lt;4)+3)+1,3,31)</f>
        <v>47573.0</v>
      </c>
      <c r="Q11" s="105">
        <f>J11-K11</f>
        <v>0</v>
      </c>
      <c r="R11" s="105">
        <f>-C11</f>
        <v>0</v>
      </c>
      <c r="S11" s="105">
        <f>-F11</f>
        <v>0</v>
      </c>
      <c r="T11" s="105">
        <f>-H11</f>
        <v>0</v>
      </c>
    </row>
    <row r="12" ht="15" customHeight="1">
      <c r="A12" s="55" t="str">
        <f>(YEAR(AsAt)-(MONTH(AsAt)&lt;4)+4)&amp;"/"&amp;RIGHT((YEAR(AsAt)-(MONTH(AsAt)&lt;4)+4)+1,2)</f>
        <v>2030/31</v>
      </c>
      <c r="B12" s="103">
        <f>B68+B124</f>
        <v>0</v>
      </c>
      <c r="C12" s="103">
        <f>C68+C124</f>
        <v>0</v>
      </c>
      <c r="D12" s="103">
        <f>D68</f>
        <v>0</v>
      </c>
      <c r="E12" s="103">
        <f>E68+E124</f>
        <v>0</v>
      </c>
      <c r="F12" s="103">
        <f>F68</f>
        <v>0</v>
      </c>
      <c r="G12" s="103">
        <f>B12-C12</f>
        <v>0</v>
      </c>
      <c r="H12" s="103">
        <f>MAX(D12,-G12)</f>
        <v>0</v>
      </c>
      <c r="I12" s="103">
        <f>G12+H12</f>
        <v>0</v>
      </c>
      <c r="J12" s="103">
        <f>MAX(0,I12-E12)</f>
        <v>0</v>
      </c>
      <c r="K12" s="103">
        <f>MAX(0,E12-MAX(0,I12))</f>
        <v>0</v>
      </c>
      <c r="L12" s="103">
        <f>MAX(0,E12+J12-G12)</f>
        <v>0</v>
      </c>
      <c r="M12" s="103">
        <f>MAX(0,H12-D12)</f>
        <v>0</v>
      </c>
      <c r="N12" s="103">
        <f>MAX(0,L12-H12)</f>
        <v>0</v>
      </c>
      <c r="O12" s="103">
        <f>MAX(MAX(I$8:I$58),MAX(E$8:E$58))</f>
        <v>0</v>
      </c>
      <c r="P12" s="104">
        <f>DATE((YEAR(AsAt)-(MONTH(AsAt)&lt;4)+4)+1,3,31)</f>
        <v>47938.0</v>
      </c>
      <c r="Q12" s="105">
        <f>J12-K12</f>
        <v>0</v>
      </c>
      <c r="R12" s="105">
        <f>-C12</f>
        <v>0</v>
      </c>
      <c r="S12" s="105">
        <f>-F12</f>
        <v>0</v>
      </c>
      <c r="T12" s="105">
        <f>-H12</f>
        <v>0</v>
      </c>
    </row>
    <row r="13" ht="15" customHeight="1">
      <c r="A13" s="55" t="str">
        <f>(YEAR(AsAt)-(MONTH(AsAt)&lt;4)+5)&amp;"/"&amp;RIGHT((YEAR(AsAt)-(MONTH(AsAt)&lt;4)+5)+1,2)</f>
        <v>2031/32</v>
      </c>
      <c r="B13" s="103">
        <f>B69+B125</f>
        <v>0</v>
      </c>
      <c r="C13" s="103">
        <f>C69+C125</f>
        <v>0</v>
      </c>
      <c r="D13" s="103">
        <f>D69</f>
        <v>0</v>
      </c>
      <c r="E13" s="103">
        <f>E69+E125</f>
        <v>0</v>
      </c>
      <c r="F13" s="103">
        <f>F69</f>
        <v>0</v>
      </c>
      <c r="G13" s="103">
        <f>B13-C13</f>
        <v>0</v>
      </c>
      <c r="H13" s="103">
        <f>MAX(D13,-G13)</f>
        <v>0</v>
      </c>
      <c r="I13" s="103">
        <f>G13+H13</f>
        <v>0</v>
      </c>
      <c r="J13" s="103">
        <f>MAX(0,I13-E13)</f>
        <v>0</v>
      </c>
      <c r="K13" s="103">
        <f>MAX(0,E13-MAX(0,I13))</f>
        <v>0</v>
      </c>
      <c r="L13" s="103">
        <f>MAX(0,E13+J13-G13)</f>
        <v>0</v>
      </c>
      <c r="M13" s="103">
        <f>MAX(0,H13-D13)</f>
        <v>0</v>
      </c>
      <c r="N13" s="103">
        <f>MAX(0,L13-H13)</f>
        <v>0</v>
      </c>
      <c r="O13" s="103">
        <f>MAX(MAX(I$8:I$58),MAX(E$8:E$58))</f>
        <v>0</v>
      </c>
      <c r="P13" s="104">
        <f>DATE((YEAR(AsAt)-(MONTH(AsAt)&lt;4)+5)+1,3,31)</f>
        <v>48304.0</v>
      </c>
      <c r="Q13" s="105">
        <f>J13-K13</f>
        <v>0</v>
      </c>
      <c r="R13" s="105">
        <f>-C13</f>
        <v>0</v>
      </c>
      <c r="S13" s="105">
        <f>-F13</f>
        <v>0</v>
      </c>
      <c r="T13" s="105">
        <f>-H13</f>
        <v>0</v>
      </c>
    </row>
    <row r="14" ht="15" customHeight="1">
      <c r="A14" s="55" t="str">
        <f>(YEAR(AsAt)-(MONTH(AsAt)&lt;4)+6)&amp;"/"&amp;RIGHT((YEAR(AsAt)-(MONTH(AsAt)&lt;4)+6)+1,2)</f>
        <v>2032/33</v>
      </c>
      <c r="B14" s="103">
        <f>B70+B126</f>
        <v>0</v>
      </c>
      <c r="C14" s="103">
        <f>C70+C126</f>
        <v>0</v>
      </c>
      <c r="D14" s="103">
        <f>D70</f>
        <v>0</v>
      </c>
      <c r="E14" s="103">
        <f>E70+E126</f>
        <v>0</v>
      </c>
      <c r="F14" s="103">
        <f>F70</f>
        <v>0</v>
      </c>
      <c r="G14" s="103">
        <f>B14-C14</f>
        <v>0</v>
      </c>
      <c r="H14" s="103">
        <f>MAX(D14,-G14)</f>
        <v>0</v>
      </c>
      <c r="I14" s="103">
        <f>G14+H14</f>
        <v>0</v>
      </c>
      <c r="J14" s="103">
        <f>MAX(0,I14-E14)</f>
        <v>0</v>
      </c>
      <c r="K14" s="103">
        <f>MAX(0,E14-MAX(0,I14))</f>
        <v>0</v>
      </c>
      <c r="L14" s="103">
        <f>MAX(0,E14+J14-G14)</f>
        <v>0</v>
      </c>
      <c r="M14" s="103">
        <f>MAX(0,H14-D14)</f>
        <v>0</v>
      </c>
      <c r="N14" s="103">
        <f>MAX(0,L14-H14)</f>
        <v>0</v>
      </c>
      <c r="O14" s="103">
        <f>MAX(MAX(I$8:I$58),MAX(E$8:E$58))</f>
        <v>0</v>
      </c>
      <c r="P14" s="104">
        <f>DATE((YEAR(AsAt)-(MONTH(AsAt)&lt;4)+6)+1,3,31)</f>
        <v>48669.0</v>
      </c>
      <c r="Q14" s="105">
        <f>J14-K14</f>
        <v>0</v>
      </c>
      <c r="R14" s="105">
        <f>-C14</f>
        <v>0</v>
      </c>
      <c r="S14" s="105">
        <f>-F14</f>
        <v>0</v>
      </c>
      <c r="T14" s="105">
        <f>-H14</f>
        <v>0</v>
      </c>
    </row>
    <row r="15" ht="15" customHeight="1">
      <c r="A15" s="55" t="str">
        <f>(YEAR(AsAt)-(MONTH(AsAt)&lt;4)+7)&amp;"/"&amp;RIGHT((YEAR(AsAt)-(MONTH(AsAt)&lt;4)+7)+1,2)</f>
        <v>2033/34</v>
      </c>
      <c r="B15" s="103">
        <f>B71+B127</f>
        <v>0</v>
      </c>
      <c r="C15" s="103">
        <f>C71+C127</f>
        <v>0</v>
      </c>
      <c r="D15" s="103">
        <f>D71</f>
        <v>0</v>
      </c>
      <c r="E15" s="103">
        <f>E71+E127</f>
        <v>0</v>
      </c>
      <c r="F15" s="103">
        <f>F71</f>
        <v>0</v>
      </c>
      <c r="G15" s="103">
        <f>B15-C15</f>
        <v>0</v>
      </c>
      <c r="H15" s="103">
        <f>MAX(D15,-G15)</f>
        <v>0</v>
      </c>
      <c r="I15" s="103">
        <f>G15+H15</f>
        <v>0</v>
      </c>
      <c r="J15" s="103">
        <f>MAX(0,I15-E15)</f>
        <v>0</v>
      </c>
      <c r="K15" s="103">
        <f>MAX(0,E15-MAX(0,I15))</f>
        <v>0</v>
      </c>
      <c r="L15" s="103">
        <f>MAX(0,E15+J15-G15)</f>
        <v>0</v>
      </c>
      <c r="M15" s="103">
        <f>MAX(0,H15-D15)</f>
        <v>0</v>
      </c>
      <c r="N15" s="103">
        <f>MAX(0,L15-H15)</f>
        <v>0</v>
      </c>
      <c r="O15" s="103">
        <f>MAX(MAX(I$8:I$58),MAX(E$8:E$58))</f>
        <v>0</v>
      </c>
      <c r="P15" s="104">
        <f>DATE((YEAR(AsAt)-(MONTH(AsAt)&lt;4)+7)+1,3,31)</f>
        <v>49034.0</v>
      </c>
      <c r="Q15" s="105">
        <f>J15-K15</f>
        <v>0</v>
      </c>
      <c r="R15" s="105">
        <f>-C15</f>
        <v>0</v>
      </c>
      <c r="S15" s="105">
        <f>-F15</f>
        <v>0</v>
      </c>
      <c r="T15" s="105">
        <f>-H15</f>
        <v>0</v>
      </c>
    </row>
    <row r="16" ht="15" customHeight="1">
      <c r="A16" s="55" t="str">
        <f>(YEAR(AsAt)-(MONTH(AsAt)&lt;4)+8)&amp;"/"&amp;RIGHT((YEAR(AsAt)-(MONTH(AsAt)&lt;4)+8)+1,2)</f>
        <v>2034/35</v>
      </c>
      <c r="B16" s="103">
        <f>B72+B128</f>
        <v>0</v>
      </c>
      <c r="C16" s="103">
        <f>C72+C128</f>
        <v>0</v>
      </c>
      <c r="D16" s="103">
        <f>D72</f>
        <v>0</v>
      </c>
      <c r="E16" s="103">
        <f>E72+E128</f>
        <v>0</v>
      </c>
      <c r="F16" s="103">
        <f>F72</f>
        <v>0</v>
      </c>
      <c r="G16" s="103">
        <f>B16-C16</f>
        <v>0</v>
      </c>
      <c r="H16" s="103">
        <f>MAX(D16,-G16)</f>
        <v>0</v>
      </c>
      <c r="I16" s="103">
        <f>G16+H16</f>
        <v>0</v>
      </c>
      <c r="J16" s="103">
        <f>MAX(0,I16-E16)</f>
        <v>0</v>
      </c>
      <c r="K16" s="103">
        <f>MAX(0,E16-MAX(0,I16))</f>
        <v>0</v>
      </c>
      <c r="L16" s="103">
        <f>MAX(0,E16+J16-G16)</f>
        <v>0</v>
      </c>
      <c r="M16" s="103">
        <f>MAX(0,H16-D16)</f>
        <v>0</v>
      </c>
      <c r="N16" s="103">
        <f>MAX(0,L16-H16)</f>
        <v>0</v>
      </c>
      <c r="O16" s="103">
        <f>MAX(MAX(I$8:I$58),MAX(E$8:E$58))</f>
        <v>0</v>
      </c>
      <c r="P16" s="104">
        <f>DATE((YEAR(AsAt)-(MONTH(AsAt)&lt;4)+8)+1,3,31)</f>
        <v>49399.0</v>
      </c>
      <c r="Q16" s="105">
        <f>J16-K16</f>
        <v>0</v>
      </c>
      <c r="R16" s="105">
        <f>-C16</f>
        <v>0</v>
      </c>
      <c r="S16" s="105">
        <f>-F16</f>
        <v>0</v>
      </c>
      <c r="T16" s="105">
        <f>-H16</f>
        <v>0</v>
      </c>
    </row>
    <row r="17" ht="15" customHeight="1">
      <c r="A17" s="55" t="str">
        <f>(YEAR(AsAt)-(MONTH(AsAt)&lt;4)+9)&amp;"/"&amp;RIGHT((YEAR(AsAt)-(MONTH(AsAt)&lt;4)+9)+1,2)</f>
        <v>2035/36</v>
      </c>
      <c r="B17" s="103">
        <f>B73+B129</f>
        <v>0</v>
      </c>
      <c r="C17" s="103">
        <f>C73+C129</f>
        <v>0</v>
      </c>
      <c r="D17" s="103">
        <f>D73</f>
        <v>0</v>
      </c>
      <c r="E17" s="103">
        <f>E73+E129</f>
        <v>0</v>
      </c>
      <c r="F17" s="103">
        <f>F73</f>
        <v>0</v>
      </c>
      <c r="G17" s="103">
        <f>B17-C17</f>
        <v>0</v>
      </c>
      <c r="H17" s="103">
        <f>MAX(D17,-G17)</f>
        <v>0</v>
      </c>
      <c r="I17" s="103">
        <f>G17+H17</f>
        <v>0</v>
      </c>
      <c r="J17" s="103">
        <f>MAX(0,I17-E17)</f>
        <v>0</v>
      </c>
      <c r="K17" s="103">
        <f>MAX(0,E17-MAX(0,I17))</f>
        <v>0</v>
      </c>
      <c r="L17" s="103">
        <f>MAX(0,E17+J17-G17)</f>
        <v>0</v>
      </c>
      <c r="M17" s="103">
        <f>MAX(0,H17-D17)</f>
        <v>0</v>
      </c>
      <c r="N17" s="103">
        <f>MAX(0,L17-H17)</f>
        <v>0</v>
      </c>
      <c r="O17" s="103">
        <f>MAX(MAX(I$8:I$58),MAX(E$8:E$58))</f>
        <v>0</v>
      </c>
      <c r="P17" s="104">
        <f>DATE((YEAR(AsAt)-(MONTH(AsAt)&lt;4)+9)+1,3,31)</f>
        <v>49765.0</v>
      </c>
      <c r="Q17" s="105">
        <f>J17-K17</f>
        <v>0</v>
      </c>
      <c r="R17" s="105">
        <f>-C17</f>
        <v>0</v>
      </c>
      <c r="S17" s="105">
        <f>-F17</f>
        <v>0</v>
      </c>
      <c r="T17" s="105">
        <f>-H17</f>
        <v>0</v>
      </c>
    </row>
    <row r="18" ht="15" customHeight="1">
      <c r="A18" s="55" t="str">
        <f>(YEAR(AsAt)-(MONTH(AsAt)&lt;4)+10)&amp;"/"&amp;RIGHT((YEAR(AsAt)-(MONTH(AsAt)&lt;4)+10)+1,2)</f>
        <v>2036/37</v>
      </c>
      <c r="B18" s="103">
        <f>B74+B130</f>
        <v>0</v>
      </c>
      <c r="C18" s="103">
        <f>C74+C130</f>
        <v>0</v>
      </c>
      <c r="D18" s="103">
        <f>D74</f>
        <v>0</v>
      </c>
      <c r="E18" s="103">
        <f>E74+E130</f>
        <v>0</v>
      </c>
      <c r="F18" s="103">
        <f>F74</f>
        <v>0</v>
      </c>
      <c r="G18" s="103">
        <f>B18-C18</f>
        <v>0</v>
      </c>
      <c r="H18" s="103">
        <f>MAX(D18,-G18)</f>
        <v>0</v>
      </c>
      <c r="I18" s="103">
        <f>G18+H18</f>
        <v>0</v>
      </c>
      <c r="J18" s="103">
        <f>MAX(0,I18-E18)</f>
        <v>0</v>
      </c>
      <c r="K18" s="103">
        <f>MAX(0,E18-MAX(0,I18))</f>
        <v>0</v>
      </c>
      <c r="L18" s="103">
        <f>MAX(0,E18+J18-G18)</f>
        <v>0</v>
      </c>
      <c r="M18" s="103">
        <f>MAX(0,H18-D18)</f>
        <v>0</v>
      </c>
      <c r="N18" s="103">
        <f>MAX(0,L18-H18)</f>
        <v>0</v>
      </c>
      <c r="O18" s="103">
        <f>MAX(MAX(I$8:I$58),MAX(E$8:E$58))</f>
        <v>0</v>
      </c>
      <c r="P18" s="104">
        <f>DATE((YEAR(AsAt)-(MONTH(AsAt)&lt;4)+10)+1,3,31)</f>
        <v>50130.0</v>
      </c>
      <c r="Q18" s="105">
        <f>J18-K18</f>
        <v>0</v>
      </c>
      <c r="R18" s="105">
        <f>-C18</f>
        <v>0</v>
      </c>
      <c r="S18" s="105">
        <f>-F18</f>
        <v>0</v>
      </c>
      <c r="T18" s="105">
        <f>-H18</f>
        <v>0</v>
      </c>
    </row>
    <row r="19" ht="15" customHeight="1">
      <c r="A19" s="55" t="str">
        <f>(YEAR(AsAt)-(MONTH(AsAt)&lt;4)+11)&amp;"/"&amp;RIGHT((YEAR(AsAt)-(MONTH(AsAt)&lt;4)+11)+1,2)</f>
        <v>2037/38</v>
      </c>
      <c r="B19" s="103">
        <f>B75+B131</f>
        <v>0</v>
      </c>
      <c r="C19" s="103">
        <f>C75+C131</f>
        <v>0</v>
      </c>
      <c r="D19" s="103">
        <f>D75</f>
        <v>0</v>
      </c>
      <c r="E19" s="103">
        <f>E75+E131</f>
        <v>0</v>
      </c>
      <c r="F19" s="103">
        <f>F75</f>
        <v>0</v>
      </c>
      <c r="G19" s="103">
        <f>B19-C19</f>
        <v>0</v>
      </c>
      <c r="H19" s="103">
        <f>MAX(D19,-G19)</f>
        <v>0</v>
      </c>
      <c r="I19" s="103">
        <f>G19+H19</f>
        <v>0</v>
      </c>
      <c r="J19" s="103">
        <f>MAX(0,I19-E19)</f>
        <v>0</v>
      </c>
      <c r="K19" s="103">
        <f>MAX(0,E19-MAX(0,I19))</f>
        <v>0</v>
      </c>
      <c r="L19" s="103">
        <f>MAX(0,E19+J19-G19)</f>
        <v>0</v>
      </c>
      <c r="M19" s="103">
        <f>MAX(0,H19-D19)</f>
        <v>0</v>
      </c>
      <c r="N19" s="103">
        <f>MAX(0,L19-H19)</f>
        <v>0</v>
      </c>
      <c r="O19" s="103">
        <f>MAX(MAX(I$8:I$58),MAX(E$8:E$58))</f>
        <v>0</v>
      </c>
      <c r="P19" s="104">
        <f>DATE((YEAR(AsAt)-(MONTH(AsAt)&lt;4)+11)+1,3,31)</f>
        <v>50495.0</v>
      </c>
      <c r="Q19" s="105">
        <f>J19-K19</f>
        <v>0</v>
      </c>
      <c r="R19" s="105">
        <f>-C19</f>
        <v>0</v>
      </c>
      <c r="S19" s="105">
        <f>-F19</f>
        <v>0</v>
      </c>
      <c r="T19" s="105">
        <f>-H19</f>
        <v>0</v>
      </c>
    </row>
    <row r="20" ht="15" customHeight="1">
      <c r="A20" s="55" t="str">
        <f>(YEAR(AsAt)-(MONTH(AsAt)&lt;4)+12)&amp;"/"&amp;RIGHT((YEAR(AsAt)-(MONTH(AsAt)&lt;4)+12)+1,2)</f>
        <v>2038/39</v>
      </c>
      <c r="B20" s="103">
        <f>B76+B132</f>
        <v>0</v>
      </c>
      <c r="C20" s="103">
        <f>C76+C132</f>
        <v>0</v>
      </c>
      <c r="D20" s="103">
        <f>D76</f>
        <v>0</v>
      </c>
      <c r="E20" s="103">
        <f>E76+E132</f>
        <v>0</v>
      </c>
      <c r="F20" s="103">
        <f>F76</f>
        <v>0</v>
      </c>
      <c r="G20" s="103">
        <f>B20-C20</f>
        <v>0</v>
      </c>
      <c r="H20" s="103">
        <f>MAX(D20,-G20)</f>
        <v>0</v>
      </c>
      <c r="I20" s="103">
        <f>G20+H20</f>
        <v>0</v>
      </c>
      <c r="J20" s="103">
        <f>MAX(0,I20-E20)</f>
        <v>0</v>
      </c>
      <c r="K20" s="103">
        <f>MAX(0,E20-MAX(0,I20))</f>
        <v>0</v>
      </c>
      <c r="L20" s="103">
        <f>MAX(0,E20+J20-G20)</f>
        <v>0</v>
      </c>
      <c r="M20" s="103">
        <f>MAX(0,H20-D20)</f>
        <v>0</v>
      </c>
      <c r="N20" s="103">
        <f>MAX(0,L20-H20)</f>
        <v>0</v>
      </c>
      <c r="O20" s="103">
        <f>MAX(MAX(I$8:I$58),MAX(E$8:E$58))</f>
        <v>0</v>
      </c>
      <c r="P20" s="104">
        <f>DATE((YEAR(AsAt)-(MONTH(AsAt)&lt;4)+12)+1,3,31)</f>
        <v>50860.0</v>
      </c>
      <c r="Q20" s="105">
        <f>J20-K20</f>
        <v>0</v>
      </c>
      <c r="R20" s="105">
        <f>-C20</f>
        <v>0</v>
      </c>
      <c r="S20" s="105">
        <f>-F20</f>
        <v>0</v>
      </c>
      <c r="T20" s="105">
        <f>-H20</f>
        <v>0</v>
      </c>
    </row>
    <row r="21" ht="15" customHeight="1">
      <c r="A21" s="55" t="str">
        <f>(YEAR(AsAt)-(MONTH(AsAt)&lt;4)+13)&amp;"/"&amp;RIGHT((YEAR(AsAt)-(MONTH(AsAt)&lt;4)+13)+1,2)</f>
        <v>2039/40</v>
      </c>
      <c r="B21" s="103">
        <f>B77+B133</f>
        <v>0</v>
      </c>
      <c r="C21" s="103">
        <f>C77+C133</f>
        <v>0</v>
      </c>
      <c r="D21" s="103">
        <f>D77</f>
        <v>0</v>
      </c>
      <c r="E21" s="103">
        <f>E77+E133</f>
        <v>0</v>
      </c>
      <c r="F21" s="103">
        <f>F77</f>
        <v>0</v>
      </c>
      <c r="G21" s="103">
        <f>B21-C21</f>
        <v>0</v>
      </c>
      <c r="H21" s="103">
        <f>MAX(D21,-G21)</f>
        <v>0</v>
      </c>
      <c r="I21" s="103">
        <f>G21+H21</f>
        <v>0</v>
      </c>
      <c r="J21" s="103">
        <f>MAX(0,I21-E21)</f>
        <v>0</v>
      </c>
      <c r="K21" s="103">
        <f>MAX(0,E21-MAX(0,I21))</f>
        <v>0</v>
      </c>
      <c r="L21" s="103">
        <f>MAX(0,E21+J21-G21)</f>
        <v>0</v>
      </c>
      <c r="M21" s="103">
        <f>MAX(0,H21-D21)</f>
        <v>0</v>
      </c>
      <c r="N21" s="103">
        <f>MAX(0,L21-H21)</f>
        <v>0</v>
      </c>
      <c r="O21" s="103">
        <f>MAX(MAX(I$8:I$58),MAX(E$8:E$58))</f>
        <v>0</v>
      </c>
      <c r="P21" s="104">
        <f>DATE((YEAR(AsAt)-(MONTH(AsAt)&lt;4)+13)+1,3,31)</f>
        <v>51226.0</v>
      </c>
      <c r="Q21" s="105">
        <f>J21-K21</f>
        <v>0</v>
      </c>
      <c r="R21" s="105">
        <f>-C21</f>
        <v>0</v>
      </c>
      <c r="S21" s="105">
        <f>-F21</f>
        <v>0</v>
      </c>
      <c r="T21" s="105">
        <f>-H21</f>
        <v>0</v>
      </c>
    </row>
    <row r="22" ht="15" customHeight="1">
      <c r="A22" s="55" t="str">
        <f>(YEAR(AsAt)-(MONTH(AsAt)&lt;4)+14)&amp;"/"&amp;RIGHT((YEAR(AsAt)-(MONTH(AsAt)&lt;4)+14)+1,2)</f>
        <v>2040/41</v>
      </c>
      <c r="B22" s="103">
        <f>B78+B134</f>
        <v>0</v>
      </c>
      <c r="C22" s="103">
        <f>C78+C134</f>
        <v>0</v>
      </c>
      <c r="D22" s="103">
        <f>D78</f>
        <v>0</v>
      </c>
      <c r="E22" s="103">
        <f>E78+E134</f>
        <v>0</v>
      </c>
      <c r="F22" s="103">
        <f>F78</f>
        <v>0</v>
      </c>
      <c r="G22" s="103">
        <f>B22-C22</f>
        <v>0</v>
      </c>
      <c r="H22" s="103">
        <f>MAX(D22,-G22)</f>
        <v>0</v>
      </c>
      <c r="I22" s="103">
        <f>G22+H22</f>
        <v>0</v>
      </c>
      <c r="J22" s="103">
        <f>MAX(0,I22-E22)</f>
        <v>0</v>
      </c>
      <c r="K22" s="103">
        <f>MAX(0,E22-MAX(0,I22))</f>
        <v>0</v>
      </c>
      <c r="L22" s="103">
        <f>MAX(0,E22+J22-G22)</f>
        <v>0</v>
      </c>
      <c r="M22" s="103">
        <f>MAX(0,H22-D22)</f>
        <v>0</v>
      </c>
      <c r="N22" s="103">
        <f>MAX(0,L22-H22)</f>
        <v>0</v>
      </c>
      <c r="O22" s="103">
        <f>MAX(MAX(I$8:I$58),MAX(E$8:E$58))</f>
        <v>0</v>
      </c>
      <c r="P22" s="104">
        <f>DATE((YEAR(AsAt)-(MONTH(AsAt)&lt;4)+14)+1,3,31)</f>
        <v>51591.0</v>
      </c>
      <c r="Q22" s="105">
        <f>J22-K22</f>
        <v>0</v>
      </c>
      <c r="R22" s="105">
        <f>-C22</f>
        <v>0</v>
      </c>
      <c r="S22" s="105">
        <f>-F22</f>
        <v>0</v>
      </c>
      <c r="T22" s="105">
        <f>-H22</f>
        <v>0</v>
      </c>
    </row>
    <row r="23" ht="15" customHeight="1">
      <c r="A23" s="55" t="str">
        <f>(YEAR(AsAt)-(MONTH(AsAt)&lt;4)+15)&amp;"/"&amp;RIGHT((YEAR(AsAt)-(MONTH(AsAt)&lt;4)+15)+1,2)</f>
        <v>2041/42</v>
      </c>
      <c r="B23" s="103">
        <f>B79+B135</f>
        <v>0</v>
      </c>
      <c r="C23" s="103">
        <f>C79+C135</f>
        <v>0</v>
      </c>
      <c r="D23" s="103">
        <f>D79</f>
        <v>0</v>
      </c>
      <c r="E23" s="103">
        <f>E79+E135</f>
        <v>0</v>
      </c>
      <c r="F23" s="103">
        <f>F79</f>
        <v>0</v>
      </c>
      <c r="G23" s="103">
        <f>B23-C23</f>
        <v>0</v>
      </c>
      <c r="H23" s="103">
        <f>MAX(D23,-G23)</f>
        <v>0</v>
      </c>
      <c r="I23" s="103">
        <f>G23+H23</f>
        <v>0</v>
      </c>
      <c r="J23" s="103">
        <f>MAX(0,I23-E23)</f>
        <v>0</v>
      </c>
      <c r="K23" s="103">
        <f>MAX(0,E23-MAX(0,I23))</f>
        <v>0</v>
      </c>
      <c r="L23" s="103">
        <f>MAX(0,E23+J23-G23)</f>
        <v>0</v>
      </c>
      <c r="M23" s="103">
        <f>MAX(0,H23-D23)</f>
        <v>0</v>
      </c>
      <c r="N23" s="103">
        <f>MAX(0,L23-H23)</f>
        <v>0</v>
      </c>
      <c r="O23" s="103">
        <f>MAX(MAX(I$8:I$58),MAX(E$8:E$58))</f>
        <v>0</v>
      </c>
      <c r="P23" s="104">
        <f>DATE((YEAR(AsAt)-(MONTH(AsAt)&lt;4)+15)+1,3,31)</f>
        <v>51956.0</v>
      </c>
      <c r="Q23" s="105">
        <f>J23-K23</f>
        <v>0</v>
      </c>
      <c r="R23" s="105">
        <f>-C23</f>
        <v>0</v>
      </c>
      <c r="S23" s="105">
        <f>-F23</f>
        <v>0</v>
      </c>
      <c r="T23" s="105">
        <f>-H23</f>
        <v>0</v>
      </c>
    </row>
    <row r="24" ht="15" customHeight="1">
      <c r="A24" s="55" t="str">
        <f>(YEAR(AsAt)-(MONTH(AsAt)&lt;4)+16)&amp;"/"&amp;RIGHT((YEAR(AsAt)-(MONTH(AsAt)&lt;4)+16)+1,2)</f>
        <v>2042/43</v>
      </c>
      <c r="B24" s="103">
        <f>B80+B136</f>
        <v>0</v>
      </c>
      <c r="C24" s="103">
        <f>C80+C136</f>
        <v>0</v>
      </c>
      <c r="D24" s="103">
        <f>D80</f>
        <v>0</v>
      </c>
      <c r="E24" s="103">
        <f>E80+E136</f>
        <v>0</v>
      </c>
      <c r="F24" s="103">
        <f>F80</f>
        <v>0</v>
      </c>
      <c r="G24" s="103">
        <f>B24-C24</f>
        <v>0</v>
      </c>
      <c r="H24" s="103">
        <f>MAX(D24,-G24)</f>
        <v>0</v>
      </c>
      <c r="I24" s="103">
        <f>G24+H24</f>
        <v>0</v>
      </c>
      <c r="J24" s="103">
        <f>MAX(0,I24-E24)</f>
        <v>0</v>
      </c>
      <c r="K24" s="103">
        <f>MAX(0,E24-MAX(0,I24))</f>
        <v>0</v>
      </c>
      <c r="L24" s="103">
        <f>MAX(0,E24+J24-G24)</f>
        <v>0</v>
      </c>
      <c r="M24" s="103">
        <f>MAX(0,H24-D24)</f>
        <v>0</v>
      </c>
      <c r="N24" s="103">
        <f>MAX(0,L24-H24)</f>
        <v>0</v>
      </c>
      <c r="O24" s="103">
        <f>MAX(MAX(I$8:I$58),MAX(E$8:E$58))</f>
        <v>0</v>
      </c>
      <c r="P24" s="104">
        <f>DATE((YEAR(AsAt)-(MONTH(AsAt)&lt;4)+16)+1,3,31)</f>
        <v>52321.0</v>
      </c>
      <c r="Q24" s="105">
        <f>J24-K24</f>
        <v>0</v>
      </c>
      <c r="R24" s="105">
        <f>-C24</f>
        <v>0</v>
      </c>
      <c r="S24" s="105">
        <f>-F24</f>
        <v>0</v>
      </c>
      <c r="T24" s="105">
        <f>-H24</f>
        <v>0</v>
      </c>
    </row>
    <row r="25" ht="15" customHeight="1">
      <c r="A25" s="55" t="str">
        <f>(YEAR(AsAt)-(MONTH(AsAt)&lt;4)+17)&amp;"/"&amp;RIGHT((YEAR(AsAt)-(MONTH(AsAt)&lt;4)+17)+1,2)</f>
        <v>2043/44</v>
      </c>
      <c r="B25" s="103">
        <f>B81+B137</f>
        <v>0</v>
      </c>
      <c r="C25" s="103">
        <f>C81+C137</f>
        <v>0</v>
      </c>
      <c r="D25" s="103">
        <f>D81</f>
        <v>0</v>
      </c>
      <c r="E25" s="103">
        <f>E81+E137</f>
        <v>0</v>
      </c>
      <c r="F25" s="103">
        <f>F81</f>
        <v>0</v>
      </c>
      <c r="G25" s="103">
        <f>B25-C25</f>
        <v>0</v>
      </c>
      <c r="H25" s="103">
        <f>MAX(D25,-G25)</f>
        <v>0</v>
      </c>
      <c r="I25" s="103">
        <f>G25+H25</f>
        <v>0</v>
      </c>
      <c r="J25" s="103">
        <f>MAX(0,I25-E25)</f>
        <v>0</v>
      </c>
      <c r="K25" s="103">
        <f>MAX(0,E25-MAX(0,I25))</f>
        <v>0</v>
      </c>
      <c r="L25" s="103">
        <f>MAX(0,E25+J25-G25)</f>
        <v>0</v>
      </c>
      <c r="M25" s="103">
        <f>MAX(0,H25-D25)</f>
        <v>0</v>
      </c>
      <c r="N25" s="103">
        <f>MAX(0,L25-H25)</f>
        <v>0</v>
      </c>
      <c r="O25" s="103">
        <f>MAX(MAX(I$8:I$58),MAX(E$8:E$58))</f>
        <v>0</v>
      </c>
      <c r="P25" s="104">
        <f>DATE((YEAR(AsAt)-(MONTH(AsAt)&lt;4)+17)+1,3,31)</f>
        <v>52687.0</v>
      </c>
      <c r="Q25" s="105">
        <f>J25-K25</f>
        <v>0</v>
      </c>
      <c r="R25" s="105">
        <f>-C25</f>
        <v>0</v>
      </c>
      <c r="S25" s="105">
        <f>-F25</f>
        <v>0</v>
      </c>
      <c r="T25" s="105">
        <f>-H25</f>
        <v>0</v>
      </c>
    </row>
    <row r="26" ht="15" customHeight="1">
      <c r="A26" s="55" t="str">
        <f>(YEAR(AsAt)-(MONTH(AsAt)&lt;4)+18)&amp;"/"&amp;RIGHT((YEAR(AsAt)-(MONTH(AsAt)&lt;4)+18)+1,2)</f>
        <v>2044/45</v>
      </c>
      <c r="B26" s="103">
        <f>B82+B138</f>
        <v>0</v>
      </c>
      <c r="C26" s="103">
        <f>C82+C138</f>
        <v>0</v>
      </c>
      <c r="D26" s="103">
        <f>D82</f>
        <v>0</v>
      </c>
      <c r="E26" s="103">
        <f>E82+E138</f>
        <v>0</v>
      </c>
      <c r="F26" s="103">
        <f>F82</f>
        <v>0</v>
      </c>
      <c r="G26" s="103">
        <f>B26-C26</f>
        <v>0</v>
      </c>
      <c r="H26" s="103">
        <f>MAX(D26,-G26)</f>
        <v>0</v>
      </c>
      <c r="I26" s="103">
        <f>G26+H26</f>
        <v>0</v>
      </c>
      <c r="J26" s="103">
        <f>MAX(0,I26-E26)</f>
        <v>0</v>
      </c>
      <c r="K26" s="103">
        <f>MAX(0,E26-MAX(0,I26))</f>
        <v>0</v>
      </c>
      <c r="L26" s="103">
        <f>MAX(0,E26+J26-G26)</f>
        <v>0</v>
      </c>
      <c r="M26" s="103">
        <f>MAX(0,H26-D26)</f>
        <v>0</v>
      </c>
      <c r="N26" s="103">
        <f>MAX(0,L26-H26)</f>
        <v>0</v>
      </c>
      <c r="O26" s="103">
        <f>MAX(MAX(I$8:I$58),MAX(E$8:E$58))</f>
        <v>0</v>
      </c>
      <c r="P26" s="104">
        <f>DATE((YEAR(AsAt)-(MONTH(AsAt)&lt;4)+18)+1,3,31)</f>
        <v>53052.0</v>
      </c>
      <c r="Q26" s="105">
        <f>J26-K26</f>
        <v>0</v>
      </c>
      <c r="R26" s="105">
        <f>-C26</f>
        <v>0</v>
      </c>
      <c r="S26" s="105">
        <f>-F26</f>
        <v>0</v>
      </c>
      <c r="T26" s="105">
        <f>-H26</f>
        <v>0</v>
      </c>
    </row>
    <row r="27" ht="15" customHeight="1">
      <c r="A27" s="55" t="str">
        <f>(YEAR(AsAt)-(MONTH(AsAt)&lt;4)+19)&amp;"/"&amp;RIGHT((YEAR(AsAt)-(MONTH(AsAt)&lt;4)+19)+1,2)</f>
        <v>2045/46</v>
      </c>
      <c r="B27" s="103">
        <f>B83+B139</f>
        <v>0</v>
      </c>
      <c r="C27" s="103">
        <f>C83+C139</f>
        <v>0</v>
      </c>
      <c r="D27" s="103">
        <f>D83</f>
        <v>0</v>
      </c>
      <c r="E27" s="103">
        <f>E83+E139</f>
        <v>0</v>
      </c>
      <c r="F27" s="103">
        <f>F83</f>
        <v>0</v>
      </c>
      <c r="G27" s="103">
        <f>B27-C27</f>
        <v>0</v>
      </c>
      <c r="H27" s="103">
        <f>MAX(D27,-G27)</f>
        <v>0</v>
      </c>
      <c r="I27" s="103">
        <f>G27+H27</f>
        <v>0</v>
      </c>
      <c r="J27" s="103">
        <f>MAX(0,I27-E27)</f>
        <v>0</v>
      </c>
      <c r="K27" s="103">
        <f>MAX(0,E27-MAX(0,I27))</f>
        <v>0</v>
      </c>
      <c r="L27" s="103">
        <f>MAX(0,E27+J27-G27)</f>
        <v>0</v>
      </c>
      <c r="M27" s="103">
        <f>MAX(0,H27-D27)</f>
        <v>0</v>
      </c>
      <c r="N27" s="103">
        <f>MAX(0,L27-H27)</f>
        <v>0</v>
      </c>
      <c r="O27" s="103">
        <f>MAX(MAX(I$8:I$58),MAX(E$8:E$58))</f>
        <v>0</v>
      </c>
      <c r="P27" s="104">
        <f>DATE((YEAR(AsAt)-(MONTH(AsAt)&lt;4)+19)+1,3,31)</f>
        <v>53417.0</v>
      </c>
      <c r="Q27" s="105">
        <f>J27-K27</f>
        <v>0</v>
      </c>
      <c r="R27" s="105">
        <f>-C27</f>
        <v>0</v>
      </c>
      <c r="S27" s="105">
        <f>-F27</f>
        <v>0</v>
      </c>
      <c r="T27" s="105">
        <f>-H27</f>
        <v>0</v>
      </c>
    </row>
    <row r="28" ht="15" customHeight="1">
      <c r="A28" s="55" t="str">
        <f>(YEAR(AsAt)-(MONTH(AsAt)&lt;4)+20)&amp;"/"&amp;RIGHT((YEAR(AsAt)-(MONTH(AsAt)&lt;4)+20)+1,2)</f>
        <v>2046/47</v>
      </c>
      <c r="B28" s="103">
        <f>B84+B140</f>
        <v>0</v>
      </c>
      <c r="C28" s="103">
        <f>C84+C140</f>
        <v>0</v>
      </c>
      <c r="D28" s="103">
        <f>D84</f>
        <v>0</v>
      </c>
      <c r="E28" s="103">
        <f>E84+E140</f>
        <v>0</v>
      </c>
      <c r="F28" s="103">
        <f>F84</f>
        <v>0</v>
      </c>
      <c r="G28" s="103">
        <f>B28-C28</f>
        <v>0</v>
      </c>
      <c r="H28" s="103">
        <f>MAX(D28,-G28)</f>
        <v>0</v>
      </c>
      <c r="I28" s="103">
        <f>G28+H28</f>
        <v>0</v>
      </c>
      <c r="J28" s="103">
        <f>MAX(0,I28-E28)</f>
        <v>0</v>
      </c>
      <c r="K28" s="103">
        <f>MAX(0,E28-MAX(0,I28))</f>
        <v>0</v>
      </c>
      <c r="L28" s="103">
        <f>MAX(0,E28+J28-G28)</f>
        <v>0</v>
      </c>
      <c r="M28" s="103">
        <f>MAX(0,H28-D28)</f>
        <v>0</v>
      </c>
      <c r="N28" s="103">
        <f>MAX(0,L28-H28)</f>
        <v>0</v>
      </c>
      <c r="O28" s="103">
        <f>MAX(MAX(I$8:I$58),MAX(E$8:E$58))</f>
        <v>0</v>
      </c>
      <c r="P28" s="104">
        <f>DATE((YEAR(AsAt)-(MONTH(AsAt)&lt;4)+20)+1,3,31)</f>
        <v>53782.0</v>
      </c>
      <c r="Q28" s="105">
        <f>J28-K28</f>
        <v>0</v>
      </c>
      <c r="R28" s="105">
        <f>-C28</f>
        <v>0</v>
      </c>
      <c r="S28" s="105">
        <f>-F28</f>
        <v>0</v>
      </c>
      <c r="T28" s="105">
        <f>-H28</f>
        <v>0</v>
      </c>
    </row>
    <row r="29" ht="15" customHeight="1">
      <c r="A29" s="55" t="str">
        <f>(YEAR(AsAt)-(MONTH(AsAt)&lt;4)+21)&amp;"/"&amp;RIGHT((YEAR(AsAt)-(MONTH(AsAt)&lt;4)+21)+1,2)</f>
        <v>2047/48</v>
      </c>
      <c r="B29" s="103">
        <f>B85+B141</f>
        <v>0</v>
      </c>
      <c r="C29" s="103">
        <f>C85+C141</f>
        <v>0</v>
      </c>
      <c r="D29" s="103">
        <f>D85</f>
        <v>0</v>
      </c>
      <c r="E29" s="103">
        <f>E85+E141</f>
        <v>0</v>
      </c>
      <c r="F29" s="103">
        <f>F85</f>
        <v>0</v>
      </c>
      <c r="G29" s="103">
        <f>B29-C29</f>
        <v>0</v>
      </c>
      <c r="H29" s="103">
        <f>MAX(D29,-G29)</f>
        <v>0</v>
      </c>
      <c r="I29" s="103">
        <f>G29+H29</f>
        <v>0</v>
      </c>
      <c r="J29" s="103">
        <f>MAX(0,I29-E29)</f>
        <v>0</v>
      </c>
      <c r="K29" s="103">
        <f>MAX(0,E29-MAX(0,I29))</f>
        <v>0</v>
      </c>
      <c r="L29" s="103">
        <f>MAX(0,E29+J29-G29)</f>
        <v>0</v>
      </c>
      <c r="M29" s="103">
        <f>MAX(0,H29-D29)</f>
        <v>0</v>
      </c>
      <c r="N29" s="103">
        <f>MAX(0,L29-H29)</f>
        <v>0</v>
      </c>
      <c r="O29" s="103">
        <f>MAX(MAX(I$8:I$58),MAX(E$8:E$58))</f>
        <v>0</v>
      </c>
      <c r="P29" s="104">
        <f>DATE((YEAR(AsAt)-(MONTH(AsAt)&lt;4)+21)+1,3,31)</f>
        <v>54148.0</v>
      </c>
      <c r="Q29" s="105">
        <f>J29-K29</f>
        <v>0</v>
      </c>
      <c r="R29" s="105">
        <f>-C29</f>
        <v>0</v>
      </c>
      <c r="S29" s="105">
        <f>-F29</f>
        <v>0</v>
      </c>
      <c r="T29" s="105">
        <f>-H29</f>
        <v>0</v>
      </c>
    </row>
    <row r="30" ht="15" customHeight="1">
      <c r="A30" s="55" t="str">
        <f>(YEAR(AsAt)-(MONTH(AsAt)&lt;4)+22)&amp;"/"&amp;RIGHT((YEAR(AsAt)-(MONTH(AsAt)&lt;4)+22)+1,2)</f>
        <v>2048/49</v>
      </c>
      <c r="B30" s="103">
        <f>B86+B142</f>
        <v>0</v>
      </c>
      <c r="C30" s="103">
        <f>C86+C142</f>
        <v>0</v>
      </c>
      <c r="D30" s="103">
        <f>D86</f>
        <v>0</v>
      </c>
      <c r="E30" s="103">
        <f>E86+E142</f>
        <v>0</v>
      </c>
      <c r="F30" s="103">
        <f>F86</f>
        <v>0</v>
      </c>
      <c r="G30" s="103">
        <f>B30-C30</f>
        <v>0</v>
      </c>
      <c r="H30" s="103">
        <f>MAX(D30,-G30)</f>
        <v>0</v>
      </c>
      <c r="I30" s="103">
        <f>G30+H30</f>
        <v>0</v>
      </c>
      <c r="J30" s="103">
        <f>MAX(0,I30-E30)</f>
        <v>0</v>
      </c>
      <c r="K30" s="103">
        <f>MAX(0,E30-MAX(0,I30))</f>
        <v>0</v>
      </c>
      <c r="L30" s="103">
        <f>MAX(0,E30+J30-G30)</f>
        <v>0</v>
      </c>
      <c r="M30" s="103">
        <f>MAX(0,H30-D30)</f>
        <v>0</v>
      </c>
      <c r="N30" s="103">
        <f>MAX(0,L30-H30)</f>
        <v>0</v>
      </c>
      <c r="O30" s="103">
        <f>MAX(MAX(I$8:I$58),MAX(E$8:E$58))</f>
        <v>0</v>
      </c>
      <c r="P30" s="104">
        <f>DATE((YEAR(AsAt)-(MONTH(AsAt)&lt;4)+22)+1,3,31)</f>
        <v>54513.0</v>
      </c>
      <c r="Q30" s="105">
        <f>J30-K30</f>
        <v>0</v>
      </c>
      <c r="R30" s="105">
        <f>-C30</f>
        <v>0</v>
      </c>
      <c r="S30" s="105">
        <f>-F30</f>
        <v>0</v>
      </c>
      <c r="T30" s="105">
        <f>-H30</f>
        <v>0</v>
      </c>
    </row>
    <row r="31" ht="15" customHeight="1">
      <c r="A31" s="55" t="str">
        <f>(YEAR(AsAt)-(MONTH(AsAt)&lt;4)+23)&amp;"/"&amp;RIGHT((YEAR(AsAt)-(MONTH(AsAt)&lt;4)+23)+1,2)</f>
        <v>2049/50</v>
      </c>
      <c r="B31" s="103">
        <f>B87+B143</f>
        <v>0</v>
      </c>
      <c r="C31" s="103">
        <f>C87+C143</f>
        <v>0</v>
      </c>
      <c r="D31" s="103">
        <f>D87</f>
        <v>0</v>
      </c>
      <c r="E31" s="103">
        <f>E87+E143</f>
        <v>0</v>
      </c>
      <c r="F31" s="103">
        <f>F87</f>
        <v>0</v>
      </c>
      <c r="G31" s="103">
        <f>B31-C31</f>
        <v>0</v>
      </c>
      <c r="H31" s="103">
        <f>MAX(D31,-G31)</f>
        <v>0</v>
      </c>
      <c r="I31" s="103">
        <f>G31+H31</f>
        <v>0</v>
      </c>
      <c r="J31" s="103">
        <f>MAX(0,I31-E31)</f>
        <v>0</v>
      </c>
      <c r="K31" s="103">
        <f>MAX(0,E31-MAX(0,I31))</f>
        <v>0</v>
      </c>
      <c r="L31" s="103">
        <f>MAX(0,E31+J31-G31)</f>
        <v>0</v>
      </c>
      <c r="M31" s="103">
        <f>MAX(0,H31-D31)</f>
        <v>0</v>
      </c>
      <c r="N31" s="103">
        <f>MAX(0,L31-H31)</f>
        <v>0</v>
      </c>
      <c r="O31" s="103">
        <f>MAX(MAX(I$8:I$58),MAX(E$8:E$58))</f>
        <v>0</v>
      </c>
      <c r="P31" s="104">
        <f>DATE((YEAR(AsAt)-(MONTH(AsAt)&lt;4)+23)+1,3,31)</f>
        <v>54878.0</v>
      </c>
      <c r="Q31" s="105">
        <f>J31-K31</f>
        <v>0</v>
      </c>
      <c r="R31" s="105">
        <f>-C31</f>
        <v>0</v>
      </c>
      <c r="S31" s="105">
        <f>-F31</f>
        <v>0</v>
      </c>
      <c r="T31" s="105">
        <f>-H31</f>
        <v>0</v>
      </c>
    </row>
    <row r="32" ht="15" customHeight="1">
      <c r="A32" s="55" t="str">
        <f>(YEAR(AsAt)-(MONTH(AsAt)&lt;4)+24)&amp;"/"&amp;RIGHT((YEAR(AsAt)-(MONTH(AsAt)&lt;4)+24)+1,2)</f>
        <v>2050/51</v>
      </c>
      <c r="B32" s="103">
        <f>B88+B144</f>
        <v>0</v>
      </c>
      <c r="C32" s="103">
        <f>C88+C144</f>
        <v>0</v>
      </c>
      <c r="D32" s="103">
        <f>D88</f>
        <v>0</v>
      </c>
      <c r="E32" s="103">
        <f>E88+E144</f>
        <v>0</v>
      </c>
      <c r="F32" s="103">
        <f>F88</f>
        <v>0</v>
      </c>
      <c r="G32" s="103">
        <f>B32-C32</f>
        <v>0</v>
      </c>
      <c r="H32" s="103">
        <f>MAX(D32,-G32)</f>
        <v>0</v>
      </c>
      <c r="I32" s="103">
        <f>G32+H32</f>
        <v>0</v>
      </c>
      <c r="J32" s="103">
        <f>MAX(0,I32-E32)</f>
        <v>0</v>
      </c>
      <c r="K32" s="103">
        <f>MAX(0,E32-MAX(0,I32))</f>
        <v>0</v>
      </c>
      <c r="L32" s="103">
        <f>MAX(0,E32+J32-G32)</f>
        <v>0</v>
      </c>
      <c r="M32" s="103">
        <f>MAX(0,H32-D32)</f>
        <v>0</v>
      </c>
      <c r="N32" s="103">
        <f>MAX(0,L32-H32)</f>
        <v>0</v>
      </c>
      <c r="O32" s="103">
        <f>MAX(MAX(I$8:I$58),MAX(E$8:E$58))</f>
        <v>0</v>
      </c>
      <c r="P32" s="104">
        <f>DATE((YEAR(AsAt)-(MONTH(AsAt)&lt;4)+24)+1,3,31)</f>
        <v>55243.0</v>
      </c>
      <c r="Q32" s="105">
        <f>J32-K32</f>
        <v>0</v>
      </c>
      <c r="R32" s="105">
        <f>-C32</f>
        <v>0</v>
      </c>
      <c r="S32" s="105">
        <f>-F32</f>
        <v>0</v>
      </c>
      <c r="T32" s="105">
        <f>-H32</f>
        <v>0</v>
      </c>
    </row>
    <row r="33" ht="15" customHeight="1">
      <c r="A33" s="55" t="str">
        <f>(YEAR(AsAt)-(MONTH(AsAt)&lt;4)+25)&amp;"/"&amp;RIGHT((YEAR(AsAt)-(MONTH(AsAt)&lt;4)+25)+1,2)</f>
        <v>2051/52</v>
      </c>
      <c r="B33" s="103">
        <f>B89+B145</f>
        <v>0</v>
      </c>
      <c r="C33" s="103">
        <f>C89+C145</f>
        <v>0</v>
      </c>
      <c r="D33" s="103">
        <f>D89</f>
        <v>0</v>
      </c>
      <c r="E33" s="103">
        <f>E89+E145</f>
        <v>0</v>
      </c>
      <c r="F33" s="103">
        <f>F89</f>
        <v>0</v>
      </c>
      <c r="G33" s="103">
        <f>B33-C33</f>
        <v>0</v>
      </c>
      <c r="H33" s="103">
        <f>MAX(D33,-G33)</f>
        <v>0</v>
      </c>
      <c r="I33" s="103">
        <f>G33+H33</f>
        <v>0</v>
      </c>
      <c r="J33" s="103">
        <f>MAX(0,I33-E33)</f>
        <v>0</v>
      </c>
      <c r="K33" s="103">
        <f>MAX(0,E33-MAX(0,I33))</f>
        <v>0</v>
      </c>
      <c r="L33" s="103">
        <f>MAX(0,E33+J33-G33)</f>
        <v>0</v>
      </c>
      <c r="M33" s="103">
        <f>MAX(0,H33-D33)</f>
        <v>0</v>
      </c>
      <c r="N33" s="103">
        <f>MAX(0,L33-H33)</f>
        <v>0</v>
      </c>
      <c r="O33" s="103">
        <f>MAX(MAX(I$8:I$58),MAX(E$8:E$58))</f>
        <v>0</v>
      </c>
      <c r="P33" s="104">
        <f>DATE((YEAR(AsAt)-(MONTH(AsAt)&lt;4)+25)+1,3,31)</f>
        <v>55609.0</v>
      </c>
      <c r="Q33" s="105">
        <f>J33-K33</f>
        <v>0</v>
      </c>
      <c r="R33" s="105">
        <f>-C33</f>
        <v>0</v>
      </c>
      <c r="S33" s="105">
        <f>-F33</f>
        <v>0</v>
      </c>
      <c r="T33" s="105">
        <f>-H33</f>
        <v>0</v>
      </c>
    </row>
    <row r="34" ht="15" customHeight="1">
      <c r="A34" s="55" t="str">
        <f>(YEAR(AsAt)-(MONTH(AsAt)&lt;4)+26)&amp;"/"&amp;RIGHT((YEAR(AsAt)-(MONTH(AsAt)&lt;4)+26)+1,2)</f>
        <v>2052/53</v>
      </c>
      <c r="B34" s="103">
        <f>B90+B146</f>
        <v>0</v>
      </c>
      <c r="C34" s="103">
        <f>C90+C146</f>
        <v>0</v>
      </c>
      <c r="D34" s="103">
        <f>D90</f>
        <v>0</v>
      </c>
      <c r="E34" s="103">
        <f>E90+E146</f>
        <v>0</v>
      </c>
      <c r="F34" s="103">
        <f>F90</f>
        <v>0</v>
      </c>
      <c r="G34" s="103">
        <f>B34-C34</f>
        <v>0</v>
      </c>
      <c r="H34" s="103">
        <f>MAX(D34,-G34)</f>
        <v>0</v>
      </c>
      <c r="I34" s="103">
        <f>G34+H34</f>
        <v>0</v>
      </c>
      <c r="J34" s="103">
        <f>MAX(0,I34-E34)</f>
        <v>0</v>
      </c>
      <c r="K34" s="103">
        <f>MAX(0,E34-MAX(0,I34))</f>
        <v>0</v>
      </c>
      <c r="L34" s="103">
        <f>MAX(0,E34+J34-G34)</f>
        <v>0</v>
      </c>
      <c r="M34" s="103">
        <f>MAX(0,H34-D34)</f>
        <v>0</v>
      </c>
      <c r="N34" s="103">
        <f>MAX(0,L34-H34)</f>
        <v>0</v>
      </c>
      <c r="O34" s="103">
        <f>MAX(MAX(I$8:I$58),MAX(E$8:E$58))</f>
        <v>0</v>
      </c>
      <c r="P34" s="104">
        <f>DATE((YEAR(AsAt)-(MONTH(AsAt)&lt;4)+26)+1,3,31)</f>
        <v>55974.0</v>
      </c>
      <c r="Q34" s="105">
        <f>J34-K34</f>
        <v>0</v>
      </c>
      <c r="R34" s="105">
        <f>-C34</f>
        <v>0</v>
      </c>
      <c r="S34" s="105">
        <f>-F34</f>
        <v>0</v>
      </c>
      <c r="T34" s="105">
        <f>-H34</f>
        <v>0</v>
      </c>
    </row>
    <row r="35" ht="15" customHeight="1">
      <c r="A35" s="55" t="str">
        <f>(YEAR(AsAt)-(MONTH(AsAt)&lt;4)+27)&amp;"/"&amp;RIGHT((YEAR(AsAt)-(MONTH(AsAt)&lt;4)+27)+1,2)</f>
        <v>2053/54</v>
      </c>
      <c r="B35" s="103">
        <f>B91+B147</f>
        <v>0</v>
      </c>
      <c r="C35" s="103">
        <f>C91+C147</f>
        <v>0</v>
      </c>
      <c r="D35" s="103">
        <f>D91</f>
        <v>0</v>
      </c>
      <c r="E35" s="103">
        <f>E91+E147</f>
        <v>0</v>
      </c>
      <c r="F35" s="103">
        <f>F91</f>
        <v>0</v>
      </c>
      <c r="G35" s="103">
        <f>B35-C35</f>
        <v>0</v>
      </c>
      <c r="H35" s="103">
        <f>MAX(D35,-G35)</f>
        <v>0</v>
      </c>
      <c r="I35" s="103">
        <f>G35+H35</f>
        <v>0</v>
      </c>
      <c r="J35" s="103">
        <f>MAX(0,I35-E35)</f>
        <v>0</v>
      </c>
      <c r="K35" s="103">
        <f>MAX(0,E35-MAX(0,I35))</f>
        <v>0</v>
      </c>
      <c r="L35" s="103">
        <f>MAX(0,E35+J35-G35)</f>
        <v>0</v>
      </c>
      <c r="M35" s="103">
        <f>MAX(0,H35-D35)</f>
        <v>0</v>
      </c>
      <c r="N35" s="103">
        <f>MAX(0,L35-H35)</f>
        <v>0</v>
      </c>
      <c r="O35" s="103">
        <f>MAX(MAX(I$8:I$58),MAX(E$8:E$58))</f>
        <v>0</v>
      </c>
      <c r="P35" s="104">
        <f>DATE((YEAR(AsAt)-(MONTH(AsAt)&lt;4)+27)+1,3,31)</f>
        <v>56339.0</v>
      </c>
      <c r="Q35" s="105">
        <f>J35-K35</f>
        <v>0</v>
      </c>
      <c r="R35" s="105">
        <f>-C35</f>
        <v>0</v>
      </c>
      <c r="S35" s="105">
        <f>-F35</f>
        <v>0</v>
      </c>
      <c r="T35" s="105">
        <f>-H35</f>
        <v>0</v>
      </c>
    </row>
    <row r="36" ht="15" customHeight="1">
      <c r="A36" s="55" t="str">
        <f>(YEAR(AsAt)-(MONTH(AsAt)&lt;4)+28)&amp;"/"&amp;RIGHT((YEAR(AsAt)-(MONTH(AsAt)&lt;4)+28)+1,2)</f>
        <v>2054/55</v>
      </c>
      <c r="B36" s="103">
        <f>B92+B148</f>
        <v>0</v>
      </c>
      <c r="C36" s="103">
        <f>C92+C148</f>
        <v>0</v>
      </c>
      <c r="D36" s="103">
        <f>D92</f>
        <v>0</v>
      </c>
      <c r="E36" s="103">
        <f>E92+E148</f>
        <v>0</v>
      </c>
      <c r="F36" s="103">
        <f>F92</f>
        <v>0</v>
      </c>
      <c r="G36" s="103">
        <f>B36-C36</f>
        <v>0</v>
      </c>
      <c r="H36" s="103">
        <f>MAX(D36,-G36)</f>
        <v>0</v>
      </c>
      <c r="I36" s="103">
        <f>G36+H36</f>
        <v>0</v>
      </c>
      <c r="J36" s="103">
        <f>MAX(0,I36-E36)</f>
        <v>0</v>
      </c>
      <c r="K36" s="103">
        <f>MAX(0,E36-MAX(0,I36))</f>
        <v>0</v>
      </c>
      <c r="L36" s="103">
        <f>MAX(0,E36+J36-G36)</f>
        <v>0</v>
      </c>
      <c r="M36" s="103">
        <f>MAX(0,H36-D36)</f>
        <v>0</v>
      </c>
      <c r="N36" s="103">
        <f>MAX(0,L36-H36)</f>
        <v>0</v>
      </c>
      <c r="O36" s="103">
        <f>MAX(MAX(I$8:I$58),MAX(E$8:E$58))</f>
        <v>0</v>
      </c>
      <c r="P36" s="104">
        <f>DATE((YEAR(AsAt)-(MONTH(AsAt)&lt;4)+28)+1,3,31)</f>
        <v>56704.0</v>
      </c>
      <c r="Q36" s="105">
        <f>J36-K36</f>
        <v>0</v>
      </c>
      <c r="R36" s="105">
        <f>-C36</f>
        <v>0</v>
      </c>
      <c r="S36" s="105">
        <f>-F36</f>
        <v>0</v>
      </c>
      <c r="T36" s="105">
        <f>-H36</f>
        <v>0</v>
      </c>
    </row>
    <row r="37" ht="15" customHeight="1">
      <c r="A37" s="55" t="str">
        <f>(YEAR(AsAt)-(MONTH(AsAt)&lt;4)+29)&amp;"/"&amp;RIGHT((YEAR(AsAt)-(MONTH(AsAt)&lt;4)+29)+1,2)</f>
        <v>2055/56</v>
      </c>
      <c r="B37" s="103">
        <f>B93+B149</f>
        <v>0</v>
      </c>
      <c r="C37" s="103">
        <f>C93+C149</f>
        <v>0</v>
      </c>
      <c r="D37" s="103">
        <f>D93</f>
        <v>0</v>
      </c>
      <c r="E37" s="103">
        <f>E93+E149</f>
        <v>0</v>
      </c>
      <c r="F37" s="103">
        <f>F93</f>
        <v>0</v>
      </c>
      <c r="G37" s="103">
        <f>B37-C37</f>
        <v>0</v>
      </c>
      <c r="H37" s="103">
        <f>MAX(D37,-G37)</f>
        <v>0</v>
      </c>
      <c r="I37" s="103">
        <f>G37+H37</f>
        <v>0</v>
      </c>
      <c r="J37" s="103">
        <f>MAX(0,I37-E37)</f>
        <v>0</v>
      </c>
      <c r="K37" s="103">
        <f>MAX(0,E37-MAX(0,I37))</f>
        <v>0</v>
      </c>
      <c r="L37" s="103">
        <f>MAX(0,E37+J37-G37)</f>
        <v>0</v>
      </c>
      <c r="M37" s="103">
        <f>MAX(0,H37-D37)</f>
        <v>0</v>
      </c>
      <c r="N37" s="103">
        <f>MAX(0,L37-H37)</f>
        <v>0</v>
      </c>
      <c r="O37" s="103">
        <f>MAX(MAX(I$8:I$58),MAX(E$8:E$58))</f>
        <v>0</v>
      </c>
      <c r="P37" s="104">
        <f>DATE((YEAR(AsAt)-(MONTH(AsAt)&lt;4)+29)+1,3,31)</f>
        <v>57070.0</v>
      </c>
      <c r="Q37" s="105">
        <f>J37-K37</f>
        <v>0</v>
      </c>
      <c r="R37" s="105">
        <f>-C37</f>
        <v>0</v>
      </c>
      <c r="S37" s="105">
        <f>-F37</f>
        <v>0</v>
      </c>
      <c r="T37" s="105">
        <f>-H37</f>
        <v>0</v>
      </c>
    </row>
    <row r="38" ht="15" customHeight="1">
      <c r="A38" s="55" t="str">
        <f>(YEAR(AsAt)-(MONTH(AsAt)&lt;4)+30)&amp;"/"&amp;RIGHT((YEAR(AsAt)-(MONTH(AsAt)&lt;4)+30)+1,2)</f>
        <v>2056/57</v>
      </c>
      <c r="B38" s="103">
        <f>B94+B150</f>
        <v>0</v>
      </c>
      <c r="C38" s="103">
        <f>C94+C150</f>
        <v>0</v>
      </c>
      <c r="D38" s="103">
        <f>D94</f>
        <v>0</v>
      </c>
      <c r="E38" s="103">
        <f>E94+E150</f>
        <v>0</v>
      </c>
      <c r="F38" s="103">
        <f>F94</f>
        <v>0</v>
      </c>
      <c r="G38" s="103">
        <f>B38-C38</f>
        <v>0</v>
      </c>
      <c r="H38" s="103">
        <f>MAX(D38,-G38)</f>
        <v>0</v>
      </c>
      <c r="I38" s="103">
        <f>G38+H38</f>
        <v>0</v>
      </c>
      <c r="J38" s="103">
        <f>MAX(0,I38-E38)</f>
        <v>0</v>
      </c>
      <c r="K38" s="103">
        <f>MAX(0,E38-MAX(0,I38))</f>
        <v>0</v>
      </c>
      <c r="L38" s="103">
        <f>MAX(0,E38+J38-G38)</f>
        <v>0</v>
      </c>
      <c r="M38" s="103">
        <f>MAX(0,H38-D38)</f>
        <v>0</v>
      </c>
      <c r="N38" s="103">
        <f>MAX(0,L38-H38)</f>
        <v>0</v>
      </c>
      <c r="O38" s="103">
        <f>MAX(MAX(I$8:I$58),MAX(E$8:E$58))</f>
        <v>0</v>
      </c>
      <c r="P38" s="104">
        <f>DATE((YEAR(AsAt)-(MONTH(AsAt)&lt;4)+30)+1,3,31)</f>
        <v>57435.0</v>
      </c>
      <c r="Q38" s="105">
        <f>J38-K38</f>
        <v>0</v>
      </c>
      <c r="R38" s="105">
        <f>-C38</f>
        <v>0</v>
      </c>
      <c r="S38" s="105">
        <f>-F38</f>
        <v>0</v>
      </c>
      <c r="T38" s="105">
        <f>-H38</f>
        <v>0</v>
      </c>
    </row>
    <row r="39" ht="15" customHeight="1">
      <c r="A39" s="55" t="str">
        <f>(YEAR(AsAt)-(MONTH(AsAt)&lt;4)+31)&amp;"/"&amp;RIGHT((YEAR(AsAt)-(MONTH(AsAt)&lt;4)+31)+1,2)</f>
        <v>2057/58</v>
      </c>
      <c r="B39" s="103">
        <f>B95+B151</f>
        <v>0</v>
      </c>
      <c r="C39" s="103">
        <f>C95+C151</f>
        <v>0</v>
      </c>
      <c r="D39" s="103">
        <f>D95</f>
        <v>0</v>
      </c>
      <c r="E39" s="103">
        <f>E95+E151</f>
        <v>0</v>
      </c>
      <c r="F39" s="103">
        <f>F95</f>
        <v>0</v>
      </c>
      <c r="G39" s="103">
        <f>B39-C39</f>
        <v>0</v>
      </c>
      <c r="H39" s="103">
        <f>MAX(D39,-G39)</f>
        <v>0</v>
      </c>
      <c r="I39" s="103">
        <f>G39+H39</f>
        <v>0</v>
      </c>
      <c r="J39" s="103">
        <f>MAX(0,I39-E39)</f>
        <v>0</v>
      </c>
      <c r="K39" s="103">
        <f>MAX(0,E39-MAX(0,I39))</f>
        <v>0</v>
      </c>
      <c r="L39" s="103">
        <f>MAX(0,E39+J39-G39)</f>
        <v>0</v>
      </c>
      <c r="M39" s="103">
        <f>MAX(0,H39-D39)</f>
        <v>0</v>
      </c>
      <c r="N39" s="103">
        <f>MAX(0,L39-H39)</f>
        <v>0</v>
      </c>
      <c r="O39" s="103">
        <f>MAX(MAX(I$8:I$58),MAX(E$8:E$58))</f>
        <v>0</v>
      </c>
      <c r="P39" s="104">
        <f>DATE((YEAR(AsAt)-(MONTH(AsAt)&lt;4)+31)+1,3,31)</f>
        <v>57800.0</v>
      </c>
      <c r="Q39" s="105">
        <f>J39-K39</f>
        <v>0</v>
      </c>
      <c r="R39" s="105">
        <f>-C39</f>
        <v>0</v>
      </c>
      <c r="S39" s="105">
        <f>-F39</f>
        <v>0</v>
      </c>
      <c r="T39" s="105">
        <f>-H39</f>
        <v>0</v>
      </c>
    </row>
    <row r="40" ht="15" customHeight="1">
      <c r="A40" s="55" t="str">
        <f>(YEAR(AsAt)-(MONTH(AsAt)&lt;4)+32)&amp;"/"&amp;RIGHT((YEAR(AsAt)-(MONTH(AsAt)&lt;4)+32)+1,2)</f>
        <v>2058/59</v>
      </c>
      <c r="B40" s="103">
        <f>B96+B152</f>
        <v>0</v>
      </c>
      <c r="C40" s="103">
        <f>C96+C152</f>
        <v>0</v>
      </c>
      <c r="D40" s="103">
        <f>D96</f>
        <v>0</v>
      </c>
      <c r="E40" s="103">
        <f>E96+E152</f>
        <v>0</v>
      </c>
      <c r="F40" s="103">
        <f>F96</f>
        <v>0</v>
      </c>
      <c r="G40" s="103">
        <f>B40-C40</f>
        <v>0</v>
      </c>
      <c r="H40" s="103">
        <f>MAX(D40,-G40)</f>
        <v>0</v>
      </c>
      <c r="I40" s="103">
        <f>G40+H40</f>
        <v>0</v>
      </c>
      <c r="J40" s="103">
        <f>MAX(0,I40-E40)</f>
        <v>0</v>
      </c>
      <c r="K40" s="103">
        <f>MAX(0,E40-MAX(0,I40))</f>
        <v>0</v>
      </c>
      <c r="L40" s="103">
        <f>MAX(0,E40+J40-G40)</f>
        <v>0</v>
      </c>
      <c r="M40" s="103">
        <f>MAX(0,H40-D40)</f>
        <v>0</v>
      </c>
      <c r="N40" s="103">
        <f>MAX(0,L40-H40)</f>
        <v>0</v>
      </c>
      <c r="O40" s="103">
        <f>MAX(MAX(I$8:I$58),MAX(E$8:E$58))</f>
        <v>0</v>
      </c>
      <c r="P40" s="104">
        <f>DATE((YEAR(AsAt)-(MONTH(AsAt)&lt;4)+32)+1,3,31)</f>
        <v>58165.0</v>
      </c>
      <c r="Q40" s="105">
        <f>J40-K40</f>
        <v>0</v>
      </c>
      <c r="R40" s="105">
        <f>-C40</f>
        <v>0</v>
      </c>
      <c r="S40" s="105">
        <f>-F40</f>
        <v>0</v>
      </c>
      <c r="T40" s="105">
        <f>-H40</f>
        <v>0</v>
      </c>
    </row>
    <row r="41" ht="15" customHeight="1">
      <c r="A41" s="55" t="str">
        <f>(YEAR(AsAt)-(MONTH(AsAt)&lt;4)+33)&amp;"/"&amp;RIGHT((YEAR(AsAt)-(MONTH(AsAt)&lt;4)+33)+1,2)</f>
        <v>2059/60</v>
      </c>
      <c r="B41" s="103">
        <f>B97+B153</f>
        <v>0</v>
      </c>
      <c r="C41" s="103">
        <f>C97+C153</f>
        <v>0</v>
      </c>
      <c r="D41" s="103">
        <f>D97</f>
        <v>0</v>
      </c>
      <c r="E41" s="103">
        <f>E97+E153</f>
        <v>0</v>
      </c>
      <c r="F41" s="103">
        <f>F97</f>
        <v>0</v>
      </c>
      <c r="G41" s="103">
        <f>B41-C41</f>
        <v>0</v>
      </c>
      <c r="H41" s="103">
        <f>MAX(D41,-G41)</f>
        <v>0</v>
      </c>
      <c r="I41" s="103">
        <f>G41+H41</f>
        <v>0</v>
      </c>
      <c r="J41" s="103">
        <f>MAX(0,I41-E41)</f>
        <v>0</v>
      </c>
      <c r="K41" s="103">
        <f>MAX(0,E41-MAX(0,I41))</f>
        <v>0</v>
      </c>
      <c r="L41" s="103">
        <f>MAX(0,E41+J41-G41)</f>
        <v>0</v>
      </c>
      <c r="M41" s="103">
        <f>MAX(0,H41-D41)</f>
        <v>0</v>
      </c>
      <c r="N41" s="103">
        <f>MAX(0,L41-H41)</f>
        <v>0</v>
      </c>
      <c r="O41" s="103">
        <f>MAX(MAX(I$8:I$58),MAX(E$8:E$58))</f>
        <v>0</v>
      </c>
      <c r="P41" s="104">
        <f>DATE((YEAR(AsAt)-(MONTH(AsAt)&lt;4)+33)+1,3,31)</f>
        <v>58531.0</v>
      </c>
      <c r="Q41" s="105">
        <f>J41-K41</f>
        <v>0</v>
      </c>
      <c r="R41" s="105">
        <f>-C41</f>
        <v>0</v>
      </c>
      <c r="S41" s="105">
        <f>-F41</f>
        <v>0</v>
      </c>
      <c r="T41" s="105">
        <f>-H41</f>
        <v>0</v>
      </c>
    </row>
    <row r="42" ht="15" customHeight="1">
      <c r="A42" s="55" t="str">
        <f>(YEAR(AsAt)-(MONTH(AsAt)&lt;4)+34)&amp;"/"&amp;RIGHT((YEAR(AsAt)-(MONTH(AsAt)&lt;4)+34)+1,2)</f>
        <v>2060/61</v>
      </c>
      <c r="B42" s="103">
        <f>B98+B154</f>
        <v>0</v>
      </c>
      <c r="C42" s="103">
        <f>C98+C154</f>
        <v>0</v>
      </c>
      <c r="D42" s="103">
        <f>D98</f>
        <v>0</v>
      </c>
      <c r="E42" s="103">
        <f>E98+E154</f>
        <v>0</v>
      </c>
      <c r="F42" s="103">
        <f>F98</f>
        <v>0</v>
      </c>
      <c r="G42" s="103">
        <f>B42-C42</f>
        <v>0</v>
      </c>
      <c r="H42" s="103">
        <f>MAX(D42,-G42)</f>
        <v>0</v>
      </c>
      <c r="I42" s="103">
        <f>G42+H42</f>
        <v>0</v>
      </c>
      <c r="J42" s="103">
        <f>MAX(0,I42-E42)</f>
        <v>0</v>
      </c>
      <c r="K42" s="103">
        <f>MAX(0,E42-MAX(0,I42))</f>
        <v>0</v>
      </c>
      <c r="L42" s="103">
        <f>MAX(0,E42+J42-G42)</f>
        <v>0</v>
      </c>
      <c r="M42" s="103">
        <f>MAX(0,H42-D42)</f>
        <v>0</v>
      </c>
      <c r="N42" s="103">
        <f>MAX(0,L42-H42)</f>
        <v>0</v>
      </c>
      <c r="O42" s="103">
        <f>MAX(MAX(I$8:I$58),MAX(E$8:E$58))</f>
        <v>0</v>
      </c>
      <c r="P42" s="104">
        <f>DATE((YEAR(AsAt)-(MONTH(AsAt)&lt;4)+34)+1,3,31)</f>
        <v>58896.0</v>
      </c>
      <c r="Q42" s="105">
        <f>J42-K42</f>
        <v>0</v>
      </c>
      <c r="R42" s="105">
        <f>-C42</f>
        <v>0</v>
      </c>
      <c r="S42" s="105">
        <f>-F42</f>
        <v>0</v>
      </c>
      <c r="T42" s="105">
        <f>-H42</f>
        <v>0</v>
      </c>
    </row>
    <row r="43" ht="15" customHeight="1">
      <c r="A43" s="55" t="str">
        <f>(YEAR(AsAt)-(MONTH(AsAt)&lt;4)+35)&amp;"/"&amp;RIGHT((YEAR(AsAt)-(MONTH(AsAt)&lt;4)+35)+1,2)</f>
        <v>2061/62</v>
      </c>
      <c r="B43" s="103">
        <f>B99+B155</f>
        <v>0</v>
      </c>
      <c r="C43" s="103">
        <f>C99+C155</f>
        <v>0</v>
      </c>
      <c r="D43" s="103">
        <f>D99</f>
        <v>0</v>
      </c>
      <c r="E43" s="103">
        <f>E99+E155</f>
        <v>0</v>
      </c>
      <c r="F43" s="103">
        <f>F99</f>
        <v>0</v>
      </c>
      <c r="G43" s="103">
        <f>B43-C43</f>
        <v>0</v>
      </c>
      <c r="H43" s="103">
        <f>MAX(D43,-G43)</f>
        <v>0</v>
      </c>
      <c r="I43" s="103">
        <f>G43+H43</f>
        <v>0</v>
      </c>
      <c r="J43" s="103">
        <f>MAX(0,I43-E43)</f>
        <v>0</v>
      </c>
      <c r="K43" s="103">
        <f>MAX(0,E43-MAX(0,I43))</f>
        <v>0</v>
      </c>
      <c r="L43" s="103">
        <f>MAX(0,E43+J43-G43)</f>
        <v>0</v>
      </c>
      <c r="M43" s="103">
        <f>MAX(0,H43-D43)</f>
        <v>0</v>
      </c>
      <c r="N43" s="103">
        <f>MAX(0,L43-H43)</f>
        <v>0</v>
      </c>
      <c r="O43" s="103">
        <f>MAX(MAX(I$8:I$58),MAX(E$8:E$58))</f>
        <v>0</v>
      </c>
      <c r="P43" s="104">
        <f>DATE((YEAR(AsAt)-(MONTH(AsAt)&lt;4)+35)+1,3,31)</f>
        <v>59261.0</v>
      </c>
      <c r="Q43" s="105">
        <f>J43-K43</f>
        <v>0</v>
      </c>
      <c r="R43" s="105">
        <f>-C43</f>
        <v>0</v>
      </c>
      <c r="S43" s="105">
        <f>-F43</f>
        <v>0</v>
      </c>
      <c r="T43" s="105">
        <f>-H43</f>
        <v>0</v>
      </c>
    </row>
    <row r="44" ht="15" customHeight="1">
      <c r="A44" s="55" t="str">
        <f>(YEAR(AsAt)-(MONTH(AsAt)&lt;4)+36)&amp;"/"&amp;RIGHT((YEAR(AsAt)-(MONTH(AsAt)&lt;4)+36)+1,2)</f>
        <v>2062/63</v>
      </c>
      <c r="B44" s="103">
        <f>B100+B156</f>
        <v>0</v>
      </c>
      <c r="C44" s="103">
        <f>C100+C156</f>
        <v>0</v>
      </c>
      <c r="D44" s="103">
        <f>D100</f>
        <v>0</v>
      </c>
      <c r="E44" s="103">
        <f>E100+E156</f>
        <v>0</v>
      </c>
      <c r="F44" s="103">
        <f>F100</f>
        <v>0</v>
      </c>
      <c r="G44" s="103">
        <f>B44-C44</f>
        <v>0</v>
      </c>
      <c r="H44" s="103">
        <f>MAX(D44,-G44)</f>
        <v>0</v>
      </c>
      <c r="I44" s="103">
        <f>G44+H44</f>
        <v>0</v>
      </c>
      <c r="J44" s="103">
        <f>MAX(0,I44-E44)</f>
        <v>0</v>
      </c>
      <c r="K44" s="103">
        <f>MAX(0,E44-MAX(0,I44))</f>
        <v>0</v>
      </c>
      <c r="L44" s="103">
        <f>MAX(0,E44+J44-G44)</f>
        <v>0</v>
      </c>
      <c r="M44" s="103">
        <f>MAX(0,H44-D44)</f>
        <v>0</v>
      </c>
      <c r="N44" s="103">
        <f>MAX(0,L44-H44)</f>
        <v>0</v>
      </c>
      <c r="O44" s="103">
        <f>MAX(MAX(I$8:I$58),MAX(E$8:E$58))</f>
        <v>0</v>
      </c>
      <c r="P44" s="104">
        <f>DATE((YEAR(AsAt)-(MONTH(AsAt)&lt;4)+36)+1,3,31)</f>
        <v>59626.0</v>
      </c>
      <c r="Q44" s="105">
        <f>J44-K44</f>
        <v>0</v>
      </c>
      <c r="R44" s="105">
        <f>-C44</f>
        <v>0</v>
      </c>
      <c r="S44" s="105">
        <f>-F44</f>
        <v>0</v>
      </c>
      <c r="T44" s="105">
        <f>-H44</f>
        <v>0</v>
      </c>
    </row>
    <row r="45" ht="15" customHeight="1">
      <c r="A45" s="55" t="str">
        <f>(YEAR(AsAt)-(MONTH(AsAt)&lt;4)+37)&amp;"/"&amp;RIGHT((YEAR(AsAt)-(MONTH(AsAt)&lt;4)+37)+1,2)</f>
        <v>2063/64</v>
      </c>
      <c r="B45" s="103">
        <f>B101+B157</f>
        <v>0</v>
      </c>
      <c r="C45" s="103">
        <f>C101+C157</f>
        <v>0</v>
      </c>
      <c r="D45" s="103">
        <f>D101</f>
        <v>0</v>
      </c>
      <c r="E45" s="103">
        <f>E101+E157</f>
        <v>0</v>
      </c>
      <c r="F45" s="103">
        <f>F101</f>
        <v>0</v>
      </c>
      <c r="G45" s="103">
        <f>B45-C45</f>
        <v>0</v>
      </c>
      <c r="H45" s="103">
        <f>MAX(D45,-G45)</f>
        <v>0</v>
      </c>
      <c r="I45" s="103">
        <f>G45+H45</f>
        <v>0</v>
      </c>
      <c r="J45" s="103">
        <f>MAX(0,I45-E45)</f>
        <v>0</v>
      </c>
      <c r="K45" s="103">
        <f>MAX(0,E45-MAX(0,I45))</f>
        <v>0</v>
      </c>
      <c r="L45" s="103">
        <f>MAX(0,E45+J45-G45)</f>
        <v>0</v>
      </c>
      <c r="M45" s="103">
        <f>MAX(0,H45-D45)</f>
        <v>0</v>
      </c>
      <c r="N45" s="103">
        <f>MAX(0,L45-H45)</f>
        <v>0</v>
      </c>
      <c r="O45" s="103">
        <f>MAX(MAX(I$8:I$58),MAX(E$8:E$58))</f>
        <v>0</v>
      </c>
      <c r="P45" s="104">
        <f>DATE((YEAR(AsAt)-(MONTH(AsAt)&lt;4)+37)+1,3,31)</f>
        <v>59992.0</v>
      </c>
      <c r="Q45" s="105">
        <f>J45-K45</f>
        <v>0</v>
      </c>
      <c r="R45" s="105">
        <f>-C45</f>
        <v>0</v>
      </c>
      <c r="S45" s="105">
        <f>-F45</f>
        <v>0</v>
      </c>
      <c r="T45" s="105">
        <f>-H45</f>
        <v>0</v>
      </c>
    </row>
    <row r="46" ht="15" customHeight="1">
      <c r="A46" s="55" t="str">
        <f>(YEAR(AsAt)-(MONTH(AsAt)&lt;4)+38)&amp;"/"&amp;RIGHT((YEAR(AsAt)-(MONTH(AsAt)&lt;4)+38)+1,2)</f>
        <v>2064/65</v>
      </c>
      <c r="B46" s="103">
        <f>B102+B158</f>
        <v>0</v>
      </c>
      <c r="C46" s="103">
        <f>C102+C158</f>
        <v>0</v>
      </c>
      <c r="D46" s="103">
        <f>D102</f>
        <v>0</v>
      </c>
      <c r="E46" s="103">
        <f>E102+E158</f>
        <v>0</v>
      </c>
      <c r="F46" s="103">
        <f>F102</f>
        <v>0</v>
      </c>
      <c r="G46" s="103">
        <f>B46-C46</f>
        <v>0</v>
      </c>
      <c r="H46" s="103">
        <f>MAX(D46,-G46)</f>
        <v>0</v>
      </c>
      <c r="I46" s="103">
        <f>G46+H46</f>
        <v>0</v>
      </c>
      <c r="J46" s="103">
        <f>MAX(0,I46-E46)</f>
        <v>0</v>
      </c>
      <c r="K46" s="103">
        <f>MAX(0,E46-MAX(0,I46))</f>
        <v>0</v>
      </c>
      <c r="L46" s="103">
        <f>MAX(0,E46+J46-G46)</f>
        <v>0</v>
      </c>
      <c r="M46" s="103">
        <f>MAX(0,H46-D46)</f>
        <v>0</v>
      </c>
      <c r="N46" s="103">
        <f>MAX(0,L46-H46)</f>
        <v>0</v>
      </c>
      <c r="O46" s="103">
        <f>MAX(MAX(I$8:I$58),MAX(E$8:E$58))</f>
        <v>0</v>
      </c>
      <c r="P46" s="104">
        <f>DATE((YEAR(AsAt)-(MONTH(AsAt)&lt;4)+38)+1,3,31)</f>
        <v>60357.0</v>
      </c>
      <c r="Q46" s="105">
        <f>J46-K46</f>
        <v>0</v>
      </c>
      <c r="R46" s="105">
        <f>-C46</f>
        <v>0</v>
      </c>
      <c r="S46" s="105">
        <f>-F46</f>
        <v>0</v>
      </c>
      <c r="T46" s="105">
        <f>-H46</f>
        <v>0</v>
      </c>
    </row>
    <row r="47" ht="15" customHeight="1">
      <c r="A47" s="55" t="str">
        <f>(YEAR(AsAt)-(MONTH(AsAt)&lt;4)+39)&amp;"/"&amp;RIGHT((YEAR(AsAt)-(MONTH(AsAt)&lt;4)+39)+1,2)</f>
        <v>2065/66</v>
      </c>
      <c r="B47" s="103">
        <f>B103+B159</f>
        <v>0</v>
      </c>
      <c r="C47" s="103">
        <f>C103+C159</f>
        <v>0</v>
      </c>
      <c r="D47" s="103">
        <f>D103</f>
        <v>0</v>
      </c>
      <c r="E47" s="103">
        <f>E103+E159</f>
        <v>0</v>
      </c>
      <c r="F47" s="103">
        <f>F103</f>
        <v>0</v>
      </c>
      <c r="G47" s="103">
        <f>B47-C47</f>
        <v>0</v>
      </c>
      <c r="H47" s="103">
        <f>MAX(D47,-G47)</f>
        <v>0</v>
      </c>
      <c r="I47" s="103">
        <f>G47+H47</f>
        <v>0</v>
      </c>
      <c r="J47" s="103">
        <f>MAX(0,I47-E47)</f>
        <v>0</v>
      </c>
      <c r="K47" s="103">
        <f>MAX(0,E47-MAX(0,I47))</f>
        <v>0</v>
      </c>
      <c r="L47" s="103">
        <f>MAX(0,E47+J47-G47)</f>
        <v>0</v>
      </c>
      <c r="M47" s="103">
        <f>MAX(0,H47-D47)</f>
        <v>0</v>
      </c>
      <c r="N47" s="103">
        <f>MAX(0,L47-H47)</f>
        <v>0</v>
      </c>
      <c r="O47" s="103">
        <f>MAX(MAX(I$8:I$58),MAX(E$8:E$58))</f>
        <v>0</v>
      </c>
      <c r="P47" s="104">
        <f>DATE((YEAR(AsAt)-(MONTH(AsAt)&lt;4)+39)+1,3,31)</f>
        <v>60722.0</v>
      </c>
      <c r="Q47" s="105">
        <f>J47-K47</f>
        <v>0</v>
      </c>
      <c r="R47" s="105">
        <f>-C47</f>
        <v>0</v>
      </c>
      <c r="S47" s="105">
        <f>-F47</f>
        <v>0</v>
      </c>
      <c r="T47" s="105">
        <f>-H47</f>
        <v>0</v>
      </c>
    </row>
    <row r="48" ht="15" customHeight="1">
      <c r="A48" s="55" t="str">
        <f>(YEAR(AsAt)-(MONTH(AsAt)&lt;4)+40)&amp;"/"&amp;RIGHT((YEAR(AsAt)-(MONTH(AsAt)&lt;4)+40)+1,2)</f>
        <v>2066/67</v>
      </c>
      <c r="B48" s="103">
        <f>B104+B160</f>
        <v>0</v>
      </c>
      <c r="C48" s="103">
        <f>C104+C160</f>
        <v>0</v>
      </c>
      <c r="D48" s="103">
        <f>D104</f>
        <v>0</v>
      </c>
      <c r="E48" s="103">
        <f>E104+E160</f>
        <v>0</v>
      </c>
      <c r="F48" s="103">
        <f>F104</f>
        <v>0</v>
      </c>
      <c r="G48" s="103">
        <f>B48-C48</f>
        <v>0</v>
      </c>
      <c r="H48" s="103">
        <f>MAX(D48,-G48)</f>
        <v>0</v>
      </c>
      <c r="I48" s="103">
        <f>G48+H48</f>
        <v>0</v>
      </c>
      <c r="J48" s="103">
        <f>MAX(0,I48-E48)</f>
        <v>0</v>
      </c>
      <c r="K48" s="103">
        <f>MAX(0,E48-MAX(0,I48))</f>
        <v>0</v>
      </c>
      <c r="L48" s="103">
        <f>MAX(0,E48+J48-G48)</f>
        <v>0</v>
      </c>
      <c r="M48" s="103">
        <f>MAX(0,H48-D48)</f>
        <v>0</v>
      </c>
      <c r="N48" s="103">
        <f>MAX(0,L48-H48)</f>
        <v>0</v>
      </c>
      <c r="O48" s="103">
        <f>MAX(MAX(I$8:I$58),MAX(E$8:E$58))</f>
        <v>0</v>
      </c>
      <c r="P48" s="104">
        <f>DATE((YEAR(AsAt)-(MONTH(AsAt)&lt;4)+40)+1,3,31)</f>
        <v>61087.0</v>
      </c>
      <c r="Q48" s="105">
        <f>J48-K48</f>
        <v>0</v>
      </c>
      <c r="R48" s="105">
        <f>-C48</f>
        <v>0</v>
      </c>
      <c r="S48" s="105">
        <f>-F48</f>
        <v>0</v>
      </c>
      <c r="T48" s="105">
        <f>-H48</f>
        <v>0</v>
      </c>
    </row>
    <row r="49" ht="15" customHeight="1">
      <c r="A49" s="55" t="str">
        <f>(YEAR(AsAt)-(MONTH(AsAt)&lt;4)+41)&amp;"/"&amp;RIGHT((YEAR(AsAt)-(MONTH(AsAt)&lt;4)+41)+1,2)</f>
        <v>2067/68</v>
      </c>
      <c r="B49" s="103">
        <f>B105+B161</f>
        <v>0</v>
      </c>
      <c r="C49" s="103">
        <f>C105+C161</f>
        <v>0</v>
      </c>
      <c r="D49" s="103">
        <f>D105</f>
        <v>0</v>
      </c>
      <c r="E49" s="103">
        <f>E105+E161</f>
        <v>0</v>
      </c>
      <c r="F49" s="103">
        <f>F105</f>
        <v>0</v>
      </c>
      <c r="G49" s="103">
        <f>B49-C49</f>
        <v>0</v>
      </c>
      <c r="H49" s="103">
        <f>MAX(D49,-G49)</f>
        <v>0</v>
      </c>
      <c r="I49" s="103">
        <f>G49+H49</f>
        <v>0</v>
      </c>
      <c r="J49" s="103">
        <f>MAX(0,I49-E49)</f>
        <v>0</v>
      </c>
      <c r="K49" s="103">
        <f>MAX(0,E49-MAX(0,I49))</f>
        <v>0</v>
      </c>
      <c r="L49" s="103">
        <f>MAX(0,E49+J49-G49)</f>
        <v>0</v>
      </c>
      <c r="M49" s="103">
        <f>MAX(0,H49-D49)</f>
        <v>0</v>
      </c>
      <c r="N49" s="103">
        <f>MAX(0,L49-H49)</f>
        <v>0</v>
      </c>
      <c r="O49" s="103">
        <f>MAX(MAX(I$8:I$58),MAX(E$8:E$58))</f>
        <v>0</v>
      </c>
      <c r="P49" s="104">
        <f>DATE((YEAR(AsAt)-(MONTH(AsAt)&lt;4)+41)+1,3,31)</f>
        <v>61453.0</v>
      </c>
      <c r="Q49" s="105">
        <f>J49-K49</f>
        <v>0</v>
      </c>
      <c r="R49" s="105">
        <f>-C49</f>
        <v>0</v>
      </c>
      <c r="S49" s="105">
        <f>-F49</f>
        <v>0</v>
      </c>
      <c r="T49" s="105">
        <f>-H49</f>
        <v>0</v>
      </c>
    </row>
    <row r="50" ht="15" customHeight="1">
      <c r="A50" s="55" t="str">
        <f>(YEAR(AsAt)-(MONTH(AsAt)&lt;4)+42)&amp;"/"&amp;RIGHT((YEAR(AsAt)-(MONTH(AsAt)&lt;4)+42)+1,2)</f>
        <v>2068/69</v>
      </c>
      <c r="B50" s="103">
        <f>B106+B162</f>
        <v>0</v>
      </c>
      <c r="C50" s="103">
        <f>C106+C162</f>
        <v>0</v>
      </c>
      <c r="D50" s="103">
        <f>D106</f>
        <v>0</v>
      </c>
      <c r="E50" s="103">
        <f>E106+E162</f>
        <v>0</v>
      </c>
      <c r="F50" s="103">
        <f>F106</f>
        <v>0</v>
      </c>
      <c r="G50" s="103">
        <f>B50-C50</f>
        <v>0</v>
      </c>
      <c r="H50" s="103">
        <f>MAX(D50,-G50)</f>
        <v>0</v>
      </c>
      <c r="I50" s="103">
        <f>G50+H50</f>
        <v>0</v>
      </c>
      <c r="J50" s="103">
        <f>MAX(0,I50-E50)</f>
        <v>0</v>
      </c>
      <c r="K50" s="103">
        <f>MAX(0,E50-MAX(0,I50))</f>
        <v>0</v>
      </c>
      <c r="L50" s="103">
        <f>MAX(0,E50+J50-G50)</f>
        <v>0</v>
      </c>
      <c r="M50" s="103">
        <f>MAX(0,H50-D50)</f>
        <v>0</v>
      </c>
      <c r="N50" s="103">
        <f>MAX(0,L50-H50)</f>
        <v>0</v>
      </c>
      <c r="O50" s="103">
        <f>MAX(MAX(I$8:I$58),MAX(E$8:E$58))</f>
        <v>0</v>
      </c>
      <c r="P50" s="104">
        <f>DATE((YEAR(AsAt)-(MONTH(AsAt)&lt;4)+42)+1,3,31)</f>
        <v>61818.0</v>
      </c>
      <c r="Q50" s="105">
        <f>J50-K50</f>
        <v>0</v>
      </c>
      <c r="R50" s="105">
        <f>-C50</f>
        <v>0</v>
      </c>
      <c r="S50" s="105">
        <f>-F50</f>
        <v>0</v>
      </c>
      <c r="T50" s="105">
        <f>-H50</f>
        <v>0</v>
      </c>
    </row>
    <row r="51" ht="15" customHeight="1">
      <c r="A51" s="55" t="str">
        <f>(YEAR(AsAt)-(MONTH(AsAt)&lt;4)+43)&amp;"/"&amp;RIGHT((YEAR(AsAt)-(MONTH(AsAt)&lt;4)+43)+1,2)</f>
        <v>2069/70</v>
      </c>
      <c r="B51" s="103">
        <f>B107+B163</f>
        <v>0</v>
      </c>
      <c r="C51" s="103">
        <f>C107+C163</f>
        <v>0</v>
      </c>
      <c r="D51" s="103">
        <f>D107</f>
        <v>0</v>
      </c>
      <c r="E51" s="103">
        <f>E107+E163</f>
        <v>0</v>
      </c>
      <c r="F51" s="103">
        <f>F107</f>
        <v>0</v>
      </c>
      <c r="G51" s="103">
        <f>B51-C51</f>
        <v>0</v>
      </c>
      <c r="H51" s="103">
        <f>MAX(D51,-G51)</f>
        <v>0</v>
      </c>
      <c r="I51" s="103">
        <f>G51+H51</f>
        <v>0</v>
      </c>
      <c r="J51" s="103">
        <f>MAX(0,I51-E51)</f>
        <v>0</v>
      </c>
      <c r="K51" s="103">
        <f>MAX(0,E51-MAX(0,I51))</f>
        <v>0</v>
      </c>
      <c r="L51" s="103">
        <f>MAX(0,E51+J51-G51)</f>
        <v>0</v>
      </c>
      <c r="M51" s="103">
        <f>MAX(0,H51-D51)</f>
        <v>0</v>
      </c>
      <c r="N51" s="103">
        <f>MAX(0,L51-H51)</f>
        <v>0</v>
      </c>
      <c r="O51" s="103">
        <f>MAX(MAX(I$8:I$58),MAX(E$8:E$58))</f>
        <v>0</v>
      </c>
      <c r="P51" s="104">
        <f>DATE((YEAR(AsAt)-(MONTH(AsAt)&lt;4)+43)+1,3,31)</f>
        <v>62183.0</v>
      </c>
      <c r="Q51" s="105">
        <f>J51-K51</f>
        <v>0</v>
      </c>
      <c r="R51" s="105">
        <f>-C51</f>
        <v>0</v>
      </c>
      <c r="S51" s="105">
        <f>-F51</f>
        <v>0</v>
      </c>
      <c r="T51" s="105">
        <f>-H51</f>
        <v>0</v>
      </c>
    </row>
    <row r="52" ht="15" customHeight="1">
      <c r="A52" s="55" t="str">
        <f>(YEAR(AsAt)-(MONTH(AsAt)&lt;4)+44)&amp;"/"&amp;RIGHT((YEAR(AsAt)-(MONTH(AsAt)&lt;4)+44)+1,2)</f>
        <v>2070/71</v>
      </c>
      <c r="B52" s="103">
        <f>B108+B164</f>
        <v>0</v>
      </c>
      <c r="C52" s="103">
        <f>C108+C164</f>
        <v>0</v>
      </c>
      <c r="D52" s="103">
        <f>D108</f>
        <v>0</v>
      </c>
      <c r="E52" s="103">
        <f>E108+E164</f>
        <v>0</v>
      </c>
      <c r="F52" s="103">
        <f>F108</f>
        <v>0</v>
      </c>
      <c r="G52" s="103">
        <f>B52-C52</f>
        <v>0</v>
      </c>
      <c r="H52" s="103">
        <f>MAX(D52,-G52)</f>
        <v>0</v>
      </c>
      <c r="I52" s="103">
        <f>G52+H52</f>
        <v>0</v>
      </c>
      <c r="J52" s="103">
        <f>MAX(0,I52-E52)</f>
        <v>0</v>
      </c>
      <c r="K52" s="103">
        <f>MAX(0,E52-MAX(0,I52))</f>
        <v>0</v>
      </c>
      <c r="L52" s="103">
        <f>MAX(0,E52+J52-G52)</f>
        <v>0</v>
      </c>
      <c r="M52" s="103">
        <f>MAX(0,H52-D52)</f>
        <v>0</v>
      </c>
      <c r="N52" s="103">
        <f>MAX(0,L52-H52)</f>
        <v>0</v>
      </c>
      <c r="O52" s="103">
        <f>MAX(MAX(I$8:I$58),MAX(E$8:E$58))</f>
        <v>0</v>
      </c>
      <c r="P52" s="104">
        <f>DATE((YEAR(AsAt)-(MONTH(AsAt)&lt;4)+44)+1,3,31)</f>
        <v>62548.0</v>
      </c>
      <c r="Q52" s="105">
        <f>J52-K52</f>
        <v>0</v>
      </c>
      <c r="R52" s="105">
        <f>-C52</f>
        <v>0</v>
      </c>
      <c r="S52" s="105">
        <f>-F52</f>
        <v>0</v>
      </c>
      <c r="T52" s="105">
        <f>-H52</f>
        <v>0</v>
      </c>
    </row>
    <row r="53" ht="15" customHeight="1">
      <c r="A53" s="55" t="str">
        <f>(YEAR(AsAt)-(MONTH(AsAt)&lt;4)+45)&amp;"/"&amp;RIGHT((YEAR(AsAt)-(MONTH(AsAt)&lt;4)+45)+1,2)</f>
        <v>2071/72</v>
      </c>
      <c r="B53" s="103">
        <f>B109+B165</f>
        <v>0</v>
      </c>
      <c r="C53" s="103">
        <f>C109+C165</f>
        <v>0</v>
      </c>
      <c r="D53" s="103">
        <f>D109</f>
        <v>0</v>
      </c>
      <c r="E53" s="103">
        <f>E109+E165</f>
        <v>0</v>
      </c>
      <c r="F53" s="103">
        <f>F109</f>
        <v>0</v>
      </c>
      <c r="G53" s="103">
        <f>B53-C53</f>
        <v>0</v>
      </c>
      <c r="H53" s="103">
        <f>MAX(D53,-G53)</f>
        <v>0</v>
      </c>
      <c r="I53" s="103">
        <f>G53+H53</f>
        <v>0</v>
      </c>
      <c r="J53" s="103">
        <f>MAX(0,I53-E53)</f>
        <v>0</v>
      </c>
      <c r="K53" s="103">
        <f>MAX(0,E53-MAX(0,I53))</f>
        <v>0</v>
      </c>
      <c r="L53" s="103">
        <f>MAX(0,E53+J53-G53)</f>
        <v>0</v>
      </c>
      <c r="M53" s="103">
        <f>MAX(0,H53-D53)</f>
        <v>0</v>
      </c>
      <c r="N53" s="103">
        <f>MAX(0,L53-H53)</f>
        <v>0</v>
      </c>
      <c r="O53" s="103">
        <f>MAX(MAX(I$8:I$58),MAX(E$8:E$58))</f>
        <v>0</v>
      </c>
      <c r="P53" s="104">
        <f>DATE((YEAR(AsAt)-(MONTH(AsAt)&lt;4)+45)+1,3,31)</f>
        <v>62914.0</v>
      </c>
      <c r="Q53" s="105">
        <f>J53-K53</f>
        <v>0</v>
      </c>
      <c r="R53" s="105">
        <f>-C53</f>
        <v>0</v>
      </c>
      <c r="S53" s="105">
        <f>-F53</f>
        <v>0</v>
      </c>
      <c r="T53" s="105">
        <f>-H53</f>
        <v>0</v>
      </c>
    </row>
    <row r="54" ht="15" customHeight="1">
      <c r="A54" s="55" t="str">
        <f>(YEAR(AsAt)-(MONTH(AsAt)&lt;4)+46)&amp;"/"&amp;RIGHT((YEAR(AsAt)-(MONTH(AsAt)&lt;4)+46)+1,2)</f>
        <v>2072/73</v>
      </c>
      <c r="B54" s="103">
        <f>B110+B166</f>
        <v>0</v>
      </c>
      <c r="C54" s="103">
        <f>C110+C166</f>
        <v>0</v>
      </c>
      <c r="D54" s="103">
        <f>D110</f>
        <v>0</v>
      </c>
      <c r="E54" s="103">
        <f>E110+E166</f>
        <v>0</v>
      </c>
      <c r="F54" s="103">
        <f>F110</f>
        <v>0</v>
      </c>
      <c r="G54" s="103">
        <f>B54-C54</f>
        <v>0</v>
      </c>
      <c r="H54" s="103">
        <f>MAX(D54,-G54)</f>
        <v>0</v>
      </c>
      <c r="I54" s="103">
        <f>G54+H54</f>
        <v>0</v>
      </c>
      <c r="J54" s="103">
        <f>MAX(0,I54-E54)</f>
        <v>0</v>
      </c>
      <c r="K54" s="103">
        <f>MAX(0,E54-MAX(0,I54))</f>
        <v>0</v>
      </c>
      <c r="L54" s="103">
        <f>MAX(0,E54+J54-G54)</f>
        <v>0</v>
      </c>
      <c r="M54" s="103">
        <f>MAX(0,H54-D54)</f>
        <v>0</v>
      </c>
      <c r="N54" s="103">
        <f>MAX(0,L54-H54)</f>
        <v>0</v>
      </c>
      <c r="O54" s="103">
        <f>MAX(MAX(I$8:I$58),MAX(E$8:E$58))</f>
        <v>0</v>
      </c>
      <c r="P54" s="104">
        <f>DATE((YEAR(AsAt)-(MONTH(AsAt)&lt;4)+46)+1,3,31)</f>
        <v>63279.0</v>
      </c>
      <c r="Q54" s="105">
        <f>J54-K54</f>
        <v>0</v>
      </c>
      <c r="R54" s="105">
        <f>-C54</f>
        <v>0</v>
      </c>
      <c r="S54" s="105">
        <f>-F54</f>
        <v>0</v>
      </c>
      <c r="T54" s="105">
        <f>-H54</f>
        <v>0</v>
      </c>
    </row>
    <row r="55" ht="15" customHeight="1">
      <c r="A55" s="55" t="str">
        <f>(YEAR(AsAt)-(MONTH(AsAt)&lt;4)+47)&amp;"/"&amp;RIGHT((YEAR(AsAt)-(MONTH(AsAt)&lt;4)+47)+1,2)</f>
        <v>2073/74</v>
      </c>
      <c r="B55" s="103">
        <f>B111+B167</f>
        <v>0</v>
      </c>
      <c r="C55" s="103">
        <f>C111+C167</f>
        <v>0</v>
      </c>
      <c r="D55" s="103">
        <f>D111</f>
        <v>0</v>
      </c>
      <c r="E55" s="103">
        <f>E111+E167</f>
        <v>0</v>
      </c>
      <c r="F55" s="103">
        <f>F111</f>
        <v>0</v>
      </c>
      <c r="G55" s="103">
        <f>B55-C55</f>
        <v>0</v>
      </c>
      <c r="H55" s="103">
        <f>MAX(D55,-G55)</f>
        <v>0</v>
      </c>
      <c r="I55" s="103">
        <f>G55+H55</f>
        <v>0</v>
      </c>
      <c r="J55" s="103">
        <f>MAX(0,I55-E55)</f>
        <v>0</v>
      </c>
      <c r="K55" s="103">
        <f>MAX(0,E55-MAX(0,I55))</f>
        <v>0</v>
      </c>
      <c r="L55" s="103">
        <f>MAX(0,E55+J55-G55)</f>
        <v>0</v>
      </c>
      <c r="M55" s="103">
        <f>MAX(0,H55-D55)</f>
        <v>0</v>
      </c>
      <c r="N55" s="103">
        <f>MAX(0,L55-H55)</f>
        <v>0</v>
      </c>
      <c r="O55" s="103">
        <f>MAX(MAX(I$8:I$58),MAX(E$8:E$58))</f>
        <v>0</v>
      </c>
      <c r="P55" s="104">
        <f>DATE((YEAR(AsAt)-(MONTH(AsAt)&lt;4)+47)+1,3,31)</f>
        <v>63644.0</v>
      </c>
      <c r="Q55" s="105">
        <f>J55-K55</f>
        <v>0</v>
      </c>
      <c r="R55" s="105">
        <f>-C55</f>
        <v>0</v>
      </c>
      <c r="S55" s="105">
        <f>-F55</f>
        <v>0</v>
      </c>
      <c r="T55" s="105">
        <f>-H55</f>
        <v>0</v>
      </c>
    </row>
    <row r="56" ht="15" customHeight="1">
      <c r="A56" s="55" t="str">
        <f>(YEAR(AsAt)-(MONTH(AsAt)&lt;4)+48)&amp;"/"&amp;RIGHT((YEAR(AsAt)-(MONTH(AsAt)&lt;4)+48)+1,2)</f>
        <v>2074/75</v>
      </c>
      <c r="B56" s="103">
        <f>B112+B168</f>
        <v>0</v>
      </c>
      <c r="C56" s="103">
        <f>C112+C168</f>
        <v>0</v>
      </c>
      <c r="D56" s="103">
        <f>D112</f>
        <v>0</v>
      </c>
      <c r="E56" s="103">
        <f>E112+E168</f>
        <v>0</v>
      </c>
      <c r="F56" s="103">
        <f>F112</f>
        <v>0</v>
      </c>
      <c r="G56" s="103">
        <f>B56-C56</f>
        <v>0</v>
      </c>
      <c r="H56" s="103">
        <f>MAX(D56,-G56)</f>
        <v>0</v>
      </c>
      <c r="I56" s="103">
        <f>G56+H56</f>
        <v>0</v>
      </c>
      <c r="J56" s="103">
        <f>MAX(0,I56-E56)</f>
        <v>0</v>
      </c>
      <c r="K56" s="103">
        <f>MAX(0,E56-MAX(0,I56))</f>
        <v>0</v>
      </c>
      <c r="L56" s="103">
        <f>MAX(0,E56+J56-G56)</f>
        <v>0</v>
      </c>
      <c r="M56" s="103">
        <f>MAX(0,H56-D56)</f>
        <v>0</v>
      </c>
      <c r="N56" s="103">
        <f>MAX(0,L56-H56)</f>
        <v>0</v>
      </c>
      <c r="O56" s="103">
        <f>MAX(MAX(I$8:I$58),MAX(E$8:E$58))</f>
        <v>0</v>
      </c>
      <c r="P56" s="104">
        <f>DATE((YEAR(AsAt)-(MONTH(AsAt)&lt;4)+48)+1,3,31)</f>
        <v>64009.0</v>
      </c>
      <c r="Q56" s="105">
        <f>J56-K56</f>
        <v>0</v>
      </c>
      <c r="R56" s="105">
        <f>-C56</f>
        <v>0</v>
      </c>
      <c r="S56" s="105">
        <f>-F56</f>
        <v>0</v>
      </c>
      <c r="T56" s="105">
        <f>-H56</f>
        <v>0</v>
      </c>
    </row>
    <row r="57" ht="15" customHeight="1">
      <c r="A57" s="55" t="str">
        <f>(YEAR(AsAt)-(MONTH(AsAt)&lt;4)+49)&amp;"/"&amp;RIGHT((YEAR(AsAt)-(MONTH(AsAt)&lt;4)+49)+1,2)</f>
        <v>2075/76</v>
      </c>
      <c r="B57" s="103">
        <f>B113+B169</f>
        <v>0</v>
      </c>
      <c r="C57" s="103">
        <f>C113+C169</f>
        <v>0</v>
      </c>
      <c r="D57" s="103">
        <f>D113</f>
        <v>0</v>
      </c>
      <c r="E57" s="103">
        <f>E113+E169</f>
        <v>0</v>
      </c>
      <c r="F57" s="103">
        <f>F113</f>
        <v>0</v>
      </c>
      <c r="G57" s="103">
        <f>B57-C57</f>
        <v>0</v>
      </c>
      <c r="H57" s="103">
        <f>MAX(D57,-G57)</f>
        <v>0</v>
      </c>
      <c r="I57" s="103">
        <f>G57+H57</f>
        <v>0</v>
      </c>
      <c r="J57" s="103">
        <f>MAX(0,I57-E57)</f>
        <v>0</v>
      </c>
      <c r="K57" s="103">
        <f>MAX(0,E57-MAX(0,I57))</f>
        <v>0</v>
      </c>
      <c r="L57" s="103">
        <f>MAX(0,E57+J57-G57)</f>
        <v>0</v>
      </c>
      <c r="M57" s="103">
        <f>MAX(0,H57-D57)</f>
        <v>0</v>
      </c>
      <c r="N57" s="103">
        <f>MAX(0,L57-H57)</f>
        <v>0</v>
      </c>
      <c r="O57" s="103">
        <f>MAX(MAX(I$8:I$58),MAX(E$8:E$58))</f>
        <v>0</v>
      </c>
      <c r="P57" s="104">
        <f>DATE((YEAR(AsAt)-(MONTH(AsAt)&lt;4)+49)+1,3,31)</f>
        <v>64375.0</v>
      </c>
      <c r="Q57" s="105">
        <f>J57-K57</f>
        <v>0</v>
      </c>
      <c r="R57" s="105">
        <f>-C57</f>
        <v>0</v>
      </c>
      <c r="S57" s="105">
        <f>-F57</f>
        <v>0</v>
      </c>
      <c r="T57" s="105">
        <f>-H57</f>
        <v>0</v>
      </c>
    </row>
    <row r="58" ht="15" customHeight="1">
      <c r="A58" s="55" t="str">
        <f>(YEAR(AsAt)-(MONTH(AsAt)&lt;4)+50)&amp;"/"&amp;RIGHT((YEAR(AsAt)-(MONTH(AsAt)&lt;4)+50)+1,2)</f>
        <v>2076/77</v>
      </c>
      <c r="B58" s="103">
        <f>B114+B170</f>
        <v>0</v>
      </c>
      <c r="C58" s="103">
        <f>C114+C170</f>
        <v>0</v>
      </c>
      <c r="D58" s="103">
        <f>D114</f>
        <v>0</v>
      </c>
      <c r="E58" s="103">
        <f>E114+E170</f>
        <v>0</v>
      </c>
      <c r="F58" s="103">
        <f>F114</f>
        <v>0</v>
      </c>
      <c r="G58" s="103">
        <f>B58-C58</f>
        <v>0</v>
      </c>
      <c r="H58" s="103">
        <f>MAX(D58,-G58)</f>
        <v>0</v>
      </c>
      <c r="I58" s="103">
        <f>G58+H58</f>
        <v>0</v>
      </c>
      <c r="J58" s="103">
        <f>MAX(0,I58-E58)</f>
        <v>0</v>
      </c>
      <c r="K58" s="103">
        <f>MAX(0,E58-MAX(0,I58))</f>
        <v>0</v>
      </c>
      <c r="L58" s="103">
        <f>MAX(0,E58+J58-G58)</f>
        <v>0</v>
      </c>
      <c r="M58" s="103">
        <f>MAX(0,H58-D58)</f>
        <v>0</v>
      </c>
      <c r="N58" s="103">
        <f>MAX(0,L58-H58)</f>
        <v>0</v>
      </c>
      <c r="O58" s="103">
        <f>MAX(MAX(I$8:I$58),MAX(E$8:E$58))</f>
        <v>0</v>
      </c>
      <c r="P58" s="104">
        <f>DATE((YEAR(AsAt)-(MONTH(AsAt)&lt;4)+50)+1,3,31)</f>
        <v>64740.0</v>
      </c>
      <c r="Q58" s="105">
        <f>J58-K58</f>
        <v>0</v>
      </c>
      <c r="R58" s="105">
        <f>-C58</f>
        <v>0</v>
      </c>
      <c r="S58" s="105">
        <f>-F58</f>
        <v>0</v>
      </c>
      <c r="T58" s="105">
        <f>-H58</f>
        <v>0</v>
      </c>
    </row>
    <row r="59" ht="15" customHeight="1"/>
    <row r="60" ht="15" customHeight="1"/>
    <row r="61" ht="15" customHeight="1"/>
    <row r="62" ht="18" customHeight="1">
      <c r="A62" s="8" t="inlineStr">
        <is>
          <t>General Fund</t>
        </is>
      </c>
      <c r="D62" s="38" t="inlineStr">
        <is>
          <t>the General Fund block of the Projections sheet</t>
        </is>
      </c>
    </row>
    <row r="63" ht="40" customHeight="1">
      <c r="A63" s="53" t="inlineStr">
        <is>
          <t>Year end</t>
        </is>
      </c>
      <c r="B63" s="54" t="inlineStr">
        <is>
          <t>Capital financing requirement</t>
        </is>
      </c>
      <c r="C63" s="54" t="inlineStr">
        <is>
          <t>Other balance sheet items</t>
        </is>
      </c>
      <c r="D63" s="54" t="inlineStr">
        <is>
          <t>Liquidity allowance</t>
        </is>
      </c>
      <c r="E63" s="54" t="inlineStr">
        <is>
          <t>Existing loan commitments</t>
        </is>
      </c>
      <c r="F63" s="54" t="inlineStr">
        <is>
          <t>Existing investment commitments</t>
        </is>
      </c>
      <c r="G63" s="54" t="inlineStr">
        <is>
          <t>Net treasury position</t>
        </is>
      </c>
      <c r="H63" s="54" t="inlineStr">
        <is>
          <t>Treasury investment benchmark</t>
        </is>
      </c>
      <c r="I63" s="54" t="inlineStr">
        <is>
          <t>Liability benchmark</t>
        </is>
      </c>
      <c r="J63" s="54" t="inlineStr">
        <is>
          <t>Borrowing requirement</t>
        </is>
      </c>
      <c r="K63" s="54" t="inlineStr">
        <is>
          <t>Above-benchmark borrowing</t>
        </is>
      </c>
      <c r="L63" s="54" t="inlineStr">
        <is>
          <t>Investment balance</t>
        </is>
      </c>
      <c r="M63" s="54" t="inlineStr">
        <is>
          <t>Strategic investments</t>
        </is>
      </c>
      <c r="N63" s="54" t="inlineStr">
        <is>
          <t>Excess investments</t>
        </is>
      </c>
      <c r="O63" s="54" t="inlineStr">
        <is>
          <t>Authorised limit</t>
        </is>
      </c>
      <c r="P63" s="102" t="inlineStr">
        <is>
          <t>Year end date</t>
        </is>
      </c>
      <c r="Q63" s="102" t="inlineStr">
        <is>
          <t>Borrowing requirement, signed</t>
        </is>
      </c>
      <c r="R63" s="102" t="inlineStr">
        <is>
          <t>Other balance sheet items, negated</t>
        </is>
      </c>
      <c r="S63" s="102" t="inlineStr">
        <is>
          <t>Existing investments, negated</t>
        </is>
      </c>
      <c r="T63" s="102" t="inlineStr">
        <is>
          <t>Investment benchmark, negated</t>
        </is>
      </c>
    </row>
    <row r="64" ht="15" customHeight="1">
      <c r="A64" s="55" t="str">
        <f>(YEAR(AsAt)-(MONTH(AsAt)&lt;4)+0)&amp;"/"&amp;RIGHT((YEAR(AsAt)-(MONTH(AsAt)&lt;4)+0)+1,2)</f>
        <v>2026/27</v>
      </c>
      <c r="B64" s="103">
        <f>N('Projections'!$B$7)</f>
        <v>0</v>
      </c>
      <c r="C64" s="103">
        <f>N('Projections'!$E$7)</f>
        <v>0</v>
      </c>
      <c r="D64" s="103">
        <f>N('Projections'!$H$7)</f>
        <v>0</v>
      </c>
      <c r="E64" s="103">
        <f>IF($R$3,N('Projections'!$F$7),(SUMPRODUCT(LM_runs*(LN_start&lt;=$P64)*(LM_profile="EIP")*(1-(HRA="Two pools")*(LN_fund="HRA"))*LM_eip*(LM_payments-(($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SUMPRODUCT(LM_runs*(LN_start&lt;=$P64)*(LM_profile="Annuity")*(1-(HRA="Two pools")*(LN_fund="HRA"))*((LM_rate&gt;0)*(LM_out*(1+LM_rate)^((($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LM_annuity*((1+LM_rate)^((($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-1)/LM_safe)+(LM_rate=0)*(LM_out-LM_annuity*((($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SUMPRODUCT(LM_runs*(LN_start&lt;=$P64)*((LM_profile&lt;&gt;"EIP")*(LM_profile&lt;&gt;"Annuity"))*(1-(HRA="Two pools")*(LN_fund="HRA"))*(LM_end&gt;$P64)*LN_principal))/1000000)</f>
        <v>0</v>
      </c>
      <c r="F64" s="103">
        <f>IF($R$4,N('Projections'!$G$7),(SUMPRODUCT(('Deal maths'!$F$4:$F$2000&gt;AsAt)*('Deal maths'!$E$4:$E$2000&lt;=AsAt)*('Deal maths'!$H$4:$H$2000+('Deal maths'!$H$4:$H$2000=0)*'Deal maths'!$D$4:$D$2000))+SUM('Deal maths'!$M$4:$M$2000)+SUMPRODUCT(('Deal maths'!$R$4:$R$2000&gt;0)*('Deal maths'!$S$4:$S$2000+('Deal maths'!$S$4:$S$2000=0)*'Deal maths'!$R$4:$R$2000)))/1000000)</f>
        <v>0</v>
      </c>
      <c r="G64" s="103">
        <f>B64-C64</f>
        <v>0</v>
      </c>
      <c r="H64" s="103">
        <f>MAX(D64,-G64)</f>
        <v>0</v>
      </c>
      <c r="I64" s="103">
        <f>G64+H64</f>
        <v>0</v>
      </c>
      <c r="J64" s="103">
        <f>MAX(0,I64-E64)</f>
        <v>0</v>
      </c>
      <c r="K64" s="103">
        <f>MAX(0,E64-MAX(0,I64))</f>
        <v>0</v>
      </c>
      <c r="L64" s="103">
        <f>MAX(0,E64+J64-G64)</f>
        <v>0</v>
      </c>
      <c r="M64" s="103">
        <f>MAX(0,H64-D64)</f>
        <v>0</v>
      </c>
      <c r="N64" s="103">
        <f>MAX(0,L64-H64)</f>
        <v>0</v>
      </c>
      <c r="O64" s="103">
        <f>MAX(MAX(I$64:I$114),MAX(E$64:E$114))</f>
        <v>0</v>
      </c>
      <c r="P64" s="104">
        <f>DATE((YEAR(AsAt)-(MONTH(AsAt)&lt;4)+0)+1,3,31)</f>
        <v>46477.0</v>
      </c>
      <c r="Q64" s="105">
        <f>J64-K64</f>
        <v>0</v>
      </c>
      <c r="R64" s="105">
        <f>-C64</f>
        <v>0</v>
      </c>
      <c r="S64" s="105">
        <f>-F64</f>
        <v>0</v>
      </c>
      <c r="T64" s="105">
        <f>-H64</f>
        <v>0</v>
      </c>
    </row>
    <row r="65" ht="15" customHeight="1">
      <c r="A65" s="55" t="str">
        <f>(YEAR(AsAt)-(MONTH(AsAt)&lt;4)+1)&amp;"/"&amp;RIGHT((YEAR(AsAt)-(MONTH(AsAt)&lt;4)+1)+1,2)</f>
        <v>2027/28</v>
      </c>
      <c r="B65" s="103">
        <f>N('Projections'!$B$8)</f>
        <v>0</v>
      </c>
      <c r="C65" s="103">
        <f>N('Projections'!$E$8)</f>
        <v>0</v>
      </c>
      <c r="D65" s="103">
        <f>N('Projections'!$H$8)</f>
        <v>0</v>
      </c>
      <c r="E65" s="103">
        <f>IF($R$3,N('Projections'!$F$8),(SUMPRODUCT(LM_runs*(LN_start&lt;=$P65)*(LM_profile="EIP")*(1-(HRA="Two pools")*(LN_fund="HRA"))*LM_eip*(LM_payments-(($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SUMPRODUCT(LM_runs*(LN_start&lt;=$P65)*(LM_profile="Annuity")*(1-(HRA="Two pools")*(LN_fund="HRA"))*((LM_rate&gt;0)*(LM_out*(1+LM_rate)^((($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LM_annuity*((1+LM_rate)^((($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-1)/LM_safe)+(LM_rate=0)*(LM_out-LM_annuity*((($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SUMPRODUCT(LM_runs*(LN_start&lt;=$P65)*((LM_profile&lt;&gt;"EIP")*(LM_profile&lt;&gt;"Annuity"))*(1-(HRA="Two pools")*(LN_fund="HRA"))*(LM_end&gt;$P65)*LN_principal))/1000000)</f>
        <v>0</v>
      </c>
      <c r="F65" s="103">
        <f>IF($R$4,N('Projections'!$G$8),SUMPRODUCT(('Deal maths'!$F$4:$F$2000&gt;$P65)*('Deal maths'!$E$4:$E$2000&lt;=$P65)*('Deal maths'!$H$4:$H$2000+('Deal maths'!$H$4:$H$2000=0)*'Deal maths'!$D$4:$D$2000))/1000000)</f>
        <v>0</v>
      </c>
      <c r="G65" s="103">
        <f>B65-C65</f>
        <v>0</v>
      </c>
      <c r="H65" s="103">
        <f>MAX(D65,-G65)</f>
        <v>0</v>
      </c>
      <c r="I65" s="103">
        <f>G65+H65</f>
        <v>0</v>
      </c>
      <c r="J65" s="103">
        <f>MAX(0,I65-E65)</f>
        <v>0</v>
      </c>
      <c r="K65" s="103">
        <f>MAX(0,E65-MAX(0,I65))</f>
        <v>0</v>
      </c>
      <c r="L65" s="103">
        <f>MAX(0,E65+J65-G65)</f>
        <v>0</v>
      </c>
      <c r="M65" s="103">
        <f>MAX(0,H65-D65)</f>
        <v>0</v>
      </c>
      <c r="N65" s="103">
        <f>MAX(0,L65-H65)</f>
        <v>0</v>
      </c>
      <c r="O65" s="103">
        <f>MAX(MAX(I$64:I$114),MAX(E$64:E$114))</f>
        <v>0</v>
      </c>
      <c r="P65" s="104">
        <f>DATE((YEAR(AsAt)-(MONTH(AsAt)&lt;4)+1)+1,3,31)</f>
        <v>46843.0</v>
      </c>
      <c r="Q65" s="105">
        <f>J65-K65</f>
        <v>0</v>
      </c>
      <c r="R65" s="105">
        <f>-C65</f>
        <v>0</v>
      </c>
      <c r="S65" s="105">
        <f>-F65</f>
        <v>0</v>
      </c>
      <c r="T65" s="105">
        <f>-H65</f>
        <v>0</v>
      </c>
    </row>
    <row r="66" ht="15" customHeight="1">
      <c r="A66" s="55" t="str">
        <f>(YEAR(AsAt)-(MONTH(AsAt)&lt;4)+2)&amp;"/"&amp;RIGHT((YEAR(AsAt)-(MONTH(AsAt)&lt;4)+2)+1,2)</f>
        <v>2028/29</v>
      </c>
      <c r="B66" s="103">
        <f>N('Projections'!$B$9)</f>
        <v>0</v>
      </c>
      <c r="C66" s="103">
        <f>N('Projections'!$E$9)</f>
        <v>0</v>
      </c>
      <c r="D66" s="103">
        <f>N('Projections'!$H$9)</f>
        <v>0</v>
      </c>
      <c r="E66" s="103">
        <f>IF($R$3,N('Projections'!$F$9),(SUMPRODUCT(LM_runs*(LN_start&lt;=$P66)*(LM_profile="EIP")*(1-(HRA="Two pools")*(LN_fund="HRA"))*LM_eip*(LM_payments-(($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SUMPRODUCT(LM_runs*(LN_start&lt;=$P66)*(LM_profile="Annuity")*(1-(HRA="Two pools")*(LN_fund="HRA"))*((LM_rate&gt;0)*(LM_out*(1+LM_rate)^((($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LM_annuity*((1+LM_rate)^((($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-1)/LM_safe)+(LM_rate=0)*(LM_out-LM_annuity*((($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SUMPRODUCT(LM_runs*(LN_start&lt;=$P66)*((LM_profile&lt;&gt;"EIP")*(LM_profile&lt;&gt;"Annuity"))*(1-(HRA="Two pools")*(LN_fund="HRA"))*(LM_end&gt;$P66)*LN_principal))/1000000)</f>
        <v>0</v>
      </c>
      <c r="F66" s="103">
        <f>IF($R$4,N('Projections'!$G$9),SUMPRODUCT(('Deal maths'!$F$4:$F$2000&gt;$P66)*('Deal maths'!$E$4:$E$2000&lt;=$P66)*('Deal maths'!$H$4:$H$2000+('Deal maths'!$H$4:$H$2000=0)*'Deal maths'!$D$4:$D$2000))/1000000)</f>
        <v>0</v>
      </c>
      <c r="G66" s="103">
        <f>B66-C66</f>
        <v>0</v>
      </c>
      <c r="H66" s="103">
        <f>MAX(D66,-G66)</f>
        <v>0</v>
      </c>
      <c r="I66" s="103">
        <f>G66+H66</f>
        <v>0</v>
      </c>
      <c r="J66" s="103">
        <f>MAX(0,I66-E66)</f>
        <v>0</v>
      </c>
      <c r="K66" s="103">
        <f>MAX(0,E66-MAX(0,I66))</f>
        <v>0</v>
      </c>
      <c r="L66" s="103">
        <f>MAX(0,E66+J66-G66)</f>
        <v>0</v>
      </c>
      <c r="M66" s="103">
        <f>MAX(0,H66-D66)</f>
        <v>0</v>
      </c>
      <c r="N66" s="103">
        <f>MAX(0,L66-H66)</f>
        <v>0</v>
      </c>
      <c r="O66" s="103">
        <f>MAX(MAX(I$64:I$114),MAX(E$64:E$114))</f>
        <v>0</v>
      </c>
      <c r="P66" s="104">
        <f>DATE((YEAR(AsAt)-(MONTH(AsAt)&lt;4)+2)+1,3,31)</f>
        <v>47208.0</v>
      </c>
      <c r="Q66" s="105">
        <f>J66-K66</f>
        <v>0</v>
      </c>
      <c r="R66" s="105">
        <f>-C66</f>
        <v>0</v>
      </c>
      <c r="S66" s="105">
        <f>-F66</f>
        <v>0</v>
      </c>
      <c r="T66" s="105">
        <f>-H66</f>
        <v>0</v>
      </c>
    </row>
    <row r="67" ht="15" customHeight="1">
      <c r="A67" s="55" t="str">
        <f>(YEAR(AsAt)-(MONTH(AsAt)&lt;4)+3)&amp;"/"&amp;RIGHT((YEAR(AsAt)-(MONTH(AsAt)&lt;4)+3)+1,2)</f>
        <v>2029/30</v>
      </c>
      <c r="B67" s="103">
        <f>N('Projections'!$B$10)</f>
        <v>0</v>
      </c>
      <c r="C67" s="103">
        <f>N('Projections'!$E$10)</f>
        <v>0</v>
      </c>
      <c r="D67" s="103">
        <f>N('Projections'!$H$10)</f>
        <v>0</v>
      </c>
      <c r="E67" s="103">
        <f>IF($R$3,N('Projections'!$F$10),(SUMPRODUCT(LM_runs*(LN_start&lt;=$P67)*(LM_profile="EIP")*(1-(HRA="Two pools")*(LN_fund="HRA"))*LM_eip*(LM_payments-(($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SUMPRODUCT(LM_runs*(LN_start&lt;=$P67)*(LM_profile="Annuity")*(1-(HRA="Two pools")*(LN_fund="HRA"))*((LM_rate&gt;0)*(LM_out*(1+LM_rate)^((($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LM_annuity*((1+LM_rate)^((($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-1)/LM_safe)+(LM_rate=0)*(LM_out-LM_annuity*((($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SUMPRODUCT(LM_runs*(LN_start&lt;=$P67)*((LM_profile&lt;&gt;"EIP")*(LM_profile&lt;&gt;"Annuity"))*(1-(HRA="Two pools")*(LN_fund="HRA"))*(LM_end&gt;$P67)*LN_principal))/1000000)</f>
        <v>0</v>
      </c>
      <c r="F67" s="103">
        <f>IF($R$4,N('Projections'!$G$10),SUMPRODUCT(('Deal maths'!$F$4:$F$2000&gt;$P67)*('Deal maths'!$E$4:$E$2000&lt;=$P67)*('Deal maths'!$H$4:$H$2000+('Deal maths'!$H$4:$H$2000=0)*'Deal maths'!$D$4:$D$2000))/1000000)</f>
        <v>0</v>
      </c>
      <c r="G67" s="103">
        <f>B67-C67</f>
        <v>0</v>
      </c>
      <c r="H67" s="103">
        <f>MAX(D67,-G67)</f>
        <v>0</v>
      </c>
      <c r="I67" s="103">
        <f>G67+H67</f>
        <v>0</v>
      </c>
      <c r="J67" s="103">
        <f>MAX(0,I67-E67)</f>
        <v>0</v>
      </c>
      <c r="K67" s="103">
        <f>MAX(0,E67-MAX(0,I67))</f>
        <v>0</v>
      </c>
      <c r="L67" s="103">
        <f>MAX(0,E67+J67-G67)</f>
        <v>0</v>
      </c>
      <c r="M67" s="103">
        <f>MAX(0,H67-D67)</f>
        <v>0</v>
      </c>
      <c r="N67" s="103">
        <f>MAX(0,L67-H67)</f>
        <v>0</v>
      </c>
      <c r="O67" s="103">
        <f>MAX(MAX(I$64:I$114),MAX(E$64:E$114))</f>
        <v>0</v>
      </c>
      <c r="P67" s="104">
        <f>DATE((YEAR(AsAt)-(MONTH(AsAt)&lt;4)+3)+1,3,31)</f>
        <v>47573.0</v>
      </c>
      <c r="Q67" s="105">
        <f>J67-K67</f>
        <v>0</v>
      </c>
      <c r="R67" s="105">
        <f>-C67</f>
        <v>0</v>
      </c>
      <c r="S67" s="105">
        <f>-F67</f>
        <v>0</v>
      </c>
      <c r="T67" s="105">
        <f>-H67</f>
        <v>0</v>
      </c>
    </row>
    <row r="68" ht="15" customHeight="1">
      <c r="A68" s="55" t="str">
        <f>(YEAR(AsAt)-(MONTH(AsAt)&lt;4)+4)&amp;"/"&amp;RIGHT((YEAR(AsAt)-(MONTH(AsAt)&lt;4)+4)+1,2)</f>
        <v>2030/31</v>
      </c>
      <c r="B68" s="103">
        <f>N('Projections'!$B$11)</f>
        <v>0</v>
      </c>
      <c r="C68" s="103">
        <f>N('Projections'!$E$11)</f>
        <v>0</v>
      </c>
      <c r="D68" s="103">
        <f>N('Projections'!$H$11)</f>
        <v>0</v>
      </c>
      <c r="E68" s="103">
        <f>IF($R$3,N('Projections'!$F$11),(SUMPRODUCT(LM_runs*(LN_start&lt;=$P68)*(LM_profile="EIP")*(1-(HRA="Two pools")*(LN_fund="HRA"))*LM_eip*(LM_payments-(($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SUMPRODUCT(LM_runs*(LN_start&lt;=$P68)*(LM_profile="Annuity")*(1-(HRA="Two pools")*(LN_fund="HRA"))*((LM_rate&gt;0)*(LM_out*(1+LM_rate)^((($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LM_annuity*((1+LM_rate)^((($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-1)/LM_safe)+(LM_rate=0)*(LM_out-LM_annuity*((($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SUMPRODUCT(LM_runs*(LN_start&lt;=$P68)*((LM_profile&lt;&gt;"EIP")*(LM_profile&lt;&gt;"Annuity"))*(1-(HRA="Two pools")*(LN_fund="HRA"))*(LM_end&gt;$P68)*LN_principal))/1000000)</f>
        <v>0</v>
      </c>
      <c r="F68" s="103">
        <f>IF($R$4,N('Projections'!$G$11),SUMPRODUCT(('Deal maths'!$F$4:$F$2000&gt;$P68)*('Deal maths'!$E$4:$E$2000&lt;=$P68)*('Deal maths'!$H$4:$H$2000+('Deal maths'!$H$4:$H$2000=0)*'Deal maths'!$D$4:$D$2000))/1000000)</f>
        <v>0</v>
      </c>
      <c r="G68" s="103">
        <f>B68-C68</f>
        <v>0</v>
      </c>
      <c r="H68" s="103">
        <f>MAX(D68,-G68)</f>
        <v>0</v>
      </c>
      <c r="I68" s="103">
        <f>G68+H68</f>
        <v>0</v>
      </c>
      <c r="J68" s="103">
        <f>MAX(0,I68-E68)</f>
        <v>0</v>
      </c>
      <c r="K68" s="103">
        <f>MAX(0,E68-MAX(0,I68))</f>
        <v>0</v>
      </c>
      <c r="L68" s="103">
        <f>MAX(0,E68+J68-G68)</f>
        <v>0</v>
      </c>
      <c r="M68" s="103">
        <f>MAX(0,H68-D68)</f>
        <v>0</v>
      </c>
      <c r="N68" s="103">
        <f>MAX(0,L68-H68)</f>
        <v>0</v>
      </c>
      <c r="O68" s="103">
        <f>MAX(MAX(I$64:I$114),MAX(E$64:E$114))</f>
        <v>0</v>
      </c>
      <c r="P68" s="104">
        <f>DATE((YEAR(AsAt)-(MONTH(AsAt)&lt;4)+4)+1,3,31)</f>
        <v>47938.0</v>
      </c>
      <c r="Q68" s="105">
        <f>J68-K68</f>
        <v>0</v>
      </c>
      <c r="R68" s="105">
        <f>-C68</f>
        <v>0</v>
      </c>
      <c r="S68" s="105">
        <f>-F68</f>
        <v>0</v>
      </c>
      <c r="T68" s="105">
        <f>-H68</f>
        <v>0</v>
      </c>
    </row>
    <row r="69" ht="15" customHeight="1">
      <c r="A69" s="55" t="str">
        <f>(YEAR(AsAt)-(MONTH(AsAt)&lt;4)+5)&amp;"/"&amp;RIGHT((YEAR(AsAt)-(MONTH(AsAt)&lt;4)+5)+1,2)</f>
        <v>2031/32</v>
      </c>
      <c r="B69" s="103">
        <f>N('Projections'!$B$12)</f>
        <v>0</v>
      </c>
      <c r="C69" s="103">
        <f>N('Projections'!$E$12)</f>
        <v>0</v>
      </c>
      <c r="D69" s="103">
        <f>N('Projections'!$H$12)</f>
        <v>0</v>
      </c>
      <c r="E69" s="103">
        <f>IF($R$3,N('Projections'!$F$12),(SUMPRODUCT(LM_runs*(LN_start&lt;=$P69)*(LM_profile="EIP")*(1-(HRA="Two pools")*(LN_fund="HRA"))*LM_eip*(LM_payments-(($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SUMPRODUCT(LM_runs*(LN_start&lt;=$P69)*(LM_profile="Annuity")*(1-(HRA="Two pools")*(LN_fund="HRA"))*((LM_rate&gt;0)*(LM_out*(1+LM_rate)^((($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LM_annuity*((1+LM_rate)^((($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-1)/LM_safe)+(LM_rate=0)*(LM_out-LM_annuity*((($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SUMPRODUCT(LM_runs*(LN_start&lt;=$P69)*((LM_profile&lt;&gt;"EIP")*(LM_profile&lt;&gt;"Annuity"))*(1-(HRA="Two pools")*(LN_fund="HRA"))*(LM_end&gt;$P69)*LN_principal))/1000000)</f>
        <v>0</v>
      </c>
      <c r="F69" s="103">
        <f>IF($R$4,N('Projections'!$G$12),SUMPRODUCT(('Deal maths'!$F$4:$F$2000&gt;$P69)*('Deal maths'!$E$4:$E$2000&lt;=$P69)*('Deal maths'!$H$4:$H$2000+('Deal maths'!$H$4:$H$2000=0)*'Deal maths'!$D$4:$D$2000))/1000000)</f>
        <v>0</v>
      </c>
      <c r="G69" s="103">
        <f>B69-C69</f>
        <v>0</v>
      </c>
      <c r="H69" s="103">
        <f>MAX(D69,-G69)</f>
        <v>0</v>
      </c>
      <c r="I69" s="103">
        <f>G69+H69</f>
        <v>0</v>
      </c>
      <c r="J69" s="103">
        <f>MAX(0,I69-E69)</f>
        <v>0</v>
      </c>
      <c r="K69" s="103">
        <f>MAX(0,E69-MAX(0,I69))</f>
        <v>0</v>
      </c>
      <c r="L69" s="103">
        <f>MAX(0,E69+J69-G69)</f>
        <v>0</v>
      </c>
      <c r="M69" s="103">
        <f>MAX(0,H69-D69)</f>
        <v>0</v>
      </c>
      <c r="N69" s="103">
        <f>MAX(0,L69-H69)</f>
        <v>0</v>
      </c>
      <c r="O69" s="103">
        <f>MAX(MAX(I$64:I$114),MAX(E$64:E$114))</f>
        <v>0</v>
      </c>
      <c r="P69" s="104">
        <f>DATE((YEAR(AsAt)-(MONTH(AsAt)&lt;4)+5)+1,3,31)</f>
        <v>48304.0</v>
      </c>
      <c r="Q69" s="105">
        <f>J69-K69</f>
        <v>0</v>
      </c>
      <c r="R69" s="105">
        <f>-C69</f>
        <v>0</v>
      </c>
      <c r="S69" s="105">
        <f>-F69</f>
        <v>0</v>
      </c>
      <c r="T69" s="105">
        <f>-H69</f>
        <v>0</v>
      </c>
    </row>
    <row r="70" ht="15" customHeight="1">
      <c r="A70" s="55" t="str">
        <f>(YEAR(AsAt)-(MONTH(AsAt)&lt;4)+6)&amp;"/"&amp;RIGHT((YEAR(AsAt)-(MONTH(AsAt)&lt;4)+6)+1,2)</f>
        <v>2032/33</v>
      </c>
      <c r="B70" s="103">
        <f>N('Projections'!$B$13)</f>
        <v>0</v>
      </c>
      <c r="C70" s="103">
        <f>N('Projections'!$E$13)</f>
        <v>0</v>
      </c>
      <c r="D70" s="103">
        <f>N('Projections'!$H$13)</f>
        <v>0</v>
      </c>
      <c r="E70" s="103">
        <f>IF($R$3,N('Projections'!$F$13),(SUMPRODUCT(LM_runs*(LN_start&lt;=$P70)*(LM_profile="EIP")*(1-(HRA="Two pools")*(LN_fund="HRA"))*LM_eip*(LM_payments-(($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SUMPRODUCT(LM_runs*(LN_start&lt;=$P70)*(LM_profile="Annuity")*(1-(HRA="Two pools")*(LN_fund="HRA"))*((LM_rate&gt;0)*(LM_out*(1+LM_rate)^((($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LM_annuity*((1+LM_rate)^((($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-1)/LM_safe)+(LM_rate=0)*(LM_out-LM_annuity*((($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SUMPRODUCT(LM_runs*(LN_start&lt;=$P70)*((LM_profile&lt;&gt;"EIP")*(LM_profile&lt;&gt;"Annuity"))*(1-(HRA="Two pools")*(LN_fund="HRA"))*(LM_end&gt;$P70)*LN_principal))/1000000)</f>
        <v>0</v>
      </c>
      <c r="F70" s="103">
        <f>IF($R$4,N('Projections'!$G$13),SUMPRODUCT(('Deal maths'!$F$4:$F$2000&gt;$P70)*('Deal maths'!$E$4:$E$2000&lt;=$P70)*('Deal maths'!$H$4:$H$2000+('Deal maths'!$H$4:$H$2000=0)*'Deal maths'!$D$4:$D$2000))/1000000)</f>
        <v>0</v>
      </c>
      <c r="G70" s="103">
        <f>B70-C70</f>
        <v>0</v>
      </c>
      <c r="H70" s="103">
        <f>MAX(D70,-G70)</f>
        <v>0</v>
      </c>
      <c r="I70" s="103">
        <f>G70+H70</f>
        <v>0</v>
      </c>
      <c r="J70" s="103">
        <f>MAX(0,I70-E70)</f>
        <v>0</v>
      </c>
      <c r="K70" s="103">
        <f>MAX(0,E70-MAX(0,I70))</f>
        <v>0</v>
      </c>
      <c r="L70" s="103">
        <f>MAX(0,E70+J70-G70)</f>
        <v>0</v>
      </c>
      <c r="M70" s="103">
        <f>MAX(0,H70-D70)</f>
        <v>0</v>
      </c>
      <c r="N70" s="103">
        <f>MAX(0,L70-H70)</f>
        <v>0</v>
      </c>
      <c r="O70" s="103">
        <f>MAX(MAX(I$64:I$114),MAX(E$64:E$114))</f>
        <v>0</v>
      </c>
      <c r="P70" s="104">
        <f>DATE((YEAR(AsAt)-(MONTH(AsAt)&lt;4)+6)+1,3,31)</f>
        <v>48669.0</v>
      </c>
      <c r="Q70" s="105">
        <f>J70-K70</f>
        <v>0</v>
      </c>
      <c r="R70" s="105">
        <f>-C70</f>
        <v>0</v>
      </c>
      <c r="S70" s="105">
        <f>-F70</f>
        <v>0</v>
      </c>
      <c r="T70" s="105">
        <f>-H70</f>
        <v>0</v>
      </c>
    </row>
    <row r="71" ht="15" customHeight="1">
      <c r="A71" s="55" t="str">
        <f>(YEAR(AsAt)-(MONTH(AsAt)&lt;4)+7)&amp;"/"&amp;RIGHT((YEAR(AsAt)-(MONTH(AsAt)&lt;4)+7)+1,2)</f>
        <v>2033/34</v>
      </c>
      <c r="B71" s="103">
        <f>N('Projections'!$B$14)</f>
        <v>0</v>
      </c>
      <c r="C71" s="103">
        <f>N('Projections'!$E$14)</f>
        <v>0</v>
      </c>
      <c r="D71" s="103">
        <f>N('Projections'!$H$14)</f>
        <v>0</v>
      </c>
      <c r="E71" s="103">
        <f>IF($R$3,N('Projections'!$F$14),(SUMPRODUCT(LM_runs*(LN_start&lt;=$P71)*(LM_profile="EIP")*(1-(HRA="Two pools")*(LN_fund="HRA"))*LM_eip*(LM_payments-(($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SUMPRODUCT(LM_runs*(LN_start&lt;=$P71)*(LM_profile="Annuity")*(1-(HRA="Two pools")*(LN_fund="HRA"))*((LM_rate&gt;0)*(LM_out*(1+LM_rate)^((($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LM_annuity*((1+LM_rate)^((($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-1)/LM_safe)+(LM_rate=0)*(LM_out-LM_annuity*((($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SUMPRODUCT(LM_runs*(LN_start&lt;=$P71)*((LM_profile&lt;&gt;"EIP")*(LM_profile&lt;&gt;"Annuity"))*(1-(HRA="Two pools")*(LN_fund="HRA"))*(LM_end&gt;$P71)*LN_principal))/1000000)</f>
        <v>0</v>
      </c>
      <c r="F71" s="103">
        <f>IF($R$4,N('Projections'!$G$14),SUMPRODUCT(('Deal maths'!$F$4:$F$2000&gt;$P71)*('Deal maths'!$E$4:$E$2000&lt;=$P71)*('Deal maths'!$H$4:$H$2000+('Deal maths'!$H$4:$H$2000=0)*'Deal maths'!$D$4:$D$2000))/1000000)</f>
        <v>0</v>
      </c>
      <c r="G71" s="103">
        <f>B71-C71</f>
        <v>0</v>
      </c>
      <c r="H71" s="103">
        <f>MAX(D71,-G71)</f>
        <v>0</v>
      </c>
      <c r="I71" s="103">
        <f>G71+H71</f>
        <v>0</v>
      </c>
      <c r="J71" s="103">
        <f>MAX(0,I71-E71)</f>
        <v>0</v>
      </c>
      <c r="K71" s="103">
        <f>MAX(0,E71-MAX(0,I71))</f>
        <v>0</v>
      </c>
      <c r="L71" s="103">
        <f>MAX(0,E71+J71-G71)</f>
        <v>0</v>
      </c>
      <c r="M71" s="103">
        <f>MAX(0,H71-D71)</f>
        <v>0</v>
      </c>
      <c r="N71" s="103">
        <f>MAX(0,L71-H71)</f>
        <v>0</v>
      </c>
      <c r="O71" s="103">
        <f>MAX(MAX(I$64:I$114),MAX(E$64:E$114))</f>
        <v>0</v>
      </c>
      <c r="P71" s="104">
        <f>DATE((YEAR(AsAt)-(MONTH(AsAt)&lt;4)+7)+1,3,31)</f>
        <v>49034.0</v>
      </c>
      <c r="Q71" s="105">
        <f>J71-K71</f>
        <v>0</v>
      </c>
      <c r="R71" s="105">
        <f>-C71</f>
        <v>0</v>
      </c>
      <c r="S71" s="105">
        <f>-F71</f>
        <v>0</v>
      </c>
      <c r="T71" s="105">
        <f>-H71</f>
        <v>0</v>
      </c>
    </row>
    <row r="72" ht="15" customHeight="1">
      <c r="A72" s="55" t="str">
        <f>(YEAR(AsAt)-(MONTH(AsAt)&lt;4)+8)&amp;"/"&amp;RIGHT((YEAR(AsAt)-(MONTH(AsAt)&lt;4)+8)+1,2)</f>
        <v>2034/35</v>
      </c>
      <c r="B72" s="103">
        <f>N('Projections'!$B$15)</f>
        <v>0</v>
      </c>
      <c r="C72" s="103">
        <f>N('Projections'!$E$15)</f>
        <v>0</v>
      </c>
      <c r="D72" s="103">
        <f>N('Projections'!$H$15)</f>
        <v>0</v>
      </c>
      <c r="E72" s="103">
        <f>IF($R$3,N('Projections'!$F$15),(SUMPRODUCT(LM_runs*(LN_start&lt;=$P72)*(LM_profile="EIP")*(1-(HRA="Two pools")*(LN_fund="HRA"))*LM_eip*(LM_payments-(($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SUMPRODUCT(LM_runs*(LN_start&lt;=$P72)*(LM_profile="Annuity")*(1-(HRA="Two pools")*(LN_fund="HRA"))*((LM_rate&gt;0)*(LM_out*(1+LM_rate)^((($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LM_annuity*((1+LM_rate)^((($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-1)/LM_safe)+(LM_rate=0)*(LM_out-LM_annuity*((($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SUMPRODUCT(LM_runs*(LN_start&lt;=$P72)*((LM_profile&lt;&gt;"EIP")*(LM_profile&lt;&gt;"Annuity"))*(1-(HRA="Two pools")*(LN_fund="HRA"))*(LM_end&gt;$P72)*LN_principal))/1000000)</f>
        <v>0</v>
      </c>
      <c r="F72" s="103">
        <f>IF($R$4,N('Projections'!$G$15),SUMPRODUCT(('Deal maths'!$F$4:$F$2000&gt;$P72)*('Deal maths'!$E$4:$E$2000&lt;=$P72)*('Deal maths'!$H$4:$H$2000+('Deal maths'!$H$4:$H$2000=0)*'Deal maths'!$D$4:$D$2000))/1000000)</f>
        <v>0</v>
      </c>
      <c r="G72" s="103">
        <f>B72-C72</f>
        <v>0</v>
      </c>
      <c r="H72" s="103">
        <f>MAX(D72,-G72)</f>
        <v>0</v>
      </c>
      <c r="I72" s="103">
        <f>G72+H72</f>
        <v>0</v>
      </c>
      <c r="J72" s="103">
        <f>MAX(0,I72-E72)</f>
        <v>0</v>
      </c>
      <c r="K72" s="103">
        <f>MAX(0,E72-MAX(0,I72))</f>
        <v>0</v>
      </c>
      <c r="L72" s="103">
        <f>MAX(0,E72+J72-G72)</f>
        <v>0</v>
      </c>
      <c r="M72" s="103">
        <f>MAX(0,H72-D72)</f>
        <v>0</v>
      </c>
      <c r="N72" s="103">
        <f>MAX(0,L72-H72)</f>
        <v>0</v>
      </c>
      <c r="O72" s="103">
        <f>MAX(MAX(I$64:I$114),MAX(E$64:E$114))</f>
        <v>0</v>
      </c>
      <c r="P72" s="104">
        <f>DATE((YEAR(AsAt)-(MONTH(AsAt)&lt;4)+8)+1,3,31)</f>
        <v>49399.0</v>
      </c>
      <c r="Q72" s="105">
        <f>J72-K72</f>
        <v>0</v>
      </c>
      <c r="R72" s="105">
        <f>-C72</f>
        <v>0</v>
      </c>
      <c r="S72" s="105">
        <f>-F72</f>
        <v>0</v>
      </c>
      <c r="T72" s="105">
        <f>-H72</f>
        <v>0</v>
      </c>
    </row>
    <row r="73" ht="15" customHeight="1">
      <c r="A73" s="55" t="str">
        <f>(YEAR(AsAt)-(MONTH(AsAt)&lt;4)+9)&amp;"/"&amp;RIGHT((YEAR(AsAt)-(MONTH(AsAt)&lt;4)+9)+1,2)</f>
        <v>2035/36</v>
      </c>
      <c r="B73" s="103">
        <f>N('Projections'!$B$16)</f>
        <v>0</v>
      </c>
      <c r="C73" s="103">
        <f>N('Projections'!$E$16)</f>
        <v>0</v>
      </c>
      <c r="D73" s="103">
        <f>N('Projections'!$H$16)</f>
        <v>0</v>
      </c>
      <c r="E73" s="103">
        <f>IF($R$3,N('Projections'!$F$16),(SUMPRODUCT(LM_runs*(LN_start&lt;=$P73)*(LM_profile="EIP")*(1-(HRA="Two pools")*(LN_fund="HRA"))*LM_eip*(LM_payments-(($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SUMPRODUCT(LM_runs*(LN_start&lt;=$P73)*(LM_profile="Annuity")*(1-(HRA="Two pools")*(LN_fund="HRA"))*((LM_rate&gt;0)*(LM_out*(1+LM_rate)^((($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LM_annuity*((1+LM_rate)^((($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-1)/LM_safe)+(LM_rate=0)*(LM_out-LM_annuity*((($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SUMPRODUCT(LM_runs*(LN_start&lt;=$P73)*((LM_profile&lt;&gt;"EIP")*(LM_profile&lt;&gt;"Annuity"))*(1-(HRA="Two pools")*(LN_fund="HRA"))*(LM_end&gt;$P73)*LN_principal))/1000000)</f>
        <v>0</v>
      </c>
      <c r="F73" s="103">
        <f>IF($R$4,N('Projections'!$G$16),SUMPRODUCT(('Deal maths'!$F$4:$F$2000&gt;$P73)*('Deal maths'!$E$4:$E$2000&lt;=$P73)*('Deal maths'!$H$4:$H$2000+('Deal maths'!$H$4:$H$2000=0)*'Deal maths'!$D$4:$D$2000))/1000000)</f>
        <v>0</v>
      </c>
      <c r="G73" s="103">
        <f>B73-C73</f>
        <v>0</v>
      </c>
      <c r="H73" s="103">
        <f>MAX(D73,-G73)</f>
        <v>0</v>
      </c>
      <c r="I73" s="103">
        <f>G73+H73</f>
        <v>0</v>
      </c>
      <c r="J73" s="103">
        <f>MAX(0,I73-E73)</f>
        <v>0</v>
      </c>
      <c r="K73" s="103">
        <f>MAX(0,E73-MAX(0,I73))</f>
        <v>0</v>
      </c>
      <c r="L73" s="103">
        <f>MAX(0,E73+J73-G73)</f>
        <v>0</v>
      </c>
      <c r="M73" s="103">
        <f>MAX(0,H73-D73)</f>
        <v>0</v>
      </c>
      <c r="N73" s="103">
        <f>MAX(0,L73-H73)</f>
        <v>0</v>
      </c>
      <c r="O73" s="103">
        <f>MAX(MAX(I$64:I$114),MAX(E$64:E$114))</f>
        <v>0</v>
      </c>
      <c r="P73" s="104">
        <f>DATE((YEAR(AsAt)-(MONTH(AsAt)&lt;4)+9)+1,3,31)</f>
        <v>49765.0</v>
      </c>
      <c r="Q73" s="105">
        <f>J73-K73</f>
        <v>0</v>
      </c>
      <c r="R73" s="105">
        <f>-C73</f>
        <v>0</v>
      </c>
      <c r="S73" s="105">
        <f>-F73</f>
        <v>0</v>
      </c>
      <c r="T73" s="105">
        <f>-H73</f>
        <v>0</v>
      </c>
    </row>
    <row r="74" ht="15" customHeight="1">
      <c r="A74" s="55" t="str">
        <f>(YEAR(AsAt)-(MONTH(AsAt)&lt;4)+10)&amp;"/"&amp;RIGHT((YEAR(AsAt)-(MONTH(AsAt)&lt;4)+10)+1,2)</f>
        <v>2036/37</v>
      </c>
      <c r="B74" s="103">
        <f>N('Projections'!$B$17)</f>
        <v>0</v>
      </c>
      <c r="C74" s="103">
        <f>N('Projections'!$E$17)</f>
        <v>0</v>
      </c>
      <c r="D74" s="103">
        <f>N('Projections'!$H$17)</f>
        <v>0</v>
      </c>
      <c r="E74" s="103">
        <f>IF($R$3,N('Projections'!$F$17),(SUMPRODUCT(LM_runs*(LN_start&lt;=$P74)*(LM_profile="EIP")*(1-(HRA="Two pools")*(LN_fund="HRA"))*LM_eip*(LM_payments-(($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SUMPRODUCT(LM_runs*(LN_start&lt;=$P74)*(LM_profile="Annuity")*(1-(HRA="Two pools")*(LN_fund="HRA"))*((LM_rate&gt;0)*(LM_out*(1+LM_rate)^((($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LM_annuity*((1+LM_rate)^((($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-1)/LM_safe)+(LM_rate=0)*(LM_out-LM_annuity*((($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SUMPRODUCT(LM_runs*(LN_start&lt;=$P74)*((LM_profile&lt;&gt;"EIP")*(LM_profile&lt;&gt;"Annuity"))*(1-(HRA="Two pools")*(LN_fund="HRA"))*(LM_end&gt;$P74)*LN_principal))/1000000)</f>
        <v>0</v>
      </c>
      <c r="F74" s="103">
        <f>IF($R$4,N('Projections'!$G$17),SUMPRODUCT(('Deal maths'!$F$4:$F$2000&gt;$P74)*('Deal maths'!$E$4:$E$2000&lt;=$P74)*('Deal maths'!$H$4:$H$2000+('Deal maths'!$H$4:$H$2000=0)*'Deal maths'!$D$4:$D$2000))/1000000)</f>
        <v>0</v>
      </c>
      <c r="G74" s="103">
        <f>B74-C74</f>
        <v>0</v>
      </c>
      <c r="H74" s="103">
        <f>MAX(D74,-G74)</f>
        <v>0</v>
      </c>
      <c r="I74" s="103">
        <f>G74+H74</f>
        <v>0</v>
      </c>
      <c r="J74" s="103">
        <f>MAX(0,I74-E74)</f>
        <v>0</v>
      </c>
      <c r="K74" s="103">
        <f>MAX(0,E74-MAX(0,I74))</f>
        <v>0</v>
      </c>
      <c r="L74" s="103">
        <f>MAX(0,E74+J74-G74)</f>
        <v>0</v>
      </c>
      <c r="M74" s="103">
        <f>MAX(0,H74-D74)</f>
        <v>0</v>
      </c>
      <c r="N74" s="103">
        <f>MAX(0,L74-H74)</f>
        <v>0</v>
      </c>
      <c r="O74" s="103">
        <f>MAX(MAX(I$64:I$114),MAX(E$64:E$114))</f>
        <v>0</v>
      </c>
      <c r="P74" s="104">
        <f>DATE((YEAR(AsAt)-(MONTH(AsAt)&lt;4)+10)+1,3,31)</f>
        <v>50130.0</v>
      </c>
      <c r="Q74" s="105">
        <f>J74-K74</f>
        <v>0</v>
      </c>
      <c r="R74" s="105">
        <f>-C74</f>
        <v>0</v>
      </c>
      <c r="S74" s="105">
        <f>-F74</f>
        <v>0</v>
      </c>
      <c r="T74" s="105">
        <f>-H74</f>
        <v>0</v>
      </c>
    </row>
    <row r="75" ht="15" customHeight="1">
      <c r="A75" s="55" t="str">
        <f>(YEAR(AsAt)-(MONTH(AsAt)&lt;4)+11)&amp;"/"&amp;RIGHT((YEAR(AsAt)-(MONTH(AsAt)&lt;4)+11)+1,2)</f>
        <v>2037/38</v>
      </c>
      <c r="B75" s="103">
        <f>N('Projections'!$B$18)</f>
        <v>0</v>
      </c>
      <c r="C75" s="103">
        <f>N('Projections'!$E$18)</f>
        <v>0</v>
      </c>
      <c r="D75" s="103">
        <f>N('Projections'!$H$18)</f>
        <v>0</v>
      </c>
      <c r="E75" s="103">
        <f>IF($R$3,N('Projections'!$F$18),(SUMPRODUCT(LM_runs*(LN_start&lt;=$P75)*(LM_profile="EIP")*(1-(HRA="Two pools")*(LN_fund="HRA"))*LM_eip*(LM_payments-(($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SUMPRODUCT(LM_runs*(LN_start&lt;=$P75)*(LM_profile="Annuity")*(1-(HRA="Two pools")*(LN_fund="HRA"))*((LM_rate&gt;0)*(LM_out*(1+LM_rate)^((($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LM_annuity*((1+LM_rate)^((($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-1)/LM_safe)+(LM_rate=0)*(LM_out-LM_annuity*((($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SUMPRODUCT(LM_runs*(LN_start&lt;=$P75)*((LM_profile&lt;&gt;"EIP")*(LM_profile&lt;&gt;"Annuity"))*(1-(HRA="Two pools")*(LN_fund="HRA"))*(LM_end&gt;$P75)*LN_principal))/1000000)</f>
        <v>0</v>
      </c>
      <c r="F75" s="103">
        <f>IF($R$4,N('Projections'!$G$18),SUMPRODUCT(('Deal maths'!$F$4:$F$2000&gt;$P75)*('Deal maths'!$E$4:$E$2000&lt;=$P75)*('Deal maths'!$H$4:$H$2000+('Deal maths'!$H$4:$H$2000=0)*'Deal maths'!$D$4:$D$2000))/1000000)</f>
        <v>0</v>
      </c>
      <c r="G75" s="103">
        <f>B75-C75</f>
        <v>0</v>
      </c>
      <c r="H75" s="103">
        <f>MAX(D75,-G75)</f>
        <v>0</v>
      </c>
      <c r="I75" s="103">
        <f>G75+H75</f>
        <v>0</v>
      </c>
      <c r="J75" s="103">
        <f>MAX(0,I75-E75)</f>
        <v>0</v>
      </c>
      <c r="K75" s="103">
        <f>MAX(0,E75-MAX(0,I75))</f>
        <v>0</v>
      </c>
      <c r="L75" s="103">
        <f>MAX(0,E75+J75-G75)</f>
        <v>0</v>
      </c>
      <c r="M75" s="103">
        <f>MAX(0,H75-D75)</f>
        <v>0</v>
      </c>
      <c r="N75" s="103">
        <f>MAX(0,L75-H75)</f>
        <v>0</v>
      </c>
      <c r="O75" s="103">
        <f>MAX(MAX(I$64:I$114),MAX(E$64:E$114))</f>
        <v>0</v>
      </c>
      <c r="P75" s="104">
        <f>DATE((YEAR(AsAt)-(MONTH(AsAt)&lt;4)+11)+1,3,31)</f>
        <v>50495.0</v>
      </c>
      <c r="Q75" s="105">
        <f>J75-K75</f>
        <v>0</v>
      </c>
      <c r="R75" s="105">
        <f>-C75</f>
        <v>0</v>
      </c>
      <c r="S75" s="105">
        <f>-F75</f>
        <v>0</v>
      </c>
      <c r="T75" s="105">
        <f>-H75</f>
        <v>0</v>
      </c>
    </row>
    <row r="76" ht="15" customHeight="1">
      <c r="A76" s="55" t="str">
        <f>(YEAR(AsAt)-(MONTH(AsAt)&lt;4)+12)&amp;"/"&amp;RIGHT((YEAR(AsAt)-(MONTH(AsAt)&lt;4)+12)+1,2)</f>
        <v>2038/39</v>
      </c>
      <c r="B76" s="103">
        <f>N('Projections'!$B$19)</f>
        <v>0</v>
      </c>
      <c r="C76" s="103">
        <f>N('Projections'!$E$19)</f>
        <v>0</v>
      </c>
      <c r="D76" s="103">
        <f>N('Projections'!$H$19)</f>
        <v>0</v>
      </c>
      <c r="E76" s="103">
        <f>IF($R$3,N('Projections'!$F$19),(SUMPRODUCT(LM_runs*(LN_start&lt;=$P76)*(LM_profile="EIP")*(1-(HRA="Two pools")*(LN_fund="HRA"))*LM_eip*(LM_payments-(($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SUMPRODUCT(LM_runs*(LN_start&lt;=$P76)*(LM_profile="Annuity")*(1-(HRA="Two pools")*(LN_fund="HRA"))*((LM_rate&gt;0)*(LM_out*(1+LM_rate)^((($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LM_annuity*((1+LM_rate)^((($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-1)/LM_safe)+(LM_rate=0)*(LM_out-LM_annuity*((($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SUMPRODUCT(LM_runs*(LN_start&lt;=$P76)*((LM_profile&lt;&gt;"EIP")*(LM_profile&lt;&gt;"Annuity"))*(1-(HRA="Two pools")*(LN_fund="HRA"))*(LM_end&gt;$P76)*LN_principal))/1000000)</f>
        <v>0</v>
      </c>
      <c r="F76" s="103">
        <f>IF($R$4,N('Projections'!$G$19),SUMPRODUCT(('Deal maths'!$F$4:$F$2000&gt;$P76)*('Deal maths'!$E$4:$E$2000&lt;=$P76)*('Deal maths'!$H$4:$H$2000+('Deal maths'!$H$4:$H$2000=0)*'Deal maths'!$D$4:$D$2000))/1000000)</f>
        <v>0</v>
      </c>
      <c r="G76" s="103">
        <f>B76-C76</f>
        <v>0</v>
      </c>
      <c r="H76" s="103">
        <f>MAX(D76,-G76)</f>
        <v>0</v>
      </c>
      <c r="I76" s="103">
        <f>G76+H76</f>
        <v>0</v>
      </c>
      <c r="J76" s="103">
        <f>MAX(0,I76-E76)</f>
        <v>0</v>
      </c>
      <c r="K76" s="103">
        <f>MAX(0,E76-MAX(0,I76))</f>
        <v>0</v>
      </c>
      <c r="L76" s="103">
        <f>MAX(0,E76+J76-G76)</f>
        <v>0</v>
      </c>
      <c r="M76" s="103">
        <f>MAX(0,H76-D76)</f>
        <v>0</v>
      </c>
      <c r="N76" s="103">
        <f>MAX(0,L76-H76)</f>
        <v>0</v>
      </c>
      <c r="O76" s="103">
        <f>MAX(MAX(I$64:I$114),MAX(E$64:E$114))</f>
        <v>0</v>
      </c>
      <c r="P76" s="104">
        <f>DATE((YEAR(AsAt)-(MONTH(AsAt)&lt;4)+12)+1,3,31)</f>
        <v>50860.0</v>
      </c>
      <c r="Q76" s="105">
        <f>J76-K76</f>
        <v>0</v>
      </c>
      <c r="R76" s="105">
        <f>-C76</f>
        <v>0</v>
      </c>
      <c r="S76" s="105">
        <f>-F76</f>
        <v>0</v>
      </c>
      <c r="T76" s="105">
        <f>-H76</f>
        <v>0</v>
      </c>
    </row>
    <row r="77" ht="15" customHeight="1">
      <c r="A77" s="55" t="str">
        <f>(YEAR(AsAt)-(MONTH(AsAt)&lt;4)+13)&amp;"/"&amp;RIGHT((YEAR(AsAt)-(MONTH(AsAt)&lt;4)+13)+1,2)</f>
        <v>2039/40</v>
      </c>
      <c r="B77" s="103">
        <f>N('Projections'!$B$20)</f>
        <v>0</v>
      </c>
      <c r="C77" s="103">
        <f>N('Projections'!$E$20)</f>
        <v>0</v>
      </c>
      <c r="D77" s="103">
        <f>N('Projections'!$H$20)</f>
        <v>0</v>
      </c>
      <c r="E77" s="103">
        <f>IF($R$3,N('Projections'!$F$20),(SUMPRODUCT(LM_runs*(LN_start&lt;=$P77)*(LM_profile="EIP")*(1-(HRA="Two pools")*(LN_fund="HRA"))*LM_eip*(LM_payments-(($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SUMPRODUCT(LM_runs*(LN_start&lt;=$P77)*(LM_profile="Annuity")*(1-(HRA="Two pools")*(LN_fund="HRA"))*((LM_rate&gt;0)*(LM_out*(1+LM_rate)^((($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LM_annuity*((1+LM_rate)^((($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-1)/LM_safe)+(LM_rate=0)*(LM_out-LM_annuity*((($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SUMPRODUCT(LM_runs*(LN_start&lt;=$P77)*((LM_profile&lt;&gt;"EIP")*(LM_profile&lt;&gt;"Annuity"))*(1-(HRA="Two pools")*(LN_fund="HRA"))*(LM_end&gt;$P77)*LN_principal))/1000000)</f>
        <v>0</v>
      </c>
      <c r="F77" s="103">
        <f>IF($R$4,N('Projections'!$G$20),SUMPRODUCT(('Deal maths'!$F$4:$F$2000&gt;$P77)*('Deal maths'!$E$4:$E$2000&lt;=$P77)*('Deal maths'!$H$4:$H$2000+('Deal maths'!$H$4:$H$2000=0)*'Deal maths'!$D$4:$D$2000))/1000000)</f>
        <v>0</v>
      </c>
      <c r="G77" s="103">
        <f>B77-C77</f>
        <v>0</v>
      </c>
      <c r="H77" s="103">
        <f>MAX(D77,-G77)</f>
        <v>0</v>
      </c>
      <c r="I77" s="103">
        <f>G77+H77</f>
        <v>0</v>
      </c>
      <c r="J77" s="103">
        <f>MAX(0,I77-E77)</f>
        <v>0</v>
      </c>
      <c r="K77" s="103">
        <f>MAX(0,E77-MAX(0,I77))</f>
        <v>0</v>
      </c>
      <c r="L77" s="103">
        <f>MAX(0,E77+J77-G77)</f>
        <v>0</v>
      </c>
      <c r="M77" s="103">
        <f>MAX(0,H77-D77)</f>
        <v>0</v>
      </c>
      <c r="N77" s="103">
        <f>MAX(0,L77-H77)</f>
        <v>0</v>
      </c>
      <c r="O77" s="103">
        <f>MAX(MAX(I$64:I$114),MAX(E$64:E$114))</f>
        <v>0</v>
      </c>
      <c r="P77" s="104">
        <f>DATE((YEAR(AsAt)-(MONTH(AsAt)&lt;4)+13)+1,3,31)</f>
        <v>51226.0</v>
      </c>
      <c r="Q77" s="105">
        <f>J77-K77</f>
        <v>0</v>
      </c>
      <c r="R77" s="105">
        <f>-C77</f>
        <v>0</v>
      </c>
      <c r="S77" s="105">
        <f>-F77</f>
        <v>0</v>
      </c>
      <c r="T77" s="105">
        <f>-H77</f>
        <v>0</v>
      </c>
    </row>
    <row r="78" ht="15" customHeight="1">
      <c r="A78" s="55" t="str">
        <f>(YEAR(AsAt)-(MONTH(AsAt)&lt;4)+14)&amp;"/"&amp;RIGHT((YEAR(AsAt)-(MONTH(AsAt)&lt;4)+14)+1,2)</f>
        <v>2040/41</v>
      </c>
      <c r="B78" s="103">
        <f>N('Projections'!$B$21)</f>
        <v>0</v>
      </c>
      <c r="C78" s="103">
        <f>N('Projections'!$E$21)</f>
        <v>0</v>
      </c>
      <c r="D78" s="103">
        <f>N('Projections'!$H$21)</f>
        <v>0</v>
      </c>
      <c r="E78" s="103">
        <f>IF($R$3,N('Projections'!$F$21),(SUMPRODUCT(LM_runs*(LN_start&lt;=$P78)*(LM_profile="EIP")*(1-(HRA="Two pools")*(LN_fund="HRA"))*LM_eip*(LM_payments-(($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SUMPRODUCT(LM_runs*(LN_start&lt;=$P78)*(LM_profile="Annuity")*(1-(HRA="Two pools")*(LN_fund="HRA"))*((LM_rate&gt;0)*(LM_out*(1+LM_rate)^((($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LM_annuity*((1+LM_rate)^((($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-1)/LM_safe)+(LM_rate=0)*(LM_out-LM_annuity*((($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SUMPRODUCT(LM_runs*(LN_start&lt;=$P78)*((LM_profile&lt;&gt;"EIP")*(LM_profile&lt;&gt;"Annuity"))*(1-(HRA="Two pools")*(LN_fund="HRA"))*(LM_end&gt;$P78)*LN_principal))/1000000)</f>
        <v>0</v>
      </c>
      <c r="F78" s="103">
        <f>IF($R$4,N('Projections'!$G$21),SUMPRODUCT(('Deal maths'!$F$4:$F$2000&gt;$P78)*('Deal maths'!$E$4:$E$2000&lt;=$P78)*('Deal maths'!$H$4:$H$2000+('Deal maths'!$H$4:$H$2000=0)*'Deal maths'!$D$4:$D$2000))/1000000)</f>
        <v>0</v>
      </c>
      <c r="G78" s="103">
        <f>B78-C78</f>
        <v>0</v>
      </c>
      <c r="H78" s="103">
        <f>MAX(D78,-G78)</f>
        <v>0</v>
      </c>
      <c r="I78" s="103">
        <f>G78+H78</f>
        <v>0</v>
      </c>
      <c r="J78" s="103">
        <f>MAX(0,I78-E78)</f>
        <v>0</v>
      </c>
      <c r="K78" s="103">
        <f>MAX(0,E78-MAX(0,I78))</f>
        <v>0</v>
      </c>
      <c r="L78" s="103">
        <f>MAX(0,E78+J78-G78)</f>
        <v>0</v>
      </c>
      <c r="M78" s="103">
        <f>MAX(0,H78-D78)</f>
        <v>0</v>
      </c>
      <c r="N78" s="103">
        <f>MAX(0,L78-H78)</f>
        <v>0</v>
      </c>
      <c r="O78" s="103">
        <f>MAX(MAX(I$64:I$114),MAX(E$64:E$114))</f>
        <v>0</v>
      </c>
      <c r="P78" s="104">
        <f>DATE((YEAR(AsAt)-(MONTH(AsAt)&lt;4)+14)+1,3,31)</f>
        <v>51591.0</v>
      </c>
      <c r="Q78" s="105">
        <f>J78-K78</f>
        <v>0</v>
      </c>
      <c r="R78" s="105">
        <f>-C78</f>
        <v>0</v>
      </c>
      <c r="S78" s="105">
        <f>-F78</f>
        <v>0</v>
      </c>
      <c r="T78" s="105">
        <f>-H78</f>
        <v>0</v>
      </c>
    </row>
    <row r="79" ht="15" customHeight="1">
      <c r="A79" s="55" t="str">
        <f>(YEAR(AsAt)-(MONTH(AsAt)&lt;4)+15)&amp;"/"&amp;RIGHT((YEAR(AsAt)-(MONTH(AsAt)&lt;4)+15)+1,2)</f>
        <v>2041/42</v>
      </c>
      <c r="B79" s="103">
        <f>N('Projections'!$B$22)</f>
        <v>0</v>
      </c>
      <c r="C79" s="103">
        <f>N('Projections'!$E$22)</f>
        <v>0</v>
      </c>
      <c r="D79" s="103">
        <f>N('Projections'!$H$22)</f>
        <v>0</v>
      </c>
      <c r="E79" s="103">
        <f>IF($R$3,N('Projections'!$F$22),(SUMPRODUCT(LM_runs*(LN_start&lt;=$P79)*(LM_profile="EIP")*(1-(HRA="Two pools")*(LN_fund="HRA"))*LM_eip*(LM_payments-(($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SUMPRODUCT(LM_runs*(LN_start&lt;=$P79)*(LM_profile="Annuity")*(1-(HRA="Two pools")*(LN_fund="HRA"))*((LM_rate&gt;0)*(LM_out*(1+LM_rate)^((($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LM_annuity*((1+LM_rate)^((($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-1)/LM_safe)+(LM_rate=0)*(LM_out-LM_annuity*((($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SUMPRODUCT(LM_runs*(LN_start&lt;=$P79)*((LM_profile&lt;&gt;"EIP")*(LM_profile&lt;&gt;"Annuity"))*(1-(HRA="Two pools")*(LN_fund="HRA"))*(LM_end&gt;$P79)*LN_principal))/1000000)</f>
        <v>0</v>
      </c>
      <c r="F79" s="103">
        <f>IF($R$4,N('Projections'!$G$22),SUMPRODUCT(('Deal maths'!$F$4:$F$2000&gt;$P79)*('Deal maths'!$E$4:$E$2000&lt;=$P79)*('Deal maths'!$H$4:$H$2000+('Deal maths'!$H$4:$H$2000=0)*'Deal maths'!$D$4:$D$2000))/1000000)</f>
        <v>0</v>
      </c>
      <c r="G79" s="103">
        <f>B79-C79</f>
        <v>0</v>
      </c>
      <c r="H79" s="103">
        <f>MAX(D79,-G79)</f>
        <v>0</v>
      </c>
      <c r="I79" s="103">
        <f>G79+H79</f>
        <v>0</v>
      </c>
      <c r="J79" s="103">
        <f>MAX(0,I79-E79)</f>
        <v>0</v>
      </c>
      <c r="K79" s="103">
        <f>MAX(0,E79-MAX(0,I79))</f>
        <v>0</v>
      </c>
      <c r="L79" s="103">
        <f>MAX(0,E79+J79-G79)</f>
        <v>0</v>
      </c>
      <c r="M79" s="103">
        <f>MAX(0,H79-D79)</f>
        <v>0</v>
      </c>
      <c r="N79" s="103">
        <f>MAX(0,L79-H79)</f>
        <v>0</v>
      </c>
      <c r="O79" s="103">
        <f>MAX(MAX(I$64:I$114),MAX(E$64:E$114))</f>
        <v>0</v>
      </c>
      <c r="P79" s="104">
        <f>DATE((YEAR(AsAt)-(MONTH(AsAt)&lt;4)+15)+1,3,31)</f>
        <v>51956.0</v>
      </c>
      <c r="Q79" s="105">
        <f>J79-K79</f>
        <v>0</v>
      </c>
      <c r="R79" s="105">
        <f>-C79</f>
        <v>0</v>
      </c>
      <c r="S79" s="105">
        <f>-F79</f>
        <v>0</v>
      </c>
      <c r="T79" s="105">
        <f>-H79</f>
        <v>0</v>
      </c>
    </row>
    <row r="80" ht="15" customHeight="1">
      <c r="A80" s="55" t="str">
        <f>(YEAR(AsAt)-(MONTH(AsAt)&lt;4)+16)&amp;"/"&amp;RIGHT((YEAR(AsAt)-(MONTH(AsAt)&lt;4)+16)+1,2)</f>
        <v>2042/43</v>
      </c>
      <c r="B80" s="103">
        <f>N('Projections'!$B$23)</f>
        <v>0</v>
      </c>
      <c r="C80" s="103">
        <f>N('Projections'!$E$23)</f>
        <v>0</v>
      </c>
      <c r="D80" s="103">
        <f>N('Projections'!$H$23)</f>
        <v>0</v>
      </c>
      <c r="E80" s="103">
        <f>IF($R$3,N('Projections'!$F$23),(SUMPRODUCT(LM_runs*(LN_start&lt;=$P80)*(LM_profile="EIP")*(1-(HRA="Two pools")*(LN_fund="HRA"))*LM_eip*(LM_payments-(($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SUMPRODUCT(LM_runs*(LN_start&lt;=$P80)*(LM_profile="Annuity")*(1-(HRA="Two pools")*(LN_fund="HRA"))*((LM_rate&gt;0)*(LM_out*(1+LM_rate)^((($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LM_annuity*((1+LM_rate)^((($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-1)/LM_safe)+(LM_rate=0)*(LM_out-LM_annuity*((($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SUMPRODUCT(LM_runs*(LN_start&lt;=$P80)*((LM_profile&lt;&gt;"EIP")*(LM_profile&lt;&gt;"Annuity"))*(1-(HRA="Two pools")*(LN_fund="HRA"))*(LM_end&gt;$P80)*LN_principal))/1000000)</f>
        <v>0</v>
      </c>
      <c r="F80" s="103">
        <f>IF($R$4,N('Projections'!$G$23),SUMPRODUCT(('Deal maths'!$F$4:$F$2000&gt;$P80)*('Deal maths'!$E$4:$E$2000&lt;=$P80)*('Deal maths'!$H$4:$H$2000+('Deal maths'!$H$4:$H$2000=0)*'Deal maths'!$D$4:$D$2000))/1000000)</f>
        <v>0</v>
      </c>
      <c r="G80" s="103">
        <f>B80-C80</f>
        <v>0</v>
      </c>
      <c r="H80" s="103">
        <f>MAX(D80,-G80)</f>
        <v>0</v>
      </c>
      <c r="I80" s="103">
        <f>G80+H80</f>
        <v>0</v>
      </c>
      <c r="J80" s="103">
        <f>MAX(0,I80-E80)</f>
        <v>0</v>
      </c>
      <c r="K80" s="103">
        <f>MAX(0,E80-MAX(0,I80))</f>
        <v>0</v>
      </c>
      <c r="L80" s="103">
        <f>MAX(0,E80+J80-G80)</f>
        <v>0</v>
      </c>
      <c r="M80" s="103">
        <f>MAX(0,H80-D80)</f>
        <v>0</v>
      </c>
      <c r="N80" s="103">
        <f>MAX(0,L80-H80)</f>
        <v>0</v>
      </c>
      <c r="O80" s="103">
        <f>MAX(MAX(I$64:I$114),MAX(E$64:E$114))</f>
        <v>0</v>
      </c>
      <c r="P80" s="104">
        <f>DATE((YEAR(AsAt)-(MONTH(AsAt)&lt;4)+16)+1,3,31)</f>
        <v>52321.0</v>
      </c>
      <c r="Q80" s="105">
        <f>J80-K80</f>
        <v>0</v>
      </c>
      <c r="R80" s="105">
        <f>-C80</f>
        <v>0</v>
      </c>
      <c r="S80" s="105">
        <f>-F80</f>
        <v>0</v>
      </c>
      <c r="T80" s="105">
        <f>-H80</f>
        <v>0</v>
      </c>
    </row>
    <row r="81" ht="15" customHeight="1">
      <c r="A81" s="55" t="str">
        <f>(YEAR(AsAt)-(MONTH(AsAt)&lt;4)+17)&amp;"/"&amp;RIGHT((YEAR(AsAt)-(MONTH(AsAt)&lt;4)+17)+1,2)</f>
        <v>2043/44</v>
      </c>
      <c r="B81" s="103">
        <f>N('Projections'!$B$24)</f>
        <v>0</v>
      </c>
      <c r="C81" s="103">
        <f>N('Projections'!$E$24)</f>
        <v>0</v>
      </c>
      <c r="D81" s="103">
        <f>N('Projections'!$H$24)</f>
        <v>0</v>
      </c>
      <c r="E81" s="103">
        <f>IF($R$3,N('Projections'!$F$24),(SUMPRODUCT(LM_runs*(LN_start&lt;=$P81)*(LM_profile="EIP")*(1-(HRA="Two pools")*(LN_fund="HRA"))*LM_eip*(LM_payments-(($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SUMPRODUCT(LM_runs*(LN_start&lt;=$P81)*(LM_profile="Annuity")*(1-(HRA="Two pools")*(LN_fund="HRA"))*((LM_rate&gt;0)*(LM_out*(1+LM_rate)^((($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LM_annuity*((1+LM_rate)^((($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-1)/LM_safe)+(LM_rate=0)*(LM_out-LM_annuity*((($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SUMPRODUCT(LM_runs*(LN_start&lt;=$P81)*((LM_profile&lt;&gt;"EIP")*(LM_profile&lt;&gt;"Annuity"))*(1-(HRA="Two pools")*(LN_fund="HRA"))*(LM_end&gt;$P81)*LN_principal))/1000000)</f>
        <v>0</v>
      </c>
      <c r="F81" s="103">
        <f>IF($R$4,N('Projections'!$G$24),SUMPRODUCT(('Deal maths'!$F$4:$F$2000&gt;$P81)*('Deal maths'!$E$4:$E$2000&lt;=$P81)*('Deal maths'!$H$4:$H$2000+('Deal maths'!$H$4:$H$2000=0)*'Deal maths'!$D$4:$D$2000))/1000000)</f>
        <v>0</v>
      </c>
      <c r="G81" s="103">
        <f>B81-C81</f>
        <v>0</v>
      </c>
      <c r="H81" s="103">
        <f>MAX(D81,-G81)</f>
        <v>0</v>
      </c>
      <c r="I81" s="103">
        <f>G81+H81</f>
        <v>0</v>
      </c>
      <c r="J81" s="103">
        <f>MAX(0,I81-E81)</f>
        <v>0</v>
      </c>
      <c r="K81" s="103">
        <f>MAX(0,E81-MAX(0,I81))</f>
        <v>0</v>
      </c>
      <c r="L81" s="103">
        <f>MAX(0,E81+J81-G81)</f>
        <v>0</v>
      </c>
      <c r="M81" s="103">
        <f>MAX(0,H81-D81)</f>
        <v>0</v>
      </c>
      <c r="N81" s="103">
        <f>MAX(0,L81-H81)</f>
        <v>0</v>
      </c>
      <c r="O81" s="103">
        <f>MAX(MAX(I$64:I$114),MAX(E$64:E$114))</f>
        <v>0</v>
      </c>
      <c r="P81" s="104">
        <f>DATE((YEAR(AsAt)-(MONTH(AsAt)&lt;4)+17)+1,3,31)</f>
        <v>52687.0</v>
      </c>
      <c r="Q81" s="105">
        <f>J81-K81</f>
        <v>0</v>
      </c>
      <c r="R81" s="105">
        <f>-C81</f>
        <v>0</v>
      </c>
      <c r="S81" s="105">
        <f>-F81</f>
        <v>0</v>
      </c>
      <c r="T81" s="105">
        <f>-H81</f>
        <v>0</v>
      </c>
    </row>
    <row r="82" ht="15" customHeight="1">
      <c r="A82" s="55" t="str">
        <f>(YEAR(AsAt)-(MONTH(AsAt)&lt;4)+18)&amp;"/"&amp;RIGHT((YEAR(AsAt)-(MONTH(AsAt)&lt;4)+18)+1,2)</f>
        <v>2044/45</v>
      </c>
      <c r="B82" s="103">
        <f>N('Projections'!$B$25)</f>
        <v>0</v>
      </c>
      <c r="C82" s="103">
        <f>N('Projections'!$E$25)</f>
        <v>0</v>
      </c>
      <c r="D82" s="103">
        <f>N('Projections'!$H$25)</f>
        <v>0</v>
      </c>
      <c r="E82" s="103">
        <f>IF($R$3,N('Projections'!$F$25),(SUMPRODUCT(LM_runs*(LN_start&lt;=$P82)*(LM_profile="EIP")*(1-(HRA="Two pools")*(LN_fund="HRA"))*LM_eip*(LM_payments-(($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SUMPRODUCT(LM_runs*(LN_start&lt;=$P82)*(LM_profile="Annuity")*(1-(HRA="Two pools")*(LN_fund="HRA"))*((LM_rate&gt;0)*(LM_out*(1+LM_rate)^((($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LM_annuity*((1+LM_rate)^((($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-1)/LM_safe)+(LM_rate=0)*(LM_out-LM_annuity*((($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SUMPRODUCT(LM_runs*(LN_start&lt;=$P82)*((LM_profile&lt;&gt;"EIP")*(LM_profile&lt;&gt;"Annuity"))*(1-(HRA="Two pools")*(LN_fund="HRA"))*(LM_end&gt;$P82)*LN_principal))/1000000)</f>
        <v>0</v>
      </c>
      <c r="F82" s="103">
        <f>IF($R$4,N('Projections'!$G$25),SUMPRODUCT(('Deal maths'!$F$4:$F$2000&gt;$P82)*('Deal maths'!$E$4:$E$2000&lt;=$P82)*('Deal maths'!$H$4:$H$2000+('Deal maths'!$H$4:$H$2000=0)*'Deal maths'!$D$4:$D$2000))/1000000)</f>
        <v>0</v>
      </c>
      <c r="G82" s="103">
        <f>B82-C82</f>
        <v>0</v>
      </c>
      <c r="H82" s="103">
        <f>MAX(D82,-G82)</f>
        <v>0</v>
      </c>
      <c r="I82" s="103">
        <f>G82+H82</f>
        <v>0</v>
      </c>
      <c r="J82" s="103">
        <f>MAX(0,I82-E82)</f>
        <v>0</v>
      </c>
      <c r="K82" s="103">
        <f>MAX(0,E82-MAX(0,I82))</f>
        <v>0</v>
      </c>
      <c r="L82" s="103">
        <f>MAX(0,E82+J82-G82)</f>
        <v>0</v>
      </c>
      <c r="M82" s="103">
        <f>MAX(0,H82-D82)</f>
        <v>0</v>
      </c>
      <c r="N82" s="103">
        <f>MAX(0,L82-H82)</f>
        <v>0</v>
      </c>
      <c r="O82" s="103">
        <f>MAX(MAX(I$64:I$114),MAX(E$64:E$114))</f>
        <v>0</v>
      </c>
      <c r="P82" s="104">
        <f>DATE((YEAR(AsAt)-(MONTH(AsAt)&lt;4)+18)+1,3,31)</f>
        <v>53052.0</v>
      </c>
      <c r="Q82" s="105">
        <f>J82-K82</f>
        <v>0</v>
      </c>
      <c r="R82" s="105">
        <f>-C82</f>
        <v>0</v>
      </c>
      <c r="S82" s="105">
        <f>-F82</f>
        <v>0</v>
      </c>
      <c r="T82" s="105">
        <f>-H82</f>
        <v>0</v>
      </c>
    </row>
    <row r="83" ht="15" customHeight="1">
      <c r="A83" s="55" t="str">
        <f>(YEAR(AsAt)-(MONTH(AsAt)&lt;4)+19)&amp;"/"&amp;RIGHT((YEAR(AsAt)-(MONTH(AsAt)&lt;4)+19)+1,2)</f>
        <v>2045/46</v>
      </c>
      <c r="B83" s="103">
        <f>N('Projections'!$B$26)</f>
        <v>0</v>
      </c>
      <c r="C83" s="103">
        <f>N('Projections'!$E$26)</f>
        <v>0</v>
      </c>
      <c r="D83" s="103">
        <f>N('Projections'!$H$26)</f>
        <v>0</v>
      </c>
      <c r="E83" s="103">
        <f>IF($R$3,N('Projections'!$F$26),(SUMPRODUCT(LM_runs*(LN_start&lt;=$P83)*(LM_profile="EIP")*(1-(HRA="Two pools")*(LN_fund="HRA"))*LM_eip*(LM_payments-(($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SUMPRODUCT(LM_runs*(LN_start&lt;=$P83)*(LM_profile="Annuity")*(1-(HRA="Two pools")*(LN_fund="HRA"))*((LM_rate&gt;0)*(LM_out*(1+LM_rate)^((($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LM_annuity*((1+LM_rate)^((($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-1)/LM_safe)+(LM_rate=0)*(LM_out-LM_annuity*((($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SUMPRODUCT(LM_runs*(LN_start&lt;=$P83)*((LM_profile&lt;&gt;"EIP")*(LM_profile&lt;&gt;"Annuity"))*(1-(HRA="Two pools")*(LN_fund="HRA"))*(LM_end&gt;$P83)*LN_principal))/1000000)</f>
        <v>0</v>
      </c>
      <c r="F83" s="103">
        <f>IF($R$4,N('Projections'!$G$26),SUMPRODUCT(('Deal maths'!$F$4:$F$2000&gt;$P83)*('Deal maths'!$E$4:$E$2000&lt;=$P83)*('Deal maths'!$H$4:$H$2000+('Deal maths'!$H$4:$H$2000=0)*'Deal maths'!$D$4:$D$2000))/1000000)</f>
        <v>0</v>
      </c>
      <c r="G83" s="103">
        <f>B83-C83</f>
        <v>0</v>
      </c>
      <c r="H83" s="103">
        <f>MAX(D83,-G83)</f>
        <v>0</v>
      </c>
      <c r="I83" s="103">
        <f>G83+H83</f>
        <v>0</v>
      </c>
      <c r="J83" s="103">
        <f>MAX(0,I83-E83)</f>
        <v>0</v>
      </c>
      <c r="K83" s="103">
        <f>MAX(0,E83-MAX(0,I83))</f>
        <v>0</v>
      </c>
      <c r="L83" s="103">
        <f>MAX(0,E83+J83-G83)</f>
        <v>0</v>
      </c>
      <c r="M83" s="103">
        <f>MAX(0,H83-D83)</f>
        <v>0</v>
      </c>
      <c r="N83" s="103">
        <f>MAX(0,L83-H83)</f>
        <v>0</v>
      </c>
      <c r="O83" s="103">
        <f>MAX(MAX(I$64:I$114),MAX(E$64:E$114))</f>
        <v>0</v>
      </c>
      <c r="P83" s="104">
        <f>DATE((YEAR(AsAt)-(MONTH(AsAt)&lt;4)+19)+1,3,31)</f>
        <v>53417.0</v>
      </c>
      <c r="Q83" s="105">
        <f>J83-K83</f>
        <v>0</v>
      </c>
      <c r="R83" s="105">
        <f>-C83</f>
        <v>0</v>
      </c>
      <c r="S83" s="105">
        <f>-F83</f>
        <v>0</v>
      </c>
      <c r="T83" s="105">
        <f>-H83</f>
        <v>0</v>
      </c>
    </row>
    <row r="84" ht="15" customHeight="1">
      <c r="A84" s="55" t="str">
        <f>(YEAR(AsAt)-(MONTH(AsAt)&lt;4)+20)&amp;"/"&amp;RIGHT((YEAR(AsAt)-(MONTH(AsAt)&lt;4)+20)+1,2)</f>
        <v>2046/47</v>
      </c>
      <c r="B84" s="103">
        <f>N('Projections'!$B$27)</f>
        <v>0</v>
      </c>
      <c r="C84" s="103">
        <f>N('Projections'!$E$27)</f>
        <v>0</v>
      </c>
      <c r="D84" s="103">
        <f>N('Projections'!$H$27)</f>
        <v>0</v>
      </c>
      <c r="E84" s="103">
        <f>IF($R$3,N('Projections'!$F$27),(SUMPRODUCT(LM_runs*(LN_start&lt;=$P84)*(LM_profile="EIP")*(1-(HRA="Two pools")*(LN_fund="HRA"))*LM_eip*(LM_payments-(($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SUMPRODUCT(LM_runs*(LN_start&lt;=$P84)*(LM_profile="Annuity")*(1-(HRA="Two pools")*(LN_fund="HRA"))*((LM_rate&gt;0)*(LM_out*(1+LM_rate)^((($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LM_annuity*((1+LM_rate)^((($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-1)/LM_safe)+(LM_rate=0)*(LM_out-LM_annuity*((($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SUMPRODUCT(LM_runs*(LN_start&lt;=$P84)*((LM_profile&lt;&gt;"EIP")*(LM_profile&lt;&gt;"Annuity"))*(1-(HRA="Two pools")*(LN_fund="HRA"))*(LM_end&gt;$P84)*LN_principal))/1000000)</f>
        <v>0</v>
      </c>
      <c r="F84" s="103">
        <f>IF($R$4,N('Projections'!$G$27),SUMPRODUCT(('Deal maths'!$F$4:$F$2000&gt;$P84)*('Deal maths'!$E$4:$E$2000&lt;=$P84)*('Deal maths'!$H$4:$H$2000+('Deal maths'!$H$4:$H$2000=0)*'Deal maths'!$D$4:$D$2000))/1000000)</f>
        <v>0</v>
      </c>
      <c r="G84" s="103">
        <f>B84-C84</f>
        <v>0</v>
      </c>
      <c r="H84" s="103">
        <f>MAX(D84,-G84)</f>
        <v>0</v>
      </c>
      <c r="I84" s="103">
        <f>G84+H84</f>
        <v>0</v>
      </c>
      <c r="J84" s="103">
        <f>MAX(0,I84-E84)</f>
        <v>0</v>
      </c>
      <c r="K84" s="103">
        <f>MAX(0,E84-MAX(0,I84))</f>
        <v>0</v>
      </c>
      <c r="L84" s="103">
        <f>MAX(0,E84+J84-G84)</f>
        <v>0</v>
      </c>
      <c r="M84" s="103">
        <f>MAX(0,H84-D84)</f>
        <v>0</v>
      </c>
      <c r="N84" s="103">
        <f>MAX(0,L84-H84)</f>
        <v>0</v>
      </c>
      <c r="O84" s="103">
        <f>MAX(MAX(I$64:I$114),MAX(E$64:E$114))</f>
        <v>0</v>
      </c>
      <c r="P84" s="104">
        <f>DATE((YEAR(AsAt)-(MONTH(AsAt)&lt;4)+20)+1,3,31)</f>
        <v>53782.0</v>
      </c>
      <c r="Q84" s="105">
        <f>J84-K84</f>
        <v>0</v>
      </c>
      <c r="R84" s="105">
        <f>-C84</f>
        <v>0</v>
      </c>
      <c r="S84" s="105">
        <f>-F84</f>
        <v>0</v>
      </c>
      <c r="T84" s="105">
        <f>-H84</f>
        <v>0</v>
      </c>
    </row>
    <row r="85" ht="15" customHeight="1">
      <c r="A85" s="55" t="str">
        <f>(YEAR(AsAt)-(MONTH(AsAt)&lt;4)+21)&amp;"/"&amp;RIGHT((YEAR(AsAt)-(MONTH(AsAt)&lt;4)+21)+1,2)</f>
        <v>2047/48</v>
      </c>
      <c r="B85" s="103">
        <f>N('Projections'!$B$28)</f>
        <v>0</v>
      </c>
      <c r="C85" s="103">
        <f>N('Projections'!$E$28)</f>
        <v>0</v>
      </c>
      <c r="D85" s="103">
        <f>N('Projections'!$H$28)</f>
        <v>0</v>
      </c>
      <c r="E85" s="103">
        <f>IF($R$3,N('Projections'!$F$28),(SUMPRODUCT(LM_runs*(LN_start&lt;=$P85)*(LM_profile="EIP")*(1-(HRA="Two pools")*(LN_fund="HRA"))*LM_eip*(LM_payments-(($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SUMPRODUCT(LM_runs*(LN_start&lt;=$P85)*(LM_profile="Annuity")*(1-(HRA="Two pools")*(LN_fund="HRA"))*((LM_rate&gt;0)*(LM_out*(1+LM_rate)^((($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LM_annuity*((1+LM_rate)^((($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-1)/LM_safe)+(LM_rate=0)*(LM_out-LM_annuity*((($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SUMPRODUCT(LM_runs*(LN_start&lt;=$P85)*((LM_profile&lt;&gt;"EIP")*(LM_profile&lt;&gt;"Annuity"))*(1-(HRA="Two pools")*(LN_fund="HRA"))*(LM_end&gt;$P85)*LN_principal))/1000000)</f>
        <v>0</v>
      </c>
      <c r="F85" s="103">
        <f>IF($R$4,N('Projections'!$G$28),SUMPRODUCT(('Deal maths'!$F$4:$F$2000&gt;$P85)*('Deal maths'!$E$4:$E$2000&lt;=$P85)*('Deal maths'!$H$4:$H$2000+('Deal maths'!$H$4:$H$2000=0)*'Deal maths'!$D$4:$D$2000))/1000000)</f>
        <v>0</v>
      </c>
      <c r="G85" s="103">
        <f>B85-C85</f>
        <v>0</v>
      </c>
      <c r="H85" s="103">
        <f>MAX(D85,-G85)</f>
        <v>0</v>
      </c>
      <c r="I85" s="103">
        <f>G85+H85</f>
        <v>0</v>
      </c>
      <c r="J85" s="103">
        <f>MAX(0,I85-E85)</f>
        <v>0</v>
      </c>
      <c r="K85" s="103">
        <f>MAX(0,E85-MAX(0,I85))</f>
        <v>0</v>
      </c>
      <c r="L85" s="103">
        <f>MAX(0,E85+J85-G85)</f>
        <v>0</v>
      </c>
      <c r="M85" s="103">
        <f>MAX(0,H85-D85)</f>
        <v>0</v>
      </c>
      <c r="N85" s="103">
        <f>MAX(0,L85-H85)</f>
        <v>0</v>
      </c>
      <c r="O85" s="103">
        <f>MAX(MAX(I$64:I$114),MAX(E$64:E$114))</f>
        <v>0</v>
      </c>
      <c r="P85" s="104">
        <f>DATE((YEAR(AsAt)-(MONTH(AsAt)&lt;4)+21)+1,3,31)</f>
        <v>54148.0</v>
      </c>
      <c r="Q85" s="105">
        <f>J85-K85</f>
        <v>0</v>
      </c>
      <c r="R85" s="105">
        <f>-C85</f>
        <v>0</v>
      </c>
      <c r="S85" s="105">
        <f>-F85</f>
        <v>0</v>
      </c>
      <c r="T85" s="105">
        <f>-H85</f>
        <v>0</v>
      </c>
    </row>
    <row r="86" ht="15" customHeight="1">
      <c r="A86" s="55" t="str">
        <f>(YEAR(AsAt)-(MONTH(AsAt)&lt;4)+22)&amp;"/"&amp;RIGHT((YEAR(AsAt)-(MONTH(AsAt)&lt;4)+22)+1,2)</f>
        <v>2048/49</v>
      </c>
      <c r="B86" s="103">
        <f>N('Projections'!$B$29)</f>
        <v>0</v>
      </c>
      <c r="C86" s="103">
        <f>N('Projections'!$E$29)</f>
        <v>0</v>
      </c>
      <c r="D86" s="103">
        <f>N('Projections'!$H$29)</f>
        <v>0</v>
      </c>
      <c r="E86" s="103">
        <f>IF($R$3,N('Projections'!$F$29),(SUMPRODUCT(LM_runs*(LN_start&lt;=$P86)*(LM_profile="EIP")*(1-(HRA="Two pools")*(LN_fund="HRA"))*LM_eip*(LM_payments-(($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SUMPRODUCT(LM_runs*(LN_start&lt;=$P86)*(LM_profile="Annuity")*(1-(HRA="Two pools")*(LN_fund="HRA"))*((LM_rate&gt;0)*(LM_out*(1+LM_rate)^((($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LM_annuity*((1+LM_rate)^((($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-1)/LM_safe)+(LM_rate=0)*(LM_out-LM_annuity*((($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SUMPRODUCT(LM_runs*(LN_start&lt;=$P86)*((LM_profile&lt;&gt;"EIP")*(LM_profile&lt;&gt;"Annuity"))*(1-(HRA="Two pools")*(LN_fund="HRA"))*(LM_end&gt;$P86)*LN_principal))/1000000)</f>
        <v>0</v>
      </c>
      <c r="F86" s="103">
        <f>IF($R$4,N('Projections'!$G$29),SUMPRODUCT(('Deal maths'!$F$4:$F$2000&gt;$P86)*('Deal maths'!$E$4:$E$2000&lt;=$P86)*('Deal maths'!$H$4:$H$2000+('Deal maths'!$H$4:$H$2000=0)*'Deal maths'!$D$4:$D$2000))/1000000)</f>
        <v>0</v>
      </c>
      <c r="G86" s="103">
        <f>B86-C86</f>
        <v>0</v>
      </c>
      <c r="H86" s="103">
        <f>MAX(D86,-G86)</f>
        <v>0</v>
      </c>
      <c r="I86" s="103">
        <f>G86+H86</f>
        <v>0</v>
      </c>
      <c r="J86" s="103">
        <f>MAX(0,I86-E86)</f>
        <v>0</v>
      </c>
      <c r="K86" s="103">
        <f>MAX(0,E86-MAX(0,I86))</f>
        <v>0</v>
      </c>
      <c r="L86" s="103">
        <f>MAX(0,E86+J86-G86)</f>
        <v>0</v>
      </c>
      <c r="M86" s="103">
        <f>MAX(0,H86-D86)</f>
        <v>0</v>
      </c>
      <c r="N86" s="103">
        <f>MAX(0,L86-H86)</f>
        <v>0</v>
      </c>
      <c r="O86" s="103">
        <f>MAX(MAX(I$64:I$114),MAX(E$64:E$114))</f>
        <v>0</v>
      </c>
      <c r="P86" s="104">
        <f>DATE((YEAR(AsAt)-(MONTH(AsAt)&lt;4)+22)+1,3,31)</f>
        <v>54513.0</v>
      </c>
      <c r="Q86" s="105">
        <f>J86-K86</f>
        <v>0</v>
      </c>
      <c r="R86" s="105">
        <f>-C86</f>
        <v>0</v>
      </c>
      <c r="S86" s="105">
        <f>-F86</f>
        <v>0</v>
      </c>
      <c r="T86" s="105">
        <f>-H86</f>
        <v>0</v>
      </c>
    </row>
    <row r="87" ht="15" customHeight="1">
      <c r="A87" s="55" t="str">
        <f>(YEAR(AsAt)-(MONTH(AsAt)&lt;4)+23)&amp;"/"&amp;RIGHT((YEAR(AsAt)-(MONTH(AsAt)&lt;4)+23)+1,2)</f>
        <v>2049/50</v>
      </c>
      <c r="B87" s="103">
        <f>N('Projections'!$B$30)</f>
        <v>0</v>
      </c>
      <c r="C87" s="103">
        <f>N('Projections'!$E$30)</f>
        <v>0</v>
      </c>
      <c r="D87" s="103">
        <f>N('Projections'!$H$30)</f>
        <v>0</v>
      </c>
      <c r="E87" s="103">
        <f>IF($R$3,N('Projections'!$F$30),(SUMPRODUCT(LM_runs*(LN_start&lt;=$P87)*(LM_profile="EIP")*(1-(HRA="Two pools")*(LN_fund="HRA"))*LM_eip*(LM_payments-(($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SUMPRODUCT(LM_runs*(LN_start&lt;=$P87)*(LM_profile="Annuity")*(1-(HRA="Two pools")*(LN_fund="HRA"))*((LM_rate&gt;0)*(LM_out*(1+LM_rate)^((($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LM_annuity*((1+LM_rate)^((($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-1)/LM_safe)+(LM_rate=0)*(LM_out-LM_annuity*((($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SUMPRODUCT(LM_runs*(LN_start&lt;=$P87)*((LM_profile&lt;&gt;"EIP")*(LM_profile&lt;&gt;"Annuity"))*(1-(HRA="Two pools")*(LN_fund="HRA"))*(LM_end&gt;$P87)*LN_principal))/1000000)</f>
        <v>0</v>
      </c>
      <c r="F87" s="103">
        <f>IF($R$4,N('Projections'!$G$30),SUMPRODUCT(('Deal maths'!$F$4:$F$2000&gt;$P87)*('Deal maths'!$E$4:$E$2000&lt;=$P87)*('Deal maths'!$H$4:$H$2000+('Deal maths'!$H$4:$H$2000=0)*'Deal maths'!$D$4:$D$2000))/1000000)</f>
        <v>0</v>
      </c>
      <c r="G87" s="103">
        <f>B87-C87</f>
        <v>0</v>
      </c>
      <c r="H87" s="103">
        <f>MAX(D87,-G87)</f>
        <v>0</v>
      </c>
      <c r="I87" s="103">
        <f>G87+H87</f>
        <v>0</v>
      </c>
      <c r="J87" s="103">
        <f>MAX(0,I87-E87)</f>
        <v>0</v>
      </c>
      <c r="K87" s="103">
        <f>MAX(0,E87-MAX(0,I87))</f>
        <v>0</v>
      </c>
      <c r="L87" s="103">
        <f>MAX(0,E87+J87-G87)</f>
        <v>0</v>
      </c>
      <c r="M87" s="103">
        <f>MAX(0,H87-D87)</f>
        <v>0</v>
      </c>
      <c r="N87" s="103">
        <f>MAX(0,L87-H87)</f>
        <v>0</v>
      </c>
      <c r="O87" s="103">
        <f>MAX(MAX(I$64:I$114),MAX(E$64:E$114))</f>
        <v>0</v>
      </c>
      <c r="P87" s="104">
        <f>DATE((YEAR(AsAt)-(MONTH(AsAt)&lt;4)+23)+1,3,31)</f>
        <v>54878.0</v>
      </c>
      <c r="Q87" s="105">
        <f>J87-K87</f>
        <v>0</v>
      </c>
      <c r="R87" s="105">
        <f>-C87</f>
        <v>0</v>
      </c>
      <c r="S87" s="105">
        <f>-F87</f>
        <v>0</v>
      </c>
      <c r="T87" s="105">
        <f>-H87</f>
        <v>0</v>
      </c>
    </row>
    <row r="88" ht="15" customHeight="1">
      <c r="A88" s="55" t="str">
        <f>(YEAR(AsAt)-(MONTH(AsAt)&lt;4)+24)&amp;"/"&amp;RIGHT((YEAR(AsAt)-(MONTH(AsAt)&lt;4)+24)+1,2)</f>
        <v>2050/51</v>
      </c>
      <c r="B88" s="103">
        <f>N('Projections'!$B$31)</f>
        <v>0</v>
      </c>
      <c r="C88" s="103">
        <f>N('Projections'!$E$31)</f>
        <v>0</v>
      </c>
      <c r="D88" s="103">
        <f>N('Projections'!$H$31)</f>
        <v>0</v>
      </c>
      <c r="E88" s="103">
        <f>IF($R$3,N('Projections'!$F$31),(SUMPRODUCT(LM_runs*(LN_start&lt;=$P88)*(LM_profile="EIP")*(1-(HRA="Two pools")*(LN_fund="HRA"))*LM_eip*(LM_payments-(($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SUMPRODUCT(LM_runs*(LN_start&lt;=$P88)*(LM_profile="Annuity")*(1-(HRA="Two pools")*(LN_fund="HRA"))*((LM_rate&gt;0)*(LM_out*(1+LM_rate)^((($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LM_annuity*((1+LM_rate)^((($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-1)/LM_safe)+(LM_rate=0)*(LM_out-LM_annuity*((($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SUMPRODUCT(LM_runs*(LN_start&lt;=$P88)*((LM_profile&lt;&gt;"EIP")*(LM_profile&lt;&gt;"Annuity"))*(1-(HRA="Two pools")*(LN_fund="HRA"))*(LM_end&gt;$P88)*LN_principal))/1000000)</f>
        <v>0</v>
      </c>
      <c r="F88" s="103">
        <f>IF($R$4,N('Projections'!$G$31),SUMPRODUCT(('Deal maths'!$F$4:$F$2000&gt;$P88)*('Deal maths'!$E$4:$E$2000&lt;=$P88)*('Deal maths'!$H$4:$H$2000+('Deal maths'!$H$4:$H$2000=0)*'Deal maths'!$D$4:$D$2000))/1000000)</f>
        <v>0</v>
      </c>
      <c r="G88" s="103">
        <f>B88-C88</f>
        <v>0</v>
      </c>
      <c r="H88" s="103">
        <f>MAX(D88,-G88)</f>
        <v>0</v>
      </c>
      <c r="I88" s="103">
        <f>G88+H88</f>
        <v>0</v>
      </c>
      <c r="J88" s="103">
        <f>MAX(0,I88-E88)</f>
        <v>0</v>
      </c>
      <c r="K88" s="103">
        <f>MAX(0,E88-MAX(0,I88))</f>
        <v>0</v>
      </c>
      <c r="L88" s="103">
        <f>MAX(0,E88+J88-G88)</f>
        <v>0</v>
      </c>
      <c r="M88" s="103">
        <f>MAX(0,H88-D88)</f>
        <v>0</v>
      </c>
      <c r="N88" s="103">
        <f>MAX(0,L88-H88)</f>
        <v>0</v>
      </c>
      <c r="O88" s="103">
        <f>MAX(MAX(I$64:I$114),MAX(E$64:E$114))</f>
        <v>0</v>
      </c>
      <c r="P88" s="104">
        <f>DATE((YEAR(AsAt)-(MONTH(AsAt)&lt;4)+24)+1,3,31)</f>
        <v>55243.0</v>
      </c>
      <c r="Q88" s="105">
        <f>J88-K88</f>
        <v>0</v>
      </c>
      <c r="R88" s="105">
        <f>-C88</f>
        <v>0</v>
      </c>
      <c r="S88" s="105">
        <f>-F88</f>
        <v>0</v>
      </c>
      <c r="T88" s="105">
        <f>-H88</f>
        <v>0</v>
      </c>
    </row>
    <row r="89" ht="15" customHeight="1">
      <c r="A89" s="55" t="str">
        <f>(YEAR(AsAt)-(MONTH(AsAt)&lt;4)+25)&amp;"/"&amp;RIGHT((YEAR(AsAt)-(MONTH(AsAt)&lt;4)+25)+1,2)</f>
        <v>2051/52</v>
      </c>
      <c r="B89" s="103">
        <f>N('Projections'!$B$32)</f>
        <v>0</v>
      </c>
      <c r="C89" s="103">
        <f>N('Projections'!$E$32)</f>
        <v>0</v>
      </c>
      <c r="D89" s="103">
        <f>N('Projections'!$H$32)</f>
        <v>0</v>
      </c>
      <c r="E89" s="103">
        <f>IF($R$3,N('Projections'!$F$32),(SUMPRODUCT(LM_runs*(LN_start&lt;=$P89)*(LM_profile="EIP")*(1-(HRA="Two pools")*(LN_fund="HRA"))*LM_eip*(LM_payments-(($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SUMPRODUCT(LM_runs*(LN_start&lt;=$P89)*(LM_profile="Annuity")*(1-(HRA="Two pools")*(LN_fund="HRA"))*((LM_rate&gt;0)*(LM_out*(1+LM_rate)^((($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LM_annuity*((1+LM_rate)^((($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-1)/LM_safe)+(LM_rate=0)*(LM_out-LM_annuity*((($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SUMPRODUCT(LM_runs*(LN_start&lt;=$P89)*((LM_profile&lt;&gt;"EIP")*(LM_profile&lt;&gt;"Annuity"))*(1-(HRA="Two pools")*(LN_fund="HRA"))*(LM_end&gt;$P89)*LN_principal))/1000000)</f>
        <v>0</v>
      </c>
      <c r="F89" s="103">
        <f>IF($R$4,N('Projections'!$G$32),SUMPRODUCT(('Deal maths'!$F$4:$F$2000&gt;$P89)*('Deal maths'!$E$4:$E$2000&lt;=$P89)*('Deal maths'!$H$4:$H$2000+('Deal maths'!$H$4:$H$2000=0)*'Deal maths'!$D$4:$D$2000))/1000000)</f>
        <v>0</v>
      </c>
      <c r="G89" s="103">
        <f>B89-C89</f>
        <v>0</v>
      </c>
      <c r="H89" s="103">
        <f>MAX(D89,-G89)</f>
        <v>0</v>
      </c>
      <c r="I89" s="103">
        <f>G89+H89</f>
        <v>0</v>
      </c>
      <c r="J89" s="103">
        <f>MAX(0,I89-E89)</f>
        <v>0</v>
      </c>
      <c r="K89" s="103">
        <f>MAX(0,E89-MAX(0,I89))</f>
        <v>0</v>
      </c>
      <c r="L89" s="103">
        <f>MAX(0,E89+J89-G89)</f>
        <v>0</v>
      </c>
      <c r="M89" s="103">
        <f>MAX(0,H89-D89)</f>
        <v>0</v>
      </c>
      <c r="N89" s="103">
        <f>MAX(0,L89-H89)</f>
        <v>0</v>
      </c>
      <c r="O89" s="103">
        <f>MAX(MAX(I$64:I$114),MAX(E$64:E$114))</f>
        <v>0</v>
      </c>
      <c r="P89" s="104">
        <f>DATE((YEAR(AsAt)-(MONTH(AsAt)&lt;4)+25)+1,3,31)</f>
        <v>55609.0</v>
      </c>
      <c r="Q89" s="105">
        <f>J89-K89</f>
        <v>0</v>
      </c>
      <c r="R89" s="105">
        <f>-C89</f>
        <v>0</v>
      </c>
      <c r="S89" s="105">
        <f>-F89</f>
        <v>0</v>
      </c>
      <c r="T89" s="105">
        <f>-H89</f>
        <v>0</v>
      </c>
    </row>
    <row r="90" ht="15" customHeight="1">
      <c r="A90" s="55" t="str">
        <f>(YEAR(AsAt)-(MONTH(AsAt)&lt;4)+26)&amp;"/"&amp;RIGHT((YEAR(AsAt)-(MONTH(AsAt)&lt;4)+26)+1,2)</f>
        <v>2052/53</v>
      </c>
      <c r="B90" s="103">
        <f>N('Projections'!$B$33)</f>
        <v>0</v>
      </c>
      <c r="C90" s="103">
        <f>N('Projections'!$E$33)</f>
        <v>0</v>
      </c>
      <c r="D90" s="103">
        <f>N('Projections'!$H$33)</f>
        <v>0</v>
      </c>
      <c r="E90" s="103">
        <f>IF($R$3,N('Projections'!$F$33),(SUMPRODUCT(LM_runs*(LN_start&lt;=$P90)*(LM_profile="EIP")*(1-(HRA="Two pools")*(LN_fund="HRA"))*LM_eip*(LM_payments-(($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SUMPRODUCT(LM_runs*(LN_start&lt;=$P90)*(LM_profile="Annuity")*(1-(HRA="Two pools")*(LN_fund="HRA"))*((LM_rate&gt;0)*(LM_out*(1+LM_rate)^((($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LM_annuity*((1+LM_rate)^((($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-1)/LM_safe)+(LM_rate=0)*(LM_out-LM_annuity*((($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SUMPRODUCT(LM_runs*(LN_start&lt;=$P90)*((LM_profile&lt;&gt;"EIP")*(LM_profile&lt;&gt;"Annuity"))*(1-(HRA="Two pools")*(LN_fund="HRA"))*(LM_end&gt;$P90)*LN_principal))/1000000)</f>
        <v>0</v>
      </c>
      <c r="F90" s="103">
        <f>IF($R$4,N('Projections'!$G$33),SUMPRODUCT(('Deal maths'!$F$4:$F$2000&gt;$P90)*('Deal maths'!$E$4:$E$2000&lt;=$P90)*('Deal maths'!$H$4:$H$2000+('Deal maths'!$H$4:$H$2000=0)*'Deal maths'!$D$4:$D$2000))/1000000)</f>
        <v>0</v>
      </c>
      <c r="G90" s="103">
        <f>B90-C90</f>
        <v>0</v>
      </c>
      <c r="H90" s="103">
        <f>MAX(D90,-G90)</f>
        <v>0</v>
      </c>
      <c r="I90" s="103">
        <f>G90+H90</f>
        <v>0</v>
      </c>
      <c r="J90" s="103">
        <f>MAX(0,I90-E90)</f>
        <v>0</v>
      </c>
      <c r="K90" s="103">
        <f>MAX(0,E90-MAX(0,I90))</f>
        <v>0</v>
      </c>
      <c r="L90" s="103">
        <f>MAX(0,E90+J90-G90)</f>
        <v>0</v>
      </c>
      <c r="M90" s="103">
        <f>MAX(0,H90-D90)</f>
        <v>0</v>
      </c>
      <c r="N90" s="103">
        <f>MAX(0,L90-H90)</f>
        <v>0</v>
      </c>
      <c r="O90" s="103">
        <f>MAX(MAX(I$64:I$114),MAX(E$64:E$114))</f>
        <v>0</v>
      </c>
      <c r="P90" s="104">
        <f>DATE((YEAR(AsAt)-(MONTH(AsAt)&lt;4)+26)+1,3,31)</f>
        <v>55974.0</v>
      </c>
      <c r="Q90" s="105">
        <f>J90-K90</f>
        <v>0</v>
      </c>
      <c r="R90" s="105">
        <f>-C90</f>
        <v>0</v>
      </c>
      <c r="S90" s="105">
        <f>-F90</f>
        <v>0</v>
      </c>
      <c r="T90" s="105">
        <f>-H90</f>
        <v>0</v>
      </c>
    </row>
    <row r="91" ht="15" customHeight="1">
      <c r="A91" s="55" t="str">
        <f>(YEAR(AsAt)-(MONTH(AsAt)&lt;4)+27)&amp;"/"&amp;RIGHT((YEAR(AsAt)-(MONTH(AsAt)&lt;4)+27)+1,2)</f>
        <v>2053/54</v>
      </c>
      <c r="B91" s="103">
        <f>N('Projections'!$B$34)</f>
        <v>0</v>
      </c>
      <c r="C91" s="103">
        <f>N('Projections'!$E$34)</f>
        <v>0</v>
      </c>
      <c r="D91" s="103">
        <f>N('Projections'!$H$34)</f>
        <v>0</v>
      </c>
      <c r="E91" s="103">
        <f>IF($R$3,N('Projections'!$F$34),(SUMPRODUCT(LM_runs*(LN_start&lt;=$P91)*(LM_profile="EIP")*(1-(HRA="Two pools")*(LN_fund="HRA"))*LM_eip*(LM_payments-(($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SUMPRODUCT(LM_runs*(LN_start&lt;=$P91)*(LM_profile="Annuity")*(1-(HRA="Two pools")*(LN_fund="HRA"))*((LM_rate&gt;0)*(LM_out*(1+LM_rate)^((($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LM_annuity*((1+LM_rate)^((($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-1)/LM_safe)+(LM_rate=0)*(LM_out-LM_annuity*((($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SUMPRODUCT(LM_runs*(LN_start&lt;=$P91)*((LM_profile&lt;&gt;"EIP")*(LM_profile&lt;&gt;"Annuity"))*(1-(HRA="Two pools")*(LN_fund="HRA"))*(LM_end&gt;$P91)*LN_principal))/1000000)</f>
        <v>0</v>
      </c>
      <c r="F91" s="103">
        <f>IF($R$4,N('Projections'!$G$34),SUMPRODUCT(('Deal maths'!$F$4:$F$2000&gt;$P91)*('Deal maths'!$E$4:$E$2000&lt;=$P91)*('Deal maths'!$H$4:$H$2000+('Deal maths'!$H$4:$H$2000=0)*'Deal maths'!$D$4:$D$2000))/1000000)</f>
        <v>0</v>
      </c>
      <c r="G91" s="103">
        <f>B91-C91</f>
        <v>0</v>
      </c>
      <c r="H91" s="103">
        <f>MAX(D91,-G91)</f>
        <v>0</v>
      </c>
      <c r="I91" s="103">
        <f>G91+H91</f>
        <v>0</v>
      </c>
      <c r="J91" s="103">
        <f>MAX(0,I91-E91)</f>
        <v>0</v>
      </c>
      <c r="K91" s="103">
        <f>MAX(0,E91-MAX(0,I91))</f>
        <v>0</v>
      </c>
      <c r="L91" s="103">
        <f>MAX(0,E91+J91-G91)</f>
        <v>0</v>
      </c>
      <c r="M91" s="103">
        <f>MAX(0,H91-D91)</f>
        <v>0</v>
      </c>
      <c r="N91" s="103">
        <f>MAX(0,L91-H91)</f>
        <v>0</v>
      </c>
      <c r="O91" s="103">
        <f>MAX(MAX(I$64:I$114),MAX(E$64:E$114))</f>
        <v>0</v>
      </c>
      <c r="P91" s="104">
        <f>DATE((YEAR(AsAt)-(MONTH(AsAt)&lt;4)+27)+1,3,31)</f>
        <v>56339.0</v>
      </c>
      <c r="Q91" s="105">
        <f>J91-K91</f>
        <v>0</v>
      </c>
      <c r="R91" s="105">
        <f>-C91</f>
        <v>0</v>
      </c>
      <c r="S91" s="105">
        <f>-F91</f>
        <v>0</v>
      </c>
      <c r="T91" s="105">
        <f>-H91</f>
        <v>0</v>
      </c>
    </row>
    <row r="92" ht="15" customHeight="1">
      <c r="A92" s="55" t="str">
        <f>(YEAR(AsAt)-(MONTH(AsAt)&lt;4)+28)&amp;"/"&amp;RIGHT((YEAR(AsAt)-(MONTH(AsAt)&lt;4)+28)+1,2)</f>
        <v>2054/55</v>
      </c>
      <c r="B92" s="103">
        <f>N('Projections'!$B$35)</f>
        <v>0</v>
      </c>
      <c r="C92" s="103">
        <f>N('Projections'!$E$35)</f>
        <v>0</v>
      </c>
      <c r="D92" s="103">
        <f>N('Projections'!$H$35)</f>
        <v>0</v>
      </c>
      <c r="E92" s="103">
        <f>IF($R$3,N('Projections'!$F$35),(SUMPRODUCT(LM_runs*(LN_start&lt;=$P92)*(LM_profile="EIP")*(1-(HRA="Two pools")*(LN_fund="HRA"))*LM_eip*(LM_payments-(($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SUMPRODUCT(LM_runs*(LN_start&lt;=$P92)*(LM_profile="Annuity")*(1-(HRA="Two pools")*(LN_fund="HRA"))*((LM_rate&gt;0)*(LM_out*(1+LM_rate)^((($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LM_annuity*((1+LM_rate)^((($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-1)/LM_safe)+(LM_rate=0)*(LM_out-LM_annuity*((($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SUMPRODUCT(LM_runs*(LN_start&lt;=$P92)*((LM_profile&lt;&gt;"EIP")*(LM_profile&lt;&gt;"Annuity"))*(1-(HRA="Two pools")*(LN_fund="HRA"))*(LM_end&gt;$P92)*LN_principal))/1000000)</f>
        <v>0</v>
      </c>
      <c r="F92" s="103">
        <f>IF($R$4,N('Projections'!$G$35),SUMPRODUCT(('Deal maths'!$F$4:$F$2000&gt;$P92)*('Deal maths'!$E$4:$E$2000&lt;=$P92)*('Deal maths'!$H$4:$H$2000+('Deal maths'!$H$4:$H$2000=0)*'Deal maths'!$D$4:$D$2000))/1000000)</f>
        <v>0</v>
      </c>
      <c r="G92" s="103">
        <f>B92-C92</f>
        <v>0</v>
      </c>
      <c r="H92" s="103">
        <f>MAX(D92,-G92)</f>
        <v>0</v>
      </c>
      <c r="I92" s="103">
        <f>G92+H92</f>
        <v>0</v>
      </c>
      <c r="J92" s="103">
        <f>MAX(0,I92-E92)</f>
        <v>0</v>
      </c>
      <c r="K92" s="103">
        <f>MAX(0,E92-MAX(0,I92))</f>
        <v>0</v>
      </c>
      <c r="L92" s="103">
        <f>MAX(0,E92+J92-G92)</f>
        <v>0</v>
      </c>
      <c r="M92" s="103">
        <f>MAX(0,H92-D92)</f>
        <v>0</v>
      </c>
      <c r="N92" s="103">
        <f>MAX(0,L92-H92)</f>
        <v>0</v>
      </c>
      <c r="O92" s="103">
        <f>MAX(MAX(I$64:I$114),MAX(E$64:E$114))</f>
        <v>0</v>
      </c>
      <c r="P92" s="104">
        <f>DATE((YEAR(AsAt)-(MONTH(AsAt)&lt;4)+28)+1,3,31)</f>
        <v>56704.0</v>
      </c>
      <c r="Q92" s="105">
        <f>J92-K92</f>
        <v>0</v>
      </c>
      <c r="R92" s="105">
        <f>-C92</f>
        <v>0</v>
      </c>
      <c r="S92" s="105">
        <f>-F92</f>
        <v>0</v>
      </c>
      <c r="T92" s="105">
        <f>-H92</f>
        <v>0</v>
      </c>
    </row>
    <row r="93" ht="15" customHeight="1">
      <c r="A93" s="55" t="str">
        <f>(YEAR(AsAt)-(MONTH(AsAt)&lt;4)+29)&amp;"/"&amp;RIGHT((YEAR(AsAt)-(MONTH(AsAt)&lt;4)+29)+1,2)</f>
        <v>2055/56</v>
      </c>
      <c r="B93" s="103">
        <f>N('Projections'!$B$36)</f>
        <v>0</v>
      </c>
      <c r="C93" s="103">
        <f>N('Projections'!$E$36)</f>
        <v>0</v>
      </c>
      <c r="D93" s="103">
        <f>N('Projections'!$H$36)</f>
        <v>0</v>
      </c>
      <c r="E93" s="103">
        <f>IF($R$3,N('Projections'!$F$36),(SUMPRODUCT(LM_runs*(LN_start&lt;=$P93)*(LM_profile="EIP")*(1-(HRA="Two pools")*(LN_fund="HRA"))*LM_eip*(LM_payments-(($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SUMPRODUCT(LM_runs*(LN_start&lt;=$P93)*(LM_profile="Annuity")*(1-(HRA="Two pools")*(LN_fund="HRA"))*((LM_rate&gt;0)*(LM_out*(1+LM_rate)^((($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LM_annuity*((1+LM_rate)^((($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-1)/LM_safe)+(LM_rate=0)*(LM_out-LM_annuity*((($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SUMPRODUCT(LM_runs*(LN_start&lt;=$P93)*((LM_profile&lt;&gt;"EIP")*(LM_profile&lt;&gt;"Annuity"))*(1-(HRA="Two pools")*(LN_fund="HRA"))*(LM_end&gt;$P93)*LN_principal))/1000000)</f>
        <v>0</v>
      </c>
      <c r="F93" s="103">
        <f>IF($R$4,N('Projections'!$G$36),SUMPRODUCT(('Deal maths'!$F$4:$F$2000&gt;$P93)*('Deal maths'!$E$4:$E$2000&lt;=$P93)*('Deal maths'!$H$4:$H$2000+('Deal maths'!$H$4:$H$2000=0)*'Deal maths'!$D$4:$D$2000))/1000000)</f>
        <v>0</v>
      </c>
      <c r="G93" s="103">
        <f>B93-C93</f>
        <v>0</v>
      </c>
      <c r="H93" s="103">
        <f>MAX(D93,-G93)</f>
        <v>0</v>
      </c>
      <c r="I93" s="103">
        <f>G93+H93</f>
        <v>0</v>
      </c>
      <c r="J93" s="103">
        <f>MAX(0,I93-E93)</f>
        <v>0</v>
      </c>
      <c r="K93" s="103">
        <f>MAX(0,E93-MAX(0,I93))</f>
        <v>0</v>
      </c>
      <c r="L93" s="103">
        <f>MAX(0,E93+J93-G93)</f>
        <v>0</v>
      </c>
      <c r="M93" s="103">
        <f>MAX(0,H93-D93)</f>
        <v>0</v>
      </c>
      <c r="N93" s="103">
        <f>MAX(0,L93-H93)</f>
        <v>0</v>
      </c>
      <c r="O93" s="103">
        <f>MAX(MAX(I$64:I$114),MAX(E$64:E$114))</f>
        <v>0</v>
      </c>
      <c r="P93" s="104">
        <f>DATE((YEAR(AsAt)-(MONTH(AsAt)&lt;4)+29)+1,3,31)</f>
        <v>57070.0</v>
      </c>
      <c r="Q93" s="105">
        <f>J93-K93</f>
        <v>0</v>
      </c>
      <c r="R93" s="105">
        <f>-C93</f>
        <v>0</v>
      </c>
      <c r="S93" s="105">
        <f>-F93</f>
        <v>0</v>
      </c>
      <c r="T93" s="105">
        <f>-H93</f>
        <v>0</v>
      </c>
    </row>
    <row r="94" ht="15" customHeight="1">
      <c r="A94" s="55" t="str">
        <f>(YEAR(AsAt)-(MONTH(AsAt)&lt;4)+30)&amp;"/"&amp;RIGHT((YEAR(AsAt)-(MONTH(AsAt)&lt;4)+30)+1,2)</f>
        <v>2056/57</v>
      </c>
      <c r="B94" s="103">
        <f>N('Projections'!$B$37)</f>
        <v>0</v>
      </c>
      <c r="C94" s="103">
        <f>N('Projections'!$E$37)</f>
        <v>0</v>
      </c>
      <c r="D94" s="103">
        <f>N('Projections'!$H$37)</f>
        <v>0</v>
      </c>
      <c r="E94" s="103">
        <f>IF($R$3,N('Projections'!$F$37),(SUMPRODUCT(LM_runs*(LN_start&lt;=$P94)*(LM_profile="EIP")*(1-(HRA="Two pools")*(LN_fund="HRA"))*LM_eip*(LM_payments-(($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SUMPRODUCT(LM_runs*(LN_start&lt;=$P94)*(LM_profile="Annuity")*(1-(HRA="Two pools")*(LN_fund="HRA"))*((LM_rate&gt;0)*(LM_out*(1+LM_rate)^((($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LM_annuity*((1+LM_rate)^((($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-1)/LM_safe)+(LM_rate=0)*(LM_out-LM_annuity*((($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SUMPRODUCT(LM_runs*(LN_start&lt;=$P94)*((LM_profile&lt;&gt;"EIP")*(LM_profile&lt;&gt;"Annuity"))*(1-(HRA="Two pools")*(LN_fund="HRA"))*(LM_end&gt;$P94)*LN_principal))/1000000)</f>
        <v>0</v>
      </c>
      <c r="F94" s="103">
        <f>IF($R$4,N('Projections'!$G$37),SUMPRODUCT(('Deal maths'!$F$4:$F$2000&gt;$P94)*('Deal maths'!$E$4:$E$2000&lt;=$P94)*('Deal maths'!$H$4:$H$2000+('Deal maths'!$H$4:$H$2000=0)*'Deal maths'!$D$4:$D$2000))/1000000)</f>
        <v>0</v>
      </c>
      <c r="G94" s="103">
        <f>B94-C94</f>
        <v>0</v>
      </c>
      <c r="H94" s="103">
        <f>MAX(D94,-G94)</f>
        <v>0</v>
      </c>
      <c r="I94" s="103">
        <f>G94+H94</f>
        <v>0</v>
      </c>
      <c r="J94" s="103">
        <f>MAX(0,I94-E94)</f>
        <v>0</v>
      </c>
      <c r="K94" s="103">
        <f>MAX(0,E94-MAX(0,I94))</f>
        <v>0</v>
      </c>
      <c r="L94" s="103">
        <f>MAX(0,E94+J94-G94)</f>
        <v>0</v>
      </c>
      <c r="M94" s="103">
        <f>MAX(0,H94-D94)</f>
        <v>0</v>
      </c>
      <c r="N94" s="103">
        <f>MAX(0,L94-H94)</f>
        <v>0</v>
      </c>
      <c r="O94" s="103">
        <f>MAX(MAX(I$64:I$114),MAX(E$64:E$114))</f>
        <v>0</v>
      </c>
      <c r="P94" s="104">
        <f>DATE((YEAR(AsAt)-(MONTH(AsAt)&lt;4)+30)+1,3,31)</f>
        <v>57435.0</v>
      </c>
      <c r="Q94" s="105">
        <f>J94-K94</f>
        <v>0</v>
      </c>
      <c r="R94" s="105">
        <f>-C94</f>
        <v>0</v>
      </c>
      <c r="S94" s="105">
        <f>-F94</f>
        <v>0</v>
      </c>
      <c r="T94" s="105">
        <f>-H94</f>
        <v>0</v>
      </c>
    </row>
    <row r="95" ht="15" customHeight="1">
      <c r="A95" s="55" t="str">
        <f>(YEAR(AsAt)-(MONTH(AsAt)&lt;4)+31)&amp;"/"&amp;RIGHT((YEAR(AsAt)-(MONTH(AsAt)&lt;4)+31)+1,2)</f>
        <v>2057/58</v>
      </c>
      <c r="B95" s="103">
        <f>N('Projections'!$B$38)</f>
        <v>0</v>
      </c>
      <c r="C95" s="103">
        <f>N('Projections'!$E$38)</f>
        <v>0</v>
      </c>
      <c r="D95" s="103">
        <f>N('Projections'!$H$38)</f>
        <v>0</v>
      </c>
      <c r="E95" s="103">
        <f>IF($R$3,N('Projections'!$F$38),(SUMPRODUCT(LM_runs*(LN_start&lt;=$P95)*(LM_profile="EIP")*(1-(HRA="Two pools")*(LN_fund="HRA"))*LM_eip*(LM_payments-(($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SUMPRODUCT(LM_runs*(LN_start&lt;=$P95)*(LM_profile="Annuity")*(1-(HRA="Two pools")*(LN_fund="HRA"))*((LM_rate&gt;0)*(LM_out*(1+LM_rate)^((($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LM_annuity*((1+LM_rate)^((($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-1)/LM_safe)+(LM_rate=0)*(LM_out-LM_annuity*((($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SUMPRODUCT(LM_runs*(LN_start&lt;=$P95)*((LM_profile&lt;&gt;"EIP")*(LM_profile&lt;&gt;"Annuity"))*(1-(HRA="Two pools")*(LN_fund="HRA"))*(LM_end&gt;$P95)*LN_principal))/1000000)</f>
        <v>0</v>
      </c>
      <c r="F95" s="103">
        <f>IF($R$4,N('Projections'!$G$38),SUMPRODUCT(('Deal maths'!$F$4:$F$2000&gt;$P95)*('Deal maths'!$E$4:$E$2000&lt;=$P95)*('Deal maths'!$H$4:$H$2000+('Deal maths'!$H$4:$H$2000=0)*'Deal maths'!$D$4:$D$2000))/1000000)</f>
        <v>0</v>
      </c>
      <c r="G95" s="103">
        <f>B95-C95</f>
        <v>0</v>
      </c>
      <c r="H95" s="103">
        <f>MAX(D95,-G95)</f>
        <v>0</v>
      </c>
      <c r="I95" s="103">
        <f>G95+H95</f>
        <v>0</v>
      </c>
      <c r="J95" s="103">
        <f>MAX(0,I95-E95)</f>
        <v>0</v>
      </c>
      <c r="K95" s="103">
        <f>MAX(0,E95-MAX(0,I95))</f>
        <v>0</v>
      </c>
      <c r="L95" s="103">
        <f>MAX(0,E95+J95-G95)</f>
        <v>0</v>
      </c>
      <c r="M95" s="103">
        <f>MAX(0,H95-D95)</f>
        <v>0</v>
      </c>
      <c r="N95" s="103">
        <f>MAX(0,L95-H95)</f>
        <v>0</v>
      </c>
      <c r="O95" s="103">
        <f>MAX(MAX(I$64:I$114),MAX(E$64:E$114))</f>
        <v>0</v>
      </c>
      <c r="P95" s="104">
        <f>DATE((YEAR(AsAt)-(MONTH(AsAt)&lt;4)+31)+1,3,31)</f>
        <v>57800.0</v>
      </c>
      <c r="Q95" s="105">
        <f>J95-K95</f>
        <v>0</v>
      </c>
      <c r="R95" s="105">
        <f>-C95</f>
        <v>0</v>
      </c>
      <c r="S95" s="105">
        <f>-F95</f>
        <v>0</v>
      </c>
      <c r="T95" s="105">
        <f>-H95</f>
        <v>0</v>
      </c>
    </row>
    <row r="96" ht="15" customHeight="1">
      <c r="A96" s="55" t="str">
        <f>(YEAR(AsAt)-(MONTH(AsAt)&lt;4)+32)&amp;"/"&amp;RIGHT((YEAR(AsAt)-(MONTH(AsAt)&lt;4)+32)+1,2)</f>
        <v>2058/59</v>
      </c>
      <c r="B96" s="103">
        <f>N('Projections'!$B$39)</f>
        <v>0</v>
      </c>
      <c r="C96" s="103">
        <f>N('Projections'!$E$39)</f>
        <v>0</v>
      </c>
      <c r="D96" s="103">
        <f>N('Projections'!$H$39)</f>
        <v>0</v>
      </c>
      <c r="E96" s="103">
        <f>IF($R$3,N('Projections'!$F$39),(SUMPRODUCT(LM_runs*(LN_start&lt;=$P96)*(LM_profile="EIP")*(1-(HRA="Two pools")*(LN_fund="HRA"))*LM_eip*(LM_payments-(($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SUMPRODUCT(LM_runs*(LN_start&lt;=$P96)*(LM_profile="Annuity")*(1-(HRA="Two pools")*(LN_fund="HRA"))*((LM_rate&gt;0)*(LM_out*(1+LM_rate)^((($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LM_annuity*((1+LM_rate)^((($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-1)/LM_safe)+(LM_rate=0)*(LM_out-LM_annuity*((($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SUMPRODUCT(LM_runs*(LN_start&lt;=$P96)*((LM_profile&lt;&gt;"EIP")*(LM_profile&lt;&gt;"Annuity"))*(1-(HRA="Two pools")*(LN_fund="HRA"))*(LM_end&gt;$P96)*LN_principal))/1000000)</f>
        <v>0</v>
      </c>
      <c r="F96" s="103">
        <f>IF($R$4,N('Projections'!$G$39),SUMPRODUCT(('Deal maths'!$F$4:$F$2000&gt;$P96)*('Deal maths'!$E$4:$E$2000&lt;=$P96)*('Deal maths'!$H$4:$H$2000+('Deal maths'!$H$4:$H$2000=0)*'Deal maths'!$D$4:$D$2000))/1000000)</f>
        <v>0</v>
      </c>
      <c r="G96" s="103">
        <f>B96-C96</f>
        <v>0</v>
      </c>
      <c r="H96" s="103">
        <f>MAX(D96,-G96)</f>
        <v>0</v>
      </c>
      <c r="I96" s="103">
        <f>G96+H96</f>
        <v>0</v>
      </c>
      <c r="J96" s="103">
        <f>MAX(0,I96-E96)</f>
        <v>0</v>
      </c>
      <c r="K96" s="103">
        <f>MAX(0,E96-MAX(0,I96))</f>
        <v>0</v>
      </c>
      <c r="L96" s="103">
        <f>MAX(0,E96+J96-G96)</f>
        <v>0</v>
      </c>
      <c r="M96" s="103">
        <f>MAX(0,H96-D96)</f>
        <v>0</v>
      </c>
      <c r="N96" s="103">
        <f>MAX(0,L96-H96)</f>
        <v>0</v>
      </c>
      <c r="O96" s="103">
        <f>MAX(MAX(I$64:I$114),MAX(E$64:E$114))</f>
        <v>0</v>
      </c>
      <c r="P96" s="104">
        <f>DATE((YEAR(AsAt)-(MONTH(AsAt)&lt;4)+32)+1,3,31)</f>
        <v>58165.0</v>
      </c>
      <c r="Q96" s="105">
        <f>J96-K96</f>
        <v>0</v>
      </c>
      <c r="R96" s="105">
        <f>-C96</f>
        <v>0</v>
      </c>
      <c r="S96" s="105">
        <f>-F96</f>
        <v>0</v>
      </c>
      <c r="T96" s="105">
        <f>-H96</f>
        <v>0</v>
      </c>
    </row>
    <row r="97" ht="15" customHeight="1">
      <c r="A97" s="55" t="str">
        <f>(YEAR(AsAt)-(MONTH(AsAt)&lt;4)+33)&amp;"/"&amp;RIGHT((YEAR(AsAt)-(MONTH(AsAt)&lt;4)+33)+1,2)</f>
        <v>2059/60</v>
      </c>
      <c r="B97" s="103">
        <f>N('Projections'!$B$40)</f>
        <v>0</v>
      </c>
      <c r="C97" s="103">
        <f>N('Projections'!$E$40)</f>
        <v>0</v>
      </c>
      <c r="D97" s="103">
        <f>N('Projections'!$H$40)</f>
        <v>0</v>
      </c>
      <c r="E97" s="103">
        <f>IF($R$3,N('Projections'!$F$40),(SUMPRODUCT(LM_runs*(LN_start&lt;=$P97)*(LM_profile="EIP")*(1-(HRA="Two pools")*(LN_fund="HRA"))*LM_eip*(LM_payments-(($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SUMPRODUCT(LM_runs*(LN_start&lt;=$P97)*(LM_profile="Annuity")*(1-(HRA="Two pools")*(LN_fund="HRA"))*((LM_rate&gt;0)*(LM_out*(1+LM_rate)^((($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LM_annuity*((1+LM_rate)^((($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-1)/LM_safe)+(LM_rate=0)*(LM_out-LM_annuity*((($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SUMPRODUCT(LM_runs*(LN_start&lt;=$P97)*((LM_profile&lt;&gt;"EIP")*(LM_profile&lt;&gt;"Annuity"))*(1-(HRA="Two pools")*(LN_fund="HRA"))*(LM_end&gt;$P97)*LN_principal))/1000000)</f>
        <v>0</v>
      </c>
      <c r="F97" s="103">
        <f>IF($R$4,N('Projections'!$G$40),SUMPRODUCT(('Deal maths'!$F$4:$F$2000&gt;$P97)*('Deal maths'!$E$4:$E$2000&lt;=$P97)*('Deal maths'!$H$4:$H$2000+('Deal maths'!$H$4:$H$2000=0)*'Deal maths'!$D$4:$D$2000))/1000000)</f>
        <v>0</v>
      </c>
      <c r="G97" s="103">
        <f>B97-C97</f>
        <v>0</v>
      </c>
      <c r="H97" s="103">
        <f>MAX(D97,-G97)</f>
        <v>0</v>
      </c>
      <c r="I97" s="103">
        <f>G97+H97</f>
        <v>0</v>
      </c>
      <c r="J97" s="103">
        <f>MAX(0,I97-E97)</f>
        <v>0</v>
      </c>
      <c r="K97" s="103">
        <f>MAX(0,E97-MAX(0,I97))</f>
        <v>0</v>
      </c>
      <c r="L97" s="103">
        <f>MAX(0,E97+J97-G97)</f>
        <v>0</v>
      </c>
      <c r="M97" s="103">
        <f>MAX(0,H97-D97)</f>
        <v>0</v>
      </c>
      <c r="N97" s="103">
        <f>MAX(0,L97-H97)</f>
        <v>0</v>
      </c>
      <c r="O97" s="103">
        <f>MAX(MAX(I$64:I$114),MAX(E$64:E$114))</f>
        <v>0</v>
      </c>
      <c r="P97" s="104">
        <f>DATE((YEAR(AsAt)-(MONTH(AsAt)&lt;4)+33)+1,3,31)</f>
        <v>58531.0</v>
      </c>
      <c r="Q97" s="105">
        <f>J97-K97</f>
        <v>0</v>
      </c>
      <c r="R97" s="105">
        <f>-C97</f>
        <v>0</v>
      </c>
      <c r="S97" s="105">
        <f>-F97</f>
        <v>0</v>
      </c>
      <c r="T97" s="105">
        <f>-H97</f>
        <v>0</v>
      </c>
    </row>
    <row r="98" ht="15" customHeight="1">
      <c r="A98" s="55" t="str">
        <f>(YEAR(AsAt)-(MONTH(AsAt)&lt;4)+34)&amp;"/"&amp;RIGHT((YEAR(AsAt)-(MONTH(AsAt)&lt;4)+34)+1,2)</f>
        <v>2060/61</v>
      </c>
      <c r="B98" s="103">
        <f>N('Projections'!$B$41)</f>
        <v>0</v>
      </c>
      <c r="C98" s="103">
        <f>N('Projections'!$E$41)</f>
        <v>0</v>
      </c>
      <c r="D98" s="103">
        <f>N('Projections'!$H$41)</f>
        <v>0</v>
      </c>
      <c r="E98" s="103">
        <f>IF($R$3,N('Projections'!$F$41),(SUMPRODUCT(LM_runs*(LN_start&lt;=$P98)*(LM_profile="EIP")*(1-(HRA="Two pools")*(LN_fund="HRA"))*LM_eip*(LM_payments-(($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SUMPRODUCT(LM_runs*(LN_start&lt;=$P98)*(LM_profile="Annuity")*(1-(HRA="Two pools")*(LN_fund="HRA"))*((LM_rate&gt;0)*(LM_out*(1+LM_rate)^((($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LM_annuity*((1+LM_rate)^((($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-1)/LM_safe)+(LM_rate=0)*(LM_out-LM_annuity*((($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SUMPRODUCT(LM_runs*(LN_start&lt;=$P98)*((LM_profile&lt;&gt;"EIP")*(LM_profile&lt;&gt;"Annuity"))*(1-(HRA="Two pools")*(LN_fund="HRA"))*(LM_end&gt;$P98)*LN_principal))/1000000)</f>
        <v>0</v>
      </c>
      <c r="F98" s="103">
        <f>IF($R$4,N('Projections'!$G$41),SUMPRODUCT(('Deal maths'!$F$4:$F$2000&gt;$P98)*('Deal maths'!$E$4:$E$2000&lt;=$P98)*('Deal maths'!$H$4:$H$2000+('Deal maths'!$H$4:$H$2000=0)*'Deal maths'!$D$4:$D$2000))/1000000)</f>
        <v>0</v>
      </c>
      <c r="G98" s="103">
        <f>B98-C98</f>
        <v>0</v>
      </c>
      <c r="H98" s="103">
        <f>MAX(D98,-G98)</f>
        <v>0</v>
      </c>
      <c r="I98" s="103">
        <f>G98+H98</f>
        <v>0</v>
      </c>
      <c r="J98" s="103">
        <f>MAX(0,I98-E98)</f>
        <v>0</v>
      </c>
      <c r="K98" s="103">
        <f>MAX(0,E98-MAX(0,I98))</f>
        <v>0</v>
      </c>
      <c r="L98" s="103">
        <f>MAX(0,E98+J98-G98)</f>
        <v>0</v>
      </c>
      <c r="M98" s="103">
        <f>MAX(0,H98-D98)</f>
        <v>0</v>
      </c>
      <c r="N98" s="103">
        <f>MAX(0,L98-H98)</f>
        <v>0</v>
      </c>
      <c r="O98" s="103">
        <f>MAX(MAX(I$64:I$114),MAX(E$64:E$114))</f>
        <v>0</v>
      </c>
      <c r="P98" s="104">
        <f>DATE((YEAR(AsAt)-(MONTH(AsAt)&lt;4)+34)+1,3,31)</f>
        <v>58896.0</v>
      </c>
      <c r="Q98" s="105">
        <f>J98-K98</f>
        <v>0</v>
      </c>
      <c r="R98" s="105">
        <f>-C98</f>
        <v>0</v>
      </c>
      <c r="S98" s="105">
        <f>-F98</f>
        <v>0</v>
      </c>
      <c r="T98" s="105">
        <f>-H98</f>
        <v>0</v>
      </c>
    </row>
    <row r="99" ht="15" customHeight="1">
      <c r="A99" s="55" t="str">
        <f>(YEAR(AsAt)-(MONTH(AsAt)&lt;4)+35)&amp;"/"&amp;RIGHT((YEAR(AsAt)-(MONTH(AsAt)&lt;4)+35)+1,2)</f>
        <v>2061/62</v>
      </c>
      <c r="B99" s="103">
        <f>N('Projections'!$B$42)</f>
        <v>0</v>
      </c>
      <c r="C99" s="103">
        <f>N('Projections'!$E$42)</f>
        <v>0</v>
      </c>
      <c r="D99" s="103">
        <f>N('Projections'!$H$42)</f>
        <v>0</v>
      </c>
      <c r="E99" s="103">
        <f>IF($R$3,N('Projections'!$F$42),(SUMPRODUCT(LM_runs*(LN_start&lt;=$P99)*(LM_profile="EIP")*(1-(HRA="Two pools")*(LN_fund="HRA"))*LM_eip*(LM_payments-(($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SUMPRODUCT(LM_runs*(LN_start&lt;=$P99)*(LM_profile="Annuity")*(1-(HRA="Two pools")*(LN_fund="HRA"))*((LM_rate&gt;0)*(LM_out*(1+LM_rate)^((($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LM_annuity*((1+LM_rate)^((($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-1)/LM_safe)+(LM_rate=0)*(LM_out-LM_annuity*((($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SUMPRODUCT(LM_runs*(LN_start&lt;=$P99)*((LM_profile&lt;&gt;"EIP")*(LM_profile&lt;&gt;"Annuity"))*(1-(HRA="Two pools")*(LN_fund="HRA"))*(LM_end&gt;$P99)*LN_principal))/1000000)</f>
        <v>0</v>
      </c>
      <c r="F99" s="103">
        <f>IF($R$4,N('Projections'!$G$42),SUMPRODUCT(('Deal maths'!$F$4:$F$2000&gt;$P99)*('Deal maths'!$E$4:$E$2000&lt;=$P99)*('Deal maths'!$H$4:$H$2000+('Deal maths'!$H$4:$H$2000=0)*'Deal maths'!$D$4:$D$2000))/1000000)</f>
        <v>0</v>
      </c>
      <c r="G99" s="103">
        <f>B99-C99</f>
        <v>0</v>
      </c>
      <c r="H99" s="103">
        <f>MAX(D99,-G99)</f>
        <v>0</v>
      </c>
      <c r="I99" s="103">
        <f>G99+H99</f>
        <v>0</v>
      </c>
      <c r="J99" s="103">
        <f>MAX(0,I99-E99)</f>
        <v>0</v>
      </c>
      <c r="K99" s="103">
        <f>MAX(0,E99-MAX(0,I99))</f>
        <v>0</v>
      </c>
      <c r="L99" s="103">
        <f>MAX(0,E99+J99-G99)</f>
        <v>0</v>
      </c>
      <c r="M99" s="103">
        <f>MAX(0,H99-D99)</f>
        <v>0</v>
      </c>
      <c r="N99" s="103">
        <f>MAX(0,L99-H99)</f>
        <v>0</v>
      </c>
      <c r="O99" s="103">
        <f>MAX(MAX(I$64:I$114),MAX(E$64:E$114))</f>
        <v>0</v>
      </c>
      <c r="P99" s="104">
        <f>DATE((YEAR(AsAt)-(MONTH(AsAt)&lt;4)+35)+1,3,31)</f>
        <v>59261.0</v>
      </c>
      <c r="Q99" s="105">
        <f>J99-K99</f>
        <v>0</v>
      </c>
      <c r="R99" s="105">
        <f>-C99</f>
        <v>0</v>
      </c>
      <c r="S99" s="105">
        <f>-F99</f>
        <v>0</v>
      </c>
      <c r="T99" s="105">
        <f>-H99</f>
        <v>0</v>
      </c>
    </row>
    <row r="100" ht="15" customHeight="1">
      <c r="A100" s="55" t="str">
        <f>(YEAR(AsAt)-(MONTH(AsAt)&lt;4)+36)&amp;"/"&amp;RIGHT((YEAR(AsAt)-(MONTH(AsAt)&lt;4)+36)+1,2)</f>
        <v>2062/63</v>
      </c>
      <c r="B100" s="103">
        <f>N('Projections'!$B$43)</f>
        <v>0</v>
      </c>
      <c r="C100" s="103">
        <f>N('Projections'!$E$43)</f>
        <v>0</v>
      </c>
      <c r="D100" s="103">
        <f>N('Projections'!$H$43)</f>
        <v>0</v>
      </c>
      <c r="E100" s="103">
        <f>IF($R$3,N('Projections'!$F$43),(SUMPRODUCT(LM_runs*(LN_start&lt;=$P100)*(LM_profile="EIP")*(1-(HRA="Two pools")*(LN_fund="HRA"))*LM_eip*(LM_payments-(($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SUMPRODUCT(LM_runs*(LN_start&lt;=$P100)*(LM_profile="Annuity")*(1-(HRA="Two pools")*(LN_fund="HRA"))*((LM_rate&gt;0)*(LM_out*(1+LM_rate)^((($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LM_annuity*((1+LM_rate)^((($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-1)/LM_safe)+(LM_rate=0)*(LM_out-LM_annuity*((($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SUMPRODUCT(LM_runs*(LN_start&lt;=$P100)*((LM_profile&lt;&gt;"EIP")*(LM_profile&lt;&gt;"Annuity"))*(1-(HRA="Two pools")*(LN_fund="HRA"))*(LM_end&gt;$P100)*LN_principal))/1000000)</f>
        <v>0</v>
      </c>
      <c r="F100" s="103">
        <f>IF($R$4,N('Projections'!$G$43),SUMPRODUCT(('Deal maths'!$F$4:$F$2000&gt;$P100)*('Deal maths'!$E$4:$E$2000&lt;=$P100)*('Deal maths'!$H$4:$H$2000+('Deal maths'!$H$4:$H$2000=0)*'Deal maths'!$D$4:$D$2000))/1000000)</f>
        <v>0</v>
      </c>
      <c r="G100" s="103">
        <f>B100-C100</f>
        <v>0</v>
      </c>
      <c r="H100" s="103">
        <f>MAX(D100,-G100)</f>
        <v>0</v>
      </c>
      <c r="I100" s="103">
        <f>G100+H100</f>
        <v>0</v>
      </c>
      <c r="J100" s="103">
        <f>MAX(0,I100-E100)</f>
        <v>0</v>
      </c>
      <c r="K100" s="103">
        <f>MAX(0,E100-MAX(0,I100))</f>
        <v>0</v>
      </c>
      <c r="L100" s="103">
        <f>MAX(0,E100+J100-G100)</f>
        <v>0</v>
      </c>
      <c r="M100" s="103">
        <f>MAX(0,H100-D100)</f>
        <v>0</v>
      </c>
      <c r="N100" s="103">
        <f>MAX(0,L100-H100)</f>
        <v>0</v>
      </c>
      <c r="O100" s="103">
        <f>MAX(MAX(I$64:I$114),MAX(E$64:E$114))</f>
        <v>0</v>
      </c>
      <c r="P100" s="104">
        <f>DATE((YEAR(AsAt)-(MONTH(AsAt)&lt;4)+36)+1,3,31)</f>
        <v>59626.0</v>
      </c>
      <c r="Q100" s="105">
        <f>J100-K100</f>
        <v>0</v>
      </c>
      <c r="R100" s="105">
        <f>-C100</f>
        <v>0</v>
      </c>
      <c r="S100" s="105">
        <f>-F100</f>
        <v>0</v>
      </c>
      <c r="T100" s="105">
        <f>-H100</f>
        <v>0</v>
      </c>
    </row>
    <row r="101" ht="15" customHeight="1">
      <c r="A101" s="55" t="str">
        <f>(YEAR(AsAt)-(MONTH(AsAt)&lt;4)+37)&amp;"/"&amp;RIGHT((YEAR(AsAt)-(MONTH(AsAt)&lt;4)+37)+1,2)</f>
        <v>2063/64</v>
      </c>
      <c r="B101" s="103">
        <f>N('Projections'!$B$44)</f>
        <v>0</v>
      </c>
      <c r="C101" s="103">
        <f>N('Projections'!$E$44)</f>
        <v>0</v>
      </c>
      <c r="D101" s="103">
        <f>N('Projections'!$H$44)</f>
        <v>0</v>
      </c>
      <c r="E101" s="103">
        <f>IF($R$3,N('Projections'!$F$44),(SUMPRODUCT(LM_runs*(LN_start&lt;=$P101)*(LM_profile="EIP")*(1-(HRA="Two pools")*(LN_fund="HRA"))*LM_eip*(LM_payments-(($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SUMPRODUCT(LM_runs*(LN_start&lt;=$P101)*(LM_profile="Annuity")*(1-(HRA="Two pools")*(LN_fund="HRA"))*((LM_rate&gt;0)*(LM_out*(1+LM_rate)^((($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LM_annuity*((1+LM_rate)^((($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-1)/LM_safe)+(LM_rate=0)*(LM_out-LM_annuity*((($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SUMPRODUCT(LM_runs*(LN_start&lt;=$P101)*((LM_profile&lt;&gt;"EIP")*(LM_profile&lt;&gt;"Annuity"))*(1-(HRA="Two pools")*(LN_fund="HRA"))*(LM_end&gt;$P101)*LN_principal))/1000000)</f>
        <v>0</v>
      </c>
      <c r="F101" s="103">
        <f>IF($R$4,N('Projections'!$G$44),SUMPRODUCT(('Deal maths'!$F$4:$F$2000&gt;$P101)*('Deal maths'!$E$4:$E$2000&lt;=$P101)*('Deal maths'!$H$4:$H$2000+('Deal maths'!$H$4:$H$2000=0)*'Deal maths'!$D$4:$D$2000))/1000000)</f>
        <v>0</v>
      </c>
      <c r="G101" s="103">
        <f>B101-C101</f>
        <v>0</v>
      </c>
      <c r="H101" s="103">
        <f>MAX(D101,-G101)</f>
        <v>0</v>
      </c>
      <c r="I101" s="103">
        <f>G101+H101</f>
        <v>0</v>
      </c>
      <c r="J101" s="103">
        <f>MAX(0,I101-E101)</f>
        <v>0</v>
      </c>
      <c r="K101" s="103">
        <f>MAX(0,E101-MAX(0,I101))</f>
        <v>0</v>
      </c>
      <c r="L101" s="103">
        <f>MAX(0,E101+J101-G101)</f>
        <v>0</v>
      </c>
      <c r="M101" s="103">
        <f>MAX(0,H101-D101)</f>
        <v>0</v>
      </c>
      <c r="N101" s="103">
        <f>MAX(0,L101-H101)</f>
        <v>0</v>
      </c>
      <c r="O101" s="103">
        <f>MAX(MAX(I$64:I$114),MAX(E$64:E$114))</f>
        <v>0</v>
      </c>
      <c r="P101" s="104">
        <f>DATE((YEAR(AsAt)-(MONTH(AsAt)&lt;4)+37)+1,3,31)</f>
        <v>59992.0</v>
      </c>
      <c r="Q101" s="105">
        <f>J101-K101</f>
        <v>0</v>
      </c>
      <c r="R101" s="105">
        <f>-C101</f>
        <v>0</v>
      </c>
      <c r="S101" s="105">
        <f>-F101</f>
        <v>0</v>
      </c>
      <c r="T101" s="105">
        <f>-H101</f>
        <v>0</v>
      </c>
    </row>
    <row r="102" ht="15" customHeight="1">
      <c r="A102" s="55" t="str">
        <f>(YEAR(AsAt)-(MONTH(AsAt)&lt;4)+38)&amp;"/"&amp;RIGHT((YEAR(AsAt)-(MONTH(AsAt)&lt;4)+38)+1,2)</f>
        <v>2064/65</v>
      </c>
      <c r="B102" s="103">
        <f>N('Projections'!$B$45)</f>
        <v>0</v>
      </c>
      <c r="C102" s="103">
        <f>N('Projections'!$E$45)</f>
        <v>0</v>
      </c>
      <c r="D102" s="103">
        <f>N('Projections'!$H$45)</f>
        <v>0</v>
      </c>
      <c r="E102" s="103">
        <f>IF($R$3,N('Projections'!$F$45),(SUMPRODUCT(LM_runs*(LN_start&lt;=$P102)*(LM_profile="EIP")*(1-(HRA="Two pools")*(LN_fund="HRA"))*LM_eip*(LM_payments-(($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SUMPRODUCT(LM_runs*(LN_start&lt;=$P102)*(LM_profile="Annuity")*(1-(HRA="Two pools")*(LN_fund="HRA"))*((LM_rate&gt;0)*(LM_out*(1+LM_rate)^((($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LM_annuity*((1+LM_rate)^((($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-1)/LM_safe)+(LM_rate=0)*(LM_out-LM_annuity*((($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SUMPRODUCT(LM_runs*(LN_start&lt;=$P102)*((LM_profile&lt;&gt;"EIP")*(LM_profile&lt;&gt;"Annuity"))*(1-(HRA="Two pools")*(LN_fund="HRA"))*(LM_end&gt;$P102)*LN_principal))/1000000)</f>
        <v>0</v>
      </c>
      <c r="F102" s="103">
        <f>IF($R$4,N('Projections'!$G$45),SUMPRODUCT(('Deal maths'!$F$4:$F$2000&gt;$P102)*('Deal maths'!$E$4:$E$2000&lt;=$P102)*('Deal maths'!$H$4:$H$2000+('Deal maths'!$H$4:$H$2000=0)*'Deal maths'!$D$4:$D$2000))/1000000)</f>
        <v>0</v>
      </c>
      <c r="G102" s="103">
        <f>B102-C102</f>
        <v>0</v>
      </c>
      <c r="H102" s="103">
        <f>MAX(D102,-G102)</f>
        <v>0</v>
      </c>
      <c r="I102" s="103">
        <f>G102+H102</f>
        <v>0</v>
      </c>
      <c r="J102" s="103">
        <f>MAX(0,I102-E102)</f>
        <v>0</v>
      </c>
      <c r="K102" s="103">
        <f>MAX(0,E102-MAX(0,I102))</f>
        <v>0</v>
      </c>
      <c r="L102" s="103">
        <f>MAX(0,E102+J102-G102)</f>
        <v>0</v>
      </c>
      <c r="M102" s="103">
        <f>MAX(0,H102-D102)</f>
        <v>0</v>
      </c>
      <c r="N102" s="103">
        <f>MAX(0,L102-H102)</f>
        <v>0</v>
      </c>
      <c r="O102" s="103">
        <f>MAX(MAX(I$64:I$114),MAX(E$64:E$114))</f>
        <v>0</v>
      </c>
      <c r="P102" s="104">
        <f>DATE((YEAR(AsAt)-(MONTH(AsAt)&lt;4)+38)+1,3,31)</f>
        <v>60357.0</v>
      </c>
      <c r="Q102" s="105">
        <f>J102-K102</f>
        <v>0</v>
      </c>
      <c r="R102" s="105">
        <f>-C102</f>
        <v>0</v>
      </c>
      <c r="S102" s="105">
        <f>-F102</f>
        <v>0</v>
      </c>
      <c r="T102" s="105">
        <f>-H102</f>
        <v>0</v>
      </c>
    </row>
    <row r="103" ht="15" customHeight="1">
      <c r="A103" s="55" t="str">
        <f>(YEAR(AsAt)-(MONTH(AsAt)&lt;4)+39)&amp;"/"&amp;RIGHT((YEAR(AsAt)-(MONTH(AsAt)&lt;4)+39)+1,2)</f>
        <v>2065/66</v>
      </c>
      <c r="B103" s="103">
        <f>N('Projections'!$B$46)</f>
        <v>0</v>
      </c>
      <c r="C103" s="103">
        <f>N('Projections'!$E$46)</f>
        <v>0</v>
      </c>
      <c r="D103" s="103">
        <f>N('Projections'!$H$46)</f>
        <v>0</v>
      </c>
      <c r="E103" s="103">
        <f>IF($R$3,N('Projections'!$F$46),(SUMPRODUCT(LM_runs*(LN_start&lt;=$P103)*(LM_profile="EIP")*(1-(HRA="Two pools")*(LN_fund="HRA"))*LM_eip*(LM_payments-(($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SUMPRODUCT(LM_runs*(LN_start&lt;=$P103)*(LM_profile="Annuity")*(1-(HRA="Two pools")*(LN_fund="HRA"))*((LM_rate&gt;0)*(LM_out*(1+LM_rate)^((($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LM_annuity*((1+LM_rate)^((($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-1)/LM_safe)+(LM_rate=0)*(LM_out-LM_annuity*((($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SUMPRODUCT(LM_runs*(LN_start&lt;=$P103)*((LM_profile&lt;&gt;"EIP")*(LM_profile&lt;&gt;"Annuity"))*(1-(HRA="Two pools")*(LN_fund="HRA"))*(LM_end&gt;$P103)*LN_principal))/1000000)</f>
        <v>0</v>
      </c>
      <c r="F103" s="103">
        <f>IF($R$4,N('Projections'!$G$46),SUMPRODUCT(('Deal maths'!$F$4:$F$2000&gt;$P103)*('Deal maths'!$E$4:$E$2000&lt;=$P103)*('Deal maths'!$H$4:$H$2000+('Deal maths'!$H$4:$H$2000=0)*'Deal maths'!$D$4:$D$2000))/1000000)</f>
        <v>0</v>
      </c>
      <c r="G103" s="103">
        <f>B103-C103</f>
        <v>0</v>
      </c>
      <c r="H103" s="103">
        <f>MAX(D103,-G103)</f>
        <v>0</v>
      </c>
      <c r="I103" s="103">
        <f>G103+H103</f>
        <v>0</v>
      </c>
      <c r="J103" s="103">
        <f>MAX(0,I103-E103)</f>
        <v>0</v>
      </c>
      <c r="K103" s="103">
        <f>MAX(0,E103-MAX(0,I103))</f>
        <v>0</v>
      </c>
      <c r="L103" s="103">
        <f>MAX(0,E103+J103-G103)</f>
        <v>0</v>
      </c>
      <c r="M103" s="103">
        <f>MAX(0,H103-D103)</f>
        <v>0</v>
      </c>
      <c r="N103" s="103">
        <f>MAX(0,L103-H103)</f>
        <v>0</v>
      </c>
      <c r="O103" s="103">
        <f>MAX(MAX(I$64:I$114),MAX(E$64:E$114))</f>
        <v>0</v>
      </c>
      <c r="P103" s="104">
        <f>DATE((YEAR(AsAt)-(MONTH(AsAt)&lt;4)+39)+1,3,31)</f>
        <v>60722.0</v>
      </c>
      <c r="Q103" s="105">
        <f>J103-K103</f>
        <v>0</v>
      </c>
      <c r="R103" s="105">
        <f>-C103</f>
        <v>0</v>
      </c>
      <c r="S103" s="105">
        <f>-F103</f>
        <v>0</v>
      </c>
      <c r="T103" s="105">
        <f>-H103</f>
        <v>0</v>
      </c>
    </row>
    <row r="104" ht="15" customHeight="1">
      <c r="A104" s="55" t="str">
        <f>(YEAR(AsAt)-(MONTH(AsAt)&lt;4)+40)&amp;"/"&amp;RIGHT((YEAR(AsAt)-(MONTH(AsAt)&lt;4)+40)+1,2)</f>
        <v>2066/67</v>
      </c>
      <c r="B104" s="103">
        <f>N('Projections'!$B$47)</f>
        <v>0</v>
      </c>
      <c r="C104" s="103">
        <f>N('Projections'!$E$47)</f>
        <v>0</v>
      </c>
      <c r="D104" s="103">
        <f>N('Projections'!$H$47)</f>
        <v>0</v>
      </c>
      <c r="E104" s="103">
        <f>IF($R$3,N('Projections'!$F$47),(SUMPRODUCT(LM_runs*(LN_start&lt;=$P104)*(LM_profile="EIP")*(1-(HRA="Two pools")*(LN_fund="HRA"))*LM_eip*(LM_payments-(($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SUMPRODUCT(LM_runs*(LN_start&lt;=$P104)*(LM_profile="Annuity")*(1-(HRA="Two pools")*(LN_fund="HRA"))*((LM_rate&gt;0)*(LM_out*(1+LM_rate)^((($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LM_annuity*((1+LM_rate)^((($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-1)/LM_safe)+(LM_rate=0)*(LM_out-LM_annuity*((($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SUMPRODUCT(LM_runs*(LN_start&lt;=$P104)*((LM_profile&lt;&gt;"EIP")*(LM_profile&lt;&gt;"Annuity"))*(1-(HRA="Two pools")*(LN_fund="HRA"))*(LM_end&gt;$P104)*LN_principal))/1000000)</f>
        <v>0</v>
      </c>
      <c r="F104" s="103">
        <f>IF($R$4,N('Projections'!$G$47),SUMPRODUCT(('Deal maths'!$F$4:$F$2000&gt;$P104)*('Deal maths'!$E$4:$E$2000&lt;=$P104)*('Deal maths'!$H$4:$H$2000+('Deal maths'!$H$4:$H$2000=0)*'Deal maths'!$D$4:$D$2000))/1000000)</f>
        <v>0</v>
      </c>
      <c r="G104" s="103">
        <f>B104-C104</f>
        <v>0</v>
      </c>
      <c r="H104" s="103">
        <f>MAX(D104,-G104)</f>
        <v>0</v>
      </c>
      <c r="I104" s="103">
        <f>G104+H104</f>
        <v>0</v>
      </c>
      <c r="J104" s="103">
        <f>MAX(0,I104-E104)</f>
        <v>0</v>
      </c>
      <c r="K104" s="103">
        <f>MAX(0,E104-MAX(0,I104))</f>
        <v>0</v>
      </c>
      <c r="L104" s="103">
        <f>MAX(0,E104+J104-G104)</f>
        <v>0</v>
      </c>
      <c r="M104" s="103">
        <f>MAX(0,H104-D104)</f>
        <v>0</v>
      </c>
      <c r="N104" s="103">
        <f>MAX(0,L104-H104)</f>
        <v>0</v>
      </c>
      <c r="O104" s="103">
        <f>MAX(MAX(I$64:I$114),MAX(E$64:E$114))</f>
        <v>0</v>
      </c>
      <c r="P104" s="104">
        <f>DATE((YEAR(AsAt)-(MONTH(AsAt)&lt;4)+40)+1,3,31)</f>
        <v>61087.0</v>
      </c>
      <c r="Q104" s="105">
        <f>J104-K104</f>
        <v>0</v>
      </c>
      <c r="R104" s="105">
        <f>-C104</f>
        <v>0</v>
      </c>
      <c r="S104" s="105">
        <f>-F104</f>
        <v>0</v>
      </c>
      <c r="T104" s="105">
        <f>-H104</f>
        <v>0</v>
      </c>
    </row>
    <row r="105" ht="15" customHeight="1">
      <c r="A105" s="55" t="str">
        <f>(YEAR(AsAt)-(MONTH(AsAt)&lt;4)+41)&amp;"/"&amp;RIGHT((YEAR(AsAt)-(MONTH(AsAt)&lt;4)+41)+1,2)</f>
        <v>2067/68</v>
      </c>
      <c r="B105" s="103">
        <f>N('Projections'!$B$48)</f>
        <v>0</v>
      </c>
      <c r="C105" s="103">
        <f>N('Projections'!$E$48)</f>
        <v>0</v>
      </c>
      <c r="D105" s="103">
        <f>N('Projections'!$H$48)</f>
        <v>0</v>
      </c>
      <c r="E105" s="103">
        <f>IF($R$3,N('Projections'!$F$48),(SUMPRODUCT(LM_runs*(LN_start&lt;=$P105)*(LM_profile="EIP")*(1-(HRA="Two pools")*(LN_fund="HRA"))*LM_eip*(LM_payments-(($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SUMPRODUCT(LM_runs*(LN_start&lt;=$P105)*(LM_profile="Annuity")*(1-(HRA="Two pools")*(LN_fund="HRA"))*((LM_rate&gt;0)*(LM_out*(1+LM_rate)^((($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LM_annuity*((1+LM_rate)^((($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-1)/LM_safe)+(LM_rate=0)*(LM_out-LM_annuity*((($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SUMPRODUCT(LM_runs*(LN_start&lt;=$P105)*((LM_profile&lt;&gt;"EIP")*(LM_profile&lt;&gt;"Annuity"))*(1-(HRA="Two pools")*(LN_fund="HRA"))*(LM_end&gt;$P105)*LN_principal))/1000000)</f>
        <v>0</v>
      </c>
      <c r="F105" s="103">
        <f>IF($R$4,N('Projections'!$G$48),SUMPRODUCT(('Deal maths'!$F$4:$F$2000&gt;$P105)*('Deal maths'!$E$4:$E$2000&lt;=$P105)*('Deal maths'!$H$4:$H$2000+('Deal maths'!$H$4:$H$2000=0)*'Deal maths'!$D$4:$D$2000))/1000000)</f>
        <v>0</v>
      </c>
      <c r="G105" s="103">
        <f>B105-C105</f>
        <v>0</v>
      </c>
      <c r="H105" s="103">
        <f>MAX(D105,-G105)</f>
        <v>0</v>
      </c>
      <c r="I105" s="103">
        <f>G105+H105</f>
        <v>0</v>
      </c>
      <c r="J105" s="103">
        <f>MAX(0,I105-E105)</f>
        <v>0</v>
      </c>
      <c r="K105" s="103">
        <f>MAX(0,E105-MAX(0,I105))</f>
        <v>0</v>
      </c>
      <c r="L105" s="103">
        <f>MAX(0,E105+J105-G105)</f>
        <v>0</v>
      </c>
      <c r="M105" s="103">
        <f>MAX(0,H105-D105)</f>
        <v>0</v>
      </c>
      <c r="N105" s="103">
        <f>MAX(0,L105-H105)</f>
        <v>0</v>
      </c>
      <c r="O105" s="103">
        <f>MAX(MAX(I$64:I$114),MAX(E$64:E$114))</f>
        <v>0</v>
      </c>
      <c r="P105" s="104">
        <f>DATE((YEAR(AsAt)-(MONTH(AsAt)&lt;4)+41)+1,3,31)</f>
        <v>61453.0</v>
      </c>
      <c r="Q105" s="105">
        <f>J105-K105</f>
        <v>0</v>
      </c>
      <c r="R105" s="105">
        <f>-C105</f>
        <v>0</v>
      </c>
      <c r="S105" s="105">
        <f>-F105</f>
        <v>0</v>
      </c>
      <c r="T105" s="105">
        <f>-H105</f>
        <v>0</v>
      </c>
    </row>
    <row r="106" ht="15" customHeight="1">
      <c r="A106" s="55" t="str">
        <f>(YEAR(AsAt)-(MONTH(AsAt)&lt;4)+42)&amp;"/"&amp;RIGHT((YEAR(AsAt)-(MONTH(AsAt)&lt;4)+42)+1,2)</f>
        <v>2068/69</v>
      </c>
      <c r="B106" s="103">
        <f>N('Projections'!$B$49)</f>
        <v>0</v>
      </c>
      <c r="C106" s="103">
        <f>N('Projections'!$E$49)</f>
        <v>0</v>
      </c>
      <c r="D106" s="103">
        <f>N('Projections'!$H$49)</f>
        <v>0</v>
      </c>
      <c r="E106" s="103">
        <f>IF($R$3,N('Projections'!$F$49),(SUMPRODUCT(LM_runs*(LN_start&lt;=$P106)*(LM_profile="EIP")*(1-(HRA="Two pools")*(LN_fund="HRA"))*LM_eip*(LM_payments-(($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SUMPRODUCT(LM_runs*(LN_start&lt;=$P106)*(LM_profile="Annuity")*(1-(HRA="Two pools")*(LN_fund="HRA"))*((LM_rate&gt;0)*(LM_out*(1+LM_rate)^((($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LM_annuity*((1+LM_rate)^((($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-1)/LM_safe)+(LM_rate=0)*(LM_out-LM_annuity*((($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SUMPRODUCT(LM_runs*(LN_start&lt;=$P106)*((LM_profile&lt;&gt;"EIP")*(LM_profile&lt;&gt;"Annuity"))*(1-(HRA="Two pools")*(LN_fund="HRA"))*(LM_end&gt;$P106)*LN_principal))/1000000)</f>
        <v>0</v>
      </c>
      <c r="F106" s="103">
        <f>IF($R$4,N('Projections'!$G$49),SUMPRODUCT(('Deal maths'!$F$4:$F$2000&gt;$P106)*('Deal maths'!$E$4:$E$2000&lt;=$P106)*('Deal maths'!$H$4:$H$2000+('Deal maths'!$H$4:$H$2000=0)*'Deal maths'!$D$4:$D$2000))/1000000)</f>
        <v>0</v>
      </c>
      <c r="G106" s="103">
        <f>B106-C106</f>
        <v>0</v>
      </c>
      <c r="H106" s="103">
        <f>MAX(D106,-G106)</f>
        <v>0</v>
      </c>
      <c r="I106" s="103">
        <f>G106+H106</f>
        <v>0</v>
      </c>
      <c r="J106" s="103">
        <f>MAX(0,I106-E106)</f>
        <v>0</v>
      </c>
      <c r="K106" s="103">
        <f>MAX(0,E106-MAX(0,I106))</f>
        <v>0</v>
      </c>
      <c r="L106" s="103">
        <f>MAX(0,E106+J106-G106)</f>
        <v>0</v>
      </c>
      <c r="M106" s="103">
        <f>MAX(0,H106-D106)</f>
        <v>0</v>
      </c>
      <c r="N106" s="103">
        <f>MAX(0,L106-H106)</f>
        <v>0</v>
      </c>
      <c r="O106" s="103">
        <f>MAX(MAX(I$64:I$114),MAX(E$64:E$114))</f>
        <v>0</v>
      </c>
      <c r="P106" s="104">
        <f>DATE((YEAR(AsAt)-(MONTH(AsAt)&lt;4)+42)+1,3,31)</f>
        <v>61818.0</v>
      </c>
      <c r="Q106" s="105">
        <f>J106-K106</f>
        <v>0</v>
      </c>
      <c r="R106" s="105">
        <f>-C106</f>
        <v>0</v>
      </c>
      <c r="S106" s="105">
        <f>-F106</f>
        <v>0</v>
      </c>
      <c r="T106" s="105">
        <f>-H106</f>
        <v>0</v>
      </c>
    </row>
    <row r="107" ht="15" customHeight="1">
      <c r="A107" s="55" t="str">
        <f>(YEAR(AsAt)-(MONTH(AsAt)&lt;4)+43)&amp;"/"&amp;RIGHT((YEAR(AsAt)-(MONTH(AsAt)&lt;4)+43)+1,2)</f>
        <v>2069/70</v>
      </c>
      <c r="B107" s="103">
        <f>N('Projections'!$B$50)</f>
        <v>0</v>
      </c>
      <c r="C107" s="103">
        <f>N('Projections'!$E$50)</f>
        <v>0</v>
      </c>
      <c r="D107" s="103">
        <f>N('Projections'!$H$50)</f>
        <v>0</v>
      </c>
      <c r="E107" s="103">
        <f>IF($R$3,N('Projections'!$F$50),(SUMPRODUCT(LM_runs*(LN_start&lt;=$P107)*(LM_profile="EIP")*(1-(HRA="Two pools")*(LN_fund="HRA"))*LM_eip*(LM_payments-(($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SUMPRODUCT(LM_runs*(LN_start&lt;=$P107)*(LM_profile="Annuity")*(1-(HRA="Two pools")*(LN_fund="HRA"))*((LM_rate&gt;0)*(LM_out*(1+LM_rate)^((($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LM_annuity*((1+LM_rate)^((($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-1)/LM_safe)+(LM_rate=0)*(LM_out-LM_annuity*((($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SUMPRODUCT(LM_runs*(LN_start&lt;=$P107)*((LM_profile&lt;&gt;"EIP")*(LM_profile&lt;&gt;"Annuity"))*(1-(HRA="Two pools")*(LN_fund="HRA"))*(LM_end&gt;$P107)*LN_principal))/1000000)</f>
        <v>0</v>
      </c>
      <c r="F107" s="103">
        <f>IF($R$4,N('Projections'!$G$50),SUMPRODUCT(('Deal maths'!$F$4:$F$2000&gt;$P107)*('Deal maths'!$E$4:$E$2000&lt;=$P107)*('Deal maths'!$H$4:$H$2000+('Deal maths'!$H$4:$H$2000=0)*'Deal maths'!$D$4:$D$2000))/1000000)</f>
        <v>0</v>
      </c>
      <c r="G107" s="103">
        <f>B107-C107</f>
        <v>0</v>
      </c>
      <c r="H107" s="103">
        <f>MAX(D107,-G107)</f>
        <v>0</v>
      </c>
      <c r="I107" s="103">
        <f>G107+H107</f>
        <v>0</v>
      </c>
      <c r="J107" s="103">
        <f>MAX(0,I107-E107)</f>
        <v>0</v>
      </c>
      <c r="K107" s="103">
        <f>MAX(0,E107-MAX(0,I107))</f>
        <v>0</v>
      </c>
      <c r="L107" s="103">
        <f>MAX(0,E107+J107-G107)</f>
        <v>0</v>
      </c>
      <c r="M107" s="103">
        <f>MAX(0,H107-D107)</f>
        <v>0</v>
      </c>
      <c r="N107" s="103">
        <f>MAX(0,L107-H107)</f>
        <v>0</v>
      </c>
      <c r="O107" s="103">
        <f>MAX(MAX(I$64:I$114),MAX(E$64:E$114))</f>
        <v>0</v>
      </c>
      <c r="P107" s="104">
        <f>DATE((YEAR(AsAt)-(MONTH(AsAt)&lt;4)+43)+1,3,31)</f>
        <v>62183.0</v>
      </c>
      <c r="Q107" s="105">
        <f>J107-K107</f>
        <v>0</v>
      </c>
      <c r="R107" s="105">
        <f>-C107</f>
        <v>0</v>
      </c>
      <c r="S107" s="105">
        <f>-F107</f>
        <v>0</v>
      </c>
      <c r="T107" s="105">
        <f>-H107</f>
        <v>0</v>
      </c>
    </row>
    <row r="108" ht="15" customHeight="1">
      <c r="A108" s="55" t="str">
        <f>(YEAR(AsAt)-(MONTH(AsAt)&lt;4)+44)&amp;"/"&amp;RIGHT((YEAR(AsAt)-(MONTH(AsAt)&lt;4)+44)+1,2)</f>
        <v>2070/71</v>
      </c>
      <c r="B108" s="103">
        <f>N('Projections'!$B$51)</f>
        <v>0</v>
      </c>
      <c r="C108" s="103">
        <f>N('Projections'!$E$51)</f>
        <v>0</v>
      </c>
      <c r="D108" s="103">
        <f>N('Projections'!$H$51)</f>
        <v>0</v>
      </c>
      <c r="E108" s="103">
        <f>IF($R$3,N('Projections'!$F$51),(SUMPRODUCT(LM_runs*(LN_start&lt;=$P108)*(LM_profile="EIP")*(1-(HRA="Two pools")*(LN_fund="HRA"))*LM_eip*(LM_payments-(($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SUMPRODUCT(LM_runs*(LN_start&lt;=$P108)*(LM_profile="Annuity")*(1-(HRA="Two pools")*(LN_fund="HRA"))*((LM_rate&gt;0)*(LM_out*(1+LM_rate)^((($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LM_annuity*((1+LM_rate)^((($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-1)/LM_safe)+(LM_rate=0)*(LM_out-LM_annuity*((($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SUMPRODUCT(LM_runs*(LN_start&lt;=$P108)*((LM_profile&lt;&gt;"EIP")*(LM_profile&lt;&gt;"Annuity"))*(1-(HRA="Two pools")*(LN_fund="HRA"))*(LM_end&gt;$P108)*LN_principal))/1000000)</f>
        <v>0</v>
      </c>
      <c r="F108" s="103">
        <f>IF($R$4,N('Projections'!$G$51),SUMPRODUCT(('Deal maths'!$F$4:$F$2000&gt;$P108)*('Deal maths'!$E$4:$E$2000&lt;=$P108)*('Deal maths'!$H$4:$H$2000+('Deal maths'!$H$4:$H$2000=0)*'Deal maths'!$D$4:$D$2000))/1000000)</f>
        <v>0</v>
      </c>
      <c r="G108" s="103">
        <f>B108-C108</f>
        <v>0</v>
      </c>
      <c r="H108" s="103">
        <f>MAX(D108,-G108)</f>
        <v>0</v>
      </c>
      <c r="I108" s="103">
        <f>G108+H108</f>
        <v>0</v>
      </c>
      <c r="J108" s="103">
        <f>MAX(0,I108-E108)</f>
        <v>0</v>
      </c>
      <c r="K108" s="103">
        <f>MAX(0,E108-MAX(0,I108))</f>
        <v>0</v>
      </c>
      <c r="L108" s="103">
        <f>MAX(0,E108+J108-G108)</f>
        <v>0</v>
      </c>
      <c r="M108" s="103">
        <f>MAX(0,H108-D108)</f>
        <v>0</v>
      </c>
      <c r="N108" s="103">
        <f>MAX(0,L108-H108)</f>
        <v>0</v>
      </c>
      <c r="O108" s="103">
        <f>MAX(MAX(I$64:I$114),MAX(E$64:E$114))</f>
        <v>0</v>
      </c>
      <c r="P108" s="104">
        <f>DATE((YEAR(AsAt)-(MONTH(AsAt)&lt;4)+44)+1,3,31)</f>
        <v>62548.0</v>
      </c>
      <c r="Q108" s="105">
        <f>J108-K108</f>
        <v>0</v>
      </c>
      <c r="R108" s="105">
        <f>-C108</f>
        <v>0</v>
      </c>
      <c r="S108" s="105">
        <f>-F108</f>
        <v>0</v>
      </c>
      <c r="T108" s="105">
        <f>-H108</f>
        <v>0</v>
      </c>
    </row>
    <row r="109" ht="15" customHeight="1">
      <c r="A109" s="55" t="str">
        <f>(YEAR(AsAt)-(MONTH(AsAt)&lt;4)+45)&amp;"/"&amp;RIGHT((YEAR(AsAt)-(MONTH(AsAt)&lt;4)+45)+1,2)</f>
        <v>2071/72</v>
      </c>
      <c r="B109" s="103">
        <f>N('Projections'!$B$52)</f>
        <v>0</v>
      </c>
      <c r="C109" s="103">
        <f>N('Projections'!$E$52)</f>
        <v>0</v>
      </c>
      <c r="D109" s="103">
        <f>N('Projections'!$H$52)</f>
        <v>0</v>
      </c>
      <c r="E109" s="103">
        <f>IF($R$3,N('Projections'!$F$52),(SUMPRODUCT(LM_runs*(LN_start&lt;=$P109)*(LM_profile="EIP")*(1-(HRA="Two pools")*(LN_fund="HRA"))*LM_eip*(LM_payments-(($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SUMPRODUCT(LM_runs*(LN_start&lt;=$P109)*(LM_profile="Annuity")*(1-(HRA="Two pools")*(LN_fund="HRA"))*((LM_rate&gt;0)*(LM_out*(1+LM_rate)^((($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LM_annuity*((1+LM_rate)^((($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-1)/LM_safe)+(LM_rate=0)*(LM_out-LM_annuity*((($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SUMPRODUCT(LM_runs*(LN_start&lt;=$P109)*((LM_profile&lt;&gt;"EIP")*(LM_profile&lt;&gt;"Annuity"))*(1-(HRA="Two pools")*(LN_fund="HRA"))*(LM_end&gt;$P109)*LN_principal))/1000000)</f>
        <v>0</v>
      </c>
      <c r="F109" s="103">
        <f>IF($R$4,N('Projections'!$G$52),SUMPRODUCT(('Deal maths'!$F$4:$F$2000&gt;$P109)*('Deal maths'!$E$4:$E$2000&lt;=$P109)*('Deal maths'!$H$4:$H$2000+('Deal maths'!$H$4:$H$2000=0)*'Deal maths'!$D$4:$D$2000))/1000000)</f>
        <v>0</v>
      </c>
      <c r="G109" s="103">
        <f>B109-C109</f>
        <v>0</v>
      </c>
      <c r="H109" s="103">
        <f>MAX(D109,-G109)</f>
        <v>0</v>
      </c>
      <c r="I109" s="103">
        <f>G109+H109</f>
        <v>0</v>
      </c>
      <c r="J109" s="103">
        <f>MAX(0,I109-E109)</f>
        <v>0</v>
      </c>
      <c r="K109" s="103">
        <f>MAX(0,E109-MAX(0,I109))</f>
        <v>0</v>
      </c>
      <c r="L109" s="103">
        <f>MAX(0,E109+J109-G109)</f>
        <v>0</v>
      </c>
      <c r="M109" s="103">
        <f>MAX(0,H109-D109)</f>
        <v>0</v>
      </c>
      <c r="N109" s="103">
        <f>MAX(0,L109-H109)</f>
        <v>0</v>
      </c>
      <c r="O109" s="103">
        <f>MAX(MAX(I$64:I$114),MAX(E$64:E$114))</f>
        <v>0</v>
      </c>
      <c r="P109" s="104">
        <f>DATE((YEAR(AsAt)-(MONTH(AsAt)&lt;4)+45)+1,3,31)</f>
        <v>62914.0</v>
      </c>
      <c r="Q109" s="105">
        <f>J109-K109</f>
        <v>0</v>
      </c>
      <c r="R109" s="105">
        <f>-C109</f>
        <v>0</v>
      </c>
      <c r="S109" s="105">
        <f>-F109</f>
        <v>0</v>
      </c>
      <c r="T109" s="105">
        <f>-H109</f>
        <v>0</v>
      </c>
    </row>
    <row r="110" ht="15" customHeight="1">
      <c r="A110" s="55" t="str">
        <f>(YEAR(AsAt)-(MONTH(AsAt)&lt;4)+46)&amp;"/"&amp;RIGHT((YEAR(AsAt)-(MONTH(AsAt)&lt;4)+46)+1,2)</f>
        <v>2072/73</v>
      </c>
      <c r="B110" s="103">
        <f>N('Projections'!$B$53)</f>
        <v>0</v>
      </c>
      <c r="C110" s="103">
        <f>N('Projections'!$E$53)</f>
        <v>0</v>
      </c>
      <c r="D110" s="103">
        <f>N('Projections'!$H$53)</f>
        <v>0</v>
      </c>
      <c r="E110" s="103">
        <f>IF($R$3,N('Projections'!$F$53),(SUMPRODUCT(LM_runs*(LN_start&lt;=$P110)*(LM_profile="EIP")*(1-(HRA="Two pools")*(LN_fund="HRA"))*LM_eip*(LM_payments-(($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SUMPRODUCT(LM_runs*(LN_start&lt;=$P110)*(LM_profile="Annuity")*(1-(HRA="Two pools")*(LN_fund="HRA"))*((LM_rate&gt;0)*(LM_out*(1+LM_rate)^((($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LM_annuity*((1+LM_rate)^((($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-1)/LM_safe)+(LM_rate=0)*(LM_out-LM_annuity*((($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SUMPRODUCT(LM_runs*(LN_start&lt;=$P110)*((LM_profile&lt;&gt;"EIP")*(LM_profile&lt;&gt;"Annuity"))*(1-(HRA="Two pools")*(LN_fund="HRA"))*(LM_end&gt;$P110)*LN_principal))/1000000)</f>
        <v>0</v>
      </c>
      <c r="F110" s="103">
        <f>IF($R$4,N('Projections'!$G$53),SUMPRODUCT(('Deal maths'!$F$4:$F$2000&gt;$P110)*('Deal maths'!$E$4:$E$2000&lt;=$P110)*('Deal maths'!$H$4:$H$2000+('Deal maths'!$H$4:$H$2000=0)*'Deal maths'!$D$4:$D$2000))/1000000)</f>
        <v>0</v>
      </c>
      <c r="G110" s="103">
        <f>B110-C110</f>
        <v>0</v>
      </c>
      <c r="H110" s="103">
        <f>MAX(D110,-G110)</f>
        <v>0</v>
      </c>
      <c r="I110" s="103">
        <f>G110+H110</f>
        <v>0</v>
      </c>
      <c r="J110" s="103">
        <f>MAX(0,I110-E110)</f>
        <v>0</v>
      </c>
      <c r="K110" s="103">
        <f>MAX(0,E110-MAX(0,I110))</f>
        <v>0</v>
      </c>
      <c r="L110" s="103">
        <f>MAX(0,E110+J110-G110)</f>
        <v>0</v>
      </c>
      <c r="M110" s="103">
        <f>MAX(0,H110-D110)</f>
        <v>0</v>
      </c>
      <c r="N110" s="103">
        <f>MAX(0,L110-H110)</f>
        <v>0</v>
      </c>
      <c r="O110" s="103">
        <f>MAX(MAX(I$64:I$114),MAX(E$64:E$114))</f>
        <v>0</v>
      </c>
      <c r="P110" s="104">
        <f>DATE((YEAR(AsAt)-(MONTH(AsAt)&lt;4)+46)+1,3,31)</f>
        <v>63279.0</v>
      </c>
      <c r="Q110" s="105">
        <f>J110-K110</f>
        <v>0</v>
      </c>
      <c r="R110" s="105">
        <f>-C110</f>
        <v>0</v>
      </c>
      <c r="S110" s="105">
        <f>-F110</f>
        <v>0</v>
      </c>
      <c r="T110" s="105">
        <f>-H110</f>
        <v>0</v>
      </c>
    </row>
    <row r="111" ht="15" customHeight="1">
      <c r="A111" s="55" t="str">
        <f>(YEAR(AsAt)-(MONTH(AsAt)&lt;4)+47)&amp;"/"&amp;RIGHT((YEAR(AsAt)-(MONTH(AsAt)&lt;4)+47)+1,2)</f>
        <v>2073/74</v>
      </c>
      <c r="B111" s="103">
        <f>N('Projections'!$B$54)</f>
        <v>0</v>
      </c>
      <c r="C111" s="103">
        <f>N('Projections'!$E$54)</f>
        <v>0</v>
      </c>
      <c r="D111" s="103">
        <f>N('Projections'!$H$54)</f>
        <v>0</v>
      </c>
      <c r="E111" s="103">
        <f>IF($R$3,N('Projections'!$F$54),(SUMPRODUCT(LM_runs*(LN_start&lt;=$P111)*(LM_profile="EIP")*(1-(HRA="Two pools")*(LN_fund="HRA"))*LM_eip*(LM_payments-(($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SUMPRODUCT(LM_runs*(LN_start&lt;=$P111)*(LM_profile="Annuity")*(1-(HRA="Two pools")*(LN_fund="HRA"))*((LM_rate&gt;0)*(LM_out*(1+LM_rate)^((($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LM_annuity*((1+LM_rate)^((($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-1)/LM_safe)+(LM_rate=0)*(LM_out-LM_annuity*((($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SUMPRODUCT(LM_runs*(LN_start&lt;=$P111)*((LM_profile&lt;&gt;"EIP")*(LM_profile&lt;&gt;"Annuity"))*(1-(HRA="Two pools")*(LN_fund="HRA"))*(LM_end&gt;$P111)*LN_principal))/1000000)</f>
        <v>0</v>
      </c>
      <c r="F111" s="103">
        <f>IF($R$4,N('Projections'!$G$54),SUMPRODUCT(('Deal maths'!$F$4:$F$2000&gt;$P111)*('Deal maths'!$E$4:$E$2000&lt;=$P111)*('Deal maths'!$H$4:$H$2000+('Deal maths'!$H$4:$H$2000=0)*'Deal maths'!$D$4:$D$2000))/1000000)</f>
        <v>0</v>
      </c>
      <c r="G111" s="103">
        <f>B111-C111</f>
        <v>0</v>
      </c>
      <c r="H111" s="103">
        <f>MAX(D111,-G111)</f>
        <v>0</v>
      </c>
      <c r="I111" s="103">
        <f>G111+H111</f>
        <v>0</v>
      </c>
      <c r="J111" s="103">
        <f>MAX(0,I111-E111)</f>
        <v>0</v>
      </c>
      <c r="K111" s="103">
        <f>MAX(0,E111-MAX(0,I111))</f>
        <v>0</v>
      </c>
      <c r="L111" s="103">
        <f>MAX(0,E111+J111-G111)</f>
        <v>0</v>
      </c>
      <c r="M111" s="103">
        <f>MAX(0,H111-D111)</f>
        <v>0</v>
      </c>
      <c r="N111" s="103">
        <f>MAX(0,L111-H111)</f>
        <v>0</v>
      </c>
      <c r="O111" s="103">
        <f>MAX(MAX(I$64:I$114),MAX(E$64:E$114))</f>
        <v>0</v>
      </c>
      <c r="P111" s="104">
        <f>DATE((YEAR(AsAt)-(MONTH(AsAt)&lt;4)+47)+1,3,31)</f>
        <v>63644.0</v>
      </c>
      <c r="Q111" s="105">
        <f>J111-K111</f>
        <v>0</v>
      </c>
      <c r="R111" s="105">
        <f>-C111</f>
        <v>0</v>
      </c>
      <c r="S111" s="105">
        <f>-F111</f>
        <v>0</v>
      </c>
      <c r="T111" s="105">
        <f>-H111</f>
        <v>0</v>
      </c>
    </row>
    <row r="112" ht="15" customHeight="1">
      <c r="A112" s="55" t="str">
        <f>(YEAR(AsAt)-(MONTH(AsAt)&lt;4)+48)&amp;"/"&amp;RIGHT((YEAR(AsAt)-(MONTH(AsAt)&lt;4)+48)+1,2)</f>
        <v>2074/75</v>
      </c>
      <c r="B112" s="103">
        <f>N('Projections'!$B$55)</f>
        <v>0</v>
      </c>
      <c r="C112" s="103">
        <f>N('Projections'!$E$55)</f>
        <v>0</v>
      </c>
      <c r="D112" s="103">
        <f>N('Projections'!$H$55)</f>
        <v>0</v>
      </c>
      <c r="E112" s="103">
        <f>IF($R$3,N('Projections'!$F$55),(SUMPRODUCT(LM_runs*(LN_start&lt;=$P112)*(LM_profile="EIP")*(1-(HRA="Two pools")*(LN_fund="HRA"))*LM_eip*(LM_payments-(($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SUMPRODUCT(LM_runs*(LN_start&lt;=$P112)*(LM_profile="Annuity")*(1-(HRA="Two pools")*(LN_fund="HRA"))*((LM_rate&gt;0)*(LM_out*(1+LM_rate)^((($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LM_annuity*((1+LM_rate)^((($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-1)/LM_safe)+(LM_rate=0)*(LM_out-LM_annuity*((($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SUMPRODUCT(LM_runs*(LN_start&lt;=$P112)*((LM_profile&lt;&gt;"EIP")*(LM_profile&lt;&gt;"Annuity"))*(1-(HRA="Two pools")*(LN_fund="HRA"))*(LM_end&gt;$P112)*LN_principal))/1000000)</f>
        <v>0</v>
      </c>
      <c r="F112" s="103">
        <f>IF($R$4,N('Projections'!$G$55),SUMPRODUCT(('Deal maths'!$F$4:$F$2000&gt;$P112)*('Deal maths'!$E$4:$E$2000&lt;=$P112)*('Deal maths'!$H$4:$H$2000+('Deal maths'!$H$4:$H$2000=0)*'Deal maths'!$D$4:$D$2000))/1000000)</f>
        <v>0</v>
      </c>
      <c r="G112" s="103">
        <f>B112-C112</f>
        <v>0</v>
      </c>
      <c r="H112" s="103">
        <f>MAX(D112,-G112)</f>
        <v>0</v>
      </c>
      <c r="I112" s="103">
        <f>G112+H112</f>
        <v>0</v>
      </c>
      <c r="J112" s="103">
        <f>MAX(0,I112-E112)</f>
        <v>0</v>
      </c>
      <c r="K112" s="103">
        <f>MAX(0,E112-MAX(0,I112))</f>
        <v>0</v>
      </c>
      <c r="L112" s="103">
        <f>MAX(0,E112+J112-G112)</f>
        <v>0</v>
      </c>
      <c r="M112" s="103">
        <f>MAX(0,H112-D112)</f>
        <v>0</v>
      </c>
      <c r="N112" s="103">
        <f>MAX(0,L112-H112)</f>
        <v>0</v>
      </c>
      <c r="O112" s="103">
        <f>MAX(MAX(I$64:I$114),MAX(E$64:E$114))</f>
        <v>0</v>
      </c>
      <c r="P112" s="104">
        <f>DATE((YEAR(AsAt)-(MONTH(AsAt)&lt;4)+48)+1,3,31)</f>
        <v>64009.0</v>
      </c>
      <c r="Q112" s="105">
        <f>J112-K112</f>
        <v>0</v>
      </c>
      <c r="R112" s="105">
        <f>-C112</f>
        <v>0</v>
      </c>
      <c r="S112" s="105">
        <f>-F112</f>
        <v>0</v>
      </c>
      <c r="T112" s="105">
        <f>-H112</f>
        <v>0</v>
      </c>
    </row>
    <row r="113" ht="15" customHeight="1">
      <c r="A113" s="55" t="str">
        <f>(YEAR(AsAt)-(MONTH(AsAt)&lt;4)+49)&amp;"/"&amp;RIGHT((YEAR(AsAt)-(MONTH(AsAt)&lt;4)+49)+1,2)</f>
        <v>2075/76</v>
      </c>
      <c r="B113" s="103">
        <f>N('Projections'!$B$56)</f>
        <v>0</v>
      </c>
      <c r="C113" s="103">
        <f>N('Projections'!$E$56)</f>
        <v>0</v>
      </c>
      <c r="D113" s="103">
        <f>N('Projections'!$H$56)</f>
        <v>0</v>
      </c>
      <c r="E113" s="103">
        <f>IF($R$3,N('Projections'!$F$56),(SUMPRODUCT(LM_runs*(LN_start&lt;=$P113)*(LM_profile="EIP")*(1-(HRA="Two pools")*(LN_fund="HRA"))*LM_eip*(LM_payments-(($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SUMPRODUCT(LM_runs*(LN_start&lt;=$P113)*(LM_profile="Annuity")*(1-(HRA="Two pools")*(LN_fund="HRA"))*((LM_rate&gt;0)*(LM_out*(1+LM_rate)^((($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LM_annuity*((1+LM_rate)^((($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-1)/LM_safe)+(LM_rate=0)*(LM_out-LM_annuity*((($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SUMPRODUCT(LM_runs*(LN_start&lt;=$P113)*((LM_profile&lt;&gt;"EIP")*(LM_profile&lt;&gt;"Annuity"))*(1-(HRA="Two pools")*(LN_fund="HRA"))*(LM_end&gt;$P113)*LN_principal))/1000000)</f>
        <v>0</v>
      </c>
      <c r="F113" s="103">
        <f>IF($R$4,N('Projections'!$G$56),SUMPRODUCT(('Deal maths'!$F$4:$F$2000&gt;$P113)*('Deal maths'!$E$4:$E$2000&lt;=$P113)*('Deal maths'!$H$4:$H$2000+('Deal maths'!$H$4:$H$2000=0)*'Deal maths'!$D$4:$D$2000))/1000000)</f>
        <v>0</v>
      </c>
      <c r="G113" s="103">
        <f>B113-C113</f>
        <v>0</v>
      </c>
      <c r="H113" s="103">
        <f>MAX(D113,-G113)</f>
        <v>0</v>
      </c>
      <c r="I113" s="103">
        <f>G113+H113</f>
        <v>0</v>
      </c>
      <c r="J113" s="103">
        <f>MAX(0,I113-E113)</f>
        <v>0</v>
      </c>
      <c r="K113" s="103">
        <f>MAX(0,E113-MAX(0,I113))</f>
        <v>0</v>
      </c>
      <c r="L113" s="103">
        <f>MAX(0,E113+J113-G113)</f>
        <v>0</v>
      </c>
      <c r="M113" s="103">
        <f>MAX(0,H113-D113)</f>
        <v>0</v>
      </c>
      <c r="N113" s="103">
        <f>MAX(0,L113-H113)</f>
        <v>0</v>
      </c>
      <c r="O113" s="103">
        <f>MAX(MAX(I$64:I$114),MAX(E$64:E$114))</f>
        <v>0</v>
      </c>
      <c r="P113" s="104">
        <f>DATE((YEAR(AsAt)-(MONTH(AsAt)&lt;4)+49)+1,3,31)</f>
        <v>64375.0</v>
      </c>
      <c r="Q113" s="105">
        <f>J113-K113</f>
        <v>0</v>
      </c>
      <c r="R113" s="105">
        <f>-C113</f>
        <v>0</v>
      </c>
      <c r="S113" s="105">
        <f>-F113</f>
        <v>0</v>
      </c>
      <c r="T113" s="105">
        <f>-H113</f>
        <v>0</v>
      </c>
    </row>
    <row r="114" ht="15" customHeight="1">
      <c r="A114" s="55" t="str">
        <f>(YEAR(AsAt)-(MONTH(AsAt)&lt;4)+50)&amp;"/"&amp;RIGHT((YEAR(AsAt)-(MONTH(AsAt)&lt;4)+50)+1,2)</f>
        <v>2076/77</v>
      </c>
      <c r="B114" s="103">
        <f>N('Projections'!$B$57)</f>
        <v>0</v>
      </c>
      <c r="C114" s="103">
        <f>N('Projections'!$E$57)</f>
        <v>0</v>
      </c>
      <c r="D114" s="103">
        <f>N('Projections'!$H$57)</f>
        <v>0</v>
      </c>
      <c r="E114" s="103">
        <f>IF($R$3,N('Projections'!$F$57),(SUMPRODUCT(LM_runs*(LN_start&lt;=$P114)*(LM_profile="EIP")*(1-(HRA="Two pools")*(LN_fund="HRA"))*LM_eip*(LM_payments-(($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SUMPRODUCT(LM_runs*(LN_start&lt;=$P114)*(LM_profile="Annuity")*(1-(HRA="Two pools")*(LN_fund="HRA"))*((LM_rate&gt;0)*(LM_out*(1+LM_rate)^((($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LM_annuity*((1+LM_rate)^((($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-1)/LM_safe)+(LM_rate=0)*(LM_out-LM_annuity*((($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SUMPRODUCT(LM_runs*(LN_start&lt;=$P114)*((LM_profile&lt;&gt;"EIP")*(LM_profile&lt;&gt;"Annuity"))*(1-(HRA="Two pools")*(LN_fund="HRA"))*(LM_end&gt;$P114)*LN_principal))/1000000)</f>
        <v>0</v>
      </c>
      <c r="F114" s="103">
        <f>IF($R$4,N('Projections'!$G$57),SUMPRODUCT(('Deal maths'!$F$4:$F$2000&gt;$P114)*('Deal maths'!$E$4:$E$2000&lt;=$P114)*('Deal maths'!$H$4:$H$2000+('Deal maths'!$H$4:$H$2000=0)*'Deal maths'!$D$4:$D$2000))/1000000)</f>
        <v>0</v>
      </c>
      <c r="G114" s="103">
        <f>B114-C114</f>
        <v>0</v>
      </c>
      <c r="H114" s="103">
        <f>MAX(D114,-G114)</f>
        <v>0</v>
      </c>
      <c r="I114" s="103">
        <f>G114+H114</f>
        <v>0</v>
      </c>
      <c r="J114" s="103">
        <f>MAX(0,I114-E114)</f>
        <v>0</v>
      </c>
      <c r="K114" s="103">
        <f>MAX(0,E114-MAX(0,I114))</f>
        <v>0</v>
      </c>
      <c r="L114" s="103">
        <f>MAX(0,E114+J114-G114)</f>
        <v>0</v>
      </c>
      <c r="M114" s="103">
        <f>MAX(0,H114-D114)</f>
        <v>0</v>
      </c>
      <c r="N114" s="103">
        <f>MAX(0,L114-H114)</f>
        <v>0</v>
      </c>
      <c r="O114" s="103">
        <f>MAX(MAX(I$64:I$114),MAX(E$64:E$114))</f>
        <v>0</v>
      </c>
      <c r="P114" s="104">
        <f>DATE((YEAR(AsAt)-(MONTH(AsAt)&lt;4)+50)+1,3,31)</f>
        <v>64740.0</v>
      </c>
      <c r="Q114" s="105">
        <f>J114-K114</f>
        <v>0</v>
      </c>
      <c r="R114" s="105">
        <f>-C114</f>
        <v>0</v>
      </c>
      <c r="S114" s="105">
        <f>-F114</f>
        <v>0</v>
      </c>
      <c r="T114" s="105">
        <f>-H114</f>
        <v>0</v>
      </c>
    </row>
    <row r="115" ht="15" customHeight="1"/>
    <row r="116" ht="15" customHeight="1"/>
    <row r="117" ht="15" customHeight="1"/>
    <row r="118" ht="18" customHeight="1">
      <c r="A118" s="8" t="inlineStr">
        <is>
          <t>HRA</t>
        </is>
      </c>
      <c r="D118" s="38" t="inlineStr">
        <is>
          <t>nil when Settings says None; under One pool with no loans and no liquidity allowance of its own; under Two pools the benchmark is its net treasury position</t>
        </is>
      </c>
    </row>
    <row r="119" ht="40" customHeight="1">
      <c r="A119" s="53" t="inlineStr">
        <is>
          <t>Year end</t>
        </is>
      </c>
      <c r="B119" s="54" t="inlineStr">
        <is>
          <t>Capital financing requirement</t>
        </is>
      </c>
      <c r="C119" s="54" t="inlineStr">
        <is>
          <t>Other balance sheet items</t>
        </is>
      </c>
      <c r="D119" s="54" t="inlineStr">
        <is>
          <t>Liquidity allowance</t>
        </is>
      </c>
      <c r="E119" s="54" t="inlineStr">
        <is>
          <t>Existing loan commitments</t>
        </is>
      </c>
      <c r="F119" s="54" t="inlineStr">
        <is>
          <t>Existing investment commitments</t>
        </is>
      </c>
      <c r="G119" s="54" t="inlineStr">
        <is>
          <t>Net treasury position</t>
        </is>
      </c>
      <c r="H119" s="54" t="inlineStr">
        <is>
          <t>Treasury investment benchmark</t>
        </is>
      </c>
      <c r="I119" s="54" t="inlineStr">
        <is>
          <t>Liability benchmark</t>
        </is>
      </c>
      <c r="J119" s="54" t="inlineStr">
        <is>
          <t>Borrowing requirement</t>
        </is>
      </c>
      <c r="K119" s="54" t="inlineStr">
        <is>
          <t>Above-benchmark borrowing</t>
        </is>
      </c>
      <c r="L119" s="54" t="inlineStr">
        <is>
          <t>Investment balance</t>
        </is>
      </c>
      <c r="M119" s="54" t="inlineStr">
        <is>
          <t>Strategic investments</t>
        </is>
      </c>
      <c r="N119" s="54" t="inlineStr">
        <is>
          <t>Excess investments</t>
        </is>
      </c>
      <c r="O119" s="54" t="inlineStr">
        <is>
          <t>Authorised limit</t>
        </is>
      </c>
      <c r="P119" s="102" t="inlineStr">
        <is>
          <t>Year end date</t>
        </is>
      </c>
      <c r="Q119" s="102" t="inlineStr">
        <is>
          <t>Borrowing requirement, signed</t>
        </is>
      </c>
      <c r="R119" s="102" t="inlineStr">
        <is>
          <t>Other balance sheet items, negated</t>
        </is>
      </c>
      <c r="S119" s="102" t="inlineStr">
        <is>
          <t>Existing investments, negated</t>
        </is>
      </c>
      <c r="T119" s="102" t="inlineStr">
        <is>
          <t>Investment benchmark, negated</t>
        </is>
      </c>
    </row>
    <row r="120" ht="15" customHeight="1">
      <c r="A120" s="55" t="str">
        <f>(YEAR(AsAt)-(MONTH(AsAt)&lt;4)+0)&amp;"/"&amp;RIGHT((YEAR(AsAt)-(MONTH(AsAt)&lt;4)+0)+1,2)</f>
        <v>2026/27</v>
      </c>
      <c r="B120" s="103">
        <f>IF(HRA="None",0,N('Projections'!$B$63))</f>
        <v>0</v>
      </c>
      <c r="C120" s="103">
        <f>IF(HRA="None",0,N('Projections'!$E$63))</f>
        <v>0</v>
      </c>
      <c r="D120" s="103">
        <f>0</f>
        <v>0</v>
      </c>
      <c r="E120" s="103">
        <f>IF(HRA="Two pools",IF($R$3,N('Projections'!$F$63),(SUMPRODUCT(LM_runs*(LN_start&lt;=$P120)*(LM_profile="EIP")*((HRA="Two pools")*(LN_fund="HRA"))*LM_eip*(LM_payments-(($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SUMPRODUCT(LM_runs*(LN_start&lt;=$P120)*(LM_profile="Annuity")*((HRA="Two pools")*(LN_fund="HRA"))*((LM_rate&gt;0)*(LM_out*(1+LM_rate)^((($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LM_annuity*((1+LM_rate)^((($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-1)/LM_safe)+(LM_rate=0)*(LM_out-LM_annuity*((($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SUMPRODUCT(LM_runs*(LN_start&lt;=$P120)*((LM_profile&lt;&gt;"EIP")*(LM_profile&lt;&gt;"Annuity"))*((HRA="Two pools")*(LN_fund="HRA"))*(LM_end&gt;$P120)*LN_principal))/1000000),0)</f>
        <v>0</v>
      </c>
      <c r="F120" s="103">
        <f>0</f>
        <v>0</v>
      </c>
      <c r="G120" s="103">
        <f>B120-C120</f>
        <v>0</v>
      </c>
      <c r="H120" s="103">
        <f>IF(HRA="Two pools",0,MAX(D120,-G120))</f>
        <v>0</v>
      </c>
      <c r="I120" s="103">
        <f>IF(HRA="Two pools",G120,G120+H120)</f>
        <v>0</v>
      </c>
      <c r="J120" s="103">
        <f>MAX(0,I120-E120)</f>
        <v>0</v>
      </c>
      <c r="K120" s="103">
        <f>MAX(0,E120-MAX(0,I120))</f>
        <v>0</v>
      </c>
      <c r="L120" s="103">
        <f>MAX(0,E120+J120-G120)</f>
        <v>0</v>
      </c>
      <c r="M120" s="103">
        <f>MAX(0,H120-D120)</f>
        <v>0</v>
      </c>
      <c r="N120" s="103">
        <f>MAX(0,L120-H120)</f>
        <v>0</v>
      </c>
      <c r="O120" s="103">
        <f>MAX(MAX(I$120:I$170),MAX(E$120:E$170))</f>
        <v>0</v>
      </c>
      <c r="P120" s="104">
        <f>DATE((YEAR(AsAt)-(MONTH(AsAt)&lt;4)+0)+1,3,31)</f>
        <v>46477.0</v>
      </c>
      <c r="Q120" s="105">
        <f>J120-K120</f>
        <v>0</v>
      </c>
      <c r="R120" s="105">
        <f>-C120</f>
        <v>0</v>
      </c>
      <c r="S120" s="105">
        <f>-F120</f>
        <v>0</v>
      </c>
      <c r="T120" s="105">
        <f>-H120</f>
        <v>0</v>
      </c>
    </row>
    <row r="121" ht="15" customHeight="1">
      <c r="A121" s="55" t="str">
        <f>(YEAR(AsAt)-(MONTH(AsAt)&lt;4)+1)&amp;"/"&amp;RIGHT((YEAR(AsAt)-(MONTH(AsAt)&lt;4)+1)+1,2)</f>
        <v>2027/28</v>
      </c>
      <c r="B121" s="103">
        <f>IF(HRA="None",0,N('Projections'!$B$64))</f>
        <v>0</v>
      </c>
      <c r="C121" s="103">
        <f>IF(HRA="None",0,N('Projections'!$E$64))</f>
        <v>0</v>
      </c>
      <c r="D121" s="103">
        <f>0</f>
        <v>0</v>
      </c>
      <c r="E121" s="103">
        <f>IF(HRA="Two pools",IF($R$3,N('Projections'!$F$64),(SUMPRODUCT(LM_runs*(LN_start&lt;=$P121)*(LM_profile="EIP")*((HRA="Two pools")*(LN_fund="HRA"))*LM_eip*(LM_payments-(($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SUMPRODUCT(LM_runs*(LN_start&lt;=$P121)*(LM_profile="Annuity")*((HRA="Two pools")*(LN_fund="HRA"))*((LM_rate&gt;0)*(LM_out*(1+LM_rate)^((($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LM_annuity*((1+LM_rate)^((($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-1)/LM_safe)+(LM_rate=0)*(LM_out-LM_annuity*((($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SUMPRODUCT(LM_runs*(LN_start&lt;=$P121)*((LM_profile&lt;&gt;"EIP")*(LM_profile&lt;&gt;"Annuity"))*((HRA="Two pools")*(LN_fund="HRA"))*(LM_end&gt;$P121)*LN_principal))/1000000),0)</f>
        <v>0</v>
      </c>
      <c r="F121" s="103">
        <f>0</f>
        <v>0</v>
      </c>
      <c r="G121" s="103">
        <f>B121-C121</f>
        <v>0</v>
      </c>
      <c r="H121" s="103">
        <f>IF(HRA="Two pools",0,MAX(D121,-G121))</f>
        <v>0</v>
      </c>
      <c r="I121" s="103">
        <f>IF(HRA="Two pools",G121,G121+H121)</f>
        <v>0</v>
      </c>
      <c r="J121" s="103">
        <f>MAX(0,I121-E121)</f>
        <v>0</v>
      </c>
      <c r="K121" s="103">
        <f>MAX(0,E121-MAX(0,I121))</f>
        <v>0</v>
      </c>
      <c r="L121" s="103">
        <f>MAX(0,E121+J121-G121)</f>
        <v>0</v>
      </c>
      <c r="M121" s="103">
        <f>MAX(0,H121-D121)</f>
        <v>0</v>
      </c>
      <c r="N121" s="103">
        <f>MAX(0,L121-H121)</f>
        <v>0</v>
      </c>
      <c r="O121" s="103">
        <f>MAX(MAX(I$120:I$170),MAX(E$120:E$170))</f>
        <v>0</v>
      </c>
      <c r="P121" s="104">
        <f>DATE((YEAR(AsAt)-(MONTH(AsAt)&lt;4)+1)+1,3,31)</f>
        <v>46843.0</v>
      </c>
      <c r="Q121" s="105">
        <f>J121-K121</f>
        <v>0</v>
      </c>
      <c r="R121" s="105">
        <f>-C121</f>
        <v>0</v>
      </c>
      <c r="S121" s="105">
        <f>-F121</f>
        <v>0</v>
      </c>
      <c r="T121" s="105">
        <f>-H121</f>
        <v>0</v>
      </c>
    </row>
    <row r="122" ht="15" customHeight="1">
      <c r="A122" s="55" t="str">
        <f>(YEAR(AsAt)-(MONTH(AsAt)&lt;4)+2)&amp;"/"&amp;RIGHT((YEAR(AsAt)-(MONTH(AsAt)&lt;4)+2)+1,2)</f>
        <v>2028/29</v>
      </c>
      <c r="B122" s="103">
        <f>IF(HRA="None",0,N('Projections'!$B$65))</f>
        <v>0</v>
      </c>
      <c r="C122" s="103">
        <f>IF(HRA="None",0,N('Projections'!$E$65))</f>
        <v>0</v>
      </c>
      <c r="D122" s="103">
        <f>0</f>
        <v>0</v>
      </c>
      <c r="E122" s="103">
        <f>IF(HRA="Two pools",IF($R$3,N('Projections'!$F$65),(SUMPRODUCT(LM_runs*(LN_start&lt;=$P122)*(LM_profile="EIP")*((HRA="Two pools")*(LN_fund="HRA"))*LM_eip*(LM_payments-(($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SUMPRODUCT(LM_runs*(LN_start&lt;=$P122)*(LM_profile="Annuity")*((HRA="Two pools")*(LN_fund="HRA"))*((LM_rate&gt;0)*(LM_out*(1+LM_rate)^((($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LM_annuity*((1+LM_rate)^((($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-1)/LM_safe)+(LM_rate=0)*(LM_out-LM_annuity*((($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SUMPRODUCT(LM_runs*(LN_start&lt;=$P122)*((LM_profile&lt;&gt;"EIP")*(LM_profile&lt;&gt;"Annuity"))*((HRA="Two pools")*(LN_fund="HRA"))*(LM_end&gt;$P122)*LN_principal))/1000000),0)</f>
        <v>0</v>
      </c>
      <c r="F122" s="103">
        <f>0</f>
        <v>0</v>
      </c>
      <c r="G122" s="103">
        <f>B122-C122</f>
        <v>0</v>
      </c>
      <c r="H122" s="103">
        <f>IF(HRA="Two pools",0,MAX(D122,-G122))</f>
        <v>0</v>
      </c>
      <c r="I122" s="103">
        <f>IF(HRA="Two pools",G122,G122+H122)</f>
        <v>0</v>
      </c>
      <c r="J122" s="103">
        <f>MAX(0,I122-E122)</f>
        <v>0</v>
      </c>
      <c r="K122" s="103">
        <f>MAX(0,E122-MAX(0,I122))</f>
        <v>0</v>
      </c>
      <c r="L122" s="103">
        <f>MAX(0,E122+J122-G122)</f>
        <v>0</v>
      </c>
      <c r="M122" s="103">
        <f>MAX(0,H122-D122)</f>
        <v>0</v>
      </c>
      <c r="N122" s="103">
        <f>MAX(0,L122-H122)</f>
        <v>0</v>
      </c>
      <c r="O122" s="103">
        <f>MAX(MAX(I$120:I$170),MAX(E$120:E$170))</f>
        <v>0</v>
      </c>
      <c r="P122" s="104">
        <f>DATE((YEAR(AsAt)-(MONTH(AsAt)&lt;4)+2)+1,3,31)</f>
        <v>47208.0</v>
      </c>
      <c r="Q122" s="105">
        <f>J122-K122</f>
        <v>0</v>
      </c>
      <c r="R122" s="105">
        <f>-C122</f>
        <v>0</v>
      </c>
      <c r="S122" s="105">
        <f>-F122</f>
        <v>0</v>
      </c>
      <c r="T122" s="105">
        <f>-H122</f>
        <v>0</v>
      </c>
    </row>
    <row r="123" ht="15" customHeight="1">
      <c r="A123" s="55" t="str">
        <f>(YEAR(AsAt)-(MONTH(AsAt)&lt;4)+3)&amp;"/"&amp;RIGHT((YEAR(AsAt)-(MONTH(AsAt)&lt;4)+3)+1,2)</f>
        <v>2029/30</v>
      </c>
      <c r="B123" s="103">
        <f>IF(HRA="None",0,N('Projections'!$B$66))</f>
        <v>0</v>
      </c>
      <c r="C123" s="103">
        <f>IF(HRA="None",0,N('Projections'!$E$66))</f>
        <v>0</v>
      </c>
      <c r="D123" s="103">
        <f>0</f>
        <v>0</v>
      </c>
      <c r="E123" s="103">
        <f>IF(HRA="Two pools",IF($R$3,N('Projections'!$F$66),(SUMPRODUCT(LM_runs*(LN_start&lt;=$P123)*(LM_profile="EIP")*((HRA="Two pools")*(LN_fund="HRA"))*LM_eip*(LM_payments-(($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SUMPRODUCT(LM_runs*(LN_start&lt;=$P123)*(LM_profile="Annuity")*((HRA="Two pools")*(LN_fund="HRA"))*((LM_rate&gt;0)*(LM_out*(1+LM_rate)^((($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LM_annuity*((1+LM_rate)^((($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-1)/LM_safe)+(LM_rate=0)*(LM_out-LM_annuity*((($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SUMPRODUCT(LM_runs*(LN_start&lt;=$P123)*((LM_profile&lt;&gt;"EIP")*(LM_profile&lt;&gt;"Annuity"))*((HRA="Two pools")*(LN_fund="HRA"))*(LM_end&gt;$P123)*LN_principal))/1000000),0)</f>
        <v>0</v>
      </c>
      <c r="F123" s="103">
        <f>0</f>
        <v>0</v>
      </c>
      <c r="G123" s="103">
        <f>B123-C123</f>
        <v>0</v>
      </c>
      <c r="H123" s="103">
        <f>IF(HRA="Two pools",0,MAX(D123,-G123))</f>
        <v>0</v>
      </c>
      <c r="I123" s="103">
        <f>IF(HRA="Two pools",G123,G123+H123)</f>
        <v>0</v>
      </c>
      <c r="J123" s="103">
        <f>MAX(0,I123-E123)</f>
        <v>0</v>
      </c>
      <c r="K123" s="103">
        <f>MAX(0,E123-MAX(0,I123))</f>
        <v>0</v>
      </c>
      <c r="L123" s="103">
        <f>MAX(0,E123+J123-G123)</f>
        <v>0</v>
      </c>
      <c r="M123" s="103">
        <f>MAX(0,H123-D123)</f>
        <v>0</v>
      </c>
      <c r="N123" s="103">
        <f>MAX(0,L123-H123)</f>
        <v>0</v>
      </c>
      <c r="O123" s="103">
        <f>MAX(MAX(I$120:I$170),MAX(E$120:E$170))</f>
        <v>0</v>
      </c>
      <c r="P123" s="104">
        <f>DATE((YEAR(AsAt)-(MONTH(AsAt)&lt;4)+3)+1,3,31)</f>
        <v>47573.0</v>
      </c>
      <c r="Q123" s="105">
        <f>J123-K123</f>
        <v>0</v>
      </c>
      <c r="R123" s="105">
        <f>-C123</f>
        <v>0</v>
      </c>
      <c r="S123" s="105">
        <f>-F123</f>
        <v>0</v>
      </c>
      <c r="T123" s="105">
        <f>-H123</f>
        <v>0</v>
      </c>
    </row>
    <row r="124" ht="15" customHeight="1">
      <c r="A124" s="55" t="str">
        <f>(YEAR(AsAt)-(MONTH(AsAt)&lt;4)+4)&amp;"/"&amp;RIGHT((YEAR(AsAt)-(MONTH(AsAt)&lt;4)+4)+1,2)</f>
        <v>2030/31</v>
      </c>
      <c r="B124" s="103">
        <f>IF(HRA="None",0,N('Projections'!$B$67))</f>
        <v>0</v>
      </c>
      <c r="C124" s="103">
        <f>IF(HRA="None",0,N('Projections'!$E$67))</f>
        <v>0</v>
      </c>
      <c r="D124" s="103">
        <f>0</f>
        <v>0</v>
      </c>
      <c r="E124" s="103">
        <f>IF(HRA="Two pools",IF($R$3,N('Projections'!$F$67),(SUMPRODUCT(LM_runs*(LN_start&lt;=$P124)*(LM_profile="EIP")*((HRA="Two pools")*(LN_fund="HRA"))*LM_eip*(LM_payments-(($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SUMPRODUCT(LM_runs*(LN_start&lt;=$P124)*(LM_profile="Annuity")*((HRA="Two pools")*(LN_fund="HRA"))*((LM_rate&gt;0)*(LM_out*(1+LM_rate)^((($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LM_annuity*((1+LM_rate)^((($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-1)/LM_safe)+(LM_rate=0)*(LM_out-LM_annuity*((($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SUMPRODUCT(LM_runs*(LN_start&lt;=$P124)*((LM_profile&lt;&gt;"EIP")*(LM_profile&lt;&gt;"Annuity"))*((HRA="Two pools")*(LN_fund="HRA"))*(LM_end&gt;$P124)*LN_principal))/1000000),0)</f>
        <v>0</v>
      </c>
      <c r="F124" s="103">
        <f>0</f>
        <v>0</v>
      </c>
      <c r="G124" s="103">
        <f>B124-C124</f>
        <v>0</v>
      </c>
      <c r="H124" s="103">
        <f>IF(HRA="Two pools",0,MAX(D124,-G124))</f>
        <v>0</v>
      </c>
      <c r="I124" s="103">
        <f>IF(HRA="Two pools",G124,G124+H124)</f>
        <v>0</v>
      </c>
      <c r="J124" s="103">
        <f>MAX(0,I124-E124)</f>
        <v>0</v>
      </c>
      <c r="K124" s="103">
        <f>MAX(0,E124-MAX(0,I124))</f>
        <v>0</v>
      </c>
      <c r="L124" s="103">
        <f>MAX(0,E124+J124-G124)</f>
        <v>0</v>
      </c>
      <c r="M124" s="103">
        <f>MAX(0,H124-D124)</f>
        <v>0</v>
      </c>
      <c r="N124" s="103">
        <f>MAX(0,L124-H124)</f>
        <v>0</v>
      </c>
      <c r="O124" s="103">
        <f>MAX(MAX(I$120:I$170),MAX(E$120:E$170))</f>
        <v>0</v>
      </c>
      <c r="P124" s="104">
        <f>DATE((YEAR(AsAt)-(MONTH(AsAt)&lt;4)+4)+1,3,31)</f>
        <v>47938.0</v>
      </c>
      <c r="Q124" s="105">
        <f>J124-K124</f>
        <v>0</v>
      </c>
      <c r="R124" s="105">
        <f>-C124</f>
        <v>0</v>
      </c>
      <c r="S124" s="105">
        <f>-F124</f>
        <v>0</v>
      </c>
      <c r="T124" s="105">
        <f>-H124</f>
        <v>0</v>
      </c>
    </row>
    <row r="125" ht="15" customHeight="1">
      <c r="A125" s="55" t="str">
        <f>(YEAR(AsAt)-(MONTH(AsAt)&lt;4)+5)&amp;"/"&amp;RIGHT((YEAR(AsAt)-(MONTH(AsAt)&lt;4)+5)+1,2)</f>
        <v>2031/32</v>
      </c>
      <c r="B125" s="103">
        <f>IF(HRA="None",0,N('Projections'!$B$68))</f>
        <v>0</v>
      </c>
      <c r="C125" s="103">
        <f>IF(HRA="None",0,N('Projections'!$E$68))</f>
        <v>0</v>
      </c>
      <c r="D125" s="103">
        <f>0</f>
        <v>0</v>
      </c>
      <c r="E125" s="103">
        <f>IF(HRA="Two pools",IF($R$3,N('Projections'!$F$68),(SUMPRODUCT(LM_runs*(LN_start&lt;=$P125)*(LM_profile="EIP")*((HRA="Two pools")*(LN_fund="HRA"))*LM_eip*(LM_payments-(($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SUMPRODUCT(LM_runs*(LN_start&lt;=$P125)*(LM_profile="Annuity")*((HRA="Two pools")*(LN_fund="HRA"))*((LM_rate&gt;0)*(LM_out*(1+LM_rate)^((($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LM_annuity*((1+LM_rate)^((($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-1)/LM_safe)+(LM_rate=0)*(LM_out-LM_annuity*((($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SUMPRODUCT(LM_runs*(LN_start&lt;=$P125)*((LM_profile&lt;&gt;"EIP")*(LM_profile&lt;&gt;"Annuity"))*((HRA="Two pools")*(LN_fund="HRA"))*(LM_end&gt;$P125)*LN_principal))/1000000),0)</f>
        <v>0</v>
      </c>
      <c r="F125" s="103">
        <f>0</f>
        <v>0</v>
      </c>
      <c r="G125" s="103">
        <f>B125-C125</f>
        <v>0</v>
      </c>
      <c r="H125" s="103">
        <f>IF(HRA="Two pools",0,MAX(D125,-G125))</f>
        <v>0</v>
      </c>
      <c r="I125" s="103">
        <f>IF(HRA="Two pools",G125,G125+H125)</f>
        <v>0</v>
      </c>
      <c r="J125" s="103">
        <f>MAX(0,I125-E125)</f>
        <v>0</v>
      </c>
      <c r="K125" s="103">
        <f>MAX(0,E125-MAX(0,I125))</f>
        <v>0</v>
      </c>
      <c r="L125" s="103">
        <f>MAX(0,E125+J125-G125)</f>
        <v>0</v>
      </c>
      <c r="M125" s="103">
        <f>MAX(0,H125-D125)</f>
        <v>0</v>
      </c>
      <c r="N125" s="103">
        <f>MAX(0,L125-H125)</f>
        <v>0</v>
      </c>
      <c r="O125" s="103">
        <f>MAX(MAX(I$120:I$170),MAX(E$120:E$170))</f>
        <v>0</v>
      </c>
      <c r="P125" s="104">
        <f>DATE((YEAR(AsAt)-(MONTH(AsAt)&lt;4)+5)+1,3,31)</f>
        <v>48304.0</v>
      </c>
      <c r="Q125" s="105">
        <f>J125-K125</f>
        <v>0</v>
      </c>
      <c r="R125" s="105">
        <f>-C125</f>
        <v>0</v>
      </c>
      <c r="S125" s="105">
        <f>-F125</f>
        <v>0</v>
      </c>
      <c r="T125" s="105">
        <f>-H125</f>
        <v>0</v>
      </c>
    </row>
    <row r="126" ht="15" customHeight="1">
      <c r="A126" s="55" t="str">
        <f>(YEAR(AsAt)-(MONTH(AsAt)&lt;4)+6)&amp;"/"&amp;RIGHT((YEAR(AsAt)-(MONTH(AsAt)&lt;4)+6)+1,2)</f>
        <v>2032/33</v>
      </c>
      <c r="B126" s="103">
        <f>IF(HRA="None",0,N('Projections'!$B$69))</f>
        <v>0</v>
      </c>
      <c r="C126" s="103">
        <f>IF(HRA="None",0,N('Projections'!$E$69))</f>
        <v>0</v>
      </c>
      <c r="D126" s="103">
        <f>0</f>
        <v>0</v>
      </c>
      <c r="E126" s="103">
        <f>IF(HRA="Two pools",IF($R$3,N('Projections'!$F$69),(SUMPRODUCT(LM_runs*(LN_start&lt;=$P126)*(LM_profile="EIP")*((HRA="Two pools")*(LN_fund="HRA"))*LM_eip*(LM_payments-(($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SUMPRODUCT(LM_runs*(LN_start&lt;=$P126)*(LM_profile="Annuity")*((HRA="Two pools")*(LN_fund="HRA"))*((LM_rate&gt;0)*(LM_out*(1+LM_rate)^((($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LM_annuity*((1+LM_rate)^((($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-1)/LM_safe)+(LM_rate=0)*(LM_out-LM_annuity*((($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SUMPRODUCT(LM_runs*(LN_start&lt;=$P126)*((LM_profile&lt;&gt;"EIP")*(LM_profile&lt;&gt;"Annuity"))*((HRA="Two pools")*(LN_fund="HRA"))*(LM_end&gt;$P126)*LN_principal))/1000000),0)</f>
        <v>0</v>
      </c>
      <c r="F126" s="103">
        <f>0</f>
        <v>0</v>
      </c>
      <c r="G126" s="103">
        <f>B126-C126</f>
        <v>0</v>
      </c>
      <c r="H126" s="103">
        <f>IF(HRA="Two pools",0,MAX(D126,-G126))</f>
        <v>0</v>
      </c>
      <c r="I126" s="103">
        <f>IF(HRA="Two pools",G126,G126+H126)</f>
        <v>0</v>
      </c>
      <c r="J126" s="103">
        <f>MAX(0,I126-E126)</f>
        <v>0</v>
      </c>
      <c r="K126" s="103">
        <f>MAX(0,E126-MAX(0,I126))</f>
        <v>0</v>
      </c>
      <c r="L126" s="103">
        <f>MAX(0,E126+J126-G126)</f>
        <v>0</v>
      </c>
      <c r="M126" s="103">
        <f>MAX(0,H126-D126)</f>
        <v>0</v>
      </c>
      <c r="N126" s="103">
        <f>MAX(0,L126-H126)</f>
        <v>0</v>
      </c>
      <c r="O126" s="103">
        <f>MAX(MAX(I$120:I$170),MAX(E$120:E$170))</f>
        <v>0</v>
      </c>
      <c r="P126" s="104">
        <f>DATE((YEAR(AsAt)-(MONTH(AsAt)&lt;4)+6)+1,3,31)</f>
        <v>48669.0</v>
      </c>
      <c r="Q126" s="105">
        <f>J126-K126</f>
        <v>0</v>
      </c>
      <c r="R126" s="105">
        <f>-C126</f>
        <v>0</v>
      </c>
      <c r="S126" s="105">
        <f>-F126</f>
        <v>0</v>
      </c>
      <c r="T126" s="105">
        <f>-H126</f>
        <v>0</v>
      </c>
    </row>
    <row r="127" ht="15" customHeight="1">
      <c r="A127" s="55" t="str">
        <f>(YEAR(AsAt)-(MONTH(AsAt)&lt;4)+7)&amp;"/"&amp;RIGHT((YEAR(AsAt)-(MONTH(AsAt)&lt;4)+7)+1,2)</f>
        <v>2033/34</v>
      </c>
      <c r="B127" s="103">
        <f>IF(HRA="None",0,N('Projections'!$B$70))</f>
        <v>0</v>
      </c>
      <c r="C127" s="103">
        <f>IF(HRA="None",0,N('Projections'!$E$70))</f>
        <v>0</v>
      </c>
      <c r="D127" s="103">
        <f>0</f>
        <v>0</v>
      </c>
      <c r="E127" s="103">
        <f>IF(HRA="Two pools",IF($R$3,N('Projections'!$F$70),(SUMPRODUCT(LM_runs*(LN_start&lt;=$P127)*(LM_profile="EIP")*((HRA="Two pools")*(LN_fund="HRA"))*LM_eip*(LM_payments-(($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SUMPRODUCT(LM_runs*(LN_start&lt;=$P127)*(LM_profile="Annuity")*((HRA="Two pools")*(LN_fund="HRA"))*((LM_rate&gt;0)*(LM_out*(1+LM_rate)^((($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LM_annuity*((1+LM_rate)^((($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-1)/LM_safe)+(LM_rate=0)*(LM_out-LM_annuity*((($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SUMPRODUCT(LM_runs*(LN_start&lt;=$P127)*((LM_profile&lt;&gt;"EIP")*(LM_profile&lt;&gt;"Annuity"))*((HRA="Two pools")*(LN_fund="HRA"))*(LM_end&gt;$P127)*LN_principal))/1000000),0)</f>
        <v>0</v>
      </c>
      <c r="F127" s="103">
        <f>0</f>
        <v>0</v>
      </c>
      <c r="G127" s="103">
        <f>B127-C127</f>
        <v>0</v>
      </c>
      <c r="H127" s="103">
        <f>IF(HRA="Two pools",0,MAX(D127,-G127))</f>
        <v>0</v>
      </c>
      <c r="I127" s="103">
        <f>IF(HRA="Two pools",G127,G127+H127)</f>
        <v>0</v>
      </c>
      <c r="J127" s="103">
        <f>MAX(0,I127-E127)</f>
        <v>0</v>
      </c>
      <c r="K127" s="103">
        <f>MAX(0,E127-MAX(0,I127))</f>
        <v>0</v>
      </c>
      <c r="L127" s="103">
        <f>MAX(0,E127+J127-G127)</f>
        <v>0</v>
      </c>
      <c r="M127" s="103">
        <f>MAX(0,H127-D127)</f>
        <v>0</v>
      </c>
      <c r="N127" s="103">
        <f>MAX(0,L127-H127)</f>
        <v>0</v>
      </c>
      <c r="O127" s="103">
        <f>MAX(MAX(I$120:I$170),MAX(E$120:E$170))</f>
        <v>0</v>
      </c>
      <c r="P127" s="104">
        <f>DATE((YEAR(AsAt)-(MONTH(AsAt)&lt;4)+7)+1,3,31)</f>
        <v>49034.0</v>
      </c>
      <c r="Q127" s="105">
        <f>J127-K127</f>
        <v>0</v>
      </c>
      <c r="R127" s="105">
        <f>-C127</f>
        <v>0</v>
      </c>
      <c r="S127" s="105">
        <f>-F127</f>
        <v>0</v>
      </c>
      <c r="T127" s="105">
        <f>-H127</f>
        <v>0</v>
      </c>
    </row>
    <row r="128" ht="15" customHeight="1">
      <c r="A128" s="55" t="str">
        <f>(YEAR(AsAt)-(MONTH(AsAt)&lt;4)+8)&amp;"/"&amp;RIGHT((YEAR(AsAt)-(MONTH(AsAt)&lt;4)+8)+1,2)</f>
        <v>2034/35</v>
      </c>
      <c r="B128" s="103">
        <f>IF(HRA="None",0,N('Projections'!$B$71))</f>
        <v>0</v>
      </c>
      <c r="C128" s="103">
        <f>IF(HRA="None",0,N('Projections'!$E$71))</f>
        <v>0</v>
      </c>
      <c r="D128" s="103">
        <f>0</f>
        <v>0</v>
      </c>
      <c r="E128" s="103">
        <f>IF(HRA="Two pools",IF($R$3,N('Projections'!$F$71),(SUMPRODUCT(LM_runs*(LN_start&lt;=$P128)*(LM_profile="EIP")*((HRA="Two pools")*(LN_fund="HRA"))*LM_eip*(LM_payments-(($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SUMPRODUCT(LM_runs*(LN_start&lt;=$P128)*(LM_profile="Annuity")*((HRA="Two pools")*(LN_fund="HRA"))*((LM_rate&gt;0)*(LM_out*(1+LM_rate)^((($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LM_annuity*((1+LM_rate)^((($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-1)/LM_safe)+(LM_rate=0)*(LM_out-LM_annuity*((($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SUMPRODUCT(LM_runs*(LN_start&lt;=$P128)*((LM_profile&lt;&gt;"EIP")*(LM_profile&lt;&gt;"Annuity"))*((HRA="Two pools")*(LN_fund="HRA"))*(LM_end&gt;$P128)*LN_principal))/1000000),0)</f>
        <v>0</v>
      </c>
      <c r="F128" s="103">
        <f>0</f>
        <v>0</v>
      </c>
      <c r="G128" s="103">
        <f>B128-C128</f>
        <v>0</v>
      </c>
      <c r="H128" s="103">
        <f>IF(HRA="Two pools",0,MAX(D128,-G128))</f>
        <v>0</v>
      </c>
      <c r="I128" s="103">
        <f>IF(HRA="Two pools",G128,G128+H128)</f>
        <v>0</v>
      </c>
      <c r="J128" s="103">
        <f>MAX(0,I128-E128)</f>
        <v>0</v>
      </c>
      <c r="K128" s="103">
        <f>MAX(0,E128-MAX(0,I128))</f>
        <v>0</v>
      </c>
      <c r="L128" s="103">
        <f>MAX(0,E128+J128-G128)</f>
        <v>0</v>
      </c>
      <c r="M128" s="103">
        <f>MAX(0,H128-D128)</f>
        <v>0</v>
      </c>
      <c r="N128" s="103">
        <f>MAX(0,L128-H128)</f>
        <v>0</v>
      </c>
      <c r="O128" s="103">
        <f>MAX(MAX(I$120:I$170),MAX(E$120:E$170))</f>
        <v>0</v>
      </c>
      <c r="P128" s="104">
        <f>DATE((YEAR(AsAt)-(MONTH(AsAt)&lt;4)+8)+1,3,31)</f>
        <v>49399.0</v>
      </c>
      <c r="Q128" s="105">
        <f>J128-K128</f>
        <v>0</v>
      </c>
      <c r="R128" s="105">
        <f>-C128</f>
        <v>0</v>
      </c>
      <c r="S128" s="105">
        <f>-F128</f>
        <v>0</v>
      </c>
      <c r="T128" s="105">
        <f>-H128</f>
        <v>0</v>
      </c>
    </row>
    <row r="129" ht="15" customHeight="1">
      <c r="A129" s="55" t="str">
        <f>(YEAR(AsAt)-(MONTH(AsAt)&lt;4)+9)&amp;"/"&amp;RIGHT((YEAR(AsAt)-(MONTH(AsAt)&lt;4)+9)+1,2)</f>
        <v>2035/36</v>
      </c>
      <c r="B129" s="103">
        <f>IF(HRA="None",0,N('Projections'!$B$72))</f>
        <v>0</v>
      </c>
      <c r="C129" s="103">
        <f>IF(HRA="None",0,N('Projections'!$E$72))</f>
        <v>0</v>
      </c>
      <c r="D129" s="103">
        <f>0</f>
        <v>0</v>
      </c>
      <c r="E129" s="103">
        <f>IF(HRA="Two pools",IF($R$3,N('Projections'!$F$72),(SUMPRODUCT(LM_runs*(LN_start&lt;=$P129)*(LM_profile="EIP")*((HRA="Two pools")*(LN_fund="HRA"))*LM_eip*(LM_payments-(($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SUMPRODUCT(LM_runs*(LN_start&lt;=$P129)*(LM_profile="Annuity")*((HRA="Two pools")*(LN_fund="HRA"))*((LM_rate&gt;0)*(LM_out*(1+LM_rate)^((($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LM_annuity*((1+LM_rate)^((($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-1)/LM_safe)+(LM_rate=0)*(LM_out-LM_annuity*((($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SUMPRODUCT(LM_runs*(LN_start&lt;=$P129)*((LM_profile&lt;&gt;"EIP")*(LM_profile&lt;&gt;"Annuity"))*((HRA="Two pools")*(LN_fund="HRA"))*(LM_end&gt;$P129)*LN_principal))/1000000),0)</f>
        <v>0</v>
      </c>
      <c r="F129" s="103">
        <f>0</f>
        <v>0</v>
      </c>
      <c r="G129" s="103">
        <f>B129-C129</f>
        <v>0</v>
      </c>
      <c r="H129" s="103">
        <f>IF(HRA="Two pools",0,MAX(D129,-G129))</f>
        <v>0</v>
      </c>
      <c r="I129" s="103">
        <f>IF(HRA="Two pools",G129,G129+H129)</f>
        <v>0</v>
      </c>
      <c r="J129" s="103">
        <f>MAX(0,I129-E129)</f>
        <v>0</v>
      </c>
      <c r="K129" s="103">
        <f>MAX(0,E129-MAX(0,I129))</f>
        <v>0</v>
      </c>
      <c r="L129" s="103">
        <f>MAX(0,E129+J129-G129)</f>
        <v>0</v>
      </c>
      <c r="M129" s="103">
        <f>MAX(0,H129-D129)</f>
        <v>0</v>
      </c>
      <c r="N129" s="103">
        <f>MAX(0,L129-H129)</f>
        <v>0</v>
      </c>
      <c r="O129" s="103">
        <f>MAX(MAX(I$120:I$170),MAX(E$120:E$170))</f>
        <v>0</v>
      </c>
      <c r="P129" s="104">
        <f>DATE((YEAR(AsAt)-(MONTH(AsAt)&lt;4)+9)+1,3,31)</f>
        <v>49765.0</v>
      </c>
      <c r="Q129" s="105">
        <f>J129-K129</f>
        <v>0</v>
      </c>
      <c r="R129" s="105">
        <f>-C129</f>
        <v>0</v>
      </c>
      <c r="S129" s="105">
        <f>-F129</f>
        <v>0</v>
      </c>
      <c r="T129" s="105">
        <f>-H129</f>
        <v>0</v>
      </c>
    </row>
    <row r="130" ht="15" customHeight="1">
      <c r="A130" s="55" t="str">
        <f>(YEAR(AsAt)-(MONTH(AsAt)&lt;4)+10)&amp;"/"&amp;RIGHT((YEAR(AsAt)-(MONTH(AsAt)&lt;4)+10)+1,2)</f>
        <v>2036/37</v>
      </c>
      <c r="B130" s="103">
        <f>IF(HRA="None",0,N('Projections'!$B$73))</f>
        <v>0</v>
      </c>
      <c r="C130" s="103">
        <f>IF(HRA="None",0,N('Projections'!$E$73))</f>
        <v>0</v>
      </c>
      <c r="D130" s="103">
        <f>0</f>
        <v>0</v>
      </c>
      <c r="E130" s="103">
        <f>IF(HRA="Two pools",IF($R$3,N('Projections'!$F$73),(SUMPRODUCT(LM_runs*(LN_start&lt;=$P130)*(LM_profile="EIP")*((HRA="Two pools")*(LN_fund="HRA"))*LM_eip*(LM_payments-(($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SUMPRODUCT(LM_runs*(LN_start&lt;=$P130)*(LM_profile="Annuity")*((HRA="Two pools")*(LN_fund="HRA"))*((LM_rate&gt;0)*(LM_out*(1+LM_rate)^((($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LM_annuity*((1+LM_rate)^((($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-1)/LM_safe)+(LM_rate=0)*(LM_out-LM_annuity*((($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SUMPRODUCT(LM_runs*(LN_start&lt;=$P130)*((LM_profile&lt;&gt;"EIP")*(LM_profile&lt;&gt;"Annuity"))*((HRA="Two pools")*(LN_fund="HRA"))*(LM_end&gt;$P130)*LN_principal))/1000000),0)</f>
        <v>0</v>
      </c>
      <c r="F130" s="103">
        <f>0</f>
        <v>0</v>
      </c>
      <c r="G130" s="103">
        <f>B130-C130</f>
        <v>0</v>
      </c>
      <c r="H130" s="103">
        <f>IF(HRA="Two pools",0,MAX(D130,-G130))</f>
        <v>0</v>
      </c>
      <c r="I130" s="103">
        <f>IF(HRA="Two pools",G130,G130+H130)</f>
        <v>0</v>
      </c>
      <c r="J130" s="103">
        <f>MAX(0,I130-E130)</f>
        <v>0</v>
      </c>
      <c r="K130" s="103">
        <f>MAX(0,E130-MAX(0,I130))</f>
        <v>0</v>
      </c>
      <c r="L130" s="103">
        <f>MAX(0,E130+J130-G130)</f>
        <v>0</v>
      </c>
      <c r="M130" s="103">
        <f>MAX(0,H130-D130)</f>
        <v>0</v>
      </c>
      <c r="N130" s="103">
        <f>MAX(0,L130-H130)</f>
        <v>0</v>
      </c>
      <c r="O130" s="103">
        <f>MAX(MAX(I$120:I$170),MAX(E$120:E$170))</f>
        <v>0</v>
      </c>
      <c r="P130" s="104">
        <f>DATE((YEAR(AsAt)-(MONTH(AsAt)&lt;4)+10)+1,3,31)</f>
        <v>50130.0</v>
      </c>
      <c r="Q130" s="105">
        <f>J130-K130</f>
        <v>0</v>
      </c>
      <c r="R130" s="105">
        <f>-C130</f>
        <v>0</v>
      </c>
      <c r="S130" s="105">
        <f>-F130</f>
        <v>0</v>
      </c>
      <c r="T130" s="105">
        <f>-H130</f>
        <v>0</v>
      </c>
    </row>
    <row r="131" ht="15" customHeight="1">
      <c r="A131" s="55" t="str">
        <f>(YEAR(AsAt)-(MONTH(AsAt)&lt;4)+11)&amp;"/"&amp;RIGHT((YEAR(AsAt)-(MONTH(AsAt)&lt;4)+11)+1,2)</f>
        <v>2037/38</v>
      </c>
      <c r="B131" s="103">
        <f>IF(HRA="None",0,N('Projections'!$B$74))</f>
        <v>0</v>
      </c>
      <c r="C131" s="103">
        <f>IF(HRA="None",0,N('Projections'!$E$74))</f>
        <v>0</v>
      </c>
      <c r="D131" s="103">
        <f>0</f>
        <v>0</v>
      </c>
      <c r="E131" s="103">
        <f>IF(HRA="Two pools",IF($R$3,N('Projections'!$F$74),(SUMPRODUCT(LM_runs*(LN_start&lt;=$P131)*(LM_profile="EIP")*((HRA="Two pools")*(LN_fund="HRA"))*LM_eip*(LM_payments-(($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SUMPRODUCT(LM_runs*(LN_start&lt;=$P131)*(LM_profile="Annuity")*((HRA="Two pools")*(LN_fund="HRA"))*((LM_rate&gt;0)*(LM_out*(1+LM_rate)^((($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LM_annuity*((1+LM_rate)^((($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-1)/LM_safe)+(LM_rate=0)*(LM_out-LM_annuity*((($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SUMPRODUCT(LM_runs*(LN_start&lt;=$P131)*((LM_profile&lt;&gt;"EIP")*(LM_profile&lt;&gt;"Annuity"))*((HRA="Two pools")*(LN_fund="HRA"))*(LM_end&gt;$P131)*LN_principal))/1000000),0)</f>
        <v>0</v>
      </c>
      <c r="F131" s="103">
        <f>0</f>
        <v>0</v>
      </c>
      <c r="G131" s="103">
        <f>B131-C131</f>
        <v>0</v>
      </c>
      <c r="H131" s="103">
        <f>IF(HRA="Two pools",0,MAX(D131,-G131))</f>
        <v>0</v>
      </c>
      <c r="I131" s="103">
        <f>IF(HRA="Two pools",G131,G131+H131)</f>
        <v>0</v>
      </c>
      <c r="J131" s="103">
        <f>MAX(0,I131-E131)</f>
        <v>0</v>
      </c>
      <c r="K131" s="103">
        <f>MAX(0,E131-MAX(0,I131))</f>
        <v>0</v>
      </c>
      <c r="L131" s="103">
        <f>MAX(0,E131+J131-G131)</f>
        <v>0</v>
      </c>
      <c r="M131" s="103">
        <f>MAX(0,H131-D131)</f>
        <v>0</v>
      </c>
      <c r="N131" s="103">
        <f>MAX(0,L131-H131)</f>
        <v>0</v>
      </c>
      <c r="O131" s="103">
        <f>MAX(MAX(I$120:I$170),MAX(E$120:E$170))</f>
        <v>0</v>
      </c>
      <c r="P131" s="104">
        <f>DATE((YEAR(AsAt)-(MONTH(AsAt)&lt;4)+11)+1,3,31)</f>
        <v>50495.0</v>
      </c>
      <c r="Q131" s="105">
        <f>J131-K131</f>
        <v>0</v>
      </c>
      <c r="R131" s="105">
        <f>-C131</f>
        <v>0</v>
      </c>
      <c r="S131" s="105">
        <f>-F131</f>
        <v>0</v>
      </c>
      <c r="T131" s="105">
        <f>-H131</f>
        <v>0</v>
      </c>
    </row>
    <row r="132" ht="15" customHeight="1">
      <c r="A132" s="55" t="str">
        <f>(YEAR(AsAt)-(MONTH(AsAt)&lt;4)+12)&amp;"/"&amp;RIGHT((YEAR(AsAt)-(MONTH(AsAt)&lt;4)+12)+1,2)</f>
        <v>2038/39</v>
      </c>
      <c r="B132" s="103">
        <f>IF(HRA="None",0,N('Projections'!$B$75))</f>
        <v>0</v>
      </c>
      <c r="C132" s="103">
        <f>IF(HRA="None",0,N('Projections'!$E$75))</f>
        <v>0</v>
      </c>
      <c r="D132" s="103">
        <f>0</f>
        <v>0</v>
      </c>
      <c r="E132" s="103">
        <f>IF(HRA="Two pools",IF($R$3,N('Projections'!$F$75),(SUMPRODUCT(LM_runs*(LN_start&lt;=$P132)*(LM_profile="EIP")*((HRA="Two pools")*(LN_fund="HRA"))*LM_eip*(LM_payments-(($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SUMPRODUCT(LM_runs*(LN_start&lt;=$P132)*(LM_profile="Annuity")*((HRA="Two pools")*(LN_fund="HRA"))*((LM_rate&gt;0)*(LM_out*(1+LM_rate)^((($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LM_annuity*((1+LM_rate)^((($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-1)/LM_safe)+(LM_rate=0)*(LM_out-LM_annuity*((($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SUMPRODUCT(LM_runs*(LN_start&lt;=$P132)*((LM_profile&lt;&gt;"EIP")*(LM_profile&lt;&gt;"Annuity"))*((HRA="Two pools")*(LN_fund="HRA"))*(LM_end&gt;$P132)*LN_principal))/1000000),0)</f>
        <v>0</v>
      </c>
      <c r="F132" s="103">
        <f>0</f>
        <v>0</v>
      </c>
      <c r="G132" s="103">
        <f>B132-C132</f>
        <v>0</v>
      </c>
      <c r="H132" s="103">
        <f>IF(HRA="Two pools",0,MAX(D132,-G132))</f>
        <v>0</v>
      </c>
      <c r="I132" s="103">
        <f>IF(HRA="Two pools",G132,G132+H132)</f>
        <v>0</v>
      </c>
      <c r="J132" s="103">
        <f>MAX(0,I132-E132)</f>
        <v>0</v>
      </c>
      <c r="K132" s="103">
        <f>MAX(0,E132-MAX(0,I132))</f>
        <v>0</v>
      </c>
      <c r="L132" s="103">
        <f>MAX(0,E132+J132-G132)</f>
        <v>0</v>
      </c>
      <c r="M132" s="103">
        <f>MAX(0,H132-D132)</f>
        <v>0</v>
      </c>
      <c r="N132" s="103">
        <f>MAX(0,L132-H132)</f>
        <v>0</v>
      </c>
      <c r="O132" s="103">
        <f>MAX(MAX(I$120:I$170),MAX(E$120:E$170))</f>
        <v>0</v>
      </c>
      <c r="P132" s="104">
        <f>DATE((YEAR(AsAt)-(MONTH(AsAt)&lt;4)+12)+1,3,31)</f>
        <v>50860.0</v>
      </c>
      <c r="Q132" s="105">
        <f>J132-K132</f>
        <v>0</v>
      </c>
      <c r="R132" s="105">
        <f>-C132</f>
        <v>0</v>
      </c>
      <c r="S132" s="105">
        <f>-F132</f>
        <v>0</v>
      </c>
      <c r="T132" s="105">
        <f>-H132</f>
        <v>0</v>
      </c>
    </row>
    <row r="133" ht="15" customHeight="1">
      <c r="A133" s="55" t="str">
        <f>(YEAR(AsAt)-(MONTH(AsAt)&lt;4)+13)&amp;"/"&amp;RIGHT((YEAR(AsAt)-(MONTH(AsAt)&lt;4)+13)+1,2)</f>
        <v>2039/40</v>
      </c>
      <c r="B133" s="103">
        <f>IF(HRA="None",0,N('Projections'!$B$76))</f>
        <v>0</v>
      </c>
      <c r="C133" s="103">
        <f>IF(HRA="None",0,N('Projections'!$E$76))</f>
        <v>0</v>
      </c>
      <c r="D133" s="103">
        <f>0</f>
        <v>0</v>
      </c>
      <c r="E133" s="103">
        <f>IF(HRA="Two pools",IF($R$3,N('Projections'!$F$76),(SUMPRODUCT(LM_runs*(LN_start&lt;=$P133)*(LM_profile="EIP")*((HRA="Two pools")*(LN_fund="HRA"))*LM_eip*(LM_payments-(($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SUMPRODUCT(LM_runs*(LN_start&lt;=$P133)*(LM_profile="Annuity")*((HRA="Two pools")*(LN_fund="HRA"))*((LM_rate&gt;0)*(LM_out*(1+LM_rate)^((($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LM_annuity*((1+LM_rate)^((($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-1)/LM_safe)+(LM_rate=0)*(LM_out-LM_annuity*((($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SUMPRODUCT(LM_runs*(LN_start&lt;=$P133)*((LM_profile&lt;&gt;"EIP")*(LM_profile&lt;&gt;"Annuity"))*((HRA="Two pools")*(LN_fund="HRA"))*(LM_end&gt;$P133)*LN_principal))/1000000),0)</f>
        <v>0</v>
      </c>
      <c r="F133" s="103">
        <f>0</f>
        <v>0</v>
      </c>
      <c r="G133" s="103">
        <f>B133-C133</f>
        <v>0</v>
      </c>
      <c r="H133" s="103">
        <f>IF(HRA="Two pools",0,MAX(D133,-G133))</f>
        <v>0</v>
      </c>
      <c r="I133" s="103">
        <f>IF(HRA="Two pools",G133,G133+H133)</f>
        <v>0</v>
      </c>
      <c r="J133" s="103">
        <f>MAX(0,I133-E133)</f>
        <v>0</v>
      </c>
      <c r="K133" s="103">
        <f>MAX(0,E133-MAX(0,I133))</f>
        <v>0</v>
      </c>
      <c r="L133" s="103">
        <f>MAX(0,E133+J133-G133)</f>
        <v>0</v>
      </c>
      <c r="M133" s="103">
        <f>MAX(0,H133-D133)</f>
        <v>0</v>
      </c>
      <c r="N133" s="103">
        <f>MAX(0,L133-H133)</f>
        <v>0</v>
      </c>
      <c r="O133" s="103">
        <f>MAX(MAX(I$120:I$170),MAX(E$120:E$170))</f>
        <v>0</v>
      </c>
      <c r="P133" s="104">
        <f>DATE((YEAR(AsAt)-(MONTH(AsAt)&lt;4)+13)+1,3,31)</f>
        <v>51226.0</v>
      </c>
      <c r="Q133" s="105">
        <f>J133-K133</f>
        <v>0</v>
      </c>
      <c r="R133" s="105">
        <f>-C133</f>
        <v>0</v>
      </c>
      <c r="S133" s="105">
        <f>-F133</f>
        <v>0</v>
      </c>
      <c r="T133" s="105">
        <f>-H133</f>
        <v>0</v>
      </c>
    </row>
    <row r="134" ht="15" customHeight="1">
      <c r="A134" s="55" t="str">
        <f>(YEAR(AsAt)-(MONTH(AsAt)&lt;4)+14)&amp;"/"&amp;RIGHT((YEAR(AsAt)-(MONTH(AsAt)&lt;4)+14)+1,2)</f>
        <v>2040/41</v>
      </c>
      <c r="B134" s="103">
        <f>IF(HRA="None",0,N('Projections'!$B$77))</f>
        <v>0</v>
      </c>
      <c r="C134" s="103">
        <f>IF(HRA="None",0,N('Projections'!$E$77))</f>
        <v>0</v>
      </c>
      <c r="D134" s="103">
        <f>0</f>
        <v>0</v>
      </c>
      <c r="E134" s="103">
        <f>IF(HRA="Two pools",IF($R$3,N('Projections'!$F$77),(SUMPRODUCT(LM_runs*(LN_start&lt;=$P134)*(LM_profile="EIP")*((HRA="Two pools")*(LN_fund="HRA"))*LM_eip*(LM_payments-(($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SUMPRODUCT(LM_runs*(LN_start&lt;=$P134)*(LM_profile="Annuity")*((HRA="Two pools")*(LN_fund="HRA"))*((LM_rate&gt;0)*(LM_out*(1+LM_rate)^((($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LM_annuity*((1+LM_rate)^((($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-1)/LM_safe)+(LM_rate=0)*(LM_out-LM_annuity*((($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SUMPRODUCT(LM_runs*(LN_start&lt;=$P134)*((LM_profile&lt;&gt;"EIP")*(LM_profile&lt;&gt;"Annuity"))*((HRA="Two pools")*(LN_fund="HRA"))*(LM_end&gt;$P134)*LN_principal))/1000000),0)</f>
        <v>0</v>
      </c>
      <c r="F134" s="103">
        <f>0</f>
        <v>0</v>
      </c>
      <c r="G134" s="103">
        <f>B134-C134</f>
        <v>0</v>
      </c>
      <c r="H134" s="103">
        <f>IF(HRA="Two pools",0,MAX(D134,-G134))</f>
        <v>0</v>
      </c>
      <c r="I134" s="103">
        <f>IF(HRA="Two pools",G134,G134+H134)</f>
        <v>0</v>
      </c>
      <c r="J134" s="103">
        <f>MAX(0,I134-E134)</f>
        <v>0</v>
      </c>
      <c r="K134" s="103">
        <f>MAX(0,E134-MAX(0,I134))</f>
        <v>0</v>
      </c>
      <c r="L134" s="103">
        <f>MAX(0,E134+J134-G134)</f>
        <v>0</v>
      </c>
      <c r="M134" s="103">
        <f>MAX(0,H134-D134)</f>
        <v>0</v>
      </c>
      <c r="N134" s="103">
        <f>MAX(0,L134-H134)</f>
        <v>0</v>
      </c>
      <c r="O134" s="103">
        <f>MAX(MAX(I$120:I$170),MAX(E$120:E$170))</f>
        <v>0</v>
      </c>
      <c r="P134" s="104">
        <f>DATE((YEAR(AsAt)-(MONTH(AsAt)&lt;4)+14)+1,3,31)</f>
        <v>51591.0</v>
      </c>
      <c r="Q134" s="105">
        <f>J134-K134</f>
        <v>0</v>
      </c>
      <c r="R134" s="105">
        <f>-C134</f>
        <v>0</v>
      </c>
      <c r="S134" s="105">
        <f>-F134</f>
        <v>0</v>
      </c>
      <c r="T134" s="105">
        <f>-H134</f>
        <v>0</v>
      </c>
    </row>
    <row r="135" ht="15" customHeight="1">
      <c r="A135" s="55" t="str">
        <f>(YEAR(AsAt)-(MONTH(AsAt)&lt;4)+15)&amp;"/"&amp;RIGHT((YEAR(AsAt)-(MONTH(AsAt)&lt;4)+15)+1,2)</f>
        <v>2041/42</v>
      </c>
      <c r="B135" s="103">
        <f>IF(HRA="None",0,N('Projections'!$B$78))</f>
        <v>0</v>
      </c>
      <c r="C135" s="103">
        <f>IF(HRA="None",0,N('Projections'!$E$78))</f>
        <v>0</v>
      </c>
      <c r="D135" s="103">
        <f>0</f>
        <v>0</v>
      </c>
      <c r="E135" s="103">
        <f>IF(HRA="Two pools",IF($R$3,N('Projections'!$F$78),(SUMPRODUCT(LM_runs*(LN_start&lt;=$P135)*(LM_profile="EIP")*((HRA="Two pools")*(LN_fund="HRA"))*LM_eip*(LM_payments-(($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SUMPRODUCT(LM_runs*(LN_start&lt;=$P135)*(LM_profile="Annuity")*((HRA="Two pools")*(LN_fund="HRA"))*((LM_rate&gt;0)*(LM_out*(1+LM_rate)^((($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LM_annuity*((1+LM_rate)^((($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-1)/LM_safe)+(LM_rate=0)*(LM_out-LM_annuity*((($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SUMPRODUCT(LM_runs*(LN_start&lt;=$P135)*((LM_profile&lt;&gt;"EIP")*(LM_profile&lt;&gt;"Annuity"))*((HRA="Two pools")*(LN_fund="HRA"))*(LM_end&gt;$P135)*LN_principal))/1000000),0)</f>
        <v>0</v>
      </c>
      <c r="F135" s="103">
        <f>0</f>
        <v>0</v>
      </c>
      <c r="G135" s="103">
        <f>B135-C135</f>
        <v>0</v>
      </c>
      <c r="H135" s="103">
        <f>IF(HRA="Two pools",0,MAX(D135,-G135))</f>
        <v>0</v>
      </c>
      <c r="I135" s="103">
        <f>IF(HRA="Two pools",G135,G135+H135)</f>
        <v>0</v>
      </c>
      <c r="J135" s="103">
        <f>MAX(0,I135-E135)</f>
        <v>0</v>
      </c>
      <c r="K135" s="103">
        <f>MAX(0,E135-MAX(0,I135))</f>
        <v>0</v>
      </c>
      <c r="L135" s="103">
        <f>MAX(0,E135+J135-G135)</f>
        <v>0</v>
      </c>
      <c r="M135" s="103">
        <f>MAX(0,H135-D135)</f>
        <v>0</v>
      </c>
      <c r="N135" s="103">
        <f>MAX(0,L135-H135)</f>
        <v>0</v>
      </c>
      <c r="O135" s="103">
        <f>MAX(MAX(I$120:I$170),MAX(E$120:E$170))</f>
        <v>0</v>
      </c>
      <c r="P135" s="104">
        <f>DATE((YEAR(AsAt)-(MONTH(AsAt)&lt;4)+15)+1,3,31)</f>
        <v>51956.0</v>
      </c>
      <c r="Q135" s="105">
        <f>J135-K135</f>
        <v>0</v>
      </c>
      <c r="R135" s="105">
        <f>-C135</f>
        <v>0</v>
      </c>
      <c r="S135" s="105">
        <f>-F135</f>
        <v>0</v>
      </c>
      <c r="T135" s="105">
        <f>-H135</f>
        <v>0</v>
      </c>
    </row>
    <row r="136" ht="15" customHeight="1">
      <c r="A136" s="55" t="str">
        <f>(YEAR(AsAt)-(MONTH(AsAt)&lt;4)+16)&amp;"/"&amp;RIGHT((YEAR(AsAt)-(MONTH(AsAt)&lt;4)+16)+1,2)</f>
        <v>2042/43</v>
      </c>
      <c r="B136" s="103">
        <f>IF(HRA="None",0,N('Projections'!$B$79))</f>
        <v>0</v>
      </c>
      <c r="C136" s="103">
        <f>IF(HRA="None",0,N('Projections'!$E$79))</f>
        <v>0</v>
      </c>
      <c r="D136" s="103">
        <f>0</f>
        <v>0</v>
      </c>
      <c r="E136" s="103">
        <f>IF(HRA="Two pools",IF($R$3,N('Projections'!$F$79),(SUMPRODUCT(LM_runs*(LN_start&lt;=$P136)*(LM_profile="EIP")*((HRA="Two pools")*(LN_fund="HRA"))*LM_eip*(LM_payments-(($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SUMPRODUCT(LM_runs*(LN_start&lt;=$P136)*(LM_profile="Annuity")*((HRA="Two pools")*(LN_fund="HRA"))*((LM_rate&gt;0)*(LM_out*(1+LM_rate)^((($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LM_annuity*((1+LM_rate)^((($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-1)/LM_safe)+(LM_rate=0)*(LM_out-LM_annuity*((($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SUMPRODUCT(LM_runs*(LN_start&lt;=$P136)*((LM_profile&lt;&gt;"EIP")*(LM_profile&lt;&gt;"Annuity"))*((HRA="Two pools")*(LN_fund="HRA"))*(LM_end&gt;$P136)*LN_principal))/1000000),0)</f>
        <v>0</v>
      </c>
      <c r="F136" s="103">
        <f>0</f>
        <v>0</v>
      </c>
      <c r="G136" s="103">
        <f>B136-C136</f>
        <v>0</v>
      </c>
      <c r="H136" s="103">
        <f>IF(HRA="Two pools",0,MAX(D136,-G136))</f>
        <v>0</v>
      </c>
      <c r="I136" s="103">
        <f>IF(HRA="Two pools",G136,G136+H136)</f>
        <v>0</v>
      </c>
      <c r="J136" s="103">
        <f>MAX(0,I136-E136)</f>
        <v>0</v>
      </c>
      <c r="K136" s="103">
        <f>MAX(0,E136-MAX(0,I136))</f>
        <v>0</v>
      </c>
      <c r="L136" s="103">
        <f>MAX(0,E136+J136-G136)</f>
        <v>0</v>
      </c>
      <c r="M136" s="103">
        <f>MAX(0,H136-D136)</f>
        <v>0</v>
      </c>
      <c r="N136" s="103">
        <f>MAX(0,L136-H136)</f>
        <v>0</v>
      </c>
      <c r="O136" s="103">
        <f>MAX(MAX(I$120:I$170),MAX(E$120:E$170))</f>
        <v>0</v>
      </c>
      <c r="P136" s="104">
        <f>DATE((YEAR(AsAt)-(MONTH(AsAt)&lt;4)+16)+1,3,31)</f>
        <v>52321.0</v>
      </c>
      <c r="Q136" s="105">
        <f>J136-K136</f>
        <v>0</v>
      </c>
      <c r="R136" s="105">
        <f>-C136</f>
        <v>0</v>
      </c>
      <c r="S136" s="105">
        <f>-F136</f>
        <v>0</v>
      </c>
      <c r="T136" s="105">
        <f>-H136</f>
        <v>0</v>
      </c>
    </row>
    <row r="137" ht="15" customHeight="1">
      <c r="A137" s="55" t="str">
        <f>(YEAR(AsAt)-(MONTH(AsAt)&lt;4)+17)&amp;"/"&amp;RIGHT((YEAR(AsAt)-(MONTH(AsAt)&lt;4)+17)+1,2)</f>
        <v>2043/44</v>
      </c>
      <c r="B137" s="103">
        <f>IF(HRA="None",0,N('Projections'!$B$80))</f>
        <v>0</v>
      </c>
      <c r="C137" s="103">
        <f>IF(HRA="None",0,N('Projections'!$E$80))</f>
        <v>0</v>
      </c>
      <c r="D137" s="103">
        <f>0</f>
        <v>0</v>
      </c>
      <c r="E137" s="103">
        <f>IF(HRA="Two pools",IF($R$3,N('Projections'!$F$80),(SUMPRODUCT(LM_runs*(LN_start&lt;=$P137)*(LM_profile="EIP")*((HRA="Two pools")*(LN_fund="HRA"))*LM_eip*(LM_payments-(($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SUMPRODUCT(LM_runs*(LN_start&lt;=$P137)*(LM_profile="Annuity")*((HRA="Two pools")*(LN_fund="HRA"))*((LM_rate&gt;0)*(LM_out*(1+LM_rate)^((($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LM_annuity*((1+LM_rate)^((($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-1)/LM_safe)+(LM_rate=0)*(LM_out-LM_annuity*((($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SUMPRODUCT(LM_runs*(LN_start&lt;=$P137)*((LM_profile&lt;&gt;"EIP")*(LM_profile&lt;&gt;"Annuity"))*((HRA="Two pools")*(LN_fund="HRA"))*(LM_end&gt;$P137)*LN_principal))/1000000),0)</f>
        <v>0</v>
      </c>
      <c r="F137" s="103">
        <f>0</f>
        <v>0</v>
      </c>
      <c r="G137" s="103">
        <f>B137-C137</f>
        <v>0</v>
      </c>
      <c r="H137" s="103">
        <f>IF(HRA="Two pools",0,MAX(D137,-G137))</f>
        <v>0</v>
      </c>
      <c r="I137" s="103">
        <f>IF(HRA="Two pools",G137,G137+H137)</f>
        <v>0</v>
      </c>
      <c r="J137" s="103">
        <f>MAX(0,I137-E137)</f>
        <v>0</v>
      </c>
      <c r="K137" s="103">
        <f>MAX(0,E137-MAX(0,I137))</f>
        <v>0</v>
      </c>
      <c r="L137" s="103">
        <f>MAX(0,E137+J137-G137)</f>
        <v>0</v>
      </c>
      <c r="M137" s="103">
        <f>MAX(0,H137-D137)</f>
        <v>0</v>
      </c>
      <c r="N137" s="103">
        <f>MAX(0,L137-H137)</f>
        <v>0</v>
      </c>
      <c r="O137" s="103">
        <f>MAX(MAX(I$120:I$170),MAX(E$120:E$170))</f>
        <v>0</v>
      </c>
      <c r="P137" s="104">
        <f>DATE((YEAR(AsAt)-(MONTH(AsAt)&lt;4)+17)+1,3,31)</f>
        <v>52687.0</v>
      </c>
      <c r="Q137" s="105">
        <f>J137-K137</f>
        <v>0</v>
      </c>
      <c r="R137" s="105">
        <f>-C137</f>
        <v>0</v>
      </c>
      <c r="S137" s="105">
        <f>-F137</f>
        <v>0</v>
      </c>
      <c r="T137" s="105">
        <f>-H137</f>
        <v>0</v>
      </c>
    </row>
    <row r="138" ht="15" customHeight="1">
      <c r="A138" s="55" t="str">
        <f>(YEAR(AsAt)-(MONTH(AsAt)&lt;4)+18)&amp;"/"&amp;RIGHT((YEAR(AsAt)-(MONTH(AsAt)&lt;4)+18)+1,2)</f>
        <v>2044/45</v>
      </c>
      <c r="B138" s="103">
        <f>IF(HRA="None",0,N('Projections'!$B$81))</f>
        <v>0</v>
      </c>
      <c r="C138" s="103">
        <f>IF(HRA="None",0,N('Projections'!$E$81))</f>
        <v>0</v>
      </c>
      <c r="D138" s="103">
        <f>0</f>
        <v>0</v>
      </c>
      <c r="E138" s="103">
        <f>IF(HRA="Two pools",IF($R$3,N('Projections'!$F$81),(SUMPRODUCT(LM_runs*(LN_start&lt;=$P138)*(LM_profile="EIP")*((HRA="Two pools")*(LN_fund="HRA"))*LM_eip*(LM_payments-(($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SUMPRODUCT(LM_runs*(LN_start&lt;=$P138)*(LM_profile="Annuity")*((HRA="Two pools")*(LN_fund="HRA"))*((LM_rate&gt;0)*(LM_out*(1+LM_rate)^((($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LM_annuity*((1+LM_rate)^((($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-1)/LM_safe)+(LM_rate=0)*(LM_out-LM_annuity*((($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SUMPRODUCT(LM_runs*(LN_start&lt;=$P138)*((LM_profile&lt;&gt;"EIP")*(LM_profile&lt;&gt;"Annuity"))*((HRA="Two pools")*(LN_fund="HRA"))*(LM_end&gt;$P138)*LN_principal))/1000000),0)</f>
        <v>0</v>
      </c>
      <c r="F138" s="103">
        <f>0</f>
        <v>0</v>
      </c>
      <c r="G138" s="103">
        <f>B138-C138</f>
        <v>0</v>
      </c>
      <c r="H138" s="103">
        <f>IF(HRA="Two pools",0,MAX(D138,-G138))</f>
        <v>0</v>
      </c>
      <c r="I138" s="103">
        <f>IF(HRA="Two pools",G138,G138+H138)</f>
        <v>0</v>
      </c>
      <c r="J138" s="103">
        <f>MAX(0,I138-E138)</f>
        <v>0</v>
      </c>
      <c r="K138" s="103">
        <f>MAX(0,E138-MAX(0,I138))</f>
        <v>0</v>
      </c>
      <c r="L138" s="103">
        <f>MAX(0,E138+J138-G138)</f>
        <v>0</v>
      </c>
      <c r="M138" s="103">
        <f>MAX(0,H138-D138)</f>
        <v>0</v>
      </c>
      <c r="N138" s="103">
        <f>MAX(0,L138-H138)</f>
        <v>0</v>
      </c>
      <c r="O138" s="103">
        <f>MAX(MAX(I$120:I$170),MAX(E$120:E$170))</f>
        <v>0</v>
      </c>
      <c r="P138" s="104">
        <f>DATE((YEAR(AsAt)-(MONTH(AsAt)&lt;4)+18)+1,3,31)</f>
        <v>53052.0</v>
      </c>
      <c r="Q138" s="105">
        <f>J138-K138</f>
        <v>0</v>
      </c>
      <c r="R138" s="105">
        <f>-C138</f>
        <v>0</v>
      </c>
      <c r="S138" s="105">
        <f>-F138</f>
        <v>0</v>
      </c>
      <c r="T138" s="105">
        <f>-H138</f>
        <v>0</v>
      </c>
    </row>
    <row r="139" ht="15" customHeight="1">
      <c r="A139" s="55" t="str">
        <f>(YEAR(AsAt)-(MONTH(AsAt)&lt;4)+19)&amp;"/"&amp;RIGHT((YEAR(AsAt)-(MONTH(AsAt)&lt;4)+19)+1,2)</f>
        <v>2045/46</v>
      </c>
      <c r="B139" s="103">
        <f>IF(HRA="None",0,N('Projections'!$B$82))</f>
        <v>0</v>
      </c>
      <c r="C139" s="103">
        <f>IF(HRA="None",0,N('Projections'!$E$82))</f>
        <v>0</v>
      </c>
      <c r="D139" s="103">
        <f>0</f>
        <v>0</v>
      </c>
      <c r="E139" s="103">
        <f>IF(HRA="Two pools",IF($R$3,N('Projections'!$F$82),(SUMPRODUCT(LM_runs*(LN_start&lt;=$P139)*(LM_profile="EIP")*((HRA="Two pools")*(LN_fund="HRA"))*LM_eip*(LM_payments-(($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SUMPRODUCT(LM_runs*(LN_start&lt;=$P139)*(LM_profile="Annuity")*((HRA="Two pools")*(LN_fund="HRA"))*((LM_rate&gt;0)*(LM_out*(1+LM_rate)^((($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LM_annuity*((1+LM_rate)^((($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-1)/LM_safe)+(LM_rate=0)*(LM_out-LM_annuity*((($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SUMPRODUCT(LM_runs*(LN_start&lt;=$P139)*((LM_profile&lt;&gt;"EIP")*(LM_profile&lt;&gt;"Annuity"))*((HRA="Two pools")*(LN_fund="HRA"))*(LM_end&gt;$P139)*LN_principal))/1000000),0)</f>
        <v>0</v>
      </c>
      <c r="F139" s="103">
        <f>0</f>
        <v>0</v>
      </c>
      <c r="G139" s="103">
        <f>B139-C139</f>
        <v>0</v>
      </c>
      <c r="H139" s="103">
        <f>IF(HRA="Two pools",0,MAX(D139,-G139))</f>
        <v>0</v>
      </c>
      <c r="I139" s="103">
        <f>IF(HRA="Two pools",G139,G139+H139)</f>
        <v>0</v>
      </c>
      <c r="J139" s="103">
        <f>MAX(0,I139-E139)</f>
        <v>0</v>
      </c>
      <c r="K139" s="103">
        <f>MAX(0,E139-MAX(0,I139))</f>
        <v>0</v>
      </c>
      <c r="L139" s="103">
        <f>MAX(0,E139+J139-G139)</f>
        <v>0</v>
      </c>
      <c r="M139" s="103">
        <f>MAX(0,H139-D139)</f>
        <v>0</v>
      </c>
      <c r="N139" s="103">
        <f>MAX(0,L139-H139)</f>
        <v>0</v>
      </c>
      <c r="O139" s="103">
        <f>MAX(MAX(I$120:I$170),MAX(E$120:E$170))</f>
        <v>0</v>
      </c>
      <c r="P139" s="104">
        <f>DATE((YEAR(AsAt)-(MONTH(AsAt)&lt;4)+19)+1,3,31)</f>
        <v>53417.0</v>
      </c>
      <c r="Q139" s="105">
        <f>J139-K139</f>
        <v>0</v>
      </c>
      <c r="R139" s="105">
        <f>-C139</f>
        <v>0</v>
      </c>
      <c r="S139" s="105">
        <f>-F139</f>
        <v>0</v>
      </c>
      <c r="T139" s="105">
        <f>-H139</f>
        <v>0</v>
      </c>
    </row>
    <row r="140" ht="15" customHeight="1">
      <c r="A140" s="55" t="str">
        <f>(YEAR(AsAt)-(MONTH(AsAt)&lt;4)+20)&amp;"/"&amp;RIGHT((YEAR(AsAt)-(MONTH(AsAt)&lt;4)+20)+1,2)</f>
        <v>2046/47</v>
      </c>
      <c r="B140" s="103">
        <f>IF(HRA="None",0,N('Projections'!$B$83))</f>
        <v>0</v>
      </c>
      <c r="C140" s="103">
        <f>IF(HRA="None",0,N('Projections'!$E$83))</f>
        <v>0</v>
      </c>
      <c r="D140" s="103">
        <f>0</f>
        <v>0</v>
      </c>
      <c r="E140" s="103">
        <f>IF(HRA="Two pools",IF($R$3,N('Projections'!$F$83),(SUMPRODUCT(LM_runs*(LN_start&lt;=$P140)*(LM_profile="EIP")*((HRA="Two pools")*(LN_fund="HRA"))*LM_eip*(LM_payments-(($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SUMPRODUCT(LM_runs*(LN_start&lt;=$P140)*(LM_profile="Annuity")*((HRA="Two pools")*(LN_fund="HRA"))*((LM_rate&gt;0)*(LM_out*(1+LM_rate)^((($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LM_annuity*((1+LM_rate)^((($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-1)/LM_safe)+(LM_rate=0)*(LM_out-LM_annuity*((($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SUMPRODUCT(LM_runs*(LN_start&lt;=$P140)*((LM_profile&lt;&gt;"EIP")*(LM_profile&lt;&gt;"Annuity"))*((HRA="Two pools")*(LN_fund="HRA"))*(LM_end&gt;$P140)*LN_principal))/1000000),0)</f>
        <v>0</v>
      </c>
      <c r="F140" s="103">
        <f>0</f>
        <v>0</v>
      </c>
      <c r="G140" s="103">
        <f>B140-C140</f>
        <v>0</v>
      </c>
      <c r="H140" s="103">
        <f>IF(HRA="Two pools",0,MAX(D140,-G140))</f>
        <v>0</v>
      </c>
      <c r="I140" s="103">
        <f>IF(HRA="Two pools",G140,G140+H140)</f>
        <v>0</v>
      </c>
      <c r="J140" s="103">
        <f>MAX(0,I140-E140)</f>
        <v>0</v>
      </c>
      <c r="K140" s="103">
        <f>MAX(0,E140-MAX(0,I140))</f>
        <v>0</v>
      </c>
      <c r="L140" s="103">
        <f>MAX(0,E140+J140-G140)</f>
        <v>0</v>
      </c>
      <c r="M140" s="103">
        <f>MAX(0,H140-D140)</f>
        <v>0</v>
      </c>
      <c r="N140" s="103">
        <f>MAX(0,L140-H140)</f>
        <v>0</v>
      </c>
      <c r="O140" s="103">
        <f>MAX(MAX(I$120:I$170),MAX(E$120:E$170))</f>
        <v>0</v>
      </c>
      <c r="P140" s="104">
        <f>DATE((YEAR(AsAt)-(MONTH(AsAt)&lt;4)+20)+1,3,31)</f>
        <v>53782.0</v>
      </c>
      <c r="Q140" s="105">
        <f>J140-K140</f>
        <v>0</v>
      </c>
      <c r="R140" s="105">
        <f>-C140</f>
        <v>0</v>
      </c>
      <c r="S140" s="105">
        <f>-F140</f>
        <v>0</v>
      </c>
      <c r="T140" s="105">
        <f>-H140</f>
        <v>0</v>
      </c>
    </row>
    <row r="141" ht="15" customHeight="1">
      <c r="A141" s="55" t="str">
        <f>(YEAR(AsAt)-(MONTH(AsAt)&lt;4)+21)&amp;"/"&amp;RIGHT((YEAR(AsAt)-(MONTH(AsAt)&lt;4)+21)+1,2)</f>
        <v>2047/48</v>
      </c>
      <c r="B141" s="103">
        <f>IF(HRA="None",0,N('Projections'!$B$84))</f>
        <v>0</v>
      </c>
      <c r="C141" s="103">
        <f>IF(HRA="None",0,N('Projections'!$E$84))</f>
        <v>0</v>
      </c>
      <c r="D141" s="103">
        <f>0</f>
        <v>0</v>
      </c>
      <c r="E141" s="103">
        <f>IF(HRA="Two pools",IF($R$3,N('Projections'!$F$84),(SUMPRODUCT(LM_runs*(LN_start&lt;=$P141)*(LM_profile="EIP")*((HRA="Two pools")*(LN_fund="HRA"))*LM_eip*(LM_payments-(($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SUMPRODUCT(LM_runs*(LN_start&lt;=$P141)*(LM_profile="Annuity")*((HRA="Two pools")*(LN_fund="HRA"))*((LM_rate&gt;0)*(LM_out*(1+LM_rate)^((($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LM_annuity*((1+LM_rate)^((($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-1)/LM_safe)+(LM_rate=0)*(LM_out-LM_annuity*((($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SUMPRODUCT(LM_runs*(LN_start&lt;=$P141)*((LM_profile&lt;&gt;"EIP")*(LM_profile&lt;&gt;"Annuity"))*((HRA="Two pools")*(LN_fund="HRA"))*(LM_end&gt;$P141)*LN_principal))/1000000),0)</f>
        <v>0</v>
      </c>
      <c r="F141" s="103">
        <f>0</f>
        <v>0</v>
      </c>
      <c r="G141" s="103">
        <f>B141-C141</f>
        <v>0</v>
      </c>
      <c r="H141" s="103">
        <f>IF(HRA="Two pools",0,MAX(D141,-G141))</f>
        <v>0</v>
      </c>
      <c r="I141" s="103">
        <f>IF(HRA="Two pools",G141,G141+H141)</f>
        <v>0</v>
      </c>
      <c r="J141" s="103">
        <f>MAX(0,I141-E141)</f>
        <v>0</v>
      </c>
      <c r="K141" s="103">
        <f>MAX(0,E141-MAX(0,I141))</f>
        <v>0</v>
      </c>
      <c r="L141" s="103">
        <f>MAX(0,E141+J141-G141)</f>
        <v>0</v>
      </c>
      <c r="M141" s="103">
        <f>MAX(0,H141-D141)</f>
        <v>0</v>
      </c>
      <c r="N141" s="103">
        <f>MAX(0,L141-H141)</f>
        <v>0</v>
      </c>
      <c r="O141" s="103">
        <f>MAX(MAX(I$120:I$170),MAX(E$120:E$170))</f>
        <v>0</v>
      </c>
      <c r="P141" s="104">
        <f>DATE((YEAR(AsAt)-(MONTH(AsAt)&lt;4)+21)+1,3,31)</f>
        <v>54148.0</v>
      </c>
      <c r="Q141" s="105">
        <f>J141-K141</f>
        <v>0</v>
      </c>
      <c r="R141" s="105">
        <f>-C141</f>
        <v>0</v>
      </c>
      <c r="S141" s="105">
        <f>-F141</f>
        <v>0</v>
      </c>
      <c r="T141" s="105">
        <f>-H141</f>
        <v>0</v>
      </c>
    </row>
    <row r="142" ht="15" customHeight="1">
      <c r="A142" s="55" t="str">
        <f>(YEAR(AsAt)-(MONTH(AsAt)&lt;4)+22)&amp;"/"&amp;RIGHT((YEAR(AsAt)-(MONTH(AsAt)&lt;4)+22)+1,2)</f>
        <v>2048/49</v>
      </c>
      <c r="B142" s="103">
        <f>IF(HRA="None",0,N('Projections'!$B$85))</f>
        <v>0</v>
      </c>
      <c r="C142" s="103">
        <f>IF(HRA="None",0,N('Projections'!$E$85))</f>
        <v>0</v>
      </c>
      <c r="D142" s="103">
        <f>0</f>
        <v>0</v>
      </c>
      <c r="E142" s="103">
        <f>IF(HRA="Two pools",IF($R$3,N('Projections'!$F$85),(SUMPRODUCT(LM_runs*(LN_start&lt;=$P142)*(LM_profile="EIP")*((HRA="Two pools")*(LN_fund="HRA"))*LM_eip*(LM_payments-(($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SUMPRODUCT(LM_runs*(LN_start&lt;=$P142)*(LM_profile="Annuity")*((HRA="Two pools")*(LN_fund="HRA"))*((LM_rate&gt;0)*(LM_out*(1+LM_rate)^((($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LM_annuity*((1+LM_rate)^((($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-1)/LM_safe)+(LM_rate=0)*(LM_out-LM_annuity*((($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SUMPRODUCT(LM_runs*(LN_start&lt;=$P142)*((LM_profile&lt;&gt;"EIP")*(LM_profile&lt;&gt;"Annuity"))*((HRA="Two pools")*(LN_fund="HRA"))*(LM_end&gt;$P142)*LN_principal))/1000000),0)</f>
        <v>0</v>
      </c>
      <c r="F142" s="103">
        <f>0</f>
        <v>0</v>
      </c>
      <c r="G142" s="103">
        <f>B142-C142</f>
        <v>0</v>
      </c>
      <c r="H142" s="103">
        <f>IF(HRA="Two pools",0,MAX(D142,-G142))</f>
        <v>0</v>
      </c>
      <c r="I142" s="103">
        <f>IF(HRA="Two pools",G142,G142+H142)</f>
        <v>0</v>
      </c>
      <c r="J142" s="103">
        <f>MAX(0,I142-E142)</f>
        <v>0</v>
      </c>
      <c r="K142" s="103">
        <f>MAX(0,E142-MAX(0,I142))</f>
        <v>0</v>
      </c>
      <c r="L142" s="103">
        <f>MAX(0,E142+J142-G142)</f>
        <v>0</v>
      </c>
      <c r="M142" s="103">
        <f>MAX(0,H142-D142)</f>
        <v>0</v>
      </c>
      <c r="N142" s="103">
        <f>MAX(0,L142-H142)</f>
        <v>0</v>
      </c>
      <c r="O142" s="103">
        <f>MAX(MAX(I$120:I$170),MAX(E$120:E$170))</f>
        <v>0</v>
      </c>
      <c r="P142" s="104">
        <f>DATE((YEAR(AsAt)-(MONTH(AsAt)&lt;4)+22)+1,3,31)</f>
        <v>54513.0</v>
      </c>
      <c r="Q142" s="105">
        <f>J142-K142</f>
        <v>0</v>
      </c>
      <c r="R142" s="105">
        <f>-C142</f>
        <v>0</v>
      </c>
      <c r="S142" s="105">
        <f>-F142</f>
        <v>0</v>
      </c>
      <c r="T142" s="105">
        <f>-H142</f>
        <v>0</v>
      </c>
    </row>
    <row r="143" ht="15" customHeight="1">
      <c r="A143" s="55" t="str">
        <f>(YEAR(AsAt)-(MONTH(AsAt)&lt;4)+23)&amp;"/"&amp;RIGHT((YEAR(AsAt)-(MONTH(AsAt)&lt;4)+23)+1,2)</f>
        <v>2049/50</v>
      </c>
      <c r="B143" s="103">
        <f>IF(HRA="None",0,N('Projections'!$B$86))</f>
        <v>0</v>
      </c>
      <c r="C143" s="103">
        <f>IF(HRA="None",0,N('Projections'!$E$86))</f>
        <v>0</v>
      </c>
      <c r="D143" s="103">
        <f>0</f>
        <v>0</v>
      </c>
      <c r="E143" s="103">
        <f>IF(HRA="Two pools",IF($R$3,N('Projections'!$F$86),(SUMPRODUCT(LM_runs*(LN_start&lt;=$P143)*(LM_profile="EIP")*((HRA="Two pools")*(LN_fund="HRA"))*LM_eip*(LM_payments-(($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SUMPRODUCT(LM_runs*(LN_start&lt;=$P143)*(LM_profile="Annuity")*((HRA="Two pools")*(LN_fund="HRA"))*((LM_rate&gt;0)*(LM_out*(1+LM_rate)^((($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LM_annuity*((1+LM_rate)^((($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-1)/LM_safe)+(LM_rate=0)*(LM_out-LM_annuity*((($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SUMPRODUCT(LM_runs*(LN_start&lt;=$P143)*((LM_profile&lt;&gt;"EIP")*(LM_profile&lt;&gt;"Annuity"))*((HRA="Two pools")*(LN_fund="HRA"))*(LM_end&gt;$P143)*LN_principal))/1000000),0)</f>
        <v>0</v>
      </c>
      <c r="F143" s="103">
        <f>0</f>
        <v>0</v>
      </c>
      <c r="G143" s="103">
        <f>B143-C143</f>
        <v>0</v>
      </c>
      <c r="H143" s="103">
        <f>IF(HRA="Two pools",0,MAX(D143,-G143))</f>
        <v>0</v>
      </c>
      <c r="I143" s="103">
        <f>IF(HRA="Two pools",G143,G143+H143)</f>
        <v>0</v>
      </c>
      <c r="J143" s="103">
        <f>MAX(0,I143-E143)</f>
        <v>0</v>
      </c>
      <c r="K143" s="103">
        <f>MAX(0,E143-MAX(0,I143))</f>
        <v>0</v>
      </c>
      <c r="L143" s="103">
        <f>MAX(0,E143+J143-G143)</f>
        <v>0</v>
      </c>
      <c r="M143" s="103">
        <f>MAX(0,H143-D143)</f>
        <v>0</v>
      </c>
      <c r="N143" s="103">
        <f>MAX(0,L143-H143)</f>
        <v>0</v>
      </c>
      <c r="O143" s="103">
        <f>MAX(MAX(I$120:I$170),MAX(E$120:E$170))</f>
        <v>0</v>
      </c>
      <c r="P143" s="104">
        <f>DATE((YEAR(AsAt)-(MONTH(AsAt)&lt;4)+23)+1,3,31)</f>
        <v>54878.0</v>
      </c>
      <c r="Q143" s="105">
        <f>J143-K143</f>
        <v>0</v>
      </c>
      <c r="R143" s="105">
        <f>-C143</f>
        <v>0</v>
      </c>
      <c r="S143" s="105">
        <f>-F143</f>
        <v>0</v>
      </c>
      <c r="T143" s="105">
        <f>-H143</f>
        <v>0</v>
      </c>
    </row>
    <row r="144" ht="15" customHeight="1">
      <c r="A144" s="55" t="str">
        <f>(YEAR(AsAt)-(MONTH(AsAt)&lt;4)+24)&amp;"/"&amp;RIGHT((YEAR(AsAt)-(MONTH(AsAt)&lt;4)+24)+1,2)</f>
        <v>2050/51</v>
      </c>
      <c r="B144" s="103">
        <f>IF(HRA="None",0,N('Projections'!$B$87))</f>
        <v>0</v>
      </c>
      <c r="C144" s="103">
        <f>IF(HRA="None",0,N('Projections'!$E$87))</f>
        <v>0</v>
      </c>
      <c r="D144" s="103">
        <f>0</f>
        <v>0</v>
      </c>
      <c r="E144" s="103">
        <f>IF(HRA="Two pools",IF($R$3,N('Projections'!$F$87),(SUMPRODUCT(LM_runs*(LN_start&lt;=$P144)*(LM_profile="EIP")*((HRA="Two pools")*(LN_fund="HRA"))*LM_eip*(LM_payments-(($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SUMPRODUCT(LM_runs*(LN_start&lt;=$P144)*(LM_profile="Annuity")*((HRA="Two pools")*(LN_fund="HRA"))*((LM_rate&gt;0)*(LM_out*(1+LM_rate)^((($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LM_annuity*((1+LM_rate)^((($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-1)/LM_safe)+(LM_rate=0)*(LM_out-LM_annuity*((($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SUMPRODUCT(LM_runs*(LN_start&lt;=$P144)*((LM_profile&lt;&gt;"EIP")*(LM_profile&lt;&gt;"Annuity"))*((HRA="Two pools")*(LN_fund="HRA"))*(LM_end&gt;$P144)*LN_principal))/1000000),0)</f>
        <v>0</v>
      </c>
      <c r="F144" s="103">
        <f>0</f>
        <v>0</v>
      </c>
      <c r="G144" s="103">
        <f>B144-C144</f>
        <v>0</v>
      </c>
      <c r="H144" s="103">
        <f>IF(HRA="Two pools",0,MAX(D144,-G144))</f>
        <v>0</v>
      </c>
      <c r="I144" s="103">
        <f>IF(HRA="Two pools",G144,G144+H144)</f>
        <v>0</v>
      </c>
      <c r="J144" s="103">
        <f>MAX(0,I144-E144)</f>
        <v>0</v>
      </c>
      <c r="K144" s="103">
        <f>MAX(0,E144-MAX(0,I144))</f>
        <v>0</v>
      </c>
      <c r="L144" s="103">
        <f>MAX(0,E144+J144-G144)</f>
        <v>0</v>
      </c>
      <c r="M144" s="103">
        <f>MAX(0,H144-D144)</f>
        <v>0</v>
      </c>
      <c r="N144" s="103">
        <f>MAX(0,L144-H144)</f>
        <v>0</v>
      </c>
      <c r="O144" s="103">
        <f>MAX(MAX(I$120:I$170),MAX(E$120:E$170))</f>
        <v>0</v>
      </c>
      <c r="P144" s="104">
        <f>DATE((YEAR(AsAt)-(MONTH(AsAt)&lt;4)+24)+1,3,31)</f>
        <v>55243.0</v>
      </c>
      <c r="Q144" s="105">
        <f>J144-K144</f>
        <v>0</v>
      </c>
      <c r="R144" s="105">
        <f>-C144</f>
        <v>0</v>
      </c>
      <c r="S144" s="105">
        <f>-F144</f>
        <v>0</v>
      </c>
      <c r="T144" s="105">
        <f>-H144</f>
        <v>0</v>
      </c>
    </row>
    <row r="145" ht="15" customHeight="1">
      <c r="A145" s="55" t="str">
        <f>(YEAR(AsAt)-(MONTH(AsAt)&lt;4)+25)&amp;"/"&amp;RIGHT((YEAR(AsAt)-(MONTH(AsAt)&lt;4)+25)+1,2)</f>
        <v>2051/52</v>
      </c>
      <c r="B145" s="103">
        <f>IF(HRA="None",0,N('Projections'!$B$88))</f>
        <v>0</v>
      </c>
      <c r="C145" s="103">
        <f>IF(HRA="None",0,N('Projections'!$E$88))</f>
        <v>0</v>
      </c>
      <c r="D145" s="103">
        <f>0</f>
        <v>0</v>
      </c>
      <c r="E145" s="103">
        <f>IF(HRA="Two pools",IF($R$3,N('Projections'!$F$88),(SUMPRODUCT(LM_runs*(LN_start&lt;=$P145)*(LM_profile="EIP")*((HRA="Two pools")*(LN_fund="HRA"))*LM_eip*(LM_payments-(($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SUMPRODUCT(LM_runs*(LN_start&lt;=$P145)*(LM_profile="Annuity")*((HRA="Two pools")*(LN_fund="HRA"))*((LM_rate&gt;0)*(LM_out*(1+LM_rate)^((($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LM_annuity*((1+LM_rate)^((($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-1)/LM_safe)+(LM_rate=0)*(LM_out-LM_annuity*((($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SUMPRODUCT(LM_runs*(LN_start&lt;=$P145)*((LM_profile&lt;&gt;"EIP")*(LM_profile&lt;&gt;"Annuity"))*((HRA="Two pools")*(LN_fund="HRA"))*(LM_end&gt;$P145)*LN_principal))/1000000),0)</f>
        <v>0</v>
      </c>
      <c r="F145" s="103">
        <f>0</f>
        <v>0</v>
      </c>
      <c r="G145" s="103">
        <f>B145-C145</f>
        <v>0</v>
      </c>
      <c r="H145" s="103">
        <f>IF(HRA="Two pools",0,MAX(D145,-G145))</f>
        <v>0</v>
      </c>
      <c r="I145" s="103">
        <f>IF(HRA="Two pools",G145,G145+H145)</f>
        <v>0</v>
      </c>
      <c r="J145" s="103">
        <f>MAX(0,I145-E145)</f>
        <v>0</v>
      </c>
      <c r="K145" s="103">
        <f>MAX(0,E145-MAX(0,I145))</f>
        <v>0</v>
      </c>
      <c r="L145" s="103">
        <f>MAX(0,E145+J145-G145)</f>
        <v>0</v>
      </c>
      <c r="M145" s="103">
        <f>MAX(0,H145-D145)</f>
        <v>0</v>
      </c>
      <c r="N145" s="103">
        <f>MAX(0,L145-H145)</f>
        <v>0</v>
      </c>
      <c r="O145" s="103">
        <f>MAX(MAX(I$120:I$170),MAX(E$120:E$170))</f>
        <v>0</v>
      </c>
      <c r="P145" s="104">
        <f>DATE((YEAR(AsAt)-(MONTH(AsAt)&lt;4)+25)+1,3,31)</f>
        <v>55609.0</v>
      </c>
      <c r="Q145" s="105">
        <f>J145-K145</f>
        <v>0</v>
      </c>
      <c r="R145" s="105">
        <f>-C145</f>
        <v>0</v>
      </c>
      <c r="S145" s="105">
        <f>-F145</f>
        <v>0</v>
      </c>
      <c r="T145" s="105">
        <f>-H145</f>
        <v>0</v>
      </c>
    </row>
    <row r="146" ht="15" customHeight="1">
      <c r="A146" s="55" t="str">
        <f>(YEAR(AsAt)-(MONTH(AsAt)&lt;4)+26)&amp;"/"&amp;RIGHT((YEAR(AsAt)-(MONTH(AsAt)&lt;4)+26)+1,2)</f>
        <v>2052/53</v>
      </c>
      <c r="B146" s="103">
        <f>IF(HRA="None",0,N('Projections'!$B$89))</f>
        <v>0</v>
      </c>
      <c r="C146" s="103">
        <f>IF(HRA="None",0,N('Projections'!$E$89))</f>
        <v>0</v>
      </c>
      <c r="D146" s="103">
        <f>0</f>
        <v>0</v>
      </c>
      <c r="E146" s="103">
        <f>IF(HRA="Two pools",IF($R$3,N('Projections'!$F$89),(SUMPRODUCT(LM_runs*(LN_start&lt;=$P146)*(LM_profile="EIP")*((HRA="Two pools")*(LN_fund="HRA"))*LM_eip*(LM_payments-(($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SUMPRODUCT(LM_runs*(LN_start&lt;=$P146)*(LM_profile="Annuity")*((HRA="Two pools")*(LN_fund="HRA"))*((LM_rate&gt;0)*(LM_out*(1+LM_rate)^((($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LM_annuity*((1+LM_rate)^((($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-1)/LM_safe)+(LM_rate=0)*(LM_out-LM_annuity*((($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SUMPRODUCT(LM_runs*(LN_start&lt;=$P146)*((LM_profile&lt;&gt;"EIP")*(LM_profile&lt;&gt;"Annuity"))*((HRA="Two pools")*(LN_fund="HRA"))*(LM_end&gt;$P146)*LN_principal))/1000000),0)</f>
        <v>0</v>
      </c>
      <c r="F146" s="103">
        <f>0</f>
        <v>0</v>
      </c>
      <c r="G146" s="103">
        <f>B146-C146</f>
        <v>0</v>
      </c>
      <c r="H146" s="103">
        <f>IF(HRA="Two pools",0,MAX(D146,-G146))</f>
        <v>0</v>
      </c>
      <c r="I146" s="103">
        <f>IF(HRA="Two pools",G146,G146+H146)</f>
        <v>0</v>
      </c>
      <c r="J146" s="103">
        <f>MAX(0,I146-E146)</f>
        <v>0</v>
      </c>
      <c r="K146" s="103">
        <f>MAX(0,E146-MAX(0,I146))</f>
        <v>0</v>
      </c>
      <c r="L146" s="103">
        <f>MAX(0,E146+J146-G146)</f>
        <v>0</v>
      </c>
      <c r="M146" s="103">
        <f>MAX(0,H146-D146)</f>
        <v>0</v>
      </c>
      <c r="N146" s="103">
        <f>MAX(0,L146-H146)</f>
        <v>0</v>
      </c>
      <c r="O146" s="103">
        <f>MAX(MAX(I$120:I$170),MAX(E$120:E$170))</f>
        <v>0</v>
      </c>
      <c r="P146" s="104">
        <f>DATE((YEAR(AsAt)-(MONTH(AsAt)&lt;4)+26)+1,3,31)</f>
        <v>55974.0</v>
      </c>
      <c r="Q146" s="105">
        <f>J146-K146</f>
        <v>0</v>
      </c>
      <c r="R146" s="105">
        <f>-C146</f>
        <v>0</v>
      </c>
      <c r="S146" s="105">
        <f>-F146</f>
        <v>0</v>
      </c>
      <c r="T146" s="105">
        <f>-H146</f>
        <v>0</v>
      </c>
    </row>
    <row r="147" ht="15" customHeight="1">
      <c r="A147" s="55" t="str">
        <f>(YEAR(AsAt)-(MONTH(AsAt)&lt;4)+27)&amp;"/"&amp;RIGHT((YEAR(AsAt)-(MONTH(AsAt)&lt;4)+27)+1,2)</f>
        <v>2053/54</v>
      </c>
      <c r="B147" s="103">
        <f>IF(HRA="None",0,N('Projections'!$B$90))</f>
        <v>0</v>
      </c>
      <c r="C147" s="103">
        <f>IF(HRA="None",0,N('Projections'!$E$90))</f>
        <v>0</v>
      </c>
      <c r="D147" s="103">
        <f>0</f>
        <v>0</v>
      </c>
      <c r="E147" s="103">
        <f>IF(HRA="Two pools",IF($R$3,N('Projections'!$F$90),(SUMPRODUCT(LM_runs*(LN_start&lt;=$P147)*(LM_profile="EIP")*((HRA="Two pools")*(LN_fund="HRA"))*LM_eip*(LM_payments-(($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SUMPRODUCT(LM_runs*(LN_start&lt;=$P147)*(LM_profile="Annuity")*((HRA="Two pools")*(LN_fund="HRA"))*((LM_rate&gt;0)*(LM_out*(1+LM_rate)^((($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LM_annuity*((1+LM_rate)^((($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-1)/LM_safe)+(LM_rate=0)*(LM_out-LM_annuity*((($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SUMPRODUCT(LM_runs*(LN_start&lt;=$P147)*((LM_profile&lt;&gt;"EIP")*(LM_profile&lt;&gt;"Annuity"))*((HRA="Two pools")*(LN_fund="HRA"))*(LM_end&gt;$P147)*LN_principal))/1000000),0)</f>
        <v>0</v>
      </c>
      <c r="F147" s="103">
        <f>0</f>
        <v>0</v>
      </c>
      <c r="G147" s="103">
        <f>B147-C147</f>
        <v>0</v>
      </c>
      <c r="H147" s="103">
        <f>IF(HRA="Two pools",0,MAX(D147,-G147))</f>
        <v>0</v>
      </c>
      <c r="I147" s="103">
        <f>IF(HRA="Two pools",G147,G147+H147)</f>
        <v>0</v>
      </c>
      <c r="J147" s="103">
        <f>MAX(0,I147-E147)</f>
        <v>0</v>
      </c>
      <c r="K147" s="103">
        <f>MAX(0,E147-MAX(0,I147))</f>
        <v>0</v>
      </c>
      <c r="L147" s="103">
        <f>MAX(0,E147+J147-G147)</f>
        <v>0</v>
      </c>
      <c r="M147" s="103">
        <f>MAX(0,H147-D147)</f>
        <v>0</v>
      </c>
      <c r="N147" s="103">
        <f>MAX(0,L147-H147)</f>
        <v>0</v>
      </c>
      <c r="O147" s="103">
        <f>MAX(MAX(I$120:I$170),MAX(E$120:E$170))</f>
        <v>0</v>
      </c>
      <c r="P147" s="104">
        <f>DATE((YEAR(AsAt)-(MONTH(AsAt)&lt;4)+27)+1,3,31)</f>
        <v>56339.0</v>
      </c>
      <c r="Q147" s="105">
        <f>J147-K147</f>
        <v>0</v>
      </c>
      <c r="R147" s="105">
        <f>-C147</f>
        <v>0</v>
      </c>
      <c r="S147" s="105">
        <f>-F147</f>
        <v>0</v>
      </c>
      <c r="T147" s="105">
        <f>-H147</f>
        <v>0</v>
      </c>
    </row>
    <row r="148" ht="15" customHeight="1">
      <c r="A148" s="55" t="str">
        <f>(YEAR(AsAt)-(MONTH(AsAt)&lt;4)+28)&amp;"/"&amp;RIGHT((YEAR(AsAt)-(MONTH(AsAt)&lt;4)+28)+1,2)</f>
        <v>2054/55</v>
      </c>
      <c r="B148" s="103">
        <f>IF(HRA="None",0,N('Projections'!$B$91))</f>
        <v>0</v>
      </c>
      <c r="C148" s="103">
        <f>IF(HRA="None",0,N('Projections'!$E$91))</f>
        <v>0</v>
      </c>
      <c r="D148" s="103">
        <f>0</f>
        <v>0</v>
      </c>
      <c r="E148" s="103">
        <f>IF(HRA="Two pools",IF($R$3,N('Projections'!$F$91),(SUMPRODUCT(LM_runs*(LN_start&lt;=$P148)*(LM_profile="EIP")*((HRA="Two pools")*(LN_fund="HRA"))*LM_eip*(LM_payments-(($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SUMPRODUCT(LM_runs*(LN_start&lt;=$P148)*(LM_profile="Annuity")*((HRA="Two pools")*(LN_fund="HRA"))*((LM_rate&gt;0)*(LM_out*(1+LM_rate)^((($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LM_annuity*((1+LM_rate)^((($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-1)/LM_safe)+(LM_rate=0)*(LM_out-LM_annuity*((($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SUMPRODUCT(LM_runs*(LN_start&lt;=$P148)*((LM_profile&lt;&gt;"EIP")*(LM_profile&lt;&gt;"Annuity"))*((HRA="Two pools")*(LN_fund="HRA"))*(LM_end&gt;$P148)*LN_principal))/1000000),0)</f>
        <v>0</v>
      </c>
      <c r="F148" s="103">
        <f>0</f>
        <v>0</v>
      </c>
      <c r="G148" s="103">
        <f>B148-C148</f>
        <v>0</v>
      </c>
      <c r="H148" s="103">
        <f>IF(HRA="Two pools",0,MAX(D148,-G148))</f>
        <v>0</v>
      </c>
      <c r="I148" s="103">
        <f>IF(HRA="Two pools",G148,G148+H148)</f>
        <v>0</v>
      </c>
      <c r="J148" s="103">
        <f>MAX(0,I148-E148)</f>
        <v>0</v>
      </c>
      <c r="K148" s="103">
        <f>MAX(0,E148-MAX(0,I148))</f>
        <v>0</v>
      </c>
      <c r="L148" s="103">
        <f>MAX(0,E148+J148-G148)</f>
        <v>0</v>
      </c>
      <c r="M148" s="103">
        <f>MAX(0,H148-D148)</f>
        <v>0</v>
      </c>
      <c r="N148" s="103">
        <f>MAX(0,L148-H148)</f>
        <v>0</v>
      </c>
      <c r="O148" s="103">
        <f>MAX(MAX(I$120:I$170),MAX(E$120:E$170))</f>
        <v>0</v>
      </c>
      <c r="P148" s="104">
        <f>DATE((YEAR(AsAt)-(MONTH(AsAt)&lt;4)+28)+1,3,31)</f>
        <v>56704.0</v>
      </c>
      <c r="Q148" s="105">
        <f>J148-K148</f>
        <v>0</v>
      </c>
      <c r="R148" s="105">
        <f>-C148</f>
        <v>0</v>
      </c>
      <c r="S148" s="105">
        <f>-F148</f>
        <v>0</v>
      </c>
      <c r="T148" s="105">
        <f>-H148</f>
        <v>0</v>
      </c>
    </row>
    <row r="149" ht="15" customHeight="1">
      <c r="A149" s="55" t="str">
        <f>(YEAR(AsAt)-(MONTH(AsAt)&lt;4)+29)&amp;"/"&amp;RIGHT((YEAR(AsAt)-(MONTH(AsAt)&lt;4)+29)+1,2)</f>
        <v>2055/56</v>
      </c>
      <c r="B149" s="103">
        <f>IF(HRA="None",0,N('Projections'!$B$92))</f>
        <v>0</v>
      </c>
      <c r="C149" s="103">
        <f>IF(HRA="None",0,N('Projections'!$E$92))</f>
        <v>0</v>
      </c>
      <c r="D149" s="103">
        <f>0</f>
        <v>0</v>
      </c>
      <c r="E149" s="103">
        <f>IF(HRA="Two pools",IF($R$3,N('Projections'!$F$92),(SUMPRODUCT(LM_runs*(LN_start&lt;=$P149)*(LM_profile="EIP")*((HRA="Two pools")*(LN_fund="HRA"))*LM_eip*(LM_payments-(($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SUMPRODUCT(LM_runs*(LN_start&lt;=$P149)*(LM_profile="Annuity")*((HRA="Two pools")*(LN_fund="HRA"))*((LM_rate&gt;0)*(LM_out*(1+LM_rate)^((($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LM_annuity*((1+LM_rate)^((($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-1)/LM_safe)+(LM_rate=0)*(LM_out-LM_annuity*((($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SUMPRODUCT(LM_runs*(LN_start&lt;=$P149)*((LM_profile&lt;&gt;"EIP")*(LM_profile&lt;&gt;"Annuity"))*((HRA="Two pools")*(LN_fund="HRA"))*(LM_end&gt;$P149)*LN_principal))/1000000),0)</f>
        <v>0</v>
      </c>
      <c r="F149" s="103">
        <f>0</f>
        <v>0</v>
      </c>
      <c r="G149" s="103">
        <f>B149-C149</f>
        <v>0</v>
      </c>
      <c r="H149" s="103">
        <f>IF(HRA="Two pools",0,MAX(D149,-G149))</f>
        <v>0</v>
      </c>
      <c r="I149" s="103">
        <f>IF(HRA="Two pools",G149,G149+H149)</f>
        <v>0</v>
      </c>
      <c r="J149" s="103">
        <f>MAX(0,I149-E149)</f>
        <v>0</v>
      </c>
      <c r="K149" s="103">
        <f>MAX(0,E149-MAX(0,I149))</f>
        <v>0</v>
      </c>
      <c r="L149" s="103">
        <f>MAX(0,E149+J149-G149)</f>
        <v>0</v>
      </c>
      <c r="M149" s="103">
        <f>MAX(0,H149-D149)</f>
        <v>0</v>
      </c>
      <c r="N149" s="103">
        <f>MAX(0,L149-H149)</f>
        <v>0</v>
      </c>
      <c r="O149" s="103">
        <f>MAX(MAX(I$120:I$170),MAX(E$120:E$170))</f>
        <v>0</v>
      </c>
      <c r="P149" s="104">
        <f>DATE((YEAR(AsAt)-(MONTH(AsAt)&lt;4)+29)+1,3,31)</f>
        <v>57070.0</v>
      </c>
      <c r="Q149" s="105">
        <f>J149-K149</f>
        <v>0</v>
      </c>
      <c r="R149" s="105">
        <f>-C149</f>
        <v>0</v>
      </c>
      <c r="S149" s="105">
        <f>-F149</f>
        <v>0</v>
      </c>
      <c r="T149" s="105">
        <f>-H149</f>
        <v>0</v>
      </c>
    </row>
    <row r="150" ht="15" customHeight="1">
      <c r="A150" s="55" t="str">
        <f>(YEAR(AsAt)-(MONTH(AsAt)&lt;4)+30)&amp;"/"&amp;RIGHT((YEAR(AsAt)-(MONTH(AsAt)&lt;4)+30)+1,2)</f>
        <v>2056/57</v>
      </c>
      <c r="B150" s="103">
        <f>IF(HRA="None",0,N('Projections'!$B$93))</f>
        <v>0</v>
      </c>
      <c r="C150" s="103">
        <f>IF(HRA="None",0,N('Projections'!$E$93))</f>
        <v>0</v>
      </c>
      <c r="D150" s="103">
        <f>0</f>
        <v>0</v>
      </c>
      <c r="E150" s="103">
        <f>IF(HRA="Two pools",IF($R$3,N('Projections'!$F$93),(SUMPRODUCT(LM_runs*(LN_start&lt;=$P150)*(LM_profile="EIP")*((HRA="Two pools")*(LN_fund="HRA"))*LM_eip*(LM_payments-(($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SUMPRODUCT(LM_runs*(LN_start&lt;=$P150)*(LM_profile="Annuity")*((HRA="Two pools")*(LN_fund="HRA"))*((LM_rate&gt;0)*(LM_out*(1+LM_rate)^((($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LM_annuity*((1+LM_rate)^((($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-1)/LM_safe)+(LM_rate=0)*(LM_out-LM_annuity*((($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SUMPRODUCT(LM_runs*(LN_start&lt;=$P150)*((LM_profile&lt;&gt;"EIP")*(LM_profile&lt;&gt;"Annuity"))*((HRA="Two pools")*(LN_fund="HRA"))*(LM_end&gt;$P150)*LN_principal))/1000000),0)</f>
        <v>0</v>
      </c>
      <c r="F150" s="103">
        <f>0</f>
        <v>0</v>
      </c>
      <c r="G150" s="103">
        <f>B150-C150</f>
        <v>0</v>
      </c>
      <c r="H150" s="103">
        <f>IF(HRA="Two pools",0,MAX(D150,-G150))</f>
        <v>0</v>
      </c>
      <c r="I150" s="103">
        <f>IF(HRA="Two pools",G150,G150+H150)</f>
        <v>0</v>
      </c>
      <c r="J150" s="103">
        <f>MAX(0,I150-E150)</f>
        <v>0</v>
      </c>
      <c r="K150" s="103">
        <f>MAX(0,E150-MAX(0,I150))</f>
        <v>0</v>
      </c>
      <c r="L150" s="103">
        <f>MAX(0,E150+J150-G150)</f>
        <v>0</v>
      </c>
      <c r="M150" s="103">
        <f>MAX(0,H150-D150)</f>
        <v>0</v>
      </c>
      <c r="N150" s="103">
        <f>MAX(0,L150-H150)</f>
        <v>0</v>
      </c>
      <c r="O150" s="103">
        <f>MAX(MAX(I$120:I$170),MAX(E$120:E$170))</f>
        <v>0</v>
      </c>
      <c r="P150" s="104">
        <f>DATE((YEAR(AsAt)-(MONTH(AsAt)&lt;4)+30)+1,3,31)</f>
        <v>57435.0</v>
      </c>
      <c r="Q150" s="105">
        <f>J150-K150</f>
        <v>0</v>
      </c>
      <c r="R150" s="105">
        <f>-C150</f>
        <v>0</v>
      </c>
      <c r="S150" s="105">
        <f>-F150</f>
        <v>0</v>
      </c>
      <c r="T150" s="105">
        <f>-H150</f>
        <v>0</v>
      </c>
    </row>
    <row r="151" ht="15" customHeight="1">
      <c r="A151" s="55" t="str">
        <f>(YEAR(AsAt)-(MONTH(AsAt)&lt;4)+31)&amp;"/"&amp;RIGHT((YEAR(AsAt)-(MONTH(AsAt)&lt;4)+31)+1,2)</f>
        <v>2057/58</v>
      </c>
      <c r="B151" s="103">
        <f>IF(HRA="None",0,N('Projections'!$B$94))</f>
        <v>0</v>
      </c>
      <c r="C151" s="103">
        <f>IF(HRA="None",0,N('Projections'!$E$94))</f>
        <v>0</v>
      </c>
      <c r="D151" s="103">
        <f>0</f>
        <v>0</v>
      </c>
      <c r="E151" s="103">
        <f>IF(HRA="Two pools",IF($R$3,N('Projections'!$F$94),(SUMPRODUCT(LM_runs*(LN_start&lt;=$P151)*(LM_profile="EIP")*((HRA="Two pools")*(LN_fund="HRA"))*LM_eip*(LM_payments-(($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SUMPRODUCT(LM_runs*(LN_start&lt;=$P151)*(LM_profile="Annuity")*((HRA="Two pools")*(LN_fund="HRA"))*((LM_rate&gt;0)*(LM_out*(1+LM_rate)^((($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LM_annuity*((1+LM_rate)^((($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-1)/LM_safe)+(LM_rate=0)*(LM_out-LM_annuity*((($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SUMPRODUCT(LM_runs*(LN_start&lt;=$P151)*((LM_profile&lt;&gt;"EIP")*(LM_profile&lt;&gt;"Annuity"))*((HRA="Two pools")*(LN_fund="HRA"))*(LM_end&gt;$P151)*LN_principal))/1000000),0)</f>
        <v>0</v>
      </c>
      <c r="F151" s="103">
        <f>0</f>
        <v>0</v>
      </c>
      <c r="G151" s="103">
        <f>B151-C151</f>
        <v>0</v>
      </c>
      <c r="H151" s="103">
        <f>IF(HRA="Two pools",0,MAX(D151,-G151))</f>
        <v>0</v>
      </c>
      <c r="I151" s="103">
        <f>IF(HRA="Two pools",G151,G151+H151)</f>
        <v>0</v>
      </c>
      <c r="J151" s="103">
        <f>MAX(0,I151-E151)</f>
        <v>0</v>
      </c>
      <c r="K151" s="103">
        <f>MAX(0,E151-MAX(0,I151))</f>
        <v>0</v>
      </c>
      <c r="L151" s="103">
        <f>MAX(0,E151+J151-G151)</f>
        <v>0</v>
      </c>
      <c r="M151" s="103">
        <f>MAX(0,H151-D151)</f>
        <v>0</v>
      </c>
      <c r="N151" s="103">
        <f>MAX(0,L151-H151)</f>
        <v>0</v>
      </c>
      <c r="O151" s="103">
        <f>MAX(MAX(I$120:I$170),MAX(E$120:E$170))</f>
        <v>0</v>
      </c>
      <c r="P151" s="104">
        <f>DATE((YEAR(AsAt)-(MONTH(AsAt)&lt;4)+31)+1,3,31)</f>
        <v>57800.0</v>
      </c>
      <c r="Q151" s="105">
        <f>J151-K151</f>
        <v>0</v>
      </c>
      <c r="R151" s="105">
        <f>-C151</f>
        <v>0</v>
      </c>
      <c r="S151" s="105">
        <f>-F151</f>
        <v>0</v>
      </c>
      <c r="T151" s="105">
        <f>-H151</f>
        <v>0</v>
      </c>
    </row>
    <row r="152" ht="15" customHeight="1">
      <c r="A152" s="55" t="str">
        <f>(YEAR(AsAt)-(MONTH(AsAt)&lt;4)+32)&amp;"/"&amp;RIGHT((YEAR(AsAt)-(MONTH(AsAt)&lt;4)+32)+1,2)</f>
        <v>2058/59</v>
      </c>
      <c r="B152" s="103">
        <f>IF(HRA="None",0,N('Projections'!$B$95))</f>
        <v>0</v>
      </c>
      <c r="C152" s="103">
        <f>IF(HRA="None",0,N('Projections'!$E$95))</f>
        <v>0</v>
      </c>
      <c r="D152" s="103">
        <f>0</f>
        <v>0</v>
      </c>
      <c r="E152" s="103">
        <f>IF(HRA="Two pools",IF($R$3,N('Projections'!$F$95),(SUMPRODUCT(LM_runs*(LN_start&lt;=$P152)*(LM_profile="EIP")*((HRA="Two pools")*(LN_fund="HRA"))*LM_eip*(LM_payments-(($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SUMPRODUCT(LM_runs*(LN_start&lt;=$P152)*(LM_profile="Annuity")*((HRA="Two pools")*(LN_fund="HRA"))*((LM_rate&gt;0)*(LM_out*(1+LM_rate)^((($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LM_annuity*((1+LM_rate)^((($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-1)/LM_safe)+(LM_rate=0)*(LM_out-LM_annuity*((($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SUMPRODUCT(LM_runs*(LN_start&lt;=$P152)*((LM_profile&lt;&gt;"EIP")*(LM_profile&lt;&gt;"Annuity"))*((HRA="Two pools")*(LN_fund="HRA"))*(LM_end&gt;$P152)*LN_principal))/1000000),0)</f>
        <v>0</v>
      </c>
      <c r="F152" s="103">
        <f>0</f>
        <v>0</v>
      </c>
      <c r="G152" s="103">
        <f>B152-C152</f>
        <v>0</v>
      </c>
      <c r="H152" s="103">
        <f>IF(HRA="Two pools",0,MAX(D152,-G152))</f>
        <v>0</v>
      </c>
      <c r="I152" s="103">
        <f>IF(HRA="Two pools",G152,G152+H152)</f>
        <v>0</v>
      </c>
      <c r="J152" s="103">
        <f>MAX(0,I152-E152)</f>
        <v>0</v>
      </c>
      <c r="K152" s="103">
        <f>MAX(0,E152-MAX(0,I152))</f>
        <v>0</v>
      </c>
      <c r="L152" s="103">
        <f>MAX(0,E152+J152-G152)</f>
        <v>0</v>
      </c>
      <c r="M152" s="103">
        <f>MAX(0,H152-D152)</f>
        <v>0</v>
      </c>
      <c r="N152" s="103">
        <f>MAX(0,L152-H152)</f>
        <v>0</v>
      </c>
      <c r="O152" s="103">
        <f>MAX(MAX(I$120:I$170),MAX(E$120:E$170))</f>
        <v>0</v>
      </c>
      <c r="P152" s="104">
        <f>DATE((YEAR(AsAt)-(MONTH(AsAt)&lt;4)+32)+1,3,31)</f>
        <v>58165.0</v>
      </c>
      <c r="Q152" s="105">
        <f>J152-K152</f>
        <v>0</v>
      </c>
      <c r="R152" s="105">
        <f>-C152</f>
        <v>0</v>
      </c>
      <c r="S152" s="105">
        <f>-F152</f>
        <v>0</v>
      </c>
      <c r="T152" s="105">
        <f>-H152</f>
        <v>0</v>
      </c>
    </row>
    <row r="153" ht="15" customHeight="1">
      <c r="A153" s="55" t="str">
        <f>(YEAR(AsAt)-(MONTH(AsAt)&lt;4)+33)&amp;"/"&amp;RIGHT((YEAR(AsAt)-(MONTH(AsAt)&lt;4)+33)+1,2)</f>
        <v>2059/60</v>
      </c>
      <c r="B153" s="103">
        <f>IF(HRA="None",0,N('Projections'!$B$96))</f>
        <v>0</v>
      </c>
      <c r="C153" s="103">
        <f>IF(HRA="None",0,N('Projections'!$E$96))</f>
        <v>0</v>
      </c>
      <c r="D153" s="103">
        <f>0</f>
        <v>0</v>
      </c>
      <c r="E153" s="103">
        <f>IF(HRA="Two pools",IF($R$3,N('Projections'!$F$96),(SUMPRODUCT(LM_runs*(LN_start&lt;=$P153)*(LM_profile="EIP")*((HRA="Two pools")*(LN_fund="HRA"))*LM_eip*(LM_payments-(($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SUMPRODUCT(LM_runs*(LN_start&lt;=$P153)*(LM_profile="Annuity")*((HRA="Two pools")*(LN_fund="HRA"))*((LM_rate&gt;0)*(LM_out*(1+LM_rate)^((($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LM_annuity*((1+LM_rate)^((($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-1)/LM_safe)+(LM_rate=0)*(LM_out-LM_annuity*((($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SUMPRODUCT(LM_runs*(LN_start&lt;=$P153)*((LM_profile&lt;&gt;"EIP")*(LM_profile&lt;&gt;"Annuity"))*((HRA="Two pools")*(LN_fund="HRA"))*(LM_end&gt;$P153)*LN_principal))/1000000),0)</f>
        <v>0</v>
      </c>
      <c r="F153" s="103">
        <f>0</f>
        <v>0</v>
      </c>
      <c r="G153" s="103">
        <f>B153-C153</f>
        <v>0</v>
      </c>
      <c r="H153" s="103">
        <f>IF(HRA="Two pools",0,MAX(D153,-G153))</f>
        <v>0</v>
      </c>
      <c r="I153" s="103">
        <f>IF(HRA="Two pools",G153,G153+H153)</f>
        <v>0</v>
      </c>
      <c r="J153" s="103">
        <f>MAX(0,I153-E153)</f>
        <v>0</v>
      </c>
      <c r="K153" s="103">
        <f>MAX(0,E153-MAX(0,I153))</f>
        <v>0</v>
      </c>
      <c r="L153" s="103">
        <f>MAX(0,E153+J153-G153)</f>
        <v>0</v>
      </c>
      <c r="M153" s="103">
        <f>MAX(0,H153-D153)</f>
        <v>0</v>
      </c>
      <c r="N153" s="103">
        <f>MAX(0,L153-H153)</f>
        <v>0</v>
      </c>
      <c r="O153" s="103">
        <f>MAX(MAX(I$120:I$170),MAX(E$120:E$170))</f>
        <v>0</v>
      </c>
      <c r="P153" s="104">
        <f>DATE((YEAR(AsAt)-(MONTH(AsAt)&lt;4)+33)+1,3,31)</f>
        <v>58531.0</v>
      </c>
      <c r="Q153" s="105">
        <f>J153-K153</f>
        <v>0</v>
      </c>
      <c r="R153" s="105">
        <f>-C153</f>
        <v>0</v>
      </c>
      <c r="S153" s="105">
        <f>-F153</f>
        <v>0</v>
      </c>
      <c r="T153" s="105">
        <f>-H153</f>
        <v>0</v>
      </c>
    </row>
    <row r="154" ht="15" customHeight="1">
      <c r="A154" s="55" t="str">
        <f>(YEAR(AsAt)-(MONTH(AsAt)&lt;4)+34)&amp;"/"&amp;RIGHT((YEAR(AsAt)-(MONTH(AsAt)&lt;4)+34)+1,2)</f>
        <v>2060/61</v>
      </c>
      <c r="B154" s="103">
        <f>IF(HRA="None",0,N('Projections'!$B$97))</f>
        <v>0</v>
      </c>
      <c r="C154" s="103">
        <f>IF(HRA="None",0,N('Projections'!$E$97))</f>
        <v>0</v>
      </c>
      <c r="D154" s="103">
        <f>0</f>
        <v>0</v>
      </c>
      <c r="E154" s="103">
        <f>IF(HRA="Two pools",IF($R$3,N('Projections'!$F$97),(SUMPRODUCT(LM_runs*(LN_start&lt;=$P154)*(LM_profile="EIP")*((HRA="Two pools")*(LN_fund="HRA"))*LM_eip*(LM_payments-(($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SUMPRODUCT(LM_runs*(LN_start&lt;=$P154)*(LM_profile="Annuity")*((HRA="Two pools")*(LN_fund="HRA"))*((LM_rate&gt;0)*(LM_out*(1+LM_rate)^((($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LM_annuity*((1+LM_rate)^((($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-1)/LM_safe)+(LM_rate=0)*(LM_out-LM_annuity*((($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SUMPRODUCT(LM_runs*(LN_start&lt;=$P154)*((LM_profile&lt;&gt;"EIP")*(LM_profile&lt;&gt;"Annuity"))*((HRA="Two pools")*(LN_fund="HRA"))*(LM_end&gt;$P154)*LN_principal))/1000000),0)</f>
        <v>0</v>
      </c>
      <c r="F154" s="103">
        <f>0</f>
        <v>0</v>
      </c>
      <c r="G154" s="103">
        <f>B154-C154</f>
        <v>0</v>
      </c>
      <c r="H154" s="103">
        <f>IF(HRA="Two pools",0,MAX(D154,-G154))</f>
        <v>0</v>
      </c>
      <c r="I154" s="103">
        <f>IF(HRA="Two pools",G154,G154+H154)</f>
        <v>0</v>
      </c>
      <c r="J154" s="103">
        <f>MAX(0,I154-E154)</f>
        <v>0</v>
      </c>
      <c r="K154" s="103">
        <f>MAX(0,E154-MAX(0,I154))</f>
        <v>0</v>
      </c>
      <c r="L154" s="103">
        <f>MAX(0,E154+J154-G154)</f>
        <v>0</v>
      </c>
      <c r="M154" s="103">
        <f>MAX(0,H154-D154)</f>
        <v>0</v>
      </c>
      <c r="N154" s="103">
        <f>MAX(0,L154-H154)</f>
        <v>0</v>
      </c>
      <c r="O154" s="103">
        <f>MAX(MAX(I$120:I$170),MAX(E$120:E$170))</f>
        <v>0</v>
      </c>
      <c r="P154" s="104">
        <f>DATE((YEAR(AsAt)-(MONTH(AsAt)&lt;4)+34)+1,3,31)</f>
        <v>58896.0</v>
      </c>
      <c r="Q154" s="105">
        <f>J154-K154</f>
        <v>0</v>
      </c>
      <c r="R154" s="105">
        <f>-C154</f>
        <v>0</v>
      </c>
      <c r="S154" s="105">
        <f>-F154</f>
        <v>0</v>
      </c>
      <c r="T154" s="105">
        <f>-H154</f>
        <v>0</v>
      </c>
    </row>
    <row r="155" ht="15" customHeight="1">
      <c r="A155" s="55" t="str">
        <f>(YEAR(AsAt)-(MONTH(AsAt)&lt;4)+35)&amp;"/"&amp;RIGHT((YEAR(AsAt)-(MONTH(AsAt)&lt;4)+35)+1,2)</f>
        <v>2061/62</v>
      </c>
      <c r="B155" s="103">
        <f>IF(HRA="None",0,N('Projections'!$B$98))</f>
        <v>0</v>
      </c>
      <c r="C155" s="103">
        <f>IF(HRA="None",0,N('Projections'!$E$98))</f>
        <v>0</v>
      </c>
      <c r="D155" s="103">
        <f>0</f>
        <v>0</v>
      </c>
      <c r="E155" s="103">
        <f>IF(HRA="Two pools",IF($R$3,N('Projections'!$F$98),(SUMPRODUCT(LM_runs*(LN_start&lt;=$P155)*(LM_profile="EIP")*((HRA="Two pools")*(LN_fund="HRA"))*LM_eip*(LM_payments-(($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SUMPRODUCT(LM_runs*(LN_start&lt;=$P155)*(LM_profile="Annuity")*((HRA="Two pools")*(LN_fund="HRA"))*((LM_rate&gt;0)*(LM_out*(1+LM_rate)^((($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LM_annuity*((1+LM_rate)^((($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-1)/LM_safe)+(LM_rate=0)*(LM_out-LM_annuity*((($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SUMPRODUCT(LM_runs*(LN_start&lt;=$P155)*((LM_profile&lt;&gt;"EIP")*(LM_profile&lt;&gt;"Annuity"))*((HRA="Two pools")*(LN_fund="HRA"))*(LM_end&gt;$P155)*LN_principal))/1000000),0)</f>
        <v>0</v>
      </c>
      <c r="F155" s="103">
        <f>0</f>
        <v>0</v>
      </c>
      <c r="G155" s="103">
        <f>B155-C155</f>
        <v>0</v>
      </c>
      <c r="H155" s="103">
        <f>IF(HRA="Two pools",0,MAX(D155,-G155))</f>
        <v>0</v>
      </c>
      <c r="I155" s="103">
        <f>IF(HRA="Two pools",G155,G155+H155)</f>
        <v>0</v>
      </c>
      <c r="J155" s="103">
        <f>MAX(0,I155-E155)</f>
        <v>0</v>
      </c>
      <c r="K155" s="103">
        <f>MAX(0,E155-MAX(0,I155))</f>
        <v>0</v>
      </c>
      <c r="L155" s="103">
        <f>MAX(0,E155+J155-G155)</f>
        <v>0</v>
      </c>
      <c r="M155" s="103">
        <f>MAX(0,H155-D155)</f>
        <v>0</v>
      </c>
      <c r="N155" s="103">
        <f>MAX(0,L155-H155)</f>
        <v>0</v>
      </c>
      <c r="O155" s="103">
        <f>MAX(MAX(I$120:I$170),MAX(E$120:E$170))</f>
        <v>0</v>
      </c>
      <c r="P155" s="104">
        <f>DATE((YEAR(AsAt)-(MONTH(AsAt)&lt;4)+35)+1,3,31)</f>
        <v>59261.0</v>
      </c>
      <c r="Q155" s="105">
        <f>J155-K155</f>
        <v>0</v>
      </c>
      <c r="R155" s="105">
        <f>-C155</f>
        <v>0</v>
      </c>
      <c r="S155" s="105">
        <f>-F155</f>
        <v>0</v>
      </c>
      <c r="T155" s="105">
        <f>-H155</f>
        <v>0</v>
      </c>
    </row>
    <row r="156" ht="15" customHeight="1">
      <c r="A156" s="55" t="str">
        <f>(YEAR(AsAt)-(MONTH(AsAt)&lt;4)+36)&amp;"/"&amp;RIGHT((YEAR(AsAt)-(MONTH(AsAt)&lt;4)+36)+1,2)</f>
        <v>2062/63</v>
      </c>
      <c r="B156" s="103">
        <f>IF(HRA="None",0,N('Projections'!$B$99))</f>
        <v>0</v>
      </c>
      <c r="C156" s="103">
        <f>IF(HRA="None",0,N('Projections'!$E$99))</f>
        <v>0</v>
      </c>
      <c r="D156" s="103">
        <f>0</f>
        <v>0</v>
      </c>
      <c r="E156" s="103">
        <f>IF(HRA="Two pools",IF($R$3,N('Projections'!$F$99),(SUMPRODUCT(LM_runs*(LN_start&lt;=$P156)*(LM_profile="EIP")*((HRA="Two pools")*(LN_fund="HRA"))*LM_eip*(LM_payments-(($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SUMPRODUCT(LM_runs*(LN_start&lt;=$P156)*(LM_profile="Annuity")*((HRA="Two pools")*(LN_fund="HRA"))*((LM_rate&gt;0)*(LM_out*(1+LM_rate)^((($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LM_annuity*((1+LM_rate)^((($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-1)/LM_safe)+(LM_rate=0)*(LM_out-LM_annuity*((($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SUMPRODUCT(LM_runs*(LN_start&lt;=$P156)*((LM_profile&lt;&gt;"EIP")*(LM_profile&lt;&gt;"Annuity"))*((HRA="Two pools")*(LN_fund="HRA"))*(LM_end&gt;$P156)*LN_principal))/1000000),0)</f>
        <v>0</v>
      </c>
      <c r="F156" s="103">
        <f>0</f>
        <v>0</v>
      </c>
      <c r="G156" s="103">
        <f>B156-C156</f>
        <v>0</v>
      </c>
      <c r="H156" s="103">
        <f>IF(HRA="Two pools",0,MAX(D156,-G156))</f>
        <v>0</v>
      </c>
      <c r="I156" s="103">
        <f>IF(HRA="Two pools",G156,G156+H156)</f>
        <v>0</v>
      </c>
      <c r="J156" s="103">
        <f>MAX(0,I156-E156)</f>
        <v>0</v>
      </c>
      <c r="K156" s="103">
        <f>MAX(0,E156-MAX(0,I156))</f>
        <v>0</v>
      </c>
      <c r="L156" s="103">
        <f>MAX(0,E156+J156-G156)</f>
        <v>0</v>
      </c>
      <c r="M156" s="103">
        <f>MAX(0,H156-D156)</f>
        <v>0</v>
      </c>
      <c r="N156" s="103">
        <f>MAX(0,L156-H156)</f>
        <v>0</v>
      </c>
      <c r="O156" s="103">
        <f>MAX(MAX(I$120:I$170),MAX(E$120:E$170))</f>
        <v>0</v>
      </c>
      <c r="P156" s="104">
        <f>DATE((YEAR(AsAt)-(MONTH(AsAt)&lt;4)+36)+1,3,31)</f>
        <v>59626.0</v>
      </c>
      <c r="Q156" s="105">
        <f>J156-K156</f>
        <v>0</v>
      </c>
      <c r="R156" s="105">
        <f>-C156</f>
        <v>0</v>
      </c>
      <c r="S156" s="105">
        <f>-F156</f>
        <v>0</v>
      </c>
      <c r="T156" s="105">
        <f>-H156</f>
        <v>0</v>
      </c>
    </row>
    <row r="157" ht="15" customHeight="1">
      <c r="A157" s="55" t="str">
        <f>(YEAR(AsAt)-(MONTH(AsAt)&lt;4)+37)&amp;"/"&amp;RIGHT((YEAR(AsAt)-(MONTH(AsAt)&lt;4)+37)+1,2)</f>
        <v>2063/64</v>
      </c>
      <c r="B157" s="103">
        <f>IF(HRA="None",0,N('Projections'!$B$100))</f>
        <v>0</v>
      </c>
      <c r="C157" s="103">
        <f>IF(HRA="None",0,N('Projections'!$E$100))</f>
        <v>0</v>
      </c>
      <c r="D157" s="103">
        <f>0</f>
        <v>0</v>
      </c>
      <c r="E157" s="103">
        <f>IF(HRA="Two pools",IF($R$3,N('Projections'!$F$100),(SUMPRODUCT(LM_runs*(LN_start&lt;=$P157)*(LM_profile="EIP")*((HRA="Two pools")*(LN_fund="HRA"))*LM_eip*(LM_payments-(($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SUMPRODUCT(LM_runs*(LN_start&lt;=$P157)*(LM_profile="Annuity")*((HRA="Two pools")*(LN_fund="HRA"))*((LM_rate&gt;0)*(LM_out*(1+LM_rate)^((($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LM_annuity*((1+LM_rate)^((($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-1)/LM_safe)+(LM_rate=0)*(LM_out-LM_annuity*((($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SUMPRODUCT(LM_runs*(LN_start&lt;=$P157)*((LM_profile&lt;&gt;"EIP")*(LM_profile&lt;&gt;"Annuity"))*((HRA="Two pools")*(LN_fund="HRA"))*(LM_end&gt;$P157)*LN_principal))/1000000),0)</f>
        <v>0</v>
      </c>
      <c r="F157" s="103">
        <f>0</f>
        <v>0</v>
      </c>
      <c r="G157" s="103">
        <f>B157-C157</f>
        <v>0</v>
      </c>
      <c r="H157" s="103">
        <f>IF(HRA="Two pools",0,MAX(D157,-G157))</f>
        <v>0</v>
      </c>
      <c r="I157" s="103">
        <f>IF(HRA="Two pools",G157,G157+H157)</f>
        <v>0</v>
      </c>
      <c r="J157" s="103">
        <f>MAX(0,I157-E157)</f>
        <v>0</v>
      </c>
      <c r="K157" s="103">
        <f>MAX(0,E157-MAX(0,I157))</f>
        <v>0</v>
      </c>
      <c r="L157" s="103">
        <f>MAX(0,E157+J157-G157)</f>
        <v>0</v>
      </c>
      <c r="M157" s="103">
        <f>MAX(0,H157-D157)</f>
        <v>0</v>
      </c>
      <c r="N157" s="103">
        <f>MAX(0,L157-H157)</f>
        <v>0</v>
      </c>
      <c r="O157" s="103">
        <f>MAX(MAX(I$120:I$170),MAX(E$120:E$170))</f>
        <v>0</v>
      </c>
      <c r="P157" s="104">
        <f>DATE((YEAR(AsAt)-(MONTH(AsAt)&lt;4)+37)+1,3,31)</f>
        <v>59992.0</v>
      </c>
      <c r="Q157" s="105">
        <f>J157-K157</f>
        <v>0</v>
      </c>
      <c r="R157" s="105">
        <f>-C157</f>
        <v>0</v>
      </c>
      <c r="S157" s="105">
        <f>-F157</f>
        <v>0</v>
      </c>
      <c r="T157" s="105">
        <f>-H157</f>
        <v>0</v>
      </c>
    </row>
    <row r="158" ht="15" customHeight="1">
      <c r="A158" s="55" t="str">
        <f>(YEAR(AsAt)-(MONTH(AsAt)&lt;4)+38)&amp;"/"&amp;RIGHT((YEAR(AsAt)-(MONTH(AsAt)&lt;4)+38)+1,2)</f>
        <v>2064/65</v>
      </c>
      <c r="B158" s="103">
        <f>IF(HRA="None",0,N('Projections'!$B$101))</f>
        <v>0</v>
      </c>
      <c r="C158" s="103">
        <f>IF(HRA="None",0,N('Projections'!$E$101))</f>
        <v>0</v>
      </c>
      <c r="D158" s="103">
        <f>0</f>
        <v>0</v>
      </c>
      <c r="E158" s="103">
        <f>IF(HRA="Two pools",IF($R$3,N('Projections'!$F$101),(SUMPRODUCT(LM_runs*(LN_start&lt;=$P158)*(LM_profile="EIP")*((HRA="Two pools")*(LN_fund="HRA"))*LM_eip*(LM_payments-(($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SUMPRODUCT(LM_runs*(LN_start&lt;=$P158)*(LM_profile="Annuity")*((HRA="Two pools")*(LN_fund="HRA"))*((LM_rate&gt;0)*(LM_out*(1+LM_rate)^((($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LM_annuity*((1+LM_rate)^((($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-1)/LM_safe)+(LM_rate=0)*(LM_out-LM_annuity*((($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SUMPRODUCT(LM_runs*(LN_start&lt;=$P158)*((LM_profile&lt;&gt;"EIP")*(LM_profile&lt;&gt;"Annuity"))*((HRA="Two pools")*(LN_fund="HRA"))*(LM_end&gt;$P158)*LN_principal))/1000000),0)</f>
        <v>0</v>
      </c>
      <c r="F158" s="103">
        <f>0</f>
        <v>0</v>
      </c>
      <c r="G158" s="103">
        <f>B158-C158</f>
        <v>0</v>
      </c>
      <c r="H158" s="103">
        <f>IF(HRA="Two pools",0,MAX(D158,-G158))</f>
        <v>0</v>
      </c>
      <c r="I158" s="103">
        <f>IF(HRA="Two pools",G158,G158+H158)</f>
        <v>0</v>
      </c>
      <c r="J158" s="103">
        <f>MAX(0,I158-E158)</f>
        <v>0</v>
      </c>
      <c r="K158" s="103">
        <f>MAX(0,E158-MAX(0,I158))</f>
        <v>0</v>
      </c>
      <c r="L158" s="103">
        <f>MAX(0,E158+J158-G158)</f>
        <v>0</v>
      </c>
      <c r="M158" s="103">
        <f>MAX(0,H158-D158)</f>
        <v>0</v>
      </c>
      <c r="N158" s="103">
        <f>MAX(0,L158-H158)</f>
        <v>0</v>
      </c>
      <c r="O158" s="103">
        <f>MAX(MAX(I$120:I$170),MAX(E$120:E$170))</f>
        <v>0</v>
      </c>
      <c r="P158" s="104">
        <f>DATE((YEAR(AsAt)-(MONTH(AsAt)&lt;4)+38)+1,3,31)</f>
        <v>60357.0</v>
      </c>
      <c r="Q158" s="105">
        <f>J158-K158</f>
        <v>0</v>
      </c>
      <c r="R158" s="105">
        <f>-C158</f>
        <v>0</v>
      </c>
      <c r="S158" s="105">
        <f>-F158</f>
        <v>0</v>
      </c>
      <c r="T158" s="105">
        <f>-H158</f>
        <v>0</v>
      </c>
    </row>
    <row r="159" ht="15" customHeight="1">
      <c r="A159" s="55" t="str">
        <f>(YEAR(AsAt)-(MONTH(AsAt)&lt;4)+39)&amp;"/"&amp;RIGHT((YEAR(AsAt)-(MONTH(AsAt)&lt;4)+39)+1,2)</f>
        <v>2065/66</v>
      </c>
      <c r="B159" s="103">
        <f>IF(HRA="None",0,N('Projections'!$B$102))</f>
        <v>0</v>
      </c>
      <c r="C159" s="103">
        <f>IF(HRA="None",0,N('Projections'!$E$102))</f>
        <v>0</v>
      </c>
      <c r="D159" s="103">
        <f>0</f>
        <v>0</v>
      </c>
      <c r="E159" s="103">
        <f>IF(HRA="Two pools",IF($R$3,N('Projections'!$F$102),(SUMPRODUCT(LM_runs*(LN_start&lt;=$P159)*(LM_profile="EIP")*((HRA="Two pools")*(LN_fund="HRA"))*LM_eip*(LM_payments-(($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SUMPRODUCT(LM_runs*(LN_start&lt;=$P159)*(LM_profile="Annuity")*((HRA="Two pools")*(LN_fund="HRA"))*((LM_rate&gt;0)*(LM_out*(1+LM_rate)^((($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LM_annuity*((1+LM_rate)^((($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-1)/LM_safe)+(LM_rate=0)*(LM_out-LM_annuity*((($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SUMPRODUCT(LM_runs*(LN_start&lt;=$P159)*((LM_profile&lt;&gt;"EIP")*(LM_profile&lt;&gt;"Annuity"))*((HRA="Two pools")*(LN_fund="HRA"))*(LM_end&gt;$P159)*LN_principal))/1000000),0)</f>
        <v>0</v>
      </c>
      <c r="F159" s="103">
        <f>0</f>
        <v>0</v>
      </c>
      <c r="G159" s="103">
        <f>B159-C159</f>
        <v>0</v>
      </c>
      <c r="H159" s="103">
        <f>IF(HRA="Two pools",0,MAX(D159,-G159))</f>
        <v>0</v>
      </c>
      <c r="I159" s="103">
        <f>IF(HRA="Two pools",G159,G159+H159)</f>
        <v>0</v>
      </c>
      <c r="J159" s="103">
        <f>MAX(0,I159-E159)</f>
        <v>0</v>
      </c>
      <c r="K159" s="103">
        <f>MAX(0,E159-MAX(0,I159))</f>
        <v>0</v>
      </c>
      <c r="L159" s="103">
        <f>MAX(0,E159+J159-G159)</f>
        <v>0</v>
      </c>
      <c r="M159" s="103">
        <f>MAX(0,H159-D159)</f>
        <v>0</v>
      </c>
      <c r="N159" s="103">
        <f>MAX(0,L159-H159)</f>
        <v>0</v>
      </c>
      <c r="O159" s="103">
        <f>MAX(MAX(I$120:I$170),MAX(E$120:E$170))</f>
        <v>0</v>
      </c>
      <c r="P159" s="104">
        <f>DATE((YEAR(AsAt)-(MONTH(AsAt)&lt;4)+39)+1,3,31)</f>
        <v>60722.0</v>
      </c>
      <c r="Q159" s="105">
        <f>J159-K159</f>
        <v>0</v>
      </c>
      <c r="R159" s="105">
        <f>-C159</f>
        <v>0</v>
      </c>
      <c r="S159" s="105">
        <f>-F159</f>
        <v>0</v>
      </c>
      <c r="T159" s="105">
        <f>-H159</f>
        <v>0</v>
      </c>
    </row>
    <row r="160" ht="15" customHeight="1">
      <c r="A160" s="55" t="str">
        <f>(YEAR(AsAt)-(MONTH(AsAt)&lt;4)+40)&amp;"/"&amp;RIGHT((YEAR(AsAt)-(MONTH(AsAt)&lt;4)+40)+1,2)</f>
        <v>2066/67</v>
      </c>
      <c r="B160" s="103">
        <f>IF(HRA="None",0,N('Projections'!$B$103))</f>
        <v>0</v>
      </c>
      <c r="C160" s="103">
        <f>IF(HRA="None",0,N('Projections'!$E$103))</f>
        <v>0</v>
      </c>
      <c r="D160" s="103">
        <f>0</f>
        <v>0</v>
      </c>
      <c r="E160" s="103">
        <f>IF(HRA="Two pools",IF($R$3,N('Projections'!$F$103),(SUMPRODUCT(LM_runs*(LN_start&lt;=$P160)*(LM_profile="EIP")*((HRA="Two pools")*(LN_fund="HRA"))*LM_eip*(LM_payments-(($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SUMPRODUCT(LM_runs*(LN_start&lt;=$P160)*(LM_profile="Annuity")*((HRA="Two pools")*(LN_fund="HRA"))*((LM_rate&gt;0)*(LM_out*(1+LM_rate)^((($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LM_annuity*((1+LM_rate)^((($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-1)/LM_safe)+(LM_rate=0)*(LM_out-LM_annuity*((($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SUMPRODUCT(LM_runs*(LN_start&lt;=$P160)*((LM_profile&lt;&gt;"EIP")*(LM_profile&lt;&gt;"Annuity"))*((HRA="Two pools")*(LN_fund="HRA"))*(LM_end&gt;$P160)*LN_principal))/1000000),0)</f>
        <v>0</v>
      </c>
      <c r="F160" s="103">
        <f>0</f>
        <v>0</v>
      </c>
      <c r="G160" s="103">
        <f>B160-C160</f>
        <v>0</v>
      </c>
      <c r="H160" s="103">
        <f>IF(HRA="Two pools",0,MAX(D160,-G160))</f>
        <v>0</v>
      </c>
      <c r="I160" s="103">
        <f>IF(HRA="Two pools",G160,G160+H160)</f>
        <v>0</v>
      </c>
      <c r="J160" s="103">
        <f>MAX(0,I160-E160)</f>
        <v>0</v>
      </c>
      <c r="K160" s="103">
        <f>MAX(0,E160-MAX(0,I160))</f>
        <v>0</v>
      </c>
      <c r="L160" s="103">
        <f>MAX(0,E160+J160-G160)</f>
        <v>0</v>
      </c>
      <c r="M160" s="103">
        <f>MAX(0,H160-D160)</f>
        <v>0</v>
      </c>
      <c r="N160" s="103">
        <f>MAX(0,L160-H160)</f>
        <v>0</v>
      </c>
      <c r="O160" s="103">
        <f>MAX(MAX(I$120:I$170),MAX(E$120:E$170))</f>
        <v>0</v>
      </c>
      <c r="P160" s="104">
        <f>DATE((YEAR(AsAt)-(MONTH(AsAt)&lt;4)+40)+1,3,31)</f>
        <v>61087.0</v>
      </c>
      <c r="Q160" s="105">
        <f>J160-K160</f>
        <v>0</v>
      </c>
      <c r="R160" s="105">
        <f>-C160</f>
        <v>0</v>
      </c>
      <c r="S160" s="105">
        <f>-F160</f>
        <v>0</v>
      </c>
      <c r="T160" s="105">
        <f>-H160</f>
        <v>0</v>
      </c>
    </row>
    <row r="161" ht="15" customHeight="1">
      <c r="A161" s="55" t="str">
        <f>(YEAR(AsAt)-(MONTH(AsAt)&lt;4)+41)&amp;"/"&amp;RIGHT((YEAR(AsAt)-(MONTH(AsAt)&lt;4)+41)+1,2)</f>
        <v>2067/68</v>
      </c>
      <c r="B161" s="103">
        <f>IF(HRA="None",0,N('Projections'!$B$104))</f>
        <v>0</v>
      </c>
      <c r="C161" s="103">
        <f>IF(HRA="None",0,N('Projections'!$E$104))</f>
        <v>0</v>
      </c>
      <c r="D161" s="103">
        <f>0</f>
        <v>0</v>
      </c>
      <c r="E161" s="103">
        <f>IF(HRA="Two pools",IF($R$3,N('Projections'!$F$104),(SUMPRODUCT(LM_runs*(LN_start&lt;=$P161)*(LM_profile="EIP")*((HRA="Two pools")*(LN_fund="HRA"))*LM_eip*(LM_payments-(($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SUMPRODUCT(LM_runs*(LN_start&lt;=$P161)*(LM_profile="Annuity")*((HRA="Two pools")*(LN_fund="HRA"))*((LM_rate&gt;0)*(LM_out*(1+LM_rate)^((($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LM_annuity*((1+LM_rate)^((($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-1)/LM_safe)+(LM_rate=0)*(LM_out-LM_annuity*((($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SUMPRODUCT(LM_runs*(LN_start&lt;=$P161)*((LM_profile&lt;&gt;"EIP")*(LM_profile&lt;&gt;"Annuity"))*((HRA="Two pools")*(LN_fund="HRA"))*(LM_end&gt;$P161)*LN_principal))/1000000),0)</f>
        <v>0</v>
      </c>
      <c r="F161" s="103">
        <f>0</f>
        <v>0</v>
      </c>
      <c r="G161" s="103">
        <f>B161-C161</f>
        <v>0</v>
      </c>
      <c r="H161" s="103">
        <f>IF(HRA="Two pools",0,MAX(D161,-G161))</f>
        <v>0</v>
      </c>
      <c r="I161" s="103">
        <f>IF(HRA="Two pools",G161,G161+H161)</f>
        <v>0</v>
      </c>
      <c r="J161" s="103">
        <f>MAX(0,I161-E161)</f>
        <v>0</v>
      </c>
      <c r="K161" s="103">
        <f>MAX(0,E161-MAX(0,I161))</f>
        <v>0</v>
      </c>
      <c r="L161" s="103">
        <f>MAX(0,E161+J161-G161)</f>
        <v>0</v>
      </c>
      <c r="M161" s="103">
        <f>MAX(0,H161-D161)</f>
        <v>0</v>
      </c>
      <c r="N161" s="103">
        <f>MAX(0,L161-H161)</f>
        <v>0</v>
      </c>
      <c r="O161" s="103">
        <f>MAX(MAX(I$120:I$170),MAX(E$120:E$170))</f>
        <v>0</v>
      </c>
      <c r="P161" s="104">
        <f>DATE((YEAR(AsAt)-(MONTH(AsAt)&lt;4)+41)+1,3,31)</f>
        <v>61453.0</v>
      </c>
      <c r="Q161" s="105">
        <f>J161-K161</f>
        <v>0</v>
      </c>
      <c r="R161" s="105">
        <f>-C161</f>
        <v>0</v>
      </c>
      <c r="S161" s="105">
        <f>-F161</f>
        <v>0</v>
      </c>
      <c r="T161" s="105">
        <f>-H161</f>
        <v>0</v>
      </c>
    </row>
    <row r="162" ht="15" customHeight="1">
      <c r="A162" s="55" t="str">
        <f>(YEAR(AsAt)-(MONTH(AsAt)&lt;4)+42)&amp;"/"&amp;RIGHT((YEAR(AsAt)-(MONTH(AsAt)&lt;4)+42)+1,2)</f>
        <v>2068/69</v>
      </c>
      <c r="B162" s="103">
        <f>IF(HRA="None",0,N('Projections'!$B$105))</f>
        <v>0</v>
      </c>
      <c r="C162" s="103">
        <f>IF(HRA="None",0,N('Projections'!$E$105))</f>
        <v>0</v>
      </c>
      <c r="D162" s="103">
        <f>0</f>
        <v>0</v>
      </c>
      <c r="E162" s="103">
        <f>IF(HRA="Two pools",IF($R$3,N('Projections'!$F$105),(SUMPRODUCT(LM_runs*(LN_start&lt;=$P162)*(LM_profile="EIP")*((HRA="Two pools")*(LN_fund="HRA"))*LM_eip*(LM_payments-(($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SUMPRODUCT(LM_runs*(LN_start&lt;=$P162)*(LM_profile="Annuity")*((HRA="Two pools")*(LN_fund="HRA"))*((LM_rate&gt;0)*(LM_out*(1+LM_rate)^((($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LM_annuity*((1+LM_rate)^((($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-1)/LM_safe)+(LM_rate=0)*(LM_out-LM_annuity*((($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SUMPRODUCT(LM_runs*(LN_start&lt;=$P162)*((LM_profile&lt;&gt;"EIP")*(LM_profile&lt;&gt;"Annuity"))*((HRA="Two pools")*(LN_fund="HRA"))*(LM_end&gt;$P162)*LN_principal))/1000000),0)</f>
        <v>0</v>
      </c>
      <c r="F162" s="103">
        <f>0</f>
        <v>0</v>
      </c>
      <c r="G162" s="103">
        <f>B162-C162</f>
        <v>0</v>
      </c>
      <c r="H162" s="103">
        <f>IF(HRA="Two pools",0,MAX(D162,-G162))</f>
        <v>0</v>
      </c>
      <c r="I162" s="103">
        <f>IF(HRA="Two pools",G162,G162+H162)</f>
        <v>0</v>
      </c>
      <c r="J162" s="103">
        <f>MAX(0,I162-E162)</f>
        <v>0</v>
      </c>
      <c r="K162" s="103">
        <f>MAX(0,E162-MAX(0,I162))</f>
        <v>0</v>
      </c>
      <c r="L162" s="103">
        <f>MAX(0,E162+J162-G162)</f>
        <v>0</v>
      </c>
      <c r="M162" s="103">
        <f>MAX(0,H162-D162)</f>
        <v>0</v>
      </c>
      <c r="N162" s="103">
        <f>MAX(0,L162-H162)</f>
        <v>0</v>
      </c>
      <c r="O162" s="103">
        <f>MAX(MAX(I$120:I$170),MAX(E$120:E$170))</f>
        <v>0</v>
      </c>
      <c r="P162" s="104">
        <f>DATE((YEAR(AsAt)-(MONTH(AsAt)&lt;4)+42)+1,3,31)</f>
        <v>61818.0</v>
      </c>
      <c r="Q162" s="105">
        <f>J162-K162</f>
        <v>0</v>
      </c>
      <c r="R162" s="105">
        <f>-C162</f>
        <v>0</v>
      </c>
      <c r="S162" s="105">
        <f>-F162</f>
        <v>0</v>
      </c>
      <c r="T162" s="105">
        <f>-H162</f>
        <v>0</v>
      </c>
    </row>
    <row r="163" ht="15" customHeight="1">
      <c r="A163" s="55" t="str">
        <f>(YEAR(AsAt)-(MONTH(AsAt)&lt;4)+43)&amp;"/"&amp;RIGHT((YEAR(AsAt)-(MONTH(AsAt)&lt;4)+43)+1,2)</f>
        <v>2069/70</v>
      </c>
      <c r="B163" s="103">
        <f>IF(HRA="None",0,N('Projections'!$B$106))</f>
        <v>0</v>
      </c>
      <c r="C163" s="103">
        <f>IF(HRA="None",0,N('Projections'!$E$106))</f>
        <v>0</v>
      </c>
      <c r="D163" s="103">
        <f>0</f>
        <v>0</v>
      </c>
      <c r="E163" s="103">
        <f>IF(HRA="Two pools",IF($R$3,N('Projections'!$F$106),(SUMPRODUCT(LM_runs*(LN_start&lt;=$P163)*(LM_profile="EIP")*((HRA="Two pools")*(LN_fund="HRA"))*LM_eip*(LM_payments-(($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SUMPRODUCT(LM_runs*(LN_start&lt;=$P163)*(LM_profile="Annuity")*((HRA="Two pools")*(LN_fund="HRA"))*((LM_rate&gt;0)*(LM_out*(1+LM_rate)^((($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LM_annuity*((1+LM_rate)^((($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-1)/LM_safe)+(LM_rate=0)*(LM_out-LM_annuity*((($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SUMPRODUCT(LM_runs*(LN_start&lt;=$P163)*((LM_profile&lt;&gt;"EIP")*(LM_profile&lt;&gt;"Annuity"))*((HRA="Two pools")*(LN_fund="HRA"))*(LM_end&gt;$P163)*LN_principal))/1000000),0)</f>
        <v>0</v>
      </c>
      <c r="F163" s="103">
        <f>0</f>
        <v>0</v>
      </c>
      <c r="G163" s="103">
        <f>B163-C163</f>
        <v>0</v>
      </c>
      <c r="H163" s="103">
        <f>IF(HRA="Two pools",0,MAX(D163,-G163))</f>
        <v>0</v>
      </c>
      <c r="I163" s="103">
        <f>IF(HRA="Two pools",G163,G163+H163)</f>
        <v>0</v>
      </c>
      <c r="J163" s="103">
        <f>MAX(0,I163-E163)</f>
        <v>0</v>
      </c>
      <c r="K163" s="103">
        <f>MAX(0,E163-MAX(0,I163))</f>
        <v>0</v>
      </c>
      <c r="L163" s="103">
        <f>MAX(0,E163+J163-G163)</f>
        <v>0</v>
      </c>
      <c r="M163" s="103">
        <f>MAX(0,H163-D163)</f>
        <v>0</v>
      </c>
      <c r="N163" s="103">
        <f>MAX(0,L163-H163)</f>
        <v>0</v>
      </c>
      <c r="O163" s="103">
        <f>MAX(MAX(I$120:I$170),MAX(E$120:E$170))</f>
        <v>0</v>
      </c>
      <c r="P163" s="104">
        <f>DATE((YEAR(AsAt)-(MONTH(AsAt)&lt;4)+43)+1,3,31)</f>
        <v>62183.0</v>
      </c>
      <c r="Q163" s="105">
        <f>J163-K163</f>
        <v>0</v>
      </c>
      <c r="R163" s="105">
        <f>-C163</f>
        <v>0</v>
      </c>
      <c r="S163" s="105">
        <f>-F163</f>
        <v>0</v>
      </c>
      <c r="T163" s="105">
        <f>-H163</f>
        <v>0</v>
      </c>
    </row>
    <row r="164" ht="15" customHeight="1">
      <c r="A164" s="55" t="str">
        <f>(YEAR(AsAt)-(MONTH(AsAt)&lt;4)+44)&amp;"/"&amp;RIGHT((YEAR(AsAt)-(MONTH(AsAt)&lt;4)+44)+1,2)</f>
        <v>2070/71</v>
      </c>
      <c r="B164" s="103">
        <f>IF(HRA="None",0,N('Projections'!$B$107))</f>
        <v>0</v>
      </c>
      <c r="C164" s="103">
        <f>IF(HRA="None",0,N('Projections'!$E$107))</f>
        <v>0</v>
      </c>
      <c r="D164" s="103">
        <f>0</f>
        <v>0</v>
      </c>
      <c r="E164" s="103">
        <f>IF(HRA="Two pools",IF($R$3,N('Projections'!$F$107),(SUMPRODUCT(LM_runs*(LN_start&lt;=$P164)*(LM_profile="EIP")*((HRA="Two pools")*(LN_fund="HRA"))*LM_eip*(LM_payments-(($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SUMPRODUCT(LM_runs*(LN_start&lt;=$P164)*(LM_profile="Annuity")*((HRA="Two pools")*(LN_fund="HRA"))*((LM_rate&gt;0)*(LM_out*(1+LM_rate)^((($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LM_annuity*((1+LM_rate)^((($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-1)/LM_safe)+(LM_rate=0)*(LM_out-LM_annuity*((($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SUMPRODUCT(LM_runs*(LN_start&lt;=$P164)*((LM_profile&lt;&gt;"EIP")*(LM_profile&lt;&gt;"Annuity"))*((HRA="Two pools")*(LN_fund="HRA"))*(LM_end&gt;$P164)*LN_principal))/1000000),0)</f>
        <v>0</v>
      </c>
      <c r="F164" s="103">
        <f>0</f>
        <v>0</v>
      </c>
      <c r="G164" s="103">
        <f>B164-C164</f>
        <v>0</v>
      </c>
      <c r="H164" s="103">
        <f>IF(HRA="Two pools",0,MAX(D164,-G164))</f>
        <v>0</v>
      </c>
      <c r="I164" s="103">
        <f>IF(HRA="Two pools",G164,G164+H164)</f>
        <v>0</v>
      </c>
      <c r="J164" s="103">
        <f>MAX(0,I164-E164)</f>
        <v>0</v>
      </c>
      <c r="K164" s="103">
        <f>MAX(0,E164-MAX(0,I164))</f>
        <v>0</v>
      </c>
      <c r="L164" s="103">
        <f>MAX(0,E164+J164-G164)</f>
        <v>0</v>
      </c>
      <c r="M164" s="103">
        <f>MAX(0,H164-D164)</f>
        <v>0</v>
      </c>
      <c r="N164" s="103">
        <f>MAX(0,L164-H164)</f>
        <v>0</v>
      </c>
      <c r="O164" s="103">
        <f>MAX(MAX(I$120:I$170),MAX(E$120:E$170))</f>
        <v>0</v>
      </c>
      <c r="P164" s="104">
        <f>DATE((YEAR(AsAt)-(MONTH(AsAt)&lt;4)+44)+1,3,31)</f>
        <v>62548.0</v>
      </c>
      <c r="Q164" s="105">
        <f>J164-K164</f>
        <v>0</v>
      </c>
      <c r="R164" s="105">
        <f>-C164</f>
        <v>0</v>
      </c>
      <c r="S164" s="105">
        <f>-F164</f>
        <v>0</v>
      </c>
      <c r="T164" s="105">
        <f>-H164</f>
        <v>0</v>
      </c>
    </row>
    <row r="165" ht="15" customHeight="1">
      <c r="A165" s="55" t="str">
        <f>(YEAR(AsAt)-(MONTH(AsAt)&lt;4)+45)&amp;"/"&amp;RIGHT((YEAR(AsAt)-(MONTH(AsAt)&lt;4)+45)+1,2)</f>
        <v>2071/72</v>
      </c>
      <c r="B165" s="103">
        <f>IF(HRA="None",0,N('Projections'!$B$108))</f>
        <v>0</v>
      </c>
      <c r="C165" s="103">
        <f>IF(HRA="None",0,N('Projections'!$E$108))</f>
        <v>0</v>
      </c>
      <c r="D165" s="103">
        <f>0</f>
        <v>0</v>
      </c>
      <c r="E165" s="103">
        <f>IF(HRA="Two pools",IF($R$3,N('Projections'!$F$108),(SUMPRODUCT(LM_runs*(LN_start&lt;=$P165)*(LM_profile="EIP")*((HRA="Two pools")*(LN_fund="HRA"))*LM_eip*(LM_payments-(($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SUMPRODUCT(LM_runs*(LN_start&lt;=$P165)*(LM_profile="Annuity")*((HRA="Two pools")*(LN_fund="HRA"))*((LM_rate&gt;0)*(LM_out*(1+LM_rate)^((($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LM_annuity*((1+LM_rate)^((($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-1)/LM_safe)+(LM_rate=0)*(LM_out-LM_annuity*((($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SUMPRODUCT(LM_runs*(LN_start&lt;=$P165)*((LM_profile&lt;&gt;"EIP")*(LM_profile&lt;&gt;"Annuity"))*((HRA="Two pools")*(LN_fund="HRA"))*(LM_end&gt;$P165)*LN_principal))/1000000),0)</f>
        <v>0</v>
      </c>
      <c r="F165" s="103">
        <f>0</f>
        <v>0</v>
      </c>
      <c r="G165" s="103">
        <f>B165-C165</f>
        <v>0</v>
      </c>
      <c r="H165" s="103">
        <f>IF(HRA="Two pools",0,MAX(D165,-G165))</f>
        <v>0</v>
      </c>
      <c r="I165" s="103">
        <f>IF(HRA="Two pools",G165,G165+H165)</f>
        <v>0</v>
      </c>
      <c r="J165" s="103">
        <f>MAX(0,I165-E165)</f>
        <v>0</v>
      </c>
      <c r="K165" s="103">
        <f>MAX(0,E165-MAX(0,I165))</f>
        <v>0</v>
      </c>
      <c r="L165" s="103">
        <f>MAX(0,E165+J165-G165)</f>
        <v>0</v>
      </c>
      <c r="M165" s="103">
        <f>MAX(0,H165-D165)</f>
        <v>0</v>
      </c>
      <c r="N165" s="103">
        <f>MAX(0,L165-H165)</f>
        <v>0</v>
      </c>
      <c r="O165" s="103">
        <f>MAX(MAX(I$120:I$170),MAX(E$120:E$170))</f>
        <v>0</v>
      </c>
      <c r="P165" s="104">
        <f>DATE((YEAR(AsAt)-(MONTH(AsAt)&lt;4)+45)+1,3,31)</f>
        <v>62914.0</v>
      </c>
      <c r="Q165" s="105">
        <f>J165-K165</f>
        <v>0</v>
      </c>
      <c r="R165" s="105">
        <f>-C165</f>
        <v>0</v>
      </c>
      <c r="S165" s="105">
        <f>-F165</f>
        <v>0</v>
      </c>
      <c r="T165" s="105">
        <f>-H165</f>
        <v>0</v>
      </c>
    </row>
    <row r="166" ht="15" customHeight="1">
      <c r="A166" s="55" t="str">
        <f>(YEAR(AsAt)-(MONTH(AsAt)&lt;4)+46)&amp;"/"&amp;RIGHT((YEAR(AsAt)-(MONTH(AsAt)&lt;4)+46)+1,2)</f>
        <v>2072/73</v>
      </c>
      <c r="B166" s="103">
        <f>IF(HRA="None",0,N('Projections'!$B$109))</f>
        <v>0</v>
      </c>
      <c r="C166" s="103">
        <f>IF(HRA="None",0,N('Projections'!$E$109))</f>
        <v>0</v>
      </c>
      <c r="D166" s="103">
        <f>0</f>
        <v>0</v>
      </c>
      <c r="E166" s="103">
        <f>IF(HRA="Two pools",IF($R$3,N('Projections'!$F$109),(SUMPRODUCT(LM_runs*(LN_start&lt;=$P166)*(LM_profile="EIP")*((HRA="Two pools")*(LN_fund="HRA"))*LM_eip*(LM_payments-(($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SUMPRODUCT(LM_runs*(LN_start&lt;=$P166)*(LM_profile="Annuity")*((HRA="Two pools")*(LN_fund="HRA"))*((LM_rate&gt;0)*(LM_out*(1+LM_rate)^((($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LM_annuity*((1+LM_rate)^((($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-1)/LM_safe)+(LM_rate=0)*(LM_out-LM_annuity*((($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SUMPRODUCT(LM_runs*(LN_start&lt;=$P166)*((LM_profile&lt;&gt;"EIP")*(LM_profile&lt;&gt;"Annuity"))*((HRA="Two pools")*(LN_fund="HRA"))*(LM_end&gt;$P166)*LN_principal))/1000000),0)</f>
        <v>0</v>
      </c>
      <c r="F166" s="103">
        <f>0</f>
        <v>0</v>
      </c>
      <c r="G166" s="103">
        <f>B166-C166</f>
        <v>0</v>
      </c>
      <c r="H166" s="103">
        <f>IF(HRA="Two pools",0,MAX(D166,-G166))</f>
        <v>0</v>
      </c>
      <c r="I166" s="103">
        <f>IF(HRA="Two pools",G166,G166+H166)</f>
        <v>0</v>
      </c>
      <c r="J166" s="103">
        <f>MAX(0,I166-E166)</f>
        <v>0</v>
      </c>
      <c r="K166" s="103">
        <f>MAX(0,E166-MAX(0,I166))</f>
        <v>0</v>
      </c>
      <c r="L166" s="103">
        <f>MAX(0,E166+J166-G166)</f>
        <v>0</v>
      </c>
      <c r="M166" s="103">
        <f>MAX(0,H166-D166)</f>
        <v>0</v>
      </c>
      <c r="N166" s="103">
        <f>MAX(0,L166-H166)</f>
        <v>0</v>
      </c>
      <c r="O166" s="103">
        <f>MAX(MAX(I$120:I$170),MAX(E$120:E$170))</f>
        <v>0</v>
      </c>
      <c r="P166" s="104">
        <f>DATE((YEAR(AsAt)-(MONTH(AsAt)&lt;4)+46)+1,3,31)</f>
        <v>63279.0</v>
      </c>
      <c r="Q166" s="105">
        <f>J166-K166</f>
        <v>0</v>
      </c>
      <c r="R166" s="105">
        <f>-C166</f>
        <v>0</v>
      </c>
      <c r="S166" s="105">
        <f>-F166</f>
        <v>0</v>
      </c>
      <c r="T166" s="105">
        <f>-H166</f>
        <v>0</v>
      </c>
    </row>
    <row r="167" ht="15" customHeight="1">
      <c r="A167" s="55" t="str">
        <f>(YEAR(AsAt)-(MONTH(AsAt)&lt;4)+47)&amp;"/"&amp;RIGHT((YEAR(AsAt)-(MONTH(AsAt)&lt;4)+47)+1,2)</f>
        <v>2073/74</v>
      </c>
      <c r="B167" s="103">
        <f>IF(HRA="None",0,N('Projections'!$B$110))</f>
        <v>0</v>
      </c>
      <c r="C167" s="103">
        <f>IF(HRA="None",0,N('Projections'!$E$110))</f>
        <v>0</v>
      </c>
      <c r="D167" s="103">
        <f>0</f>
        <v>0</v>
      </c>
      <c r="E167" s="103">
        <f>IF(HRA="Two pools",IF($R$3,N('Projections'!$F$110),(SUMPRODUCT(LM_runs*(LN_start&lt;=$P167)*(LM_profile="EIP")*((HRA="Two pools")*(LN_fund="HRA"))*LM_eip*(LM_payments-(($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SUMPRODUCT(LM_runs*(LN_start&lt;=$P167)*(LM_profile="Annuity")*((HRA="Two pools")*(LN_fund="HRA"))*((LM_rate&gt;0)*(LM_out*(1+LM_rate)^((($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LM_annuity*((1+LM_rate)^((($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-1)/LM_safe)+(LM_rate=0)*(LM_out-LM_annuity*((($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SUMPRODUCT(LM_runs*(LN_start&lt;=$P167)*((LM_profile&lt;&gt;"EIP")*(LM_profile&lt;&gt;"Annuity"))*((HRA="Two pools")*(LN_fund="HRA"))*(LM_end&gt;$P167)*LN_principal))/1000000),0)</f>
        <v>0</v>
      </c>
      <c r="F167" s="103">
        <f>0</f>
        <v>0</v>
      </c>
      <c r="G167" s="103">
        <f>B167-C167</f>
        <v>0</v>
      </c>
      <c r="H167" s="103">
        <f>IF(HRA="Two pools",0,MAX(D167,-G167))</f>
        <v>0</v>
      </c>
      <c r="I167" s="103">
        <f>IF(HRA="Two pools",G167,G167+H167)</f>
        <v>0</v>
      </c>
      <c r="J167" s="103">
        <f>MAX(0,I167-E167)</f>
        <v>0</v>
      </c>
      <c r="K167" s="103">
        <f>MAX(0,E167-MAX(0,I167))</f>
        <v>0</v>
      </c>
      <c r="L167" s="103">
        <f>MAX(0,E167+J167-G167)</f>
        <v>0</v>
      </c>
      <c r="M167" s="103">
        <f>MAX(0,H167-D167)</f>
        <v>0</v>
      </c>
      <c r="N167" s="103">
        <f>MAX(0,L167-H167)</f>
        <v>0</v>
      </c>
      <c r="O167" s="103">
        <f>MAX(MAX(I$120:I$170),MAX(E$120:E$170))</f>
        <v>0</v>
      </c>
      <c r="P167" s="104">
        <f>DATE((YEAR(AsAt)-(MONTH(AsAt)&lt;4)+47)+1,3,31)</f>
        <v>63644.0</v>
      </c>
      <c r="Q167" s="105">
        <f>J167-K167</f>
        <v>0</v>
      </c>
      <c r="R167" s="105">
        <f>-C167</f>
        <v>0</v>
      </c>
      <c r="S167" s="105">
        <f>-F167</f>
        <v>0</v>
      </c>
      <c r="T167" s="105">
        <f>-H167</f>
        <v>0</v>
      </c>
    </row>
    <row r="168" ht="15" customHeight="1">
      <c r="A168" s="55" t="str">
        <f>(YEAR(AsAt)-(MONTH(AsAt)&lt;4)+48)&amp;"/"&amp;RIGHT((YEAR(AsAt)-(MONTH(AsAt)&lt;4)+48)+1,2)</f>
        <v>2074/75</v>
      </c>
      <c r="B168" s="103">
        <f>IF(HRA="None",0,N('Projections'!$B$111))</f>
        <v>0</v>
      </c>
      <c r="C168" s="103">
        <f>IF(HRA="None",0,N('Projections'!$E$111))</f>
        <v>0</v>
      </c>
      <c r="D168" s="103">
        <f>0</f>
        <v>0</v>
      </c>
      <c r="E168" s="103">
        <f>IF(HRA="Two pools",IF($R$3,N('Projections'!$F$111),(SUMPRODUCT(LM_runs*(LN_start&lt;=$P168)*(LM_profile="EIP")*((HRA="Two pools")*(LN_fund="HRA"))*LM_eip*(LM_payments-(($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SUMPRODUCT(LM_runs*(LN_start&lt;=$P168)*(LM_profile="Annuity")*((HRA="Two pools")*(LN_fund="HRA"))*((LM_rate&gt;0)*(LM_out*(1+LM_rate)^((($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LM_annuity*((1+LM_rate)^((($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-1)/LM_safe)+(LM_rate=0)*(LM_out-LM_annuity*((($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SUMPRODUCT(LM_runs*(LN_start&lt;=$P168)*((LM_profile&lt;&gt;"EIP")*(LM_profile&lt;&gt;"Annuity"))*((HRA="Two pools")*(LN_fund="HRA"))*(LM_end&gt;$P168)*LN_principal))/1000000),0)</f>
        <v>0</v>
      </c>
      <c r="F168" s="103">
        <f>0</f>
        <v>0</v>
      </c>
      <c r="G168" s="103">
        <f>B168-C168</f>
        <v>0</v>
      </c>
      <c r="H168" s="103">
        <f>IF(HRA="Two pools",0,MAX(D168,-G168))</f>
        <v>0</v>
      </c>
      <c r="I168" s="103">
        <f>IF(HRA="Two pools",G168,G168+H168)</f>
        <v>0</v>
      </c>
      <c r="J168" s="103">
        <f>MAX(0,I168-E168)</f>
        <v>0</v>
      </c>
      <c r="K168" s="103">
        <f>MAX(0,E168-MAX(0,I168))</f>
        <v>0</v>
      </c>
      <c r="L168" s="103">
        <f>MAX(0,E168+J168-G168)</f>
        <v>0</v>
      </c>
      <c r="M168" s="103">
        <f>MAX(0,H168-D168)</f>
        <v>0</v>
      </c>
      <c r="N168" s="103">
        <f>MAX(0,L168-H168)</f>
        <v>0</v>
      </c>
      <c r="O168" s="103">
        <f>MAX(MAX(I$120:I$170),MAX(E$120:E$170))</f>
        <v>0</v>
      </c>
      <c r="P168" s="104">
        <f>DATE((YEAR(AsAt)-(MONTH(AsAt)&lt;4)+48)+1,3,31)</f>
        <v>64009.0</v>
      </c>
      <c r="Q168" s="105">
        <f>J168-K168</f>
        <v>0</v>
      </c>
      <c r="R168" s="105">
        <f>-C168</f>
        <v>0</v>
      </c>
      <c r="S168" s="105">
        <f>-F168</f>
        <v>0</v>
      </c>
      <c r="T168" s="105">
        <f>-H168</f>
        <v>0</v>
      </c>
    </row>
    <row r="169" ht="15" customHeight="1">
      <c r="A169" s="55" t="str">
        <f>(YEAR(AsAt)-(MONTH(AsAt)&lt;4)+49)&amp;"/"&amp;RIGHT((YEAR(AsAt)-(MONTH(AsAt)&lt;4)+49)+1,2)</f>
        <v>2075/76</v>
      </c>
      <c r="B169" s="103">
        <f>IF(HRA="None",0,N('Projections'!$B$112))</f>
        <v>0</v>
      </c>
      <c r="C169" s="103">
        <f>IF(HRA="None",0,N('Projections'!$E$112))</f>
        <v>0</v>
      </c>
      <c r="D169" s="103">
        <f>0</f>
        <v>0</v>
      </c>
      <c r="E169" s="103">
        <f>IF(HRA="Two pools",IF($R$3,N('Projections'!$F$112),(SUMPRODUCT(LM_runs*(LN_start&lt;=$P169)*(LM_profile="EIP")*((HRA="Two pools")*(LN_fund="HRA"))*LM_eip*(LM_payments-(($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SUMPRODUCT(LM_runs*(LN_start&lt;=$P169)*(LM_profile="Annuity")*((HRA="Two pools")*(LN_fund="HRA"))*((LM_rate&gt;0)*(LM_out*(1+LM_rate)^((($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LM_annuity*((1+LM_rate)^((($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-1)/LM_safe)+(LM_rate=0)*(LM_out-LM_annuity*((($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SUMPRODUCT(LM_runs*(LN_start&lt;=$P169)*((LM_profile&lt;&gt;"EIP")*(LM_profile&lt;&gt;"Annuity"))*((HRA="Two pools")*(LN_fund="HRA"))*(LM_end&gt;$P169)*LN_principal))/1000000),0)</f>
        <v>0</v>
      </c>
      <c r="F169" s="103">
        <f>0</f>
        <v>0</v>
      </c>
      <c r="G169" s="103">
        <f>B169-C169</f>
        <v>0</v>
      </c>
      <c r="H169" s="103">
        <f>IF(HRA="Two pools",0,MAX(D169,-G169))</f>
        <v>0</v>
      </c>
      <c r="I169" s="103">
        <f>IF(HRA="Two pools",G169,G169+H169)</f>
        <v>0</v>
      </c>
      <c r="J169" s="103">
        <f>MAX(0,I169-E169)</f>
        <v>0</v>
      </c>
      <c r="K169" s="103">
        <f>MAX(0,E169-MAX(0,I169))</f>
        <v>0</v>
      </c>
      <c r="L169" s="103">
        <f>MAX(0,E169+J169-G169)</f>
        <v>0</v>
      </c>
      <c r="M169" s="103">
        <f>MAX(0,H169-D169)</f>
        <v>0</v>
      </c>
      <c r="N169" s="103">
        <f>MAX(0,L169-H169)</f>
        <v>0</v>
      </c>
      <c r="O169" s="103">
        <f>MAX(MAX(I$120:I$170),MAX(E$120:E$170))</f>
        <v>0</v>
      </c>
      <c r="P169" s="104">
        <f>DATE((YEAR(AsAt)-(MONTH(AsAt)&lt;4)+49)+1,3,31)</f>
        <v>64375.0</v>
      </c>
      <c r="Q169" s="105">
        <f>J169-K169</f>
        <v>0</v>
      </c>
      <c r="R169" s="105">
        <f>-C169</f>
        <v>0</v>
      </c>
      <c r="S169" s="105">
        <f>-F169</f>
        <v>0</v>
      </c>
      <c r="T169" s="105">
        <f>-H169</f>
        <v>0</v>
      </c>
    </row>
    <row r="170" ht="15" customHeight="1">
      <c r="A170" s="55" t="str">
        <f>(YEAR(AsAt)-(MONTH(AsAt)&lt;4)+50)&amp;"/"&amp;RIGHT((YEAR(AsAt)-(MONTH(AsAt)&lt;4)+50)+1,2)</f>
        <v>2076/77</v>
      </c>
      <c r="B170" s="103">
        <f>IF(HRA="None",0,N('Projections'!$B$113))</f>
        <v>0</v>
      </c>
      <c r="C170" s="103">
        <f>IF(HRA="None",0,N('Projections'!$E$113))</f>
        <v>0</v>
      </c>
      <c r="D170" s="103">
        <f>0</f>
        <v>0</v>
      </c>
      <c r="E170" s="103">
        <f>IF(HRA="Two pools",IF($R$3,N('Projections'!$F$113),(SUMPRODUCT(LM_runs*(LN_start&lt;=$P170)*(LM_profile="EIP")*((HRA="Two pools")*(LN_fund="HRA"))*LM_eip*(LM_payments-(($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SUMPRODUCT(LM_runs*(LN_start&lt;=$P170)*(LM_profile="Annuity")*((HRA="Two pools")*(LN_fund="HRA"))*((LM_rate&gt;0)*(LM_out*(1+LM_rate)^((($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LM_annuity*((1+LM_rate)^((($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-1)/LM_safe)+(LM_rate=0)*(LM_out-LM_annuity*((($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SUMPRODUCT(LM_runs*(LN_start&lt;=$P170)*((LM_profile&lt;&gt;"EIP")*(LM_profile&lt;&gt;"Annuity"))*((HRA="Two pools")*(LN_fund="HRA"))*(LM_end&gt;$P170)*LN_principal))/1000000),0)</f>
        <v>0</v>
      </c>
      <c r="F170" s="103">
        <f>0</f>
        <v>0</v>
      </c>
      <c r="G170" s="103">
        <f>B170-C170</f>
        <v>0</v>
      </c>
      <c r="H170" s="103">
        <f>IF(HRA="Two pools",0,MAX(D170,-G170))</f>
        <v>0</v>
      </c>
      <c r="I170" s="103">
        <f>IF(HRA="Two pools",G170,G170+H170)</f>
        <v>0</v>
      </c>
      <c r="J170" s="103">
        <f>MAX(0,I170-E170)</f>
        <v>0</v>
      </c>
      <c r="K170" s="103">
        <f>MAX(0,E170-MAX(0,I170))</f>
        <v>0</v>
      </c>
      <c r="L170" s="103">
        <f>MAX(0,E170+J170-G170)</f>
        <v>0</v>
      </c>
      <c r="M170" s="103">
        <f>MAX(0,H170-D170)</f>
        <v>0</v>
      </c>
      <c r="N170" s="103">
        <f>MAX(0,L170-H170)</f>
        <v>0</v>
      </c>
      <c r="O170" s="103">
        <f>MAX(MAX(I$120:I$170),MAX(E$120:E$170))</f>
        <v>0</v>
      </c>
      <c r="P170" s="104">
        <f>DATE((YEAR(AsAt)-(MONTH(AsAt)&lt;4)+50)+1,3,31)</f>
        <v>64740.0</v>
      </c>
      <c r="Q170" s="105">
        <f>J170-K170</f>
        <v>0</v>
      </c>
      <c r="R170" s="105">
        <f>-C170</f>
        <v>0</v>
      </c>
      <c r="S170" s="105">
        <f>-F170</f>
        <v>0</v>
      </c>
      <c r="T170" s="105">
        <f>-H170</f>
        <v>0</v>
      </c>
    </row>
    <row r="171" ht="15" customHeight="1"/>
    <row r="172" ht="15" customHeight="1"/>
    <row r="173" ht="15" customHeight="1"/>
  </sheetData>
  <sheetProtection selectLockedCells="0" selectUnlockedCells="0" sheet="1" objects="0" insertRows="1" insertHyperlinks="1" autoFilter="1" scenarios="0" formatColumns="0" deleteColumns="1" insertColumns="1" pivotTables="1" deleteRows="1" formatCells="1" formatRows="0" sort="1"/>
  <mergeCells count="7">
    <mergeCell ref="D62:T62"/>
    <mergeCell ref="D118:T118"/>
    <mergeCell ref="A118:C118"/>
    <mergeCell ref="D6:T6"/>
    <mergeCell ref="A6:C6"/>
    <mergeCell ref="A62:C62"/>
    <mergeCell ref="A2:T2"/>
  </mergeCells>
  <hyperlinks>
    <hyperlink xmlns:r="http://schemas.openxmlformats.org/officeDocument/2006/relationships" ref="V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rowBreaks count="2" manualBreakCount="2">
    <brk id="61" min="0" max="16383" man="1"/>
    <brk id="117" min="0" max="16383" man="1"/>
  </rowBreaks>
  <drawing xmlns:r="http://schemas.openxmlformats.org/officeDocument/2006/relationships" r:id="rId2"/>
</worksheet>
</file>

<file path=xl/worksheets/sheet13.xml><?xml version="1.0" encoding="utf-8"?>
<worksheet xmlns="http://schemas.openxmlformats.org/spreadsheetml/2006/main">
  <sheetPr>
    <tabColor rgb="00FD7E14"/>
    <outlinePr summaryBelow="1" summaryRight="1"/>
    <pageSetUpPr fitToPage="1"/>
  </sheetPr>
  <dimension ref="A1:AS100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9" customWidth="1" min="2" max="2"/>
    <col width="11" customWidth="1" min="3" max="3"/>
    <col width="9" customWidth="1" min="4" max="4"/>
    <col width="14" customWidth="1" min="5" max="5"/>
    <col width="10" customWidth="1" min="6" max="6"/>
    <col width="11" customWidth="1" min="7" max="7"/>
    <col width="11" customWidth="1" min="8" max="8"/>
    <col width="10" customWidth="1" min="9" max="9"/>
    <col width="14" customWidth="1" min="10" max="10"/>
    <col width="14" customWidth="1" min="11" max="11"/>
    <col width="14" customWidth="1" min="12" max="12"/>
    <col width="9" customWidth="1" min="13" max="13"/>
    <col width="11" customWidth="1" min="14" max="14"/>
    <col width="11" customWidth="1" min="15" max="15"/>
    <col width="10" customWidth="1" min="16" max="16"/>
    <col width="12" customWidth="1" min="17" max="17"/>
    <col width="9" customWidth="1" min="18" max="18"/>
    <col width="12"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s>
  <sheetData>
    <row r="1" ht="36" customHeight="1">
      <c r="A1" s="21" t="inlineStr">
        <is>
          <t>Loan maths</t>
        </is>
      </c>
      <c r="B1" s="2" t="n"/>
      <c r="C1" s="2" t="n"/>
      <c r="D1" s="2" t="n"/>
      <c r="E1" s="2" t="n"/>
      <c r="F1" s="2" t="n"/>
      <c r="G1" s="2" t="n"/>
      <c r="H1" s="2" t="n"/>
      <c r="I1" s="2" t="n"/>
      <c r="J1" s="2" t="n"/>
      <c r="K1" s="2" t="n"/>
      <c r="L1" s="2" t="n"/>
      <c r="M1" s="2" t="n"/>
      <c r="N1" s="2" t="n"/>
      <c r="O1" s="2" t="n"/>
      <c r="P1" s="2" t="n"/>
      <c r="Q1" s="2" t="n"/>
      <c r="R1" s="2" t="n"/>
      <c r="S1" s="2" t="n"/>
      <c r="T1" s="2" t="n"/>
      <c r="U1" s="106" t="inlineStr">
        <is>
          <t>The dates the Dashboard counts payments to</t>
        </is>
      </c>
      <c r="V1" s="2" t="n"/>
      <c r="W1" s="2" t="n"/>
      <c r="X1" s="2" t="n"/>
      <c r="Y1" s="2" t="n"/>
      <c r="Z1" s="2" t="n"/>
      <c r="AA1" s="2" t="n"/>
      <c r="AB1" s="2" t="n"/>
      <c r="AC1" s="2" t="n"/>
      <c r="AD1" s="2" t="n"/>
      <c r="AE1" s="2" t="n"/>
      <c r="AF1" s="2" t="n"/>
      <c r="AG1" s="2" t="n"/>
      <c r="AH1" s="2" t="n"/>
      <c r="AI1" s="2" t="n"/>
      <c r="AJ1" s="2" t="n"/>
      <c r="AK1" s="2" t="n"/>
      <c r="AL1" s="2" t="n"/>
      <c r="AM1" s="2" t="n"/>
      <c r="AN1" s="2" t="n"/>
      <c r="AO1" s="2" t="n"/>
      <c r="AP1" s="2" t="n"/>
      <c r="AQ1" s="22" t="inlineStr">
        <is>
          <t>the Dashboard's working, one row per loan</t>
        </is>
      </c>
      <c r="AS1" s="23" t="inlineStr">
        <is>
          <t>◂ Start here</t>
        </is>
      </c>
    </row>
    <row r="2" ht="52" customHeight="1">
      <c r="A2" s="20" t="inlineStr">
        <is>
          <t>How each loan on the Loans sheet repays, as the Dashboard reads it: the payment cycle ends at the maturity date, stepping back by the frequency, a month end to month ends; the first payment is the First repayment date given (the maturity date, if it is given after it), else the first cycle date after the start (the front-end stub). A LOBO ends at a next call after As at and before its maturity; every other loan at its maturity. Nothing to type here; the Dashboard sums these. One row for every row of the Loans sheet, to row 1000.</t>
        </is>
      </c>
      <c r="U2" s="107">
        <f>IF(DAY(AsAt+1)=1,EOMONTH(AsAt,12),EDATE(AsAt,12))-1</f>
        <v/>
      </c>
      <c r="V2" s="107">
        <f>IF(DAY(AsAt+1)=1,EOMONTH(AsAt,24),EDATE(AsAt,24))-1</f>
        <v/>
      </c>
      <c r="W2" s="107">
        <f>IF(DAY(AsAt+1)=1,EOMONTH(AsAt,60),EDATE(AsAt,60))-1</f>
        <v/>
      </c>
      <c r="X2" s="107">
        <f>IF(DAY(AsAt+1)=1,EOMONTH(AsAt,120),EDATE(AsAt,120))-1</f>
        <v/>
      </c>
      <c r="Y2" s="107">
        <f>IF(DAY(AsAt+1)=1,EOMONTH(AsAt,240),EDATE(AsAt,240))-1</f>
        <v/>
      </c>
      <c r="Z2" s="107">
        <f>IF(DAY(AsAt+1)=1,EOMONTH(AsAt,360),EDATE(AsAt,360))-1</f>
        <v/>
      </c>
      <c r="AA2" s="107">
        <f>IF(DAY(AsAt+1)=1,EOMONTH(AsAt,480),EDATE(AsAt,480))-1</f>
        <v/>
      </c>
      <c r="AB2" s="107">
        <f>IF(DAY(AsAt+1)=1,EOMONTH(AsAt,600),EDATE(AsAt,600))-1</f>
        <v/>
      </c>
      <c r="AC2" s="107">
        <f>DATE(2200,1,1)</f>
        <v/>
      </c>
      <c r="AD2" s="107">
        <f>AsAt</f>
        <v/>
      </c>
      <c r="AE2" s="107">
        <f>IF(DAY(AsAt+1)=1,EOMONTH(AsAt,1),EDATE(AsAt,1))</f>
        <v/>
      </c>
      <c r="AF2" s="107">
        <f>IF(DAY(AsAt+1)=1,EOMONTH(AsAt,2),EDATE(AsAt,2))</f>
        <v/>
      </c>
      <c r="AG2" s="107">
        <f>IF(DAY(AsAt+1)=1,EOMONTH(AsAt,3),EDATE(AsAt,3))</f>
        <v/>
      </c>
      <c r="AH2" s="107">
        <f>IF(DAY(AsAt+1)=1,EOMONTH(AsAt,4),EDATE(AsAt,4))</f>
        <v/>
      </c>
      <c r="AI2" s="107">
        <f>IF(DAY(AsAt+1)=1,EOMONTH(AsAt,5),EDATE(AsAt,5))</f>
        <v/>
      </c>
      <c r="AJ2" s="107">
        <f>IF(DAY(AsAt+1)=1,EOMONTH(AsAt,6),EDATE(AsAt,6))</f>
        <v/>
      </c>
      <c r="AK2" s="107">
        <f>IF(DAY(AsAt+1)=1,EOMONTH(AsAt,7),EDATE(AsAt,7))</f>
        <v/>
      </c>
      <c r="AL2" s="107">
        <f>IF(DAY(AsAt+1)=1,EOMONTH(AsAt,8),EDATE(AsAt,8))</f>
        <v/>
      </c>
      <c r="AM2" s="107">
        <f>IF(DAY(AsAt+1)=1,EOMONTH(AsAt,9),EDATE(AsAt,9))</f>
        <v/>
      </c>
      <c r="AN2" s="107">
        <f>IF(DAY(AsAt+1)=1,EOMONTH(AsAt,10),EDATE(AsAt,10))</f>
        <v/>
      </c>
      <c r="AO2" s="107">
        <f>IF(DAY(AsAt+1)=1,EOMONTH(AsAt,11),EDATE(AsAt,11))</f>
        <v/>
      </c>
      <c r="AP2" s="107">
        <f>IF(DAY(AsAt+1)=1,EOMONTH(AsAt,12),EDATE(AsAt,12))</f>
        <v/>
      </c>
      <c r="AQ2" s="107">
        <f>PeriodFrom-1</f>
        <v/>
      </c>
    </row>
    <row r="3" ht="30" customHeight="1">
      <c r="A3" s="53" t="inlineStr">
        <is>
          <t>Lender</t>
        </is>
      </c>
      <c r="B3" s="54" t="inlineStr">
        <is>
          <t>Held at As at</t>
        </is>
      </c>
      <c r="C3" s="54" t="inlineStr">
        <is>
          <t>Profile</t>
        </is>
      </c>
      <c r="D3" s="54" t="inlineStr">
        <is>
          <t>Step, months</t>
        </is>
      </c>
      <c r="E3" s="54" t="inlineStr">
        <is>
          <t>First payment</t>
        </is>
      </c>
      <c r="F3" s="54" t="inlineStr">
        <is>
          <t>Rate per period</t>
        </is>
      </c>
      <c r="G3" s="54" t="inlineStr">
        <is>
          <t>Payments to maturity</t>
        </is>
      </c>
      <c r="H3" s="54" t="inlineStr">
        <is>
          <t>Payments to As at</t>
        </is>
      </c>
      <c r="I3" s="54" t="inlineStr">
        <is>
          <t>Instalments left</t>
        </is>
      </c>
      <c r="J3" s="54" t="inlineStr">
        <is>
          <t>EIP instalment</t>
        </is>
      </c>
      <c r="K3" s="54" t="inlineStr">
        <is>
          <t>Annuity payment</t>
        </is>
      </c>
      <c r="L3" s="54" t="inlineStr">
        <is>
          <t>Outstanding</t>
        </is>
      </c>
      <c r="M3" s="54" t="inlineStr">
        <is>
          <t>Rate, safe</t>
        </is>
      </c>
      <c r="N3" s="54" t="inlineStr">
        <is>
          <t>Cycle dates to maturity</t>
        </is>
      </c>
      <c r="O3" s="54" t="inlineStr">
        <is>
          <t>Final payment off the cycle</t>
        </is>
      </c>
      <c r="P3" s="54" t="inlineStr">
        <is>
          <t>Average life, years</t>
        </is>
      </c>
      <c r="Q3" s="54" t="inlineStr">
        <is>
          <t>Maturity, for the order</t>
        </is>
      </c>
      <c r="R3" s="54" t="inlineStr">
        <is>
          <t>Payment day</t>
        </is>
      </c>
      <c r="S3" s="54" t="inlineStr">
        <is>
          <t>Ends</t>
        </is>
      </c>
      <c r="T3" s="54" t="inlineStr">
        <is>
          <t>In the run-off</t>
        </is>
      </c>
      <c r="U3" s="54" t="inlineStr">
        <is>
          <t>to 1y</t>
        </is>
      </c>
      <c r="V3" s="54" t="inlineStr">
        <is>
          <t>to 2y</t>
        </is>
      </c>
      <c r="W3" s="54" t="inlineStr">
        <is>
          <t>to 5y</t>
        </is>
      </c>
      <c r="X3" s="54" t="inlineStr">
        <is>
          <t>to 10y</t>
        </is>
      </c>
      <c r="Y3" s="54" t="inlineStr">
        <is>
          <t>to 20y</t>
        </is>
      </c>
      <c r="Z3" s="54" t="inlineStr">
        <is>
          <t>to 30y</t>
        </is>
      </c>
      <c r="AA3" s="54" t="inlineStr">
        <is>
          <t>to 40y</t>
        </is>
      </c>
      <c r="AB3" s="54" t="inlineStr">
        <is>
          <t>to 50y</t>
        </is>
      </c>
      <c r="AC3" s="54" t="inlineStr">
        <is>
          <t>to the end</t>
        </is>
      </c>
      <c r="AD3" s="54" t="inlineStr">
        <is>
          <t>month 0</t>
        </is>
      </c>
      <c r="AE3" s="54" t="inlineStr">
        <is>
          <t>month 1</t>
        </is>
      </c>
      <c r="AF3" s="54" t="inlineStr">
        <is>
          <t>month 2</t>
        </is>
      </c>
      <c r="AG3" s="54" t="inlineStr">
        <is>
          <t>month 3</t>
        </is>
      </c>
      <c r="AH3" s="54" t="inlineStr">
        <is>
          <t>month 4</t>
        </is>
      </c>
      <c r="AI3" s="54" t="inlineStr">
        <is>
          <t>month 5</t>
        </is>
      </c>
      <c r="AJ3" s="54" t="inlineStr">
        <is>
          <t>month 6</t>
        </is>
      </c>
      <c r="AK3" s="54" t="inlineStr">
        <is>
          <t>month 7</t>
        </is>
      </c>
      <c r="AL3" s="54" t="inlineStr">
        <is>
          <t>month 8</t>
        </is>
      </c>
      <c r="AM3" s="54" t="inlineStr">
        <is>
          <t>month 9</t>
        </is>
      </c>
      <c r="AN3" s="54" t="inlineStr">
        <is>
          <t>month 10</t>
        </is>
      </c>
      <c r="AO3" s="54" t="inlineStr">
        <is>
          <t>month 11</t>
        </is>
      </c>
      <c r="AP3" s="54" t="inlineStr">
        <is>
          <t>month 12</t>
        </is>
      </c>
      <c r="AQ3" s="54" t="inlineStr">
        <is>
          <t>period start</t>
        </is>
      </c>
    </row>
    <row r="4">
      <c r="A4" s="91">
        <f>IF('Deal maths'!V4="","",'Deal maths'!W4)</f>
        <v/>
      </c>
      <c r="B4" s="108">
        <f>('Deal maths'!AA4&gt;AsAt)*('Deal maths'!Y4&gt;0)*('Deal maths'!Z4&lt;=AsAt)</f>
        <v/>
      </c>
      <c r="C4" s="91">
        <f>IF('Deal maths'!V4="","",IF('Deal maths'!AC4="","Maturity",'Deal maths'!AC4))</f>
        <v/>
      </c>
      <c r="D4" s="108">
        <f>IF(OR(C4="EIP",C4="Annuity"),IF('Deal maths'!AD4="Annual",12,IF('Deal maths'!AD4="Quarterly",3,6)),0)</f>
        <v/>
      </c>
      <c r="E4" s="109">
        <f>IFERROR(IF(D4=0,0,IF('Deal maths'!AE4&gt;0,IF('Deal maths'!AE4&gt;'Deal maths'!AA4,'Deal maths'!AA4,'Deal maths'!AE4),IF(IF(DAY('Deal maths'!AA4+1)=1,EOMONTH('Deal maths'!AA4,-(INT(((YEAR('Deal maths'!AA4)-YEAR(IF('Deal maths'!Z4&gt;0,'Deal maths'!Z4,DATE(1990,1,1))))*12+MONTH('Deal maths'!AA4)-MONTH(IF('Deal maths'!Z4&gt;0,'Deal maths'!Z4,DATE(1990,1,1))))/D4))*D4),EDATE('Deal maths'!AA4,-(INT(((YEAR('Deal maths'!AA4)-YEAR(IF('Deal maths'!Z4&gt;0,'Deal maths'!Z4,DATE(1990,1,1))))*12+MONTH('Deal maths'!AA4)-MONTH(IF('Deal maths'!Z4&gt;0,'Deal maths'!Z4,DATE(1990,1,1))))/D4))*D4))&gt;IF('Deal maths'!Z4&gt;0,'Deal maths'!Z4,DATE(1990,1,1)),IF(DAY('Deal maths'!AA4+1)=1,EOMONTH('Deal maths'!AA4,-(INT(((YEAR('Deal maths'!AA4)-YEAR(IF('Deal maths'!Z4&gt;0,'Deal maths'!Z4,DATE(1990,1,1))))*12+MONTH('Deal maths'!AA4)-MONTH(IF('Deal maths'!Z4&gt;0,'Deal maths'!Z4,DATE(1990,1,1))))/D4))*D4),EDATE('Deal maths'!AA4,-(INT(((YEAR('Deal maths'!AA4)-YEAR(IF('Deal maths'!Z4&gt;0,'Deal maths'!Z4,DATE(1990,1,1))))*12+MONTH('Deal maths'!AA4)-MONTH(IF('Deal maths'!Z4&gt;0,'Deal maths'!Z4,DATE(1990,1,1))))/D4))*D4)),IF(DAY('Deal maths'!AA4+1)=1,EOMONTH('Deal maths'!AA4,-(INT(((YEAR('Deal maths'!AA4)-YEAR(IF('Deal maths'!Z4&gt;0,'Deal maths'!Z4,DATE(1990,1,1))))*12+MONTH('Deal maths'!AA4)-MONTH(IF('Deal maths'!Z4&gt;0,'Deal maths'!Z4,DATE(1990,1,1))))/D4)-1)*D4),EDATE('Deal maths'!AA4,-(INT(((YEAR('Deal maths'!AA4)-YEAR(IF('Deal maths'!Z4&gt;0,'Deal maths'!Z4,DATE(1990,1,1))))*12+MONTH('Deal maths'!AA4)-MONTH(IF('Deal maths'!Z4&gt;0,'Deal maths'!Z4,DATE(1990,1,1))))/D4)-1)*D4))))),0)</f>
        <v/>
      </c>
      <c r="F4" s="110">
        <f>IF(D4=0,0,'Deal maths'!AB4*D4/12)</f>
        <v/>
      </c>
      <c r="G4" s="108">
        <f>N4+O4</f>
        <v/>
      </c>
      <c r="H4" s="108">
        <f>IFERROR(IF(OR(D4=0,AsAt&lt;E4),0,MIN(N4,INT(((YEAR(AsAt)-YEAR(E4))*12+MONTH(AsAt)-MONTH(E4)-(DAY(AsAt)&lt;MIN(R4,DAY(EOMONTH(AsAt,0)))))/D4)+1)+O4*(AsAt&gt;='Deal maths'!AA4)),0)</f>
        <v/>
      </c>
      <c r="I4" s="108">
        <f>G4-H4</f>
        <v/>
      </c>
      <c r="J4" s="111">
        <f>IF(AND(C4="EIP",I4&gt;0),'Deal maths'!Y4/I4,0)</f>
        <v/>
      </c>
      <c r="K4" s="111">
        <f>IF(AND(C4="Annuity",I4&gt;0),IF(F4&gt;0,'Deal maths'!Y4*F4/(1-(1+F4)^-I4),'Deal maths'!Y4/I4),0)</f>
        <v/>
      </c>
      <c r="L4" s="111">
        <f>IF('Deal maths'!Y4="",0,'Deal maths'!Y4)</f>
        <v/>
      </c>
      <c r="M4" s="112">
        <f>F4+(F4=0)</f>
        <v/>
      </c>
      <c r="N4" s="108">
        <f>IFERROR(IF(D4=0,0,INT(((YEAR('Deal maths'!AA4)-YEAR(E4))*12+MONTH('Deal maths'!AA4)-MONTH(E4)-(DAY('Deal maths'!AA4)&lt;MIN(R4,DAY(EOMONTH('Deal maths'!AA4,0)))))/D4)+1),0)</f>
        <v/>
      </c>
      <c r="O4" s="108">
        <f>IFERROR(IF(D4=0,0,IF(IF(DAY(E4+1)=1,EOMONTH(E4,(N4-1)*D4),EDATE(E4,(N4-1)*D4))='Deal maths'!AA4,0,1)),0)</f>
        <v/>
      </c>
      <c r="P4" s="113">
        <f>IF(B4=0,0,IFERROR(IF(C4="EIP",((I4-O4)*((IF(DAY(E4+1)=1,EOMONTH(E4,H4*D4),EDATE(E4,H4*D4))-AsAt)/365.25+(IF(DAY(E4+1)=1,EOMONTH(E4,(N4-1)*D4),EDATE(E4,(N4-1)*D4))-AsAt)/365.25)/2+O4*('Deal maths'!AA4-AsAt)/365.25)/I4,IF(C4="Annuity",IF(F4&gt;0,((K4-L4*F4)*((IF(DAY(E4+1)=1,EOMONTH(E4,H4*D4),EDATE(E4,H4*D4))-AsAt)/365.25*((1+F4)^(I4-O4)-1)/F4+IF((I4-O4)&gt;1,((IF(DAY(E4+1)=1,EOMONTH(E4,(N4-1)*D4),EDATE(E4,(N4-1)*D4))-AsAt)/365.25-(IF(DAY(E4+1)=1,EOMONTH(E4,H4*D4),EDATE(E4,H4*D4))-AsAt)/365.25)/((I4-O4)-1),0)*(1+F4)*(1-(I4-O4)*(1+F4)^((I4-O4)-1)+((I4-O4)-1)*(1+F4)^(I4-O4))/F4^2)+O4*(K4-L4*F4)*(1+F4)^(I4-1)*('Deal maths'!AA4-AsAt)/365.25)/L4,((I4-O4)*((IF(DAY(E4+1)=1,EOMONTH(E4,H4*D4),EDATE(E4,H4*D4))-AsAt)/365.25+(IF(DAY(E4+1)=1,EOMONTH(E4,(N4-1)*D4),EDATE(E4,(N4-1)*D4))-AsAt)/365.25)/2+O4*('Deal maths'!AA4-AsAt)/365.25)/I4),(S4-AsAt)/365.25)),0))</f>
        <v/>
      </c>
      <c r="Q4" s="109">
        <f>IF(B4=1,'Deal maths'!AA4+ROW()/1000000,"")</f>
        <v/>
      </c>
      <c r="R4" s="108">
        <f>IF(D4=0,0,IF(DAY(E4+1)=1,31,DAY(E4)))</f>
        <v/>
      </c>
      <c r="S4" s="109">
        <f>IF(AND('Deal maths'!V4="LOBO",'Deal maths'!AG4&gt;AsAt,'Deal maths'!AG4&lt;'Deal maths'!AA4),'Deal maths'!AG4,'Deal maths'!AA4)</f>
        <v/>
      </c>
      <c r="T4" s="108">
        <f>('Deal maths'!AA4&gt;AsAt)*('Deal maths'!Y4&gt;0)</f>
        <v/>
      </c>
    </row>
    <row r="5">
      <c r="A5" s="91">
        <f>IF('Deal maths'!V5="","",'Deal maths'!W5)</f>
        <v/>
      </c>
      <c r="B5" s="108">
        <f>('Deal maths'!AA5&gt;AsAt)*('Deal maths'!Y5&gt;0)*('Deal maths'!Z5&lt;=AsAt)</f>
        <v/>
      </c>
      <c r="C5" s="91">
        <f>IF('Deal maths'!V5="","",IF('Deal maths'!AC5="","Maturity",'Deal maths'!AC5))</f>
        <v/>
      </c>
      <c r="D5" s="108">
        <f>IF(OR(C5="EIP",C5="Annuity"),IF('Deal maths'!AD5="Annual",12,IF('Deal maths'!AD5="Quarterly",3,6)),0)</f>
        <v/>
      </c>
      <c r="E5" s="109">
        <f>IFERROR(IF(D5=0,0,IF('Deal maths'!AE5&gt;0,IF('Deal maths'!AE5&gt;'Deal maths'!AA5,'Deal maths'!AA5,'Deal maths'!AE5),IF(IF(DAY('Deal maths'!AA5+1)=1,EOMONTH('Deal maths'!AA5,-(INT(((YEAR('Deal maths'!AA5)-YEAR(IF('Deal maths'!Z5&gt;0,'Deal maths'!Z5,DATE(1990,1,1))))*12+MONTH('Deal maths'!AA5)-MONTH(IF('Deal maths'!Z5&gt;0,'Deal maths'!Z5,DATE(1990,1,1))))/D5))*D5),EDATE('Deal maths'!AA5,-(INT(((YEAR('Deal maths'!AA5)-YEAR(IF('Deal maths'!Z5&gt;0,'Deal maths'!Z5,DATE(1990,1,1))))*12+MONTH('Deal maths'!AA5)-MONTH(IF('Deal maths'!Z5&gt;0,'Deal maths'!Z5,DATE(1990,1,1))))/D5))*D5))&gt;IF('Deal maths'!Z5&gt;0,'Deal maths'!Z5,DATE(1990,1,1)),IF(DAY('Deal maths'!AA5+1)=1,EOMONTH('Deal maths'!AA5,-(INT(((YEAR('Deal maths'!AA5)-YEAR(IF('Deal maths'!Z5&gt;0,'Deal maths'!Z5,DATE(1990,1,1))))*12+MONTH('Deal maths'!AA5)-MONTH(IF('Deal maths'!Z5&gt;0,'Deal maths'!Z5,DATE(1990,1,1))))/D5))*D5),EDATE('Deal maths'!AA5,-(INT(((YEAR('Deal maths'!AA5)-YEAR(IF('Deal maths'!Z5&gt;0,'Deal maths'!Z5,DATE(1990,1,1))))*12+MONTH('Deal maths'!AA5)-MONTH(IF('Deal maths'!Z5&gt;0,'Deal maths'!Z5,DATE(1990,1,1))))/D5))*D5)),IF(DAY('Deal maths'!AA5+1)=1,EOMONTH('Deal maths'!AA5,-(INT(((YEAR('Deal maths'!AA5)-YEAR(IF('Deal maths'!Z5&gt;0,'Deal maths'!Z5,DATE(1990,1,1))))*12+MONTH('Deal maths'!AA5)-MONTH(IF('Deal maths'!Z5&gt;0,'Deal maths'!Z5,DATE(1990,1,1))))/D5)-1)*D5),EDATE('Deal maths'!AA5,-(INT(((YEAR('Deal maths'!AA5)-YEAR(IF('Deal maths'!Z5&gt;0,'Deal maths'!Z5,DATE(1990,1,1))))*12+MONTH('Deal maths'!AA5)-MONTH(IF('Deal maths'!Z5&gt;0,'Deal maths'!Z5,DATE(1990,1,1))))/D5)-1)*D5))))),0)</f>
        <v/>
      </c>
      <c r="F5" s="110">
        <f>IF(D5=0,0,'Deal maths'!AB5*D5/12)</f>
        <v/>
      </c>
      <c r="G5" s="108">
        <f>N5+O5</f>
        <v/>
      </c>
      <c r="H5" s="108">
        <f>IFERROR(IF(OR(D5=0,AsAt&lt;E5),0,MIN(N5,INT(((YEAR(AsAt)-YEAR(E5))*12+MONTH(AsAt)-MONTH(E5)-(DAY(AsAt)&lt;MIN(R5,DAY(EOMONTH(AsAt,0)))))/D5)+1)+O5*(AsAt&gt;='Deal maths'!AA5)),0)</f>
        <v/>
      </c>
      <c r="I5" s="108">
        <f>G5-H5</f>
        <v/>
      </c>
      <c r="J5" s="111">
        <f>IF(AND(C5="EIP",I5&gt;0),'Deal maths'!Y5/I5,0)</f>
        <v/>
      </c>
      <c r="K5" s="111">
        <f>IF(AND(C5="Annuity",I5&gt;0),IF(F5&gt;0,'Deal maths'!Y5*F5/(1-(1+F5)^-I5),'Deal maths'!Y5/I5),0)</f>
        <v/>
      </c>
      <c r="L5" s="111">
        <f>IF('Deal maths'!Y5="",0,'Deal maths'!Y5)</f>
        <v/>
      </c>
      <c r="M5" s="112">
        <f>F5+(F5=0)</f>
        <v/>
      </c>
      <c r="N5" s="108">
        <f>IFERROR(IF(D5=0,0,INT(((YEAR('Deal maths'!AA5)-YEAR(E5))*12+MONTH('Deal maths'!AA5)-MONTH(E5)-(DAY('Deal maths'!AA5)&lt;MIN(R5,DAY(EOMONTH('Deal maths'!AA5,0)))))/D5)+1),0)</f>
        <v/>
      </c>
      <c r="O5" s="108">
        <f>IFERROR(IF(D5=0,0,IF(IF(DAY(E5+1)=1,EOMONTH(E5,(N5-1)*D5),EDATE(E5,(N5-1)*D5))='Deal maths'!AA5,0,1)),0)</f>
        <v/>
      </c>
      <c r="P5" s="113">
        <f>IF(B5=0,0,IFERROR(IF(C5="EIP",((I5-O5)*((IF(DAY(E5+1)=1,EOMONTH(E5,H5*D5),EDATE(E5,H5*D5))-AsAt)/365.25+(IF(DAY(E5+1)=1,EOMONTH(E5,(N5-1)*D5),EDATE(E5,(N5-1)*D5))-AsAt)/365.25)/2+O5*('Deal maths'!AA5-AsAt)/365.25)/I5,IF(C5="Annuity",IF(F5&gt;0,((K5-L5*F5)*((IF(DAY(E5+1)=1,EOMONTH(E5,H5*D5),EDATE(E5,H5*D5))-AsAt)/365.25*((1+F5)^(I5-O5)-1)/F5+IF((I5-O5)&gt;1,((IF(DAY(E5+1)=1,EOMONTH(E5,(N5-1)*D5),EDATE(E5,(N5-1)*D5))-AsAt)/365.25-(IF(DAY(E5+1)=1,EOMONTH(E5,H5*D5),EDATE(E5,H5*D5))-AsAt)/365.25)/((I5-O5)-1),0)*(1+F5)*(1-(I5-O5)*(1+F5)^((I5-O5)-1)+((I5-O5)-1)*(1+F5)^(I5-O5))/F5^2)+O5*(K5-L5*F5)*(1+F5)^(I5-1)*('Deal maths'!AA5-AsAt)/365.25)/L5,((I5-O5)*((IF(DAY(E5+1)=1,EOMONTH(E5,H5*D5),EDATE(E5,H5*D5))-AsAt)/365.25+(IF(DAY(E5+1)=1,EOMONTH(E5,(N5-1)*D5),EDATE(E5,(N5-1)*D5))-AsAt)/365.25)/2+O5*('Deal maths'!AA5-AsAt)/365.25)/I5),(S5-AsAt)/365.25)),0))</f>
        <v/>
      </c>
      <c r="Q5" s="109">
        <f>IF(B5=1,'Deal maths'!AA5+ROW()/1000000,"")</f>
        <v/>
      </c>
      <c r="R5" s="108">
        <f>IF(D5=0,0,IF(DAY(E5+1)=1,31,DAY(E5)))</f>
        <v/>
      </c>
      <c r="S5" s="109">
        <f>IF(AND('Deal maths'!V5="LOBO",'Deal maths'!AG5&gt;AsAt,'Deal maths'!AG5&lt;'Deal maths'!AA5),'Deal maths'!AG5,'Deal maths'!AA5)</f>
        <v/>
      </c>
      <c r="T5" s="108">
        <f>('Deal maths'!AA5&gt;AsAt)*('Deal maths'!Y5&gt;0)</f>
        <v/>
      </c>
    </row>
    <row r="6">
      <c r="A6" s="91">
        <f>IF('Deal maths'!V6="","",'Deal maths'!W6)</f>
        <v/>
      </c>
      <c r="B6" s="108">
        <f>('Deal maths'!AA6&gt;AsAt)*('Deal maths'!Y6&gt;0)*('Deal maths'!Z6&lt;=AsAt)</f>
        <v/>
      </c>
      <c r="C6" s="91">
        <f>IF('Deal maths'!V6="","",IF('Deal maths'!AC6="","Maturity",'Deal maths'!AC6))</f>
        <v/>
      </c>
      <c r="D6" s="108">
        <f>IF(OR(C6="EIP",C6="Annuity"),IF('Deal maths'!AD6="Annual",12,IF('Deal maths'!AD6="Quarterly",3,6)),0)</f>
        <v/>
      </c>
      <c r="E6" s="109">
        <f>IFERROR(IF(D6=0,0,IF('Deal maths'!AE6&gt;0,IF('Deal maths'!AE6&gt;'Deal maths'!AA6,'Deal maths'!AA6,'Deal maths'!AE6),IF(IF(DAY('Deal maths'!AA6+1)=1,EOMONTH('Deal maths'!AA6,-(INT(((YEAR('Deal maths'!AA6)-YEAR(IF('Deal maths'!Z6&gt;0,'Deal maths'!Z6,DATE(1990,1,1))))*12+MONTH('Deal maths'!AA6)-MONTH(IF('Deal maths'!Z6&gt;0,'Deal maths'!Z6,DATE(1990,1,1))))/D6))*D6),EDATE('Deal maths'!AA6,-(INT(((YEAR('Deal maths'!AA6)-YEAR(IF('Deal maths'!Z6&gt;0,'Deal maths'!Z6,DATE(1990,1,1))))*12+MONTH('Deal maths'!AA6)-MONTH(IF('Deal maths'!Z6&gt;0,'Deal maths'!Z6,DATE(1990,1,1))))/D6))*D6))&gt;IF('Deal maths'!Z6&gt;0,'Deal maths'!Z6,DATE(1990,1,1)),IF(DAY('Deal maths'!AA6+1)=1,EOMONTH('Deal maths'!AA6,-(INT(((YEAR('Deal maths'!AA6)-YEAR(IF('Deal maths'!Z6&gt;0,'Deal maths'!Z6,DATE(1990,1,1))))*12+MONTH('Deal maths'!AA6)-MONTH(IF('Deal maths'!Z6&gt;0,'Deal maths'!Z6,DATE(1990,1,1))))/D6))*D6),EDATE('Deal maths'!AA6,-(INT(((YEAR('Deal maths'!AA6)-YEAR(IF('Deal maths'!Z6&gt;0,'Deal maths'!Z6,DATE(1990,1,1))))*12+MONTH('Deal maths'!AA6)-MONTH(IF('Deal maths'!Z6&gt;0,'Deal maths'!Z6,DATE(1990,1,1))))/D6))*D6)),IF(DAY('Deal maths'!AA6+1)=1,EOMONTH('Deal maths'!AA6,-(INT(((YEAR('Deal maths'!AA6)-YEAR(IF('Deal maths'!Z6&gt;0,'Deal maths'!Z6,DATE(1990,1,1))))*12+MONTH('Deal maths'!AA6)-MONTH(IF('Deal maths'!Z6&gt;0,'Deal maths'!Z6,DATE(1990,1,1))))/D6)-1)*D6),EDATE('Deal maths'!AA6,-(INT(((YEAR('Deal maths'!AA6)-YEAR(IF('Deal maths'!Z6&gt;0,'Deal maths'!Z6,DATE(1990,1,1))))*12+MONTH('Deal maths'!AA6)-MONTH(IF('Deal maths'!Z6&gt;0,'Deal maths'!Z6,DATE(1990,1,1))))/D6)-1)*D6))))),0)</f>
        <v/>
      </c>
      <c r="F6" s="110">
        <f>IF(D6=0,0,'Deal maths'!AB6*D6/12)</f>
        <v/>
      </c>
      <c r="G6" s="108">
        <f>N6+O6</f>
        <v/>
      </c>
      <c r="H6" s="108">
        <f>IFERROR(IF(OR(D6=0,AsAt&lt;E6),0,MIN(N6,INT(((YEAR(AsAt)-YEAR(E6))*12+MONTH(AsAt)-MONTH(E6)-(DAY(AsAt)&lt;MIN(R6,DAY(EOMONTH(AsAt,0)))))/D6)+1)+O6*(AsAt&gt;='Deal maths'!AA6)),0)</f>
        <v/>
      </c>
      <c r="I6" s="108">
        <f>G6-H6</f>
        <v/>
      </c>
      <c r="J6" s="111">
        <f>IF(AND(C6="EIP",I6&gt;0),'Deal maths'!Y6/I6,0)</f>
        <v/>
      </c>
      <c r="K6" s="111">
        <f>IF(AND(C6="Annuity",I6&gt;0),IF(F6&gt;0,'Deal maths'!Y6*F6/(1-(1+F6)^-I6),'Deal maths'!Y6/I6),0)</f>
        <v/>
      </c>
      <c r="L6" s="111">
        <f>IF('Deal maths'!Y6="",0,'Deal maths'!Y6)</f>
        <v/>
      </c>
      <c r="M6" s="112">
        <f>F6+(F6=0)</f>
        <v/>
      </c>
      <c r="N6" s="108">
        <f>IFERROR(IF(D6=0,0,INT(((YEAR('Deal maths'!AA6)-YEAR(E6))*12+MONTH('Deal maths'!AA6)-MONTH(E6)-(DAY('Deal maths'!AA6)&lt;MIN(R6,DAY(EOMONTH('Deal maths'!AA6,0)))))/D6)+1),0)</f>
        <v/>
      </c>
      <c r="O6" s="108">
        <f>IFERROR(IF(D6=0,0,IF(IF(DAY(E6+1)=1,EOMONTH(E6,(N6-1)*D6),EDATE(E6,(N6-1)*D6))='Deal maths'!AA6,0,1)),0)</f>
        <v/>
      </c>
      <c r="P6" s="113">
        <f>IF(B6=0,0,IFERROR(IF(C6="EIP",((I6-O6)*((IF(DAY(E6+1)=1,EOMONTH(E6,H6*D6),EDATE(E6,H6*D6))-AsAt)/365.25+(IF(DAY(E6+1)=1,EOMONTH(E6,(N6-1)*D6),EDATE(E6,(N6-1)*D6))-AsAt)/365.25)/2+O6*('Deal maths'!AA6-AsAt)/365.25)/I6,IF(C6="Annuity",IF(F6&gt;0,((K6-L6*F6)*((IF(DAY(E6+1)=1,EOMONTH(E6,H6*D6),EDATE(E6,H6*D6))-AsAt)/365.25*((1+F6)^(I6-O6)-1)/F6+IF((I6-O6)&gt;1,((IF(DAY(E6+1)=1,EOMONTH(E6,(N6-1)*D6),EDATE(E6,(N6-1)*D6))-AsAt)/365.25-(IF(DAY(E6+1)=1,EOMONTH(E6,H6*D6),EDATE(E6,H6*D6))-AsAt)/365.25)/((I6-O6)-1),0)*(1+F6)*(1-(I6-O6)*(1+F6)^((I6-O6)-1)+((I6-O6)-1)*(1+F6)^(I6-O6))/F6^2)+O6*(K6-L6*F6)*(1+F6)^(I6-1)*('Deal maths'!AA6-AsAt)/365.25)/L6,((I6-O6)*((IF(DAY(E6+1)=1,EOMONTH(E6,H6*D6),EDATE(E6,H6*D6))-AsAt)/365.25+(IF(DAY(E6+1)=1,EOMONTH(E6,(N6-1)*D6),EDATE(E6,(N6-1)*D6))-AsAt)/365.25)/2+O6*('Deal maths'!AA6-AsAt)/365.25)/I6),(S6-AsAt)/365.25)),0))</f>
        <v/>
      </c>
      <c r="Q6" s="109">
        <f>IF(B6=1,'Deal maths'!AA6+ROW()/1000000,"")</f>
        <v/>
      </c>
      <c r="R6" s="108">
        <f>IF(D6=0,0,IF(DAY(E6+1)=1,31,DAY(E6)))</f>
        <v/>
      </c>
      <c r="S6" s="109">
        <f>IF(AND('Deal maths'!V6="LOBO",'Deal maths'!AG6&gt;AsAt,'Deal maths'!AG6&lt;'Deal maths'!AA6),'Deal maths'!AG6,'Deal maths'!AA6)</f>
        <v/>
      </c>
      <c r="T6" s="108">
        <f>('Deal maths'!AA6&gt;AsAt)*('Deal maths'!Y6&gt;0)</f>
        <v/>
      </c>
    </row>
    <row r="7">
      <c r="A7" s="91">
        <f>IF('Deal maths'!V7="","",'Deal maths'!W7)</f>
        <v/>
      </c>
      <c r="B7" s="108">
        <f>('Deal maths'!AA7&gt;AsAt)*('Deal maths'!Y7&gt;0)*('Deal maths'!Z7&lt;=AsAt)</f>
        <v/>
      </c>
      <c r="C7" s="91">
        <f>IF('Deal maths'!V7="","",IF('Deal maths'!AC7="","Maturity",'Deal maths'!AC7))</f>
        <v/>
      </c>
      <c r="D7" s="108">
        <f>IF(OR(C7="EIP",C7="Annuity"),IF('Deal maths'!AD7="Annual",12,IF('Deal maths'!AD7="Quarterly",3,6)),0)</f>
        <v/>
      </c>
      <c r="E7" s="109">
        <f>IFERROR(IF(D7=0,0,IF('Deal maths'!AE7&gt;0,IF('Deal maths'!AE7&gt;'Deal maths'!AA7,'Deal maths'!AA7,'Deal maths'!AE7),IF(IF(DAY('Deal maths'!AA7+1)=1,EOMONTH('Deal maths'!AA7,-(INT(((YEAR('Deal maths'!AA7)-YEAR(IF('Deal maths'!Z7&gt;0,'Deal maths'!Z7,DATE(1990,1,1))))*12+MONTH('Deal maths'!AA7)-MONTH(IF('Deal maths'!Z7&gt;0,'Deal maths'!Z7,DATE(1990,1,1))))/D7))*D7),EDATE('Deal maths'!AA7,-(INT(((YEAR('Deal maths'!AA7)-YEAR(IF('Deal maths'!Z7&gt;0,'Deal maths'!Z7,DATE(1990,1,1))))*12+MONTH('Deal maths'!AA7)-MONTH(IF('Deal maths'!Z7&gt;0,'Deal maths'!Z7,DATE(1990,1,1))))/D7))*D7))&gt;IF('Deal maths'!Z7&gt;0,'Deal maths'!Z7,DATE(1990,1,1)),IF(DAY('Deal maths'!AA7+1)=1,EOMONTH('Deal maths'!AA7,-(INT(((YEAR('Deal maths'!AA7)-YEAR(IF('Deal maths'!Z7&gt;0,'Deal maths'!Z7,DATE(1990,1,1))))*12+MONTH('Deal maths'!AA7)-MONTH(IF('Deal maths'!Z7&gt;0,'Deal maths'!Z7,DATE(1990,1,1))))/D7))*D7),EDATE('Deal maths'!AA7,-(INT(((YEAR('Deal maths'!AA7)-YEAR(IF('Deal maths'!Z7&gt;0,'Deal maths'!Z7,DATE(1990,1,1))))*12+MONTH('Deal maths'!AA7)-MONTH(IF('Deal maths'!Z7&gt;0,'Deal maths'!Z7,DATE(1990,1,1))))/D7))*D7)),IF(DAY('Deal maths'!AA7+1)=1,EOMONTH('Deal maths'!AA7,-(INT(((YEAR('Deal maths'!AA7)-YEAR(IF('Deal maths'!Z7&gt;0,'Deal maths'!Z7,DATE(1990,1,1))))*12+MONTH('Deal maths'!AA7)-MONTH(IF('Deal maths'!Z7&gt;0,'Deal maths'!Z7,DATE(1990,1,1))))/D7)-1)*D7),EDATE('Deal maths'!AA7,-(INT(((YEAR('Deal maths'!AA7)-YEAR(IF('Deal maths'!Z7&gt;0,'Deal maths'!Z7,DATE(1990,1,1))))*12+MONTH('Deal maths'!AA7)-MONTH(IF('Deal maths'!Z7&gt;0,'Deal maths'!Z7,DATE(1990,1,1))))/D7)-1)*D7))))),0)</f>
        <v/>
      </c>
      <c r="F7" s="110">
        <f>IF(D7=0,0,'Deal maths'!AB7*D7/12)</f>
        <v/>
      </c>
      <c r="G7" s="108">
        <f>N7+O7</f>
        <v/>
      </c>
      <c r="H7" s="108">
        <f>IFERROR(IF(OR(D7=0,AsAt&lt;E7),0,MIN(N7,INT(((YEAR(AsAt)-YEAR(E7))*12+MONTH(AsAt)-MONTH(E7)-(DAY(AsAt)&lt;MIN(R7,DAY(EOMONTH(AsAt,0)))))/D7)+1)+O7*(AsAt&gt;='Deal maths'!AA7)),0)</f>
        <v/>
      </c>
      <c r="I7" s="108">
        <f>G7-H7</f>
        <v/>
      </c>
      <c r="J7" s="111">
        <f>IF(AND(C7="EIP",I7&gt;0),'Deal maths'!Y7/I7,0)</f>
        <v/>
      </c>
      <c r="K7" s="111">
        <f>IF(AND(C7="Annuity",I7&gt;0),IF(F7&gt;0,'Deal maths'!Y7*F7/(1-(1+F7)^-I7),'Deal maths'!Y7/I7),0)</f>
        <v/>
      </c>
      <c r="L7" s="111">
        <f>IF('Deal maths'!Y7="",0,'Deal maths'!Y7)</f>
        <v/>
      </c>
      <c r="M7" s="112">
        <f>F7+(F7=0)</f>
        <v/>
      </c>
      <c r="N7" s="108">
        <f>IFERROR(IF(D7=0,0,INT(((YEAR('Deal maths'!AA7)-YEAR(E7))*12+MONTH('Deal maths'!AA7)-MONTH(E7)-(DAY('Deal maths'!AA7)&lt;MIN(R7,DAY(EOMONTH('Deal maths'!AA7,0)))))/D7)+1),0)</f>
        <v/>
      </c>
      <c r="O7" s="108">
        <f>IFERROR(IF(D7=0,0,IF(IF(DAY(E7+1)=1,EOMONTH(E7,(N7-1)*D7),EDATE(E7,(N7-1)*D7))='Deal maths'!AA7,0,1)),0)</f>
        <v/>
      </c>
      <c r="P7" s="113">
        <f>IF(B7=0,0,IFERROR(IF(C7="EIP",((I7-O7)*((IF(DAY(E7+1)=1,EOMONTH(E7,H7*D7),EDATE(E7,H7*D7))-AsAt)/365.25+(IF(DAY(E7+1)=1,EOMONTH(E7,(N7-1)*D7),EDATE(E7,(N7-1)*D7))-AsAt)/365.25)/2+O7*('Deal maths'!AA7-AsAt)/365.25)/I7,IF(C7="Annuity",IF(F7&gt;0,((K7-L7*F7)*((IF(DAY(E7+1)=1,EOMONTH(E7,H7*D7),EDATE(E7,H7*D7))-AsAt)/365.25*((1+F7)^(I7-O7)-1)/F7+IF((I7-O7)&gt;1,((IF(DAY(E7+1)=1,EOMONTH(E7,(N7-1)*D7),EDATE(E7,(N7-1)*D7))-AsAt)/365.25-(IF(DAY(E7+1)=1,EOMONTH(E7,H7*D7),EDATE(E7,H7*D7))-AsAt)/365.25)/((I7-O7)-1),0)*(1+F7)*(1-(I7-O7)*(1+F7)^((I7-O7)-1)+((I7-O7)-1)*(1+F7)^(I7-O7))/F7^2)+O7*(K7-L7*F7)*(1+F7)^(I7-1)*('Deal maths'!AA7-AsAt)/365.25)/L7,((I7-O7)*((IF(DAY(E7+1)=1,EOMONTH(E7,H7*D7),EDATE(E7,H7*D7))-AsAt)/365.25+(IF(DAY(E7+1)=1,EOMONTH(E7,(N7-1)*D7),EDATE(E7,(N7-1)*D7))-AsAt)/365.25)/2+O7*('Deal maths'!AA7-AsAt)/365.25)/I7),(S7-AsAt)/365.25)),0))</f>
        <v/>
      </c>
      <c r="Q7" s="109">
        <f>IF(B7=1,'Deal maths'!AA7+ROW()/1000000,"")</f>
        <v/>
      </c>
      <c r="R7" s="108">
        <f>IF(D7=0,0,IF(DAY(E7+1)=1,31,DAY(E7)))</f>
        <v/>
      </c>
      <c r="S7" s="109">
        <f>IF(AND('Deal maths'!V7="LOBO",'Deal maths'!AG7&gt;AsAt,'Deal maths'!AG7&lt;'Deal maths'!AA7),'Deal maths'!AG7,'Deal maths'!AA7)</f>
        <v/>
      </c>
      <c r="T7" s="108">
        <f>('Deal maths'!AA7&gt;AsAt)*('Deal maths'!Y7&gt;0)</f>
        <v/>
      </c>
    </row>
    <row r="8">
      <c r="A8" s="91">
        <f>IF('Deal maths'!V8="","",'Deal maths'!W8)</f>
        <v/>
      </c>
      <c r="B8" s="108">
        <f>('Deal maths'!AA8&gt;AsAt)*('Deal maths'!Y8&gt;0)*('Deal maths'!Z8&lt;=AsAt)</f>
        <v/>
      </c>
      <c r="C8" s="91">
        <f>IF('Deal maths'!V8="","",IF('Deal maths'!AC8="","Maturity",'Deal maths'!AC8))</f>
        <v/>
      </c>
      <c r="D8" s="108">
        <f>IF(OR(C8="EIP",C8="Annuity"),IF('Deal maths'!AD8="Annual",12,IF('Deal maths'!AD8="Quarterly",3,6)),0)</f>
        <v/>
      </c>
      <c r="E8" s="109">
        <f>IFERROR(IF(D8=0,0,IF('Deal maths'!AE8&gt;0,IF('Deal maths'!AE8&gt;'Deal maths'!AA8,'Deal maths'!AA8,'Deal maths'!AE8),IF(IF(DAY('Deal maths'!AA8+1)=1,EOMONTH('Deal maths'!AA8,-(INT(((YEAR('Deal maths'!AA8)-YEAR(IF('Deal maths'!Z8&gt;0,'Deal maths'!Z8,DATE(1990,1,1))))*12+MONTH('Deal maths'!AA8)-MONTH(IF('Deal maths'!Z8&gt;0,'Deal maths'!Z8,DATE(1990,1,1))))/D8))*D8),EDATE('Deal maths'!AA8,-(INT(((YEAR('Deal maths'!AA8)-YEAR(IF('Deal maths'!Z8&gt;0,'Deal maths'!Z8,DATE(1990,1,1))))*12+MONTH('Deal maths'!AA8)-MONTH(IF('Deal maths'!Z8&gt;0,'Deal maths'!Z8,DATE(1990,1,1))))/D8))*D8))&gt;IF('Deal maths'!Z8&gt;0,'Deal maths'!Z8,DATE(1990,1,1)),IF(DAY('Deal maths'!AA8+1)=1,EOMONTH('Deal maths'!AA8,-(INT(((YEAR('Deal maths'!AA8)-YEAR(IF('Deal maths'!Z8&gt;0,'Deal maths'!Z8,DATE(1990,1,1))))*12+MONTH('Deal maths'!AA8)-MONTH(IF('Deal maths'!Z8&gt;0,'Deal maths'!Z8,DATE(1990,1,1))))/D8))*D8),EDATE('Deal maths'!AA8,-(INT(((YEAR('Deal maths'!AA8)-YEAR(IF('Deal maths'!Z8&gt;0,'Deal maths'!Z8,DATE(1990,1,1))))*12+MONTH('Deal maths'!AA8)-MONTH(IF('Deal maths'!Z8&gt;0,'Deal maths'!Z8,DATE(1990,1,1))))/D8))*D8)),IF(DAY('Deal maths'!AA8+1)=1,EOMONTH('Deal maths'!AA8,-(INT(((YEAR('Deal maths'!AA8)-YEAR(IF('Deal maths'!Z8&gt;0,'Deal maths'!Z8,DATE(1990,1,1))))*12+MONTH('Deal maths'!AA8)-MONTH(IF('Deal maths'!Z8&gt;0,'Deal maths'!Z8,DATE(1990,1,1))))/D8)-1)*D8),EDATE('Deal maths'!AA8,-(INT(((YEAR('Deal maths'!AA8)-YEAR(IF('Deal maths'!Z8&gt;0,'Deal maths'!Z8,DATE(1990,1,1))))*12+MONTH('Deal maths'!AA8)-MONTH(IF('Deal maths'!Z8&gt;0,'Deal maths'!Z8,DATE(1990,1,1))))/D8)-1)*D8))))),0)</f>
        <v/>
      </c>
      <c r="F8" s="110">
        <f>IF(D8=0,0,'Deal maths'!AB8*D8/12)</f>
        <v/>
      </c>
      <c r="G8" s="108">
        <f>N8+O8</f>
        <v/>
      </c>
      <c r="H8" s="108">
        <f>IFERROR(IF(OR(D8=0,AsAt&lt;E8),0,MIN(N8,INT(((YEAR(AsAt)-YEAR(E8))*12+MONTH(AsAt)-MONTH(E8)-(DAY(AsAt)&lt;MIN(R8,DAY(EOMONTH(AsAt,0)))))/D8)+1)+O8*(AsAt&gt;='Deal maths'!AA8)),0)</f>
        <v/>
      </c>
      <c r="I8" s="108">
        <f>G8-H8</f>
        <v/>
      </c>
      <c r="J8" s="111">
        <f>IF(AND(C8="EIP",I8&gt;0),'Deal maths'!Y8/I8,0)</f>
        <v/>
      </c>
      <c r="K8" s="111">
        <f>IF(AND(C8="Annuity",I8&gt;0),IF(F8&gt;0,'Deal maths'!Y8*F8/(1-(1+F8)^-I8),'Deal maths'!Y8/I8),0)</f>
        <v/>
      </c>
      <c r="L8" s="111">
        <f>IF('Deal maths'!Y8="",0,'Deal maths'!Y8)</f>
        <v/>
      </c>
      <c r="M8" s="112">
        <f>F8+(F8=0)</f>
        <v/>
      </c>
      <c r="N8" s="108">
        <f>IFERROR(IF(D8=0,0,INT(((YEAR('Deal maths'!AA8)-YEAR(E8))*12+MONTH('Deal maths'!AA8)-MONTH(E8)-(DAY('Deal maths'!AA8)&lt;MIN(R8,DAY(EOMONTH('Deal maths'!AA8,0)))))/D8)+1),0)</f>
        <v/>
      </c>
      <c r="O8" s="108">
        <f>IFERROR(IF(D8=0,0,IF(IF(DAY(E8+1)=1,EOMONTH(E8,(N8-1)*D8),EDATE(E8,(N8-1)*D8))='Deal maths'!AA8,0,1)),0)</f>
        <v/>
      </c>
      <c r="P8" s="113">
        <f>IF(B8=0,0,IFERROR(IF(C8="EIP",((I8-O8)*((IF(DAY(E8+1)=1,EOMONTH(E8,H8*D8),EDATE(E8,H8*D8))-AsAt)/365.25+(IF(DAY(E8+1)=1,EOMONTH(E8,(N8-1)*D8),EDATE(E8,(N8-1)*D8))-AsAt)/365.25)/2+O8*('Deal maths'!AA8-AsAt)/365.25)/I8,IF(C8="Annuity",IF(F8&gt;0,((K8-L8*F8)*((IF(DAY(E8+1)=1,EOMONTH(E8,H8*D8),EDATE(E8,H8*D8))-AsAt)/365.25*((1+F8)^(I8-O8)-1)/F8+IF((I8-O8)&gt;1,((IF(DAY(E8+1)=1,EOMONTH(E8,(N8-1)*D8),EDATE(E8,(N8-1)*D8))-AsAt)/365.25-(IF(DAY(E8+1)=1,EOMONTH(E8,H8*D8),EDATE(E8,H8*D8))-AsAt)/365.25)/((I8-O8)-1),0)*(1+F8)*(1-(I8-O8)*(1+F8)^((I8-O8)-1)+((I8-O8)-1)*(1+F8)^(I8-O8))/F8^2)+O8*(K8-L8*F8)*(1+F8)^(I8-1)*('Deal maths'!AA8-AsAt)/365.25)/L8,((I8-O8)*((IF(DAY(E8+1)=1,EOMONTH(E8,H8*D8),EDATE(E8,H8*D8))-AsAt)/365.25+(IF(DAY(E8+1)=1,EOMONTH(E8,(N8-1)*D8),EDATE(E8,(N8-1)*D8))-AsAt)/365.25)/2+O8*('Deal maths'!AA8-AsAt)/365.25)/I8),(S8-AsAt)/365.25)),0))</f>
        <v/>
      </c>
      <c r="Q8" s="109">
        <f>IF(B8=1,'Deal maths'!AA8+ROW()/1000000,"")</f>
        <v/>
      </c>
      <c r="R8" s="108">
        <f>IF(D8=0,0,IF(DAY(E8+1)=1,31,DAY(E8)))</f>
        <v/>
      </c>
      <c r="S8" s="109">
        <f>IF(AND('Deal maths'!V8="LOBO",'Deal maths'!AG8&gt;AsAt,'Deal maths'!AG8&lt;'Deal maths'!AA8),'Deal maths'!AG8,'Deal maths'!AA8)</f>
        <v/>
      </c>
      <c r="T8" s="108">
        <f>('Deal maths'!AA8&gt;AsAt)*('Deal maths'!Y8&gt;0)</f>
        <v/>
      </c>
    </row>
    <row r="9">
      <c r="A9" s="91">
        <f>IF('Deal maths'!V9="","",'Deal maths'!W9)</f>
        <v/>
      </c>
      <c r="B9" s="108">
        <f>('Deal maths'!AA9&gt;AsAt)*('Deal maths'!Y9&gt;0)*('Deal maths'!Z9&lt;=AsAt)</f>
        <v/>
      </c>
      <c r="C9" s="91">
        <f>IF('Deal maths'!V9="","",IF('Deal maths'!AC9="","Maturity",'Deal maths'!AC9))</f>
        <v/>
      </c>
      <c r="D9" s="108">
        <f>IF(OR(C9="EIP",C9="Annuity"),IF('Deal maths'!AD9="Annual",12,IF('Deal maths'!AD9="Quarterly",3,6)),0)</f>
        <v/>
      </c>
      <c r="E9" s="109">
        <f>IFERROR(IF(D9=0,0,IF('Deal maths'!AE9&gt;0,IF('Deal maths'!AE9&gt;'Deal maths'!AA9,'Deal maths'!AA9,'Deal maths'!AE9),IF(IF(DAY('Deal maths'!AA9+1)=1,EOMONTH('Deal maths'!AA9,-(INT(((YEAR('Deal maths'!AA9)-YEAR(IF('Deal maths'!Z9&gt;0,'Deal maths'!Z9,DATE(1990,1,1))))*12+MONTH('Deal maths'!AA9)-MONTH(IF('Deal maths'!Z9&gt;0,'Deal maths'!Z9,DATE(1990,1,1))))/D9))*D9),EDATE('Deal maths'!AA9,-(INT(((YEAR('Deal maths'!AA9)-YEAR(IF('Deal maths'!Z9&gt;0,'Deal maths'!Z9,DATE(1990,1,1))))*12+MONTH('Deal maths'!AA9)-MONTH(IF('Deal maths'!Z9&gt;0,'Deal maths'!Z9,DATE(1990,1,1))))/D9))*D9))&gt;IF('Deal maths'!Z9&gt;0,'Deal maths'!Z9,DATE(1990,1,1)),IF(DAY('Deal maths'!AA9+1)=1,EOMONTH('Deal maths'!AA9,-(INT(((YEAR('Deal maths'!AA9)-YEAR(IF('Deal maths'!Z9&gt;0,'Deal maths'!Z9,DATE(1990,1,1))))*12+MONTH('Deal maths'!AA9)-MONTH(IF('Deal maths'!Z9&gt;0,'Deal maths'!Z9,DATE(1990,1,1))))/D9))*D9),EDATE('Deal maths'!AA9,-(INT(((YEAR('Deal maths'!AA9)-YEAR(IF('Deal maths'!Z9&gt;0,'Deal maths'!Z9,DATE(1990,1,1))))*12+MONTH('Deal maths'!AA9)-MONTH(IF('Deal maths'!Z9&gt;0,'Deal maths'!Z9,DATE(1990,1,1))))/D9))*D9)),IF(DAY('Deal maths'!AA9+1)=1,EOMONTH('Deal maths'!AA9,-(INT(((YEAR('Deal maths'!AA9)-YEAR(IF('Deal maths'!Z9&gt;0,'Deal maths'!Z9,DATE(1990,1,1))))*12+MONTH('Deal maths'!AA9)-MONTH(IF('Deal maths'!Z9&gt;0,'Deal maths'!Z9,DATE(1990,1,1))))/D9)-1)*D9),EDATE('Deal maths'!AA9,-(INT(((YEAR('Deal maths'!AA9)-YEAR(IF('Deal maths'!Z9&gt;0,'Deal maths'!Z9,DATE(1990,1,1))))*12+MONTH('Deal maths'!AA9)-MONTH(IF('Deal maths'!Z9&gt;0,'Deal maths'!Z9,DATE(1990,1,1))))/D9)-1)*D9))))),0)</f>
        <v/>
      </c>
      <c r="F9" s="110">
        <f>IF(D9=0,0,'Deal maths'!AB9*D9/12)</f>
        <v/>
      </c>
      <c r="G9" s="108">
        <f>N9+O9</f>
        <v/>
      </c>
      <c r="H9" s="108">
        <f>IFERROR(IF(OR(D9=0,AsAt&lt;E9),0,MIN(N9,INT(((YEAR(AsAt)-YEAR(E9))*12+MONTH(AsAt)-MONTH(E9)-(DAY(AsAt)&lt;MIN(R9,DAY(EOMONTH(AsAt,0)))))/D9)+1)+O9*(AsAt&gt;='Deal maths'!AA9)),0)</f>
        <v/>
      </c>
      <c r="I9" s="108">
        <f>G9-H9</f>
        <v/>
      </c>
      <c r="J9" s="111">
        <f>IF(AND(C9="EIP",I9&gt;0),'Deal maths'!Y9/I9,0)</f>
        <v/>
      </c>
      <c r="K9" s="111">
        <f>IF(AND(C9="Annuity",I9&gt;0),IF(F9&gt;0,'Deal maths'!Y9*F9/(1-(1+F9)^-I9),'Deal maths'!Y9/I9),0)</f>
        <v/>
      </c>
      <c r="L9" s="111">
        <f>IF('Deal maths'!Y9="",0,'Deal maths'!Y9)</f>
        <v/>
      </c>
      <c r="M9" s="112">
        <f>F9+(F9=0)</f>
        <v/>
      </c>
      <c r="N9" s="108">
        <f>IFERROR(IF(D9=0,0,INT(((YEAR('Deal maths'!AA9)-YEAR(E9))*12+MONTH('Deal maths'!AA9)-MONTH(E9)-(DAY('Deal maths'!AA9)&lt;MIN(R9,DAY(EOMONTH('Deal maths'!AA9,0)))))/D9)+1),0)</f>
        <v/>
      </c>
      <c r="O9" s="108">
        <f>IFERROR(IF(D9=0,0,IF(IF(DAY(E9+1)=1,EOMONTH(E9,(N9-1)*D9),EDATE(E9,(N9-1)*D9))='Deal maths'!AA9,0,1)),0)</f>
        <v/>
      </c>
      <c r="P9" s="113">
        <f>IF(B9=0,0,IFERROR(IF(C9="EIP",((I9-O9)*((IF(DAY(E9+1)=1,EOMONTH(E9,H9*D9),EDATE(E9,H9*D9))-AsAt)/365.25+(IF(DAY(E9+1)=1,EOMONTH(E9,(N9-1)*D9),EDATE(E9,(N9-1)*D9))-AsAt)/365.25)/2+O9*('Deal maths'!AA9-AsAt)/365.25)/I9,IF(C9="Annuity",IF(F9&gt;0,((K9-L9*F9)*((IF(DAY(E9+1)=1,EOMONTH(E9,H9*D9),EDATE(E9,H9*D9))-AsAt)/365.25*((1+F9)^(I9-O9)-1)/F9+IF((I9-O9)&gt;1,((IF(DAY(E9+1)=1,EOMONTH(E9,(N9-1)*D9),EDATE(E9,(N9-1)*D9))-AsAt)/365.25-(IF(DAY(E9+1)=1,EOMONTH(E9,H9*D9),EDATE(E9,H9*D9))-AsAt)/365.25)/((I9-O9)-1),0)*(1+F9)*(1-(I9-O9)*(1+F9)^((I9-O9)-1)+((I9-O9)-1)*(1+F9)^(I9-O9))/F9^2)+O9*(K9-L9*F9)*(1+F9)^(I9-1)*('Deal maths'!AA9-AsAt)/365.25)/L9,((I9-O9)*((IF(DAY(E9+1)=1,EOMONTH(E9,H9*D9),EDATE(E9,H9*D9))-AsAt)/365.25+(IF(DAY(E9+1)=1,EOMONTH(E9,(N9-1)*D9),EDATE(E9,(N9-1)*D9))-AsAt)/365.25)/2+O9*('Deal maths'!AA9-AsAt)/365.25)/I9),(S9-AsAt)/365.25)),0))</f>
        <v/>
      </c>
      <c r="Q9" s="109">
        <f>IF(B9=1,'Deal maths'!AA9+ROW()/1000000,"")</f>
        <v/>
      </c>
      <c r="R9" s="108">
        <f>IF(D9=0,0,IF(DAY(E9+1)=1,31,DAY(E9)))</f>
        <v/>
      </c>
      <c r="S9" s="109">
        <f>IF(AND('Deal maths'!V9="LOBO",'Deal maths'!AG9&gt;AsAt,'Deal maths'!AG9&lt;'Deal maths'!AA9),'Deal maths'!AG9,'Deal maths'!AA9)</f>
        <v/>
      </c>
      <c r="T9" s="108">
        <f>('Deal maths'!AA9&gt;AsAt)*('Deal maths'!Y9&gt;0)</f>
        <v/>
      </c>
    </row>
    <row r="10">
      <c r="A10" s="91">
        <f>IF('Deal maths'!V10="","",'Deal maths'!W10)</f>
        <v/>
      </c>
      <c r="B10" s="108">
        <f>('Deal maths'!AA10&gt;AsAt)*('Deal maths'!Y10&gt;0)*('Deal maths'!Z10&lt;=AsAt)</f>
        <v/>
      </c>
      <c r="C10" s="91">
        <f>IF('Deal maths'!V10="","",IF('Deal maths'!AC10="","Maturity",'Deal maths'!AC10))</f>
        <v/>
      </c>
      <c r="D10" s="108">
        <f>IF(OR(C10="EIP",C10="Annuity"),IF('Deal maths'!AD10="Annual",12,IF('Deal maths'!AD10="Quarterly",3,6)),0)</f>
        <v/>
      </c>
      <c r="E10" s="109">
        <f>IFERROR(IF(D10=0,0,IF('Deal maths'!AE10&gt;0,IF('Deal maths'!AE10&gt;'Deal maths'!AA10,'Deal maths'!AA10,'Deal maths'!AE10),IF(IF(DAY('Deal maths'!AA10+1)=1,EOMONTH('Deal maths'!AA10,-(INT(((YEAR('Deal maths'!AA10)-YEAR(IF('Deal maths'!Z10&gt;0,'Deal maths'!Z10,DATE(1990,1,1))))*12+MONTH('Deal maths'!AA10)-MONTH(IF('Deal maths'!Z10&gt;0,'Deal maths'!Z10,DATE(1990,1,1))))/D10))*D10),EDATE('Deal maths'!AA10,-(INT(((YEAR('Deal maths'!AA10)-YEAR(IF('Deal maths'!Z10&gt;0,'Deal maths'!Z10,DATE(1990,1,1))))*12+MONTH('Deal maths'!AA10)-MONTH(IF('Deal maths'!Z10&gt;0,'Deal maths'!Z10,DATE(1990,1,1))))/D10))*D10))&gt;IF('Deal maths'!Z10&gt;0,'Deal maths'!Z10,DATE(1990,1,1)),IF(DAY('Deal maths'!AA10+1)=1,EOMONTH('Deal maths'!AA10,-(INT(((YEAR('Deal maths'!AA10)-YEAR(IF('Deal maths'!Z10&gt;0,'Deal maths'!Z10,DATE(1990,1,1))))*12+MONTH('Deal maths'!AA10)-MONTH(IF('Deal maths'!Z10&gt;0,'Deal maths'!Z10,DATE(1990,1,1))))/D10))*D10),EDATE('Deal maths'!AA10,-(INT(((YEAR('Deal maths'!AA10)-YEAR(IF('Deal maths'!Z10&gt;0,'Deal maths'!Z10,DATE(1990,1,1))))*12+MONTH('Deal maths'!AA10)-MONTH(IF('Deal maths'!Z10&gt;0,'Deal maths'!Z10,DATE(1990,1,1))))/D10))*D10)),IF(DAY('Deal maths'!AA10+1)=1,EOMONTH('Deal maths'!AA10,-(INT(((YEAR('Deal maths'!AA10)-YEAR(IF('Deal maths'!Z10&gt;0,'Deal maths'!Z10,DATE(1990,1,1))))*12+MONTH('Deal maths'!AA10)-MONTH(IF('Deal maths'!Z10&gt;0,'Deal maths'!Z10,DATE(1990,1,1))))/D10)-1)*D10),EDATE('Deal maths'!AA10,-(INT(((YEAR('Deal maths'!AA10)-YEAR(IF('Deal maths'!Z10&gt;0,'Deal maths'!Z10,DATE(1990,1,1))))*12+MONTH('Deal maths'!AA10)-MONTH(IF('Deal maths'!Z10&gt;0,'Deal maths'!Z10,DATE(1990,1,1))))/D10)-1)*D10))))),0)</f>
        <v/>
      </c>
      <c r="F10" s="110">
        <f>IF(D10=0,0,'Deal maths'!AB10*D10/12)</f>
        <v/>
      </c>
      <c r="G10" s="108">
        <f>N10+O10</f>
        <v/>
      </c>
      <c r="H10" s="108">
        <f>IFERROR(IF(OR(D10=0,AsAt&lt;E10),0,MIN(N10,INT(((YEAR(AsAt)-YEAR(E10))*12+MONTH(AsAt)-MONTH(E10)-(DAY(AsAt)&lt;MIN(R10,DAY(EOMONTH(AsAt,0)))))/D10)+1)+O10*(AsAt&gt;='Deal maths'!AA10)),0)</f>
        <v/>
      </c>
      <c r="I10" s="108">
        <f>G10-H10</f>
        <v/>
      </c>
      <c r="J10" s="111">
        <f>IF(AND(C10="EIP",I10&gt;0),'Deal maths'!Y10/I10,0)</f>
        <v/>
      </c>
      <c r="K10" s="111">
        <f>IF(AND(C10="Annuity",I10&gt;0),IF(F10&gt;0,'Deal maths'!Y10*F10/(1-(1+F10)^-I10),'Deal maths'!Y10/I10),0)</f>
        <v/>
      </c>
      <c r="L10" s="111">
        <f>IF('Deal maths'!Y10="",0,'Deal maths'!Y10)</f>
        <v/>
      </c>
      <c r="M10" s="112">
        <f>F10+(F10=0)</f>
        <v/>
      </c>
      <c r="N10" s="108">
        <f>IFERROR(IF(D10=0,0,INT(((YEAR('Deal maths'!AA10)-YEAR(E10))*12+MONTH('Deal maths'!AA10)-MONTH(E10)-(DAY('Deal maths'!AA10)&lt;MIN(R10,DAY(EOMONTH('Deal maths'!AA10,0)))))/D10)+1),0)</f>
        <v/>
      </c>
      <c r="O10" s="108">
        <f>IFERROR(IF(D10=0,0,IF(IF(DAY(E10+1)=1,EOMONTH(E10,(N10-1)*D10),EDATE(E10,(N10-1)*D10))='Deal maths'!AA10,0,1)),0)</f>
        <v/>
      </c>
      <c r="P10" s="113">
        <f>IF(B10=0,0,IFERROR(IF(C10="EIP",((I10-O10)*((IF(DAY(E10+1)=1,EOMONTH(E10,H10*D10),EDATE(E10,H10*D10))-AsAt)/365.25+(IF(DAY(E10+1)=1,EOMONTH(E10,(N10-1)*D10),EDATE(E10,(N10-1)*D10))-AsAt)/365.25)/2+O10*('Deal maths'!AA10-AsAt)/365.25)/I10,IF(C10="Annuity",IF(F10&gt;0,((K10-L10*F10)*((IF(DAY(E10+1)=1,EOMONTH(E10,H10*D10),EDATE(E10,H10*D10))-AsAt)/365.25*((1+F10)^(I10-O10)-1)/F10+IF((I10-O10)&gt;1,((IF(DAY(E10+1)=1,EOMONTH(E10,(N10-1)*D10),EDATE(E10,(N10-1)*D10))-AsAt)/365.25-(IF(DAY(E10+1)=1,EOMONTH(E10,H10*D10),EDATE(E10,H10*D10))-AsAt)/365.25)/((I10-O10)-1),0)*(1+F10)*(1-(I10-O10)*(1+F10)^((I10-O10)-1)+((I10-O10)-1)*(1+F10)^(I10-O10))/F10^2)+O10*(K10-L10*F10)*(1+F10)^(I10-1)*('Deal maths'!AA10-AsAt)/365.25)/L10,((I10-O10)*((IF(DAY(E10+1)=1,EOMONTH(E10,H10*D10),EDATE(E10,H10*D10))-AsAt)/365.25+(IF(DAY(E10+1)=1,EOMONTH(E10,(N10-1)*D10),EDATE(E10,(N10-1)*D10))-AsAt)/365.25)/2+O10*('Deal maths'!AA10-AsAt)/365.25)/I10),(S10-AsAt)/365.25)),0))</f>
        <v/>
      </c>
      <c r="Q10" s="109">
        <f>IF(B10=1,'Deal maths'!AA10+ROW()/1000000,"")</f>
        <v/>
      </c>
      <c r="R10" s="108">
        <f>IF(D10=0,0,IF(DAY(E10+1)=1,31,DAY(E10)))</f>
        <v/>
      </c>
      <c r="S10" s="109">
        <f>IF(AND('Deal maths'!V10="LOBO",'Deal maths'!AG10&gt;AsAt,'Deal maths'!AG10&lt;'Deal maths'!AA10),'Deal maths'!AG10,'Deal maths'!AA10)</f>
        <v/>
      </c>
      <c r="T10" s="108">
        <f>('Deal maths'!AA10&gt;AsAt)*('Deal maths'!Y10&gt;0)</f>
        <v/>
      </c>
    </row>
    <row r="11">
      <c r="A11" s="91">
        <f>IF('Deal maths'!V11="","",'Deal maths'!W11)</f>
        <v/>
      </c>
      <c r="B11" s="108">
        <f>('Deal maths'!AA11&gt;AsAt)*('Deal maths'!Y11&gt;0)*('Deal maths'!Z11&lt;=AsAt)</f>
        <v/>
      </c>
      <c r="C11" s="91">
        <f>IF('Deal maths'!V11="","",IF('Deal maths'!AC11="","Maturity",'Deal maths'!AC11))</f>
        <v/>
      </c>
      <c r="D11" s="108">
        <f>IF(OR(C11="EIP",C11="Annuity"),IF('Deal maths'!AD11="Annual",12,IF('Deal maths'!AD11="Quarterly",3,6)),0)</f>
        <v/>
      </c>
      <c r="E11" s="109">
        <f>IFERROR(IF(D11=0,0,IF('Deal maths'!AE11&gt;0,IF('Deal maths'!AE11&gt;'Deal maths'!AA11,'Deal maths'!AA11,'Deal maths'!AE11),IF(IF(DAY('Deal maths'!AA11+1)=1,EOMONTH('Deal maths'!AA11,-(INT(((YEAR('Deal maths'!AA11)-YEAR(IF('Deal maths'!Z11&gt;0,'Deal maths'!Z11,DATE(1990,1,1))))*12+MONTH('Deal maths'!AA11)-MONTH(IF('Deal maths'!Z11&gt;0,'Deal maths'!Z11,DATE(1990,1,1))))/D11))*D11),EDATE('Deal maths'!AA11,-(INT(((YEAR('Deal maths'!AA11)-YEAR(IF('Deal maths'!Z11&gt;0,'Deal maths'!Z11,DATE(1990,1,1))))*12+MONTH('Deal maths'!AA11)-MONTH(IF('Deal maths'!Z11&gt;0,'Deal maths'!Z11,DATE(1990,1,1))))/D11))*D11))&gt;IF('Deal maths'!Z11&gt;0,'Deal maths'!Z11,DATE(1990,1,1)),IF(DAY('Deal maths'!AA11+1)=1,EOMONTH('Deal maths'!AA11,-(INT(((YEAR('Deal maths'!AA11)-YEAR(IF('Deal maths'!Z11&gt;0,'Deal maths'!Z11,DATE(1990,1,1))))*12+MONTH('Deal maths'!AA11)-MONTH(IF('Deal maths'!Z11&gt;0,'Deal maths'!Z11,DATE(1990,1,1))))/D11))*D11),EDATE('Deal maths'!AA11,-(INT(((YEAR('Deal maths'!AA11)-YEAR(IF('Deal maths'!Z11&gt;0,'Deal maths'!Z11,DATE(1990,1,1))))*12+MONTH('Deal maths'!AA11)-MONTH(IF('Deal maths'!Z11&gt;0,'Deal maths'!Z11,DATE(1990,1,1))))/D11))*D11)),IF(DAY('Deal maths'!AA11+1)=1,EOMONTH('Deal maths'!AA11,-(INT(((YEAR('Deal maths'!AA11)-YEAR(IF('Deal maths'!Z11&gt;0,'Deal maths'!Z11,DATE(1990,1,1))))*12+MONTH('Deal maths'!AA11)-MONTH(IF('Deal maths'!Z11&gt;0,'Deal maths'!Z11,DATE(1990,1,1))))/D11)-1)*D11),EDATE('Deal maths'!AA11,-(INT(((YEAR('Deal maths'!AA11)-YEAR(IF('Deal maths'!Z11&gt;0,'Deal maths'!Z11,DATE(1990,1,1))))*12+MONTH('Deal maths'!AA11)-MONTH(IF('Deal maths'!Z11&gt;0,'Deal maths'!Z11,DATE(1990,1,1))))/D11)-1)*D11))))),0)</f>
        <v/>
      </c>
      <c r="F11" s="110">
        <f>IF(D11=0,0,'Deal maths'!AB11*D11/12)</f>
        <v/>
      </c>
      <c r="G11" s="108">
        <f>N11+O11</f>
        <v/>
      </c>
      <c r="H11" s="108">
        <f>IFERROR(IF(OR(D11=0,AsAt&lt;E11),0,MIN(N11,INT(((YEAR(AsAt)-YEAR(E11))*12+MONTH(AsAt)-MONTH(E11)-(DAY(AsAt)&lt;MIN(R11,DAY(EOMONTH(AsAt,0)))))/D11)+1)+O11*(AsAt&gt;='Deal maths'!AA11)),0)</f>
        <v/>
      </c>
      <c r="I11" s="108">
        <f>G11-H11</f>
        <v/>
      </c>
      <c r="J11" s="111">
        <f>IF(AND(C11="EIP",I11&gt;0),'Deal maths'!Y11/I11,0)</f>
        <v/>
      </c>
      <c r="K11" s="111">
        <f>IF(AND(C11="Annuity",I11&gt;0),IF(F11&gt;0,'Deal maths'!Y11*F11/(1-(1+F11)^-I11),'Deal maths'!Y11/I11),0)</f>
        <v/>
      </c>
      <c r="L11" s="111">
        <f>IF('Deal maths'!Y11="",0,'Deal maths'!Y11)</f>
        <v/>
      </c>
      <c r="M11" s="112">
        <f>F11+(F11=0)</f>
        <v/>
      </c>
      <c r="N11" s="108">
        <f>IFERROR(IF(D11=0,0,INT(((YEAR('Deal maths'!AA11)-YEAR(E11))*12+MONTH('Deal maths'!AA11)-MONTH(E11)-(DAY('Deal maths'!AA11)&lt;MIN(R11,DAY(EOMONTH('Deal maths'!AA11,0)))))/D11)+1),0)</f>
        <v/>
      </c>
      <c r="O11" s="108">
        <f>IFERROR(IF(D11=0,0,IF(IF(DAY(E11+1)=1,EOMONTH(E11,(N11-1)*D11),EDATE(E11,(N11-1)*D11))='Deal maths'!AA11,0,1)),0)</f>
        <v/>
      </c>
      <c r="P11" s="113">
        <f>IF(B11=0,0,IFERROR(IF(C11="EIP",((I11-O11)*((IF(DAY(E11+1)=1,EOMONTH(E11,H11*D11),EDATE(E11,H11*D11))-AsAt)/365.25+(IF(DAY(E11+1)=1,EOMONTH(E11,(N11-1)*D11),EDATE(E11,(N11-1)*D11))-AsAt)/365.25)/2+O11*('Deal maths'!AA11-AsAt)/365.25)/I11,IF(C11="Annuity",IF(F11&gt;0,((K11-L11*F11)*((IF(DAY(E11+1)=1,EOMONTH(E11,H11*D11),EDATE(E11,H11*D11))-AsAt)/365.25*((1+F11)^(I11-O11)-1)/F11+IF((I11-O11)&gt;1,((IF(DAY(E11+1)=1,EOMONTH(E11,(N11-1)*D11),EDATE(E11,(N11-1)*D11))-AsAt)/365.25-(IF(DAY(E11+1)=1,EOMONTH(E11,H11*D11),EDATE(E11,H11*D11))-AsAt)/365.25)/((I11-O11)-1),0)*(1+F11)*(1-(I11-O11)*(1+F11)^((I11-O11)-1)+((I11-O11)-1)*(1+F11)^(I11-O11))/F11^2)+O11*(K11-L11*F11)*(1+F11)^(I11-1)*('Deal maths'!AA11-AsAt)/365.25)/L11,((I11-O11)*((IF(DAY(E11+1)=1,EOMONTH(E11,H11*D11),EDATE(E11,H11*D11))-AsAt)/365.25+(IF(DAY(E11+1)=1,EOMONTH(E11,(N11-1)*D11),EDATE(E11,(N11-1)*D11))-AsAt)/365.25)/2+O11*('Deal maths'!AA11-AsAt)/365.25)/I11),(S11-AsAt)/365.25)),0))</f>
        <v/>
      </c>
      <c r="Q11" s="109">
        <f>IF(B11=1,'Deal maths'!AA11+ROW()/1000000,"")</f>
        <v/>
      </c>
      <c r="R11" s="108">
        <f>IF(D11=0,0,IF(DAY(E11+1)=1,31,DAY(E11)))</f>
        <v/>
      </c>
      <c r="S11" s="109">
        <f>IF(AND('Deal maths'!V11="LOBO",'Deal maths'!AG11&gt;AsAt,'Deal maths'!AG11&lt;'Deal maths'!AA11),'Deal maths'!AG11,'Deal maths'!AA11)</f>
        <v/>
      </c>
      <c r="T11" s="108">
        <f>('Deal maths'!AA11&gt;AsAt)*('Deal maths'!Y11&gt;0)</f>
        <v/>
      </c>
    </row>
    <row r="12">
      <c r="A12" s="91">
        <f>IF('Deal maths'!V12="","",'Deal maths'!W12)</f>
        <v/>
      </c>
      <c r="B12" s="108">
        <f>('Deal maths'!AA12&gt;AsAt)*('Deal maths'!Y12&gt;0)*('Deal maths'!Z12&lt;=AsAt)</f>
        <v/>
      </c>
      <c r="C12" s="91">
        <f>IF('Deal maths'!V12="","",IF('Deal maths'!AC12="","Maturity",'Deal maths'!AC12))</f>
        <v/>
      </c>
      <c r="D12" s="108">
        <f>IF(OR(C12="EIP",C12="Annuity"),IF('Deal maths'!AD12="Annual",12,IF('Deal maths'!AD12="Quarterly",3,6)),0)</f>
        <v/>
      </c>
      <c r="E12" s="109">
        <f>IFERROR(IF(D12=0,0,IF('Deal maths'!AE12&gt;0,IF('Deal maths'!AE12&gt;'Deal maths'!AA12,'Deal maths'!AA12,'Deal maths'!AE12),IF(IF(DAY('Deal maths'!AA12+1)=1,EOMONTH('Deal maths'!AA12,-(INT(((YEAR('Deal maths'!AA12)-YEAR(IF('Deal maths'!Z12&gt;0,'Deal maths'!Z12,DATE(1990,1,1))))*12+MONTH('Deal maths'!AA12)-MONTH(IF('Deal maths'!Z12&gt;0,'Deal maths'!Z12,DATE(1990,1,1))))/D12))*D12),EDATE('Deal maths'!AA12,-(INT(((YEAR('Deal maths'!AA12)-YEAR(IF('Deal maths'!Z12&gt;0,'Deal maths'!Z12,DATE(1990,1,1))))*12+MONTH('Deal maths'!AA12)-MONTH(IF('Deal maths'!Z12&gt;0,'Deal maths'!Z12,DATE(1990,1,1))))/D12))*D12))&gt;IF('Deal maths'!Z12&gt;0,'Deal maths'!Z12,DATE(1990,1,1)),IF(DAY('Deal maths'!AA12+1)=1,EOMONTH('Deal maths'!AA12,-(INT(((YEAR('Deal maths'!AA12)-YEAR(IF('Deal maths'!Z12&gt;0,'Deal maths'!Z12,DATE(1990,1,1))))*12+MONTH('Deal maths'!AA12)-MONTH(IF('Deal maths'!Z12&gt;0,'Deal maths'!Z12,DATE(1990,1,1))))/D12))*D12),EDATE('Deal maths'!AA12,-(INT(((YEAR('Deal maths'!AA12)-YEAR(IF('Deal maths'!Z12&gt;0,'Deal maths'!Z12,DATE(1990,1,1))))*12+MONTH('Deal maths'!AA12)-MONTH(IF('Deal maths'!Z12&gt;0,'Deal maths'!Z12,DATE(1990,1,1))))/D12))*D12)),IF(DAY('Deal maths'!AA12+1)=1,EOMONTH('Deal maths'!AA12,-(INT(((YEAR('Deal maths'!AA12)-YEAR(IF('Deal maths'!Z12&gt;0,'Deal maths'!Z12,DATE(1990,1,1))))*12+MONTH('Deal maths'!AA12)-MONTH(IF('Deal maths'!Z12&gt;0,'Deal maths'!Z12,DATE(1990,1,1))))/D12)-1)*D12),EDATE('Deal maths'!AA12,-(INT(((YEAR('Deal maths'!AA12)-YEAR(IF('Deal maths'!Z12&gt;0,'Deal maths'!Z12,DATE(1990,1,1))))*12+MONTH('Deal maths'!AA12)-MONTH(IF('Deal maths'!Z12&gt;0,'Deal maths'!Z12,DATE(1990,1,1))))/D12)-1)*D12))))),0)</f>
        <v/>
      </c>
      <c r="F12" s="110">
        <f>IF(D12=0,0,'Deal maths'!AB12*D12/12)</f>
        <v/>
      </c>
      <c r="G12" s="108">
        <f>N12+O12</f>
        <v/>
      </c>
      <c r="H12" s="108">
        <f>IFERROR(IF(OR(D12=0,AsAt&lt;E12),0,MIN(N12,INT(((YEAR(AsAt)-YEAR(E12))*12+MONTH(AsAt)-MONTH(E12)-(DAY(AsAt)&lt;MIN(R12,DAY(EOMONTH(AsAt,0)))))/D12)+1)+O12*(AsAt&gt;='Deal maths'!AA12)),0)</f>
        <v/>
      </c>
      <c r="I12" s="108">
        <f>G12-H12</f>
        <v/>
      </c>
      <c r="J12" s="111">
        <f>IF(AND(C12="EIP",I12&gt;0),'Deal maths'!Y12/I12,0)</f>
        <v/>
      </c>
      <c r="K12" s="111">
        <f>IF(AND(C12="Annuity",I12&gt;0),IF(F12&gt;0,'Deal maths'!Y12*F12/(1-(1+F12)^-I12),'Deal maths'!Y12/I12),0)</f>
        <v/>
      </c>
      <c r="L12" s="111">
        <f>IF('Deal maths'!Y12="",0,'Deal maths'!Y12)</f>
        <v/>
      </c>
      <c r="M12" s="112">
        <f>F12+(F12=0)</f>
        <v/>
      </c>
      <c r="N12" s="108">
        <f>IFERROR(IF(D12=0,0,INT(((YEAR('Deal maths'!AA12)-YEAR(E12))*12+MONTH('Deal maths'!AA12)-MONTH(E12)-(DAY('Deal maths'!AA12)&lt;MIN(R12,DAY(EOMONTH('Deal maths'!AA12,0)))))/D12)+1),0)</f>
        <v/>
      </c>
      <c r="O12" s="108">
        <f>IFERROR(IF(D12=0,0,IF(IF(DAY(E12+1)=1,EOMONTH(E12,(N12-1)*D12),EDATE(E12,(N12-1)*D12))='Deal maths'!AA12,0,1)),0)</f>
        <v/>
      </c>
      <c r="P12" s="113">
        <f>IF(B12=0,0,IFERROR(IF(C12="EIP",((I12-O12)*((IF(DAY(E12+1)=1,EOMONTH(E12,H12*D12),EDATE(E12,H12*D12))-AsAt)/365.25+(IF(DAY(E12+1)=1,EOMONTH(E12,(N12-1)*D12),EDATE(E12,(N12-1)*D12))-AsAt)/365.25)/2+O12*('Deal maths'!AA12-AsAt)/365.25)/I12,IF(C12="Annuity",IF(F12&gt;0,((K12-L12*F12)*((IF(DAY(E12+1)=1,EOMONTH(E12,H12*D12),EDATE(E12,H12*D12))-AsAt)/365.25*((1+F12)^(I12-O12)-1)/F12+IF((I12-O12)&gt;1,((IF(DAY(E12+1)=1,EOMONTH(E12,(N12-1)*D12),EDATE(E12,(N12-1)*D12))-AsAt)/365.25-(IF(DAY(E12+1)=1,EOMONTH(E12,H12*D12),EDATE(E12,H12*D12))-AsAt)/365.25)/((I12-O12)-1),0)*(1+F12)*(1-(I12-O12)*(1+F12)^((I12-O12)-1)+((I12-O12)-1)*(1+F12)^(I12-O12))/F12^2)+O12*(K12-L12*F12)*(1+F12)^(I12-1)*('Deal maths'!AA12-AsAt)/365.25)/L12,((I12-O12)*((IF(DAY(E12+1)=1,EOMONTH(E12,H12*D12),EDATE(E12,H12*D12))-AsAt)/365.25+(IF(DAY(E12+1)=1,EOMONTH(E12,(N12-1)*D12),EDATE(E12,(N12-1)*D12))-AsAt)/365.25)/2+O12*('Deal maths'!AA12-AsAt)/365.25)/I12),(S12-AsAt)/365.25)),0))</f>
        <v/>
      </c>
      <c r="Q12" s="109">
        <f>IF(B12=1,'Deal maths'!AA12+ROW()/1000000,"")</f>
        <v/>
      </c>
      <c r="R12" s="108">
        <f>IF(D12=0,0,IF(DAY(E12+1)=1,31,DAY(E12)))</f>
        <v/>
      </c>
      <c r="S12" s="109">
        <f>IF(AND('Deal maths'!V12="LOBO",'Deal maths'!AG12&gt;AsAt,'Deal maths'!AG12&lt;'Deal maths'!AA12),'Deal maths'!AG12,'Deal maths'!AA12)</f>
        <v/>
      </c>
      <c r="T12" s="108">
        <f>('Deal maths'!AA12&gt;AsAt)*('Deal maths'!Y12&gt;0)</f>
        <v/>
      </c>
    </row>
    <row r="13">
      <c r="A13" s="91">
        <f>IF('Deal maths'!V13="","",'Deal maths'!W13)</f>
        <v/>
      </c>
      <c r="B13" s="108">
        <f>('Deal maths'!AA13&gt;AsAt)*('Deal maths'!Y13&gt;0)*('Deal maths'!Z13&lt;=AsAt)</f>
        <v/>
      </c>
      <c r="C13" s="91">
        <f>IF('Deal maths'!V13="","",IF('Deal maths'!AC13="","Maturity",'Deal maths'!AC13))</f>
        <v/>
      </c>
      <c r="D13" s="108">
        <f>IF(OR(C13="EIP",C13="Annuity"),IF('Deal maths'!AD13="Annual",12,IF('Deal maths'!AD13="Quarterly",3,6)),0)</f>
        <v/>
      </c>
      <c r="E13" s="109">
        <f>IFERROR(IF(D13=0,0,IF('Deal maths'!AE13&gt;0,IF('Deal maths'!AE13&gt;'Deal maths'!AA13,'Deal maths'!AA13,'Deal maths'!AE13),IF(IF(DAY('Deal maths'!AA13+1)=1,EOMONTH('Deal maths'!AA13,-(INT(((YEAR('Deal maths'!AA13)-YEAR(IF('Deal maths'!Z13&gt;0,'Deal maths'!Z13,DATE(1990,1,1))))*12+MONTH('Deal maths'!AA13)-MONTH(IF('Deal maths'!Z13&gt;0,'Deal maths'!Z13,DATE(1990,1,1))))/D13))*D13),EDATE('Deal maths'!AA13,-(INT(((YEAR('Deal maths'!AA13)-YEAR(IF('Deal maths'!Z13&gt;0,'Deal maths'!Z13,DATE(1990,1,1))))*12+MONTH('Deal maths'!AA13)-MONTH(IF('Deal maths'!Z13&gt;0,'Deal maths'!Z13,DATE(1990,1,1))))/D13))*D13))&gt;IF('Deal maths'!Z13&gt;0,'Deal maths'!Z13,DATE(1990,1,1)),IF(DAY('Deal maths'!AA13+1)=1,EOMONTH('Deal maths'!AA13,-(INT(((YEAR('Deal maths'!AA13)-YEAR(IF('Deal maths'!Z13&gt;0,'Deal maths'!Z13,DATE(1990,1,1))))*12+MONTH('Deal maths'!AA13)-MONTH(IF('Deal maths'!Z13&gt;0,'Deal maths'!Z13,DATE(1990,1,1))))/D13))*D13),EDATE('Deal maths'!AA13,-(INT(((YEAR('Deal maths'!AA13)-YEAR(IF('Deal maths'!Z13&gt;0,'Deal maths'!Z13,DATE(1990,1,1))))*12+MONTH('Deal maths'!AA13)-MONTH(IF('Deal maths'!Z13&gt;0,'Deal maths'!Z13,DATE(1990,1,1))))/D13))*D13)),IF(DAY('Deal maths'!AA13+1)=1,EOMONTH('Deal maths'!AA13,-(INT(((YEAR('Deal maths'!AA13)-YEAR(IF('Deal maths'!Z13&gt;0,'Deal maths'!Z13,DATE(1990,1,1))))*12+MONTH('Deal maths'!AA13)-MONTH(IF('Deal maths'!Z13&gt;0,'Deal maths'!Z13,DATE(1990,1,1))))/D13)-1)*D13),EDATE('Deal maths'!AA13,-(INT(((YEAR('Deal maths'!AA13)-YEAR(IF('Deal maths'!Z13&gt;0,'Deal maths'!Z13,DATE(1990,1,1))))*12+MONTH('Deal maths'!AA13)-MONTH(IF('Deal maths'!Z13&gt;0,'Deal maths'!Z13,DATE(1990,1,1))))/D13)-1)*D13))))),0)</f>
        <v/>
      </c>
      <c r="F13" s="110">
        <f>IF(D13=0,0,'Deal maths'!AB13*D13/12)</f>
        <v/>
      </c>
      <c r="G13" s="108">
        <f>N13+O13</f>
        <v/>
      </c>
      <c r="H13" s="108">
        <f>IFERROR(IF(OR(D13=0,AsAt&lt;E13),0,MIN(N13,INT(((YEAR(AsAt)-YEAR(E13))*12+MONTH(AsAt)-MONTH(E13)-(DAY(AsAt)&lt;MIN(R13,DAY(EOMONTH(AsAt,0)))))/D13)+1)+O13*(AsAt&gt;='Deal maths'!AA13)),0)</f>
        <v/>
      </c>
      <c r="I13" s="108">
        <f>G13-H13</f>
        <v/>
      </c>
      <c r="J13" s="111">
        <f>IF(AND(C13="EIP",I13&gt;0),'Deal maths'!Y13/I13,0)</f>
        <v/>
      </c>
      <c r="K13" s="111">
        <f>IF(AND(C13="Annuity",I13&gt;0),IF(F13&gt;0,'Deal maths'!Y13*F13/(1-(1+F13)^-I13),'Deal maths'!Y13/I13),0)</f>
        <v/>
      </c>
      <c r="L13" s="111">
        <f>IF('Deal maths'!Y13="",0,'Deal maths'!Y13)</f>
        <v/>
      </c>
      <c r="M13" s="112">
        <f>F13+(F13=0)</f>
        <v/>
      </c>
      <c r="N13" s="108">
        <f>IFERROR(IF(D13=0,0,INT(((YEAR('Deal maths'!AA13)-YEAR(E13))*12+MONTH('Deal maths'!AA13)-MONTH(E13)-(DAY('Deal maths'!AA13)&lt;MIN(R13,DAY(EOMONTH('Deal maths'!AA13,0)))))/D13)+1),0)</f>
        <v/>
      </c>
      <c r="O13" s="108">
        <f>IFERROR(IF(D13=0,0,IF(IF(DAY(E13+1)=1,EOMONTH(E13,(N13-1)*D13),EDATE(E13,(N13-1)*D13))='Deal maths'!AA13,0,1)),0)</f>
        <v/>
      </c>
      <c r="P13" s="113">
        <f>IF(B13=0,0,IFERROR(IF(C13="EIP",((I13-O13)*((IF(DAY(E13+1)=1,EOMONTH(E13,H13*D13),EDATE(E13,H13*D13))-AsAt)/365.25+(IF(DAY(E13+1)=1,EOMONTH(E13,(N13-1)*D13),EDATE(E13,(N13-1)*D13))-AsAt)/365.25)/2+O13*('Deal maths'!AA13-AsAt)/365.25)/I13,IF(C13="Annuity",IF(F13&gt;0,((K13-L13*F13)*((IF(DAY(E13+1)=1,EOMONTH(E13,H13*D13),EDATE(E13,H13*D13))-AsAt)/365.25*((1+F13)^(I13-O13)-1)/F13+IF((I13-O13)&gt;1,((IF(DAY(E13+1)=1,EOMONTH(E13,(N13-1)*D13),EDATE(E13,(N13-1)*D13))-AsAt)/365.25-(IF(DAY(E13+1)=1,EOMONTH(E13,H13*D13),EDATE(E13,H13*D13))-AsAt)/365.25)/((I13-O13)-1),0)*(1+F13)*(1-(I13-O13)*(1+F13)^((I13-O13)-1)+((I13-O13)-1)*(1+F13)^(I13-O13))/F13^2)+O13*(K13-L13*F13)*(1+F13)^(I13-1)*('Deal maths'!AA13-AsAt)/365.25)/L13,((I13-O13)*((IF(DAY(E13+1)=1,EOMONTH(E13,H13*D13),EDATE(E13,H13*D13))-AsAt)/365.25+(IF(DAY(E13+1)=1,EOMONTH(E13,(N13-1)*D13),EDATE(E13,(N13-1)*D13))-AsAt)/365.25)/2+O13*('Deal maths'!AA13-AsAt)/365.25)/I13),(S13-AsAt)/365.25)),0))</f>
        <v/>
      </c>
      <c r="Q13" s="109">
        <f>IF(B13=1,'Deal maths'!AA13+ROW()/1000000,"")</f>
        <v/>
      </c>
      <c r="R13" s="108">
        <f>IF(D13=0,0,IF(DAY(E13+1)=1,31,DAY(E13)))</f>
        <v/>
      </c>
      <c r="S13" s="109">
        <f>IF(AND('Deal maths'!V13="LOBO",'Deal maths'!AG13&gt;AsAt,'Deal maths'!AG13&lt;'Deal maths'!AA13),'Deal maths'!AG13,'Deal maths'!AA13)</f>
        <v/>
      </c>
      <c r="T13" s="108">
        <f>('Deal maths'!AA13&gt;AsAt)*('Deal maths'!Y13&gt;0)</f>
        <v/>
      </c>
    </row>
    <row r="14">
      <c r="A14" s="91">
        <f>IF('Deal maths'!V14="","",'Deal maths'!W14)</f>
        <v/>
      </c>
      <c r="B14" s="108">
        <f>('Deal maths'!AA14&gt;AsAt)*('Deal maths'!Y14&gt;0)*('Deal maths'!Z14&lt;=AsAt)</f>
        <v/>
      </c>
      <c r="C14" s="91">
        <f>IF('Deal maths'!V14="","",IF('Deal maths'!AC14="","Maturity",'Deal maths'!AC14))</f>
        <v/>
      </c>
      <c r="D14" s="108">
        <f>IF(OR(C14="EIP",C14="Annuity"),IF('Deal maths'!AD14="Annual",12,IF('Deal maths'!AD14="Quarterly",3,6)),0)</f>
        <v/>
      </c>
      <c r="E14" s="109">
        <f>IFERROR(IF(D14=0,0,IF('Deal maths'!AE14&gt;0,IF('Deal maths'!AE14&gt;'Deal maths'!AA14,'Deal maths'!AA14,'Deal maths'!AE14),IF(IF(DAY('Deal maths'!AA14+1)=1,EOMONTH('Deal maths'!AA14,-(INT(((YEAR('Deal maths'!AA14)-YEAR(IF('Deal maths'!Z14&gt;0,'Deal maths'!Z14,DATE(1990,1,1))))*12+MONTH('Deal maths'!AA14)-MONTH(IF('Deal maths'!Z14&gt;0,'Deal maths'!Z14,DATE(1990,1,1))))/D14))*D14),EDATE('Deal maths'!AA14,-(INT(((YEAR('Deal maths'!AA14)-YEAR(IF('Deal maths'!Z14&gt;0,'Deal maths'!Z14,DATE(1990,1,1))))*12+MONTH('Deal maths'!AA14)-MONTH(IF('Deal maths'!Z14&gt;0,'Deal maths'!Z14,DATE(1990,1,1))))/D14))*D14))&gt;IF('Deal maths'!Z14&gt;0,'Deal maths'!Z14,DATE(1990,1,1)),IF(DAY('Deal maths'!AA14+1)=1,EOMONTH('Deal maths'!AA14,-(INT(((YEAR('Deal maths'!AA14)-YEAR(IF('Deal maths'!Z14&gt;0,'Deal maths'!Z14,DATE(1990,1,1))))*12+MONTH('Deal maths'!AA14)-MONTH(IF('Deal maths'!Z14&gt;0,'Deal maths'!Z14,DATE(1990,1,1))))/D14))*D14),EDATE('Deal maths'!AA14,-(INT(((YEAR('Deal maths'!AA14)-YEAR(IF('Deal maths'!Z14&gt;0,'Deal maths'!Z14,DATE(1990,1,1))))*12+MONTH('Deal maths'!AA14)-MONTH(IF('Deal maths'!Z14&gt;0,'Deal maths'!Z14,DATE(1990,1,1))))/D14))*D14)),IF(DAY('Deal maths'!AA14+1)=1,EOMONTH('Deal maths'!AA14,-(INT(((YEAR('Deal maths'!AA14)-YEAR(IF('Deal maths'!Z14&gt;0,'Deal maths'!Z14,DATE(1990,1,1))))*12+MONTH('Deal maths'!AA14)-MONTH(IF('Deal maths'!Z14&gt;0,'Deal maths'!Z14,DATE(1990,1,1))))/D14)-1)*D14),EDATE('Deal maths'!AA14,-(INT(((YEAR('Deal maths'!AA14)-YEAR(IF('Deal maths'!Z14&gt;0,'Deal maths'!Z14,DATE(1990,1,1))))*12+MONTH('Deal maths'!AA14)-MONTH(IF('Deal maths'!Z14&gt;0,'Deal maths'!Z14,DATE(1990,1,1))))/D14)-1)*D14))))),0)</f>
        <v/>
      </c>
      <c r="F14" s="110">
        <f>IF(D14=0,0,'Deal maths'!AB14*D14/12)</f>
        <v/>
      </c>
      <c r="G14" s="108">
        <f>N14+O14</f>
        <v/>
      </c>
      <c r="H14" s="108">
        <f>IFERROR(IF(OR(D14=0,AsAt&lt;E14),0,MIN(N14,INT(((YEAR(AsAt)-YEAR(E14))*12+MONTH(AsAt)-MONTH(E14)-(DAY(AsAt)&lt;MIN(R14,DAY(EOMONTH(AsAt,0)))))/D14)+1)+O14*(AsAt&gt;='Deal maths'!AA14)),0)</f>
        <v/>
      </c>
      <c r="I14" s="108">
        <f>G14-H14</f>
        <v/>
      </c>
      <c r="J14" s="111">
        <f>IF(AND(C14="EIP",I14&gt;0),'Deal maths'!Y14/I14,0)</f>
        <v/>
      </c>
      <c r="K14" s="111">
        <f>IF(AND(C14="Annuity",I14&gt;0),IF(F14&gt;0,'Deal maths'!Y14*F14/(1-(1+F14)^-I14),'Deal maths'!Y14/I14),0)</f>
        <v/>
      </c>
      <c r="L14" s="111">
        <f>IF('Deal maths'!Y14="",0,'Deal maths'!Y14)</f>
        <v/>
      </c>
      <c r="M14" s="112">
        <f>F14+(F14=0)</f>
        <v/>
      </c>
      <c r="N14" s="108">
        <f>IFERROR(IF(D14=0,0,INT(((YEAR('Deal maths'!AA14)-YEAR(E14))*12+MONTH('Deal maths'!AA14)-MONTH(E14)-(DAY('Deal maths'!AA14)&lt;MIN(R14,DAY(EOMONTH('Deal maths'!AA14,0)))))/D14)+1),0)</f>
        <v/>
      </c>
      <c r="O14" s="108">
        <f>IFERROR(IF(D14=0,0,IF(IF(DAY(E14+1)=1,EOMONTH(E14,(N14-1)*D14),EDATE(E14,(N14-1)*D14))='Deal maths'!AA14,0,1)),0)</f>
        <v/>
      </c>
      <c r="P14" s="113">
        <f>IF(B14=0,0,IFERROR(IF(C14="EIP",((I14-O14)*((IF(DAY(E14+1)=1,EOMONTH(E14,H14*D14),EDATE(E14,H14*D14))-AsAt)/365.25+(IF(DAY(E14+1)=1,EOMONTH(E14,(N14-1)*D14),EDATE(E14,(N14-1)*D14))-AsAt)/365.25)/2+O14*('Deal maths'!AA14-AsAt)/365.25)/I14,IF(C14="Annuity",IF(F14&gt;0,((K14-L14*F14)*((IF(DAY(E14+1)=1,EOMONTH(E14,H14*D14),EDATE(E14,H14*D14))-AsAt)/365.25*((1+F14)^(I14-O14)-1)/F14+IF((I14-O14)&gt;1,((IF(DAY(E14+1)=1,EOMONTH(E14,(N14-1)*D14),EDATE(E14,(N14-1)*D14))-AsAt)/365.25-(IF(DAY(E14+1)=1,EOMONTH(E14,H14*D14),EDATE(E14,H14*D14))-AsAt)/365.25)/((I14-O14)-1),0)*(1+F14)*(1-(I14-O14)*(1+F14)^((I14-O14)-1)+((I14-O14)-1)*(1+F14)^(I14-O14))/F14^2)+O14*(K14-L14*F14)*(1+F14)^(I14-1)*('Deal maths'!AA14-AsAt)/365.25)/L14,((I14-O14)*((IF(DAY(E14+1)=1,EOMONTH(E14,H14*D14),EDATE(E14,H14*D14))-AsAt)/365.25+(IF(DAY(E14+1)=1,EOMONTH(E14,(N14-1)*D14),EDATE(E14,(N14-1)*D14))-AsAt)/365.25)/2+O14*('Deal maths'!AA14-AsAt)/365.25)/I14),(S14-AsAt)/365.25)),0))</f>
        <v/>
      </c>
      <c r="Q14" s="109">
        <f>IF(B14=1,'Deal maths'!AA14+ROW()/1000000,"")</f>
        <v/>
      </c>
      <c r="R14" s="108">
        <f>IF(D14=0,0,IF(DAY(E14+1)=1,31,DAY(E14)))</f>
        <v/>
      </c>
      <c r="S14" s="109">
        <f>IF(AND('Deal maths'!V14="LOBO",'Deal maths'!AG14&gt;AsAt,'Deal maths'!AG14&lt;'Deal maths'!AA14),'Deal maths'!AG14,'Deal maths'!AA14)</f>
        <v/>
      </c>
      <c r="T14" s="108">
        <f>('Deal maths'!AA14&gt;AsAt)*('Deal maths'!Y14&gt;0)</f>
        <v/>
      </c>
    </row>
    <row r="15">
      <c r="A15" s="91">
        <f>IF('Deal maths'!V15="","",'Deal maths'!W15)</f>
        <v/>
      </c>
      <c r="B15" s="108">
        <f>('Deal maths'!AA15&gt;AsAt)*('Deal maths'!Y15&gt;0)*('Deal maths'!Z15&lt;=AsAt)</f>
        <v/>
      </c>
      <c r="C15" s="91">
        <f>IF('Deal maths'!V15="","",IF('Deal maths'!AC15="","Maturity",'Deal maths'!AC15))</f>
        <v/>
      </c>
      <c r="D15" s="108">
        <f>IF(OR(C15="EIP",C15="Annuity"),IF('Deal maths'!AD15="Annual",12,IF('Deal maths'!AD15="Quarterly",3,6)),0)</f>
        <v/>
      </c>
      <c r="E15" s="109">
        <f>IFERROR(IF(D15=0,0,IF('Deal maths'!AE15&gt;0,IF('Deal maths'!AE15&gt;'Deal maths'!AA15,'Deal maths'!AA15,'Deal maths'!AE15),IF(IF(DAY('Deal maths'!AA15+1)=1,EOMONTH('Deal maths'!AA15,-(INT(((YEAR('Deal maths'!AA15)-YEAR(IF('Deal maths'!Z15&gt;0,'Deal maths'!Z15,DATE(1990,1,1))))*12+MONTH('Deal maths'!AA15)-MONTH(IF('Deal maths'!Z15&gt;0,'Deal maths'!Z15,DATE(1990,1,1))))/D15))*D15),EDATE('Deal maths'!AA15,-(INT(((YEAR('Deal maths'!AA15)-YEAR(IF('Deal maths'!Z15&gt;0,'Deal maths'!Z15,DATE(1990,1,1))))*12+MONTH('Deal maths'!AA15)-MONTH(IF('Deal maths'!Z15&gt;0,'Deal maths'!Z15,DATE(1990,1,1))))/D15))*D15))&gt;IF('Deal maths'!Z15&gt;0,'Deal maths'!Z15,DATE(1990,1,1)),IF(DAY('Deal maths'!AA15+1)=1,EOMONTH('Deal maths'!AA15,-(INT(((YEAR('Deal maths'!AA15)-YEAR(IF('Deal maths'!Z15&gt;0,'Deal maths'!Z15,DATE(1990,1,1))))*12+MONTH('Deal maths'!AA15)-MONTH(IF('Deal maths'!Z15&gt;0,'Deal maths'!Z15,DATE(1990,1,1))))/D15))*D15),EDATE('Deal maths'!AA15,-(INT(((YEAR('Deal maths'!AA15)-YEAR(IF('Deal maths'!Z15&gt;0,'Deal maths'!Z15,DATE(1990,1,1))))*12+MONTH('Deal maths'!AA15)-MONTH(IF('Deal maths'!Z15&gt;0,'Deal maths'!Z15,DATE(1990,1,1))))/D15))*D15)),IF(DAY('Deal maths'!AA15+1)=1,EOMONTH('Deal maths'!AA15,-(INT(((YEAR('Deal maths'!AA15)-YEAR(IF('Deal maths'!Z15&gt;0,'Deal maths'!Z15,DATE(1990,1,1))))*12+MONTH('Deal maths'!AA15)-MONTH(IF('Deal maths'!Z15&gt;0,'Deal maths'!Z15,DATE(1990,1,1))))/D15)-1)*D15),EDATE('Deal maths'!AA15,-(INT(((YEAR('Deal maths'!AA15)-YEAR(IF('Deal maths'!Z15&gt;0,'Deal maths'!Z15,DATE(1990,1,1))))*12+MONTH('Deal maths'!AA15)-MONTH(IF('Deal maths'!Z15&gt;0,'Deal maths'!Z15,DATE(1990,1,1))))/D15)-1)*D15))))),0)</f>
        <v/>
      </c>
      <c r="F15" s="110">
        <f>IF(D15=0,0,'Deal maths'!AB15*D15/12)</f>
        <v/>
      </c>
      <c r="G15" s="108">
        <f>N15+O15</f>
        <v/>
      </c>
      <c r="H15" s="108">
        <f>IFERROR(IF(OR(D15=0,AsAt&lt;E15),0,MIN(N15,INT(((YEAR(AsAt)-YEAR(E15))*12+MONTH(AsAt)-MONTH(E15)-(DAY(AsAt)&lt;MIN(R15,DAY(EOMONTH(AsAt,0)))))/D15)+1)+O15*(AsAt&gt;='Deal maths'!AA15)),0)</f>
        <v/>
      </c>
      <c r="I15" s="108">
        <f>G15-H15</f>
        <v/>
      </c>
      <c r="J15" s="111">
        <f>IF(AND(C15="EIP",I15&gt;0),'Deal maths'!Y15/I15,0)</f>
        <v/>
      </c>
      <c r="K15" s="111">
        <f>IF(AND(C15="Annuity",I15&gt;0),IF(F15&gt;0,'Deal maths'!Y15*F15/(1-(1+F15)^-I15),'Deal maths'!Y15/I15),0)</f>
        <v/>
      </c>
      <c r="L15" s="111">
        <f>IF('Deal maths'!Y15="",0,'Deal maths'!Y15)</f>
        <v/>
      </c>
      <c r="M15" s="112">
        <f>F15+(F15=0)</f>
        <v/>
      </c>
      <c r="N15" s="108">
        <f>IFERROR(IF(D15=0,0,INT(((YEAR('Deal maths'!AA15)-YEAR(E15))*12+MONTH('Deal maths'!AA15)-MONTH(E15)-(DAY('Deal maths'!AA15)&lt;MIN(R15,DAY(EOMONTH('Deal maths'!AA15,0)))))/D15)+1),0)</f>
        <v/>
      </c>
      <c r="O15" s="108">
        <f>IFERROR(IF(D15=0,0,IF(IF(DAY(E15+1)=1,EOMONTH(E15,(N15-1)*D15),EDATE(E15,(N15-1)*D15))='Deal maths'!AA15,0,1)),0)</f>
        <v/>
      </c>
      <c r="P15" s="113">
        <f>IF(B15=0,0,IFERROR(IF(C15="EIP",((I15-O15)*((IF(DAY(E15+1)=1,EOMONTH(E15,H15*D15),EDATE(E15,H15*D15))-AsAt)/365.25+(IF(DAY(E15+1)=1,EOMONTH(E15,(N15-1)*D15),EDATE(E15,(N15-1)*D15))-AsAt)/365.25)/2+O15*('Deal maths'!AA15-AsAt)/365.25)/I15,IF(C15="Annuity",IF(F15&gt;0,((K15-L15*F15)*((IF(DAY(E15+1)=1,EOMONTH(E15,H15*D15),EDATE(E15,H15*D15))-AsAt)/365.25*((1+F15)^(I15-O15)-1)/F15+IF((I15-O15)&gt;1,((IF(DAY(E15+1)=1,EOMONTH(E15,(N15-1)*D15),EDATE(E15,(N15-1)*D15))-AsAt)/365.25-(IF(DAY(E15+1)=1,EOMONTH(E15,H15*D15),EDATE(E15,H15*D15))-AsAt)/365.25)/((I15-O15)-1),0)*(1+F15)*(1-(I15-O15)*(1+F15)^((I15-O15)-1)+((I15-O15)-1)*(1+F15)^(I15-O15))/F15^2)+O15*(K15-L15*F15)*(1+F15)^(I15-1)*('Deal maths'!AA15-AsAt)/365.25)/L15,((I15-O15)*((IF(DAY(E15+1)=1,EOMONTH(E15,H15*D15),EDATE(E15,H15*D15))-AsAt)/365.25+(IF(DAY(E15+1)=1,EOMONTH(E15,(N15-1)*D15),EDATE(E15,(N15-1)*D15))-AsAt)/365.25)/2+O15*('Deal maths'!AA15-AsAt)/365.25)/I15),(S15-AsAt)/365.25)),0))</f>
        <v/>
      </c>
      <c r="Q15" s="109">
        <f>IF(B15=1,'Deal maths'!AA15+ROW()/1000000,"")</f>
        <v/>
      </c>
      <c r="R15" s="108">
        <f>IF(D15=0,0,IF(DAY(E15+1)=1,31,DAY(E15)))</f>
        <v/>
      </c>
      <c r="S15" s="109">
        <f>IF(AND('Deal maths'!V15="LOBO",'Deal maths'!AG15&gt;AsAt,'Deal maths'!AG15&lt;'Deal maths'!AA15),'Deal maths'!AG15,'Deal maths'!AA15)</f>
        <v/>
      </c>
      <c r="T15" s="108">
        <f>('Deal maths'!AA15&gt;AsAt)*('Deal maths'!Y15&gt;0)</f>
        <v/>
      </c>
    </row>
    <row r="16">
      <c r="A16" s="91">
        <f>IF('Deal maths'!V16="","",'Deal maths'!W16)</f>
        <v/>
      </c>
      <c r="B16" s="108">
        <f>('Deal maths'!AA16&gt;AsAt)*('Deal maths'!Y16&gt;0)*('Deal maths'!Z16&lt;=AsAt)</f>
        <v/>
      </c>
      <c r="C16" s="91">
        <f>IF('Deal maths'!V16="","",IF('Deal maths'!AC16="","Maturity",'Deal maths'!AC16))</f>
        <v/>
      </c>
      <c r="D16" s="108">
        <f>IF(OR(C16="EIP",C16="Annuity"),IF('Deal maths'!AD16="Annual",12,IF('Deal maths'!AD16="Quarterly",3,6)),0)</f>
        <v/>
      </c>
      <c r="E16" s="109">
        <f>IFERROR(IF(D16=0,0,IF('Deal maths'!AE16&gt;0,IF('Deal maths'!AE16&gt;'Deal maths'!AA16,'Deal maths'!AA16,'Deal maths'!AE16),IF(IF(DAY('Deal maths'!AA16+1)=1,EOMONTH('Deal maths'!AA16,-(INT(((YEAR('Deal maths'!AA16)-YEAR(IF('Deal maths'!Z16&gt;0,'Deal maths'!Z16,DATE(1990,1,1))))*12+MONTH('Deal maths'!AA16)-MONTH(IF('Deal maths'!Z16&gt;0,'Deal maths'!Z16,DATE(1990,1,1))))/D16))*D16),EDATE('Deal maths'!AA16,-(INT(((YEAR('Deal maths'!AA16)-YEAR(IF('Deal maths'!Z16&gt;0,'Deal maths'!Z16,DATE(1990,1,1))))*12+MONTH('Deal maths'!AA16)-MONTH(IF('Deal maths'!Z16&gt;0,'Deal maths'!Z16,DATE(1990,1,1))))/D16))*D16))&gt;IF('Deal maths'!Z16&gt;0,'Deal maths'!Z16,DATE(1990,1,1)),IF(DAY('Deal maths'!AA16+1)=1,EOMONTH('Deal maths'!AA16,-(INT(((YEAR('Deal maths'!AA16)-YEAR(IF('Deal maths'!Z16&gt;0,'Deal maths'!Z16,DATE(1990,1,1))))*12+MONTH('Deal maths'!AA16)-MONTH(IF('Deal maths'!Z16&gt;0,'Deal maths'!Z16,DATE(1990,1,1))))/D16))*D16),EDATE('Deal maths'!AA16,-(INT(((YEAR('Deal maths'!AA16)-YEAR(IF('Deal maths'!Z16&gt;0,'Deal maths'!Z16,DATE(1990,1,1))))*12+MONTH('Deal maths'!AA16)-MONTH(IF('Deal maths'!Z16&gt;0,'Deal maths'!Z16,DATE(1990,1,1))))/D16))*D16)),IF(DAY('Deal maths'!AA16+1)=1,EOMONTH('Deal maths'!AA16,-(INT(((YEAR('Deal maths'!AA16)-YEAR(IF('Deal maths'!Z16&gt;0,'Deal maths'!Z16,DATE(1990,1,1))))*12+MONTH('Deal maths'!AA16)-MONTH(IF('Deal maths'!Z16&gt;0,'Deal maths'!Z16,DATE(1990,1,1))))/D16)-1)*D16),EDATE('Deal maths'!AA16,-(INT(((YEAR('Deal maths'!AA16)-YEAR(IF('Deal maths'!Z16&gt;0,'Deal maths'!Z16,DATE(1990,1,1))))*12+MONTH('Deal maths'!AA16)-MONTH(IF('Deal maths'!Z16&gt;0,'Deal maths'!Z16,DATE(1990,1,1))))/D16)-1)*D16))))),0)</f>
        <v/>
      </c>
      <c r="F16" s="110">
        <f>IF(D16=0,0,'Deal maths'!AB16*D16/12)</f>
        <v/>
      </c>
      <c r="G16" s="108">
        <f>N16+O16</f>
        <v/>
      </c>
      <c r="H16" s="108">
        <f>IFERROR(IF(OR(D16=0,AsAt&lt;E16),0,MIN(N16,INT(((YEAR(AsAt)-YEAR(E16))*12+MONTH(AsAt)-MONTH(E16)-(DAY(AsAt)&lt;MIN(R16,DAY(EOMONTH(AsAt,0)))))/D16)+1)+O16*(AsAt&gt;='Deal maths'!AA16)),0)</f>
        <v/>
      </c>
      <c r="I16" s="108">
        <f>G16-H16</f>
        <v/>
      </c>
      <c r="J16" s="111">
        <f>IF(AND(C16="EIP",I16&gt;0),'Deal maths'!Y16/I16,0)</f>
        <v/>
      </c>
      <c r="K16" s="111">
        <f>IF(AND(C16="Annuity",I16&gt;0),IF(F16&gt;0,'Deal maths'!Y16*F16/(1-(1+F16)^-I16),'Deal maths'!Y16/I16),0)</f>
        <v/>
      </c>
      <c r="L16" s="111">
        <f>IF('Deal maths'!Y16="",0,'Deal maths'!Y16)</f>
        <v/>
      </c>
      <c r="M16" s="112">
        <f>F16+(F16=0)</f>
        <v/>
      </c>
      <c r="N16" s="108">
        <f>IFERROR(IF(D16=0,0,INT(((YEAR('Deal maths'!AA16)-YEAR(E16))*12+MONTH('Deal maths'!AA16)-MONTH(E16)-(DAY('Deal maths'!AA16)&lt;MIN(R16,DAY(EOMONTH('Deal maths'!AA16,0)))))/D16)+1),0)</f>
        <v/>
      </c>
      <c r="O16" s="108">
        <f>IFERROR(IF(D16=0,0,IF(IF(DAY(E16+1)=1,EOMONTH(E16,(N16-1)*D16),EDATE(E16,(N16-1)*D16))='Deal maths'!AA16,0,1)),0)</f>
        <v/>
      </c>
      <c r="P16" s="113">
        <f>IF(B16=0,0,IFERROR(IF(C16="EIP",((I16-O16)*((IF(DAY(E16+1)=1,EOMONTH(E16,H16*D16),EDATE(E16,H16*D16))-AsAt)/365.25+(IF(DAY(E16+1)=1,EOMONTH(E16,(N16-1)*D16),EDATE(E16,(N16-1)*D16))-AsAt)/365.25)/2+O16*('Deal maths'!AA16-AsAt)/365.25)/I16,IF(C16="Annuity",IF(F16&gt;0,((K16-L16*F16)*((IF(DAY(E16+1)=1,EOMONTH(E16,H16*D16),EDATE(E16,H16*D16))-AsAt)/365.25*((1+F16)^(I16-O16)-1)/F16+IF((I16-O16)&gt;1,((IF(DAY(E16+1)=1,EOMONTH(E16,(N16-1)*D16),EDATE(E16,(N16-1)*D16))-AsAt)/365.25-(IF(DAY(E16+1)=1,EOMONTH(E16,H16*D16),EDATE(E16,H16*D16))-AsAt)/365.25)/((I16-O16)-1),0)*(1+F16)*(1-(I16-O16)*(1+F16)^((I16-O16)-1)+((I16-O16)-1)*(1+F16)^(I16-O16))/F16^2)+O16*(K16-L16*F16)*(1+F16)^(I16-1)*('Deal maths'!AA16-AsAt)/365.25)/L16,((I16-O16)*((IF(DAY(E16+1)=1,EOMONTH(E16,H16*D16),EDATE(E16,H16*D16))-AsAt)/365.25+(IF(DAY(E16+1)=1,EOMONTH(E16,(N16-1)*D16),EDATE(E16,(N16-1)*D16))-AsAt)/365.25)/2+O16*('Deal maths'!AA16-AsAt)/365.25)/I16),(S16-AsAt)/365.25)),0))</f>
        <v/>
      </c>
      <c r="Q16" s="109">
        <f>IF(B16=1,'Deal maths'!AA16+ROW()/1000000,"")</f>
        <v/>
      </c>
      <c r="R16" s="108">
        <f>IF(D16=0,0,IF(DAY(E16+1)=1,31,DAY(E16)))</f>
        <v/>
      </c>
      <c r="S16" s="109">
        <f>IF(AND('Deal maths'!V16="LOBO",'Deal maths'!AG16&gt;AsAt,'Deal maths'!AG16&lt;'Deal maths'!AA16),'Deal maths'!AG16,'Deal maths'!AA16)</f>
        <v/>
      </c>
      <c r="T16" s="108">
        <f>('Deal maths'!AA16&gt;AsAt)*('Deal maths'!Y16&gt;0)</f>
        <v/>
      </c>
    </row>
    <row r="17">
      <c r="A17" s="91">
        <f>IF('Deal maths'!V17="","",'Deal maths'!W17)</f>
        <v/>
      </c>
      <c r="B17" s="108">
        <f>('Deal maths'!AA17&gt;AsAt)*('Deal maths'!Y17&gt;0)*('Deal maths'!Z17&lt;=AsAt)</f>
        <v/>
      </c>
      <c r="C17" s="91">
        <f>IF('Deal maths'!V17="","",IF('Deal maths'!AC17="","Maturity",'Deal maths'!AC17))</f>
        <v/>
      </c>
      <c r="D17" s="108">
        <f>IF(OR(C17="EIP",C17="Annuity"),IF('Deal maths'!AD17="Annual",12,IF('Deal maths'!AD17="Quarterly",3,6)),0)</f>
        <v/>
      </c>
      <c r="E17" s="109">
        <f>IFERROR(IF(D17=0,0,IF('Deal maths'!AE17&gt;0,IF('Deal maths'!AE17&gt;'Deal maths'!AA17,'Deal maths'!AA17,'Deal maths'!AE17),IF(IF(DAY('Deal maths'!AA17+1)=1,EOMONTH('Deal maths'!AA17,-(INT(((YEAR('Deal maths'!AA17)-YEAR(IF('Deal maths'!Z17&gt;0,'Deal maths'!Z17,DATE(1990,1,1))))*12+MONTH('Deal maths'!AA17)-MONTH(IF('Deal maths'!Z17&gt;0,'Deal maths'!Z17,DATE(1990,1,1))))/D17))*D17),EDATE('Deal maths'!AA17,-(INT(((YEAR('Deal maths'!AA17)-YEAR(IF('Deal maths'!Z17&gt;0,'Deal maths'!Z17,DATE(1990,1,1))))*12+MONTH('Deal maths'!AA17)-MONTH(IF('Deal maths'!Z17&gt;0,'Deal maths'!Z17,DATE(1990,1,1))))/D17))*D17))&gt;IF('Deal maths'!Z17&gt;0,'Deal maths'!Z17,DATE(1990,1,1)),IF(DAY('Deal maths'!AA17+1)=1,EOMONTH('Deal maths'!AA17,-(INT(((YEAR('Deal maths'!AA17)-YEAR(IF('Deal maths'!Z17&gt;0,'Deal maths'!Z17,DATE(1990,1,1))))*12+MONTH('Deal maths'!AA17)-MONTH(IF('Deal maths'!Z17&gt;0,'Deal maths'!Z17,DATE(1990,1,1))))/D17))*D17),EDATE('Deal maths'!AA17,-(INT(((YEAR('Deal maths'!AA17)-YEAR(IF('Deal maths'!Z17&gt;0,'Deal maths'!Z17,DATE(1990,1,1))))*12+MONTH('Deal maths'!AA17)-MONTH(IF('Deal maths'!Z17&gt;0,'Deal maths'!Z17,DATE(1990,1,1))))/D17))*D17)),IF(DAY('Deal maths'!AA17+1)=1,EOMONTH('Deal maths'!AA17,-(INT(((YEAR('Deal maths'!AA17)-YEAR(IF('Deal maths'!Z17&gt;0,'Deal maths'!Z17,DATE(1990,1,1))))*12+MONTH('Deal maths'!AA17)-MONTH(IF('Deal maths'!Z17&gt;0,'Deal maths'!Z17,DATE(1990,1,1))))/D17)-1)*D17),EDATE('Deal maths'!AA17,-(INT(((YEAR('Deal maths'!AA17)-YEAR(IF('Deal maths'!Z17&gt;0,'Deal maths'!Z17,DATE(1990,1,1))))*12+MONTH('Deal maths'!AA17)-MONTH(IF('Deal maths'!Z17&gt;0,'Deal maths'!Z17,DATE(1990,1,1))))/D17)-1)*D17))))),0)</f>
        <v/>
      </c>
      <c r="F17" s="110">
        <f>IF(D17=0,0,'Deal maths'!AB17*D17/12)</f>
        <v/>
      </c>
      <c r="G17" s="108">
        <f>N17+O17</f>
        <v/>
      </c>
      <c r="H17" s="108">
        <f>IFERROR(IF(OR(D17=0,AsAt&lt;E17),0,MIN(N17,INT(((YEAR(AsAt)-YEAR(E17))*12+MONTH(AsAt)-MONTH(E17)-(DAY(AsAt)&lt;MIN(R17,DAY(EOMONTH(AsAt,0)))))/D17)+1)+O17*(AsAt&gt;='Deal maths'!AA17)),0)</f>
        <v/>
      </c>
      <c r="I17" s="108">
        <f>G17-H17</f>
        <v/>
      </c>
      <c r="J17" s="111">
        <f>IF(AND(C17="EIP",I17&gt;0),'Deal maths'!Y17/I17,0)</f>
        <v/>
      </c>
      <c r="K17" s="111">
        <f>IF(AND(C17="Annuity",I17&gt;0),IF(F17&gt;0,'Deal maths'!Y17*F17/(1-(1+F17)^-I17),'Deal maths'!Y17/I17),0)</f>
        <v/>
      </c>
      <c r="L17" s="111">
        <f>IF('Deal maths'!Y17="",0,'Deal maths'!Y17)</f>
        <v/>
      </c>
      <c r="M17" s="112">
        <f>F17+(F17=0)</f>
        <v/>
      </c>
      <c r="N17" s="108">
        <f>IFERROR(IF(D17=0,0,INT(((YEAR('Deal maths'!AA17)-YEAR(E17))*12+MONTH('Deal maths'!AA17)-MONTH(E17)-(DAY('Deal maths'!AA17)&lt;MIN(R17,DAY(EOMONTH('Deal maths'!AA17,0)))))/D17)+1),0)</f>
        <v/>
      </c>
      <c r="O17" s="108">
        <f>IFERROR(IF(D17=0,0,IF(IF(DAY(E17+1)=1,EOMONTH(E17,(N17-1)*D17),EDATE(E17,(N17-1)*D17))='Deal maths'!AA17,0,1)),0)</f>
        <v/>
      </c>
      <c r="P17" s="113">
        <f>IF(B17=0,0,IFERROR(IF(C17="EIP",((I17-O17)*((IF(DAY(E17+1)=1,EOMONTH(E17,H17*D17),EDATE(E17,H17*D17))-AsAt)/365.25+(IF(DAY(E17+1)=1,EOMONTH(E17,(N17-1)*D17),EDATE(E17,(N17-1)*D17))-AsAt)/365.25)/2+O17*('Deal maths'!AA17-AsAt)/365.25)/I17,IF(C17="Annuity",IF(F17&gt;0,((K17-L17*F17)*((IF(DAY(E17+1)=1,EOMONTH(E17,H17*D17),EDATE(E17,H17*D17))-AsAt)/365.25*((1+F17)^(I17-O17)-1)/F17+IF((I17-O17)&gt;1,((IF(DAY(E17+1)=1,EOMONTH(E17,(N17-1)*D17),EDATE(E17,(N17-1)*D17))-AsAt)/365.25-(IF(DAY(E17+1)=1,EOMONTH(E17,H17*D17),EDATE(E17,H17*D17))-AsAt)/365.25)/((I17-O17)-1),0)*(1+F17)*(1-(I17-O17)*(1+F17)^((I17-O17)-1)+((I17-O17)-1)*(1+F17)^(I17-O17))/F17^2)+O17*(K17-L17*F17)*(1+F17)^(I17-1)*('Deal maths'!AA17-AsAt)/365.25)/L17,((I17-O17)*((IF(DAY(E17+1)=1,EOMONTH(E17,H17*D17),EDATE(E17,H17*D17))-AsAt)/365.25+(IF(DAY(E17+1)=1,EOMONTH(E17,(N17-1)*D17),EDATE(E17,(N17-1)*D17))-AsAt)/365.25)/2+O17*('Deal maths'!AA17-AsAt)/365.25)/I17),(S17-AsAt)/365.25)),0))</f>
        <v/>
      </c>
      <c r="Q17" s="109">
        <f>IF(B17=1,'Deal maths'!AA17+ROW()/1000000,"")</f>
        <v/>
      </c>
      <c r="R17" s="108">
        <f>IF(D17=0,0,IF(DAY(E17+1)=1,31,DAY(E17)))</f>
        <v/>
      </c>
      <c r="S17" s="109">
        <f>IF(AND('Deal maths'!V17="LOBO",'Deal maths'!AG17&gt;AsAt,'Deal maths'!AG17&lt;'Deal maths'!AA17),'Deal maths'!AG17,'Deal maths'!AA17)</f>
        <v/>
      </c>
      <c r="T17" s="108">
        <f>('Deal maths'!AA17&gt;AsAt)*('Deal maths'!Y17&gt;0)</f>
        <v/>
      </c>
    </row>
    <row r="18">
      <c r="A18" s="91">
        <f>IF('Deal maths'!V18="","",'Deal maths'!W18)</f>
        <v/>
      </c>
      <c r="B18" s="108">
        <f>('Deal maths'!AA18&gt;AsAt)*('Deal maths'!Y18&gt;0)*('Deal maths'!Z18&lt;=AsAt)</f>
        <v/>
      </c>
      <c r="C18" s="91">
        <f>IF('Deal maths'!V18="","",IF('Deal maths'!AC18="","Maturity",'Deal maths'!AC18))</f>
        <v/>
      </c>
      <c r="D18" s="108">
        <f>IF(OR(C18="EIP",C18="Annuity"),IF('Deal maths'!AD18="Annual",12,IF('Deal maths'!AD18="Quarterly",3,6)),0)</f>
        <v/>
      </c>
      <c r="E18" s="109">
        <f>IFERROR(IF(D18=0,0,IF('Deal maths'!AE18&gt;0,IF('Deal maths'!AE18&gt;'Deal maths'!AA18,'Deal maths'!AA18,'Deal maths'!AE18),IF(IF(DAY('Deal maths'!AA18+1)=1,EOMONTH('Deal maths'!AA18,-(INT(((YEAR('Deal maths'!AA18)-YEAR(IF('Deal maths'!Z18&gt;0,'Deal maths'!Z18,DATE(1990,1,1))))*12+MONTH('Deal maths'!AA18)-MONTH(IF('Deal maths'!Z18&gt;0,'Deal maths'!Z18,DATE(1990,1,1))))/D18))*D18),EDATE('Deal maths'!AA18,-(INT(((YEAR('Deal maths'!AA18)-YEAR(IF('Deal maths'!Z18&gt;0,'Deal maths'!Z18,DATE(1990,1,1))))*12+MONTH('Deal maths'!AA18)-MONTH(IF('Deal maths'!Z18&gt;0,'Deal maths'!Z18,DATE(1990,1,1))))/D18))*D18))&gt;IF('Deal maths'!Z18&gt;0,'Deal maths'!Z18,DATE(1990,1,1)),IF(DAY('Deal maths'!AA18+1)=1,EOMONTH('Deal maths'!AA18,-(INT(((YEAR('Deal maths'!AA18)-YEAR(IF('Deal maths'!Z18&gt;0,'Deal maths'!Z18,DATE(1990,1,1))))*12+MONTH('Deal maths'!AA18)-MONTH(IF('Deal maths'!Z18&gt;0,'Deal maths'!Z18,DATE(1990,1,1))))/D18))*D18),EDATE('Deal maths'!AA18,-(INT(((YEAR('Deal maths'!AA18)-YEAR(IF('Deal maths'!Z18&gt;0,'Deal maths'!Z18,DATE(1990,1,1))))*12+MONTH('Deal maths'!AA18)-MONTH(IF('Deal maths'!Z18&gt;0,'Deal maths'!Z18,DATE(1990,1,1))))/D18))*D18)),IF(DAY('Deal maths'!AA18+1)=1,EOMONTH('Deal maths'!AA18,-(INT(((YEAR('Deal maths'!AA18)-YEAR(IF('Deal maths'!Z18&gt;0,'Deal maths'!Z18,DATE(1990,1,1))))*12+MONTH('Deal maths'!AA18)-MONTH(IF('Deal maths'!Z18&gt;0,'Deal maths'!Z18,DATE(1990,1,1))))/D18)-1)*D18),EDATE('Deal maths'!AA18,-(INT(((YEAR('Deal maths'!AA18)-YEAR(IF('Deal maths'!Z18&gt;0,'Deal maths'!Z18,DATE(1990,1,1))))*12+MONTH('Deal maths'!AA18)-MONTH(IF('Deal maths'!Z18&gt;0,'Deal maths'!Z18,DATE(1990,1,1))))/D18)-1)*D18))))),0)</f>
        <v/>
      </c>
      <c r="F18" s="110">
        <f>IF(D18=0,0,'Deal maths'!AB18*D18/12)</f>
        <v/>
      </c>
      <c r="G18" s="108">
        <f>N18+O18</f>
        <v/>
      </c>
      <c r="H18" s="108">
        <f>IFERROR(IF(OR(D18=0,AsAt&lt;E18),0,MIN(N18,INT(((YEAR(AsAt)-YEAR(E18))*12+MONTH(AsAt)-MONTH(E18)-(DAY(AsAt)&lt;MIN(R18,DAY(EOMONTH(AsAt,0)))))/D18)+1)+O18*(AsAt&gt;='Deal maths'!AA18)),0)</f>
        <v/>
      </c>
      <c r="I18" s="108">
        <f>G18-H18</f>
        <v/>
      </c>
      <c r="J18" s="111">
        <f>IF(AND(C18="EIP",I18&gt;0),'Deal maths'!Y18/I18,0)</f>
        <v/>
      </c>
      <c r="K18" s="111">
        <f>IF(AND(C18="Annuity",I18&gt;0),IF(F18&gt;0,'Deal maths'!Y18*F18/(1-(1+F18)^-I18),'Deal maths'!Y18/I18),0)</f>
        <v/>
      </c>
      <c r="L18" s="111">
        <f>IF('Deal maths'!Y18="",0,'Deal maths'!Y18)</f>
        <v/>
      </c>
      <c r="M18" s="112">
        <f>F18+(F18=0)</f>
        <v/>
      </c>
      <c r="N18" s="108">
        <f>IFERROR(IF(D18=0,0,INT(((YEAR('Deal maths'!AA18)-YEAR(E18))*12+MONTH('Deal maths'!AA18)-MONTH(E18)-(DAY('Deal maths'!AA18)&lt;MIN(R18,DAY(EOMONTH('Deal maths'!AA18,0)))))/D18)+1),0)</f>
        <v/>
      </c>
      <c r="O18" s="108">
        <f>IFERROR(IF(D18=0,0,IF(IF(DAY(E18+1)=1,EOMONTH(E18,(N18-1)*D18),EDATE(E18,(N18-1)*D18))='Deal maths'!AA18,0,1)),0)</f>
        <v/>
      </c>
      <c r="P18" s="113">
        <f>IF(B18=0,0,IFERROR(IF(C18="EIP",((I18-O18)*((IF(DAY(E18+1)=1,EOMONTH(E18,H18*D18),EDATE(E18,H18*D18))-AsAt)/365.25+(IF(DAY(E18+1)=1,EOMONTH(E18,(N18-1)*D18),EDATE(E18,(N18-1)*D18))-AsAt)/365.25)/2+O18*('Deal maths'!AA18-AsAt)/365.25)/I18,IF(C18="Annuity",IF(F18&gt;0,((K18-L18*F18)*((IF(DAY(E18+1)=1,EOMONTH(E18,H18*D18),EDATE(E18,H18*D18))-AsAt)/365.25*((1+F18)^(I18-O18)-1)/F18+IF((I18-O18)&gt;1,((IF(DAY(E18+1)=1,EOMONTH(E18,(N18-1)*D18),EDATE(E18,(N18-1)*D18))-AsAt)/365.25-(IF(DAY(E18+1)=1,EOMONTH(E18,H18*D18),EDATE(E18,H18*D18))-AsAt)/365.25)/((I18-O18)-1),0)*(1+F18)*(1-(I18-O18)*(1+F18)^((I18-O18)-1)+((I18-O18)-1)*(1+F18)^(I18-O18))/F18^2)+O18*(K18-L18*F18)*(1+F18)^(I18-1)*('Deal maths'!AA18-AsAt)/365.25)/L18,((I18-O18)*((IF(DAY(E18+1)=1,EOMONTH(E18,H18*D18),EDATE(E18,H18*D18))-AsAt)/365.25+(IF(DAY(E18+1)=1,EOMONTH(E18,(N18-1)*D18),EDATE(E18,(N18-1)*D18))-AsAt)/365.25)/2+O18*('Deal maths'!AA18-AsAt)/365.25)/I18),(S18-AsAt)/365.25)),0))</f>
        <v/>
      </c>
      <c r="Q18" s="109">
        <f>IF(B18=1,'Deal maths'!AA18+ROW()/1000000,"")</f>
        <v/>
      </c>
      <c r="R18" s="108">
        <f>IF(D18=0,0,IF(DAY(E18+1)=1,31,DAY(E18)))</f>
        <v/>
      </c>
      <c r="S18" s="109">
        <f>IF(AND('Deal maths'!V18="LOBO",'Deal maths'!AG18&gt;AsAt,'Deal maths'!AG18&lt;'Deal maths'!AA18),'Deal maths'!AG18,'Deal maths'!AA18)</f>
        <v/>
      </c>
      <c r="T18" s="108">
        <f>('Deal maths'!AA18&gt;AsAt)*('Deal maths'!Y18&gt;0)</f>
        <v/>
      </c>
    </row>
    <row r="19">
      <c r="A19" s="91">
        <f>IF('Deal maths'!V19="","",'Deal maths'!W19)</f>
        <v/>
      </c>
      <c r="B19" s="108">
        <f>('Deal maths'!AA19&gt;AsAt)*('Deal maths'!Y19&gt;0)*('Deal maths'!Z19&lt;=AsAt)</f>
        <v/>
      </c>
      <c r="C19" s="91">
        <f>IF('Deal maths'!V19="","",IF('Deal maths'!AC19="","Maturity",'Deal maths'!AC19))</f>
        <v/>
      </c>
      <c r="D19" s="108">
        <f>IF(OR(C19="EIP",C19="Annuity"),IF('Deal maths'!AD19="Annual",12,IF('Deal maths'!AD19="Quarterly",3,6)),0)</f>
        <v/>
      </c>
      <c r="E19" s="109">
        <f>IFERROR(IF(D19=0,0,IF('Deal maths'!AE19&gt;0,IF('Deal maths'!AE19&gt;'Deal maths'!AA19,'Deal maths'!AA19,'Deal maths'!AE19),IF(IF(DAY('Deal maths'!AA19+1)=1,EOMONTH('Deal maths'!AA19,-(INT(((YEAR('Deal maths'!AA19)-YEAR(IF('Deal maths'!Z19&gt;0,'Deal maths'!Z19,DATE(1990,1,1))))*12+MONTH('Deal maths'!AA19)-MONTH(IF('Deal maths'!Z19&gt;0,'Deal maths'!Z19,DATE(1990,1,1))))/D19))*D19),EDATE('Deal maths'!AA19,-(INT(((YEAR('Deal maths'!AA19)-YEAR(IF('Deal maths'!Z19&gt;0,'Deal maths'!Z19,DATE(1990,1,1))))*12+MONTH('Deal maths'!AA19)-MONTH(IF('Deal maths'!Z19&gt;0,'Deal maths'!Z19,DATE(1990,1,1))))/D19))*D19))&gt;IF('Deal maths'!Z19&gt;0,'Deal maths'!Z19,DATE(1990,1,1)),IF(DAY('Deal maths'!AA19+1)=1,EOMONTH('Deal maths'!AA19,-(INT(((YEAR('Deal maths'!AA19)-YEAR(IF('Deal maths'!Z19&gt;0,'Deal maths'!Z19,DATE(1990,1,1))))*12+MONTH('Deal maths'!AA19)-MONTH(IF('Deal maths'!Z19&gt;0,'Deal maths'!Z19,DATE(1990,1,1))))/D19))*D19),EDATE('Deal maths'!AA19,-(INT(((YEAR('Deal maths'!AA19)-YEAR(IF('Deal maths'!Z19&gt;0,'Deal maths'!Z19,DATE(1990,1,1))))*12+MONTH('Deal maths'!AA19)-MONTH(IF('Deal maths'!Z19&gt;0,'Deal maths'!Z19,DATE(1990,1,1))))/D19))*D19)),IF(DAY('Deal maths'!AA19+1)=1,EOMONTH('Deal maths'!AA19,-(INT(((YEAR('Deal maths'!AA19)-YEAR(IF('Deal maths'!Z19&gt;0,'Deal maths'!Z19,DATE(1990,1,1))))*12+MONTH('Deal maths'!AA19)-MONTH(IF('Deal maths'!Z19&gt;0,'Deal maths'!Z19,DATE(1990,1,1))))/D19)-1)*D19),EDATE('Deal maths'!AA19,-(INT(((YEAR('Deal maths'!AA19)-YEAR(IF('Deal maths'!Z19&gt;0,'Deal maths'!Z19,DATE(1990,1,1))))*12+MONTH('Deal maths'!AA19)-MONTH(IF('Deal maths'!Z19&gt;0,'Deal maths'!Z19,DATE(1990,1,1))))/D19)-1)*D19))))),0)</f>
        <v/>
      </c>
      <c r="F19" s="110">
        <f>IF(D19=0,0,'Deal maths'!AB19*D19/12)</f>
        <v/>
      </c>
      <c r="G19" s="108">
        <f>N19+O19</f>
        <v/>
      </c>
      <c r="H19" s="108">
        <f>IFERROR(IF(OR(D19=0,AsAt&lt;E19),0,MIN(N19,INT(((YEAR(AsAt)-YEAR(E19))*12+MONTH(AsAt)-MONTH(E19)-(DAY(AsAt)&lt;MIN(R19,DAY(EOMONTH(AsAt,0)))))/D19)+1)+O19*(AsAt&gt;='Deal maths'!AA19)),0)</f>
        <v/>
      </c>
      <c r="I19" s="108">
        <f>G19-H19</f>
        <v/>
      </c>
      <c r="J19" s="111">
        <f>IF(AND(C19="EIP",I19&gt;0),'Deal maths'!Y19/I19,0)</f>
        <v/>
      </c>
      <c r="K19" s="111">
        <f>IF(AND(C19="Annuity",I19&gt;0),IF(F19&gt;0,'Deal maths'!Y19*F19/(1-(1+F19)^-I19),'Deal maths'!Y19/I19),0)</f>
        <v/>
      </c>
      <c r="L19" s="111">
        <f>IF('Deal maths'!Y19="",0,'Deal maths'!Y19)</f>
        <v/>
      </c>
      <c r="M19" s="112">
        <f>F19+(F19=0)</f>
        <v/>
      </c>
      <c r="N19" s="108">
        <f>IFERROR(IF(D19=0,0,INT(((YEAR('Deal maths'!AA19)-YEAR(E19))*12+MONTH('Deal maths'!AA19)-MONTH(E19)-(DAY('Deal maths'!AA19)&lt;MIN(R19,DAY(EOMONTH('Deal maths'!AA19,0)))))/D19)+1),0)</f>
        <v/>
      </c>
      <c r="O19" s="108">
        <f>IFERROR(IF(D19=0,0,IF(IF(DAY(E19+1)=1,EOMONTH(E19,(N19-1)*D19),EDATE(E19,(N19-1)*D19))='Deal maths'!AA19,0,1)),0)</f>
        <v/>
      </c>
      <c r="P19" s="113">
        <f>IF(B19=0,0,IFERROR(IF(C19="EIP",((I19-O19)*((IF(DAY(E19+1)=1,EOMONTH(E19,H19*D19),EDATE(E19,H19*D19))-AsAt)/365.25+(IF(DAY(E19+1)=1,EOMONTH(E19,(N19-1)*D19),EDATE(E19,(N19-1)*D19))-AsAt)/365.25)/2+O19*('Deal maths'!AA19-AsAt)/365.25)/I19,IF(C19="Annuity",IF(F19&gt;0,((K19-L19*F19)*((IF(DAY(E19+1)=1,EOMONTH(E19,H19*D19),EDATE(E19,H19*D19))-AsAt)/365.25*((1+F19)^(I19-O19)-1)/F19+IF((I19-O19)&gt;1,((IF(DAY(E19+1)=1,EOMONTH(E19,(N19-1)*D19),EDATE(E19,(N19-1)*D19))-AsAt)/365.25-(IF(DAY(E19+1)=1,EOMONTH(E19,H19*D19),EDATE(E19,H19*D19))-AsAt)/365.25)/((I19-O19)-1),0)*(1+F19)*(1-(I19-O19)*(1+F19)^((I19-O19)-1)+((I19-O19)-1)*(1+F19)^(I19-O19))/F19^2)+O19*(K19-L19*F19)*(1+F19)^(I19-1)*('Deal maths'!AA19-AsAt)/365.25)/L19,((I19-O19)*((IF(DAY(E19+1)=1,EOMONTH(E19,H19*D19),EDATE(E19,H19*D19))-AsAt)/365.25+(IF(DAY(E19+1)=1,EOMONTH(E19,(N19-1)*D19),EDATE(E19,(N19-1)*D19))-AsAt)/365.25)/2+O19*('Deal maths'!AA19-AsAt)/365.25)/I19),(S19-AsAt)/365.25)),0))</f>
        <v/>
      </c>
      <c r="Q19" s="109">
        <f>IF(B19=1,'Deal maths'!AA19+ROW()/1000000,"")</f>
        <v/>
      </c>
      <c r="R19" s="108">
        <f>IF(D19=0,0,IF(DAY(E19+1)=1,31,DAY(E19)))</f>
        <v/>
      </c>
      <c r="S19" s="109">
        <f>IF(AND('Deal maths'!V19="LOBO",'Deal maths'!AG19&gt;AsAt,'Deal maths'!AG19&lt;'Deal maths'!AA19),'Deal maths'!AG19,'Deal maths'!AA19)</f>
        <v/>
      </c>
      <c r="T19" s="108">
        <f>('Deal maths'!AA19&gt;AsAt)*('Deal maths'!Y19&gt;0)</f>
        <v/>
      </c>
    </row>
    <row r="20">
      <c r="A20" s="91">
        <f>IF('Deal maths'!V20="","",'Deal maths'!W20)</f>
        <v/>
      </c>
      <c r="B20" s="108">
        <f>('Deal maths'!AA20&gt;AsAt)*('Deal maths'!Y20&gt;0)*('Deal maths'!Z20&lt;=AsAt)</f>
        <v/>
      </c>
      <c r="C20" s="91">
        <f>IF('Deal maths'!V20="","",IF('Deal maths'!AC20="","Maturity",'Deal maths'!AC20))</f>
        <v/>
      </c>
      <c r="D20" s="108">
        <f>IF(OR(C20="EIP",C20="Annuity"),IF('Deal maths'!AD20="Annual",12,IF('Deal maths'!AD20="Quarterly",3,6)),0)</f>
        <v/>
      </c>
      <c r="E20" s="109">
        <f>IFERROR(IF(D20=0,0,IF('Deal maths'!AE20&gt;0,IF('Deal maths'!AE20&gt;'Deal maths'!AA20,'Deal maths'!AA20,'Deal maths'!AE20),IF(IF(DAY('Deal maths'!AA20+1)=1,EOMONTH('Deal maths'!AA20,-(INT(((YEAR('Deal maths'!AA20)-YEAR(IF('Deal maths'!Z20&gt;0,'Deal maths'!Z20,DATE(1990,1,1))))*12+MONTH('Deal maths'!AA20)-MONTH(IF('Deal maths'!Z20&gt;0,'Deal maths'!Z20,DATE(1990,1,1))))/D20))*D20),EDATE('Deal maths'!AA20,-(INT(((YEAR('Deal maths'!AA20)-YEAR(IF('Deal maths'!Z20&gt;0,'Deal maths'!Z20,DATE(1990,1,1))))*12+MONTH('Deal maths'!AA20)-MONTH(IF('Deal maths'!Z20&gt;0,'Deal maths'!Z20,DATE(1990,1,1))))/D20))*D20))&gt;IF('Deal maths'!Z20&gt;0,'Deal maths'!Z20,DATE(1990,1,1)),IF(DAY('Deal maths'!AA20+1)=1,EOMONTH('Deal maths'!AA20,-(INT(((YEAR('Deal maths'!AA20)-YEAR(IF('Deal maths'!Z20&gt;0,'Deal maths'!Z20,DATE(1990,1,1))))*12+MONTH('Deal maths'!AA20)-MONTH(IF('Deal maths'!Z20&gt;0,'Deal maths'!Z20,DATE(1990,1,1))))/D20))*D20),EDATE('Deal maths'!AA20,-(INT(((YEAR('Deal maths'!AA20)-YEAR(IF('Deal maths'!Z20&gt;0,'Deal maths'!Z20,DATE(1990,1,1))))*12+MONTH('Deal maths'!AA20)-MONTH(IF('Deal maths'!Z20&gt;0,'Deal maths'!Z20,DATE(1990,1,1))))/D20))*D20)),IF(DAY('Deal maths'!AA20+1)=1,EOMONTH('Deal maths'!AA20,-(INT(((YEAR('Deal maths'!AA20)-YEAR(IF('Deal maths'!Z20&gt;0,'Deal maths'!Z20,DATE(1990,1,1))))*12+MONTH('Deal maths'!AA20)-MONTH(IF('Deal maths'!Z20&gt;0,'Deal maths'!Z20,DATE(1990,1,1))))/D20)-1)*D20),EDATE('Deal maths'!AA20,-(INT(((YEAR('Deal maths'!AA20)-YEAR(IF('Deal maths'!Z20&gt;0,'Deal maths'!Z20,DATE(1990,1,1))))*12+MONTH('Deal maths'!AA20)-MONTH(IF('Deal maths'!Z20&gt;0,'Deal maths'!Z20,DATE(1990,1,1))))/D20)-1)*D20))))),0)</f>
        <v/>
      </c>
      <c r="F20" s="110">
        <f>IF(D20=0,0,'Deal maths'!AB20*D20/12)</f>
        <v/>
      </c>
      <c r="G20" s="108">
        <f>N20+O20</f>
        <v/>
      </c>
      <c r="H20" s="108">
        <f>IFERROR(IF(OR(D20=0,AsAt&lt;E20),0,MIN(N20,INT(((YEAR(AsAt)-YEAR(E20))*12+MONTH(AsAt)-MONTH(E20)-(DAY(AsAt)&lt;MIN(R20,DAY(EOMONTH(AsAt,0)))))/D20)+1)+O20*(AsAt&gt;='Deal maths'!AA20)),0)</f>
        <v/>
      </c>
      <c r="I20" s="108">
        <f>G20-H20</f>
        <v/>
      </c>
      <c r="J20" s="111">
        <f>IF(AND(C20="EIP",I20&gt;0),'Deal maths'!Y20/I20,0)</f>
        <v/>
      </c>
      <c r="K20" s="111">
        <f>IF(AND(C20="Annuity",I20&gt;0),IF(F20&gt;0,'Deal maths'!Y20*F20/(1-(1+F20)^-I20),'Deal maths'!Y20/I20),0)</f>
        <v/>
      </c>
      <c r="L20" s="111">
        <f>IF('Deal maths'!Y20="",0,'Deal maths'!Y20)</f>
        <v/>
      </c>
      <c r="M20" s="112">
        <f>F20+(F20=0)</f>
        <v/>
      </c>
      <c r="N20" s="108">
        <f>IFERROR(IF(D20=0,0,INT(((YEAR('Deal maths'!AA20)-YEAR(E20))*12+MONTH('Deal maths'!AA20)-MONTH(E20)-(DAY('Deal maths'!AA20)&lt;MIN(R20,DAY(EOMONTH('Deal maths'!AA20,0)))))/D20)+1),0)</f>
        <v/>
      </c>
      <c r="O20" s="108">
        <f>IFERROR(IF(D20=0,0,IF(IF(DAY(E20+1)=1,EOMONTH(E20,(N20-1)*D20),EDATE(E20,(N20-1)*D20))='Deal maths'!AA20,0,1)),0)</f>
        <v/>
      </c>
      <c r="P20" s="113">
        <f>IF(B20=0,0,IFERROR(IF(C20="EIP",((I20-O20)*((IF(DAY(E20+1)=1,EOMONTH(E20,H20*D20),EDATE(E20,H20*D20))-AsAt)/365.25+(IF(DAY(E20+1)=1,EOMONTH(E20,(N20-1)*D20),EDATE(E20,(N20-1)*D20))-AsAt)/365.25)/2+O20*('Deal maths'!AA20-AsAt)/365.25)/I20,IF(C20="Annuity",IF(F20&gt;0,((K20-L20*F20)*((IF(DAY(E20+1)=1,EOMONTH(E20,H20*D20),EDATE(E20,H20*D20))-AsAt)/365.25*((1+F20)^(I20-O20)-1)/F20+IF((I20-O20)&gt;1,((IF(DAY(E20+1)=1,EOMONTH(E20,(N20-1)*D20),EDATE(E20,(N20-1)*D20))-AsAt)/365.25-(IF(DAY(E20+1)=1,EOMONTH(E20,H20*D20),EDATE(E20,H20*D20))-AsAt)/365.25)/((I20-O20)-1),0)*(1+F20)*(1-(I20-O20)*(1+F20)^((I20-O20)-1)+((I20-O20)-1)*(1+F20)^(I20-O20))/F20^2)+O20*(K20-L20*F20)*(1+F20)^(I20-1)*('Deal maths'!AA20-AsAt)/365.25)/L20,((I20-O20)*((IF(DAY(E20+1)=1,EOMONTH(E20,H20*D20),EDATE(E20,H20*D20))-AsAt)/365.25+(IF(DAY(E20+1)=1,EOMONTH(E20,(N20-1)*D20),EDATE(E20,(N20-1)*D20))-AsAt)/365.25)/2+O20*('Deal maths'!AA20-AsAt)/365.25)/I20),(S20-AsAt)/365.25)),0))</f>
        <v/>
      </c>
      <c r="Q20" s="109">
        <f>IF(B20=1,'Deal maths'!AA20+ROW()/1000000,"")</f>
        <v/>
      </c>
      <c r="R20" s="108">
        <f>IF(D20=0,0,IF(DAY(E20+1)=1,31,DAY(E20)))</f>
        <v/>
      </c>
      <c r="S20" s="109">
        <f>IF(AND('Deal maths'!V20="LOBO",'Deal maths'!AG20&gt;AsAt,'Deal maths'!AG20&lt;'Deal maths'!AA20),'Deal maths'!AG20,'Deal maths'!AA20)</f>
        <v/>
      </c>
      <c r="T20" s="108">
        <f>('Deal maths'!AA20&gt;AsAt)*('Deal maths'!Y20&gt;0)</f>
        <v/>
      </c>
    </row>
    <row r="21">
      <c r="A21" s="91">
        <f>IF('Deal maths'!V21="","",'Deal maths'!W21)</f>
        <v/>
      </c>
      <c r="B21" s="108">
        <f>('Deal maths'!AA21&gt;AsAt)*('Deal maths'!Y21&gt;0)*('Deal maths'!Z21&lt;=AsAt)</f>
        <v/>
      </c>
      <c r="C21" s="91">
        <f>IF('Deal maths'!V21="","",IF('Deal maths'!AC21="","Maturity",'Deal maths'!AC21))</f>
        <v/>
      </c>
      <c r="D21" s="108">
        <f>IF(OR(C21="EIP",C21="Annuity"),IF('Deal maths'!AD21="Annual",12,IF('Deal maths'!AD21="Quarterly",3,6)),0)</f>
        <v/>
      </c>
      <c r="E21" s="109">
        <f>IFERROR(IF(D21=0,0,IF('Deal maths'!AE21&gt;0,IF('Deal maths'!AE21&gt;'Deal maths'!AA21,'Deal maths'!AA21,'Deal maths'!AE21),IF(IF(DAY('Deal maths'!AA21+1)=1,EOMONTH('Deal maths'!AA21,-(INT(((YEAR('Deal maths'!AA21)-YEAR(IF('Deal maths'!Z21&gt;0,'Deal maths'!Z21,DATE(1990,1,1))))*12+MONTH('Deal maths'!AA21)-MONTH(IF('Deal maths'!Z21&gt;0,'Deal maths'!Z21,DATE(1990,1,1))))/D21))*D21),EDATE('Deal maths'!AA21,-(INT(((YEAR('Deal maths'!AA21)-YEAR(IF('Deal maths'!Z21&gt;0,'Deal maths'!Z21,DATE(1990,1,1))))*12+MONTH('Deal maths'!AA21)-MONTH(IF('Deal maths'!Z21&gt;0,'Deal maths'!Z21,DATE(1990,1,1))))/D21))*D21))&gt;IF('Deal maths'!Z21&gt;0,'Deal maths'!Z21,DATE(1990,1,1)),IF(DAY('Deal maths'!AA21+1)=1,EOMONTH('Deal maths'!AA21,-(INT(((YEAR('Deal maths'!AA21)-YEAR(IF('Deal maths'!Z21&gt;0,'Deal maths'!Z21,DATE(1990,1,1))))*12+MONTH('Deal maths'!AA21)-MONTH(IF('Deal maths'!Z21&gt;0,'Deal maths'!Z21,DATE(1990,1,1))))/D21))*D21),EDATE('Deal maths'!AA21,-(INT(((YEAR('Deal maths'!AA21)-YEAR(IF('Deal maths'!Z21&gt;0,'Deal maths'!Z21,DATE(1990,1,1))))*12+MONTH('Deal maths'!AA21)-MONTH(IF('Deal maths'!Z21&gt;0,'Deal maths'!Z21,DATE(1990,1,1))))/D21))*D21)),IF(DAY('Deal maths'!AA21+1)=1,EOMONTH('Deal maths'!AA21,-(INT(((YEAR('Deal maths'!AA21)-YEAR(IF('Deal maths'!Z21&gt;0,'Deal maths'!Z21,DATE(1990,1,1))))*12+MONTH('Deal maths'!AA21)-MONTH(IF('Deal maths'!Z21&gt;0,'Deal maths'!Z21,DATE(1990,1,1))))/D21)-1)*D21),EDATE('Deal maths'!AA21,-(INT(((YEAR('Deal maths'!AA21)-YEAR(IF('Deal maths'!Z21&gt;0,'Deal maths'!Z21,DATE(1990,1,1))))*12+MONTH('Deal maths'!AA21)-MONTH(IF('Deal maths'!Z21&gt;0,'Deal maths'!Z21,DATE(1990,1,1))))/D21)-1)*D21))))),0)</f>
        <v/>
      </c>
      <c r="F21" s="110">
        <f>IF(D21=0,0,'Deal maths'!AB21*D21/12)</f>
        <v/>
      </c>
      <c r="G21" s="108">
        <f>N21+O21</f>
        <v/>
      </c>
      <c r="H21" s="108">
        <f>IFERROR(IF(OR(D21=0,AsAt&lt;E21),0,MIN(N21,INT(((YEAR(AsAt)-YEAR(E21))*12+MONTH(AsAt)-MONTH(E21)-(DAY(AsAt)&lt;MIN(R21,DAY(EOMONTH(AsAt,0)))))/D21)+1)+O21*(AsAt&gt;='Deal maths'!AA21)),0)</f>
        <v/>
      </c>
      <c r="I21" s="108">
        <f>G21-H21</f>
        <v/>
      </c>
      <c r="J21" s="111">
        <f>IF(AND(C21="EIP",I21&gt;0),'Deal maths'!Y21/I21,0)</f>
        <v/>
      </c>
      <c r="K21" s="111">
        <f>IF(AND(C21="Annuity",I21&gt;0),IF(F21&gt;0,'Deal maths'!Y21*F21/(1-(1+F21)^-I21),'Deal maths'!Y21/I21),0)</f>
        <v/>
      </c>
      <c r="L21" s="111">
        <f>IF('Deal maths'!Y21="",0,'Deal maths'!Y21)</f>
        <v/>
      </c>
      <c r="M21" s="112">
        <f>F21+(F21=0)</f>
        <v/>
      </c>
      <c r="N21" s="108">
        <f>IFERROR(IF(D21=0,0,INT(((YEAR('Deal maths'!AA21)-YEAR(E21))*12+MONTH('Deal maths'!AA21)-MONTH(E21)-(DAY('Deal maths'!AA21)&lt;MIN(R21,DAY(EOMONTH('Deal maths'!AA21,0)))))/D21)+1),0)</f>
        <v/>
      </c>
      <c r="O21" s="108">
        <f>IFERROR(IF(D21=0,0,IF(IF(DAY(E21+1)=1,EOMONTH(E21,(N21-1)*D21),EDATE(E21,(N21-1)*D21))='Deal maths'!AA21,0,1)),0)</f>
        <v/>
      </c>
      <c r="P21" s="113">
        <f>IF(B21=0,0,IFERROR(IF(C21="EIP",((I21-O21)*((IF(DAY(E21+1)=1,EOMONTH(E21,H21*D21),EDATE(E21,H21*D21))-AsAt)/365.25+(IF(DAY(E21+1)=1,EOMONTH(E21,(N21-1)*D21),EDATE(E21,(N21-1)*D21))-AsAt)/365.25)/2+O21*('Deal maths'!AA21-AsAt)/365.25)/I21,IF(C21="Annuity",IF(F21&gt;0,((K21-L21*F21)*((IF(DAY(E21+1)=1,EOMONTH(E21,H21*D21),EDATE(E21,H21*D21))-AsAt)/365.25*((1+F21)^(I21-O21)-1)/F21+IF((I21-O21)&gt;1,((IF(DAY(E21+1)=1,EOMONTH(E21,(N21-1)*D21),EDATE(E21,(N21-1)*D21))-AsAt)/365.25-(IF(DAY(E21+1)=1,EOMONTH(E21,H21*D21),EDATE(E21,H21*D21))-AsAt)/365.25)/((I21-O21)-1),0)*(1+F21)*(1-(I21-O21)*(1+F21)^((I21-O21)-1)+((I21-O21)-1)*(1+F21)^(I21-O21))/F21^2)+O21*(K21-L21*F21)*(1+F21)^(I21-1)*('Deal maths'!AA21-AsAt)/365.25)/L21,((I21-O21)*((IF(DAY(E21+1)=1,EOMONTH(E21,H21*D21),EDATE(E21,H21*D21))-AsAt)/365.25+(IF(DAY(E21+1)=1,EOMONTH(E21,(N21-1)*D21),EDATE(E21,(N21-1)*D21))-AsAt)/365.25)/2+O21*('Deal maths'!AA21-AsAt)/365.25)/I21),(S21-AsAt)/365.25)),0))</f>
        <v/>
      </c>
      <c r="Q21" s="109">
        <f>IF(B21=1,'Deal maths'!AA21+ROW()/1000000,"")</f>
        <v/>
      </c>
      <c r="R21" s="108">
        <f>IF(D21=0,0,IF(DAY(E21+1)=1,31,DAY(E21)))</f>
        <v/>
      </c>
      <c r="S21" s="109">
        <f>IF(AND('Deal maths'!V21="LOBO",'Deal maths'!AG21&gt;AsAt,'Deal maths'!AG21&lt;'Deal maths'!AA21),'Deal maths'!AG21,'Deal maths'!AA21)</f>
        <v/>
      </c>
      <c r="T21" s="108">
        <f>('Deal maths'!AA21&gt;AsAt)*('Deal maths'!Y21&gt;0)</f>
        <v/>
      </c>
    </row>
    <row r="22">
      <c r="A22" s="91">
        <f>IF('Deal maths'!V22="","",'Deal maths'!W22)</f>
        <v/>
      </c>
      <c r="B22" s="108">
        <f>('Deal maths'!AA22&gt;AsAt)*('Deal maths'!Y22&gt;0)*('Deal maths'!Z22&lt;=AsAt)</f>
        <v/>
      </c>
      <c r="C22" s="91">
        <f>IF('Deal maths'!V22="","",IF('Deal maths'!AC22="","Maturity",'Deal maths'!AC22))</f>
        <v/>
      </c>
      <c r="D22" s="108">
        <f>IF(OR(C22="EIP",C22="Annuity"),IF('Deal maths'!AD22="Annual",12,IF('Deal maths'!AD22="Quarterly",3,6)),0)</f>
        <v/>
      </c>
      <c r="E22" s="109">
        <f>IFERROR(IF(D22=0,0,IF('Deal maths'!AE22&gt;0,IF('Deal maths'!AE22&gt;'Deal maths'!AA22,'Deal maths'!AA22,'Deal maths'!AE22),IF(IF(DAY('Deal maths'!AA22+1)=1,EOMONTH('Deal maths'!AA22,-(INT(((YEAR('Deal maths'!AA22)-YEAR(IF('Deal maths'!Z22&gt;0,'Deal maths'!Z22,DATE(1990,1,1))))*12+MONTH('Deal maths'!AA22)-MONTH(IF('Deal maths'!Z22&gt;0,'Deal maths'!Z22,DATE(1990,1,1))))/D22))*D22),EDATE('Deal maths'!AA22,-(INT(((YEAR('Deal maths'!AA22)-YEAR(IF('Deal maths'!Z22&gt;0,'Deal maths'!Z22,DATE(1990,1,1))))*12+MONTH('Deal maths'!AA22)-MONTH(IF('Deal maths'!Z22&gt;0,'Deal maths'!Z22,DATE(1990,1,1))))/D22))*D22))&gt;IF('Deal maths'!Z22&gt;0,'Deal maths'!Z22,DATE(1990,1,1)),IF(DAY('Deal maths'!AA22+1)=1,EOMONTH('Deal maths'!AA22,-(INT(((YEAR('Deal maths'!AA22)-YEAR(IF('Deal maths'!Z22&gt;0,'Deal maths'!Z22,DATE(1990,1,1))))*12+MONTH('Deal maths'!AA22)-MONTH(IF('Deal maths'!Z22&gt;0,'Deal maths'!Z22,DATE(1990,1,1))))/D22))*D22),EDATE('Deal maths'!AA22,-(INT(((YEAR('Deal maths'!AA22)-YEAR(IF('Deal maths'!Z22&gt;0,'Deal maths'!Z22,DATE(1990,1,1))))*12+MONTH('Deal maths'!AA22)-MONTH(IF('Deal maths'!Z22&gt;0,'Deal maths'!Z22,DATE(1990,1,1))))/D22))*D22)),IF(DAY('Deal maths'!AA22+1)=1,EOMONTH('Deal maths'!AA22,-(INT(((YEAR('Deal maths'!AA22)-YEAR(IF('Deal maths'!Z22&gt;0,'Deal maths'!Z22,DATE(1990,1,1))))*12+MONTH('Deal maths'!AA22)-MONTH(IF('Deal maths'!Z22&gt;0,'Deal maths'!Z22,DATE(1990,1,1))))/D22)-1)*D22),EDATE('Deal maths'!AA22,-(INT(((YEAR('Deal maths'!AA22)-YEAR(IF('Deal maths'!Z22&gt;0,'Deal maths'!Z22,DATE(1990,1,1))))*12+MONTH('Deal maths'!AA22)-MONTH(IF('Deal maths'!Z22&gt;0,'Deal maths'!Z22,DATE(1990,1,1))))/D22)-1)*D22))))),0)</f>
        <v/>
      </c>
      <c r="F22" s="110">
        <f>IF(D22=0,0,'Deal maths'!AB22*D22/12)</f>
        <v/>
      </c>
      <c r="G22" s="108">
        <f>N22+O22</f>
        <v/>
      </c>
      <c r="H22" s="108">
        <f>IFERROR(IF(OR(D22=0,AsAt&lt;E22),0,MIN(N22,INT(((YEAR(AsAt)-YEAR(E22))*12+MONTH(AsAt)-MONTH(E22)-(DAY(AsAt)&lt;MIN(R22,DAY(EOMONTH(AsAt,0)))))/D22)+1)+O22*(AsAt&gt;='Deal maths'!AA22)),0)</f>
        <v/>
      </c>
      <c r="I22" s="108">
        <f>G22-H22</f>
        <v/>
      </c>
      <c r="J22" s="111">
        <f>IF(AND(C22="EIP",I22&gt;0),'Deal maths'!Y22/I22,0)</f>
        <v/>
      </c>
      <c r="K22" s="111">
        <f>IF(AND(C22="Annuity",I22&gt;0),IF(F22&gt;0,'Deal maths'!Y22*F22/(1-(1+F22)^-I22),'Deal maths'!Y22/I22),0)</f>
        <v/>
      </c>
      <c r="L22" s="111">
        <f>IF('Deal maths'!Y22="",0,'Deal maths'!Y22)</f>
        <v/>
      </c>
      <c r="M22" s="112">
        <f>F22+(F22=0)</f>
        <v/>
      </c>
      <c r="N22" s="108">
        <f>IFERROR(IF(D22=0,0,INT(((YEAR('Deal maths'!AA22)-YEAR(E22))*12+MONTH('Deal maths'!AA22)-MONTH(E22)-(DAY('Deal maths'!AA22)&lt;MIN(R22,DAY(EOMONTH('Deal maths'!AA22,0)))))/D22)+1),0)</f>
        <v/>
      </c>
      <c r="O22" s="108">
        <f>IFERROR(IF(D22=0,0,IF(IF(DAY(E22+1)=1,EOMONTH(E22,(N22-1)*D22),EDATE(E22,(N22-1)*D22))='Deal maths'!AA22,0,1)),0)</f>
        <v/>
      </c>
      <c r="P22" s="113">
        <f>IF(B22=0,0,IFERROR(IF(C22="EIP",((I22-O22)*((IF(DAY(E22+1)=1,EOMONTH(E22,H22*D22),EDATE(E22,H22*D22))-AsAt)/365.25+(IF(DAY(E22+1)=1,EOMONTH(E22,(N22-1)*D22),EDATE(E22,(N22-1)*D22))-AsAt)/365.25)/2+O22*('Deal maths'!AA22-AsAt)/365.25)/I22,IF(C22="Annuity",IF(F22&gt;0,((K22-L22*F22)*((IF(DAY(E22+1)=1,EOMONTH(E22,H22*D22),EDATE(E22,H22*D22))-AsAt)/365.25*((1+F22)^(I22-O22)-1)/F22+IF((I22-O22)&gt;1,((IF(DAY(E22+1)=1,EOMONTH(E22,(N22-1)*D22),EDATE(E22,(N22-1)*D22))-AsAt)/365.25-(IF(DAY(E22+1)=1,EOMONTH(E22,H22*D22),EDATE(E22,H22*D22))-AsAt)/365.25)/((I22-O22)-1),0)*(1+F22)*(1-(I22-O22)*(1+F22)^((I22-O22)-1)+((I22-O22)-1)*(1+F22)^(I22-O22))/F22^2)+O22*(K22-L22*F22)*(1+F22)^(I22-1)*('Deal maths'!AA22-AsAt)/365.25)/L22,((I22-O22)*((IF(DAY(E22+1)=1,EOMONTH(E22,H22*D22),EDATE(E22,H22*D22))-AsAt)/365.25+(IF(DAY(E22+1)=1,EOMONTH(E22,(N22-1)*D22),EDATE(E22,(N22-1)*D22))-AsAt)/365.25)/2+O22*('Deal maths'!AA22-AsAt)/365.25)/I22),(S22-AsAt)/365.25)),0))</f>
        <v/>
      </c>
      <c r="Q22" s="109">
        <f>IF(B22=1,'Deal maths'!AA22+ROW()/1000000,"")</f>
        <v/>
      </c>
      <c r="R22" s="108">
        <f>IF(D22=0,0,IF(DAY(E22+1)=1,31,DAY(E22)))</f>
        <v/>
      </c>
      <c r="S22" s="109">
        <f>IF(AND('Deal maths'!V22="LOBO",'Deal maths'!AG22&gt;AsAt,'Deal maths'!AG22&lt;'Deal maths'!AA22),'Deal maths'!AG22,'Deal maths'!AA22)</f>
        <v/>
      </c>
      <c r="T22" s="108">
        <f>('Deal maths'!AA22&gt;AsAt)*('Deal maths'!Y22&gt;0)</f>
        <v/>
      </c>
    </row>
    <row r="23">
      <c r="A23" s="91">
        <f>IF('Deal maths'!V23="","",'Deal maths'!W23)</f>
        <v/>
      </c>
      <c r="B23" s="108">
        <f>('Deal maths'!AA23&gt;AsAt)*('Deal maths'!Y23&gt;0)*('Deal maths'!Z23&lt;=AsAt)</f>
        <v/>
      </c>
      <c r="C23" s="91">
        <f>IF('Deal maths'!V23="","",IF('Deal maths'!AC23="","Maturity",'Deal maths'!AC23))</f>
        <v/>
      </c>
      <c r="D23" s="108">
        <f>IF(OR(C23="EIP",C23="Annuity"),IF('Deal maths'!AD23="Annual",12,IF('Deal maths'!AD23="Quarterly",3,6)),0)</f>
        <v/>
      </c>
      <c r="E23" s="109">
        <f>IFERROR(IF(D23=0,0,IF('Deal maths'!AE23&gt;0,IF('Deal maths'!AE23&gt;'Deal maths'!AA23,'Deal maths'!AA23,'Deal maths'!AE23),IF(IF(DAY('Deal maths'!AA23+1)=1,EOMONTH('Deal maths'!AA23,-(INT(((YEAR('Deal maths'!AA23)-YEAR(IF('Deal maths'!Z23&gt;0,'Deal maths'!Z23,DATE(1990,1,1))))*12+MONTH('Deal maths'!AA23)-MONTH(IF('Deal maths'!Z23&gt;0,'Deal maths'!Z23,DATE(1990,1,1))))/D23))*D23),EDATE('Deal maths'!AA23,-(INT(((YEAR('Deal maths'!AA23)-YEAR(IF('Deal maths'!Z23&gt;0,'Deal maths'!Z23,DATE(1990,1,1))))*12+MONTH('Deal maths'!AA23)-MONTH(IF('Deal maths'!Z23&gt;0,'Deal maths'!Z23,DATE(1990,1,1))))/D23))*D23))&gt;IF('Deal maths'!Z23&gt;0,'Deal maths'!Z23,DATE(1990,1,1)),IF(DAY('Deal maths'!AA23+1)=1,EOMONTH('Deal maths'!AA23,-(INT(((YEAR('Deal maths'!AA23)-YEAR(IF('Deal maths'!Z23&gt;0,'Deal maths'!Z23,DATE(1990,1,1))))*12+MONTH('Deal maths'!AA23)-MONTH(IF('Deal maths'!Z23&gt;0,'Deal maths'!Z23,DATE(1990,1,1))))/D23))*D23),EDATE('Deal maths'!AA23,-(INT(((YEAR('Deal maths'!AA23)-YEAR(IF('Deal maths'!Z23&gt;0,'Deal maths'!Z23,DATE(1990,1,1))))*12+MONTH('Deal maths'!AA23)-MONTH(IF('Deal maths'!Z23&gt;0,'Deal maths'!Z23,DATE(1990,1,1))))/D23))*D23)),IF(DAY('Deal maths'!AA23+1)=1,EOMONTH('Deal maths'!AA23,-(INT(((YEAR('Deal maths'!AA23)-YEAR(IF('Deal maths'!Z23&gt;0,'Deal maths'!Z23,DATE(1990,1,1))))*12+MONTH('Deal maths'!AA23)-MONTH(IF('Deal maths'!Z23&gt;0,'Deal maths'!Z23,DATE(1990,1,1))))/D23)-1)*D23),EDATE('Deal maths'!AA23,-(INT(((YEAR('Deal maths'!AA23)-YEAR(IF('Deal maths'!Z23&gt;0,'Deal maths'!Z23,DATE(1990,1,1))))*12+MONTH('Deal maths'!AA23)-MONTH(IF('Deal maths'!Z23&gt;0,'Deal maths'!Z23,DATE(1990,1,1))))/D23)-1)*D23))))),0)</f>
        <v/>
      </c>
      <c r="F23" s="110">
        <f>IF(D23=0,0,'Deal maths'!AB23*D23/12)</f>
        <v/>
      </c>
      <c r="G23" s="108">
        <f>N23+O23</f>
        <v/>
      </c>
      <c r="H23" s="108">
        <f>IFERROR(IF(OR(D23=0,AsAt&lt;E23),0,MIN(N23,INT(((YEAR(AsAt)-YEAR(E23))*12+MONTH(AsAt)-MONTH(E23)-(DAY(AsAt)&lt;MIN(R23,DAY(EOMONTH(AsAt,0)))))/D23)+1)+O23*(AsAt&gt;='Deal maths'!AA23)),0)</f>
        <v/>
      </c>
      <c r="I23" s="108">
        <f>G23-H23</f>
        <v/>
      </c>
      <c r="J23" s="111">
        <f>IF(AND(C23="EIP",I23&gt;0),'Deal maths'!Y23/I23,0)</f>
        <v/>
      </c>
      <c r="K23" s="111">
        <f>IF(AND(C23="Annuity",I23&gt;0),IF(F23&gt;0,'Deal maths'!Y23*F23/(1-(1+F23)^-I23),'Deal maths'!Y23/I23),0)</f>
        <v/>
      </c>
      <c r="L23" s="111">
        <f>IF('Deal maths'!Y23="",0,'Deal maths'!Y23)</f>
        <v/>
      </c>
      <c r="M23" s="112">
        <f>F23+(F23=0)</f>
        <v/>
      </c>
      <c r="N23" s="108">
        <f>IFERROR(IF(D23=0,0,INT(((YEAR('Deal maths'!AA23)-YEAR(E23))*12+MONTH('Deal maths'!AA23)-MONTH(E23)-(DAY('Deal maths'!AA23)&lt;MIN(R23,DAY(EOMONTH('Deal maths'!AA23,0)))))/D23)+1),0)</f>
        <v/>
      </c>
      <c r="O23" s="108">
        <f>IFERROR(IF(D23=0,0,IF(IF(DAY(E23+1)=1,EOMONTH(E23,(N23-1)*D23),EDATE(E23,(N23-1)*D23))='Deal maths'!AA23,0,1)),0)</f>
        <v/>
      </c>
      <c r="P23" s="113">
        <f>IF(B23=0,0,IFERROR(IF(C23="EIP",((I23-O23)*((IF(DAY(E23+1)=1,EOMONTH(E23,H23*D23),EDATE(E23,H23*D23))-AsAt)/365.25+(IF(DAY(E23+1)=1,EOMONTH(E23,(N23-1)*D23),EDATE(E23,(N23-1)*D23))-AsAt)/365.25)/2+O23*('Deal maths'!AA23-AsAt)/365.25)/I23,IF(C23="Annuity",IF(F23&gt;0,((K23-L23*F23)*((IF(DAY(E23+1)=1,EOMONTH(E23,H23*D23),EDATE(E23,H23*D23))-AsAt)/365.25*((1+F23)^(I23-O23)-1)/F23+IF((I23-O23)&gt;1,((IF(DAY(E23+1)=1,EOMONTH(E23,(N23-1)*D23),EDATE(E23,(N23-1)*D23))-AsAt)/365.25-(IF(DAY(E23+1)=1,EOMONTH(E23,H23*D23),EDATE(E23,H23*D23))-AsAt)/365.25)/((I23-O23)-1),0)*(1+F23)*(1-(I23-O23)*(1+F23)^((I23-O23)-1)+((I23-O23)-1)*(1+F23)^(I23-O23))/F23^2)+O23*(K23-L23*F23)*(1+F23)^(I23-1)*('Deal maths'!AA23-AsAt)/365.25)/L23,((I23-O23)*((IF(DAY(E23+1)=1,EOMONTH(E23,H23*D23),EDATE(E23,H23*D23))-AsAt)/365.25+(IF(DAY(E23+1)=1,EOMONTH(E23,(N23-1)*D23),EDATE(E23,(N23-1)*D23))-AsAt)/365.25)/2+O23*('Deal maths'!AA23-AsAt)/365.25)/I23),(S23-AsAt)/365.25)),0))</f>
        <v/>
      </c>
      <c r="Q23" s="109">
        <f>IF(B23=1,'Deal maths'!AA23+ROW()/1000000,"")</f>
        <v/>
      </c>
      <c r="R23" s="108">
        <f>IF(D23=0,0,IF(DAY(E23+1)=1,31,DAY(E23)))</f>
        <v/>
      </c>
      <c r="S23" s="109">
        <f>IF(AND('Deal maths'!V23="LOBO",'Deal maths'!AG23&gt;AsAt,'Deal maths'!AG23&lt;'Deal maths'!AA23),'Deal maths'!AG23,'Deal maths'!AA23)</f>
        <v/>
      </c>
      <c r="T23" s="108">
        <f>('Deal maths'!AA23&gt;AsAt)*('Deal maths'!Y23&gt;0)</f>
        <v/>
      </c>
    </row>
    <row r="24">
      <c r="A24" s="91">
        <f>IF('Deal maths'!V24="","",'Deal maths'!W24)</f>
        <v/>
      </c>
      <c r="B24" s="108">
        <f>('Deal maths'!AA24&gt;AsAt)*('Deal maths'!Y24&gt;0)*('Deal maths'!Z24&lt;=AsAt)</f>
        <v/>
      </c>
      <c r="C24" s="91">
        <f>IF('Deal maths'!V24="","",IF('Deal maths'!AC24="","Maturity",'Deal maths'!AC24))</f>
        <v/>
      </c>
      <c r="D24" s="108">
        <f>IF(OR(C24="EIP",C24="Annuity"),IF('Deal maths'!AD24="Annual",12,IF('Deal maths'!AD24="Quarterly",3,6)),0)</f>
        <v/>
      </c>
      <c r="E24" s="109">
        <f>IFERROR(IF(D24=0,0,IF('Deal maths'!AE24&gt;0,IF('Deal maths'!AE24&gt;'Deal maths'!AA24,'Deal maths'!AA24,'Deal maths'!AE24),IF(IF(DAY('Deal maths'!AA24+1)=1,EOMONTH('Deal maths'!AA24,-(INT(((YEAR('Deal maths'!AA24)-YEAR(IF('Deal maths'!Z24&gt;0,'Deal maths'!Z24,DATE(1990,1,1))))*12+MONTH('Deal maths'!AA24)-MONTH(IF('Deal maths'!Z24&gt;0,'Deal maths'!Z24,DATE(1990,1,1))))/D24))*D24),EDATE('Deal maths'!AA24,-(INT(((YEAR('Deal maths'!AA24)-YEAR(IF('Deal maths'!Z24&gt;0,'Deal maths'!Z24,DATE(1990,1,1))))*12+MONTH('Deal maths'!AA24)-MONTH(IF('Deal maths'!Z24&gt;0,'Deal maths'!Z24,DATE(1990,1,1))))/D24))*D24))&gt;IF('Deal maths'!Z24&gt;0,'Deal maths'!Z24,DATE(1990,1,1)),IF(DAY('Deal maths'!AA24+1)=1,EOMONTH('Deal maths'!AA24,-(INT(((YEAR('Deal maths'!AA24)-YEAR(IF('Deal maths'!Z24&gt;0,'Deal maths'!Z24,DATE(1990,1,1))))*12+MONTH('Deal maths'!AA24)-MONTH(IF('Deal maths'!Z24&gt;0,'Deal maths'!Z24,DATE(1990,1,1))))/D24))*D24),EDATE('Deal maths'!AA24,-(INT(((YEAR('Deal maths'!AA24)-YEAR(IF('Deal maths'!Z24&gt;0,'Deal maths'!Z24,DATE(1990,1,1))))*12+MONTH('Deal maths'!AA24)-MONTH(IF('Deal maths'!Z24&gt;0,'Deal maths'!Z24,DATE(1990,1,1))))/D24))*D24)),IF(DAY('Deal maths'!AA24+1)=1,EOMONTH('Deal maths'!AA24,-(INT(((YEAR('Deal maths'!AA24)-YEAR(IF('Deal maths'!Z24&gt;0,'Deal maths'!Z24,DATE(1990,1,1))))*12+MONTH('Deal maths'!AA24)-MONTH(IF('Deal maths'!Z24&gt;0,'Deal maths'!Z24,DATE(1990,1,1))))/D24)-1)*D24),EDATE('Deal maths'!AA24,-(INT(((YEAR('Deal maths'!AA24)-YEAR(IF('Deal maths'!Z24&gt;0,'Deal maths'!Z24,DATE(1990,1,1))))*12+MONTH('Deal maths'!AA24)-MONTH(IF('Deal maths'!Z24&gt;0,'Deal maths'!Z24,DATE(1990,1,1))))/D24)-1)*D24))))),0)</f>
        <v/>
      </c>
      <c r="F24" s="110">
        <f>IF(D24=0,0,'Deal maths'!AB24*D24/12)</f>
        <v/>
      </c>
      <c r="G24" s="108">
        <f>N24+O24</f>
        <v/>
      </c>
      <c r="H24" s="108">
        <f>IFERROR(IF(OR(D24=0,AsAt&lt;E24),0,MIN(N24,INT(((YEAR(AsAt)-YEAR(E24))*12+MONTH(AsAt)-MONTH(E24)-(DAY(AsAt)&lt;MIN(R24,DAY(EOMONTH(AsAt,0)))))/D24)+1)+O24*(AsAt&gt;='Deal maths'!AA24)),0)</f>
        <v/>
      </c>
      <c r="I24" s="108">
        <f>G24-H24</f>
        <v/>
      </c>
      <c r="J24" s="111">
        <f>IF(AND(C24="EIP",I24&gt;0),'Deal maths'!Y24/I24,0)</f>
        <v/>
      </c>
      <c r="K24" s="111">
        <f>IF(AND(C24="Annuity",I24&gt;0),IF(F24&gt;0,'Deal maths'!Y24*F24/(1-(1+F24)^-I24),'Deal maths'!Y24/I24),0)</f>
        <v/>
      </c>
      <c r="L24" s="111">
        <f>IF('Deal maths'!Y24="",0,'Deal maths'!Y24)</f>
        <v/>
      </c>
      <c r="M24" s="112">
        <f>F24+(F24=0)</f>
        <v/>
      </c>
      <c r="N24" s="108">
        <f>IFERROR(IF(D24=0,0,INT(((YEAR('Deal maths'!AA24)-YEAR(E24))*12+MONTH('Deal maths'!AA24)-MONTH(E24)-(DAY('Deal maths'!AA24)&lt;MIN(R24,DAY(EOMONTH('Deal maths'!AA24,0)))))/D24)+1),0)</f>
        <v/>
      </c>
      <c r="O24" s="108">
        <f>IFERROR(IF(D24=0,0,IF(IF(DAY(E24+1)=1,EOMONTH(E24,(N24-1)*D24),EDATE(E24,(N24-1)*D24))='Deal maths'!AA24,0,1)),0)</f>
        <v/>
      </c>
      <c r="P24" s="113">
        <f>IF(B24=0,0,IFERROR(IF(C24="EIP",((I24-O24)*((IF(DAY(E24+1)=1,EOMONTH(E24,H24*D24),EDATE(E24,H24*D24))-AsAt)/365.25+(IF(DAY(E24+1)=1,EOMONTH(E24,(N24-1)*D24),EDATE(E24,(N24-1)*D24))-AsAt)/365.25)/2+O24*('Deal maths'!AA24-AsAt)/365.25)/I24,IF(C24="Annuity",IF(F24&gt;0,((K24-L24*F24)*((IF(DAY(E24+1)=1,EOMONTH(E24,H24*D24),EDATE(E24,H24*D24))-AsAt)/365.25*((1+F24)^(I24-O24)-1)/F24+IF((I24-O24)&gt;1,((IF(DAY(E24+1)=1,EOMONTH(E24,(N24-1)*D24),EDATE(E24,(N24-1)*D24))-AsAt)/365.25-(IF(DAY(E24+1)=1,EOMONTH(E24,H24*D24),EDATE(E24,H24*D24))-AsAt)/365.25)/((I24-O24)-1),0)*(1+F24)*(1-(I24-O24)*(1+F24)^((I24-O24)-1)+((I24-O24)-1)*(1+F24)^(I24-O24))/F24^2)+O24*(K24-L24*F24)*(1+F24)^(I24-1)*('Deal maths'!AA24-AsAt)/365.25)/L24,((I24-O24)*((IF(DAY(E24+1)=1,EOMONTH(E24,H24*D24),EDATE(E24,H24*D24))-AsAt)/365.25+(IF(DAY(E24+1)=1,EOMONTH(E24,(N24-1)*D24),EDATE(E24,(N24-1)*D24))-AsAt)/365.25)/2+O24*('Deal maths'!AA24-AsAt)/365.25)/I24),(S24-AsAt)/365.25)),0))</f>
        <v/>
      </c>
      <c r="Q24" s="109">
        <f>IF(B24=1,'Deal maths'!AA24+ROW()/1000000,"")</f>
        <v/>
      </c>
      <c r="R24" s="108">
        <f>IF(D24=0,0,IF(DAY(E24+1)=1,31,DAY(E24)))</f>
        <v/>
      </c>
      <c r="S24" s="109">
        <f>IF(AND('Deal maths'!V24="LOBO",'Deal maths'!AG24&gt;AsAt,'Deal maths'!AG24&lt;'Deal maths'!AA24),'Deal maths'!AG24,'Deal maths'!AA24)</f>
        <v/>
      </c>
      <c r="T24" s="108">
        <f>('Deal maths'!AA24&gt;AsAt)*('Deal maths'!Y24&gt;0)</f>
        <v/>
      </c>
    </row>
    <row r="25">
      <c r="A25" s="91">
        <f>IF('Deal maths'!V25="","",'Deal maths'!W25)</f>
        <v/>
      </c>
      <c r="B25" s="108">
        <f>('Deal maths'!AA25&gt;AsAt)*('Deal maths'!Y25&gt;0)*('Deal maths'!Z25&lt;=AsAt)</f>
        <v/>
      </c>
      <c r="C25" s="91">
        <f>IF('Deal maths'!V25="","",IF('Deal maths'!AC25="","Maturity",'Deal maths'!AC25))</f>
        <v/>
      </c>
      <c r="D25" s="108">
        <f>IF(OR(C25="EIP",C25="Annuity"),IF('Deal maths'!AD25="Annual",12,IF('Deal maths'!AD25="Quarterly",3,6)),0)</f>
        <v/>
      </c>
      <c r="E25" s="109">
        <f>IFERROR(IF(D25=0,0,IF('Deal maths'!AE25&gt;0,IF('Deal maths'!AE25&gt;'Deal maths'!AA25,'Deal maths'!AA25,'Deal maths'!AE25),IF(IF(DAY('Deal maths'!AA25+1)=1,EOMONTH('Deal maths'!AA25,-(INT(((YEAR('Deal maths'!AA25)-YEAR(IF('Deal maths'!Z25&gt;0,'Deal maths'!Z25,DATE(1990,1,1))))*12+MONTH('Deal maths'!AA25)-MONTH(IF('Deal maths'!Z25&gt;0,'Deal maths'!Z25,DATE(1990,1,1))))/D25))*D25),EDATE('Deal maths'!AA25,-(INT(((YEAR('Deal maths'!AA25)-YEAR(IF('Deal maths'!Z25&gt;0,'Deal maths'!Z25,DATE(1990,1,1))))*12+MONTH('Deal maths'!AA25)-MONTH(IF('Deal maths'!Z25&gt;0,'Deal maths'!Z25,DATE(1990,1,1))))/D25))*D25))&gt;IF('Deal maths'!Z25&gt;0,'Deal maths'!Z25,DATE(1990,1,1)),IF(DAY('Deal maths'!AA25+1)=1,EOMONTH('Deal maths'!AA25,-(INT(((YEAR('Deal maths'!AA25)-YEAR(IF('Deal maths'!Z25&gt;0,'Deal maths'!Z25,DATE(1990,1,1))))*12+MONTH('Deal maths'!AA25)-MONTH(IF('Deal maths'!Z25&gt;0,'Deal maths'!Z25,DATE(1990,1,1))))/D25))*D25),EDATE('Deal maths'!AA25,-(INT(((YEAR('Deal maths'!AA25)-YEAR(IF('Deal maths'!Z25&gt;0,'Deal maths'!Z25,DATE(1990,1,1))))*12+MONTH('Deal maths'!AA25)-MONTH(IF('Deal maths'!Z25&gt;0,'Deal maths'!Z25,DATE(1990,1,1))))/D25))*D25)),IF(DAY('Deal maths'!AA25+1)=1,EOMONTH('Deal maths'!AA25,-(INT(((YEAR('Deal maths'!AA25)-YEAR(IF('Deal maths'!Z25&gt;0,'Deal maths'!Z25,DATE(1990,1,1))))*12+MONTH('Deal maths'!AA25)-MONTH(IF('Deal maths'!Z25&gt;0,'Deal maths'!Z25,DATE(1990,1,1))))/D25)-1)*D25),EDATE('Deal maths'!AA25,-(INT(((YEAR('Deal maths'!AA25)-YEAR(IF('Deal maths'!Z25&gt;0,'Deal maths'!Z25,DATE(1990,1,1))))*12+MONTH('Deal maths'!AA25)-MONTH(IF('Deal maths'!Z25&gt;0,'Deal maths'!Z25,DATE(1990,1,1))))/D25)-1)*D25))))),0)</f>
        <v/>
      </c>
      <c r="F25" s="110">
        <f>IF(D25=0,0,'Deal maths'!AB25*D25/12)</f>
        <v/>
      </c>
      <c r="G25" s="108">
        <f>N25+O25</f>
        <v/>
      </c>
      <c r="H25" s="108">
        <f>IFERROR(IF(OR(D25=0,AsAt&lt;E25),0,MIN(N25,INT(((YEAR(AsAt)-YEAR(E25))*12+MONTH(AsAt)-MONTH(E25)-(DAY(AsAt)&lt;MIN(R25,DAY(EOMONTH(AsAt,0)))))/D25)+1)+O25*(AsAt&gt;='Deal maths'!AA25)),0)</f>
        <v/>
      </c>
      <c r="I25" s="108">
        <f>G25-H25</f>
        <v/>
      </c>
      <c r="J25" s="111">
        <f>IF(AND(C25="EIP",I25&gt;0),'Deal maths'!Y25/I25,0)</f>
        <v/>
      </c>
      <c r="K25" s="111">
        <f>IF(AND(C25="Annuity",I25&gt;0),IF(F25&gt;0,'Deal maths'!Y25*F25/(1-(1+F25)^-I25),'Deal maths'!Y25/I25),0)</f>
        <v/>
      </c>
      <c r="L25" s="111">
        <f>IF('Deal maths'!Y25="",0,'Deal maths'!Y25)</f>
        <v/>
      </c>
      <c r="M25" s="112">
        <f>F25+(F25=0)</f>
        <v/>
      </c>
      <c r="N25" s="108">
        <f>IFERROR(IF(D25=0,0,INT(((YEAR('Deal maths'!AA25)-YEAR(E25))*12+MONTH('Deal maths'!AA25)-MONTH(E25)-(DAY('Deal maths'!AA25)&lt;MIN(R25,DAY(EOMONTH('Deal maths'!AA25,0)))))/D25)+1),0)</f>
        <v/>
      </c>
      <c r="O25" s="108">
        <f>IFERROR(IF(D25=0,0,IF(IF(DAY(E25+1)=1,EOMONTH(E25,(N25-1)*D25),EDATE(E25,(N25-1)*D25))='Deal maths'!AA25,0,1)),0)</f>
        <v/>
      </c>
      <c r="P25" s="113">
        <f>IF(B25=0,0,IFERROR(IF(C25="EIP",((I25-O25)*((IF(DAY(E25+1)=1,EOMONTH(E25,H25*D25),EDATE(E25,H25*D25))-AsAt)/365.25+(IF(DAY(E25+1)=1,EOMONTH(E25,(N25-1)*D25),EDATE(E25,(N25-1)*D25))-AsAt)/365.25)/2+O25*('Deal maths'!AA25-AsAt)/365.25)/I25,IF(C25="Annuity",IF(F25&gt;0,((K25-L25*F25)*((IF(DAY(E25+1)=1,EOMONTH(E25,H25*D25),EDATE(E25,H25*D25))-AsAt)/365.25*((1+F25)^(I25-O25)-1)/F25+IF((I25-O25)&gt;1,((IF(DAY(E25+1)=1,EOMONTH(E25,(N25-1)*D25),EDATE(E25,(N25-1)*D25))-AsAt)/365.25-(IF(DAY(E25+1)=1,EOMONTH(E25,H25*D25),EDATE(E25,H25*D25))-AsAt)/365.25)/((I25-O25)-1),0)*(1+F25)*(1-(I25-O25)*(1+F25)^((I25-O25)-1)+((I25-O25)-1)*(1+F25)^(I25-O25))/F25^2)+O25*(K25-L25*F25)*(1+F25)^(I25-1)*('Deal maths'!AA25-AsAt)/365.25)/L25,((I25-O25)*((IF(DAY(E25+1)=1,EOMONTH(E25,H25*D25),EDATE(E25,H25*D25))-AsAt)/365.25+(IF(DAY(E25+1)=1,EOMONTH(E25,(N25-1)*D25),EDATE(E25,(N25-1)*D25))-AsAt)/365.25)/2+O25*('Deal maths'!AA25-AsAt)/365.25)/I25),(S25-AsAt)/365.25)),0))</f>
        <v/>
      </c>
      <c r="Q25" s="109">
        <f>IF(B25=1,'Deal maths'!AA25+ROW()/1000000,"")</f>
        <v/>
      </c>
      <c r="R25" s="108">
        <f>IF(D25=0,0,IF(DAY(E25+1)=1,31,DAY(E25)))</f>
        <v/>
      </c>
      <c r="S25" s="109">
        <f>IF(AND('Deal maths'!V25="LOBO",'Deal maths'!AG25&gt;AsAt,'Deal maths'!AG25&lt;'Deal maths'!AA25),'Deal maths'!AG25,'Deal maths'!AA25)</f>
        <v/>
      </c>
      <c r="T25" s="108">
        <f>('Deal maths'!AA25&gt;AsAt)*('Deal maths'!Y25&gt;0)</f>
        <v/>
      </c>
    </row>
    <row r="26">
      <c r="A26" s="91">
        <f>IF('Deal maths'!V26="","",'Deal maths'!W26)</f>
        <v/>
      </c>
      <c r="B26" s="108">
        <f>('Deal maths'!AA26&gt;AsAt)*('Deal maths'!Y26&gt;0)*('Deal maths'!Z26&lt;=AsAt)</f>
        <v/>
      </c>
      <c r="C26" s="91">
        <f>IF('Deal maths'!V26="","",IF('Deal maths'!AC26="","Maturity",'Deal maths'!AC26))</f>
        <v/>
      </c>
      <c r="D26" s="108">
        <f>IF(OR(C26="EIP",C26="Annuity"),IF('Deal maths'!AD26="Annual",12,IF('Deal maths'!AD26="Quarterly",3,6)),0)</f>
        <v/>
      </c>
      <c r="E26" s="109">
        <f>IFERROR(IF(D26=0,0,IF('Deal maths'!AE26&gt;0,IF('Deal maths'!AE26&gt;'Deal maths'!AA26,'Deal maths'!AA26,'Deal maths'!AE26),IF(IF(DAY('Deal maths'!AA26+1)=1,EOMONTH('Deal maths'!AA26,-(INT(((YEAR('Deal maths'!AA26)-YEAR(IF('Deal maths'!Z26&gt;0,'Deal maths'!Z26,DATE(1990,1,1))))*12+MONTH('Deal maths'!AA26)-MONTH(IF('Deal maths'!Z26&gt;0,'Deal maths'!Z26,DATE(1990,1,1))))/D26))*D26),EDATE('Deal maths'!AA26,-(INT(((YEAR('Deal maths'!AA26)-YEAR(IF('Deal maths'!Z26&gt;0,'Deal maths'!Z26,DATE(1990,1,1))))*12+MONTH('Deal maths'!AA26)-MONTH(IF('Deal maths'!Z26&gt;0,'Deal maths'!Z26,DATE(1990,1,1))))/D26))*D26))&gt;IF('Deal maths'!Z26&gt;0,'Deal maths'!Z26,DATE(1990,1,1)),IF(DAY('Deal maths'!AA26+1)=1,EOMONTH('Deal maths'!AA26,-(INT(((YEAR('Deal maths'!AA26)-YEAR(IF('Deal maths'!Z26&gt;0,'Deal maths'!Z26,DATE(1990,1,1))))*12+MONTH('Deal maths'!AA26)-MONTH(IF('Deal maths'!Z26&gt;0,'Deal maths'!Z26,DATE(1990,1,1))))/D26))*D26),EDATE('Deal maths'!AA26,-(INT(((YEAR('Deal maths'!AA26)-YEAR(IF('Deal maths'!Z26&gt;0,'Deal maths'!Z26,DATE(1990,1,1))))*12+MONTH('Deal maths'!AA26)-MONTH(IF('Deal maths'!Z26&gt;0,'Deal maths'!Z26,DATE(1990,1,1))))/D26))*D26)),IF(DAY('Deal maths'!AA26+1)=1,EOMONTH('Deal maths'!AA26,-(INT(((YEAR('Deal maths'!AA26)-YEAR(IF('Deal maths'!Z26&gt;0,'Deal maths'!Z26,DATE(1990,1,1))))*12+MONTH('Deal maths'!AA26)-MONTH(IF('Deal maths'!Z26&gt;0,'Deal maths'!Z26,DATE(1990,1,1))))/D26)-1)*D26),EDATE('Deal maths'!AA26,-(INT(((YEAR('Deal maths'!AA26)-YEAR(IF('Deal maths'!Z26&gt;0,'Deal maths'!Z26,DATE(1990,1,1))))*12+MONTH('Deal maths'!AA26)-MONTH(IF('Deal maths'!Z26&gt;0,'Deal maths'!Z26,DATE(1990,1,1))))/D26)-1)*D26))))),0)</f>
        <v/>
      </c>
      <c r="F26" s="110">
        <f>IF(D26=0,0,'Deal maths'!AB26*D26/12)</f>
        <v/>
      </c>
      <c r="G26" s="108">
        <f>N26+O26</f>
        <v/>
      </c>
      <c r="H26" s="108">
        <f>IFERROR(IF(OR(D26=0,AsAt&lt;E26),0,MIN(N26,INT(((YEAR(AsAt)-YEAR(E26))*12+MONTH(AsAt)-MONTH(E26)-(DAY(AsAt)&lt;MIN(R26,DAY(EOMONTH(AsAt,0)))))/D26)+1)+O26*(AsAt&gt;='Deal maths'!AA26)),0)</f>
        <v/>
      </c>
      <c r="I26" s="108">
        <f>G26-H26</f>
        <v/>
      </c>
      <c r="J26" s="111">
        <f>IF(AND(C26="EIP",I26&gt;0),'Deal maths'!Y26/I26,0)</f>
        <v/>
      </c>
      <c r="K26" s="111">
        <f>IF(AND(C26="Annuity",I26&gt;0),IF(F26&gt;0,'Deal maths'!Y26*F26/(1-(1+F26)^-I26),'Deal maths'!Y26/I26),0)</f>
        <v/>
      </c>
      <c r="L26" s="111">
        <f>IF('Deal maths'!Y26="",0,'Deal maths'!Y26)</f>
        <v/>
      </c>
      <c r="M26" s="112">
        <f>F26+(F26=0)</f>
        <v/>
      </c>
      <c r="N26" s="108">
        <f>IFERROR(IF(D26=0,0,INT(((YEAR('Deal maths'!AA26)-YEAR(E26))*12+MONTH('Deal maths'!AA26)-MONTH(E26)-(DAY('Deal maths'!AA26)&lt;MIN(R26,DAY(EOMONTH('Deal maths'!AA26,0)))))/D26)+1),0)</f>
        <v/>
      </c>
      <c r="O26" s="108">
        <f>IFERROR(IF(D26=0,0,IF(IF(DAY(E26+1)=1,EOMONTH(E26,(N26-1)*D26),EDATE(E26,(N26-1)*D26))='Deal maths'!AA26,0,1)),0)</f>
        <v/>
      </c>
      <c r="P26" s="113">
        <f>IF(B26=0,0,IFERROR(IF(C26="EIP",((I26-O26)*((IF(DAY(E26+1)=1,EOMONTH(E26,H26*D26),EDATE(E26,H26*D26))-AsAt)/365.25+(IF(DAY(E26+1)=1,EOMONTH(E26,(N26-1)*D26),EDATE(E26,(N26-1)*D26))-AsAt)/365.25)/2+O26*('Deal maths'!AA26-AsAt)/365.25)/I26,IF(C26="Annuity",IF(F26&gt;0,((K26-L26*F26)*((IF(DAY(E26+1)=1,EOMONTH(E26,H26*D26),EDATE(E26,H26*D26))-AsAt)/365.25*((1+F26)^(I26-O26)-1)/F26+IF((I26-O26)&gt;1,((IF(DAY(E26+1)=1,EOMONTH(E26,(N26-1)*D26),EDATE(E26,(N26-1)*D26))-AsAt)/365.25-(IF(DAY(E26+1)=1,EOMONTH(E26,H26*D26),EDATE(E26,H26*D26))-AsAt)/365.25)/((I26-O26)-1),0)*(1+F26)*(1-(I26-O26)*(1+F26)^((I26-O26)-1)+((I26-O26)-1)*(1+F26)^(I26-O26))/F26^2)+O26*(K26-L26*F26)*(1+F26)^(I26-1)*('Deal maths'!AA26-AsAt)/365.25)/L26,((I26-O26)*((IF(DAY(E26+1)=1,EOMONTH(E26,H26*D26),EDATE(E26,H26*D26))-AsAt)/365.25+(IF(DAY(E26+1)=1,EOMONTH(E26,(N26-1)*D26),EDATE(E26,(N26-1)*D26))-AsAt)/365.25)/2+O26*('Deal maths'!AA26-AsAt)/365.25)/I26),(S26-AsAt)/365.25)),0))</f>
        <v/>
      </c>
      <c r="Q26" s="109">
        <f>IF(B26=1,'Deal maths'!AA26+ROW()/1000000,"")</f>
        <v/>
      </c>
      <c r="R26" s="108">
        <f>IF(D26=0,0,IF(DAY(E26+1)=1,31,DAY(E26)))</f>
        <v/>
      </c>
      <c r="S26" s="109">
        <f>IF(AND('Deal maths'!V26="LOBO",'Deal maths'!AG26&gt;AsAt,'Deal maths'!AG26&lt;'Deal maths'!AA26),'Deal maths'!AG26,'Deal maths'!AA26)</f>
        <v/>
      </c>
      <c r="T26" s="108">
        <f>('Deal maths'!AA26&gt;AsAt)*('Deal maths'!Y26&gt;0)</f>
        <v/>
      </c>
    </row>
    <row r="27">
      <c r="A27" s="91">
        <f>IF('Deal maths'!V27="","",'Deal maths'!W27)</f>
        <v/>
      </c>
      <c r="B27" s="108">
        <f>('Deal maths'!AA27&gt;AsAt)*('Deal maths'!Y27&gt;0)*('Deal maths'!Z27&lt;=AsAt)</f>
        <v/>
      </c>
      <c r="C27" s="91">
        <f>IF('Deal maths'!V27="","",IF('Deal maths'!AC27="","Maturity",'Deal maths'!AC27))</f>
        <v/>
      </c>
      <c r="D27" s="108">
        <f>IF(OR(C27="EIP",C27="Annuity"),IF('Deal maths'!AD27="Annual",12,IF('Deal maths'!AD27="Quarterly",3,6)),0)</f>
        <v/>
      </c>
      <c r="E27" s="109">
        <f>IFERROR(IF(D27=0,0,IF('Deal maths'!AE27&gt;0,IF('Deal maths'!AE27&gt;'Deal maths'!AA27,'Deal maths'!AA27,'Deal maths'!AE27),IF(IF(DAY('Deal maths'!AA27+1)=1,EOMONTH('Deal maths'!AA27,-(INT(((YEAR('Deal maths'!AA27)-YEAR(IF('Deal maths'!Z27&gt;0,'Deal maths'!Z27,DATE(1990,1,1))))*12+MONTH('Deal maths'!AA27)-MONTH(IF('Deal maths'!Z27&gt;0,'Deal maths'!Z27,DATE(1990,1,1))))/D27))*D27),EDATE('Deal maths'!AA27,-(INT(((YEAR('Deal maths'!AA27)-YEAR(IF('Deal maths'!Z27&gt;0,'Deal maths'!Z27,DATE(1990,1,1))))*12+MONTH('Deal maths'!AA27)-MONTH(IF('Deal maths'!Z27&gt;0,'Deal maths'!Z27,DATE(1990,1,1))))/D27))*D27))&gt;IF('Deal maths'!Z27&gt;0,'Deal maths'!Z27,DATE(1990,1,1)),IF(DAY('Deal maths'!AA27+1)=1,EOMONTH('Deal maths'!AA27,-(INT(((YEAR('Deal maths'!AA27)-YEAR(IF('Deal maths'!Z27&gt;0,'Deal maths'!Z27,DATE(1990,1,1))))*12+MONTH('Deal maths'!AA27)-MONTH(IF('Deal maths'!Z27&gt;0,'Deal maths'!Z27,DATE(1990,1,1))))/D27))*D27),EDATE('Deal maths'!AA27,-(INT(((YEAR('Deal maths'!AA27)-YEAR(IF('Deal maths'!Z27&gt;0,'Deal maths'!Z27,DATE(1990,1,1))))*12+MONTH('Deal maths'!AA27)-MONTH(IF('Deal maths'!Z27&gt;0,'Deal maths'!Z27,DATE(1990,1,1))))/D27))*D27)),IF(DAY('Deal maths'!AA27+1)=1,EOMONTH('Deal maths'!AA27,-(INT(((YEAR('Deal maths'!AA27)-YEAR(IF('Deal maths'!Z27&gt;0,'Deal maths'!Z27,DATE(1990,1,1))))*12+MONTH('Deal maths'!AA27)-MONTH(IF('Deal maths'!Z27&gt;0,'Deal maths'!Z27,DATE(1990,1,1))))/D27)-1)*D27),EDATE('Deal maths'!AA27,-(INT(((YEAR('Deal maths'!AA27)-YEAR(IF('Deal maths'!Z27&gt;0,'Deal maths'!Z27,DATE(1990,1,1))))*12+MONTH('Deal maths'!AA27)-MONTH(IF('Deal maths'!Z27&gt;0,'Deal maths'!Z27,DATE(1990,1,1))))/D27)-1)*D27))))),0)</f>
        <v/>
      </c>
      <c r="F27" s="110">
        <f>IF(D27=0,0,'Deal maths'!AB27*D27/12)</f>
        <v/>
      </c>
      <c r="G27" s="108">
        <f>N27+O27</f>
        <v/>
      </c>
      <c r="H27" s="108">
        <f>IFERROR(IF(OR(D27=0,AsAt&lt;E27),0,MIN(N27,INT(((YEAR(AsAt)-YEAR(E27))*12+MONTH(AsAt)-MONTH(E27)-(DAY(AsAt)&lt;MIN(R27,DAY(EOMONTH(AsAt,0)))))/D27)+1)+O27*(AsAt&gt;='Deal maths'!AA27)),0)</f>
        <v/>
      </c>
      <c r="I27" s="108">
        <f>G27-H27</f>
        <v/>
      </c>
      <c r="J27" s="111">
        <f>IF(AND(C27="EIP",I27&gt;0),'Deal maths'!Y27/I27,0)</f>
        <v/>
      </c>
      <c r="K27" s="111">
        <f>IF(AND(C27="Annuity",I27&gt;0),IF(F27&gt;0,'Deal maths'!Y27*F27/(1-(1+F27)^-I27),'Deal maths'!Y27/I27),0)</f>
        <v/>
      </c>
      <c r="L27" s="111">
        <f>IF('Deal maths'!Y27="",0,'Deal maths'!Y27)</f>
        <v/>
      </c>
      <c r="M27" s="112">
        <f>F27+(F27=0)</f>
        <v/>
      </c>
      <c r="N27" s="108">
        <f>IFERROR(IF(D27=0,0,INT(((YEAR('Deal maths'!AA27)-YEAR(E27))*12+MONTH('Deal maths'!AA27)-MONTH(E27)-(DAY('Deal maths'!AA27)&lt;MIN(R27,DAY(EOMONTH('Deal maths'!AA27,0)))))/D27)+1),0)</f>
        <v/>
      </c>
      <c r="O27" s="108">
        <f>IFERROR(IF(D27=0,0,IF(IF(DAY(E27+1)=1,EOMONTH(E27,(N27-1)*D27),EDATE(E27,(N27-1)*D27))='Deal maths'!AA27,0,1)),0)</f>
        <v/>
      </c>
      <c r="P27" s="113">
        <f>IF(B27=0,0,IFERROR(IF(C27="EIP",((I27-O27)*((IF(DAY(E27+1)=1,EOMONTH(E27,H27*D27),EDATE(E27,H27*D27))-AsAt)/365.25+(IF(DAY(E27+1)=1,EOMONTH(E27,(N27-1)*D27),EDATE(E27,(N27-1)*D27))-AsAt)/365.25)/2+O27*('Deal maths'!AA27-AsAt)/365.25)/I27,IF(C27="Annuity",IF(F27&gt;0,((K27-L27*F27)*((IF(DAY(E27+1)=1,EOMONTH(E27,H27*D27),EDATE(E27,H27*D27))-AsAt)/365.25*((1+F27)^(I27-O27)-1)/F27+IF((I27-O27)&gt;1,((IF(DAY(E27+1)=1,EOMONTH(E27,(N27-1)*D27),EDATE(E27,(N27-1)*D27))-AsAt)/365.25-(IF(DAY(E27+1)=1,EOMONTH(E27,H27*D27),EDATE(E27,H27*D27))-AsAt)/365.25)/((I27-O27)-1),0)*(1+F27)*(1-(I27-O27)*(1+F27)^((I27-O27)-1)+((I27-O27)-1)*(1+F27)^(I27-O27))/F27^2)+O27*(K27-L27*F27)*(1+F27)^(I27-1)*('Deal maths'!AA27-AsAt)/365.25)/L27,((I27-O27)*((IF(DAY(E27+1)=1,EOMONTH(E27,H27*D27),EDATE(E27,H27*D27))-AsAt)/365.25+(IF(DAY(E27+1)=1,EOMONTH(E27,(N27-1)*D27),EDATE(E27,(N27-1)*D27))-AsAt)/365.25)/2+O27*('Deal maths'!AA27-AsAt)/365.25)/I27),(S27-AsAt)/365.25)),0))</f>
        <v/>
      </c>
      <c r="Q27" s="109">
        <f>IF(B27=1,'Deal maths'!AA27+ROW()/1000000,"")</f>
        <v/>
      </c>
      <c r="R27" s="108">
        <f>IF(D27=0,0,IF(DAY(E27+1)=1,31,DAY(E27)))</f>
        <v/>
      </c>
      <c r="S27" s="109">
        <f>IF(AND('Deal maths'!V27="LOBO",'Deal maths'!AG27&gt;AsAt,'Deal maths'!AG27&lt;'Deal maths'!AA27),'Deal maths'!AG27,'Deal maths'!AA27)</f>
        <v/>
      </c>
      <c r="T27" s="108">
        <f>('Deal maths'!AA27&gt;AsAt)*('Deal maths'!Y27&gt;0)</f>
        <v/>
      </c>
    </row>
    <row r="28">
      <c r="A28" s="91">
        <f>IF('Deal maths'!V28="","",'Deal maths'!W28)</f>
        <v/>
      </c>
      <c r="B28" s="108">
        <f>('Deal maths'!AA28&gt;AsAt)*('Deal maths'!Y28&gt;0)*('Deal maths'!Z28&lt;=AsAt)</f>
        <v/>
      </c>
      <c r="C28" s="91">
        <f>IF('Deal maths'!V28="","",IF('Deal maths'!AC28="","Maturity",'Deal maths'!AC28))</f>
        <v/>
      </c>
      <c r="D28" s="108">
        <f>IF(OR(C28="EIP",C28="Annuity"),IF('Deal maths'!AD28="Annual",12,IF('Deal maths'!AD28="Quarterly",3,6)),0)</f>
        <v/>
      </c>
      <c r="E28" s="109">
        <f>IFERROR(IF(D28=0,0,IF('Deal maths'!AE28&gt;0,IF('Deal maths'!AE28&gt;'Deal maths'!AA28,'Deal maths'!AA28,'Deal maths'!AE28),IF(IF(DAY('Deal maths'!AA28+1)=1,EOMONTH('Deal maths'!AA28,-(INT(((YEAR('Deal maths'!AA28)-YEAR(IF('Deal maths'!Z28&gt;0,'Deal maths'!Z28,DATE(1990,1,1))))*12+MONTH('Deal maths'!AA28)-MONTH(IF('Deal maths'!Z28&gt;0,'Deal maths'!Z28,DATE(1990,1,1))))/D28))*D28),EDATE('Deal maths'!AA28,-(INT(((YEAR('Deal maths'!AA28)-YEAR(IF('Deal maths'!Z28&gt;0,'Deal maths'!Z28,DATE(1990,1,1))))*12+MONTH('Deal maths'!AA28)-MONTH(IF('Deal maths'!Z28&gt;0,'Deal maths'!Z28,DATE(1990,1,1))))/D28))*D28))&gt;IF('Deal maths'!Z28&gt;0,'Deal maths'!Z28,DATE(1990,1,1)),IF(DAY('Deal maths'!AA28+1)=1,EOMONTH('Deal maths'!AA28,-(INT(((YEAR('Deal maths'!AA28)-YEAR(IF('Deal maths'!Z28&gt;0,'Deal maths'!Z28,DATE(1990,1,1))))*12+MONTH('Deal maths'!AA28)-MONTH(IF('Deal maths'!Z28&gt;0,'Deal maths'!Z28,DATE(1990,1,1))))/D28))*D28),EDATE('Deal maths'!AA28,-(INT(((YEAR('Deal maths'!AA28)-YEAR(IF('Deal maths'!Z28&gt;0,'Deal maths'!Z28,DATE(1990,1,1))))*12+MONTH('Deal maths'!AA28)-MONTH(IF('Deal maths'!Z28&gt;0,'Deal maths'!Z28,DATE(1990,1,1))))/D28))*D28)),IF(DAY('Deal maths'!AA28+1)=1,EOMONTH('Deal maths'!AA28,-(INT(((YEAR('Deal maths'!AA28)-YEAR(IF('Deal maths'!Z28&gt;0,'Deal maths'!Z28,DATE(1990,1,1))))*12+MONTH('Deal maths'!AA28)-MONTH(IF('Deal maths'!Z28&gt;0,'Deal maths'!Z28,DATE(1990,1,1))))/D28)-1)*D28),EDATE('Deal maths'!AA28,-(INT(((YEAR('Deal maths'!AA28)-YEAR(IF('Deal maths'!Z28&gt;0,'Deal maths'!Z28,DATE(1990,1,1))))*12+MONTH('Deal maths'!AA28)-MONTH(IF('Deal maths'!Z28&gt;0,'Deal maths'!Z28,DATE(1990,1,1))))/D28)-1)*D28))))),0)</f>
        <v/>
      </c>
      <c r="F28" s="110">
        <f>IF(D28=0,0,'Deal maths'!AB28*D28/12)</f>
        <v/>
      </c>
      <c r="G28" s="108">
        <f>N28+O28</f>
        <v/>
      </c>
      <c r="H28" s="108">
        <f>IFERROR(IF(OR(D28=0,AsAt&lt;E28),0,MIN(N28,INT(((YEAR(AsAt)-YEAR(E28))*12+MONTH(AsAt)-MONTH(E28)-(DAY(AsAt)&lt;MIN(R28,DAY(EOMONTH(AsAt,0)))))/D28)+1)+O28*(AsAt&gt;='Deal maths'!AA28)),0)</f>
        <v/>
      </c>
      <c r="I28" s="108">
        <f>G28-H28</f>
        <v/>
      </c>
      <c r="J28" s="111">
        <f>IF(AND(C28="EIP",I28&gt;0),'Deal maths'!Y28/I28,0)</f>
        <v/>
      </c>
      <c r="K28" s="111">
        <f>IF(AND(C28="Annuity",I28&gt;0),IF(F28&gt;0,'Deal maths'!Y28*F28/(1-(1+F28)^-I28),'Deal maths'!Y28/I28),0)</f>
        <v/>
      </c>
      <c r="L28" s="111">
        <f>IF('Deal maths'!Y28="",0,'Deal maths'!Y28)</f>
        <v/>
      </c>
      <c r="M28" s="112">
        <f>F28+(F28=0)</f>
        <v/>
      </c>
      <c r="N28" s="108">
        <f>IFERROR(IF(D28=0,0,INT(((YEAR('Deal maths'!AA28)-YEAR(E28))*12+MONTH('Deal maths'!AA28)-MONTH(E28)-(DAY('Deal maths'!AA28)&lt;MIN(R28,DAY(EOMONTH('Deal maths'!AA28,0)))))/D28)+1),0)</f>
        <v/>
      </c>
      <c r="O28" s="108">
        <f>IFERROR(IF(D28=0,0,IF(IF(DAY(E28+1)=1,EOMONTH(E28,(N28-1)*D28),EDATE(E28,(N28-1)*D28))='Deal maths'!AA28,0,1)),0)</f>
        <v/>
      </c>
      <c r="P28" s="113">
        <f>IF(B28=0,0,IFERROR(IF(C28="EIP",((I28-O28)*((IF(DAY(E28+1)=1,EOMONTH(E28,H28*D28),EDATE(E28,H28*D28))-AsAt)/365.25+(IF(DAY(E28+1)=1,EOMONTH(E28,(N28-1)*D28),EDATE(E28,(N28-1)*D28))-AsAt)/365.25)/2+O28*('Deal maths'!AA28-AsAt)/365.25)/I28,IF(C28="Annuity",IF(F28&gt;0,((K28-L28*F28)*((IF(DAY(E28+1)=1,EOMONTH(E28,H28*D28),EDATE(E28,H28*D28))-AsAt)/365.25*((1+F28)^(I28-O28)-1)/F28+IF((I28-O28)&gt;1,((IF(DAY(E28+1)=1,EOMONTH(E28,(N28-1)*D28),EDATE(E28,(N28-1)*D28))-AsAt)/365.25-(IF(DAY(E28+1)=1,EOMONTH(E28,H28*D28),EDATE(E28,H28*D28))-AsAt)/365.25)/((I28-O28)-1),0)*(1+F28)*(1-(I28-O28)*(1+F28)^((I28-O28)-1)+((I28-O28)-1)*(1+F28)^(I28-O28))/F28^2)+O28*(K28-L28*F28)*(1+F28)^(I28-1)*('Deal maths'!AA28-AsAt)/365.25)/L28,((I28-O28)*((IF(DAY(E28+1)=1,EOMONTH(E28,H28*D28),EDATE(E28,H28*D28))-AsAt)/365.25+(IF(DAY(E28+1)=1,EOMONTH(E28,(N28-1)*D28),EDATE(E28,(N28-1)*D28))-AsAt)/365.25)/2+O28*('Deal maths'!AA28-AsAt)/365.25)/I28),(S28-AsAt)/365.25)),0))</f>
        <v/>
      </c>
      <c r="Q28" s="109">
        <f>IF(B28=1,'Deal maths'!AA28+ROW()/1000000,"")</f>
        <v/>
      </c>
      <c r="R28" s="108">
        <f>IF(D28=0,0,IF(DAY(E28+1)=1,31,DAY(E28)))</f>
        <v/>
      </c>
      <c r="S28" s="109">
        <f>IF(AND('Deal maths'!V28="LOBO",'Deal maths'!AG28&gt;AsAt,'Deal maths'!AG28&lt;'Deal maths'!AA28),'Deal maths'!AG28,'Deal maths'!AA28)</f>
        <v/>
      </c>
      <c r="T28" s="108">
        <f>('Deal maths'!AA28&gt;AsAt)*('Deal maths'!Y28&gt;0)</f>
        <v/>
      </c>
    </row>
    <row r="29">
      <c r="A29" s="91">
        <f>IF('Deal maths'!V29="","",'Deal maths'!W29)</f>
        <v/>
      </c>
      <c r="B29" s="108">
        <f>('Deal maths'!AA29&gt;AsAt)*('Deal maths'!Y29&gt;0)*('Deal maths'!Z29&lt;=AsAt)</f>
        <v/>
      </c>
      <c r="C29" s="91">
        <f>IF('Deal maths'!V29="","",IF('Deal maths'!AC29="","Maturity",'Deal maths'!AC29))</f>
        <v/>
      </c>
      <c r="D29" s="108">
        <f>IF(OR(C29="EIP",C29="Annuity"),IF('Deal maths'!AD29="Annual",12,IF('Deal maths'!AD29="Quarterly",3,6)),0)</f>
        <v/>
      </c>
      <c r="E29" s="109">
        <f>IFERROR(IF(D29=0,0,IF('Deal maths'!AE29&gt;0,IF('Deal maths'!AE29&gt;'Deal maths'!AA29,'Deal maths'!AA29,'Deal maths'!AE29),IF(IF(DAY('Deal maths'!AA29+1)=1,EOMONTH('Deal maths'!AA29,-(INT(((YEAR('Deal maths'!AA29)-YEAR(IF('Deal maths'!Z29&gt;0,'Deal maths'!Z29,DATE(1990,1,1))))*12+MONTH('Deal maths'!AA29)-MONTH(IF('Deal maths'!Z29&gt;0,'Deal maths'!Z29,DATE(1990,1,1))))/D29))*D29),EDATE('Deal maths'!AA29,-(INT(((YEAR('Deal maths'!AA29)-YEAR(IF('Deal maths'!Z29&gt;0,'Deal maths'!Z29,DATE(1990,1,1))))*12+MONTH('Deal maths'!AA29)-MONTH(IF('Deal maths'!Z29&gt;0,'Deal maths'!Z29,DATE(1990,1,1))))/D29))*D29))&gt;IF('Deal maths'!Z29&gt;0,'Deal maths'!Z29,DATE(1990,1,1)),IF(DAY('Deal maths'!AA29+1)=1,EOMONTH('Deal maths'!AA29,-(INT(((YEAR('Deal maths'!AA29)-YEAR(IF('Deal maths'!Z29&gt;0,'Deal maths'!Z29,DATE(1990,1,1))))*12+MONTH('Deal maths'!AA29)-MONTH(IF('Deal maths'!Z29&gt;0,'Deal maths'!Z29,DATE(1990,1,1))))/D29))*D29),EDATE('Deal maths'!AA29,-(INT(((YEAR('Deal maths'!AA29)-YEAR(IF('Deal maths'!Z29&gt;0,'Deal maths'!Z29,DATE(1990,1,1))))*12+MONTH('Deal maths'!AA29)-MONTH(IF('Deal maths'!Z29&gt;0,'Deal maths'!Z29,DATE(1990,1,1))))/D29))*D29)),IF(DAY('Deal maths'!AA29+1)=1,EOMONTH('Deal maths'!AA29,-(INT(((YEAR('Deal maths'!AA29)-YEAR(IF('Deal maths'!Z29&gt;0,'Deal maths'!Z29,DATE(1990,1,1))))*12+MONTH('Deal maths'!AA29)-MONTH(IF('Deal maths'!Z29&gt;0,'Deal maths'!Z29,DATE(1990,1,1))))/D29)-1)*D29),EDATE('Deal maths'!AA29,-(INT(((YEAR('Deal maths'!AA29)-YEAR(IF('Deal maths'!Z29&gt;0,'Deal maths'!Z29,DATE(1990,1,1))))*12+MONTH('Deal maths'!AA29)-MONTH(IF('Deal maths'!Z29&gt;0,'Deal maths'!Z29,DATE(1990,1,1))))/D29)-1)*D29))))),0)</f>
        <v/>
      </c>
      <c r="F29" s="110">
        <f>IF(D29=0,0,'Deal maths'!AB29*D29/12)</f>
        <v/>
      </c>
      <c r="G29" s="108">
        <f>N29+O29</f>
        <v/>
      </c>
      <c r="H29" s="108">
        <f>IFERROR(IF(OR(D29=0,AsAt&lt;E29),0,MIN(N29,INT(((YEAR(AsAt)-YEAR(E29))*12+MONTH(AsAt)-MONTH(E29)-(DAY(AsAt)&lt;MIN(R29,DAY(EOMONTH(AsAt,0)))))/D29)+1)+O29*(AsAt&gt;='Deal maths'!AA29)),0)</f>
        <v/>
      </c>
      <c r="I29" s="108">
        <f>G29-H29</f>
        <v/>
      </c>
      <c r="J29" s="111">
        <f>IF(AND(C29="EIP",I29&gt;0),'Deal maths'!Y29/I29,0)</f>
        <v/>
      </c>
      <c r="K29" s="111">
        <f>IF(AND(C29="Annuity",I29&gt;0),IF(F29&gt;0,'Deal maths'!Y29*F29/(1-(1+F29)^-I29),'Deal maths'!Y29/I29),0)</f>
        <v/>
      </c>
      <c r="L29" s="111">
        <f>IF('Deal maths'!Y29="",0,'Deal maths'!Y29)</f>
        <v/>
      </c>
      <c r="M29" s="112">
        <f>F29+(F29=0)</f>
        <v/>
      </c>
      <c r="N29" s="108">
        <f>IFERROR(IF(D29=0,0,INT(((YEAR('Deal maths'!AA29)-YEAR(E29))*12+MONTH('Deal maths'!AA29)-MONTH(E29)-(DAY('Deal maths'!AA29)&lt;MIN(R29,DAY(EOMONTH('Deal maths'!AA29,0)))))/D29)+1),0)</f>
        <v/>
      </c>
      <c r="O29" s="108">
        <f>IFERROR(IF(D29=0,0,IF(IF(DAY(E29+1)=1,EOMONTH(E29,(N29-1)*D29),EDATE(E29,(N29-1)*D29))='Deal maths'!AA29,0,1)),0)</f>
        <v/>
      </c>
      <c r="P29" s="113">
        <f>IF(B29=0,0,IFERROR(IF(C29="EIP",((I29-O29)*((IF(DAY(E29+1)=1,EOMONTH(E29,H29*D29),EDATE(E29,H29*D29))-AsAt)/365.25+(IF(DAY(E29+1)=1,EOMONTH(E29,(N29-1)*D29),EDATE(E29,(N29-1)*D29))-AsAt)/365.25)/2+O29*('Deal maths'!AA29-AsAt)/365.25)/I29,IF(C29="Annuity",IF(F29&gt;0,((K29-L29*F29)*((IF(DAY(E29+1)=1,EOMONTH(E29,H29*D29),EDATE(E29,H29*D29))-AsAt)/365.25*((1+F29)^(I29-O29)-1)/F29+IF((I29-O29)&gt;1,((IF(DAY(E29+1)=1,EOMONTH(E29,(N29-1)*D29),EDATE(E29,(N29-1)*D29))-AsAt)/365.25-(IF(DAY(E29+1)=1,EOMONTH(E29,H29*D29),EDATE(E29,H29*D29))-AsAt)/365.25)/((I29-O29)-1),0)*(1+F29)*(1-(I29-O29)*(1+F29)^((I29-O29)-1)+((I29-O29)-1)*(1+F29)^(I29-O29))/F29^2)+O29*(K29-L29*F29)*(1+F29)^(I29-1)*('Deal maths'!AA29-AsAt)/365.25)/L29,((I29-O29)*((IF(DAY(E29+1)=1,EOMONTH(E29,H29*D29),EDATE(E29,H29*D29))-AsAt)/365.25+(IF(DAY(E29+1)=1,EOMONTH(E29,(N29-1)*D29),EDATE(E29,(N29-1)*D29))-AsAt)/365.25)/2+O29*('Deal maths'!AA29-AsAt)/365.25)/I29),(S29-AsAt)/365.25)),0))</f>
        <v/>
      </c>
      <c r="Q29" s="109">
        <f>IF(B29=1,'Deal maths'!AA29+ROW()/1000000,"")</f>
        <v/>
      </c>
      <c r="R29" s="108">
        <f>IF(D29=0,0,IF(DAY(E29+1)=1,31,DAY(E29)))</f>
        <v/>
      </c>
      <c r="S29" s="109">
        <f>IF(AND('Deal maths'!V29="LOBO",'Deal maths'!AG29&gt;AsAt,'Deal maths'!AG29&lt;'Deal maths'!AA29),'Deal maths'!AG29,'Deal maths'!AA29)</f>
        <v/>
      </c>
      <c r="T29" s="108">
        <f>('Deal maths'!AA29&gt;AsAt)*('Deal maths'!Y29&gt;0)</f>
        <v/>
      </c>
    </row>
    <row r="30">
      <c r="A30" s="91">
        <f>IF('Deal maths'!V30="","",'Deal maths'!W30)</f>
        <v/>
      </c>
      <c r="B30" s="108">
        <f>('Deal maths'!AA30&gt;AsAt)*('Deal maths'!Y30&gt;0)*('Deal maths'!Z30&lt;=AsAt)</f>
        <v/>
      </c>
      <c r="C30" s="91">
        <f>IF('Deal maths'!V30="","",IF('Deal maths'!AC30="","Maturity",'Deal maths'!AC30))</f>
        <v/>
      </c>
      <c r="D30" s="108">
        <f>IF(OR(C30="EIP",C30="Annuity"),IF('Deal maths'!AD30="Annual",12,IF('Deal maths'!AD30="Quarterly",3,6)),0)</f>
        <v/>
      </c>
      <c r="E30" s="109">
        <f>IFERROR(IF(D30=0,0,IF('Deal maths'!AE30&gt;0,IF('Deal maths'!AE30&gt;'Deal maths'!AA30,'Deal maths'!AA30,'Deal maths'!AE30),IF(IF(DAY('Deal maths'!AA30+1)=1,EOMONTH('Deal maths'!AA30,-(INT(((YEAR('Deal maths'!AA30)-YEAR(IF('Deal maths'!Z30&gt;0,'Deal maths'!Z30,DATE(1990,1,1))))*12+MONTH('Deal maths'!AA30)-MONTH(IF('Deal maths'!Z30&gt;0,'Deal maths'!Z30,DATE(1990,1,1))))/D30))*D30),EDATE('Deal maths'!AA30,-(INT(((YEAR('Deal maths'!AA30)-YEAR(IF('Deal maths'!Z30&gt;0,'Deal maths'!Z30,DATE(1990,1,1))))*12+MONTH('Deal maths'!AA30)-MONTH(IF('Deal maths'!Z30&gt;0,'Deal maths'!Z30,DATE(1990,1,1))))/D30))*D30))&gt;IF('Deal maths'!Z30&gt;0,'Deal maths'!Z30,DATE(1990,1,1)),IF(DAY('Deal maths'!AA30+1)=1,EOMONTH('Deal maths'!AA30,-(INT(((YEAR('Deal maths'!AA30)-YEAR(IF('Deal maths'!Z30&gt;0,'Deal maths'!Z30,DATE(1990,1,1))))*12+MONTH('Deal maths'!AA30)-MONTH(IF('Deal maths'!Z30&gt;0,'Deal maths'!Z30,DATE(1990,1,1))))/D30))*D30),EDATE('Deal maths'!AA30,-(INT(((YEAR('Deal maths'!AA30)-YEAR(IF('Deal maths'!Z30&gt;0,'Deal maths'!Z30,DATE(1990,1,1))))*12+MONTH('Deal maths'!AA30)-MONTH(IF('Deal maths'!Z30&gt;0,'Deal maths'!Z30,DATE(1990,1,1))))/D30))*D30)),IF(DAY('Deal maths'!AA30+1)=1,EOMONTH('Deal maths'!AA30,-(INT(((YEAR('Deal maths'!AA30)-YEAR(IF('Deal maths'!Z30&gt;0,'Deal maths'!Z30,DATE(1990,1,1))))*12+MONTH('Deal maths'!AA30)-MONTH(IF('Deal maths'!Z30&gt;0,'Deal maths'!Z30,DATE(1990,1,1))))/D30)-1)*D30),EDATE('Deal maths'!AA30,-(INT(((YEAR('Deal maths'!AA30)-YEAR(IF('Deal maths'!Z30&gt;0,'Deal maths'!Z30,DATE(1990,1,1))))*12+MONTH('Deal maths'!AA30)-MONTH(IF('Deal maths'!Z30&gt;0,'Deal maths'!Z30,DATE(1990,1,1))))/D30)-1)*D30))))),0)</f>
        <v/>
      </c>
      <c r="F30" s="110">
        <f>IF(D30=0,0,'Deal maths'!AB30*D30/12)</f>
        <v/>
      </c>
      <c r="G30" s="108">
        <f>N30+O30</f>
        <v/>
      </c>
      <c r="H30" s="108">
        <f>IFERROR(IF(OR(D30=0,AsAt&lt;E30),0,MIN(N30,INT(((YEAR(AsAt)-YEAR(E30))*12+MONTH(AsAt)-MONTH(E30)-(DAY(AsAt)&lt;MIN(R30,DAY(EOMONTH(AsAt,0)))))/D30)+1)+O30*(AsAt&gt;='Deal maths'!AA30)),0)</f>
        <v/>
      </c>
      <c r="I30" s="108">
        <f>G30-H30</f>
        <v/>
      </c>
      <c r="J30" s="111">
        <f>IF(AND(C30="EIP",I30&gt;0),'Deal maths'!Y30/I30,0)</f>
        <v/>
      </c>
      <c r="K30" s="111">
        <f>IF(AND(C30="Annuity",I30&gt;0),IF(F30&gt;0,'Deal maths'!Y30*F30/(1-(1+F30)^-I30),'Deal maths'!Y30/I30),0)</f>
        <v/>
      </c>
      <c r="L30" s="111">
        <f>IF('Deal maths'!Y30="",0,'Deal maths'!Y30)</f>
        <v/>
      </c>
      <c r="M30" s="112">
        <f>F30+(F30=0)</f>
        <v/>
      </c>
      <c r="N30" s="108">
        <f>IFERROR(IF(D30=0,0,INT(((YEAR('Deal maths'!AA30)-YEAR(E30))*12+MONTH('Deal maths'!AA30)-MONTH(E30)-(DAY('Deal maths'!AA30)&lt;MIN(R30,DAY(EOMONTH('Deal maths'!AA30,0)))))/D30)+1),0)</f>
        <v/>
      </c>
      <c r="O30" s="108">
        <f>IFERROR(IF(D30=0,0,IF(IF(DAY(E30+1)=1,EOMONTH(E30,(N30-1)*D30),EDATE(E30,(N30-1)*D30))='Deal maths'!AA30,0,1)),0)</f>
        <v/>
      </c>
      <c r="P30" s="113">
        <f>IF(B30=0,0,IFERROR(IF(C30="EIP",((I30-O30)*((IF(DAY(E30+1)=1,EOMONTH(E30,H30*D30),EDATE(E30,H30*D30))-AsAt)/365.25+(IF(DAY(E30+1)=1,EOMONTH(E30,(N30-1)*D30),EDATE(E30,(N30-1)*D30))-AsAt)/365.25)/2+O30*('Deal maths'!AA30-AsAt)/365.25)/I30,IF(C30="Annuity",IF(F30&gt;0,((K30-L30*F30)*((IF(DAY(E30+1)=1,EOMONTH(E30,H30*D30),EDATE(E30,H30*D30))-AsAt)/365.25*((1+F30)^(I30-O30)-1)/F30+IF((I30-O30)&gt;1,((IF(DAY(E30+1)=1,EOMONTH(E30,(N30-1)*D30),EDATE(E30,(N30-1)*D30))-AsAt)/365.25-(IF(DAY(E30+1)=1,EOMONTH(E30,H30*D30),EDATE(E30,H30*D30))-AsAt)/365.25)/((I30-O30)-1),0)*(1+F30)*(1-(I30-O30)*(1+F30)^((I30-O30)-1)+((I30-O30)-1)*(1+F30)^(I30-O30))/F30^2)+O30*(K30-L30*F30)*(1+F30)^(I30-1)*('Deal maths'!AA30-AsAt)/365.25)/L30,((I30-O30)*((IF(DAY(E30+1)=1,EOMONTH(E30,H30*D30),EDATE(E30,H30*D30))-AsAt)/365.25+(IF(DAY(E30+1)=1,EOMONTH(E30,(N30-1)*D30),EDATE(E30,(N30-1)*D30))-AsAt)/365.25)/2+O30*('Deal maths'!AA30-AsAt)/365.25)/I30),(S30-AsAt)/365.25)),0))</f>
        <v/>
      </c>
      <c r="Q30" s="109">
        <f>IF(B30=1,'Deal maths'!AA30+ROW()/1000000,"")</f>
        <v/>
      </c>
      <c r="R30" s="108">
        <f>IF(D30=0,0,IF(DAY(E30+1)=1,31,DAY(E30)))</f>
        <v/>
      </c>
      <c r="S30" s="109">
        <f>IF(AND('Deal maths'!V30="LOBO",'Deal maths'!AG30&gt;AsAt,'Deal maths'!AG30&lt;'Deal maths'!AA30),'Deal maths'!AG30,'Deal maths'!AA30)</f>
        <v/>
      </c>
      <c r="T30" s="108">
        <f>('Deal maths'!AA30&gt;AsAt)*('Deal maths'!Y30&gt;0)</f>
        <v/>
      </c>
    </row>
    <row r="31">
      <c r="A31" s="91">
        <f>IF('Deal maths'!V31="","",'Deal maths'!W31)</f>
        <v/>
      </c>
      <c r="B31" s="108">
        <f>('Deal maths'!AA31&gt;AsAt)*('Deal maths'!Y31&gt;0)*('Deal maths'!Z31&lt;=AsAt)</f>
        <v/>
      </c>
      <c r="C31" s="91">
        <f>IF('Deal maths'!V31="","",IF('Deal maths'!AC31="","Maturity",'Deal maths'!AC31))</f>
        <v/>
      </c>
      <c r="D31" s="108">
        <f>IF(OR(C31="EIP",C31="Annuity"),IF('Deal maths'!AD31="Annual",12,IF('Deal maths'!AD31="Quarterly",3,6)),0)</f>
        <v/>
      </c>
      <c r="E31" s="109">
        <f>IFERROR(IF(D31=0,0,IF('Deal maths'!AE31&gt;0,IF('Deal maths'!AE31&gt;'Deal maths'!AA31,'Deal maths'!AA31,'Deal maths'!AE31),IF(IF(DAY('Deal maths'!AA31+1)=1,EOMONTH('Deal maths'!AA31,-(INT(((YEAR('Deal maths'!AA31)-YEAR(IF('Deal maths'!Z31&gt;0,'Deal maths'!Z31,DATE(1990,1,1))))*12+MONTH('Deal maths'!AA31)-MONTH(IF('Deal maths'!Z31&gt;0,'Deal maths'!Z31,DATE(1990,1,1))))/D31))*D31),EDATE('Deal maths'!AA31,-(INT(((YEAR('Deal maths'!AA31)-YEAR(IF('Deal maths'!Z31&gt;0,'Deal maths'!Z31,DATE(1990,1,1))))*12+MONTH('Deal maths'!AA31)-MONTH(IF('Deal maths'!Z31&gt;0,'Deal maths'!Z31,DATE(1990,1,1))))/D31))*D31))&gt;IF('Deal maths'!Z31&gt;0,'Deal maths'!Z31,DATE(1990,1,1)),IF(DAY('Deal maths'!AA31+1)=1,EOMONTH('Deal maths'!AA31,-(INT(((YEAR('Deal maths'!AA31)-YEAR(IF('Deal maths'!Z31&gt;0,'Deal maths'!Z31,DATE(1990,1,1))))*12+MONTH('Deal maths'!AA31)-MONTH(IF('Deal maths'!Z31&gt;0,'Deal maths'!Z31,DATE(1990,1,1))))/D31))*D31),EDATE('Deal maths'!AA31,-(INT(((YEAR('Deal maths'!AA31)-YEAR(IF('Deal maths'!Z31&gt;0,'Deal maths'!Z31,DATE(1990,1,1))))*12+MONTH('Deal maths'!AA31)-MONTH(IF('Deal maths'!Z31&gt;0,'Deal maths'!Z31,DATE(1990,1,1))))/D31))*D31)),IF(DAY('Deal maths'!AA31+1)=1,EOMONTH('Deal maths'!AA31,-(INT(((YEAR('Deal maths'!AA31)-YEAR(IF('Deal maths'!Z31&gt;0,'Deal maths'!Z31,DATE(1990,1,1))))*12+MONTH('Deal maths'!AA31)-MONTH(IF('Deal maths'!Z31&gt;0,'Deal maths'!Z31,DATE(1990,1,1))))/D31)-1)*D31),EDATE('Deal maths'!AA31,-(INT(((YEAR('Deal maths'!AA31)-YEAR(IF('Deal maths'!Z31&gt;0,'Deal maths'!Z31,DATE(1990,1,1))))*12+MONTH('Deal maths'!AA31)-MONTH(IF('Deal maths'!Z31&gt;0,'Deal maths'!Z31,DATE(1990,1,1))))/D31)-1)*D31))))),0)</f>
        <v/>
      </c>
      <c r="F31" s="110">
        <f>IF(D31=0,0,'Deal maths'!AB31*D31/12)</f>
        <v/>
      </c>
      <c r="G31" s="108">
        <f>N31+O31</f>
        <v/>
      </c>
      <c r="H31" s="108">
        <f>IFERROR(IF(OR(D31=0,AsAt&lt;E31),0,MIN(N31,INT(((YEAR(AsAt)-YEAR(E31))*12+MONTH(AsAt)-MONTH(E31)-(DAY(AsAt)&lt;MIN(R31,DAY(EOMONTH(AsAt,0)))))/D31)+1)+O31*(AsAt&gt;='Deal maths'!AA31)),0)</f>
        <v/>
      </c>
      <c r="I31" s="108">
        <f>G31-H31</f>
        <v/>
      </c>
      <c r="J31" s="111">
        <f>IF(AND(C31="EIP",I31&gt;0),'Deal maths'!Y31/I31,0)</f>
        <v/>
      </c>
      <c r="K31" s="111">
        <f>IF(AND(C31="Annuity",I31&gt;0),IF(F31&gt;0,'Deal maths'!Y31*F31/(1-(1+F31)^-I31),'Deal maths'!Y31/I31),0)</f>
        <v/>
      </c>
      <c r="L31" s="111">
        <f>IF('Deal maths'!Y31="",0,'Deal maths'!Y31)</f>
        <v/>
      </c>
      <c r="M31" s="112">
        <f>F31+(F31=0)</f>
        <v/>
      </c>
      <c r="N31" s="108">
        <f>IFERROR(IF(D31=0,0,INT(((YEAR('Deal maths'!AA31)-YEAR(E31))*12+MONTH('Deal maths'!AA31)-MONTH(E31)-(DAY('Deal maths'!AA31)&lt;MIN(R31,DAY(EOMONTH('Deal maths'!AA31,0)))))/D31)+1),0)</f>
        <v/>
      </c>
      <c r="O31" s="108">
        <f>IFERROR(IF(D31=0,0,IF(IF(DAY(E31+1)=1,EOMONTH(E31,(N31-1)*D31),EDATE(E31,(N31-1)*D31))='Deal maths'!AA31,0,1)),0)</f>
        <v/>
      </c>
      <c r="P31" s="113">
        <f>IF(B31=0,0,IFERROR(IF(C31="EIP",((I31-O31)*((IF(DAY(E31+1)=1,EOMONTH(E31,H31*D31),EDATE(E31,H31*D31))-AsAt)/365.25+(IF(DAY(E31+1)=1,EOMONTH(E31,(N31-1)*D31),EDATE(E31,(N31-1)*D31))-AsAt)/365.25)/2+O31*('Deal maths'!AA31-AsAt)/365.25)/I31,IF(C31="Annuity",IF(F31&gt;0,((K31-L31*F31)*((IF(DAY(E31+1)=1,EOMONTH(E31,H31*D31),EDATE(E31,H31*D31))-AsAt)/365.25*((1+F31)^(I31-O31)-1)/F31+IF((I31-O31)&gt;1,((IF(DAY(E31+1)=1,EOMONTH(E31,(N31-1)*D31),EDATE(E31,(N31-1)*D31))-AsAt)/365.25-(IF(DAY(E31+1)=1,EOMONTH(E31,H31*D31),EDATE(E31,H31*D31))-AsAt)/365.25)/((I31-O31)-1),0)*(1+F31)*(1-(I31-O31)*(1+F31)^((I31-O31)-1)+((I31-O31)-1)*(1+F31)^(I31-O31))/F31^2)+O31*(K31-L31*F31)*(1+F31)^(I31-1)*('Deal maths'!AA31-AsAt)/365.25)/L31,((I31-O31)*((IF(DAY(E31+1)=1,EOMONTH(E31,H31*D31),EDATE(E31,H31*D31))-AsAt)/365.25+(IF(DAY(E31+1)=1,EOMONTH(E31,(N31-1)*D31),EDATE(E31,(N31-1)*D31))-AsAt)/365.25)/2+O31*('Deal maths'!AA31-AsAt)/365.25)/I31),(S31-AsAt)/365.25)),0))</f>
        <v/>
      </c>
      <c r="Q31" s="109">
        <f>IF(B31=1,'Deal maths'!AA31+ROW()/1000000,"")</f>
        <v/>
      </c>
      <c r="R31" s="108">
        <f>IF(D31=0,0,IF(DAY(E31+1)=1,31,DAY(E31)))</f>
        <v/>
      </c>
      <c r="S31" s="109">
        <f>IF(AND('Deal maths'!V31="LOBO",'Deal maths'!AG31&gt;AsAt,'Deal maths'!AG31&lt;'Deal maths'!AA31),'Deal maths'!AG31,'Deal maths'!AA31)</f>
        <v/>
      </c>
      <c r="T31" s="108">
        <f>('Deal maths'!AA31&gt;AsAt)*('Deal maths'!Y31&gt;0)</f>
        <v/>
      </c>
    </row>
    <row r="32">
      <c r="A32" s="91">
        <f>IF('Deal maths'!V32="","",'Deal maths'!W32)</f>
        <v/>
      </c>
      <c r="B32" s="108">
        <f>('Deal maths'!AA32&gt;AsAt)*('Deal maths'!Y32&gt;0)*('Deal maths'!Z32&lt;=AsAt)</f>
        <v/>
      </c>
      <c r="C32" s="91">
        <f>IF('Deal maths'!V32="","",IF('Deal maths'!AC32="","Maturity",'Deal maths'!AC32))</f>
        <v/>
      </c>
      <c r="D32" s="108">
        <f>IF(OR(C32="EIP",C32="Annuity"),IF('Deal maths'!AD32="Annual",12,IF('Deal maths'!AD32="Quarterly",3,6)),0)</f>
        <v/>
      </c>
      <c r="E32" s="109">
        <f>IFERROR(IF(D32=0,0,IF('Deal maths'!AE32&gt;0,IF('Deal maths'!AE32&gt;'Deal maths'!AA32,'Deal maths'!AA32,'Deal maths'!AE32),IF(IF(DAY('Deal maths'!AA32+1)=1,EOMONTH('Deal maths'!AA32,-(INT(((YEAR('Deal maths'!AA32)-YEAR(IF('Deal maths'!Z32&gt;0,'Deal maths'!Z32,DATE(1990,1,1))))*12+MONTH('Deal maths'!AA32)-MONTH(IF('Deal maths'!Z32&gt;0,'Deal maths'!Z32,DATE(1990,1,1))))/D32))*D32),EDATE('Deal maths'!AA32,-(INT(((YEAR('Deal maths'!AA32)-YEAR(IF('Deal maths'!Z32&gt;0,'Deal maths'!Z32,DATE(1990,1,1))))*12+MONTH('Deal maths'!AA32)-MONTH(IF('Deal maths'!Z32&gt;0,'Deal maths'!Z32,DATE(1990,1,1))))/D32))*D32))&gt;IF('Deal maths'!Z32&gt;0,'Deal maths'!Z32,DATE(1990,1,1)),IF(DAY('Deal maths'!AA32+1)=1,EOMONTH('Deal maths'!AA32,-(INT(((YEAR('Deal maths'!AA32)-YEAR(IF('Deal maths'!Z32&gt;0,'Deal maths'!Z32,DATE(1990,1,1))))*12+MONTH('Deal maths'!AA32)-MONTH(IF('Deal maths'!Z32&gt;0,'Deal maths'!Z32,DATE(1990,1,1))))/D32))*D32),EDATE('Deal maths'!AA32,-(INT(((YEAR('Deal maths'!AA32)-YEAR(IF('Deal maths'!Z32&gt;0,'Deal maths'!Z32,DATE(1990,1,1))))*12+MONTH('Deal maths'!AA32)-MONTH(IF('Deal maths'!Z32&gt;0,'Deal maths'!Z32,DATE(1990,1,1))))/D32))*D32)),IF(DAY('Deal maths'!AA32+1)=1,EOMONTH('Deal maths'!AA32,-(INT(((YEAR('Deal maths'!AA32)-YEAR(IF('Deal maths'!Z32&gt;0,'Deal maths'!Z32,DATE(1990,1,1))))*12+MONTH('Deal maths'!AA32)-MONTH(IF('Deal maths'!Z32&gt;0,'Deal maths'!Z32,DATE(1990,1,1))))/D32)-1)*D32),EDATE('Deal maths'!AA32,-(INT(((YEAR('Deal maths'!AA32)-YEAR(IF('Deal maths'!Z32&gt;0,'Deal maths'!Z32,DATE(1990,1,1))))*12+MONTH('Deal maths'!AA32)-MONTH(IF('Deal maths'!Z32&gt;0,'Deal maths'!Z32,DATE(1990,1,1))))/D32)-1)*D32))))),0)</f>
        <v/>
      </c>
      <c r="F32" s="110">
        <f>IF(D32=0,0,'Deal maths'!AB32*D32/12)</f>
        <v/>
      </c>
      <c r="G32" s="108">
        <f>N32+O32</f>
        <v/>
      </c>
      <c r="H32" s="108">
        <f>IFERROR(IF(OR(D32=0,AsAt&lt;E32),0,MIN(N32,INT(((YEAR(AsAt)-YEAR(E32))*12+MONTH(AsAt)-MONTH(E32)-(DAY(AsAt)&lt;MIN(R32,DAY(EOMONTH(AsAt,0)))))/D32)+1)+O32*(AsAt&gt;='Deal maths'!AA32)),0)</f>
        <v/>
      </c>
      <c r="I32" s="108">
        <f>G32-H32</f>
        <v/>
      </c>
      <c r="J32" s="111">
        <f>IF(AND(C32="EIP",I32&gt;0),'Deal maths'!Y32/I32,0)</f>
        <v/>
      </c>
      <c r="K32" s="111">
        <f>IF(AND(C32="Annuity",I32&gt;0),IF(F32&gt;0,'Deal maths'!Y32*F32/(1-(1+F32)^-I32),'Deal maths'!Y32/I32),0)</f>
        <v/>
      </c>
      <c r="L32" s="111">
        <f>IF('Deal maths'!Y32="",0,'Deal maths'!Y32)</f>
        <v/>
      </c>
      <c r="M32" s="112">
        <f>F32+(F32=0)</f>
        <v/>
      </c>
      <c r="N32" s="108">
        <f>IFERROR(IF(D32=0,0,INT(((YEAR('Deal maths'!AA32)-YEAR(E32))*12+MONTH('Deal maths'!AA32)-MONTH(E32)-(DAY('Deal maths'!AA32)&lt;MIN(R32,DAY(EOMONTH('Deal maths'!AA32,0)))))/D32)+1),0)</f>
        <v/>
      </c>
      <c r="O32" s="108">
        <f>IFERROR(IF(D32=0,0,IF(IF(DAY(E32+1)=1,EOMONTH(E32,(N32-1)*D32),EDATE(E32,(N32-1)*D32))='Deal maths'!AA32,0,1)),0)</f>
        <v/>
      </c>
      <c r="P32" s="113">
        <f>IF(B32=0,0,IFERROR(IF(C32="EIP",((I32-O32)*((IF(DAY(E32+1)=1,EOMONTH(E32,H32*D32),EDATE(E32,H32*D32))-AsAt)/365.25+(IF(DAY(E32+1)=1,EOMONTH(E32,(N32-1)*D32),EDATE(E32,(N32-1)*D32))-AsAt)/365.25)/2+O32*('Deal maths'!AA32-AsAt)/365.25)/I32,IF(C32="Annuity",IF(F32&gt;0,((K32-L32*F32)*((IF(DAY(E32+1)=1,EOMONTH(E32,H32*D32),EDATE(E32,H32*D32))-AsAt)/365.25*((1+F32)^(I32-O32)-1)/F32+IF((I32-O32)&gt;1,((IF(DAY(E32+1)=1,EOMONTH(E32,(N32-1)*D32),EDATE(E32,(N32-1)*D32))-AsAt)/365.25-(IF(DAY(E32+1)=1,EOMONTH(E32,H32*D32),EDATE(E32,H32*D32))-AsAt)/365.25)/((I32-O32)-1),0)*(1+F32)*(1-(I32-O32)*(1+F32)^((I32-O32)-1)+((I32-O32)-1)*(1+F32)^(I32-O32))/F32^2)+O32*(K32-L32*F32)*(1+F32)^(I32-1)*('Deal maths'!AA32-AsAt)/365.25)/L32,((I32-O32)*((IF(DAY(E32+1)=1,EOMONTH(E32,H32*D32),EDATE(E32,H32*D32))-AsAt)/365.25+(IF(DAY(E32+1)=1,EOMONTH(E32,(N32-1)*D32),EDATE(E32,(N32-1)*D32))-AsAt)/365.25)/2+O32*('Deal maths'!AA32-AsAt)/365.25)/I32),(S32-AsAt)/365.25)),0))</f>
        <v/>
      </c>
      <c r="Q32" s="109">
        <f>IF(B32=1,'Deal maths'!AA32+ROW()/1000000,"")</f>
        <v/>
      </c>
      <c r="R32" s="108">
        <f>IF(D32=0,0,IF(DAY(E32+1)=1,31,DAY(E32)))</f>
        <v/>
      </c>
      <c r="S32" s="109">
        <f>IF(AND('Deal maths'!V32="LOBO",'Deal maths'!AG32&gt;AsAt,'Deal maths'!AG32&lt;'Deal maths'!AA32),'Deal maths'!AG32,'Deal maths'!AA32)</f>
        <v/>
      </c>
      <c r="T32" s="108">
        <f>('Deal maths'!AA32&gt;AsAt)*('Deal maths'!Y32&gt;0)</f>
        <v/>
      </c>
    </row>
    <row r="33">
      <c r="A33" s="91">
        <f>IF('Deal maths'!V33="","",'Deal maths'!W33)</f>
        <v/>
      </c>
      <c r="B33" s="108">
        <f>('Deal maths'!AA33&gt;AsAt)*('Deal maths'!Y33&gt;0)*('Deal maths'!Z33&lt;=AsAt)</f>
        <v/>
      </c>
      <c r="C33" s="91">
        <f>IF('Deal maths'!V33="","",IF('Deal maths'!AC33="","Maturity",'Deal maths'!AC33))</f>
        <v/>
      </c>
      <c r="D33" s="108">
        <f>IF(OR(C33="EIP",C33="Annuity"),IF('Deal maths'!AD33="Annual",12,IF('Deal maths'!AD33="Quarterly",3,6)),0)</f>
        <v/>
      </c>
      <c r="E33" s="109">
        <f>IFERROR(IF(D33=0,0,IF('Deal maths'!AE33&gt;0,IF('Deal maths'!AE33&gt;'Deal maths'!AA33,'Deal maths'!AA33,'Deal maths'!AE33),IF(IF(DAY('Deal maths'!AA33+1)=1,EOMONTH('Deal maths'!AA33,-(INT(((YEAR('Deal maths'!AA33)-YEAR(IF('Deal maths'!Z33&gt;0,'Deal maths'!Z33,DATE(1990,1,1))))*12+MONTH('Deal maths'!AA33)-MONTH(IF('Deal maths'!Z33&gt;0,'Deal maths'!Z33,DATE(1990,1,1))))/D33))*D33),EDATE('Deal maths'!AA33,-(INT(((YEAR('Deal maths'!AA33)-YEAR(IF('Deal maths'!Z33&gt;0,'Deal maths'!Z33,DATE(1990,1,1))))*12+MONTH('Deal maths'!AA33)-MONTH(IF('Deal maths'!Z33&gt;0,'Deal maths'!Z33,DATE(1990,1,1))))/D33))*D33))&gt;IF('Deal maths'!Z33&gt;0,'Deal maths'!Z33,DATE(1990,1,1)),IF(DAY('Deal maths'!AA33+1)=1,EOMONTH('Deal maths'!AA33,-(INT(((YEAR('Deal maths'!AA33)-YEAR(IF('Deal maths'!Z33&gt;0,'Deal maths'!Z33,DATE(1990,1,1))))*12+MONTH('Deal maths'!AA33)-MONTH(IF('Deal maths'!Z33&gt;0,'Deal maths'!Z33,DATE(1990,1,1))))/D33))*D33),EDATE('Deal maths'!AA33,-(INT(((YEAR('Deal maths'!AA33)-YEAR(IF('Deal maths'!Z33&gt;0,'Deal maths'!Z33,DATE(1990,1,1))))*12+MONTH('Deal maths'!AA33)-MONTH(IF('Deal maths'!Z33&gt;0,'Deal maths'!Z33,DATE(1990,1,1))))/D33))*D33)),IF(DAY('Deal maths'!AA33+1)=1,EOMONTH('Deal maths'!AA33,-(INT(((YEAR('Deal maths'!AA33)-YEAR(IF('Deal maths'!Z33&gt;0,'Deal maths'!Z33,DATE(1990,1,1))))*12+MONTH('Deal maths'!AA33)-MONTH(IF('Deal maths'!Z33&gt;0,'Deal maths'!Z33,DATE(1990,1,1))))/D33)-1)*D33),EDATE('Deal maths'!AA33,-(INT(((YEAR('Deal maths'!AA33)-YEAR(IF('Deal maths'!Z33&gt;0,'Deal maths'!Z33,DATE(1990,1,1))))*12+MONTH('Deal maths'!AA33)-MONTH(IF('Deal maths'!Z33&gt;0,'Deal maths'!Z33,DATE(1990,1,1))))/D33)-1)*D33))))),0)</f>
        <v/>
      </c>
      <c r="F33" s="110">
        <f>IF(D33=0,0,'Deal maths'!AB33*D33/12)</f>
        <v/>
      </c>
      <c r="G33" s="108">
        <f>N33+O33</f>
        <v/>
      </c>
      <c r="H33" s="108">
        <f>IFERROR(IF(OR(D33=0,AsAt&lt;E33),0,MIN(N33,INT(((YEAR(AsAt)-YEAR(E33))*12+MONTH(AsAt)-MONTH(E33)-(DAY(AsAt)&lt;MIN(R33,DAY(EOMONTH(AsAt,0)))))/D33)+1)+O33*(AsAt&gt;='Deal maths'!AA33)),0)</f>
        <v/>
      </c>
      <c r="I33" s="108">
        <f>G33-H33</f>
        <v/>
      </c>
      <c r="J33" s="111">
        <f>IF(AND(C33="EIP",I33&gt;0),'Deal maths'!Y33/I33,0)</f>
        <v/>
      </c>
      <c r="K33" s="111">
        <f>IF(AND(C33="Annuity",I33&gt;0),IF(F33&gt;0,'Deal maths'!Y33*F33/(1-(1+F33)^-I33),'Deal maths'!Y33/I33),0)</f>
        <v/>
      </c>
      <c r="L33" s="111">
        <f>IF('Deal maths'!Y33="",0,'Deal maths'!Y33)</f>
        <v/>
      </c>
      <c r="M33" s="112">
        <f>F33+(F33=0)</f>
        <v/>
      </c>
      <c r="N33" s="108">
        <f>IFERROR(IF(D33=0,0,INT(((YEAR('Deal maths'!AA33)-YEAR(E33))*12+MONTH('Deal maths'!AA33)-MONTH(E33)-(DAY('Deal maths'!AA33)&lt;MIN(R33,DAY(EOMONTH('Deal maths'!AA33,0)))))/D33)+1),0)</f>
        <v/>
      </c>
      <c r="O33" s="108">
        <f>IFERROR(IF(D33=0,0,IF(IF(DAY(E33+1)=1,EOMONTH(E33,(N33-1)*D33),EDATE(E33,(N33-1)*D33))='Deal maths'!AA33,0,1)),0)</f>
        <v/>
      </c>
      <c r="P33" s="113">
        <f>IF(B33=0,0,IFERROR(IF(C33="EIP",((I33-O33)*((IF(DAY(E33+1)=1,EOMONTH(E33,H33*D33),EDATE(E33,H33*D33))-AsAt)/365.25+(IF(DAY(E33+1)=1,EOMONTH(E33,(N33-1)*D33),EDATE(E33,(N33-1)*D33))-AsAt)/365.25)/2+O33*('Deal maths'!AA33-AsAt)/365.25)/I33,IF(C33="Annuity",IF(F33&gt;0,((K33-L33*F33)*((IF(DAY(E33+1)=1,EOMONTH(E33,H33*D33),EDATE(E33,H33*D33))-AsAt)/365.25*((1+F33)^(I33-O33)-1)/F33+IF((I33-O33)&gt;1,((IF(DAY(E33+1)=1,EOMONTH(E33,(N33-1)*D33),EDATE(E33,(N33-1)*D33))-AsAt)/365.25-(IF(DAY(E33+1)=1,EOMONTH(E33,H33*D33),EDATE(E33,H33*D33))-AsAt)/365.25)/((I33-O33)-1),0)*(1+F33)*(1-(I33-O33)*(1+F33)^((I33-O33)-1)+((I33-O33)-1)*(1+F33)^(I33-O33))/F33^2)+O33*(K33-L33*F33)*(1+F33)^(I33-1)*('Deal maths'!AA33-AsAt)/365.25)/L33,((I33-O33)*((IF(DAY(E33+1)=1,EOMONTH(E33,H33*D33),EDATE(E33,H33*D33))-AsAt)/365.25+(IF(DAY(E33+1)=1,EOMONTH(E33,(N33-1)*D33),EDATE(E33,(N33-1)*D33))-AsAt)/365.25)/2+O33*('Deal maths'!AA33-AsAt)/365.25)/I33),(S33-AsAt)/365.25)),0))</f>
        <v/>
      </c>
      <c r="Q33" s="109">
        <f>IF(B33=1,'Deal maths'!AA33+ROW()/1000000,"")</f>
        <v/>
      </c>
      <c r="R33" s="108">
        <f>IF(D33=0,0,IF(DAY(E33+1)=1,31,DAY(E33)))</f>
        <v/>
      </c>
      <c r="S33" s="109">
        <f>IF(AND('Deal maths'!V33="LOBO",'Deal maths'!AG33&gt;AsAt,'Deal maths'!AG33&lt;'Deal maths'!AA33),'Deal maths'!AG33,'Deal maths'!AA33)</f>
        <v/>
      </c>
      <c r="T33" s="108">
        <f>('Deal maths'!AA33&gt;AsAt)*('Deal maths'!Y33&gt;0)</f>
        <v/>
      </c>
    </row>
    <row r="34">
      <c r="A34" s="91">
        <f>IF('Deal maths'!V34="","",'Deal maths'!W34)</f>
        <v/>
      </c>
      <c r="B34" s="108">
        <f>('Deal maths'!AA34&gt;AsAt)*('Deal maths'!Y34&gt;0)*('Deal maths'!Z34&lt;=AsAt)</f>
        <v/>
      </c>
      <c r="C34" s="91">
        <f>IF('Deal maths'!V34="","",IF('Deal maths'!AC34="","Maturity",'Deal maths'!AC34))</f>
        <v/>
      </c>
      <c r="D34" s="108">
        <f>IF(OR(C34="EIP",C34="Annuity"),IF('Deal maths'!AD34="Annual",12,IF('Deal maths'!AD34="Quarterly",3,6)),0)</f>
        <v/>
      </c>
      <c r="E34" s="109">
        <f>IFERROR(IF(D34=0,0,IF('Deal maths'!AE34&gt;0,IF('Deal maths'!AE34&gt;'Deal maths'!AA34,'Deal maths'!AA34,'Deal maths'!AE34),IF(IF(DAY('Deal maths'!AA34+1)=1,EOMONTH('Deal maths'!AA34,-(INT(((YEAR('Deal maths'!AA34)-YEAR(IF('Deal maths'!Z34&gt;0,'Deal maths'!Z34,DATE(1990,1,1))))*12+MONTH('Deal maths'!AA34)-MONTH(IF('Deal maths'!Z34&gt;0,'Deal maths'!Z34,DATE(1990,1,1))))/D34))*D34),EDATE('Deal maths'!AA34,-(INT(((YEAR('Deal maths'!AA34)-YEAR(IF('Deal maths'!Z34&gt;0,'Deal maths'!Z34,DATE(1990,1,1))))*12+MONTH('Deal maths'!AA34)-MONTH(IF('Deal maths'!Z34&gt;0,'Deal maths'!Z34,DATE(1990,1,1))))/D34))*D34))&gt;IF('Deal maths'!Z34&gt;0,'Deal maths'!Z34,DATE(1990,1,1)),IF(DAY('Deal maths'!AA34+1)=1,EOMONTH('Deal maths'!AA34,-(INT(((YEAR('Deal maths'!AA34)-YEAR(IF('Deal maths'!Z34&gt;0,'Deal maths'!Z34,DATE(1990,1,1))))*12+MONTH('Deal maths'!AA34)-MONTH(IF('Deal maths'!Z34&gt;0,'Deal maths'!Z34,DATE(1990,1,1))))/D34))*D34),EDATE('Deal maths'!AA34,-(INT(((YEAR('Deal maths'!AA34)-YEAR(IF('Deal maths'!Z34&gt;0,'Deal maths'!Z34,DATE(1990,1,1))))*12+MONTH('Deal maths'!AA34)-MONTH(IF('Deal maths'!Z34&gt;0,'Deal maths'!Z34,DATE(1990,1,1))))/D34))*D34)),IF(DAY('Deal maths'!AA34+1)=1,EOMONTH('Deal maths'!AA34,-(INT(((YEAR('Deal maths'!AA34)-YEAR(IF('Deal maths'!Z34&gt;0,'Deal maths'!Z34,DATE(1990,1,1))))*12+MONTH('Deal maths'!AA34)-MONTH(IF('Deal maths'!Z34&gt;0,'Deal maths'!Z34,DATE(1990,1,1))))/D34)-1)*D34),EDATE('Deal maths'!AA34,-(INT(((YEAR('Deal maths'!AA34)-YEAR(IF('Deal maths'!Z34&gt;0,'Deal maths'!Z34,DATE(1990,1,1))))*12+MONTH('Deal maths'!AA34)-MONTH(IF('Deal maths'!Z34&gt;0,'Deal maths'!Z34,DATE(1990,1,1))))/D34)-1)*D34))))),0)</f>
        <v/>
      </c>
      <c r="F34" s="110">
        <f>IF(D34=0,0,'Deal maths'!AB34*D34/12)</f>
        <v/>
      </c>
      <c r="G34" s="108">
        <f>N34+O34</f>
        <v/>
      </c>
      <c r="H34" s="108">
        <f>IFERROR(IF(OR(D34=0,AsAt&lt;E34),0,MIN(N34,INT(((YEAR(AsAt)-YEAR(E34))*12+MONTH(AsAt)-MONTH(E34)-(DAY(AsAt)&lt;MIN(R34,DAY(EOMONTH(AsAt,0)))))/D34)+1)+O34*(AsAt&gt;='Deal maths'!AA34)),0)</f>
        <v/>
      </c>
      <c r="I34" s="108">
        <f>G34-H34</f>
        <v/>
      </c>
      <c r="J34" s="111">
        <f>IF(AND(C34="EIP",I34&gt;0),'Deal maths'!Y34/I34,0)</f>
        <v/>
      </c>
      <c r="K34" s="111">
        <f>IF(AND(C34="Annuity",I34&gt;0),IF(F34&gt;0,'Deal maths'!Y34*F34/(1-(1+F34)^-I34),'Deal maths'!Y34/I34),0)</f>
        <v/>
      </c>
      <c r="L34" s="111">
        <f>IF('Deal maths'!Y34="",0,'Deal maths'!Y34)</f>
        <v/>
      </c>
      <c r="M34" s="112">
        <f>F34+(F34=0)</f>
        <v/>
      </c>
      <c r="N34" s="108">
        <f>IFERROR(IF(D34=0,0,INT(((YEAR('Deal maths'!AA34)-YEAR(E34))*12+MONTH('Deal maths'!AA34)-MONTH(E34)-(DAY('Deal maths'!AA34)&lt;MIN(R34,DAY(EOMONTH('Deal maths'!AA34,0)))))/D34)+1),0)</f>
        <v/>
      </c>
      <c r="O34" s="108">
        <f>IFERROR(IF(D34=0,0,IF(IF(DAY(E34+1)=1,EOMONTH(E34,(N34-1)*D34),EDATE(E34,(N34-1)*D34))='Deal maths'!AA34,0,1)),0)</f>
        <v/>
      </c>
      <c r="P34" s="113">
        <f>IF(B34=0,0,IFERROR(IF(C34="EIP",((I34-O34)*((IF(DAY(E34+1)=1,EOMONTH(E34,H34*D34),EDATE(E34,H34*D34))-AsAt)/365.25+(IF(DAY(E34+1)=1,EOMONTH(E34,(N34-1)*D34),EDATE(E34,(N34-1)*D34))-AsAt)/365.25)/2+O34*('Deal maths'!AA34-AsAt)/365.25)/I34,IF(C34="Annuity",IF(F34&gt;0,((K34-L34*F34)*((IF(DAY(E34+1)=1,EOMONTH(E34,H34*D34),EDATE(E34,H34*D34))-AsAt)/365.25*((1+F34)^(I34-O34)-1)/F34+IF((I34-O34)&gt;1,((IF(DAY(E34+1)=1,EOMONTH(E34,(N34-1)*D34),EDATE(E34,(N34-1)*D34))-AsAt)/365.25-(IF(DAY(E34+1)=1,EOMONTH(E34,H34*D34),EDATE(E34,H34*D34))-AsAt)/365.25)/((I34-O34)-1),0)*(1+F34)*(1-(I34-O34)*(1+F34)^((I34-O34)-1)+((I34-O34)-1)*(1+F34)^(I34-O34))/F34^2)+O34*(K34-L34*F34)*(1+F34)^(I34-1)*('Deal maths'!AA34-AsAt)/365.25)/L34,((I34-O34)*((IF(DAY(E34+1)=1,EOMONTH(E34,H34*D34),EDATE(E34,H34*D34))-AsAt)/365.25+(IF(DAY(E34+1)=1,EOMONTH(E34,(N34-1)*D34),EDATE(E34,(N34-1)*D34))-AsAt)/365.25)/2+O34*('Deal maths'!AA34-AsAt)/365.25)/I34),(S34-AsAt)/365.25)),0))</f>
        <v/>
      </c>
      <c r="Q34" s="109">
        <f>IF(B34=1,'Deal maths'!AA34+ROW()/1000000,"")</f>
        <v/>
      </c>
      <c r="R34" s="108">
        <f>IF(D34=0,0,IF(DAY(E34+1)=1,31,DAY(E34)))</f>
        <v/>
      </c>
      <c r="S34" s="109">
        <f>IF(AND('Deal maths'!V34="LOBO",'Deal maths'!AG34&gt;AsAt,'Deal maths'!AG34&lt;'Deal maths'!AA34),'Deal maths'!AG34,'Deal maths'!AA34)</f>
        <v/>
      </c>
      <c r="T34" s="108">
        <f>('Deal maths'!AA34&gt;AsAt)*('Deal maths'!Y34&gt;0)</f>
        <v/>
      </c>
    </row>
    <row r="35">
      <c r="A35" s="91">
        <f>IF('Deal maths'!V35="","",'Deal maths'!W35)</f>
        <v/>
      </c>
      <c r="B35" s="108">
        <f>('Deal maths'!AA35&gt;AsAt)*('Deal maths'!Y35&gt;0)*('Deal maths'!Z35&lt;=AsAt)</f>
        <v/>
      </c>
      <c r="C35" s="91">
        <f>IF('Deal maths'!V35="","",IF('Deal maths'!AC35="","Maturity",'Deal maths'!AC35))</f>
        <v/>
      </c>
      <c r="D35" s="108">
        <f>IF(OR(C35="EIP",C35="Annuity"),IF('Deal maths'!AD35="Annual",12,IF('Deal maths'!AD35="Quarterly",3,6)),0)</f>
        <v/>
      </c>
      <c r="E35" s="109">
        <f>IFERROR(IF(D35=0,0,IF('Deal maths'!AE35&gt;0,IF('Deal maths'!AE35&gt;'Deal maths'!AA35,'Deal maths'!AA35,'Deal maths'!AE35),IF(IF(DAY('Deal maths'!AA35+1)=1,EOMONTH('Deal maths'!AA35,-(INT(((YEAR('Deal maths'!AA35)-YEAR(IF('Deal maths'!Z35&gt;0,'Deal maths'!Z35,DATE(1990,1,1))))*12+MONTH('Deal maths'!AA35)-MONTH(IF('Deal maths'!Z35&gt;0,'Deal maths'!Z35,DATE(1990,1,1))))/D35))*D35),EDATE('Deal maths'!AA35,-(INT(((YEAR('Deal maths'!AA35)-YEAR(IF('Deal maths'!Z35&gt;0,'Deal maths'!Z35,DATE(1990,1,1))))*12+MONTH('Deal maths'!AA35)-MONTH(IF('Deal maths'!Z35&gt;0,'Deal maths'!Z35,DATE(1990,1,1))))/D35))*D35))&gt;IF('Deal maths'!Z35&gt;0,'Deal maths'!Z35,DATE(1990,1,1)),IF(DAY('Deal maths'!AA35+1)=1,EOMONTH('Deal maths'!AA35,-(INT(((YEAR('Deal maths'!AA35)-YEAR(IF('Deal maths'!Z35&gt;0,'Deal maths'!Z35,DATE(1990,1,1))))*12+MONTH('Deal maths'!AA35)-MONTH(IF('Deal maths'!Z35&gt;0,'Deal maths'!Z35,DATE(1990,1,1))))/D35))*D35),EDATE('Deal maths'!AA35,-(INT(((YEAR('Deal maths'!AA35)-YEAR(IF('Deal maths'!Z35&gt;0,'Deal maths'!Z35,DATE(1990,1,1))))*12+MONTH('Deal maths'!AA35)-MONTH(IF('Deal maths'!Z35&gt;0,'Deal maths'!Z35,DATE(1990,1,1))))/D35))*D35)),IF(DAY('Deal maths'!AA35+1)=1,EOMONTH('Deal maths'!AA35,-(INT(((YEAR('Deal maths'!AA35)-YEAR(IF('Deal maths'!Z35&gt;0,'Deal maths'!Z35,DATE(1990,1,1))))*12+MONTH('Deal maths'!AA35)-MONTH(IF('Deal maths'!Z35&gt;0,'Deal maths'!Z35,DATE(1990,1,1))))/D35)-1)*D35),EDATE('Deal maths'!AA35,-(INT(((YEAR('Deal maths'!AA35)-YEAR(IF('Deal maths'!Z35&gt;0,'Deal maths'!Z35,DATE(1990,1,1))))*12+MONTH('Deal maths'!AA35)-MONTH(IF('Deal maths'!Z35&gt;0,'Deal maths'!Z35,DATE(1990,1,1))))/D35)-1)*D35))))),0)</f>
        <v/>
      </c>
      <c r="F35" s="110">
        <f>IF(D35=0,0,'Deal maths'!AB35*D35/12)</f>
        <v/>
      </c>
      <c r="G35" s="108">
        <f>N35+O35</f>
        <v/>
      </c>
      <c r="H35" s="108">
        <f>IFERROR(IF(OR(D35=0,AsAt&lt;E35),0,MIN(N35,INT(((YEAR(AsAt)-YEAR(E35))*12+MONTH(AsAt)-MONTH(E35)-(DAY(AsAt)&lt;MIN(R35,DAY(EOMONTH(AsAt,0)))))/D35)+1)+O35*(AsAt&gt;='Deal maths'!AA35)),0)</f>
        <v/>
      </c>
      <c r="I35" s="108">
        <f>G35-H35</f>
        <v/>
      </c>
      <c r="J35" s="111">
        <f>IF(AND(C35="EIP",I35&gt;0),'Deal maths'!Y35/I35,0)</f>
        <v/>
      </c>
      <c r="K35" s="111">
        <f>IF(AND(C35="Annuity",I35&gt;0),IF(F35&gt;0,'Deal maths'!Y35*F35/(1-(1+F35)^-I35),'Deal maths'!Y35/I35),0)</f>
        <v/>
      </c>
      <c r="L35" s="111">
        <f>IF('Deal maths'!Y35="",0,'Deal maths'!Y35)</f>
        <v/>
      </c>
      <c r="M35" s="112">
        <f>F35+(F35=0)</f>
        <v/>
      </c>
      <c r="N35" s="108">
        <f>IFERROR(IF(D35=0,0,INT(((YEAR('Deal maths'!AA35)-YEAR(E35))*12+MONTH('Deal maths'!AA35)-MONTH(E35)-(DAY('Deal maths'!AA35)&lt;MIN(R35,DAY(EOMONTH('Deal maths'!AA35,0)))))/D35)+1),0)</f>
        <v/>
      </c>
      <c r="O35" s="108">
        <f>IFERROR(IF(D35=0,0,IF(IF(DAY(E35+1)=1,EOMONTH(E35,(N35-1)*D35),EDATE(E35,(N35-1)*D35))='Deal maths'!AA35,0,1)),0)</f>
        <v/>
      </c>
      <c r="P35" s="113">
        <f>IF(B35=0,0,IFERROR(IF(C35="EIP",((I35-O35)*((IF(DAY(E35+1)=1,EOMONTH(E35,H35*D35),EDATE(E35,H35*D35))-AsAt)/365.25+(IF(DAY(E35+1)=1,EOMONTH(E35,(N35-1)*D35),EDATE(E35,(N35-1)*D35))-AsAt)/365.25)/2+O35*('Deal maths'!AA35-AsAt)/365.25)/I35,IF(C35="Annuity",IF(F35&gt;0,((K35-L35*F35)*((IF(DAY(E35+1)=1,EOMONTH(E35,H35*D35),EDATE(E35,H35*D35))-AsAt)/365.25*((1+F35)^(I35-O35)-1)/F35+IF((I35-O35)&gt;1,((IF(DAY(E35+1)=1,EOMONTH(E35,(N35-1)*D35),EDATE(E35,(N35-1)*D35))-AsAt)/365.25-(IF(DAY(E35+1)=1,EOMONTH(E35,H35*D35),EDATE(E35,H35*D35))-AsAt)/365.25)/((I35-O35)-1),0)*(1+F35)*(1-(I35-O35)*(1+F35)^((I35-O35)-1)+((I35-O35)-1)*(1+F35)^(I35-O35))/F35^2)+O35*(K35-L35*F35)*(1+F35)^(I35-1)*('Deal maths'!AA35-AsAt)/365.25)/L35,((I35-O35)*((IF(DAY(E35+1)=1,EOMONTH(E35,H35*D35),EDATE(E35,H35*D35))-AsAt)/365.25+(IF(DAY(E35+1)=1,EOMONTH(E35,(N35-1)*D35),EDATE(E35,(N35-1)*D35))-AsAt)/365.25)/2+O35*('Deal maths'!AA35-AsAt)/365.25)/I35),(S35-AsAt)/365.25)),0))</f>
        <v/>
      </c>
      <c r="Q35" s="109">
        <f>IF(B35=1,'Deal maths'!AA35+ROW()/1000000,"")</f>
        <v/>
      </c>
      <c r="R35" s="108">
        <f>IF(D35=0,0,IF(DAY(E35+1)=1,31,DAY(E35)))</f>
        <v/>
      </c>
      <c r="S35" s="109">
        <f>IF(AND('Deal maths'!V35="LOBO",'Deal maths'!AG35&gt;AsAt,'Deal maths'!AG35&lt;'Deal maths'!AA35),'Deal maths'!AG35,'Deal maths'!AA35)</f>
        <v/>
      </c>
      <c r="T35" s="108">
        <f>('Deal maths'!AA35&gt;AsAt)*('Deal maths'!Y35&gt;0)</f>
        <v/>
      </c>
    </row>
    <row r="36">
      <c r="A36" s="91">
        <f>IF('Deal maths'!V36="","",'Deal maths'!W36)</f>
        <v/>
      </c>
      <c r="B36" s="108">
        <f>('Deal maths'!AA36&gt;AsAt)*('Deal maths'!Y36&gt;0)*('Deal maths'!Z36&lt;=AsAt)</f>
        <v/>
      </c>
      <c r="C36" s="91">
        <f>IF('Deal maths'!V36="","",IF('Deal maths'!AC36="","Maturity",'Deal maths'!AC36))</f>
        <v/>
      </c>
      <c r="D36" s="108">
        <f>IF(OR(C36="EIP",C36="Annuity"),IF('Deal maths'!AD36="Annual",12,IF('Deal maths'!AD36="Quarterly",3,6)),0)</f>
        <v/>
      </c>
      <c r="E36" s="109">
        <f>IFERROR(IF(D36=0,0,IF('Deal maths'!AE36&gt;0,IF('Deal maths'!AE36&gt;'Deal maths'!AA36,'Deal maths'!AA36,'Deal maths'!AE36),IF(IF(DAY('Deal maths'!AA36+1)=1,EOMONTH('Deal maths'!AA36,-(INT(((YEAR('Deal maths'!AA36)-YEAR(IF('Deal maths'!Z36&gt;0,'Deal maths'!Z36,DATE(1990,1,1))))*12+MONTH('Deal maths'!AA36)-MONTH(IF('Deal maths'!Z36&gt;0,'Deal maths'!Z36,DATE(1990,1,1))))/D36))*D36),EDATE('Deal maths'!AA36,-(INT(((YEAR('Deal maths'!AA36)-YEAR(IF('Deal maths'!Z36&gt;0,'Deal maths'!Z36,DATE(1990,1,1))))*12+MONTH('Deal maths'!AA36)-MONTH(IF('Deal maths'!Z36&gt;0,'Deal maths'!Z36,DATE(1990,1,1))))/D36))*D36))&gt;IF('Deal maths'!Z36&gt;0,'Deal maths'!Z36,DATE(1990,1,1)),IF(DAY('Deal maths'!AA36+1)=1,EOMONTH('Deal maths'!AA36,-(INT(((YEAR('Deal maths'!AA36)-YEAR(IF('Deal maths'!Z36&gt;0,'Deal maths'!Z36,DATE(1990,1,1))))*12+MONTH('Deal maths'!AA36)-MONTH(IF('Deal maths'!Z36&gt;0,'Deal maths'!Z36,DATE(1990,1,1))))/D36))*D36),EDATE('Deal maths'!AA36,-(INT(((YEAR('Deal maths'!AA36)-YEAR(IF('Deal maths'!Z36&gt;0,'Deal maths'!Z36,DATE(1990,1,1))))*12+MONTH('Deal maths'!AA36)-MONTH(IF('Deal maths'!Z36&gt;0,'Deal maths'!Z36,DATE(1990,1,1))))/D36))*D36)),IF(DAY('Deal maths'!AA36+1)=1,EOMONTH('Deal maths'!AA36,-(INT(((YEAR('Deal maths'!AA36)-YEAR(IF('Deal maths'!Z36&gt;0,'Deal maths'!Z36,DATE(1990,1,1))))*12+MONTH('Deal maths'!AA36)-MONTH(IF('Deal maths'!Z36&gt;0,'Deal maths'!Z36,DATE(1990,1,1))))/D36)-1)*D36),EDATE('Deal maths'!AA36,-(INT(((YEAR('Deal maths'!AA36)-YEAR(IF('Deal maths'!Z36&gt;0,'Deal maths'!Z36,DATE(1990,1,1))))*12+MONTH('Deal maths'!AA36)-MONTH(IF('Deal maths'!Z36&gt;0,'Deal maths'!Z36,DATE(1990,1,1))))/D36)-1)*D36))))),0)</f>
        <v/>
      </c>
      <c r="F36" s="110">
        <f>IF(D36=0,0,'Deal maths'!AB36*D36/12)</f>
        <v/>
      </c>
      <c r="G36" s="108">
        <f>N36+O36</f>
        <v/>
      </c>
      <c r="H36" s="108">
        <f>IFERROR(IF(OR(D36=0,AsAt&lt;E36),0,MIN(N36,INT(((YEAR(AsAt)-YEAR(E36))*12+MONTH(AsAt)-MONTH(E36)-(DAY(AsAt)&lt;MIN(R36,DAY(EOMONTH(AsAt,0)))))/D36)+1)+O36*(AsAt&gt;='Deal maths'!AA36)),0)</f>
        <v/>
      </c>
      <c r="I36" s="108">
        <f>G36-H36</f>
        <v/>
      </c>
      <c r="J36" s="111">
        <f>IF(AND(C36="EIP",I36&gt;0),'Deal maths'!Y36/I36,0)</f>
        <v/>
      </c>
      <c r="K36" s="111">
        <f>IF(AND(C36="Annuity",I36&gt;0),IF(F36&gt;0,'Deal maths'!Y36*F36/(1-(1+F36)^-I36),'Deal maths'!Y36/I36),0)</f>
        <v/>
      </c>
      <c r="L36" s="111">
        <f>IF('Deal maths'!Y36="",0,'Deal maths'!Y36)</f>
        <v/>
      </c>
      <c r="M36" s="112">
        <f>F36+(F36=0)</f>
        <v/>
      </c>
      <c r="N36" s="108">
        <f>IFERROR(IF(D36=0,0,INT(((YEAR('Deal maths'!AA36)-YEAR(E36))*12+MONTH('Deal maths'!AA36)-MONTH(E36)-(DAY('Deal maths'!AA36)&lt;MIN(R36,DAY(EOMONTH('Deal maths'!AA36,0)))))/D36)+1),0)</f>
        <v/>
      </c>
      <c r="O36" s="108">
        <f>IFERROR(IF(D36=0,0,IF(IF(DAY(E36+1)=1,EOMONTH(E36,(N36-1)*D36),EDATE(E36,(N36-1)*D36))='Deal maths'!AA36,0,1)),0)</f>
        <v/>
      </c>
      <c r="P36" s="113">
        <f>IF(B36=0,0,IFERROR(IF(C36="EIP",((I36-O36)*((IF(DAY(E36+1)=1,EOMONTH(E36,H36*D36),EDATE(E36,H36*D36))-AsAt)/365.25+(IF(DAY(E36+1)=1,EOMONTH(E36,(N36-1)*D36),EDATE(E36,(N36-1)*D36))-AsAt)/365.25)/2+O36*('Deal maths'!AA36-AsAt)/365.25)/I36,IF(C36="Annuity",IF(F36&gt;0,((K36-L36*F36)*((IF(DAY(E36+1)=1,EOMONTH(E36,H36*D36),EDATE(E36,H36*D36))-AsAt)/365.25*((1+F36)^(I36-O36)-1)/F36+IF((I36-O36)&gt;1,((IF(DAY(E36+1)=1,EOMONTH(E36,(N36-1)*D36),EDATE(E36,(N36-1)*D36))-AsAt)/365.25-(IF(DAY(E36+1)=1,EOMONTH(E36,H36*D36),EDATE(E36,H36*D36))-AsAt)/365.25)/((I36-O36)-1),0)*(1+F36)*(1-(I36-O36)*(1+F36)^((I36-O36)-1)+((I36-O36)-1)*(1+F36)^(I36-O36))/F36^2)+O36*(K36-L36*F36)*(1+F36)^(I36-1)*('Deal maths'!AA36-AsAt)/365.25)/L36,((I36-O36)*((IF(DAY(E36+1)=1,EOMONTH(E36,H36*D36),EDATE(E36,H36*D36))-AsAt)/365.25+(IF(DAY(E36+1)=1,EOMONTH(E36,(N36-1)*D36),EDATE(E36,(N36-1)*D36))-AsAt)/365.25)/2+O36*('Deal maths'!AA36-AsAt)/365.25)/I36),(S36-AsAt)/365.25)),0))</f>
        <v/>
      </c>
      <c r="Q36" s="109">
        <f>IF(B36=1,'Deal maths'!AA36+ROW()/1000000,"")</f>
        <v/>
      </c>
      <c r="R36" s="108">
        <f>IF(D36=0,0,IF(DAY(E36+1)=1,31,DAY(E36)))</f>
        <v/>
      </c>
      <c r="S36" s="109">
        <f>IF(AND('Deal maths'!V36="LOBO",'Deal maths'!AG36&gt;AsAt,'Deal maths'!AG36&lt;'Deal maths'!AA36),'Deal maths'!AG36,'Deal maths'!AA36)</f>
        <v/>
      </c>
      <c r="T36" s="108">
        <f>('Deal maths'!AA36&gt;AsAt)*('Deal maths'!Y36&gt;0)</f>
        <v/>
      </c>
    </row>
    <row r="37">
      <c r="A37" s="91">
        <f>IF('Deal maths'!V37="","",'Deal maths'!W37)</f>
        <v/>
      </c>
      <c r="B37" s="108">
        <f>('Deal maths'!AA37&gt;AsAt)*('Deal maths'!Y37&gt;0)*('Deal maths'!Z37&lt;=AsAt)</f>
        <v/>
      </c>
      <c r="C37" s="91">
        <f>IF('Deal maths'!V37="","",IF('Deal maths'!AC37="","Maturity",'Deal maths'!AC37))</f>
        <v/>
      </c>
      <c r="D37" s="108">
        <f>IF(OR(C37="EIP",C37="Annuity"),IF('Deal maths'!AD37="Annual",12,IF('Deal maths'!AD37="Quarterly",3,6)),0)</f>
        <v/>
      </c>
      <c r="E37" s="109">
        <f>IFERROR(IF(D37=0,0,IF('Deal maths'!AE37&gt;0,IF('Deal maths'!AE37&gt;'Deal maths'!AA37,'Deal maths'!AA37,'Deal maths'!AE37),IF(IF(DAY('Deal maths'!AA37+1)=1,EOMONTH('Deal maths'!AA37,-(INT(((YEAR('Deal maths'!AA37)-YEAR(IF('Deal maths'!Z37&gt;0,'Deal maths'!Z37,DATE(1990,1,1))))*12+MONTH('Deal maths'!AA37)-MONTH(IF('Deal maths'!Z37&gt;0,'Deal maths'!Z37,DATE(1990,1,1))))/D37))*D37),EDATE('Deal maths'!AA37,-(INT(((YEAR('Deal maths'!AA37)-YEAR(IF('Deal maths'!Z37&gt;0,'Deal maths'!Z37,DATE(1990,1,1))))*12+MONTH('Deal maths'!AA37)-MONTH(IF('Deal maths'!Z37&gt;0,'Deal maths'!Z37,DATE(1990,1,1))))/D37))*D37))&gt;IF('Deal maths'!Z37&gt;0,'Deal maths'!Z37,DATE(1990,1,1)),IF(DAY('Deal maths'!AA37+1)=1,EOMONTH('Deal maths'!AA37,-(INT(((YEAR('Deal maths'!AA37)-YEAR(IF('Deal maths'!Z37&gt;0,'Deal maths'!Z37,DATE(1990,1,1))))*12+MONTH('Deal maths'!AA37)-MONTH(IF('Deal maths'!Z37&gt;0,'Deal maths'!Z37,DATE(1990,1,1))))/D37))*D37),EDATE('Deal maths'!AA37,-(INT(((YEAR('Deal maths'!AA37)-YEAR(IF('Deal maths'!Z37&gt;0,'Deal maths'!Z37,DATE(1990,1,1))))*12+MONTH('Deal maths'!AA37)-MONTH(IF('Deal maths'!Z37&gt;0,'Deal maths'!Z37,DATE(1990,1,1))))/D37))*D37)),IF(DAY('Deal maths'!AA37+1)=1,EOMONTH('Deal maths'!AA37,-(INT(((YEAR('Deal maths'!AA37)-YEAR(IF('Deal maths'!Z37&gt;0,'Deal maths'!Z37,DATE(1990,1,1))))*12+MONTH('Deal maths'!AA37)-MONTH(IF('Deal maths'!Z37&gt;0,'Deal maths'!Z37,DATE(1990,1,1))))/D37)-1)*D37),EDATE('Deal maths'!AA37,-(INT(((YEAR('Deal maths'!AA37)-YEAR(IF('Deal maths'!Z37&gt;0,'Deal maths'!Z37,DATE(1990,1,1))))*12+MONTH('Deal maths'!AA37)-MONTH(IF('Deal maths'!Z37&gt;0,'Deal maths'!Z37,DATE(1990,1,1))))/D37)-1)*D37))))),0)</f>
        <v/>
      </c>
      <c r="F37" s="110">
        <f>IF(D37=0,0,'Deal maths'!AB37*D37/12)</f>
        <v/>
      </c>
      <c r="G37" s="108">
        <f>N37+O37</f>
        <v/>
      </c>
      <c r="H37" s="108">
        <f>IFERROR(IF(OR(D37=0,AsAt&lt;E37),0,MIN(N37,INT(((YEAR(AsAt)-YEAR(E37))*12+MONTH(AsAt)-MONTH(E37)-(DAY(AsAt)&lt;MIN(R37,DAY(EOMONTH(AsAt,0)))))/D37)+1)+O37*(AsAt&gt;='Deal maths'!AA37)),0)</f>
        <v/>
      </c>
      <c r="I37" s="108">
        <f>G37-H37</f>
        <v/>
      </c>
      <c r="J37" s="111">
        <f>IF(AND(C37="EIP",I37&gt;0),'Deal maths'!Y37/I37,0)</f>
        <v/>
      </c>
      <c r="K37" s="111">
        <f>IF(AND(C37="Annuity",I37&gt;0),IF(F37&gt;0,'Deal maths'!Y37*F37/(1-(1+F37)^-I37),'Deal maths'!Y37/I37),0)</f>
        <v/>
      </c>
      <c r="L37" s="111">
        <f>IF('Deal maths'!Y37="",0,'Deal maths'!Y37)</f>
        <v/>
      </c>
      <c r="M37" s="112">
        <f>F37+(F37=0)</f>
        <v/>
      </c>
      <c r="N37" s="108">
        <f>IFERROR(IF(D37=0,0,INT(((YEAR('Deal maths'!AA37)-YEAR(E37))*12+MONTH('Deal maths'!AA37)-MONTH(E37)-(DAY('Deal maths'!AA37)&lt;MIN(R37,DAY(EOMONTH('Deal maths'!AA37,0)))))/D37)+1),0)</f>
        <v/>
      </c>
      <c r="O37" s="108">
        <f>IFERROR(IF(D37=0,0,IF(IF(DAY(E37+1)=1,EOMONTH(E37,(N37-1)*D37),EDATE(E37,(N37-1)*D37))='Deal maths'!AA37,0,1)),0)</f>
        <v/>
      </c>
      <c r="P37" s="113">
        <f>IF(B37=0,0,IFERROR(IF(C37="EIP",((I37-O37)*((IF(DAY(E37+1)=1,EOMONTH(E37,H37*D37),EDATE(E37,H37*D37))-AsAt)/365.25+(IF(DAY(E37+1)=1,EOMONTH(E37,(N37-1)*D37),EDATE(E37,(N37-1)*D37))-AsAt)/365.25)/2+O37*('Deal maths'!AA37-AsAt)/365.25)/I37,IF(C37="Annuity",IF(F37&gt;0,((K37-L37*F37)*((IF(DAY(E37+1)=1,EOMONTH(E37,H37*D37),EDATE(E37,H37*D37))-AsAt)/365.25*((1+F37)^(I37-O37)-1)/F37+IF((I37-O37)&gt;1,((IF(DAY(E37+1)=1,EOMONTH(E37,(N37-1)*D37),EDATE(E37,(N37-1)*D37))-AsAt)/365.25-(IF(DAY(E37+1)=1,EOMONTH(E37,H37*D37),EDATE(E37,H37*D37))-AsAt)/365.25)/((I37-O37)-1),0)*(1+F37)*(1-(I37-O37)*(1+F37)^((I37-O37)-1)+((I37-O37)-1)*(1+F37)^(I37-O37))/F37^2)+O37*(K37-L37*F37)*(1+F37)^(I37-1)*('Deal maths'!AA37-AsAt)/365.25)/L37,((I37-O37)*((IF(DAY(E37+1)=1,EOMONTH(E37,H37*D37),EDATE(E37,H37*D37))-AsAt)/365.25+(IF(DAY(E37+1)=1,EOMONTH(E37,(N37-1)*D37),EDATE(E37,(N37-1)*D37))-AsAt)/365.25)/2+O37*('Deal maths'!AA37-AsAt)/365.25)/I37),(S37-AsAt)/365.25)),0))</f>
        <v/>
      </c>
      <c r="Q37" s="109">
        <f>IF(B37=1,'Deal maths'!AA37+ROW()/1000000,"")</f>
        <v/>
      </c>
      <c r="R37" s="108">
        <f>IF(D37=0,0,IF(DAY(E37+1)=1,31,DAY(E37)))</f>
        <v/>
      </c>
      <c r="S37" s="109">
        <f>IF(AND('Deal maths'!V37="LOBO",'Deal maths'!AG37&gt;AsAt,'Deal maths'!AG37&lt;'Deal maths'!AA37),'Deal maths'!AG37,'Deal maths'!AA37)</f>
        <v/>
      </c>
      <c r="T37" s="108">
        <f>('Deal maths'!AA37&gt;AsAt)*('Deal maths'!Y37&gt;0)</f>
        <v/>
      </c>
    </row>
    <row r="38">
      <c r="A38" s="91">
        <f>IF('Deal maths'!V38="","",'Deal maths'!W38)</f>
        <v/>
      </c>
      <c r="B38" s="108">
        <f>('Deal maths'!AA38&gt;AsAt)*('Deal maths'!Y38&gt;0)*('Deal maths'!Z38&lt;=AsAt)</f>
        <v/>
      </c>
      <c r="C38" s="91">
        <f>IF('Deal maths'!V38="","",IF('Deal maths'!AC38="","Maturity",'Deal maths'!AC38))</f>
        <v/>
      </c>
      <c r="D38" s="108">
        <f>IF(OR(C38="EIP",C38="Annuity"),IF('Deal maths'!AD38="Annual",12,IF('Deal maths'!AD38="Quarterly",3,6)),0)</f>
        <v/>
      </c>
      <c r="E38" s="109">
        <f>IFERROR(IF(D38=0,0,IF('Deal maths'!AE38&gt;0,IF('Deal maths'!AE38&gt;'Deal maths'!AA38,'Deal maths'!AA38,'Deal maths'!AE38),IF(IF(DAY('Deal maths'!AA38+1)=1,EOMONTH('Deal maths'!AA38,-(INT(((YEAR('Deal maths'!AA38)-YEAR(IF('Deal maths'!Z38&gt;0,'Deal maths'!Z38,DATE(1990,1,1))))*12+MONTH('Deal maths'!AA38)-MONTH(IF('Deal maths'!Z38&gt;0,'Deal maths'!Z38,DATE(1990,1,1))))/D38))*D38),EDATE('Deal maths'!AA38,-(INT(((YEAR('Deal maths'!AA38)-YEAR(IF('Deal maths'!Z38&gt;0,'Deal maths'!Z38,DATE(1990,1,1))))*12+MONTH('Deal maths'!AA38)-MONTH(IF('Deal maths'!Z38&gt;0,'Deal maths'!Z38,DATE(1990,1,1))))/D38))*D38))&gt;IF('Deal maths'!Z38&gt;0,'Deal maths'!Z38,DATE(1990,1,1)),IF(DAY('Deal maths'!AA38+1)=1,EOMONTH('Deal maths'!AA38,-(INT(((YEAR('Deal maths'!AA38)-YEAR(IF('Deal maths'!Z38&gt;0,'Deal maths'!Z38,DATE(1990,1,1))))*12+MONTH('Deal maths'!AA38)-MONTH(IF('Deal maths'!Z38&gt;0,'Deal maths'!Z38,DATE(1990,1,1))))/D38))*D38),EDATE('Deal maths'!AA38,-(INT(((YEAR('Deal maths'!AA38)-YEAR(IF('Deal maths'!Z38&gt;0,'Deal maths'!Z38,DATE(1990,1,1))))*12+MONTH('Deal maths'!AA38)-MONTH(IF('Deal maths'!Z38&gt;0,'Deal maths'!Z38,DATE(1990,1,1))))/D38))*D38)),IF(DAY('Deal maths'!AA38+1)=1,EOMONTH('Deal maths'!AA38,-(INT(((YEAR('Deal maths'!AA38)-YEAR(IF('Deal maths'!Z38&gt;0,'Deal maths'!Z38,DATE(1990,1,1))))*12+MONTH('Deal maths'!AA38)-MONTH(IF('Deal maths'!Z38&gt;0,'Deal maths'!Z38,DATE(1990,1,1))))/D38)-1)*D38),EDATE('Deal maths'!AA38,-(INT(((YEAR('Deal maths'!AA38)-YEAR(IF('Deal maths'!Z38&gt;0,'Deal maths'!Z38,DATE(1990,1,1))))*12+MONTH('Deal maths'!AA38)-MONTH(IF('Deal maths'!Z38&gt;0,'Deal maths'!Z38,DATE(1990,1,1))))/D38)-1)*D38))))),0)</f>
        <v/>
      </c>
      <c r="F38" s="110">
        <f>IF(D38=0,0,'Deal maths'!AB38*D38/12)</f>
        <v/>
      </c>
      <c r="G38" s="108">
        <f>N38+O38</f>
        <v/>
      </c>
      <c r="H38" s="108">
        <f>IFERROR(IF(OR(D38=0,AsAt&lt;E38),0,MIN(N38,INT(((YEAR(AsAt)-YEAR(E38))*12+MONTH(AsAt)-MONTH(E38)-(DAY(AsAt)&lt;MIN(R38,DAY(EOMONTH(AsAt,0)))))/D38)+1)+O38*(AsAt&gt;='Deal maths'!AA38)),0)</f>
        <v/>
      </c>
      <c r="I38" s="108">
        <f>G38-H38</f>
        <v/>
      </c>
      <c r="J38" s="111">
        <f>IF(AND(C38="EIP",I38&gt;0),'Deal maths'!Y38/I38,0)</f>
        <v/>
      </c>
      <c r="K38" s="111">
        <f>IF(AND(C38="Annuity",I38&gt;0),IF(F38&gt;0,'Deal maths'!Y38*F38/(1-(1+F38)^-I38),'Deal maths'!Y38/I38),0)</f>
        <v/>
      </c>
      <c r="L38" s="111">
        <f>IF('Deal maths'!Y38="",0,'Deal maths'!Y38)</f>
        <v/>
      </c>
      <c r="M38" s="112">
        <f>F38+(F38=0)</f>
        <v/>
      </c>
      <c r="N38" s="108">
        <f>IFERROR(IF(D38=0,0,INT(((YEAR('Deal maths'!AA38)-YEAR(E38))*12+MONTH('Deal maths'!AA38)-MONTH(E38)-(DAY('Deal maths'!AA38)&lt;MIN(R38,DAY(EOMONTH('Deal maths'!AA38,0)))))/D38)+1),0)</f>
        <v/>
      </c>
      <c r="O38" s="108">
        <f>IFERROR(IF(D38=0,0,IF(IF(DAY(E38+1)=1,EOMONTH(E38,(N38-1)*D38),EDATE(E38,(N38-1)*D38))='Deal maths'!AA38,0,1)),0)</f>
        <v/>
      </c>
      <c r="P38" s="113">
        <f>IF(B38=0,0,IFERROR(IF(C38="EIP",((I38-O38)*((IF(DAY(E38+1)=1,EOMONTH(E38,H38*D38),EDATE(E38,H38*D38))-AsAt)/365.25+(IF(DAY(E38+1)=1,EOMONTH(E38,(N38-1)*D38),EDATE(E38,(N38-1)*D38))-AsAt)/365.25)/2+O38*('Deal maths'!AA38-AsAt)/365.25)/I38,IF(C38="Annuity",IF(F38&gt;0,((K38-L38*F38)*((IF(DAY(E38+1)=1,EOMONTH(E38,H38*D38),EDATE(E38,H38*D38))-AsAt)/365.25*((1+F38)^(I38-O38)-1)/F38+IF((I38-O38)&gt;1,((IF(DAY(E38+1)=1,EOMONTH(E38,(N38-1)*D38),EDATE(E38,(N38-1)*D38))-AsAt)/365.25-(IF(DAY(E38+1)=1,EOMONTH(E38,H38*D38),EDATE(E38,H38*D38))-AsAt)/365.25)/((I38-O38)-1),0)*(1+F38)*(1-(I38-O38)*(1+F38)^((I38-O38)-1)+((I38-O38)-1)*(1+F38)^(I38-O38))/F38^2)+O38*(K38-L38*F38)*(1+F38)^(I38-1)*('Deal maths'!AA38-AsAt)/365.25)/L38,((I38-O38)*((IF(DAY(E38+1)=1,EOMONTH(E38,H38*D38),EDATE(E38,H38*D38))-AsAt)/365.25+(IF(DAY(E38+1)=1,EOMONTH(E38,(N38-1)*D38),EDATE(E38,(N38-1)*D38))-AsAt)/365.25)/2+O38*('Deal maths'!AA38-AsAt)/365.25)/I38),(S38-AsAt)/365.25)),0))</f>
        <v/>
      </c>
      <c r="Q38" s="109">
        <f>IF(B38=1,'Deal maths'!AA38+ROW()/1000000,"")</f>
        <v/>
      </c>
      <c r="R38" s="108">
        <f>IF(D38=0,0,IF(DAY(E38+1)=1,31,DAY(E38)))</f>
        <v/>
      </c>
      <c r="S38" s="109">
        <f>IF(AND('Deal maths'!V38="LOBO",'Deal maths'!AG38&gt;AsAt,'Deal maths'!AG38&lt;'Deal maths'!AA38),'Deal maths'!AG38,'Deal maths'!AA38)</f>
        <v/>
      </c>
      <c r="T38" s="108">
        <f>('Deal maths'!AA38&gt;AsAt)*('Deal maths'!Y38&gt;0)</f>
        <v/>
      </c>
    </row>
    <row r="39">
      <c r="A39" s="91">
        <f>IF('Deal maths'!V39="","",'Deal maths'!W39)</f>
        <v/>
      </c>
      <c r="B39" s="108">
        <f>('Deal maths'!AA39&gt;AsAt)*('Deal maths'!Y39&gt;0)*('Deal maths'!Z39&lt;=AsAt)</f>
        <v/>
      </c>
      <c r="C39" s="91">
        <f>IF('Deal maths'!V39="","",IF('Deal maths'!AC39="","Maturity",'Deal maths'!AC39))</f>
        <v/>
      </c>
      <c r="D39" s="108">
        <f>IF(OR(C39="EIP",C39="Annuity"),IF('Deal maths'!AD39="Annual",12,IF('Deal maths'!AD39="Quarterly",3,6)),0)</f>
        <v/>
      </c>
      <c r="E39" s="109">
        <f>IFERROR(IF(D39=0,0,IF('Deal maths'!AE39&gt;0,IF('Deal maths'!AE39&gt;'Deal maths'!AA39,'Deal maths'!AA39,'Deal maths'!AE39),IF(IF(DAY('Deal maths'!AA39+1)=1,EOMONTH('Deal maths'!AA39,-(INT(((YEAR('Deal maths'!AA39)-YEAR(IF('Deal maths'!Z39&gt;0,'Deal maths'!Z39,DATE(1990,1,1))))*12+MONTH('Deal maths'!AA39)-MONTH(IF('Deal maths'!Z39&gt;0,'Deal maths'!Z39,DATE(1990,1,1))))/D39))*D39),EDATE('Deal maths'!AA39,-(INT(((YEAR('Deal maths'!AA39)-YEAR(IF('Deal maths'!Z39&gt;0,'Deal maths'!Z39,DATE(1990,1,1))))*12+MONTH('Deal maths'!AA39)-MONTH(IF('Deal maths'!Z39&gt;0,'Deal maths'!Z39,DATE(1990,1,1))))/D39))*D39))&gt;IF('Deal maths'!Z39&gt;0,'Deal maths'!Z39,DATE(1990,1,1)),IF(DAY('Deal maths'!AA39+1)=1,EOMONTH('Deal maths'!AA39,-(INT(((YEAR('Deal maths'!AA39)-YEAR(IF('Deal maths'!Z39&gt;0,'Deal maths'!Z39,DATE(1990,1,1))))*12+MONTH('Deal maths'!AA39)-MONTH(IF('Deal maths'!Z39&gt;0,'Deal maths'!Z39,DATE(1990,1,1))))/D39))*D39),EDATE('Deal maths'!AA39,-(INT(((YEAR('Deal maths'!AA39)-YEAR(IF('Deal maths'!Z39&gt;0,'Deal maths'!Z39,DATE(1990,1,1))))*12+MONTH('Deal maths'!AA39)-MONTH(IF('Deal maths'!Z39&gt;0,'Deal maths'!Z39,DATE(1990,1,1))))/D39))*D39)),IF(DAY('Deal maths'!AA39+1)=1,EOMONTH('Deal maths'!AA39,-(INT(((YEAR('Deal maths'!AA39)-YEAR(IF('Deal maths'!Z39&gt;0,'Deal maths'!Z39,DATE(1990,1,1))))*12+MONTH('Deal maths'!AA39)-MONTH(IF('Deal maths'!Z39&gt;0,'Deal maths'!Z39,DATE(1990,1,1))))/D39)-1)*D39),EDATE('Deal maths'!AA39,-(INT(((YEAR('Deal maths'!AA39)-YEAR(IF('Deal maths'!Z39&gt;0,'Deal maths'!Z39,DATE(1990,1,1))))*12+MONTH('Deal maths'!AA39)-MONTH(IF('Deal maths'!Z39&gt;0,'Deal maths'!Z39,DATE(1990,1,1))))/D39)-1)*D39))))),0)</f>
        <v/>
      </c>
      <c r="F39" s="110">
        <f>IF(D39=0,0,'Deal maths'!AB39*D39/12)</f>
        <v/>
      </c>
      <c r="G39" s="108">
        <f>N39+O39</f>
        <v/>
      </c>
      <c r="H39" s="108">
        <f>IFERROR(IF(OR(D39=0,AsAt&lt;E39),0,MIN(N39,INT(((YEAR(AsAt)-YEAR(E39))*12+MONTH(AsAt)-MONTH(E39)-(DAY(AsAt)&lt;MIN(R39,DAY(EOMONTH(AsAt,0)))))/D39)+1)+O39*(AsAt&gt;='Deal maths'!AA39)),0)</f>
        <v/>
      </c>
      <c r="I39" s="108">
        <f>G39-H39</f>
        <v/>
      </c>
      <c r="J39" s="111">
        <f>IF(AND(C39="EIP",I39&gt;0),'Deal maths'!Y39/I39,0)</f>
        <v/>
      </c>
      <c r="K39" s="111">
        <f>IF(AND(C39="Annuity",I39&gt;0),IF(F39&gt;0,'Deal maths'!Y39*F39/(1-(1+F39)^-I39),'Deal maths'!Y39/I39),0)</f>
        <v/>
      </c>
      <c r="L39" s="111">
        <f>IF('Deal maths'!Y39="",0,'Deal maths'!Y39)</f>
        <v/>
      </c>
      <c r="M39" s="112">
        <f>F39+(F39=0)</f>
        <v/>
      </c>
      <c r="N39" s="108">
        <f>IFERROR(IF(D39=0,0,INT(((YEAR('Deal maths'!AA39)-YEAR(E39))*12+MONTH('Deal maths'!AA39)-MONTH(E39)-(DAY('Deal maths'!AA39)&lt;MIN(R39,DAY(EOMONTH('Deal maths'!AA39,0)))))/D39)+1),0)</f>
        <v/>
      </c>
      <c r="O39" s="108">
        <f>IFERROR(IF(D39=0,0,IF(IF(DAY(E39+1)=1,EOMONTH(E39,(N39-1)*D39),EDATE(E39,(N39-1)*D39))='Deal maths'!AA39,0,1)),0)</f>
        <v/>
      </c>
      <c r="P39" s="113">
        <f>IF(B39=0,0,IFERROR(IF(C39="EIP",((I39-O39)*((IF(DAY(E39+1)=1,EOMONTH(E39,H39*D39),EDATE(E39,H39*D39))-AsAt)/365.25+(IF(DAY(E39+1)=1,EOMONTH(E39,(N39-1)*D39),EDATE(E39,(N39-1)*D39))-AsAt)/365.25)/2+O39*('Deal maths'!AA39-AsAt)/365.25)/I39,IF(C39="Annuity",IF(F39&gt;0,((K39-L39*F39)*((IF(DAY(E39+1)=1,EOMONTH(E39,H39*D39),EDATE(E39,H39*D39))-AsAt)/365.25*((1+F39)^(I39-O39)-1)/F39+IF((I39-O39)&gt;1,((IF(DAY(E39+1)=1,EOMONTH(E39,(N39-1)*D39),EDATE(E39,(N39-1)*D39))-AsAt)/365.25-(IF(DAY(E39+1)=1,EOMONTH(E39,H39*D39),EDATE(E39,H39*D39))-AsAt)/365.25)/((I39-O39)-1),0)*(1+F39)*(1-(I39-O39)*(1+F39)^((I39-O39)-1)+((I39-O39)-1)*(1+F39)^(I39-O39))/F39^2)+O39*(K39-L39*F39)*(1+F39)^(I39-1)*('Deal maths'!AA39-AsAt)/365.25)/L39,((I39-O39)*((IF(DAY(E39+1)=1,EOMONTH(E39,H39*D39),EDATE(E39,H39*D39))-AsAt)/365.25+(IF(DAY(E39+1)=1,EOMONTH(E39,(N39-1)*D39),EDATE(E39,(N39-1)*D39))-AsAt)/365.25)/2+O39*('Deal maths'!AA39-AsAt)/365.25)/I39),(S39-AsAt)/365.25)),0))</f>
        <v/>
      </c>
      <c r="Q39" s="109">
        <f>IF(B39=1,'Deal maths'!AA39+ROW()/1000000,"")</f>
        <v/>
      </c>
      <c r="R39" s="108">
        <f>IF(D39=0,0,IF(DAY(E39+1)=1,31,DAY(E39)))</f>
        <v/>
      </c>
      <c r="S39" s="109">
        <f>IF(AND('Deal maths'!V39="LOBO",'Deal maths'!AG39&gt;AsAt,'Deal maths'!AG39&lt;'Deal maths'!AA39),'Deal maths'!AG39,'Deal maths'!AA39)</f>
        <v/>
      </c>
      <c r="T39" s="108">
        <f>('Deal maths'!AA39&gt;AsAt)*('Deal maths'!Y39&gt;0)</f>
        <v/>
      </c>
    </row>
    <row r="40">
      <c r="A40" s="91">
        <f>IF('Deal maths'!V40="","",'Deal maths'!W40)</f>
        <v/>
      </c>
      <c r="B40" s="108">
        <f>('Deal maths'!AA40&gt;AsAt)*('Deal maths'!Y40&gt;0)*('Deal maths'!Z40&lt;=AsAt)</f>
        <v/>
      </c>
      <c r="C40" s="91">
        <f>IF('Deal maths'!V40="","",IF('Deal maths'!AC40="","Maturity",'Deal maths'!AC40))</f>
        <v/>
      </c>
      <c r="D40" s="108">
        <f>IF(OR(C40="EIP",C40="Annuity"),IF('Deal maths'!AD40="Annual",12,IF('Deal maths'!AD40="Quarterly",3,6)),0)</f>
        <v/>
      </c>
      <c r="E40" s="109">
        <f>IFERROR(IF(D40=0,0,IF('Deal maths'!AE40&gt;0,IF('Deal maths'!AE40&gt;'Deal maths'!AA40,'Deal maths'!AA40,'Deal maths'!AE40),IF(IF(DAY('Deal maths'!AA40+1)=1,EOMONTH('Deal maths'!AA40,-(INT(((YEAR('Deal maths'!AA40)-YEAR(IF('Deal maths'!Z40&gt;0,'Deal maths'!Z40,DATE(1990,1,1))))*12+MONTH('Deal maths'!AA40)-MONTH(IF('Deal maths'!Z40&gt;0,'Deal maths'!Z40,DATE(1990,1,1))))/D40))*D40),EDATE('Deal maths'!AA40,-(INT(((YEAR('Deal maths'!AA40)-YEAR(IF('Deal maths'!Z40&gt;0,'Deal maths'!Z40,DATE(1990,1,1))))*12+MONTH('Deal maths'!AA40)-MONTH(IF('Deal maths'!Z40&gt;0,'Deal maths'!Z40,DATE(1990,1,1))))/D40))*D40))&gt;IF('Deal maths'!Z40&gt;0,'Deal maths'!Z40,DATE(1990,1,1)),IF(DAY('Deal maths'!AA40+1)=1,EOMONTH('Deal maths'!AA40,-(INT(((YEAR('Deal maths'!AA40)-YEAR(IF('Deal maths'!Z40&gt;0,'Deal maths'!Z40,DATE(1990,1,1))))*12+MONTH('Deal maths'!AA40)-MONTH(IF('Deal maths'!Z40&gt;0,'Deal maths'!Z40,DATE(1990,1,1))))/D40))*D40),EDATE('Deal maths'!AA40,-(INT(((YEAR('Deal maths'!AA40)-YEAR(IF('Deal maths'!Z40&gt;0,'Deal maths'!Z40,DATE(1990,1,1))))*12+MONTH('Deal maths'!AA40)-MONTH(IF('Deal maths'!Z40&gt;0,'Deal maths'!Z40,DATE(1990,1,1))))/D40))*D40)),IF(DAY('Deal maths'!AA40+1)=1,EOMONTH('Deal maths'!AA40,-(INT(((YEAR('Deal maths'!AA40)-YEAR(IF('Deal maths'!Z40&gt;0,'Deal maths'!Z40,DATE(1990,1,1))))*12+MONTH('Deal maths'!AA40)-MONTH(IF('Deal maths'!Z40&gt;0,'Deal maths'!Z40,DATE(1990,1,1))))/D40)-1)*D40),EDATE('Deal maths'!AA40,-(INT(((YEAR('Deal maths'!AA40)-YEAR(IF('Deal maths'!Z40&gt;0,'Deal maths'!Z40,DATE(1990,1,1))))*12+MONTH('Deal maths'!AA40)-MONTH(IF('Deal maths'!Z40&gt;0,'Deal maths'!Z40,DATE(1990,1,1))))/D40)-1)*D40))))),0)</f>
        <v/>
      </c>
      <c r="F40" s="110">
        <f>IF(D40=0,0,'Deal maths'!AB40*D40/12)</f>
        <v/>
      </c>
      <c r="G40" s="108">
        <f>N40+O40</f>
        <v/>
      </c>
      <c r="H40" s="108">
        <f>IFERROR(IF(OR(D40=0,AsAt&lt;E40),0,MIN(N40,INT(((YEAR(AsAt)-YEAR(E40))*12+MONTH(AsAt)-MONTH(E40)-(DAY(AsAt)&lt;MIN(R40,DAY(EOMONTH(AsAt,0)))))/D40)+1)+O40*(AsAt&gt;='Deal maths'!AA40)),0)</f>
        <v/>
      </c>
      <c r="I40" s="108">
        <f>G40-H40</f>
        <v/>
      </c>
      <c r="J40" s="111">
        <f>IF(AND(C40="EIP",I40&gt;0),'Deal maths'!Y40/I40,0)</f>
        <v/>
      </c>
      <c r="K40" s="111">
        <f>IF(AND(C40="Annuity",I40&gt;0),IF(F40&gt;0,'Deal maths'!Y40*F40/(1-(1+F40)^-I40),'Deal maths'!Y40/I40),0)</f>
        <v/>
      </c>
      <c r="L40" s="111">
        <f>IF('Deal maths'!Y40="",0,'Deal maths'!Y40)</f>
        <v/>
      </c>
      <c r="M40" s="112">
        <f>F40+(F40=0)</f>
        <v/>
      </c>
      <c r="N40" s="108">
        <f>IFERROR(IF(D40=0,0,INT(((YEAR('Deal maths'!AA40)-YEAR(E40))*12+MONTH('Deal maths'!AA40)-MONTH(E40)-(DAY('Deal maths'!AA40)&lt;MIN(R40,DAY(EOMONTH('Deal maths'!AA40,0)))))/D40)+1),0)</f>
        <v/>
      </c>
      <c r="O40" s="108">
        <f>IFERROR(IF(D40=0,0,IF(IF(DAY(E40+1)=1,EOMONTH(E40,(N40-1)*D40),EDATE(E40,(N40-1)*D40))='Deal maths'!AA40,0,1)),0)</f>
        <v/>
      </c>
      <c r="P40" s="113">
        <f>IF(B40=0,0,IFERROR(IF(C40="EIP",((I40-O40)*((IF(DAY(E40+1)=1,EOMONTH(E40,H40*D40),EDATE(E40,H40*D40))-AsAt)/365.25+(IF(DAY(E40+1)=1,EOMONTH(E40,(N40-1)*D40),EDATE(E40,(N40-1)*D40))-AsAt)/365.25)/2+O40*('Deal maths'!AA40-AsAt)/365.25)/I40,IF(C40="Annuity",IF(F40&gt;0,((K40-L40*F40)*((IF(DAY(E40+1)=1,EOMONTH(E40,H40*D40),EDATE(E40,H40*D40))-AsAt)/365.25*((1+F40)^(I40-O40)-1)/F40+IF((I40-O40)&gt;1,((IF(DAY(E40+1)=1,EOMONTH(E40,(N40-1)*D40),EDATE(E40,(N40-1)*D40))-AsAt)/365.25-(IF(DAY(E40+1)=1,EOMONTH(E40,H40*D40),EDATE(E40,H40*D40))-AsAt)/365.25)/((I40-O40)-1),0)*(1+F40)*(1-(I40-O40)*(1+F40)^((I40-O40)-1)+((I40-O40)-1)*(1+F40)^(I40-O40))/F40^2)+O40*(K40-L40*F40)*(1+F40)^(I40-1)*('Deal maths'!AA40-AsAt)/365.25)/L40,((I40-O40)*((IF(DAY(E40+1)=1,EOMONTH(E40,H40*D40),EDATE(E40,H40*D40))-AsAt)/365.25+(IF(DAY(E40+1)=1,EOMONTH(E40,(N40-1)*D40),EDATE(E40,(N40-1)*D40))-AsAt)/365.25)/2+O40*('Deal maths'!AA40-AsAt)/365.25)/I40),(S40-AsAt)/365.25)),0))</f>
        <v/>
      </c>
      <c r="Q40" s="109">
        <f>IF(B40=1,'Deal maths'!AA40+ROW()/1000000,"")</f>
        <v/>
      </c>
      <c r="R40" s="108">
        <f>IF(D40=0,0,IF(DAY(E40+1)=1,31,DAY(E40)))</f>
        <v/>
      </c>
      <c r="S40" s="109">
        <f>IF(AND('Deal maths'!V40="LOBO",'Deal maths'!AG40&gt;AsAt,'Deal maths'!AG40&lt;'Deal maths'!AA40),'Deal maths'!AG40,'Deal maths'!AA40)</f>
        <v/>
      </c>
      <c r="T40" s="108">
        <f>('Deal maths'!AA40&gt;AsAt)*('Deal maths'!Y40&gt;0)</f>
        <v/>
      </c>
    </row>
    <row r="41">
      <c r="A41" s="91">
        <f>IF('Deal maths'!V41="","",'Deal maths'!W41)</f>
        <v/>
      </c>
      <c r="B41" s="108">
        <f>('Deal maths'!AA41&gt;AsAt)*('Deal maths'!Y41&gt;0)*('Deal maths'!Z41&lt;=AsAt)</f>
        <v/>
      </c>
      <c r="C41" s="91">
        <f>IF('Deal maths'!V41="","",IF('Deal maths'!AC41="","Maturity",'Deal maths'!AC41))</f>
        <v/>
      </c>
      <c r="D41" s="108">
        <f>IF(OR(C41="EIP",C41="Annuity"),IF('Deal maths'!AD41="Annual",12,IF('Deal maths'!AD41="Quarterly",3,6)),0)</f>
        <v/>
      </c>
      <c r="E41" s="109">
        <f>IFERROR(IF(D41=0,0,IF('Deal maths'!AE41&gt;0,IF('Deal maths'!AE41&gt;'Deal maths'!AA41,'Deal maths'!AA41,'Deal maths'!AE41),IF(IF(DAY('Deal maths'!AA41+1)=1,EOMONTH('Deal maths'!AA41,-(INT(((YEAR('Deal maths'!AA41)-YEAR(IF('Deal maths'!Z41&gt;0,'Deal maths'!Z41,DATE(1990,1,1))))*12+MONTH('Deal maths'!AA41)-MONTH(IF('Deal maths'!Z41&gt;0,'Deal maths'!Z41,DATE(1990,1,1))))/D41))*D41),EDATE('Deal maths'!AA41,-(INT(((YEAR('Deal maths'!AA41)-YEAR(IF('Deal maths'!Z41&gt;0,'Deal maths'!Z41,DATE(1990,1,1))))*12+MONTH('Deal maths'!AA41)-MONTH(IF('Deal maths'!Z41&gt;0,'Deal maths'!Z41,DATE(1990,1,1))))/D41))*D41))&gt;IF('Deal maths'!Z41&gt;0,'Deal maths'!Z41,DATE(1990,1,1)),IF(DAY('Deal maths'!AA41+1)=1,EOMONTH('Deal maths'!AA41,-(INT(((YEAR('Deal maths'!AA41)-YEAR(IF('Deal maths'!Z41&gt;0,'Deal maths'!Z41,DATE(1990,1,1))))*12+MONTH('Deal maths'!AA41)-MONTH(IF('Deal maths'!Z41&gt;0,'Deal maths'!Z41,DATE(1990,1,1))))/D41))*D41),EDATE('Deal maths'!AA41,-(INT(((YEAR('Deal maths'!AA41)-YEAR(IF('Deal maths'!Z41&gt;0,'Deal maths'!Z41,DATE(1990,1,1))))*12+MONTH('Deal maths'!AA41)-MONTH(IF('Deal maths'!Z41&gt;0,'Deal maths'!Z41,DATE(1990,1,1))))/D41))*D41)),IF(DAY('Deal maths'!AA41+1)=1,EOMONTH('Deal maths'!AA41,-(INT(((YEAR('Deal maths'!AA41)-YEAR(IF('Deal maths'!Z41&gt;0,'Deal maths'!Z41,DATE(1990,1,1))))*12+MONTH('Deal maths'!AA41)-MONTH(IF('Deal maths'!Z41&gt;0,'Deal maths'!Z41,DATE(1990,1,1))))/D41)-1)*D41),EDATE('Deal maths'!AA41,-(INT(((YEAR('Deal maths'!AA41)-YEAR(IF('Deal maths'!Z41&gt;0,'Deal maths'!Z41,DATE(1990,1,1))))*12+MONTH('Deal maths'!AA41)-MONTH(IF('Deal maths'!Z41&gt;0,'Deal maths'!Z41,DATE(1990,1,1))))/D41)-1)*D41))))),0)</f>
        <v/>
      </c>
      <c r="F41" s="110">
        <f>IF(D41=0,0,'Deal maths'!AB41*D41/12)</f>
        <v/>
      </c>
      <c r="G41" s="108">
        <f>N41+O41</f>
        <v/>
      </c>
      <c r="H41" s="108">
        <f>IFERROR(IF(OR(D41=0,AsAt&lt;E41),0,MIN(N41,INT(((YEAR(AsAt)-YEAR(E41))*12+MONTH(AsAt)-MONTH(E41)-(DAY(AsAt)&lt;MIN(R41,DAY(EOMONTH(AsAt,0)))))/D41)+1)+O41*(AsAt&gt;='Deal maths'!AA41)),0)</f>
        <v/>
      </c>
      <c r="I41" s="108">
        <f>G41-H41</f>
        <v/>
      </c>
      <c r="J41" s="111">
        <f>IF(AND(C41="EIP",I41&gt;0),'Deal maths'!Y41/I41,0)</f>
        <v/>
      </c>
      <c r="K41" s="111">
        <f>IF(AND(C41="Annuity",I41&gt;0),IF(F41&gt;0,'Deal maths'!Y41*F41/(1-(1+F41)^-I41),'Deal maths'!Y41/I41),0)</f>
        <v/>
      </c>
      <c r="L41" s="111">
        <f>IF('Deal maths'!Y41="",0,'Deal maths'!Y41)</f>
        <v/>
      </c>
      <c r="M41" s="112">
        <f>F41+(F41=0)</f>
        <v/>
      </c>
      <c r="N41" s="108">
        <f>IFERROR(IF(D41=0,0,INT(((YEAR('Deal maths'!AA41)-YEAR(E41))*12+MONTH('Deal maths'!AA41)-MONTH(E41)-(DAY('Deal maths'!AA41)&lt;MIN(R41,DAY(EOMONTH('Deal maths'!AA41,0)))))/D41)+1),0)</f>
        <v/>
      </c>
      <c r="O41" s="108">
        <f>IFERROR(IF(D41=0,0,IF(IF(DAY(E41+1)=1,EOMONTH(E41,(N41-1)*D41),EDATE(E41,(N41-1)*D41))='Deal maths'!AA41,0,1)),0)</f>
        <v/>
      </c>
      <c r="P41" s="113">
        <f>IF(B41=0,0,IFERROR(IF(C41="EIP",((I41-O41)*((IF(DAY(E41+1)=1,EOMONTH(E41,H41*D41),EDATE(E41,H41*D41))-AsAt)/365.25+(IF(DAY(E41+1)=1,EOMONTH(E41,(N41-1)*D41),EDATE(E41,(N41-1)*D41))-AsAt)/365.25)/2+O41*('Deal maths'!AA41-AsAt)/365.25)/I41,IF(C41="Annuity",IF(F41&gt;0,((K41-L41*F41)*((IF(DAY(E41+1)=1,EOMONTH(E41,H41*D41),EDATE(E41,H41*D41))-AsAt)/365.25*((1+F41)^(I41-O41)-1)/F41+IF((I41-O41)&gt;1,((IF(DAY(E41+1)=1,EOMONTH(E41,(N41-1)*D41),EDATE(E41,(N41-1)*D41))-AsAt)/365.25-(IF(DAY(E41+1)=1,EOMONTH(E41,H41*D41),EDATE(E41,H41*D41))-AsAt)/365.25)/((I41-O41)-1),0)*(1+F41)*(1-(I41-O41)*(1+F41)^((I41-O41)-1)+((I41-O41)-1)*(1+F41)^(I41-O41))/F41^2)+O41*(K41-L41*F41)*(1+F41)^(I41-1)*('Deal maths'!AA41-AsAt)/365.25)/L41,((I41-O41)*((IF(DAY(E41+1)=1,EOMONTH(E41,H41*D41),EDATE(E41,H41*D41))-AsAt)/365.25+(IF(DAY(E41+1)=1,EOMONTH(E41,(N41-1)*D41),EDATE(E41,(N41-1)*D41))-AsAt)/365.25)/2+O41*('Deal maths'!AA41-AsAt)/365.25)/I41),(S41-AsAt)/365.25)),0))</f>
        <v/>
      </c>
      <c r="Q41" s="109">
        <f>IF(B41=1,'Deal maths'!AA41+ROW()/1000000,"")</f>
        <v/>
      </c>
      <c r="R41" s="108">
        <f>IF(D41=0,0,IF(DAY(E41+1)=1,31,DAY(E41)))</f>
        <v/>
      </c>
      <c r="S41" s="109">
        <f>IF(AND('Deal maths'!V41="LOBO",'Deal maths'!AG41&gt;AsAt,'Deal maths'!AG41&lt;'Deal maths'!AA41),'Deal maths'!AG41,'Deal maths'!AA41)</f>
        <v/>
      </c>
      <c r="T41" s="108">
        <f>('Deal maths'!AA41&gt;AsAt)*('Deal maths'!Y41&gt;0)</f>
        <v/>
      </c>
    </row>
    <row r="42">
      <c r="A42" s="91">
        <f>IF('Deal maths'!V42="","",'Deal maths'!W42)</f>
        <v/>
      </c>
      <c r="B42" s="108">
        <f>('Deal maths'!AA42&gt;AsAt)*('Deal maths'!Y42&gt;0)*('Deal maths'!Z42&lt;=AsAt)</f>
        <v/>
      </c>
      <c r="C42" s="91">
        <f>IF('Deal maths'!V42="","",IF('Deal maths'!AC42="","Maturity",'Deal maths'!AC42))</f>
        <v/>
      </c>
      <c r="D42" s="108">
        <f>IF(OR(C42="EIP",C42="Annuity"),IF('Deal maths'!AD42="Annual",12,IF('Deal maths'!AD42="Quarterly",3,6)),0)</f>
        <v/>
      </c>
      <c r="E42" s="109">
        <f>IFERROR(IF(D42=0,0,IF('Deal maths'!AE42&gt;0,IF('Deal maths'!AE42&gt;'Deal maths'!AA42,'Deal maths'!AA42,'Deal maths'!AE42),IF(IF(DAY('Deal maths'!AA42+1)=1,EOMONTH('Deal maths'!AA42,-(INT(((YEAR('Deal maths'!AA42)-YEAR(IF('Deal maths'!Z42&gt;0,'Deal maths'!Z42,DATE(1990,1,1))))*12+MONTH('Deal maths'!AA42)-MONTH(IF('Deal maths'!Z42&gt;0,'Deal maths'!Z42,DATE(1990,1,1))))/D42))*D42),EDATE('Deal maths'!AA42,-(INT(((YEAR('Deal maths'!AA42)-YEAR(IF('Deal maths'!Z42&gt;0,'Deal maths'!Z42,DATE(1990,1,1))))*12+MONTH('Deal maths'!AA42)-MONTH(IF('Deal maths'!Z42&gt;0,'Deal maths'!Z42,DATE(1990,1,1))))/D42))*D42))&gt;IF('Deal maths'!Z42&gt;0,'Deal maths'!Z42,DATE(1990,1,1)),IF(DAY('Deal maths'!AA42+1)=1,EOMONTH('Deal maths'!AA42,-(INT(((YEAR('Deal maths'!AA42)-YEAR(IF('Deal maths'!Z42&gt;0,'Deal maths'!Z42,DATE(1990,1,1))))*12+MONTH('Deal maths'!AA42)-MONTH(IF('Deal maths'!Z42&gt;0,'Deal maths'!Z42,DATE(1990,1,1))))/D42))*D42),EDATE('Deal maths'!AA42,-(INT(((YEAR('Deal maths'!AA42)-YEAR(IF('Deal maths'!Z42&gt;0,'Deal maths'!Z42,DATE(1990,1,1))))*12+MONTH('Deal maths'!AA42)-MONTH(IF('Deal maths'!Z42&gt;0,'Deal maths'!Z42,DATE(1990,1,1))))/D42))*D42)),IF(DAY('Deal maths'!AA42+1)=1,EOMONTH('Deal maths'!AA42,-(INT(((YEAR('Deal maths'!AA42)-YEAR(IF('Deal maths'!Z42&gt;0,'Deal maths'!Z42,DATE(1990,1,1))))*12+MONTH('Deal maths'!AA42)-MONTH(IF('Deal maths'!Z42&gt;0,'Deal maths'!Z42,DATE(1990,1,1))))/D42)-1)*D42),EDATE('Deal maths'!AA42,-(INT(((YEAR('Deal maths'!AA42)-YEAR(IF('Deal maths'!Z42&gt;0,'Deal maths'!Z42,DATE(1990,1,1))))*12+MONTH('Deal maths'!AA42)-MONTH(IF('Deal maths'!Z42&gt;0,'Deal maths'!Z42,DATE(1990,1,1))))/D42)-1)*D42))))),0)</f>
        <v/>
      </c>
      <c r="F42" s="110">
        <f>IF(D42=0,0,'Deal maths'!AB42*D42/12)</f>
        <v/>
      </c>
      <c r="G42" s="108">
        <f>N42+O42</f>
        <v/>
      </c>
      <c r="H42" s="108">
        <f>IFERROR(IF(OR(D42=0,AsAt&lt;E42),0,MIN(N42,INT(((YEAR(AsAt)-YEAR(E42))*12+MONTH(AsAt)-MONTH(E42)-(DAY(AsAt)&lt;MIN(R42,DAY(EOMONTH(AsAt,0)))))/D42)+1)+O42*(AsAt&gt;='Deal maths'!AA42)),0)</f>
        <v/>
      </c>
      <c r="I42" s="108">
        <f>G42-H42</f>
        <v/>
      </c>
      <c r="J42" s="111">
        <f>IF(AND(C42="EIP",I42&gt;0),'Deal maths'!Y42/I42,0)</f>
        <v/>
      </c>
      <c r="K42" s="111">
        <f>IF(AND(C42="Annuity",I42&gt;0),IF(F42&gt;0,'Deal maths'!Y42*F42/(1-(1+F42)^-I42),'Deal maths'!Y42/I42),0)</f>
        <v/>
      </c>
      <c r="L42" s="111">
        <f>IF('Deal maths'!Y42="",0,'Deal maths'!Y42)</f>
        <v/>
      </c>
      <c r="M42" s="112">
        <f>F42+(F42=0)</f>
        <v/>
      </c>
      <c r="N42" s="108">
        <f>IFERROR(IF(D42=0,0,INT(((YEAR('Deal maths'!AA42)-YEAR(E42))*12+MONTH('Deal maths'!AA42)-MONTH(E42)-(DAY('Deal maths'!AA42)&lt;MIN(R42,DAY(EOMONTH('Deal maths'!AA42,0)))))/D42)+1),0)</f>
        <v/>
      </c>
      <c r="O42" s="108">
        <f>IFERROR(IF(D42=0,0,IF(IF(DAY(E42+1)=1,EOMONTH(E42,(N42-1)*D42),EDATE(E42,(N42-1)*D42))='Deal maths'!AA42,0,1)),0)</f>
        <v/>
      </c>
      <c r="P42" s="113">
        <f>IF(B42=0,0,IFERROR(IF(C42="EIP",((I42-O42)*((IF(DAY(E42+1)=1,EOMONTH(E42,H42*D42),EDATE(E42,H42*D42))-AsAt)/365.25+(IF(DAY(E42+1)=1,EOMONTH(E42,(N42-1)*D42),EDATE(E42,(N42-1)*D42))-AsAt)/365.25)/2+O42*('Deal maths'!AA42-AsAt)/365.25)/I42,IF(C42="Annuity",IF(F42&gt;0,((K42-L42*F42)*((IF(DAY(E42+1)=1,EOMONTH(E42,H42*D42),EDATE(E42,H42*D42))-AsAt)/365.25*((1+F42)^(I42-O42)-1)/F42+IF((I42-O42)&gt;1,((IF(DAY(E42+1)=1,EOMONTH(E42,(N42-1)*D42),EDATE(E42,(N42-1)*D42))-AsAt)/365.25-(IF(DAY(E42+1)=1,EOMONTH(E42,H42*D42),EDATE(E42,H42*D42))-AsAt)/365.25)/((I42-O42)-1),0)*(1+F42)*(1-(I42-O42)*(1+F42)^((I42-O42)-1)+((I42-O42)-1)*(1+F42)^(I42-O42))/F42^2)+O42*(K42-L42*F42)*(1+F42)^(I42-1)*('Deal maths'!AA42-AsAt)/365.25)/L42,((I42-O42)*((IF(DAY(E42+1)=1,EOMONTH(E42,H42*D42),EDATE(E42,H42*D42))-AsAt)/365.25+(IF(DAY(E42+1)=1,EOMONTH(E42,(N42-1)*D42),EDATE(E42,(N42-1)*D42))-AsAt)/365.25)/2+O42*('Deal maths'!AA42-AsAt)/365.25)/I42),(S42-AsAt)/365.25)),0))</f>
        <v/>
      </c>
      <c r="Q42" s="109">
        <f>IF(B42=1,'Deal maths'!AA42+ROW()/1000000,"")</f>
        <v/>
      </c>
      <c r="R42" s="108">
        <f>IF(D42=0,0,IF(DAY(E42+1)=1,31,DAY(E42)))</f>
        <v/>
      </c>
      <c r="S42" s="109">
        <f>IF(AND('Deal maths'!V42="LOBO",'Deal maths'!AG42&gt;AsAt,'Deal maths'!AG42&lt;'Deal maths'!AA42),'Deal maths'!AG42,'Deal maths'!AA42)</f>
        <v/>
      </c>
      <c r="T42" s="108">
        <f>('Deal maths'!AA42&gt;AsAt)*('Deal maths'!Y42&gt;0)</f>
        <v/>
      </c>
    </row>
    <row r="43">
      <c r="A43" s="91">
        <f>IF('Deal maths'!V43="","",'Deal maths'!W43)</f>
        <v/>
      </c>
      <c r="B43" s="108">
        <f>('Deal maths'!AA43&gt;AsAt)*('Deal maths'!Y43&gt;0)*('Deal maths'!Z43&lt;=AsAt)</f>
        <v/>
      </c>
      <c r="C43" s="91">
        <f>IF('Deal maths'!V43="","",IF('Deal maths'!AC43="","Maturity",'Deal maths'!AC43))</f>
        <v/>
      </c>
      <c r="D43" s="108">
        <f>IF(OR(C43="EIP",C43="Annuity"),IF('Deal maths'!AD43="Annual",12,IF('Deal maths'!AD43="Quarterly",3,6)),0)</f>
        <v/>
      </c>
      <c r="E43" s="109">
        <f>IFERROR(IF(D43=0,0,IF('Deal maths'!AE43&gt;0,IF('Deal maths'!AE43&gt;'Deal maths'!AA43,'Deal maths'!AA43,'Deal maths'!AE43),IF(IF(DAY('Deal maths'!AA43+1)=1,EOMONTH('Deal maths'!AA43,-(INT(((YEAR('Deal maths'!AA43)-YEAR(IF('Deal maths'!Z43&gt;0,'Deal maths'!Z43,DATE(1990,1,1))))*12+MONTH('Deal maths'!AA43)-MONTH(IF('Deal maths'!Z43&gt;0,'Deal maths'!Z43,DATE(1990,1,1))))/D43))*D43),EDATE('Deal maths'!AA43,-(INT(((YEAR('Deal maths'!AA43)-YEAR(IF('Deal maths'!Z43&gt;0,'Deal maths'!Z43,DATE(1990,1,1))))*12+MONTH('Deal maths'!AA43)-MONTH(IF('Deal maths'!Z43&gt;0,'Deal maths'!Z43,DATE(1990,1,1))))/D43))*D43))&gt;IF('Deal maths'!Z43&gt;0,'Deal maths'!Z43,DATE(1990,1,1)),IF(DAY('Deal maths'!AA43+1)=1,EOMONTH('Deal maths'!AA43,-(INT(((YEAR('Deal maths'!AA43)-YEAR(IF('Deal maths'!Z43&gt;0,'Deal maths'!Z43,DATE(1990,1,1))))*12+MONTH('Deal maths'!AA43)-MONTH(IF('Deal maths'!Z43&gt;0,'Deal maths'!Z43,DATE(1990,1,1))))/D43))*D43),EDATE('Deal maths'!AA43,-(INT(((YEAR('Deal maths'!AA43)-YEAR(IF('Deal maths'!Z43&gt;0,'Deal maths'!Z43,DATE(1990,1,1))))*12+MONTH('Deal maths'!AA43)-MONTH(IF('Deal maths'!Z43&gt;0,'Deal maths'!Z43,DATE(1990,1,1))))/D43))*D43)),IF(DAY('Deal maths'!AA43+1)=1,EOMONTH('Deal maths'!AA43,-(INT(((YEAR('Deal maths'!AA43)-YEAR(IF('Deal maths'!Z43&gt;0,'Deal maths'!Z43,DATE(1990,1,1))))*12+MONTH('Deal maths'!AA43)-MONTH(IF('Deal maths'!Z43&gt;0,'Deal maths'!Z43,DATE(1990,1,1))))/D43)-1)*D43),EDATE('Deal maths'!AA43,-(INT(((YEAR('Deal maths'!AA43)-YEAR(IF('Deal maths'!Z43&gt;0,'Deal maths'!Z43,DATE(1990,1,1))))*12+MONTH('Deal maths'!AA43)-MONTH(IF('Deal maths'!Z43&gt;0,'Deal maths'!Z43,DATE(1990,1,1))))/D43)-1)*D43))))),0)</f>
        <v/>
      </c>
      <c r="F43" s="110">
        <f>IF(D43=0,0,'Deal maths'!AB43*D43/12)</f>
        <v/>
      </c>
      <c r="G43" s="108">
        <f>N43+O43</f>
        <v/>
      </c>
      <c r="H43" s="108">
        <f>IFERROR(IF(OR(D43=0,AsAt&lt;E43),0,MIN(N43,INT(((YEAR(AsAt)-YEAR(E43))*12+MONTH(AsAt)-MONTH(E43)-(DAY(AsAt)&lt;MIN(R43,DAY(EOMONTH(AsAt,0)))))/D43)+1)+O43*(AsAt&gt;='Deal maths'!AA43)),0)</f>
        <v/>
      </c>
      <c r="I43" s="108">
        <f>G43-H43</f>
        <v/>
      </c>
      <c r="J43" s="111">
        <f>IF(AND(C43="EIP",I43&gt;0),'Deal maths'!Y43/I43,0)</f>
        <v/>
      </c>
      <c r="K43" s="111">
        <f>IF(AND(C43="Annuity",I43&gt;0),IF(F43&gt;0,'Deal maths'!Y43*F43/(1-(1+F43)^-I43),'Deal maths'!Y43/I43),0)</f>
        <v/>
      </c>
      <c r="L43" s="111">
        <f>IF('Deal maths'!Y43="",0,'Deal maths'!Y43)</f>
        <v/>
      </c>
      <c r="M43" s="112">
        <f>F43+(F43=0)</f>
        <v/>
      </c>
      <c r="N43" s="108">
        <f>IFERROR(IF(D43=0,0,INT(((YEAR('Deal maths'!AA43)-YEAR(E43))*12+MONTH('Deal maths'!AA43)-MONTH(E43)-(DAY('Deal maths'!AA43)&lt;MIN(R43,DAY(EOMONTH('Deal maths'!AA43,0)))))/D43)+1),0)</f>
        <v/>
      </c>
      <c r="O43" s="108">
        <f>IFERROR(IF(D43=0,0,IF(IF(DAY(E43+1)=1,EOMONTH(E43,(N43-1)*D43),EDATE(E43,(N43-1)*D43))='Deal maths'!AA43,0,1)),0)</f>
        <v/>
      </c>
      <c r="P43" s="113">
        <f>IF(B43=0,0,IFERROR(IF(C43="EIP",((I43-O43)*((IF(DAY(E43+1)=1,EOMONTH(E43,H43*D43),EDATE(E43,H43*D43))-AsAt)/365.25+(IF(DAY(E43+1)=1,EOMONTH(E43,(N43-1)*D43),EDATE(E43,(N43-1)*D43))-AsAt)/365.25)/2+O43*('Deal maths'!AA43-AsAt)/365.25)/I43,IF(C43="Annuity",IF(F43&gt;0,((K43-L43*F43)*((IF(DAY(E43+1)=1,EOMONTH(E43,H43*D43),EDATE(E43,H43*D43))-AsAt)/365.25*((1+F43)^(I43-O43)-1)/F43+IF((I43-O43)&gt;1,((IF(DAY(E43+1)=1,EOMONTH(E43,(N43-1)*D43),EDATE(E43,(N43-1)*D43))-AsAt)/365.25-(IF(DAY(E43+1)=1,EOMONTH(E43,H43*D43),EDATE(E43,H43*D43))-AsAt)/365.25)/((I43-O43)-1),0)*(1+F43)*(1-(I43-O43)*(1+F43)^((I43-O43)-1)+((I43-O43)-1)*(1+F43)^(I43-O43))/F43^2)+O43*(K43-L43*F43)*(1+F43)^(I43-1)*('Deal maths'!AA43-AsAt)/365.25)/L43,((I43-O43)*((IF(DAY(E43+1)=1,EOMONTH(E43,H43*D43),EDATE(E43,H43*D43))-AsAt)/365.25+(IF(DAY(E43+1)=1,EOMONTH(E43,(N43-1)*D43),EDATE(E43,(N43-1)*D43))-AsAt)/365.25)/2+O43*('Deal maths'!AA43-AsAt)/365.25)/I43),(S43-AsAt)/365.25)),0))</f>
        <v/>
      </c>
      <c r="Q43" s="109">
        <f>IF(B43=1,'Deal maths'!AA43+ROW()/1000000,"")</f>
        <v/>
      </c>
      <c r="R43" s="108">
        <f>IF(D43=0,0,IF(DAY(E43+1)=1,31,DAY(E43)))</f>
        <v/>
      </c>
      <c r="S43" s="109">
        <f>IF(AND('Deal maths'!V43="LOBO",'Deal maths'!AG43&gt;AsAt,'Deal maths'!AG43&lt;'Deal maths'!AA43),'Deal maths'!AG43,'Deal maths'!AA43)</f>
        <v/>
      </c>
      <c r="T43" s="108">
        <f>('Deal maths'!AA43&gt;AsAt)*('Deal maths'!Y43&gt;0)</f>
        <v/>
      </c>
    </row>
    <row r="44">
      <c r="A44" s="91">
        <f>IF('Deal maths'!V44="","",'Deal maths'!W44)</f>
        <v/>
      </c>
      <c r="B44" s="108">
        <f>('Deal maths'!AA44&gt;AsAt)*('Deal maths'!Y44&gt;0)*('Deal maths'!Z44&lt;=AsAt)</f>
        <v/>
      </c>
      <c r="C44" s="91">
        <f>IF('Deal maths'!V44="","",IF('Deal maths'!AC44="","Maturity",'Deal maths'!AC44))</f>
        <v/>
      </c>
      <c r="D44" s="108">
        <f>IF(OR(C44="EIP",C44="Annuity"),IF('Deal maths'!AD44="Annual",12,IF('Deal maths'!AD44="Quarterly",3,6)),0)</f>
        <v/>
      </c>
      <c r="E44" s="109">
        <f>IFERROR(IF(D44=0,0,IF('Deal maths'!AE44&gt;0,IF('Deal maths'!AE44&gt;'Deal maths'!AA44,'Deal maths'!AA44,'Deal maths'!AE44),IF(IF(DAY('Deal maths'!AA44+1)=1,EOMONTH('Deal maths'!AA44,-(INT(((YEAR('Deal maths'!AA44)-YEAR(IF('Deal maths'!Z44&gt;0,'Deal maths'!Z44,DATE(1990,1,1))))*12+MONTH('Deal maths'!AA44)-MONTH(IF('Deal maths'!Z44&gt;0,'Deal maths'!Z44,DATE(1990,1,1))))/D44))*D44),EDATE('Deal maths'!AA44,-(INT(((YEAR('Deal maths'!AA44)-YEAR(IF('Deal maths'!Z44&gt;0,'Deal maths'!Z44,DATE(1990,1,1))))*12+MONTH('Deal maths'!AA44)-MONTH(IF('Deal maths'!Z44&gt;0,'Deal maths'!Z44,DATE(1990,1,1))))/D44))*D44))&gt;IF('Deal maths'!Z44&gt;0,'Deal maths'!Z44,DATE(1990,1,1)),IF(DAY('Deal maths'!AA44+1)=1,EOMONTH('Deal maths'!AA44,-(INT(((YEAR('Deal maths'!AA44)-YEAR(IF('Deal maths'!Z44&gt;0,'Deal maths'!Z44,DATE(1990,1,1))))*12+MONTH('Deal maths'!AA44)-MONTH(IF('Deal maths'!Z44&gt;0,'Deal maths'!Z44,DATE(1990,1,1))))/D44))*D44),EDATE('Deal maths'!AA44,-(INT(((YEAR('Deal maths'!AA44)-YEAR(IF('Deal maths'!Z44&gt;0,'Deal maths'!Z44,DATE(1990,1,1))))*12+MONTH('Deal maths'!AA44)-MONTH(IF('Deal maths'!Z44&gt;0,'Deal maths'!Z44,DATE(1990,1,1))))/D44))*D44)),IF(DAY('Deal maths'!AA44+1)=1,EOMONTH('Deal maths'!AA44,-(INT(((YEAR('Deal maths'!AA44)-YEAR(IF('Deal maths'!Z44&gt;0,'Deal maths'!Z44,DATE(1990,1,1))))*12+MONTH('Deal maths'!AA44)-MONTH(IF('Deal maths'!Z44&gt;0,'Deal maths'!Z44,DATE(1990,1,1))))/D44)-1)*D44),EDATE('Deal maths'!AA44,-(INT(((YEAR('Deal maths'!AA44)-YEAR(IF('Deal maths'!Z44&gt;0,'Deal maths'!Z44,DATE(1990,1,1))))*12+MONTH('Deal maths'!AA44)-MONTH(IF('Deal maths'!Z44&gt;0,'Deal maths'!Z44,DATE(1990,1,1))))/D44)-1)*D44))))),0)</f>
        <v/>
      </c>
      <c r="F44" s="110">
        <f>IF(D44=0,0,'Deal maths'!AB44*D44/12)</f>
        <v/>
      </c>
      <c r="G44" s="108">
        <f>N44+O44</f>
        <v/>
      </c>
      <c r="H44" s="108">
        <f>IFERROR(IF(OR(D44=0,AsAt&lt;E44),0,MIN(N44,INT(((YEAR(AsAt)-YEAR(E44))*12+MONTH(AsAt)-MONTH(E44)-(DAY(AsAt)&lt;MIN(R44,DAY(EOMONTH(AsAt,0)))))/D44)+1)+O44*(AsAt&gt;='Deal maths'!AA44)),0)</f>
        <v/>
      </c>
      <c r="I44" s="108">
        <f>G44-H44</f>
        <v/>
      </c>
      <c r="J44" s="111">
        <f>IF(AND(C44="EIP",I44&gt;0),'Deal maths'!Y44/I44,0)</f>
        <v/>
      </c>
      <c r="K44" s="111">
        <f>IF(AND(C44="Annuity",I44&gt;0),IF(F44&gt;0,'Deal maths'!Y44*F44/(1-(1+F44)^-I44),'Deal maths'!Y44/I44),0)</f>
        <v/>
      </c>
      <c r="L44" s="111">
        <f>IF('Deal maths'!Y44="",0,'Deal maths'!Y44)</f>
        <v/>
      </c>
      <c r="M44" s="112">
        <f>F44+(F44=0)</f>
        <v/>
      </c>
      <c r="N44" s="108">
        <f>IFERROR(IF(D44=0,0,INT(((YEAR('Deal maths'!AA44)-YEAR(E44))*12+MONTH('Deal maths'!AA44)-MONTH(E44)-(DAY('Deal maths'!AA44)&lt;MIN(R44,DAY(EOMONTH('Deal maths'!AA44,0)))))/D44)+1),0)</f>
        <v/>
      </c>
      <c r="O44" s="108">
        <f>IFERROR(IF(D44=0,0,IF(IF(DAY(E44+1)=1,EOMONTH(E44,(N44-1)*D44),EDATE(E44,(N44-1)*D44))='Deal maths'!AA44,0,1)),0)</f>
        <v/>
      </c>
      <c r="P44" s="113">
        <f>IF(B44=0,0,IFERROR(IF(C44="EIP",((I44-O44)*((IF(DAY(E44+1)=1,EOMONTH(E44,H44*D44),EDATE(E44,H44*D44))-AsAt)/365.25+(IF(DAY(E44+1)=1,EOMONTH(E44,(N44-1)*D44),EDATE(E44,(N44-1)*D44))-AsAt)/365.25)/2+O44*('Deal maths'!AA44-AsAt)/365.25)/I44,IF(C44="Annuity",IF(F44&gt;0,((K44-L44*F44)*((IF(DAY(E44+1)=1,EOMONTH(E44,H44*D44),EDATE(E44,H44*D44))-AsAt)/365.25*((1+F44)^(I44-O44)-1)/F44+IF((I44-O44)&gt;1,((IF(DAY(E44+1)=1,EOMONTH(E44,(N44-1)*D44),EDATE(E44,(N44-1)*D44))-AsAt)/365.25-(IF(DAY(E44+1)=1,EOMONTH(E44,H44*D44),EDATE(E44,H44*D44))-AsAt)/365.25)/((I44-O44)-1),0)*(1+F44)*(1-(I44-O44)*(1+F44)^((I44-O44)-1)+((I44-O44)-1)*(1+F44)^(I44-O44))/F44^2)+O44*(K44-L44*F44)*(1+F44)^(I44-1)*('Deal maths'!AA44-AsAt)/365.25)/L44,((I44-O44)*((IF(DAY(E44+1)=1,EOMONTH(E44,H44*D44),EDATE(E44,H44*D44))-AsAt)/365.25+(IF(DAY(E44+1)=1,EOMONTH(E44,(N44-1)*D44),EDATE(E44,(N44-1)*D44))-AsAt)/365.25)/2+O44*('Deal maths'!AA44-AsAt)/365.25)/I44),(S44-AsAt)/365.25)),0))</f>
        <v/>
      </c>
      <c r="Q44" s="109">
        <f>IF(B44=1,'Deal maths'!AA44+ROW()/1000000,"")</f>
        <v/>
      </c>
      <c r="R44" s="108">
        <f>IF(D44=0,0,IF(DAY(E44+1)=1,31,DAY(E44)))</f>
        <v/>
      </c>
      <c r="S44" s="109">
        <f>IF(AND('Deal maths'!V44="LOBO",'Deal maths'!AG44&gt;AsAt,'Deal maths'!AG44&lt;'Deal maths'!AA44),'Deal maths'!AG44,'Deal maths'!AA44)</f>
        <v/>
      </c>
      <c r="T44" s="108">
        <f>('Deal maths'!AA44&gt;AsAt)*('Deal maths'!Y44&gt;0)</f>
        <v/>
      </c>
    </row>
    <row r="45">
      <c r="A45" s="91">
        <f>IF('Deal maths'!V45="","",'Deal maths'!W45)</f>
        <v/>
      </c>
      <c r="B45" s="108">
        <f>('Deal maths'!AA45&gt;AsAt)*('Deal maths'!Y45&gt;0)*('Deal maths'!Z45&lt;=AsAt)</f>
        <v/>
      </c>
      <c r="C45" s="91">
        <f>IF('Deal maths'!V45="","",IF('Deal maths'!AC45="","Maturity",'Deal maths'!AC45))</f>
        <v/>
      </c>
      <c r="D45" s="108">
        <f>IF(OR(C45="EIP",C45="Annuity"),IF('Deal maths'!AD45="Annual",12,IF('Deal maths'!AD45="Quarterly",3,6)),0)</f>
        <v/>
      </c>
      <c r="E45" s="109">
        <f>IFERROR(IF(D45=0,0,IF('Deal maths'!AE45&gt;0,IF('Deal maths'!AE45&gt;'Deal maths'!AA45,'Deal maths'!AA45,'Deal maths'!AE45),IF(IF(DAY('Deal maths'!AA45+1)=1,EOMONTH('Deal maths'!AA45,-(INT(((YEAR('Deal maths'!AA45)-YEAR(IF('Deal maths'!Z45&gt;0,'Deal maths'!Z45,DATE(1990,1,1))))*12+MONTH('Deal maths'!AA45)-MONTH(IF('Deal maths'!Z45&gt;0,'Deal maths'!Z45,DATE(1990,1,1))))/D45))*D45),EDATE('Deal maths'!AA45,-(INT(((YEAR('Deal maths'!AA45)-YEAR(IF('Deal maths'!Z45&gt;0,'Deal maths'!Z45,DATE(1990,1,1))))*12+MONTH('Deal maths'!AA45)-MONTH(IF('Deal maths'!Z45&gt;0,'Deal maths'!Z45,DATE(1990,1,1))))/D45))*D45))&gt;IF('Deal maths'!Z45&gt;0,'Deal maths'!Z45,DATE(1990,1,1)),IF(DAY('Deal maths'!AA45+1)=1,EOMONTH('Deal maths'!AA45,-(INT(((YEAR('Deal maths'!AA45)-YEAR(IF('Deal maths'!Z45&gt;0,'Deal maths'!Z45,DATE(1990,1,1))))*12+MONTH('Deal maths'!AA45)-MONTH(IF('Deal maths'!Z45&gt;0,'Deal maths'!Z45,DATE(1990,1,1))))/D45))*D45),EDATE('Deal maths'!AA45,-(INT(((YEAR('Deal maths'!AA45)-YEAR(IF('Deal maths'!Z45&gt;0,'Deal maths'!Z45,DATE(1990,1,1))))*12+MONTH('Deal maths'!AA45)-MONTH(IF('Deal maths'!Z45&gt;0,'Deal maths'!Z45,DATE(1990,1,1))))/D45))*D45)),IF(DAY('Deal maths'!AA45+1)=1,EOMONTH('Deal maths'!AA45,-(INT(((YEAR('Deal maths'!AA45)-YEAR(IF('Deal maths'!Z45&gt;0,'Deal maths'!Z45,DATE(1990,1,1))))*12+MONTH('Deal maths'!AA45)-MONTH(IF('Deal maths'!Z45&gt;0,'Deal maths'!Z45,DATE(1990,1,1))))/D45)-1)*D45),EDATE('Deal maths'!AA45,-(INT(((YEAR('Deal maths'!AA45)-YEAR(IF('Deal maths'!Z45&gt;0,'Deal maths'!Z45,DATE(1990,1,1))))*12+MONTH('Deal maths'!AA45)-MONTH(IF('Deal maths'!Z45&gt;0,'Deal maths'!Z45,DATE(1990,1,1))))/D45)-1)*D45))))),0)</f>
        <v/>
      </c>
      <c r="F45" s="110">
        <f>IF(D45=0,0,'Deal maths'!AB45*D45/12)</f>
        <v/>
      </c>
      <c r="G45" s="108">
        <f>N45+O45</f>
        <v/>
      </c>
      <c r="H45" s="108">
        <f>IFERROR(IF(OR(D45=0,AsAt&lt;E45),0,MIN(N45,INT(((YEAR(AsAt)-YEAR(E45))*12+MONTH(AsAt)-MONTH(E45)-(DAY(AsAt)&lt;MIN(R45,DAY(EOMONTH(AsAt,0)))))/D45)+1)+O45*(AsAt&gt;='Deal maths'!AA45)),0)</f>
        <v/>
      </c>
      <c r="I45" s="108">
        <f>G45-H45</f>
        <v/>
      </c>
      <c r="J45" s="111">
        <f>IF(AND(C45="EIP",I45&gt;0),'Deal maths'!Y45/I45,0)</f>
        <v/>
      </c>
      <c r="K45" s="111">
        <f>IF(AND(C45="Annuity",I45&gt;0),IF(F45&gt;0,'Deal maths'!Y45*F45/(1-(1+F45)^-I45),'Deal maths'!Y45/I45),0)</f>
        <v/>
      </c>
      <c r="L45" s="111">
        <f>IF('Deal maths'!Y45="",0,'Deal maths'!Y45)</f>
        <v/>
      </c>
      <c r="M45" s="112">
        <f>F45+(F45=0)</f>
        <v/>
      </c>
      <c r="N45" s="108">
        <f>IFERROR(IF(D45=0,0,INT(((YEAR('Deal maths'!AA45)-YEAR(E45))*12+MONTH('Deal maths'!AA45)-MONTH(E45)-(DAY('Deal maths'!AA45)&lt;MIN(R45,DAY(EOMONTH('Deal maths'!AA45,0)))))/D45)+1),0)</f>
        <v/>
      </c>
      <c r="O45" s="108">
        <f>IFERROR(IF(D45=0,0,IF(IF(DAY(E45+1)=1,EOMONTH(E45,(N45-1)*D45),EDATE(E45,(N45-1)*D45))='Deal maths'!AA45,0,1)),0)</f>
        <v/>
      </c>
      <c r="P45" s="113">
        <f>IF(B45=0,0,IFERROR(IF(C45="EIP",((I45-O45)*((IF(DAY(E45+1)=1,EOMONTH(E45,H45*D45),EDATE(E45,H45*D45))-AsAt)/365.25+(IF(DAY(E45+1)=1,EOMONTH(E45,(N45-1)*D45),EDATE(E45,(N45-1)*D45))-AsAt)/365.25)/2+O45*('Deal maths'!AA45-AsAt)/365.25)/I45,IF(C45="Annuity",IF(F45&gt;0,((K45-L45*F45)*((IF(DAY(E45+1)=1,EOMONTH(E45,H45*D45),EDATE(E45,H45*D45))-AsAt)/365.25*((1+F45)^(I45-O45)-1)/F45+IF((I45-O45)&gt;1,((IF(DAY(E45+1)=1,EOMONTH(E45,(N45-1)*D45),EDATE(E45,(N45-1)*D45))-AsAt)/365.25-(IF(DAY(E45+1)=1,EOMONTH(E45,H45*D45),EDATE(E45,H45*D45))-AsAt)/365.25)/((I45-O45)-1),0)*(1+F45)*(1-(I45-O45)*(1+F45)^((I45-O45)-1)+((I45-O45)-1)*(1+F45)^(I45-O45))/F45^2)+O45*(K45-L45*F45)*(1+F45)^(I45-1)*('Deal maths'!AA45-AsAt)/365.25)/L45,((I45-O45)*((IF(DAY(E45+1)=1,EOMONTH(E45,H45*D45),EDATE(E45,H45*D45))-AsAt)/365.25+(IF(DAY(E45+1)=1,EOMONTH(E45,(N45-1)*D45),EDATE(E45,(N45-1)*D45))-AsAt)/365.25)/2+O45*('Deal maths'!AA45-AsAt)/365.25)/I45),(S45-AsAt)/365.25)),0))</f>
        <v/>
      </c>
      <c r="Q45" s="109">
        <f>IF(B45=1,'Deal maths'!AA45+ROW()/1000000,"")</f>
        <v/>
      </c>
      <c r="R45" s="108">
        <f>IF(D45=0,0,IF(DAY(E45+1)=1,31,DAY(E45)))</f>
        <v/>
      </c>
      <c r="S45" s="109">
        <f>IF(AND('Deal maths'!V45="LOBO",'Deal maths'!AG45&gt;AsAt,'Deal maths'!AG45&lt;'Deal maths'!AA45),'Deal maths'!AG45,'Deal maths'!AA45)</f>
        <v/>
      </c>
      <c r="T45" s="108">
        <f>('Deal maths'!AA45&gt;AsAt)*('Deal maths'!Y45&gt;0)</f>
        <v/>
      </c>
    </row>
    <row r="46">
      <c r="A46" s="91">
        <f>IF('Deal maths'!V46="","",'Deal maths'!W46)</f>
        <v/>
      </c>
      <c r="B46" s="108">
        <f>('Deal maths'!AA46&gt;AsAt)*('Deal maths'!Y46&gt;0)*('Deal maths'!Z46&lt;=AsAt)</f>
        <v/>
      </c>
      <c r="C46" s="91">
        <f>IF('Deal maths'!V46="","",IF('Deal maths'!AC46="","Maturity",'Deal maths'!AC46))</f>
        <v/>
      </c>
      <c r="D46" s="108">
        <f>IF(OR(C46="EIP",C46="Annuity"),IF('Deal maths'!AD46="Annual",12,IF('Deal maths'!AD46="Quarterly",3,6)),0)</f>
        <v/>
      </c>
      <c r="E46" s="109">
        <f>IFERROR(IF(D46=0,0,IF('Deal maths'!AE46&gt;0,IF('Deal maths'!AE46&gt;'Deal maths'!AA46,'Deal maths'!AA46,'Deal maths'!AE46),IF(IF(DAY('Deal maths'!AA46+1)=1,EOMONTH('Deal maths'!AA46,-(INT(((YEAR('Deal maths'!AA46)-YEAR(IF('Deal maths'!Z46&gt;0,'Deal maths'!Z46,DATE(1990,1,1))))*12+MONTH('Deal maths'!AA46)-MONTH(IF('Deal maths'!Z46&gt;0,'Deal maths'!Z46,DATE(1990,1,1))))/D46))*D46),EDATE('Deal maths'!AA46,-(INT(((YEAR('Deal maths'!AA46)-YEAR(IF('Deal maths'!Z46&gt;0,'Deal maths'!Z46,DATE(1990,1,1))))*12+MONTH('Deal maths'!AA46)-MONTH(IF('Deal maths'!Z46&gt;0,'Deal maths'!Z46,DATE(1990,1,1))))/D46))*D46))&gt;IF('Deal maths'!Z46&gt;0,'Deal maths'!Z46,DATE(1990,1,1)),IF(DAY('Deal maths'!AA46+1)=1,EOMONTH('Deal maths'!AA46,-(INT(((YEAR('Deal maths'!AA46)-YEAR(IF('Deal maths'!Z46&gt;0,'Deal maths'!Z46,DATE(1990,1,1))))*12+MONTH('Deal maths'!AA46)-MONTH(IF('Deal maths'!Z46&gt;0,'Deal maths'!Z46,DATE(1990,1,1))))/D46))*D46),EDATE('Deal maths'!AA46,-(INT(((YEAR('Deal maths'!AA46)-YEAR(IF('Deal maths'!Z46&gt;0,'Deal maths'!Z46,DATE(1990,1,1))))*12+MONTH('Deal maths'!AA46)-MONTH(IF('Deal maths'!Z46&gt;0,'Deal maths'!Z46,DATE(1990,1,1))))/D46))*D46)),IF(DAY('Deal maths'!AA46+1)=1,EOMONTH('Deal maths'!AA46,-(INT(((YEAR('Deal maths'!AA46)-YEAR(IF('Deal maths'!Z46&gt;0,'Deal maths'!Z46,DATE(1990,1,1))))*12+MONTH('Deal maths'!AA46)-MONTH(IF('Deal maths'!Z46&gt;0,'Deal maths'!Z46,DATE(1990,1,1))))/D46)-1)*D46),EDATE('Deal maths'!AA46,-(INT(((YEAR('Deal maths'!AA46)-YEAR(IF('Deal maths'!Z46&gt;0,'Deal maths'!Z46,DATE(1990,1,1))))*12+MONTH('Deal maths'!AA46)-MONTH(IF('Deal maths'!Z46&gt;0,'Deal maths'!Z46,DATE(1990,1,1))))/D46)-1)*D46))))),0)</f>
        <v/>
      </c>
      <c r="F46" s="110">
        <f>IF(D46=0,0,'Deal maths'!AB46*D46/12)</f>
        <v/>
      </c>
      <c r="G46" s="108">
        <f>N46+O46</f>
        <v/>
      </c>
      <c r="H46" s="108">
        <f>IFERROR(IF(OR(D46=0,AsAt&lt;E46),0,MIN(N46,INT(((YEAR(AsAt)-YEAR(E46))*12+MONTH(AsAt)-MONTH(E46)-(DAY(AsAt)&lt;MIN(R46,DAY(EOMONTH(AsAt,0)))))/D46)+1)+O46*(AsAt&gt;='Deal maths'!AA46)),0)</f>
        <v/>
      </c>
      <c r="I46" s="108">
        <f>G46-H46</f>
        <v/>
      </c>
      <c r="J46" s="111">
        <f>IF(AND(C46="EIP",I46&gt;0),'Deal maths'!Y46/I46,0)</f>
        <v/>
      </c>
      <c r="K46" s="111">
        <f>IF(AND(C46="Annuity",I46&gt;0),IF(F46&gt;0,'Deal maths'!Y46*F46/(1-(1+F46)^-I46),'Deal maths'!Y46/I46),0)</f>
        <v/>
      </c>
      <c r="L46" s="111">
        <f>IF('Deal maths'!Y46="",0,'Deal maths'!Y46)</f>
        <v/>
      </c>
      <c r="M46" s="112">
        <f>F46+(F46=0)</f>
        <v/>
      </c>
      <c r="N46" s="108">
        <f>IFERROR(IF(D46=0,0,INT(((YEAR('Deal maths'!AA46)-YEAR(E46))*12+MONTH('Deal maths'!AA46)-MONTH(E46)-(DAY('Deal maths'!AA46)&lt;MIN(R46,DAY(EOMONTH('Deal maths'!AA46,0)))))/D46)+1),0)</f>
        <v/>
      </c>
      <c r="O46" s="108">
        <f>IFERROR(IF(D46=0,0,IF(IF(DAY(E46+1)=1,EOMONTH(E46,(N46-1)*D46),EDATE(E46,(N46-1)*D46))='Deal maths'!AA46,0,1)),0)</f>
        <v/>
      </c>
      <c r="P46" s="113">
        <f>IF(B46=0,0,IFERROR(IF(C46="EIP",((I46-O46)*((IF(DAY(E46+1)=1,EOMONTH(E46,H46*D46),EDATE(E46,H46*D46))-AsAt)/365.25+(IF(DAY(E46+1)=1,EOMONTH(E46,(N46-1)*D46),EDATE(E46,(N46-1)*D46))-AsAt)/365.25)/2+O46*('Deal maths'!AA46-AsAt)/365.25)/I46,IF(C46="Annuity",IF(F46&gt;0,((K46-L46*F46)*((IF(DAY(E46+1)=1,EOMONTH(E46,H46*D46),EDATE(E46,H46*D46))-AsAt)/365.25*((1+F46)^(I46-O46)-1)/F46+IF((I46-O46)&gt;1,((IF(DAY(E46+1)=1,EOMONTH(E46,(N46-1)*D46),EDATE(E46,(N46-1)*D46))-AsAt)/365.25-(IF(DAY(E46+1)=1,EOMONTH(E46,H46*D46),EDATE(E46,H46*D46))-AsAt)/365.25)/((I46-O46)-1),0)*(1+F46)*(1-(I46-O46)*(1+F46)^((I46-O46)-1)+((I46-O46)-1)*(1+F46)^(I46-O46))/F46^2)+O46*(K46-L46*F46)*(1+F46)^(I46-1)*('Deal maths'!AA46-AsAt)/365.25)/L46,((I46-O46)*((IF(DAY(E46+1)=1,EOMONTH(E46,H46*D46),EDATE(E46,H46*D46))-AsAt)/365.25+(IF(DAY(E46+1)=1,EOMONTH(E46,(N46-1)*D46),EDATE(E46,(N46-1)*D46))-AsAt)/365.25)/2+O46*('Deal maths'!AA46-AsAt)/365.25)/I46),(S46-AsAt)/365.25)),0))</f>
        <v/>
      </c>
      <c r="Q46" s="109">
        <f>IF(B46=1,'Deal maths'!AA46+ROW()/1000000,"")</f>
        <v/>
      </c>
      <c r="R46" s="108">
        <f>IF(D46=0,0,IF(DAY(E46+1)=1,31,DAY(E46)))</f>
        <v/>
      </c>
      <c r="S46" s="109">
        <f>IF(AND('Deal maths'!V46="LOBO",'Deal maths'!AG46&gt;AsAt,'Deal maths'!AG46&lt;'Deal maths'!AA46),'Deal maths'!AG46,'Deal maths'!AA46)</f>
        <v/>
      </c>
      <c r="T46" s="108">
        <f>('Deal maths'!AA46&gt;AsAt)*('Deal maths'!Y46&gt;0)</f>
        <v/>
      </c>
    </row>
    <row r="47">
      <c r="A47" s="91">
        <f>IF('Deal maths'!V47="","",'Deal maths'!W47)</f>
        <v/>
      </c>
      <c r="B47" s="108">
        <f>('Deal maths'!AA47&gt;AsAt)*('Deal maths'!Y47&gt;0)*('Deal maths'!Z47&lt;=AsAt)</f>
        <v/>
      </c>
      <c r="C47" s="91">
        <f>IF('Deal maths'!V47="","",IF('Deal maths'!AC47="","Maturity",'Deal maths'!AC47))</f>
        <v/>
      </c>
      <c r="D47" s="108">
        <f>IF(OR(C47="EIP",C47="Annuity"),IF('Deal maths'!AD47="Annual",12,IF('Deal maths'!AD47="Quarterly",3,6)),0)</f>
        <v/>
      </c>
      <c r="E47" s="109">
        <f>IFERROR(IF(D47=0,0,IF('Deal maths'!AE47&gt;0,IF('Deal maths'!AE47&gt;'Deal maths'!AA47,'Deal maths'!AA47,'Deal maths'!AE47),IF(IF(DAY('Deal maths'!AA47+1)=1,EOMONTH('Deal maths'!AA47,-(INT(((YEAR('Deal maths'!AA47)-YEAR(IF('Deal maths'!Z47&gt;0,'Deal maths'!Z47,DATE(1990,1,1))))*12+MONTH('Deal maths'!AA47)-MONTH(IF('Deal maths'!Z47&gt;0,'Deal maths'!Z47,DATE(1990,1,1))))/D47))*D47),EDATE('Deal maths'!AA47,-(INT(((YEAR('Deal maths'!AA47)-YEAR(IF('Deal maths'!Z47&gt;0,'Deal maths'!Z47,DATE(1990,1,1))))*12+MONTH('Deal maths'!AA47)-MONTH(IF('Deal maths'!Z47&gt;0,'Deal maths'!Z47,DATE(1990,1,1))))/D47))*D47))&gt;IF('Deal maths'!Z47&gt;0,'Deal maths'!Z47,DATE(1990,1,1)),IF(DAY('Deal maths'!AA47+1)=1,EOMONTH('Deal maths'!AA47,-(INT(((YEAR('Deal maths'!AA47)-YEAR(IF('Deal maths'!Z47&gt;0,'Deal maths'!Z47,DATE(1990,1,1))))*12+MONTH('Deal maths'!AA47)-MONTH(IF('Deal maths'!Z47&gt;0,'Deal maths'!Z47,DATE(1990,1,1))))/D47))*D47),EDATE('Deal maths'!AA47,-(INT(((YEAR('Deal maths'!AA47)-YEAR(IF('Deal maths'!Z47&gt;0,'Deal maths'!Z47,DATE(1990,1,1))))*12+MONTH('Deal maths'!AA47)-MONTH(IF('Deal maths'!Z47&gt;0,'Deal maths'!Z47,DATE(1990,1,1))))/D47))*D47)),IF(DAY('Deal maths'!AA47+1)=1,EOMONTH('Deal maths'!AA47,-(INT(((YEAR('Deal maths'!AA47)-YEAR(IF('Deal maths'!Z47&gt;0,'Deal maths'!Z47,DATE(1990,1,1))))*12+MONTH('Deal maths'!AA47)-MONTH(IF('Deal maths'!Z47&gt;0,'Deal maths'!Z47,DATE(1990,1,1))))/D47)-1)*D47),EDATE('Deal maths'!AA47,-(INT(((YEAR('Deal maths'!AA47)-YEAR(IF('Deal maths'!Z47&gt;0,'Deal maths'!Z47,DATE(1990,1,1))))*12+MONTH('Deal maths'!AA47)-MONTH(IF('Deal maths'!Z47&gt;0,'Deal maths'!Z47,DATE(1990,1,1))))/D47)-1)*D47))))),0)</f>
        <v/>
      </c>
      <c r="F47" s="110">
        <f>IF(D47=0,0,'Deal maths'!AB47*D47/12)</f>
        <v/>
      </c>
      <c r="G47" s="108">
        <f>N47+O47</f>
        <v/>
      </c>
      <c r="H47" s="108">
        <f>IFERROR(IF(OR(D47=0,AsAt&lt;E47),0,MIN(N47,INT(((YEAR(AsAt)-YEAR(E47))*12+MONTH(AsAt)-MONTH(E47)-(DAY(AsAt)&lt;MIN(R47,DAY(EOMONTH(AsAt,0)))))/D47)+1)+O47*(AsAt&gt;='Deal maths'!AA47)),0)</f>
        <v/>
      </c>
      <c r="I47" s="108">
        <f>G47-H47</f>
        <v/>
      </c>
      <c r="J47" s="111">
        <f>IF(AND(C47="EIP",I47&gt;0),'Deal maths'!Y47/I47,0)</f>
        <v/>
      </c>
      <c r="K47" s="111">
        <f>IF(AND(C47="Annuity",I47&gt;0),IF(F47&gt;0,'Deal maths'!Y47*F47/(1-(1+F47)^-I47),'Deal maths'!Y47/I47),0)</f>
        <v/>
      </c>
      <c r="L47" s="111">
        <f>IF('Deal maths'!Y47="",0,'Deal maths'!Y47)</f>
        <v/>
      </c>
      <c r="M47" s="112">
        <f>F47+(F47=0)</f>
        <v/>
      </c>
      <c r="N47" s="108">
        <f>IFERROR(IF(D47=0,0,INT(((YEAR('Deal maths'!AA47)-YEAR(E47))*12+MONTH('Deal maths'!AA47)-MONTH(E47)-(DAY('Deal maths'!AA47)&lt;MIN(R47,DAY(EOMONTH('Deal maths'!AA47,0)))))/D47)+1),0)</f>
        <v/>
      </c>
      <c r="O47" s="108">
        <f>IFERROR(IF(D47=0,0,IF(IF(DAY(E47+1)=1,EOMONTH(E47,(N47-1)*D47),EDATE(E47,(N47-1)*D47))='Deal maths'!AA47,0,1)),0)</f>
        <v/>
      </c>
      <c r="P47" s="113">
        <f>IF(B47=0,0,IFERROR(IF(C47="EIP",((I47-O47)*((IF(DAY(E47+1)=1,EOMONTH(E47,H47*D47),EDATE(E47,H47*D47))-AsAt)/365.25+(IF(DAY(E47+1)=1,EOMONTH(E47,(N47-1)*D47),EDATE(E47,(N47-1)*D47))-AsAt)/365.25)/2+O47*('Deal maths'!AA47-AsAt)/365.25)/I47,IF(C47="Annuity",IF(F47&gt;0,((K47-L47*F47)*((IF(DAY(E47+1)=1,EOMONTH(E47,H47*D47),EDATE(E47,H47*D47))-AsAt)/365.25*((1+F47)^(I47-O47)-1)/F47+IF((I47-O47)&gt;1,((IF(DAY(E47+1)=1,EOMONTH(E47,(N47-1)*D47),EDATE(E47,(N47-1)*D47))-AsAt)/365.25-(IF(DAY(E47+1)=1,EOMONTH(E47,H47*D47),EDATE(E47,H47*D47))-AsAt)/365.25)/((I47-O47)-1),0)*(1+F47)*(1-(I47-O47)*(1+F47)^((I47-O47)-1)+((I47-O47)-1)*(1+F47)^(I47-O47))/F47^2)+O47*(K47-L47*F47)*(1+F47)^(I47-1)*('Deal maths'!AA47-AsAt)/365.25)/L47,((I47-O47)*((IF(DAY(E47+1)=1,EOMONTH(E47,H47*D47),EDATE(E47,H47*D47))-AsAt)/365.25+(IF(DAY(E47+1)=1,EOMONTH(E47,(N47-1)*D47),EDATE(E47,(N47-1)*D47))-AsAt)/365.25)/2+O47*('Deal maths'!AA47-AsAt)/365.25)/I47),(S47-AsAt)/365.25)),0))</f>
        <v/>
      </c>
      <c r="Q47" s="109">
        <f>IF(B47=1,'Deal maths'!AA47+ROW()/1000000,"")</f>
        <v/>
      </c>
      <c r="R47" s="108">
        <f>IF(D47=0,0,IF(DAY(E47+1)=1,31,DAY(E47)))</f>
        <v/>
      </c>
      <c r="S47" s="109">
        <f>IF(AND('Deal maths'!V47="LOBO",'Deal maths'!AG47&gt;AsAt,'Deal maths'!AG47&lt;'Deal maths'!AA47),'Deal maths'!AG47,'Deal maths'!AA47)</f>
        <v/>
      </c>
      <c r="T47" s="108">
        <f>('Deal maths'!AA47&gt;AsAt)*('Deal maths'!Y47&gt;0)</f>
        <v/>
      </c>
    </row>
    <row r="48">
      <c r="A48" s="91">
        <f>IF('Deal maths'!V48="","",'Deal maths'!W48)</f>
        <v/>
      </c>
      <c r="B48" s="108">
        <f>('Deal maths'!AA48&gt;AsAt)*('Deal maths'!Y48&gt;0)*('Deal maths'!Z48&lt;=AsAt)</f>
        <v/>
      </c>
      <c r="C48" s="91">
        <f>IF('Deal maths'!V48="","",IF('Deal maths'!AC48="","Maturity",'Deal maths'!AC48))</f>
        <v/>
      </c>
      <c r="D48" s="108">
        <f>IF(OR(C48="EIP",C48="Annuity"),IF('Deal maths'!AD48="Annual",12,IF('Deal maths'!AD48="Quarterly",3,6)),0)</f>
        <v/>
      </c>
      <c r="E48" s="109">
        <f>IFERROR(IF(D48=0,0,IF('Deal maths'!AE48&gt;0,IF('Deal maths'!AE48&gt;'Deal maths'!AA48,'Deal maths'!AA48,'Deal maths'!AE48),IF(IF(DAY('Deal maths'!AA48+1)=1,EOMONTH('Deal maths'!AA48,-(INT(((YEAR('Deal maths'!AA48)-YEAR(IF('Deal maths'!Z48&gt;0,'Deal maths'!Z48,DATE(1990,1,1))))*12+MONTH('Deal maths'!AA48)-MONTH(IF('Deal maths'!Z48&gt;0,'Deal maths'!Z48,DATE(1990,1,1))))/D48))*D48),EDATE('Deal maths'!AA48,-(INT(((YEAR('Deal maths'!AA48)-YEAR(IF('Deal maths'!Z48&gt;0,'Deal maths'!Z48,DATE(1990,1,1))))*12+MONTH('Deal maths'!AA48)-MONTH(IF('Deal maths'!Z48&gt;0,'Deal maths'!Z48,DATE(1990,1,1))))/D48))*D48))&gt;IF('Deal maths'!Z48&gt;0,'Deal maths'!Z48,DATE(1990,1,1)),IF(DAY('Deal maths'!AA48+1)=1,EOMONTH('Deal maths'!AA48,-(INT(((YEAR('Deal maths'!AA48)-YEAR(IF('Deal maths'!Z48&gt;0,'Deal maths'!Z48,DATE(1990,1,1))))*12+MONTH('Deal maths'!AA48)-MONTH(IF('Deal maths'!Z48&gt;0,'Deal maths'!Z48,DATE(1990,1,1))))/D48))*D48),EDATE('Deal maths'!AA48,-(INT(((YEAR('Deal maths'!AA48)-YEAR(IF('Deal maths'!Z48&gt;0,'Deal maths'!Z48,DATE(1990,1,1))))*12+MONTH('Deal maths'!AA48)-MONTH(IF('Deal maths'!Z48&gt;0,'Deal maths'!Z48,DATE(1990,1,1))))/D48))*D48)),IF(DAY('Deal maths'!AA48+1)=1,EOMONTH('Deal maths'!AA48,-(INT(((YEAR('Deal maths'!AA48)-YEAR(IF('Deal maths'!Z48&gt;0,'Deal maths'!Z48,DATE(1990,1,1))))*12+MONTH('Deal maths'!AA48)-MONTH(IF('Deal maths'!Z48&gt;0,'Deal maths'!Z48,DATE(1990,1,1))))/D48)-1)*D48),EDATE('Deal maths'!AA48,-(INT(((YEAR('Deal maths'!AA48)-YEAR(IF('Deal maths'!Z48&gt;0,'Deal maths'!Z48,DATE(1990,1,1))))*12+MONTH('Deal maths'!AA48)-MONTH(IF('Deal maths'!Z48&gt;0,'Deal maths'!Z48,DATE(1990,1,1))))/D48)-1)*D48))))),0)</f>
        <v/>
      </c>
      <c r="F48" s="110">
        <f>IF(D48=0,0,'Deal maths'!AB48*D48/12)</f>
        <v/>
      </c>
      <c r="G48" s="108">
        <f>N48+O48</f>
        <v/>
      </c>
      <c r="H48" s="108">
        <f>IFERROR(IF(OR(D48=0,AsAt&lt;E48),0,MIN(N48,INT(((YEAR(AsAt)-YEAR(E48))*12+MONTH(AsAt)-MONTH(E48)-(DAY(AsAt)&lt;MIN(R48,DAY(EOMONTH(AsAt,0)))))/D48)+1)+O48*(AsAt&gt;='Deal maths'!AA48)),0)</f>
        <v/>
      </c>
      <c r="I48" s="108">
        <f>G48-H48</f>
        <v/>
      </c>
      <c r="J48" s="111">
        <f>IF(AND(C48="EIP",I48&gt;0),'Deal maths'!Y48/I48,0)</f>
        <v/>
      </c>
      <c r="K48" s="111">
        <f>IF(AND(C48="Annuity",I48&gt;0),IF(F48&gt;0,'Deal maths'!Y48*F48/(1-(1+F48)^-I48),'Deal maths'!Y48/I48),0)</f>
        <v/>
      </c>
      <c r="L48" s="111">
        <f>IF('Deal maths'!Y48="",0,'Deal maths'!Y48)</f>
        <v/>
      </c>
      <c r="M48" s="112">
        <f>F48+(F48=0)</f>
        <v/>
      </c>
      <c r="N48" s="108">
        <f>IFERROR(IF(D48=0,0,INT(((YEAR('Deal maths'!AA48)-YEAR(E48))*12+MONTH('Deal maths'!AA48)-MONTH(E48)-(DAY('Deal maths'!AA48)&lt;MIN(R48,DAY(EOMONTH('Deal maths'!AA48,0)))))/D48)+1),0)</f>
        <v/>
      </c>
      <c r="O48" s="108">
        <f>IFERROR(IF(D48=0,0,IF(IF(DAY(E48+1)=1,EOMONTH(E48,(N48-1)*D48),EDATE(E48,(N48-1)*D48))='Deal maths'!AA48,0,1)),0)</f>
        <v/>
      </c>
      <c r="P48" s="113">
        <f>IF(B48=0,0,IFERROR(IF(C48="EIP",((I48-O48)*((IF(DAY(E48+1)=1,EOMONTH(E48,H48*D48),EDATE(E48,H48*D48))-AsAt)/365.25+(IF(DAY(E48+1)=1,EOMONTH(E48,(N48-1)*D48),EDATE(E48,(N48-1)*D48))-AsAt)/365.25)/2+O48*('Deal maths'!AA48-AsAt)/365.25)/I48,IF(C48="Annuity",IF(F48&gt;0,((K48-L48*F48)*((IF(DAY(E48+1)=1,EOMONTH(E48,H48*D48),EDATE(E48,H48*D48))-AsAt)/365.25*((1+F48)^(I48-O48)-1)/F48+IF((I48-O48)&gt;1,((IF(DAY(E48+1)=1,EOMONTH(E48,(N48-1)*D48),EDATE(E48,(N48-1)*D48))-AsAt)/365.25-(IF(DAY(E48+1)=1,EOMONTH(E48,H48*D48),EDATE(E48,H48*D48))-AsAt)/365.25)/((I48-O48)-1),0)*(1+F48)*(1-(I48-O48)*(1+F48)^((I48-O48)-1)+((I48-O48)-1)*(1+F48)^(I48-O48))/F48^2)+O48*(K48-L48*F48)*(1+F48)^(I48-1)*('Deal maths'!AA48-AsAt)/365.25)/L48,((I48-O48)*((IF(DAY(E48+1)=1,EOMONTH(E48,H48*D48),EDATE(E48,H48*D48))-AsAt)/365.25+(IF(DAY(E48+1)=1,EOMONTH(E48,(N48-1)*D48),EDATE(E48,(N48-1)*D48))-AsAt)/365.25)/2+O48*('Deal maths'!AA48-AsAt)/365.25)/I48),(S48-AsAt)/365.25)),0))</f>
        <v/>
      </c>
      <c r="Q48" s="109">
        <f>IF(B48=1,'Deal maths'!AA48+ROW()/1000000,"")</f>
        <v/>
      </c>
      <c r="R48" s="108">
        <f>IF(D48=0,0,IF(DAY(E48+1)=1,31,DAY(E48)))</f>
        <v/>
      </c>
      <c r="S48" s="109">
        <f>IF(AND('Deal maths'!V48="LOBO",'Deal maths'!AG48&gt;AsAt,'Deal maths'!AG48&lt;'Deal maths'!AA48),'Deal maths'!AG48,'Deal maths'!AA48)</f>
        <v/>
      </c>
      <c r="T48" s="108">
        <f>('Deal maths'!AA48&gt;AsAt)*('Deal maths'!Y48&gt;0)</f>
        <v/>
      </c>
    </row>
    <row r="49">
      <c r="A49" s="91">
        <f>IF('Deal maths'!V49="","",'Deal maths'!W49)</f>
        <v/>
      </c>
      <c r="B49" s="108">
        <f>('Deal maths'!AA49&gt;AsAt)*('Deal maths'!Y49&gt;0)*('Deal maths'!Z49&lt;=AsAt)</f>
        <v/>
      </c>
      <c r="C49" s="91">
        <f>IF('Deal maths'!V49="","",IF('Deal maths'!AC49="","Maturity",'Deal maths'!AC49))</f>
        <v/>
      </c>
      <c r="D49" s="108">
        <f>IF(OR(C49="EIP",C49="Annuity"),IF('Deal maths'!AD49="Annual",12,IF('Deal maths'!AD49="Quarterly",3,6)),0)</f>
        <v/>
      </c>
      <c r="E49" s="109">
        <f>IFERROR(IF(D49=0,0,IF('Deal maths'!AE49&gt;0,IF('Deal maths'!AE49&gt;'Deal maths'!AA49,'Deal maths'!AA49,'Deal maths'!AE49),IF(IF(DAY('Deal maths'!AA49+1)=1,EOMONTH('Deal maths'!AA49,-(INT(((YEAR('Deal maths'!AA49)-YEAR(IF('Deal maths'!Z49&gt;0,'Deal maths'!Z49,DATE(1990,1,1))))*12+MONTH('Deal maths'!AA49)-MONTH(IF('Deal maths'!Z49&gt;0,'Deal maths'!Z49,DATE(1990,1,1))))/D49))*D49),EDATE('Deal maths'!AA49,-(INT(((YEAR('Deal maths'!AA49)-YEAR(IF('Deal maths'!Z49&gt;0,'Deal maths'!Z49,DATE(1990,1,1))))*12+MONTH('Deal maths'!AA49)-MONTH(IF('Deal maths'!Z49&gt;0,'Deal maths'!Z49,DATE(1990,1,1))))/D49))*D49))&gt;IF('Deal maths'!Z49&gt;0,'Deal maths'!Z49,DATE(1990,1,1)),IF(DAY('Deal maths'!AA49+1)=1,EOMONTH('Deal maths'!AA49,-(INT(((YEAR('Deal maths'!AA49)-YEAR(IF('Deal maths'!Z49&gt;0,'Deal maths'!Z49,DATE(1990,1,1))))*12+MONTH('Deal maths'!AA49)-MONTH(IF('Deal maths'!Z49&gt;0,'Deal maths'!Z49,DATE(1990,1,1))))/D49))*D49),EDATE('Deal maths'!AA49,-(INT(((YEAR('Deal maths'!AA49)-YEAR(IF('Deal maths'!Z49&gt;0,'Deal maths'!Z49,DATE(1990,1,1))))*12+MONTH('Deal maths'!AA49)-MONTH(IF('Deal maths'!Z49&gt;0,'Deal maths'!Z49,DATE(1990,1,1))))/D49))*D49)),IF(DAY('Deal maths'!AA49+1)=1,EOMONTH('Deal maths'!AA49,-(INT(((YEAR('Deal maths'!AA49)-YEAR(IF('Deal maths'!Z49&gt;0,'Deal maths'!Z49,DATE(1990,1,1))))*12+MONTH('Deal maths'!AA49)-MONTH(IF('Deal maths'!Z49&gt;0,'Deal maths'!Z49,DATE(1990,1,1))))/D49)-1)*D49),EDATE('Deal maths'!AA49,-(INT(((YEAR('Deal maths'!AA49)-YEAR(IF('Deal maths'!Z49&gt;0,'Deal maths'!Z49,DATE(1990,1,1))))*12+MONTH('Deal maths'!AA49)-MONTH(IF('Deal maths'!Z49&gt;0,'Deal maths'!Z49,DATE(1990,1,1))))/D49)-1)*D49))))),0)</f>
        <v/>
      </c>
      <c r="F49" s="110">
        <f>IF(D49=0,0,'Deal maths'!AB49*D49/12)</f>
        <v/>
      </c>
      <c r="G49" s="108">
        <f>N49+O49</f>
        <v/>
      </c>
      <c r="H49" s="108">
        <f>IFERROR(IF(OR(D49=0,AsAt&lt;E49),0,MIN(N49,INT(((YEAR(AsAt)-YEAR(E49))*12+MONTH(AsAt)-MONTH(E49)-(DAY(AsAt)&lt;MIN(R49,DAY(EOMONTH(AsAt,0)))))/D49)+1)+O49*(AsAt&gt;='Deal maths'!AA49)),0)</f>
        <v/>
      </c>
      <c r="I49" s="108">
        <f>G49-H49</f>
        <v/>
      </c>
      <c r="J49" s="111">
        <f>IF(AND(C49="EIP",I49&gt;0),'Deal maths'!Y49/I49,0)</f>
        <v/>
      </c>
      <c r="K49" s="111">
        <f>IF(AND(C49="Annuity",I49&gt;0),IF(F49&gt;0,'Deal maths'!Y49*F49/(1-(1+F49)^-I49),'Deal maths'!Y49/I49),0)</f>
        <v/>
      </c>
      <c r="L49" s="111">
        <f>IF('Deal maths'!Y49="",0,'Deal maths'!Y49)</f>
        <v/>
      </c>
      <c r="M49" s="112">
        <f>F49+(F49=0)</f>
        <v/>
      </c>
      <c r="N49" s="108">
        <f>IFERROR(IF(D49=0,0,INT(((YEAR('Deal maths'!AA49)-YEAR(E49))*12+MONTH('Deal maths'!AA49)-MONTH(E49)-(DAY('Deal maths'!AA49)&lt;MIN(R49,DAY(EOMONTH('Deal maths'!AA49,0)))))/D49)+1),0)</f>
        <v/>
      </c>
      <c r="O49" s="108">
        <f>IFERROR(IF(D49=0,0,IF(IF(DAY(E49+1)=1,EOMONTH(E49,(N49-1)*D49),EDATE(E49,(N49-1)*D49))='Deal maths'!AA49,0,1)),0)</f>
        <v/>
      </c>
      <c r="P49" s="113">
        <f>IF(B49=0,0,IFERROR(IF(C49="EIP",((I49-O49)*((IF(DAY(E49+1)=1,EOMONTH(E49,H49*D49),EDATE(E49,H49*D49))-AsAt)/365.25+(IF(DAY(E49+1)=1,EOMONTH(E49,(N49-1)*D49),EDATE(E49,(N49-1)*D49))-AsAt)/365.25)/2+O49*('Deal maths'!AA49-AsAt)/365.25)/I49,IF(C49="Annuity",IF(F49&gt;0,((K49-L49*F49)*((IF(DAY(E49+1)=1,EOMONTH(E49,H49*D49),EDATE(E49,H49*D49))-AsAt)/365.25*((1+F49)^(I49-O49)-1)/F49+IF((I49-O49)&gt;1,((IF(DAY(E49+1)=1,EOMONTH(E49,(N49-1)*D49),EDATE(E49,(N49-1)*D49))-AsAt)/365.25-(IF(DAY(E49+1)=1,EOMONTH(E49,H49*D49),EDATE(E49,H49*D49))-AsAt)/365.25)/((I49-O49)-1),0)*(1+F49)*(1-(I49-O49)*(1+F49)^((I49-O49)-1)+((I49-O49)-1)*(1+F49)^(I49-O49))/F49^2)+O49*(K49-L49*F49)*(1+F49)^(I49-1)*('Deal maths'!AA49-AsAt)/365.25)/L49,((I49-O49)*((IF(DAY(E49+1)=1,EOMONTH(E49,H49*D49),EDATE(E49,H49*D49))-AsAt)/365.25+(IF(DAY(E49+1)=1,EOMONTH(E49,(N49-1)*D49),EDATE(E49,(N49-1)*D49))-AsAt)/365.25)/2+O49*('Deal maths'!AA49-AsAt)/365.25)/I49),(S49-AsAt)/365.25)),0))</f>
        <v/>
      </c>
      <c r="Q49" s="109">
        <f>IF(B49=1,'Deal maths'!AA49+ROW()/1000000,"")</f>
        <v/>
      </c>
      <c r="R49" s="108">
        <f>IF(D49=0,0,IF(DAY(E49+1)=1,31,DAY(E49)))</f>
        <v/>
      </c>
      <c r="S49" s="109">
        <f>IF(AND('Deal maths'!V49="LOBO",'Deal maths'!AG49&gt;AsAt,'Deal maths'!AG49&lt;'Deal maths'!AA49),'Deal maths'!AG49,'Deal maths'!AA49)</f>
        <v/>
      </c>
      <c r="T49" s="108">
        <f>('Deal maths'!AA49&gt;AsAt)*('Deal maths'!Y49&gt;0)</f>
        <v/>
      </c>
    </row>
    <row r="50">
      <c r="A50" s="91">
        <f>IF('Deal maths'!V50="","",'Deal maths'!W50)</f>
        <v/>
      </c>
      <c r="B50" s="108">
        <f>('Deal maths'!AA50&gt;AsAt)*('Deal maths'!Y50&gt;0)*('Deal maths'!Z50&lt;=AsAt)</f>
        <v/>
      </c>
      <c r="C50" s="91">
        <f>IF('Deal maths'!V50="","",IF('Deal maths'!AC50="","Maturity",'Deal maths'!AC50))</f>
        <v/>
      </c>
      <c r="D50" s="108">
        <f>IF(OR(C50="EIP",C50="Annuity"),IF('Deal maths'!AD50="Annual",12,IF('Deal maths'!AD50="Quarterly",3,6)),0)</f>
        <v/>
      </c>
      <c r="E50" s="109">
        <f>IFERROR(IF(D50=0,0,IF('Deal maths'!AE50&gt;0,IF('Deal maths'!AE50&gt;'Deal maths'!AA50,'Deal maths'!AA50,'Deal maths'!AE50),IF(IF(DAY('Deal maths'!AA50+1)=1,EOMONTH('Deal maths'!AA50,-(INT(((YEAR('Deal maths'!AA50)-YEAR(IF('Deal maths'!Z50&gt;0,'Deal maths'!Z50,DATE(1990,1,1))))*12+MONTH('Deal maths'!AA50)-MONTH(IF('Deal maths'!Z50&gt;0,'Deal maths'!Z50,DATE(1990,1,1))))/D50))*D50),EDATE('Deal maths'!AA50,-(INT(((YEAR('Deal maths'!AA50)-YEAR(IF('Deal maths'!Z50&gt;0,'Deal maths'!Z50,DATE(1990,1,1))))*12+MONTH('Deal maths'!AA50)-MONTH(IF('Deal maths'!Z50&gt;0,'Deal maths'!Z50,DATE(1990,1,1))))/D50))*D50))&gt;IF('Deal maths'!Z50&gt;0,'Deal maths'!Z50,DATE(1990,1,1)),IF(DAY('Deal maths'!AA50+1)=1,EOMONTH('Deal maths'!AA50,-(INT(((YEAR('Deal maths'!AA50)-YEAR(IF('Deal maths'!Z50&gt;0,'Deal maths'!Z50,DATE(1990,1,1))))*12+MONTH('Deal maths'!AA50)-MONTH(IF('Deal maths'!Z50&gt;0,'Deal maths'!Z50,DATE(1990,1,1))))/D50))*D50),EDATE('Deal maths'!AA50,-(INT(((YEAR('Deal maths'!AA50)-YEAR(IF('Deal maths'!Z50&gt;0,'Deal maths'!Z50,DATE(1990,1,1))))*12+MONTH('Deal maths'!AA50)-MONTH(IF('Deal maths'!Z50&gt;0,'Deal maths'!Z50,DATE(1990,1,1))))/D50))*D50)),IF(DAY('Deal maths'!AA50+1)=1,EOMONTH('Deal maths'!AA50,-(INT(((YEAR('Deal maths'!AA50)-YEAR(IF('Deal maths'!Z50&gt;0,'Deal maths'!Z50,DATE(1990,1,1))))*12+MONTH('Deal maths'!AA50)-MONTH(IF('Deal maths'!Z50&gt;0,'Deal maths'!Z50,DATE(1990,1,1))))/D50)-1)*D50),EDATE('Deal maths'!AA50,-(INT(((YEAR('Deal maths'!AA50)-YEAR(IF('Deal maths'!Z50&gt;0,'Deal maths'!Z50,DATE(1990,1,1))))*12+MONTH('Deal maths'!AA50)-MONTH(IF('Deal maths'!Z50&gt;0,'Deal maths'!Z50,DATE(1990,1,1))))/D50)-1)*D50))))),0)</f>
        <v/>
      </c>
      <c r="F50" s="110">
        <f>IF(D50=0,0,'Deal maths'!AB50*D50/12)</f>
        <v/>
      </c>
      <c r="G50" s="108">
        <f>N50+O50</f>
        <v/>
      </c>
      <c r="H50" s="108">
        <f>IFERROR(IF(OR(D50=0,AsAt&lt;E50),0,MIN(N50,INT(((YEAR(AsAt)-YEAR(E50))*12+MONTH(AsAt)-MONTH(E50)-(DAY(AsAt)&lt;MIN(R50,DAY(EOMONTH(AsAt,0)))))/D50)+1)+O50*(AsAt&gt;='Deal maths'!AA50)),0)</f>
        <v/>
      </c>
      <c r="I50" s="108">
        <f>G50-H50</f>
        <v/>
      </c>
      <c r="J50" s="111">
        <f>IF(AND(C50="EIP",I50&gt;0),'Deal maths'!Y50/I50,0)</f>
        <v/>
      </c>
      <c r="K50" s="111">
        <f>IF(AND(C50="Annuity",I50&gt;0),IF(F50&gt;0,'Deal maths'!Y50*F50/(1-(1+F50)^-I50),'Deal maths'!Y50/I50),0)</f>
        <v/>
      </c>
      <c r="L50" s="111">
        <f>IF('Deal maths'!Y50="",0,'Deal maths'!Y50)</f>
        <v/>
      </c>
      <c r="M50" s="112">
        <f>F50+(F50=0)</f>
        <v/>
      </c>
      <c r="N50" s="108">
        <f>IFERROR(IF(D50=0,0,INT(((YEAR('Deal maths'!AA50)-YEAR(E50))*12+MONTH('Deal maths'!AA50)-MONTH(E50)-(DAY('Deal maths'!AA50)&lt;MIN(R50,DAY(EOMONTH('Deal maths'!AA50,0)))))/D50)+1),0)</f>
        <v/>
      </c>
      <c r="O50" s="108">
        <f>IFERROR(IF(D50=0,0,IF(IF(DAY(E50+1)=1,EOMONTH(E50,(N50-1)*D50),EDATE(E50,(N50-1)*D50))='Deal maths'!AA50,0,1)),0)</f>
        <v/>
      </c>
      <c r="P50" s="113">
        <f>IF(B50=0,0,IFERROR(IF(C50="EIP",((I50-O50)*((IF(DAY(E50+1)=1,EOMONTH(E50,H50*D50),EDATE(E50,H50*D50))-AsAt)/365.25+(IF(DAY(E50+1)=1,EOMONTH(E50,(N50-1)*D50),EDATE(E50,(N50-1)*D50))-AsAt)/365.25)/2+O50*('Deal maths'!AA50-AsAt)/365.25)/I50,IF(C50="Annuity",IF(F50&gt;0,((K50-L50*F50)*((IF(DAY(E50+1)=1,EOMONTH(E50,H50*D50),EDATE(E50,H50*D50))-AsAt)/365.25*((1+F50)^(I50-O50)-1)/F50+IF((I50-O50)&gt;1,((IF(DAY(E50+1)=1,EOMONTH(E50,(N50-1)*D50),EDATE(E50,(N50-1)*D50))-AsAt)/365.25-(IF(DAY(E50+1)=1,EOMONTH(E50,H50*D50),EDATE(E50,H50*D50))-AsAt)/365.25)/((I50-O50)-1),0)*(1+F50)*(1-(I50-O50)*(1+F50)^((I50-O50)-1)+((I50-O50)-1)*(1+F50)^(I50-O50))/F50^2)+O50*(K50-L50*F50)*(1+F50)^(I50-1)*('Deal maths'!AA50-AsAt)/365.25)/L50,((I50-O50)*((IF(DAY(E50+1)=1,EOMONTH(E50,H50*D50),EDATE(E50,H50*D50))-AsAt)/365.25+(IF(DAY(E50+1)=1,EOMONTH(E50,(N50-1)*D50),EDATE(E50,(N50-1)*D50))-AsAt)/365.25)/2+O50*('Deal maths'!AA50-AsAt)/365.25)/I50),(S50-AsAt)/365.25)),0))</f>
        <v/>
      </c>
      <c r="Q50" s="109">
        <f>IF(B50=1,'Deal maths'!AA50+ROW()/1000000,"")</f>
        <v/>
      </c>
      <c r="R50" s="108">
        <f>IF(D50=0,0,IF(DAY(E50+1)=1,31,DAY(E50)))</f>
        <v/>
      </c>
      <c r="S50" s="109">
        <f>IF(AND('Deal maths'!V50="LOBO",'Deal maths'!AG50&gt;AsAt,'Deal maths'!AG50&lt;'Deal maths'!AA50),'Deal maths'!AG50,'Deal maths'!AA50)</f>
        <v/>
      </c>
      <c r="T50" s="108">
        <f>('Deal maths'!AA50&gt;AsAt)*('Deal maths'!Y50&gt;0)</f>
        <v/>
      </c>
    </row>
    <row r="51">
      <c r="A51" s="91">
        <f>IF('Deal maths'!V51="","",'Deal maths'!W51)</f>
        <v/>
      </c>
      <c r="B51" s="108">
        <f>('Deal maths'!AA51&gt;AsAt)*('Deal maths'!Y51&gt;0)*('Deal maths'!Z51&lt;=AsAt)</f>
        <v/>
      </c>
      <c r="C51" s="91">
        <f>IF('Deal maths'!V51="","",IF('Deal maths'!AC51="","Maturity",'Deal maths'!AC51))</f>
        <v/>
      </c>
      <c r="D51" s="108">
        <f>IF(OR(C51="EIP",C51="Annuity"),IF('Deal maths'!AD51="Annual",12,IF('Deal maths'!AD51="Quarterly",3,6)),0)</f>
        <v/>
      </c>
      <c r="E51" s="109">
        <f>IFERROR(IF(D51=0,0,IF('Deal maths'!AE51&gt;0,IF('Deal maths'!AE51&gt;'Deal maths'!AA51,'Deal maths'!AA51,'Deal maths'!AE51),IF(IF(DAY('Deal maths'!AA51+1)=1,EOMONTH('Deal maths'!AA51,-(INT(((YEAR('Deal maths'!AA51)-YEAR(IF('Deal maths'!Z51&gt;0,'Deal maths'!Z51,DATE(1990,1,1))))*12+MONTH('Deal maths'!AA51)-MONTH(IF('Deal maths'!Z51&gt;0,'Deal maths'!Z51,DATE(1990,1,1))))/D51))*D51),EDATE('Deal maths'!AA51,-(INT(((YEAR('Deal maths'!AA51)-YEAR(IF('Deal maths'!Z51&gt;0,'Deal maths'!Z51,DATE(1990,1,1))))*12+MONTH('Deal maths'!AA51)-MONTH(IF('Deal maths'!Z51&gt;0,'Deal maths'!Z51,DATE(1990,1,1))))/D51))*D51))&gt;IF('Deal maths'!Z51&gt;0,'Deal maths'!Z51,DATE(1990,1,1)),IF(DAY('Deal maths'!AA51+1)=1,EOMONTH('Deal maths'!AA51,-(INT(((YEAR('Deal maths'!AA51)-YEAR(IF('Deal maths'!Z51&gt;0,'Deal maths'!Z51,DATE(1990,1,1))))*12+MONTH('Deal maths'!AA51)-MONTH(IF('Deal maths'!Z51&gt;0,'Deal maths'!Z51,DATE(1990,1,1))))/D51))*D51),EDATE('Deal maths'!AA51,-(INT(((YEAR('Deal maths'!AA51)-YEAR(IF('Deal maths'!Z51&gt;0,'Deal maths'!Z51,DATE(1990,1,1))))*12+MONTH('Deal maths'!AA51)-MONTH(IF('Deal maths'!Z51&gt;0,'Deal maths'!Z51,DATE(1990,1,1))))/D51))*D51)),IF(DAY('Deal maths'!AA51+1)=1,EOMONTH('Deal maths'!AA51,-(INT(((YEAR('Deal maths'!AA51)-YEAR(IF('Deal maths'!Z51&gt;0,'Deal maths'!Z51,DATE(1990,1,1))))*12+MONTH('Deal maths'!AA51)-MONTH(IF('Deal maths'!Z51&gt;0,'Deal maths'!Z51,DATE(1990,1,1))))/D51)-1)*D51),EDATE('Deal maths'!AA51,-(INT(((YEAR('Deal maths'!AA51)-YEAR(IF('Deal maths'!Z51&gt;0,'Deal maths'!Z51,DATE(1990,1,1))))*12+MONTH('Deal maths'!AA51)-MONTH(IF('Deal maths'!Z51&gt;0,'Deal maths'!Z51,DATE(1990,1,1))))/D51)-1)*D51))))),0)</f>
        <v/>
      </c>
      <c r="F51" s="110">
        <f>IF(D51=0,0,'Deal maths'!AB51*D51/12)</f>
        <v/>
      </c>
      <c r="G51" s="108">
        <f>N51+O51</f>
        <v/>
      </c>
      <c r="H51" s="108">
        <f>IFERROR(IF(OR(D51=0,AsAt&lt;E51),0,MIN(N51,INT(((YEAR(AsAt)-YEAR(E51))*12+MONTH(AsAt)-MONTH(E51)-(DAY(AsAt)&lt;MIN(R51,DAY(EOMONTH(AsAt,0)))))/D51)+1)+O51*(AsAt&gt;='Deal maths'!AA51)),0)</f>
        <v/>
      </c>
      <c r="I51" s="108">
        <f>G51-H51</f>
        <v/>
      </c>
      <c r="J51" s="111">
        <f>IF(AND(C51="EIP",I51&gt;0),'Deal maths'!Y51/I51,0)</f>
        <v/>
      </c>
      <c r="K51" s="111">
        <f>IF(AND(C51="Annuity",I51&gt;0),IF(F51&gt;0,'Deal maths'!Y51*F51/(1-(1+F51)^-I51),'Deal maths'!Y51/I51),0)</f>
        <v/>
      </c>
      <c r="L51" s="111">
        <f>IF('Deal maths'!Y51="",0,'Deal maths'!Y51)</f>
        <v/>
      </c>
      <c r="M51" s="112">
        <f>F51+(F51=0)</f>
        <v/>
      </c>
      <c r="N51" s="108">
        <f>IFERROR(IF(D51=0,0,INT(((YEAR('Deal maths'!AA51)-YEAR(E51))*12+MONTH('Deal maths'!AA51)-MONTH(E51)-(DAY('Deal maths'!AA51)&lt;MIN(R51,DAY(EOMONTH('Deal maths'!AA51,0)))))/D51)+1),0)</f>
        <v/>
      </c>
      <c r="O51" s="108">
        <f>IFERROR(IF(D51=0,0,IF(IF(DAY(E51+1)=1,EOMONTH(E51,(N51-1)*D51),EDATE(E51,(N51-1)*D51))='Deal maths'!AA51,0,1)),0)</f>
        <v/>
      </c>
      <c r="P51" s="113">
        <f>IF(B51=0,0,IFERROR(IF(C51="EIP",((I51-O51)*((IF(DAY(E51+1)=1,EOMONTH(E51,H51*D51),EDATE(E51,H51*D51))-AsAt)/365.25+(IF(DAY(E51+1)=1,EOMONTH(E51,(N51-1)*D51),EDATE(E51,(N51-1)*D51))-AsAt)/365.25)/2+O51*('Deal maths'!AA51-AsAt)/365.25)/I51,IF(C51="Annuity",IF(F51&gt;0,((K51-L51*F51)*((IF(DAY(E51+1)=1,EOMONTH(E51,H51*D51),EDATE(E51,H51*D51))-AsAt)/365.25*((1+F51)^(I51-O51)-1)/F51+IF((I51-O51)&gt;1,((IF(DAY(E51+1)=1,EOMONTH(E51,(N51-1)*D51),EDATE(E51,(N51-1)*D51))-AsAt)/365.25-(IF(DAY(E51+1)=1,EOMONTH(E51,H51*D51),EDATE(E51,H51*D51))-AsAt)/365.25)/((I51-O51)-1),0)*(1+F51)*(1-(I51-O51)*(1+F51)^((I51-O51)-1)+((I51-O51)-1)*(1+F51)^(I51-O51))/F51^2)+O51*(K51-L51*F51)*(1+F51)^(I51-1)*('Deal maths'!AA51-AsAt)/365.25)/L51,((I51-O51)*((IF(DAY(E51+1)=1,EOMONTH(E51,H51*D51),EDATE(E51,H51*D51))-AsAt)/365.25+(IF(DAY(E51+1)=1,EOMONTH(E51,(N51-1)*D51),EDATE(E51,(N51-1)*D51))-AsAt)/365.25)/2+O51*('Deal maths'!AA51-AsAt)/365.25)/I51),(S51-AsAt)/365.25)),0))</f>
        <v/>
      </c>
      <c r="Q51" s="109">
        <f>IF(B51=1,'Deal maths'!AA51+ROW()/1000000,"")</f>
        <v/>
      </c>
      <c r="R51" s="108">
        <f>IF(D51=0,0,IF(DAY(E51+1)=1,31,DAY(E51)))</f>
        <v/>
      </c>
      <c r="S51" s="109">
        <f>IF(AND('Deal maths'!V51="LOBO",'Deal maths'!AG51&gt;AsAt,'Deal maths'!AG51&lt;'Deal maths'!AA51),'Deal maths'!AG51,'Deal maths'!AA51)</f>
        <v/>
      </c>
      <c r="T51" s="108">
        <f>('Deal maths'!AA51&gt;AsAt)*('Deal maths'!Y51&gt;0)</f>
        <v/>
      </c>
    </row>
    <row r="52">
      <c r="A52" s="91">
        <f>IF('Deal maths'!V52="","",'Deal maths'!W52)</f>
        <v/>
      </c>
      <c r="B52" s="108">
        <f>('Deal maths'!AA52&gt;AsAt)*('Deal maths'!Y52&gt;0)*('Deal maths'!Z52&lt;=AsAt)</f>
        <v/>
      </c>
      <c r="C52" s="91">
        <f>IF('Deal maths'!V52="","",IF('Deal maths'!AC52="","Maturity",'Deal maths'!AC52))</f>
        <v/>
      </c>
      <c r="D52" s="108">
        <f>IF(OR(C52="EIP",C52="Annuity"),IF('Deal maths'!AD52="Annual",12,IF('Deal maths'!AD52="Quarterly",3,6)),0)</f>
        <v/>
      </c>
      <c r="E52" s="109">
        <f>IFERROR(IF(D52=0,0,IF('Deal maths'!AE52&gt;0,IF('Deal maths'!AE52&gt;'Deal maths'!AA52,'Deal maths'!AA52,'Deal maths'!AE52),IF(IF(DAY('Deal maths'!AA52+1)=1,EOMONTH('Deal maths'!AA52,-(INT(((YEAR('Deal maths'!AA52)-YEAR(IF('Deal maths'!Z52&gt;0,'Deal maths'!Z52,DATE(1990,1,1))))*12+MONTH('Deal maths'!AA52)-MONTH(IF('Deal maths'!Z52&gt;0,'Deal maths'!Z52,DATE(1990,1,1))))/D52))*D52),EDATE('Deal maths'!AA52,-(INT(((YEAR('Deal maths'!AA52)-YEAR(IF('Deal maths'!Z52&gt;0,'Deal maths'!Z52,DATE(1990,1,1))))*12+MONTH('Deal maths'!AA52)-MONTH(IF('Deal maths'!Z52&gt;0,'Deal maths'!Z52,DATE(1990,1,1))))/D52))*D52))&gt;IF('Deal maths'!Z52&gt;0,'Deal maths'!Z52,DATE(1990,1,1)),IF(DAY('Deal maths'!AA52+1)=1,EOMONTH('Deal maths'!AA52,-(INT(((YEAR('Deal maths'!AA52)-YEAR(IF('Deal maths'!Z52&gt;0,'Deal maths'!Z52,DATE(1990,1,1))))*12+MONTH('Deal maths'!AA52)-MONTH(IF('Deal maths'!Z52&gt;0,'Deal maths'!Z52,DATE(1990,1,1))))/D52))*D52),EDATE('Deal maths'!AA52,-(INT(((YEAR('Deal maths'!AA52)-YEAR(IF('Deal maths'!Z52&gt;0,'Deal maths'!Z52,DATE(1990,1,1))))*12+MONTH('Deal maths'!AA52)-MONTH(IF('Deal maths'!Z52&gt;0,'Deal maths'!Z52,DATE(1990,1,1))))/D52))*D52)),IF(DAY('Deal maths'!AA52+1)=1,EOMONTH('Deal maths'!AA52,-(INT(((YEAR('Deal maths'!AA52)-YEAR(IF('Deal maths'!Z52&gt;0,'Deal maths'!Z52,DATE(1990,1,1))))*12+MONTH('Deal maths'!AA52)-MONTH(IF('Deal maths'!Z52&gt;0,'Deal maths'!Z52,DATE(1990,1,1))))/D52)-1)*D52),EDATE('Deal maths'!AA52,-(INT(((YEAR('Deal maths'!AA52)-YEAR(IF('Deal maths'!Z52&gt;0,'Deal maths'!Z52,DATE(1990,1,1))))*12+MONTH('Deal maths'!AA52)-MONTH(IF('Deal maths'!Z52&gt;0,'Deal maths'!Z52,DATE(1990,1,1))))/D52)-1)*D52))))),0)</f>
        <v/>
      </c>
      <c r="F52" s="110">
        <f>IF(D52=0,0,'Deal maths'!AB52*D52/12)</f>
        <v/>
      </c>
      <c r="G52" s="108">
        <f>N52+O52</f>
        <v/>
      </c>
      <c r="H52" s="108">
        <f>IFERROR(IF(OR(D52=0,AsAt&lt;E52),0,MIN(N52,INT(((YEAR(AsAt)-YEAR(E52))*12+MONTH(AsAt)-MONTH(E52)-(DAY(AsAt)&lt;MIN(R52,DAY(EOMONTH(AsAt,0)))))/D52)+1)+O52*(AsAt&gt;='Deal maths'!AA52)),0)</f>
        <v/>
      </c>
      <c r="I52" s="108">
        <f>G52-H52</f>
        <v/>
      </c>
      <c r="J52" s="111">
        <f>IF(AND(C52="EIP",I52&gt;0),'Deal maths'!Y52/I52,0)</f>
        <v/>
      </c>
      <c r="K52" s="111">
        <f>IF(AND(C52="Annuity",I52&gt;0),IF(F52&gt;0,'Deal maths'!Y52*F52/(1-(1+F52)^-I52),'Deal maths'!Y52/I52),0)</f>
        <v/>
      </c>
      <c r="L52" s="111">
        <f>IF('Deal maths'!Y52="",0,'Deal maths'!Y52)</f>
        <v/>
      </c>
      <c r="M52" s="112">
        <f>F52+(F52=0)</f>
        <v/>
      </c>
      <c r="N52" s="108">
        <f>IFERROR(IF(D52=0,0,INT(((YEAR('Deal maths'!AA52)-YEAR(E52))*12+MONTH('Deal maths'!AA52)-MONTH(E52)-(DAY('Deal maths'!AA52)&lt;MIN(R52,DAY(EOMONTH('Deal maths'!AA52,0)))))/D52)+1),0)</f>
        <v/>
      </c>
      <c r="O52" s="108">
        <f>IFERROR(IF(D52=0,0,IF(IF(DAY(E52+1)=1,EOMONTH(E52,(N52-1)*D52),EDATE(E52,(N52-1)*D52))='Deal maths'!AA52,0,1)),0)</f>
        <v/>
      </c>
      <c r="P52" s="113">
        <f>IF(B52=0,0,IFERROR(IF(C52="EIP",((I52-O52)*((IF(DAY(E52+1)=1,EOMONTH(E52,H52*D52),EDATE(E52,H52*D52))-AsAt)/365.25+(IF(DAY(E52+1)=1,EOMONTH(E52,(N52-1)*D52),EDATE(E52,(N52-1)*D52))-AsAt)/365.25)/2+O52*('Deal maths'!AA52-AsAt)/365.25)/I52,IF(C52="Annuity",IF(F52&gt;0,((K52-L52*F52)*((IF(DAY(E52+1)=1,EOMONTH(E52,H52*D52),EDATE(E52,H52*D52))-AsAt)/365.25*((1+F52)^(I52-O52)-1)/F52+IF((I52-O52)&gt;1,((IF(DAY(E52+1)=1,EOMONTH(E52,(N52-1)*D52),EDATE(E52,(N52-1)*D52))-AsAt)/365.25-(IF(DAY(E52+1)=1,EOMONTH(E52,H52*D52),EDATE(E52,H52*D52))-AsAt)/365.25)/((I52-O52)-1),0)*(1+F52)*(1-(I52-O52)*(1+F52)^((I52-O52)-1)+((I52-O52)-1)*(1+F52)^(I52-O52))/F52^2)+O52*(K52-L52*F52)*(1+F52)^(I52-1)*('Deal maths'!AA52-AsAt)/365.25)/L52,((I52-O52)*((IF(DAY(E52+1)=1,EOMONTH(E52,H52*D52),EDATE(E52,H52*D52))-AsAt)/365.25+(IF(DAY(E52+1)=1,EOMONTH(E52,(N52-1)*D52),EDATE(E52,(N52-1)*D52))-AsAt)/365.25)/2+O52*('Deal maths'!AA52-AsAt)/365.25)/I52),(S52-AsAt)/365.25)),0))</f>
        <v/>
      </c>
      <c r="Q52" s="109">
        <f>IF(B52=1,'Deal maths'!AA52+ROW()/1000000,"")</f>
        <v/>
      </c>
      <c r="R52" s="108">
        <f>IF(D52=0,0,IF(DAY(E52+1)=1,31,DAY(E52)))</f>
        <v/>
      </c>
      <c r="S52" s="109">
        <f>IF(AND('Deal maths'!V52="LOBO",'Deal maths'!AG52&gt;AsAt,'Deal maths'!AG52&lt;'Deal maths'!AA52),'Deal maths'!AG52,'Deal maths'!AA52)</f>
        <v/>
      </c>
      <c r="T52" s="108">
        <f>('Deal maths'!AA52&gt;AsAt)*('Deal maths'!Y52&gt;0)</f>
        <v/>
      </c>
    </row>
    <row r="53">
      <c r="A53" s="91">
        <f>IF('Deal maths'!V53="","",'Deal maths'!W53)</f>
        <v/>
      </c>
      <c r="B53" s="108">
        <f>('Deal maths'!AA53&gt;AsAt)*('Deal maths'!Y53&gt;0)*('Deal maths'!Z53&lt;=AsAt)</f>
        <v/>
      </c>
      <c r="C53" s="91">
        <f>IF('Deal maths'!V53="","",IF('Deal maths'!AC53="","Maturity",'Deal maths'!AC53))</f>
        <v/>
      </c>
      <c r="D53" s="108">
        <f>IF(OR(C53="EIP",C53="Annuity"),IF('Deal maths'!AD53="Annual",12,IF('Deal maths'!AD53="Quarterly",3,6)),0)</f>
        <v/>
      </c>
      <c r="E53" s="109">
        <f>IFERROR(IF(D53=0,0,IF('Deal maths'!AE53&gt;0,IF('Deal maths'!AE53&gt;'Deal maths'!AA53,'Deal maths'!AA53,'Deal maths'!AE53),IF(IF(DAY('Deal maths'!AA53+1)=1,EOMONTH('Deal maths'!AA53,-(INT(((YEAR('Deal maths'!AA53)-YEAR(IF('Deal maths'!Z53&gt;0,'Deal maths'!Z53,DATE(1990,1,1))))*12+MONTH('Deal maths'!AA53)-MONTH(IF('Deal maths'!Z53&gt;0,'Deal maths'!Z53,DATE(1990,1,1))))/D53))*D53),EDATE('Deal maths'!AA53,-(INT(((YEAR('Deal maths'!AA53)-YEAR(IF('Deal maths'!Z53&gt;0,'Deal maths'!Z53,DATE(1990,1,1))))*12+MONTH('Deal maths'!AA53)-MONTH(IF('Deal maths'!Z53&gt;0,'Deal maths'!Z53,DATE(1990,1,1))))/D53))*D53))&gt;IF('Deal maths'!Z53&gt;0,'Deal maths'!Z53,DATE(1990,1,1)),IF(DAY('Deal maths'!AA53+1)=1,EOMONTH('Deal maths'!AA53,-(INT(((YEAR('Deal maths'!AA53)-YEAR(IF('Deal maths'!Z53&gt;0,'Deal maths'!Z53,DATE(1990,1,1))))*12+MONTH('Deal maths'!AA53)-MONTH(IF('Deal maths'!Z53&gt;0,'Deal maths'!Z53,DATE(1990,1,1))))/D53))*D53),EDATE('Deal maths'!AA53,-(INT(((YEAR('Deal maths'!AA53)-YEAR(IF('Deal maths'!Z53&gt;0,'Deal maths'!Z53,DATE(1990,1,1))))*12+MONTH('Deal maths'!AA53)-MONTH(IF('Deal maths'!Z53&gt;0,'Deal maths'!Z53,DATE(1990,1,1))))/D53))*D53)),IF(DAY('Deal maths'!AA53+1)=1,EOMONTH('Deal maths'!AA53,-(INT(((YEAR('Deal maths'!AA53)-YEAR(IF('Deal maths'!Z53&gt;0,'Deal maths'!Z53,DATE(1990,1,1))))*12+MONTH('Deal maths'!AA53)-MONTH(IF('Deal maths'!Z53&gt;0,'Deal maths'!Z53,DATE(1990,1,1))))/D53)-1)*D53),EDATE('Deal maths'!AA53,-(INT(((YEAR('Deal maths'!AA53)-YEAR(IF('Deal maths'!Z53&gt;0,'Deal maths'!Z53,DATE(1990,1,1))))*12+MONTH('Deal maths'!AA53)-MONTH(IF('Deal maths'!Z53&gt;0,'Deal maths'!Z53,DATE(1990,1,1))))/D53)-1)*D53))))),0)</f>
        <v/>
      </c>
      <c r="F53" s="110">
        <f>IF(D53=0,0,'Deal maths'!AB53*D53/12)</f>
        <v/>
      </c>
      <c r="G53" s="108">
        <f>N53+O53</f>
        <v/>
      </c>
      <c r="H53" s="108">
        <f>IFERROR(IF(OR(D53=0,AsAt&lt;E53),0,MIN(N53,INT(((YEAR(AsAt)-YEAR(E53))*12+MONTH(AsAt)-MONTH(E53)-(DAY(AsAt)&lt;MIN(R53,DAY(EOMONTH(AsAt,0)))))/D53)+1)+O53*(AsAt&gt;='Deal maths'!AA53)),0)</f>
        <v/>
      </c>
      <c r="I53" s="108">
        <f>G53-H53</f>
        <v/>
      </c>
      <c r="J53" s="111">
        <f>IF(AND(C53="EIP",I53&gt;0),'Deal maths'!Y53/I53,0)</f>
        <v/>
      </c>
      <c r="K53" s="111">
        <f>IF(AND(C53="Annuity",I53&gt;0),IF(F53&gt;0,'Deal maths'!Y53*F53/(1-(1+F53)^-I53),'Deal maths'!Y53/I53),0)</f>
        <v/>
      </c>
      <c r="L53" s="111">
        <f>IF('Deal maths'!Y53="",0,'Deal maths'!Y53)</f>
        <v/>
      </c>
      <c r="M53" s="112">
        <f>F53+(F53=0)</f>
        <v/>
      </c>
      <c r="N53" s="108">
        <f>IFERROR(IF(D53=0,0,INT(((YEAR('Deal maths'!AA53)-YEAR(E53))*12+MONTH('Deal maths'!AA53)-MONTH(E53)-(DAY('Deal maths'!AA53)&lt;MIN(R53,DAY(EOMONTH('Deal maths'!AA53,0)))))/D53)+1),0)</f>
        <v/>
      </c>
      <c r="O53" s="108">
        <f>IFERROR(IF(D53=0,0,IF(IF(DAY(E53+1)=1,EOMONTH(E53,(N53-1)*D53),EDATE(E53,(N53-1)*D53))='Deal maths'!AA53,0,1)),0)</f>
        <v/>
      </c>
      <c r="P53" s="113">
        <f>IF(B53=0,0,IFERROR(IF(C53="EIP",((I53-O53)*((IF(DAY(E53+1)=1,EOMONTH(E53,H53*D53),EDATE(E53,H53*D53))-AsAt)/365.25+(IF(DAY(E53+1)=1,EOMONTH(E53,(N53-1)*D53),EDATE(E53,(N53-1)*D53))-AsAt)/365.25)/2+O53*('Deal maths'!AA53-AsAt)/365.25)/I53,IF(C53="Annuity",IF(F53&gt;0,((K53-L53*F53)*((IF(DAY(E53+1)=1,EOMONTH(E53,H53*D53),EDATE(E53,H53*D53))-AsAt)/365.25*((1+F53)^(I53-O53)-1)/F53+IF((I53-O53)&gt;1,((IF(DAY(E53+1)=1,EOMONTH(E53,(N53-1)*D53),EDATE(E53,(N53-1)*D53))-AsAt)/365.25-(IF(DAY(E53+1)=1,EOMONTH(E53,H53*D53),EDATE(E53,H53*D53))-AsAt)/365.25)/((I53-O53)-1),0)*(1+F53)*(1-(I53-O53)*(1+F53)^((I53-O53)-1)+((I53-O53)-1)*(1+F53)^(I53-O53))/F53^2)+O53*(K53-L53*F53)*(1+F53)^(I53-1)*('Deal maths'!AA53-AsAt)/365.25)/L53,((I53-O53)*((IF(DAY(E53+1)=1,EOMONTH(E53,H53*D53),EDATE(E53,H53*D53))-AsAt)/365.25+(IF(DAY(E53+1)=1,EOMONTH(E53,(N53-1)*D53),EDATE(E53,(N53-1)*D53))-AsAt)/365.25)/2+O53*('Deal maths'!AA53-AsAt)/365.25)/I53),(S53-AsAt)/365.25)),0))</f>
        <v/>
      </c>
      <c r="Q53" s="109">
        <f>IF(B53=1,'Deal maths'!AA53+ROW()/1000000,"")</f>
        <v/>
      </c>
      <c r="R53" s="108">
        <f>IF(D53=0,0,IF(DAY(E53+1)=1,31,DAY(E53)))</f>
        <v/>
      </c>
      <c r="S53" s="109">
        <f>IF(AND('Deal maths'!V53="LOBO",'Deal maths'!AG53&gt;AsAt,'Deal maths'!AG53&lt;'Deal maths'!AA53),'Deal maths'!AG53,'Deal maths'!AA53)</f>
        <v/>
      </c>
      <c r="T53" s="108">
        <f>('Deal maths'!AA53&gt;AsAt)*('Deal maths'!Y53&gt;0)</f>
        <v/>
      </c>
    </row>
    <row r="54">
      <c r="A54" s="91">
        <f>IF('Deal maths'!V54="","",'Deal maths'!W54)</f>
        <v/>
      </c>
      <c r="B54" s="108">
        <f>('Deal maths'!AA54&gt;AsAt)*('Deal maths'!Y54&gt;0)*('Deal maths'!Z54&lt;=AsAt)</f>
        <v/>
      </c>
      <c r="C54" s="91">
        <f>IF('Deal maths'!V54="","",IF('Deal maths'!AC54="","Maturity",'Deal maths'!AC54))</f>
        <v/>
      </c>
      <c r="D54" s="108">
        <f>IF(OR(C54="EIP",C54="Annuity"),IF('Deal maths'!AD54="Annual",12,IF('Deal maths'!AD54="Quarterly",3,6)),0)</f>
        <v/>
      </c>
      <c r="E54" s="109">
        <f>IFERROR(IF(D54=0,0,IF('Deal maths'!AE54&gt;0,IF('Deal maths'!AE54&gt;'Deal maths'!AA54,'Deal maths'!AA54,'Deal maths'!AE54),IF(IF(DAY('Deal maths'!AA54+1)=1,EOMONTH('Deal maths'!AA54,-(INT(((YEAR('Deal maths'!AA54)-YEAR(IF('Deal maths'!Z54&gt;0,'Deal maths'!Z54,DATE(1990,1,1))))*12+MONTH('Deal maths'!AA54)-MONTH(IF('Deal maths'!Z54&gt;0,'Deal maths'!Z54,DATE(1990,1,1))))/D54))*D54),EDATE('Deal maths'!AA54,-(INT(((YEAR('Deal maths'!AA54)-YEAR(IF('Deal maths'!Z54&gt;0,'Deal maths'!Z54,DATE(1990,1,1))))*12+MONTH('Deal maths'!AA54)-MONTH(IF('Deal maths'!Z54&gt;0,'Deal maths'!Z54,DATE(1990,1,1))))/D54))*D54))&gt;IF('Deal maths'!Z54&gt;0,'Deal maths'!Z54,DATE(1990,1,1)),IF(DAY('Deal maths'!AA54+1)=1,EOMONTH('Deal maths'!AA54,-(INT(((YEAR('Deal maths'!AA54)-YEAR(IF('Deal maths'!Z54&gt;0,'Deal maths'!Z54,DATE(1990,1,1))))*12+MONTH('Deal maths'!AA54)-MONTH(IF('Deal maths'!Z54&gt;0,'Deal maths'!Z54,DATE(1990,1,1))))/D54))*D54),EDATE('Deal maths'!AA54,-(INT(((YEAR('Deal maths'!AA54)-YEAR(IF('Deal maths'!Z54&gt;0,'Deal maths'!Z54,DATE(1990,1,1))))*12+MONTH('Deal maths'!AA54)-MONTH(IF('Deal maths'!Z54&gt;0,'Deal maths'!Z54,DATE(1990,1,1))))/D54))*D54)),IF(DAY('Deal maths'!AA54+1)=1,EOMONTH('Deal maths'!AA54,-(INT(((YEAR('Deal maths'!AA54)-YEAR(IF('Deal maths'!Z54&gt;0,'Deal maths'!Z54,DATE(1990,1,1))))*12+MONTH('Deal maths'!AA54)-MONTH(IF('Deal maths'!Z54&gt;0,'Deal maths'!Z54,DATE(1990,1,1))))/D54)-1)*D54),EDATE('Deal maths'!AA54,-(INT(((YEAR('Deal maths'!AA54)-YEAR(IF('Deal maths'!Z54&gt;0,'Deal maths'!Z54,DATE(1990,1,1))))*12+MONTH('Deal maths'!AA54)-MONTH(IF('Deal maths'!Z54&gt;0,'Deal maths'!Z54,DATE(1990,1,1))))/D54)-1)*D54))))),0)</f>
        <v/>
      </c>
      <c r="F54" s="110">
        <f>IF(D54=0,0,'Deal maths'!AB54*D54/12)</f>
        <v/>
      </c>
      <c r="G54" s="108">
        <f>N54+O54</f>
        <v/>
      </c>
      <c r="H54" s="108">
        <f>IFERROR(IF(OR(D54=0,AsAt&lt;E54),0,MIN(N54,INT(((YEAR(AsAt)-YEAR(E54))*12+MONTH(AsAt)-MONTH(E54)-(DAY(AsAt)&lt;MIN(R54,DAY(EOMONTH(AsAt,0)))))/D54)+1)+O54*(AsAt&gt;='Deal maths'!AA54)),0)</f>
        <v/>
      </c>
      <c r="I54" s="108">
        <f>G54-H54</f>
        <v/>
      </c>
      <c r="J54" s="111">
        <f>IF(AND(C54="EIP",I54&gt;0),'Deal maths'!Y54/I54,0)</f>
        <v/>
      </c>
      <c r="K54" s="111">
        <f>IF(AND(C54="Annuity",I54&gt;0),IF(F54&gt;0,'Deal maths'!Y54*F54/(1-(1+F54)^-I54),'Deal maths'!Y54/I54),0)</f>
        <v/>
      </c>
      <c r="L54" s="111">
        <f>IF('Deal maths'!Y54="",0,'Deal maths'!Y54)</f>
        <v/>
      </c>
      <c r="M54" s="112">
        <f>F54+(F54=0)</f>
        <v/>
      </c>
      <c r="N54" s="108">
        <f>IFERROR(IF(D54=0,0,INT(((YEAR('Deal maths'!AA54)-YEAR(E54))*12+MONTH('Deal maths'!AA54)-MONTH(E54)-(DAY('Deal maths'!AA54)&lt;MIN(R54,DAY(EOMONTH('Deal maths'!AA54,0)))))/D54)+1),0)</f>
        <v/>
      </c>
      <c r="O54" s="108">
        <f>IFERROR(IF(D54=0,0,IF(IF(DAY(E54+1)=1,EOMONTH(E54,(N54-1)*D54),EDATE(E54,(N54-1)*D54))='Deal maths'!AA54,0,1)),0)</f>
        <v/>
      </c>
      <c r="P54" s="113">
        <f>IF(B54=0,0,IFERROR(IF(C54="EIP",((I54-O54)*((IF(DAY(E54+1)=1,EOMONTH(E54,H54*D54),EDATE(E54,H54*D54))-AsAt)/365.25+(IF(DAY(E54+1)=1,EOMONTH(E54,(N54-1)*D54),EDATE(E54,(N54-1)*D54))-AsAt)/365.25)/2+O54*('Deal maths'!AA54-AsAt)/365.25)/I54,IF(C54="Annuity",IF(F54&gt;0,((K54-L54*F54)*((IF(DAY(E54+1)=1,EOMONTH(E54,H54*D54),EDATE(E54,H54*D54))-AsAt)/365.25*((1+F54)^(I54-O54)-1)/F54+IF((I54-O54)&gt;1,((IF(DAY(E54+1)=1,EOMONTH(E54,(N54-1)*D54),EDATE(E54,(N54-1)*D54))-AsAt)/365.25-(IF(DAY(E54+1)=1,EOMONTH(E54,H54*D54),EDATE(E54,H54*D54))-AsAt)/365.25)/((I54-O54)-1),0)*(1+F54)*(1-(I54-O54)*(1+F54)^((I54-O54)-1)+((I54-O54)-1)*(1+F54)^(I54-O54))/F54^2)+O54*(K54-L54*F54)*(1+F54)^(I54-1)*('Deal maths'!AA54-AsAt)/365.25)/L54,((I54-O54)*((IF(DAY(E54+1)=1,EOMONTH(E54,H54*D54),EDATE(E54,H54*D54))-AsAt)/365.25+(IF(DAY(E54+1)=1,EOMONTH(E54,(N54-1)*D54),EDATE(E54,(N54-1)*D54))-AsAt)/365.25)/2+O54*('Deal maths'!AA54-AsAt)/365.25)/I54),(S54-AsAt)/365.25)),0))</f>
        <v/>
      </c>
      <c r="Q54" s="109">
        <f>IF(B54=1,'Deal maths'!AA54+ROW()/1000000,"")</f>
        <v/>
      </c>
      <c r="R54" s="108">
        <f>IF(D54=0,0,IF(DAY(E54+1)=1,31,DAY(E54)))</f>
        <v/>
      </c>
      <c r="S54" s="109">
        <f>IF(AND('Deal maths'!V54="LOBO",'Deal maths'!AG54&gt;AsAt,'Deal maths'!AG54&lt;'Deal maths'!AA54),'Deal maths'!AG54,'Deal maths'!AA54)</f>
        <v/>
      </c>
      <c r="T54" s="108">
        <f>('Deal maths'!AA54&gt;AsAt)*('Deal maths'!Y54&gt;0)</f>
        <v/>
      </c>
    </row>
    <row r="55">
      <c r="A55" s="91">
        <f>IF('Deal maths'!V55="","",'Deal maths'!W55)</f>
        <v/>
      </c>
      <c r="B55" s="108">
        <f>('Deal maths'!AA55&gt;AsAt)*('Deal maths'!Y55&gt;0)*('Deal maths'!Z55&lt;=AsAt)</f>
        <v/>
      </c>
      <c r="C55" s="91">
        <f>IF('Deal maths'!V55="","",IF('Deal maths'!AC55="","Maturity",'Deal maths'!AC55))</f>
        <v/>
      </c>
      <c r="D55" s="108">
        <f>IF(OR(C55="EIP",C55="Annuity"),IF('Deal maths'!AD55="Annual",12,IF('Deal maths'!AD55="Quarterly",3,6)),0)</f>
        <v/>
      </c>
      <c r="E55" s="109">
        <f>IFERROR(IF(D55=0,0,IF('Deal maths'!AE55&gt;0,IF('Deal maths'!AE55&gt;'Deal maths'!AA55,'Deal maths'!AA55,'Deal maths'!AE55),IF(IF(DAY('Deal maths'!AA55+1)=1,EOMONTH('Deal maths'!AA55,-(INT(((YEAR('Deal maths'!AA55)-YEAR(IF('Deal maths'!Z55&gt;0,'Deal maths'!Z55,DATE(1990,1,1))))*12+MONTH('Deal maths'!AA55)-MONTH(IF('Deal maths'!Z55&gt;0,'Deal maths'!Z55,DATE(1990,1,1))))/D55))*D55),EDATE('Deal maths'!AA55,-(INT(((YEAR('Deal maths'!AA55)-YEAR(IF('Deal maths'!Z55&gt;0,'Deal maths'!Z55,DATE(1990,1,1))))*12+MONTH('Deal maths'!AA55)-MONTH(IF('Deal maths'!Z55&gt;0,'Deal maths'!Z55,DATE(1990,1,1))))/D55))*D55))&gt;IF('Deal maths'!Z55&gt;0,'Deal maths'!Z55,DATE(1990,1,1)),IF(DAY('Deal maths'!AA55+1)=1,EOMONTH('Deal maths'!AA55,-(INT(((YEAR('Deal maths'!AA55)-YEAR(IF('Deal maths'!Z55&gt;0,'Deal maths'!Z55,DATE(1990,1,1))))*12+MONTH('Deal maths'!AA55)-MONTH(IF('Deal maths'!Z55&gt;0,'Deal maths'!Z55,DATE(1990,1,1))))/D55))*D55),EDATE('Deal maths'!AA55,-(INT(((YEAR('Deal maths'!AA55)-YEAR(IF('Deal maths'!Z55&gt;0,'Deal maths'!Z55,DATE(1990,1,1))))*12+MONTH('Deal maths'!AA55)-MONTH(IF('Deal maths'!Z55&gt;0,'Deal maths'!Z55,DATE(1990,1,1))))/D55))*D55)),IF(DAY('Deal maths'!AA55+1)=1,EOMONTH('Deal maths'!AA55,-(INT(((YEAR('Deal maths'!AA55)-YEAR(IF('Deal maths'!Z55&gt;0,'Deal maths'!Z55,DATE(1990,1,1))))*12+MONTH('Deal maths'!AA55)-MONTH(IF('Deal maths'!Z55&gt;0,'Deal maths'!Z55,DATE(1990,1,1))))/D55)-1)*D55),EDATE('Deal maths'!AA55,-(INT(((YEAR('Deal maths'!AA55)-YEAR(IF('Deal maths'!Z55&gt;0,'Deal maths'!Z55,DATE(1990,1,1))))*12+MONTH('Deal maths'!AA55)-MONTH(IF('Deal maths'!Z55&gt;0,'Deal maths'!Z55,DATE(1990,1,1))))/D55)-1)*D55))))),0)</f>
        <v/>
      </c>
      <c r="F55" s="110">
        <f>IF(D55=0,0,'Deal maths'!AB55*D55/12)</f>
        <v/>
      </c>
      <c r="G55" s="108">
        <f>N55+O55</f>
        <v/>
      </c>
      <c r="H55" s="108">
        <f>IFERROR(IF(OR(D55=0,AsAt&lt;E55),0,MIN(N55,INT(((YEAR(AsAt)-YEAR(E55))*12+MONTH(AsAt)-MONTH(E55)-(DAY(AsAt)&lt;MIN(R55,DAY(EOMONTH(AsAt,0)))))/D55)+1)+O55*(AsAt&gt;='Deal maths'!AA55)),0)</f>
        <v/>
      </c>
      <c r="I55" s="108">
        <f>G55-H55</f>
        <v/>
      </c>
      <c r="J55" s="111">
        <f>IF(AND(C55="EIP",I55&gt;0),'Deal maths'!Y55/I55,0)</f>
        <v/>
      </c>
      <c r="K55" s="111">
        <f>IF(AND(C55="Annuity",I55&gt;0),IF(F55&gt;0,'Deal maths'!Y55*F55/(1-(1+F55)^-I55),'Deal maths'!Y55/I55),0)</f>
        <v/>
      </c>
      <c r="L55" s="111">
        <f>IF('Deal maths'!Y55="",0,'Deal maths'!Y55)</f>
        <v/>
      </c>
      <c r="M55" s="112">
        <f>F55+(F55=0)</f>
        <v/>
      </c>
      <c r="N55" s="108">
        <f>IFERROR(IF(D55=0,0,INT(((YEAR('Deal maths'!AA55)-YEAR(E55))*12+MONTH('Deal maths'!AA55)-MONTH(E55)-(DAY('Deal maths'!AA55)&lt;MIN(R55,DAY(EOMONTH('Deal maths'!AA55,0)))))/D55)+1),0)</f>
        <v/>
      </c>
      <c r="O55" s="108">
        <f>IFERROR(IF(D55=0,0,IF(IF(DAY(E55+1)=1,EOMONTH(E55,(N55-1)*D55),EDATE(E55,(N55-1)*D55))='Deal maths'!AA55,0,1)),0)</f>
        <v/>
      </c>
      <c r="P55" s="113">
        <f>IF(B55=0,0,IFERROR(IF(C55="EIP",((I55-O55)*((IF(DAY(E55+1)=1,EOMONTH(E55,H55*D55),EDATE(E55,H55*D55))-AsAt)/365.25+(IF(DAY(E55+1)=1,EOMONTH(E55,(N55-1)*D55),EDATE(E55,(N55-1)*D55))-AsAt)/365.25)/2+O55*('Deal maths'!AA55-AsAt)/365.25)/I55,IF(C55="Annuity",IF(F55&gt;0,((K55-L55*F55)*((IF(DAY(E55+1)=1,EOMONTH(E55,H55*D55),EDATE(E55,H55*D55))-AsAt)/365.25*((1+F55)^(I55-O55)-1)/F55+IF((I55-O55)&gt;1,((IF(DAY(E55+1)=1,EOMONTH(E55,(N55-1)*D55),EDATE(E55,(N55-1)*D55))-AsAt)/365.25-(IF(DAY(E55+1)=1,EOMONTH(E55,H55*D55),EDATE(E55,H55*D55))-AsAt)/365.25)/((I55-O55)-1),0)*(1+F55)*(1-(I55-O55)*(1+F55)^((I55-O55)-1)+((I55-O55)-1)*(1+F55)^(I55-O55))/F55^2)+O55*(K55-L55*F55)*(1+F55)^(I55-1)*('Deal maths'!AA55-AsAt)/365.25)/L55,((I55-O55)*((IF(DAY(E55+1)=1,EOMONTH(E55,H55*D55),EDATE(E55,H55*D55))-AsAt)/365.25+(IF(DAY(E55+1)=1,EOMONTH(E55,(N55-1)*D55),EDATE(E55,(N55-1)*D55))-AsAt)/365.25)/2+O55*('Deal maths'!AA55-AsAt)/365.25)/I55),(S55-AsAt)/365.25)),0))</f>
        <v/>
      </c>
      <c r="Q55" s="109">
        <f>IF(B55=1,'Deal maths'!AA55+ROW()/1000000,"")</f>
        <v/>
      </c>
      <c r="R55" s="108">
        <f>IF(D55=0,0,IF(DAY(E55+1)=1,31,DAY(E55)))</f>
        <v/>
      </c>
      <c r="S55" s="109">
        <f>IF(AND('Deal maths'!V55="LOBO",'Deal maths'!AG55&gt;AsAt,'Deal maths'!AG55&lt;'Deal maths'!AA55),'Deal maths'!AG55,'Deal maths'!AA55)</f>
        <v/>
      </c>
      <c r="T55" s="108">
        <f>('Deal maths'!AA55&gt;AsAt)*('Deal maths'!Y55&gt;0)</f>
        <v/>
      </c>
    </row>
    <row r="56">
      <c r="A56" s="91">
        <f>IF('Deal maths'!V56="","",'Deal maths'!W56)</f>
        <v/>
      </c>
      <c r="B56" s="108">
        <f>('Deal maths'!AA56&gt;AsAt)*('Deal maths'!Y56&gt;0)*('Deal maths'!Z56&lt;=AsAt)</f>
        <v/>
      </c>
      <c r="C56" s="91">
        <f>IF('Deal maths'!V56="","",IF('Deal maths'!AC56="","Maturity",'Deal maths'!AC56))</f>
        <v/>
      </c>
      <c r="D56" s="108">
        <f>IF(OR(C56="EIP",C56="Annuity"),IF('Deal maths'!AD56="Annual",12,IF('Deal maths'!AD56="Quarterly",3,6)),0)</f>
        <v/>
      </c>
      <c r="E56" s="109">
        <f>IFERROR(IF(D56=0,0,IF('Deal maths'!AE56&gt;0,IF('Deal maths'!AE56&gt;'Deal maths'!AA56,'Deal maths'!AA56,'Deal maths'!AE56),IF(IF(DAY('Deal maths'!AA56+1)=1,EOMONTH('Deal maths'!AA56,-(INT(((YEAR('Deal maths'!AA56)-YEAR(IF('Deal maths'!Z56&gt;0,'Deal maths'!Z56,DATE(1990,1,1))))*12+MONTH('Deal maths'!AA56)-MONTH(IF('Deal maths'!Z56&gt;0,'Deal maths'!Z56,DATE(1990,1,1))))/D56))*D56),EDATE('Deal maths'!AA56,-(INT(((YEAR('Deal maths'!AA56)-YEAR(IF('Deal maths'!Z56&gt;0,'Deal maths'!Z56,DATE(1990,1,1))))*12+MONTH('Deal maths'!AA56)-MONTH(IF('Deal maths'!Z56&gt;0,'Deal maths'!Z56,DATE(1990,1,1))))/D56))*D56))&gt;IF('Deal maths'!Z56&gt;0,'Deal maths'!Z56,DATE(1990,1,1)),IF(DAY('Deal maths'!AA56+1)=1,EOMONTH('Deal maths'!AA56,-(INT(((YEAR('Deal maths'!AA56)-YEAR(IF('Deal maths'!Z56&gt;0,'Deal maths'!Z56,DATE(1990,1,1))))*12+MONTH('Deal maths'!AA56)-MONTH(IF('Deal maths'!Z56&gt;0,'Deal maths'!Z56,DATE(1990,1,1))))/D56))*D56),EDATE('Deal maths'!AA56,-(INT(((YEAR('Deal maths'!AA56)-YEAR(IF('Deal maths'!Z56&gt;0,'Deal maths'!Z56,DATE(1990,1,1))))*12+MONTH('Deal maths'!AA56)-MONTH(IF('Deal maths'!Z56&gt;0,'Deal maths'!Z56,DATE(1990,1,1))))/D56))*D56)),IF(DAY('Deal maths'!AA56+1)=1,EOMONTH('Deal maths'!AA56,-(INT(((YEAR('Deal maths'!AA56)-YEAR(IF('Deal maths'!Z56&gt;0,'Deal maths'!Z56,DATE(1990,1,1))))*12+MONTH('Deal maths'!AA56)-MONTH(IF('Deal maths'!Z56&gt;0,'Deal maths'!Z56,DATE(1990,1,1))))/D56)-1)*D56),EDATE('Deal maths'!AA56,-(INT(((YEAR('Deal maths'!AA56)-YEAR(IF('Deal maths'!Z56&gt;0,'Deal maths'!Z56,DATE(1990,1,1))))*12+MONTH('Deal maths'!AA56)-MONTH(IF('Deal maths'!Z56&gt;0,'Deal maths'!Z56,DATE(1990,1,1))))/D56)-1)*D56))))),0)</f>
        <v/>
      </c>
      <c r="F56" s="110">
        <f>IF(D56=0,0,'Deal maths'!AB56*D56/12)</f>
        <v/>
      </c>
      <c r="G56" s="108">
        <f>N56+O56</f>
        <v/>
      </c>
      <c r="H56" s="108">
        <f>IFERROR(IF(OR(D56=0,AsAt&lt;E56),0,MIN(N56,INT(((YEAR(AsAt)-YEAR(E56))*12+MONTH(AsAt)-MONTH(E56)-(DAY(AsAt)&lt;MIN(R56,DAY(EOMONTH(AsAt,0)))))/D56)+1)+O56*(AsAt&gt;='Deal maths'!AA56)),0)</f>
        <v/>
      </c>
      <c r="I56" s="108">
        <f>G56-H56</f>
        <v/>
      </c>
      <c r="J56" s="111">
        <f>IF(AND(C56="EIP",I56&gt;0),'Deal maths'!Y56/I56,0)</f>
        <v/>
      </c>
      <c r="K56" s="111">
        <f>IF(AND(C56="Annuity",I56&gt;0),IF(F56&gt;0,'Deal maths'!Y56*F56/(1-(1+F56)^-I56),'Deal maths'!Y56/I56),0)</f>
        <v/>
      </c>
      <c r="L56" s="111">
        <f>IF('Deal maths'!Y56="",0,'Deal maths'!Y56)</f>
        <v/>
      </c>
      <c r="M56" s="112">
        <f>F56+(F56=0)</f>
        <v/>
      </c>
      <c r="N56" s="108">
        <f>IFERROR(IF(D56=0,0,INT(((YEAR('Deal maths'!AA56)-YEAR(E56))*12+MONTH('Deal maths'!AA56)-MONTH(E56)-(DAY('Deal maths'!AA56)&lt;MIN(R56,DAY(EOMONTH('Deal maths'!AA56,0)))))/D56)+1),0)</f>
        <v/>
      </c>
      <c r="O56" s="108">
        <f>IFERROR(IF(D56=0,0,IF(IF(DAY(E56+1)=1,EOMONTH(E56,(N56-1)*D56),EDATE(E56,(N56-1)*D56))='Deal maths'!AA56,0,1)),0)</f>
        <v/>
      </c>
      <c r="P56" s="113">
        <f>IF(B56=0,0,IFERROR(IF(C56="EIP",((I56-O56)*((IF(DAY(E56+1)=1,EOMONTH(E56,H56*D56),EDATE(E56,H56*D56))-AsAt)/365.25+(IF(DAY(E56+1)=1,EOMONTH(E56,(N56-1)*D56),EDATE(E56,(N56-1)*D56))-AsAt)/365.25)/2+O56*('Deal maths'!AA56-AsAt)/365.25)/I56,IF(C56="Annuity",IF(F56&gt;0,((K56-L56*F56)*((IF(DAY(E56+1)=1,EOMONTH(E56,H56*D56),EDATE(E56,H56*D56))-AsAt)/365.25*((1+F56)^(I56-O56)-1)/F56+IF((I56-O56)&gt;1,((IF(DAY(E56+1)=1,EOMONTH(E56,(N56-1)*D56),EDATE(E56,(N56-1)*D56))-AsAt)/365.25-(IF(DAY(E56+1)=1,EOMONTH(E56,H56*D56),EDATE(E56,H56*D56))-AsAt)/365.25)/((I56-O56)-1),0)*(1+F56)*(1-(I56-O56)*(1+F56)^((I56-O56)-1)+((I56-O56)-1)*(1+F56)^(I56-O56))/F56^2)+O56*(K56-L56*F56)*(1+F56)^(I56-1)*('Deal maths'!AA56-AsAt)/365.25)/L56,((I56-O56)*((IF(DAY(E56+1)=1,EOMONTH(E56,H56*D56),EDATE(E56,H56*D56))-AsAt)/365.25+(IF(DAY(E56+1)=1,EOMONTH(E56,(N56-1)*D56),EDATE(E56,(N56-1)*D56))-AsAt)/365.25)/2+O56*('Deal maths'!AA56-AsAt)/365.25)/I56),(S56-AsAt)/365.25)),0))</f>
        <v/>
      </c>
      <c r="Q56" s="109">
        <f>IF(B56=1,'Deal maths'!AA56+ROW()/1000000,"")</f>
        <v/>
      </c>
      <c r="R56" s="108">
        <f>IF(D56=0,0,IF(DAY(E56+1)=1,31,DAY(E56)))</f>
        <v/>
      </c>
      <c r="S56" s="109">
        <f>IF(AND('Deal maths'!V56="LOBO",'Deal maths'!AG56&gt;AsAt,'Deal maths'!AG56&lt;'Deal maths'!AA56),'Deal maths'!AG56,'Deal maths'!AA56)</f>
        <v/>
      </c>
      <c r="T56" s="108">
        <f>('Deal maths'!AA56&gt;AsAt)*('Deal maths'!Y56&gt;0)</f>
        <v/>
      </c>
    </row>
    <row r="57">
      <c r="A57" s="91">
        <f>IF('Deal maths'!V57="","",'Deal maths'!W57)</f>
        <v/>
      </c>
      <c r="B57" s="108">
        <f>('Deal maths'!AA57&gt;AsAt)*('Deal maths'!Y57&gt;0)*('Deal maths'!Z57&lt;=AsAt)</f>
        <v/>
      </c>
      <c r="C57" s="91">
        <f>IF('Deal maths'!V57="","",IF('Deal maths'!AC57="","Maturity",'Deal maths'!AC57))</f>
        <v/>
      </c>
      <c r="D57" s="108">
        <f>IF(OR(C57="EIP",C57="Annuity"),IF('Deal maths'!AD57="Annual",12,IF('Deal maths'!AD57="Quarterly",3,6)),0)</f>
        <v/>
      </c>
      <c r="E57" s="109">
        <f>IFERROR(IF(D57=0,0,IF('Deal maths'!AE57&gt;0,IF('Deal maths'!AE57&gt;'Deal maths'!AA57,'Deal maths'!AA57,'Deal maths'!AE57),IF(IF(DAY('Deal maths'!AA57+1)=1,EOMONTH('Deal maths'!AA57,-(INT(((YEAR('Deal maths'!AA57)-YEAR(IF('Deal maths'!Z57&gt;0,'Deal maths'!Z57,DATE(1990,1,1))))*12+MONTH('Deal maths'!AA57)-MONTH(IF('Deal maths'!Z57&gt;0,'Deal maths'!Z57,DATE(1990,1,1))))/D57))*D57),EDATE('Deal maths'!AA57,-(INT(((YEAR('Deal maths'!AA57)-YEAR(IF('Deal maths'!Z57&gt;0,'Deal maths'!Z57,DATE(1990,1,1))))*12+MONTH('Deal maths'!AA57)-MONTH(IF('Deal maths'!Z57&gt;0,'Deal maths'!Z57,DATE(1990,1,1))))/D57))*D57))&gt;IF('Deal maths'!Z57&gt;0,'Deal maths'!Z57,DATE(1990,1,1)),IF(DAY('Deal maths'!AA57+1)=1,EOMONTH('Deal maths'!AA57,-(INT(((YEAR('Deal maths'!AA57)-YEAR(IF('Deal maths'!Z57&gt;0,'Deal maths'!Z57,DATE(1990,1,1))))*12+MONTH('Deal maths'!AA57)-MONTH(IF('Deal maths'!Z57&gt;0,'Deal maths'!Z57,DATE(1990,1,1))))/D57))*D57),EDATE('Deal maths'!AA57,-(INT(((YEAR('Deal maths'!AA57)-YEAR(IF('Deal maths'!Z57&gt;0,'Deal maths'!Z57,DATE(1990,1,1))))*12+MONTH('Deal maths'!AA57)-MONTH(IF('Deal maths'!Z57&gt;0,'Deal maths'!Z57,DATE(1990,1,1))))/D57))*D57)),IF(DAY('Deal maths'!AA57+1)=1,EOMONTH('Deal maths'!AA57,-(INT(((YEAR('Deal maths'!AA57)-YEAR(IF('Deal maths'!Z57&gt;0,'Deal maths'!Z57,DATE(1990,1,1))))*12+MONTH('Deal maths'!AA57)-MONTH(IF('Deal maths'!Z57&gt;0,'Deal maths'!Z57,DATE(1990,1,1))))/D57)-1)*D57),EDATE('Deal maths'!AA57,-(INT(((YEAR('Deal maths'!AA57)-YEAR(IF('Deal maths'!Z57&gt;0,'Deal maths'!Z57,DATE(1990,1,1))))*12+MONTH('Deal maths'!AA57)-MONTH(IF('Deal maths'!Z57&gt;0,'Deal maths'!Z57,DATE(1990,1,1))))/D57)-1)*D57))))),0)</f>
        <v/>
      </c>
      <c r="F57" s="110">
        <f>IF(D57=0,0,'Deal maths'!AB57*D57/12)</f>
        <v/>
      </c>
      <c r="G57" s="108">
        <f>N57+O57</f>
        <v/>
      </c>
      <c r="H57" s="108">
        <f>IFERROR(IF(OR(D57=0,AsAt&lt;E57),0,MIN(N57,INT(((YEAR(AsAt)-YEAR(E57))*12+MONTH(AsAt)-MONTH(E57)-(DAY(AsAt)&lt;MIN(R57,DAY(EOMONTH(AsAt,0)))))/D57)+1)+O57*(AsAt&gt;='Deal maths'!AA57)),0)</f>
        <v/>
      </c>
      <c r="I57" s="108">
        <f>G57-H57</f>
        <v/>
      </c>
      <c r="J57" s="111">
        <f>IF(AND(C57="EIP",I57&gt;0),'Deal maths'!Y57/I57,0)</f>
        <v/>
      </c>
      <c r="K57" s="111">
        <f>IF(AND(C57="Annuity",I57&gt;0),IF(F57&gt;0,'Deal maths'!Y57*F57/(1-(1+F57)^-I57),'Deal maths'!Y57/I57),0)</f>
        <v/>
      </c>
      <c r="L57" s="111">
        <f>IF('Deal maths'!Y57="",0,'Deal maths'!Y57)</f>
        <v/>
      </c>
      <c r="M57" s="112">
        <f>F57+(F57=0)</f>
        <v/>
      </c>
      <c r="N57" s="108">
        <f>IFERROR(IF(D57=0,0,INT(((YEAR('Deal maths'!AA57)-YEAR(E57))*12+MONTH('Deal maths'!AA57)-MONTH(E57)-(DAY('Deal maths'!AA57)&lt;MIN(R57,DAY(EOMONTH('Deal maths'!AA57,0)))))/D57)+1),0)</f>
        <v/>
      </c>
      <c r="O57" s="108">
        <f>IFERROR(IF(D57=0,0,IF(IF(DAY(E57+1)=1,EOMONTH(E57,(N57-1)*D57),EDATE(E57,(N57-1)*D57))='Deal maths'!AA57,0,1)),0)</f>
        <v/>
      </c>
      <c r="P57" s="113">
        <f>IF(B57=0,0,IFERROR(IF(C57="EIP",((I57-O57)*((IF(DAY(E57+1)=1,EOMONTH(E57,H57*D57),EDATE(E57,H57*D57))-AsAt)/365.25+(IF(DAY(E57+1)=1,EOMONTH(E57,(N57-1)*D57),EDATE(E57,(N57-1)*D57))-AsAt)/365.25)/2+O57*('Deal maths'!AA57-AsAt)/365.25)/I57,IF(C57="Annuity",IF(F57&gt;0,((K57-L57*F57)*((IF(DAY(E57+1)=1,EOMONTH(E57,H57*D57),EDATE(E57,H57*D57))-AsAt)/365.25*((1+F57)^(I57-O57)-1)/F57+IF((I57-O57)&gt;1,((IF(DAY(E57+1)=1,EOMONTH(E57,(N57-1)*D57),EDATE(E57,(N57-1)*D57))-AsAt)/365.25-(IF(DAY(E57+1)=1,EOMONTH(E57,H57*D57),EDATE(E57,H57*D57))-AsAt)/365.25)/((I57-O57)-1),0)*(1+F57)*(1-(I57-O57)*(1+F57)^((I57-O57)-1)+((I57-O57)-1)*(1+F57)^(I57-O57))/F57^2)+O57*(K57-L57*F57)*(1+F57)^(I57-1)*('Deal maths'!AA57-AsAt)/365.25)/L57,((I57-O57)*((IF(DAY(E57+1)=1,EOMONTH(E57,H57*D57),EDATE(E57,H57*D57))-AsAt)/365.25+(IF(DAY(E57+1)=1,EOMONTH(E57,(N57-1)*D57),EDATE(E57,(N57-1)*D57))-AsAt)/365.25)/2+O57*('Deal maths'!AA57-AsAt)/365.25)/I57),(S57-AsAt)/365.25)),0))</f>
        <v/>
      </c>
      <c r="Q57" s="109">
        <f>IF(B57=1,'Deal maths'!AA57+ROW()/1000000,"")</f>
        <v/>
      </c>
      <c r="R57" s="108">
        <f>IF(D57=0,0,IF(DAY(E57+1)=1,31,DAY(E57)))</f>
        <v/>
      </c>
      <c r="S57" s="109">
        <f>IF(AND('Deal maths'!V57="LOBO",'Deal maths'!AG57&gt;AsAt,'Deal maths'!AG57&lt;'Deal maths'!AA57),'Deal maths'!AG57,'Deal maths'!AA57)</f>
        <v/>
      </c>
      <c r="T57" s="108">
        <f>('Deal maths'!AA57&gt;AsAt)*('Deal maths'!Y57&gt;0)</f>
        <v/>
      </c>
    </row>
    <row r="58">
      <c r="A58" s="91">
        <f>IF('Deal maths'!V58="","",'Deal maths'!W58)</f>
        <v/>
      </c>
      <c r="B58" s="108">
        <f>('Deal maths'!AA58&gt;AsAt)*('Deal maths'!Y58&gt;0)*('Deal maths'!Z58&lt;=AsAt)</f>
        <v/>
      </c>
      <c r="C58" s="91">
        <f>IF('Deal maths'!V58="","",IF('Deal maths'!AC58="","Maturity",'Deal maths'!AC58))</f>
        <v/>
      </c>
      <c r="D58" s="108">
        <f>IF(OR(C58="EIP",C58="Annuity"),IF('Deal maths'!AD58="Annual",12,IF('Deal maths'!AD58="Quarterly",3,6)),0)</f>
        <v/>
      </c>
      <c r="E58" s="109">
        <f>IFERROR(IF(D58=0,0,IF('Deal maths'!AE58&gt;0,IF('Deal maths'!AE58&gt;'Deal maths'!AA58,'Deal maths'!AA58,'Deal maths'!AE58),IF(IF(DAY('Deal maths'!AA58+1)=1,EOMONTH('Deal maths'!AA58,-(INT(((YEAR('Deal maths'!AA58)-YEAR(IF('Deal maths'!Z58&gt;0,'Deal maths'!Z58,DATE(1990,1,1))))*12+MONTH('Deal maths'!AA58)-MONTH(IF('Deal maths'!Z58&gt;0,'Deal maths'!Z58,DATE(1990,1,1))))/D58))*D58),EDATE('Deal maths'!AA58,-(INT(((YEAR('Deal maths'!AA58)-YEAR(IF('Deal maths'!Z58&gt;0,'Deal maths'!Z58,DATE(1990,1,1))))*12+MONTH('Deal maths'!AA58)-MONTH(IF('Deal maths'!Z58&gt;0,'Deal maths'!Z58,DATE(1990,1,1))))/D58))*D58))&gt;IF('Deal maths'!Z58&gt;0,'Deal maths'!Z58,DATE(1990,1,1)),IF(DAY('Deal maths'!AA58+1)=1,EOMONTH('Deal maths'!AA58,-(INT(((YEAR('Deal maths'!AA58)-YEAR(IF('Deal maths'!Z58&gt;0,'Deal maths'!Z58,DATE(1990,1,1))))*12+MONTH('Deal maths'!AA58)-MONTH(IF('Deal maths'!Z58&gt;0,'Deal maths'!Z58,DATE(1990,1,1))))/D58))*D58),EDATE('Deal maths'!AA58,-(INT(((YEAR('Deal maths'!AA58)-YEAR(IF('Deal maths'!Z58&gt;0,'Deal maths'!Z58,DATE(1990,1,1))))*12+MONTH('Deal maths'!AA58)-MONTH(IF('Deal maths'!Z58&gt;0,'Deal maths'!Z58,DATE(1990,1,1))))/D58))*D58)),IF(DAY('Deal maths'!AA58+1)=1,EOMONTH('Deal maths'!AA58,-(INT(((YEAR('Deal maths'!AA58)-YEAR(IF('Deal maths'!Z58&gt;0,'Deal maths'!Z58,DATE(1990,1,1))))*12+MONTH('Deal maths'!AA58)-MONTH(IF('Deal maths'!Z58&gt;0,'Deal maths'!Z58,DATE(1990,1,1))))/D58)-1)*D58),EDATE('Deal maths'!AA58,-(INT(((YEAR('Deal maths'!AA58)-YEAR(IF('Deal maths'!Z58&gt;0,'Deal maths'!Z58,DATE(1990,1,1))))*12+MONTH('Deal maths'!AA58)-MONTH(IF('Deal maths'!Z58&gt;0,'Deal maths'!Z58,DATE(1990,1,1))))/D58)-1)*D58))))),0)</f>
        <v/>
      </c>
      <c r="F58" s="110">
        <f>IF(D58=0,0,'Deal maths'!AB58*D58/12)</f>
        <v/>
      </c>
      <c r="G58" s="108">
        <f>N58+O58</f>
        <v/>
      </c>
      <c r="H58" s="108">
        <f>IFERROR(IF(OR(D58=0,AsAt&lt;E58),0,MIN(N58,INT(((YEAR(AsAt)-YEAR(E58))*12+MONTH(AsAt)-MONTH(E58)-(DAY(AsAt)&lt;MIN(R58,DAY(EOMONTH(AsAt,0)))))/D58)+1)+O58*(AsAt&gt;='Deal maths'!AA58)),0)</f>
        <v/>
      </c>
      <c r="I58" s="108">
        <f>G58-H58</f>
        <v/>
      </c>
      <c r="J58" s="111">
        <f>IF(AND(C58="EIP",I58&gt;0),'Deal maths'!Y58/I58,0)</f>
        <v/>
      </c>
      <c r="K58" s="111">
        <f>IF(AND(C58="Annuity",I58&gt;0),IF(F58&gt;0,'Deal maths'!Y58*F58/(1-(1+F58)^-I58),'Deal maths'!Y58/I58),0)</f>
        <v/>
      </c>
      <c r="L58" s="111">
        <f>IF('Deal maths'!Y58="",0,'Deal maths'!Y58)</f>
        <v/>
      </c>
      <c r="M58" s="112">
        <f>F58+(F58=0)</f>
        <v/>
      </c>
      <c r="N58" s="108">
        <f>IFERROR(IF(D58=0,0,INT(((YEAR('Deal maths'!AA58)-YEAR(E58))*12+MONTH('Deal maths'!AA58)-MONTH(E58)-(DAY('Deal maths'!AA58)&lt;MIN(R58,DAY(EOMONTH('Deal maths'!AA58,0)))))/D58)+1),0)</f>
        <v/>
      </c>
      <c r="O58" s="108">
        <f>IFERROR(IF(D58=0,0,IF(IF(DAY(E58+1)=1,EOMONTH(E58,(N58-1)*D58),EDATE(E58,(N58-1)*D58))='Deal maths'!AA58,0,1)),0)</f>
        <v/>
      </c>
      <c r="P58" s="113">
        <f>IF(B58=0,0,IFERROR(IF(C58="EIP",((I58-O58)*((IF(DAY(E58+1)=1,EOMONTH(E58,H58*D58),EDATE(E58,H58*D58))-AsAt)/365.25+(IF(DAY(E58+1)=1,EOMONTH(E58,(N58-1)*D58),EDATE(E58,(N58-1)*D58))-AsAt)/365.25)/2+O58*('Deal maths'!AA58-AsAt)/365.25)/I58,IF(C58="Annuity",IF(F58&gt;0,((K58-L58*F58)*((IF(DAY(E58+1)=1,EOMONTH(E58,H58*D58),EDATE(E58,H58*D58))-AsAt)/365.25*((1+F58)^(I58-O58)-1)/F58+IF((I58-O58)&gt;1,((IF(DAY(E58+1)=1,EOMONTH(E58,(N58-1)*D58),EDATE(E58,(N58-1)*D58))-AsAt)/365.25-(IF(DAY(E58+1)=1,EOMONTH(E58,H58*D58),EDATE(E58,H58*D58))-AsAt)/365.25)/((I58-O58)-1),0)*(1+F58)*(1-(I58-O58)*(1+F58)^((I58-O58)-1)+((I58-O58)-1)*(1+F58)^(I58-O58))/F58^2)+O58*(K58-L58*F58)*(1+F58)^(I58-1)*('Deal maths'!AA58-AsAt)/365.25)/L58,((I58-O58)*((IF(DAY(E58+1)=1,EOMONTH(E58,H58*D58),EDATE(E58,H58*D58))-AsAt)/365.25+(IF(DAY(E58+1)=1,EOMONTH(E58,(N58-1)*D58),EDATE(E58,(N58-1)*D58))-AsAt)/365.25)/2+O58*('Deal maths'!AA58-AsAt)/365.25)/I58),(S58-AsAt)/365.25)),0))</f>
        <v/>
      </c>
      <c r="Q58" s="109">
        <f>IF(B58=1,'Deal maths'!AA58+ROW()/1000000,"")</f>
        <v/>
      </c>
      <c r="R58" s="108">
        <f>IF(D58=0,0,IF(DAY(E58+1)=1,31,DAY(E58)))</f>
        <v/>
      </c>
      <c r="S58" s="109">
        <f>IF(AND('Deal maths'!V58="LOBO",'Deal maths'!AG58&gt;AsAt,'Deal maths'!AG58&lt;'Deal maths'!AA58),'Deal maths'!AG58,'Deal maths'!AA58)</f>
        <v/>
      </c>
      <c r="T58" s="108">
        <f>('Deal maths'!AA58&gt;AsAt)*('Deal maths'!Y58&gt;0)</f>
        <v/>
      </c>
    </row>
    <row r="59">
      <c r="A59" s="91">
        <f>IF('Deal maths'!V59="","",'Deal maths'!W59)</f>
        <v/>
      </c>
      <c r="B59" s="108">
        <f>('Deal maths'!AA59&gt;AsAt)*('Deal maths'!Y59&gt;0)*('Deal maths'!Z59&lt;=AsAt)</f>
        <v/>
      </c>
      <c r="C59" s="91">
        <f>IF('Deal maths'!V59="","",IF('Deal maths'!AC59="","Maturity",'Deal maths'!AC59))</f>
        <v/>
      </c>
      <c r="D59" s="108">
        <f>IF(OR(C59="EIP",C59="Annuity"),IF('Deal maths'!AD59="Annual",12,IF('Deal maths'!AD59="Quarterly",3,6)),0)</f>
        <v/>
      </c>
      <c r="E59" s="109">
        <f>IFERROR(IF(D59=0,0,IF('Deal maths'!AE59&gt;0,IF('Deal maths'!AE59&gt;'Deal maths'!AA59,'Deal maths'!AA59,'Deal maths'!AE59),IF(IF(DAY('Deal maths'!AA59+1)=1,EOMONTH('Deal maths'!AA59,-(INT(((YEAR('Deal maths'!AA59)-YEAR(IF('Deal maths'!Z59&gt;0,'Deal maths'!Z59,DATE(1990,1,1))))*12+MONTH('Deal maths'!AA59)-MONTH(IF('Deal maths'!Z59&gt;0,'Deal maths'!Z59,DATE(1990,1,1))))/D59))*D59),EDATE('Deal maths'!AA59,-(INT(((YEAR('Deal maths'!AA59)-YEAR(IF('Deal maths'!Z59&gt;0,'Deal maths'!Z59,DATE(1990,1,1))))*12+MONTH('Deal maths'!AA59)-MONTH(IF('Deal maths'!Z59&gt;0,'Deal maths'!Z59,DATE(1990,1,1))))/D59))*D59))&gt;IF('Deal maths'!Z59&gt;0,'Deal maths'!Z59,DATE(1990,1,1)),IF(DAY('Deal maths'!AA59+1)=1,EOMONTH('Deal maths'!AA59,-(INT(((YEAR('Deal maths'!AA59)-YEAR(IF('Deal maths'!Z59&gt;0,'Deal maths'!Z59,DATE(1990,1,1))))*12+MONTH('Deal maths'!AA59)-MONTH(IF('Deal maths'!Z59&gt;0,'Deal maths'!Z59,DATE(1990,1,1))))/D59))*D59),EDATE('Deal maths'!AA59,-(INT(((YEAR('Deal maths'!AA59)-YEAR(IF('Deal maths'!Z59&gt;0,'Deal maths'!Z59,DATE(1990,1,1))))*12+MONTH('Deal maths'!AA59)-MONTH(IF('Deal maths'!Z59&gt;0,'Deal maths'!Z59,DATE(1990,1,1))))/D59))*D59)),IF(DAY('Deal maths'!AA59+1)=1,EOMONTH('Deal maths'!AA59,-(INT(((YEAR('Deal maths'!AA59)-YEAR(IF('Deal maths'!Z59&gt;0,'Deal maths'!Z59,DATE(1990,1,1))))*12+MONTH('Deal maths'!AA59)-MONTH(IF('Deal maths'!Z59&gt;0,'Deal maths'!Z59,DATE(1990,1,1))))/D59)-1)*D59),EDATE('Deal maths'!AA59,-(INT(((YEAR('Deal maths'!AA59)-YEAR(IF('Deal maths'!Z59&gt;0,'Deal maths'!Z59,DATE(1990,1,1))))*12+MONTH('Deal maths'!AA59)-MONTH(IF('Deal maths'!Z59&gt;0,'Deal maths'!Z59,DATE(1990,1,1))))/D59)-1)*D59))))),0)</f>
        <v/>
      </c>
      <c r="F59" s="110">
        <f>IF(D59=0,0,'Deal maths'!AB59*D59/12)</f>
        <v/>
      </c>
      <c r="G59" s="108">
        <f>N59+O59</f>
        <v/>
      </c>
      <c r="H59" s="108">
        <f>IFERROR(IF(OR(D59=0,AsAt&lt;E59),0,MIN(N59,INT(((YEAR(AsAt)-YEAR(E59))*12+MONTH(AsAt)-MONTH(E59)-(DAY(AsAt)&lt;MIN(R59,DAY(EOMONTH(AsAt,0)))))/D59)+1)+O59*(AsAt&gt;='Deal maths'!AA59)),0)</f>
        <v/>
      </c>
      <c r="I59" s="108">
        <f>G59-H59</f>
        <v/>
      </c>
      <c r="J59" s="111">
        <f>IF(AND(C59="EIP",I59&gt;0),'Deal maths'!Y59/I59,0)</f>
        <v/>
      </c>
      <c r="K59" s="111">
        <f>IF(AND(C59="Annuity",I59&gt;0),IF(F59&gt;0,'Deal maths'!Y59*F59/(1-(1+F59)^-I59),'Deal maths'!Y59/I59),0)</f>
        <v/>
      </c>
      <c r="L59" s="111">
        <f>IF('Deal maths'!Y59="",0,'Deal maths'!Y59)</f>
        <v/>
      </c>
      <c r="M59" s="112">
        <f>F59+(F59=0)</f>
        <v/>
      </c>
      <c r="N59" s="108">
        <f>IFERROR(IF(D59=0,0,INT(((YEAR('Deal maths'!AA59)-YEAR(E59))*12+MONTH('Deal maths'!AA59)-MONTH(E59)-(DAY('Deal maths'!AA59)&lt;MIN(R59,DAY(EOMONTH('Deal maths'!AA59,0)))))/D59)+1),0)</f>
        <v/>
      </c>
      <c r="O59" s="108">
        <f>IFERROR(IF(D59=0,0,IF(IF(DAY(E59+1)=1,EOMONTH(E59,(N59-1)*D59),EDATE(E59,(N59-1)*D59))='Deal maths'!AA59,0,1)),0)</f>
        <v/>
      </c>
      <c r="P59" s="113">
        <f>IF(B59=0,0,IFERROR(IF(C59="EIP",((I59-O59)*((IF(DAY(E59+1)=1,EOMONTH(E59,H59*D59),EDATE(E59,H59*D59))-AsAt)/365.25+(IF(DAY(E59+1)=1,EOMONTH(E59,(N59-1)*D59),EDATE(E59,(N59-1)*D59))-AsAt)/365.25)/2+O59*('Deal maths'!AA59-AsAt)/365.25)/I59,IF(C59="Annuity",IF(F59&gt;0,((K59-L59*F59)*((IF(DAY(E59+1)=1,EOMONTH(E59,H59*D59),EDATE(E59,H59*D59))-AsAt)/365.25*((1+F59)^(I59-O59)-1)/F59+IF((I59-O59)&gt;1,((IF(DAY(E59+1)=1,EOMONTH(E59,(N59-1)*D59),EDATE(E59,(N59-1)*D59))-AsAt)/365.25-(IF(DAY(E59+1)=1,EOMONTH(E59,H59*D59),EDATE(E59,H59*D59))-AsAt)/365.25)/((I59-O59)-1),0)*(1+F59)*(1-(I59-O59)*(1+F59)^((I59-O59)-1)+((I59-O59)-1)*(1+F59)^(I59-O59))/F59^2)+O59*(K59-L59*F59)*(1+F59)^(I59-1)*('Deal maths'!AA59-AsAt)/365.25)/L59,((I59-O59)*((IF(DAY(E59+1)=1,EOMONTH(E59,H59*D59),EDATE(E59,H59*D59))-AsAt)/365.25+(IF(DAY(E59+1)=1,EOMONTH(E59,(N59-1)*D59),EDATE(E59,(N59-1)*D59))-AsAt)/365.25)/2+O59*('Deal maths'!AA59-AsAt)/365.25)/I59),(S59-AsAt)/365.25)),0))</f>
        <v/>
      </c>
      <c r="Q59" s="109">
        <f>IF(B59=1,'Deal maths'!AA59+ROW()/1000000,"")</f>
        <v/>
      </c>
      <c r="R59" s="108">
        <f>IF(D59=0,0,IF(DAY(E59+1)=1,31,DAY(E59)))</f>
        <v/>
      </c>
      <c r="S59" s="109">
        <f>IF(AND('Deal maths'!V59="LOBO",'Deal maths'!AG59&gt;AsAt,'Deal maths'!AG59&lt;'Deal maths'!AA59),'Deal maths'!AG59,'Deal maths'!AA59)</f>
        <v/>
      </c>
      <c r="T59" s="108">
        <f>('Deal maths'!AA59&gt;AsAt)*('Deal maths'!Y59&gt;0)</f>
        <v/>
      </c>
    </row>
    <row r="60">
      <c r="A60" s="91">
        <f>IF('Deal maths'!V60="","",'Deal maths'!W60)</f>
        <v/>
      </c>
      <c r="B60" s="108">
        <f>('Deal maths'!AA60&gt;AsAt)*('Deal maths'!Y60&gt;0)*('Deal maths'!Z60&lt;=AsAt)</f>
        <v/>
      </c>
      <c r="C60" s="91">
        <f>IF('Deal maths'!V60="","",IF('Deal maths'!AC60="","Maturity",'Deal maths'!AC60))</f>
        <v/>
      </c>
      <c r="D60" s="108">
        <f>IF(OR(C60="EIP",C60="Annuity"),IF('Deal maths'!AD60="Annual",12,IF('Deal maths'!AD60="Quarterly",3,6)),0)</f>
        <v/>
      </c>
      <c r="E60" s="109">
        <f>IFERROR(IF(D60=0,0,IF('Deal maths'!AE60&gt;0,IF('Deal maths'!AE60&gt;'Deal maths'!AA60,'Deal maths'!AA60,'Deal maths'!AE60),IF(IF(DAY('Deal maths'!AA60+1)=1,EOMONTH('Deal maths'!AA60,-(INT(((YEAR('Deal maths'!AA60)-YEAR(IF('Deal maths'!Z60&gt;0,'Deal maths'!Z60,DATE(1990,1,1))))*12+MONTH('Deal maths'!AA60)-MONTH(IF('Deal maths'!Z60&gt;0,'Deal maths'!Z60,DATE(1990,1,1))))/D60))*D60),EDATE('Deal maths'!AA60,-(INT(((YEAR('Deal maths'!AA60)-YEAR(IF('Deal maths'!Z60&gt;0,'Deal maths'!Z60,DATE(1990,1,1))))*12+MONTH('Deal maths'!AA60)-MONTH(IF('Deal maths'!Z60&gt;0,'Deal maths'!Z60,DATE(1990,1,1))))/D60))*D60))&gt;IF('Deal maths'!Z60&gt;0,'Deal maths'!Z60,DATE(1990,1,1)),IF(DAY('Deal maths'!AA60+1)=1,EOMONTH('Deal maths'!AA60,-(INT(((YEAR('Deal maths'!AA60)-YEAR(IF('Deal maths'!Z60&gt;0,'Deal maths'!Z60,DATE(1990,1,1))))*12+MONTH('Deal maths'!AA60)-MONTH(IF('Deal maths'!Z60&gt;0,'Deal maths'!Z60,DATE(1990,1,1))))/D60))*D60),EDATE('Deal maths'!AA60,-(INT(((YEAR('Deal maths'!AA60)-YEAR(IF('Deal maths'!Z60&gt;0,'Deal maths'!Z60,DATE(1990,1,1))))*12+MONTH('Deal maths'!AA60)-MONTH(IF('Deal maths'!Z60&gt;0,'Deal maths'!Z60,DATE(1990,1,1))))/D60))*D60)),IF(DAY('Deal maths'!AA60+1)=1,EOMONTH('Deal maths'!AA60,-(INT(((YEAR('Deal maths'!AA60)-YEAR(IF('Deal maths'!Z60&gt;0,'Deal maths'!Z60,DATE(1990,1,1))))*12+MONTH('Deal maths'!AA60)-MONTH(IF('Deal maths'!Z60&gt;0,'Deal maths'!Z60,DATE(1990,1,1))))/D60)-1)*D60),EDATE('Deal maths'!AA60,-(INT(((YEAR('Deal maths'!AA60)-YEAR(IF('Deal maths'!Z60&gt;0,'Deal maths'!Z60,DATE(1990,1,1))))*12+MONTH('Deal maths'!AA60)-MONTH(IF('Deal maths'!Z60&gt;0,'Deal maths'!Z60,DATE(1990,1,1))))/D60)-1)*D60))))),0)</f>
        <v/>
      </c>
      <c r="F60" s="110">
        <f>IF(D60=0,0,'Deal maths'!AB60*D60/12)</f>
        <v/>
      </c>
      <c r="G60" s="108">
        <f>N60+O60</f>
        <v/>
      </c>
      <c r="H60" s="108">
        <f>IFERROR(IF(OR(D60=0,AsAt&lt;E60),0,MIN(N60,INT(((YEAR(AsAt)-YEAR(E60))*12+MONTH(AsAt)-MONTH(E60)-(DAY(AsAt)&lt;MIN(R60,DAY(EOMONTH(AsAt,0)))))/D60)+1)+O60*(AsAt&gt;='Deal maths'!AA60)),0)</f>
        <v/>
      </c>
      <c r="I60" s="108">
        <f>G60-H60</f>
        <v/>
      </c>
      <c r="J60" s="111">
        <f>IF(AND(C60="EIP",I60&gt;0),'Deal maths'!Y60/I60,0)</f>
        <v/>
      </c>
      <c r="K60" s="111">
        <f>IF(AND(C60="Annuity",I60&gt;0),IF(F60&gt;0,'Deal maths'!Y60*F60/(1-(1+F60)^-I60),'Deal maths'!Y60/I60),0)</f>
        <v/>
      </c>
      <c r="L60" s="111">
        <f>IF('Deal maths'!Y60="",0,'Deal maths'!Y60)</f>
        <v/>
      </c>
      <c r="M60" s="112">
        <f>F60+(F60=0)</f>
        <v/>
      </c>
      <c r="N60" s="108">
        <f>IFERROR(IF(D60=0,0,INT(((YEAR('Deal maths'!AA60)-YEAR(E60))*12+MONTH('Deal maths'!AA60)-MONTH(E60)-(DAY('Deal maths'!AA60)&lt;MIN(R60,DAY(EOMONTH('Deal maths'!AA60,0)))))/D60)+1),0)</f>
        <v/>
      </c>
      <c r="O60" s="108">
        <f>IFERROR(IF(D60=0,0,IF(IF(DAY(E60+1)=1,EOMONTH(E60,(N60-1)*D60),EDATE(E60,(N60-1)*D60))='Deal maths'!AA60,0,1)),0)</f>
        <v/>
      </c>
      <c r="P60" s="113">
        <f>IF(B60=0,0,IFERROR(IF(C60="EIP",((I60-O60)*((IF(DAY(E60+1)=1,EOMONTH(E60,H60*D60),EDATE(E60,H60*D60))-AsAt)/365.25+(IF(DAY(E60+1)=1,EOMONTH(E60,(N60-1)*D60),EDATE(E60,(N60-1)*D60))-AsAt)/365.25)/2+O60*('Deal maths'!AA60-AsAt)/365.25)/I60,IF(C60="Annuity",IF(F60&gt;0,((K60-L60*F60)*((IF(DAY(E60+1)=1,EOMONTH(E60,H60*D60),EDATE(E60,H60*D60))-AsAt)/365.25*((1+F60)^(I60-O60)-1)/F60+IF((I60-O60)&gt;1,((IF(DAY(E60+1)=1,EOMONTH(E60,(N60-1)*D60),EDATE(E60,(N60-1)*D60))-AsAt)/365.25-(IF(DAY(E60+1)=1,EOMONTH(E60,H60*D60),EDATE(E60,H60*D60))-AsAt)/365.25)/((I60-O60)-1),0)*(1+F60)*(1-(I60-O60)*(1+F60)^((I60-O60)-1)+((I60-O60)-1)*(1+F60)^(I60-O60))/F60^2)+O60*(K60-L60*F60)*(1+F60)^(I60-1)*('Deal maths'!AA60-AsAt)/365.25)/L60,((I60-O60)*((IF(DAY(E60+1)=1,EOMONTH(E60,H60*D60),EDATE(E60,H60*D60))-AsAt)/365.25+(IF(DAY(E60+1)=1,EOMONTH(E60,(N60-1)*D60),EDATE(E60,(N60-1)*D60))-AsAt)/365.25)/2+O60*('Deal maths'!AA60-AsAt)/365.25)/I60),(S60-AsAt)/365.25)),0))</f>
        <v/>
      </c>
      <c r="Q60" s="109">
        <f>IF(B60=1,'Deal maths'!AA60+ROW()/1000000,"")</f>
        <v/>
      </c>
      <c r="R60" s="108">
        <f>IF(D60=0,0,IF(DAY(E60+1)=1,31,DAY(E60)))</f>
        <v/>
      </c>
      <c r="S60" s="109">
        <f>IF(AND('Deal maths'!V60="LOBO",'Deal maths'!AG60&gt;AsAt,'Deal maths'!AG60&lt;'Deal maths'!AA60),'Deal maths'!AG60,'Deal maths'!AA60)</f>
        <v/>
      </c>
      <c r="T60" s="108">
        <f>('Deal maths'!AA60&gt;AsAt)*('Deal maths'!Y60&gt;0)</f>
        <v/>
      </c>
    </row>
    <row r="61">
      <c r="A61" s="91">
        <f>IF('Deal maths'!V61="","",'Deal maths'!W61)</f>
        <v/>
      </c>
      <c r="B61" s="108">
        <f>('Deal maths'!AA61&gt;AsAt)*('Deal maths'!Y61&gt;0)*('Deal maths'!Z61&lt;=AsAt)</f>
        <v/>
      </c>
      <c r="C61" s="91">
        <f>IF('Deal maths'!V61="","",IF('Deal maths'!AC61="","Maturity",'Deal maths'!AC61))</f>
        <v/>
      </c>
      <c r="D61" s="108">
        <f>IF(OR(C61="EIP",C61="Annuity"),IF('Deal maths'!AD61="Annual",12,IF('Deal maths'!AD61="Quarterly",3,6)),0)</f>
        <v/>
      </c>
      <c r="E61" s="109">
        <f>IFERROR(IF(D61=0,0,IF('Deal maths'!AE61&gt;0,IF('Deal maths'!AE61&gt;'Deal maths'!AA61,'Deal maths'!AA61,'Deal maths'!AE61),IF(IF(DAY('Deal maths'!AA61+1)=1,EOMONTH('Deal maths'!AA61,-(INT(((YEAR('Deal maths'!AA61)-YEAR(IF('Deal maths'!Z61&gt;0,'Deal maths'!Z61,DATE(1990,1,1))))*12+MONTH('Deal maths'!AA61)-MONTH(IF('Deal maths'!Z61&gt;0,'Deal maths'!Z61,DATE(1990,1,1))))/D61))*D61),EDATE('Deal maths'!AA61,-(INT(((YEAR('Deal maths'!AA61)-YEAR(IF('Deal maths'!Z61&gt;0,'Deal maths'!Z61,DATE(1990,1,1))))*12+MONTH('Deal maths'!AA61)-MONTH(IF('Deal maths'!Z61&gt;0,'Deal maths'!Z61,DATE(1990,1,1))))/D61))*D61))&gt;IF('Deal maths'!Z61&gt;0,'Deal maths'!Z61,DATE(1990,1,1)),IF(DAY('Deal maths'!AA61+1)=1,EOMONTH('Deal maths'!AA61,-(INT(((YEAR('Deal maths'!AA61)-YEAR(IF('Deal maths'!Z61&gt;0,'Deal maths'!Z61,DATE(1990,1,1))))*12+MONTH('Deal maths'!AA61)-MONTH(IF('Deal maths'!Z61&gt;0,'Deal maths'!Z61,DATE(1990,1,1))))/D61))*D61),EDATE('Deal maths'!AA61,-(INT(((YEAR('Deal maths'!AA61)-YEAR(IF('Deal maths'!Z61&gt;0,'Deal maths'!Z61,DATE(1990,1,1))))*12+MONTH('Deal maths'!AA61)-MONTH(IF('Deal maths'!Z61&gt;0,'Deal maths'!Z61,DATE(1990,1,1))))/D61))*D61)),IF(DAY('Deal maths'!AA61+1)=1,EOMONTH('Deal maths'!AA61,-(INT(((YEAR('Deal maths'!AA61)-YEAR(IF('Deal maths'!Z61&gt;0,'Deal maths'!Z61,DATE(1990,1,1))))*12+MONTH('Deal maths'!AA61)-MONTH(IF('Deal maths'!Z61&gt;0,'Deal maths'!Z61,DATE(1990,1,1))))/D61)-1)*D61),EDATE('Deal maths'!AA61,-(INT(((YEAR('Deal maths'!AA61)-YEAR(IF('Deal maths'!Z61&gt;0,'Deal maths'!Z61,DATE(1990,1,1))))*12+MONTH('Deal maths'!AA61)-MONTH(IF('Deal maths'!Z61&gt;0,'Deal maths'!Z61,DATE(1990,1,1))))/D61)-1)*D61))))),0)</f>
        <v/>
      </c>
      <c r="F61" s="110">
        <f>IF(D61=0,0,'Deal maths'!AB61*D61/12)</f>
        <v/>
      </c>
      <c r="G61" s="108">
        <f>N61+O61</f>
        <v/>
      </c>
      <c r="H61" s="108">
        <f>IFERROR(IF(OR(D61=0,AsAt&lt;E61),0,MIN(N61,INT(((YEAR(AsAt)-YEAR(E61))*12+MONTH(AsAt)-MONTH(E61)-(DAY(AsAt)&lt;MIN(R61,DAY(EOMONTH(AsAt,0)))))/D61)+1)+O61*(AsAt&gt;='Deal maths'!AA61)),0)</f>
        <v/>
      </c>
      <c r="I61" s="108">
        <f>G61-H61</f>
        <v/>
      </c>
      <c r="J61" s="111">
        <f>IF(AND(C61="EIP",I61&gt;0),'Deal maths'!Y61/I61,0)</f>
        <v/>
      </c>
      <c r="K61" s="111">
        <f>IF(AND(C61="Annuity",I61&gt;0),IF(F61&gt;0,'Deal maths'!Y61*F61/(1-(1+F61)^-I61),'Deal maths'!Y61/I61),0)</f>
        <v/>
      </c>
      <c r="L61" s="111">
        <f>IF('Deal maths'!Y61="",0,'Deal maths'!Y61)</f>
        <v/>
      </c>
      <c r="M61" s="112">
        <f>F61+(F61=0)</f>
        <v/>
      </c>
      <c r="N61" s="108">
        <f>IFERROR(IF(D61=0,0,INT(((YEAR('Deal maths'!AA61)-YEAR(E61))*12+MONTH('Deal maths'!AA61)-MONTH(E61)-(DAY('Deal maths'!AA61)&lt;MIN(R61,DAY(EOMONTH('Deal maths'!AA61,0)))))/D61)+1),0)</f>
        <v/>
      </c>
      <c r="O61" s="108">
        <f>IFERROR(IF(D61=0,0,IF(IF(DAY(E61+1)=1,EOMONTH(E61,(N61-1)*D61),EDATE(E61,(N61-1)*D61))='Deal maths'!AA61,0,1)),0)</f>
        <v/>
      </c>
      <c r="P61" s="113">
        <f>IF(B61=0,0,IFERROR(IF(C61="EIP",((I61-O61)*((IF(DAY(E61+1)=1,EOMONTH(E61,H61*D61),EDATE(E61,H61*D61))-AsAt)/365.25+(IF(DAY(E61+1)=1,EOMONTH(E61,(N61-1)*D61),EDATE(E61,(N61-1)*D61))-AsAt)/365.25)/2+O61*('Deal maths'!AA61-AsAt)/365.25)/I61,IF(C61="Annuity",IF(F61&gt;0,((K61-L61*F61)*((IF(DAY(E61+1)=1,EOMONTH(E61,H61*D61),EDATE(E61,H61*D61))-AsAt)/365.25*((1+F61)^(I61-O61)-1)/F61+IF((I61-O61)&gt;1,((IF(DAY(E61+1)=1,EOMONTH(E61,(N61-1)*D61),EDATE(E61,(N61-1)*D61))-AsAt)/365.25-(IF(DAY(E61+1)=1,EOMONTH(E61,H61*D61),EDATE(E61,H61*D61))-AsAt)/365.25)/((I61-O61)-1),0)*(1+F61)*(1-(I61-O61)*(1+F61)^((I61-O61)-1)+((I61-O61)-1)*(1+F61)^(I61-O61))/F61^2)+O61*(K61-L61*F61)*(1+F61)^(I61-1)*('Deal maths'!AA61-AsAt)/365.25)/L61,((I61-O61)*((IF(DAY(E61+1)=1,EOMONTH(E61,H61*D61),EDATE(E61,H61*D61))-AsAt)/365.25+(IF(DAY(E61+1)=1,EOMONTH(E61,(N61-1)*D61),EDATE(E61,(N61-1)*D61))-AsAt)/365.25)/2+O61*('Deal maths'!AA61-AsAt)/365.25)/I61),(S61-AsAt)/365.25)),0))</f>
        <v/>
      </c>
      <c r="Q61" s="109">
        <f>IF(B61=1,'Deal maths'!AA61+ROW()/1000000,"")</f>
        <v/>
      </c>
      <c r="R61" s="108">
        <f>IF(D61=0,0,IF(DAY(E61+1)=1,31,DAY(E61)))</f>
        <v/>
      </c>
      <c r="S61" s="109">
        <f>IF(AND('Deal maths'!V61="LOBO",'Deal maths'!AG61&gt;AsAt,'Deal maths'!AG61&lt;'Deal maths'!AA61),'Deal maths'!AG61,'Deal maths'!AA61)</f>
        <v/>
      </c>
      <c r="T61" s="108">
        <f>('Deal maths'!AA61&gt;AsAt)*('Deal maths'!Y61&gt;0)</f>
        <v/>
      </c>
    </row>
    <row r="62">
      <c r="A62" s="91">
        <f>IF('Deal maths'!V62="","",'Deal maths'!W62)</f>
        <v/>
      </c>
      <c r="B62" s="108">
        <f>('Deal maths'!AA62&gt;AsAt)*('Deal maths'!Y62&gt;0)*('Deal maths'!Z62&lt;=AsAt)</f>
        <v/>
      </c>
      <c r="C62" s="91">
        <f>IF('Deal maths'!V62="","",IF('Deal maths'!AC62="","Maturity",'Deal maths'!AC62))</f>
        <v/>
      </c>
      <c r="D62" s="108">
        <f>IF(OR(C62="EIP",C62="Annuity"),IF('Deal maths'!AD62="Annual",12,IF('Deal maths'!AD62="Quarterly",3,6)),0)</f>
        <v/>
      </c>
      <c r="E62" s="109">
        <f>IFERROR(IF(D62=0,0,IF('Deal maths'!AE62&gt;0,IF('Deal maths'!AE62&gt;'Deal maths'!AA62,'Deal maths'!AA62,'Deal maths'!AE62),IF(IF(DAY('Deal maths'!AA62+1)=1,EOMONTH('Deal maths'!AA62,-(INT(((YEAR('Deal maths'!AA62)-YEAR(IF('Deal maths'!Z62&gt;0,'Deal maths'!Z62,DATE(1990,1,1))))*12+MONTH('Deal maths'!AA62)-MONTH(IF('Deal maths'!Z62&gt;0,'Deal maths'!Z62,DATE(1990,1,1))))/D62))*D62),EDATE('Deal maths'!AA62,-(INT(((YEAR('Deal maths'!AA62)-YEAR(IF('Deal maths'!Z62&gt;0,'Deal maths'!Z62,DATE(1990,1,1))))*12+MONTH('Deal maths'!AA62)-MONTH(IF('Deal maths'!Z62&gt;0,'Deal maths'!Z62,DATE(1990,1,1))))/D62))*D62))&gt;IF('Deal maths'!Z62&gt;0,'Deal maths'!Z62,DATE(1990,1,1)),IF(DAY('Deal maths'!AA62+1)=1,EOMONTH('Deal maths'!AA62,-(INT(((YEAR('Deal maths'!AA62)-YEAR(IF('Deal maths'!Z62&gt;0,'Deal maths'!Z62,DATE(1990,1,1))))*12+MONTH('Deal maths'!AA62)-MONTH(IF('Deal maths'!Z62&gt;0,'Deal maths'!Z62,DATE(1990,1,1))))/D62))*D62),EDATE('Deal maths'!AA62,-(INT(((YEAR('Deal maths'!AA62)-YEAR(IF('Deal maths'!Z62&gt;0,'Deal maths'!Z62,DATE(1990,1,1))))*12+MONTH('Deal maths'!AA62)-MONTH(IF('Deal maths'!Z62&gt;0,'Deal maths'!Z62,DATE(1990,1,1))))/D62))*D62)),IF(DAY('Deal maths'!AA62+1)=1,EOMONTH('Deal maths'!AA62,-(INT(((YEAR('Deal maths'!AA62)-YEAR(IF('Deal maths'!Z62&gt;0,'Deal maths'!Z62,DATE(1990,1,1))))*12+MONTH('Deal maths'!AA62)-MONTH(IF('Deal maths'!Z62&gt;0,'Deal maths'!Z62,DATE(1990,1,1))))/D62)-1)*D62),EDATE('Deal maths'!AA62,-(INT(((YEAR('Deal maths'!AA62)-YEAR(IF('Deal maths'!Z62&gt;0,'Deal maths'!Z62,DATE(1990,1,1))))*12+MONTH('Deal maths'!AA62)-MONTH(IF('Deal maths'!Z62&gt;0,'Deal maths'!Z62,DATE(1990,1,1))))/D62)-1)*D62))))),0)</f>
        <v/>
      </c>
      <c r="F62" s="110">
        <f>IF(D62=0,0,'Deal maths'!AB62*D62/12)</f>
        <v/>
      </c>
      <c r="G62" s="108">
        <f>N62+O62</f>
        <v/>
      </c>
      <c r="H62" s="108">
        <f>IFERROR(IF(OR(D62=0,AsAt&lt;E62),0,MIN(N62,INT(((YEAR(AsAt)-YEAR(E62))*12+MONTH(AsAt)-MONTH(E62)-(DAY(AsAt)&lt;MIN(R62,DAY(EOMONTH(AsAt,0)))))/D62)+1)+O62*(AsAt&gt;='Deal maths'!AA62)),0)</f>
        <v/>
      </c>
      <c r="I62" s="108">
        <f>G62-H62</f>
        <v/>
      </c>
      <c r="J62" s="111">
        <f>IF(AND(C62="EIP",I62&gt;0),'Deal maths'!Y62/I62,0)</f>
        <v/>
      </c>
      <c r="K62" s="111">
        <f>IF(AND(C62="Annuity",I62&gt;0),IF(F62&gt;0,'Deal maths'!Y62*F62/(1-(1+F62)^-I62),'Deal maths'!Y62/I62),0)</f>
        <v/>
      </c>
      <c r="L62" s="111">
        <f>IF('Deal maths'!Y62="",0,'Deal maths'!Y62)</f>
        <v/>
      </c>
      <c r="M62" s="112">
        <f>F62+(F62=0)</f>
        <v/>
      </c>
      <c r="N62" s="108">
        <f>IFERROR(IF(D62=0,0,INT(((YEAR('Deal maths'!AA62)-YEAR(E62))*12+MONTH('Deal maths'!AA62)-MONTH(E62)-(DAY('Deal maths'!AA62)&lt;MIN(R62,DAY(EOMONTH('Deal maths'!AA62,0)))))/D62)+1),0)</f>
        <v/>
      </c>
      <c r="O62" s="108">
        <f>IFERROR(IF(D62=0,0,IF(IF(DAY(E62+1)=1,EOMONTH(E62,(N62-1)*D62),EDATE(E62,(N62-1)*D62))='Deal maths'!AA62,0,1)),0)</f>
        <v/>
      </c>
      <c r="P62" s="113">
        <f>IF(B62=0,0,IFERROR(IF(C62="EIP",((I62-O62)*((IF(DAY(E62+1)=1,EOMONTH(E62,H62*D62),EDATE(E62,H62*D62))-AsAt)/365.25+(IF(DAY(E62+1)=1,EOMONTH(E62,(N62-1)*D62),EDATE(E62,(N62-1)*D62))-AsAt)/365.25)/2+O62*('Deal maths'!AA62-AsAt)/365.25)/I62,IF(C62="Annuity",IF(F62&gt;0,((K62-L62*F62)*((IF(DAY(E62+1)=1,EOMONTH(E62,H62*D62),EDATE(E62,H62*D62))-AsAt)/365.25*((1+F62)^(I62-O62)-1)/F62+IF((I62-O62)&gt;1,((IF(DAY(E62+1)=1,EOMONTH(E62,(N62-1)*D62),EDATE(E62,(N62-1)*D62))-AsAt)/365.25-(IF(DAY(E62+1)=1,EOMONTH(E62,H62*D62),EDATE(E62,H62*D62))-AsAt)/365.25)/((I62-O62)-1),0)*(1+F62)*(1-(I62-O62)*(1+F62)^((I62-O62)-1)+((I62-O62)-1)*(1+F62)^(I62-O62))/F62^2)+O62*(K62-L62*F62)*(1+F62)^(I62-1)*('Deal maths'!AA62-AsAt)/365.25)/L62,((I62-O62)*((IF(DAY(E62+1)=1,EOMONTH(E62,H62*D62),EDATE(E62,H62*D62))-AsAt)/365.25+(IF(DAY(E62+1)=1,EOMONTH(E62,(N62-1)*D62),EDATE(E62,(N62-1)*D62))-AsAt)/365.25)/2+O62*('Deal maths'!AA62-AsAt)/365.25)/I62),(S62-AsAt)/365.25)),0))</f>
        <v/>
      </c>
      <c r="Q62" s="109">
        <f>IF(B62=1,'Deal maths'!AA62+ROW()/1000000,"")</f>
        <v/>
      </c>
      <c r="R62" s="108">
        <f>IF(D62=0,0,IF(DAY(E62+1)=1,31,DAY(E62)))</f>
        <v/>
      </c>
      <c r="S62" s="109">
        <f>IF(AND('Deal maths'!V62="LOBO",'Deal maths'!AG62&gt;AsAt,'Deal maths'!AG62&lt;'Deal maths'!AA62),'Deal maths'!AG62,'Deal maths'!AA62)</f>
        <v/>
      </c>
      <c r="T62" s="108">
        <f>('Deal maths'!AA62&gt;AsAt)*('Deal maths'!Y62&gt;0)</f>
        <v/>
      </c>
    </row>
    <row r="63">
      <c r="A63" s="91">
        <f>IF('Deal maths'!V63="","",'Deal maths'!W63)</f>
        <v/>
      </c>
      <c r="B63" s="108">
        <f>('Deal maths'!AA63&gt;AsAt)*('Deal maths'!Y63&gt;0)*('Deal maths'!Z63&lt;=AsAt)</f>
        <v/>
      </c>
      <c r="C63" s="91">
        <f>IF('Deal maths'!V63="","",IF('Deal maths'!AC63="","Maturity",'Deal maths'!AC63))</f>
        <v/>
      </c>
      <c r="D63" s="108">
        <f>IF(OR(C63="EIP",C63="Annuity"),IF('Deal maths'!AD63="Annual",12,IF('Deal maths'!AD63="Quarterly",3,6)),0)</f>
        <v/>
      </c>
      <c r="E63" s="109">
        <f>IFERROR(IF(D63=0,0,IF('Deal maths'!AE63&gt;0,IF('Deal maths'!AE63&gt;'Deal maths'!AA63,'Deal maths'!AA63,'Deal maths'!AE63),IF(IF(DAY('Deal maths'!AA63+1)=1,EOMONTH('Deal maths'!AA63,-(INT(((YEAR('Deal maths'!AA63)-YEAR(IF('Deal maths'!Z63&gt;0,'Deal maths'!Z63,DATE(1990,1,1))))*12+MONTH('Deal maths'!AA63)-MONTH(IF('Deal maths'!Z63&gt;0,'Deal maths'!Z63,DATE(1990,1,1))))/D63))*D63),EDATE('Deal maths'!AA63,-(INT(((YEAR('Deal maths'!AA63)-YEAR(IF('Deal maths'!Z63&gt;0,'Deal maths'!Z63,DATE(1990,1,1))))*12+MONTH('Deal maths'!AA63)-MONTH(IF('Deal maths'!Z63&gt;0,'Deal maths'!Z63,DATE(1990,1,1))))/D63))*D63))&gt;IF('Deal maths'!Z63&gt;0,'Deal maths'!Z63,DATE(1990,1,1)),IF(DAY('Deal maths'!AA63+1)=1,EOMONTH('Deal maths'!AA63,-(INT(((YEAR('Deal maths'!AA63)-YEAR(IF('Deal maths'!Z63&gt;0,'Deal maths'!Z63,DATE(1990,1,1))))*12+MONTH('Deal maths'!AA63)-MONTH(IF('Deal maths'!Z63&gt;0,'Deal maths'!Z63,DATE(1990,1,1))))/D63))*D63),EDATE('Deal maths'!AA63,-(INT(((YEAR('Deal maths'!AA63)-YEAR(IF('Deal maths'!Z63&gt;0,'Deal maths'!Z63,DATE(1990,1,1))))*12+MONTH('Deal maths'!AA63)-MONTH(IF('Deal maths'!Z63&gt;0,'Deal maths'!Z63,DATE(1990,1,1))))/D63))*D63)),IF(DAY('Deal maths'!AA63+1)=1,EOMONTH('Deal maths'!AA63,-(INT(((YEAR('Deal maths'!AA63)-YEAR(IF('Deal maths'!Z63&gt;0,'Deal maths'!Z63,DATE(1990,1,1))))*12+MONTH('Deal maths'!AA63)-MONTH(IF('Deal maths'!Z63&gt;0,'Deal maths'!Z63,DATE(1990,1,1))))/D63)-1)*D63),EDATE('Deal maths'!AA63,-(INT(((YEAR('Deal maths'!AA63)-YEAR(IF('Deal maths'!Z63&gt;0,'Deal maths'!Z63,DATE(1990,1,1))))*12+MONTH('Deal maths'!AA63)-MONTH(IF('Deal maths'!Z63&gt;0,'Deal maths'!Z63,DATE(1990,1,1))))/D63)-1)*D63))))),0)</f>
        <v/>
      </c>
      <c r="F63" s="110">
        <f>IF(D63=0,0,'Deal maths'!AB63*D63/12)</f>
        <v/>
      </c>
      <c r="G63" s="108">
        <f>N63+O63</f>
        <v/>
      </c>
      <c r="H63" s="108">
        <f>IFERROR(IF(OR(D63=0,AsAt&lt;E63),0,MIN(N63,INT(((YEAR(AsAt)-YEAR(E63))*12+MONTH(AsAt)-MONTH(E63)-(DAY(AsAt)&lt;MIN(R63,DAY(EOMONTH(AsAt,0)))))/D63)+1)+O63*(AsAt&gt;='Deal maths'!AA63)),0)</f>
        <v/>
      </c>
      <c r="I63" s="108">
        <f>G63-H63</f>
        <v/>
      </c>
      <c r="J63" s="111">
        <f>IF(AND(C63="EIP",I63&gt;0),'Deal maths'!Y63/I63,0)</f>
        <v/>
      </c>
      <c r="K63" s="111">
        <f>IF(AND(C63="Annuity",I63&gt;0),IF(F63&gt;0,'Deal maths'!Y63*F63/(1-(1+F63)^-I63),'Deal maths'!Y63/I63),0)</f>
        <v/>
      </c>
      <c r="L63" s="111">
        <f>IF('Deal maths'!Y63="",0,'Deal maths'!Y63)</f>
        <v/>
      </c>
      <c r="M63" s="112">
        <f>F63+(F63=0)</f>
        <v/>
      </c>
      <c r="N63" s="108">
        <f>IFERROR(IF(D63=0,0,INT(((YEAR('Deal maths'!AA63)-YEAR(E63))*12+MONTH('Deal maths'!AA63)-MONTH(E63)-(DAY('Deal maths'!AA63)&lt;MIN(R63,DAY(EOMONTH('Deal maths'!AA63,0)))))/D63)+1),0)</f>
        <v/>
      </c>
      <c r="O63" s="108">
        <f>IFERROR(IF(D63=0,0,IF(IF(DAY(E63+1)=1,EOMONTH(E63,(N63-1)*D63),EDATE(E63,(N63-1)*D63))='Deal maths'!AA63,0,1)),0)</f>
        <v/>
      </c>
      <c r="P63" s="113">
        <f>IF(B63=0,0,IFERROR(IF(C63="EIP",((I63-O63)*((IF(DAY(E63+1)=1,EOMONTH(E63,H63*D63),EDATE(E63,H63*D63))-AsAt)/365.25+(IF(DAY(E63+1)=1,EOMONTH(E63,(N63-1)*D63),EDATE(E63,(N63-1)*D63))-AsAt)/365.25)/2+O63*('Deal maths'!AA63-AsAt)/365.25)/I63,IF(C63="Annuity",IF(F63&gt;0,((K63-L63*F63)*((IF(DAY(E63+1)=1,EOMONTH(E63,H63*D63),EDATE(E63,H63*D63))-AsAt)/365.25*((1+F63)^(I63-O63)-1)/F63+IF((I63-O63)&gt;1,((IF(DAY(E63+1)=1,EOMONTH(E63,(N63-1)*D63),EDATE(E63,(N63-1)*D63))-AsAt)/365.25-(IF(DAY(E63+1)=1,EOMONTH(E63,H63*D63),EDATE(E63,H63*D63))-AsAt)/365.25)/((I63-O63)-1),0)*(1+F63)*(1-(I63-O63)*(1+F63)^((I63-O63)-1)+((I63-O63)-1)*(1+F63)^(I63-O63))/F63^2)+O63*(K63-L63*F63)*(1+F63)^(I63-1)*('Deal maths'!AA63-AsAt)/365.25)/L63,((I63-O63)*((IF(DAY(E63+1)=1,EOMONTH(E63,H63*D63),EDATE(E63,H63*D63))-AsAt)/365.25+(IF(DAY(E63+1)=1,EOMONTH(E63,(N63-1)*D63),EDATE(E63,(N63-1)*D63))-AsAt)/365.25)/2+O63*('Deal maths'!AA63-AsAt)/365.25)/I63),(S63-AsAt)/365.25)),0))</f>
        <v/>
      </c>
      <c r="Q63" s="109">
        <f>IF(B63=1,'Deal maths'!AA63+ROW()/1000000,"")</f>
        <v/>
      </c>
      <c r="R63" s="108">
        <f>IF(D63=0,0,IF(DAY(E63+1)=1,31,DAY(E63)))</f>
        <v/>
      </c>
      <c r="S63" s="109">
        <f>IF(AND('Deal maths'!V63="LOBO",'Deal maths'!AG63&gt;AsAt,'Deal maths'!AG63&lt;'Deal maths'!AA63),'Deal maths'!AG63,'Deal maths'!AA63)</f>
        <v/>
      </c>
      <c r="T63" s="108">
        <f>('Deal maths'!AA63&gt;AsAt)*('Deal maths'!Y63&gt;0)</f>
        <v/>
      </c>
    </row>
    <row r="64">
      <c r="A64" s="91">
        <f>IF('Deal maths'!V64="","",'Deal maths'!W64)</f>
        <v/>
      </c>
      <c r="B64" s="108">
        <f>('Deal maths'!AA64&gt;AsAt)*('Deal maths'!Y64&gt;0)*('Deal maths'!Z64&lt;=AsAt)</f>
        <v/>
      </c>
      <c r="C64" s="91">
        <f>IF('Deal maths'!V64="","",IF('Deal maths'!AC64="","Maturity",'Deal maths'!AC64))</f>
        <v/>
      </c>
      <c r="D64" s="108">
        <f>IF(OR(C64="EIP",C64="Annuity"),IF('Deal maths'!AD64="Annual",12,IF('Deal maths'!AD64="Quarterly",3,6)),0)</f>
        <v/>
      </c>
      <c r="E64" s="109">
        <f>IFERROR(IF(D64=0,0,IF('Deal maths'!AE64&gt;0,IF('Deal maths'!AE64&gt;'Deal maths'!AA64,'Deal maths'!AA64,'Deal maths'!AE64),IF(IF(DAY('Deal maths'!AA64+1)=1,EOMONTH('Deal maths'!AA64,-(INT(((YEAR('Deal maths'!AA64)-YEAR(IF('Deal maths'!Z64&gt;0,'Deal maths'!Z64,DATE(1990,1,1))))*12+MONTH('Deal maths'!AA64)-MONTH(IF('Deal maths'!Z64&gt;0,'Deal maths'!Z64,DATE(1990,1,1))))/D64))*D64),EDATE('Deal maths'!AA64,-(INT(((YEAR('Deal maths'!AA64)-YEAR(IF('Deal maths'!Z64&gt;0,'Deal maths'!Z64,DATE(1990,1,1))))*12+MONTH('Deal maths'!AA64)-MONTH(IF('Deal maths'!Z64&gt;0,'Deal maths'!Z64,DATE(1990,1,1))))/D64))*D64))&gt;IF('Deal maths'!Z64&gt;0,'Deal maths'!Z64,DATE(1990,1,1)),IF(DAY('Deal maths'!AA64+1)=1,EOMONTH('Deal maths'!AA64,-(INT(((YEAR('Deal maths'!AA64)-YEAR(IF('Deal maths'!Z64&gt;0,'Deal maths'!Z64,DATE(1990,1,1))))*12+MONTH('Deal maths'!AA64)-MONTH(IF('Deal maths'!Z64&gt;0,'Deal maths'!Z64,DATE(1990,1,1))))/D64))*D64),EDATE('Deal maths'!AA64,-(INT(((YEAR('Deal maths'!AA64)-YEAR(IF('Deal maths'!Z64&gt;0,'Deal maths'!Z64,DATE(1990,1,1))))*12+MONTH('Deal maths'!AA64)-MONTH(IF('Deal maths'!Z64&gt;0,'Deal maths'!Z64,DATE(1990,1,1))))/D64))*D64)),IF(DAY('Deal maths'!AA64+1)=1,EOMONTH('Deal maths'!AA64,-(INT(((YEAR('Deal maths'!AA64)-YEAR(IF('Deal maths'!Z64&gt;0,'Deal maths'!Z64,DATE(1990,1,1))))*12+MONTH('Deal maths'!AA64)-MONTH(IF('Deal maths'!Z64&gt;0,'Deal maths'!Z64,DATE(1990,1,1))))/D64)-1)*D64),EDATE('Deal maths'!AA64,-(INT(((YEAR('Deal maths'!AA64)-YEAR(IF('Deal maths'!Z64&gt;0,'Deal maths'!Z64,DATE(1990,1,1))))*12+MONTH('Deal maths'!AA64)-MONTH(IF('Deal maths'!Z64&gt;0,'Deal maths'!Z64,DATE(1990,1,1))))/D64)-1)*D64))))),0)</f>
        <v/>
      </c>
      <c r="F64" s="110">
        <f>IF(D64=0,0,'Deal maths'!AB64*D64/12)</f>
        <v/>
      </c>
      <c r="G64" s="108">
        <f>N64+O64</f>
        <v/>
      </c>
      <c r="H64" s="108">
        <f>IFERROR(IF(OR(D64=0,AsAt&lt;E64),0,MIN(N64,INT(((YEAR(AsAt)-YEAR(E64))*12+MONTH(AsAt)-MONTH(E64)-(DAY(AsAt)&lt;MIN(R64,DAY(EOMONTH(AsAt,0)))))/D64)+1)+O64*(AsAt&gt;='Deal maths'!AA64)),0)</f>
        <v/>
      </c>
      <c r="I64" s="108">
        <f>G64-H64</f>
        <v/>
      </c>
      <c r="J64" s="111">
        <f>IF(AND(C64="EIP",I64&gt;0),'Deal maths'!Y64/I64,0)</f>
        <v/>
      </c>
      <c r="K64" s="111">
        <f>IF(AND(C64="Annuity",I64&gt;0),IF(F64&gt;0,'Deal maths'!Y64*F64/(1-(1+F64)^-I64),'Deal maths'!Y64/I64),0)</f>
        <v/>
      </c>
      <c r="L64" s="111">
        <f>IF('Deal maths'!Y64="",0,'Deal maths'!Y64)</f>
        <v/>
      </c>
      <c r="M64" s="112">
        <f>F64+(F64=0)</f>
        <v/>
      </c>
      <c r="N64" s="108">
        <f>IFERROR(IF(D64=0,0,INT(((YEAR('Deal maths'!AA64)-YEAR(E64))*12+MONTH('Deal maths'!AA64)-MONTH(E64)-(DAY('Deal maths'!AA64)&lt;MIN(R64,DAY(EOMONTH('Deal maths'!AA64,0)))))/D64)+1),0)</f>
        <v/>
      </c>
      <c r="O64" s="108">
        <f>IFERROR(IF(D64=0,0,IF(IF(DAY(E64+1)=1,EOMONTH(E64,(N64-1)*D64),EDATE(E64,(N64-1)*D64))='Deal maths'!AA64,0,1)),0)</f>
        <v/>
      </c>
      <c r="P64" s="113">
        <f>IF(B64=0,0,IFERROR(IF(C64="EIP",((I64-O64)*((IF(DAY(E64+1)=1,EOMONTH(E64,H64*D64),EDATE(E64,H64*D64))-AsAt)/365.25+(IF(DAY(E64+1)=1,EOMONTH(E64,(N64-1)*D64),EDATE(E64,(N64-1)*D64))-AsAt)/365.25)/2+O64*('Deal maths'!AA64-AsAt)/365.25)/I64,IF(C64="Annuity",IF(F64&gt;0,((K64-L64*F64)*((IF(DAY(E64+1)=1,EOMONTH(E64,H64*D64),EDATE(E64,H64*D64))-AsAt)/365.25*((1+F64)^(I64-O64)-1)/F64+IF((I64-O64)&gt;1,((IF(DAY(E64+1)=1,EOMONTH(E64,(N64-1)*D64),EDATE(E64,(N64-1)*D64))-AsAt)/365.25-(IF(DAY(E64+1)=1,EOMONTH(E64,H64*D64),EDATE(E64,H64*D64))-AsAt)/365.25)/((I64-O64)-1),0)*(1+F64)*(1-(I64-O64)*(1+F64)^((I64-O64)-1)+((I64-O64)-1)*(1+F64)^(I64-O64))/F64^2)+O64*(K64-L64*F64)*(1+F64)^(I64-1)*('Deal maths'!AA64-AsAt)/365.25)/L64,((I64-O64)*((IF(DAY(E64+1)=1,EOMONTH(E64,H64*D64),EDATE(E64,H64*D64))-AsAt)/365.25+(IF(DAY(E64+1)=1,EOMONTH(E64,(N64-1)*D64),EDATE(E64,(N64-1)*D64))-AsAt)/365.25)/2+O64*('Deal maths'!AA64-AsAt)/365.25)/I64),(S64-AsAt)/365.25)),0))</f>
        <v/>
      </c>
      <c r="Q64" s="109">
        <f>IF(B64=1,'Deal maths'!AA64+ROW()/1000000,"")</f>
        <v/>
      </c>
      <c r="R64" s="108">
        <f>IF(D64=0,0,IF(DAY(E64+1)=1,31,DAY(E64)))</f>
        <v/>
      </c>
      <c r="S64" s="109">
        <f>IF(AND('Deal maths'!V64="LOBO",'Deal maths'!AG64&gt;AsAt,'Deal maths'!AG64&lt;'Deal maths'!AA64),'Deal maths'!AG64,'Deal maths'!AA64)</f>
        <v/>
      </c>
      <c r="T64" s="108">
        <f>('Deal maths'!AA64&gt;AsAt)*('Deal maths'!Y64&gt;0)</f>
        <v/>
      </c>
    </row>
    <row r="65">
      <c r="A65" s="91">
        <f>IF('Deal maths'!V65="","",'Deal maths'!W65)</f>
        <v/>
      </c>
      <c r="B65" s="108">
        <f>('Deal maths'!AA65&gt;AsAt)*('Deal maths'!Y65&gt;0)*('Deal maths'!Z65&lt;=AsAt)</f>
        <v/>
      </c>
      <c r="C65" s="91">
        <f>IF('Deal maths'!V65="","",IF('Deal maths'!AC65="","Maturity",'Deal maths'!AC65))</f>
        <v/>
      </c>
      <c r="D65" s="108">
        <f>IF(OR(C65="EIP",C65="Annuity"),IF('Deal maths'!AD65="Annual",12,IF('Deal maths'!AD65="Quarterly",3,6)),0)</f>
        <v/>
      </c>
      <c r="E65" s="109">
        <f>IFERROR(IF(D65=0,0,IF('Deal maths'!AE65&gt;0,IF('Deal maths'!AE65&gt;'Deal maths'!AA65,'Deal maths'!AA65,'Deal maths'!AE65),IF(IF(DAY('Deal maths'!AA65+1)=1,EOMONTH('Deal maths'!AA65,-(INT(((YEAR('Deal maths'!AA65)-YEAR(IF('Deal maths'!Z65&gt;0,'Deal maths'!Z65,DATE(1990,1,1))))*12+MONTH('Deal maths'!AA65)-MONTH(IF('Deal maths'!Z65&gt;0,'Deal maths'!Z65,DATE(1990,1,1))))/D65))*D65),EDATE('Deal maths'!AA65,-(INT(((YEAR('Deal maths'!AA65)-YEAR(IF('Deal maths'!Z65&gt;0,'Deal maths'!Z65,DATE(1990,1,1))))*12+MONTH('Deal maths'!AA65)-MONTH(IF('Deal maths'!Z65&gt;0,'Deal maths'!Z65,DATE(1990,1,1))))/D65))*D65))&gt;IF('Deal maths'!Z65&gt;0,'Deal maths'!Z65,DATE(1990,1,1)),IF(DAY('Deal maths'!AA65+1)=1,EOMONTH('Deal maths'!AA65,-(INT(((YEAR('Deal maths'!AA65)-YEAR(IF('Deal maths'!Z65&gt;0,'Deal maths'!Z65,DATE(1990,1,1))))*12+MONTH('Deal maths'!AA65)-MONTH(IF('Deal maths'!Z65&gt;0,'Deal maths'!Z65,DATE(1990,1,1))))/D65))*D65),EDATE('Deal maths'!AA65,-(INT(((YEAR('Deal maths'!AA65)-YEAR(IF('Deal maths'!Z65&gt;0,'Deal maths'!Z65,DATE(1990,1,1))))*12+MONTH('Deal maths'!AA65)-MONTH(IF('Deal maths'!Z65&gt;0,'Deal maths'!Z65,DATE(1990,1,1))))/D65))*D65)),IF(DAY('Deal maths'!AA65+1)=1,EOMONTH('Deal maths'!AA65,-(INT(((YEAR('Deal maths'!AA65)-YEAR(IF('Deal maths'!Z65&gt;0,'Deal maths'!Z65,DATE(1990,1,1))))*12+MONTH('Deal maths'!AA65)-MONTH(IF('Deal maths'!Z65&gt;0,'Deal maths'!Z65,DATE(1990,1,1))))/D65)-1)*D65),EDATE('Deal maths'!AA65,-(INT(((YEAR('Deal maths'!AA65)-YEAR(IF('Deal maths'!Z65&gt;0,'Deal maths'!Z65,DATE(1990,1,1))))*12+MONTH('Deal maths'!AA65)-MONTH(IF('Deal maths'!Z65&gt;0,'Deal maths'!Z65,DATE(1990,1,1))))/D65)-1)*D65))))),0)</f>
        <v/>
      </c>
      <c r="F65" s="110">
        <f>IF(D65=0,0,'Deal maths'!AB65*D65/12)</f>
        <v/>
      </c>
      <c r="G65" s="108">
        <f>N65+O65</f>
        <v/>
      </c>
      <c r="H65" s="108">
        <f>IFERROR(IF(OR(D65=0,AsAt&lt;E65),0,MIN(N65,INT(((YEAR(AsAt)-YEAR(E65))*12+MONTH(AsAt)-MONTH(E65)-(DAY(AsAt)&lt;MIN(R65,DAY(EOMONTH(AsAt,0)))))/D65)+1)+O65*(AsAt&gt;='Deal maths'!AA65)),0)</f>
        <v/>
      </c>
      <c r="I65" s="108">
        <f>G65-H65</f>
        <v/>
      </c>
      <c r="J65" s="111">
        <f>IF(AND(C65="EIP",I65&gt;0),'Deal maths'!Y65/I65,0)</f>
        <v/>
      </c>
      <c r="K65" s="111">
        <f>IF(AND(C65="Annuity",I65&gt;0),IF(F65&gt;0,'Deal maths'!Y65*F65/(1-(1+F65)^-I65),'Deal maths'!Y65/I65),0)</f>
        <v/>
      </c>
      <c r="L65" s="111">
        <f>IF('Deal maths'!Y65="",0,'Deal maths'!Y65)</f>
        <v/>
      </c>
      <c r="M65" s="112">
        <f>F65+(F65=0)</f>
        <v/>
      </c>
      <c r="N65" s="108">
        <f>IFERROR(IF(D65=0,0,INT(((YEAR('Deal maths'!AA65)-YEAR(E65))*12+MONTH('Deal maths'!AA65)-MONTH(E65)-(DAY('Deal maths'!AA65)&lt;MIN(R65,DAY(EOMONTH('Deal maths'!AA65,0)))))/D65)+1),0)</f>
        <v/>
      </c>
      <c r="O65" s="108">
        <f>IFERROR(IF(D65=0,0,IF(IF(DAY(E65+1)=1,EOMONTH(E65,(N65-1)*D65),EDATE(E65,(N65-1)*D65))='Deal maths'!AA65,0,1)),0)</f>
        <v/>
      </c>
      <c r="P65" s="113">
        <f>IF(B65=0,0,IFERROR(IF(C65="EIP",((I65-O65)*((IF(DAY(E65+1)=1,EOMONTH(E65,H65*D65),EDATE(E65,H65*D65))-AsAt)/365.25+(IF(DAY(E65+1)=1,EOMONTH(E65,(N65-1)*D65),EDATE(E65,(N65-1)*D65))-AsAt)/365.25)/2+O65*('Deal maths'!AA65-AsAt)/365.25)/I65,IF(C65="Annuity",IF(F65&gt;0,((K65-L65*F65)*((IF(DAY(E65+1)=1,EOMONTH(E65,H65*D65),EDATE(E65,H65*D65))-AsAt)/365.25*((1+F65)^(I65-O65)-1)/F65+IF((I65-O65)&gt;1,((IF(DAY(E65+1)=1,EOMONTH(E65,(N65-1)*D65),EDATE(E65,(N65-1)*D65))-AsAt)/365.25-(IF(DAY(E65+1)=1,EOMONTH(E65,H65*D65),EDATE(E65,H65*D65))-AsAt)/365.25)/((I65-O65)-1),0)*(1+F65)*(1-(I65-O65)*(1+F65)^((I65-O65)-1)+((I65-O65)-1)*(1+F65)^(I65-O65))/F65^2)+O65*(K65-L65*F65)*(1+F65)^(I65-1)*('Deal maths'!AA65-AsAt)/365.25)/L65,((I65-O65)*((IF(DAY(E65+1)=1,EOMONTH(E65,H65*D65),EDATE(E65,H65*D65))-AsAt)/365.25+(IF(DAY(E65+1)=1,EOMONTH(E65,(N65-1)*D65),EDATE(E65,(N65-1)*D65))-AsAt)/365.25)/2+O65*('Deal maths'!AA65-AsAt)/365.25)/I65),(S65-AsAt)/365.25)),0))</f>
        <v/>
      </c>
      <c r="Q65" s="109">
        <f>IF(B65=1,'Deal maths'!AA65+ROW()/1000000,"")</f>
        <v/>
      </c>
      <c r="R65" s="108">
        <f>IF(D65=0,0,IF(DAY(E65+1)=1,31,DAY(E65)))</f>
        <v/>
      </c>
      <c r="S65" s="109">
        <f>IF(AND('Deal maths'!V65="LOBO",'Deal maths'!AG65&gt;AsAt,'Deal maths'!AG65&lt;'Deal maths'!AA65),'Deal maths'!AG65,'Deal maths'!AA65)</f>
        <v/>
      </c>
      <c r="T65" s="108">
        <f>('Deal maths'!AA65&gt;AsAt)*('Deal maths'!Y65&gt;0)</f>
        <v/>
      </c>
    </row>
    <row r="66">
      <c r="A66" s="91">
        <f>IF('Deal maths'!V66="","",'Deal maths'!W66)</f>
        <v/>
      </c>
      <c r="B66" s="108">
        <f>('Deal maths'!AA66&gt;AsAt)*('Deal maths'!Y66&gt;0)*('Deal maths'!Z66&lt;=AsAt)</f>
        <v/>
      </c>
      <c r="C66" s="91">
        <f>IF('Deal maths'!V66="","",IF('Deal maths'!AC66="","Maturity",'Deal maths'!AC66))</f>
        <v/>
      </c>
      <c r="D66" s="108">
        <f>IF(OR(C66="EIP",C66="Annuity"),IF('Deal maths'!AD66="Annual",12,IF('Deal maths'!AD66="Quarterly",3,6)),0)</f>
        <v/>
      </c>
      <c r="E66" s="109">
        <f>IFERROR(IF(D66=0,0,IF('Deal maths'!AE66&gt;0,IF('Deal maths'!AE66&gt;'Deal maths'!AA66,'Deal maths'!AA66,'Deal maths'!AE66),IF(IF(DAY('Deal maths'!AA66+1)=1,EOMONTH('Deal maths'!AA66,-(INT(((YEAR('Deal maths'!AA66)-YEAR(IF('Deal maths'!Z66&gt;0,'Deal maths'!Z66,DATE(1990,1,1))))*12+MONTH('Deal maths'!AA66)-MONTH(IF('Deal maths'!Z66&gt;0,'Deal maths'!Z66,DATE(1990,1,1))))/D66))*D66),EDATE('Deal maths'!AA66,-(INT(((YEAR('Deal maths'!AA66)-YEAR(IF('Deal maths'!Z66&gt;0,'Deal maths'!Z66,DATE(1990,1,1))))*12+MONTH('Deal maths'!AA66)-MONTH(IF('Deal maths'!Z66&gt;0,'Deal maths'!Z66,DATE(1990,1,1))))/D66))*D66))&gt;IF('Deal maths'!Z66&gt;0,'Deal maths'!Z66,DATE(1990,1,1)),IF(DAY('Deal maths'!AA66+1)=1,EOMONTH('Deal maths'!AA66,-(INT(((YEAR('Deal maths'!AA66)-YEAR(IF('Deal maths'!Z66&gt;0,'Deal maths'!Z66,DATE(1990,1,1))))*12+MONTH('Deal maths'!AA66)-MONTH(IF('Deal maths'!Z66&gt;0,'Deal maths'!Z66,DATE(1990,1,1))))/D66))*D66),EDATE('Deal maths'!AA66,-(INT(((YEAR('Deal maths'!AA66)-YEAR(IF('Deal maths'!Z66&gt;0,'Deal maths'!Z66,DATE(1990,1,1))))*12+MONTH('Deal maths'!AA66)-MONTH(IF('Deal maths'!Z66&gt;0,'Deal maths'!Z66,DATE(1990,1,1))))/D66))*D66)),IF(DAY('Deal maths'!AA66+1)=1,EOMONTH('Deal maths'!AA66,-(INT(((YEAR('Deal maths'!AA66)-YEAR(IF('Deal maths'!Z66&gt;0,'Deal maths'!Z66,DATE(1990,1,1))))*12+MONTH('Deal maths'!AA66)-MONTH(IF('Deal maths'!Z66&gt;0,'Deal maths'!Z66,DATE(1990,1,1))))/D66)-1)*D66),EDATE('Deal maths'!AA66,-(INT(((YEAR('Deal maths'!AA66)-YEAR(IF('Deal maths'!Z66&gt;0,'Deal maths'!Z66,DATE(1990,1,1))))*12+MONTH('Deal maths'!AA66)-MONTH(IF('Deal maths'!Z66&gt;0,'Deal maths'!Z66,DATE(1990,1,1))))/D66)-1)*D66))))),0)</f>
        <v/>
      </c>
      <c r="F66" s="110">
        <f>IF(D66=0,0,'Deal maths'!AB66*D66/12)</f>
        <v/>
      </c>
      <c r="G66" s="108">
        <f>N66+O66</f>
        <v/>
      </c>
      <c r="H66" s="108">
        <f>IFERROR(IF(OR(D66=0,AsAt&lt;E66),0,MIN(N66,INT(((YEAR(AsAt)-YEAR(E66))*12+MONTH(AsAt)-MONTH(E66)-(DAY(AsAt)&lt;MIN(R66,DAY(EOMONTH(AsAt,0)))))/D66)+1)+O66*(AsAt&gt;='Deal maths'!AA66)),0)</f>
        <v/>
      </c>
      <c r="I66" s="108">
        <f>G66-H66</f>
        <v/>
      </c>
      <c r="J66" s="111">
        <f>IF(AND(C66="EIP",I66&gt;0),'Deal maths'!Y66/I66,0)</f>
        <v/>
      </c>
      <c r="K66" s="111">
        <f>IF(AND(C66="Annuity",I66&gt;0),IF(F66&gt;0,'Deal maths'!Y66*F66/(1-(1+F66)^-I66),'Deal maths'!Y66/I66),0)</f>
        <v/>
      </c>
      <c r="L66" s="111">
        <f>IF('Deal maths'!Y66="",0,'Deal maths'!Y66)</f>
        <v/>
      </c>
      <c r="M66" s="112">
        <f>F66+(F66=0)</f>
        <v/>
      </c>
      <c r="N66" s="108">
        <f>IFERROR(IF(D66=0,0,INT(((YEAR('Deal maths'!AA66)-YEAR(E66))*12+MONTH('Deal maths'!AA66)-MONTH(E66)-(DAY('Deal maths'!AA66)&lt;MIN(R66,DAY(EOMONTH('Deal maths'!AA66,0)))))/D66)+1),0)</f>
        <v/>
      </c>
      <c r="O66" s="108">
        <f>IFERROR(IF(D66=0,0,IF(IF(DAY(E66+1)=1,EOMONTH(E66,(N66-1)*D66),EDATE(E66,(N66-1)*D66))='Deal maths'!AA66,0,1)),0)</f>
        <v/>
      </c>
      <c r="P66" s="113">
        <f>IF(B66=0,0,IFERROR(IF(C66="EIP",((I66-O66)*((IF(DAY(E66+1)=1,EOMONTH(E66,H66*D66),EDATE(E66,H66*D66))-AsAt)/365.25+(IF(DAY(E66+1)=1,EOMONTH(E66,(N66-1)*D66),EDATE(E66,(N66-1)*D66))-AsAt)/365.25)/2+O66*('Deal maths'!AA66-AsAt)/365.25)/I66,IF(C66="Annuity",IF(F66&gt;0,((K66-L66*F66)*((IF(DAY(E66+1)=1,EOMONTH(E66,H66*D66),EDATE(E66,H66*D66))-AsAt)/365.25*((1+F66)^(I66-O66)-1)/F66+IF((I66-O66)&gt;1,((IF(DAY(E66+1)=1,EOMONTH(E66,(N66-1)*D66),EDATE(E66,(N66-1)*D66))-AsAt)/365.25-(IF(DAY(E66+1)=1,EOMONTH(E66,H66*D66),EDATE(E66,H66*D66))-AsAt)/365.25)/((I66-O66)-1),0)*(1+F66)*(1-(I66-O66)*(1+F66)^((I66-O66)-1)+((I66-O66)-1)*(1+F66)^(I66-O66))/F66^2)+O66*(K66-L66*F66)*(1+F66)^(I66-1)*('Deal maths'!AA66-AsAt)/365.25)/L66,((I66-O66)*((IF(DAY(E66+1)=1,EOMONTH(E66,H66*D66),EDATE(E66,H66*D66))-AsAt)/365.25+(IF(DAY(E66+1)=1,EOMONTH(E66,(N66-1)*D66),EDATE(E66,(N66-1)*D66))-AsAt)/365.25)/2+O66*('Deal maths'!AA66-AsAt)/365.25)/I66),(S66-AsAt)/365.25)),0))</f>
        <v/>
      </c>
      <c r="Q66" s="109">
        <f>IF(B66=1,'Deal maths'!AA66+ROW()/1000000,"")</f>
        <v/>
      </c>
      <c r="R66" s="108">
        <f>IF(D66=0,0,IF(DAY(E66+1)=1,31,DAY(E66)))</f>
        <v/>
      </c>
      <c r="S66" s="109">
        <f>IF(AND('Deal maths'!V66="LOBO",'Deal maths'!AG66&gt;AsAt,'Deal maths'!AG66&lt;'Deal maths'!AA66),'Deal maths'!AG66,'Deal maths'!AA66)</f>
        <v/>
      </c>
      <c r="T66" s="108">
        <f>('Deal maths'!AA66&gt;AsAt)*('Deal maths'!Y66&gt;0)</f>
        <v/>
      </c>
    </row>
    <row r="67">
      <c r="A67" s="91">
        <f>IF('Deal maths'!V67="","",'Deal maths'!W67)</f>
        <v/>
      </c>
      <c r="B67" s="108">
        <f>('Deal maths'!AA67&gt;AsAt)*('Deal maths'!Y67&gt;0)*('Deal maths'!Z67&lt;=AsAt)</f>
        <v/>
      </c>
      <c r="C67" s="91">
        <f>IF('Deal maths'!V67="","",IF('Deal maths'!AC67="","Maturity",'Deal maths'!AC67))</f>
        <v/>
      </c>
      <c r="D67" s="108">
        <f>IF(OR(C67="EIP",C67="Annuity"),IF('Deal maths'!AD67="Annual",12,IF('Deal maths'!AD67="Quarterly",3,6)),0)</f>
        <v/>
      </c>
      <c r="E67" s="109">
        <f>IFERROR(IF(D67=0,0,IF('Deal maths'!AE67&gt;0,IF('Deal maths'!AE67&gt;'Deal maths'!AA67,'Deal maths'!AA67,'Deal maths'!AE67),IF(IF(DAY('Deal maths'!AA67+1)=1,EOMONTH('Deal maths'!AA67,-(INT(((YEAR('Deal maths'!AA67)-YEAR(IF('Deal maths'!Z67&gt;0,'Deal maths'!Z67,DATE(1990,1,1))))*12+MONTH('Deal maths'!AA67)-MONTH(IF('Deal maths'!Z67&gt;0,'Deal maths'!Z67,DATE(1990,1,1))))/D67))*D67),EDATE('Deal maths'!AA67,-(INT(((YEAR('Deal maths'!AA67)-YEAR(IF('Deal maths'!Z67&gt;0,'Deal maths'!Z67,DATE(1990,1,1))))*12+MONTH('Deal maths'!AA67)-MONTH(IF('Deal maths'!Z67&gt;0,'Deal maths'!Z67,DATE(1990,1,1))))/D67))*D67))&gt;IF('Deal maths'!Z67&gt;0,'Deal maths'!Z67,DATE(1990,1,1)),IF(DAY('Deal maths'!AA67+1)=1,EOMONTH('Deal maths'!AA67,-(INT(((YEAR('Deal maths'!AA67)-YEAR(IF('Deal maths'!Z67&gt;0,'Deal maths'!Z67,DATE(1990,1,1))))*12+MONTH('Deal maths'!AA67)-MONTH(IF('Deal maths'!Z67&gt;0,'Deal maths'!Z67,DATE(1990,1,1))))/D67))*D67),EDATE('Deal maths'!AA67,-(INT(((YEAR('Deal maths'!AA67)-YEAR(IF('Deal maths'!Z67&gt;0,'Deal maths'!Z67,DATE(1990,1,1))))*12+MONTH('Deal maths'!AA67)-MONTH(IF('Deal maths'!Z67&gt;0,'Deal maths'!Z67,DATE(1990,1,1))))/D67))*D67)),IF(DAY('Deal maths'!AA67+1)=1,EOMONTH('Deal maths'!AA67,-(INT(((YEAR('Deal maths'!AA67)-YEAR(IF('Deal maths'!Z67&gt;0,'Deal maths'!Z67,DATE(1990,1,1))))*12+MONTH('Deal maths'!AA67)-MONTH(IF('Deal maths'!Z67&gt;0,'Deal maths'!Z67,DATE(1990,1,1))))/D67)-1)*D67),EDATE('Deal maths'!AA67,-(INT(((YEAR('Deal maths'!AA67)-YEAR(IF('Deal maths'!Z67&gt;0,'Deal maths'!Z67,DATE(1990,1,1))))*12+MONTH('Deal maths'!AA67)-MONTH(IF('Deal maths'!Z67&gt;0,'Deal maths'!Z67,DATE(1990,1,1))))/D67)-1)*D67))))),0)</f>
        <v/>
      </c>
      <c r="F67" s="110">
        <f>IF(D67=0,0,'Deal maths'!AB67*D67/12)</f>
        <v/>
      </c>
      <c r="G67" s="108">
        <f>N67+O67</f>
        <v/>
      </c>
      <c r="H67" s="108">
        <f>IFERROR(IF(OR(D67=0,AsAt&lt;E67),0,MIN(N67,INT(((YEAR(AsAt)-YEAR(E67))*12+MONTH(AsAt)-MONTH(E67)-(DAY(AsAt)&lt;MIN(R67,DAY(EOMONTH(AsAt,0)))))/D67)+1)+O67*(AsAt&gt;='Deal maths'!AA67)),0)</f>
        <v/>
      </c>
      <c r="I67" s="108">
        <f>G67-H67</f>
        <v/>
      </c>
      <c r="J67" s="111">
        <f>IF(AND(C67="EIP",I67&gt;0),'Deal maths'!Y67/I67,0)</f>
        <v/>
      </c>
      <c r="K67" s="111">
        <f>IF(AND(C67="Annuity",I67&gt;0),IF(F67&gt;0,'Deal maths'!Y67*F67/(1-(1+F67)^-I67),'Deal maths'!Y67/I67),0)</f>
        <v/>
      </c>
      <c r="L67" s="111">
        <f>IF('Deal maths'!Y67="",0,'Deal maths'!Y67)</f>
        <v/>
      </c>
      <c r="M67" s="112">
        <f>F67+(F67=0)</f>
        <v/>
      </c>
      <c r="N67" s="108">
        <f>IFERROR(IF(D67=0,0,INT(((YEAR('Deal maths'!AA67)-YEAR(E67))*12+MONTH('Deal maths'!AA67)-MONTH(E67)-(DAY('Deal maths'!AA67)&lt;MIN(R67,DAY(EOMONTH('Deal maths'!AA67,0)))))/D67)+1),0)</f>
        <v/>
      </c>
      <c r="O67" s="108">
        <f>IFERROR(IF(D67=0,0,IF(IF(DAY(E67+1)=1,EOMONTH(E67,(N67-1)*D67),EDATE(E67,(N67-1)*D67))='Deal maths'!AA67,0,1)),0)</f>
        <v/>
      </c>
      <c r="P67" s="113">
        <f>IF(B67=0,0,IFERROR(IF(C67="EIP",((I67-O67)*((IF(DAY(E67+1)=1,EOMONTH(E67,H67*D67),EDATE(E67,H67*D67))-AsAt)/365.25+(IF(DAY(E67+1)=1,EOMONTH(E67,(N67-1)*D67),EDATE(E67,(N67-1)*D67))-AsAt)/365.25)/2+O67*('Deal maths'!AA67-AsAt)/365.25)/I67,IF(C67="Annuity",IF(F67&gt;0,((K67-L67*F67)*((IF(DAY(E67+1)=1,EOMONTH(E67,H67*D67),EDATE(E67,H67*D67))-AsAt)/365.25*((1+F67)^(I67-O67)-1)/F67+IF((I67-O67)&gt;1,((IF(DAY(E67+1)=1,EOMONTH(E67,(N67-1)*D67),EDATE(E67,(N67-1)*D67))-AsAt)/365.25-(IF(DAY(E67+1)=1,EOMONTH(E67,H67*D67),EDATE(E67,H67*D67))-AsAt)/365.25)/((I67-O67)-1),0)*(1+F67)*(1-(I67-O67)*(1+F67)^((I67-O67)-1)+((I67-O67)-1)*(1+F67)^(I67-O67))/F67^2)+O67*(K67-L67*F67)*(1+F67)^(I67-1)*('Deal maths'!AA67-AsAt)/365.25)/L67,((I67-O67)*((IF(DAY(E67+1)=1,EOMONTH(E67,H67*D67),EDATE(E67,H67*D67))-AsAt)/365.25+(IF(DAY(E67+1)=1,EOMONTH(E67,(N67-1)*D67),EDATE(E67,(N67-1)*D67))-AsAt)/365.25)/2+O67*('Deal maths'!AA67-AsAt)/365.25)/I67),(S67-AsAt)/365.25)),0))</f>
        <v/>
      </c>
      <c r="Q67" s="109">
        <f>IF(B67=1,'Deal maths'!AA67+ROW()/1000000,"")</f>
        <v/>
      </c>
      <c r="R67" s="108">
        <f>IF(D67=0,0,IF(DAY(E67+1)=1,31,DAY(E67)))</f>
        <v/>
      </c>
      <c r="S67" s="109">
        <f>IF(AND('Deal maths'!V67="LOBO",'Deal maths'!AG67&gt;AsAt,'Deal maths'!AG67&lt;'Deal maths'!AA67),'Deal maths'!AG67,'Deal maths'!AA67)</f>
        <v/>
      </c>
      <c r="T67" s="108">
        <f>('Deal maths'!AA67&gt;AsAt)*('Deal maths'!Y67&gt;0)</f>
        <v/>
      </c>
    </row>
    <row r="68">
      <c r="A68" s="91">
        <f>IF('Deal maths'!V68="","",'Deal maths'!W68)</f>
        <v/>
      </c>
      <c r="B68" s="108">
        <f>('Deal maths'!AA68&gt;AsAt)*('Deal maths'!Y68&gt;0)*('Deal maths'!Z68&lt;=AsAt)</f>
        <v/>
      </c>
      <c r="C68" s="91">
        <f>IF('Deal maths'!V68="","",IF('Deal maths'!AC68="","Maturity",'Deal maths'!AC68))</f>
        <v/>
      </c>
      <c r="D68" s="108">
        <f>IF(OR(C68="EIP",C68="Annuity"),IF('Deal maths'!AD68="Annual",12,IF('Deal maths'!AD68="Quarterly",3,6)),0)</f>
        <v/>
      </c>
      <c r="E68" s="109">
        <f>IFERROR(IF(D68=0,0,IF('Deal maths'!AE68&gt;0,IF('Deal maths'!AE68&gt;'Deal maths'!AA68,'Deal maths'!AA68,'Deal maths'!AE68),IF(IF(DAY('Deal maths'!AA68+1)=1,EOMONTH('Deal maths'!AA68,-(INT(((YEAR('Deal maths'!AA68)-YEAR(IF('Deal maths'!Z68&gt;0,'Deal maths'!Z68,DATE(1990,1,1))))*12+MONTH('Deal maths'!AA68)-MONTH(IF('Deal maths'!Z68&gt;0,'Deal maths'!Z68,DATE(1990,1,1))))/D68))*D68),EDATE('Deal maths'!AA68,-(INT(((YEAR('Deal maths'!AA68)-YEAR(IF('Deal maths'!Z68&gt;0,'Deal maths'!Z68,DATE(1990,1,1))))*12+MONTH('Deal maths'!AA68)-MONTH(IF('Deal maths'!Z68&gt;0,'Deal maths'!Z68,DATE(1990,1,1))))/D68))*D68))&gt;IF('Deal maths'!Z68&gt;0,'Deal maths'!Z68,DATE(1990,1,1)),IF(DAY('Deal maths'!AA68+1)=1,EOMONTH('Deal maths'!AA68,-(INT(((YEAR('Deal maths'!AA68)-YEAR(IF('Deal maths'!Z68&gt;0,'Deal maths'!Z68,DATE(1990,1,1))))*12+MONTH('Deal maths'!AA68)-MONTH(IF('Deal maths'!Z68&gt;0,'Deal maths'!Z68,DATE(1990,1,1))))/D68))*D68),EDATE('Deal maths'!AA68,-(INT(((YEAR('Deal maths'!AA68)-YEAR(IF('Deal maths'!Z68&gt;0,'Deal maths'!Z68,DATE(1990,1,1))))*12+MONTH('Deal maths'!AA68)-MONTH(IF('Deal maths'!Z68&gt;0,'Deal maths'!Z68,DATE(1990,1,1))))/D68))*D68)),IF(DAY('Deal maths'!AA68+1)=1,EOMONTH('Deal maths'!AA68,-(INT(((YEAR('Deal maths'!AA68)-YEAR(IF('Deal maths'!Z68&gt;0,'Deal maths'!Z68,DATE(1990,1,1))))*12+MONTH('Deal maths'!AA68)-MONTH(IF('Deal maths'!Z68&gt;0,'Deal maths'!Z68,DATE(1990,1,1))))/D68)-1)*D68),EDATE('Deal maths'!AA68,-(INT(((YEAR('Deal maths'!AA68)-YEAR(IF('Deal maths'!Z68&gt;0,'Deal maths'!Z68,DATE(1990,1,1))))*12+MONTH('Deal maths'!AA68)-MONTH(IF('Deal maths'!Z68&gt;0,'Deal maths'!Z68,DATE(1990,1,1))))/D68)-1)*D68))))),0)</f>
        <v/>
      </c>
      <c r="F68" s="110">
        <f>IF(D68=0,0,'Deal maths'!AB68*D68/12)</f>
        <v/>
      </c>
      <c r="G68" s="108">
        <f>N68+O68</f>
        <v/>
      </c>
      <c r="H68" s="108">
        <f>IFERROR(IF(OR(D68=0,AsAt&lt;E68),0,MIN(N68,INT(((YEAR(AsAt)-YEAR(E68))*12+MONTH(AsAt)-MONTH(E68)-(DAY(AsAt)&lt;MIN(R68,DAY(EOMONTH(AsAt,0)))))/D68)+1)+O68*(AsAt&gt;='Deal maths'!AA68)),0)</f>
        <v/>
      </c>
      <c r="I68" s="108">
        <f>G68-H68</f>
        <v/>
      </c>
      <c r="J68" s="111">
        <f>IF(AND(C68="EIP",I68&gt;0),'Deal maths'!Y68/I68,0)</f>
        <v/>
      </c>
      <c r="K68" s="111">
        <f>IF(AND(C68="Annuity",I68&gt;0),IF(F68&gt;0,'Deal maths'!Y68*F68/(1-(1+F68)^-I68),'Deal maths'!Y68/I68),0)</f>
        <v/>
      </c>
      <c r="L68" s="111">
        <f>IF('Deal maths'!Y68="",0,'Deal maths'!Y68)</f>
        <v/>
      </c>
      <c r="M68" s="112">
        <f>F68+(F68=0)</f>
        <v/>
      </c>
      <c r="N68" s="108">
        <f>IFERROR(IF(D68=0,0,INT(((YEAR('Deal maths'!AA68)-YEAR(E68))*12+MONTH('Deal maths'!AA68)-MONTH(E68)-(DAY('Deal maths'!AA68)&lt;MIN(R68,DAY(EOMONTH('Deal maths'!AA68,0)))))/D68)+1),0)</f>
        <v/>
      </c>
      <c r="O68" s="108">
        <f>IFERROR(IF(D68=0,0,IF(IF(DAY(E68+1)=1,EOMONTH(E68,(N68-1)*D68),EDATE(E68,(N68-1)*D68))='Deal maths'!AA68,0,1)),0)</f>
        <v/>
      </c>
      <c r="P68" s="113">
        <f>IF(B68=0,0,IFERROR(IF(C68="EIP",((I68-O68)*((IF(DAY(E68+1)=1,EOMONTH(E68,H68*D68),EDATE(E68,H68*D68))-AsAt)/365.25+(IF(DAY(E68+1)=1,EOMONTH(E68,(N68-1)*D68),EDATE(E68,(N68-1)*D68))-AsAt)/365.25)/2+O68*('Deal maths'!AA68-AsAt)/365.25)/I68,IF(C68="Annuity",IF(F68&gt;0,((K68-L68*F68)*((IF(DAY(E68+1)=1,EOMONTH(E68,H68*D68),EDATE(E68,H68*D68))-AsAt)/365.25*((1+F68)^(I68-O68)-1)/F68+IF((I68-O68)&gt;1,((IF(DAY(E68+1)=1,EOMONTH(E68,(N68-1)*D68),EDATE(E68,(N68-1)*D68))-AsAt)/365.25-(IF(DAY(E68+1)=1,EOMONTH(E68,H68*D68),EDATE(E68,H68*D68))-AsAt)/365.25)/((I68-O68)-1),0)*(1+F68)*(1-(I68-O68)*(1+F68)^((I68-O68)-1)+((I68-O68)-1)*(1+F68)^(I68-O68))/F68^2)+O68*(K68-L68*F68)*(1+F68)^(I68-1)*('Deal maths'!AA68-AsAt)/365.25)/L68,((I68-O68)*((IF(DAY(E68+1)=1,EOMONTH(E68,H68*D68),EDATE(E68,H68*D68))-AsAt)/365.25+(IF(DAY(E68+1)=1,EOMONTH(E68,(N68-1)*D68),EDATE(E68,(N68-1)*D68))-AsAt)/365.25)/2+O68*('Deal maths'!AA68-AsAt)/365.25)/I68),(S68-AsAt)/365.25)),0))</f>
        <v/>
      </c>
      <c r="Q68" s="109">
        <f>IF(B68=1,'Deal maths'!AA68+ROW()/1000000,"")</f>
        <v/>
      </c>
      <c r="R68" s="108">
        <f>IF(D68=0,0,IF(DAY(E68+1)=1,31,DAY(E68)))</f>
        <v/>
      </c>
      <c r="S68" s="109">
        <f>IF(AND('Deal maths'!V68="LOBO",'Deal maths'!AG68&gt;AsAt,'Deal maths'!AG68&lt;'Deal maths'!AA68),'Deal maths'!AG68,'Deal maths'!AA68)</f>
        <v/>
      </c>
      <c r="T68" s="108">
        <f>('Deal maths'!AA68&gt;AsAt)*('Deal maths'!Y68&gt;0)</f>
        <v/>
      </c>
    </row>
    <row r="69">
      <c r="A69" s="91">
        <f>IF('Deal maths'!V69="","",'Deal maths'!W69)</f>
        <v/>
      </c>
      <c r="B69" s="108">
        <f>('Deal maths'!AA69&gt;AsAt)*('Deal maths'!Y69&gt;0)*('Deal maths'!Z69&lt;=AsAt)</f>
        <v/>
      </c>
      <c r="C69" s="91">
        <f>IF('Deal maths'!V69="","",IF('Deal maths'!AC69="","Maturity",'Deal maths'!AC69))</f>
        <v/>
      </c>
      <c r="D69" s="108">
        <f>IF(OR(C69="EIP",C69="Annuity"),IF('Deal maths'!AD69="Annual",12,IF('Deal maths'!AD69="Quarterly",3,6)),0)</f>
        <v/>
      </c>
      <c r="E69" s="109">
        <f>IFERROR(IF(D69=0,0,IF('Deal maths'!AE69&gt;0,IF('Deal maths'!AE69&gt;'Deal maths'!AA69,'Deal maths'!AA69,'Deal maths'!AE69),IF(IF(DAY('Deal maths'!AA69+1)=1,EOMONTH('Deal maths'!AA69,-(INT(((YEAR('Deal maths'!AA69)-YEAR(IF('Deal maths'!Z69&gt;0,'Deal maths'!Z69,DATE(1990,1,1))))*12+MONTH('Deal maths'!AA69)-MONTH(IF('Deal maths'!Z69&gt;0,'Deal maths'!Z69,DATE(1990,1,1))))/D69))*D69),EDATE('Deal maths'!AA69,-(INT(((YEAR('Deal maths'!AA69)-YEAR(IF('Deal maths'!Z69&gt;0,'Deal maths'!Z69,DATE(1990,1,1))))*12+MONTH('Deal maths'!AA69)-MONTH(IF('Deal maths'!Z69&gt;0,'Deal maths'!Z69,DATE(1990,1,1))))/D69))*D69))&gt;IF('Deal maths'!Z69&gt;0,'Deal maths'!Z69,DATE(1990,1,1)),IF(DAY('Deal maths'!AA69+1)=1,EOMONTH('Deal maths'!AA69,-(INT(((YEAR('Deal maths'!AA69)-YEAR(IF('Deal maths'!Z69&gt;0,'Deal maths'!Z69,DATE(1990,1,1))))*12+MONTH('Deal maths'!AA69)-MONTH(IF('Deal maths'!Z69&gt;0,'Deal maths'!Z69,DATE(1990,1,1))))/D69))*D69),EDATE('Deal maths'!AA69,-(INT(((YEAR('Deal maths'!AA69)-YEAR(IF('Deal maths'!Z69&gt;0,'Deal maths'!Z69,DATE(1990,1,1))))*12+MONTH('Deal maths'!AA69)-MONTH(IF('Deal maths'!Z69&gt;0,'Deal maths'!Z69,DATE(1990,1,1))))/D69))*D69)),IF(DAY('Deal maths'!AA69+1)=1,EOMONTH('Deal maths'!AA69,-(INT(((YEAR('Deal maths'!AA69)-YEAR(IF('Deal maths'!Z69&gt;0,'Deal maths'!Z69,DATE(1990,1,1))))*12+MONTH('Deal maths'!AA69)-MONTH(IF('Deal maths'!Z69&gt;0,'Deal maths'!Z69,DATE(1990,1,1))))/D69)-1)*D69),EDATE('Deal maths'!AA69,-(INT(((YEAR('Deal maths'!AA69)-YEAR(IF('Deal maths'!Z69&gt;0,'Deal maths'!Z69,DATE(1990,1,1))))*12+MONTH('Deal maths'!AA69)-MONTH(IF('Deal maths'!Z69&gt;0,'Deal maths'!Z69,DATE(1990,1,1))))/D69)-1)*D69))))),0)</f>
        <v/>
      </c>
      <c r="F69" s="110">
        <f>IF(D69=0,0,'Deal maths'!AB69*D69/12)</f>
        <v/>
      </c>
      <c r="G69" s="108">
        <f>N69+O69</f>
        <v/>
      </c>
      <c r="H69" s="108">
        <f>IFERROR(IF(OR(D69=0,AsAt&lt;E69),0,MIN(N69,INT(((YEAR(AsAt)-YEAR(E69))*12+MONTH(AsAt)-MONTH(E69)-(DAY(AsAt)&lt;MIN(R69,DAY(EOMONTH(AsAt,0)))))/D69)+1)+O69*(AsAt&gt;='Deal maths'!AA69)),0)</f>
        <v/>
      </c>
      <c r="I69" s="108">
        <f>G69-H69</f>
        <v/>
      </c>
      <c r="J69" s="111">
        <f>IF(AND(C69="EIP",I69&gt;0),'Deal maths'!Y69/I69,0)</f>
        <v/>
      </c>
      <c r="K69" s="111">
        <f>IF(AND(C69="Annuity",I69&gt;0),IF(F69&gt;0,'Deal maths'!Y69*F69/(1-(1+F69)^-I69),'Deal maths'!Y69/I69),0)</f>
        <v/>
      </c>
      <c r="L69" s="111">
        <f>IF('Deal maths'!Y69="",0,'Deal maths'!Y69)</f>
        <v/>
      </c>
      <c r="M69" s="112">
        <f>F69+(F69=0)</f>
        <v/>
      </c>
      <c r="N69" s="108">
        <f>IFERROR(IF(D69=0,0,INT(((YEAR('Deal maths'!AA69)-YEAR(E69))*12+MONTH('Deal maths'!AA69)-MONTH(E69)-(DAY('Deal maths'!AA69)&lt;MIN(R69,DAY(EOMONTH('Deal maths'!AA69,0)))))/D69)+1),0)</f>
        <v/>
      </c>
      <c r="O69" s="108">
        <f>IFERROR(IF(D69=0,0,IF(IF(DAY(E69+1)=1,EOMONTH(E69,(N69-1)*D69),EDATE(E69,(N69-1)*D69))='Deal maths'!AA69,0,1)),0)</f>
        <v/>
      </c>
      <c r="P69" s="113">
        <f>IF(B69=0,0,IFERROR(IF(C69="EIP",((I69-O69)*((IF(DAY(E69+1)=1,EOMONTH(E69,H69*D69),EDATE(E69,H69*D69))-AsAt)/365.25+(IF(DAY(E69+1)=1,EOMONTH(E69,(N69-1)*D69),EDATE(E69,(N69-1)*D69))-AsAt)/365.25)/2+O69*('Deal maths'!AA69-AsAt)/365.25)/I69,IF(C69="Annuity",IF(F69&gt;0,((K69-L69*F69)*((IF(DAY(E69+1)=1,EOMONTH(E69,H69*D69),EDATE(E69,H69*D69))-AsAt)/365.25*((1+F69)^(I69-O69)-1)/F69+IF((I69-O69)&gt;1,((IF(DAY(E69+1)=1,EOMONTH(E69,(N69-1)*D69),EDATE(E69,(N69-1)*D69))-AsAt)/365.25-(IF(DAY(E69+1)=1,EOMONTH(E69,H69*D69),EDATE(E69,H69*D69))-AsAt)/365.25)/((I69-O69)-1),0)*(1+F69)*(1-(I69-O69)*(1+F69)^((I69-O69)-1)+((I69-O69)-1)*(1+F69)^(I69-O69))/F69^2)+O69*(K69-L69*F69)*(1+F69)^(I69-1)*('Deal maths'!AA69-AsAt)/365.25)/L69,((I69-O69)*((IF(DAY(E69+1)=1,EOMONTH(E69,H69*D69),EDATE(E69,H69*D69))-AsAt)/365.25+(IF(DAY(E69+1)=1,EOMONTH(E69,(N69-1)*D69),EDATE(E69,(N69-1)*D69))-AsAt)/365.25)/2+O69*('Deal maths'!AA69-AsAt)/365.25)/I69),(S69-AsAt)/365.25)),0))</f>
        <v/>
      </c>
      <c r="Q69" s="109">
        <f>IF(B69=1,'Deal maths'!AA69+ROW()/1000000,"")</f>
        <v/>
      </c>
      <c r="R69" s="108">
        <f>IF(D69=0,0,IF(DAY(E69+1)=1,31,DAY(E69)))</f>
        <v/>
      </c>
      <c r="S69" s="109">
        <f>IF(AND('Deal maths'!V69="LOBO",'Deal maths'!AG69&gt;AsAt,'Deal maths'!AG69&lt;'Deal maths'!AA69),'Deal maths'!AG69,'Deal maths'!AA69)</f>
        <v/>
      </c>
      <c r="T69" s="108">
        <f>('Deal maths'!AA69&gt;AsAt)*('Deal maths'!Y69&gt;0)</f>
        <v/>
      </c>
    </row>
    <row r="70">
      <c r="A70" s="91">
        <f>IF('Deal maths'!V70="","",'Deal maths'!W70)</f>
        <v/>
      </c>
      <c r="B70" s="108">
        <f>('Deal maths'!AA70&gt;AsAt)*('Deal maths'!Y70&gt;0)*('Deal maths'!Z70&lt;=AsAt)</f>
        <v/>
      </c>
      <c r="C70" s="91">
        <f>IF('Deal maths'!V70="","",IF('Deal maths'!AC70="","Maturity",'Deal maths'!AC70))</f>
        <v/>
      </c>
      <c r="D70" s="108">
        <f>IF(OR(C70="EIP",C70="Annuity"),IF('Deal maths'!AD70="Annual",12,IF('Deal maths'!AD70="Quarterly",3,6)),0)</f>
        <v/>
      </c>
      <c r="E70" s="109">
        <f>IFERROR(IF(D70=0,0,IF('Deal maths'!AE70&gt;0,IF('Deal maths'!AE70&gt;'Deal maths'!AA70,'Deal maths'!AA70,'Deal maths'!AE70),IF(IF(DAY('Deal maths'!AA70+1)=1,EOMONTH('Deal maths'!AA70,-(INT(((YEAR('Deal maths'!AA70)-YEAR(IF('Deal maths'!Z70&gt;0,'Deal maths'!Z70,DATE(1990,1,1))))*12+MONTH('Deal maths'!AA70)-MONTH(IF('Deal maths'!Z70&gt;0,'Deal maths'!Z70,DATE(1990,1,1))))/D70))*D70),EDATE('Deal maths'!AA70,-(INT(((YEAR('Deal maths'!AA70)-YEAR(IF('Deal maths'!Z70&gt;0,'Deal maths'!Z70,DATE(1990,1,1))))*12+MONTH('Deal maths'!AA70)-MONTH(IF('Deal maths'!Z70&gt;0,'Deal maths'!Z70,DATE(1990,1,1))))/D70))*D70))&gt;IF('Deal maths'!Z70&gt;0,'Deal maths'!Z70,DATE(1990,1,1)),IF(DAY('Deal maths'!AA70+1)=1,EOMONTH('Deal maths'!AA70,-(INT(((YEAR('Deal maths'!AA70)-YEAR(IF('Deal maths'!Z70&gt;0,'Deal maths'!Z70,DATE(1990,1,1))))*12+MONTH('Deal maths'!AA70)-MONTH(IF('Deal maths'!Z70&gt;0,'Deal maths'!Z70,DATE(1990,1,1))))/D70))*D70),EDATE('Deal maths'!AA70,-(INT(((YEAR('Deal maths'!AA70)-YEAR(IF('Deal maths'!Z70&gt;0,'Deal maths'!Z70,DATE(1990,1,1))))*12+MONTH('Deal maths'!AA70)-MONTH(IF('Deal maths'!Z70&gt;0,'Deal maths'!Z70,DATE(1990,1,1))))/D70))*D70)),IF(DAY('Deal maths'!AA70+1)=1,EOMONTH('Deal maths'!AA70,-(INT(((YEAR('Deal maths'!AA70)-YEAR(IF('Deal maths'!Z70&gt;0,'Deal maths'!Z70,DATE(1990,1,1))))*12+MONTH('Deal maths'!AA70)-MONTH(IF('Deal maths'!Z70&gt;0,'Deal maths'!Z70,DATE(1990,1,1))))/D70)-1)*D70),EDATE('Deal maths'!AA70,-(INT(((YEAR('Deal maths'!AA70)-YEAR(IF('Deal maths'!Z70&gt;0,'Deal maths'!Z70,DATE(1990,1,1))))*12+MONTH('Deal maths'!AA70)-MONTH(IF('Deal maths'!Z70&gt;0,'Deal maths'!Z70,DATE(1990,1,1))))/D70)-1)*D70))))),0)</f>
        <v/>
      </c>
      <c r="F70" s="110">
        <f>IF(D70=0,0,'Deal maths'!AB70*D70/12)</f>
        <v/>
      </c>
      <c r="G70" s="108">
        <f>N70+O70</f>
        <v/>
      </c>
      <c r="H70" s="108">
        <f>IFERROR(IF(OR(D70=0,AsAt&lt;E70),0,MIN(N70,INT(((YEAR(AsAt)-YEAR(E70))*12+MONTH(AsAt)-MONTH(E70)-(DAY(AsAt)&lt;MIN(R70,DAY(EOMONTH(AsAt,0)))))/D70)+1)+O70*(AsAt&gt;='Deal maths'!AA70)),0)</f>
        <v/>
      </c>
      <c r="I70" s="108">
        <f>G70-H70</f>
        <v/>
      </c>
      <c r="J70" s="111">
        <f>IF(AND(C70="EIP",I70&gt;0),'Deal maths'!Y70/I70,0)</f>
        <v/>
      </c>
      <c r="K70" s="111">
        <f>IF(AND(C70="Annuity",I70&gt;0),IF(F70&gt;0,'Deal maths'!Y70*F70/(1-(1+F70)^-I70),'Deal maths'!Y70/I70),0)</f>
        <v/>
      </c>
      <c r="L70" s="111">
        <f>IF('Deal maths'!Y70="",0,'Deal maths'!Y70)</f>
        <v/>
      </c>
      <c r="M70" s="112">
        <f>F70+(F70=0)</f>
        <v/>
      </c>
      <c r="N70" s="108">
        <f>IFERROR(IF(D70=0,0,INT(((YEAR('Deal maths'!AA70)-YEAR(E70))*12+MONTH('Deal maths'!AA70)-MONTH(E70)-(DAY('Deal maths'!AA70)&lt;MIN(R70,DAY(EOMONTH('Deal maths'!AA70,0)))))/D70)+1),0)</f>
        <v/>
      </c>
      <c r="O70" s="108">
        <f>IFERROR(IF(D70=0,0,IF(IF(DAY(E70+1)=1,EOMONTH(E70,(N70-1)*D70),EDATE(E70,(N70-1)*D70))='Deal maths'!AA70,0,1)),0)</f>
        <v/>
      </c>
      <c r="P70" s="113">
        <f>IF(B70=0,0,IFERROR(IF(C70="EIP",((I70-O70)*((IF(DAY(E70+1)=1,EOMONTH(E70,H70*D70),EDATE(E70,H70*D70))-AsAt)/365.25+(IF(DAY(E70+1)=1,EOMONTH(E70,(N70-1)*D70),EDATE(E70,(N70-1)*D70))-AsAt)/365.25)/2+O70*('Deal maths'!AA70-AsAt)/365.25)/I70,IF(C70="Annuity",IF(F70&gt;0,((K70-L70*F70)*((IF(DAY(E70+1)=1,EOMONTH(E70,H70*D70),EDATE(E70,H70*D70))-AsAt)/365.25*((1+F70)^(I70-O70)-1)/F70+IF((I70-O70)&gt;1,((IF(DAY(E70+1)=1,EOMONTH(E70,(N70-1)*D70),EDATE(E70,(N70-1)*D70))-AsAt)/365.25-(IF(DAY(E70+1)=1,EOMONTH(E70,H70*D70),EDATE(E70,H70*D70))-AsAt)/365.25)/((I70-O70)-1),0)*(1+F70)*(1-(I70-O70)*(1+F70)^((I70-O70)-1)+((I70-O70)-1)*(1+F70)^(I70-O70))/F70^2)+O70*(K70-L70*F70)*(1+F70)^(I70-1)*('Deal maths'!AA70-AsAt)/365.25)/L70,((I70-O70)*((IF(DAY(E70+1)=1,EOMONTH(E70,H70*D70),EDATE(E70,H70*D70))-AsAt)/365.25+(IF(DAY(E70+1)=1,EOMONTH(E70,(N70-1)*D70),EDATE(E70,(N70-1)*D70))-AsAt)/365.25)/2+O70*('Deal maths'!AA70-AsAt)/365.25)/I70),(S70-AsAt)/365.25)),0))</f>
        <v/>
      </c>
      <c r="Q70" s="109">
        <f>IF(B70=1,'Deal maths'!AA70+ROW()/1000000,"")</f>
        <v/>
      </c>
      <c r="R70" s="108">
        <f>IF(D70=0,0,IF(DAY(E70+1)=1,31,DAY(E70)))</f>
        <v/>
      </c>
      <c r="S70" s="109">
        <f>IF(AND('Deal maths'!V70="LOBO",'Deal maths'!AG70&gt;AsAt,'Deal maths'!AG70&lt;'Deal maths'!AA70),'Deal maths'!AG70,'Deal maths'!AA70)</f>
        <v/>
      </c>
      <c r="T70" s="108">
        <f>('Deal maths'!AA70&gt;AsAt)*('Deal maths'!Y70&gt;0)</f>
        <v/>
      </c>
    </row>
    <row r="71">
      <c r="A71" s="91">
        <f>IF('Deal maths'!V71="","",'Deal maths'!W71)</f>
        <v/>
      </c>
      <c r="B71" s="108">
        <f>('Deal maths'!AA71&gt;AsAt)*('Deal maths'!Y71&gt;0)*('Deal maths'!Z71&lt;=AsAt)</f>
        <v/>
      </c>
      <c r="C71" s="91">
        <f>IF('Deal maths'!V71="","",IF('Deal maths'!AC71="","Maturity",'Deal maths'!AC71))</f>
        <v/>
      </c>
      <c r="D71" s="108">
        <f>IF(OR(C71="EIP",C71="Annuity"),IF('Deal maths'!AD71="Annual",12,IF('Deal maths'!AD71="Quarterly",3,6)),0)</f>
        <v/>
      </c>
      <c r="E71" s="109">
        <f>IFERROR(IF(D71=0,0,IF('Deal maths'!AE71&gt;0,IF('Deal maths'!AE71&gt;'Deal maths'!AA71,'Deal maths'!AA71,'Deal maths'!AE71),IF(IF(DAY('Deal maths'!AA71+1)=1,EOMONTH('Deal maths'!AA71,-(INT(((YEAR('Deal maths'!AA71)-YEAR(IF('Deal maths'!Z71&gt;0,'Deal maths'!Z71,DATE(1990,1,1))))*12+MONTH('Deal maths'!AA71)-MONTH(IF('Deal maths'!Z71&gt;0,'Deal maths'!Z71,DATE(1990,1,1))))/D71))*D71),EDATE('Deal maths'!AA71,-(INT(((YEAR('Deal maths'!AA71)-YEAR(IF('Deal maths'!Z71&gt;0,'Deal maths'!Z71,DATE(1990,1,1))))*12+MONTH('Deal maths'!AA71)-MONTH(IF('Deal maths'!Z71&gt;0,'Deal maths'!Z71,DATE(1990,1,1))))/D71))*D71))&gt;IF('Deal maths'!Z71&gt;0,'Deal maths'!Z71,DATE(1990,1,1)),IF(DAY('Deal maths'!AA71+1)=1,EOMONTH('Deal maths'!AA71,-(INT(((YEAR('Deal maths'!AA71)-YEAR(IF('Deal maths'!Z71&gt;0,'Deal maths'!Z71,DATE(1990,1,1))))*12+MONTH('Deal maths'!AA71)-MONTH(IF('Deal maths'!Z71&gt;0,'Deal maths'!Z71,DATE(1990,1,1))))/D71))*D71),EDATE('Deal maths'!AA71,-(INT(((YEAR('Deal maths'!AA71)-YEAR(IF('Deal maths'!Z71&gt;0,'Deal maths'!Z71,DATE(1990,1,1))))*12+MONTH('Deal maths'!AA71)-MONTH(IF('Deal maths'!Z71&gt;0,'Deal maths'!Z71,DATE(1990,1,1))))/D71))*D71)),IF(DAY('Deal maths'!AA71+1)=1,EOMONTH('Deal maths'!AA71,-(INT(((YEAR('Deal maths'!AA71)-YEAR(IF('Deal maths'!Z71&gt;0,'Deal maths'!Z71,DATE(1990,1,1))))*12+MONTH('Deal maths'!AA71)-MONTH(IF('Deal maths'!Z71&gt;0,'Deal maths'!Z71,DATE(1990,1,1))))/D71)-1)*D71),EDATE('Deal maths'!AA71,-(INT(((YEAR('Deal maths'!AA71)-YEAR(IF('Deal maths'!Z71&gt;0,'Deal maths'!Z71,DATE(1990,1,1))))*12+MONTH('Deal maths'!AA71)-MONTH(IF('Deal maths'!Z71&gt;0,'Deal maths'!Z71,DATE(1990,1,1))))/D71)-1)*D71))))),0)</f>
        <v/>
      </c>
      <c r="F71" s="110">
        <f>IF(D71=0,0,'Deal maths'!AB71*D71/12)</f>
        <v/>
      </c>
      <c r="G71" s="108">
        <f>N71+O71</f>
        <v/>
      </c>
      <c r="H71" s="108">
        <f>IFERROR(IF(OR(D71=0,AsAt&lt;E71),0,MIN(N71,INT(((YEAR(AsAt)-YEAR(E71))*12+MONTH(AsAt)-MONTH(E71)-(DAY(AsAt)&lt;MIN(R71,DAY(EOMONTH(AsAt,0)))))/D71)+1)+O71*(AsAt&gt;='Deal maths'!AA71)),0)</f>
        <v/>
      </c>
      <c r="I71" s="108">
        <f>G71-H71</f>
        <v/>
      </c>
      <c r="J71" s="111">
        <f>IF(AND(C71="EIP",I71&gt;0),'Deal maths'!Y71/I71,0)</f>
        <v/>
      </c>
      <c r="K71" s="111">
        <f>IF(AND(C71="Annuity",I71&gt;0),IF(F71&gt;0,'Deal maths'!Y71*F71/(1-(1+F71)^-I71),'Deal maths'!Y71/I71),0)</f>
        <v/>
      </c>
      <c r="L71" s="111">
        <f>IF('Deal maths'!Y71="",0,'Deal maths'!Y71)</f>
        <v/>
      </c>
      <c r="M71" s="112">
        <f>F71+(F71=0)</f>
        <v/>
      </c>
      <c r="N71" s="108">
        <f>IFERROR(IF(D71=0,0,INT(((YEAR('Deal maths'!AA71)-YEAR(E71))*12+MONTH('Deal maths'!AA71)-MONTH(E71)-(DAY('Deal maths'!AA71)&lt;MIN(R71,DAY(EOMONTH('Deal maths'!AA71,0)))))/D71)+1),0)</f>
        <v/>
      </c>
      <c r="O71" s="108">
        <f>IFERROR(IF(D71=0,0,IF(IF(DAY(E71+1)=1,EOMONTH(E71,(N71-1)*D71),EDATE(E71,(N71-1)*D71))='Deal maths'!AA71,0,1)),0)</f>
        <v/>
      </c>
      <c r="P71" s="113">
        <f>IF(B71=0,0,IFERROR(IF(C71="EIP",((I71-O71)*((IF(DAY(E71+1)=1,EOMONTH(E71,H71*D71),EDATE(E71,H71*D71))-AsAt)/365.25+(IF(DAY(E71+1)=1,EOMONTH(E71,(N71-1)*D71),EDATE(E71,(N71-1)*D71))-AsAt)/365.25)/2+O71*('Deal maths'!AA71-AsAt)/365.25)/I71,IF(C71="Annuity",IF(F71&gt;0,((K71-L71*F71)*((IF(DAY(E71+1)=1,EOMONTH(E71,H71*D71),EDATE(E71,H71*D71))-AsAt)/365.25*((1+F71)^(I71-O71)-1)/F71+IF((I71-O71)&gt;1,((IF(DAY(E71+1)=1,EOMONTH(E71,(N71-1)*D71),EDATE(E71,(N71-1)*D71))-AsAt)/365.25-(IF(DAY(E71+1)=1,EOMONTH(E71,H71*D71),EDATE(E71,H71*D71))-AsAt)/365.25)/((I71-O71)-1),0)*(1+F71)*(1-(I71-O71)*(1+F71)^((I71-O71)-1)+((I71-O71)-1)*(1+F71)^(I71-O71))/F71^2)+O71*(K71-L71*F71)*(1+F71)^(I71-1)*('Deal maths'!AA71-AsAt)/365.25)/L71,((I71-O71)*((IF(DAY(E71+1)=1,EOMONTH(E71,H71*D71),EDATE(E71,H71*D71))-AsAt)/365.25+(IF(DAY(E71+1)=1,EOMONTH(E71,(N71-1)*D71),EDATE(E71,(N71-1)*D71))-AsAt)/365.25)/2+O71*('Deal maths'!AA71-AsAt)/365.25)/I71),(S71-AsAt)/365.25)),0))</f>
        <v/>
      </c>
      <c r="Q71" s="109">
        <f>IF(B71=1,'Deal maths'!AA71+ROW()/1000000,"")</f>
        <v/>
      </c>
      <c r="R71" s="108">
        <f>IF(D71=0,0,IF(DAY(E71+1)=1,31,DAY(E71)))</f>
        <v/>
      </c>
      <c r="S71" s="109">
        <f>IF(AND('Deal maths'!V71="LOBO",'Deal maths'!AG71&gt;AsAt,'Deal maths'!AG71&lt;'Deal maths'!AA71),'Deal maths'!AG71,'Deal maths'!AA71)</f>
        <v/>
      </c>
      <c r="T71" s="108">
        <f>('Deal maths'!AA71&gt;AsAt)*('Deal maths'!Y71&gt;0)</f>
        <v/>
      </c>
    </row>
    <row r="72">
      <c r="A72" s="91">
        <f>IF('Deal maths'!V72="","",'Deal maths'!W72)</f>
        <v/>
      </c>
      <c r="B72" s="108">
        <f>('Deal maths'!AA72&gt;AsAt)*('Deal maths'!Y72&gt;0)*('Deal maths'!Z72&lt;=AsAt)</f>
        <v/>
      </c>
      <c r="C72" s="91">
        <f>IF('Deal maths'!V72="","",IF('Deal maths'!AC72="","Maturity",'Deal maths'!AC72))</f>
        <v/>
      </c>
      <c r="D72" s="108">
        <f>IF(OR(C72="EIP",C72="Annuity"),IF('Deal maths'!AD72="Annual",12,IF('Deal maths'!AD72="Quarterly",3,6)),0)</f>
        <v/>
      </c>
      <c r="E72" s="109">
        <f>IFERROR(IF(D72=0,0,IF('Deal maths'!AE72&gt;0,IF('Deal maths'!AE72&gt;'Deal maths'!AA72,'Deal maths'!AA72,'Deal maths'!AE72),IF(IF(DAY('Deal maths'!AA72+1)=1,EOMONTH('Deal maths'!AA72,-(INT(((YEAR('Deal maths'!AA72)-YEAR(IF('Deal maths'!Z72&gt;0,'Deal maths'!Z72,DATE(1990,1,1))))*12+MONTH('Deal maths'!AA72)-MONTH(IF('Deal maths'!Z72&gt;0,'Deal maths'!Z72,DATE(1990,1,1))))/D72))*D72),EDATE('Deal maths'!AA72,-(INT(((YEAR('Deal maths'!AA72)-YEAR(IF('Deal maths'!Z72&gt;0,'Deal maths'!Z72,DATE(1990,1,1))))*12+MONTH('Deal maths'!AA72)-MONTH(IF('Deal maths'!Z72&gt;0,'Deal maths'!Z72,DATE(1990,1,1))))/D72))*D72))&gt;IF('Deal maths'!Z72&gt;0,'Deal maths'!Z72,DATE(1990,1,1)),IF(DAY('Deal maths'!AA72+1)=1,EOMONTH('Deal maths'!AA72,-(INT(((YEAR('Deal maths'!AA72)-YEAR(IF('Deal maths'!Z72&gt;0,'Deal maths'!Z72,DATE(1990,1,1))))*12+MONTH('Deal maths'!AA72)-MONTH(IF('Deal maths'!Z72&gt;0,'Deal maths'!Z72,DATE(1990,1,1))))/D72))*D72),EDATE('Deal maths'!AA72,-(INT(((YEAR('Deal maths'!AA72)-YEAR(IF('Deal maths'!Z72&gt;0,'Deal maths'!Z72,DATE(1990,1,1))))*12+MONTH('Deal maths'!AA72)-MONTH(IF('Deal maths'!Z72&gt;0,'Deal maths'!Z72,DATE(1990,1,1))))/D72))*D72)),IF(DAY('Deal maths'!AA72+1)=1,EOMONTH('Deal maths'!AA72,-(INT(((YEAR('Deal maths'!AA72)-YEAR(IF('Deal maths'!Z72&gt;0,'Deal maths'!Z72,DATE(1990,1,1))))*12+MONTH('Deal maths'!AA72)-MONTH(IF('Deal maths'!Z72&gt;0,'Deal maths'!Z72,DATE(1990,1,1))))/D72)-1)*D72),EDATE('Deal maths'!AA72,-(INT(((YEAR('Deal maths'!AA72)-YEAR(IF('Deal maths'!Z72&gt;0,'Deal maths'!Z72,DATE(1990,1,1))))*12+MONTH('Deal maths'!AA72)-MONTH(IF('Deal maths'!Z72&gt;0,'Deal maths'!Z72,DATE(1990,1,1))))/D72)-1)*D72))))),0)</f>
        <v/>
      </c>
      <c r="F72" s="110">
        <f>IF(D72=0,0,'Deal maths'!AB72*D72/12)</f>
        <v/>
      </c>
      <c r="G72" s="108">
        <f>N72+O72</f>
        <v/>
      </c>
      <c r="H72" s="108">
        <f>IFERROR(IF(OR(D72=0,AsAt&lt;E72),0,MIN(N72,INT(((YEAR(AsAt)-YEAR(E72))*12+MONTH(AsAt)-MONTH(E72)-(DAY(AsAt)&lt;MIN(R72,DAY(EOMONTH(AsAt,0)))))/D72)+1)+O72*(AsAt&gt;='Deal maths'!AA72)),0)</f>
        <v/>
      </c>
      <c r="I72" s="108">
        <f>G72-H72</f>
        <v/>
      </c>
      <c r="J72" s="111">
        <f>IF(AND(C72="EIP",I72&gt;0),'Deal maths'!Y72/I72,0)</f>
        <v/>
      </c>
      <c r="K72" s="111">
        <f>IF(AND(C72="Annuity",I72&gt;0),IF(F72&gt;0,'Deal maths'!Y72*F72/(1-(1+F72)^-I72),'Deal maths'!Y72/I72),0)</f>
        <v/>
      </c>
      <c r="L72" s="111">
        <f>IF('Deal maths'!Y72="",0,'Deal maths'!Y72)</f>
        <v/>
      </c>
      <c r="M72" s="112">
        <f>F72+(F72=0)</f>
        <v/>
      </c>
      <c r="N72" s="108">
        <f>IFERROR(IF(D72=0,0,INT(((YEAR('Deal maths'!AA72)-YEAR(E72))*12+MONTH('Deal maths'!AA72)-MONTH(E72)-(DAY('Deal maths'!AA72)&lt;MIN(R72,DAY(EOMONTH('Deal maths'!AA72,0)))))/D72)+1),0)</f>
        <v/>
      </c>
      <c r="O72" s="108">
        <f>IFERROR(IF(D72=0,0,IF(IF(DAY(E72+1)=1,EOMONTH(E72,(N72-1)*D72),EDATE(E72,(N72-1)*D72))='Deal maths'!AA72,0,1)),0)</f>
        <v/>
      </c>
      <c r="P72" s="113">
        <f>IF(B72=0,0,IFERROR(IF(C72="EIP",((I72-O72)*((IF(DAY(E72+1)=1,EOMONTH(E72,H72*D72),EDATE(E72,H72*D72))-AsAt)/365.25+(IF(DAY(E72+1)=1,EOMONTH(E72,(N72-1)*D72),EDATE(E72,(N72-1)*D72))-AsAt)/365.25)/2+O72*('Deal maths'!AA72-AsAt)/365.25)/I72,IF(C72="Annuity",IF(F72&gt;0,((K72-L72*F72)*((IF(DAY(E72+1)=1,EOMONTH(E72,H72*D72),EDATE(E72,H72*D72))-AsAt)/365.25*((1+F72)^(I72-O72)-1)/F72+IF((I72-O72)&gt;1,((IF(DAY(E72+1)=1,EOMONTH(E72,(N72-1)*D72),EDATE(E72,(N72-1)*D72))-AsAt)/365.25-(IF(DAY(E72+1)=1,EOMONTH(E72,H72*D72),EDATE(E72,H72*D72))-AsAt)/365.25)/((I72-O72)-1),0)*(1+F72)*(1-(I72-O72)*(1+F72)^((I72-O72)-1)+((I72-O72)-1)*(1+F72)^(I72-O72))/F72^2)+O72*(K72-L72*F72)*(1+F72)^(I72-1)*('Deal maths'!AA72-AsAt)/365.25)/L72,((I72-O72)*((IF(DAY(E72+1)=1,EOMONTH(E72,H72*D72),EDATE(E72,H72*D72))-AsAt)/365.25+(IF(DAY(E72+1)=1,EOMONTH(E72,(N72-1)*D72),EDATE(E72,(N72-1)*D72))-AsAt)/365.25)/2+O72*('Deal maths'!AA72-AsAt)/365.25)/I72),(S72-AsAt)/365.25)),0))</f>
        <v/>
      </c>
      <c r="Q72" s="109">
        <f>IF(B72=1,'Deal maths'!AA72+ROW()/1000000,"")</f>
        <v/>
      </c>
      <c r="R72" s="108">
        <f>IF(D72=0,0,IF(DAY(E72+1)=1,31,DAY(E72)))</f>
        <v/>
      </c>
      <c r="S72" s="109">
        <f>IF(AND('Deal maths'!V72="LOBO",'Deal maths'!AG72&gt;AsAt,'Deal maths'!AG72&lt;'Deal maths'!AA72),'Deal maths'!AG72,'Deal maths'!AA72)</f>
        <v/>
      </c>
      <c r="T72" s="108">
        <f>('Deal maths'!AA72&gt;AsAt)*('Deal maths'!Y72&gt;0)</f>
        <v/>
      </c>
    </row>
    <row r="73">
      <c r="A73" s="91">
        <f>IF('Deal maths'!V73="","",'Deal maths'!W73)</f>
        <v/>
      </c>
      <c r="B73" s="108">
        <f>('Deal maths'!AA73&gt;AsAt)*('Deal maths'!Y73&gt;0)*('Deal maths'!Z73&lt;=AsAt)</f>
        <v/>
      </c>
      <c r="C73" s="91">
        <f>IF('Deal maths'!V73="","",IF('Deal maths'!AC73="","Maturity",'Deal maths'!AC73))</f>
        <v/>
      </c>
      <c r="D73" s="108">
        <f>IF(OR(C73="EIP",C73="Annuity"),IF('Deal maths'!AD73="Annual",12,IF('Deal maths'!AD73="Quarterly",3,6)),0)</f>
        <v/>
      </c>
      <c r="E73" s="109">
        <f>IFERROR(IF(D73=0,0,IF('Deal maths'!AE73&gt;0,IF('Deal maths'!AE73&gt;'Deal maths'!AA73,'Deal maths'!AA73,'Deal maths'!AE73),IF(IF(DAY('Deal maths'!AA73+1)=1,EOMONTH('Deal maths'!AA73,-(INT(((YEAR('Deal maths'!AA73)-YEAR(IF('Deal maths'!Z73&gt;0,'Deal maths'!Z73,DATE(1990,1,1))))*12+MONTH('Deal maths'!AA73)-MONTH(IF('Deal maths'!Z73&gt;0,'Deal maths'!Z73,DATE(1990,1,1))))/D73))*D73),EDATE('Deal maths'!AA73,-(INT(((YEAR('Deal maths'!AA73)-YEAR(IF('Deal maths'!Z73&gt;0,'Deal maths'!Z73,DATE(1990,1,1))))*12+MONTH('Deal maths'!AA73)-MONTH(IF('Deal maths'!Z73&gt;0,'Deal maths'!Z73,DATE(1990,1,1))))/D73))*D73))&gt;IF('Deal maths'!Z73&gt;0,'Deal maths'!Z73,DATE(1990,1,1)),IF(DAY('Deal maths'!AA73+1)=1,EOMONTH('Deal maths'!AA73,-(INT(((YEAR('Deal maths'!AA73)-YEAR(IF('Deal maths'!Z73&gt;0,'Deal maths'!Z73,DATE(1990,1,1))))*12+MONTH('Deal maths'!AA73)-MONTH(IF('Deal maths'!Z73&gt;0,'Deal maths'!Z73,DATE(1990,1,1))))/D73))*D73),EDATE('Deal maths'!AA73,-(INT(((YEAR('Deal maths'!AA73)-YEAR(IF('Deal maths'!Z73&gt;0,'Deal maths'!Z73,DATE(1990,1,1))))*12+MONTH('Deal maths'!AA73)-MONTH(IF('Deal maths'!Z73&gt;0,'Deal maths'!Z73,DATE(1990,1,1))))/D73))*D73)),IF(DAY('Deal maths'!AA73+1)=1,EOMONTH('Deal maths'!AA73,-(INT(((YEAR('Deal maths'!AA73)-YEAR(IF('Deal maths'!Z73&gt;0,'Deal maths'!Z73,DATE(1990,1,1))))*12+MONTH('Deal maths'!AA73)-MONTH(IF('Deal maths'!Z73&gt;0,'Deal maths'!Z73,DATE(1990,1,1))))/D73)-1)*D73),EDATE('Deal maths'!AA73,-(INT(((YEAR('Deal maths'!AA73)-YEAR(IF('Deal maths'!Z73&gt;0,'Deal maths'!Z73,DATE(1990,1,1))))*12+MONTH('Deal maths'!AA73)-MONTH(IF('Deal maths'!Z73&gt;0,'Deal maths'!Z73,DATE(1990,1,1))))/D73)-1)*D73))))),0)</f>
        <v/>
      </c>
      <c r="F73" s="110">
        <f>IF(D73=0,0,'Deal maths'!AB73*D73/12)</f>
        <v/>
      </c>
      <c r="G73" s="108">
        <f>N73+O73</f>
        <v/>
      </c>
      <c r="H73" s="108">
        <f>IFERROR(IF(OR(D73=0,AsAt&lt;E73),0,MIN(N73,INT(((YEAR(AsAt)-YEAR(E73))*12+MONTH(AsAt)-MONTH(E73)-(DAY(AsAt)&lt;MIN(R73,DAY(EOMONTH(AsAt,0)))))/D73)+1)+O73*(AsAt&gt;='Deal maths'!AA73)),0)</f>
        <v/>
      </c>
      <c r="I73" s="108">
        <f>G73-H73</f>
        <v/>
      </c>
      <c r="J73" s="111">
        <f>IF(AND(C73="EIP",I73&gt;0),'Deal maths'!Y73/I73,0)</f>
        <v/>
      </c>
      <c r="K73" s="111">
        <f>IF(AND(C73="Annuity",I73&gt;0),IF(F73&gt;0,'Deal maths'!Y73*F73/(1-(1+F73)^-I73),'Deal maths'!Y73/I73),0)</f>
        <v/>
      </c>
      <c r="L73" s="111">
        <f>IF('Deal maths'!Y73="",0,'Deal maths'!Y73)</f>
        <v/>
      </c>
      <c r="M73" s="112">
        <f>F73+(F73=0)</f>
        <v/>
      </c>
      <c r="N73" s="108">
        <f>IFERROR(IF(D73=0,0,INT(((YEAR('Deal maths'!AA73)-YEAR(E73))*12+MONTH('Deal maths'!AA73)-MONTH(E73)-(DAY('Deal maths'!AA73)&lt;MIN(R73,DAY(EOMONTH('Deal maths'!AA73,0)))))/D73)+1),0)</f>
        <v/>
      </c>
      <c r="O73" s="108">
        <f>IFERROR(IF(D73=0,0,IF(IF(DAY(E73+1)=1,EOMONTH(E73,(N73-1)*D73),EDATE(E73,(N73-1)*D73))='Deal maths'!AA73,0,1)),0)</f>
        <v/>
      </c>
      <c r="P73" s="113">
        <f>IF(B73=0,0,IFERROR(IF(C73="EIP",((I73-O73)*((IF(DAY(E73+1)=1,EOMONTH(E73,H73*D73),EDATE(E73,H73*D73))-AsAt)/365.25+(IF(DAY(E73+1)=1,EOMONTH(E73,(N73-1)*D73),EDATE(E73,(N73-1)*D73))-AsAt)/365.25)/2+O73*('Deal maths'!AA73-AsAt)/365.25)/I73,IF(C73="Annuity",IF(F73&gt;0,((K73-L73*F73)*((IF(DAY(E73+1)=1,EOMONTH(E73,H73*D73),EDATE(E73,H73*D73))-AsAt)/365.25*((1+F73)^(I73-O73)-1)/F73+IF((I73-O73)&gt;1,((IF(DAY(E73+1)=1,EOMONTH(E73,(N73-1)*D73),EDATE(E73,(N73-1)*D73))-AsAt)/365.25-(IF(DAY(E73+1)=1,EOMONTH(E73,H73*D73),EDATE(E73,H73*D73))-AsAt)/365.25)/((I73-O73)-1),0)*(1+F73)*(1-(I73-O73)*(1+F73)^((I73-O73)-1)+((I73-O73)-1)*(1+F73)^(I73-O73))/F73^2)+O73*(K73-L73*F73)*(1+F73)^(I73-1)*('Deal maths'!AA73-AsAt)/365.25)/L73,((I73-O73)*((IF(DAY(E73+1)=1,EOMONTH(E73,H73*D73),EDATE(E73,H73*D73))-AsAt)/365.25+(IF(DAY(E73+1)=1,EOMONTH(E73,(N73-1)*D73),EDATE(E73,(N73-1)*D73))-AsAt)/365.25)/2+O73*('Deal maths'!AA73-AsAt)/365.25)/I73),(S73-AsAt)/365.25)),0))</f>
        <v/>
      </c>
      <c r="Q73" s="109">
        <f>IF(B73=1,'Deal maths'!AA73+ROW()/1000000,"")</f>
        <v/>
      </c>
      <c r="R73" s="108">
        <f>IF(D73=0,0,IF(DAY(E73+1)=1,31,DAY(E73)))</f>
        <v/>
      </c>
      <c r="S73" s="109">
        <f>IF(AND('Deal maths'!V73="LOBO",'Deal maths'!AG73&gt;AsAt,'Deal maths'!AG73&lt;'Deal maths'!AA73),'Deal maths'!AG73,'Deal maths'!AA73)</f>
        <v/>
      </c>
      <c r="T73" s="108">
        <f>('Deal maths'!AA73&gt;AsAt)*('Deal maths'!Y73&gt;0)</f>
        <v/>
      </c>
    </row>
    <row r="74">
      <c r="A74" s="91">
        <f>IF('Deal maths'!V74="","",'Deal maths'!W74)</f>
        <v/>
      </c>
      <c r="B74" s="108">
        <f>('Deal maths'!AA74&gt;AsAt)*('Deal maths'!Y74&gt;0)*('Deal maths'!Z74&lt;=AsAt)</f>
        <v/>
      </c>
      <c r="C74" s="91">
        <f>IF('Deal maths'!V74="","",IF('Deal maths'!AC74="","Maturity",'Deal maths'!AC74))</f>
        <v/>
      </c>
      <c r="D74" s="108">
        <f>IF(OR(C74="EIP",C74="Annuity"),IF('Deal maths'!AD74="Annual",12,IF('Deal maths'!AD74="Quarterly",3,6)),0)</f>
        <v/>
      </c>
      <c r="E74" s="109">
        <f>IFERROR(IF(D74=0,0,IF('Deal maths'!AE74&gt;0,IF('Deal maths'!AE74&gt;'Deal maths'!AA74,'Deal maths'!AA74,'Deal maths'!AE74),IF(IF(DAY('Deal maths'!AA74+1)=1,EOMONTH('Deal maths'!AA74,-(INT(((YEAR('Deal maths'!AA74)-YEAR(IF('Deal maths'!Z74&gt;0,'Deal maths'!Z74,DATE(1990,1,1))))*12+MONTH('Deal maths'!AA74)-MONTH(IF('Deal maths'!Z74&gt;0,'Deal maths'!Z74,DATE(1990,1,1))))/D74))*D74),EDATE('Deal maths'!AA74,-(INT(((YEAR('Deal maths'!AA74)-YEAR(IF('Deal maths'!Z74&gt;0,'Deal maths'!Z74,DATE(1990,1,1))))*12+MONTH('Deal maths'!AA74)-MONTH(IF('Deal maths'!Z74&gt;0,'Deal maths'!Z74,DATE(1990,1,1))))/D74))*D74))&gt;IF('Deal maths'!Z74&gt;0,'Deal maths'!Z74,DATE(1990,1,1)),IF(DAY('Deal maths'!AA74+1)=1,EOMONTH('Deal maths'!AA74,-(INT(((YEAR('Deal maths'!AA74)-YEAR(IF('Deal maths'!Z74&gt;0,'Deal maths'!Z74,DATE(1990,1,1))))*12+MONTH('Deal maths'!AA74)-MONTH(IF('Deal maths'!Z74&gt;0,'Deal maths'!Z74,DATE(1990,1,1))))/D74))*D74),EDATE('Deal maths'!AA74,-(INT(((YEAR('Deal maths'!AA74)-YEAR(IF('Deal maths'!Z74&gt;0,'Deal maths'!Z74,DATE(1990,1,1))))*12+MONTH('Deal maths'!AA74)-MONTH(IF('Deal maths'!Z74&gt;0,'Deal maths'!Z74,DATE(1990,1,1))))/D74))*D74)),IF(DAY('Deal maths'!AA74+1)=1,EOMONTH('Deal maths'!AA74,-(INT(((YEAR('Deal maths'!AA74)-YEAR(IF('Deal maths'!Z74&gt;0,'Deal maths'!Z74,DATE(1990,1,1))))*12+MONTH('Deal maths'!AA74)-MONTH(IF('Deal maths'!Z74&gt;0,'Deal maths'!Z74,DATE(1990,1,1))))/D74)-1)*D74),EDATE('Deal maths'!AA74,-(INT(((YEAR('Deal maths'!AA74)-YEAR(IF('Deal maths'!Z74&gt;0,'Deal maths'!Z74,DATE(1990,1,1))))*12+MONTH('Deal maths'!AA74)-MONTH(IF('Deal maths'!Z74&gt;0,'Deal maths'!Z74,DATE(1990,1,1))))/D74)-1)*D74))))),0)</f>
        <v/>
      </c>
      <c r="F74" s="110">
        <f>IF(D74=0,0,'Deal maths'!AB74*D74/12)</f>
        <v/>
      </c>
      <c r="G74" s="108">
        <f>N74+O74</f>
        <v/>
      </c>
      <c r="H74" s="108">
        <f>IFERROR(IF(OR(D74=0,AsAt&lt;E74),0,MIN(N74,INT(((YEAR(AsAt)-YEAR(E74))*12+MONTH(AsAt)-MONTH(E74)-(DAY(AsAt)&lt;MIN(R74,DAY(EOMONTH(AsAt,0)))))/D74)+1)+O74*(AsAt&gt;='Deal maths'!AA74)),0)</f>
        <v/>
      </c>
      <c r="I74" s="108">
        <f>G74-H74</f>
        <v/>
      </c>
      <c r="J74" s="111">
        <f>IF(AND(C74="EIP",I74&gt;0),'Deal maths'!Y74/I74,0)</f>
        <v/>
      </c>
      <c r="K74" s="111">
        <f>IF(AND(C74="Annuity",I74&gt;0),IF(F74&gt;0,'Deal maths'!Y74*F74/(1-(1+F74)^-I74),'Deal maths'!Y74/I74),0)</f>
        <v/>
      </c>
      <c r="L74" s="111">
        <f>IF('Deal maths'!Y74="",0,'Deal maths'!Y74)</f>
        <v/>
      </c>
      <c r="M74" s="112">
        <f>F74+(F74=0)</f>
        <v/>
      </c>
      <c r="N74" s="108">
        <f>IFERROR(IF(D74=0,0,INT(((YEAR('Deal maths'!AA74)-YEAR(E74))*12+MONTH('Deal maths'!AA74)-MONTH(E74)-(DAY('Deal maths'!AA74)&lt;MIN(R74,DAY(EOMONTH('Deal maths'!AA74,0)))))/D74)+1),0)</f>
        <v/>
      </c>
      <c r="O74" s="108">
        <f>IFERROR(IF(D74=0,0,IF(IF(DAY(E74+1)=1,EOMONTH(E74,(N74-1)*D74),EDATE(E74,(N74-1)*D74))='Deal maths'!AA74,0,1)),0)</f>
        <v/>
      </c>
      <c r="P74" s="113">
        <f>IF(B74=0,0,IFERROR(IF(C74="EIP",((I74-O74)*((IF(DAY(E74+1)=1,EOMONTH(E74,H74*D74),EDATE(E74,H74*D74))-AsAt)/365.25+(IF(DAY(E74+1)=1,EOMONTH(E74,(N74-1)*D74),EDATE(E74,(N74-1)*D74))-AsAt)/365.25)/2+O74*('Deal maths'!AA74-AsAt)/365.25)/I74,IF(C74="Annuity",IF(F74&gt;0,((K74-L74*F74)*((IF(DAY(E74+1)=1,EOMONTH(E74,H74*D74),EDATE(E74,H74*D74))-AsAt)/365.25*((1+F74)^(I74-O74)-1)/F74+IF((I74-O74)&gt;1,((IF(DAY(E74+1)=1,EOMONTH(E74,(N74-1)*D74),EDATE(E74,(N74-1)*D74))-AsAt)/365.25-(IF(DAY(E74+1)=1,EOMONTH(E74,H74*D74),EDATE(E74,H74*D74))-AsAt)/365.25)/((I74-O74)-1),0)*(1+F74)*(1-(I74-O74)*(1+F74)^((I74-O74)-1)+((I74-O74)-1)*(1+F74)^(I74-O74))/F74^2)+O74*(K74-L74*F74)*(1+F74)^(I74-1)*('Deal maths'!AA74-AsAt)/365.25)/L74,((I74-O74)*((IF(DAY(E74+1)=1,EOMONTH(E74,H74*D74),EDATE(E74,H74*D74))-AsAt)/365.25+(IF(DAY(E74+1)=1,EOMONTH(E74,(N74-1)*D74),EDATE(E74,(N74-1)*D74))-AsAt)/365.25)/2+O74*('Deal maths'!AA74-AsAt)/365.25)/I74),(S74-AsAt)/365.25)),0))</f>
        <v/>
      </c>
      <c r="Q74" s="109">
        <f>IF(B74=1,'Deal maths'!AA74+ROW()/1000000,"")</f>
        <v/>
      </c>
      <c r="R74" s="108">
        <f>IF(D74=0,0,IF(DAY(E74+1)=1,31,DAY(E74)))</f>
        <v/>
      </c>
      <c r="S74" s="109">
        <f>IF(AND('Deal maths'!V74="LOBO",'Deal maths'!AG74&gt;AsAt,'Deal maths'!AG74&lt;'Deal maths'!AA74),'Deal maths'!AG74,'Deal maths'!AA74)</f>
        <v/>
      </c>
      <c r="T74" s="108">
        <f>('Deal maths'!AA74&gt;AsAt)*('Deal maths'!Y74&gt;0)</f>
        <v/>
      </c>
    </row>
    <row r="75">
      <c r="A75" s="91">
        <f>IF('Deal maths'!V75="","",'Deal maths'!W75)</f>
        <v/>
      </c>
      <c r="B75" s="108">
        <f>('Deal maths'!AA75&gt;AsAt)*('Deal maths'!Y75&gt;0)*('Deal maths'!Z75&lt;=AsAt)</f>
        <v/>
      </c>
      <c r="C75" s="91">
        <f>IF('Deal maths'!V75="","",IF('Deal maths'!AC75="","Maturity",'Deal maths'!AC75))</f>
        <v/>
      </c>
      <c r="D75" s="108">
        <f>IF(OR(C75="EIP",C75="Annuity"),IF('Deal maths'!AD75="Annual",12,IF('Deal maths'!AD75="Quarterly",3,6)),0)</f>
        <v/>
      </c>
      <c r="E75" s="109">
        <f>IFERROR(IF(D75=0,0,IF('Deal maths'!AE75&gt;0,IF('Deal maths'!AE75&gt;'Deal maths'!AA75,'Deal maths'!AA75,'Deal maths'!AE75),IF(IF(DAY('Deal maths'!AA75+1)=1,EOMONTH('Deal maths'!AA75,-(INT(((YEAR('Deal maths'!AA75)-YEAR(IF('Deal maths'!Z75&gt;0,'Deal maths'!Z75,DATE(1990,1,1))))*12+MONTH('Deal maths'!AA75)-MONTH(IF('Deal maths'!Z75&gt;0,'Deal maths'!Z75,DATE(1990,1,1))))/D75))*D75),EDATE('Deal maths'!AA75,-(INT(((YEAR('Deal maths'!AA75)-YEAR(IF('Deal maths'!Z75&gt;0,'Deal maths'!Z75,DATE(1990,1,1))))*12+MONTH('Deal maths'!AA75)-MONTH(IF('Deal maths'!Z75&gt;0,'Deal maths'!Z75,DATE(1990,1,1))))/D75))*D75))&gt;IF('Deal maths'!Z75&gt;0,'Deal maths'!Z75,DATE(1990,1,1)),IF(DAY('Deal maths'!AA75+1)=1,EOMONTH('Deal maths'!AA75,-(INT(((YEAR('Deal maths'!AA75)-YEAR(IF('Deal maths'!Z75&gt;0,'Deal maths'!Z75,DATE(1990,1,1))))*12+MONTH('Deal maths'!AA75)-MONTH(IF('Deal maths'!Z75&gt;0,'Deal maths'!Z75,DATE(1990,1,1))))/D75))*D75),EDATE('Deal maths'!AA75,-(INT(((YEAR('Deal maths'!AA75)-YEAR(IF('Deal maths'!Z75&gt;0,'Deal maths'!Z75,DATE(1990,1,1))))*12+MONTH('Deal maths'!AA75)-MONTH(IF('Deal maths'!Z75&gt;0,'Deal maths'!Z75,DATE(1990,1,1))))/D75))*D75)),IF(DAY('Deal maths'!AA75+1)=1,EOMONTH('Deal maths'!AA75,-(INT(((YEAR('Deal maths'!AA75)-YEAR(IF('Deal maths'!Z75&gt;0,'Deal maths'!Z75,DATE(1990,1,1))))*12+MONTH('Deal maths'!AA75)-MONTH(IF('Deal maths'!Z75&gt;0,'Deal maths'!Z75,DATE(1990,1,1))))/D75)-1)*D75),EDATE('Deal maths'!AA75,-(INT(((YEAR('Deal maths'!AA75)-YEAR(IF('Deal maths'!Z75&gt;0,'Deal maths'!Z75,DATE(1990,1,1))))*12+MONTH('Deal maths'!AA75)-MONTH(IF('Deal maths'!Z75&gt;0,'Deal maths'!Z75,DATE(1990,1,1))))/D75)-1)*D75))))),0)</f>
        <v/>
      </c>
      <c r="F75" s="110">
        <f>IF(D75=0,0,'Deal maths'!AB75*D75/12)</f>
        <v/>
      </c>
      <c r="G75" s="108">
        <f>N75+O75</f>
        <v/>
      </c>
      <c r="H75" s="108">
        <f>IFERROR(IF(OR(D75=0,AsAt&lt;E75),0,MIN(N75,INT(((YEAR(AsAt)-YEAR(E75))*12+MONTH(AsAt)-MONTH(E75)-(DAY(AsAt)&lt;MIN(R75,DAY(EOMONTH(AsAt,0)))))/D75)+1)+O75*(AsAt&gt;='Deal maths'!AA75)),0)</f>
        <v/>
      </c>
      <c r="I75" s="108">
        <f>G75-H75</f>
        <v/>
      </c>
      <c r="J75" s="111">
        <f>IF(AND(C75="EIP",I75&gt;0),'Deal maths'!Y75/I75,0)</f>
        <v/>
      </c>
      <c r="K75" s="111">
        <f>IF(AND(C75="Annuity",I75&gt;0),IF(F75&gt;0,'Deal maths'!Y75*F75/(1-(1+F75)^-I75),'Deal maths'!Y75/I75),0)</f>
        <v/>
      </c>
      <c r="L75" s="111">
        <f>IF('Deal maths'!Y75="",0,'Deal maths'!Y75)</f>
        <v/>
      </c>
      <c r="M75" s="112">
        <f>F75+(F75=0)</f>
        <v/>
      </c>
      <c r="N75" s="108">
        <f>IFERROR(IF(D75=0,0,INT(((YEAR('Deal maths'!AA75)-YEAR(E75))*12+MONTH('Deal maths'!AA75)-MONTH(E75)-(DAY('Deal maths'!AA75)&lt;MIN(R75,DAY(EOMONTH('Deal maths'!AA75,0)))))/D75)+1),0)</f>
        <v/>
      </c>
      <c r="O75" s="108">
        <f>IFERROR(IF(D75=0,0,IF(IF(DAY(E75+1)=1,EOMONTH(E75,(N75-1)*D75),EDATE(E75,(N75-1)*D75))='Deal maths'!AA75,0,1)),0)</f>
        <v/>
      </c>
      <c r="P75" s="113">
        <f>IF(B75=0,0,IFERROR(IF(C75="EIP",((I75-O75)*((IF(DAY(E75+1)=1,EOMONTH(E75,H75*D75),EDATE(E75,H75*D75))-AsAt)/365.25+(IF(DAY(E75+1)=1,EOMONTH(E75,(N75-1)*D75),EDATE(E75,(N75-1)*D75))-AsAt)/365.25)/2+O75*('Deal maths'!AA75-AsAt)/365.25)/I75,IF(C75="Annuity",IF(F75&gt;0,((K75-L75*F75)*((IF(DAY(E75+1)=1,EOMONTH(E75,H75*D75),EDATE(E75,H75*D75))-AsAt)/365.25*((1+F75)^(I75-O75)-1)/F75+IF((I75-O75)&gt;1,((IF(DAY(E75+1)=1,EOMONTH(E75,(N75-1)*D75),EDATE(E75,(N75-1)*D75))-AsAt)/365.25-(IF(DAY(E75+1)=1,EOMONTH(E75,H75*D75),EDATE(E75,H75*D75))-AsAt)/365.25)/((I75-O75)-1),0)*(1+F75)*(1-(I75-O75)*(1+F75)^((I75-O75)-1)+((I75-O75)-1)*(1+F75)^(I75-O75))/F75^2)+O75*(K75-L75*F75)*(1+F75)^(I75-1)*('Deal maths'!AA75-AsAt)/365.25)/L75,((I75-O75)*((IF(DAY(E75+1)=1,EOMONTH(E75,H75*D75),EDATE(E75,H75*D75))-AsAt)/365.25+(IF(DAY(E75+1)=1,EOMONTH(E75,(N75-1)*D75),EDATE(E75,(N75-1)*D75))-AsAt)/365.25)/2+O75*('Deal maths'!AA75-AsAt)/365.25)/I75),(S75-AsAt)/365.25)),0))</f>
        <v/>
      </c>
      <c r="Q75" s="109">
        <f>IF(B75=1,'Deal maths'!AA75+ROW()/1000000,"")</f>
        <v/>
      </c>
      <c r="R75" s="108">
        <f>IF(D75=0,0,IF(DAY(E75+1)=1,31,DAY(E75)))</f>
        <v/>
      </c>
      <c r="S75" s="109">
        <f>IF(AND('Deal maths'!V75="LOBO",'Deal maths'!AG75&gt;AsAt,'Deal maths'!AG75&lt;'Deal maths'!AA75),'Deal maths'!AG75,'Deal maths'!AA75)</f>
        <v/>
      </c>
      <c r="T75" s="108">
        <f>('Deal maths'!AA75&gt;AsAt)*('Deal maths'!Y75&gt;0)</f>
        <v/>
      </c>
    </row>
    <row r="76">
      <c r="A76" s="91">
        <f>IF('Deal maths'!V76="","",'Deal maths'!W76)</f>
        <v/>
      </c>
      <c r="B76" s="108">
        <f>('Deal maths'!AA76&gt;AsAt)*('Deal maths'!Y76&gt;0)*('Deal maths'!Z76&lt;=AsAt)</f>
        <v/>
      </c>
      <c r="C76" s="91">
        <f>IF('Deal maths'!V76="","",IF('Deal maths'!AC76="","Maturity",'Deal maths'!AC76))</f>
        <v/>
      </c>
      <c r="D76" s="108">
        <f>IF(OR(C76="EIP",C76="Annuity"),IF('Deal maths'!AD76="Annual",12,IF('Deal maths'!AD76="Quarterly",3,6)),0)</f>
        <v/>
      </c>
      <c r="E76" s="109">
        <f>IFERROR(IF(D76=0,0,IF('Deal maths'!AE76&gt;0,IF('Deal maths'!AE76&gt;'Deal maths'!AA76,'Deal maths'!AA76,'Deal maths'!AE76),IF(IF(DAY('Deal maths'!AA76+1)=1,EOMONTH('Deal maths'!AA76,-(INT(((YEAR('Deal maths'!AA76)-YEAR(IF('Deal maths'!Z76&gt;0,'Deal maths'!Z76,DATE(1990,1,1))))*12+MONTH('Deal maths'!AA76)-MONTH(IF('Deal maths'!Z76&gt;0,'Deal maths'!Z76,DATE(1990,1,1))))/D76))*D76),EDATE('Deal maths'!AA76,-(INT(((YEAR('Deal maths'!AA76)-YEAR(IF('Deal maths'!Z76&gt;0,'Deal maths'!Z76,DATE(1990,1,1))))*12+MONTH('Deal maths'!AA76)-MONTH(IF('Deal maths'!Z76&gt;0,'Deal maths'!Z76,DATE(1990,1,1))))/D76))*D76))&gt;IF('Deal maths'!Z76&gt;0,'Deal maths'!Z76,DATE(1990,1,1)),IF(DAY('Deal maths'!AA76+1)=1,EOMONTH('Deal maths'!AA76,-(INT(((YEAR('Deal maths'!AA76)-YEAR(IF('Deal maths'!Z76&gt;0,'Deal maths'!Z76,DATE(1990,1,1))))*12+MONTH('Deal maths'!AA76)-MONTH(IF('Deal maths'!Z76&gt;0,'Deal maths'!Z76,DATE(1990,1,1))))/D76))*D76),EDATE('Deal maths'!AA76,-(INT(((YEAR('Deal maths'!AA76)-YEAR(IF('Deal maths'!Z76&gt;0,'Deal maths'!Z76,DATE(1990,1,1))))*12+MONTH('Deal maths'!AA76)-MONTH(IF('Deal maths'!Z76&gt;0,'Deal maths'!Z76,DATE(1990,1,1))))/D76))*D76)),IF(DAY('Deal maths'!AA76+1)=1,EOMONTH('Deal maths'!AA76,-(INT(((YEAR('Deal maths'!AA76)-YEAR(IF('Deal maths'!Z76&gt;0,'Deal maths'!Z76,DATE(1990,1,1))))*12+MONTH('Deal maths'!AA76)-MONTH(IF('Deal maths'!Z76&gt;0,'Deal maths'!Z76,DATE(1990,1,1))))/D76)-1)*D76),EDATE('Deal maths'!AA76,-(INT(((YEAR('Deal maths'!AA76)-YEAR(IF('Deal maths'!Z76&gt;0,'Deal maths'!Z76,DATE(1990,1,1))))*12+MONTH('Deal maths'!AA76)-MONTH(IF('Deal maths'!Z76&gt;0,'Deal maths'!Z76,DATE(1990,1,1))))/D76)-1)*D76))))),0)</f>
        <v/>
      </c>
      <c r="F76" s="110">
        <f>IF(D76=0,0,'Deal maths'!AB76*D76/12)</f>
        <v/>
      </c>
      <c r="G76" s="108">
        <f>N76+O76</f>
        <v/>
      </c>
      <c r="H76" s="108">
        <f>IFERROR(IF(OR(D76=0,AsAt&lt;E76),0,MIN(N76,INT(((YEAR(AsAt)-YEAR(E76))*12+MONTH(AsAt)-MONTH(E76)-(DAY(AsAt)&lt;MIN(R76,DAY(EOMONTH(AsAt,0)))))/D76)+1)+O76*(AsAt&gt;='Deal maths'!AA76)),0)</f>
        <v/>
      </c>
      <c r="I76" s="108">
        <f>G76-H76</f>
        <v/>
      </c>
      <c r="J76" s="111">
        <f>IF(AND(C76="EIP",I76&gt;0),'Deal maths'!Y76/I76,0)</f>
        <v/>
      </c>
      <c r="K76" s="111">
        <f>IF(AND(C76="Annuity",I76&gt;0),IF(F76&gt;0,'Deal maths'!Y76*F76/(1-(1+F76)^-I76),'Deal maths'!Y76/I76),0)</f>
        <v/>
      </c>
      <c r="L76" s="111">
        <f>IF('Deal maths'!Y76="",0,'Deal maths'!Y76)</f>
        <v/>
      </c>
      <c r="M76" s="112">
        <f>F76+(F76=0)</f>
        <v/>
      </c>
      <c r="N76" s="108">
        <f>IFERROR(IF(D76=0,0,INT(((YEAR('Deal maths'!AA76)-YEAR(E76))*12+MONTH('Deal maths'!AA76)-MONTH(E76)-(DAY('Deal maths'!AA76)&lt;MIN(R76,DAY(EOMONTH('Deal maths'!AA76,0)))))/D76)+1),0)</f>
        <v/>
      </c>
      <c r="O76" s="108">
        <f>IFERROR(IF(D76=0,0,IF(IF(DAY(E76+1)=1,EOMONTH(E76,(N76-1)*D76),EDATE(E76,(N76-1)*D76))='Deal maths'!AA76,0,1)),0)</f>
        <v/>
      </c>
      <c r="P76" s="113">
        <f>IF(B76=0,0,IFERROR(IF(C76="EIP",((I76-O76)*((IF(DAY(E76+1)=1,EOMONTH(E76,H76*D76),EDATE(E76,H76*D76))-AsAt)/365.25+(IF(DAY(E76+1)=1,EOMONTH(E76,(N76-1)*D76),EDATE(E76,(N76-1)*D76))-AsAt)/365.25)/2+O76*('Deal maths'!AA76-AsAt)/365.25)/I76,IF(C76="Annuity",IF(F76&gt;0,((K76-L76*F76)*((IF(DAY(E76+1)=1,EOMONTH(E76,H76*D76),EDATE(E76,H76*D76))-AsAt)/365.25*((1+F76)^(I76-O76)-1)/F76+IF((I76-O76)&gt;1,((IF(DAY(E76+1)=1,EOMONTH(E76,(N76-1)*D76),EDATE(E76,(N76-1)*D76))-AsAt)/365.25-(IF(DAY(E76+1)=1,EOMONTH(E76,H76*D76),EDATE(E76,H76*D76))-AsAt)/365.25)/((I76-O76)-1),0)*(1+F76)*(1-(I76-O76)*(1+F76)^((I76-O76)-1)+((I76-O76)-1)*(1+F76)^(I76-O76))/F76^2)+O76*(K76-L76*F76)*(1+F76)^(I76-1)*('Deal maths'!AA76-AsAt)/365.25)/L76,((I76-O76)*((IF(DAY(E76+1)=1,EOMONTH(E76,H76*D76),EDATE(E76,H76*D76))-AsAt)/365.25+(IF(DAY(E76+1)=1,EOMONTH(E76,(N76-1)*D76),EDATE(E76,(N76-1)*D76))-AsAt)/365.25)/2+O76*('Deal maths'!AA76-AsAt)/365.25)/I76),(S76-AsAt)/365.25)),0))</f>
        <v/>
      </c>
      <c r="Q76" s="109">
        <f>IF(B76=1,'Deal maths'!AA76+ROW()/1000000,"")</f>
        <v/>
      </c>
      <c r="R76" s="108">
        <f>IF(D76=0,0,IF(DAY(E76+1)=1,31,DAY(E76)))</f>
        <v/>
      </c>
      <c r="S76" s="109">
        <f>IF(AND('Deal maths'!V76="LOBO",'Deal maths'!AG76&gt;AsAt,'Deal maths'!AG76&lt;'Deal maths'!AA76),'Deal maths'!AG76,'Deal maths'!AA76)</f>
        <v/>
      </c>
      <c r="T76" s="108">
        <f>('Deal maths'!AA76&gt;AsAt)*('Deal maths'!Y76&gt;0)</f>
        <v/>
      </c>
    </row>
    <row r="77">
      <c r="A77" s="91">
        <f>IF('Deal maths'!V77="","",'Deal maths'!W77)</f>
        <v/>
      </c>
      <c r="B77" s="108">
        <f>('Deal maths'!AA77&gt;AsAt)*('Deal maths'!Y77&gt;0)*('Deal maths'!Z77&lt;=AsAt)</f>
        <v/>
      </c>
      <c r="C77" s="91">
        <f>IF('Deal maths'!V77="","",IF('Deal maths'!AC77="","Maturity",'Deal maths'!AC77))</f>
        <v/>
      </c>
      <c r="D77" s="108">
        <f>IF(OR(C77="EIP",C77="Annuity"),IF('Deal maths'!AD77="Annual",12,IF('Deal maths'!AD77="Quarterly",3,6)),0)</f>
        <v/>
      </c>
      <c r="E77" s="109">
        <f>IFERROR(IF(D77=0,0,IF('Deal maths'!AE77&gt;0,IF('Deal maths'!AE77&gt;'Deal maths'!AA77,'Deal maths'!AA77,'Deal maths'!AE77),IF(IF(DAY('Deal maths'!AA77+1)=1,EOMONTH('Deal maths'!AA77,-(INT(((YEAR('Deal maths'!AA77)-YEAR(IF('Deal maths'!Z77&gt;0,'Deal maths'!Z77,DATE(1990,1,1))))*12+MONTH('Deal maths'!AA77)-MONTH(IF('Deal maths'!Z77&gt;0,'Deal maths'!Z77,DATE(1990,1,1))))/D77))*D77),EDATE('Deal maths'!AA77,-(INT(((YEAR('Deal maths'!AA77)-YEAR(IF('Deal maths'!Z77&gt;0,'Deal maths'!Z77,DATE(1990,1,1))))*12+MONTH('Deal maths'!AA77)-MONTH(IF('Deal maths'!Z77&gt;0,'Deal maths'!Z77,DATE(1990,1,1))))/D77))*D77))&gt;IF('Deal maths'!Z77&gt;0,'Deal maths'!Z77,DATE(1990,1,1)),IF(DAY('Deal maths'!AA77+1)=1,EOMONTH('Deal maths'!AA77,-(INT(((YEAR('Deal maths'!AA77)-YEAR(IF('Deal maths'!Z77&gt;0,'Deal maths'!Z77,DATE(1990,1,1))))*12+MONTH('Deal maths'!AA77)-MONTH(IF('Deal maths'!Z77&gt;0,'Deal maths'!Z77,DATE(1990,1,1))))/D77))*D77),EDATE('Deal maths'!AA77,-(INT(((YEAR('Deal maths'!AA77)-YEAR(IF('Deal maths'!Z77&gt;0,'Deal maths'!Z77,DATE(1990,1,1))))*12+MONTH('Deal maths'!AA77)-MONTH(IF('Deal maths'!Z77&gt;0,'Deal maths'!Z77,DATE(1990,1,1))))/D77))*D77)),IF(DAY('Deal maths'!AA77+1)=1,EOMONTH('Deal maths'!AA77,-(INT(((YEAR('Deal maths'!AA77)-YEAR(IF('Deal maths'!Z77&gt;0,'Deal maths'!Z77,DATE(1990,1,1))))*12+MONTH('Deal maths'!AA77)-MONTH(IF('Deal maths'!Z77&gt;0,'Deal maths'!Z77,DATE(1990,1,1))))/D77)-1)*D77),EDATE('Deal maths'!AA77,-(INT(((YEAR('Deal maths'!AA77)-YEAR(IF('Deal maths'!Z77&gt;0,'Deal maths'!Z77,DATE(1990,1,1))))*12+MONTH('Deal maths'!AA77)-MONTH(IF('Deal maths'!Z77&gt;0,'Deal maths'!Z77,DATE(1990,1,1))))/D77)-1)*D77))))),0)</f>
        <v/>
      </c>
      <c r="F77" s="110">
        <f>IF(D77=0,0,'Deal maths'!AB77*D77/12)</f>
        <v/>
      </c>
      <c r="G77" s="108">
        <f>N77+O77</f>
        <v/>
      </c>
      <c r="H77" s="108">
        <f>IFERROR(IF(OR(D77=0,AsAt&lt;E77),0,MIN(N77,INT(((YEAR(AsAt)-YEAR(E77))*12+MONTH(AsAt)-MONTH(E77)-(DAY(AsAt)&lt;MIN(R77,DAY(EOMONTH(AsAt,0)))))/D77)+1)+O77*(AsAt&gt;='Deal maths'!AA77)),0)</f>
        <v/>
      </c>
      <c r="I77" s="108">
        <f>G77-H77</f>
        <v/>
      </c>
      <c r="J77" s="111">
        <f>IF(AND(C77="EIP",I77&gt;0),'Deal maths'!Y77/I77,0)</f>
        <v/>
      </c>
      <c r="K77" s="111">
        <f>IF(AND(C77="Annuity",I77&gt;0),IF(F77&gt;0,'Deal maths'!Y77*F77/(1-(1+F77)^-I77),'Deal maths'!Y77/I77),0)</f>
        <v/>
      </c>
      <c r="L77" s="111">
        <f>IF('Deal maths'!Y77="",0,'Deal maths'!Y77)</f>
        <v/>
      </c>
      <c r="M77" s="112">
        <f>F77+(F77=0)</f>
        <v/>
      </c>
      <c r="N77" s="108">
        <f>IFERROR(IF(D77=0,0,INT(((YEAR('Deal maths'!AA77)-YEAR(E77))*12+MONTH('Deal maths'!AA77)-MONTH(E77)-(DAY('Deal maths'!AA77)&lt;MIN(R77,DAY(EOMONTH('Deal maths'!AA77,0)))))/D77)+1),0)</f>
        <v/>
      </c>
      <c r="O77" s="108">
        <f>IFERROR(IF(D77=0,0,IF(IF(DAY(E77+1)=1,EOMONTH(E77,(N77-1)*D77),EDATE(E77,(N77-1)*D77))='Deal maths'!AA77,0,1)),0)</f>
        <v/>
      </c>
      <c r="P77" s="113">
        <f>IF(B77=0,0,IFERROR(IF(C77="EIP",((I77-O77)*((IF(DAY(E77+1)=1,EOMONTH(E77,H77*D77),EDATE(E77,H77*D77))-AsAt)/365.25+(IF(DAY(E77+1)=1,EOMONTH(E77,(N77-1)*D77),EDATE(E77,(N77-1)*D77))-AsAt)/365.25)/2+O77*('Deal maths'!AA77-AsAt)/365.25)/I77,IF(C77="Annuity",IF(F77&gt;0,((K77-L77*F77)*((IF(DAY(E77+1)=1,EOMONTH(E77,H77*D77),EDATE(E77,H77*D77))-AsAt)/365.25*((1+F77)^(I77-O77)-1)/F77+IF((I77-O77)&gt;1,((IF(DAY(E77+1)=1,EOMONTH(E77,(N77-1)*D77),EDATE(E77,(N77-1)*D77))-AsAt)/365.25-(IF(DAY(E77+1)=1,EOMONTH(E77,H77*D77),EDATE(E77,H77*D77))-AsAt)/365.25)/((I77-O77)-1),0)*(1+F77)*(1-(I77-O77)*(1+F77)^((I77-O77)-1)+((I77-O77)-1)*(1+F77)^(I77-O77))/F77^2)+O77*(K77-L77*F77)*(1+F77)^(I77-1)*('Deal maths'!AA77-AsAt)/365.25)/L77,((I77-O77)*((IF(DAY(E77+1)=1,EOMONTH(E77,H77*D77),EDATE(E77,H77*D77))-AsAt)/365.25+(IF(DAY(E77+1)=1,EOMONTH(E77,(N77-1)*D77),EDATE(E77,(N77-1)*D77))-AsAt)/365.25)/2+O77*('Deal maths'!AA77-AsAt)/365.25)/I77),(S77-AsAt)/365.25)),0))</f>
        <v/>
      </c>
      <c r="Q77" s="109">
        <f>IF(B77=1,'Deal maths'!AA77+ROW()/1000000,"")</f>
        <v/>
      </c>
      <c r="R77" s="108">
        <f>IF(D77=0,0,IF(DAY(E77+1)=1,31,DAY(E77)))</f>
        <v/>
      </c>
      <c r="S77" s="109">
        <f>IF(AND('Deal maths'!V77="LOBO",'Deal maths'!AG77&gt;AsAt,'Deal maths'!AG77&lt;'Deal maths'!AA77),'Deal maths'!AG77,'Deal maths'!AA77)</f>
        <v/>
      </c>
      <c r="T77" s="108">
        <f>('Deal maths'!AA77&gt;AsAt)*('Deal maths'!Y77&gt;0)</f>
        <v/>
      </c>
    </row>
    <row r="78">
      <c r="A78" s="91">
        <f>IF('Deal maths'!V78="","",'Deal maths'!W78)</f>
        <v/>
      </c>
      <c r="B78" s="108">
        <f>('Deal maths'!AA78&gt;AsAt)*('Deal maths'!Y78&gt;0)*('Deal maths'!Z78&lt;=AsAt)</f>
        <v/>
      </c>
      <c r="C78" s="91">
        <f>IF('Deal maths'!V78="","",IF('Deal maths'!AC78="","Maturity",'Deal maths'!AC78))</f>
        <v/>
      </c>
      <c r="D78" s="108">
        <f>IF(OR(C78="EIP",C78="Annuity"),IF('Deal maths'!AD78="Annual",12,IF('Deal maths'!AD78="Quarterly",3,6)),0)</f>
        <v/>
      </c>
      <c r="E78" s="109">
        <f>IFERROR(IF(D78=0,0,IF('Deal maths'!AE78&gt;0,IF('Deal maths'!AE78&gt;'Deal maths'!AA78,'Deal maths'!AA78,'Deal maths'!AE78),IF(IF(DAY('Deal maths'!AA78+1)=1,EOMONTH('Deal maths'!AA78,-(INT(((YEAR('Deal maths'!AA78)-YEAR(IF('Deal maths'!Z78&gt;0,'Deal maths'!Z78,DATE(1990,1,1))))*12+MONTH('Deal maths'!AA78)-MONTH(IF('Deal maths'!Z78&gt;0,'Deal maths'!Z78,DATE(1990,1,1))))/D78))*D78),EDATE('Deal maths'!AA78,-(INT(((YEAR('Deal maths'!AA78)-YEAR(IF('Deal maths'!Z78&gt;0,'Deal maths'!Z78,DATE(1990,1,1))))*12+MONTH('Deal maths'!AA78)-MONTH(IF('Deal maths'!Z78&gt;0,'Deal maths'!Z78,DATE(1990,1,1))))/D78))*D78))&gt;IF('Deal maths'!Z78&gt;0,'Deal maths'!Z78,DATE(1990,1,1)),IF(DAY('Deal maths'!AA78+1)=1,EOMONTH('Deal maths'!AA78,-(INT(((YEAR('Deal maths'!AA78)-YEAR(IF('Deal maths'!Z78&gt;0,'Deal maths'!Z78,DATE(1990,1,1))))*12+MONTH('Deal maths'!AA78)-MONTH(IF('Deal maths'!Z78&gt;0,'Deal maths'!Z78,DATE(1990,1,1))))/D78))*D78),EDATE('Deal maths'!AA78,-(INT(((YEAR('Deal maths'!AA78)-YEAR(IF('Deal maths'!Z78&gt;0,'Deal maths'!Z78,DATE(1990,1,1))))*12+MONTH('Deal maths'!AA78)-MONTH(IF('Deal maths'!Z78&gt;0,'Deal maths'!Z78,DATE(1990,1,1))))/D78))*D78)),IF(DAY('Deal maths'!AA78+1)=1,EOMONTH('Deal maths'!AA78,-(INT(((YEAR('Deal maths'!AA78)-YEAR(IF('Deal maths'!Z78&gt;0,'Deal maths'!Z78,DATE(1990,1,1))))*12+MONTH('Deal maths'!AA78)-MONTH(IF('Deal maths'!Z78&gt;0,'Deal maths'!Z78,DATE(1990,1,1))))/D78)-1)*D78),EDATE('Deal maths'!AA78,-(INT(((YEAR('Deal maths'!AA78)-YEAR(IF('Deal maths'!Z78&gt;0,'Deal maths'!Z78,DATE(1990,1,1))))*12+MONTH('Deal maths'!AA78)-MONTH(IF('Deal maths'!Z78&gt;0,'Deal maths'!Z78,DATE(1990,1,1))))/D78)-1)*D78))))),0)</f>
        <v/>
      </c>
      <c r="F78" s="110">
        <f>IF(D78=0,0,'Deal maths'!AB78*D78/12)</f>
        <v/>
      </c>
      <c r="G78" s="108">
        <f>N78+O78</f>
        <v/>
      </c>
      <c r="H78" s="108">
        <f>IFERROR(IF(OR(D78=0,AsAt&lt;E78),0,MIN(N78,INT(((YEAR(AsAt)-YEAR(E78))*12+MONTH(AsAt)-MONTH(E78)-(DAY(AsAt)&lt;MIN(R78,DAY(EOMONTH(AsAt,0)))))/D78)+1)+O78*(AsAt&gt;='Deal maths'!AA78)),0)</f>
        <v/>
      </c>
      <c r="I78" s="108">
        <f>G78-H78</f>
        <v/>
      </c>
      <c r="J78" s="111">
        <f>IF(AND(C78="EIP",I78&gt;0),'Deal maths'!Y78/I78,0)</f>
        <v/>
      </c>
      <c r="K78" s="111">
        <f>IF(AND(C78="Annuity",I78&gt;0),IF(F78&gt;0,'Deal maths'!Y78*F78/(1-(1+F78)^-I78),'Deal maths'!Y78/I78),0)</f>
        <v/>
      </c>
      <c r="L78" s="111">
        <f>IF('Deal maths'!Y78="",0,'Deal maths'!Y78)</f>
        <v/>
      </c>
      <c r="M78" s="112">
        <f>F78+(F78=0)</f>
        <v/>
      </c>
      <c r="N78" s="108">
        <f>IFERROR(IF(D78=0,0,INT(((YEAR('Deal maths'!AA78)-YEAR(E78))*12+MONTH('Deal maths'!AA78)-MONTH(E78)-(DAY('Deal maths'!AA78)&lt;MIN(R78,DAY(EOMONTH('Deal maths'!AA78,0)))))/D78)+1),0)</f>
        <v/>
      </c>
      <c r="O78" s="108">
        <f>IFERROR(IF(D78=0,0,IF(IF(DAY(E78+1)=1,EOMONTH(E78,(N78-1)*D78),EDATE(E78,(N78-1)*D78))='Deal maths'!AA78,0,1)),0)</f>
        <v/>
      </c>
      <c r="P78" s="113">
        <f>IF(B78=0,0,IFERROR(IF(C78="EIP",((I78-O78)*((IF(DAY(E78+1)=1,EOMONTH(E78,H78*D78),EDATE(E78,H78*D78))-AsAt)/365.25+(IF(DAY(E78+1)=1,EOMONTH(E78,(N78-1)*D78),EDATE(E78,(N78-1)*D78))-AsAt)/365.25)/2+O78*('Deal maths'!AA78-AsAt)/365.25)/I78,IF(C78="Annuity",IF(F78&gt;0,((K78-L78*F78)*((IF(DAY(E78+1)=1,EOMONTH(E78,H78*D78),EDATE(E78,H78*D78))-AsAt)/365.25*((1+F78)^(I78-O78)-1)/F78+IF((I78-O78)&gt;1,((IF(DAY(E78+1)=1,EOMONTH(E78,(N78-1)*D78),EDATE(E78,(N78-1)*D78))-AsAt)/365.25-(IF(DAY(E78+1)=1,EOMONTH(E78,H78*D78),EDATE(E78,H78*D78))-AsAt)/365.25)/((I78-O78)-1),0)*(1+F78)*(1-(I78-O78)*(1+F78)^((I78-O78)-1)+((I78-O78)-1)*(1+F78)^(I78-O78))/F78^2)+O78*(K78-L78*F78)*(1+F78)^(I78-1)*('Deal maths'!AA78-AsAt)/365.25)/L78,((I78-O78)*((IF(DAY(E78+1)=1,EOMONTH(E78,H78*D78),EDATE(E78,H78*D78))-AsAt)/365.25+(IF(DAY(E78+1)=1,EOMONTH(E78,(N78-1)*D78),EDATE(E78,(N78-1)*D78))-AsAt)/365.25)/2+O78*('Deal maths'!AA78-AsAt)/365.25)/I78),(S78-AsAt)/365.25)),0))</f>
        <v/>
      </c>
      <c r="Q78" s="109">
        <f>IF(B78=1,'Deal maths'!AA78+ROW()/1000000,"")</f>
        <v/>
      </c>
      <c r="R78" s="108">
        <f>IF(D78=0,0,IF(DAY(E78+1)=1,31,DAY(E78)))</f>
        <v/>
      </c>
      <c r="S78" s="109">
        <f>IF(AND('Deal maths'!V78="LOBO",'Deal maths'!AG78&gt;AsAt,'Deal maths'!AG78&lt;'Deal maths'!AA78),'Deal maths'!AG78,'Deal maths'!AA78)</f>
        <v/>
      </c>
      <c r="T78" s="108">
        <f>('Deal maths'!AA78&gt;AsAt)*('Deal maths'!Y78&gt;0)</f>
        <v/>
      </c>
    </row>
    <row r="79">
      <c r="A79" s="91">
        <f>IF('Deal maths'!V79="","",'Deal maths'!W79)</f>
        <v/>
      </c>
      <c r="B79" s="108">
        <f>('Deal maths'!AA79&gt;AsAt)*('Deal maths'!Y79&gt;0)*('Deal maths'!Z79&lt;=AsAt)</f>
        <v/>
      </c>
      <c r="C79" s="91">
        <f>IF('Deal maths'!V79="","",IF('Deal maths'!AC79="","Maturity",'Deal maths'!AC79))</f>
        <v/>
      </c>
      <c r="D79" s="108">
        <f>IF(OR(C79="EIP",C79="Annuity"),IF('Deal maths'!AD79="Annual",12,IF('Deal maths'!AD79="Quarterly",3,6)),0)</f>
        <v/>
      </c>
      <c r="E79" s="109">
        <f>IFERROR(IF(D79=0,0,IF('Deal maths'!AE79&gt;0,IF('Deal maths'!AE79&gt;'Deal maths'!AA79,'Deal maths'!AA79,'Deal maths'!AE79),IF(IF(DAY('Deal maths'!AA79+1)=1,EOMONTH('Deal maths'!AA79,-(INT(((YEAR('Deal maths'!AA79)-YEAR(IF('Deal maths'!Z79&gt;0,'Deal maths'!Z79,DATE(1990,1,1))))*12+MONTH('Deal maths'!AA79)-MONTH(IF('Deal maths'!Z79&gt;0,'Deal maths'!Z79,DATE(1990,1,1))))/D79))*D79),EDATE('Deal maths'!AA79,-(INT(((YEAR('Deal maths'!AA79)-YEAR(IF('Deal maths'!Z79&gt;0,'Deal maths'!Z79,DATE(1990,1,1))))*12+MONTH('Deal maths'!AA79)-MONTH(IF('Deal maths'!Z79&gt;0,'Deal maths'!Z79,DATE(1990,1,1))))/D79))*D79))&gt;IF('Deal maths'!Z79&gt;0,'Deal maths'!Z79,DATE(1990,1,1)),IF(DAY('Deal maths'!AA79+1)=1,EOMONTH('Deal maths'!AA79,-(INT(((YEAR('Deal maths'!AA79)-YEAR(IF('Deal maths'!Z79&gt;0,'Deal maths'!Z79,DATE(1990,1,1))))*12+MONTH('Deal maths'!AA79)-MONTH(IF('Deal maths'!Z79&gt;0,'Deal maths'!Z79,DATE(1990,1,1))))/D79))*D79),EDATE('Deal maths'!AA79,-(INT(((YEAR('Deal maths'!AA79)-YEAR(IF('Deal maths'!Z79&gt;0,'Deal maths'!Z79,DATE(1990,1,1))))*12+MONTH('Deal maths'!AA79)-MONTH(IF('Deal maths'!Z79&gt;0,'Deal maths'!Z79,DATE(1990,1,1))))/D79))*D79)),IF(DAY('Deal maths'!AA79+1)=1,EOMONTH('Deal maths'!AA79,-(INT(((YEAR('Deal maths'!AA79)-YEAR(IF('Deal maths'!Z79&gt;0,'Deal maths'!Z79,DATE(1990,1,1))))*12+MONTH('Deal maths'!AA79)-MONTH(IF('Deal maths'!Z79&gt;0,'Deal maths'!Z79,DATE(1990,1,1))))/D79)-1)*D79),EDATE('Deal maths'!AA79,-(INT(((YEAR('Deal maths'!AA79)-YEAR(IF('Deal maths'!Z79&gt;0,'Deal maths'!Z79,DATE(1990,1,1))))*12+MONTH('Deal maths'!AA79)-MONTH(IF('Deal maths'!Z79&gt;0,'Deal maths'!Z79,DATE(1990,1,1))))/D79)-1)*D79))))),0)</f>
        <v/>
      </c>
      <c r="F79" s="110">
        <f>IF(D79=0,0,'Deal maths'!AB79*D79/12)</f>
        <v/>
      </c>
      <c r="G79" s="108">
        <f>N79+O79</f>
        <v/>
      </c>
      <c r="H79" s="108">
        <f>IFERROR(IF(OR(D79=0,AsAt&lt;E79),0,MIN(N79,INT(((YEAR(AsAt)-YEAR(E79))*12+MONTH(AsAt)-MONTH(E79)-(DAY(AsAt)&lt;MIN(R79,DAY(EOMONTH(AsAt,0)))))/D79)+1)+O79*(AsAt&gt;='Deal maths'!AA79)),0)</f>
        <v/>
      </c>
      <c r="I79" s="108">
        <f>G79-H79</f>
        <v/>
      </c>
      <c r="J79" s="111">
        <f>IF(AND(C79="EIP",I79&gt;0),'Deal maths'!Y79/I79,0)</f>
        <v/>
      </c>
      <c r="K79" s="111">
        <f>IF(AND(C79="Annuity",I79&gt;0),IF(F79&gt;0,'Deal maths'!Y79*F79/(1-(1+F79)^-I79),'Deal maths'!Y79/I79),0)</f>
        <v/>
      </c>
      <c r="L79" s="111">
        <f>IF('Deal maths'!Y79="",0,'Deal maths'!Y79)</f>
        <v/>
      </c>
      <c r="M79" s="112">
        <f>F79+(F79=0)</f>
        <v/>
      </c>
      <c r="N79" s="108">
        <f>IFERROR(IF(D79=0,0,INT(((YEAR('Deal maths'!AA79)-YEAR(E79))*12+MONTH('Deal maths'!AA79)-MONTH(E79)-(DAY('Deal maths'!AA79)&lt;MIN(R79,DAY(EOMONTH('Deal maths'!AA79,0)))))/D79)+1),0)</f>
        <v/>
      </c>
      <c r="O79" s="108">
        <f>IFERROR(IF(D79=0,0,IF(IF(DAY(E79+1)=1,EOMONTH(E79,(N79-1)*D79),EDATE(E79,(N79-1)*D79))='Deal maths'!AA79,0,1)),0)</f>
        <v/>
      </c>
      <c r="P79" s="113">
        <f>IF(B79=0,0,IFERROR(IF(C79="EIP",((I79-O79)*((IF(DAY(E79+1)=1,EOMONTH(E79,H79*D79),EDATE(E79,H79*D79))-AsAt)/365.25+(IF(DAY(E79+1)=1,EOMONTH(E79,(N79-1)*D79),EDATE(E79,(N79-1)*D79))-AsAt)/365.25)/2+O79*('Deal maths'!AA79-AsAt)/365.25)/I79,IF(C79="Annuity",IF(F79&gt;0,((K79-L79*F79)*((IF(DAY(E79+1)=1,EOMONTH(E79,H79*D79),EDATE(E79,H79*D79))-AsAt)/365.25*((1+F79)^(I79-O79)-1)/F79+IF((I79-O79)&gt;1,((IF(DAY(E79+1)=1,EOMONTH(E79,(N79-1)*D79),EDATE(E79,(N79-1)*D79))-AsAt)/365.25-(IF(DAY(E79+1)=1,EOMONTH(E79,H79*D79),EDATE(E79,H79*D79))-AsAt)/365.25)/((I79-O79)-1),0)*(1+F79)*(1-(I79-O79)*(1+F79)^((I79-O79)-1)+((I79-O79)-1)*(1+F79)^(I79-O79))/F79^2)+O79*(K79-L79*F79)*(1+F79)^(I79-1)*('Deal maths'!AA79-AsAt)/365.25)/L79,((I79-O79)*((IF(DAY(E79+1)=1,EOMONTH(E79,H79*D79),EDATE(E79,H79*D79))-AsAt)/365.25+(IF(DAY(E79+1)=1,EOMONTH(E79,(N79-1)*D79),EDATE(E79,(N79-1)*D79))-AsAt)/365.25)/2+O79*('Deal maths'!AA79-AsAt)/365.25)/I79),(S79-AsAt)/365.25)),0))</f>
        <v/>
      </c>
      <c r="Q79" s="109">
        <f>IF(B79=1,'Deal maths'!AA79+ROW()/1000000,"")</f>
        <v/>
      </c>
      <c r="R79" s="108">
        <f>IF(D79=0,0,IF(DAY(E79+1)=1,31,DAY(E79)))</f>
        <v/>
      </c>
      <c r="S79" s="109">
        <f>IF(AND('Deal maths'!V79="LOBO",'Deal maths'!AG79&gt;AsAt,'Deal maths'!AG79&lt;'Deal maths'!AA79),'Deal maths'!AG79,'Deal maths'!AA79)</f>
        <v/>
      </c>
      <c r="T79" s="108">
        <f>('Deal maths'!AA79&gt;AsAt)*('Deal maths'!Y79&gt;0)</f>
        <v/>
      </c>
    </row>
    <row r="80">
      <c r="A80" s="91">
        <f>IF('Deal maths'!V80="","",'Deal maths'!W80)</f>
        <v/>
      </c>
      <c r="B80" s="108">
        <f>('Deal maths'!AA80&gt;AsAt)*('Deal maths'!Y80&gt;0)*('Deal maths'!Z80&lt;=AsAt)</f>
        <v/>
      </c>
      <c r="C80" s="91">
        <f>IF('Deal maths'!V80="","",IF('Deal maths'!AC80="","Maturity",'Deal maths'!AC80))</f>
        <v/>
      </c>
      <c r="D80" s="108">
        <f>IF(OR(C80="EIP",C80="Annuity"),IF('Deal maths'!AD80="Annual",12,IF('Deal maths'!AD80="Quarterly",3,6)),0)</f>
        <v/>
      </c>
      <c r="E80" s="109">
        <f>IFERROR(IF(D80=0,0,IF('Deal maths'!AE80&gt;0,IF('Deal maths'!AE80&gt;'Deal maths'!AA80,'Deal maths'!AA80,'Deal maths'!AE80),IF(IF(DAY('Deal maths'!AA80+1)=1,EOMONTH('Deal maths'!AA80,-(INT(((YEAR('Deal maths'!AA80)-YEAR(IF('Deal maths'!Z80&gt;0,'Deal maths'!Z80,DATE(1990,1,1))))*12+MONTH('Deal maths'!AA80)-MONTH(IF('Deal maths'!Z80&gt;0,'Deal maths'!Z80,DATE(1990,1,1))))/D80))*D80),EDATE('Deal maths'!AA80,-(INT(((YEAR('Deal maths'!AA80)-YEAR(IF('Deal maths'!Z80&gt;0,'Deal maths'!Z80,DATE(1990,1,1))))*12+MONTH('Deal maths'!AA80)-MONTH(IF('Deal maths'!Z80&gt;0,'Deal maths'!Z80,DATE(1990,1,1))))/D80))*D80))&gt;IF('Deal maths'!Z80&gt;0,'Deal maths'!Z80,DATE(1990,1,1)),IF(DAY('Deal maths'!AA80+1)=1,EOMONTH('Deal maths'!AA80,-(INT(((YEAR('Deal maths'!AA80)-YEAR(IF('Deal maths'!Z80&gt;0,'Deal maths'!Z80,DATE(1990,1,1))))*12+MONTH('Deal maths'!AA80)-MONTH(IF('Deal maths'!Z80&gt;0,'Deal maths'!Z80,DATE(1990,1,1))))/D80))*D80),EDATE('Deal maths'!AA80,-(INT(((YEAR('Deal maths'!AA80)-YEAR(IF('Deal maths'!Z80&gt;0,'Deal maths'!Z80,DATE(1990,1,1))))*12+MONTH('Deal maths'!AA80)-MONTH(IF('Deal maths'!Z80&gt;0,'Deal maths'!Z80,DATE(1990,1,1))))/D80))*D80)),IF(DAY('Deal maths'!AA80+1)=1,EOMONTH('Deal maths'!AA80,-(INT(((YEAR('Deal maths'!AA80)-YEAR(IF('Deal maths'!Z80&gt;0,'Deal maths'!Z80,DATE(1990,1,1))))*12+MONTH('Deal maths'!AA80)-MONTH(IF('Deal maths'!Z80&gt;0,'Deal maths'!Z80,DATE(1990,1,1))))/D80)-1)*D80),EDATE('Deal maths'!AA80,-(INT(((YEAR('Deal maths'!AA80)-YEAR(IF('Deal maths'!Z80&gt;0,'Deal maths'!Z80,DATE(1990,1,1))))*12+MONTH('Deal maths'!AA80)-MONTH(IF('Deal maths'!Z80&gt;0,'Deal maths'!Z80,DATE(1990,1,1))))/D80)-1)*D80))))),0)</f>
        <v/>
      </c>
      <c r="F80" s="110">
        <f>IF(D80=0,0,'Deal maths'!AB80*D80/12)</f>
        <v/>
      </c>
      <c r="G80" s="108">
        <f>N80+O80</f>
        <v/>
      </c>
      <c r="H80" s="108">
        <f>IFERROR(IF(OR(D80=0,AsAt&lt;E80),0,MIN(N80,INT(((YEAR(AsAt)-YEAR(E80))*12+MONTH(AsAt)-MONTH(E80)-(DAY(AsAt)&lt;MIN(R80,DAY(EOMONTH(AsAt,0)))))/D80)+1)+O80*(AsAt&gt;='Deal maths'!AA80)),0)</f>
        <v/>
      </c>
      <c r="I80" s="108">
        <f>G80-H80</f>
        <v/>
      </c>
      <c r="J80" s="111">
        <f>IF(AND(C80="EIP",I80&gt;0),'Deal maths'!Y80/I80,0)</f>
        <v/>
      </c>
      <c r="K80" s="111">
        <f>IF(AND(C80="Annuity",I80&gt;0),IF(F80&gt;0,'Deal maths'!Y80*F80/(1-(1+F80)^-I80),'Deal maths'!Y80/I80),0)</f>
        <v/>
      </c>
      <c r="L80" s="111">
        <f>IF('Deal maths'!Y80="",0,'Deal maths'!Y80)</f>
        <v/>
      </c>
      <c r="M80" s="112">
        <f>F80+(F80=0)</f>
        <v/>
      </c>
      <c r="N80" s="108">
        <f>IFERROR(IF(D80=0,0,INT(((YEAR('Deal maths'!AA80)-YEAR(E80))*12+MONTH('Deal maths'!AA80)-MONTH(E80)-(DAY('Deal maths'!AA80)&lt;MIN(R80,DAY(EOMONTH('Deal maths'!AA80,0)))))/D80)+1),0)</f>
        <v/>
      </c>
      <c r="O80" s="108">
        <f>IFERROR(IF(D80=0,0,IF(IF(DAY(E80+1)=1,EOMONTH(E80,(N80-1)*D80),EDATE(E80,(N80-1)*D80))='Deal maths'!AA80,0,1)),0)</f>
        <v/>
      </c>
      <c r="P80" s="113">
        <f>IF(B80=0,0,IFERROR(IF(C80="EIP",((I80-O80)*((IF(DAY(E80+1)=1,EOMONTH(E80,H80*D80),EDATE(E80,H80*D80))-AsAt)/365.25+(IF(DAY(E80+1)=1,EOMONTH(E80,(N80-1)*D80),EDATE(E80,(N80-1)*D80))-AsAt)/365.25)/2+O80*('Deal maths'!AA80-AsAt)/365.25)/I80,IF(C80="Annuity",IF(F80&gt;0,((K80-L80*F80)*((IF(DAY(E80+1)=1,EOMONTH(E80,H80*D80),EDATE(E80,H80*D80))-AsAt)/365.25*((1+F80)^(I80-O80)-1)/F80+IF((I80-O80)&gt;1,((IF(DAY(E80+1)=1,EOMONTH(E80,(N80-1)*D80),EDATE(E80,(N80-1)*D80))-AsAt)/365.25-(IF(DAY(E80+1)=1,EOMONTH(E80,H80*D80),EDATE(E80,H80*D80))-AsAt)/365.25)/((I80-O80)-1),0)*(1+F80)*(1-(I80-O80)*(1+F80)^((I80-O80)-1)+((I80-O80)-1)*(1+F80)^(I80-O80))/F80^2)+O80*(K80-L80*F80)*(1+F80)^(I80-1)*('Deal maths'!AA80-AsAt)/365.25)/L80,((I80-O80)*((IF(DAY(E80+1)=1,EOMONTH(E80,H80*D80),EDATE(E80,H80*D80))-AsAt)/365.25+(IF(DAY(E80+1)=1,EOMONTH(E80,(N80-1)*D80),EDATE(E80,(N80-1)*D80))-AsAt)/365.25)/2+O80*('Deal maths'!AA80-AsAt)/365.25)/I80),(S80-AsAt)/365.25)),0))</f>
        <v/>
      </c>
      <c r="Q80" s="109">
        <f>IF(B80=1,'Deal maths'!AA80+ROW()/1000000,"")</f>
        <v/>
      </c>
      <c r="R80" s="108">
        <f>IF(D80=0,0,IF(DAY(E80+1)=1,31,DAY(E80)))</f>
        <v/>
      </c>
      <c r="S80" s="109">
        <f>IF(AND('Deal maths'!V80="LOBO",'Deal maths'!AG80&gt;AsAt,'Deal maths'!AG80&lt;'Deal maths'!AA80),'Deal maths'!AG80,'Deal maths'!AA80)</f>
        <v/>
      </c>
      <c r="T80" s="108">
        <f>('Deal maths'!AA80&gt;AsAt)*('Deal maths'!Y80&gt;0)</f>
        <v/>
      </c>
    </row>
    <row r="81">
      <c r="A81" s="91">
        <f>IF('Deal maths'!V81="","",'Deal maths'!W81)</f>
        <v/>
      </c>
      <c r="B81" s="108">
        <f>('Deal maths'!AA81&gt;AsAt)*('Deal maths'!Y81&gt;0)*('Deal maths'!Z81&lt;=AsAt)</f>
        <v/>
      </c>
      <c r="C81" s="91">
        <f>IF('Deal maths'!V81="","",IF('Deal maths'!AC81="","Maturity",'Deal maths'!AC81))</f>
        <v/>
      </c>
      <c r="D81" s="108">
        <f>IF(OR(C81="EIP",C81="Annuity"),IF('Deal maths'!AD81="Annual",12,IF('Deal maths'!AD81="Quarterly",3,6)),0)</f>
        <v/>
      </c>
      <c r="E81" s="109">
        <f>IFERROR(IF(D81=0,0,IF('Deal maths'!AE81&gt;0,IF('Deal maths'!AE81&gt;'Deal maths'!AA81,'Deal maths'!AA81,'Deal maths'!AE81),IF(IF(DAY('Deal maths'!AA81+1)=1,EOMONTH('Deal maths'!AA81,-(INT(((YEAR('Deal maths'!AA81)-YEAR(IF('Deal maths'!Z81&gt;0,'Deal maths'!Z81,DATE(1990,1,1))))*12+MONTH('Deal maths'!AA81)-MONTH(IF('Deal maths'!Z81&gt;0,'Deal maths'!Z81,DATE(1990,1,1))))/D81))*D81),EDATE('Deal maths'!AA81,-(INT(((YEAR('Deal maths'!AA81)-YEAR(IF('Deal maths'!Z81&gt;0,'Deal maths'!Z81,DATE(1990,1,1))))*12+MONTH('Deal maths'!AA81)-MONTH(IF('Deal maths'!Z81&gt;0,'Deal maths'!Z81,DATE(1990,1,1))))/D81))*D81))&gt;IF('Deal maths'!Z81&gt;0,'Deal maths'!Z81,DATE(1990,1,1)),IF(DAY('Deal maths'!AA81+1)=1,EOMONTH('Deal maths'!AA81,-(INT(((YEAR('Deal maths'!AA81)-YEAR(IF('Deal maths'!Z81&gt;0,'Deal maths'!Z81,DATE(1990,1,1))))*12+MONTH('Deal maths'!AA81)-MONTH(IF('Deal maths'!Z81&gt;0,'Deal maths'!Z81,DATE(1990,1,1))))/D81))*D81),EDATE('Deal maths'!AA81,-(INT(((YEAR('Deal maths'!AA81)-YEAR(IF('Deal maths'!Z81&gt;0,'Deal maths'!Z81,DATE(1990,1,1))))*12+MONTH('Deal maths'!AA81)-MONTH(IF('Deal maths'!Z81&gt;0,'Deal maths'!Z81,DATE(1990,1,1))))/D81))*D81)),IF(DAY('Deal maths'!AA81+1)=1,EOMONTH('Deal maths'!AA81,-(INT(((YEAR('Deal maths'!AA81)-YEAR(IF('Deal maths'!Z81&gt;0,'Deal maths'!Z81,DATE(1990,1,1))))*12+MONTH('Deal maths'!AA81)-MONTH(IF('Deal maths'!Z81&gt;0,'Deal maths'!Z81,DATE(1990,1,1))))/D81)-1)*D81),EDATE('Deal maths'!AA81,-(INT(((YEAR('Deal maths'!AA81)-YEAR(IF('Deal maths'!Z81&gt;0,'Deal maths'!Z81,DATE(1990,1,1))))*12+MONTH('Deal maths'!AA81)-MONTH(IF('Deal maths'!Z81&gt;0,'Deal maths'!Z81,DATE(1990,1,1))))/D81)-1)*D81))))),0)</f>
        <v/>
      </c>
      <c r="F81" s="110">
        <f>IF(D81=0,0,'Deal maths'!AB81*D81/12)</f>
        <v/>
      </c>
      <c r="G81" s="108">
        <f>N81+O81</f>
        <v/>
      </c>
      <c r="H81" s="108">
        <f>IFERROR(IF(OR(D81=0,AsAt&lt;E81),0,MIN(N81,INT(((YEAR(AsAt)-YEAR(E81))*12+MONTH(AsAt)-MONTH(E81)-(DAY(AsAt)&lt;MIN(R81,DAY(EOMONTH(AsAt,0)))))/D81)+1)+O81*(AsAt&gt;='Deal maths'!AA81)),0)</f>
        <v/>
      </c>
      <c r="I81" s="108">
        <f>G81-H81</f>
        <v/>
      </c>
      <c r="J81" s="111">
        <f>IF(AND(C81="EIP",I81&gt;0),'Deal maths'!Y81/I81,0)</f>
        <v/>
      </c>
      <c r="K81" s="111">
        <f>IF(AND(C81="Annuity",I81&gt;0),IF(F81&gt;0,'Deal maths'!Y81*F81/(1-(1+F81)^-I81),'Deal maths'!Y81/I81),0)</f>
        <v/>
      </c>
      <c r="L81" s="111">
        <f>IF('Deal maths'!Y81="",0,'Deal maths'!Y81)</f>
        <v/>
      </c>
      <c r="M81" s="112">
        <f>F81+(F81=0)</f>
        <v/>
      </c>
      <c r="N81" s="108">
        <f>IFERROR(IF(D81=0,0,INT(((YEAR('Deal maths'!AA81)-YEAR(E81))*12+MONTH('Deal maths'!AA81)-MONTH(E81)-(DAY('Deal maths'!AA81)&lt;MIN(R81,DAY(EOMONTH('Deal maths'!AA81,0)))))/D81)+1),0)</f>
        <v/>
      </c>
      <c r="O81" s="108">
        <f>IFERROR(IF(D81=0,0,IF(IF(DAY(E81+1)=1,EOMONTH(E81,(N81-1)*D81),EDATE(E81,(N81-1)*D81))='Deal maths'!AA81,0,1)),0)</f>
        <v/>
      </c>
      <c r="P81" s="113">
        <f>IF(B81=0,0,IFERROR(IF(C81="EIP",((I81-O81)*((IF(DAY(E81+1)=1,EOMONTH(E81,H81*D81),EDATE(E81,H81*D81))-AsAt)/365.25+(IF(DAY(E81+1)=1,EOMONTH(E81,(N81-1)*D81),EDATE(E81,(N81-1)*D81))-AsAt)/365.25)/2+O81*('Deal maths'!AA81-AsAt)/365.25)/I81,IF(C81="Annuity",IF(F81&gt;0,((K81-L81*F81)*((IF(DAY(E81+1)=1,EOMONTH(E81,H81*D81),EDATE(E81,H81*D81))-AsAt)/365.25*((1+F81)^(I81-O81)-1)/F81+IF((I81-O81)&gt;1,((IF(DAY(E81+1)=1,EOMONTH(E81,(N81-1)*D81),EDATE(E81,(N81-1)*D81))-AsAt)/365.25-(IF(DAY(E81+1)=1,EOMONTH(E81,H81*D81),EDATE(E81,H81*D81))-AsAt)/365.25)/((I81-O81)-1),0)*(1+F81)*(1-(I81-O81)*(1+F81)^((I81-O81)-1)+((I81-O81)-1)*(1+F81)^(I81-O81))/F81^2)+O81*(K81-L81*F81)*(1+F81)^(I81-1)*('Deal maths'!AA81-AsAt)/365.25)/L81,((I81-O81)*((IF(DAY(E81+1)=1,EOMONTH(E81,H81*D81),EDATE(E81,H81*D81))-AsAt)/365.25+(IF(DAY(E81+1)=1,EOMONTH(E81,(N81-1)*D81),EDATE(E81,(N81-1)*D81))-AsAt)/365.25)/2+O81*('Deal maths'!AA81-AsAt)/365.25)/I81),(S81-AsAt)/365.25)),0))</f>
        <v/>
      </c>
      <c r="Q81" s="109">
        <f>IF(B81=1,'Deal maths'!AA81+ROW()/1000000,"")</f>
        <v/>
      </c>
      <c r="R81" s="108">
        <f>IF(D81=0,0,IF(DAY(E81+1)=1,31,DAY(E81)))</f>
        <v/>
      </c>
      <c r="S81" s="109">
        <f>IF(AND('Deal maths'!V81="LOBO",'Deal maths'!AG81&gt;AsAt,'Deal maths'!AG81&lt;'Deal maths'!AA81),'Deal maths'!AG81,'Deal maths'!AA81)</f>
        <v/>
      </c>
      <c r="T81" s="108">
        <f>('Deal maths'!AA81&gt;AsAt)*('Deal maths'!Y81&gt;0)</f>
        <v/>
      </c>
    </row>
    <row r="82">
      <c r="A82" s="91">
        <f>IF('Deal maths'!V82="","",'Deal maths'!W82)</f>
        <v/>
      </c>
      <c r="B82" s="108">
        <f>('Deal maths'!AA82&gt;AsAt)*('Deal maths'!Y82&gt;0)*('Deal maths'!Z82&lt;=AsAt)</f>
        <v/>
      </c>
      <c r="C82" s="91">
        <f>IF('Deal maths'!V82="","",IF('Deal maths'!AC82="","Maturity",'Deal maths'!AC82))</f>
        <v/>
      </c>
      <c r="D82" s="108">
        <f>IF(OR(C82="EIP",C82="Annuity"),IF('Deal maths'!AD82="Annual",12,IF('Deal maths'!AD82="Quarterly",3,6)),0)</f>
        <v/>
      </c>
      <c r="E82" s="109">
        <f>IFERROR(IF(D82=0,0,IF('Deal maths'!AE82&gt;0,IF('Deal maths'!AE82&gt;'Deal maths'!AA82,'Deal maths'!AA82,'Deal maths'!AE82),IF(IF(DAY('Deal maths'!AA82+1)=1,EOMONTH('Deal maths'!AA82,-(INT(((YEAR('Deal maths'!AA82)-YEAR(IF('Deal maths'!Z82&gt;0,'Deal maths'!Z82,DATE(1990,1,1))))*12+MONTH('Deal maths'!AA82)-MONTH(IF('Deal maths'!Z82&gt;0,'Deal maths'!Z82,DATE(1990,1,1))))/D82))*D82),EDATE('Deal maths'!AA82,-(INT(((YEAR('Deal maths'!AA82)-YEAR(IF('Deal maths'!Z82&gt;0,'Deal maths'!Z82,DATE(1990,1,1))))*12+MONTH('Deal maths'!AA82)-MONTH(IF('Deal maths'!Z82&gt;0,'Deal maths'!Z82,DATE(1990,1,1))))/D82))*D82))&gt;IF('Deal maths'!Z82&gt;0,'Deal maths'!Z82,DATE(1990,1,1)),IF(DAY('Deal maths'!AA82+1)=1,EOMONTH('Deal maths'!AA82,-(INT(((YEAR('Deal maths'!AA82)-YEAR(IF('Deal maths'!Z82&gt;0,'Deal maths'!Z82,DATE(1990,1,1))))*12+MONTH('Deal maths'!AA82)-MONTH(IF('Deal maths'!Z82&gt;0,'Deal maths'!Z82,DATE(1990,1,1))))/D82))*D82),EDATE('Deal maths'!AA82,-(INT(((YEAR('Deal maths'!AA82)-YEAR(IF('Deal maths'!Z82&gt;0,'Deal maths'!Z82,DATE(1990,1,1))))*12+MONTH('Deal maths'!AA82)-MONTH(IF('Deal maths'!Z82&gt;0,'Deal maths'!Z82,DATE(1990,1,1))))/D82))*D82)),IF(DAY('Deal maths'!AA82+1)=1,EOMONTH('Deal maths'!AA82,-(INT(((YEAR('Deal maths'!AA82)-YEAR(IF('Deal maths'!Z82&gt;0,'Deal maths'!Z82,DATE(1990,1,1))))*12+MONTH('Deal maths'!AA82)-MONTH(IF('Deal maths'!Z82&gt;0,'Deal maths'!Z82,DATE(1990,1,1))))/D82)-1)*D82),EDATE('Deal maths'!AA82,-(INT(((YEAR('Deal maths'!AA82)-YEAR(IF('Deal maths'!Z82&gt;0,'Deal maths'!Z82,DATE(1990,1,1))))*12+MONTH('Deal maths'!AA82)-MONTH(IF('Deal maths'!Z82&gt;0,'Deal maths'!Z82,DATE(1990,1,1))))/D82)-1)*D82))))),0)</f>
        <v/>
      </c>
      <c r="F82" s="110">
        <f>IF(D82=0,0,'Deal maths'!AB82*D82/12)</f>
        <v/>
      </c>
      <c r="G82" s="108">
        <f>N82+O82</f>
        <v/>
      </c>
      <c r="H82" s="108">
        <f>IFERROR(IF(OR(D82=0,AsAt&lt;E82),0,MIN(N82,INT(((YEAR(AsAt)-YEAR(E82))*12+MONTH(AsAt)-MONTH(E82)-(DAY(AsAt)&lt;MIN(R82,DAY(EOMONTH(AsAt,0)))))/D82)+1)+O82*(AsAt&gt;='Deal maths'!AA82)),0)</f>
        <v/>
      </c>
      <c r="I82" s="108">
        <f>G82-H82</f>
        <v/>
      </c>
      <c r="J82" s="111">
        <f>IF(AND(C82="EIP",I82&gt;0),'Deal maths'!Y82/I82,0)</f>
        <v/>
      </c>
      <c r="K82" s="111">
        <f>IF(AND(C82="Annuity",I82&gt;0),IF(F82&gt;0,'Deal maths'!Y82*F82/(1-(1+F82)^-I82),'Deal maths'!Y82/I82),0)</f>
        <v/>
      </c>
      <c r="L82" s="111">
        <f>IF('Deal maths'!Y82="",0,'Deal maths'!Y82)</f>
        <v/>
      </c>
      <c r="M82" s="112">
        <f>F82+(F82=0)</f>
        <v/>
      </c>
      <c r="N82" s="108">
        <f>IFERROR(IF(D82=0,0,INT(((YEAR('Deal maths'!AA82)-YEAR(E82))*12+MONTH('Deal maths'!AA82)-MONTH(E82)-(DAY('Deal maths'!AA82)&lt;MIN(R82,DAY(EOMONTH('Deal maths'!AA82,0)))))/D82)+1),0)</f>
        <v/>
      </c>
      <c r="O82" s="108">
        <f>IFERROR(IF(D82=0,0,IF(IF(DAY(E82+1)=1,EOMONTH(E82,(N82-1)*D82),EDATE(E82,(N82-1)*D82))='Deal maths'!AA82,0,1)),0)</f>
        <v/>
      </c>
      <c r="P82" s="113">
        <f>IF(B82=0,0,IFERROR(IF(C82="EIP",((I82-O82)*((IF(DAY(E82+1)=1,EOMONTH(E82,H82*D82),EDATE(E82,H82*D82))-AsAt)/365.25+(IF(DAY(E82+1)=1,EOMONTH(E82,(N82-1)*D82),EDATE(E82,(N82-1)*D82))-AsAt)/365.25)/2+O82*('Deal maths'!AA82-AsAt)/365.25)/I82,IF(C82="Annuity",IF(F82&gt;0,((K82-L82*F82)*((IF(DAY(E82+1)=1,EOMONTH(E82,H82*D82),EDATE(E82,H82*D82))-AsAt)/365.25*((1+F82)^(I82-O82)-1)/F82+IF((I82-O82)&gt;1,((IF(DAY(E82+1)=1,EOMONTH(E82,(N82-1)*D82),EDATE(E82,(N82-1)*D82))-AsAt)/365.25-(IF(DAY(E82+1)=1,EOMONTH(E82,H82*D82),EDATE(E82,H82*D82))-AsAt)/365.25)/((I82-O82)-1),0)*(1+F82)*(1-(I82-O82)*(1+F82)^((I82-O82)-1)+((I82-O82)-1)*(1+F82)^(I82-O82))/F82^2)+O82*(K82-L82*F82)*(1+F82)^(I82-1)*('Deal maths'!AA82-AsAt)/365.25)/L82,((I82-O82)*((IF(DAY(E82+1)=1,EOMONTH(E82,H82*D82),EDATE(E82,H82*D82))-AsAt)/365.25+(IF(DAY(E82+1)=1,EOMONTH(E82,(N82-1)*D82),EDATE(E82,(N82-1)*D82))-AsAt)/365.25)/2+O82*('Deal maths'!AA82-AsAt)/365.25)/I82),(S82-AsAt)/365.25)),0))</f>
        <v/>
      </c>
      <c r="Q82" s="109">
        <f>IF(B82=1,'Deal maths'!AA82+ROW()/1000000,"")</f>
        <v/>
      </c>
      <c r="R82" s="108">
        <f>IF(D82=0,0,IF(DAY(E82+1)=1,31,DAY(E82)))</f>
        <v/>
      </c>
      <c r="S82" s="109">
        <f>IF(AND('Deal maths'!V82="LOBO",'Deal maths'!AG82&gt;AsAt,'Deal maths'!AG82&lt;'Deal maths'!AA82),'Deal maths'!AG82,'Deal maths'!AA82)</f>
        <v/>
      </c>
      <c r="T82" s="108">
        <f>('Deal maths'!AA82&gt;AsAt)*('Deal maths'!Y82&gt;0)</f>
        <v/>
      </c>
    </row>
    <row r="83">
      <c r="A83" s="91">
        <f>IF('Deal maths'!V83="","",'Deal maths'!W83)</f>
        <v/>
      </c>
      <c r="B83" s="108">
        <f>('Deal maths'!AA83&gt;AsAt)*('Deal maths'!Y83&gt;0)*('Deal maths'!Z83&lt;=AsAt)</f>
        <v/>
      </c>
      <c r="C83" s="91">
        <f>IF('Deal maths'!V83="","",IF('Deal maths'!AC83="","Maturity",'Deal maths'!AC83))</f>
        <v/>
      </c>
      <c r="D83" s="108">
        <f>IF(OR(C83="EIP",C83="Annuity"),IF('Deal maths'!AD83="Annual",12,IF('Deal maths'!AD83="Quarterly",3,6)),0)</f>
        <v/>
      </c>
      <c r="E83" s="109">
        <f>IFERROR(IF(D83=0,0,IF('Deal maths'!AE83&gt;0,IF('Deal maths'!AE83&gt;'Deal maths'!AA83,'Deal maths'!AA83,'Deal maths'!AE83),IF(IF(DAY('Deal maths'!AA83+1)=1,EOMONTH('Deal maths'!AA83,-(INT(((YEAR('Deal maths'!AA83)-YEAR(IF('Deal maths'!Z83&gt;0,'Deal maths'!Z83,DATE(1990,1,1))))*12+MONTH('Deal maths'!AA83)-MONTH(IF('Deal maths'!Z83&gt;0,'Deal maths'!Z83,DATE(1990,1,1))))/D83))*D83),EDATE('Deal maths'!AA83,-(INT(((YEAR('Deal maths'!AA83)-YEAR(IF('Deal maths'!Z83&gt;0,'Deal maths'!Z83,DATE(1990,1,1))))*12+MONTH('Deal maths'!AA83)-MONTH(IF('Deal maths'!Z83&gt;0,'Deal maths'!Z83,DATE(1990,1,1))))/D83))*D83))&gt;IF('Deal maths'!Z83&gt;0,'Deal maths'!Z83,DATE(1990,1,1)),IF(DAY('Deal maths'!AA83+1)=1,EOMONTH('Deal maths'!AA83,-(INT(((YEAR('Deal maths'!AA83)-YEAR(IF('Deal maths'!Z83&gt;0,'Deal maths'!Z83,DATE(1990,1,1))))*12+MONTH('Deal maths'!AA83)-MONTH(IF('Deal maths'!Z83&gt;0,'Deal maths'!Z83,DATE(1990,1,1))))/D83))*D83),EDATE('Deal maths'!AA83,-(INT(((YEAR('Deal maths'!AA83)-YEAR(IF('Deal maths'!Z83&gt;0,'Deal maths'!Z83,DATE(1990,1,1))))*12+MONTH('Deal maths'!AA83)-MONTH(IF('Deal maths'!Z83&gt;0,'Deal maths'!Z83,DATE(1990,1,1))))/D83))*D83)),IF(DAY('Deal maths'!AA83+1)=1,EOMONTH('Deal maths'!AA83,-(INT(((YEAR('Deal maths'!AA83)-YEAR(IF('Deal maths'!Z83&gt;0,'Deal maths'!Z83,DATE(1990,1,1))))*12+MONTH('Deal maths'!AA83)-MONTH(IF('Deal maths'!Z83&gt;0,'Deal maths'!Z83,DATE(1990,1,1))))/D83)-1)*D83),EDATE('Deal maths'!AA83,-(INT(((YEAR('Deal maths'!AA83)-YEAR(IF('Deal maths'!Z83&gt;0,'Deal maths'!Z83,DATE(1990,1,1))))*12+MONTH('Deal maths'!AA83)-MONTH(IF('Deal maths'!Z83&gt;0,'Deal maths'!Z83,DATE(1990,1,1))))/D83)-1)*D83))))),0)</f>
        <v/>
      </c>
      <c r="F83" s="110">
        <f>IF(D83=0,0,'Deal maths'!AB83*D83/12)</f>
        <v/>
      </c>
      <c r="G83" s="108">
        <f>N83+O83</f>
        <v/>
      </c>
      <c r="H83" s="108">
        <f>IFERROR(IF(OR(D83=0,AsAt&lt;E83),0,MIN(N83,INT(((YEAR(AsAt)-YEAR(E83))*12+MONTH(AsAt)-MONTH(E83)-(DAY(AsAt)&lt;MIN(R83,DAY(EOMONTH(AsAt,0)))))/D83)+1)+O83*(AsAt&gt;='Deal maths'!AA83)),0)</f>
        <v/>
      </c>
      <c r="I83" s="108">
        <f>G83-H83</f>
        <v/>
      </c>
      <c r="J83" s="111">
        <f>IF(AND(C83="EIP",I83&gt;0),'Deal maths'!Y83/I83,0)</f>
        <v/>
      </c>
      <c r="K83" s="111">
        <f>IF(AND(C83="Annuity",I83&gt;0),IF(F83&gt;0,'Deal maths'!Y83*F83/(1-(1+F83)^-I83),'Deal maths'!Y83/I83),0)</f>
        <v/>
      </c>
      <c r="L83" s="111">
        <f>IF('Deal maths'!Y83="",0,'Deal maths'!Y83)</f>
        <v/>
      </c>
      <c r="M83" s="112">
        <f>F83+(F83=0)</f>
        <v/>
      </c>
      <c r="N83" s="108">
        <f>IFERROR(IF(D83=0,0,INT(((YEAR('Deal maths'!AA83)-YEAR(E83))*12+MONTH('Deal maths'!AA83)-MONTH(E83)-(DAY('Deal maths'!AA83)&lt;MIN(R83,DAY(EOMONTH('Deal maths'!AA83,0)))))/D83)+1),0)</f>
        <v/>
      </c>
      <c r="O83" s="108">
        <f>IFERROR(IF(D83=0,0,IF(IF(DAY(E83+1)=1,EOMONTH(E83,(N83-1)*D83),EDATE(E83,(N83-1)*D83))='Deal maths'!AA83,0,1)),0)</f>
        <v/>
      </c>
      <c r="P83" s="113">
        <f>IF(B83=0,0,IFERROR(IF(C83="EIP",((I83-O83)*((IF(DAY(E83+1)=1,EOMONTH(E83,H83*D83),EDATE(E83,H83*D83))-AsAt)/365.25+(IF(DAY(E83+1)=1,EOMONTH(E83,(N83-1)*D83),EDATE(E83,(N83-1)*D83))-AsAt)/365.25)/2+O83*('Deal maths'!AA83-AsAt)/365.25)/I83,IF(C83="Annuity",IF(F83&gt;0,((K83-L83*F83)*((IF(DAY(E83+1)=1,EOMONTH(E83,H83*D83),EDATE(E83,H83*D83))-AsAt)/365.25*((1+F83)^(I83-O83)-1)/F83+IF((I83-O83)&gt;1,((IF(DAY(E83+1)=1,EOMONTH(E83,(N83-1)*D83),EDATE(E83,(N83-1)*D83))-AsAt)/365.25-(IF(DAY(E83+1)=1,EOMONTH(E83,H83*D83),EDATE(E83,H83*D83))-AsAt)/365.25)/((I83-O83)-1),0)*(1+F83)*(1-(I83-O83)*(1+F83)^((I83-O83)-1)+((I83-O83)-1)*(1+F83)^(I83-O83))/F83^2)+O83*(K83-L83*F83)*(1+F83)^(I83-1)*('Deal maths'!AA83-AsAt)/365.25)/L83,((I83-O83)*((IF(DAY(E83+1)=1,EOMONTH(E83,H83*D83),EDATE(E83,H83*D83))-AsAt)/365.25+(IF(DAY(E83+1)=1,EOMONTH(E83,(N83-1)*D83),EDATE(E83,(N83-1)*D83))-AsAt)/365.25)/2+O83*('Deal maths'!AA83-AsAt)/365.25)/I83),(S83-AsAt)/365.25)),0))</f>
        <v/>
      </c>
      <c r="Q83" s="109">
        <f>IF(B83=1,'Deal maths'!AA83+ROW()/1000000,"")</f>
        <v/>
      </c>
      <c r="R83" s="108">
        <f>IF(D83=0,0,IF(DAY(E83+1)=1,31,DAY(E83)))</f>
        <v/>
      </c>
      <c r="S83" s="109">
        <f>IF(AND('Deal maths'!V83="LOBO",'Deal maths'!AG83&gt;AsAt,'Deal maths'!AG83&lt;'Deal maths'!AA83),'Deal maths'!AG83,'Deal maths'!AA83)</f>
        <v/>
      </c>
      <c r="T83" s="108">
        <f>('Deal maths'!AA83&gt;AsAt)*('Deal maths'!Y83&gt;0)</f>
        <v/>
      </c>
    </row>
    <row r="84">
      <c r="A84" s="91">
        <f>IF('Deal maths'!V84="","",'Deal maths'!W84)</f>
        <v/>
      </c>
      <c r="B84" s="108">
        <f>('Deal maths'!AA84&gt;AsAt)*('Deal maths'!Y84&gt;0)*('Deal maths'!Z84&lt;=AsAt)</f>
        <v/>
      </c>
      <c r="C84" s="91">
        <f>IF('Deal maths'!V84="","",IF('Deal maths'!AC84="","Maturity",'Deal maths'!AC84))</f>
        <v/>
      </c>
      <c r="D84" s="108">
        <f>IF(OR(C84="EIP",C84="Annuity"),IF('Deal maths'!AD84="Annual",12,IF('Deal maths'!AD84="Quarterly",3,6)),0)</f>
        <v/>
      </c>
      <c r="E84" s="109">
        <f>IFERROR(IF(D84=0,0,IF('Deal maths'!AE84&gt;0,IF('Deal maths'!AE84&gt;'Deal maths'!AA84,'Deal maths'!AA84,'Deal maths'!AE84),IF(IF(DAY('Deal maths'!AA84+1)=1,EOMONTH('Deal maths'!AA84,-(INT(((YEAR('Deal maths'!AA84)-YEAR(IF('Deal maths'!Z84&gt;0,'Deal maths'!Z84,DATE(1990,1,1))))*12+MONTH('Deal maths'!AA84)-MONTH(IF('Deal maths'!Z84&gt;0,'Deal maths'!Z84,DATE(1990,1,1))))/D84))*D84),EDATE('Deal maths'!AA84,-(INT(((YEAR('Deal maths'!AA84)-YEAR(IF('Deal maths'!Z84&gt;0,'Deal maths'!Z84,DATE(1990,1,1))))*12+MONTH('Deal maths'!AA84)-MONTH(IF('Deal maths'!Z84&gt;0,'Deal maths'!Z84,DATE(1990,1,1))))/D84))*D84))&gt;IF('Deal maths'!Z84&gt;0,'Deal maths'!Z84,DATE(1990,1,1)),IF(DAY('Deal maths'!AA84+1)=1,EOMONTH('Deal maths'!AA84,-(INT(((YEAR('Deal maths'!AA84)-YEAR(IF('Deal maths'!Z84&gt;0,'Deal maths'!Z84,DATE(1990,1,1))))*12+MONTH('Deal maths'!AA84)-MONTH(IF('Deal maths'!Z84&gt;0,'Deal maths'!Z84,DATE(1990,1,1))))/D84))*D84),EDATE('Deal maths'!AA84,-(INT(((YEAR('Deal maths'!AA84)-YEAR(IF('Deal maths'!Z84&gt;0,'Deal maths'!Z84,DATE(1990,1,1))))*12+MONTH('Deal maths'!AA84)-MONTH(IF('Deal maths'!Z84&gt;0,'Deal maths'!Z84,DATE(1990,1,1))))/D84))*D84)),IF(DAY('Deal maths'!AA84+1)=1,EOMONTH('Deal maths'!AA84,-(INT(((YEAR('Deal maths'!AA84)-YEAR(IF('Deal maths'!Z84&gt;0,'Deal maths'!Z84,DATE(1990,1,1))))*12+MONTH('Deal maths'!AA84)-MONTH(IF('Deal maths'!Z84&gt;0,'Deal maths'!Z84,DATE(1990,1,1))))/D84)-1)*D84),EDATE('Deal maths'!AA84,-(INT(((YEAR('Deal maths'!AA84)-YEAR(IF('Deal maths'!Z84&gt;0,'Deal maths'!Z84,DATE(1990,1,1))))*12+MONTH('Deal maths'!AA84)-MONTH(IF('Deal maths'!Z84&gt;0,'Deal maths'!Z84,DATE(1990,1,1))))/D84)-1)*D84))))),0)</f>
        <v/>
      </c>
      <c r="F84" s="110">
        <f>IF(D84=0,0,'Deal maths'!AB84*D84/12)</f>
        <v/>
      </c>
      <c r="G84" s="108">
        <f>N84+O84</f>
        <v/>
      </c>
      <c r="H84" s="108">
        <f>IFERROR(IF(OR(D84=0,AsAt&lt;E84),0,MIN(N84,INT(((YEAR(AsAt)-YEAR(E84))*12+MONTH(AsAt)-MONTH(E84)-(DAY(AsAt)&lt;MIN(R84,DAY(EOMONTH(AsAt,0)))))/D84)+1)+O84*(AsAt&gt;='Deal maths'!AA84)),0)</f>
        <v/>
      </c>
      <c r="I84" s="108">
        <f>G84-H84</f>
        <v/>
      </c>
      <c r="J84" s="111">
        <f>IF(AND(C84="EIP",I84&gt;0),'Deal maths'!Y84/I84,0)</f>
        <v/>
      </c>
      <c r="K84" s="111">
        <f>IF(AND(C84="Annuity",I84&gt;0),IF(F84&gt;0,'Deal maths'!Y84*F84/(1-(1+F84)^-I84),'Deal maths'!Y84/I84),0)</f>
        <v/>
      </c>
      <c r="L84" s="111">
        <f>IF('Deal maths'!Y84="",0,'Deal maths'!Y84)</f>
        <v/>
      </c>
      <c r="M84" s="112">
        <f>F84+(F84=0)</f>
        <v/>
      </c>
      <c r="N84" s="108">
        <f>IFERROR(IF(D84=0,0,INT(((YEAR('Deal maths'!AA84)-YEAR(E84))*12+MONTH('Deal maths'!AA84)-MONTH(E84)-(DAY('Deal maths'!AA84)&lt;MIN(R84,DAY(EOMONTH('Deal maths'!AA84,0)))))/D84)+1),0)</f>
        <v/>
      </c>
      <c r="O84" s="108">
        <f>IFERROR(IF(D84=0,0,IF(IF(DAY(E84+1)=1,EOMONTH(E84,(N84-1)*D84),EDATE(E84,(N84-1)*D84))='Deal maths'!AA84,0,1)),0)</f>
        <v/>
      </c>
      <c r="P84" s="113">
        <f>IF(B84=0,0,IFERROR(IF(C84="EIP",((I84-O84)*((IF(DAY(E84+1)=1,EOMONTH(E84,H84*D84),EDATE(E84,H84*D84))-AsAt)/365.25+(IF(DAY(E84+1)=1,EOMONTH(E84,(N84-1)*D84),EDATE(E84,(N84-1)*D84))-AsAt)/365.25)/2+O84*('Deal maths'!AA84-AsAt)/365.25)/I84,IF(C84="Annuity",IF(F84&gt;0,((K84-L84*F84)*((IF(DAY(E84+1)=1,EOMONTH(E84,H84*D84),EDATE(E84,H84*D84))-AsAt)/365.25*((1+F84)^(I84-O84)-1)/F84+IF((I84-O84)&gt;1,((IF(DAY(E84+1)=1,EOMONTH(E84,(N84-1)*D84),EDATE(E84,(N84-1)*D84))-AsAt)/365.25-(IF(DAY(E84+1)=1,EOMONTH(E84,H84*D84),EDATE(E84,H84*D84))-AsAt)/365.25)/((I84-O84)-1),0)*(1+F84)*(1-(I84-O84)*(1+F84)^((I84-O84)-1)+((I84-O84)-1)*(1+F84)^(I84-O84))/F84^2)+O84*(K84-L84*F84)*(1+F84)^(I84-1)*('Deal maths'!AA84-AsAt)/365.25)/L84,((I84-O84)*((IF(DAY(E84+1)=1,EOMONTH(E84,H84*D84),EDATE(E84,H84*D84))-AsAt)/365.25+(IF(DAY(E84+1)=1,EOMONTH(E84,(N84-1)*D84),EDATE(E84,(N84-1)*D84))-AsAt)/365.25)/2+O84*('Deal maths'!AA84-AsAt)/365.25)/I84),(S84-AsAt)/365.25)),0))</f>
        <v/>
      </c>
      <c r="Q84" s="109">
        <f>IF(B84=1,'Deal maths'!AA84+ROW()/1000000,"")</f>
        <v/>
      </c>
      <c r="R84" s="108">
        <f>IF(D84=0,0,IF(DAY(E84+1)=1,31,DAY(E84)))</f>
        <v/>
      </c>
      <c r="S84" s="109">
        <f>IF(AND('Deal maths'!V84="LOBO",'Deal maths'!AG84&gt;AsAt,'Deal maths'!AG84&lt;'Deal maths'!AA84),'Deal maths'!AG84,'Deal maths'!AA84)</f>
        <v/>
      </c>
      <c r="T84" s="108">
        <f>('Deal maths'!AA84&gt;AsAt)*('Deal maths'!Y84&gt;0)</f>
        <v/>
      </c>
    </row>
    <row r="85">
      <c r="A85" s="91">
        <f>IF('Deal maths'!V85="","",'Deal maths'!W85)</f>
        <v/>
      </c>
      <c r="B85" s="108">
        <f>('Deal maths'!AA85&gt;AsAt)*('Deal maths'!Y85&gt;0)*('Deal maths'!Z85&lt;=AsAt)</f>
        <v/>
      </c>
      <c r="C85" s="91">
        <f>IF('Deal maths'!V85="","",IF('Deal maths'!AC85="","Maturity",'Deal maths'!AC85))</f>
        <v/>
      </c>
      <c r="D85" s="108">
        <f>IF(OR(C85="EIP",C85="Annuity"),IF('Deal maths'!AD85="Annual",12,IF('Deal maths'!AD85="Quarterly",3,6)),0)</f>
        <v/>
      </c>
      <c r="E85" s="109">
        <f>IFERROR(IF(D85=0,0,IF('Deal maths'!AE85&gt;0,IF('Deal maths'!AE85&gt;'Deal maths'!AA85,'Deal maths'!AA85,'Deal maths'!AE85),IF(IF(DAY('Deal maths'!AA85+1)=1,EOMONTH('Deal maths'!AA85,-(INT(((YEAR('Deal maths'!AA85)-YEAR(IF('Deal maths'!Z85&gt;0,'Deal maths'!Z85,DATE(1990,1,1))))*12+MONTH('Deal maths'!AA85)-MONTH(IF('Deal maths'!Z85&gt;0,'Deal maths'!Z85,DATE(1990,1,1))))/D85))*D85),EDATE('Deal maths'!AA85,-(INT(((YEAR('Deal maths'!AA85)-YEAR(IF('Deal maths'!Z85&gt;0,'Deal maths'!Z85,DATE(1990,1,1))))*12+MONTH('Deal maths'!AA85)-MONTH(IF('Deal maths'!Z85&gt;0,'Deal maths'!Z85,DATE(1990,1,1))))/D85))*D85))&gt;IF('Deal maths'!Z85&gt;0,'Deal maths'!Z85,DATE(1990,1,1)),IF(DAY('Deal maths'!AA85+1)=1,EOMONTH('Deal maths'!AA85,-(INT(((YEAR('Deal maths'!AA85)-YEAR(IF('Deal maths'!Z85&gt;0,'Deal maths'!Z85,DATE(1990,1,1))))*12+MONTH('Deal maths'!AA85)-MONTH(IF('Deal maths'!Z85&gt;0,'Deal maths'!Z85,DATE(1990,1,1))))/D85))*D85),EDATE('Deal maths'!AA85,-(INT(((YEAR('Deal maths'!AA85)-YEAR(IF('Deal maths'!Z85&gt;0,'Deal maths'!Z85,DATE(1990,1,1))))*12+MONTH('Deal maths'!AA85)-MONTH(IF('Deal maths'!Z85&gt;0,'Deal maths'!Z85,DATE(1990,1,1))))/D85))*D85)),IF(DAY('Deal maths'!AA85+1)=1,EOMONTH('Deal maths'!AA85,-(INT(((YEAR('Deal maths'!AA85)-YEAR(IF('Deal maths'!Z85&gt;0,'Deal maths'!Z85,DATE(1990,1,1))))*12+MONTH('Deal maths'!AA85)-MONTH(IF('Deal maths'!Z85&gt;0,'Deal maths'!Z85,DATE(1990,1,1))))/D85)-1)*D85),EDATE('Deal maths'!AA85,-(INT(((YEAR('Deal maths'!AA85)-YEAR(IF('Deal maths'!Z85&gt;0,'Deal maths'!Z85,DATE(1990,1,1))))*12+MONTH('Deal maths'!AA85)-MONTH(IF('Deal maths'!Z85&gt;0,'Deal maths'!Z85,DATE(1990,1,1))))/D85)-1)*D85))))),0)</f>
        <v/>
      </c>
      <c r="F85" s="110">
        <f>IF(D85=0,0,'Deal maths'!AB85*D85/12)</f>
        <v/>
      </c>
      <c r="G85" s="108">
        <f>N85+O85</f>
        <v/>
      </c>
      <c r="H85" s="108">
        <f>IFERROR(IF(OR(D85=0,AsAt&lt;E85),0,MIN(N85,INT(((YEAR(AsAt)-YEAR(E85))*12+MONTH(AsAt)-MONTH(E85)-(DAY(AsAt)&lt;MIN(R85,DAY(EOMONTH(AsAt,0)))))/D85)+1)+O85*(AsAt&gt;='Deal maths'!AA85)),0)</f>
        <v/>
      </c>
      <c r="I85" s="108">
        <f>G85-H85</f>
        <v/>
      </c>
      <c r="J85" s="111">
        <f>IF(AND(C85="EIP",I85&gt;0),'Deal maths'!Y85/I85,0)</f>
        <v/>
      </c>
      <c r="K85" s="111">
        <f>IF(AND(C85="Annuity",I85&gt;0),IF(F85&gt;0,'Deal maths'!Y85*F85/(1-(1+F85)^-I85),'Deal maths'!Y85/I85),0)</f>
        <v/>
      </c>
      <c r="L85" s="111">
        <f>IF('Deal maths'!Y85="",0,'Deal maths'!Y85)</f>
        <v/>
      </c>
      <c r="M85" s="112">
        <f>F85+(F85=0)</f>
        <v/>
      </c>
      <c r="N85" s="108">
        <f>IFERROR(IF(D85=0,0,INT(((YEAR('Deal maths'!AA85)-YEAR(E85))*12+MONTH('Deal maths'!AA85)-MONTH(E85)-(DAY('Deal maths'!AA85)&lt;MIN(R85,DAY(EOMONTH('Deal maths'!AA85,0)))))/D85)+1),0)</f>
        <v/>
      </c>
      <c r="O85" s="108">
        <f>IFERROR(IF(D85=0,0,IF(IF(DAY(E85+1)=1,EOMONTH(E85,(N85-1)*D85),EDATE(E85,(N85-1)*D85))='Deal maths'!AA85,0,1)),0)</f>
        <v/>
      </c>
      <c r="P85" s="113">
        <f>IF(B85=0,0,IFERROR(IF(C85="EIP",((I85-O85)*((IF(DAY(E85+1)=1,EOMONTH(E85,H85*D85),EDATE(E85,H85*D85))-AsAt)/365.25+(IF(DAY(E85+1)=1,EOMONTH(E85,(N85-1)*D85),EDATE(E85,(N85-1)*D85))-AsAt)/365.25)/2+O85*('Deal maths'!AA85-AsAt)/365.25)/I85,IF(C85="Annuity",IF(F85&gt;0,((K85-L85*F85)*((IF(DAY(E85+1)=1,EOMONTH(E85,H85*D85),EDATE(E85,H85*D85))-AsAt)/365.25*((1+F85)^(I85-O85)-1)/F85+IF((I85-O85)&gt;1,((IF(DAY(E85+1)=1,EOMONTH(E85,(N85-1)*D85),EDATE(E85,(N85-1)*D85))-AsAt)/365.25-(IF(DAY(E85+1)=1,EOMONTH(E85,H85*D85),EDATE(E85,H85*D85))-AsAt)/365.25)/((I85-O85)-1),0)*(1+F85)*(1-(I85-O85)*(1+F85)^((I85-O85)-1)+((I85-O85)-1)*(1+F85)^(I85-O85))/F85^2)+O85*(K85-L85*F85)*(1+F85)^(I85-1)*('Deal maths'!AA85-AsAt)/365.25)/L85,((I85-O85)*((IF(DAY(E85+1)=1,EOMONTH(E85,H85*D85),EDATE(E85,H85*D85))-AsAt)/365.25+(IF(DAY(E85+1)=1,EOMONTH(E85,(N85-1)*D85),EDATE(E85,(N85-1)*D85))-AsAt)/365.25)/2+O85*('Deal maths'!AA85-AsAt)/365.25)/I85),(S85-AsAt)/365.25)),0))</f>
        <v/>
      </c>
      <c r="Q85" s="109">
        <f>IF(B85=1,'Deal maths'!AA85+ROW()/1000000,"")</f>
        <v/>
      </c>
      <c r="R85" s="108">
        <f>IF(D85=0,0,IF(DAY(E85+1)=1,31,DAY(E85)))</f>
        <v/>
      </c>
      <c r="S85" s="109">
        <f>IF(AND('Deal maths'!V85="LOBO",'Deal maths'!AG85&gt;AsAt,'Deal maths'!AG85&lt;'Deal maths'!AA85),'Deal maths'!AG85,'Deal maths'!AA85)</f>
        <v/>
      </c>
      <c r="T85" s="108">
        <f>('Deal maths'!AA85&gt;AsAt)*('Deal maths'!Y85&gt;0)</f>
        <v/>
      </c>
    </row>
    <row r="86">
      <c r="A86" s="91">
        <f>IF('Deal maths'!V86="","",'Deal maths'!W86)</f>
        <v/>
      </c>
      <c r="B86" s="108">
        <f>('Deal maths'!AA86&gt;AsAt)*('Deal maths'!Y86&gt;0)*('Deal maths'!Z86&lt;=AsAt)</f>
        <v/>
      </c>
      <c r="C86" s="91">
        <f>IF('Deal maths'!V86="","",IF('Deal maths'!AC86="","Maturity",'Deal maths'!AC86))</f>
        <v/>
      </c>
      <c r="D86" s="108">
        <f>IF(OR(C86="EIP",C86="Annuity"),IF('Deal maths'!AD86="Annual",12,IF('Deal maths'!AD86="Quarterly",3,6)),0)</f>
        <v/>
      </c>
      <c r="E86" s="109">
        <f>IFERROR(IF(D86=0,0,IF('Deal maths'!AE86&gt;0,IF('Deal maths'!AE86&gt;'Deal maths'!AA86,'Deal maths'!AA86,'Deal maths'!AE86),IF(IF(DAY('Deal maths'!AA86+1)=1,EOMONTH('Deal maths'!AA86,-(INT(((YEAR('Deal maths'!AA86)-YEAR(IF('Deal maths'!Z86&gt;0,'Deal maths'!Z86,DATE(1990,1,1))))*12+MONTH('Deal maths'!AA86)-MONTH(IF('Deal maths'!Z86&gt;0,'Deal maths'!Z86,DATE(1990,1,1))))/D86))*D86),EDATE('Deal maths'!AA86,-(INT(((YEAR('Deal maths'!AA86)-YEAR(IF('Deal maths'!Z86&gt;0,'Deal maths'!Z86,DATE(1990,1,1))))*12+MONTH('Deal maths'!AA86)-MONTH(IF('Deal maths'!Z86&gt;0,'Deal maths'!Z86,DATE(1990,1,1))))/D86))*D86))&gt;IF('Deal maths'!Z86&gt;0,'Deal maths'!Z86,DATE(1990,1,1)),IF(DAY('Deal maths'!AA86+1)=1,EOMONTH('Deal maths'!AA86,-(INT(((YEAR('Deal maths'!AA86)-YEAR(IF('Deal maths'!Z86&gt;0,'Deal maths'!Z86,DATE(1990,1,1))))*12+MONTH('Deal maths'!AA86)-MONTH(IF('Deal maths'!Z86&gt;0,'Deal maths'!Z86,DATE(1990,1,1))))/D86))*D86),EDATE('Deal maths'!AA86,-(INT(((YEAR('Deal maths'!AA86)-YEAR(IF('Deal maths'!Z86&gt;0,'Deal maths'!Z86,DATE(1990,1,1))))*12+MONTH('Deal maths'!AA86)-MONTH(IF('Deal maths'!Z86&gt;0,'Deal maths'!Z86,DATE(1990,1,1))))/D86))*D86)),IF(DAY('Deal maths'!AA86+1)=1,EOMONTH('Deal maths'!AA86,-(INT(((YEAR('Deal maths'!AA86)-YEAR(IF('Deal maths'!Z86&gt;0,'Deal maths'!Z86,DATE(1990,1,1))))*12+MONTH('Deal maths'!AA86)-MONTH(IF('Deal maths'!Z86&gt;0,'Deal maths'!Z86,DATE(1990,1,1))))/D86)-1)*D86),EDATE('Deal maths'!AA86,-(INT(((YEAR('Deal maths'!AA86)-YEAR(IF('Deal maths'!Z86&gt;0,'Deal maths'!Z86,DATE(1990,1,1))))*12+MONTH('Deal maths'!AA86)-MONTH(IF('Deal maths'!Z86&gt;0,'Deal maths'!Z86,DATE(1990,1,1))))/D86)-1)*D86))))),0)</f>
        <v/>
      </c>
      <c r="F86" s="110">
        <f>IF(D86=0,0,'Deal maths'!AB86*D86/12)</f>
        <v/>
      </c>
      <c r="G86" s="108">
        <f>N86+O86</f>
        <v/>
      </c>
      <c r="H86" s="108">
        <f>IFERROR(IF(OR(D86=0,AsAt&lt;E86),0,MIN(N86,INT(((YEAR(AsAt)-YEAR(E86))*12+MONTH(AsAt)-MONTH(E86)-(DAY(AsAt)&lt;MIN(R86,DAY(EOMONTH(AsAt,0)))))/D86)+1)+O86*(AsAt&gt;='Deal maths'!AA86)),0)</f>
        <v/>
      </c>
      <c r="I86" s="108">
        <f>G86-H86</f>
        <v/>
      </c>
      <c r="J86" s="111">
        <f>IF(AND(C86="EIP",I86&gt;0),'Deal maths'!Y86/I86,0)</f>
        <v/>
      </c>
      <c r="K86" s="111">
        <f>IF(AND(C86="Annuity",I86&gt;0),IF(F86&gt;0,'Deal maths'!Y86*F86/(1-(1+F86)^-I86),'Deal maths'!Y86/I86),0)</f>
        <v/>
      </c>
      <c r="L86" s="111">
        <f>IF('Deal maths'!Y86="",0,'Deal maths'!Y86)</f>
        <v/>
      </c>
      <c r="M86" s="112">
        <f>F86+(F86=0)</f>
        <v/>
      </c>
      <c r="N86" s="108">
        <f>IFERROR(IF(D86=0,0,INT(((YEAR('Deal maths'!AA86)-YEAR(E86))*12+MONTH('Deal maths'!AA86)-MONTH(E86)-(DAY('Deal maths'!AA86)&lt;MIN(R86,DAY(EOMONTH('Deal maths'!AA86,0)))))/D86)+1),0)</f>
        <v/>
      </c>
      <c r="O86" s="108">
        <f>IFERROR(IF(D86=0,0,IF(IF(DAY(E86+1)=1,EOMONTH(E86,(N86-1)*D86),EDATE(E86,(N86-1)*D86))='Deal maths'!AA86,0,1)),0)</f>
        <v/>
      </c>
      <c r="P86" s="113">
        <f>IF(B86=0,0,IFERROR(IF(C86="EIP",((I86-O86)*((IF(DAY(E86+1)=1,EOMONTH(E86,H86*D86),EDATE(E86,H86*D86))-AsAt)/365.25+(IF(DAY(E86+1)=1,EOMONTH(E86,(N86-1)*D86),EDATE(E86,(N86-1)*D86))-AsAt)/365.25)/2+O86*('Deal maths'!AA86-AsAt)/365.25)/I86,IF(C86="Annuity",IF(F86&gt;0,((K86-L86*F86)*((IF(DAY(E86+1)=1,EOMONTH(E86,H86*D86),EDATE(E86,H86*D86))-AsAt)/365.25*((1+F86)^(I86-O86)-1)/F86+IF((I86-O86)&gt;1,((IF(DAY(E86+1)=1,EOMONTH(E86,(N86-1)*D86),EDATE(E86,(N86-1)*D86))-AsAt)/365.25-(IF(DAY(E86+1)=1,EOMONTH(E86,H86*D86),EDATE(E86,H86*D86))-AsAt)/365.25)/((I86-O86)-1),0)*(1+F86)*(1-(I86-O86)*(1+F86)^((I86-O86)-1)+((I86-O86)-1)*(1+F86)^(I86-O86))/F86^2)+O86*(K86-L86*F86)*(1+F86)^(I86-1)*('Deal maths'!AA86-AsAt)/365.25)/L86,((I86-O86)*((IF(DAY(E86+1)=1,EOMONTH(E86,H86*D86),EDATE(E86,H86*D86))-AsAt)/365.25+(IF(DAY(E86+1)=1,EOMONTH(E86,(N86-1)*D86),EDATE(E86,(N86-1)*D86))-AsAt)/365.25)/2+O86*('Deal maths'!AA86-AsAt)/365.25)/I86),(S86-AsAt)/365.25)),0))</f>
        <v/>
      </c>
      <c r="Q86" s="109">
        <f>IF(B86=1,'Deal maths'!AA86+ROW()/1000000,"")</f>
        <v/>
      </c>
      <c r="R86" s="108">
        <f>IF(D86=0,0,IF(DAY(E86+1)=1,31,DAY(E86)))</f>
        <v/>
      </c>
      <c r="S86" s="109">
        <f>IF(AND('Deal maths'!V86="LOBO",'Deal maths'!AG86&gt;AsAt,'Deal maths'!AG86&lt;'Deal maths'!AA86),'Deal maths'!AG86,'Deal maths'!AA86)</f>
        <v/>
      </c>
      <c r="T86" s="108">
        <f>('Deal maths'!AA86&gt;AsAt)*('Deal maths'!Y86&gt;0)</f>
        <v/>
      </c>
    </row>
    <row r="87">
      <c r="A87" s="91">
        <f>IF('Deal maths'!V87="","",'Deal maths'!W87)</f>
        <v/>
      </c>
      <c r="B87" s="108">
        <f>('Deal maths'!AA87&gt;AsAt)*('Deal maths'!Y87&gt;0)*('Deal maths'!Z87&lt;=AsAt)</f>
        <v/>
      </c>
      <c r="C87" s="91">
        <f>IF('Deal maths'!V87="","",IF('Deal maths'!AC87="","Maturity",'Deal maths'!AC87))</f>
        <v/>
      </c>
      <c r="D87" s="108">
        <f>IF(OR(C87="EIP",C87="Annuity"),IF('Deal maths'!AD87="Annual",12,IF('Deal maths'!AD87="Quarterly",3,6)),0)</f>
        <v/>
      </c>
      <c r="E87" s="109">
        <f>IFERROR(IF(D87=0,0,IF('Deal maths'!AE87&gt;0,IF('Deal maths'!AE87&gt;'Deal maths'!AA87,'Deal maths'!AA87,'Deal maths'!AE87),IF(IF(DAY('Deal maths'!AA87+1)=1,EOMONTH('Deal maths'!AA87,-(INT(((YEAR('Deal maths'!AA87)-YEAR(IF('Deal maths'!Z87&gt;0,'Deal maths'!Z87,DATE(1990,1,1))))*12+MONTH('Deal maths'!AA87)-MONTH(IF('Deal maths'!Z87&gt;0,'Deal maths'!Z87,DATE(1990,1,1))))/D87))*D87),EDATE('Deal maths'!AA87,-(INT(((YEAR('Deal maths'!AA87)-YEAR(IF('Deal maths'!Z87&gt;0,'Deal maths'!Z87,DATE(1990,1,1))))*12+MONTH('Deal maths'!AA87)-MONTH(IF('Deal maths'!Z87&gt;0,'Deal maths'!Z87,DATE(1990,1,1))))/D87))*D87))&gt;IF('Deal maths'!Z87&gt;0,'Deal maths'!Z87,DATE(1990,1,1)),IF(DAY('Deal maths'!AA87+1)=1,EOMONTH('Deal maths'!AA87,-(INT(((YEAR('Deal maths'!AA87)-YEAR(IF('Deal maths'!Z87&gt;0,'Deal maths'!Z87,DATE(1990,1,1))))*12+MONTH('Deal maths'!AA87)-MONTH(IF('Deal maths'!Z87&gt;0,'Deal maths'!Z87,DATE(1990,1,1))))/D87))*D87),EDATE('Deal maths'!AA87,-(INT(((YEAR('Deal maths'!AA87)-YEAR(IF('Deal maths'!Z87&gt;0,'Deal maths'!Z87,DATE(1990,1,1))))*12+MONTH('Deal maths'!AA87)-MONTH(IF('Deal maths'!Z87&gt;0,'Deal maths'!Z87,DATE(1990,1,1))))/D87))*D87)),IF(DAY('Deal maths'!AA87+1)=1,EOMONTH('Deal maths'!AA87,-(INT(((YEAR('Deal maths'!AA87)-YEAR(IF('Deal maths'!Z87&gt;0,'Deal maths'!Z87,DATE(1990,1,1))))*12+MONTH('Deal maths'!AA87)-MONTH(IF('Deal maths'!Z87&gt;0,'Deal maths'!Z87,DATE(1990,1,1))))/D87)-1)*D87),EDATE('Deal maths'!AA87,-(INT(((YEAR('Deal maths'!AA87)-YEAR(IF('Deal maths'!Z87&gt;0,'Deal maths'!Z87,DATE(1990,1,1))))*12+MONTH('Deal maths'!AA87)-MONTH(IF('Deal maths'!Z87&gt;0,'Deal maths'!Z87,DATE(1990,1,1))))/D87)-1)*D87))))),0)</f>
        <v/>
      </c>
      <c r="F87" s="110">
        <f>IF(D87=0,0,'Deal maths'!AB87*D87/12)</f>
        <v/>
      </c>
      <c r="G87" s="108">
        <f>N87+O87</f>
        <v/>
      </c>
      <c r="H87" s="108">
        <f>IFERROR(IF(OR(D87=0,AsAt&lt;E87),0,MIN(N87,INT(((YEAR(AsAt)-YEAR(E87))*12+MONTH(AsAt)-MONTH(E87)-(DAY(AsAt)&lt;MIN(R87,DAY(EOMONTH(AsAt,0)))))/D87)+1)+O87*(AsAt&gt;='Deal maths'!AA87)),0)</f>
        <v/>
      </c>
      <c r="I87" s="108">
        <f>G87-H87</f>
        <v/>
      </c>
      <c r="J87" s="111">
        <f>IF(AND(C87="EIP",I87&gt;0),'Deal maths'!Y87/I87,0)</f>
        <v/>
      </c>
      <c r="K87" s="111">
        <f>IF(AND(C87="Annuity",I87&gt;0),IF(F87&gt;0,'Deal maths'!Y87*F87/(1-(1+F87)^-I87),'Deal maths'!Y87/I87),0)</f>
        <v/>
      </c>
      <c r="L87" s="111">
        <f>IF('Deal maths'!Y87="",0,'Deal maths'!Y87)</f>
        <v/>
      </c>
      <c r="M87" s="112">
        <f>F87+(F87=0)</f>
        <v/>
      </c>
      <c r="N87" s="108">
        <f>IFERROR(IF(D87=0,0,INT(((YEAR('Deal maths'!AA87)-YEAR(E87))*12+MONTH('Deal maths'!AA87)-MONTH(E87)-(DAY('Deal maths'!AA87)&lt;MIN(R87,DAY(EOMONTH('Deal maths'!AA87,0)))))/D87)+1),0)</f>
        <v/>
      </c>
      <c r="O87" s="108">
        <f>IFERROR(IF(D87=0,0,IF(IF(DAY(E87+1)=1,EOMONTH(E87,(N87-1)*D87),EDATE(E87,(N87-1)*D87))='Deal maths'!AA87,0,1)),0)</f>
        <v/>
      </c>
      <c r="P87" s="113">
        <f>IF(B87=0,0,IFERROR(IF(C87="EIP",((I87-O87)*((IF(DAY(E87+1)=1,EOMONTH(E87,H87*D87),EDATE(E87,H87*D87))-AsAt)/365.25+(IF(DAY(E87+1)=1,EOMONTH(E87,(N87-1)*D87),EDATE(E87,(N87-1)*D87))-AsAt)/365.25)/2+O87*('Deal maths'!AA87-AsAt)/365.25)/I87,IF(C87="Annuity",IF(F87&gt;0,((K87-L87*F87)*((IF(DAY(E87+1)=1,EOMONTH(E87,H87*D87),EDATE(E87,H87*D87))-AsAt)/365.25*((1+F87)^(I87-O87)-1)/F87+IF((I87-O87)&gt;1,((IF(DAY(E87+1)=1,EOMONTH(E87,(N87-1)*D87),EDATE(E87,(N87-1)*D87))-AsAt)/365.25-(IF(DAY(E87+1)=1,EOMONTH(E87,H87*D87),EDATE(E87,H87*D87))-AsAt)/365.25)/((I87-O87)-1),0)*(1+F87)*(1-(I87-O87)*(1+F87)^((I87-O87)-1)+((I87-O87)-1)*(1+F87)^(I87-O87))/F87^2)+O87*(K87-L87*F87)*(1+F87)^(I87-1)*('Deal maths'!AA87-AsAt)/365.25)/L87,((I87-O87)*((IF(DAY(E87+1)=1,EOMONTH(E87,H87*D87),EDATE(E87,H87*D87))-AsAt)/365.25+(IF(DAY(E87+1)=1,EOMONTH(E87,(N87-1)*D87),EDATE(E87,(N87-1)*D87))-AsAt)/365.25)/2+O87*('Deal maths'!AA87-AsAt)/365.25)/I87),(S87-AsAt)/365.25)),0))</f>
        <v/>
      </c>
      <c r="Q87" s="109">
        <f>IF(B87=1,'Deal maths'!AA87+ROW()/1000000,"")</f>
        <v/>
      </c>
      <c r="R87" s="108">
        <f>IF(D87=0,0,IF(DAY(E87+1)=1,31,DAY(E87)))</f>
        <v/>
      </c>
      <c r="S87" s="109">
        <f>IF(AND('Deal maths'!V87="LOBO",'Deal maths'!AG87&gt;AsAt,'Deal maths'!AG87&lt;'Deal maths'!AA87),'Deal maths'!AG87,'Deal maths'!AA87)</f>
        <v/>
      </c>
      <c r="T87" s="108">
        <f>('Deal maths'!AA87&gt;AsAt)*('Deal maths'!Y87&gt;0)</f>
        <v/>
      </c>
    </row>
    <row r="88">
      <c r="A88" s="91">
        <f>IF('Deal maths'!V88="","",'Deal maths'!W88)</f>
        <v/>
      </c>
      <c r="B88" s="108">
        <f>('Deal maths'!AA88&gt;AsAt)*('Deal maths'!Y88&gt;0)*('Deal maths'!Z88&lt;=AsAt)</f>
        <v/>
      </c>
      <c r="C88" s="91">
        <f>IF('Deal maths'!V88="","",IF('Deal maths'!AC88="","Maturity",'Deal maths'!AC88))</f>
        <v/>
      </c>
      <c r="D88" s="108">
        <f>IF(OR(C88="EIP",C88="Annuity"),IF('Deal maths'!AD88="Annual",12,IF('Deal maths'!AD88="Quarterly",3,6)),0)</f>
        <v/>
      </c>
      <c r="E88" s="109">
        <f>IFERROR(IF(D88=0,0,IF('Deal maths'!AE88&gt;0,IF('Deal maths'!AE88&gt;'Deal maths'!AA88,'Deal maths'!AA88,'Deal maths'!AE88),IF(IF(DAY('Deal maths'!AA88+1)=1,EOMONTH('Deal maths'!AA88,-(INT(((YEAR('Deal maths'!AA88)-YEAR(IF('Deal maths'!Z88&gt;0,'Deal maths'!Z88,DATE(1990,1,1))))*12+MONTH('Deal maths'!AA88)-MONTH(IF('Deal maths'!Z88&gt;0,'Deal maths'!Z88,DATE(1990,1,1))))/D88))*D88),EDATE('Deal maths'!AA88,-(INT(((YEAR('Deal maths'!AA88)-YEAR(IF('Deal maths'!Z88&gt;0,'Deal maths'!Z88,DATE(1990,1,1))))*12+MONTH('Deal maths'!AA88)-MONTH(IF('Deal maths'!Z88&gt;0,'Deal maths'!Z88,DATE(1990,1,1))))/D88))*D88))&gt;IF('Deal maths'!Z88&gt;0,'Deal maths'!Z88,DATE(1990,1,1)),IF(DAY('Deal maths'!AA88+1)=1,EOMONTH('Deal maths'!AA88,-(INT(((YEAR('Deal maths'!AA88)-YEAR(IF('Deal maths'!Z88&gt;0,'Deal maths'!Z88,DATE(1990,1,1))))*12+MONTH('Deal maths'!AA88)-MONTH(IF('Deal maths'!Z88&gt;0,'Deal maths'!Z88,DATE(1990,1,1))))/D88))*D88),EDATE('Deal maths'!AA88,-(INT(((YEAR('Deal maths'!AA88)-YEAR(IF('Deal maths'!Z88&gt;0,'Deal maths'!Z88,DATE(1990,1,1))))*12+MONTH('Deal maths'!AA88)-MONTH(IF('Deal maths'!Z88&gt;0,'Deal maths'!Z88,DATE(1990,1,1))))/D88))*D88)),IF(DAY('Deal maths'!AA88+1)=1,EOMONTH('Deal maths'!AA88,-(INT(((YEAR('Deal maths'!AA88)-YEAR(IF('Deal maths'!Z88&gt;0,'Deal maths'!Z88,DATE(1990,1,1))))*12+MONTH('Deal maths'!AA88)-MONTH(IF('Deal maths'!Z88&gt;0,'Deal maths'!Z88,DATE(1990,1,1))))/D88)-1)*D88),EDATE('Deal maths'!AA88,-(INT(((YEAR('Deal maths'!AA88)-YEAR(IF('Deal maths'!Z88&gt;0,'Deal maths'!Z88,DATE(1990,1,1))))*12+MONTH('Deal maths'!AA88)-MONTH(IF('Deal maths'!Z88&gt;0,'Deal maths'!Z88,DATE(1990,1,1))))/D88)-1)*D88))))),0)</f>
        <v/>
      </c>
      <c r="F88" s="110">
        <f>IF(D88=0,0,'Deal maths'!AB88*D88/12)</f>
        <v/>
      </c>
      <c r="G88" s="108">
        <f>N88+O88</f>
        <v/>
      </c>
      <c r="H88" s="108">
        <f>IFERROR(IF(OR(D88=0,AsAt&lt;E88),0,MIN(N88,INT(((YEAR(AsAt)-YEAR(E88))*12+MONTH(AsAt)-MONTH(E88)-(DAY(AsAt)&lt;MIN(R88,DAY(EOMONTH(AsAt,0)))))/D88)+1)+O88*(AsAt&gt;='Deal maths'!AA88)),0)</f>
        <v/>
      </c>
      <c r="I88" s="108">
        <f>G88-H88</f>
        <v/>
      </c>
      <c r="J88" s="111">
        <f>IF(AND(C88="EIP",I88&gt;0),'Deal maths'!Y88/I88,0)</f>
        <v/>
      </c>
      <c r="K88" s="111">
        <f>IF(AND(C88="Annuity",I88&gt;0),IF(F88&gt;0,'Deal maths'!Y88*F88/(1-(1+F88)^-I88),'Deal maths'!Y88/I88),0)</f>
        <v/>
      </c>
      <c r="L88" s="111">
        <f>IF('Deal maths'!Y88="",0,'Deal maths'!Y88)</f>
        <v/>
      </c>
      <c r="M88" s="112">
        <f>F88+(F88=0)</f>
        <v/>
      </c>
      <c r="N88" s="108">
        <f>IFERROR(IF(D88=0,0,INT(((YEAR('Deal maths'!AA88)-YEAR(E88))*12+MONTH('Deal maths'!AA88)-MONTH(E88)-(DAY('Deal maths'!AA88)&lt;MIN(R88,DAY(EOMONTH('Deal maths'!AA88,0)))))/D88)+1),0)</f>
        <v/>
      </c>
      <c r="O88" s="108">
        <f>IFERROR(IF(D88=0,0,IF(IF(DAY(E88+1)=1,EOMONTH(E88,(N88-1)*D88),EDATE(E88,(N88-1)*D88))='Deal maths'!AA88,0,1)),0)</f>
        <v/>
      </c>
      <c r="P88" s="113">
        <f>IF(B88=0,0,IFERROR(IF(C88="EIP",((I88-O88)*((IF(DAY(E88+1)=1,EOMONTH(E88,H88*D88),EDATE(E88,H88*D88))-AsAt)/365.25+(IF(DAY(E88+1)=1,EOMONTH(E88,(N88-1)*D88),EDATE(E88,(N88-1)*D88))-AsAt)/365.25)/2+O88*('Deal maths'!AA88-AsAt)/365.25)/I88,IF(C88="Annuity",IF(F88&gt;0,((K88-L88*F88)*((IF(DAY(E88+1)=1,EOMONTH(E88,H88*D88),EDATE(E88,H88*D88))-AsAt)/365.25*((1+F88)^(I88-O88)-1)/F88+IF((I88-O88)&gt;1,((IF(DAY(E88+1)=1,EOMONTH(E88,(N88-1)*D88),EDATE(E88,(N88-1)*D88))-AsAt)/365.25-(IF(DAY(E88+1)=1,EOMONTH(E88,H88*D88),EDATE(E88,H88*D88))-AsAt)/365.25)/((I88-O88)-1),0)*(1+F88)*(1-(I88-O88)*(1+F88)^((I88-O88)-1)+((I88-O88)-1)*(1+F88)^(I88-O88))/F88^2)+O88*(K88-L88*F88)*(1+F88)^(I88-1)*('Deal maths'!AA88-AsAt)/365.25)/L88,((I88-O88)*((IF(DAY(E88+1)=1,EOMONTH(E88,H88*D88),EDATE(E88,H88*D88))-AsAt)/365.25+(IF(DAY(E88+1)=1,EOMONTH(E88,(N88-1)*D88),EDATE(E88,(N88-1)*D88))-AsAt)/365.25)/2+O88*('Deal maths'!AA88-AsAt)/365.25)/I88),(S88-AsAt)/365.25)),0))</f>
        <v/>
      </c>
      <c r="Q88" s="109">
        <f>IF(B88=1,'Deal maths'!AA88+ROW()/1000000,"")</f>
        <v/>
      </c>
      <c r="R88" s="108">
        <f>IF(D88=0,0,IF(DAY(E88+1)=1,31,DAY(E88)))</f>
        <v/>
      </c>
      <c r="S88" s="109">
        <f>IF(AND('Deal maths'!V88="LOBO",'Deal maths'!AG88&gt;AsAt,'Deal maths'!AG88&lt;'Deal maths'!AA88),'Deal maths'!AG88,'Deal maths'!AA88)</f>
        <v/>
      </c>
      <c r="T88" s="108">
        <f>('Deal maths'!AA88&gt;AsAt)*('Deal maths'!Y88&gt;0)</f>
        <v/>
      </c>
    </row>
    <row r="89">
      <c r="A89" s="91">
        <f>IF('Deal maths'!V89="","",'Deal maths'!W89)</f>
        <v/>
      </c>
      <c r="B89" s="108">
        <f>('Deal maths'!AA89&gt;AsAt)*('Deal maths'!Y89&gt;0)*('Deal maths'!Z89&lt;=AsAt)</f>
        <v/>
      </c>
      <c r="C89" s="91">
        <f>IF('Deal maths'!V89="","",IF('Deal maths'!AC89="","Maturity",'Deal maths'!AC89))</f>
        <v/>
      </c>
      <c r="D89" s="108">
        <f>IF(OR(C89="EIP",C89="Annuity"),IF('Deal maths'!AD89="Annual",12,IF('Deal maths'!AD89="Quarterly",3,6)),0)</f>
        <v/>
      </c>
      <c r="E89" s="109">
        <f>IFERROR(IF(D89=0,0,IF('Deal maths'!AE89&gt;0,IF('Deal maths'!AE89&gt;'Deal maths'!AA89,'Deal maths'!AA89,'Deal maths'!AE89),IF(IF(DAY('Deal maths'!AA89+1)=1,EOMONTH('Deal maths'!AA89,-(INT(((YEAR('Deal maths'!AA89)-YEAR(IF('Deal maths'!Z89&gt;0,'Deal maths'!Z89,DATE(1990,1,1))))*12+MONTH('Deal maths'!AA89)-MONTH(IF('Deal maths'!Z89&gt;0,'Deal maths'!Z89,DATE(1990,1,1))))/D89))*D89),EDATE('Deal maths'!AA89,-(INT(((YEAR('Deal maths'!AA89)-YEAR(IF('Deal maths'!Z89&gt;0,'Deal maths'!Z89,DATE(1990,1,1))))*12+MONTH('Deal maths'!AA89)-MONTH(IF('Deal maths'!Z89&gt;0,'Deal maths'!Z89,DATE(1990,1,1))))/D89))*D89))&gt;IF('Deal maths'!Z89&gt;0,'Deal maths'!Z89,DATE(1990,1,1)),IF(DAY('Deal maths'!AA89+1)=1,EOMONTH('Deal maths'!AA89,-(INT(((YEAR('Deal maths'!AA89)-YEAR(IF('Deal maths'!Z89&gt;0,'Deal maths'!Z89,DATE(1990,1,1))))*12+MONTH('Deal maths'!AA89)-MONTH(IF('Deal maths'!Z89&gt;0,'Deal maths'!Z89,DATE(1990,1,1))))/D89))*D89),EDATE('Deal maths'!AA89,-(INT(((YEAR('Deal maths'!AA89)-YEAR(IF('Deal maths'!Z89&gt;0,'Deal maths'!Z89,DATE(1990,1,1))))*12+MONTH('Deal maths'!AA89)-MONTH(IF('Deal maths'!Z89&gt;0,'Deal maths'!Z89,DATE(1990,1,1))))/D89))*D89)),IF(DAY('Deal maths'!AA89+1)=1,EOMONTH('Deal maths'!AA89,-(INT(((YEAR('Deal maths'!AA89)-YEAR(IF('Deal maths'!Z89&gt;0,'Deal maths'!Z89,DATE(1990,1,1))))*12+MONTH('Deal maths'!AA89)-MONTH(IF('Deal maths'!Z89&gt;0,'Deal maths'!Z89,DATE(1990,1,1))))/D89)-1)*D89),EDATE('Deal maths'!AA89,-(INT(((YEAR('Deal maths'!AA89)-YEAR(IF('Deal maths'!Z89&gt;0,'Deal maths'!Z89,DATE(1990,1,1))))*12+MONTH('Deal maths'!AA89)-MONTH(IF('Deal maths'!Z89&gt;0,'Deal maths'!Z89,DATE(1990,1,1))))/D89)-1)*D89))))),0)</f>
        <v/>
      </c>
      <c r="F89" s="110">
        <f>IF(D89=0,0,'Deal maths'!AB89*D89/12)</f>
        <v/>
      </c>
      <c r="G89" s="108">
        <f>N89+O89</f>
        <v/>
      </c>
      <c r="H89" s="108">
        <f>IFERROR(IF(OR(D89=0,AsAt&lt;E89),0,MIN(N89,INT(((YEAR(AsAt)-YEAR(E89))*12+MONTH(AsAt)-MONTH(E89)-(DAY(AsAt)&lt;MIN(R89,DAY(EOMONTH(AsAt,0)))))/D89)+1)+O89*(AsAt&gt;='Deal maths'!AA89)),0)</f>
        <v/>
      </c>
      <c r="I89" s="108">
        <f>G89-H89</f>
        <v/>
      </c>
      <c r="J89" s="111">
        <f>IF(AND(C89="EIP",I89&gt;0),'Deal maths'!Y89/I89,0)</f>
        <v/>
      </c>
      <c r="K89" s="111">
        <f>IF(AND(C89="Annuity",I89&gt;0),IF(F89&gt;0,'Deal maths'!Y89*F89/(1-(1+F89)^-I89),'Deal maths'!Y89/I89),0)</f>
        <v/>
      </c>
      <c r="L89" s="111">
        <f>IF('Deal maths'!Y89="",0,'Deal maths'!Y89)</f>
        <v/>
      </c>
      <c r="M89" s="112">
        <f>F89+(F89=0)</f>
        <v/>
      </c>
      <c r="N89" s="108">
        <f>IFERROR(IF(D89=0,0,INT(((YEAR('Deal maths'!AA89)-YEAR(E89))*12+MONTH('Deal maths'!AA89)-MONTH(E89)-(DAY('Deal maths'!AA89)&lt;MIN(R89,DAY(EOMONTH('Deal maths'!AA89,0)))))/D89)+1),0)</f>
        <v/>
      </c>
      <c r="O89" s="108">
        <f>IFERROR(IF(D89=0,0,IF(IF(DAY(E89+1)=1,EOMONTH(E89,(N89-1)*D89),EDATE(E89,(N89-1)*D89))='Deal maths'!AA89,0,1)),0)</f>
        <v/>
      </c>
      <c r="P89" s="113">
        <f>IF(B89=0,0,IFERROR(IF(C89="EIP",((I89-O89)*((IF(DAY(E89+1)=1,EOMONTH(E89,H89*D89),EDATE(E89,H89*D89))-AsAt)/365.25+(IF(DAY(E89+1)=1,EOMONTH(E89,(N89-1)*D89),EDATE(E89,(N89-1)*D89))-AsAt)/365.25)/2+O89*('Deal maths'!AA89-AsAt)/365.25)/I89,IF(C89="Annuity",IF(F89&gt;0,((K89-L89*F89)*((IF(DAY(E89+1)=1,EOMONTH(E89,H89*D89),EDATE(E89,H89*D89))-AsAt)/365.25*((1+F89)^(I89-O89)-1)/F89+IF((I89-O89)&gt;1,((IF(DAY(E89+1)=1,EOMONTH(E89,(N89-1)*D89),EDATE(E89,(N89-1)*D89))-AsAt)/365.25-(IF(DAY(E89+1)=1,EOMONTH(E89,H89*D89),EDATE(E89,H89*D89))-AsAt)/365.25)/((I89-O89)-1),0)*(1+F89)*(1-(I89-O89)*(1+F89)^((I89-O89)-1)+((I89-O89)-1)*(1+F89)^(I89-O89))/F89^2)+O89*(K89-L89*F89)*(1+F89)^(I89-1)*('Deal maths'!AA89-AsAt)/365.25)/L89,((I89-O89)*((IF(DAY(E89+1)=1,EOMONTH(E89,H89*D89),EDATE(E89,H89*D89))-AsAt)/365.25+(IF(DAY(E89+1)=1,EOMONTH(E89,(N89-1)*D89),EDATE(E89,(N89-1)*D89))-AsAt)/365.25)/2+O89*('Deal maths'!AA89-AsAt)/365.25)/I89),(S89-AsAt)/365.25)),0))</f>
        <v/>
      </c>
      <c r="Q89" s="109">
        <f>IF(B89=1,'Deal maths'!AA89+ROW()/1000000,"")</f>
        <v/>
      </c>
      <c r="R89" s="108">
        <f>IF(D89=0,0,IF(DAY(E89+1)=1,31,DAY(E89)))</f>
        <v/>
      </c>
      <c r="S89" s="109">
        <f>IF(AND('Deal maths'!V89="LOBO",'Deal maths'!AG89&gt;AsAt,'Deal maths'!AG89&lt;'Deal maths'!AA89),'Deal maths'!AG89,'Deal maths'!AA89)</f>
        <v/>
      </c>
      <c r="T89" s="108">
        <f>('Deal maths'!AA89&gt;AsAt)*('Deal maths'!Y89&gt;0)</f>
        <v/>
      </c>
    </row>
    <row r="90">
      <c r="A90" s="91">
        <f>IF('Deal maths'!V90="","",'Deal maths'!W90)</f>
        <v/>
      </c>
      <c r="B90" s="108">
        <f>('Deal maths'!AA90&gt;AsAt)*('Deal maths'!Y90&gt;0)*('Deal maths'!Z90&lt;=AsAt)</f>
        <v/>
      </c>
      <c r="C90" s="91">
        <f>IF('Deal maths'!V90="","",IF('Deal maths'!AC90="","Maturity",'Deal maths'!AC90))</f>
        <v/>
      </c>
      <c r="D90" s="108">
        <f>IF(OR(C90="EIP",C90="Annuity"),IF('Deal maths'!AD90="Annual",12,IF('Deal maths'!AD90="Quarterly",3,6)),0)</f>
        <v/>
      </c>
      <c r="E90" s="109">
        <f>IFERROR(IF(D90=0,0,IF('Deal maths'!AE90&gt;0,IF('Deal maths'!AE90&gt;'Deal maths'!AA90,'Deal maths'!AA90,'Deal maths'!AE90),IF(IF(DAY('Deal maths'!AA90+1)=1,EOMONTH('Deal maths'!AA90,-(INT(((YEAR('Deal maths'!AA90)-YEAR(IF('Deal maths'!Z90&gt;0,'Deal maths'!Z90,DATE(1990,1,1))))*12+MONTH('Deal maths'!AA90)-MONTH(IF('Deal maths'!Z90&gt;0,'Deal maths'!Z90,DATE(1990,1,1))))/D90))*D90),EDATE('Deal maths'!AA90,-(INT(((YEAR('Deal maths'!AA90)-YEAR(IF('Deal maths'!Z90&gt;0,'Deal maths'!Z90,DATE(1990,1,1))))*12+MONTH('Deal maths'!AA90)-MONTH(IF('Deal maths'!Z90&gt;0,'Deal maths'!Z90,DATE(1990,1,1))))/D90))*D90))&gt;IF('Deal maths'!Z90&gt;0,'Deal maths'!Z90,DATE(1990,1,1)),IF(DAY('Deal maths'!AA90+1)=1,EOMONTH('Deal maths'!AA90,-(INT(((YEAR('Deal maths'!AA90)-YEAR(IF('Deal maths'!Z90&gt;0,'Deal maths'!Z90,DATE(1990,1,1))))*12+MONTH('Deal maths'!AA90)-MONTH(IF('Deal maths'!Z90&gt;0,'Deal maths'!Z90,DATE(1990,1,1))))/D90))*D90),EDATE('Deal maths'!AA90,-(INT(((YEAR('Deal maths'!AA90)-YEAR(IF('Deal maths'!Z90&gt;0,'Deal maths'!Z90,DATE(1990,1,1))))*12+MONTH('Deal maths'!AA90)-MONTH(IF('Deal maths'!Z90&gt;0,'Deal maths'!Z90,DATE(1990,1,1))))/D90))*D90)),IF(DAY('Deal maths'!AA90+1)=1,EOMONTH('Deal maths'!AA90,-(INT(((YEAR('Deal maths'!AA90)-YEAR(IF('Deal maths'!Z90&gt;0,'Deal maths'!Z90,DATE(1990,1,1))))*12+MONTH('Deal maths'!AA90)-MONTH(IF('Deal maths'!Z90&gt;0,'Deal maths'!Z90,DATE(1990,1,1))))/D90)-1)*D90),EDATE('Deal maths'!AA90,-(INT(((YEAR('Deal maths'!AA90)-YEAR(IF('Deal maths'!Z90&gt;0,'Deal maths'!Z90,DATE(1990,1,1))))*12+MONTH('Deal maths'!AA90)-MONTH(IF('Deal maths'!Z90&gt;0,'Deal maths'!Z90,DATE(1990,1,1))))/D90)-1)*D90))))),0)</f>
        <v/>
      </c>
      <c r="F90" s="110">
        <f>IF(D90=0,0,'Deal maths'!AB90*D90/12)</f>
        <v/>
      </c>
      <c r="G90" s="108">
        <f>N90+O90</f>
        <v/>
      </c>
      <c r="H90" s="108">
        <f>IFERROR(IF(OR(D90=0,AsAt&lt;E90),0,MIN(N90,INT(((YEAR(AsAt)-YEAR(E90))*12+MONTH(AsAt)-MONTH(E90)-(DAY(AsAt)&lt;MIN(R90,DAY(EOMONTH(AsAt,0)))))/D90)+1)+O90*(AsAt&gt;='Deal maths'!AA90)),0)</f>
        <v/>
      </c>
      <c r="I90" s="108">
        <f>G90-H90</f>
        <v/>
      </c>
      <c r="J90" s="111">
        <f>IF(AND(C90="EIP",I90&gt;0),'Deal maths'!Y90/I90,0)</f>
        <v/>
      </c>
      <c r="K90" s="111">
        <f>IF(AND(C90="Annuity",I90&gt;0),IF(F90&gt;0,'Deal maths'!Y90*F90/(1-(1+F90)^-I90),'Deal maths'!Y90/I90),0)</f>
        <v/>
      </c>
      <c r="L90" s="111">
        <f>IF('Deal maths'!Y90="",0,'Deal maths'!Y90)</f>
        <v/>
      </c>
      <c r="M90" s="112">
        <f>F90+(F90=0)</f>
        <v/>
      </c>
      <c r="N90" s="108">
        <f>IFERROR(IF(D90=0,0,INT(((YEAR('Deal maths'!AA90)-YEAR(E90))*12+MONTH('Deal maths'!AA90)-MONTH(E90)-(DAY('Deal maths'!AA90)&lt;MIN(R90,DAY(EOMONTH('Deal maths'!AA90,0)))))/D90)+1),0)</f>
        <v/>
      </c>
      <c r="O90" s="108">
        <f>IFERROR(IF(D90=0,0,IF(IF(DAY(E90+1)=1,EOMONTH(E90,(N90-1)*D90),EDATE(E90,(N90-1)*D90))='Deal maths'!AA90,0,1)),0)</f>
        <v/>
      </c>
      <c r="P90" s="113">
        <f>IF(B90=0,0,IFERROR(IF(C90="EIP",((I90-O90)*((IF(DAY(E90+1)=1,EOMONTH(E90,H90*D90),EDATE(E90,H90*D90))-AsAt)/365.25+(IF(DAY(E90+1)=1,EOMONTH(E90,(N90-1)*D90),EDATE(E90,(N90-1)*D90))-AsAt)/365.25)/2+O90*('Deal maths'!AA90-AsAt)/365.25)/I90,IF(C90="Annuity",IF(F90&gt;0,((K90-L90*F90)*((IF(DAY(E90+1)=1,EOMONTH(E90,H90*D90),EDATE(E90,H90*D90))-AsAt)/365.25*((1+F90)^(I90-O90)-1)/F90+IF((I90-O90)&gt;1,((IF(DAY(E90+1)=1,EOMONTH(E90,(N90-1)*D90),EDATE(E90,(N90-1)*D90))-AsAt)/365.25-(IF(DAY(E90+1)=1,EOMONTH(E90,H90*D90),EDATE(E90,H90*D90))-AsAt)/365.25)/((I90-O90)-1),0)*(1+F90)*(1-(I90-O90)*(1+F90)^((I90-O90)-1)+((I90-O90)-1)*(1+F90)^(I90-O90))/F90^2)+O90*(K90-L90*F90)*(1+F90)^(I90-1)*('Deal maths'!AA90-AsAt)/365.25)/L90,((I90-O90)*((IF(DAY(E90+1)=1,EOMONTH(E90,H90*D90),EDATE(E90,H90*D90))-AsAt)/365.25+(IF(DAY(E90+1)=1,EOMONTH(E90,(N90-1)*D90),EDATE(E90,(N90-1)*D90))-AsAt)/365.25)/2+O90*('Deal maths'!AA90-AsAt)/365.25)/I90),(S90-AsAt)/365.25)),0))</f>
        <v/>
      </c>
      <c r="Q90" s="109">
        <f>IF(B90=1,'Deal maths'!AA90+ROW()/1000000,"")</f>
        <v/>
      </c>
      <c r="R90" s="108">
        <f>IF(D90=0,0,IF(DAY(E90+1)=1,31,DAY(E90)))</f>
        <v/>
      </c>
      <c r="S90" s="109">
        <f>IF(AND('Deal maths'!V90="LOBO",'Deal maths'!AG90&gt;AsAt,'Deal maths'!AG90&lt;'Deal maths'!AA90),'Deal maths'!AG90,'Deal maths'!AA90)</f>
        <v/>
      </c>
      <c r="T90" s="108">
        <f>('Deal maths'!AA90&gt;AsAt)*('Deal maths'!Y90&gt;0)</f>
        <v/>
      </c>
    </row>
    <row r="91">
      <c r="A91" s="91">
        <f>IF('Deal maths'!V91="","",'Deal maths'!W91)</f>
        <v/>
      </c>
      <c r="B91" s="108">
        <f>('Deal maths'!AA91&gt;AsAt)*('Deal maths'!Y91&gt;0)*('Deal maths'!Z91&lt;=AsAt)</f>
        <v/>
      </c>
      <c r="C91" s="91">
        <f>IF('Deal maths'!V91="","",IF('Deal maths'!AC91="","Maturity",'Deal maths'!AC91))</f>
        <v/>
      </c>
      <c r="D91" s="108">
        <f>IF(OR(C91="EIP",C91="Annuity"),IF('Deal maths'!AD91="Annual",12,IF('Deal maths'!AD91="Quarterly",3,6)),0)</f>
        <v/>
      </c>
      <c r="E91" s="109">
        <f>IFERROR(IF(D91=0,0,IF('Deal maths'!AE91&gt;0,IF('Deal maths'!AE91&gt;'Deal maths'!AA91,'Deal maths'!AA91,'Deal maths'!AE91),IF(IF(DAY('Deal maths'!AA91+1)=1,EOMONTH('Deal maths'!AA91,-(INT(((YEAR('Deal maths'!AA91)-YEAR(IF('Deal maths'!Z91&gt;0,'Deal maths'!Z91,DATE(1990,1,1))))*12+MONTH('Deal maths'!AA91)-MONTH(IF('Deal maths'!Z91&gt;0,'Deal maths'!Z91,DATE(1990,1,1))))/D91))*D91),EDATE('Deal maths'!AA91,-(INT(((YEAR('Deal maths'!AA91)-YEAR(IF('Deal maths'!Z91&gt;0,'Deal maths'!Z91,DATE(1990,1,1))))*12+MONTH('Deal maths'!AA91)-MONTH(IF('Deal maths'!Z91&gt;0,'Deal maths'!Z91,DATE(1990,1,1))))/D91))*D91))&gt;IF('Deal maths'!Z91&gt;0,'Deal maths'!Z91,DATE(1990,1,1)),IF(DAY('Deal maths'!AA91+1)=1,EOMONTH('Deal maths'!AA91,-(INT(((YEAR('Deal maths'!AA91)-YEAR(IF('Deal maths'!Z91&gt;0,'Deal maths'!Z91,DATE(1990,1,1))))*12+MONTH('Deal maths'!AA91)-MONTH(IF('Deal maths'!Z91&gt;0,'Deal maths'!Z91,DATE(1990,1,1))))/D91))*D91),EDATE('Deal maths'!AA91,-(INT(((YEAR('Deal maths'!AA91)-YEAR(IF('Deal maths'!Z91&gt;0,'Deal maths'!Z91,DATE(1990,1,1))))*12+MONTH('Deal maths'!AA91)-MONTH(IF('Deal maths'!Z91&gt;0,'Deal maths'!Z91,DATE(1990,1,1))))/D91))*D91)),IF(DAY('Deal maths'!AA91+1)=1,EOMONTH('Deal maths'!AA91,-(INT(((YEAR('Deal maths'!AA91)-YEAR(IF('Deal maths'!Z91&gt;0,'Deal maths'!Z91,DATE(1990,1,1))))*12+MONTH('Deal maths'!AA91)-MONTH(IF('Deal maths'!Z91&gt;0,'Deal maths'!Z91,DATE(1990,1,1))))/D91)-1)*D91),EDATE('Deal maths'!AA91,-(INT(((YEAR('Deal maths'!AA91)-YEAR(IF('Deal maths'!Z91&gt;0,'Deal maths'!Z91,DATE(1990,1,1))))*12+MONTH('Deal maths'!AA91)-MONTH(IF('Deal maths'!Z91&gt;0,'Deal maths'!Z91,DATE(1990,1,1))))/D91)-1)*D91))))),0)</f>
        <v/>
      </c>
      <c r="F91" s="110">
        <f>IF(D91=0,0,'Deal maths'!AB91*D91/12)</f>
        <v/>
      </c>
      <c r="G91" s="108">
        <f>N91+O91</f>
        <v/>
      </c>
      <c r="H91" s="108">
        <f>IFERROR(IF(OR(D91=0,AsAt&lt;E91),0,MIN(N91,INT(((YEAR(AsAt)-YEAR(E91))*12+MONTH(AsAt)-MONTH(E91)-(DAY(AsAt)&lt;MIN(R91,DAY(EOMONTH(AsAt,0)))))/D91)+1)+O91*(AsAt&gt;='Deal maths'!AA91)),0)</f>
        <v/>
      </c>
      <c r="I91" s="108">
        <f>G91-H91</f>
        <v/>
      </c>
      <c r="J91" s="111">
        <f>IF(AND(C91="EIP",I91&gt;0),'Deal maths'!Y91/I91,0)</f>
        <v/>
      </c>
      <c r="K91" s="111">
        <f>IF(AND(C91="Annuity",I91&gt;0),IF(F91&gt;0,'Deal maths'!Y91*F91/(1-(1+F91)^-I91),'Deal maths'!Y91/I91),0)</f>
        <v/>
      </c>
      <c r="L91" s="111">
        <f>IF('Deal maths'!Y91="",0,'Deal maths'!Y91)</f>
        <v/>
      </c>
      <c r="M91" s="112">
        <f>F91+(F91=0)</f>
        <v/>
      </c>
      <c r="N91" s="108">
        <f>IFERROR(IF(D91=0,0,INT(((YEAR('Deal maths'!AA91)-YEAR(E91))*12+MONTH('Deal maths'!AA91)-MONTH(E91)-(DAY('Deal maths'!AA91)&lt;MIN(R91,DAY(EOMONTH('Deal maths'!AA91,0)))))/D91)+1),0)</f>
        <v/>
      </c>
      <c r="O91" s="108">
        <f>IFERROR(IF(D91=0,0,IF(IF(DAY(E91+1)=1,EOMONTH(E91,(N91-1)*D91),EDATE(E91,(N91-1)*D91))='Deal maths'!AA91,0,1)),0)</f>
        <v/>
      </c>
      <c r="P91" s="113">
        <f>IF(B91=0,0,IFERROR(IF(C91="EIP",((I91-O91)*((IF(DAY(E91+1)=1,EOMONTH(E91,H91*D91),EDATE(E91,H91*D91))-AsAt)/365.25+(IF(DAY(E91+1)=1,EOMONTH(E91,(N91-1)*D91),EDATE(E91,(N91-1)*D91))-AsAt)/365.25)/2+O91*('Deal maths'!AA91-AsAt)/365.25)/I91,IF(C91="Annuity",IF(F91&gt;0,((K91-L91*F91)*((IF(DAY(E91+1)=1,EOMONTH(E91,H91*D91),EDATE(E91,H91*D91))-AsAt)/365.25*((1+F91)^(I91-O91)-1)/F91+IF((I91-O91)&gt;1,((IF(DAY(E91+1)=1,EOMONTH(E91,(N91-1)*D91),EDATE(E91,(N91-1)*D91))-AsAt)/365.25-(IF(DAY(E91+1)=1,EOMONTH(E91,H91*D91),EDATE(E91,H91*D91))-AsAt)/365.25)/((I91-O91)-1),0)*(1+F91)*(1-(I91-O91)*(1+F91)^((I91-O91)-1)+((I91-O91)-1)*(1+F91)^(I91-O91))/F91^2)+O91*(K91-L91*F91)*(1+F91)^(I91-1)*('Deal maths'!AA91-AsAt)/365.25)/L91,((I91-O91)*((IF(DAY(E91+1)=1,EOMONTH(E91,H91*D91),EDATE(E91,H91*D91))-AsAt)/365.25+(IF(DAY(E91+1)=1,EOMONTH(E91,(N91-1)*D91),EDATE(E91,(N91-1)*D91))-AsAt)/365.25)/2+O91*('Deal maths'!AA91-AsAt)/365.25)/I91),(S91-AsAt)/365.25)),0))</f>
        <v/>
      </c>
      <c r="Q91" s="109">
        <f>IF(B91=1,'Deal maths'!AA91+ROW()/1000000,"")</f>
        <v/>
      </c>
      <c r="R91" s="108">
        <f>IF(D91=0,0,IF(DAY(E91+1)=1,31,DAY(E91)))</f>
        <v/>
      </c>
      <c r="S91" s="109">
        <f>IF(AND('Deal maths'!V91="LOBO",'Deal maths'!AG91&gt;AsAt,'Deal maths'!AG91&lt;'Deal maths'!AA91),'Deal maths'!AG91,'Deal maths'!AA91)</f>
        <v/>
      </c>
      <c r="T91" s="108">
        <f>('Deal maths'!AA91&gt;AsAt)*('Deal maths'!Y91&gt;0)</f>
        <v/>
      </c>
    </row>
    <row r="92">
      <c r="A92" s="91">
        <f>IF('Deal maths'!V92="","",'Deal maths'!W92)</f>
        <v/>
      </c>
      <c r="B92" s="108">
        <f>('Deal maths'!AA92&gt;AsAt)*('Deal maths'!Y92&gt;0)*('Deal maths'!Z92&lt;=AsAt)</f>
        <v/>
      </c>
      <c r="C92" s="91">
        <f>IF('Deal maths'!V92="","",IF('Deal maths'!AC92="","Maturity",'Deal maths'!AC92))</f>
        <v/>
      </c>
      <c r="D92" s="108">
        <f>IF(OR(C92="EIP",C92="Annuity"),IF('Deal maths'!AD92="Annual",12,IF('Deal maths'!AD92="Quarterly",3,6)),0)</f>
        <v/>
      </c>
      <c r="E92" s="109">
        <f>IFERROR(IF(D92=0,0,IF('Deal maths'!AE92&gt;0,IF('Deal maths'!AE92&gt;'Deal maths'!AA92,'Deal maths'!AA92,'Deal maths'!AE92),IF(IF(DAY('Deal maths'!AA92+1)=1,EOMONTH('Deal maths'!AA92,-(INT(((YEAR('Deal maths'!AA92)-YEAR(IF('Deal maths'!Z92&gt;0,'Deal maths'!Z92,DATE(1990,1,1))))*12+MONTH('Deal maths'!AA92)-MONTH(IF('Deal maths'!Z92&gt;0,'Deal maths'!Z92,DATE(1990,1,1))))/D92))*D92),EDATE('Deal maths'!AA92,-(INT(((YEAR('Deal maths'!AA92)-YEAR(IF('Deal maths'!Z92&gt;0,'Deal maths'!Z92,DATE(1990,1,1))))*12+MONTH('Deal maths'!AA92)-MONTH(IF('Deal maths'!Z92&gt;0,'Deal maths'!Z92,DATE(1990,1,1))))/D92))*D92))&gt;IF('Deal maths'!Z92&gt;0,'Deal maths'!Z92,DATE(1990,1,1)),IF(DAY('Deal maths'!AA92+1)=1,EOMONTH('Deal maths'!AA92,-(INT(((YEAR('Deal maths'!AA92)-YEAR(IF('Deal maths'!Z92&gt;0,'Deal maths'!Z92,DATE(1990,1,1))))*12+MONTH('Deal maths'!AA92)-MONTH(IF('Deal maths'!Z92&gt;0,'Deal maths'!Z92,DATE(1990,1,1))))/D92))*D92),EDATE('Deal maths'!AA92,-(INT(((YEAR('Deal maths'!AA92)-YEAR(IF('Deal maths'!Z92&gt;0,'Deal maths'!Z92,DATE(1990,1,1))))*12+MONTH('Deal maths'!AA92)-MONTH(IF('Deal maths'!Z92&gt;0,'Deal maths'!Z92,DATE(1990,1,1))))/D92))*D92)),IF(DAY('Deal maths'!AA92+1)=1,EOMONTH('Deal maths'!AA92,-(INT(((YEAR('Deal maths'!AA92)-YEAR(IF('Deal maths'!Z92&gt;0,'Deal maths'!Z92,DATE(1990,1,1))))*12+MONTH('Deal maths'!AA92)-MONTH(IF('Deal maths'!Z92&gt;0,'Deal maths'!Z92,DATE(1990,1,1))))/D92)-1)*D92),EDATE('Deal maths'!AA92,-(INT(((YEAR('Deal maths'!AA92)-YEAR(IF('Deal maths'!Z92&gt;0,'Deal maths'!Z92,DATE(1990,1,1))))*12+MONTH('Deal maths'!AA92)-MONTH(IF('Deal maths'!Z92&gt;0,'Deal maths'!Z92,DATE(1990,1,1))))/D92)-1)*D92))))),0)</f>
        <v/>
      </c>
      <c r="F92" s="110">
        <f>IF(D92=0,0,'Deal maths'!AB92*D92/12)</f>
        <v/>
      </c>
      <c r="G92" s="108">
        <f>N92+O92</f>
        <v/>
      </c>
      <c r="H92" s="108">
        <f>IFERROR(IF(OR(D92=0,AsAt&lt;E92),0,MIN(N92,INT(((YEAR(AsAt)-YEAR(E92))*12+MONTH(AsAt)-MONTH(E92)-(DAY(AsAt)&lt;MIN(R92,DAY(EOMONTH(AsAt,0)))))/D92)+1)+O92*(AsAt&gt;='Deal maths'!AA92)),0)</f>
        <v/>
      </c>
      <c r="I92" s="108">
        <f>G92-H92</f>
        <v/>
      </c>
      <c r="J92" s="111">
        <f>IF(AND(C92="EIP",I92&gt;0),'Deal maths'!Y92/I92,0)</f>
        <v/>
      </c>
      <c r="K92" s="111">
        <f>IF(AND(C92="Annuity",I92&gt;0),IF(F92&gt;0,'Deal maths'!Y92*F92/(1-(1+F92)^-I92),'Deal maths'!Y92/I92),0)</f>
        <v/>
      </c>
      <c r="L92" s="111">
        <f>IF('Deal maths'!Y92="",0,'Deal maths'!Y92)</f>
        <v/>
      </c>
      <c r="M92" s="112">
        <f>F92+(F92=0)</f>
        <v/>
      </c>
      <c r="N92" s="108">
        <f>IFERROR(IF(D92=0,0,INT(((YEAR('Deal maths'!AA92)-YEAR(E92))*12+MONTH('Deal maths'!AA92)-MONTH(E92)-(DAY('Deal maths'!AA92)&lt;MIN(R92,DAY(EOMONTH('Deal maths'!AA92,0)))))/D92)+1),0)</f>
        <v/>
      </c>
      <c r="O92" s="108">
        <f>IFERROR(IF(D92=0,0,IF(IF(DAY(E92+1)=1,EOMONTH(E92,(N92-1)*D92),EDATE(E92,(N92-1)*D92))='Deal maths'!AA92,0,1)),0)</f>
        <v/>
      </c>
      <c r="P92" s="113">
        <f>IF(B92=0,0,IFERROR(IF(C92="EIP",((I92-O92)*((IF(DAY(E92+1)=1,EOMONTH(E92,H92*D92),EDATE(E92,H92*D92))-AsAt)/365.25+(IF(DAY(E92+1)=1,EOMONTH(E92,(N92-1)*D92),EDATE(E92,(N92-1)*D92))-AsAt)/365.25)/2+O92*('Deal maths'!AA92-AsAt)/365.25)/I92,IF(C92="Annuity",IF(F92&gt;0,((K92-L92*F92)*((IF(DAY(E92+1)=1,EOMONTH(E92,H92*D92),EDATE(E92,H92*D92))-AsAt)/365.25*((1+F92)^(I92-O92)-1)/F92+IF((I92-O92)&gt;1,((IF(DAY(E92+1)=1,EOMONTH(E92,(N92-1)*D92),EDATE(E92,(N92-1)*D92))-AsAt)/365.25-(IF(DAY(E92+1)=1,EOMONTH(E92,H92*D92),EDATE(E92,H92*D92))-AsAt)/365.25)/((I92-O92)-1),0)*(1+F92)*(1-(I92-O92)*(1+F92)^((I92-O92)-1)+((I92-O92)-1)*(1+F92)^(I92-O92))/F92^2)+O92*(K92-L92*F92)*(1+F92)^(I92-1)*('Deal maths'!AA92-AsAt)/365.25)/L92,((I92-O92)*((IF(DAY(E92+1)=1,EOMONTH(E92,H92*D92),EDATE(E92,H92*D92))-AsAt)/365.25+(IF(DAY(E92+1)=1,EOMONTH(E92,(N92-1)*D92),EDATE(E92,(N92-1)*D92))-AsAt)/365.25)/2+O92*('Deal maths'!AA92-AsAt)/365.25)/I92),(S92-AsAt)/365.25)),0))</f>
        <v/>
      </c>
      <c r="Q92" s="109">
        <f>IF(B92=1,'Deal maths'!AA92+ROW()/1000000,"")</f>
        <v/>
      </c>
      <c r="R92" s="108">
        <f>IF(D92=0,0,IF(DAY(E92+1)=1,31,DAY(E92)))</f>
        <v/>
      </c>
      <c r="S92" s="109">
        <f>IF(AND('Deal maths'!V92="LOBO",'Deal maths'!AG92&gt;AsAt,'Deal maths'!AG92&lt;'Deal maths'!AA92),'Deal maths'!AG92,'Deal maths'!AA92)</f>
        <v/>
      </c>
      <c r="T92" s="108">
        <f>('Deal maths'!AA92&gt;AsAt)*('Deal maths'!Y92&gt;0)</f>
        <v/>
      </c>
    </row>
    <row r="93">
      <c r="A93" s="91">
        <f>IF('Deal maths'!V93="","",'Deal maths'!W93)</f>
        <v/>
      </c>
      <c r="B93" s="108">
        <f>('Deal maths'!AA93&gt;AsAt)*('Deal maths'!Y93&gt;0)*('Deal maths'!Z93&lt;=AsAt)</f>
        <v/>
      </c>
      <c r="C93" s="91">
        <f>IF('Deal maths'!V93="","",IF('Deal maths'!AC93="","Maturity",'Deal maths'!AC93))</f>
        <v/>
      </c>
      <c r="D93" s="108">
        <f>IF(OR(C93="EIP",C93="Annuity"),IF('Deal maths'!AD93="Annual",12,IF('Deal maths'!AD93="Quarterly",3,6)),0)</f>
        <v/>
      </c>
      <c r="E93" s="109">
        <f>IFERROR(IF(D93=0,0,IF('Deal maths'!AE93&gt;0,IF('Deal maths'!AE93&gt;'Deal maths'!AA93,'Deal maths'!AA93,'Deal maths'!AE93),IF(IF(DAY('Deal maths'!AA93+1)=1,EOMONTH('Deal maths'!AA93,-(INT(((YEAR('Deal maths'!AA93)-YEAR(IF('Deal maths'!Z93&gt;0,'Deal maths'!Z93,DATE(1990,1,1))))*12+MONTH('Deal maths'!AA93)-MONTH(IF('Deal maths'!Z93&gt;0,'Deal maths'!Z93,DATE(1990,1,1))))/D93))*D93),EDATE('Deal maths'!AA93,-(INT(((YEAR('Deal maths'!AA93)-YEAR(IF('Deal maths'!Z93&gt;0,'Deal maths'!Z93,DATE(1990,1,1))))*12+MONTH('Deal maths'!AA93)-MONTH(IF('Deal maths'!Z93&gt;0,'Deal maths'!Z93,DATE(1990,1,1))))/D93))*D93))&gt;IF('Deal maths'!Z93&gt;0,'Deal maths'!Z93,DATE(1990,1,1)),IF(DAY('Deal maths'!AA93+1)=1,EOMONTH('Deal maths'!AA93,-(INT(((YEAR('Deal maths'!AA93)-YEAR(IF('Deal maths'!Z93&gt;0,'Deal maths'!Z93,DATE(1990,1,1))))*12+MONTH('Deal maths'!AA93)-MONTH(IF('Deal maths'!Z93&gt;0,'Deal maths'!Z93,DATE(1990,1,1))))/D93))*D93),EDATE('Deal maths'!AA93,-(INT(((YEAR('Deal maths'!AA93)-YEAR(IF('Deal maths'!Z93&gt;0,'Deal maths'!Z93,DATE(1990,1,1))))*12+MONTH('Deal maths'!AA93)-MONTH(IF('Deal maths'!Z93&gt;0,'Deal maths'!Z93,DATE(1990,1,1))))/D93))*D93)),IF(DAY('Deal maths'!AA93+1)=1,EOMONTH('Deal maths'!AA93,-(INT(((YEAR('Deal maths'!AA93)-YEAR(IF('Deal maths'!Z93&gt;0,'Deal maths'!Z93,DATE(1990,1,1))))*12+MONTH('Deal maths'!AA93)-MONTH(IF('Deal maths'!Z93&gt;0,'Deal maths'!Z93,DATE(1990,1,1))))/D93)-1)*D93),EDATE('Deal maths'!AA93,-(INT(((YEAR('Deal maths'!AA93)-YEAR(IF('Deal maths'!Z93&gt;0,'Deal maths'!Z93,DATE(1990,1,1))))*12+MONTH('Deal maths'!AA93)-MONTH(IF('Deal maths'!Z93&gt;0,'Deal maths'!Z93,DATE(1990,1,1))))/D93)-1)*D93))))),0)</f>
        <v/>
      </c>
      <c r="F93" s="110">
        <f>IF(D93=0,0,'Deal maths'!AB93*D93/12)</f>
        <v/>
      </c>
      <c r="G93" s="108">
        <f>N93+O93</f>
        <v/>
      </c>
      <c r="H93" s="108">
        <f>IFERROR(IF(OR(D93=0,AsAt&lt;E93),0,MIN(N93,INT(((YEAR(AsAt)-YEAR(E93))*12+MONTH(AsAt)-MONTH(E93)-(DAY(AsAt)&lt;MIN(R93,DAY(EOMONTH(AsAt,0)))))/D93)+1)+O93*(AsAt&gt;='Deal maths'!AA93)),0)</f>
        <v/>
      </c>
      <c r="I93" s="108">
        <f>G93-H93</f>
        <v/>
      </c>
      <c r="J93" s="111">
        <f>IF(AND(C93="EIP",I93&gt;0),'Deal maths'!Y93/I93,0)</f>
        <v/>
      </c>
      <c r="K93" s="111">
        <f>IF(AND(C93="Annuity",I93&gt;0),IF(F93&gt;0,'Deal maths'!Y93*F93/(1-(1+F93)^-I93),'Deal maths'!Y93/I93),0)</f>
        <v/>
      </c>
      <c r="L93" s="111">
        <f>IF('Deal maths'!Y93="",0,'Deal maths'!Y93)</f>
        <v/>
      </c>
      <c r="M93" s="112">
        <f>F93+(F93=0)</f>
        <v/>
      </c>
      <c r="N93" s="108">
        <f>IFERROR(IF(D93=0,0,INT(((YEAR('Deal maths'!AA93)-YEAR(E93))*12+MONTH('Deal maths'!AA93)-MONTH(E93)-(DAY('Deal maths'!AA93)&lt;MIN(R93,DAY(EOMONTH('Deal maths'!AA93,0)))))/D93)+1),0)</f>
        <v/>
      </c>
      <c r="O93" s="108">
        <f>IFERROR(IF(D93=0,0,IF(IF(DAY(E93+1)=1,EOMONTH(E93,(N93-1)*D93),EDATE(E93,(N93-1)*D93))='Deal maths'!AA93,0,1)),0)</f>
        <v/>
      </c>
      <c r="P93" s="113">
        <f>IF(B93=0,0,IFERROR(IF(C93="EIP",((I93-O93)*((IF(DAY(E93+1)=1,EOMONTH(E93,H93*D93),EDATE(E93,H93*D93))-AsAt)/365.25+(IF(DAY(E93+1)=1,EOMONTH(E93,(N93-1)*D93),EDATE(E93,(N93-1)*D93))-AsAt)/365.25)/2+O93*('Deal maths'!AA93-AsAt)/365.25)/I93,IF(C93="Annuity",IF(F93&gt;0,((K93-L93*F93)*((IF(DAY(E93+1)=1,EOMONTH(E93,H93*D93),EDATE(E93,H93*D93))-AsAt)/365.25*((1+F93)^(I93-O93)-1)/F93+IF((I93-O93)&gt;1,((IF(DAY(E93+1)=1,EOMONTH(E93,(N93-1)*D93),EDATE(E93,(N93-1)*D93))-AsAt)/365.25-(IF(DAY(E93+1)=1,EOMONTH(E93,H93*D93),EDATE(E93,H93*D93))-AsAt)/365.25)/((I93-O93)-1),0)*(1+F93)*(1-(I93-O93)*(1+F93)^((I93-O93)-1)+((I93-O93)-1)*(1+F93)^(I93-O93))/F93^2)+O93*(K93-L93*F93)*(1+F93)^(I93-1)*('Deal maths'!AA93-AsAt)/365.25)/L93,((I93-O93)*((IF(DAY(E93+1)=1,EOMONTH(E93,H93*D93),EDATE(E93,H93*D93))-AsAt)/365.25+(IF(DAY(E93+1)=1,EOMONTH(E93,(N93-1)*D93),EDATE(E93,(N93-1)*D93))-AsAt)/365.25)/2+O93*('Deal maths'!AA93-AsAt)/365.25)/I93),(S93-AsAt)/365.25)),0))</f>
        <v/>
      </c>
      <c r="Q93" s="109">
        <f>IF(B93=1,'Deal maths'!AA93+ROW()/1000000,"")</f>
        <v/>
      </c>
      <c r="R93" s="108">
        <f>IF(D93=0,0,IF(DAY(E93+1)=1,31,DAY(E93)))</f>
        <v/>
      </c>
      <c r="S93" s="109">
        <f>IF(AND('Deal maths'!V93="LOBO",'Deal maths'!AG93&gt;AsAt,'Deal maths'!AG93&lt;'Deal maths'!AA93),'Deal maths'!AG93,'Deal maths'!AA93)</f>
        <v/>
      </c>
      <c r="T93" s="108">
        <f>('Deal maths'!AA93&gt;AsAt)*('Deal maths'!Y93&gt;0)</f>
        <v/>
      </c>
    </row>
    <row r="94">
      <c r="A94" s="91">
        <f>IF('Deal maths'!V94="","",'Deal maths'!W94)</f>
        <v/>
      </c>
      <c r="B94" s="108">
        <f>('Deal maths'!AA94&gt;AsAt)*('Deal maths'!Y94&gt;0)*('Deal maths'!Z94&lt;=AsAt)</f>
        <v/>
      </c>
      <c r="C94" s="91">
        <f>IF('Deal maths'!V94="","",IF('Deal maths'!AC94="","Maturity",'Deal maths'!AC94))</f>
        <v/>
      </c>
      <c r="D94" s="108">
        <f>IF(OR(C94="EIP",C94="Annuity"),IF('Deal maths'!AD94="Annual",12,IF('Deal maths'!AD94="Quarterly",3,6)),0)</f>
        <v/>
      </c>
      <c r="E94" s="109">
        <f>IFERROR(IF(D94=0,0,IF('Deal maths'!AE94&gt;0,IF('Deal maths'!AE94&gt;'Deal maths'!AA94,'Deal maths'!AA94,'Deal maths'!AE94),IF(IF(DAY('Deal maths'!AA94+1)=1,EOMONTH('Deal maths'!AA94,-(INT(((YEAR('Deal maths'!AA94)-YEAR(IF('Deal maths'!Z94&gt;0,'Deal maths'!Z94,DATE(1990,1,1))))*12+MONTH('Deal maths'!AA94)-MONTH(IF('Deal maths'!Z94&gt;0,'Deal maths'!Z94,DATE(1990,1,1))))/D94))*D94),EDATE('Deal maths'!AA94,-(INT(((YEAR('Deal maths'!AA94)-YEAR(IF('Deal maths'!Z94&gt;0,'Deal maths'!Z94,DATE(1990,1,1))))*12+MONTH('Deal maths'!AA94)-MONTH(IF('Deal maths'!Z94&gt;0,'Deal maths'!Z94,DATE(1990,1,1))))/D94))*D94))&gt;IF('Deal maths'!Z94&gt;0,'Deal maths'!Z94,DATE(1990,1,1)),IF(DAY('Deal maths'!AA94+1)=1,EOMONTH('Deal maths'!AA94,-(INT(((YEAR('Deal maths'!AA94)-YEAR(IF('Deal maths'!Z94&gt;0,'Deal maths'!Z94,DATE(1990,1,1))))*12+MONTH('Deal maths'!AA94)-MONTH(IF('Deal maths'!Z94&gt;0,'Deal maths'!Z94,DATE(1990,1,1))))/D94))*D94),EDATE('Deal maths'!AA94,-(INT(((YEAR('Deal maths'!AA94)-YEAR(IF('Deal maths'!Z94&gt;0,'Deal maths'!Z94,DATE(1990,1,1))))*12+MONTH('Deal maths'!AA94)-MONTH(IF('Deal maths'!Z94&gt;0,'Deal maths'!Z94,DATE(1990,1,1))))/D94))*D94)),IF(DAY('Deal maths'!AA94+1)=1,EOMONTH('Deal maths'!AA94,-(INT(((YEAR('Deal maths'!AA94)-YEAR(IF('Deal maths'!Z94&gt;0,'Deal maths'!Z94,DATE(1990,1,1))))*12+MONTH('Deal maths'!AA94)-MONTH(IF('Deal maths'!Z94&gt;0,'Deal maths'!Z94,DATE(1990,1,1))))/D94)-1)*D94),EDATE('Deal maths'!AA94,-(INT(((YEAR('Deal maths'!AA94)-YEAR(IF('Deal maths'!Z94&gt;0,'Deal maths'!Z94,DATE(1990,1,1))))*12+MONTH('Deal maths'!AA94)-MONTH(IF('Deal maths'!Z94&gt;0,'Deal maths'!Z94,DATE(1990,1,1))))/D94)-1)*D94))))),0)</f>
        <v/>
      </c>
      <c r="F94" s="110">
        <f>IF(D94=0,0,'Deal maths'!AB94*D94/12)</f>
        <v/>
      </c>
      <c r="G94" s="108">
        <f>N94+O94</f>
        <v/>
      </c>
      <c r="H94" s="108">
        <f>IFERROR(IF(OR(D94=0,AsAt&lt;E94),0,MIN(N94,INT(((YEAR(AsAt)-YEAR(E94))*12+MONTH(AsAt)-MONTH(E94)-(DAY(AsAt)&lt;MIN(R94,DAY(EOMONTH(AsAt,0)))))/D94)+1)+O94*(AsAt&gt;='Deal maths'!AA94)),0)</f>
        <v/>
      </c>
      <c r="I94" s="108">
        <f>G94-H94</f>
        <v/>
      </c>
      <c r="J94" s="111">
        <f>IF(AND(C94="EIP",I94&gt;0),'Deal maths'!Y94/I94,0)</f>
        <v/>
      </c>
      <c r="K94" s="111">
        <f>IF(AND(C94="Annuity",I94&gt;0),IF(F94&gt;0,'Deal maths'!Y94*F94/(1-(1+F94)^-I94),'Deal maths'!Y94/I94),0)</f>
        <v/>
      </c>
      <c r="L94" s="111">
        <f>IF('Deal maths'!Y94="",0,'Deal maths'!Y94)</f>
        <v/>
      </c>
      <c r="M94" s="112">
        <f>F94+(F94=0)</f>
        <v/>
      </c>
      <c r="N94" s="108">
        <f>IFERROR(IF(D94=0,0,INT(((YEAR('Deal maths'!AA94)-YEAR(E94))*12+MONTH('Deal maths'!AA94)-MONTH(E94)-(DAY('Deal maths'!AA94)&lt;MIN(R94,DAY(EOMONTH('Deal maths'!AA94,0)))))/D94)+1),0)</f>
        <v/>
      </c>
      <c r="O94" s="108">
        <f>IFERROR(IF(D94=0,0,IF(IF(DAY(E94+1)=1,EOMONTH(E94,(N94-1)*D94),EDATE(E94,(N94-1)*D94))='Deal maths'!AA94,0,1)),0)</f>
        <v/>
      </c>
      <c r="P94" s="113">
        <f>IF(B94=0,0,IFERROR(IF(C94="EIP",((I94-O94)*((IF(DAY(E94+1)=1,EOMONTH(E94,H94*D94),EDATE(E94,H94*D94))-AsAt)/365.25+(IF(DAY(E94+1)=1,EOMONTH(E94,(N94-1)*D94),EDATE(E94,(N94-1)*D94))-AsAt)/365.25)/2+O94*('Deal maths'!AA94-AsAt)/365.25)/I94,IF(C94="Annuity",IF(F94&gt;0,((K94-L94*F94)*((IF(DAY(E94+1)=1,EOMONTH(E94,H94*D94),EDATE(E94,H94*D94))-AsAt)/365.25*((1+F94)^(I94-O94)-1)/F94+IF((I94-O94)&gt;1,((IF(DAY(E94+1)=1,EOMONTH(E94,(N94-1)*D94),EDATE(E94,(N94-1)*D94))-AsAt)/365.25-(IF(DAY(E94+1)=1,EOMONTH(E94,H94*D94),EDATE(E94,H94*D94))-AsAt)/365.25)/((I94-O94)-1),0)*(1+F94)*(1-(I94-O94)*(1+F94)^((I94-O94)-1)+((I94-O94)-1)*(1+F94)^(I94-O94))/F94^2)+O94*(K94-L94*F94)*(1+F94)^(I94-1)*('Deal maths'!AA94-AsAt)/365.25)/L94,((I94-O94)*((IF(DAY(E94+1)=1,EOMONTH(E94,H94*D94),EDATE(E94,H94*D94))-AsAt)/365.25+(IF(DAY(E94+1)=1,EOMONTH(E94,(N94-1)*D94),EDATE(E94,(N94-1)*D94))-AsAt)/365.25)/2+O94*('Deal maths'!AA94-AsAt)/365.25)/I94),(S94-AsAt)/365.25)),0))</f>
        <v/>
      </c>
      <c r="Q94" s="109">
        <f>IF(B94=1,'Deal maths'!AA94+ROW()/1000000,"")</f>
        <v/>
      </c>
      <c r="R94" s="108">
        <f>IF(D94=0,0,IF(DAY(E94+1)=1,31,DAY(E94)))</f>
        <v/>
      </c>
      <c r="S94" s="109">
        <f>IF(AND('Deal maths'!V94="LOBO",'Deal maths'!AG94&gt;AsAt,'Deal maths'!AG94&lt;'Deal maths'!AA94),'Deal maths'!AG94,'Deal maths'!AA94)</f>
        <v/>
      </c>
      <c r="T94" s="108">
        <f>('Deal maths'!AA94&gt;AsAt)*('Deal maths'!Y94&gt;0)</f>
        <v/>
      </c>
    </row>
    <row r="95">
      <c r="A95" s="91">
        <f>IF('Deal maths'!V95="","",'Deal maths'!W95)</f>
        <v/>
      </c>
      <c r="B95" s="108">
        <f>('Deal maths'!AA95&gt;AsAt)*('Deal maths'!Y95&gt;0)*('Deal maths'!Z95&lt;=AsAt)</f>
        <v/>
      </c>
      <c r="C95" s="91">
        <f>IF('Deal maths'!V95="","",IF('Deal maths'!AC95="","Maturity",'Deal maths'!AC95))</f>
        <v/>
      </c>
      <c r="D95" s="108">
        <f>IF(OR(C95="EIP",C95="Annuity"),IF('Deal maths'!AD95="Annual",12,IF('Deal maths'!AD95="Quarterly",3,6)),0)</f>
        <v/>
      </c>
      <c r="E95" s="109">
        <f>IFERROR(IF(D95=0,0,IF('Deal maths'!AE95&gt;0,IF('Deal maths'!AE95&gt;'Deal maths'!AA95,'Deal maths'!AA95,'Deal maths'!AE95),IF(IF(DAY('Deal maths'!AA95+1)=1,EOMONTH('Deal maths'!AA95,-(INT(((YEAR('Deal maths'!AA95)-YEAR(IF('Deal maths'!Z95&gt;0,'Deal maths'!Z95,DATE(1990,1,1))))*12+MONTH('Deal maths'!AA95)-MONTH(IF('Deal maths'!Z95&gt;0,'Deal maths'!Z95,DATE(1990,1,1))))/D95))*D95),EDATE('Deal maths'!AA95,-(INT(((YEAR('Deal maths'!AA95)-YEAR(IF('Deal maths'!Z95&gt;0,'Deal maths'!Z95,DATE(1990,1,1))))*12+MONTH('Deal maths'!AA95)-MONTH(IF('Deal maths'!Z95&gt;0,'Deal maths'!Z95,DATE(1990,1,1))))/D95))*D95))&gt;IF('Deal maths'!Z95&gt;0,'Deal maths'!Z95,DATE(1990,1,1)),IF(DAY('Deal maths'!AA95+1)=1,EOMONTH('Deal maths'!AA95,-(INT(((YEAR('Deal maths'!AA95)-YEAR(IF('Deal maths'!Z95&gt;0,'Deal maths'!Z95,DATE(1990,1,1))))*12+MONTH('Deal maths'!AA95)-MONTH(IF('Deal maths'!Z95&gt;0,'Deal maths'!Z95,DATE(1990,1,1))))/D95))*D95),EDATE('Deal maths'!AA95,-(INT(((YEAR('Deal maths'!AA95)-YEAR(IF('Deal maths'!Z95&gt;0,'Deal maths'!Z95,DATE(1990,1,1))))*12+MONTH('Deal maths'!AA95)-MONTH(IF('Deal maths'!Z95&gt;0,'Deal maths'!Z95,DATE(1990,1,1))))/D95))*D95)),IF(DAY('Deal maths'!AA95+1)=1,EOMONTH('Deal maths'!AA95,-(INT(((YEAR('Deal maths'!AA95)-YEAR(IF('Deal maths'!Z95&gt;0,'Deal maths'!Z95,DATE(1990,1,1))))*12+MONTH('Deal maths'!AA95)-MONTH(IF('Deal maths'!Z95&gt;0,'Deal maths'!Z95,DATE(1990,1,1))))/D95)-1)*D95),EDATE('Deal maths'!AA95,-(INT(((YEAR('Deal maths'!AA95)-YEAR(IF('Deal maths'!Z95&gt;0,'Deal maths'!Z95,DATE(1990,1,1))))*12+MONTH('Deal maths'!AA95)-MONTH(IF('Deal maths'!Z95&gt;0,'Deal maths'!Z95,DATE(1990,1,1))))/D95)-1)*D95))))),0)</f>
        <v/>
      </c>
      <c r="F95" s="110">
        <f>IF(D95=0,0,'Deal maths'!AB95*D95/12)</f>
        <v/>
      </c>
      <c r="G95" s="108">
        <f>N95+O95</f>
        <v/>
      </c>
      <c r="H95" s="108">
        <f>IFERROR(IF(OR(D95=0,AsAt&lt;E95),0,MIN(N95,INT(((YEAR(AsAt)-YEAR(E95))*12+MONTH(AsAt)-MONTH(E95)-(DAY(AsAt)&lt;MIN(R95,DAY(EOMONTH(AsAt,0)))))/D95)+1)+O95*(AsAt&gt;='Deal maths'!AA95)),0)</f>
        <v/>
      </c>
      <c r="I95" s="108">
        <f>G95-H95</f>
        <v/>
      </c>
      <c r="J95" s="111">
        <f>IF(AND(C95="EIP",I95&gt;0),'Deal maths'!Y95/I95,0)</f>
        <v/>
      </c>
      <c r="K95" s="111">
        <f>IF(AND(C95="Annuity",I95&gt;0),IF(F95&gt;0,'Deal maths'!Y95*F95/(1-(1+F95)^-I95),'Deal maths'!Y95/I95),0)</f>
        <v/>
      </c>
      <c r="L95" s="111">
        <f>IF('Deal maths'!Y95="",0,'Deal maths'!Y95)</f>
        <v/>
      </c>
      <c r="M95" s="112">
        <f>F95+(F95=0)</f>
        <v/>
      </c>
      <c r="N95" s="108">
        <f>IFERROR(IF(D95=0,0,INT(((YEAR('Deal maths'!AA95)-YEAR(E95))*12+MONTH('Deal maths'!AA95)-MONTH(E95)-(DAY('Deal maths'!AA95)&lt;MIN(R95,DAY(EOMONTH('Deal maths'!AA95,0)))))/D95)+1),0)</f>
        <v/>
      </c>
      <c r="O95" s="108">
        <f>IFERROR(IF(D95=0,0,IF(IF(DAY(E95+1)=1,EOMONTH(E95,(N95-1)*D95),EDATE(E95,(N95-1)*D95))='Deal maths'!AA95,0,1)),0)</f>
        <v/>
      </c>
      <c r="P95" s="113">
        <f>IF(B95=0,0,IFERROR(IF(C95="EIP",((I95-O95)*((IF(DAY(E95+1)=1,EOMONTH(E95,H95*D95),EDATE(E95,H95*D95))-AsAt)/365.25+(IF(DAY(E95+1)=1,EOMONTH(E95,(N95-1)*D95),EDATE(E95,(N95-1)*D95))-AsAt)/365.25)/2+O95*('Deal maths'!AA95-AsAt)/365.25)/I95,IF(C95="Annuity",IF(F95&gt;0,((K95-L95*F95)*((IF(DAY(E95+1)=1,EOMONTH(E95,H95*D95),EDATE(E95,H95*D95))-AsAt)/365.25*((1+F95)^(I95-O95)-1)/F95+IF((I95-O95)&gt;1,((IF(DAY(E95+1)=1,EOMONTH(E95,(N95-1)*D95),EDATE(E95,(N95-1)*D95))-AsAt)/365.25-(IF(DAY(E95+1)=1,EOMONTH(E95,H95*D95),EDATE(E95,H95*D95))-AsAt)/365.25)/((I95-O95)-1),0)*(1+F95)*(1-(I95-O95)*(1+F95)^((I95-O95)-1)+((I95-O95)-1)*(1+F95)^(I95-O95))/F95^2)+O95*(K95-L95*F95)*(1+F95)^(I95-1)*('Deal maths'!AA95-AsAt)/365.25)/L95,((I95-O95)*((IF(DAY(E95+1)=1,EOMONTH(E95,H95*D95),EDATE(E95,H95*D95))-AsAt)/365.25+(IF(DAY(E95+1)=1,EOMONTH(E95,(N95-1)*D95),EDATE(E95,(N95-1)*D95))-AsAt)/365.25)/2+O95*('Deal maths'!AA95-AsAt)/365.25)/I95),(S95-AsAt)/365.25)),0))</f>
        <v/>
      </c>
      <c r="Q95" s="109">
        <f>IF(B95=1,'Deal maths'!AA95+ROW()/1000000,"")</f>
        <v/>
      </c>
      <c r="R95" s="108">
        <f>IF(D95=0,0,IF(DAY(E95+1)=1,31,DAY(E95)))</f>
        <v/>
      </c>
      <c r="S95" s="109">
        <f>IF(AND('Deal maths'!V95="LOBO",'Deal maths'!AG95&gt;AsAt,'Deal maths'!AG95&lt;'Deal maths'!AA95),'Deal maths'!AG95,'Deal maths'!AA95)</f>
        <v/>
      </c>
      <c r="T95" s="108">
        <f>('Deal maths'!AA95&gt;AsAt)*('Deal maths'!Y95&gt;0)</f>
        <v/>
      </c>
    </row>
    <row r="96">
      <c r="A96" s="91">
        <f>IF('Deal maths'!V96="","",'Deal maths'!W96)</f>
        <v/>
      </c>
      <c r="B96" s="108">
        <f>('Deal maths'!AA96&gt;AsAt)*('Deal maths'!Y96&gt;0)*('Deal maths'!Z96&lt;=AsAt)</f>
        <v/>
      </c>
      <c r="C96" s="91">
        <f>IF('Deal maths'!V96="","",IF('Deal maths'!AC96="","Maturity",'Deal maths'!AC96))</f>
        <v/>
      </c>
      <c r="D96" s="108">
        <f>IF(OR(C96="EIP",C96="Annuity"),IF('Deal maths'!AD96="Annual",12,IF('Deal maths'!AD96="Quarterly",3,6)),0)</f>
        <v/>
      </c>
      <c r="E96" s="109">
        <f>IFERROR(IF(D96=0,0,IF('Deal maths'!AE96&gt;0,IF('Deal maths'!AE96&gt;'Deal maths'!AA96,'Deal maths'!AA96,'Deal maths'!AE96),IF(IF(DAY('Deal maths'!AA96+1)=1,EOMONTH('Deal maths'!AA96,-(INT(((YEAR('Deal maths'!AA96)-YEAR(IF('Deal maths'!Z96&gt;0,'Deal maths'!Z96,DATE(1990,1,1))))*12+MONTH('Deal maths'!AA96)-MONTH(IF('Deal maths'!Z96&gt;0,'Deal maths'!Z96,DATE(1990,1,1))))/D96))*D96),EDATE('Deal maths'!AA96,-(INT(((YEAR('Deal maths'!AA96)-YEAR(IF('Deal maths'!Z96&gt;0,'Deal maths'!Z96,DATE(1990,1,1))))*12+MONTH('Deal maths'!AA96)-MONTH(IF('Deal maths'!Z96&gt;0,'Deal maths'!Z96,DATE(1990,1,1))))/D96))*D96))&gt;IF('Deal maths'!Z96&gt;0,'Deal maths'!Z96,DATE(1990,1,1)),IF(DAY('Deal maths'!AA96+1)=1,EOMONTH('Deal maths'!AA96,-(INT(((YEAR('Deal maths'!AA96)-YEAR(IF('Deal maths'!Z96&gt;0,'Deal maths'!Z96,DATE(1990,1,1))))*12+MONTH('Deal maths'!AA96)-MONTH(IF('Deal maths'!Z96&gt;0,'Deal maths'!Z96,DATE(1990,1,1))))/D96))*D96),EDATE('Deal maths'!AA96,-(INT(((YEAR('Deal maths'!AA96)-YEAR(IF('Deal maths'!Z96&gt;0,'Deal maths'!Z96,DATE(1990,1,1))))*12+MONTH('Deal maths'!AA96)-MONTH(IF('Deal maths'!Z96&gt;0,'Deal maths'!Z96,DATE(1990,1,1))))/D96))*D96)),IF(DAY('Deal maths'!AA96+1)=1,EOMONTH('Deal maths'!AA96,-(INT(((YEAR('Deal maths'!AA96)-YEAR(IF('Deal maths'!Z96&gt;0,'Deal maths'!Z96,DATE(1990,1,1))))*12+MONTH('Deal maths'!AA96)-MONTH(IF('Deal maths'!Z96&gt;0,'Deal maths'!Z96,DATE(1990,1,1))))/D96)-1)*D96),EDATE('Deal maths'!AA96,-(INT(((YEAR('Deal maths'!AA96)-YEAR(IF('Deal maths'!Z96&gt;0,'Deal maths'!Z96,DATE(1990,1,1))))*12+MONTH('Deal maths'!AA96)-MONTH(IF('Deal maths'!Z96&gt;0,'Deal maths'!Z96,DATE(1990,1,1))))/D96)-1)*D96))))),0)</f>
        <v/>
      </c>
      <c r="F96" s="110">
        <f>IF(D96=0,0,'Deal maths'!AB96*D96/12)</f>
        <v/>
      </c>
      <c r="G96" s="108">
        <f>N96+O96</f>
        <v/>
      </c>
      <c r="H96" s="108">
        <f>IFERROR(IF(OR(D96=0,AsAt&lt;E96),0,MIN(N96,INT(((YEAR(AsAt)-YEAR(E96))*12+MONTH(AsAt)-MONTH(E96)-(DAY(AsAt)&lt;MIN(R96,DAY(EOMONTH(AsAt,0)))))/D96)+1)+O96*(AsAt&gt;='Deal maths'!AA96)),0)</f>
        <v/>
      </c>
      <c r="I96" s="108">
        <f>G96-H96</f>
        <v/>
      </c>
      <c r="J96" s="111">
        <f>IF(AND(C96="EIP",I96&gt;0),'Deal maths'!Y96/I96,0)</f>
        <v/>
      </c>
      <c r="K96" s="111">
        <f>IF(AND(C96="Annuity",I96&gt;0),IF(F96&gt;0,'Deal maths'!Y96*F96/(1-(1+F96)^-I96),'Deal maths'!Y96/I96),0)</f>
        <v/>
      </c>
      <c r="L96" s="111">
        <f>IF('Deal maths'!Y96="",0,'Deal maths'!Y96)</f>
        <v/>
      </c>
      <c r="M96" s="112">
        <f>F96+(F96=0)</f>
        <v/>
      </c>
      <c r="N96" s="108">
        <f>IFERROR(IF(D96=0,0,INT(((YEAR('Deal maths'!AA96)-YEAR(E96))*12+MONTH('Deal maths'!AA96)-MONTH(E96)-(DAY('Deal maths'!AA96)&lt;MIN(R96,DAY(EOMONTH('Deal maths'!AA96,0)))))/D96)+1),0)</f>
        <v/>
      </c>
      <c r="O96" s="108">
        <f>IFERROR(IF(D96=0,0,IF(IF(DAY(E96+1)=1,EOMONTH(E96,(N96-1)*D96),EDATE(E96,(N96-1)*D96))='Deal maths'!AA96,0,1)),0)</f>
        <v/>
      </c>
      <c r="P96" s="113">
        <f>IF(B96=0,0,IFERROR(IF(C96="EIP",((I96-O96)*((IF(DAY(E96+1)=1,EOMONTH(E96,H96*D96),EDATE(E96,H96*D96))-AsAt)/365.25+(IF(DAY(E96+1)=1,EOMONTH(E96,(N96-1)*D96),EDATE(E96,(N96-1)*D96))-AsAt)/365.25)/2+O96*('Deal maths'!AA96-AsAt)/365.25)/I96,IF(C96="Annuity",IF(F96&gt;0,((K96-L96*F96)*((IF(DAY(E96+1)=1,EOMONTH(E96,H96*D96),EDATE(E96,H96*D96))-AsAt)/365.25*((1+F96)^(I96-O96)-1)/F96+IF((I96-O96)&gt;1,((IF(DAY(E96+1)=1,EOMONTH(E96,(N96-1)*D96),EDATE(E96,(N96-1)*D96))-AsAt)/365.25-(IF(DAY(E96+1)=1,EOMONTH(E96,H96*D96),EDATE(E96,H96*D96))-AsAt)/365.25)/((I96-O96)-1),0)*(1+F96)*(1-(I96-O96)*(1+F96)^((I96-O96)-1)+((I96-O96)-1)*(1+F96)^(I96-O96))/F96^2)+O96*(K96-L96*F96)*(1+F96)^(I96-1)*('Deal maths'!AA96-AsAt)/365.25)/L96,((I96-O96)*((IF(DAY(E96+1)=1,EOMONTH(E96,H96*D96),EDATE(E96,H96*D96))-AsAt)/365.25+(IF(DAY(E96+1)=1,EOMONTH(E96,(N96-1)*D96),EDATE(E96,(N96-1)*D96))-AsAt)/365.25)/2+O96*('Deal maths'!AA96-AsAt)/365.25)/I96),(S96-AsAt)/365.25)),0))</f>
        <v/>
      </c>
      <c r="Q96" s="109">
        <f>IF(B96=1,'Deal maths'!AA96+ROW()/1000000,"")</f>
        <v/>
      </c>
      <c r="R96" s="108">
        <f>IF(D96=0,0,IF(DAY(E96+1)=1,31,DAY(E96)))</f>
        <v/>
      </c>
      <c r="S96" s="109">
        <f>IF(AND('Deal maths'!V96="LOBO",'Deal maths'!AG96&gt;AsAt,'Deal maths'!AG96&lt;'Deal maths'!AA96),'Deal maths'!AG96,'Deal maths'!AA96)</f>
        <v/>
      </c>
      <c r="T96" s="108">
        <f>('Deal maths'!AA96&gt;AsAt)*('Deal maths'!Y96&gt;0)</f>
        <v/>
      </c>
    </row>
    <row r="97">
      <c r="A97" s="91">
        <f>IF('Deal maths'!V97="","",'Deal maths'!W97)</f>
        <v/>
      </c>
      <c r="B97" s="108">
        <f>('Deal maths'!AA97&gt;AsAt)*('Deal maths'!Y97&gt;0)*('Deal maths'!Z97&lt;=AsAt)</f>
        <v/>
      </c>
      <c r="C97" s="91">
        <f>IF('Deal maths'!V97="","",IF('Deal maths'!AC97="","Maturity",'Deal maths'!AC97))</f>
        <v/>
      </c>
      <c r="D97" s="108">
        <f>IF(OR(C97="EIP",C97="Annuity"),IF('Deal maths'!AD97="Annual",12,IF('Deal maths'!AD97="Quarterly",3,6)),0)</f>
        <v/>
      </c>
      <c r="E97" s="109">
        <f>IFERROR(IF(D97=0,0,IF('Deal maths'!AE97&gt;0,IF('Deal maths'!AE97&gt;'Deal maths'!AA97,'Deal maths'!AA97,'Deal maths'!AE97),IF(IF(DAY('Deal maths'!AA97+1)=1,EOMONTH('Deal maths'!AA97,-(INT(((YEAR('Deal maths'!AA97)-YEAR(IF('Deal maths'!Z97&gt;0,'Deal maths'!Z97,DATE(1990,1,1))))*12+MONTH('Deal maths'!AA97)-MONTH(IF('Deal maths'!Z97&gt;0,'Deal maths'!Z97,DATE(1990,1,1))))/D97))*D97),EDATE('Deal maths'!AA97,-(INT(((YEAR('Deal maths'!AA97)-YEAR(IF('Deal maths'!Z97&gt;0,'Deal maths'!Z97,DATE(1990,1,1))))*12+MONTH('Deal maths'!AA97)-MONTH(IF('Deal maths'!Z97&gt;0,'Deal maths'!Z97,DATE(1990,1,1))))/D97))*D97))&gt;IF('Deal maths'!Z97&gt;0,'Deal maths'!Z97,DATE(1990,1,1)),IF(DAY('Deal maths'!AA97+1)=1,EOMONTH('Deal maths'!AA97,-(INT(((YEAR('Deal maths'!AA97)-YEAR(IF('Deal maths'!Z97&gt;0,'Deal maths'!Z97,DATE(1990,1,1))))*12+MONTH('Deal maths'!AA97)-MONTH(IF('Deal maths'!Z97&gt;0,'Deal maths'!Z97,DATE(1990,1,1))))/D97))*D97),EDATE('Deal maths'!AA97,-(INT(((YEAR('Deal maths'!AA97)-YEAR(IF('Deal maths'!Z97&gt;0,'Deal maths'!Z97,DATE(1990,1,1))))*12+MONTH('Deal maths'!AA97)-MONTH(IF('Deal maths'!Z97&gt;0,'Deal maths'!Z97,DATE(1990,1,1))))/D97))*D97)),IF(DAY('Deal maths'!AA97+1)=1,EOMONTH('Deal maths'!AA97,-(INT(((YEAR('Deal maths'!AA97)-YEAR(IF('Deal maths'!Z97&gt;0,'Deal maths'!Z97,DATE(1990,1,1))))*12+MONTH('Deal maths'!AA97)-MONTH(IF('Deal maths'!Z97&gt;0,'Deal maths'!Z97,DATE(1990,1,1))))/D97)-1)*D97),EDATE('Deal maths'!AA97,-(INT(((YEAR('Deal maths'!AA97)-YEAR(IF('Deal maths'!Z97&gt;0,'Deal maths'!Z97,DATE(1990,1,1))))*12+MONTH('Deal maths'!AA97)-MONTH(IF('Deal maths'!Z97&gt;0,'Deal maths'!Z97,DATE(1990,1,1))))/D97)-1)*D97))))),0)</f>
        <v/>
      </c>
      <c r="F97" s="110">
        <f>IF(D97=0,0,'Deal maths'!AB97*D97/12)</f>
        <v/>
      </c>
      <c r="G97" s="108">
        <f>N97+O97</f>
        <v/>
      </c>
      <c r="H97" s="108">
        <f>IFERROR(IF(OR(D97=0,AsAt&lt;E97),0,MIN(N97,INT(((YEAR(AsAt)-YEAR(E97))*12+MONTH(AsAt)-MONTH(E97)-(DAY(AsAt)&lt;MIN(R97,DAY(EOMONTH(AsAt,0)))))/D97)+1)+O97*(AsAt&gt;='Deal maths'!AA97)),0)</f>
        <v/>
      </c>
      <c r="I97" s="108">
        <f>G97-H97</f>
        <v/>
      </c>
      <c r="J97" s="111">
        <f>IF(AND(C97="EIP",I97&gt;0),'Deal maths'!Y97/I97,0)</f>
        <v/>
      </c>
      <c r="K97" s="111">
        <f>IF(AND(C97="Annuity",I97&gt;0),IF(F97&gt;0,'Deal maths'!Y97*F97/(1-(1+F97)^-I97),'Deal maths'!Y97/I97),0)</f>
        <v/>
      </c>
      <c r="L97" s="111">
        <f>IF('Deal maths'!Y97="",0,'Deal maths'!Y97)</f>
        <v/>
      </c>
      <c r="M97" s="112">
        <f>F97+(F97=0)</f>
        <v/>
      </c>
      <c r="N97" s="108">
        <f>IFERROR(IF(D97=0,0,INT(((YEAR('Deal maths'!AA97)-YEAR(E97))*12+MONTH('Deal maths'!AA97)-MONTH(E97)-(DAY('Deal maths'!AA97)&lt;MIN(R97,DAY(EOMONTH('Deal maths'!AA97,0)))))/D97)+1),0)</f>
        <v/>
      </c>
      <c r="O97" s="108">
        <f>IFERROR(IF(D97=0,0,IF(IF(DAY(E97+1)=1,EOMONTH(E97,(N97-1)*D97),EDATE(E97,(N97-1)*D97))='Deal maths'!AA97,0,1)),0)</f>
        <v/>
      </c>
      <c r="P97" s="113">
        <f>IF(B97=0,0,IFERROR(IF(C97="EIP",((I97-O97)*((IF(DAY(E97+1)=1,EOMONTH(E97,H97*D97),EDATE(E97,H97*D97))-AsAt)/365.25+(IF(DAY(E97+1)=1,EOMONTH(E97,(N97-1)*D97),EDATE(E97,(N97-1)*D97))-AsAt)/365.25)/2+O97*('Deal maths'!AA97-AsAt)/365.25)/I97,IF(C97="Annuity",IF(F97&gt;0,((K97-L97*F97)*((IF(DAY(E97+1)=1,EOMONTH(E97,H97*D97),EDATE(E97,H97*D97))-AsAt)/365.25*((1+F97)^(I97-O97)-1)/F97+IF((I97-O97)&gt;1,((IF(DAY(E97+1)=1,EOMONTH(E97,(N97-1)*D97),EDATE(E97,(N97-1)*D97))-AsAt)/365.25-(IF(DAY(E97+1)=1,EOMONTH(E97,H97*D97),EDATE(E97,H97*D97))-AsAt)/365.25)/((I97-O97)-1),0)*(1+F97)*(1-(I97-O97)*(1+F97)^((I97-O97)-1)+((I97-O97)-1)*(1+F97)^(I97-O97))/F97^2)+O97*(K97-L97*F97)*(1+F97)^(I97-1)*('Deal maths'!AA97-AsAt)/365.25)/L97,((I97-O97)*((IF(DAY(E97+1)=1,EOMONTH(E97,H97*D97),EDATE(E97,H97*D97))-AsAt)/365.25+(IF(DAY(E97+1)=1,EOMONTH(E97,(N97-1)*D97),EDATE(E97,(N97-1)*D97))-AsAt)/365.25)/2+O97*('Deal maths'!AA97-AsAt)/365.25)/I97),(S97-AsAt)/365.25)),0))</f>
        <v/>
      </c>
      <c r="Q97" s="109">
        <f>IF(B97=1,'Deal maths'!AA97+ROW()/1000000,"")</f>
        <v/>
      </c>
      <c r="R97" s="108">
        <f>IF(D97=0,0,IF(DAY(E97+1)=1,31,DAY(E97)))</f>
        <v/>
      </c>
      <c r="S97" s="109">
        <f>IF(AND('Deal maths'!V97="LOBO",'Deal maths'!AG97&gt;AsAt,'Deal maths'!AG97&lt;'Deal maths'!AA97),'Deal maths'!AG97,'Deal maths'!AA97)</f>
        <v/>
      </c>
      <c r="T97" s="108">
        <f>('Deal maths'!AA97&gt;AsAt)*('Deal maths'!Y97&gt;0)</f>
        <v/>
      </c>
    </row>
    <row r="98">
      <c r="A98" s="91">
        <f>IF('Deal maths'!V98="","",'Deal maths'!W98)</f>
        <v/>
      </c>
      <c r="B98" s="108">
        <f>('Deal maths'!AA98&gt;AsAt)*('Deal maths'!Y98&gt;0)*('Deal maths'!Z98&lt;=AsAt)</f>
        <v/>
      </c>
      <c r="C98" s="91">
        <f>IF('Deal maths'!V98="","",IF('Deal maths'!AC98="","Maturity",'Deal maths'!AC98))</f>
        <v/>
      </c>
      <c r="D98" s="108">
        <f>IF(OR(C98="EIP",C98="Annuity"),IF('Deal maths'!AD98="Annual",12,IF('Deal maths'!AD98="Quarterly",3,6)),0)</f>
        <v/>
      </c>
      <c r="E98" s="109">
        <f>IFERROR(IF(D98=0,0,IF('Deal maths'!AE98&gt;0,IF('Deal maths'!AE98&gt;'Deal maths'!AA98,'Deal maths'!AA98,'Deal maths'!AE98),IF(IF(DAY('Deal maths'!AA98+1)=1,EOMONTH('Deal maths'!AA98,-(INT(((YEAR('Deal maths'!AA98)-YEAR(IF('Deal maths'!Z98&gt;0,'Deal maths'!Z98,DATE(1990,1,1))))*12+MONTH('Deal maths'!AA98)-MONTH(IF('Deal maths'!Z98&gt;0,'Deal maths'!Z98,DATE(1990,1,1))))/D98))*D98),EDATE('Deal maths'!AA98,-(INT(((YEAR('Deal maths'!AA98)-YEAR(IF('Deal maths'!Z98&gt;0,'Deal maths'!Z98,DATE(1990,1,1))))*12+MONTH('Deal maths'!AA98)-MONTH(IF('Deal maths'!Z98&gt;0,'Deal maths'!Z98,DATE(1990,1,1))))/D98))*D98))&gt;IF('Deal maths'!Z98&gt;0,'Deal maths'!Z98,DATE(1990,1,1)),IF(DAY('Deal maths'!AA98+1)=1,EOMONTH('Deal maths'!AA98,-(INT(((YEAR('Deal maths'!AA98)-YEAR(IF('Deal maths'!Z98&gt;0,'Deal maths'!Z98,DATE(1990,1,1))))*12+MONTH('Deal maths'!AA98)-MONTH(IF('Deal maths'!Z98&gt;0,'Deal maths'!Z98,DATE(1990,1,1))))/D98))*D98),EDATE('Deal maths'!AA98,-(INT(((YEAR('Deal maths'!AA98)-YEAR(IF('Deal maths'!Z98&gt;0,'Deal maths'!Z98,DATE(1990,1,1))))*12+MONTH('Deal maths'!AA98)-MONTH(IF('Deal maths'!Z98&gt;0,'Deal maths'!Z98,DATE(1990,1,1))))/D98))*D98)),IF(DAY('Deal maths'!AA98+1)=1,EOMONTH('Deal maths'!AA98,-(INT(((YEAR('Deal maths'!AA98)-YEAR(IF('Deal maths'!Z98&gt;0,'Deal maths'!Z98,DATE(1990,1,1))))*12+MONTH('Deal maths'!AA98)-MONTH(IF('Deal maths'!Z98&gt;0,'Deal maths'!Z98,DATE(1990,1,1))))/D98)-1)*D98),EDATE('Deal maths'!AA98,-(INT(((YEAR('Deal maths'!AA98)-YEAR(IF('Deal maths'!Z98&gt;0,'Deal maths'!Z98,DATE(1990,1,1))))*12+MONTH('Deal maths'!AA98)-MONTH(IF('Deal maths'!Z98&gt;0,'Deal maths'!Z98,DATE(1990,1,1))))/D98)-1)*D98))))),0)</f>
        <v/>
      </c>
      <c r="F98" s="110">
        <f>IF(D98=0,0,'Deal maths'!AB98*D98/12)</f>
        <v/>
      </c>
      <c r="G98" s="108">
        <f>N98+O98</f>
        <v/>
      </c>
      <c r="H98" s="108">
        <f>IFERROR(IF(OR(D98=0,AsAt&lt;E98),0,MIN(N98,INT(((YEAR(AsAt)-YEAR(E98))*12+MONTH(AsAt)-MONTH(E98)-(DAY(AsAt)&lt;MIN(R98,DAY(EOMONTH(AsAt,0)))))/D98)+1)+O98*(AsAt&gt;='Deal maths'!AA98)),0)</f>
        <v/>
      </c>
      <c r="I98" s="108">
        <f>G98-H98</f>
        <v/>
      </c>
      <c r="J98" s="111">
        <f>IF(AND(C98="EIP",I98&gt;0),'Deal maths'!Y98/I98,0)</f>
        <v/>
      </c>
      <c r="K98" s="111">
        <f>IF(AND(C98="Annuity",I98&gt;0),IF(F98&gt;0,'Deal maths'!Y98*F98/(1-(1+F98)^-I98),'Deal maths'!Y98/I98),0)</f>
        <v/>
      </c>
      <c r="L98" s="111">
        <f>IF('Deal maths'!Y98="",0,'Deal maths'!Y98)</f>
        <v/>
      </c>
      <c r="M98" s="112">
        <f>F98+(F98=0)</f>
        <v/>
      </c>
      <c r="N98" s="108">
        <f>IFERROR(IF(D98=0,0,INT(((YEAR('Deal maths'!AA98)-YEAR(E98))*12+MONTH('Deal maths'!AA98)-MONTH(E98)-(DAY('Deal maths'!AA98)&lt;MIN(R98,DAY(EOMONTH('Deal maths'!AA98,0)))))/D98)+1),0)</f>
        <v/>
      </c>
      <c r="O98" s="108">
        <f>IFERROR(IF(D98=0,0,IF(IF(DAY(E98+1)=1,EOMONTH(E98,(N98-1)*D98),EDATE(E98,(N98-1)*D98))='Deal maths'!AA98,0,1)),0)</f>
        <v/>
      </c>
      <c r="P98" s="113">
        <f>IF(B98=0,0,IFERROR(IF(C98="EIP",((I98-O98)*((IF(DAY(E98+1)=1,EOMONTH(E98,H98*D98),EDATE(E98,H98*D98))-AsAt)/365.25+(IF(DAY(E98+1)=1,EOMONTH(E98,(N98-1)*D98),EDATE(E98,(N98-1)*D98))-AsAt)/365.25)/2+O98*('Deal maths'!AA98-AsAt)/365.25)/I98,IF(C98="Annuity",IF(F98&gt;0,((K98-L98*F98)*((IF(DAY(E98+1)=1,EOMONTH(E98,H98*D98),EDATE(E98,H98*D98))-AsAt)/365.25*((1+F98)^(I98-O98)-1)/F98+IF((I98-O98)&gt;1,((IF(DAY(E98+1)=1,EOMONTH(E98,(N98-1)*D98),EDATE(E98,(N98-1)*D98))-AsAt)/365.25-(IF(DAY(E98+1)=1,EOMONTH(E98,H98*D98),EDATE(E98,H98*D98))-AsAt)/365.25)/((I98-O98)-1),0)*(1+F98)*(1-(I98-O98)*(1+F98)^((I98-O98)-1)+((I98-O98)-1)*(1+F98)^(I98-O98))/F98^2)+O98*(K98-L98*F98)*(1+F98)^(I98-1)*('Deal maths'!AA98-AsAt)/365.25)/L98,((I98-O98)*((IF(DAY(E98+1)=1,EOMONTH(E98,H98*D98),EDATE(E98,H98*D98))-AsAt)/365.25+(IF(DAY(E98+1)=1,EOMONTH(E98,(N98-1)*D98),EDATE(E98,(N98-1)*D98))-AsAt)/365.25)/2+O98*('Deal maths'!AA98-AsAt)/365.25)/I98),(S98-AsAt)/365.25)),0))</f>
        <v/>
      </c>
      <c r="Q98" s="109">
        <f>IF(B98=1,'Deal maths'!AA98+ROW()/1000000,"")</f>
        <v/>
      </c>
      <c r="R98" s="108">
        <f>IF(D98=0,0,IF(DAY(E98+1)=1,31,DAY(E98)))</f>
        <v/>
      </c>
      <c r="S98" s="109">
        <f>IF(AND('Deal maths'!V98="LOBO",'Deal maths'!AG98&gt;AsAt,'Deal maths'!AG98&lt;'Deal maths'!AA98),'Deal maths'!AG98,'Deal maths'!AA98)</f>
        <v/>
      </c>
      <c r="T98" s="108">
        <f>('Deal maths'!AA98&gt;AsAt)*('Deal maths'!Y98&gt;0)</f>
        <v/>
      </c>
    </row>
    <row r="99">
      <c r="A99" s="91">
        <f>IF('Deal maths'!V99="","",'Deal maths'!W99)</f>
        <v/>
      </c>
      <c r="B99" s="108">
        <f>('Deal maths'!AA99&gt;AsAt)*('Deal maths'!Y99&gt;0)*('Deal maths'!Z99&lt;=AsAt)</f>
        <v/>
      </c>
      <c r="C99" s="91">
        <f>IF('Deal maths'!V99="","",IF('Deal maths'!AC99="","Maturity",'Deal maths'!AC99))</f>
        <v/>
      </c>
      <c r="D99" s="108">
        <f>IF(OR(C99="EIP",C99="Annuity"),IF('Deal maths'!AD99="Annual",12,IF('Deal maths'!AD99="Quarterly",3,6)),0)</f>
        <v/>
      </c>
      <c r="E99" s="109">
        <f>IFERROR(IF(D99=0,0,IF('Deal maths'!AE99&gt;0,IF('Deal maths'!AE99&gt;'Deal maths'!AA99,'Deal maths'!AA99,'Deal maths'!AE99),IF(IF(DAY('Deal maths'!AA99+1)=1,EOMONTH('Deal maths'!AA99,-(INT(((YEAR('Deal maths'!AA99)-YEAR(IF('Deal maths'!Z99&gt;0,'Deal maths'!Z99,DATE(1990,1,1))))*12+MONTH('Deal maths'!AA99)-MONTH(IF('Deal maths'!Z99&gt;0,'Deal maths'!Z99,DATE(1990,1,1))))/D99))*D99),EDATE('Deal maths'!AA99,-(INT(((YEAR('Deal maths'!AA99)-YEAR(IF('Deal maths'!Z99&gt;0,'Deal maths'!Z99,DATE(1990,1,1))))*12+MONTH('Deal maths'!AA99)-MONTH(IF('Deal maths'!Z99&gt;0,'Deal maths'!Z99,DATE(1990,1,1))))/D99))*D99))&gt;IF('Deal maths'!Z99&gt;0,'Deal maths'!Z99,DATE(1990,1,1)),IF(DAY('Deal maths'!AA99+1)=1,EOMONTH('Deal maths'!AA99,-(INT(((YEAR('Deal maths'!AA99)-YEAR(IF('Deal maths'!Z99&gt;0,'Deal maths'!Z99,DATE(1990,1,1))))*12+MONTH('Deal maths'!AA99)-MONTH(IF('Deal maths'!Z99&gt;0,'Deal maths'!Z99,DATE(1990,1,1))))/D99))*D99),EDATE('Deal maths'!AA99,-(INT(((YEAR('Deal maths'!AA99)-YEAR(IF('Deal maths'!Z99&gt;0,'Deal maths'!Z99,DATE(1990,1,1))))*12+MONTH('Deal maths'!AA99)-MONTH(IF('Deal maths'!Z99&gt;0,'Deal maths'!Z99,DATE(1990,1,1))))/D99))*D99)),IF(DAY('Deal maths'!AA99+1)=1,EOMONTH('Deal maths'!AA99,-(INT(((YEAR('Deal maths'!AA99)-YEAR(IF('Deal maths'!Z99&gt;0,'Deal maths'!Z99,DATE(1990,1,1))))*12+MONTH('Deal maths'!AA99)-MONTH(IF('Deal maths'!Z99&gt;0,'Deal maths'!Z99,DATE(1990,1,1))))/D99)-1)*D99),EDATE('Deal maths'!AA99,-(INT(((YEAR('Deal maths'!AA99)-YEAR(IF('Deal maths'!Z99&gt;0,'Deal maths'!Z99,DATE(1990,1,1))))*12+MONTH('Deal maths'!AA99)-MONTH(IF('Deal maths'!Z99&gt;0,'Deal maths'!Z99,DATE(1990,1,1))))/D99)-1)*D99))))),0)</f>
        <v/>
      </c>
      <c r="F99" s="110">
        <f>IF(D99=0,0,'Deal maths'!AB99*D99/12)</f>
        <v/>
      </c>
      <c r="G99" s="108">
        <f>N99+O99</f>
        <v/>
      </c>
      <c r="H99" s="108">
        <f>IFERROR(IF(OR(D99=0,AsAt&lt;E99),0,MIN(N99,INT(((YEAR(AsAt)-YEAR(E99))*12+MONTH(AsAt)-MONTH(E99)-(DAY(AsAt)&lt;MIN(R99,DAY(EOMONTH(AsAt,0)))))/D99)+1)+O99*(AsAt&gt;='Deal maths'!AA99)),0)</f>
        <v/>
      </c>
      <c r="I99" s="108">
        <f>G99-H99</f>
        <v/>
      </c>
      <c r="J99" s="111">
        <f>IF(AND(C99="EIP",I99&gt;0),'Deal maths'!Y99/I99,0)</f>
        <v/>
      </c>
      <c r="K99" s="111">
        <f>IF(AND(C99="Annuity",I99&gt;0),IF(F99&gt;0,'Deal maths'!Y99*F99/(1-(1+F99)^-I99),'Deal maths'!Y99/I99),0)</f>
        <v/>
      </c>
      <c r="L99" s="111">
        <f>IF('Deal maths'!Y99="",0,'Deal maths'!Y99)</f>
        <v/>
      </c>
      <c r="M99" s="112">
        <f>F99+(F99=0)</f>
        <v/>
      </c>
      <c r="N99" s="108">
        <f>IFERROR(IF(D99=0,0,INT(((YEAR('Deal maths'!AA99)-YEAR(E99))*12+MONTH('Deal maths'!AA99)-MONTH(E99)-(DAY('Deal maths'!AA99)&lt;MIN(R99,DAY(EOMONTH('Deal maths'!AA99,0)))))/D99)+1),0)</f>
        <v/>
      </c>
      <c r="O99" s="108">
        <f>IFERROR(IF(D99=0,0,IF(IF(DAY(E99+1)=1,EOMONTH(E99,(N99-1)*D99),EDATE(E99,(N99-1)*D99))='Deal maths'!AA99,0,1)),0)</f>
        <v/>
      </c>
      <c r="P99" s="113">
        <f>IF(B99=0,0,IFERROR(IF(C99="EIP",((I99-O99)*((IF(DAY(E99+1)=1,EOMONTH(E99,H99*D99),EDATE(E99,H99*D99))-AsAt)/365.25+(IF(DAY(E99+1)=1,EOMONTH(E99,(N99-1)*D99),EDATE(E99,(N99-1)*D99))-AsAt)/365.25)/2+O99*('Deal maths'!AA99-AsAt)/365.25)/I99,IF(C99="Annuity",IF(F99&gt;0,((K99-L99*F99)*((IF(DAY(E99+1)=1,EOMONTH(E99,H99*D99),EDATE(E99,H99*D99))-AsAt)/365.25*((1+F99)^(I99-O99)-1)/F99+IF((I99-O99)&gt;1,((IF(DAY(E99+1)=1,EOMONTH(E99,(N99-1)*D99),EDATE(E99,(N99-1)*D99))-AsAt)/365.25-(IF(DAY(E99+1)=1,EOMONTH(E99,H99*D99),EDATE(E99,H99*D99))-AsAt)/365.25)/((I99-O99)-1),0)*(1+F99)*(1-(I99-O99)*(1+F99)^((I99-O99)-1)+((I99-O99)-1)*(1+F99)^(I99-O99))/F99^2)+O99*(K99-L99*F99)*(1+F99)^(I99-1)*('Deal maths'!AA99-AsAt)/365.25)/L99,((I99-O99)*((IF(DAY(E99+1)=1,EOMONTH(E99,H99*D99),EDATE(E99,H99*D99))-AsAt)/365.25+(IF(DAY(E99+1)=1,EOMONTH(E99,(N99-1)*D99),EDATE(E99,(N99-1)*D99))-AsAt)/365.25)/2+O99*('Deal maths'!AA99-AsAt)/365.25)/I99),(S99-AsAt)/365.25)),0))</f>
        <v/>
      </c>
      <c r="Q99" s="109">
        <f>IF(B99=1,'Deal maths'!AA99+ROW()/1000000,"")</f>
        <v/>
      </c>
      <c r="R99" s="108">
        <f>IF(D99=0,0,IF(DAY(E99+1)=1,31,DAY(E99)))</f>
        <v/>
      </c>
      <c r="S99" s="109">
        <f>IF(AND('Deal maths'!V99="LOBO",'Deal maths'!AG99&gt;AsAt,'Deal maths'!AG99&lt;'Deal maths'!AA99),'Deal maths'!AG99,'Deal maths'!AA99)</f>
        <v/>
      </c>
      <c r="T99" s="108">
        <f>('Deal maths'!AA99&gt;AsAt)*('Deal maths'!Y99&gt;0)</f>
        <v/>
      </c>
    </row>
    <row r="100">
      <c r="A100" s="91">
        <f>IF('Deal maths'!V100="","",'Deal maths'!W100)</f>
        <v/>
      </c>
      <c r="B100" s="108">
        <f>('Deal maths'!AA100&gt;AsAt)*('Deal maths'!Y100&gt;0)*('Deal maths'!Z100&lt;=AsAt)</f>
        <v/>
      </c>
      <c r="C100" s="91">
        <f>IF('Deal maths'!V100="","",IF('Deal maths'!AC100="","Maturity",'Deal maths'!AC100))</f>
        <v/>
      </c>
      <c r="D100" s="108">
        <f>IF(OR(C100="EIP",C100="Annuity"),IF('Deal maths'!AD100="Annual",12,IF('Deal maths'!AD100="Quarterly",3,6)),0)</f>
        <v/>
      </c>
      <c r="E100" s="109">
        <f>IFERROR(IF(D100=0,0,IF('Deal maths'!AE100&gt;0,IF('Deal maths'!AE100&gt;'Deal maths'!AA100,'Deal maths'!AA100,'Deal maths'!AE100),IF(IF(DAY('Deal maths'!AA100+1)=1,EOMONTH('Deal maths'!AA100,-(INT(((YEAR('Deal maths'!AA100)-YEAR(IF('Deal maths'!Z100&gt;0,'Deal maths'!Z100,DATE(1990,1,1))))*12+MONTH('Deal maths'!AA100)-MONTH(IF('Deal maths'!Z100&gt;0,'Deal maths'!Z100,DATE(1990,1,1))))/D100))*D100),EDATE('Deal maths'!AA100,-(INT(((YEAR('Deal maths'!AA100)-YEAR(IF('Deal maths'!Z100&gt;0,'Deal maths'!Z100,DATE(1990,1,1))))*12+MONTH('Deal maths'!AA100)-MONTH(IF('Deal maths'!Z100&gt;0,'Deal maths'!Z100,DATE(1990,1,1))))/D100))*D100))&gt;IF('Deal maths'!Z100&gt;0,'Deal maths'!Z100,DATE(1990,1,1)),IF(DAY('Deal maths'!AA100+1)=1,EOMONTH('Deal maths'!AA100,-(INT(((YEAR('Deal maths'!AA100)-YEAR(IF('Deal maths'!Z100&gt;0,'Deal maths'!Z100,DATE(1990,1,1))))*12+MONTH('Deal maths'!AA100)-MONTH(IF('Deal maths'!Z100&gt;0,'Deal maths'!Z100,DATE(1990,1,1))))/D100))*D100),EDATE('Deal maths'!AA100,-(INT(((YEAR('Deal maths'!AA100)-YEAR(IF('Deal maths'!Z100&gt;0,'Deal maths'!Z100,DATE(1990,1,1))))*12+MONTH('Deal maths'!AA100)-MONTH(IF('Deal maths'!Z100&gt;0,'Deal maths'!Z100,DATE(1990,1,1))))/D100))*D100)),IF(DAY('Deal maths'!AA100+1)=1,EOMONTH('Deal maths'!AA100,-(INT(((YEAR('Deal maths'!AA100)-YEAR(IF('Deal maths'!Z100&gt;0,'Deal maths'!Z100,DATE(1990,1,1))))*12+MONTH('Deal maths'!AA100)-MONTH(IF('Deal maths'!Z100&gt;0,'Deal maths'!Z100,DATE(1990,1,1))))/D100)-1)*D100),EDATE('Deal maths'!AA100,-(INT(((YEAR('Deal maths'!AA100)-YEAR(IF('Deal maths'!Z100&gt;0,'Deal maths'!Z100,DATE(1990,1,1))))*12+MONTH('Deal maths'!AA100)-MONTH(IF('Deal maths'!Z100&gt;0,'Deal maths'!Z100,DATE(1990,1,1))))/D100)-1)*D100))))),0)</f>
        <v/>
      </c>
      <c r="F100" s="110">
        <f>IF(D100=0,0,'Deal maths'!AB100*D100/12)</f>
        <v/>
      </c>
      <c r="G100" s="108">
        <f>N100+O100</f>
        <v/>
      </c>
      <c r="H100" s="108">
        <f>IFERROR(IF(OR(D100=0,AsAt&lt;E100),0,MIN(N100,INT(((YEAR(AsAt)-YEAR(E100))*12+MONTH(AsAt)-MONTH(E100)-(DAY(AsAt)&lt;MIN(R100,DAY(EOMONTH(AsAt,0)))))/D100)+1)+O100*(AsAt&gt;='Deal maths'!AA100)),0)</f>
        <v/>
      </c>
      <c r="I100" s="108">
        <f>G100-H100</f>
        <v/>
      </c>
      <c r="J100" s="111">
        <f>IF(AND(C100="EIP",I100&gt;0),'Deal maths'!Y100/I100,0)</f>
        <v/>
      </c>
      <c r="K100" s="111">
        <f>IF(AND(C100="Annuity",I100&gt;0),IF(F100&gt;0,'Deal maths'!Y100*F100/(1-(1+F100)^-I100),'Deal maths'!Y100/I100),0)</f>
        <v/>
      </c>
      <c r="L100" s="111">
        <f>IF('Deal maths'!Y100="",0,'Deal maths'!Y100)</f>
        <v/>
      </c>
      <c r="M100" s="112">
        <f>F100+(F100=0)</f>
        <v/>
      </c>
      <c r="N100" s="108">
        <f>IFERROR(IF(D100=0,0,INT(((YEAR('Deal maths'!AA100)-YEAR(E100))*12+MONTH('Deal maths'!AA100)-MONTH(E100)-(DAY('Deal maths'!AA100)&lt;MIN(R100,DAY(EOMONTH('Deal maths'!AA100,0)))))/D100)+1),0)</f>
        <v/>
      </c>
      <c r="O100" s="108">
        <f>IFERROR(IF(D100=0,0,IF(IF(DAY(E100+1)=1,EOMONTH(E100,(N100-1)*D100),EDATE(E100,(N100-1)*D100))='Deal maths'!AA100,0,1)),0)</f>
        <v/>
      </c>
      <c r="P100" s="113">
        <f>IF(B100=0,0,IFERROR(IF(C100="EIP",((I100-O100)*((IF(DAY(E100+1)=1,EOMONTH(E100,H100*D100),EDATE(E100,H100*D100))-AsAt)/365.25+(IF(DAY(E100+1)=1,EOMONTH(E100,(N100-1)*D100),EDATE(E100,(N100-1)*D100))-AsAt)/365.25)/2+O100*('Deal maths'!AA100-AsAt)/365.25)/I100,IF(C100="Annuity",IF(F100&gt;0,((K100-L100*F100)*((IF(DAY(E100+1)=1,EOMONTH(E100,H100*D100),EDATE(E100,H100*D100))-AsAt)/365.25*((1+F100)^(I100-O100)-1)/F100+IF((I100-O100)&gt;1,((IF(DAY(E100+1)=1,EOMONTH(E100,(N100-1)*D100),EDATE(E100,(N100-1)*D100))-AsAt)/365.25-(IF(DAY(E100+1)=1,EOMONTH(E100,H100*D100),EDATE(E100,H100*D100))-AsAt)/365.25)/((I100-O100)-1),0)*(1+F100)*(1-(I100-O100)*(1+F100)^((I100-O100)-1)+((I100-O100)-1)*(1+F100)^(I100-O100))/F100^2)+O100*(K100-L100*F100)*(1+F100)^(I100-1)*('Deal maths'!AA100-AsAt)/365.25)/L100,((I100-O100)*((IF(DAY(E100+1)=1,EOMONTH(E100,H100*D100),EDATE(E100,H100*D100))-AsAt)/365.25+(IF(DAY(E100+1)=1,EOMONTH(E100,(N100-1)*D100),EDATE(E100,(N100-1)*D100))-AsAt)/365.25)/2+O100*('Deal maths'!AA100-AsAt)/365.25)/I100),(S100-AsAt)/365.25)),0))</f>
        <v/>
      </c>
      <c r="Q100" s="109">
        <f>IF(B100=1,'Deal maths'!AA100+ROW()/1000000,"")</f>
        <v/>
      </c>
      <c r="R100" s="108">
        <f>IF(D100=0,0,IF(DAY(E100+1)=1,31,DAY(E100)))</f>
        <v/>
      </c>
      <c r="S100" s="109">
        <f>IF(AND('Deal maths'!V100="LOBO",'Deal maths'!AG100&gt;AsAt,'Deal maths'!AG100&lt;'Deal maths'!AA100),'Deal maths'!AG100,'Deal maths'!AA100)</f>
        <v/>
      </c>
      <c r="T100" s="108">
        <f>('Deal maths'!AA100&gt;AsAt)*('Deal maths'!Y100&gt;0)</f>
        <v/>
      </c>
    </row>
    <row r="101">
      <c r="A101" s="91">
        <f>IF('Deal maths'!V101="","",'Deal maths'!W101)</f>
        <v/>
      </c>
      <c r="B101" s="108">
        <f>('Deal maths'!AA101&gt;AsAt)*('Deal maths'!Y101&gt;0)*('Deal maths'!Z101&lt;=AsAt)</f>
        <v/>
      </c>
      <c r="C101" s="91">
        <f>IF('Deal maths'!V101="","",IF('Deal maths'!AC101="","Maturity",'Deal maths'!AC101))</f>
        <v/>
      </c>
      <c r="D101" s="108">
        <f>IF(OR(C101="EIP",C101="Annuity"),IF('Deal maths'!AD101="Annual",12,IF('Deal maths'!AD101="Quarterly",3,6)),0)</f>
        <v/>
      </c>
      <c r="E101" s="109">
        <f>IFERROR(IF(D101=0,0,IF('Deal maths'!AE101&gt;0,IF('Deal maths'!AE101&gt;'Deal maths'!AA101,'Deal maths'!AA101,'Deal maths'!AE101),IF(IF(DAY('Deal maths'!AA101+1)=1,EOMONTH('Deal maths'!AA101,-(INT(((YEAR('Deal maths'!AA101)-YEAR(IF('Deal maths'!Z101&gt;0,'Deal maths'!Z101,DATE(1990,1,1))))*12+MONTH('Deal maths'!AA101)-MONTH(IF('Deal maths'!Z101&gt;0,'Deal maths'!Z101,DATE(1990,1,1))))/D101))*D101),EDATE('Deal maths'!AA101,-(INT(((YEAR('Deal maths'!AA101)-YEAR(IF('Deal maths'!Z101&gt;0,'Deal maths'!Z101,DATE(1990,1,1))))*12+MONTH('Deal maths'!AA101)-MONTH(IF('Deal maths'!Z101&gt;0,'Deal maths'!Z101,DATE(1990,1,1))))/D101))*D101))&gt;IF('Deal maths'!Z101&gt;0,'Deal maths'!Z101,DATE(1990,1,1)),IF(DAY('Deal maths'!AA101+1)=1,EOMONTH('Deal maths'!AA101,-(INT(((YEAR('Deal maths'!AA101)-YEAR(IF('Deal maths'!Z101&gt;0,'Deal maths'!Z101,DATE(1990,1,1))))*12+MONTH('Deal maths'!AA101)-MONTH(IF('Deal maths'!Z101&gt;0,'Deal maths'!Z101,DATE(1990,1,1))))/D101))*D101),EDATE('Deal maths'!AA101,-(INT(((YEAR('Deal maths'!AA101)-YEAR(IF('Deal maths'!Z101&gt;0,'Deal maths'!Z101,DATE(1990,1,1))))*12+MONTH('Deal maths'!AA101)-MONTH(IF('Deal maths'!Z101&gt;0,'Deal maths'!Z101,DATE(1990,1,1))))/D101))*D101)),IF(DAY('Deal maths'!AA101+1)=1,EOMONTH('Deal maths'!AA101,-(INT(((YEAR('Deal maths'!AA101)-YEAR(IF('Deal maths'!Z101&gt;0,'Deal maths'!Z101,DATE(1990,1,1))))*12+MONTH('Deal maths'!AA101)-MONTH(IF('Deal maths'!Z101&gt;0,'Deal maths'!Z101,DATE(1990,1,1))))/D101)-1)*D101),EDATE('Deal maths'!AA101,-(INT(((YEAR('Deal maths'!AA101)-YEAR(IF('Deal maths'!Z101&gt;0,'Deal maths'!Z101,DATE(1990,1,1))))*12+MONTH('Deal maths'!AA101)-MONTH(IF('Deal maths'!Z101&gt;0,'Deal maths'!Z101,DATE(1990,1,1))))/D101)-1)*D101))))),0)</f>
        <v/>
      </c>
      <c r="F101" s="110">
        <f>IF(D101=0,0,'Deal maths'!AB101*D101/12)</f>
        <v/>
      </c>
      <c r="G101" s="108">
        <f>N101+O101</f>
        <v/>
      </c>
      <c r="H101" s="108">
        <f>IFERROR(IF(OR(D101=0,AsAt&lt;E101),0,MIN(N101,INT(((YEAR(AsAt)-YEAR(E101))*12+MONTH(AsAt)-MONTH(E101)-(DAY(AsAt)&lt;MIN(R101,DAY(EOMONTH(AsAt,0)))))/D101)+1)+O101*(AsAt&gt;='Deal maths'!AA101)),0)</f>
        <v/>
      </c>
      <c r="I101" s="108">
        <f>G101-H101</f>
        <v/>
      </c>
      <c r="J101" s="111">
        <f>IF(AND(C101="EIP",I101&gt;0),'Deal maths'!Y101/I101,0)</f>
        <v/>
      </c>
      <c r="K101" s="111">
        <f>IF(AND(C101="Annuity",I101&gt;0),IF(F101&gt;0,'Deal maths'!Y101*F101/(1-(1+F101)^-I101),'Deal maths'!Y101/I101),0)</f>
        <v/>
      </c>
      <c r="L101" s="111">
        <f>IF('Deal maths'!Y101="",0,'Deal maths'!Y101)</f>
        <v/>
      </c>
      <c r="M101" s="112">
        <f>F101+(F101=0)</f>
        <v/>
      </c>
      <c r="N101" s="108">
        <f>IFERROR(IF(D101=0,0,INT(((YEAR('Deal maths'!AA101)-YEAR(E101))*12+MONTH('Deal maths'!AA101)-MONTH(E101)-(DAY('Deal maths'!AA101)&lt;MIN(R101,DAY(EOMONTH('Deal maths'!AA101,0)))))/D101)+1),0)</f>
        <v/>
      </c>
      <c r="O101" s="108">
        <f>IFERROR(IF(D101=0,0,IF(IF(DAY(E101+1)=1,EOMONTH(E101,(N101-1)*D101),EDATE(E101,(N101-1)*D101))='Deal maths'!AA101,0,1)),0)</f>
        <v/>
      </c>
      <c r="P101" s="113">
        <f>IF(B101=0,0,IFERROR(IF(C101="EIP",((I101-O101)*((IF(DAY(E101+1)=1,EOMONTH(E101,H101*D101),EDATE(E101,H101*D101))-AsAt)/365.25+(IF(DAY(E101+1)=1,EOMONTH(E101,(N101-1)*D101),EDATE(E101,(N101-1)*D101))-AsAt)/365.25)/2+O101*('Deal maths'!AA101-AsAt)/365.25)/I101,IF(C101="Annuity",IF(F101&gt;0,((K101-L101*F101)*((IF(DAY(E101+1)=1,EOMONTH(E101,H101*D101),EDATE(E101,H101*D101))-AsAt)/365.25*((1+F101)^(I101-O101)-1)/F101+IF((I101-O101)&gt;1,((IF(DAY(E101+1)=1,EOMONTH(E101,(N101-1)*D101),EDATE(E101,(N101-1)*D101))-AsAt)/365.25-(IF(DAY(E101+1)=1,EOMONTH(E101,H101*D101),EDATE(E101,H101*D101))-AsAt)/365.25)/((I101-O101)-1),0)*(1+F101)*(1-(I101-O101)*(1+F101)^((I101-O101)-1)+((I101-O101)-1)*(1+F101)^(I101-O101))/F101^2)+O101*(K101-L101*F101)*(1+F101)^(I101-1)*('Deal maths'!AA101-AsAt)/365.25)/L101,((I101-O101)*((IF(DAY(E101+1)=1,EOMONTH(E101,H101*D101),EDATE(E101,H101*D101))-AsAt)/365.25+(IF(DAY(E101+1)=1,EOMONTH(E101,(N101-1)*D101),EDATE(E101,(N101-1)*D101))-AsAt)/365.25)/2+O101*('Deal maths'!AA101-AsAt)/365.25)/I101),(S101-AsAt)/365.25)),0))</f>
        <v/>
      </c>
      <c r="Q101" s="109">
        <f>IF(B101=1,'Deal maths'!AA101+ROW()/1000000,"")</f>
        <v/>
      </c>
      <c r="R101" s="108">
        <f>IF(D101=0,0,IF(DAY(E101+1)=1,31,DAY(E101)))</f>
        <v/>
      </c>
      <c r="S101" s="109">
        <f>IF(AND('Deal maths'!V101="LOBO",'Deal maths'!AG101&gt;AsAt,'Deal maths'!AG101&lt;'Deal maths'!AA101),'Deal maths'!AG101,'Deal maths'!AA101)</f>
        <v/>
      </c>
      <c r="T101" s="108">
        <f>('Deal maths'!AA101&gt;AsAt)*('Deal maths'!Y101&gt;0)</f>
        <v/>
      </c>
    </row>
    <row r="102">
      <c r="A102" s="91">
        <f>IF('Deal maths'!V102="","",'Deal maths'!W102)</f>
        <v/>
      </c>
      <c r="B102" s="108">
        <f>('Deal maths'!AA102&gt;AsAt)*('Deal maths'!Y102&gt;0)*('Deal maths'!Z102&lt;=AsAt)</f>
        <v/>
      </c>
      <c r="C102" s="91">
        <f>IF('Deal maths'!V102="","",IF('Deal maths'!AC102="","Maturity",'Deal maths'!AC102))</f>
        <v/>
      </c>
      <c r="D102" s="108">
        <f>IF(OR(C102="EIP",C102="Annuity"),IF('Deal maths'!AD102="Annual",12,IF('Deal maths'!AD102="Quarterly",3,6)),0)</f>
        <v/>
      </c>
      <c r="E102" s="109">
        <f>IFERROR(IF(D102=0,0,IF('Deal maths'!AE102&gt;0,IF('Deal maths'!AE102&gt;'Deal maths'!AA102,'Deal maths'!AA102,'Deal maths'!AE102),IF(IF(DAY('Deal maths'!AA102+1)=1,EOMONTH('Deal maths'!AA102,-(INT(((YEAR('Deal maths'!AA102)-YEAR(IF('Deal maths'!Z102&gt;0,'Deal maths'!Z102,DATE(1990,1,1))))*12+MONTH('Deal maths'!AA102)-MONTH(IF('Deal maths'!Z102&gt;0,'Deal maths'!Z102,DATE(1990,1,1))))/D102))*D102),EDATE('Deal maths'!AA102,-(INT(((YEAR('Deal maths'!AA102)-YEAR(IF('Deal maths'!Z102&gt;0,'Deal maths'!Z102,DATE(1990,1,1))))*12+MONTH('Deal maths'!AA102)-MONTH(IF('Deal maths'!Z102&gt;0,'Deal maths'!Z102,DATE(1990,1,1))))/D102))*D102))&gt;IF('Deal maths'!Z102&gt;0,'Deal maths'!Z102,DATE(1990,1,1)),IF(DAY('Deal maths'!AA102+1)=1,EOMONTH('Deal maths'!AA102,-(INT(((YEAR('Deal maths'!AA102)-YEAR(IF('Deal maths'!Z102&gt;0,'Deal maths'!Z102,DATE(1990,1,1))))*12+MONTH('Deal maths'!AA102)-MONTH(IF('Deal maths'!Z102&gt;0,'Deal maths'!Z102,DATE(1990,1,1))))/D102))*D102),EDATE('Deal maths'!AA102,-(INT(((YEAR('Deal maths'!AA102)-YEAR(IF('Deal maths'!Z102&gt;0,'Deal maths'!Z102,DATE(1990,1,1))))*12+MONTH('Deal maths'!AA102)-MONTH(IF('Deal maths'!Z102&gt;0,'Deal maths'!Z102,DATE(1990,1,1))))/D102))*D102)),IF(DAY('Deal maths'!AA102+1)=1,EOMONTH('Deal maths'!AA102,-(INT(((YEAR('Deal maths'!AA102)-YEAR(IF('Deal maths'!Z102&gt;0,'Deal maths'!Z102,DATE(1990,1,1))))*12+MONTH('Deal maths'!AA102)-MONTH(IF('Deal maths'!Z102&gt;0,'Deal maths'!Z102,DATE(1990,1,1))))/D102)-1)*D102),EDATE('Deal maths'!AA102,-(INT(((YEAR('Deal maths'!AA102)-YEAR(IF('Deal maths'!Z102&gt;0,'Deal maths'!Z102,DATE(1990,1,1))))*12+MONTH('Deal maths'!AA102)-MONTH(IF('Deal maths'!Z102&gt;0,'Deal maths'!Z102,DATE(1990,1,1))))/D102)-1)*D102))))),0)</f>
        <v/>
      </c>
      <c r="F102" s="110">
        <f>IF(D102=0,0,'Deal maths'!AB102*D102/12)</f>
        <v/>
      </c>
      <c r="G102" s="108">
        <f>N102+O102</f>
        <v/>
      </c>
      <c r="H102" s="108">
        <f>IFERROR(IF(OR(D102=0,AsAt&lt;E102),0,MIN(N102,INT(((YEAR(AsAt)-YEAR(E102))*12+MONTH(AsAt)-MONTH(E102)-(DAY(AsAt)&lt;MIN(R102,DAY(EOMONTH(AsAt,0)))))/D102)+1)+O102*(AsAt&gt;='Deal maths'!AA102)),0)</f>
        <v/>
      </c>
      <c r="I102" s="108">
        <f>G102-H102</f>
        <v/>
      </c>
      <c r="J102" s="111">
        <f>IF(AND(C102="EIP",I102&gt;0),'Deal maths'!Y102/I102,0)</f>
        <v/>
      </c>
      <c r="K102" s="111">
        <f>IF(AND(C102="Annuity",I102&gt;0),IF(F102&gt;0,'Deal maths'!Y102*F102/(1-(1+F102)^-I102),'Deal maths'!Y102/I102),0)</f>
        <v/>
      </c>
      <c r="L102" s="111">
        <f>IF('Deal maths'!Y102="",0,'Deal maths'!Y102)</f>
        <v/>
      </c>
      <c r="M102" s="112">
        <f>F102+(F102=0)</f>
        <v/>
      </c>
      <c r="N102" s="108">
        <f>IFERROR(IF(D102=0,0,INT(((YEAR('Deal maths'!AA102)-YEAR(E102))*12+MONTH('Deal maths'!AA102)-MONTH(E102)-(DAY('Deal maths'!AA102)&lt;MIN(R102,DAY(EOMONTH('Deal maths'!AA102,0)))))/D102)+1),0)</f>
        <v/>
      </c>
      <c r="O102" s="108">
        <f>IFERROR(IF(D102=0,0,IF(IF(DAY(E102+1)=1,EOMONTH(E102,(N102-1)*D102),EDATE(E102,(N102-1)*D102))='Deal maths'!AA102,0,1)),0)</f>
        <v/>
      </c>
      <c r="P102" s="113">
        <f>IF(B102=0,0,IFERROR(IF(C102="EIP",((I102-O102)*((IF(DAY(E102+1)=1,EOMONTH(E102,H102*D102),EDATE(E102,H102*D102))-AsAt)/365.25+(IF(DAY(E102+1)=1,EOMONTH(E102,(N102-1)*D102),EDATE(E102,(N102-1)*D102))-AsAt)/365.25)/2+O102*('Deal maths'!AA102-AsAt)/365.25)/I102,IF(C102="Annuity",IF(F102&gt;0,((K102-L102*F102)*((IF(DAY(E102+1)=1,EOMONTH(E102,H102*D102),EDATE(E102,H102*D102))-AsAt)/365.25*((1+F102)^(I102-O102)-1)/F102+IF((I102-O102)&gt;1,((IF(DAY(E102+1)=1,EOMONTH(E102,(N102-1)*D102),EDATE(E102,(N102-1)*D102))-AsAt)/365.25-(IF(DAY(E102+1)=1,EOMONTH(E102,H102*D102),EDATE(E102,H102*D102))-AsAt)/365.25)/((I102-O102)-1),0)*(1+F102)*(1-(I102-O102)*(1+F102)^((I102-O102)-1)+((I102-O102)-1)*(1+F102)^(I102-O102))/F102^2)+O102*(K102-L102*F102)*(1+F102)^(I102-1)*('Deal maths'!AA102-AsAt)/365.25)/L102,((I102-O102)*((IF(DAY(E102+1)=1,EOMONTH(E102,H102*D102),EDATE(E102,H102*D102))-AsAt)/365.25+(IF(DAY(E102+1)=1,EOMONTH(E102,(N102-1)*D102),EDATE(E102,(N102-1)*D102))-AsAt)/365.25)/2+O102*('Deal maths'!AA102-AsAt)/365.25)/I102),(S102-AsAt)/365.25)),0))</f>
        <v/>
      </c>
      <c r="Q102" s="109">
        <f>IF(B102=1,'Deal maths'!AA102+ROW()/1000000,"")</f>
        <v/>
      </c>
      <c r="R102" s="108">
        <f>IF(D102=0,0,IF(DAY(E102+1)=1,31,DAY(E102)))</f>
        <v/>
      </c>
      <c r="S102" s="109">
        <f>IF(AND('Deal maths'!V102="LOBO",'Deal maths'!AG102&gt;AsAt,'Deal maths'!AG102&lt;'Deal maths'!AA102),'Deal maths'!AG102,'Deal maths'!AA102)</f>
        <v/>
      </c>
      <c r="T102" s="108">
        <f>('Deal maths'!AA102&gt;AsAt)*('Deal maths'!Y102&gt;0)</f>
        <v/>
      </c>
    </row>
    <row r="103">
      <c r="A103" s="91">
        <f>IF('Deal maths'!V103="","",'Deal maths'!W103)</f>
        <v/>
      </c>
      <c r="B103" s="108">
        <f>('Deal maths'!AA103&gt;AsAt)*('Deal maths'!Y103&gt;0)*('Deal maths'!Z103&lt;=AsAt)</f>
        <v/>
      </c>
      <c r="C103" s="91">
        <f>IF('Deal maths'!V103="","",IF('Deal maths'!AC103="","Maturity",'Deal maths'!AC103))</f>
        <v/>
      </c>
      <c r="D103" s="108">
        <f>IF(OR(C103="EIP",C103="Annuity"),IF('Deal maths'!AD103="Annual",12,IF('Deal maths'!AD103="Quarterly",3,6)),0)</f>
        <v/>
      </c>
      <c r="E103" s="109">
        <f>IFERROR(IF(D103=0,0,IF('Deal maths'!AE103&gt;0,IF('Deal maths'!AE103&gt;'Deal maths'!AA103,'Deal maths'!AA103,'Deal maths'!AE103),IF(IF(DAY('Deal maths'!AA103+1)=1,EOMONTH('Deal maths'!AA103,-(INT(((YEAR('Deal maths'!AA103)-YEAR(IF('Deal maths'!Z103&gt;0,'Deal maths'!Z103,DATE(1990,1,1))))*12+MONTH('Deal maths'!AA103)-MONTH(IF('Deal maths'!Z103&gt;0,'Deal maths'!Z103,DATE(1990,1,1))))/D103))*D103),EDATE('Deal maths'!AA103,-(INT(((YEAR('Deal maths'!AA103)-YEAR(IF('Deal maths'!Z103&gt;0,'Deal maths'!Z103,DATE(1990,1,1))))*12+MONTH('Deal maths'!AA103)-MONTH(IF('Deal maths'!Z103&gt;0,'Deal maths'!Z103,DATE(1990,1,1))))/D103))*D103))&gt;IF('Deal maths'!Z103&gt;0,'Deal maths'!Z103,DATE(1990,1,1)),IF(DAY('Deal maths'!AA103+1)=1,EOMONTH('Deal maths'!AA103,-(INT(((YEAR('Deal maths'!AA103)-YEAR(IF('Deal maths'!Z103&gt;0,'Deal maths'!Z103,DATE(1990,1,1))))*12+MONTH('Deal maths'!AA103)-MONTH(IF('Deal maths'!Z103&gt;0,'Deal maths'!Z103,DATE(1990,1,1))))/D103))*D103),EDATE('Deal maths'!AA103,-(INT(((YEAR('Deal maths'!AA103)-YEAR(IF('Deal maths'!Z103&gt;0,'Deal maths'!Z103,DATE(1990,1,1))))*12+MONTH('Deal maths'!AA103)-MONTH(IF('Deal maths'!Z103&gt;0,'Deal maths'!Z103,DATE(1990,1,1))))/D103))*D103)),IF(DAY('Deal maths'!AA103+1)=1,EOMONTH('Deal maths'!AA103,-(INT(((YEAR('Deal maths'!AA103)-YEAR(IF('Deal maths'!Z103&gt;0,'Deal maths'!Z103,DATE(1990,1,1))))*12+MONTH('Deal maths'!AA103)-MONTH(IF('Deal maths'!Z103&gt;0,'Deal maths'!Z103,DATE(1990,1,1))))/D103)-1)*D103),EDATE('Deal maths'!AA103,-(INT(((YEAR('Deal maths'!AA103)-YEAR(IF('Deal maths'!Z103&gt;0,'Deal maths'!Z103,DATE(1990,1,1))))*12+MONTH('Deal maths'!AA103)-MONTH(IF('Deal maths'!Z103&gt;0,'Deal maths'!Z103,DATE(1990,1,1))))/D103)-1)*D103))))),0)</f>
        <v/>
      </c>
      <c r="F103" s="110">
        <f>IF(D103=0,0,'Deal maths'!AB103*D103/12)</f>
        <v/>
      </c>
      <c r="G103" s="108">
        <f>N103+O103</f>
        <v/>
      </c>
      <c r="H103" s="108">
        <f>IFERROR(IF(OR(D103=0,AsAt&lt;E103),0,MIN(N103,INT(((YEAR(AsAt)-YEAR(E103))*12+MONTH(AsAt)-MONTH(E103)-(DAY(AsAt)&lt;MIN(R103,DAY(EOMONTH(AsAt,0)))))/D103)+1)+O103*(AsAt&gt;='Deal maths'!AA103)),0)</f>
        <v/>
      </c>
      <c r="I103" s="108">
        <f>G103-H103</f>
        <v/>
      </c>
      <c r="J103" s="111">
        <f>IF(AND(C103="EIP",I103&gt;0),'Deal maths'!Y103/I103,0)</f>
        <v/>
      </c>
      <c r="K103" s="111">
        <f>IF(AND(C103="Annuity",I103&gt;0),IF(F103&gt;0,'Deal maths'!Y103*F103/(1-(1+F103)^-I103),'Deal maths'!Y103/I103),0)</f>
        <v/>
      </c>
      <c r="L103" s="111">
        <f>IF('Deal maths'!Y103="",0,'Deal maths'!Y103)</f>
        <v/>
      </c>
      <c r="M103" s="112">
        <f>F103+(F103=0)</f>
        <v/>
      </c>
      <c r="N103" s="108">
        <f>IFERROR(IF(D103=0,0,INT(((YEAR('Deal maths'!AA103)-YEAR(E103))*12+MONTH('Deal maths'!AA103)-MONTH(E103)-(DAY('Deal maths'!AA103)&lt;MIN(R103,DAY(EOMONTH('Deal maths'!AA103,0)))))/D103)+1),0)</f>
        <v/>
      </c>
      <c r="O103" s="108">
        <f>IFERROR(IF(D103=0,0,IF(IF(DAY(E103+1)=1,EOMONTH(E103,(N103-1)*D103),EDATE(E103,(N103-1)*D103))='Deal maths'!AA103,0,1)),0)</f>
        <v/>
      </c>
      <c r="P103" s="113">
        <f>IF(B103=0,0,IFERROR(IF(C103="EIP",((I103-O103)*((IF(DAY(E103+1)=1,EOMONTH(E103,H103*D103),EDATE(E103,H103*D103))-AsAt)/365.25+(IF(DAY(E103+1)=1,EOMONTH(E103,(N103-1)*D103),EDATE(E103,(N103-1)*D103))-AsAt)/365.25)/2+O103*('Deal maths'!AA103-AsAt)/365.25)/I103,IF(C103="Annuity",IF(F103&gt;0,((K103-L103*F103)*((IF(DAY(E103+1)=1,EOMONTH(E103,H103*D103),EDATE(E103,H103*D103))-AsAt)/365.25*((1+F103)^(I103-O103)-1)/F103+IF((I103-O103)&gt;1,((IF(DAY(E103+1)=1,EOMONTH(E103,(N103-1)*D103),EDATE(E103,(N103-1)*D103))-AsAt)/365.25-(IF(DAY(E103+1)=1,EOMONTH(E103,H103*D103),EDATE(E103,H103*D103))-AsAt)/365.25)/((I103-O103)-1),0)*(1+F103)*(1-(I103-O103)*(1+F103)^((I103-O103)-1)+((I103-O103)-1)*(1+F103)^(I103-O103))/F103^2)+O103*(K103-L103*F103)*(1+F103)^(I103-1)*('Deal maths'!AA103-AsAt)/365.25)/L103,((I103-O103)*((IF(DAY(E103+1)=1,EOMONTH(E103,H103*D103),EDATE(E103,H103*D103))-AsAt)/365.25+(IF(DAY(E103+1)=1,EOMONTH(E103,(N103-1)*D103),EDATE(E103,(N103-1)*D103))-AsAt)/365.25)/2+O103*('Deal maths'!AA103-AsAt)/365.25)/I103),(S103-AsAt)/365.25)),0))</f>
        <v/>
      </c>
      <c r="Q103" s="109">
        <f>IF(B103=1,'Deal maths'!AA103+ROW()/1000000,"")</f>
        <v/>
      </c>
      <c r="R103" s="108">
        <f>IF(D103=0,0,IF(DAY(E103+1)=1,31,DAY(E103)))</f>
        <v/>
      </c>
      <c r="S103" s="109">
        <f>IF(AND('Deal maths'!V103="LOBO",'Deal maths'!AG103&gt;AsAt,'Deal maths'!AG103&lt;'Deal maths'!AA103),'Deal maths'!AG103,'Deal maths'!AA103)</f>
        <v/>
      </c>
      <c r="T103" s="108">
        <f>('Deal maths'!AA103&gt;AsAt)*('Deal maths'!Y103&gt;0)</f>
        <v/>
      </c>
    </row>
    <row r="104">
      <c r="A104" s="91">
        <f>IF('Deal maths'!V104="","",'Deal maths'!W104)</f>
        <v/>
      </c>
      <c r="B104" s="108">
        <f>('Deal maths'!AA104&gt;AsAt)*('Deal maths'!Y104&gt;0)*('Deal maths'!Z104&lt;=AsAt)</f>
        <v/>
      </c>
      <c r="C104" s="91">
        <f>IF('Deal maths'!V104="","",IF('Deal maths'!AC104="","Maturity",'Deal maths'!AC104))</f>
        <v/>
      </c>
      <c r="D104" s="108">
        <f>IF(OR(C104="EIP",C104="Annuity"),IF('Deal maths'!AD104="Annual",12,IF('Deal maths'!AD104="Quarterly",3,6)),0)</f>
        <v/>
      </c>
      <c r="E104" s="109">
        <f>IFERROR(IF(D104=0,0,IF('Deal maths'!AE104&gt;0,IF('Deal maths'!AE104&gt;'Deal maths'!AA104,'Deal maths'!AA104,'Deal maths'!AE104),IF(IF(DAY('Deal maths'!AA104+1)=1,EOMONTH('Deal maths'!AA104,-(INT(((YEAR('Deal maths'!AA104)-YEAR(IF('Deal maths'!Z104&gt;0,'Deal maths'!Z104,DATE(1990,1,1))))*12+MONTH('Deal maths'!AA104)-MONTH(IF('Deal maths'!Z104&gt;0,'Deal maths'!Z104,DATE(1990,1,1))))/D104))*D104),EDATE('Deal maths'!AA104,-(INT(((YEAR('Deal maths'!AA104)-YEAR(IF('Deal maths'!Z104&gt;0,'Deal maths'!Z104,DATE(1990,1,1))))*12+MONTH('Deal maths'!AA104)-MONTH(IF('Deal maths'!Z104&gt;0,'Deal maths'!Z104,DATE(1990,1,1))))/D104))*D104))&gt;IF('Deal maths'!Z104&gt;0,'Deal maths'!Z104,DATE(1990,1,1)),IF(DAY('Deal maths'!AA104+1)=1,EOMONTH('Deal maths'!AA104,-(INT(((YEAR('Deal maths'!AA104)-YEAR(IF('Deal maths'!Z104&gt;0,'Deal maths'!Z104,DATE(1990,1,1))))*12+MONTH('Deal maths'!AA104)-MONTH(IF('Deal maths'!Z104&gt;0,'Deal maths'!Z104,DATE(1990,1,1))))/D104))*D104),EDATE('Deal maths'!AA104,-(INT(((YEAR('Deal maths'!AA104)-YEAR(IF('Deal maths'!Z104&gt;0,'Deal maths'!Z104,DATE(1990,1,1))))*12+MONTH('Deal maths'!AA104)-MONTH(IF('Deal maths'!Z104&gt;0,'Deal maths'!Z104,DATE(1990,1,1))))/D104))*D104)),IF(DAY('Deal maths'!AA104+1)=1,EOMONTH('Deal maths'!AA104,-(INT(((YEAR('Deal maths'!AA104)-YEAR(IF('Deal maths'!Z104&gt;0,'Deal maths'!Z104,DATE(1990,1,1))))*12+MONTH('Deal maths'!AA104)-MONTH(IF('Deal maths'!Z104&gt;0,'Deal maths'!Z104,DATE(1990,1,1))))/D104)-1)*D104),EDATE('Deal maths'!AA104,-(INT(((YEAR('Deal maths'!AA104)-YEAR(IF('Deal maths'!Z104&gt;0,'Deal maths'!Z104,DATE(1990,1,1))))*12+MONTH('Deal maths'!AA104)-MONTH(IF('Deal maths'!Z104&gt;0,'Deal maths'!Z104,DATE(1990,1,1))))/D104)-1)*D104))))),0)</f>
        <v/>
      </c>
      <c r="F104" s="110">
        <f>IF(D104=0,0,'Deal maths'!AB104*D104/12)</f>
        <v/>
      </c>
      <c r="G104" s="108">
        <f>N104+O104</f>
        <v/>
      </c>
      <c r="H104" s="108">
        <f>IFERROR(IF(OR(D104=0,AsAt&lt;E104),0,MIN(N104,INT(((YEAR(AsAt)-YEAR(E104))*12+MONTH(AsAt)-MONTH(E104)-(DAY(AsAt)&lt;MIN(R104,DAY(EOMONTH(AsAt,0)))))/D104)+1)+O104*(AsAt&gt;='Deal maths'!AA104)),0)</f>
        <v/>
      </c>
      <c r="I104" s="108">
        <f>G104-H104</f>
        <v/>
      </c>
      <c r="J104" s="111">
        <f>IF(AND(C104="EIP",I104&gt;0),'Deal maths'!Y104/I104,0)</f>
        <v/>
      </c>
      <c r="K104" s="111">
        <f>IF(AND(C104="Annuity",I104&gt;0),IF(F104&gt;0,'Deal maths'!Y104*F104/(1-(1+F104)^-I104),'Deal maths'!Y104/I104),0)</f>
        <v/>
      </c>
      <c r="L104" s="111">
        <f>IF('Deal maths'!Y104="",0,'Deal maths'!Y104)</f>
        <v/>
      </c>
      <c r="M104" s="112">
        <f>F104+(F104=0)</f>
        <v/>
      </c>
      <c r="N104" s="108">
        <f>IFERROR(IF(D104=0,0,INT(((YEAR('Deal maths'!AA104)-YEAR(E104))*12+MONTH('Deal maths'!AA104)-MONTH(E104)-(DAY('Deal maths'!AA104)&lt;MIN(R104,DAY(EOMONTH('Deal maths'!AA104,0)))))/D104)+1),0)</f>
        <v/>
      </c>
      <c r="O104" s="108">
        <f>IFERROR(IF(D104=0,0,IF(IF(DAY(E104+1)=1,EOMONTH(E104,(N104-1)*D104),EDATE(E104,(N104-1)*D104))='Deal maths'!AA104,0,1)),0)</f>
        <v/>
      </c>
      <c r="P104" s="113">
        <f>IF(B104=0,0,IFERROR(IF(C104="EIP",((I104-O104)*((IF(DAY(E104+1)=1,EOMONTH(E104,H104*D104),EDATE(E104,H104*D104))-AsAt)/365.25+(IF(DAY(E104+1)=1,EOMONTH(E104,(N104-1)*D104),EDATE(E104,(N104-1)*D104))-AsAt)/365.25)/2+O104*('Deal maths'!AA104-AsAt)/365.25)/I104,IF(C104="Annuity",IF(F104&gt;0,((K104-L104*F104)*((IF(DAY(E104+1)=1,EOMONTH(E104,H104*D104),EDATE(E104,H104*D104))-AsAt)/365.25*((1+F104)^(I104-O104)-1)/F104+IF((I104-O104)&gt;1,((IF(DAY(E104+1)=1,EOMONTH(E104,(N104-1)*D104),EDATE(E104,(N104-1)*D104))-AsAt)/365.25-(IF(DAY(E104+1)=1,EOMONTH(E104,H104*D104),EDATE(E104,H104*D104))-AsAt)/365.25)/((I104-O104)-1),0)*(1+F104)*(1-(I104-O104)*(1+F104)^((I104-O104)-1)+((I104-O104)-1)*(1+F104)^(I104-O104))/F104^2)+O104*(K104-L104*F104)*(1+F104)^(I104-1)*('Deal maths'!AA104-AsAt)/365.25)/L104,((I104-O104)*((IF(DAY(E104+1)=1,EOMONTH(E104,H104*D104),EDATE(E104,H104*D104))-AsAt)/365.25+(IF(DAY(E104+1)=1,EOMONTH(E104,(N104-1)*D104),EDATE(E104,(N104-1)*D104))-AsAt)/365.25)/2+O104*('Deal maths'!AA104-AsAt)/365.25)/I104),(S104-AsAt)/365.25)),0))</f>
        <v/>
      </c>
      <c r="Q104" s="109">
        <f>IF(B104=1,'Deal maths'!AA104+ROW()/1000000,"")</f>
        <v/>
      </c>
      <c r="R104" s="108">
        <f>IF(D104=0,0,IF(DAY(E104+1)=1,31,DAY(E104)))</f>
        <v/>
      </c>
      <c r="S104" s="109">
        <f>IF(AND('Deal maths'!V104="LOBO",'Deal maths'!AG104&gt;AsAt,'Deal maths'!AG104&lt;'Deal maths'!AA104),'Deal maths'!AG104,'Deal maths'!AA104)</f>
        <v/>
      </c>
      <c r="T104" s="108">
        <f>('Deal maths'!AA104&gt;AsAt)*('Deal maths'!Y104&gt;0)</f>
        <v/>
      </c>
    </row>
    <row r="105">
      <c r="A105" s="91">
        <f>IF('Deal maths'!V105="","",'Deal maths'!W105)</f>
        <v/>
      </c>
      <c r="B105" s="108">
        <f>('Deal maths'!AA105&gt;AsAt)*('Deal maths'!Y105&gt;0)*('Deal maths'!Z105&lt;=AsAt)</f>
        <v/>
      </c>
      <c r="C105" s="91">
        <f>IF('Deal maths'!V105="","",IF('Deal maths'!AC105="","Maturity",'Deal maths'!AC105))</f>
        <v/>
      </c>
      <c r="D105" s="108">
        <f>IF(OR(C105="EIP",C105="Annuity"),IF('Deal maths'!AD105="Annual",12,IF('Deal maths'!AD105="Quarterly",3,6)),0)</f>
        <v/>
      </c>
      <c r="E105" s="109">
        <f>IFERROR(IF(D105=0,0,IF('Deal maths'!AE105&gt;0,IF('Deal maths'!AE105&gt;'Deal maths'!AA105,'Deal maths'!AA105,'Deal maths'!AE105),IF(IF(DAY('Deal maths'!AA105+1)=1,EOMONTH('Deal maths'!AA105,-(INT(((YEAR('Deal maths'!AA105)-YEAR(IF('Deal maths'!Z105&gt;0,'Deal maths'!Z105,DATE(1990,1,1))))*12+MONTH('Deal maths'!AA105)-MONTH(IF('Deal maths'!Z105&gt;0,'Deal maths'!Z105,DATE(1990,1,1))))/D105))*D105),EDATE('Deal maths'!AA105,-(INT(((YEAR('Deal maths'!AA105)-YEAR(IF('Deal maths'!Z105&gt;0,'Deal maths'!Z105,DATE(1990,1,1))))*12+MONTH('Deal maths'!AA105)-MONTH(IF('Deal maths'!Z105&gt;0,'Deal maths'!Z105,DATE(1990,1,1))))/D105))*D105))&gt;IF('Deal maths'!Z105&gt;0,'Deal maths'!Z105,DATE(1990,1,1)),IF(DAY('Deal maths'!AA105+1)=1,EOMONTH('Deal maths'!AA105,-(INT(((YEAR('Deal maths'!AA105)-YEAR(IF('Deal maths'!Z105&gt;0,'Deal maths'!Z105,DATE(1990,1,1))))*12+MONTH('Deal maths'!AA105)-MONTH(IF('Deal maths'!Z105&gt;0,'Deal maths'!Z105,DATE(1990,1,1))))/D105))*D105),EDATE('Deal maths'!AA105,-(INT(((YEAR('Deal maths'!AA105)-YEAR(IF('Deal maths'!Z105&gt;0,'Deal maths'!Z105,DATE(1990,1,1))))*12+MONTH('Deal maths'!AA105)-MONTH(IF('Deal maths'!Z105&gt;0,'Deal maths'!Z105,DATE(1990,1,1))))/D105))*D105)),IF(DAY('Deal maths'!AA105+1)=1,EOMONTH('Deal maths'!AA105,-(INT(((YEAR('Deal maths'!AA105)-YEAR(IF('Deal maths'!Z105&gt;0,'Deal maths'!Z105,DATE(1990,1,1))))*12+MONTH('Deal maths'!AA105)-MONTH(IF('Deal maths'!Z105&gt;0,'Deal maths'!Z105,DATE(1990,1,1))))/D105)-1)*D105),EDATE('Deal maths'!AA105,-(INT(((YEAR('Deal maths'!AA105)-YEAR(IF('Deal maths'!Z105&gt;0,'Deal maths'!Z105,DATE(1990,1,1))))*12+MONTH('Deal maths'!AA105)-MONTH(IF('Deal maths'!Z105&gt;0,'Deal maths'!Z105,DATE(1990,1,1))))/D105)-1)*D105))))),0)</f>
        <v/>
      </c>
      <c r="F105" s="110">
        <f>IF(D105=0,0,'Deal maths'!AB105*D105/12)</f>
        <v/>
      </c>
      <c r="G105" s="108">
        <f>N105+O105</f>
        <v/>
      </c>
      <c r="H105" s="108">
        <f>IFERROR(IF(OR(D105=0,AsAt&lt;E105),0,MIN(N105,INT(((YEAR(AsAt)-YEAR(E105))*12+MONTH(AsAt)-MONTH(E105)-(DAY(AsAt)&lt;MIN(R105,DAY(EOMONTH(AsAt,0)))))/D105)+1)+O105*(AsAt&gt;='Deal maths'!AA105)),0)</f>
        <v/>
      </c>
      <c r="I105" s="108">
        <f>G105-H105</f>
        <v/>
      </c>
      <c r="J105" s="111">
        <f>IF(AND(C105="EIP",I105&gt;0),'Deal maths'!Y105/I105,0)</f>
        <v/>
      </c>
      <c r="K105" s="111">
        <f>IF(AND(C105="Annuity",I105&gt;0),IF(F105&gt;0,'Deal maths'!Y105*F105/(1-(1+F105)^-I105),'Deal maths'!Y105/I105),0)</f>
        <v/>
      </c>
      <c r="L105" s="111">
        <f>IF('Deal maths'!Y105="",0,'Deal maths'!Y105)</f>
        <v/>
      </c>
      <c r="M105" s="112">
        <f>F105+(F105=0)</f>
        <v/>
      </c>
      <c r="N105" s="108">
        <f>IFERROR(IF(D105=0,0,INT(((YEAR('Deal maths'!AA105)-YEAR(E105))*12+MONTH('Deal maths'!AA105)-MONTH(E105)-(DAY('Deal maths'!AA105)&lt;MIN(R105,DAY(EOMONTH('Deal maths'!AA105,0)))))/D105)+1),0)</f>
        <v/>
      </c>
      <c r="O105" s="108">
        <f>IFERROR(IF(D105=0,0,IF(IF(DAY(E105+1)=1,EOMONTH(E105,(N105-1)*D105),EDATE(E105,(N105-1)*D105))='Deal maths'!AA105,0,1)),0)</f>
        <v/>
      </c>
      <c r="P105" s="113">
        <f>IF(B105=0,0,IFERROR(IF(C105="EIP",((I105-O105)*((IF(DAY(E105+1)=1,EOMONTH(E105,H105*D105),EDATE(E105,H105*D105))-AsAt)/365.25+(IF(DAY(E105+1)=1,EOMONTH(E105,(N105-1)*D105),EDATE(E105,(N105-1)*D105))-AsAt)/365.25)/2+O105*('Deal maths'!AA105-AsAt)/365.25)/I105,IF(C105="Annuity",IF(F105&gt;0,((K105-L105*F105)*((IF(DAY(E105+1)=1,EOMONTH(E105,H105*D105),EDATE(E105,H105*D105))-AsAt)/365.25*((1+F105)^(I105-O105)-1)/F105+IF((I105-O105)&gt;1,((IF(DAY(E105+1)=1,EOMONTH(E105,(N105-1)*D105),EDATE(E105,(N105-1)*D105))-AsAt)/365.25-(IF(DAY(E105+1)=1,EOMONTH(E105,H105*D105),EDATE(E105,H105*D105))-AsAt)/365.25)/((I105-O105)-1),0)*(1+F105)*(1-(I105-O105)*(1+F105)^((I105-O105)-1)+((I105-O105)-1)*(1+F105)^(I105-O105))/F105^2)+O105*(K105-L105*F105)*(1+F105)^(I105-1)*('Deal maths'!AA105-AsAt)/365.25)/L105,((I105-O105)*((IF(DAY(E105+1)=1,EOMONTH(E105,H105*D105),EDATE(E105,H105*D105))-AsAt)/365.25+(IF(DAY(E105+1)=1,EOMONTH(E105,(N105-1)*D105),EDATE(E105,(N105-1)*D105))-AsAt)/365.25)/2+O105*('Deal maths'!AA105-AsAt)/365.25)/I105),(S105-AsAt)/365.25)),0))</f>
        <v/>
      </c>
      <c r="Q105" s="109">
        <f>IF(B105=1,'Deal maths'!AA105+ROW()/1000000,"")</f>
        <v/>
      </c>
      <c r="R105" s="108">
        <f>IF(D105=0,0,IF(DAY(E105+1)=1,31,DAY(E105)))</f>
        <v/>
      </c>
      <c r="S105" s="109">
        <f>IF(AND('Deal maths'!V105="LOBO",'Deal maths'!AG105&gt;AsAt,'Deal maths'!AG105&lt;'Deal maths'!AA105),'Deal maths'!AG105,'Deal maths'!AA105)</f>
        <v/>
      </c>
      <c r="T105" s="108">
        <f>('Deal maths'!AA105&gt;AsAt)*('Deal maths'!Y105&gt;0)</f>
        <v/>
      </c>
    </row>
    <row r="106">
      <c r="A106" s="91">
        <f>IF('Deal maths'!V106="","",'Deal maths'!W106)</f>
        <v/>
      </c>
      <c r="B106" s="108">
        <f>('Deal maths'!AA106&gt;AsAt)*('Deal maths'!Y106&gt;0)*('Deal maths'!Z106&lt;=AsAt)</f>
        <v/>
      </c>
      <c r="C106" s="91">
        <f>IF('Deal maths'!V106="","",IF('Deal maths'!AC106="","Maturity",'Deal maths'!AC106))</f>
        <v/>
      </c>
      <c r="D106" s="108">
        <f>IF(OR(C106="EIP",C106="Annuity"),IF('Deal maths'!AD106="Annual",12,IF('Deal maths'!AD106="Quarterly",3,6)),0)</f>
        <v/>
      </c>
      <c r="E106" s="109">
        <f>IFERROR(IF(D106=0,0,IF('Deal maths'!AE106&gt;0,IF('Deal maths'!AE106&gt;'Deal maths'!AA106,'Deal maths'!AA106,'Deal maths'!AE106),IF(IF(DAY('Deal maths'!AA106+1)=1,EOMONTH('Deal maths'!AA106,-(INT(((YEAR('Deal maths'!AA106)-YEAR(IF('Deal maths'!Z106&gt;0,'Deal maths'!Z106,DATE(1990,1,1))))*12+MONTH('Deal maths'!AA106)-MONTH(IF('Deal maths'!Z106&gt;0,'Deal maths'!Z106,DATE(1990,1,1))))/D106))*D106),EDATE('Deal maths'!AA106,-(INT(((YEAR('Deal maths'!AA106)-YEAR(IF('Deal maths'!Z106&gt;0,'Deal maths'!Z106,DATE(1990,1,1))))*12+MONTH('Deal maths'!AA106)-MONTH(IF('Deal maths'!Z106&gt;0,'Deal maths'!Z106,DATE(1990,1,1))))/D106))*D106))&gt;IF('Deal maths'!Z106&gt;0,'Deal maths'!Z106,DATE(1990,1,1)),IF(DAY('Deal maths'!AA106+1)=1,EOMONTH('Deal maths'!AA106,-(INT(((YEAR('Deal maths'!AA106)-YEAR(IF('Deal maths'!Z106&gt;0,'Deal maths'!Z106,DATE(1990,1,1))))*12+MONTH('Deal maths'!AA106)-MONTH(IF('Deal maths'!Z106&gt;0,'Deal maths'!Z106,DATE(1990,1,1))))/D106))*D106),EDATE('Deal maths'!AA106,-(INT(((YEAR('Deal maths'!AA106)-YEAR(IF('Deal maths'!Z106&gt;0,'Deal maths'!Z106,DATE(1990,1,1))))*12+MONTH('Deal maths'!AA106)-MONTH(IF('Deal maths'!Z106&gt;0,'Deal maths'!Z106,DATE(1990,1,1))))/D106))*D106)),IF(DAY('Deal maths'!AA106+1)=1,EOMONTH('Deal maths'!AA106,-(INT(((YEAR('Deal maths'!AA106)-YEAR(IF('Deal maths'!Z106&gt;0,'Deal maths'!Z106,DATE(1990,1,1))))*12+MONTH('Deal maths'!AA106)-MONTH(IF('Deal maths'!Z106&gt;0,'Deal maths'!Z106,DATE(1990,1,1))))/D106)-1)*D106),EDATE('Deal maths'!AA106,-(INT(((YEAR('Deal maths'!AA106)-YEAR(IF('Deal maths'!Z106&gt;0,'Deal maths'!Z106,DATE(1990,1,1))))*12+MONTH('Deal maths'!AA106)-MONTH(IF('Deal maths'!Z106&gt;0,'Deal maths'!Z106,DATE(1990,1,1))))/D106)-1)*D106))))),0)</f>
        <v/>
      </c>
      <c r="F106" s="110">
        <f>IF(D106=0,0,'Deal maths'!AB106*D106/12)</f>
        <v/>
      </c>
      <c r="G106" s="108">
        <f>N106+O106</f>
        <v/>
      </c>
      <c r="H106" s="108">
        <f>IFERROR(IF(OR(D106=0,AsAt&lt;E106),0,MIN(N106,INT(((YEAR(AsAt)-YEAR(E106))*12+MONTH(AsAt)-MONTH(E106)-(DAY(AsAt)&lt;MIN(R106,DAY(EOMONTH(AsAt,0)))))/D106)+1)+O106*(AsAt&gt;='Deal maths'!AA106)),0)</f>
        <v/>
      </c>
      <c r="I106" s="108">
        <f>G106-H106</f>
        <v/>
      </c>
      <c r="J106" s="111">
        <f>IF(AND(C106="EIP",I106&gt;0),'Deal maths'!Y106/I106,0)</f>
        <v/>
      </c>
      <c r="K106" s="111">
        <f>IF(AND(C106="Annuity",I106&gt;0),IF(F106&gt;0,'Deal maths'!Y106*F106/(1-(1+F106)^-I106),'Deal maths'!Y106/I106),0)</f>
        <v/>
      </c>
      <c r="L106" s="111">
        <f>IF('Deal maths'!Y106="",0,'Deal maths'!Y106)</f>
        <v/>
      </c>
      <c r="M106" s="112">
        <f>F106+(F106=0)</f>
        <v/>
      </c>
      <c r="N106" s="108">
        <f>IFERROR(IF(D106=0,0,INT(((YEAR('Deal maths'!AA106)-YEAR(E106))*12+MONTH('Deal maths'!AA106)-MONTH(E106)-(DAY('Deal maths'!AA106)&lt;MIN(R106,DAY(EOMONTH('Deal maths'!AA106,0)))))/D106)+1),0)</f>
        <v/>
      </c>
      <c r="O106" s="108">
        <f>IFERROR(IF(D106=0,0,IF(IF(DAY(E106+1)=1,EOMONTH(E106,(N106-1)*D106),EDATE(E106,(N106-1)*D106))='Deal maths'!AA106,0,1)),0)</f>
        <v/>
      </c>
      <c r="P106" s="113">
        <f>IF(B106=0,0,IFERROR(IF(C106="EIP",((I106-O106)*((IF(DAY(E106+1)=1,EOMONTH(E106,H106*D106),EDATE(E106,H106*D106))-AsAt)/365.25+(IF(DAY(E106+1)=1,EOMONTH(E106,(N106-1)*D106),EDATE(E106,(N106-1)*D106))-AsAt)/365.25)/2+O106*('Deal maths'!AA106-AsAt)/365.25)/I106,IF(C106="Annuity",IF(F106&gt;0,((K106-L106*F106)*((IF(DAY(E106+1)=1,EOMONTH(E106,H106*D106),EDATE(E106,H106*D106))-AsAt)/365.25*((1+F106)^(I106-O106)-1)/F106+IF((I106-O106)&gt;1,((IF(DAY(E106+1)=1,EOMONTH(E106,(N106-1)*D106),EDATE(E106,(N106-1)*D106))-AsAt)/365.25-(IF(DAY(E106+1)=1,EOMONTH(E106,H106*D106),EDATE(E106,H106*D106))-AsAt)/365.25)/((I106-O106)-1),0)*(1+F106)*(1-(I106-O106)*(1+F106)^((I106-O106)-1)+((I106-O106)-1)*(1+F106)^(I106-O106))/F106^2)+O106*(K106-L106*F106)*(1+F106)^(I106-1)*('Deal maths'!AA106-AsAt)/365.25)/L106,((I106-O106)*((IF(DAY(E106+1)=1,EOMONTH(E106,H106*D106),EDATE(E106,H106*D106))-AsAt)/365.25+(IF(DAY(E106+1)=1,EOMONTH(E106,(N106-1)*D106),EDATE(E106,(N106-1)*D106))-AsAt)/365.25)/2+O106*('Deal maths'!AA106-AsAt)/365.25)/I106),(S106-AsAt)/365.25)),0))</f>
        <v/>
      </c>
      <c r="Q106" s="109">
        <f>IF(B106=1,'Deal maths'!AA106+ROW()/1000000,"")</f>
        <v/>
      </c>
      <c r="R106" s="108">
        <f>IF(D106=0,0,IF(DAY(E106+1)=1,31,DAY(E106)))</f>
        <v/>
      </c>
      <c r="S106" s="109">
        <f>IF(AND('Deal maths'!V106="LOBO",'Deal maths'!AG106&gt;AsAt,'Deal maths'!AG106&lt;'Deal maths'!AA106),'Deal maths'!AG106,'Deal maths'!AA106)</f>
        <v/>
      </c>
      <c r="T106" s="108">
        <f>('Deal maths'!AA106&gt;AsAt)*('Deal maths'!Y106&gt;0)</f>
        <v/>
      </c>
    </row>
    <row r="107">
      <c r="A107" s="91">
        <f>IF('Deal maths'!V107="","",'Deal maths'!W107)</f>
        <v/>
      </c>
      <c r="B107" s="108">
        <f>('Deal maths'!AA107&gt;AsAt)*('Deal maths'!Y107&gt;0)*('Deal maths'!Z107&lt;=AsAt)</f>
        <v/>
      </c>
      <c r="C107" s="91">
        <f>IF('Deal maths'!V107="","",IF('Deal maths'!AC107="","Maturity",'Deal maths'!AC107))</f>
        <v/>
      </c>
      <c r="D107" s="108">
        <f>IF(OR(C107="EIP",C107="Annuity"),IF('Deal maths'!AD107="Annual",12,IF('Deal maths'!AD107="Quarterly",3,6)),0)</f>
        <v/>
      </c>
      <c r="E107" s="109">
        <f>IFERROR(IF(D107=0,0,IF('Deal maths'!AE107&gt;0,IF('Deal maths'!AE107&gt;'Deal maths'!AA107,'Deal maths'!AA107,'Deal maths'!AE107),IF(IF(DAY('Deal maths'!AA107+1)=1,EOMONTH('Deal maths'!AA107,-(INT(((YEAR('Deal maths'!AA107)-YEAR(IF('Deal maths'!Z107&gt;0,'Deal maths'!Z107,DATE(1990,1,1))))*12+MONTH('Deal maths'!AA107)-MONTH(IF('Deal maths'!Z107&gt;0,'Deal maths'!Z107,DATE(1990,1,1))))/D107))*D107),EDATE('Deal maths'!AA107,-(INT(((YEAR('Deal maths'!AA107)-YEAR(IF('Deal maths'!Z107&gt;0,'Deal maths'!Z107,DATE(1990,1,1))))*12+MONTH('Deal maths'!AA107)-MONTH(IF('Deal maths'!Z107&gt;0,'Deal maths'!Z107,DATE(1990,1,1))))/D107))*D107))&gt;IF('Deal maths'!Z107&gt;0,'Deal maths'!Z107,DATE(1990,1,1)),IF(DAY('Deal maths'!AA107+1)=1,EOMONTH('Deal maths'!AA107,-(INT(((YEAR('Deal maths'!AA107)-YEAR(IF('Deal maths'!Z107&gt;0,'Deal maths'!Z107,DATE(1990,1,1))))*12+MONTH('Deal maths'!AA107)-MONTH(IF('Deal maths'!Z107&gt;0,'Deal maths'!Z107,DATE(1990,1,1))))/D107))*D107),EDATE('Deal maths'!AA107,-(INT(((YEAR('Deal maths'!AA107)-YEAR(IF('Deal maths'!Z107&gt;0,'Deal maths'!Z107,DATE(1990,1,1))))*12+MONTH('Deal maths'!AA107)-MONTH(IF('Deal maths'!Z107&gt;0,'Deal maths'!Z107,DATE(1990,1,1))))/D107))*D107)),IF(DAY('Deal maths'!AA107+1)=1,EOMONTH('Deal maths'!AA107,-(INT(((YEAR('Deal maths'!AA107)-YEAR(IF('Deal maths'!Z107&gt;0,'Deal maths'!Z107,DATE(1990,1,1))))*12+MONTH('Deal maths'!AA107)-MONTH(IF('Deal maths'!Z107&gt;0,'Deal maths'!Z107,DATE(1990,1,1))))/D107)-1)*D107),EDATE('Deal maths'!AA107,-(INT(((YEAR('Deal maths'!AA107)-YEAR(IF('Deal maths'!Z107&gt;0,'Deal maths'!Z107,DATE(1990,1,1))))*12+MONTH('Deal maths'!AA107)-MONTH(IF('Deal maths'!Z107&gt;0,'Deal maths'!Z107,DATE(1990,1,1))))/D107)-1)*D107))))),0)</f>
        <v/>
      </c>
      <c r="F107" s="110">
        <f>IF(D107=0,0,'Deal maths'!AB107*D107/12)</f>
        <v/>
      </c>
      <c r="G107" s="108">
        <f>N107+O107</f>
        <v/>
      </c>
      <c r="H107" s="108">
        <f>IFERROR(IF(OR(D107=0,AsAt&lt;E107),0,MIN(N107,INT(((YEAR(AsAt)-YEAR(E107))*12+MONTH(AsAt)-MONTH(E107)-(DAY(AsAt)&lt;MIN(R107,DAY(EOMONTH(AsAt,0)))))/D107)+1)+O107*(AsAt&gt;='Deal maths'!AA107)),0)</f>
        <v/>
      </c>
      <c r="I107" s="108">
        <f>G107-H107</f>
        <v/>
      </c>
      <c r="J107" s="111">
        <f>IF(AND(C107="EIP",I107&gt;0),'Deal maths'!Y107/I107,0)</f>
        <v/>
      </c>
      <c r="K107" s="111">
        <f>IF(AND(C107="Annuity",I107&gt;0),IF(F107&gt;0,'Deal maths'!Y107*F107/(1-(1+F107)^-I107),'Deal maths'!Y107/I107),0)</f>
        <v/>
      </c>
      <c r="L107" s="111">
        <f>IF('Deal maths'!Y107="",0,'Deal maths'!Y107)</f>
        <v/>
      </c>
      <c r="M107" s="112">
        <f>F107+(F107=0)</f>
        <v/>
      </c>
      <c r="N107" s="108">
        <f>IFERROR(IF(D107=0,0,INT(((YEAR('Deal maths'!AA107)-YEAR(E107))*12+MONTH('Deal maths'!AA107)-MONTH(E107)-(DAY('Deal maths'!AA107)&lt;MIN(R107,DAY(EOMONTH('Deal maths'!AA107,0)))))/D107)+1),0)</f>
        <v/>
      </c>
      <c r="O107" s="108">
        <f>IFERROR(IF(D107=0,0,IF(IF(DAY(E107+1)=1,EOMONTH(E107,(N107-1)*D107),EDATE(E107,(N107-1)*D107))='Deal maths'!AA107,0,1)),0)</f>
        <v/>
      </c>
      <c r="P107" s="113">
        <f>IF(B107=0,0,IFERROR(IF(C107="EIP",((I107-O107)*((IF(DAY(E107+1)=1,EOMONTH(E107,H107*D107),EDATE(E107,H107*D107))-AsAt)/365.25+(IF(DAY(E107+1)=1,EOMONTH(E107,(N107-1)*D107),EDATE(E107,(N107-1)*D107))-AsAt)/365.25)/2+O107*('Deal maths'!AA107-AsAt)/365.25)/I107,IF(C107="Annuity",IF(F107&gt;0,((K107-L107*F107)*((IF(DAY(E107+1)=1,EOMONTH(E107,H107*D107),EDATE(E107,H107*D107))-AsAt)/365.25*((1+F107)^(I107-O107)-1)/F107+IF((I107-O107)&gt;1,((IF(DAY(E107+1)=1,EOMONTH(E107,(N107-1)*D107),EDATE(E107,(N107-1)*D107))-AsAt)/365.25-(IF(DAY(E107+1)=1,EOMONTH(E107,H107*D107),EDATE(E107,H107*D107))-AsAt)/365.25)/((I107-O107)-1),0)*(1+F107)*(1-(I107-O107)*(1+F107)^((I107-O107)-1)+((I107-O107)-1)*(1+F107)^(I107-O107))/F107^2)+O107*(K107-L107*F107)*(1+F107)^(I107-1)*('Deal maths'!AA107-AsAt)/365.25)/L107,((I107-O107)*((IF(DAY(E107+1)=1,EOMONTH(E107,H107*D107),EDATE(E107,H107*D107))-AsAt)/365.25+(IF(DAY(E107+1)=1,EOMONTH(E107,(N107-1)*D107),EDATE(E107,(N107-1)*D107))-AsAt)/365.25)/2+O107*('Deal maths'!AA107-AsAt)/365.25)/I107),(S107-AsAt)/365.25)),0))</f>
        <v/>
      </c>
      <c r="Q107" s="109">
        <f>IF(B107=1,'Deal maths'!AA107+ROW()/1000000,"")</f>
        <v/>
      </c>
      <c r="R107" s="108">
        <f>IF(D107=0,0,IF(DAY(E107+1)=1,31,DAY(E107)))</f>
        <v/>
      </c>
      <c r="S107" s="109">
        <f>IF(AND('Deal maths'!V107="LOBO",'Deal maths'!AG107&gt;AsAt,'Deal maths'!AG107&lt;'Deal maths'!AA107),'Deal maths'!AG107,'Deal maths'!AA107)</f>
        <v/>
      </c>
      <c r="T107" s="108">
        <f>('Deal maths'!AA107&gt;AsAt)*('Deal maths'!Y107&gt;0)</f>
        <v/>
      </c>
    </row>
    <row r="108">
      <c r="A108" s="91">
        <f>IF('Deal maths'!V108="","",'Deal maths'!W108)</f>
        <v/>
      </c>
      <c r="B108" s="108">
        <f>('Deal maths'!AA108&gt;AsAt)*('Deal maths'!Y108&gt;0)*('Deal maths'!Z108&lt;=AsAt)</f>
        <v/>
      </c>
      <c r="C108" s="91">
        <f>IF('Deal maths'!V108="","",IF('Deal maths'!AC108="","Maturity",'Deal maths'!AC108))</f>
        <v/>
      </c>
      <c r="D108" s="108">
        <f>IF(OR(C108="EIP",C108="Annuity"),IF('Deal maths'!AD108="Annual",12,IF('Deal maths'!AD108="Quarterly",3,6)),0)</f>
        <v/>
      </c>
      <c r="E108" s="109">
        <f>IFERROR(IF(D108=0,0,IF('Deal maths'!AE108&gt;0,IF('Deal maths'!AE108&gt;'Deal maths'!AA108,'Deal maths'!AA108,'Deal maths'!AE108),IF(IF(DAY('Deal maths'!AA108+1)=1,EOMONTH('Deal maths'!AA108,-(INT(((YEAR('Deal maths'!AA108)-YEAR(IF('Deal maths'!Z108&gt;0,'Deal maths'!Z108,DATE(1990,1,1))))*12+MONTH('Deal maths'!AA108)-MONTH(IF('Deal maths'!Z108&gt;0,'Deal maths'!Z108,DATE(1990,1,1))))/D108))*D108),EDATE('Deal maths'!AA108,-(INT(((YEAR('Deal maths'!AA108)-YEAR(IF('Deal maths'!Z108&gt;0,'Deal maths'!Z108,DATE(1990,1,1))))*12+MONTH('Deal maths'!AA108)-MONTH(IF('Deal maths'!Z108&gt;0,'Deal maths'!Z108,DATE(1990,1,1))))/D108))*D108))&gt;IF('Deal maths'!Z108&gt;0,'Deal maths'!Z108,DATE(1990,1,1)),IF(DAY('Deal maths'!AA108+1)=1,EOMONTH('Deal maths'!AA108,-(INT(((YEAR('Deal maths'!AA108)-YEAR(IF('Deal maths'!Z108&gt;0,'Deal maths'!Z108,DATE(1990,1,1))))*12+MONTH('Deal maths'!AA108)-MONTH(IF('Deal maths'!Z108&gt;0,'Deal maths'!Z108,DATE(1990,1,1))))/D108))*D108),EDATE('Deal maths'!AA108,-(INT(((YEAR('Deal maths'!AA108)-YEAR(IF('Deal maths'!Z108&gt;0,'Deal maths'!Z108,DATE(1990,1,1))))*12+MONTH('Deal maths'!AA108)-MONTH(IF('Deal maths'!Z108&gt;0,'Deal maths'!Z108,DATE(1990,1,1))))/D108))*D108)),IF(DAY('Deal maths'!AA108+1)=1,EOMONTH('Deal maths'!AA108,-(INT(((YEAR('Deal maths'!AA108)-YEAR(IF('Deal maths'!Z108&gt;0,'Deal maths'!Z108,DATE(1990,1,1))))*12+MONTH('Deal maths'!AA108)-MONTH(IF('Deal maths'!Z108&gt;0,'Deal maths'!Z108,DATE(1990,1,1))))/D108)-1)*D108),EDATE('Deal maths'!AA108,-(INT(((YEAR('Deal maths'!AA108)-YEAR(IF('Deal maths'!Z108&gt;0,'Deal maths'!Z108,DATE(1990,1,1))))*12+MONTH('Deal maths'!AA108)-MONTH(IF('Deal maths'!Z108&gt;0,'Deal maths'!Z108,DATE(1990,1,1))))/D108)-1)*D108))))),0)</f>
        <v/>
      </c>
      <c r="F108" s="110">
        <f>IF(D108=0,0,'Deal maths'!AB108*D108/12)</f>
        <v/>
      </c>
      <c r="G108" s="108">
        <f>N108+O108</f>
        <v/>
      </c>
      <c r="H108" s="108">
        <f>IFERROR(IF(OR(D108=0,AsAt&lt;E108),0,MIN(N108,INT(((YEAR(AsAt)-YEAR(E108))*12+MONTH(AsAt)-MONTH(E108)-(DAY(AsAt)&lt;MIN(R108,DAY(EOMONTH(AsAt,0)))))/D108)+1)+O108*(AsAt&gt;='Deal maths'!AA108)),0)</f>
        <v/>
      </c>
      <c r="I108" s="108">
        <f>G108-H108</f>
        <v/>
      </c>
      <c r="J108" s="111">
        <f>IF(AND(C108="EIP",I108&gt;0),'Deal maths'!Y108/I108,0)</f>
        <v/>
      </c>
      <c r="K108" s="111">
        <f>IF(AND(C108="Annuity",I108&gt;0),IF(F108&gt;0,'Deal maths'!Y108*F108/(1-(1+F108)^-I108),'Deal maths'!Y108/I108),0)</f>
        <v/>
      </c>
      <c r="L108" s="111">
        <f>IF('Deal maths'!Y108="",0,'Deal maths'!Y108)</f>
        <v/>
      </c>
      <c r="M108" s="112">
        <f>F108+(F108=0)</f>
        <v/>
      </c>
      <c r="N108" s="108">
        <f>IFERROR(IF(D108=0,0,INT(((YEAR('Deal maths'!AA108)-YEAR(E108))*12+MONTH('Deal maths'!AA108)-MONTH(E108)-(DAY('Deal maths'!AA108)&lt;MIN(R108,DAY(EOMONTH('Deal maths'!AA108,0)))))/D108)+1),0)</f>
        <v/>
      </c>
      <c r="O108" s="108">
        <f>IFERROR(IF(D108=0,0,IF(IF(DAY(E108+1)=1,EOMONTH(E108,(N108-1)*D108),EDATE(E108,(N108-1)*D108))='Deal maths'!AA108,0,1)),0)</f>
        <v/>
      </c>
      <c r="P108" s="113">
        <f>IF(B108=0,0,IFERROR(IF(C108="EIP",((I108-O108)*((IF(DAY(E108+1)=1,EOMONTH(E108,H108*D108),EDATE(E108,H108*D108))-AsAt)/365.25+(IF(DAY(E108+1)=1,EOMONTH(E108,(N108-1)*D108),EDATE(E108,(N108-1)*D108))-AsAt)/365.25)/2+O108*('Deal maths'!AA108-AsAt)/365.25)/I108,IF(C108="Annuity",IF(F108&gt;0,((K108-L108*F108)*((IF(DAY(E108+1)=1,EOMONTH(E108,H108*D108),EDATE(E108,H108*D108))-AsAt)/365.25*((1+F108)^(I108-O108)-1)/F108+IF((I108-O108)&gt;1,((IF(DAY(E108+1)=1,EOMONTH(E108,(N108-1)*D108),EDATE(E108,(N108-1)*D108))-AsAt)/365.25-(IF(DAY(E108+1)=1,EOMONTH(E108,H108*D108),EDATE(E108,H108*D108))-AsAt)/365.25)/((I108-O108)-1),0)*(1+F108)*(1-(I108-O108)*(1+F108)^((I108-O108)-1)+((I108-O108)-1)*(1+F108)^(I108-O108))/F108^2)+O108*(K108-L108*F108)*(1+F108)^(I108-1)*('Deal maths'!AA108-AsAt)/365.25)/L108,((I108-O108)*((IF(DAY(E108+1)=1,EOMONTH(E108,H108*D108),EDATE(E108,H108*D108))-AsAt)/365.25+(IF(DAY(E108+1)=1,EOMONTH(E108,(N108-1)*D108),EDATE(E108,(N108-1)*D108))-AsAt)/365.25)/2+O108*('Deal maths'!AA108-AsAt)/365.25)/I108),(S108-AsAt)/365.25)),0))</f>
        <v/>
      </c>
      <c r="Q108" s="109">
        <f>IF(B108=1,'Deal maths'!AA108+ROW()/1000000,"")</f>
        <v/>
      </c>
      <c r="R108" s="108">
        <f>IF(D108=0,0,IF(DAY(E108+1)=1,31,DAY(E108)))</f>
        <v/>
      </c>
      <c r="S108" s="109">
        <f>IF(AND('Deal maths'!V108="LOBO",'Deal maths'!AG108&gt;AsAt,'Deal maths'!AG108&lt;'Deal maths'!AA108),'Deal maths'!AG108,'Deal maths'!AA108)</f>
        <v/>
      </c>
      <c r="T108" s="108">
        <f>('Deal maths'!AA108&gt;AsAt)*('Deal maths'!Y108&gt;0)</f>
        <v/>
      </c>
    </row>
    <row r="109">
      <c r="A109" s="91">
        <f>IF('Deal maths'!V109="","",'Deal maths'!W109)</f>
        <v/>
      </c>
      <c r="B109" s="108">
        <f>('Deal maths'!AA109&gt;AsAt)*('Deal maths'!Y109&gt;0)*('Deal maths'!Z109&lt;=AsAt)</f>
        <v/>
      </c>
      <c r="C109" s="91">
        <f>IF('Deal maths'!V109="","",IF('Deal maths'!AC109="","Maturity",'Deal maths'!AC109))</f>
        <v/>
      </c>
      <c r="D109" s="108">
        <f>IF(OR(C109="EIP",C109="Annuity"),IF('Deal maths'!AD109="Annual",12,IF('Deal maths'!AD109="Quarterly",3,6)),0)</f>
        <v/>
      </c>
      <c r="E109" s="109">
        <f>IFERROR(IF(D109=0,0,IF('Deal maths'!AE109&gt;0,IF('Deal maths'!AE109&gt;'Deal maths'!AA109,'Deal maths'!AA109,'Deal maths'!AE109),IF(IF(DAY('Deal maths'!AA109+1)=1,EOMONTH('Deal maths'!AA109,-(INT(((YEAR('Deal maths'!AA109)-YEAR(IF('Deal maths'!Z109&gt;0,'Deal maths'!Z109,DATE(1990,1,1))))*12+MONTH('Deal maths'!AA109)-MONTH(IF('Deal maths'!Z109&gt;0,'Deal maths'!Z109,DATE(1990,1,1))))/D109))*D109),EDATE('Deal maths'!AA109,-(INT(((YEAR('Deal maths'!AA109)-YEAR(IF('Deal maths'!Z109&gt;0,'Deal maths'!Z109,DATE(1990,1,1))))*12+MONTH('Deal maths'!AA109)-MONTH(IF('Deal maths'!Z109&gt;0,'Deal maths'!Z109,DATE(1990,1,1))))/D109))*D109))&gt;IF('Deal maths'!Z109&gt;0,'Deal maths'!Z109,DATE(1990,1,1)),IF(DAY('Deal maths'!AA109+1)=1,EOMONTH('Deal maths'!AA109,-(INT(((YEAR('Deal maths'!AA109)-YEAR(IF('Deal maths'!Z109&gt;0,'Deal maths'!Z109,DATE(1990,1,1))))*12+MONTH('Deal maths'!AA109)-MONTH(IF('Deal maths'!Z109&gt;0,'Deal maths'!Z109,DATE(1990,1,1))))/D109))*D109),EDATE('Deal maths'!AA109,-(INT(((YEAR('Deal maths'!AA109)-YEAR(IF('Deal maths'!Z109&gt;0,'Deal maths'!Z109,DATE(1990,1,1))))*12+MONTH('Deal maths'!AA109)-MONTH(IF('Deal maths'!Z109&gt;0,'Deal maths'!Z109,DATE(1990,1,1))))/D109))*D109)),IF(DAY('Deal maths'!AA109+1)=1,EOMONTH('Deal maths'!AA109,-(INT(((YEAR('Deal maths'!AA109)-YEAR(IF('Deal maths'!Z109&gt;0,'Deal maths'!Z109,DATE(1990,1,1))))*12+MONTH('Deal maths'!AA109)-MONTH(IF('Deal maths'!Z109&gt;0,'Deal maths'!Z109,DATE(1990,1,1))))/D109)-1)*D109),EDATE('Deal maths'!AA109,-(INT(((YEAR('Deal maths'!AA109)-YEAR(IF('Deal maths'!Z109&gt;0,'Deal maths'!Z109,DATE(1990,1,1))))*12+MONTH('Deal maths'!AA109)-MONTH(IF('Deal maths'!Z109&gt;0,'Deal maths'!Z109,DATE(1990,1,1))))/D109)-1)*D109))))),0)</f>
        <v/>
      </c>
      <c r="F109" s="110">
        <f>IF(D109=0,0,'Deal maths'!AB109*D109/12)</f>
        <v/>
      </c>
      <c r="G109" s="108">
        <f>N109+O109</f>
        <v/>
      </c>
      <c r="H109" s="108">
        <f>IFERROR(IF(OR(D109=0,AsAt&lt;E109),0,MIN(N109,INT(((YEAR(AsAt)-YEAR(E109))*12+MONTH(AsAt)-MONTH(E109)-(DAY(AsAt)&lt;MIN(R109,DAY(EOMONTH(AsAt,0)))))/D109)+1)+O109*(AsAt&gt;='Deal maths'!AA109)),0)</f>
        <v/>
      </c>
      <c r="I109" s="108">
        <f>G109-H109</f>
        <v/>
      </c>
      <c r="J109" s="111">
        <f>IF(AND(C109="EIP",I109&gt;0),'Deal maths'!Y109/I109,0)</f>
        <v/>
      </c>
      <c r="K109" s="111">
        <f>IF(AND(C109="Annuity",I109&gt;0),IF(F109&gt;0,'Deal maths'!Y109*F109/(1-(1+F109)^-I109),'Deal maths'!Y109/I109),0)</f>
        <v/>
      </c>
      <c r="L109" s="111">
        <f>IF('Deal maths'!Y109="",0,'Deal maths'!Y109)</f>
        <v/>
      </c>
      <c r="M109" s="112">
        <f>F109+(F109=0)</f>
        <v/>
      </c>
      <c r="N109" s="108">
        <f>IFERROR(IF(D109=0,0,INT(((YEAR('Deal maths'!AA109)-YEAR(E109))*12+MONTH('Deal maths'!AA109)-MONTH(E109)-(DAY('Deal maths'!AA109)&lt;MIN(R109,DAY(EOMONTH('Deal maths'!AA109,0)))))/D109)+1),0)</f>
        <v/>
      </c>
      <c r="O109" s="108">
        <f>IFERROR(IF(D109=0,0,IF(IF(DAY(E109+1)=1,EOMONTH(E109,(N109-1)*D109),EDATE(E109,(N109-1)*D109))='Deal maths'!AA109,0,1)),0)</f>
        <v/>
      </c>
      <c r="P109" s="113">
        <f>IF(B109=0,0,IFERROR(IF(C109="EIP",((I109-O109)*((IF(DAY(E109+1)=1,EOMONTH(E109,H109*D109),EDATE(E109,H109*D109))-AsAt)/365.25+(IF(DAY(E109+1)=1,EOMONTH(E109,(N109-1)*D109),EDATE(E109,(N109-1)*D109))-AsAt)/365.25)/2+O109*('Deal maths'!AA109-AsAt)/365.25)/I109,IF(C109="Annuity",IF(F109&gt;0,((K109-L109*F109)*((IF(DAY(E109+1)=1,EOMONTH(E109,H109*D109),EDATE(E109,H109*D109))-AsAt)/365.25*((1+F109)^(I109-O109)-1)/F109+IF((I109-O109)&gt;1,((IF(DAY(E109+1)=1,EOMONTH(E109,(N109-1)*D109),EDATE(E109,(N109-1)*D109))-AsAt)/365.25-(IF(DAY(E109+1)=1,EOMONTH(E109,H109*D109),EDATE(E109,H109*D109))-AsAt)/365.25)/((I109-O109)-1),0)*(1+F109)*(1-(I109-O109)*(1+F109)^((I109-O109)-1)+((I109-O109)-1)*(1+F109)^(I109-O109))/F109^2)+O109*(K109-L109*F109)*(1+F109)^(I109-1)*('Deal maths'!AA109-AsAt)/365.25)/L109,((I109-O109)*((IF(DAY(E109+1)=1,EOMONTH(E109,H109*D109),EDATE(E109,H109*D109))-AsAt)/365.25+(IF(DAY(E109+1)=1,EOMONTH(E109,(N109-1)*D109),EDATE(E109,(N109-1)*D109))-AsAt)/365.25)/2+O109*('Deal maths'!AA109-AsAt)/365.25)/I109),(S109-AsAt)/365.25)),0))</f>
        <v/>
      </c>
      <c r="Q109" s="109">
        <f>IF(B109=1,'Deal maths'!AA109+ROW()/1000000,"")</f>
        <v/>
      </c>
      <c r="R109" s="108">
        <f>IF(D109=0,0,IF(DAY(E109+1)=1,31,DAY(E109)))</f>
        <v/>
      </c>
      <c r="S109" s="109">
        <f>IF(AND('Deal maths'!V109="LOBO",'Deal maths'!AG109&gt;AsAt,'Deal maths'!AG109&lt;'Deal maths'!AA109),'Deal maths'!AG109,'Deal maths'!AA109)</f>
        <v/>
      </c>
      <c r="T109" s="108">
        <f>('Deal maths'!AA109&gt;AsAt)*('Deal maths'!Y109&gt;0)</f>
        <v/>
      </c>
    </row>
    <row r="110">
      <c r="A110" s="91">
        <f>IF('Deal maths'!V110="","",'Deal maths'!W110)</f>
        <v/>
      </c>
      <c r="B110" s="108">
        <f>('Deal maths'!AA110&gt;AsAt)*('Deal maths'!Y110&gt;0)*('Deal maths'!Z110&lt;=AsAt)</f>
        <v/>
      </c>
      <c r="C110" s="91">
        <f>IF('Deal maths'!V110="","",IF('Deal maths'!AC110="","Maturity",'Deal maths'!AC110))</f>
        <v/>
      </c>
      <c r="D110" s="108">
        <f>IF(OR(C110="EIP",C110="Annuity"),IF('Deal maths'!AD110="Annual",12,IF('Deal maths'!AD110="Quarterly",3,6)),0)</f>
        <v/>
      </c>
      <c r="E110" s="109">
        <f>IFERROR(IF(D110=0,0,IF('Deal maths'!AE110&gt;0,IF('Deal maths'!AE110&gt;'Deal maths'!AA110,'Deal maths'!AA110,'Deal maths'!AE110),IF(IF(DAY('Deal maths'!AA110+1)=1,EOMONTH('Deal maths'!AA110,-(INT(((YEAR('Deal maths'!AA110)-YEAR(IF('Deal maths'!Z110&gt;0,'Deal maths'!Z110,DATE(1990,1,1))))*12+MONTH('Deal maths'!AA110)-MONTH(IF('Deal maths'!Z110&gt;0,'Deal maths'!Z110,DATE(1990,1,1))))/D110))*D110),EDATE('Deal maths'!AA110,-(INT(((YEAR('Deal maths'!AA110)-YEAR(IF('Deal maths'!Z110&gt;0,'Deal maths'!Z110,DATE(1990,1,1))))*12+MONTH('Deal maths'!AA110)-MONTH(IF('Deal maths'!Z110&gt;0,'Deal maths'!Z110,DATE(1990,1,1))))/D110))*D110))&gt;IF('Deal maths'!Z110&gt;0,'Deal maths'!Z110,DATE(1990,1,1)),IF(DAY('Deal maths'!AA110+1)=1,EOMONTH('Deal maths'!AA110,-(INT(((YEAR('Deal maths'!AA110)-YEAR(IF('Deal maths'!Z110&gt;0,'Deal maths'!Z110,DATE(1990,1,1))))*12+MONTH('Deal maths'!AA110)-MONTH(IF('Deal maths'!Z110&gt;0,'Deal maths'!Z110,DATE(1990,1,1))))/D110))*D110),EDATE('Deal maths'!AA110,-(INT(((YEAR('Deal maths'!AA110)-YEAR(IF('Deal maths'!Z110&gt;0,'Deal maths'!Z110,DATE(1990,1,1))))*12+MONTH('Deal maths'!AA110)-MONTH(IF('Deal maths'!Z110&gt;0,'Deal maths'!Z110,DATE(1990,1,1))))/D110))*D110)),IF(DAY('Deal maths'!AA110+1)=1,EOMONTH('Deal maths'!AA110,-(INT(((YEAR('Deal maths'!AA110)-YEAR(IF('Deal maths'!Z110&gt;0,'Deal maths'!Z110,DATE(1990,1,1))))*12+MONTH('Deal maths'!AA110)-MONTH(IF('Deal maths'!Z110&gt;0,'Deal maths'!Z110,DATE(1990,1,1))))/D110)-1)*D110),EDATE('Deal maths'!AA110,-(INT(((YEAR('Deal maths'!AA110)-YEAR(IF('Deal maths'!Z110&gt;0,'Deal maths'!Z110,DATE(1990,1,1))))*12+MONTH('Deal maths'!AA110)-MONTH(IF('Deal maths'!Z110&gt;0,'Deal maths'!Z110,DATE(1990,1,1))))/D110)-1)*D110))))),0)</f>
        <v/>
      </c>
      <c r="F110" s="110">
        <f>IF(D110=0,0,'Deal maths'!AB110*D110/12)</f>
        <v/>
      </c>
      <c r="G110" s="108">
        <f>N110+O110</f>
        <v/>
      </c>
      <c r="H110" s="108">
        <f>IFERROR(IF(OR(D110=0,AsAt&lt;E110),0,MIN(N110,INT(((YEAR(AsAt)-YEAR(E110))*12+MONTH(AsAt)-MONTH(E110)-(DAY(AsAt)&lt;MIN(R110,DAY(EOMONTH(AsAt,0)))))/D110)+1)+O110*(AsAt&gt;='Deal maths'!AA110)),0)</f>
        <v/>
      </c>
      <c r="I110" s="108">
        <f>G110-H110</f>
        <v/>
      </c>
      <c r="J110" s="111">
        <f>IF(AND(C110="EIP",I110&gt;0),'Deal maths'!Y110/I110,0)</f>
        <v/>
      </c>
      <c r="K110" s="111">
        <f>IF(AND(C110="Annuity",I110&gt;0),IF(F110&gt;0,'Deal maths'!Y110*F110/(1-(1+F110)^-I110),'Deal maths'!Y110/I110),0)</f>
        <v/>
      </c>
      <c r="L110" s="111">
        <f>IF('Deal maths'!Y110="",0,'Deal maths'!Y110)</f>
        <v/>
      </c>
      <c r="M110" s="112">
        <f>F110+(F110=0)</f>
        <v/>
      </c>
      <c r="N110" s="108">
        <f>IFERROR(IF(D110=0,0,INT(((YEAR('Deal maths'!AA110)-YEAR(E110))*12+MONTH('Deal maths'!AA110)-MONTH(E110)-(DAY('Deal maths'!AA110)&lt;MIN(R110,DAY(EOMONTH('Deal maths'!AA110,0)))))/D110)+1),0)</f>
        <v/>
      </c>
      <c r="O110" s="108">
        <f>IFERROR(IF(D110=0,0,IF(IF(DAY(E110+1)=1,EOMONTH(E110,(N110-1)*D110),EDATE(E110,(N110-1)*D110))='Deal maths'!AA110,0,1)),0)</f>
        <v/>
      </c>
      <c r="P110" s="113">
        <f>IF(B110=0,0,IFERROR(IF(C110="EIP",((I110-O110)*((IF(DAY(E110+1)=1,EOMONTH(E110,H110*D110),EDATE(E110,H110*D110))-AsAt)/365.25+(IF(DAY(E110+1)=1,EOMONTH(E110,(N110-1)*D110),EDATE(E110,(N110-1)*D110))-AsAt)/365.25)/2+O110*('Deal maths'!AA110-AsAt)/365.25)/I110,IF(C110="Annuity",IF(F110&gt;0,((K110-L110*F110)*((IF(DAY(E110+1)=1,EOMONTH(E110,H110*D110),EDATE(E110,H110*D110))-AsAt)/365.25*((1+F110)^(I110-O110)-1)/F110+IF((I110-O110)&gt;1,((IF(DAY(E110+1)=1,EOMONTH(E110,(N110-1)*D110),EDATE(E110,(N110-1)*D110))-AsAt)/365.25-(IF(DAY(E110+1)=1,EOMONTH(E110,H110*D110),EDATE(E110,H110*D110))-AsAt)/365.25)/((I110-O110)-1),0)*(1+F110)*(1-(I110-O110)*(1+F110)^((I110-O110)-1)+((I110-O110)-1)*(1+F110)^(I110-O110))/F110^2)+O110*(K110-L110*F110)*(1+F110)^(I110-1)*('Deal maths'!AA110-AsAt)/365.25)/L110,((I110-O110)*((IF(DAY(E110+1)=1,EOMONTH(E110,H110*D110),EDATE(E110,H110*D110))-AsAt)/365.25+(IF(DAY(E110+1)=1,EOMONTH(E110,(N110-1)*D110),EDATE(E110,(N110-1)*D110))-AsAt)/365.25)/2+O110*('Deal maths'!AA110-AsAt)/365.25)/I110),(S110-AsAt)/365.25)),0))</f>
        <v/>
      </c>
      <c r="Q110" s="109">
        <f>IF(B110=1,'Deal maths'!AA110+ROW()/1000000,"")</f>
        <v/>
      </c>
      <c r="R110" s="108">
        <f>IF(D110=0,0,IF(DAY(E110+1)=1,31,DAY(E110)))</f>
        <v/>
      </c>
      <c r="S110" s="109">
        <f>IF(AND('Deal maths'!V110="LOBO",'Deal maths'!AG110&gt;AsAt,'Deal maths'!AG110&lt;'Deal maths'!AA110),'Deal maths'!AG110,'Deal maths'!AA110)</f>
        <v/>
      </c>
      <c r="T110" s="108">
        <f>('Deal maths'!AA110&gt;AsAt)*('Deal maths'!Y110&gt;0)</f>
        <v/>
      </c>
    </row>
    <row r="111">
      <c r="A111" s="91">
        <f>IF('Deal maths'!V111="","",'Deal maths'!W111)</f>
        <v/>
      </c>
      <c r="B111" s="108">
        <f>('Deal maths'!AA111&gt;AsAt)*('Deal maths'!Y111&gt;0)*('Deal maths'!Z111&lt;=AsAt)</f>
        <v/>
      </c>
      <c r="C111" s="91">
        <f>IF('Deal maths'!V111="","",IF('Deal maths'!AC111="","Maturity",'Deal maths'!AC111))</f>
        <v/>
      </c>
      <c r="D111" s="108">
        <f>IF(OR(C111="EIP",C111="Annuity"),IF('Deal maths'!AD111="Annual",12,IF('Deal maths'!AD111="Quarterly",3,6)),0)</f>
        <v/>
      </c>
      <c r="E111" s="109">
        <f>IFERROR(IF(D111=0,0,IF('Deal maths'!AE111&gt;0,IF('Deal maths'!AE111&gt;'Deal maths'!AA111,'Deal maths'!AA111,'Deal maths'!AE111),IF(IF(DAY('Deal maths'!AA111+1)=1,EOMONTH('Deal maths'!AA111,-(INT(((YEAR('Deal maths'!AA111)-YEAR(IF('Deal maths'!Z111&gt;0,'Deal maths'!Z111,DATE(1990,1,1))))*12+MONTH('Deal maths'!AA111)-MONTH(IF('Deal maths'!Z111&gt;0,'Deal maths'!Z111,DATE(1990,1,1))))/D111))*D111),EDATE('Deal maths'!AA111,-(INT(((YEAR('Deal maths'!AA111)-YEAR(IF('Deal maths'!Z111&gt;0,'Deal maths'!Z111,DATE(1990,1,1))))*12+MONTH('Deal maths'!AA111)-MONTH(IF('Deal maths'!Z111&gt;0,'Deal maths'!Z111,DATE(1990,1,1))))/D111))*D111))&gt;IF('Deal maths'!Z111&gt;0,'Deal maths'!Z111,DATE(1990,1,1)),IF(DAY('Deal maths'!AA111+1)=1,EOMONTH('Deal maths'!AA111,-(INT(((YEAR('Deal maths'!AA111)-YEAR(IF('Deal maths'!Z111&gt;0,'Deal maths'!Z111,DATE(1990,1,1))))*12+MONTH('Deal maths'!AA111)-MONTH(IF('Deal maths'!Z111&gt;0,'Deal maths'!Z111,DATE(1990,1,1))))/D111))*D111),EDATE('Deal maths'!AA111,-(INT(((YEAR('Deal maths'!AA111)-YEAR(IF('Deal maths'!Z111&gt;0,'Deal maths'!Z111,DATE(1990,1,1))))*12+MONTH('Deal maths'!AA111)-MONTH(IF('Deal maths'!Z111&gt;0,'Deal maths'!Z111,DATE(1990,1,1))))/D111))*D111)),IF(DAY('Deal maths'!AA111+1)=1,EOMONTH('Deal maths'!AA111,-(INT(((YEAR('Deal maths'!AA111)-YEAR(IF('Deal maths'!Z111&gt;0,'Deal maths'!Z111,DATE(1990,1,1))))*12+MONTH('Deal maths'!AA111)-MONTH(IF('Deal maths'!Z111&gt;0,'Deal maths'!Z111,DATE(1990,1,1))))/D111)-1)*D111),EDATE('Deal maths'!AA111,-(INT(((YEAR('Deal maths'!AA111)-YEAR(IF('Deal maths'!Z111&gt;0,'Deal maths'!Z111,DATE(1990,1,1))))*12+MONTH('Deal maths'!AA111)-MONTH(IF('Deal maths'!Z111&gt;0,'Deal maths'!Z111,DATE(1990,1,1))))/D111)-1)*D111))))),0)</f>
        <v/>
      </c>
      <c r="F111" s="110">
        <f>IF(D111=0,0,'Deal maths'!AB111*D111/12)</f>
        <v/>
      </c>
      <c r="G111" s="108">
        <f>N111+O111</f>
        <v/>
      </c>
      <c r="H111" s="108">
        <f>IFERROR(IF(OR(D111=0,AsAt&lt;E111),0,MIN(N111,INT(((YEAR(AsAt)-YEAR(E111))*12+MONTH(AsAt)-MONTH(E111)-(DAY(AsAt)&lt;MIN(R111,DAY(EOMONTH(AsAt,0)))))/D111)+1)+O111*(AsAt&gt;='Deal maths'!AA111)),0)</f>
        <v/>
      </c>
      <c r="I111" s="108">
        <f>G111-H111</f>
        <v/>
      </c>
      <c r="J111" s="111">
        <f>IF(AND(C111="EIP",I111&gt;0),'Deal maths'!Y111/I111,0)</f>
        <v/>
      </c>
      <c r="K111" s="111">
        <f>IF(AND(C111="Annuity",I111&gt;0),IF(F111&gt;0,'Deal maths'!Y111*F111/(1-(1+F111)^-I111),'Deal maths'!Y111/I111),0)</f>
        <v/>
      </c>
      <c r="L111" s="111">
        <f>IF('Deal maths'!Y111="",0,'Deal maths'!Y111)</f>
        <v/>
      </c>
      <c r="M111" s="112">
        <f>F111+(F111=0)</f>
        <v/>
      </c>
      <c r="N111" s="108">
        <f>IFERROR(IF(D111=0,0,INT(((YEAR('Deal maths'!AA111)-YEAR(E111))*12+MONTH('Deal maths'!AA111)-MONTH(E111)-(DAY('Deal maths'!AA111)&lt;MIN(R111,DAY(EOMONTH('Deal maths'!AA111,0)))))/D111)+1),0)</f>
        <v/>
      </c>
      <c r="O111" s="108">
        <f>IFERROR(IF(D111=0,0,IF(IF(DAY(E111+1)=1,EOMONTH(E111,(N111-1)*D111),EDATE(E111,(N111-1)*D111))='Deal maths'!AA111,0,1)),0)</f>
        <v/>
      </c>
      <c r="P111" s="113">
        <f>IF(B111=0,0,IFERROR(IF(C111="EIP",((I111-O111)*((IF(DAY(E111+1)=1,EOMONTH(E111,H111*D111),EDATE(E111,H111*D111))-AsAt)/365.25+(IF(DAY(E111+1)=1,EOMONTH(E111,(N111-1)*D111),EDATE(E111,(N111-1)*D111))-AsAt)/365.25)/2+O111*('Deal maths'!AA111-AsAt)/365.25)/I111,IF(C111="Annuity",IF(F111&gt;0,((K111-L111*F111)*((IF(DAY(E111+1)=1,EOMONTH(E111,H111*D111),EDATE(E111,H111*D111))-AsAt)/365.25*((1+F111)^(I111-O111)-1)/F111+IF((I111-O111)&gt;1,((IF(DAY(E111+1)=1,EOMONTH(E111,(N111-1)*D111),EDATE(E111,(N111-1)*D111))-AsAt)/365.25-(IF(DAY(E111+1)=1,EOMONTH(E111,H111*D111),EDATE(E111,H111*D111))-AsAt)/365.25)/((I111-O111)-1),0)*(1+F111)*(1-(I111-O111)*(1+F111)^((I111-O111)-1)+((I111-O111)-1)*(1+F111)^(I111-O111))/F111^2)+O111*(K111-L111*F111)*(1+F111)^(I111-1)*('Deal maths'!AA111-AsAt)/365.25)/L111,((I111-O111)*((IF(DAY(E111+1)=1,EOMONTH(E111,H111*D111),EDATE(E111,H111*D111))-AsAt)/365.25+(IF(DAY(E111+1)=1,EOMONTH(E111,(N111-1)*D111),EDATE(E111,(N111-1)*D111))-AsAt)/365.25)/2+O111*('Deal maths'!AA111-AsAt)/365.25)/I111),(S111-AsAt)/365.25)),0))</f>
        <v/>
      </c>
      <c r="Q111" s="109">
        <f>IF(B111=1,'Deal maths'!AA111+ROW()/1000000,"")</f>
        <v/>
      </c>
      <c r="R111" s="108">
        <f>IF(D111=0,0,IF(DAY(E111+1)=1,31,DAY(E111)))</f>
        <v/>
      </c>
      <c r="S111" s="109">
        <f>IF(AND('Deal maths'!V111="LOBO",'Deal maths'!AG111&gt;AsAt,'Deal maths'!AG111&lt;'Deal maths'!AA111),'Deal maths'!AG111,'Deal maths'!AA111)</f>
        <v/>
      </c>
      <c r="T111" s="108">
        <f>('Deal maths'!AA111&gt;AsAt)*('Deal maths'!Y111&gt;0)</f>
        <v/>
      </c>
    </row>
    <row r="112">
      <c r="A112" s="91">
        <f>IF('Deal maths'!V112="","",'Deal maths'!W112)</f>
        <v/>
      </c>
      <c r="B112" s="108">
        <f>('Deal maths'!AA112&gt;AsAt)*('Deal maths'!Y112&gt;0)*('Deal maths'!Z112&lt;=AsAt)</f>
        <v/>
      </c>
      <c r="C112" s="91">
        <f>IF('Deal maths'!V112="","",IF('Deal maths'!AC112="","Maturity",'Deal maths'!AC112))</f>
        <v/>
      </c>
      <c r="D112" s="108">
        <f>IF(OR(C112="EIP",C112="Annuity"),IF('Deal maths'!AD112="Annual",12,IF('Deal maths'!AD112="Quarterly",3,6)),0)</f>
        <v/>
      </c>
      <c r="E112" s="109">
        <f>IFERROR(IF(D112=0,0,IF('Deal maths'!AE112&gt;0,IF('Deal maths'!AE112&gt;'Deal maths'!AA112,'Deal maths'!AA112,'Deal maths'!AE112),IF(IF(DAY('Deal maths'!AA112+1)=1,EOMONTH('Deal maths'!AA112,-(INT(((YEAR('Deal maths'!AA112)-YEAR(IF('Deal maths'!Z112&gt;0,'Deal maths'!Z112,DATE(1990,1,1))))*12+MONTH('Deal maths'!AA112)-MONTH(IF('Deal maths'!Z112&gt;0,'Deal maths'!Z112,DATE(1990,1,1))))/D112))*D112),EDATE('Deal maths'!AA112,-(INT(((YEAR('Deal maths'!AA112)-YEAR(IF('Deal maths'!Z112&gt;0,'Deal maths'!Z112,DATE(1990,1,1))))*12+MONTH('Deal maths'!AA112)-MONTH(IF('Deal maths'!Z112&gt;0,'Deal maths'!Z112,DATE(1990,1,1))))/D112))*D112))&gt;IF('Deal maths'!Z112&gt;0,'Deal maths'!Z112,DATE(1990,1,1)),IF(DAY('Deal maths'!AA112+1)=1,EOMONTH('Deal maths'!AA112,-(INT(((YEAR('Deal maths'!AA112)-YEAR(IF('Deal maths'!Z112&gt;0,'Deal maths'!Z112,DATE(1990,1,1))))*12+MONTH('Deal maths'!AA112)-MONTH(IF('Deal maths'!Z112&gt;0,'Deal maths'!Z112,DATE(1990,1,1))))/D112))*D112),EDATE('Deal maths'!AA112,-(INT(((YEAR('Deal maths'!AA112)-YEAR(IF('Deal maths'!Z112&gt;0,'Deal maths'!Z112,DATE(1990,1,1))))*12+MONTH('Deal maths'!AA112)-MONTH(IF('Deal maths'!Z112&gt;0,'Deal maths'!Z112,DATE(1990,1,1))))/D112))*D112)),IF(DAY('Deal maths'!AA112+1)=1,EOMONTH('Deal maths'!AA112,-(INT(((YEAR('Deal maths'!AA112)-YEAR(IF('Deal maths'!Z112&gt;0,'Deal maths'!Z112,DATE(1990,1,1))))*12+MONTH('Deal maths'!AA112)-MONTH(IF('Deal maths'!Z112&gt;0,'Deal maths'!Z112,DATE(1990,1,1))))/D112)-1)*D112),EDATE('Deal maths'!AA112,-(INT(((YEAR('Deal maths'!AA112)-YEAR(IF('Deal maths'!Z112&gt;0,'Deal maths'!Z112,DATE(1990,1,1))))*12+MONTH('Deal maths'!AA112)-MONTH(IF('Deal maths'!Z112&gt;0,'Deal maths'!Z112,DATE(1990,1,1))))/D112)-1)*D112))))),0)</f>
        <v/>
      </c>
      <c r="F112" s="110">
        <f>IF(D112=0,0,'Deal maths'!AB112*D112/12)</f>
        <v/>
      </c>
      <c r="G112" s="108">
        <f>N112+O112</f>
        <v/>
      </c>
      <c r="H112" s="108">
        <f>IFERROR(IF(OR(D112=0,AsAt&lt;E112),0,MIN(N112,INT(((YEAR(AsAt)-YEAR(E112))*12+MONTH(AsAt)-MONTH(E112)-(DAY(AsAt)&lt;MIN(R112,DAY(EOMONTH(AsAt,0)))))/D112)+1)+O112*(AsAt&gt;='Deal maths'!AA112)),0)</f>
        <v/>
      </c>
      <c r="I112" s="108">
        <f>G112-H112</f>
        <v/>
      </c>
      <c r="J112" s="111">
        <f>IF(AND(C112="EIP",I112&gt;0),'Deal maths'!Y112/I112,0)</f>
        <v/>
      </c>
      <c r="K112" s="111">
        <f>IF(AND(C112="Annuity",I112&gt;0),IF(F112&gt;0,'Deal maths'!Y112*F112/(1-(1+F112)^-I112),'Deal maths'!Y112/I112),0)</f>
        <v/>
      </c>
      <c r="L112" s="111">
        <f>IF('Deal maths'!Y112="",0,'Deal maths'!Y112)</f>
        <v/>
      </c>
      <c r="M112" s="112">
        <f>F112+(F112=0)</f>
        <v/>
      </c>
      <c r="N112" s="108">
        <f>IFERROR(IF(D112=0,0,INT(((YEAR('Deal maths'!AA112)-YEAR(E112))*12+MONTH('Deal maths'!AA112)-MONTH(E112)-(DAY('Deal maths'!AA112)&lt;MIN(R112,DAY(EOMONTH('Deal maths'!AA112,0)))))/D112)+1),0)</f>
        <v/>
      </c>
      <c r="O112" s="108">
        <f>IFERROR(IF(D112=0,0,IF(IF(DAY(E112+1)=1,EOMONTH(E112,(N112-1)*D112),EDATE(E112,(N112-1)*D112))='Deal maths'!AA112,0,1)),0)</f>
        <v/>
      </c>
      <c r="P112" s="113">
        <f>IF(B112=0,0,IFERROR(IF(C112="EIP",((I112-O112)*((IF(DAY(E112+1)=1,EOMONTH(E112,H112*D112),EDATE(E112,H112*D112))-AsAt)/365.25+(IF(DAY(E112+1)=1,EOMONTH(E112,(N112-1)*D112),EDATE(E112,(N112-1)*D112))-AsAt)/365.25)/2+O112*('Deal maths'!AA112-AsAt)/365.25)/I112,IF(C112="Annuity",IF(F112&gt;0,((K112-L112*F112)*((IF(DAY(E112+1)=1,EOMONTH(E112,H112*D112),EDATE(E112,H112*D112))-AsAt)/365.25*((1+F112)^(I112-O112)-1)/F112+IF((I112-O112)&gt;1,((IF(DAY(E112+1)=1,EOMONTH(E112,(N112-1)*D112),EDATE(E112,(N112-1)*D112))-AsAt)/365.25-(IF(DAY(E112+1)=1,EOMONTH(E112,H112*D112),EDATE(E112,H112*D112))-AsAt)/365.25)/((I112-O112)-1),0)*(1+F112)*(1-(I112-O112)*(1+F112)^((I112-O112)-1)+((I112-O112)-1)*(1+F112)^(I112-O112))/F112^2)+O112*(K112-L112*F112)*(1+F112)^(I112-1)*('Deal maths'!AA112-AsAt)/365.25)/L112,((I112-O112)*((IF(DAY(E112+1)=1,EOMONTH(E112,H112*D112),EDATE(E112,H112*D112))-AsAt)/365.25+(IF(DAY(E112+1)=1,EOMONTH(E112,(N112-1)*D112),EDATE(E112,(N112-1)*D112))-AsAt)/365.25)/2+O112*('Deal maths'!AA112-AsAt)/365.25)/I112),(S112-AsAt)/365.25)),0))</f>
        <v/>
      </c>
      <c r="Q112" s="109">
        <f>IF(B112=1,'Deal maths'!AA112+ROW()/1000000,"")</f>
        <v/>
      </c>
      <c r="R112" s="108">
        <f>IF(D112=0,0,IF(DAY(E112+1)=1,31,DAY(E112)))</f>
        <v/>
      </c>
      <c r="S112" s="109">
        <f>IF(AND('Deal maths'!V112="LOBO",'Deal maths'!AG112&gt;AsAt,'Deal maths'!AG112&lt;'Deal maths'!AA112),'Deal maths'!AG112,'Deal maths'!AA112)</f>
        <v/>
      </c>
      <c r="T112" s="108">
        <f>('Deal maths'!AA112&gt;AsAt)*('Deal maths'!Y112&gt;0)</f>
        <v/>
      </c>
    </row>
    <row r="113">
      <c r="A113" s="91">
        <f>IF('Deal maths'!V113="","",'Deal maths'!W113)</f>
        <v/>
      </c>
      <c r="B113" s="108">
        <f>('Deal maths'!AA113&gt;AsAt)*('Deal maths'!Y113&gt;0)*('Deal maths'!Z113&lt;=AsAt)</f>
        <v/>
      </c>
      <c r="C113" s="91">
        <f>IF('Deal maths'!V113="","",IF('Deal maths'!AC113="","Maturity",'Deal maths'!AC113))</f>
        <v/>
      </c>
      <c r="D113" s="108">
        <f>IF(OR(C113="EIP",C113="Annuity"),IF('Deal maths'!AD113="Annual",12,IF('Deal maths'!AD113="Quarterly",3,6)),0)</f>
        <v/>
      </c>
      <c r="E113" s="109">
        <f>IFERROR(IF(D113=0,0,IF('Deal maths'!AE113&gt;0,IF('Deal maths'!AE113&gt;'Deal maths'!AA113,'Deal maths'!AA113,'Deal maths'!AE113),IF(IF(DAY('Deal maths'!AA113+1)=1,EOMONTH('Deal maths'!AA113,-(INT(((YEAR('Deal maths'!AA113)-YEAR(IF('Deal maths'!Z113&gt;0,'Deal maths'!Z113,DATE(1990,1,1))))*12+MONTH('Deal maths'!AA113)-MONTH(IF('Deal maths'!Z113&gt;0,'Deal maths'!Z113,DATE(1990,1,1))))/D113))*D113),EDATE('Deal maths'!AA113,-(INT(((YEAR('Deal maths'!AA113)-YEAR(IF('Deal maths'!Z113&gt;0,'Deal maths'!Z113,DATE(1990,1,1))))*12+MONTH('Deal maths'!AA113)-MONTH(IF('Deal maths'!Z113&gt;0,'Deal maths'!Z113,DATE(1990,1,1))))/D113))*D113))&gt;IF('Deal maths'!Z113&gt;0,'Deal maths'!Z113,DATE(1990,1,1)),IF(DAY('Deal maths'!AA113+1)=1,EOMONTH('Deal maths'!AA113,-(INT(((YEAR('Deal maths'!AA113)-YEAR(IF('Deal maths'!Z113&gt;0,'Deal maths'!Z113,DATE(1990,1,1))))*12+MONTH('Deal maths'!AA113)-MONTH(IF('Deal maths'!Z113&gt;0,'Deal maths'!Z113,DATE(1990,1,1))))/D113))*D113),EDATE('Deal maths'!AA113,-(INT(((YEAR('Deal maths'!AA113)-YEAR(IF('Deal maths'!Z113&gt;0,'Deal maths'!Z113,DATE(1990,1,1))))*12+MONTH('Deal maths'!AA113)-MONTH(IF('Deal maths'!Z113&gt;0,'Deal maths'!Z113,DATE(1990,1,1))))/D113))*D113)),IF(DAY('Deal maths'!AA113+1)=1,EOMONTH('Deal maths'!AA113,-(INT(((YEAR('Deal maths'!AA113)-YEAR(IF('Deal maths'!Z113&gt;0,'Deal maths'!Z113,DATE(1990,1,1))))*12+MONTH('Deal maths'!AA113)-MONTH(IF('Deal maths'!Z113&gt;0,'Deal maths'!Z113,DATE(1990,1,1))))/D113)-1)*D113),EDATE('Deal maths'!AA113,-(INT(((YEAR('Deal maths'!AA113)-YEAR(IF('Deal maths'!Z113&gt;0,'Deal maths'!Z113,DATE(1990,1,1))))*12+MONTH('Deal maths'!AA113)-MONTH(IF('Deal maths'!Z113&gt;0,'Deal maths'!Z113,DATE(1990,1,1))))/D113)-1)*D113))))),0)</f>
        <v/>
      </c>
      <c r="F113" s="110">
        <f>IF(D113=0,0,'Deal maths'!AB113*D113/12)</f>
        <v/>
      </c>
      <c r="G113" s="108">
        <f>N113+O113</f>
        <v/>
      </c>
      <c r="H113" s="108">
        <f>IFERROR(IF(OR(D113=0,AsAt&lt;E113),0,MIN(N113,INT(((YEAR(AsAt)-YEAR(E113))*12+MONTH(AsAt)-MONTH(E113)-(DAY(AsAt)&lt;MIN(R113,DAY(EOMONTH(AsAt,0)))))/D113)+1)+O113*(AsAt&gt;='Deal maths'!AA113)),0)</f>
        <v/>
      </c>
      <c r="I113" s="108">
        <f>G113-H113</f>
        <v/>
      </c>
      <c r="J113" s="111">
        <f>IF(AND(C113="EIP",I113&gt;0),'Deal maths'!Y113/I113,0)</f>
        <v/>
      </c>
      <c r="K113" s="111">
        <f>IF(AND(C113="Annuity",I113&gt;0),IF(F113&gt;0,'Deal maths'!Y113*F113/(1-(1+F113)^-I113),'Deal maths'!Y113/I113),0)</f>
        <v/>
      </c>
      <c r="L113" s="111">
        <f>IF('Deal maths'!Y113="",0,'Deal maths'!Y113)</f>
        <v/>
      </c>
      <c r="M113" s="112">
        <f>F113+(F113=0)</f>
        <v/>
      </c>
      <c r="N113" s="108">
        <f>IFERROR(IF(D113=0,0,INT(((YEAR('Deal maths'!AA113)-YEAR(E113))*12+MONTH('Deal maths'!AA113)-MONTH(E113)-(DAY('Deal maths'!AA113)&lt;MIN(R113,DAY(EOMONTH('Deal maths'!AA113,0)))))/D113)+1),0)</f>
        <v/>
      </c>
      <c r="O113" s="108">
        <f>IFERROR(IF(D113=0,0,IF(IF(DAY(E113+1)=1,EOMONTH(E113,(N113-1)*D113),EDATE(E113,(N113-1)*D113))='Deal maths'!AA113,0,1)),0)</f>
        <v/>
      </c>
      <c r="P113" s="113">
        <f>IF(B113=0,0,IFERROR(IF(C113="EIP",((I113-O113)*((IF(DAY(E113+1)=1,EOMONTH(E113,H113*D113),EDATE(E113,H113*D113))-AsAt)/365.25+(IF(DAY(E113+1)=1,EOMONTH(E113,(N113-1)*D113),EDATE(E113,(N113-1)*D113))-AsAt)/365.25)/2+O113*('Deal maths'!AA113-AsAt)/365.25)/I113,IF(C113="Annuity",IF(F113&gt;0,((K113-L113*F113)*((IF(DAY(E113+1)=1,EOMONTH(E113,H113*D113),EDATE(E113,H113*D113))-AsAt)/365.25*((1+F113)^(I113-O113)-1)/F113+IF((I113-O113)&gt;1,((IF(DAY(E113+1)=1,EOMONTH(E113,(N113-1)*D113),EDATE(E113,(N113-1)*D113))-AsAt)/365.25-(IF(DAY(E113+1)=1,EOMONTH(E113,H113*D113),EDATE(E113,H113*D113))-AsAt)/365.25)/((I113-O113)-1),0)*(1+F113)*(1-(I113-O113)*(1+F113)^((I113-O113)-1)+((I113-O113)-1)*(1+F113)^(I113-O113))/F113^2)+O113*(K113-L113*F113)*(1+F113)^(I113-1)*('Deal maths'!AA113-AsAt)/365.25)/L113,((I113-O113)*((IF(DAY(E113+1)=1,EOMONTH(E113,H113*D113),EDATE(E113,H113*D113))-AsAt)/365.25+(IF(DAY(E113+1)=1,EOMONTH(E113,(N113-1)*D113),EDATE(E113,(N113-1)*D113))-AsAt)/365.25)/2+O113*('Deal maths'!AA113-AsAt)/365.25)/I113),(S113-AsAt)/365.25)),0))</f>
        <v/>
      </c>
      <c r="Q113" s="109">
        <f>IF(B113=1,'Deal maths'!AA113+ROW()/1000000,"")</f>
        <v/>
      </c>
      <c r="R113" s="108">
        <f>IF(D113=0,0,IF(DAY(E113+1)=1,31,DAY(E113)))</f>
        <v/>
      </c>
      <c r="S113" s="109">
        <f>IF(AND('Deal maths'!V113="LOBO",'Deal maths'!AG113&gt;AsAt,'Deal maths'!AG113&lt;'Deal maths'!AA113),'Deal maths'!AG113,'Deal maths'!AA113)</f>
        <v/>
      </c>
      <c r="T113" s="108">
        <f>('Deal maths'!AA113&gt;AsAt)*('Deal maths'!Y113&gt;0)</f>
        <v/>
      </c>
    </row>
    <row r="114">
      <c r="A114" s="91">
        <f>IF('Deal maths'!V114="","",'Deal maths'!W114)</f>
        <v/>
      </c>
      <c r="B114" s="108">
        <f>('Deal maths'!AA114&gt;AsAt)*('Deal maths'!Y114&gt;0)*('Deal maths'!Z114&lt;=AsAt)</f>
        <v/>
      </c>
      <c r="C114" s="91">
        <f>IF('Deal maths'!V114="","",IF('Deal maths'!AC114="","Maturity",'Deal maths'!AC114))</f>
        <v/>
      </c>
      <c r="D114" s="108">
        <f>IF(OR(C114="EIP",C114="Annuity"),IF('Deal maths'!AD114="Annual",12,IF('Deal maths'!AD114="Quarterly",3,6)),0)</f>
        <v/>
      </c>
      <c r="E114" s="109">
        <f>IFERROR(IF(D114=0,0,IF('Deal maths'!AE114&gt;0,IF('Deal maths'!AE114&gt;'Deal maths'!AA114,'Deal maths'!AA114,'Deal maths'!AE114),IF(IF(DAY('Deal maths'!AA114+1)=1,EOMONTH('Deal maths'!AA114,-(INT(((YEAR('Deal maths'!AA114)-YEAR(IF('Deal maths'!Z114&gt;0,'Deal maths'!Z114,DATE(1990,1,1))))*12+MONTH('Deal maths'!AA114)-MONTH(IF('Deal maths'!Z114&gt;0,'Deal maths'!Z114,DATE(1990,1,1))))/D114))*D114),EDATE('Deal maths'!AA114,-(INT(((YEAR('Deal maths'!AA114)-YEAR(IF('Deal maths'!Z114&gt;0,'Deal maths'!Z114,DATE(1990,1,1))))*12+MONTH('Deal maths'!AA114)-MONTH(IF('Deal maths'!Z114&gt;0,'Deal maths'!Z114,DATE(1990,1,1))))/D114))*D114))&gt;IF('Deal maths'!Z114&gt;0,'Deal maths'!Z114,DATE(1990,1,1)),IF(DAY('Deal maths'!AA114+1)=1,EOMONTH('Deal maths'!AA114,-(INT(((YEAR('Deal maths'!AA114)-YEAR(IF('Deal maths'!Z114&gt;0,'Deal maths'!Z114,DATE(1990,1,1))))*12+MONTH('Deal maths'!AA114)-MONTH(IF('Deal maths'!Z114&gt;0,'Deal maths'!Z114,DATE(1990,1,1))))/D114))*D114),EDATE('Deal maths'!AA114,-(INT(((YEAR('Deal maths'!AA114)-YEAR(IF('Deal maths'!Z114&gt;0,'Deal maths'!Z114,DATE(1990,1,1))))*12+MONTH('Deal maths'!AA114)-MONTH(IF('Deal maths'!Z114&gt;0,'Deal maths'!Z114,DATE(1990,1,1))))/D114))*D114)),IF(DAY('Deal maths'!AA114+1)=1,EOMONTH('Deal maths'!AA114,-(INT(((YEAR('Deal maths'!AA114)-YEAR(IF('Deal maths'!Z114&gt;0,'Deal maths'!Z114,DATE(1990,1,1))))*12+MONTH('Deal maths'!AA114)-MONTH(IF('Deal maths'!Z114&gt;0,'Deal maths'!Z114,DATE(1990,1,1))))/D114)-1)*D114),EDATE('Deal maths'!AA114,-(INT(((YEAR('Deal maths'!AA114)-YEAR(IF('Deal maths'!Z114&gt;0,'Deal maths'!Z114,DATE(1990,1,1))))*12+MONTH('Deal maths'!AA114)-MONTH(IF('Deal maths'!Z114&gt;0,'Deal maths'!Z114,DATE(1990,1,1))))/D114)-1)*D114))))),0)</f>
        <v/>
      </c>
      <c r="F114" s="110">
        <f>IF(D114=0,0,'Deal maths'!AB114*D114/12)</f>
        <v/>
      </c>
      <c r="G114" s="108">
        <f>N114+O114</f>
        <v/>
      </c>
      <c r="H114" s="108">
        <f>IFERROR(IF(OR(D114=0,AsAt&lt;E114),0,MIN(N114,INT(((YEAR(AsAt)-YEAR(E114))*12+MONTH(AsAt)-MONTH(E114)-(DAY(AsAt)&lt;MIN(R114,DAY(EOMONTH(AsAt,0)))))/D114)+1)+O114*(AsAt&gt;='Deal maths'!AA114)),0)</f>
        <v/>
      </c>
      <c r="I114" s="108">
        <f>G114-H114</f>
        <v/>
      </c>
      <c r="J114" s="111">
        <f>IF(AND(C114="EIP",I114&gt;0),'Deal maths'!Y114/I114,0)</f>
        <v/>
      </c>
      <c r="K114" s="111">
        <f>IF(AND(C114="Annuity",I114&gt;0),IF(F114&gt;0,'Deal maths'!Y114*F114/(1-(1+F114)^-I114),'Deal maths'!Y114/I114),0)</f>
        <v/>
      </c>
      <c r="L114" s="111">
        <f>IF('Deal maths'!Y114="",0,'Deal maths'!Y114)</f>
        <v/>
      </c>
      <c r="M114" s="112">
        <f>F114+(F114=0)</f>
        <v/>
      </c>
      <c r="N114" s="108">
        <f>IFERROR(IF(D114=0,0,INT(((YEAR('Deal maths'!AA114)-YEAR(E114))*12+MONTH('Deal maths'!AA114)-MONTH(E114)-(DAY('Deal maths'!AA114)&lt;MIN(R114,DAY(EOMONTH('Deal maths'!AA114,0)))))/D114)+1),0)</f>
        <v/>
      </c>
      <c r="O114" s="108">
        <f>IFERROR(IF(D114=0,0,IF(IF(DAY(E114+1)=1,EOMONTH(E114,(N114-1)*D114),EDATE(E114,(N114-1)*D114))='Deal maths'!AA114,0,1)),0)</f>
        <v/>
      </c>
      <c r="P114" s="113">
        <f>IF(B114=0,0,IFERROR(IF(C114="EIP",((I114-O114)*((IF(DAY(E114+1)=1,EOMONTH(E114,H114*D114),EDATE(E114,H114*D114))-AsAt)/365.25+(IF(DAY(E114+1)=1,EOMONTH(E114,(N114-1)*D114),EDATE(E114,(N114-1)*D114))-AsAt)/365.25)/2+O114*('Deal maths'!AA114-AsAt)/365.25)/I114,IF(C114="Annuity",IF(F114&gt;0,((K114-L114*F114)*((IF(DAY(E114+1)=1,EOMONTH(E114,H114*D114),EDATE(E114,H114*D114))-AsAt)/365.25*((1+F114)^(I114-O114)-1)/F114+IF((I114-O114)&gt;1,((IF(DAY(E114+1)=1,EOMONTH(E114,(N114-1)*D114),EDATE(E114,(N114-1)*D114))-AsAt)/365.25-(IF(DAY(E114+1)=1,EOMONTH(E114,H114*D114),EDATE(E114,H114*D114))-AsAt)/365.25)/((I114-O114)-1),0)*(1+F114)*(1-(I114-O114)*(1+F114)^((I114-O114)-1)+((I114-O114)-1)*(1+F114)^(I114-O114))/F114^2)+O114*(K114-L114*F114)*(1+F114)^(I114-1)*('Deal maths'!AA114-AsAt)/365.25)/L114,((I114-O114)*((IF(DAY(E114+1)=1,EOMONTH(E114,H114*D114),EDATE(E114,H114*D114))-AsAt)/365.25+(IF(DAY(E114+1)=1,EOMONTH(E114,(N114-1)*D114),EDATE(E114,(N114-1)*D114))-AsAt)/365.25)/2+O114*('Deal maths'!AA114-AsAt)/365.25)/I114),(S114-AsAt)/365.25)),0))</f>
        <v/>
      </c>
      <c r="Q114" s="109">
        <f>IF(B114=1,'Deal maths'!AA114+ROW()/1000000,"")</f>
        <v/>
      </c>
      <c r="R114" s="108">
        <f>IF(D114=0,0,IF(DAY(E114+1)=1,31,DAY(E114)))</f>
        <v/>
      </c>
      <c r="S114" s="109">
        <f>IF(AND('Deal maths'!V114="LOBO",'Deal maths'!AG114&gt;AsAt,'Deal maths'!AG114&lt;'Deal maths'!AA114),'Deal maths'!AG114,'Deal maths'!AA114)</f>
        <v/>
      </c>
      <c r="T114" s="108">
        <f>('Deal maths'!AA114&gt;AsAt)*('Deal maths'!Y114&gt;0)</f>
        <v/>
      </c>
    </row>
    <row r="115">
      <c r="A115" s="91">
        <f>IF('Deal maths'!V115="","",'Deal maths'!W115)</f>
        <v/>
      </c>
      <c r="B115" s="108">
        <f>('Deal maths'!AA115&gt;AsAt)*('Deal maths'!Y115&gt;0)*('Deal maths'!Z115&lt;=AsAt)</f>
        <v/>
      </c>
      <c r="C115" s="91">
        <f>IF('Deal maths'!V115="","",IF('Deal maths'!AC115="","Maturity",'Deal maths'!AC115))</f>
        <v/>
      </c>
      <c r="D115" s="108">
        <f>IF(OR(C115="EIP",C115="Annuity"),IF('Deal maths'!AD115="Annual",12,IF('Deal maths'!AD115="Quarterly",3,6)),0)</f>
        <v/>
      </c>
      <c r="E115" s="109">
        <f>IFERROR(IF(D115=0,0,IF('Deal maths'!AE115&gt;0,IF('Deal maths'!AE115&gt;'Deal maths'!AA115,'Deal maths'!AA115,'Deal maths'!AE115),IF(IF(DAY('Deal maths'!AA115+1)=1,EOMONTH('Deal maths'!AA115,-(INT(((YEAR('Deal maths'!AA115)-YEAR(IF('Deal maths'!Z115&gt;0,'Deal maths'!Z115,DATE(1990,1,1))))*12+MONTH('Deal maths'!AA115)-MONTH(IF('Deal maths'!Z115&gt;0,'Deal maths'!Z115,DATE(1990,1,1))))/D115))*D115),EDATE('Deal maths'!AA115,-(INT(((YEAR('Deal maths'!AA115)-YEAR(IF('Deal maths'!Z115&gt;0,'Deal maths'!Z115,DATE(1990,1,1))))*12+MONTH('Deal maths'!AA115)-MONTH(IF('Deal maths'!Z115&gt;0,'Deal maths'!Z115,DATE(1990,1,1))))/D115))*D115))&gt;IF('Deal maths'!Z115&gt;0,'Deal maths'!Z115,DATE(1990,1,1)),IF(DAY('Deal maths'!AA115+1)=1,EOMONTH('Deal maths'!AA115,-(INT(((YEAR('Deal maths'!AA115)-YEAR(IF('Deal maths'!Z115&gt;0,'Deal maths'!Z115,DATE(1990,1,1))))*12+MONTH('Deal maths'!AA115)-MONTH(IF('Deal maths'!Z115&gt;0,'Deal maths'!Z115,DATE(1990,1,1))))/D115))*D115),EDATE('Deal maths'!AA115,-(INT(((YEAR('Deal maths'!AA115)-YEAR(IF('Deal maths'!Z115&gt;0,'Deal maths'!Z115,DATE(1990,1,1))))*12+MONTH('Deal maths'!AA115)-MONTH(IF('Deal maths'!Z115&gt;0,'Deal maths'!Z115,DATE(1990,1,1))))/D115))*D115)),IF(DAY('Deal maths'!AA115+1)=1,EOMONTH('Deal maths'!AA115,-(INT(((YEAR('Deal maths'!AA115)-YEAR(IF('Deal maths'!Z115&gt;0,'Deal maths'!Z115,DATE(1990,1,1))))*12+MONTH('Deal maths'!AA115)-MONTH(IF('Deal maths'!Z115&gt;0,'Deal maths'!Z115,DATE(1990,1,1))))/D115)-1)*D115),EDATE('Deal maths'!AA115,-(INT(((YEAR('Deal maths'!AA115)-YEAR(IF('Deal maths'!Z115&gt;0,'Deal maths'!Z115,DATE(1990,1,1))))*12+MONTH('Deal maths'!AA115)-MONTH(IF('Deal maths'!Z115&gt;0,'Deal maths'!Z115,DATE(1990,1,1))))/D115)-1)*D115))))),0)</f>
        <v/>
      </c>
      <c r="F115" s="110">
        <f>IF(D115=0,0,'Deal maths'!AB115*D115/12)</f>
        <v/>
      </c>
      <c r="G115" s="108">
        <f>N115+O115</f>
        <v/>
      </c>
      <c r="H115" s="108">
        <f>IFERROR(IF(OR(D115=0,AsAt&lt;E115),0,MIN(N115,INT(((YEAR(AsAt)-YEAR(E115))*12+MONTH(AsAt)-MONTH(E115)-(DAY(AsAt)&lt;MIN(R115,DAY(EOMONTH(AsAt,0)))))/D115)+1)+O115*(AsAt&gt;='Deal maths'!AA115)),0)</f>
        <v/>
      </c>
      <c r="I115" s="108">
        <f>G115-H115</f>
        <v/>
      </c>
      <c r="J115" s="111">
        <f>IF(AND(C115="EIP",I115&gt;0),'Deal maths'!Y115/I115,0)</f>
        <v/>
      </c>
      <c r="K115" s="111">
        <f>IF(AND(C115="Annuity",I115&gt;0),IF(F115&gt;0,'Deal maths'!Y115*F115/(1-(1+F115)^-I115),'Deal maths'!Y115/I115),0)</f>
        <v/>
      </c>
      <c r="L115" s="111">
        <f>IF('Deal maths'!Y115="",0,'Deal maths'!Y115)</f>
        <v/>
      </c>
      <c r="M115" s="112">
        <f>F115+(F115=0)</f>
        <v/>
      </c>
      <c r="N115" s="108">
        <f>IFERROR(IF(D115=0,0,INT(((YEAR('Deal maths'!AA115)-YEAR(E115))*12+MONTH('Deal maths'!AA115)-MONTH(E115)-(DAY('Deal maths'!AA115)&lt;MIN(R115,DAY(EOMONTH('Deal maths'!AA115,0)))))/D115)+1),0)</f>
        <v/>
      </c>
      <c r="O115" s="108">
        <f>IFERROR(IF(D115=0,0,IF(IF(DAY(E115+1)=1,EOMONTH(E115,(N115-1)*D115),EDATE(E115,(N115-1)*D115))='Deal maths'!AA115,0,1)),0)</f>
        <v/>
      </c>
      <c r="P115" s="113">
        <f>IF(B115=0,0,IFERROR(IF(C115="EIP",((I115-O115)*((IF(DAY(E115+1)=1,EOMONTH(E115,H115*D115),EDATE(E115,H115*D115))-AsAt)/365.25+(IF(DAY(E115+1)=1,EOMONTH(E115,(N115-1)*D115),EDATE(E115,(N115-1)*D115))-AsAt)/365.25)/2+O115*('Deal maths'!AA115-AsAt)/365.25)/I115,IF(C115="Annuity",IF(F115&gt;0,((K115-L115*F115)*((IF(DAY(E115+1)=1,EOMONTH(E115,H115*D115),EDATE(E115,H115*D115))-AsAt)/365.25*((1+F115)^(I115-O115)-1)/F115+IF((I115-O115)&gt;1,((IF(DAY(E115+1)=1,EOMONTH(E115,(N115-1)*D115),EDATE(E115,(N115-1)*D115))-AsAt)/365.25-(IF(DAY(E115+1)=1,EOMONTH(E115,H115*D115),EDATE(E115,H115*D115))-AsAt)/365.25)/((I115-O115)-1),0)*(1+F115)*(1-(I115-O115)*(1+F115)^((I115-O115)-1)+((I115-O115)-1)*(1+F115)^(I115-O115))/F115^2)+O115*(K115-L115*F115)*(1+F115)^(I115-1)*('Deal maths'!AA115-AsAt)/365.25)/L115,((I115-O115)*((IF(DAY(E115+1)=1,EOMONTH(E115,H115*D115),EDATE(E115,H115*D115))-AsAt)/365.25+(IF(DAY(E115+1)=1,EOMONTH(E115,(N115-1)*D115),EDATE(E115,(N115-1)*D115))-AsAt)/365.25)/2+O115*('Deal maths'!AA115-AsAt)/365.25)/I115),(S115-AsAt)/365.25)),0))</f>
        <v/>
      </c>
      <c r="Q115" s="109">
        <f>IF(B115=1,'Deal maths'!AA115+ROW()/1000000,"")</f>
        <v/>
      </c>
      <c r="R115" s="108">
        <f>IF(D115=0,0,IF(DAY(E115+1)=1,31,DAY(E115)))</f>
        <v/>
      </c>
      <c r="S115" s="109">
        <f>IF(AND('Deal maths'!V115="LOBO",'Deal maths'!AG115&gt;AsAt,'Deal maths'!AG115&lt;'Deal maths'!AA115),'Deal maths'!AG115,'Deal maths'!AA115)</f>
        <v/>
      </c>
      <c r="T115" s="108">
        <f>('Deal maths'!AA115&gt;AsAt)*('Deal maths'!Y115&gt;0)</f>
        <v/>
      </c>
    </row>
    <row r="116">
      <c r="A116" s="91">
        <f>IF('Deal maths'!V116="","",'Deal maths'!W116)</f>
        <v/>
      </c>
      <c r="B116" s="108">
        <f>('Deal maths'!AA116&gt;AsAt)*('Deal maths'!Y116&gt;0)*('Deal maths'!Z116&lt;=AsAt)</f>
        <v/>
      </c>
      <c r="C116" s="91">
        <f>IF('Deal maths'!V116="","",IF('Deal maths'!AC116="","Maturity",'Deal maths'!AC116))</f>
        <v/>
      </c>
      <c r="D116" s="108">
        <f>IF(OR(C116="EIP",C116="Annuity"),IF('Deal maths'!AD116="Annual",12,IF('Deal maths'!AD116="Quarterly",3,6)),0)</f>
        <v/>
      </c>
      <c r="E116" s="109">
        <f>IFERROR(IF(D116=0,0,IF('Deal maths'!AE116&gt;0,IF('Deal maths'!AE116&gt;'Deal maths'!AA116,'Deal maths'!AA116,'Deal maths'!AE116),IF(IF(DAY('Deal maths'!AA116+1)=1,EOMONTH('Deal maths'!AA116,-(INT(((YEAR('Deal maths'!AA116)-YEAR(IF('Deal maths'!Z116&gt;0,'Deal maths'!Z116,DATE(1990,1,1))))*12+MONTH('Deal maths'!AA116)-MONTH(IF('Deal maths'!Z116&gt;0,'Deal maths'!Z116,DATE(1990,1,1))))/D116))*D116),EDATE('Deal maths'!AA116,-(INT(((YEAR('Deal maths'!AA116)-YEAR(IF('Deal maths'!Z116&gt;0,'Deal maths'!Z116,DATE(1990,1,1))))*12+MONTH('Deal maths'!AA116)-MONTH(IF('Deal maths'!Z116&gt;0,'Deal maths'!Z116,DATE(1990,1,1))))/D116))*D116))&gt;IF('Deal maths'!Z116&gt;0,'Deal maths'!Z116,DATE(1990,1,1)),IF(DAY('Deal maths'!AA116+1)=1,EOMONTH('Deal maths'!AA116,-(INT(((YEAR('Deal maths'!AA116)-YEAR(IF('Deal maths'!Z116&gt;0,'Deal maths'!Z116,DATE(1990,1,1))))*12+MONTH('Deal maths'!AA116)-MONTH(IF('Deal maths'!Z116&gt;0,'Deal maths'!Z116,DATE(1990,1,1))))/D116))*D116),EDATE('Deal maths'!AA116,-(INT(((YEAR('Deal maths'!AA116)-YEAR(IF('Deal maths'!Z116&gt;0,'Deal maths'!Z116,DATE(1990,1,1))))*12+MONTH('Deal maths'!AA116)-MONTH(IF('Deal maths'!Z116&gt;0,'Deal maths'!Z116,DATE(1990,1,1))))/D116))*D116)),IF(DAY('Deal maths'!AA116+1)=1,EOMONTH('Deal maths'!AA116,-(INT(((YEAR('Deal maths'!AA116)-YEAR(IF('Deal maths'!Z116&gt;0,'Deal maths'!Z116,DATE(1990,1,1))))*12+MONTH('Deal maths'!AA116)-MONTH(IF('Deal maths'!Z116&gt;0,'Deal maths'!Z116,DATE(1990,1,1))))/D116)-1)*D116),EDATE('Deal maths'!AA116,-(INT(((YEAR('Deal maths'!AA116)-YEAR(IF('Deal maths'!Z116&gt;0,'Deal maths'!Z116,DATE(1990,1,1))))*12+MONTH('Deal maths'!AA116)-MONTH(IF('Deal maths'!Z116&gt;0,'Deal maths'!Z116,DATE(1990,1,1))))/D116)-1)*D116))))),0)</f>
        <v/>
      </c>
      <c r="F116" s="110">
        <f>IF(D116=0,0,'Deal maths'!AB116*D116/12)</f>
        <v/>
      </c>
      <c r="G116" s="108">
        <f>N116+O116</f>
        <v/>
      </c>
      <c r="H116" s="108">
        <f>IFERROR(IF(OR(D116=0,AsAt&lt;E116),0,MIN(N116,INT(((YEAR(AsAt)-YEAR(E116))*12+MONTH(AsAt)-MONTH(E116)-(DAY(AsAt)&lt;MIN(R116,DAY(EOMONTH(AsAt,0)))))/D116)+1)+O116*(AsAt&gt;='Deal maths'!AA116)),0)</f>
        <v/>
      </c>
      <c r="I116" s="108">
        <f>G116-H116</f>
        <v/>
      </c>
      <c r="J116" s="111">
        <f>IF(AND(C116="EIP",I116&gt;0),'Deal maths'!Y116/I116,0)</f>
        <v/>
      </c>
      <c r="K116" s="111">
        <f>IF(AND(C116="Annuity",I116&gt;0),IF(F116&gt;0,'Deal maths'!Y116*F116/(1-(1+F116)^-I116),'Deal maths'!Y116/I116),0)</f>
        <v/>
      </c>
      <c r="L116" s="111">
        <f>IF('Deal maths'!Y116="",0,'Deal maths'!Y116)</f>
        <v/>
      </c>
      <c r="M116" s="112">
        <f>F116+(F116=0)</f>
        <v/>
      </c>
      <c r="N116" s="108">
        <f>IFERROR(IF(D116=0,0,INT(((YEAR('Deal maths'!AA116)-YEAR(E116))*12+MONTH('Deal maths'!AA116)-MONTH(E116)-(DAY('Deal maths'!AA116)&lt;MIN(R116,DAY(EOMONTH('Deal maths'!AA116,0)))))/D116)+1),0)</f>
        <v/>
      </c>
      <c r="O116" s="108">
        <f>IFERROR(IF(D116=0,0,IF(IF(DAY(E116+1)=1,EOMONTH(E116,(N116-1)*D116),EDATE(E116,(N116-1)*D116))='Deal maths'!AA116,0,1)),0)</f>
        <v/>
      </c>
      <c r="P116" s="113">
        <f>IF(B116=0,0,IFERROR(IF(C116="EIP",((I116-O116)*((IF(DAY(E116+1)=1,EOMONTH(E116,H116*D116),EDATE(E116,H116*D116))-AsAt)/365.25+(IF(DAY(E116+1)=1,EOMONTH(E116,(N116-1)*D116),EDATE(E116,(N116-1)*D116))-AsAt)/365.25)/2+O116*('Deal maths'!AA116-AsAt)/365.25)/I116,IF(C116="Annuity",IF(F116&gt;0,((K116-L116*F116)*((IF(DAY(E116+1)=1,EOMONTH(E116,H116*D116),EDATE(E116,H116*D116))-AsAt)/365.25*((1+F116)^(I116-O116)-1)/F116+IF((I116-O116)&gt;1,((IF(DAY(E116+1)=1,EOMONTH(E116,(N116-1)*D116),EDATE(E116,(N116-1)*D116))-AsAt)/365.25-(IF(DAY(E116+1)=1,EOMONTH(E116,H116*D116),EDATE(E116,H116*D116))-AsAt)/365.25)/((I116-O116)-1),0)*(1+F116)*(1-(I116-O116)*(1+F116)^((I116-O116)-1)+((I116-O116)-1)*(1+F116)^(I116-O116))/F116^2)+O116*(K116-L116*F116)*(1+F116)^(I116-1)*('Deal maths'!AA116-AsAt)/365.25)/L116,((I116-O116)*((IF(DAY(E116+1)=1,EOMONTH(E116,H116*D116),EDATE(E116,H116*D116))-AsAt)/365.25+(IF(DAY(E116+1)=1,EOMONTH(E116,(N116-1)*D116),EDATE(E116,(N116-1)*D116))-AsAt)/365.25)/2+O116*('Deal maths'!AA116-AsAt)/365.25)/I116),(S116-AsAt)/365.25)),0))</f>
        <v/>
      </c>
      <c r="Q116" s="109">
        <f>IF(B116=1,'Deal maths'!AA116+ROW()/1000000,"")</f>
        <v/>
      </c>
      <c r="R116" s="108">
        <f>IF(D116=0,0,IF(DAY(E116+1)=1,31,DAY(E116)))</f>
        <v/>
      </c>
      <c r="S116" s="109">
        <f>IF(AND('Deal maths'!V116="LOBO",'Deal maths'!AG116&gt;AsAt,'Deal maths'!AG116&lt;'Deal maths'!AA116),'Deal maths'!AG116,'Deal maths'!AA116)</f>
        <v/>
      </c>
      <c r="T116" s="108">
        <f>('Deal maths'!AA116&gt;AsAt)*('Deal maths'!Y116&gt;0)</f>
        <v/>
      </c>
    </row>
    <row r="117">
      <c r="A117" s="91">
        <f>IF('Deal maths'!V117="","",'Deal maths'!W117)</f>
        <v/>
      </c>
      <c r="B117" s="108">
        <f>('Deal maths'!AA117&gt;AsAt)*('Deal maths'!Y117&gt;0)*('Deal maths'!Z117&lt;=AsAt)</f>
        <v/>
      </c>
      <c r="C117" s="91">
        <f>IF('Deal maths'!V117="","",IF('Deal maths'!AC117="","Maturity",'Deal maths'!AC117))</f>
        <v/>
      </c>
      <c r="D117" s="108">
        <f>IF(OR(C117="EIP",C117="Annuity"),IF('Deal maths'!AD117="Annual",12,IF('Deal maths'!AD117="Quarterly",3,6)),0)</f>
        <v/>
      </c>
      <c r="E117" s="109">
        <f>IFERROR(IF(D117=0,0,IF('Deal maths'!AE117&gt;0,IF('Deal maths'!AE117&gt;'Deal maths'!AA117,'Deal maths'!AA117,'Deal maths'!AE117),IF(IF(DAY('Deal maths'!AA117+1)=1,EOMONTH('Deal maths'!AA117,-(INT(((YEAR('Deal maths'!AA117)-YEAR(IF('Deal maths'!Z117&gt;0,'Deal maths'!Z117,DATE(1990,1,1))))*12+MONTH('Deal maths'!AA117)-MONTH(IF('Deal maths'!Z117&gt;0,'Deal maths'!Z117,DATE(1990,1,1))))/D117))*D117),EDATE('Deal maths'!AA117,-(INT(((YEAR('Deal maths'!AA117)-YEAR(IF('Deal maths'!Z117&gt;0,'Deal maths'!Z117,DATE(1990,1,1))))*12+MONTH('Deal maths'!AA117)-MONTH(IF('Deal maths'!Z117&gt;0,'Deal maths'!Z117,DATE(1990,1,1))))/D117))*D117))&gt;IF('Deal maths'!Z117&gt;0,'Deal maths'!Z117,DATE(1990,1,1)),IF(DAY('Deal maths'!AA117+1)=1,EOMONTH('Deal maths'!AA117,-(INT(((YEAR('Deal maths'!AA117)-YEAR(IF('Deal maths'!Z117&gt;0,'Deal maths'!Z117,DATE(1990,1,1))))*12+MONTH('Deal maths'!AA117)-MONTH(IF('Deal maths'!Z117&gt;0,'Deal maths'!Z117,DATE(1990,1,1))))/D117))*D117),EDATE('Deal maths'!AA117,-(INT(((YEAR('Deal maths'!AA117)-YEAR(IF('Deal maths'!Z117&gt;0,'Deal maths'!Z117,DATE(1990,1,1))))*12+MONTH('Deal maths'!AA117)-MONTH(IF('Deal maths'!Z117&gt;0,'Deal maths'!Z117,DATE(1990,1,1))))/D117))*D117)),IF(DAY('Deal maths'!AA117+1)=1,EOMONTH('Deal maths'!AA117,-(INT(((YEAR('Deal maths'!AA117)-YEAR(IF('Deal maths'!Z117&gt;0,'Deal maths'!Z117,DATE(1990,1,1))))*12+MONTH('Deal maths'!AA117)-MONTH(IF('Deal maths'!Z117&gt;0,'Deal maths'!Z117,DATE(1990,1,1))))/D117)-1)*D117),EDATE('Deal maths'!AA117,-(INT(((YEAR('Deal maths'!AA117)-YEAR(IF('Deal maths'!Z117&gt;0,'Deal maths'!Z117,DATE(1990,1,1))))*12+MONTH('Deal maths'!AA117)-MONTH(IF('Deal maths'!Z117&gt;0,'Deal maths'!Z117,DATE(1990,1,1))))/D117)-1)*D117))))),0)</f>
        <v/>
      </c>
      <c r="F117" s="110">
        <f>IF(D117=0,0,'Deal maths'!AB117*D117/12)</f>
        <v/>
      </c>
      <c r="G117" s="108">
        <f>N117+O117</f>
        <v/>
      </c>
      <c r="H117" s="108">
        <f>IFERROR(IF(OR(D117=0,AsAt&lt;E117),0,MIN(N117,INT(((YEAR(AsAt)-YEAR(E117))*12+MONTH(AsAt)-MONTH(E117)-(DAY(AsAt)&lt;MIN(R117,DAY(EOMONTH(AsAt,0)))))/D117)+1)+O117*(AsAt&gt;='Deal maths'!AA117)),0)</f>
        <v/>
      </c>
      <c r="I117" s="108">
        <f>G117-H117</f>
        <v/>
      </c>
      <c r="J117" s="111">
        <f>IF(AND(C117="EIP",I117&gt;0),'Deal maths'!Y117/I117,0)</f>
        <v/>
      </c>
      <c r="K117" s="111">
        <f>IF(AND(C117="Annuity",I117&gt;0),IF(F117&gt;0,'Deal maths'!Y117*F117/(1-(1+F117)^-I117),'Deal maths'!Y117/I117),0)</f>
        <v/>
      </c>
      <c r="L117" s="111">
        <f>IF('Deal maths'!Y117="",0,'Deal maths'!Y117)</f>
        <v/>
      </c>
      <c r="M117" s="112">
        <f>F117+(F117=0)</f>
        <v/>
      </c>
      <c r="N117" s="108">
        <f>IFERROR(IF(D117=0,0,INT(((YEAR('Deal maths'!AA117)-YEAR(E117))*12+MONTH('Deal maths'!AA117)-MONTH(E117)-(DAY('Deal maths'!AA117)&lt;MIN(R117,DAY(EOMONTH('Deal maths'!AA117,0)))))/D117)+1),0)</f>
        <v/>
      </c>
      <c r="O117" s="108">
        <f>IFERROR(IF(D117=0,0,IF(IF(DAY(E117+1)=1,EOMONTH(E117,(N117-1)*D117),EDATE(E117,(N117-1)*D117))='Deal maths'!AA117,0,1)),0)</f>
        <v/>
      </c>
      <c r="P117" s="113">
        <f>IF(B117=0,0,IFERROR(IF(C117="EIP",((I117-O117)*((IF(DAY(E117+1)=1,EOMONTH(E117,H117*D117),EDATE(E117,H117*D117))-AsAt)/365.25+(IF(DAY(E117+1)=1,EOMONTH(E117,(N117-1)*D117),EDATE(E117,(N117-1)*D117))-AsAt)/365.25)/2+O117*('Deal maths'!AA117-AsAt)/365.25)/I117,IF(C117="Annuity",IF(F117&gt;0,((K117-L117*F117)*((IF(DAY(E117+1)=1,EOMONTH(E117,H117*D117),EDATE(E117,H117*D117))-AsAt)/365.25*((1+F117)^(I117-O117)-1)/F117+IF((I117-O117)&gt;1,((IF(DAY(E117+1)=1,EOMONTH(E117,(N117-1)*D117),EDATE(E117,(N117-1)*D117))-AsAt)/365.25-(IF(DAY(E117+1)=1,EOMONTH(E117,H117*D117),EDATE(E117,H117*D117))-AsAt)/365.25)/((I117-O117)-1),0)*(1+F117)*(1-(I117-O117)*(1+F117)^((I117-O117)-1)+((I117-O117)-1)*(1+F117)^(I117-O117))/F117^2)+O117*(K117-L117*F117)*(1+F117)^(I117-1)*('Deal maths'!AA117-AsAt)/365.25)/L117,((I117-O117)*((IF(DAY(E117+1)=1,EOMONTH(E117,H117*D117),EDATE(E117,H117*D117))-AsAt)/365.25+(IF(DAY(E117+1)=1,EOMONTH(E117,(N117-1)*D117),EDATE(E117,(N117-1)*D117))-AsAt)/365.25)/2+O117*('Deal maths'!AA117-AsAt)/365.25)/I117),(S117-AsAt)/365.25)),0))</f>
        <v/>
      </c>
      <c r="Q117" s="109">
        <f>IF(B117=1,'Deal maths'!AA117+ROW()/1000000,"")</f>
        <v/>
      </c>
      <c r="R117" s="108">
        <f>IF(D117=0,0,IF(DAY(E117+1)=1,31,DAY(E117)))</f>
        <v/>
      </c>
      <c r="S117" s="109">
        <f>IF(AND('Deal maths'!V117="LOBO",'Deal maths'!AG117&gt;AsAt,'Deal maths'!AG117&lt;'Deal maths'!AA117),'Deal maths'!AG117,'Deal maths'!AA117)</f>
        <v/>
      </c>
      <c r="T117" s="108">
        <f>('Deal maths'!AA117&gt;AsAt)*('Deal maths'!Y117&gt;0)</f>
        <v/>
      </c>
    </row>
    <row r="118">
      <c r="A118" s="91">
        <f>IF('Deal maths'!V118="","",'Deal maths'!W118)</f>
        <v/>
      </c>
      <c r="B118" s="108">
        <f>('Deal maths'!AA118&gt;AsAt)*('Deal maths'!Y118&gt;0)*('Deal maths'!Z118&lt;=AsAt)</f>
        <v/>
      </c>
      <c r="C118" s="91">
        <f>IF('Deal maths'!V118="","",IF('Deal maths'!AC118="","Maturity",'Deal maths'!AC118))</f>
        <v/>
      </c>
      <c r="D118" s="108">
        <f>IF(OR(C118="EIP",C118="Annuity"),IF('Deal maths'!AD118="Annual",12,IF('Deal maths'!AD118="Quarterly",3,6)),0)</f>
        <v/>
      </c>
      <c r="E118" s="109">
        <f>IFERROR(IF(D118=0,0,IF('Deal maths'!AE118&gt;0,IF('Deal maths'!AE118&gt;'Deal maths'!AA118,'Deal maths'!AA118,'Deal maths'!AE118),IF(IF(DAY('Deal maths'!AA118+1)=1,EOMONTH('Deal maths'!AA118,-(INT(((YEAR('Deal maths'!AA118)-YEAR(IF('Deal maths'!Z118&gt;0,'Deal maths'!Z118,DATE(1990,1,1))))*12+MONTH('Deal maths'!AA118)-MONTH(IF('Deal maths'!Z118&gt;0,'Deal maths'!Z118,DATE(1990,1,1))))/D118))*D118),EDATE('Deal maths'!AA118,-(INT(((YEAR('Deal maths'!AA118)-YEAR(IF('Deal maths'!Z118&gt;0,'Deal maths'!Z118,DATE(1990,1,1))))*12+MONTH('Deal maths'!AA118)-MONTH(IF('Deal maths'!Z118&gt;0,'Deal maths'!Z118,DATE(1990,1,1))))/D118))*D118))&gt;IF('Deal maths'!Z118&gt;0,'Deal maths'!Z118,DATE(1990,1,1)),IF(DAY('Deal maths'!AA118+1)=1,EOMONTH('Deal maths'!AA118,-(INT(((YEAR('Deal maths'!AA118)-YEAR(IF('Deal maths'!Z118&gt;0,'Deal maths'!Z118,DATE(1990,1,1))))*12+MONTH('Deal maths'!AA118)-MONTH(IF('Deal maths'!Z118&gt;0,'Deal maths'!Z118,DATE(1990,1,1))))/D118))*D118),EDATE('Deal maths'!AA118,-(INT(((YEAR('Deal maths'!AA118)-YEAR(IF('Deal maths'!Z118&gt;0,'Deal maths'!Z118,DATE(1990,1,1))))*12+MONTH('Deal maths'!AA118)-MONTH(IF('Deal maths'!Z118&gt;0,'Deal maths'!Z118,DATE(1990,1,1))))/D118))*D118)),IF(DAY('Deal maths'!AA118+1)=1,EOMONTH('Deal maths'!AA118,-(INT(((YEAR('Deal maths'!AA118)-YEAR(IF('Deal maths'!Z118&gt;0,'Deal maths'!Z118,DATE(1990,1,1))))*12+MONTH('Deal maths'!AA118)-MONTH(IF('Deal maths'!Z118&gt;0,'Deal maths'!Z118,DATE(1990,1,1))))/D118)-1)*D118),EDATE('Deal maths'!AA118,-(INT(((YEAR('Deal maths'!AA118)-YEAR(IF('Deal maths'!Z118&gt;0,'Deal maths'!Z118,DATE(1990,1,1))))*12+MONTH('Deal maths'!AA118)-MONTH(IF('Deal maths'!Z118&gt;0,'Deal maths'!Z118,DATE(1990,1,1))))/D118)-1)*D118))))),0)</f>
        <v/>
      </c>
      <c r="F118" s="110">
        <f>IF(D118=0,0,'Deal maths'!AB118*D118/12)</f>
        <v/>
      </c>
      <c r="G118" s="108">
        <f>N118+O118</f>
        <v/>
      </c>
      <c r="H118" s="108">
        <f>IFERROR(IF(OR(D118=0,AsAt&lt;E118),0,MIN(N118,INT(((YEAR(AsAt)-YEAR(E118))*12+MONTH(AsAt)-MONTH(E118)-(DAY(AsAt)&lt;MIN(R118,DAY(EOMONTH(AsAt,0)))))/D118)+1)+O118*(AsAt&gt;='Deal maths'!AA118)),0)</f>
        <v/>
      </c>
      <c r="I118" s="108">
        <f>G118-H118</f>
        <v/>
      </c>
      <c r="J118" s="111">
        <f>IF(AND(C118="EIP",I118&gt;0),'Deal maths'!Y118/I118,0)</f>
        <v/>
      </c>
      <c r="K118" s="111">
        <f>IF(AND(C118="Annuity",I118&gt;0),IF(F118&gt;0,'Deal maths'!Y118*F118/(1-(1+F118)^-I118),'Deal maths'!Y118/I118),0)</f>
        <v/>
      </c>
      <c r="L118" s="111">
        <f>IF('Deal maths'!Y118="",0,'Deal maths'!Y118)</f>
        <v/>
      </c>
      <c r="M118" s="112">
        <f>F118+(F118=0)</f>
        <v/>
      </c>
      <c r="N118" s="108">
        <f>IFERROR(IF(D118=0,0,INT(((YEAR('Deal maths'!AA118)-YEAR(E118))*12+MONTH('Deal maths'!AA118)-MONTH(E118)-(DAY('Deal maths'!AA118)&lt;MIN(R118,DAY(EOMONTH('Deal maths'!AA118,0)))))/D118)+1),0)</f>
        <v/>
      </c>
      <c r="O118" s="108">
        <f>IFERROR(IF(D118=0,0,IF(IF(DAY(E118+1)=1,EOMONTH(E118,(N118-1)*D118),EDATE(E118,(N118-1)*D118))='Deal maths'!AA118,0,1)),0)</f>
        <v/>
      </c>
      <c r="P118" s="113">
        <f>IF(B118=0,0,IFERROR(IF(C118="EIP",((I118-O118)*((IF(DAY(E118+1)=1,EOMONTH(E118,H118*D118),EDATE(E118,H118*D118))-AsAt)/365.25+(IF(DAY(E118+1)=1,EOMONTH(E118,(N118-1)*D118),EDATE(E118,(N118-1)*D118))-AsAt)/365.25)/2+O118*('Deal maths'!AA118-AsAt)/365.25)/I118,IF(C118="Annuity",IF(F118&gt;0,((K118-L118*F118)*((IF(DAY(E118+1)=1,EOMONTH(E118,H118*D118),EDATE(E118,H118*D118))-AsAt)/365.25*((1+F118)^(I118-O118)-1)/F118+IF((I118-O118)&gt;1,((IF(DAY(E118+1)=1,EOMONTH(E118,(N118-1)*D118),EDATE(E118,(N118-1)*D118))-AsAt)/365.25-(IF(DAY(E118+1)=1,EOMONTH(E118,H118*D118),EDATE(E118,H118*D118))-AsAt)/365.25)/((I118-O118)-1),0)*(1+F118)*(1-(I118-O118)*(1+F118)^((I118-O118)-1)+((I118-O118)-1)*(1+F118)^(I118-O118))/F118^2)+O118*(K118-L118*F118)*(1+F118)^(I118-1)*('Deal maths'!AA118-AsAt)/365.25)/L118,((I118-O118)*((IF(DAY(E118+1)=1,EOMONTH(E118,H118*D118),EDATE(E118,H118*D118))-AsAt)/365.25+(IF(DAY(E118+1)=1,EOMONTH(E118,(N118-1)*D118),EDATE(E118,(N118-1)*D118))-AsAt)/365.25)/2+O118*('Deal maths'!AA118-AsAt)/365.25)/I118),(S118-AsAt)/365.25)),0))</f>
        <v/>
      </c>
      <c r="Q118" s="109">
        <f>IF(B118=1,'Deal maths'!AA118+ROW()/1000000,"")</f>
        <v/>
      </c>
      <c r="R118" s="108">
        <f>IF(D118=0,0,IF(DAY(E118+1)=1,31,DAY(E118)))</f>
        <v/>
      </c>
      <c r="S118" s="109">
        <f>IF(AND('Deal maths'!V118="LOBO",'Deal maths'!AG118&gt;AsAt,'Deal maths'!AG118&lt;'Deal maths'!AA118),'Deal maths'!AG118,'Deal maths'!AA118)</f>
        <v/>
      </c>
      <c r="T118" s="108">
        <f>('Deal maths'!AA118&gt;AsAt)*('Deal maths'!Y118&gt;0)</f>
        <v/>
      </c>
    </row>
    <row r="119">
      <c r="A119" s="91">
        <f>IF('Deal maths'!V119="","",'Deal maths'!W119)</f>
        <v/>
      </c>
      <c r="B119" s="108">
        <f>('Deal maths'!AA119&gt;AsAt)*('Deal maths'!Y119&gt;0)*('Deal maths'!Z119&lt;=AsAt)</f>
        <v/>
      </c>
      <c r="C119" s="91">
        <f>IF('Deal maths'!V119="","",IF('Deal maths'!AC119="","Maturity",'Deal maths'!AC119))</f>
        <v/>
      </c>
      <c r="D119" s="108">
        <f>IF(OR(C119="EIP",C119="Annuity"),IF('Deal maths'!AD119="Annual",12,IF('Deal maths'!AD119="Quarterly",3,6)),0)</f>
        <v/>
      </c>
      <c r="E119" s="109">
        <f>IFERROR(IF(D119=0,0,IF('Deal maths'!AE119&gt;0,IF('Deal maths'!AE119&gt;'Deal maths'!AA119,'Deal maths'!AA119,'Deal maths'!AE119),IF(IF(DAY('Deal maths'!AA119+1)=1,EOMONTH('Deal maths'!AA119,-(INT(((YEAR('Deal maths'!AA119)-YEAR(IF('Deal maths'!Z119&gt;0,'Deal maths'!Z119,DATE(1990,1,1))))*12+MONTH('Deal maths'!AA119)-MONTH(IF('Deal maths'!Z119&gt;0,'Deal maths'!Z119,DATE(1990,1,1))))/D119))*D119),EDATE('Deal maths'!AA119,-(INT(((YEAR('Deal maths'!AA119)-YEAR(IF('Deal maths'!Z119&gt;0,'Deal maths'!Z119,DATE(1990,1,1))))*12+MONTH('Deal maths'!AA119)-MONTH(IF('Deal maths'!Z119&gt;0,'Deal maths'!Z119,DATE(1990,1,1))))/D119))*D119))&gt;IF('Deal maths'!Z119&gt;0,'Deal maths'!Z119,DATE(1990,1,1)),IF(DAY('Deal maths'!AA119+1)=1,EOMONTH('Deal maths'!AA119,-(INT(((YEAR('Deal maths'!AA119)-YEAR(IF('Deal maths'!Z119&gt;0,'Deal maths'!Z119,DATE(1990,1,1))))*12+MONTH('Deal maths'!AA119)-MONTH(IF('Deal maths'!Z119&gt;0,'Deal maths'!Z119,DATE(1990,1,1))))/D119))*D119),EDATE('Deal maths'!AA119,-(INT(((YEAR('Deal maths'!AA119)-YEAR(IF('Deal maths'!Z119&gt;0,'Deal maths'!Z119,DATE(1990,1,1))))*12+MONTH('Deal maths'!AA119)-MONTH(IF('Deal maths'!Z119&gt;0,'Deal maths'!Z119,DATE(1990,1,1))))/D119))*D119)),IF(DAY('Deal maths'!AA119+1)=1,EOMONTH('Deal maths'!AA119,-(INT(((YEAR('Deal maths'!AA119)-YEAR(IF('Deal maths'!Z119&gt;0,'Deal maths'!Z119,DATE(1990,1,1))))*12+MONTH('Deal maths'!AA119)-MONTH(IF('Deal maths'!Z119&gt;0,'Deal maths'!Z119,DATE(1990,1,1))))/D119)-1)*D119),EDATE('Deal maths'!AA119,-(INT(((YEAR('Deal maths'!AA119)-YEAR(IF('Deal maths'!Z119&gt;0,'Deal maths'!Z119,DATE(1990,1,1))))*12+MONTH('Deal maths'!AA119)-MONTH(IF('Deal maths'!Z119&gt;0,'Deal maths'!Z119,DATE(1990,1,1))))/D119)-1)*D119))))),0)</f>
        <v/>
      </c>
      <c r="F119" s="110">
        <f>IF(D119=0,0,'Deal maths'!AB119*D119/12)</f>
        <v/>
      </c>
      <c r="G119" s="108">
        <f>N119+O119</f>
        <v/>
      </c>
      <c r="H119" s="108">
        <f>IFERROR(IF(OR(D119=0,AsAt&lt;E119),0,MIN(N119,INT(((YEAR(AsAt)-YEAR(E119))*12+MONTH(AsAt)-MONTH(E119)-(DAY(AsAt)&lt;MIN(R119,DAY(EOMONTH(AsAt,0)))))/D119)+1)+O119*(AsAt&gt;='Deal maths'!AA119)),0)</f>
        <v/>
      </c>
      <c r="I119" s="108">
        <f>G119-H119</f>
        <v/>
      </c>
      <c r="J119" s="111">
        <f>IF(AND(C119="EIP",I119&gt;0),'Deal maths'!Y119/I119,0)</f>
        <v/>
      </c>
      <c r="K119" s="111">
        <f>IF(AND(C119="Annuity",I119&gt;0),IF(F119&gt;0,'Deal maths'!Y119*F119/(1-(1+F119)^-I119),'Deal maths'!Y119/I119),0)</f>
        <v/>
      </c>
      <c r="L119" s="111">
        <f>IF('Deal maths'!Y119="",0,'Deal maths'!Y119)</f>
        <v/>
      </c>
      <c r="M119" s="112">
        <f>F119+(F119=0)</f>
        <v/>
      </c>
      <c r="N119" s="108">
        <f>IFERROR(IF(D119=0,0,INT(((YEAR('Deal maths'!AA119)-YEAR(E119))*12+MONTH('Deal maths'!AA119)-MONTH(E119)-(DAY('Deal maths'!AA119)&lt;MIN(R119,DAY(EOMONTH('Deal maths'!AA119,0)))))/D119)+1),0)</f>
        <v/>
      </c>
      <c r="O119" s="108">
        <f>IFERROR(IF(D119=0,0,IF(IF(DAY(E119+1)=1,EOMONTH(E119,(N119-1)*D119),EDATE(E119,(N119-1)*D119))='Deal maths'!AA119,0,1)),0)</f>
        <v/>
      </c>
      <c r="P119" s="113">
        <f>IF(B119=0,0,IFERROR(IF(C119="EIP",((I119-O119)*((IF(DAY(E119+1)=1,EOMONTH(E119,H119*D119),EDATE(E119,H119*D119))-AsAt)/365.25+(IF(DAY(E119+1)=1,EOMONTH(E119,(N119-1)*D119),EDATE(E119,(N119-1)*D119))-AsAt)/365.25)/2+O119*('Deal maths'!AA119-AsAt)/365.25)/I119,IF(C119="Annuity",IF(F119&gt;0,((K119-L119*F119)*((IF(DAY(E119+1)=1,EOMONTH(E119,H119*D119),EDATE(E119,H119*D119))-AsAt)/365.25*((1+F119)^(I119-O119)-1)/F119+IF((I119-O119)&gt;1,((IF(DAY(E119+1)=1,EOMONTH(E119,(N119-1)*D119),EDATE(E119,(N119-1)*D119))-AsAt)/365.25-(IF(DAY(E119+1)=1,EOMONTH(E119,H119*D119),EDATE(E119,H119*D119))-AsAt)/365.25)/((I119-O119)-1),0)*(1+F119)*(1-(I119-O119)*(1+F119)^((I119-O119)-1)+((I119-O119)-1)*(1+F119)^(I119-O119))/F119^2)+O119*(K119-L119*F119)*(1+F119)^(I119-1)*('Deal maths'!AA119-AsAt)/365.25)/L119,((I119-O119)*((IF(DAY(E119+1)=1,EOMONTH(E119,H119*D119),EDATE(E119,H119*D119))-AsAt)/365.25+(IF(DAY(E119+1)=1,EOMONTH(E119,(N119-1)*D119),EDATE(E119,(N119-1)*D119))-AsAt)/365.25)/2+O119*('Deal maths'!AA119-AsAt)/365.25)/I119),(S119-AsAt)/365.25)),0))</f>
        <v/>
      </c>
      <c r="Q119" s="109">
        <f>IF(B119=1,'Deal maths'!AA119+ROW()/1000000,"")</f>
        <v/>
      </c>
      <c r="R119" s="108">
        <f>IF(D119=0,0,IF(DAY(E119+1)=1,31,DAY(E119)))</f>
        <v/>
      </c>
      <c r="S119" s="109">
        <f>IF(AND('Deal maths'!V119="LOBO",'Deal maths'!AG119&gt;AsAt,'Deal maths'!AG119&lt;'Deal maths'!AA119),'Deal maths'!AG119,'Deal maths'!AA119)</f>
        <v/>
      </c>
      <c r="T119" s="108">
        <f>('Deal maths'!AA119&gt;AsAt)*('Deal maths'!Y119&gt;0)</f>
        <v/>
      </c>
    </row>
    <row r="120">
      <c r="A120" s="91">
        <f>IF('Deal maths'!V120="","",'Deal maths'!W120)</f>
        <v/>
      </c>
      <c r="B120" s="108">
        <f>('Deal maths'!AA120&gt;AsAt)*('Deal maths'!Y120&gt;0)*('Deal maths'!Z120&lt;=AsAt)</f>
        <v/>
      </c>
      <c r="C120" s="91">
        <f>IF('Deal maths'!V120="","",IF('Deal maths'!AC120="","Maturity",'Deal maths'!AC120))</f>
        <v/>
      </c>
      <c r="D120" s="108">
        <f>IF(OR(C120="EIP",C120="Annuity"),IF('Deal maths'!AD120="Annual",12,IF('Deal maths'!AD120="Quarterly",3,6)),0)</f>
        <v/>
      </c>
      <c r="E120" s="109">
        <f>IFERROR(IF(D120=0,0,IF('Deal maths'!AE120&gt;0,IF('Deal maths'!AE120&gt;'Deal maths'!AA120,'Deal maths'!AA120,'Deal maths'!AE120),IF(IF(DAY('Deal maths'!AA120+1)=1,EOMONTH('Deal maths'!AA120,-(INT(((YEAR('Deal maths'!AA120)-YEAR(IF('Deal maths'!Z120&gt;0,'Deal maths'!Z120,DATE(1990,1,1))))*12+MONTH('Deal maths'!AA120)-MONTH(IF('Deal maths'!Z120&gt;0,'Deal maths'!Z120,DATE(1990,1,1))))/D120))*D120),EDATE('Deal maths'!AA120,-(INT(((YEAR('Deal maths'!AA120)-YEAR(IF('Deal maths'!Z120&gt;0,'Deal maths'!Z120,DATE(1990,1,1))))*12+MONTH('Deal maths'!AA120)-MONTH(IF('Deal maths'!Z120&gt;0,'Deal maths'!Z120,DATE(1990,1,1))))/D120))*D120))&gt;IF('Deal maths'!Z120&gt;0,'Deal maths'!Z120,DATE(1990,1,1)),IF(DAY('Deal maths'!AA120+1)=1,EOMONTH('Deal maths'!AA120,-(INT(((YEAR('Deal maths'!AA120)-YEAR(IF('Deal maths'!Z120&gt;0,'Deal maths'!Z120,DATE(1990,1,1))))*12+MONTH('Deal maths'!AA120)-MONTH(IF('Deal maths'!Z120&gt;0,'Deal maths'!Z120,DATE(1990,1,1))))/D120))*D120),EDATE('Deal maths'!AA120,-(INT(((YEAR('Deal maths'!AA120)-YEAR(IF('Deal maths'!Z120&gt;0,'Deal maths'!Z120,DATE(1990,1,1))))*12+MONTH('Deal maths'!AA120)-MONTH(IF('Deal maths'!Z120&gt;0,'Deal maths'!Z120,DATE(1990,1,1))))/D120))*D120)),IF(DAY('Deal maths'!AA120+1)=1,EOMONTH('Deal maths'!AA120,-(INT(((YEAR('Deal maths'!AA120)-YEAR(IF('Deal maths'!Z120&gt;0,'Deal maths'!Z120,DATE(1990,1,1))))*12+MONTH('Deal maths'!AA120)-MONTH(IF('Deal maths'!Z120&gt;0,'Deal maths'!Z120,DATE(1990,1,1))))/D120)-1)*D120),EDATE('Deal maths'!AA120,-(INT(((YEAR('Deal maths'!AA120)-YEAR(IF('Deal maths'!Z120&gt;0,'Deal maths'!Z120,DATE(1990,1,1))))*12+MONTH('Deal maths'!AA120)-MONTH(IF('Deal maths'!Z120&gt;0,'Deal maths'!Z120,DATE(1990,1,1))))/D120)-1)*D120))))),0)</f>
        <v/>
      </c>
      <c r="F120" s="110">
        <f>IF(D120=0,0,'Deal maths'!AB120*D120/12)</f>
        <v/>
      </c>
      <c r="G120" s="108">
        <f>N120+O120</f>
        <v/>
      </c>
      <c r="H120" s="108">
        <f>IFERROR(IF(OR(D120=0,AsAt&lt;E120),0,MIN(N120,INT(((YEAR(AsAt)-YEAR(E120))*12+MONTH(AsAt)-MONTH(E120)-(DAY(AsAt)&lt;MIN(R120,DAY(EOMONTH(AsAt,0)))))/D120)+1)+O120*(AsAt&gt;='Deal maths'!AA120)),0)</f>
        <v/>
      </c>
      <c r="I120" s="108">
        <f>G120-H120</f>
        <v/>
      </c>
      <c r="J120" s="111">
        <f>IF(AND(C120="EIP",I120&gt;0),'Deal maths'!Y120/I120,0)</f>
        <v/>
      </c>
      <c r="K120" s="111">
        <f>IF(AND(C120="Annuity",I120&gt;0),IF(F120&gt;0,'Deal maths'!Y120*F120/(1-(1+F120)^-I120),'Deal maths'!Y120/I120),0)</f>
        <v/>
      </c>
      <c r="L120" s="111">
        <f>IF('Deal maths'!Y120="",0,'Deal maths'!Y120)</f>
        <v/>
      </c>
      <c r="M120" s="112">
        <f>F120+(F120=0)</f>
        <v/>
      </c>
      <c r="N120" s="108">
        <f>IFERROR(IF(D120=0,0,INT(((YEAR('Deal maths'!AA120)-YEAR(E120))*12+MONTH('Deal maths'!AA120)-MONTH(E120)-(DAY('Deal maths'!AA120)&lt;MIN(R120,DAY(EOMONTH('Deal maths'!AA120,0)))))/D120)+1),0)</f>
        <v/>
      </c>
      <c r="O120" s="108">
        <f>IFERROR(IF(D120=0,0,IF(IF(DAY(E120+1)=1,EOMONTH(E120,(N120-1)*D120),EDATE(E120,(N120-1)*D120))='Deal maths'!AA120,0,1)),0)</f>
        <v/>
      </c>
      <c r="P120" s="113">
        <f>IF(B120=0,0,IFERROR(IF(C120="EIP",((I120-O120)*((IF(DAY(E120+1)=1,EOMONTH(E120,H120*D120),EDATE(E120,H120*D120))-AsAt)/365.25+(IF(DAY(E120+1)=1,EOMONTH(E120,(N120-1)*D120),EDATE(E120,(N120-1)*D120))-AsAt)/365.25)/2+O120*('Deal maths'!AA120-AsAt)/365.25)/I120,IF(C120="Annuity",IF(F120&gt;0,((K120-L120*F120)*((IF(DAY(E120+1)=1,EOMONTH(E120,H120*D120),EDATE(E120,H120*D120))-AsAt)/365.25*((1+F120)^(I120-O120)-1)/F120+IF((I120-O120)&gt;1,((IF(DAY(E120+1)=1,EOMONTH(E120,(N120-1)*D120),EDATE(E120,(N120-1)*D120))-AsAt)/365.25-(IF(DAY(E120+1)=1,EOMONTH(E120,H120*D120),EDATE(E120,H120*D120))-AsAt)/365.25)/((I120-O120)-1),0)*(1+F120)*(1-(I120-O120)*(1+F120)^((I120-O120)-1)+((I120-O120)-1)*(1+F120)^(I120-O120))/F120^2)+O120*(K120-L120*F120)*(1+F120)^(I120-1)*('Deal maths'!AA120-AsAt)/365.25)/L120,((I120-O120)*((IF(DAY(E120+1)=1,EOMONTH(E120,H120*D120),EDATE(E120,H120*D120))-AsAt)/365.25+(IF(DAY(E120+1)=1,EOMONTH(E120,(N120-1)*D120),EDATE(E120,(N120-1)*D120))-AsAt)/365.25)/2+O120*('Deal maths'!AA120-AsAt)/365.25)/I120),(S120-AsAt)/365.25)),0))</f>
        <v/>
      </c>
      <c r="Q120" s="109">
        <f>IF(B120=1,'Deal maths'!AA120+ROW()/1000000,"")</f>
        <v/>
      </c>
      <c r="R120" s="108">
        <f>IF(D120=0,0,IF(DAY(E120+1)=1,31,DAY(E120)))</f>
        <v/>
      </c>
      <c r="S120" s="109">
        <f>IF(AND('Deal maths'!V120="LOBO",'Deal maths'!AG120&gt;AsAt,'Deal maths'!AG120&lt;'Deal maths'!AA120),'Deal maths'!AG120,'Deal maths'!AA120)</f>
        <v/>
      </c>
      <c r="T120" s="108">
        <f>('Deal maths'!AA120&gt;AsAt)*('Deal maths'!Y120&gt;0)</f>
        <v/>
      </c>
    </row>
    <row r="121">
      <c r="A121" s="91">
        <f>IF('Deal maths'!V121="","",'Deal maths'!W121)</f>
        <v/>
      </c>
      <c r="B121" s="108">
        <f>('Deal maths'!AA121&gt;AsAt)*('Deal maths'!Y121&gt;0)*('Deal maths'!Z121&lt;=AsAt)</f>
        <v/>
      </c>
      <c r="C121" s="91">
        <f>IF('Deal maths'!V121="","",IF('Deal maths'!AC121="","Maturity",'Deal maths'!AC121))</f>
        <v/>
      </c>
      <c r="D121" s="108">
        <f>IF(OR(C121="EIP",C121="Annuity"),IF('Deal maths'!AD121="Annual",12,IF('Deal maths'!AD121="Quarterly",3,6)),0)</f>
        <v/>
      </c>
      <c r="E121" s="109">
        <f>IFERROR(IF(D121=0,0,IF('Deal maths'!AE121&gt;0,IF('Deal maths'!AE121&gt;'Deal maths'!AA121,'Deal maths'!AA121,'Deal maths'!AE121),IF(IF(DAY('Deal maths'!AA121+1)=1,EOMONTH('Deal maths'!AA121,-(INT(((YEAR('Deal maths'!AA121)-YEAR(IF('Deal maths'!Z121&gt;0,'Deal maths'!Z121,DATE(1990,1,1))))*12+MONTH('Deal maths'!AA121)-MONTH(IF('Deal maths'!Z121&gt;0,'Deal maths'!Z121,DATE(1990,1,1))))/D121))*D121),EDATE('Deal maths'!AA121,-(INT(((YEAR('Deal maths'!AA121)-YEAR(IF('Deal maths'!Z121&gt;0,'Deal maths'!Z121,DATE(1990,1,1))))*12+MONTH('Deal maths'!AA121)-MONTH(IF('Deal maths'!Z121&gt;0,'Deal maths'!Z121,DATE(1990,1,1))))/D121))*D121))&gt;IF('Deal maths'!Z121&gt;0,'Deal maths'!Z121,DATE(1990,1,1)),IF(DAY('Deal maths'!AA121+1)=1,EOMONTH('Deal maths'!AA121,-(INT(((YEAR('Deal maths'!AA121)-YEAR(IF('Deal maths'!Z121&gt;0,'Deal maths'!Z121,DATE(1990,1,1))))*12+MONTH('Deal maths'!AA121)-MONTH(IF('Deal maths'!Z121&gt;0,'Deal maths'!Z121,DATE(1990,1,1))))/D121))*D121),EDATE('Deal maths'!AA121,-(INT(((YEAR('Deal maths'!AA121)-YEAR(IF('Deal maths'!Z121&gt;0,'Deal maths'!Z121,DATE(1990,1,1))))*12+MONTH('Deal maths'!AA121)-MONTH(IF('Deal maths'!Z121&gt;0,'Deal maths'!Z121,DATE(1990,1,1))))/D121))*D121)),IF(DAY('Deal maths'!AA121+1)=1,EOMONTH('Deal maths'!AA121,-(INT(((YEAR('Deal maths'!AA121)-YEAR(IF('Deal maths'!Z121&gt;0,'Deal maths'!Z121,DATE(1990,1,1))))*12+MONTH('Deal maths'!AA121)-MONTH(IF('Deal maths'!Z121&gt;0,'Deal maths'!Z121,DATE(1990,1,1))))/D121)-1)*D121),EDATE('Deal maths'!AA121,-(INT(((YEAR('Deal maths'!AA121)-YEAR(IF('Deal maths'!Z121&gt;0,'Deal maths'!Z121,DATE(1990,1,1))))*12+MONTH('Deal maths'!AA121)-MONTH(IF('Deal maths'!Z121&gt;0,'Deal maths'!Z121,DATE(1990,1,1))))/D121)-1)*D121))))),0)</f>
        <v/>
      </c>
      <c r="F121" s="110">
        <f>IF(D121=0,0,'Deal maths'!AB121*D121/12)</f>
        <v/>
      </c>
      <c r="G121" s="108">
        <f>N121+O121</f>
        <v/>
      </c>
      <c r="H121" s="108">
        <f>IFERROR(IF(OR(D121=0,AsAt&lt;E121),0,MIN(N121,INT(((YEAR(AsAt)-YEAR(E121))*12+MONTH(AsAt)-MONTH(E121)-(DAY(AsAt)&lt;MIN(R121,DAY(EOMONTH(AsAt,0)))))/D121)+1)+O121*(AsAt&gt;='Deal maths'!AA121)),0)</f>
        <v/>
      </c>
      <c r="I121" s="108">
        <f>G121-H121</f>
        <v/>
      </c>
      <c r="J121" s="111">
        <f>IF(AND(C121="EIP",I121&gt;0),'Deal maths'!Y121/I121,0)</f>
        <v/>
      </c>
      <c r="K121" s="111">
        <f>IF(AND(C121="Annuity",I121&gt;0),IF(F121&gt;0,'Deal maths'!Y121*F121/(1-(1+F121)^-I121),'Deal maths'!Y121/I121),0)</f>
        <v/>
      </c>
      <c r="L121" s="111">
        <f>IF('Deal maths'!Y121="",0,'Deal maths'!Y121)</f>
        <v/>
      </c>
      <c r="M121" s="112">
        <f>F121+(F121=0)</f>
        <v/>
      </c>
      <c r="N121" s="108">
        <f>IFERROR(IF(D121=0,0,INT(((YEAR('Deal maths'!AA121)-YEAR(E121))*12+MONTH('Deal maths'!AA121)-MONTH(E121)-(DAY('Deal maths'!AA121)&lt;MIN(R121,DAY(EOMONTH('Deal maths'!AA121,0)))))/D121)+1),0)</f>
        <v/>
      </c>
      <c r="O121" s="108">
        <f>IFERROR(IF(D121=0,0,IF(IF(DAY(E121+1)=1,EOMONTH(E121,(N121-1)*D121),EDATE(E121,(N121-1)*D121))='Deal maths'!AA121,0,1)),0)</f>
        <v/>
      </c>
      <c r="P121" s="113">
        <f>IF(B121=0,0,IFERROR(IF(C121="EIP",((I121-O121)*((IF(DAY(E121+1)=1,EOMONTH(E121,H121*D121),EDATE(E121,H121*D121))-AsAt)/365.25+(IF(DAY(E121+1)=1,EOMONTH(E121,(N121-1)*D121),EDATE(E121,(N121-1)*D121))-AsAt)/365.25)/2+O121*('Deal maths'!AA121-AsAt)/365.25)/I121,IF(C121="Annuity",IF(F121&gt;0,((K121-L121*F121)*((IF(DAY(E121+1)=1,EOMONTH(E121,H121*D121),EDATE(E121,H121*D121))-AsAt)/365.25*((1+F121)^(I121-O121)-1)/F121+IF((I121-O121)&gt;1,((IF(DAY(E121+1)=1,EOMONTH(E121,(N121-1)*D121),EDATE(E121,(N121-1)*D121))-AsAt)/365.25-(IF(DAY(E121+1)=1,EOMONTH(E121,H121*D121),EDATE(E121,H121*D121))-AsAt)/365.25)/((I121-O121)-1),0)*(1+F121)*(1-(I121-O121)*(1+F121)^((I121-O121)-1)+((I121-O121)-1)*(1+F121)^(I121-O121))/F121^2)+O121*(K121-L121*F121)*(1+F121)^(I121-1)*('Deal maths'!AA121-AsAt)/365.25)/L121,((I121-O121)*((IF(DAY(E121+1)=1,EOMONTH(E121,H121*D121),EDATE(E121,H121*D121))-AsAt)/365.25+(IF(DAY(E121+1)=1,EOMONTH(E121,(N121-1)*D121),EDATE(E121,(N121-1)*D121))-AsAt)/365.25)/2+O121*('Deal maths'!AA121-AsAt)/365.25)/I121),(S121-AsAt)/365.25)),0))</f>
        <v/>
      </c>
      <c r="Q121" s="109">
        <f>IF(B121=1,'Deal maths'!AA121+ROW()/1000000,"")</f>
        <v/>
      </c>
      <c r="R121" s="108">
        <f>IF(D121=0,0,IF(DAY(E121+1)=1,31,DAY(E121)))</f>
        <v/>
      </c>
      <c r="S121" s="109">
        <f>IF(AND('Deal maths'!V121="LOBO",'Deal maths'!AG121&gt;AsAt,'Deal maths'!AG121&lt;'Deal maths'!AA121),'Deal maths'!AG121,'Deal maths'!AA121)</f>
        <v/>
      </c>
      <c r="T121" s="108">
        <f>('Deal maths'!AA121&gt;AsAt)*('Deal maths'!Y121&gt;0)</f>
        <v/>
      </c>
    </row>
    <row r="122">
      <c r="A122" s="91">
        <f>IF('Deal maths'!V122="","",'Deal maths'!W122)</f>
        <v/>
      </c>
      <c r="B122" s="108">
        <f>('Deal maths'!AA122&gt;AsAt)*('Deal maths'!Y122&gt;0)*('Deal maths'!Z122&lt;=AsAt)</f>
        <v/>
      </c>
      <c r="C122" s="91">
        <f>IF('Deal maths'!V122="","",IF('Deal maths'!AC122="","Maturity",'Deal maths'!AC122))</f>
        <v/>
      </c>
      <c r="D122" s="108">
        <f>IF(OR(C122="EIP",C122="Annuity"),IF('Deal maths'!AD122="Annual",12,IF('Deal maths'!AD122="Quarterly",3,6)),0)</f>
        <v/>
      </c>
      <c r="E122" s="109">
        <f>IFERROR(IF(D122=0,0,IF('Deal maths'!AE122&gt;0,IF('Deal maths'!AE122&gt;'Deal maths'!AA122,'Deal maths'!AA122,'Deal maths'!AE122),IF(IF(DAY('Deal maths'!AA122+1)=1,EOMONTH('Deal maths'!AA122,-(INT(((YEAR('Deal maths'!AA122)-YEAR(IF('Deal maths'!Z122&gt;0,'Deal maths'!Z122,DATE(1990,1,1))))*12+MONTH('Deal maths'!AA122)-MONTH(IF('Deal maths'!Z122&gt;0,'Deal maths'!Z122,DATE(1990,1,1))))/D122))*D122),EDATE('Deal maths'!AA122,-(INT(((YEAR('Deal maths'!AA122)-YEAR(IF('Deal maths'!Z122&gt;0,'Deal maths'!Z122,DATE(1990,1,1))))*12+MONTH('Deal maths'!AA122)-MONTH(IF('Deal maths'!Z122&gt;0,'Deal maths'!Z122,DATE(1990,1,1))))/D122))*D122))&gt;IF('Deal maths'!Z122&gt;0,'Deal maths'!Z122,DATE(1990,1,1)),IF(DAY('Deal maths'!AA122+1)=1,EOMONTH('Deal maths'!AA122,-(INT(((YEAR('Deal maths'!AA122)-YEAR(IF('Deal maths'!Z122&gt;0,'Deal maths'!Z122,DATE(1990,1,1))))*12+MONTH('Deal maths'!AA122)-MONTH(IF('Deal maths'!Z122&gt;0,'Deal maths'!Z122,DATE(1990,1,1))))/D122))*D122),EDATE('Deal maths'!AA122,-(INT(((YEAR('Deal maths'!AA122)-YEAR(IF('Deal maths'!Z122&gt;0,'Deal maths'!Z122,DATE(1990,1,1))))*12+MONTH('Deal maths'!AA122)-MONTH(IF('Deal maths'!Z122&gt;0,'Deal maths'!Z122,DATE(1990,1,1))))/D122))*D122)),IF(DAY('Deal maths'!AA122+1)=1,EOMONTH('Deal maths'!AA122,-(INT(((YEAR('Deal maths'!AA122)-YEAR(IF('Deal maths'!Z122&gt;0,'Deal maths'!Z122,DATE(1990,1,1))))*12+MONTH('Deal maths'!AA122)-MONTH(IF('Deal maths'!Z122&gt;0,'Deal maths'!Z122,DATE(1990,1,1))))/D122)-1)*D122),EDATE('Deal maths'!AA122,-(INT(((YEAR('Deal maths'!AA122)-YEAR(IF('Deal maths'!Z122&gt;0,'Deal maths'!Z122,DATE(1990,1,1))))*12+MONTH('Deal maths'!AA122)-MONTH(IF('Deal maths'!Z122&gt;0,'Deal maths'!Z122,DATE(1990,1,1))))/D122)-1)*D122))))),0)</f>
        <v/>
      </c>
      <c r="F122" s="110">
        <f>IF(D122=0,0,'Deal maths'!AB122*D122/12)</f>
        <v/>
      </c>
      <c r="G122" s="108">
        <f>N122+O122</f>
        <v/>
      </c>
      <c r="H122" s="108">
        <f>IFERROR(IF(OR(D122=0,AsAt&lt;E122),0,MIN(N122,INT(((YEAR(AsAt)-YEAR(E122))*12+MONTH(AsAt)-MONTH(E122)-(DAY(AsAt)&lt;MIN(R122,DAY(EOMONTH(AsAt,0)))))/D122)+1)+O122*(AsAt&gt;='Deal maths'!AA122)),0)</f>
        <v/>
      </c>
      <c r="I122" s="108">
        <f>G122-H122</f>
        <v/>
      </c>
      <c r="J122" s="111">
        <f>IF(AND(C122="EIP",I122&gt;0),'Deal maths'!Y122/I122,0)</f>
        <v/>
      </c>
      <c r="K122" s="111">
        <f>IF(AND(C122="Annuity",I122&gt;0),IF(F122&gt;0,'Deal maths'!Y122*F122/(1-(1+F122)^-I122),'Deal maths'!Y122/I122),0)</f>
        <v/>
      </c>
      <c r="L122" s="111">
        <f>IF('Deal maths'!Y122="",0,'Deal maths'!Y122)</f>
        <v/>
      </c>
      <c r="M122" s="112">
        <f>F122+(F122=0)</f>
        <v/>
      </c>
      <c r="N122" s="108">
        <f>IFERROR(IF(D122=0,0,INT(((YEAR('Deal maths'!AA122)-YEAR(E122))*12+MONTH('Deal maths'!AA122)-MONTH(E122)-(DAY('Deal maths'!AA122)&lt;MIN(R122,DAY(EOMONTH('Deal maths'!AA122,0)))))/D122)+1),0)</f>
        <v/>
      </c>
      <c r="O122" s="108">
        <f>IFERROR(IF(D122=0,0,IF(IF(DAY(E122+1)=1,EOMONTH(E122,(N122-1)*D122),EDATE(E122,(N122-1)*D122))='Deal maths'!AA122,0,1)),0)</f>
        <v/>
      </c>
      <c r="P122" s="113">
        <f>IF(B122=0,0,IFERROR(IF(C122="EIP",((I122-O122)*((IF(DAY(E122+1)=1,EOMONTH(E122,H122*D122),EDATE(E122,H122*D122))-AsAt)/365.25+(IF(DAY(E122+1)=1,EOMONTH(E122,(N122-1)*D122),EDATE(E122,(N122-1)*D122))-AsAt)/365.25)/2+O122*('Deal maths'!AA122-AsAt)/365.25)/I122,IF(C122="Annuity",IF(F122&gt;0,((K122-L122*F122)*((IF(DAY(E122+1)=1,EOMONTH(E122,H122*D122),EDATE(E122,H122*D122))-AsAt)/365.25*((1+F122)^(I122-O122)-1)/F122+IF((I122-O122)&gt;1,((IF(DAY(E122+1)=1,EOMONTH(E122,(N122-1)*D122),EDATE(E122,(N122-1)*D122))-AsAt)/365.25-(IF(DAY(E122+1)=1,EOMONTH(E122,H122*D122),EDATE(E122,H122*D122))-AsAt)/365.25)/((I122-O122)-1),0)*(1+F122)*(1-(I122-O122)*(1+F122)^((I122-O122)-1)+((I122-O122)-1)*(1+F122)^(I122-O122))/F122^2)+O122*(K122-L122*F122)*(1+F122)^(I122-1)*('Deal maths'!AA122-AsAt)/365.25)/L122,((I122-O122)*((IF(DAY(E122+1)=1,EOMONTH(E122,H122*D122),EDATE(E122,H122*D122))-AsAt)/365.25+(IF(DAY(E122+1)=1,EOMONTH(E122,(N122-1)*D122),EDATE(E122,(N122-1)*D122))-AsAt)/365.25)/2+O122*('Deal maths'!AA122-AsAt)/365.25)/I122),(S122-AsAt)/365.25)),0))</f>
        <v/>
      </c>
      <c r="Q122" s="109">
        <f>IF(B122=1,'Deal maths'!AA122+ROW()/1000000,"")</f>
        <v/>
      </c>
      <c r="R122" s="108">
        <f>IF(D122=0,0,IF(DAY(E122+1)=1,31,DAY(E122)))</f>
        <v/>
      </c>
      <c r="S122" s="109">
        <f>IF(AND('Deal maths'!V122="LOBO",'Deal maths'!AG122&gt;AsAt,'Deal maths'!AG122&lt;'Deal maths'!AA122),'Deal maths'!AG122,'Deal maths'!AA122)</f>
        <v/>
      </c>
      <c r="T122" s="108">
        <f>('Deal maths'!AA122&gt;AsAt)*('Deal maths'!Y122&gt;0)</f>
        <v/>
      </c>
    </row>
    <row r="123">
      <c r="A123" s="91">
        <f>IF('Deal maths'!V123="","",'Deal maths'!W123)</f>
        <v/>
      </c>
      <c r="B123" s="108">
        <f>('Deal maths'!AA123&gt;AsAt)*('Deal maths'!Y123&gt;0)*('Deal maths'!Z123&lt;=AsAt)</f>
        <v/>
      </c>
      <c r="C123" s="91">
        <f>IF('Deal maths'!V123="","",IF('Deal maths'!AC123="","Maturity",'Deal maths'!AC123))</f>
        <v/>
      </c>
      <c r="D123" s="108">
        <f>IF(OR(C123="EIP",C123="Annuity"),IF('Deal maths'!AD123="Annual",12,IF('Deal maths'!AD123="Quarterly",3,6)),0)</f>
        <v/>
      </c>
      <c r="E123" s="109">
        <f>IFERROR(IF(D123=0,0,IF('Deal maths'!AE123&gt;0,IF('Deal maths'!AE123&gt;'Deal maths'!AA123,'Deal maths'!AA123,'Deal maths'!AE123),IF(IF(DAY('Deal maths'!AA123+1)=1,EOMONTH('Deal maths'!AA123,-(INT(((YEAR('Deal maths'!AA123)-YEAR(IF('Deal maths'!Z123&gt;0,'Deal maths'!Z123,DATE(1990,1,1))))*12+MONTH('Deal maths'!AA123)-MONTH(IF('Deal maths'!Z123&gt;0,'Deal maths'!Z123,DATE(1990,1,1))))/D123))*D123),EDATE('Deal maths'!AA123,-(INT(((YEAR('Deal maths'!AA123)-YEAR(IF('Deal maths'!Z123&gt;0,'Deal maths'!Z123,DATE(1990,1,1))))*12+MONTH('Deal maths'!AA123)-MONTH(IF('Deal maths'!Z123&gt;0,'Deal maths'!Z123,DATE(1990,1,1))))/D123))*D123))&gt;IF('Deal maths'!Z123&gt;0,'Deal maths'!Z123,DATE(1990,1,1)),IF(DAY('Deal maths'!AA123+1)=1,EOMONTH('Deal maths'!AA123,-(INT(((YEAR('Deal maths'!AA123)-YEAR(IF('Deal maths'!Z123&gt;0,'Deal maths'!Z123,DATE(1990,1,1))))*12+MONTH('Deal maths'!AA123)-MONTH(IF('Deal maths'!Z123&gt;0,'Deal maths'!Z123,DATE(1990,1,1))))/D123))*D123),EDATE('Deal maths'!AA123,-(INT(((YEAR('Deal maths'!AA123)-YEAR(IF('Deal maths'!Z123&gt;0,'Deal maths'!Z123,DATE(1990,1,1))))*12+MONTH('Deal maths'!AA123)-MONTH(IF('Deal maths'!Z123&gt;0,'Deal maths'!Z123,DATE(1990,1,1))))/D123))*D123)),IF(DAY('Deal maths'!AA123+1)=1,EOMONTH('Deal maths'!AA123,-(INT(((YEAR('Deal maths'!AA123)-YEAR(IF('Deal maths'!Z123&gt;0,'Deal maths'!Z123,DATE(1990,1,1))))*12+MONTH('Deal maths'!AA123)-MONTH(IF('Deal maths'!Z123&gt;0,'Deal maths'!Z123,DATE(1990,1,1))))/D123)-1)*D123),EDATE('Deal maths'!AA123,-(INT(((YEAR('Deal maths'!AA123)-YEAR(IF('Deal maths'!Z123&gt;0,'Deal maths'!Z123,DATE(1990,1,1))))*12+MONTH('Deal maths'!AA123)-MONTH(IF('Deal maths'!Z123&gt;0,'Deal maths'!Z123,DATE(1990,1,1))))/D123)-1)*D123))))),0)</f>
        <v/>
      </c>
      <c r="F123" s="110">
        <f>IF(D123=0,0,'Deal maths'!AB123*D123/12)</f>
        <v/>
      </c>
      <c r="G123" s="108">
        <f>N123+O123</f>
        <v/>
      </c>
      <c r="H123" s="108">
        <f>IFERROR(IF(OR(D123=0,AsAt&lt;E123),0,MIN(N123,INT(((YEAR(AsAt)-YEAR(E123))*12+MONTH(AsAt)-MONTH(E123)-(DAY(AsAt)&lt;MIN(R123,DAY(EOMONTH(AsAt,0)))))/D123)+1)+O123*(AsAt&gt;='Deal maths'!AA123)),0)</f>
        <v/>
      </c>
      <c r="I123" s="108">
        <f>G123-H123</f>
        <v/>
      </c>
      <c r="J123" s="111">
        <f>IF(AND(C123="EIP",I123&gt;0),'Deal maths'!Y123/I123,0)</f>
        <v/>
      </c>
      <c r="K123" s="111">
        <f>IF(AND(C123="Annuity",I123&gt;0),IF(F123&gt;0,'Deal maths'!Y123*F123/(1-(1+F123)^-I123),'Deal maths'!Y123/I123),0)</f>
        <v/>
      </c>
      <c r="L123" s="111">
        <f>IF('Deal maths'!Y123="",0,'Deal maths'!Y123)</f>
        <v/>
      </c>
      <c r="M123" s="112">
        <f>F123+(F123=0)</f>
        <v/>
      </c>
      <c r="N123" s="108">
        <f>IFERROR(IF(D123=0,0,INT(((YEAR('Deal maths'!AA123)-YEAR(E123))*12+MONTH('Deal maths'!AA123)-MONTH(E123)-(DAY('Deal maths'!AA123)&lt;MIN(R123,DAY(EOMONTH('Deal maths'!AA123,0)))))/D123)+1),0)</f>
        <v/>
      </c>
      <c r="O123" s="108">
        <f>IFERROR(IF(D123=0,0,IF(IF(DAY(E123+1)=1,EOMONTH(E123,(N123-1)*D123),EDATE(E123,(N123-1)*D123))='Deal maths'!AA123,0,1)),0)</f>
        <v/>
      </c>
      <c r="P123" s="113">
        <f>IF(B123=0,0,IFERROR(IF(C123="EIP",((I123-O123)*((IF(DAY(E123+1)=1,EOMONTH(E123,H123*D123),EDATE(E123,H123*D123))-AsAt)/365.25+(IF(DAY(E123+1)=1,EOMONTH(E123,(N123-1)*D123),EDATE(E123,(N123-1)*D123))-AsAt)/365.25)/2+O123*('Deal maths'!AA123-AsAt)/365.25)/I123,IF(C123="Annuity",IF(F123&gt;0,((K123-L123*F123)*((IF(DAY(E123+1)=1,EOMONTH(E123,H123*D123),EDATE(E123,H123*D123))-AsAt)/365.25*((1+F123)^(I123-O123)-1)/F123+IF((I123-O123)&gt;1,((IF(DAY(E123+1)=1,EOMONTH(E123,(N123-1)*D123),EDATE(E123,(N123-1)*D123))-AsAt)/365.25-(IF(DAY(E123+1)=1,EOMONTH(E123,H123*D123),EDATE(E123,H123*D123))-AsAt)/365.25)/((I123-O123)-1),0)*(1+F123)*(1-(I123-O123)*(1+F123)^((I123-O123)-1)+((I123-O123)-1)*(1+F123)^(I123-O123))/F123^2)+O123*(K123-L123*F123)*(1+F123)^(I123-1)*('Deal maths'!AA123-AsAt)/365.25)/L123,((I123-O123)*((IF(DAY(E123+1)=1,EOMONTH(E123,H123*D123),EDATE(E123,H123*D123))-AsAt)/365.25+(IF(DAY(E123+1)=1,EOMONTH(E123,(N123-1)*D123),EDATE(E123,(N123-1)*D123))-AsAt)/365.25)/2+O123*('Deal maths'!AA123-AsAt)/365.25)/I123),(S123-AsAt)/365.25)),0))</f>
        <v/>
      </c>
      <c r="Q123" s="109">
        <f>IF(B123=1,'Deal maths'!AA123+ROW()/1000000,"")</f>
        <v/>
      </c>
      <c r="R123" s="108">
        <f>IF(D123=0,0,IF(DAY(E123+1)=1,31,DAY(E123)))</f>
        <v/>
      </c>
      <c r="S123" s="109">
        <f>IF(AND('Deal maths'!V123="LOBO",'Deal maths'!AG123&gt;AsAt,'Deal maths'!AG123&lt;'Deal maths'!AA123),'Deal maths'!AG123,'Deal maths'!AA123)</f>
        <v/>
      </c>
      <c r="T123" s="108">
        <f>('Deal maths'!AA123&gt;AsAt)*('Deal maths'!Y123&gt;0)</f>
        <v/>
      </c>
    </row>
    <row r="124">
      <c r="A124" s="91">
        <f>IF('Deal maths'!V124="","",'Deal maths'!W124)</f>
        <v/>
      </c>
      <c r="B124" s="108">
        <f>('Deal maths'!AA124&gt;AsAt)*('Deal maths'!Y124&gt;0)*('Deal maths'!Z124&lt;=AsAt)</f>
        <v/>
      </c>
      <c r="C124" s="91">
        <f>IF('Deal maths'!V124="","",IF('Deal maths'!AC124="","Maturity",'Deal maths'!AC124))</f>
        <v/>
      </c>
      <c r="D124" s="108">
        <f>IF(OR(C124="EIP",C124="Annuity"),IF('Deal maths'!AD124="Annual",12,IF('Deal maths'!AD124="Quarterly",3,6)),0)</f>
        <v/>
      </c>
      <c r="E124" s="109">
        <f>IFERROR(IF(D124=0,0,IF('Deal maths'!AE124&gt;0,IF('Deal maths'!AE124&gt;'Deal maths'!AA124,'Deal maths'!AA124,'Deal maths'!AE124),IF(IF(DAY('Deal maths'!AA124+1)=1,EOMONTH('Deal maths'!AA124,-(INT(((YEAR('Deal maths'!AA124)-YEAR(IF('Deal maths'!Z124&gt;0,'Deal maths'!Z124,DATE(1990,1,1))))*12+MONTH('Deal maths'!AA124)-MONTH(IF('Deal maths'!Z124&gt;0,'Deal maths'!Z124,DATE(1990,1,1))))/D124))*D124),EDATE('Deal maths'!AA124,-(INT(((YEAR('Deal maths'!AA124)-YEAR(IF('Deal maths'!Z124&gt;0,'Deal maths'!Z124,DATE(1990,1,1))))*12+MONTH('Deal maths'!AA124)-MONTH(IF('Deal maths'!Z124&gt;0,'Deal maths'!Z124,DATE(1990,1,1))))/D124))*D124))&gt;IF('Deal maths'!Z124&gt;0,'Deal maths'!Z124,DATE(1990,1,1)),IF(DAY('Deal maths'!AA124+1)=1,EOMONTH('Deal maths'!AA124,-(INT(((YEAR('Deal maths'!AA124)-YEAR(IF('Deal maths'!Z124&gt;0,'Deal maths'!Z124,DATE(1990,1,1))))*12+MONTH('Deal maths'!AA124)-MONTH(IF('Deal maths'!Z124&gt;0,'Deal maths'!Z124,DATE(1990,1,1))))/D124))*D124),EDATE('Deal maths'!AA124,-(INT(((YEAR('Deal maths'!AA124)-YEAR(IF('Deal maths'!Z124&gt;0,'Deal maths'!Z124,DATE(1990,1,1))))*12+MONTH('Deal maths'!AA124)-MONTH(IF('Deal maths'!Z124&gt;0,'Deal maths'!Z124,DATE(1990,1,1))))/D124))*D124)),IF(DAY('Deal maths'!AA124+1)=1,EOMONTH('Deal maths'!AA124,-(INT(((YEAR('Deal maths'!AA124)-YEAR(IF('Deal maths'!Z124&gt;0,'Deal maths'!Z124,DATE(1990,1,1))))*12+MONTH('Deal maths'!AA124)-MONTH(IF('Deal maths'!Z124&gt;0,'Deal maths'!Z124,DATE(1990,1,1))))/D124)-1)*D124),EDATE('Deal maths'!AA124,-(INT(((YEAR('Deal maths'!AA124)-YEAR(IF('Deal maths'!Z124&gt;0,'Deal maths'!Z124,DATE(1990,1,1))))*12+MONTH('Deal maths'!AA124)-MONTH(IF('Deal maths'!Z124&gt;0,'Deal maths'!Z124,DATE(1990,1,1))))/D124)-1)*D124))))),0)</f>
        <v/>
      </c>
      <c r="F124" s="110">
        <f>IF(D124=0,0,'Deal maths'!AB124*D124/12)</f>
        <v/>
      </c>
      <c r="G124" s="108">
        <f>N124+O124</f>
        <v/>
      </c>
      <c r="H124" s="108">
        <f>IFERROR(IF(OR(D124=0,AsAt&lt;E124),0,MIN(N124,INT(((YEAR(AsAt)-YEAR(E124))*12+MONTH(AsAt)-MONTH(E124)-(DAY(AsAt)&lt;MIN(R124,DAY(EOMONTH(AsAt,0)))))/D124)+1)+O124*(AsAt&gt;='Deal maths'!AA124)),0)</f>
        <v/>
      </c>
      <c r="I124" s="108">
        <f>G124-H124</f>
        <v/>
      </c>
      <c r="J124" s="111">
        <f>IF(AND(C124="EIP",I124&gt;0),'Deal maths'!Y124/I124,0)</f>
        <v/>
      </c>
      <c r="K124" s="111">
        <f>IF(AND(C124="Annuity",I124&gt;0),IF(F124&gt;0,'Deal maths'!Y124*F124/(1-(1+F124)^-I124),'Deal maths'!Y124/I124),0)</f>
        <v/>
      </c>
      <c r="L124" s="111">
        <f>IF('Deal maths'!Y124="",0,'Deal maths'!Y124)</f>
        <v/>
      </c>
      <c r="M124" s="112">
        <f>F124+(F124=0)</f>
        <v/>
      </c>
      <c r="N124" s="108">
        <f>IFERROR(IF(D124=0,0,INT(((YEAR('Deal maths'!AA124)-YEAR(E124))*12+MONTH('Deal maths'!AA124)-MONTH(E124)-(DAY('Deal maths'!AA124)&lt;MIN(R124,DAY(EOMONTH('Deal maths'!AA124,0)))))/D124)+1),0)</f>
        <v/>
      </c>
      <c r="O124" s="108">
        <f>IFERROR(IF(D124=0,0,IF(IF(DAY(E124+1)=1,EOMONTH(E124,(N124-1)*D124),EDATE(E124,(N124-1)*D124))='Deal maths'!AA124,0,1)),0)</f>
        <v/>
      </c>
      <c r="P124" s="113">
        <f>IF(B124=0,0,IFERROR(IF(C124="EIP",((I124-O124)*((IF(DAY(E124+1)=1,EOMONTH(E124,H124*D124),EDATE(E124,H124*D124))-AsAt)/365.25+(IF(DAY(E124+1)=1,EOMONTH(E124,(N124-1)*D124),EDATE(E124,(N124-1)*D124))-AsAt)/365.25)/2+O124*('Deal maths'!AA124-AsAt)/365.25)/I124,IF(C124="Annuity",IF(F124&gt;0,((K124-L124*F124)*((IF(DAY(E124+1)=1,EOMONTH(E124,H124*D124),EDATE(E124,H124*D124))-AsAt)/365.25*((1+F124)^(I124-O124)-1)/F124+IF((I124-O124)&gt;1,((IF(DAY(E124+1)=1,EOMONTH(E124,(N124-1)*D124),EDATE(E124,(N124-1)*D124))-AsAt)/365.25-(IF(DAY(E124+1)=1,EOMONTH(E124,H124*D124),EDATE(E124,H124*D124))-AsAt)/365.25)/((I124-O124)-1),0)*(1+F124)*(1-(I124-O124)*(1+F124)^((I124-O124)-1)+((I124-O124)-1)*(1+F124)^(I124-O124))/F124^2)+O124*(K124-L124*F124)*(1+F124)^(I124-1)*('Deal maths'!AA124-AsAt)/365.25)/L124,((I124-O124)*((IF(DAY(E124+1)=1,EOMONTH(E124,H124*D124),EDATE(E124,H124*D124))-AsAt)/365.25+(IF(DAY(E124+1)=1,EOMONTH(E124,(N124-1)*D124),EDATE(E124,(N124-1)*D124))-AsAt)/365.25)/2+O124*('Deal maths'!AA124-AsAt)/365.25)/I124),(S124-AsAt)/365.25)),0))</f>
        <v/>
      </c>
      <c r="Q124" s="109">
        <f>IF(B124=1,'Deal maths'!AA124+ROW()/1000000,"")</f>
        <v/>
      </c>
      <c r="R124" s="108">
        <f>IF(D124=0,0,IF(DAY(E124+1)=1,31,DAY(E124)))</f>
        <v/>
      </c>
      <c r="S124" s="109">
        <f>IF(AND('Deal maths'!V124="LOBO",'Deal maths'!AG124&gt;AsAt,'Deal maths'!AG124&lt;'Deal maths'!AA124),'Deal maths'!AG124,'Deal maths'!AA124)</f>
        <v/>
      </c>
      <c r="T124" s="108">
        <f>('Deal maths'!AA124&gt;AsAt)*('Deal maths'!Y124&gt;0)</f>
        <v/>
      </c>
    </row>
    <row r="125">
      <c r="A125" s="91">
        <f>IF('Deal maths'!V125="","",'Deal maths'!W125)</f>
        <v/>
      </c>
      <c r="B125" s="108">
        <f>('Deal maths'!AA125&gt;AsAt)*('Deal maths'!Y125&gt;0)*('Deal maths'!Z125&lt;=AsAt)</f>
        <v/>
      </c>
      <c r="C125" s="91">
        <f>IF('Deal maths'!V125="","",IF('Deal maths'!AC125="","Maturity",'Deal maths'!AC125))</f>
        <v/>
      </c>
      <c r="D125" s="108">
        <f>IF(OR(C125="EIP",C125="Annuity"),IF('Deal maths'!AD125="Annual",12,IF('Deal maths'!AD125="Quarterly",3,6)),0)</f>
        <v/>
      </c>
      <c r="E125" s="109">
        <f>IFERROR(IF(D125=0,0,IF('Deal maths'!AE125&gt;0,IF('Deal maths'!AE125&gt;'Deal maths'!AA125,'Deal maths'!AA125,'Deal maths'!AE125),IF(IF(DAY('Deal maths'!AA125+1)=1,EOMONTH('Deal maths'!AA125,-(INT(((YEAR('Deal maths'!AA125)-YEAR(IF('Deal maths'!Z125&gt;0,'Deal maths'!Z125,DATE(1990,1,1))))*12+MONTH('Deal maths'!AA125)-MONTH(IF('Deal maths'!Z125&gt;0,'Deal maths'!Z125,DATE(1990,1,1))))/D125))*D125),EDATE('Deal maths'!AA125,-(INT(((YEAR('Deal maths'!AA125)-YEAR(IF('Deal maths'!Z125&gt;0,'Deal maths'!Z125,DATE(1990,1,1))))*12+MONTH('Deal maths'!AA125)-MONTH(IF('Deal maths'!Z125&gt;0,'Deal maths'!Z125,DATE(1990,1,1))))/D125))*D125))&gt;IF('Deal maths'!Z125&gt;0,'Deal maths'!Z125,DATE(1990,1,1)),IF(DAY('Deal maths'!AA125+1)=1,EOMONTH('Deal maths'!AA125,-(INT(((YEAR('Deal maths'!AA125)-YEAR(IF('Deal maths'!Z125&gt;0,'Deal maths'!Z125,DATE(1990,1,1))))*12+MONTH('Deal maths'!AA125)-MONTH(IF('Deal maths'!Z125&gt;0,'Deal maths'!Z125,DATE(1990,1,1))))/D125))*D125),EDATE('Deal maths'!AA125,-(INT(((YEAR('Deal maths'!AA125)-YEAR(IF('Deal maths'!Z125&gt;0,'Deal maths'!Z125,DATE(1990,1,1))))*12+MONTH('Deal maths'!AA125)-MONTH(IF('Deal maths'!Z125&gt;0,'Deal maths'!Z125,DATE(1990,1,1))))/D125))*D125)),IF(DAY('Deal maths'!AA125+1)=1,EOMONTH('Deal maths'!AA125,-(INT(((YEAR('Deal maths'!AA125)-YEAR(IF('Deal maths'!Z125&gt;0,'Deal maths'!Z125,DATE(1990,1,1))))*12+MONTH('Deal maths'!AA125)-MONTH(IF('Deal maths'!Z125&gt;0,'Deal maths'!Z125,DATE(1990,1,1))))/D125)-1)*D125),EDATE('Deal maths'!AA125,-(INT(((YEAR('Deal maths'!AA125)-YEAR(IF('Deal maths'!Z125&gt;0,'Deal maths'!Z125,DATE(1990,1,1))))*12+MONTH('Deal maths'!AA125)-MONTH(IF('Deal maths'!Z125&gt;0,'Deal maths'!Z125,DATE(1990,1,1))))/D125)-1)*D125))))),0)</f>
        <v/>
      </c>
      <c r="F125" s="110">
        <f>IF(D125=0,0,'Deal maths'!AB125*D125/12)</f>
        <v/>
      </c>
      <c r="G125" s="108">
        <f>N125+O125</f>
        <v/>
      </c>
      <c r="H125" s="108">
        <f>IFERROR(IF(OR(D125=0,AsAt&lt;E125),0,MIN(N125,INT(((YEAR(AsAt)-YEAR(E125))*12+MONTH(AsAt)-MONTH(E125)-(DAY(AsAt)&lt;MIN(R125,DAY(EOMONTH(AsAt,0)))))/D125)+1)+O125*(AsAt&gt;='Deal maths'!AA125)),0)</f>
        <v/>
      </c>
      <c r="I125" s="108">
        <f>G125-H125</f>
        <v/>
      </c>
      <c r="J125" s="111">
        <f>IF(AND(C125="EIP",I125&gt;0),'Deal maths'!Y125/I125,0)</f>
        <v/>
      </c>
      <c r="K125" s="111">
        <f>IF(AND(C125="Annuity",I125&gt;0),IF(F125&gt;0,'Deal maths'!Y125*F125/(1-(1+F125)^-I125),'Deal maths'!Y125/I125),0)</f>
        <v/>
      </c>
      <c r="L125" s="111">
        <f>IF('Deal maths'!Y125="",0,'Deal maths'!Y125)</f>
        <v/>
      </c>
      <c r="M125" s="112">
        <f>F125+(F125=0)</f>
        <v/>
      </c>
      <c r="N125" s="108">
        <f>IFERROR(IF(D125=0,0,INT(((YEAR('Deal maths'!AA125)-YEAR(E125))*12+MONTH('Deal maths'!AA125)-MONTH(E125)-(DAY('Deal maths'!AA125)&lt;MIN(R125,DAY(EOMONTH('Deal maths'!AA125,0)))))/D125)+1),0)</f>
        <v/>
      </c>
      <c r="O125" s="108">
        <f>IFERROR(IF(D125=0,0,IF(IF(DAY(E125+1)=1,EOMONTH(E125,(N125-1)*D125),EDATE(E125,(N125-1)*D125))='Deal maths'!AA125,0,1)),0)</f>
        <v/>
      </c>
      <c r="P125" s="113">
        <f>IF(B125=0,0,IFERROR(IF(C125="EIP",((I125-O125)*((IF(DAY(E125+1)=1,EOMONTH(E125,H125*D125),EDATE(E125,H125*D125))-AsAt)/365.25+(IF(DAY(E125+1)=1,EOMONTH(E125,(N125-1)*D125),EDATE(E125,(N125-1)*D125))-AsAt)/365.25)/2+O125*('Deal maths'!AA125-AsAt)/365.25)/I125,IF(C125="Annuity",IF(F125&gt;0,((K125-L125*F125)*((IF(DAY(E125+1)=1,EOMONTH(E125,H125*D125),EDATE(E125,H125*D125))-AsAt)/365.25*((1+F125)^(I125-O125)-1)/F125+IF((I125-O125)&gt;1,((IF(DAY(E125+1)=1,EOMONTH(E125,(N125-1)*D125),EDATE(E125,(N125-1)*D125))-AsAt)/365.25-(IF(DAY(E125+1)=1,EOMONTH(E125,H125*D125),EDATE(E125,H125*D125))-AsAt)/365.25)/((I125-O125)-1),0)*(1+F125)*(1-(I125-O125)*(1+F125)^((I125-O125)-1)+((I125-O125)-1)*(1+F125)^(I125-O125))/F125^2)+O125*(K125-L125*F125)*(1+F125)^(I125-1)*('Deal maths'!AA125-AsAt)/365.25)/L125,((I125-O125)*((IF(DAY(E125+1)=1,EOMONTH(E125,H125*D125),EDATE(E125,H125*D125))-AsAt)/365.25+(IF(DAY(E125+1)=1,EOMONTH(E125,(N125-1)*D125),EDATE(E125,(N125-1)*D125))-AsAt)/365.25)/2+O125*('Deal maths'!AA125-AsAt)/365.25)/I125),(S125-AsAt)/365.25)),0))</f>
        <v/>
      </c>
      <c r="Q125" s="109">
        <f>IF(B125=1,'Deal maths'!AA125+ROW()/1000000,"")</f>
        <v/>
      </c>
      <c r="R125" s="108">
        <f>IF(D125=0,0,IF(DAY(E125+1)=1,31,DAY(E125)))</f>
        <v/>
      </c>
      <c r="S125" s="109">
        <f>IF(AND('Deal maths'!V125="LOBO",'Deal maths'!AG125&gt;AsAt,'Deal maths'!AG125&lt;'Deal maths'!AA125),'Deal maths'!AG125,'Deal maths'!AA125)</f>
        <v/>
      </c>
      <c r="T125" s="108">
        <f>('Deal maths'!AA125&gt;AsAt)*('Deal maths'!Y125&gt;0)</f>
        <v/>
      </c>
    </row>
    <row r="126">
      <c r="A126" s="91">
        <f>IF('Deal maths'!V126="","",'Deal maths'!W126)</f>
        <v/>
      </c>
      <c r="B126" s="108">
        <f>('Deal maths'!AA126&gt;AsAt)*('Deal maths'!Y126&gt;0)*('Deal maths'!Z126&lt;=AsAt)</f>
        <v/>
      </c>
      <c r="C126" s="91">
        <f>IF('Deal maths'!V126="","",IF('Deal maths'!AC126="","Maturity",'Deal maths'!AC126))</f>
        <v/>
      </c>
      <c r="D126" s="108">
        <f>IF(OR(C126="EIP",C126="Annuity"),IF('Deal maths'!AD126="Annual",12,IF('Deal maths'!AD126="Quarterly",3,6)),0)</f>
        <v/>
      </c>
      <c r="E126" s="109">
        <f>IFERROR(IF(D126=0,0,IF('Deal maths'!AE126&gt;0,IF('Deal maths'!AE126&gt;'Deal maths'!AA126,'Deal maths'!AA126,'Deal maths'!AE126),IF(IF(DAY('Deal maths'!AA126+1)=1,EOMONTH('Deal maths'!AA126,-(INT(((YEAR('Deal maths'!AA126)-YEAR(IF('Deal maths'!Z126&gt;0,'Deal maths'!Z126,DATE(1990,1,1))))*12+MONTH('Deal maths'!AA126)-MONTH(IF('Deal maths'!Z126&gt;0,'Deal maths'!Z126,DATE(1990,1,1))))/D126))*D126),EDATE('Deal maths'!AA126,-(INT(((YEAR('Deal maths'!AA126)-YEAR(IF('Deal maths'!Z126&gt;0,'Deal maths'!Z126,DATE(1990,1,1))))*12+MONTH('Deal maths'!AA126)-MONTH(IF('Deal maths'!Z126&gt;0,'Deal maths'!Z126,DATE(1990,1,1))))/D126))*D126))&gt;IF('Deal maths'!Z126&gt;0,'Deal maths'!Z126,DATE(1990,1,1)),IF(DAY('Deal maths'!AA126+1)=1,EOMONTH('Deal maths'!AA126,-(INT(((YEAR('Deal maths'!AA126)-YEAR(IF('Deal maths'!Z126&gt;0,'Deal maths'!Z126,DATE(1990,1,1))))*12+MONTH('Deal maths'!AA126)-MONTH(IF('Deal maths'!Z126&gt;0,'Deal maths'!Z126,DATE(1990,1,1))))/D126))*D126),EDATE('Deal maths'!AA126,-(INT(((YEAR('Deal maths'!AA126)-YEAR(IF('Deal maths'!Z126&gt;0,'Deal maths'!Z126,DATE(1990,1,1))))*12+MONTH('Deal maths'!AA126)-MONTH(IF('Deal maths'!Z126&gt;0,'Deal maths'!Z126,DATE(1990,1,1))))/D126))*D126)),IF(DAY('Deal maths'!AA126+1)=1,EOMONTH('Deal maths'!AA126,-(INT(((YEAR('Deal maths'!AA126)-YEAR(IF('Deal maths'!Z126&gt;0,'Deal maths'!Z126,DATE(1990,1,1))))*12+MONTH('Deal maths'!AA126)-MONTH(IF('Deal maths'!Z126&gt;0,'Deal maths'!Z126,DATE(1990,1,1))))/D126)-1)*D126),EDATE('Deal maths'!AA126,-(INT(((YEAR('Deal maths'!AA126)-YEAR(IF('Deal maths'!Z126&gt;0,'Deal maths'!Z126,DATE(1990,1,1))))*12+MONTH('Deal maths'!AA126)-MONTH(IF('Deal maths'!Z126&gt;0,'Deal maths'!Z126,DATE(1990,1,1))))/D126)-1)*D126))))),0)</f>
        <v/>
      </c>
      <c r="F126" s="110">
        <f>IF(D126=0,0,'Deal maths'!AB126*D126/12)</f>
        <v/>
      </c>
      <c r="G126" s="108">
        <f>N126+O126</f>
        <v/>
      </c>
      <c r="H126" s="108">
        <f>IFERROR(IF(OR(D126=0,AsAt&lt;E126),0,MIN(N126,INT(((YEAR(AsAt)-YEAR(E126))*12+MONTH(AsAt)-MONTH(E126)-(DAY(AsAt)&lt;MIN(R126,DAY(EOMONTH(AsAt,0)))))/D126)+1)+O126*(AsAt&gt;='Deal maths'!AA126)),0)</f>
        <v/>
      </c>
      <c r="I126" s="108">
        <f>G126-H126</f>
        <v/>
      </c>
      <c r="J126" s="111">
        <f>IF(AND(C126="EIP",I126&gt;0),'Deal maths'!Y126/I126,0)</f>
        <v/>
      </c>
      <c r="K126" s="111">
        <f>IF(AND(C126="Annuity",I126&gt;0),IF(F126&gt;0,'Deal maths'!Y126*F126/(1-(1+F126)^-I126),'Deal maths'!Y126/I126),0)</f>
        <v/>
      </c>
      <c r="L126" s="111">
        <f>IF('Deal maths'!Y126="",0,'Deal maths'!Y126)</f>
        <v/>
      </c>
      <c r="M126" s="112">
        <f>F126+(F126=0)</f>
        <v/>
      </c>
      <c r="N126" s="108">
        <f>IFERROR(IF(D126=0,0,INT(((YEAR('Deal maths'!AA126)-YEAR(E126))*12+MONTH('Deal maths'!AA126)-MONTH(E126)-(DAY('Deal maths'!AA126)&lt;MIN(R126,DAY(EOMONTH('Deal maths'!AA126,0)))))/D126)+1),0)</f>
        <v/>
      </c>
      <c r="O126" s="108">
        <f>IFERROR(IF(D126=0,0,IF(IF(DAY(E126+1)=1,EOMONTH(E126,(N126-1)*D126),EDATE(E126,(N126-1)*D126))='Deal maths'!AA126,0,1)),0)</f>
        <v/>
      </c>
      <c r="P126" s="113">
        <f>IF(B126=0,0,IFERROR(IF(C126="EIP",((I126-O126)*((IF(DAY(E126+1)=1,EOMONTH(E126,H126*D126),EDATE(E126,H126*D126))-AsAt)/365.25+(IF(DAY(E126+1)=1,EOMONTH(E126,(N126-1)*D126),EDATE(E126,(N126-1)*D126))-AsAt)/365.25)/2+O126*('Deal maths'!AA126-AsAt)/365.25)/I126,IF(C126="Annuity",IF(F126&gt;0,((K126-L126*F126)*((IF(DAY(E126+1)=1,EOMONTH(E126,H126*D126),EDATE(E126,H126*D126))-AsAt)/365.25*((1+F126)^(I126-O126)-1)/F126+IF((I126-O126)&gt;1,((IF(DAY(E126+1)=1,EOMONTH(E126,(N126-1)*D126),EDATE(E126,(N126-1)*D126))-AsAt)/365.25-(IF(DAY(E126+1)=1,EOMONTH(E126,H126*D126),EDATE(E126,H126*D126))-AsAt)/365.25)/((I126-O126)-1),0)*(1+F126)*(1-(I126-O126)*(1+F126)^((I126-O126)-1)+((I126-O126)-1)*(1+F126)^(I126-O126))/F126^2)+O126*(K126-L126*F126)*(1+F126)^(I126-1)*('Deal maths'!AA126-AsAt)/365.25)/L126,((I126-O126)*((IF(DAY(E126+1)=1,EOMONTH(E126,H126*D126),EDATE(E126,H126*D126))-AsAt)/365.25+(IF(DAY(E126+1)=1,EOMONTH(E126,(N126-1)*D126),EDATE(E126,(N126-1)*D126))-AsAt)/365.25)/2+O126*('Deal maths'!AA126-AsAt)/365.25)/I126),(S126-AsAt)/365.25)),0))</f>
        <v/>
      </c>
      <c r="Q126" s="109">
        <f>IF(B126=1,'Deal maths'!AA126+ROW()/1000000,"")</f>
        <v/>
      </c>
      <c r="R126" s="108">
        <f>IF(D126=0,0,IF(DAY(E126+1)=1,31,DAY(E126)))</f>
        <v/>
      </c>
      <c r="S126" s="109">
        <f>IF(AND('Deal maths'!V126="LOBO",'Deal maths'!AG126&gt;AsAt,'Deal maths'!AG126&lt;'Deal maths'!AA126),'Deal maths'!AG126,'Deal maths'!AA126)</f>
        <v/>
      </c>
      <c r="T126" s="108">
        <f>('Deal maths'!AA126&gt;AsAt)*('Deal maths'!Y126&gt;0)</f>
        <v/>
      </c>
    </row>
    <row r="127">
      <c r="A127" s="91">
        <f>IF('Deal maths'!V127="","",'Deal maths'!W127)</f>
        <v/>
      </c>
      <c r="B127" s="108">
        <f>('Deal maths'!AA127&gt;AsAt)*('Deal maths'!Y127&gt;0)*('Deal maths'!Z127&lt;=AsAt)</f>
        <v/>
      </c>
      <c r="C127" s="91">
        <f>IF('Deal maths'!V127="","",IF('Deal maths'!AC127="","Maturity",'Deal maths'!AC127))</f>
        <v/>
      </c>
      <c r="D127" s="108">
        <f>IF(OR(C127="EIP",C127="Annuity"),IF('Deal maths'!AD127="Annual",12,IF('Deal maths'!AD127="Quarterly",3,6)),0)</f>
        <v/>
      </c>
      <c r="E127" s="109">
        <f>IFERROR(IF(D127=0,0,IF('Deal maths'!AE127&gt;0,IF('Deal maths'!AE127&gt;'Deal maths'!AA127,'Deal maths'!AA127,'Deal maths'!AE127),IF(IF(DAY('Deal maths'!AA127+1)=1,EOMONTH('Deal maths'!AA127,-(INT(((YEAR('Deal maths'!AA127)-YEAR(IF('Deal maths'!Z127&gt;0,'Deal maths'!Z127,DATE(1990,1,1))))*12+MONTH('Deal maths'!AA127)-MONTH(IF('Deal maths'!Z127&gt;0,'Deal maths'!Z127,DATE(1990,1,1))))/D127))*D127),EDATE('Deal maths'!AA127,-(INT(((YEAR('Deal maths'!AA127)-YEAR(IF('Deal maths'!Z127&gt;0,'Deal maths'!Z127,DATE(1990,1,1))))*12+MONTH('Deal maths'!AA127)-MONTH(IF('Deal maths'!Z127&gt;0,'Deal maths'!Z127,DATE(1990,1,1))))/D127))*D127))&gt;IF('Deal maths'!Z127&gt;0,'Deal maths'!Z127,DATE(1990,1,1)),IF(DAY('Deal maths'!AA127+1)=1,EOMONTH('Deal maths'!AA127,-(INT(((YEAR('Deal maths'!AA127)-YEAR(IF('Deal maths'!Z127&gt;0,'Deal maths'!Z127,DATE(1990,1,1))))*12+MONTH('Deal maths'!AA127)-MONTH(IF('Deal maths'!Z127&gt;0,'Deal maths'!Z127,DATE(1990,1,1))))/D127))*D127),EDATE('Deal maths'!AA127,-(INT(((YEAR('Deal maths'!AA127)-YEAR(IF('Deal maths'!Z127&gt;0,'Deal maths'!Z127,DATE(1990,1,1))))*12+MONTH('Deal maths'!AA127)-MONTH(IF('Deal maths'!Z127&gt;0,'Deal maths'!Z127,DATE(1990,1,1))))/D127))*D127)),IF(DAY('Deal maths'!AA127+1)=1,EOMONTH('Deal maths'!AA127,-(INT(((YEAR('Deal maths'!AA127)-YEAR(IF('Deal maths'!Z127&gt;0,'Deal maths'!Z127,DATE(1990,1,1))))*12+MONTH('Deal maths'!AA127)-MONTH(IF('Deal maths'!Z127&gt;0,'Deal maths'!Z127,DATE(1990,1,1))))/D127)-1)*D127),EDATE('Deal maths'!AA127,-(INT(((YEAR('Deal maths'!AA127)-YEAR(IF('Deal maths'!Z127&gt;0,'Deal maths'!Z127,DATE(1990,1,1))))*12+MONTH('Deal maths'!AA127)-MONTH(IF('Deal maths'!Z127&gt;0,'Deal maths'!Z127,DATE(1990,1,1))))/D127)-1)*D127))))),0)</f>
        <v/>
      </c>
      <c r="F127" s="110">
        <f>IF(D127=0,0,'Deal maths'!AB127*D127/12)</f>
        <v/>
      </c>
      <c r="G127" s="108">
        <f>N127+O127</f>
        <v/>
      </c>
      <c r="H127" s="108">
        <f>IFERROR(IF(OR(D127=0,AsAt&lt;E127),0,MIN(N127,INT(((YEAR(AsAt)-YEAR(E127))*12+MONTH(AsAt)-MONTH(E127)-(DAY(AsAt)&lt;MIN(R127,DAY(EOMONTH(AsAt,0)))))/D127)+1)+O127*(AsAt&gt;='Deal maths'!AA127)),0)</f>
        <v/>
      </c>
      <c r="I127" s="108">
        <f>G127-H127</f>
        <v/>
      </c>
      <c r="J127" s="111">
        <f>IF(AND(C127="EIP",I127&gt;0),'Deal maths'!Y127/I127,0)</f>
        <v/>
      </c>
      <c r="K127" s="111">
        <f>IF(AND(C127="Annuity",I127&gt;0),IF(F127&gt;0,'Deal maths'!Y127*F127/(1-(1+F127)^-I127),'Deal maths'!Y127/I127),0)</f>
        <v/>
      </c>
      <c r="L127" s="111">
        <f>IF('Deal maths'!Y127="",0,'Deal maths'!Y127)</f>
        <v/>
      </c>
      <c r="M127" s="112">
        <f>F127+(F127=0)</f>
        <v/>
      </c>
      <c r="N127" s="108">
        <f>IFERROR(IF(D127=0,0,INT(((YEAR('Deal maths'!AA127)-YEAR(E127))*12+MONTH('Deal maths'!AA127)-MONTH(E127)-(DAY('Deal maths'!AA127)&lt;MIN(R127,DAY(EOMONTH('Deal maths'!AA127,0)))))/D127)+1),0)</f>
        <v/>
      </c>
      <c r="O127" s="108">
        <f>IFERROR(IF(D127=0,0,IF(IF(DAY(E127+1)=1,EOMONTH(E127,(N127-1)*D127),EDATE(E127,(N127-1)*D127))='Deal maths'!AA127,0,1)),0)</f>
        <v/>
      </c>
      <c r="P127" s="113">
        <f>IF(B127=0,0,IFERROR(IF(C127="EIP",((I127-O127)*((IF(DAY(E127+1)=1,EOMONTH(E127,H127*D127),EDATE(E127,H127*D127))-AsAt)/365.25+(IF(DAY(E127+1)=1,EOMONTH(E127,(N127-1)*D127),EDATE(E127,(N127-1)*D127))-AsAt)/365.25)/2+O127*('Deal maths'!AA127-AsAt)/365.25)/I127,IF(C127="Annuity",IF(F127&gt;0,((K127-L127*F127)*((IF(DAY(E127+1)=1,EOMONTH(E127,H127*D127),EDATE(E127,H127*D127))-AsAt)/365.25*((1+F127)^(I127-O127)-1)/F127+IF((I127-O127)&gt;1,((IF(DAY(E127+1)=1,EOMONTH(E127,(N127-1)*D127),EDATE(E127,(N127-1)*D127))-AsAt)/365.25-(IF(DAY(E127+1)=1,EOMONTH(E127,H127*D127),EDATE(E127,H127*D127))-AsAt)/365.25)/((I127-O127)-1),0)*(1+F127)*(1-(I127-O127)*(1+F127)^((I127-O127)-1)+((I127-O127)-1)*(1+F127)^(I127-O127))/F127^2)+O127*(K127-L127*F127)*(1+F127)^(I127-1)*('Deal maths'!AA127-AsAt)/365.25)/L127,((I127-O127)*((IF(DAY(E127+1)=1,EOMONTH(E127,H127*D127),EDATE(E127,H127*D127))-AsAt)/365.25+(IF(DAY(E127+1)=1,EOMONTH(E127,(N127-1)*D127),EDATE(E127,(N127-1)*D127))-AsAt)/365.25)/2+O127*('Deal maths'!AA127-AsAt)/365.25)/I127),(S127-AsAt)/365.25)),0))</f>
        <v/>
      </c>
      <c r="Q127" s="109">
        <f>IF(B127=1,'Deal maths'!AA127+ROW()/1000000,"")</f>
        <v/>
      </c>
      <c r="R127" s="108">
        <f>IF(D127=0,0,IF(DAY(E127+1)=1,31,DAY(E127)))</f>
        <v/>
      </c>
      <c r="S127" s="109">
        <f>IF(AND('Deal maths'!V127="LOBO",'Deal maths'!AG127&gt;AsAt,'Deal maths'!AG127&lt;'Deal maths'!AA127),'Deal maths'!AG127,'Deal maths'!AA127)</f>
        <v/>
      </c>
      <c r="T127" s="108">
        <f>('Deal maths'!AA127&gt;AsAt)*('Deal maths'!Y127&gt;0)</f>
        <v/>
      </c>
    </row>
    <row r="128">
      <c r="A128" s="91">
        <f>IF('Deal maths'!V128="","",'Deal maths'!W128)</f>
        <v/>
      </c>
      <c r="B128" s="108">
        <f>('Deal maths'!AA128&gt;AsAt)*('Deal maths'!Y128&gt;0)*('Deal maths'!Z128&lt;=AsAt)</f>
        <v/>
      </c>
      <c r="C128" s="91">
        <f>IF('Deal maths'!V128="","",IF('Deal maths'!AC128="","Maturity",'Deal maths'!AC128))</f>
        <v/>
      </c>
      <c r="D128" s="108">
        <f>IF(OR(C128="EIP",C128="Annuity"),IF('Deal maths'!AD128="Annual",12,IF('Deal maths'!AD128="Quarterly",3,6)),0)</f>
        <v/>
      </c>
      <c r="E128" s="109">
        <f>IFERROR(IF(D128=0,0,IF('Deal maths'!AE128&gt;0,IF('Deal maths'!AE128&gt;'Deal maths'!AA128,'Deal maths'!AA128,'Deal maths'!AE128),IF(IF(DAY('Deal maths'!AA128+1)=1,EOMONTH('Deal maths'!AA128,-(INT(((YEAR('Deal maths'!AA128)-YEAR(IF('Deal maths'!Z128&gt;0,'Deal maths'!Z128,DATE(1990,1,1))))*12+MONTH('Deal maths'!AA128)-MONTH(IF('Deal maths'!Z128&gt;0,'Deal maths'!Z128,DATE(1990,1,1))))/D128))*D128),EDATE('Deal maths'!AA128,-(INT(((YEAR('Deal maths'!AA128)-YEAR(IF('Deal maths'!Z128&gt;0,'Deal maths'!Z128,DATE(1990,1,1))))*12+MONTH('Deal maths'!AA128)-MONTH(IF('Deal maths'!Z128&gt;0,'Deal maths'!Z128,DATE(1990,1,1))))/D128))*D128))&gt;IF('Deal maths'!Z128&gt;0,'Deal maths'!Z128,DATE(1990,1,1)),IF(DAY('Deal maths'!AA128+1)=1,EOMONTH('Deal maths'!AA128,-(INT(((YEAR('Deal maths'!AA128)-YEAR(IF('Deal maths'!Z128&gt;0,'Deal maths'!Z128,DATE(1990,1,1))))*12+MONTH('Deal maths'!AA128)-MONTH(IF('Deal maths'!Z128&gt;0,'Deal maths'!Z128,DATE(1990,1,1))))/D128))*D128),EDATE('Deal maths'!AA128,-(INT(((YEAR('Deal maths'!AA128)-YEAR(IF('Deal maths'!Z128&gt;0,'Deal maths'!Z128,DATE(1990,1,1))))*12+MONTH('Deal maths'!AA128)-MONTH(IF('Deal maths'!Z128&gt;0,'Deal maths'!Z128,DATE(1990,1,1))))/D128))*D128)),IF(DAY('Deal maths'!AA128+1)=1,EOMONTH('Deal maths'!AA128,-(INT(((YEAR('Deal maths'!AA128)-YEAR(IF('Deal maths'!Z128&gt;0,'Deal maths'!Z128,DATE(1990,1,1))))*12+MONTH('Deal maths'!AA128)-MONTH(IF('Deal maths'!Z128&gt;0,'Deal maths'!Z128,DATE(1990,1,1))))/D128)-1)*D128),EDATE('Deal maths'!AA128,-(INT(((YEAR('Deal maths'!AA128)-YEAR(IF('Deal maths'!Z128&gt;0,'Deal maths'!Z128,DATE(1990,1,1))))*12+MONTH('Deal maths'!AA128)-MONTH(IF('Deal maths'!Z128&gt;0,'Deal maths'!Z128,DATE(1990,1,1))))/D128)-1)*D128))))),0)</f>
        <v/>
      </c>
      <c r="F128" s="110">
        <f>IF(D128=0,0,'Deal maths'!AB128*D128/12)</f>
        <v/>
      </c>
      <c r="G128" s="108">
        <f>N128+O128</f>
        <v/>
      </c>
      <c r="H128" s="108">
        <f>IFERROR(IF(OR(D128=0,AsAt&lt;E128),0,MIN(N128,INT(((YEAR(AsAt)-YEAR(E128))*12+MONTH(AsAt)-MONTH(E128)-(DAY(AsAt)&lt;MIN(R128,DAY(EOMONTH(AsAt,0)))))/D128)+1)+O128*(AsAt&gt;='Deal maths'!AA128)),0)</f>
        <v/>
      </c>
      <c r="I128" s="108">
        <f>G128-H128</f>
        <v/>
      </c>
      <c r="J128" s="111">
        <f>IF(AND(C128="EIP",I128&gt;0),'Deal maths'!Y128/I128,0)</f>
        <v/>
      </c>
      <c r="K128" s="111">
        <f>IF(AND(C128="Annuity",I128&gt;0),IF(F128&gt;0,'Deal maths'!Y128*F128/(1-(1+F128)^-I128),'Deal maths'!Y128/I128),0)</f>
        <v/>
      </c>
      <c r="L128" s="111">
        <f>IF('Deal maths'!Y128="",0,'Deal maths'!Y128)</f>
        <v/>
      </c>
      <c r="M128" s="112">
        <f>F128+(F128=0)</f>
        <v/>
      </c>
      <c r="N128" s="108">
        <f>IFERROR(IF(D128=0,0,INT(((YEAR('Deal maths'!AA128)-YEAR(E128))*12+MONTH('Deal maths'!AA128)-MONTH(E128)-(DAY('Deal maths'!AA128)&lt;MIN(R128,DAY(EOMONTH('Deal maths'!AA128,0)))))/D128)+1),0)</f>
        <v/>
      </c>
      <c r="O128" s="108">
        <f>IFERROR(IF(D128=0,0,IF(IF(DAY(E128+1)=1,EOMONTH(E128,(N128-1)*D128),EDATE(E128,(N128-1)*D128))='Deal maths'!AA128,0,1)),0)</f>
        <v/>
      </c>
      <c r="P128" s="113">
        <f>IF(B128=0,0,IFERROR(IF(C128="EIP",((I128-O128)*((IF(DAY(E128+1)=1,EOMONTH(E128,H128*D128),EDATE(E128,H128*D128))-AsAt)/365.25+(IF(DAY(E128+1)=1,EOMONTH(E128,(N128-1)*D128),EDATE(E128,(N128-1)*D128))-AsAt)/365.25)/2+O128*('Deal maths'!AA128-AsAt)/365.25)/I128,IF(C128="Annuity",IF(F128&gt;0,((K128-L128*F128)*((IF(DAY(E128+1)=1,EOMONTH(E128,H128*D128),EDATE(E128,H128*D128))-AsAt)/365.25*((1+F128)^(I128-O128)-1)/F128+IF((I128-O128)&gt;1,((IF(DAY(E128+1)=1,EOMONTH(E128,(N128-1)*D128),EDATE(E128,(N128-1)*D128))-AsAt)/365.25-(IF(DAY(E128+1)=1,EOMONTH(E128,H128*D128),EDATE(E128,H128*D128))-AsAt)/365.25)/((I128-O128)-1),0)*(1+F128)*(1-(I128-O128)*(1+F128)^((I128-O128)-1)+((I128-O128)-1)*(1+F128)^(I128-O128))/F128^2)+O128*(K128-L128*F128)*(1+F128)^(I128-1)*('Deal maths'!AA128-AsAt)/365.25)/L128,((I128-O128)*((IF(DAY(E128+1)=1,EOMONTH(E128,H128*D128),EDATE(E128,H128*D128))-AsAt)/365.25+(IF(DAY(E128+1)=1,EOMONTH(E128,(N128-1)*D128),EDATE(E128,(N128-1)*D128))-AsAt)/365.25)/2+O128*('Deal maths'!AA128-AsAt)/365.25)/I128),(S128-AsAt)/365.25)),0))</f>
        <v/>
      </c>
      <c r="Q128" s="109">
        <f>IF(B128=1,'Deal maths'!AA128+ROW()/1000000,"")</f>
        <v/>
      </c>
      <c r="R128" s="108">
        <f>IF(D128=0,0,IF(DAY(E128+1)=1,31,DAY(E128)))</f>
        <v/>
      </c>
      <c r="S128" s="109">
        <f>IF(AND('Deal maths'!V128="LOBO",'Deal maths'!AG128&gt;AsAt,'Deal maths'!AG128&lt;'Deal maths'!AA128),'Deal maths'!AG128,'Deal maths'!AA128)</f>
        <v/>
      </c>
      <c r="T128" s="108">
        <f>('Deal maths'!AA128&gt;AsAt)*('Deal maths'!Y128&gt;0)</f>
        <v/>
      </c>
    </row>
    <row r="129">
      <c r="A129" s="91">
        <f>IF('Deal maths'!V129="","",'Deal maths'!W129)</f>
        <v/>
      </c>
      <c r="B129" s="108">
        <f>('Deal maths'!AA129&gt;AsAt)*('Deal maths'!Y129&gt;0)*('Deal maths'!Z129&lt;=AsAt)</f>
        <v/>
      </c>
      <c r="C129" s="91">
        <f>IF('Deal maths'!V129="","",IF('Deal maths'!AC129="","Maturity",'Deal maths'!AC129))</f>
        <v/>
      </c>
      <c r="D129" s="108">
        <f>IF(OR(C129="EIP",C129="Annuity"),IF('Deal maths'!AD129="Annual",12,IF('Deal maths'!AD129="Quarterly",3,6)),0)</f>
        <v/>
      </c>
      <c r="E129" s="109">
        <f>IFERROR(IF(D129=0,0,IF('Deal maths'!AE129&gt;0,IF('Deal maths'!AE129&gt;'Deal maths'!AA129,'Deal maths'!AA129,'Deal maths'!AE129),IF(IF(DAY('Deal maths'!AA129+1)=1,EOMONTH('Deal maths'!AA129,-(INT(((YEAR('Deal maths'!AA129)-YEAR(IF('Deal maths'!Z129&gt;0,'Deal maths'!Z129,DATE(1990,1,1))))*12+MONTH('Deal maths'!AA129)-MONTH(IF('Deal maths'!Z129&gt;0,'Deal maths'!Z129,DATE(1990,1,1))))/D129))*D129),EDATE('Deal maths'!AA129,-(INT(((YEAR('Deal maths'!AA129)-YEAR(IF('Deal maths'!Z129&gt;0,'Deal maths'!Z129,DATE(1990,1,1))))*12+MONTH('Deal maths'!AA129)-MONTH(IF('Deal maths'!Z129&gt;0,'Deal maths'!Z129,DATE(1990,1,1))))/D129))*D129))&gt;IF('Deal maths'!Z129&gt;0,'Deal maths'!Z129,DATE(1990,1,1)),IF(DAY('Deal maths'!AA129+1)=1,EOMONTH('Deal maths'!AA129,-(INT(((YEAR('Deal maths'!AA129)-YEAR(IF('Deal maths'!Z129&gt;0,'Deal maths'!Z129,DATE(1990,1,1))))*12+MONTH('Deal maths'!AA129)-MONTH(IF('Deal maths'!Z129&gt;0,'Deal maths'!Z129,DATE(1990,1,1))))/D129))*D129),EDATE('Deal maths'!AA129,-(INT(((YEAR('Deal maths'!AA129)-YEAR(IF('Deal maths'!Z129&gt;0,'Deal maths'!Z129,DATE(1990,1,1))))*12+MONTH('Deal maths'!AA129)-MONTH(IF('Deal maths'!Z129&gt;0,'Deal maths'!Z129,DATE(1990,1,1))))/D129))*D129)),IF(DAY('Deal maths'!AA129+1)=1,EOMONTH('Deal maths'!AA129,-(INT(((YEAR('Deal maths'!AA129)-YEAR(IF('Deal maths'!Z129&gt;0,'Deal maths'!Z129,DATE(1990,1,1))))*12+MONTH('Deal maths'!AA129)-MONTH(IF('Deal maths'!Z129&gt;0,'Deal maths'!Z129,DATE(1990,1,1))))/D129)-1)*D129),EDATE('Deal maths'!AA129,-(INT(((YEAR('Deal maths'!AA129)-YEAR(IF('Deal maths'!Z129&gt;0,'Deal maths'!Z129,DATE(1990,1,1))))*12+MONTH('Deal maths'!AA129)-MONTH(IF('Deal maths'!Z129&gt;0,'Deal maths'!Z129,DATE(1990,1,1))))/D129)-1)*D129))))),0)</f>
        <v/>
      </c>
      <c r="F129" s="110">
        <f>IF(D129=0,0,'Deal maths'!AB129*D129/12)</f>
        <v/>
      </c>
      <c r="G129" s="108">
        <f>N129+O129</f>
        <v/>
      </c>
      <c r="H129" s="108">
        <f>IFERROR(IF(OR(D129=0,AsAt&lt;E129),0,MIN(N129,INT(((YEAR(AsAt)-YEAR(E129))*12+MONTH(AsAt)-MONTH(E129)-(DAY(AsAt)&lt;MIN(R129,DAY(EOMONTH(AsAt,0)))))/D129)+1)+O129*(AsAt&gt;='Deal maths'!AA129)),0)</f>
        <v/>
      </c>
      <c r="I129" s="108">
        <f>G129-H129</f>
        <v/>
      </c>
      <c r="J129" s="111">
        <f>IF(AND(C129="EIP",I129&gt;0),'Deal maths'!Y129/I129,0)</f>
        <v/>
      </c>
      <c r="K129" s="111">
        <f>IF(AND(C129="Annuity",I129&gt;0),IF(F129&gt;0,'Deal maths'!Y129*F129/(1-(1+F129)^-I129),'Deal maths'!Y129/I129),0)</f>
        <v/>
      </c>
      <c r="L129" s="111">
        <f>IF('Deal maths'!Y129="",0,'Deal maths'!Y129)</f>
        <v/>
      </c>
      <c r="M129" s="112">
        <f>F129+(F129=0)</f>
        <v/>
      </c>
      <c r="N129" s="108">
        <f>IFERROR(IF(D129=0,0,INT(((YEAR('Deal maths'!AA129)-YEAR(E129))*12+MONTH('Deal maths'!AA129)-MONTH(E129)-(DAY('Deal maths'!AA129)&lt;MIN(R129,DAY(EOMONTH('Deal maths'!AA129,0)))))/D129)+1),0)</f>
        <v/>
      </c>
      <c r="O129" s="108">
        <f>IFERROR(IF(D129=0,0,IF(IF(DAY(E129+1)=1,EOMONTH(E129,(N129-1)*D129),EDATE(E129,(N129-1)*D129))='Deal maths'!AA129,0,1)),0)</f>
        <v/>
      </c>
      <c r="P129" s="113">
        <f>IF(B129=0,0,IFERROR(IF(C129="EIP",((I129-O129)*((IF(DAY(E129+1)=1,EOMONTH(E129,H129*D129),EDATE(E129,H129*D129))-AsAt)/365.25+(IF(DAY(E129+1)=1,EOMONTH(E129,(N129-1)*D129),EDATE(E129,(N129-1)*D129))-AsAt)/365.25)/2+O129*('Deal maths'!AA129-AsAt)/365.25)/I129,IF(C129="Annuity",IF(F129&gt;0,((K129-L129*F129)*((IF(DAY(E129+1)=1,EOMONTH(E129,H129*D129),EDATE(E129,H129*D129))-AsAt)/365.25*((1+F129)^(I129-O129)-1)/F129+IF((I129-O129)&gt;1,((IF(DAY(E129+1)=1,EOMONTH(E129,(N129-1)*D129),EDATE(E129,(N129-1)*D129))-AsAt)/365.25-(IF(DAY(E129+1)=1,EOMONTH(E129,H129*D129),EDATE(E129,H129*D129))-AsAt)/365.25)/((I129-O129)-1),0)*(1+F129)*(1-(I129-O129)*(1+F129)^((I129-O129)-1)+((I129-O129)-1)*(1+F129)^(I129-O129))/F129^2)+O129*(K129-L129*F129)*(1+F129)^(I129-1)*('Deal maths'!AA129-AsAt)/365.25)/L129,((I129-O129)*((IF(DAY(E129+1)=1,EOMONTH(E129,H129*D129),EDATE(E129,H129*D129))-AsAt)/365.25+(IF(DAY(E129+1)=1,EOMONTH(E129,(N129-1)*D129),EDATE(E129,(N129-1)*D129))-AsAt)/365.25)/2+O129*('Deal maths'!AA129-AsAt)/365.25)/I129),(S129-AsAt)/365.25)),0))</f>
        <v/>
      </c>
      <c r="Q129" s="109">
        <f>IF(B129=1,'Deal maths'!AA129+ROW()/1000000,"")</f>
        <v/>
      </c>
      <c r="R129" s="108">
        <f>IF(D129=0,0,IF(DAY(E129+1)=1,31,DAY(E129)))</f>
        <v/>
      </c>
      <c r="S129" s="109">
        <f>IF(AND('Deal maths'!V129="LOBO",'Deal maths'!AG129&gt;AsAt,'Deal maths'!AG129&lt;'Deal maths'!AA129),'Deal maths'!AG129,'Deal maths'!AA129)</f>
        <v/>
      </c>
      <c r="T129" s="108">
        <f>('Deal maths'!AA129&gt;AsAt)*('Deal maths'!Y129&gt;0)</f>
        <v/>
      </c>
    </row>
    <row r="130">
      <c r="A130" s="91">
        <f>IF('Deal maths'!V130="","",'Deal maths'!W130)</f>
        <v/>
      </c>
      <c r="B130" s="108">
        <f>('Deal maths'!AA130&gt;AsAt)*('Deal maths'!Y130&gt;0)*('Deal maths'!Z130&lt;=AsAt)</f>
        <v/>
      </c>
      <c r="C130" s="91">
        <f>IF('Deal maths'!V130="","",IF('Deal maths'!AC130="","Maturity",'Deal maths'!AC130))</f>
        <v/>
      </c>
      <c r="D130" s="108">
        <f>IF(OR(C130="EIP",C130="Annuity"),IF('Deal maths'!AD130="Annual",12,IF('Deal maths'!AD130="Quarterly",3,6)),0)</f>
        <v/>
      </c>
      <c r="E130" s="109">
        <f>IFERROR(IF(D130=0,0,IF('Deal maths'!AE130&gt;0,IF('Deal maths'!AE130&gt;'Deal maths'!AA130,'Deal maths'!AA130,'Deal maths'!AE130),IF(IF(DAY('Deal maths'!AA130+1)=1,EOMONTH('Deal maths'!AA130,-(INT(((YEAR('Deal maths'!AA130)-YEAR(IF('Deal maths'!Z130&gt;0,'Deal maths'!Z130,DATE(1990,1,1))))*12+MONTH('Deal maths'!AA130)-MONTH(IF('Deal maths'!Z130&gt;0,'Deal maths'!Z130,DATE(1990,1,1))))/D130))*D130),EDATE('Deal maths'!AA130,-(INT(((YEAR('Deal maths'!AA130)-YEAR(IF('Deal maths'!Z130&gt;0,'Deal maths'!Z130,DATE(1990,1,1))))*12+MONTH('Deal maths'!AA130)-MONTH(IF('Deal maths'!Z130&gt;0,'Deal maths'!Z130,DATE(1990,1,1))))/D130))*D130))&gt;IF('Deal maths'!Z130&gt;0,'Deal maths'!Z130,DATE(1990,1,1)),IF(DAY('Deal maths'!AA130+1)=1,EOMONTH('Deal maths'!AA130,-(INT(((YEAR('Deal maths'!AA130)-YEAR(IF('Deal maths'!Z130&gt;0,'Deal maths'!Z130,DATE(1990,1,1))))*12+MONTH('Deal maths'!AA130)-MONTH(IF('Deal maths'!Z130&gt;0,'Deal maths'!Z130,DATE(1990,1,1))))/D130))*D130),EDATE('Deal maths'!AA130,-(INT(((YEAR('Deal maths'!AA130)-YEAR(IF('Deal maths'!Z130&gt;0,'Deal maths'!Z130,DATE(1990,1,1))))*12+MONTH('Deal maths'!AA130)-MONTH(IF('Deal maths'!Z130&gt;0,'Deal maths'!Z130,DATE(1990,1,1))))/D130))*D130)),IF(DAY('Deal maths'!AA130+1)=1,EOMONTH('Deal maths'!AA130,-(INT(((YEAR('Deal maths'!AA130)-YEAR(IF('Deal maths'!Z130&gt;0,'Deal maths'!Z130,DATE(1990,1,1))))*12+MONTH('Deal maths'!AA130)-MONTH(IF('Deal maths'!Z130&gt;0,'Deal maths'!Z130,DATE(1990,1,1))))/D130)-1)*D130),EDATE('Deal maths'!AA130,-(INT(((YEAR('Deal maths'!AA130)-YEAR(IF('Deal maths'!Z130&gt;0,'Deal maths'!Z130,DATE(1990,1,1))))*12+MONTH('Deal maths'!AA130)-MONTH(IF('Deal maths'!Z130&gt;0,'Deal maths'!Z130,DATE(1990,1,1))))/D130)-1)*D130))))),0)</f>
        <v/>
      </c>
      <c r="F130" s="110">
        <f>IF(D130=0,0,'Deal maths'!AB130*D130/12)</f>
        <v/>
      </c>
      <c r="G130" s="108">
        <f>N130+O130</f>
        <v/>
      </c>
      <c r="H130" s="108">
        <f>IFERROR(IF(OR(D130=0,AsAt&lt;E130),0,MIN(N130,INT(((YEAR(AsAt)-YEAR(E130))*12+MONTH(AsAt)-MONTH(E130)-(DAY(AsAt)&lt;MIN(R130,DAY(EOMONTH(AsAt,0)))))/D130)+1)+O130*(AsAt&gt;='Deal maths'!AA130)),0)</f>
        <v/>
      </c>
      <c r="I130" s="108">
        <f>G130-H130</f>
        <v/>
      </c>
      <c r="J130" s="111">
        <f>IF(AND(C130="EIP",I130&gt;0),'Deal maths'!Y130/I130,0)</f>
        <v/>
      </c>
      <c r="K130" s="111">
        <f>IF(AND(C130="Annuity",I130&gt;0),IF(F130&gt;0,'Deal maths'!Y130*F130/(1-(1+F130)^-I130),'Deal maths'!Y130/I130),0)</f>
        <v/>
      </c>
      <c r="L130" s="111">
        <f>IF('Deal maths'!Y130="",0,'Deal maths'!Y130)</f>
        <v/>
      </c>
      <c r="M130" s="112">
        <f>F130+(F130=0)</f>
        <v/>
      </c>
      <c r="N130" s="108">
        <f>IFERROR(IF(D130=0,0,INT(((YEAR('Deal maths'!AA130)-YEAR(E130))*12+MONTH('Deal maths'!AA130)-MONTH(E130)-(DAY('Deal maths'!AA130)&lt;MIN(R130,DAY(EOMONTH('Deal maths'!AA130,0)))))/D130)+1),0)</f>
        <v/>
      </c>
      <c r="O130" s="108">
        <f>IFERROR(IF(D130=0,0,IF(IF(DAY(E130+1)=1,EOMONTH(E130,(N130-1)*D130),EDATE(E130,(N130-1)*D130))='Deal maths'!AA130,0,1)),0)</f>
        <v/>
      </c>
      <c r="P130" s="113">
        <f>IF(B130=0,0,IFERROR(IF(C130="EIP",((I130-O130)*((IF(DAY(E130+1)=1,EOMONTH(E130,H130*D130),EDATE(E130,H130*D130))-AsAt)/365.25+(IF(DAY(E130+1)=1,EOMONTH(E130,(N130-1)*D130),EDATE(E130,(N130-1)*D130))-AsAt)/365.25)/2+O130*('Deal maths'!AA130-AsAt)/365.25)/I130,IF(C130="Annuity",IF(F130&gt;0,((K130-L130*F130)*((IF(DAY(E130+1)=1,EOMONTH(E130,H130*D130),EDATE(E130,H130*D130))-AsAt)/365.25*((1+F130)^(I130-O130)-1)/F130+IF((I130-O130)&gt;1,((IF(DAY(E130+1)=1,EOMONTH(E130,(N130-1)*D130),EDATE(E130,(N130-1)*D130))-AsAt)/365.25-(IF(DAY(E130+1)=1,EOMONTH(E130,H130*D130),EDATE(E130,H130*D130))-AsAt)/365.25)/((I130-O130)-1),0)*(1+F130)*(1-(I130-O130)*(1+F130)^((I130-O130)-1)+((I130-O130)-1)*(1+F130)^(I130-O130))/F130^2)+O130*(K130-L130*F130)*(1+F130)^(I130-1)*('Deal maths'!AA130-AsAt)/365.25)/L130,((I130-O130)*((IF(DAY(E130+1)=1,EOMONTH(E130,H130*D130),EDATE(E130,H130*D130))-AsAt)/365.25+(IF(DAY(E130+1)=1,EOMONTH(E130,(N130-1)*D130),EDATE(E130,(N130-1)*D130))-AsAt)/365.25)/2+O130*('Deal maths'!AA130-AsAt)/365.25)/I130),(S130-AsAt)/365.25)),0))</f>
        <v/>
      </c>
      <c r="Q130" s="109">
        <f>IF(B130=1,'Deal maths'!AA130+ROW()/1000000,"")</f>
        <v/>
      </c>
      <c r="R130" s="108">
        <f>IF(D130=0,0,IF(DAY(E130+1)=1,31,DAY(E130)))</f>
        <v/>
      </c>
      <c r="S130" s="109">
        <f>IF(AND('Deal maths'!V130="LOBO",'Deal maths'!AG130&gt;AsAt,'Deal maths'!AG130&lt;'Deal maths'!AA130),'Deal maths'!AG130,'Deal maths'!AA130)</f>
        <v/>
      </c>
      <c r="T130" s="108">
        <f>('Deal maths'!AA130&gt;AsAt)*('Deal maths'!Y130&gt;0)</f>
        <v/>
      </c>
    </row>
    <row r="131">
      <c r="A131" s="91">
        <f>IF('Deal maths'!V131="","",'Deal maths'!W131)</f>
        <v/>
      </c>
      <c r="B131" s="108">
        <f>('Deal maths'!AA131&gt;AsAt)*('Deal maths'!Y131&gt;0)*('Deal maths'!Z131&lt;=AsAt)</f>
        <v/>
      </c>
      <c r="C131" s="91">
        <f>IF('Deal maths'!V131="","",IF('Deal maths'!AC131="","Maturity",'Deal maths'!AC131))</f>
        <v/>
      </c>
      <c r="D131" s="108">
        <f>IF(OR(C131="EIP",C131="Annuity"),IF('Deal maths'!AD131="Annual",12,IF('Deal maths'!AD131="Quarterly",3,6)),0)</f>
        <v/>
      </c>
      <c r="E131" s="109">
        <f>IFERROR(IF(D131=0,0,IF('Deal maths'!AE131&gt;0,IF('Deal maths'!AE131&gt;'Deal maths'!AA131,'Deal maths'!AA131,'Deal maths'!AE131),IF(IF(DAY('Deal maths'!AA131+1)=1,EOMONTH('Deal maths'!AA131,-(INT(((YEAR('Deal maths'!AA131)-YEAR(IF('Deal maths'!Z131&gt;0,'Deal maths'!Z131,DATE(1990,1,1))))*12+MONTH('Deal maths'!AA131)-MONTH(IF('Deal maths'!Z131&gt;0,'Deal maths'!Z131,DATE(1990,1,1))))/D131))*D131),EDATE('Deal maths'!AA131,-(INT(((YEAR('Deal maths'!AA131)-YEAR(IF('Deal maths'!Z131&gt;0,'Deal maths'!Z131,DATE(1990,1,1))))*12+MONTH('Deal maths'!AA131)-MONTH(IF('Deal maths'!Z131&gt;0,'Deal maths'!Z131,DATE(1990,1,1))))/D131))*D131))&gt;IF('Deal maths'!Z131&gt;0,'Deal maths'!Z131,DATE(1990,1,1)),IF(DAY('Deal maths'!AA131+1)=1,EOMONTH('Deal maths'!AA131,-(INT(((YEAR('Deal maths'!AA131)-YEAR(IF('Deal maths'!Z131&gt;0,'Deal maths'!Z131,DATE(1990,1,1))))*12+MONTH('Deal maths'!AA131)-MONTH(IF('Deal maths'!Z131&gt;0,'Deal maths'!Z131,DATE(1990,1,1))))/D131))*D131),EDATE('Deal maths'!AA131,-(INT(((YEAR('Deal maths'!AA131)-YEAR(IF('Deal maths'!Z131&gt;0,'Deal maths'!Z131,DATE(1990,1,1))))*12+MONTH('Deal maths'!AA131)-MONTH(IF('Deal maths'!Z131&gt;0,'Deal maths'!Z131,DATE(1990,1,1))))/D131))*D131)),IF(DAY('Deal maths'!AA131+1)=1,EOMONTH('Deal maths'!AA131,-(INT(((YEAR('Deal maths'!AA131)-YEAR(IF('Deal maths'!Z131&gt;0,'Deal maths'!Z131,DATE(1990,1,1))))*12+MONTH('Deal maths'!AA131)-MONTH(IF('Deal maths'!Z131&gt;0,'Deal maths'!Z131,DATE(1990,1,1))))/D131)-1)*D131),EDATE('Deal maths'!AA131,-(INT(((YEAR('Deal maths'!AA131)-YEAR(IF('Deal maths'!Z131&gt;0,'Deal maths'!Z131,DATE(1990,1,1))))*12+MONTH('Deal maths'!AA131)-MONTH(IF('Deal maths'!Z131&gt;0,'Deal maths'!Z131,DATE(1990,1,1))))/D131)-1)*D131))))),0)</f>
        <v/>
      </c>
      <c r="F131" s="110">
        <f>IF(D131=0,0,'Deal maths'!AB131*D131/12)</f>
        <v/>
      </c>
      <c r="G131" s="108">
        <f>N131+O131</f>
        <v/>
      </c>
      <c r="H131" s="108">
        <f>IFERROR(IF(OR(D131=0,AsAt&lt;E131),0,MIN(N131,INT(((YEAR(AsAt)-YEAR(E131))*12+MONTH(AsAt)-MONTH(E131)-(DAY(AsAt)&lt;MIN(R131,DAY(EOMONTH(AsAt,0)))))/D131)+1)+O131*(AsAt&gt;='Deal maths'!AA131)),0)</f>
        <v/>
      </c>
      <c r="I131" s="108">
        <f>G131-H131</f>
        <v/>
      </c>
      <c r="J131" s="111">
        <f>IF(AND(C131="EIP",I131&gt;0),'Deal maths'!Y131/I131,0)</f>
        <v/>
      </c>
      <c r="K131" s="111">
        <f>IF(AND(C131="Annuity",I131&gt;0),IF(F131&gt;0,'Deal maths'!Y131*F131/(1-(1+F131)^-I131),'Deal maths'!Y131/I131),0)</f>
        <v/>
      </c>
      <c r="L131" s="111">
        <f>IF('Deal maths'!Y131="",0,'Deal maths'!Y131)</f>
        <v/>
      </c>
      <c r="M131" s="112">
        <f>F131+(F131=0)</f>
        <v/>
      </c>
      <c r="N131" s="108">
        <f>IFERROR(IF(D131=0,0,INT(((YEAR('Deal maths'!AA131)-YEAR(E131))*12+MONTH('Deal maths'!AA131)-MONTH(E131)-(DAY('Deal maths'!AA131)&lt;MIN(R131,DAY(EOMONTH('Deal maths'!AA131,0)))))/D131)+1),0)</f>
        <v/>
      </c>
      <c r="O131" s="108">
        <f>IFERROR(IF(D131=0,0,IF(IF(DAY(E131+1)=1,EOMONTH(E131,(N131-1)*D131),EDATE(E131,(N131-1)*D131))='Deal maths'!AA131,0,1)),0)</f>
        <v/>
      </c>
      <c r="P131" s="113">
        <f>IF(B131=0,0,IFERROR(IF(C131="EIP",((I131-O131)*((IF(DAY(E131+1)=1,EOMONTH(E131,H131*D131),EDATE(E131,H131*D131))-AsAt)/365.25+(IF(DAY(E131+1)=1,EOMONTH(E131,(N131-1)*D131),EDATE(E131,(N131-1)*D131))-AsAt)/365.25)/2+O131*('Deal maths'!AA131-AsAt)/365.25)/I131,IF(C131="Annuity",IF(F131&gt;0,((K131-L131*F131)*((IF(DAY(E131+1)=1,EOMONTH(E131,H131*D131),EDATE(E131,H131*D131))-AsAt)/365.25*((1+F131)^(I131-O131)-1)/F131+IF((I131-O131)&gt;1,((IF(DAY(E131+1)=1,EOMONTH(E131,(N131-1)*D131),EDATE(E131,(N131-1)*D131))-AsAt)/365.25-(IF(DAY(E131+1)=1,EOMONTH(E131,H131*D131),EDATE(E131,H131*D131))-AsAt)/365.25)/((I131-O131)-1),0)*(1+F131)*(1-(I131-O131)*(1+F131)^((I131-O131)-1)+((I131-O131)-1)*(1+F131)^(I131-O131))/F131^2)+O131*(K131-L131*F131)*(1+F131)^(I131-1)*('Deal maths'!AA131-AsAt)/365.25)/L131,((I131-O131)*((IF(DAY(E131+1)=1,EOMONTH(E131,H131*D131),EDATE(E131,H131*D131))-AsAt)/365.25+(IF(DAY(E131+1)=1,EOMONTH(E131,(N131-1)*D131),EDATE(E131,(N131-1)*D131))-AsAt)/365.25)/2+O131*('Deal maths'!AA131-AsAt)/365.25)/I131),(S131-AsAt)/365.25)),0))</f>
        <v/>
      </c>
      <c r="Q131" s="109">
        <f>IF(B131=1,'Deal maths'!AA131+ROW()/1000000,"")</f>
        <v/>
      </c>
      <c r="R131" s="108">
        <f>IF(D131=0,0,IF(DAY(E131+1)=1,31,DAY(E131)))</f>
        <v/>
      </c>
      <c r="S131" s="109">
        <f>IF(AND('Deal maths'!V131="LOBO",'Deal maths'!AG131&gt;AsAt,'Deal maths'!AG131&lt;'Deal maths'!AA131),'Deal maths'!AG131,'Deal maths'!AA131)</f>
        <v/>
      </c>
      <c r="T131" s="108">
        <f>('Deal maths'!AA131&gt;AsAt)*('Deal maths'!Y131&gt;0)</f>
        <v/>
      </c>
    </row>
    <row r="132">
      <c r="A132" s="91">
        <f>IF('Deal maths'!V132="","",'Deal maths'!W132)</f>
        <v/>
      </c>
      <c r="B132" s="108">
        <f>('Deal maths'!AA132&gt;AsAt)*('Deal maths'!Y132&gt;0)*('Deal maths'!Z132&lt;=AsAt)</f>
        <v/>
      </c>
      <c r="C132" s="91">
        <f>IF('Deal maths'!V132="","",IF('Deal maths'!AC132="","Maturity",'Deal maths'!AC132))</f>
        <v/>
      </c>
      <c r="D132" s="108">
        <f>IF(OR(C132="EIP",C132="Annuity"),IF('Deal maths'!AD132="Annual",12,IF('Deal maths'!AD132="Quarterly",3,6)),0)</f>
        <v/>
      </c>
      <c r="E132" s="109">
        <f>IFERROR(IF(D132=0,0,IF('Deal maths'!AE132&gt;0,IF('Deal maths'!AE132&gt;'Deal maths'!AA132,'Deal maths'!AA132,'Deal maths'!AE132),IF(IF(DAY('Deal maths'!AA132+1)=1,EOMONTH('Deal maths'!AA132,-(INT(((YEAR('Deal maths'!AA132)-YEAR(IF('Deal maths'!Z132&gt;0,'Deal maths'!Z132,DATE(1990,1,1))))*12+MONTH('Deal maths'!AA132)-MONTH(IF('Deal maths'!Z132&gt;0,'Deal maths'!Z132,DATE(1990,1,1))))/D132))*D132),EDATE('Deal maths'!AA132,-(INT(((YEAR('Deal maths'!AA132)-YEAR(IF('Deal maths'!Z132&gt;0,'Deal maths'!Z132,DATE(1990,1,1))))*12+MONTH('Deal maths'!AA132)-MONTH(IF('Deal maths'!Z132&gt;0,'Deal maths'!Z132,DATE(1990,1,1))))/D132))*D132))&gt;IF('Deal maths'!Z132&gt;0,'Deal maths'!Z132,DATE(1990,1,1)),IF(DAY('Deal maths'!AA132+1)=1,EOMONTH('Deal maths'!AA132,-(INT(((YEAR('Deal maths'!AA132)-YEAR(IF('Deal maths'!Z132&gt;0,'Deal maths'!Z132,DATE(1990,1,1))))*12+MONTH('Deal maths'!AA132)-MONTH(IF('Deal maths'!Z132&gt;0,'Deal maths'!Z132,DATE(1990,1,1))))/D132))*D132),EDATE('Deal maths'!AA132,-(INT(((YEAR('Deal maths'!AA132)-YEAR(IF('Deal maths'!Z132&gt;0,'Deal maths'!Z132,DATE(1990,1,1))))*12+MONTH('Deal maths'!AA132)-MONTH(IF('Deal maths'!Z132&gt;0,'Deal maths'!Z132,DATE(1990,1,1))))/D132))*D132)),IF(DAY('Deal maths'!AA132+1)=1,EOMONTH('Deal maths'!AA132,-(INT(((YEAR('Deal maths'!AA132)-YEAR(IF('Deal maths'!Z132&gt;0,'Deal maths'!Z132,DATE(1990,1,1))))*12+MONTH('Deal maths'!AA132)-MONTH(IF('Deal maths'!Z132&gt;0,'Deal maths'!Z132,DATE(1990,1,1))))/D132)-1)*D132),EDATE('Deal maths'!AA132,-(INT(((YEAR('Deal maths'!AA132)-YEAR(IF('Deal maths'!Z132&gt;0,'Deal maths'!Z132,DATE(1990,1,1))))*12+MONTH('Deal maths'!AA132)-MONTH(IF('Deal maths'!Z132&gt;0,'Deal maths'!Z132,DATE(1990,1,1))))/D132)-1)*D132))))),0)</f>
        <v/>
      </c>
      <c r="F132" s="110">
        <f>IF(D132=0,0,'Deal maths'!AB132*D132/12)</f>
        <v/>
      </c>
      <c r="G132" s="108">
        <f>N132+O132</f>
        <v/>
      </c>
      <c r="H132" s="108">
        <f>IFERROR(IF(OR(D132=0,AsAt&lt;E132),0,MIN(N132,INT(((YEAR(AsAt)-YEAR(E132))*12+MONTH(AsAt)-MONTH(E132)-(DAY(AsAt)&lt;MIN(R132,DAY(EOMONTH(AsAt,0)))))/D132)+1)+O132*(AsAt&gt;='Deal maths'!AA132)),0)</f>
        <v/>
      </c>
      <c r="I132" s="108">
        <f>G132-H132</f>
        <v/>
      </c>
      <c r="J132" s="111">
        <f>IF(AND(C132="EIP",I132&gt;0),'Deal maths'!Y132/I132,0)</f>
        <v/>
      </c>
      <c r="K132" s="111">
        <f>IF(AND(C132="Annuity",I132&gt;0),IF(F132&gt;0,'Deal maths'!Y132*F132/(1-(1+F132)^-I132),'Deal maths'!Y132/I132),0)</f>
        <v/>
      </c>
      <c r="L132" s="111">
        <f>IF('Deal maths'!Y132="",0,'Deal maths'!Y132)</f>
        <v/>
      </c>
      <c r="M132" s="112">
        <f>F132+(F132=0)</f>
        <v/>
      </c>
      <c r="N132" s="108">
        <f>IFERROR(IF(D132=0,0,INT(((YEAR('Deal maths'!AA132)-YEAR(E132))*12+MONTH('Deal maths'!AA132)-MONTH(E132)-(DAY('Deal maths'!AA132)&lt;MIN(R132,DAY(EOMONTH('Deal maths'!AA132,0)))))/D132)+1),0)</f>
        <v/>
      </c>
      <c r="O132" s="108">
        <f>IFERROR(IF(D132=0,0,IF(IF(DAY(E132+1)=1,EOMONTH(E132,(N132-1)*D132),EDATE(E132,(N132-1)*D132))='Deal maths'!AA132,0,1)),0)</f>
        <v/>
      </c>
      <c r="P132" s="113">
        <f>IF(B132=0,0,IFERROR(IF(C132="EIP",((I132-O132)*((IF(DAY(E132+1)=1,EOMONTH(E132,H132*D132),EDATE(E132,H132*D132))-AsAt)/365.25+(IF(DAY(E132+1)=1,EOMONTH(E132,(N132-1)*D132),EDATE(E132,(N132-1)*D132))-AsAt)/365.25)/2+O132*('Deal maths'!AA132-AsAt)/365.25)/I132,IF(C132="Annuity",IF(F132&gt;0,((K132-L132*F132)*((IF(DAY(E132+1)=1,EOMONTH(E132,H132*D132),EDATE(E132,H132*D132))-AsAt)/365.25*((1+F132)^(I132-O132)-1)/F132+IF((I132-O132)&gt;1,((IF(DAY(E132+1)=1,EOMONTH(E132,(N132-1)*D132),EDATE(E132,(N132-1)*D132))-AsAt)/365.25-(IF(DAY(E132+1)=1,EOMONTH(E132,H132*D132),EDATE(E132,H132*D132))-AsAt)/365.25)/((I132-O132)-1),0)*(1+F132)*(1-(I132-O132)*(1+F132)^((I132-O132)-1)+((I132-O132)-1)*(1+F132)^(I132-O132))/F132^2)+O132*(K132-L132*F132)*(1+F132)^(I132-1)*('Deal maths'!AA132-AsAt)/365.25)/L132,((I132-O132)*((IF(DAY(E132+1)=1,EOMONTH(E132,H132*D132),EDATE(E132,H132*D132))-AsAt)/365.25+(IF(DAY(E132+1)=1,EOMONTH(E132,(N132-1)*D132),EDATE(E132,(N132-1)*D132))-AsAt)/365.25)/2+O132*('Deal maths'!AA132-AsAt)/365.25)/I132),(S132-AsAt)/365.25)),0))</f>
        <v/>
      </c>
      <c r="Q132" s="109">
        <f>IF(B132=1,'Deal maths'!AA132+ROW()/1000000,"")</f>
        <v/>
      </c>
      <c r="R132" s="108">
        <f>IF(D132=0,0,IF(DAY(E132+1)=1,31,DAY(E132)))</f>
        <v/>
      </c>
      <c r="S132" s="109">
        <f>IF(AND('Deal maths'!V132="LOBO",'Deal maths'!AG132&gt;AsAt,'Deal maths'!AG132&lt;'Deal maths'!AA132),'Deal maths'!AG132,'Deal maths'!AA132)</f>
        <v/>
      </c>
      <c r="T132" s="108">
        <f>('Deal maths'!AA132&gt;AsAt)*('Deal maths'!Y132&gt;0)</f>
        <v/>
      </c>
    </row>
    <row r="133">
      <c r="A133" s="91">
        <f>IF('Deal maths'!V133="","",'Deal maths'!W133)</f>
        <v/>
      </c>
      <c r="B133" s="108">
        <f>('Deal maths'!AA133&gt;AsAt)*('Deal maths'!Y133&gt;0)*('Deal maths'!Z133&lt;=AsAt)</f>
        <v/>
      </c>
      <c r="C133" s="91">
        <f>IF('Deal maths'!V133="","",IF('Deal maths'!AC133="","Maturity",'Deal maths'!AC133))</f>
        <v/>
      </c>
      <c r="D133" s="108">
        <f>IF(OR(C133="EIP",C133="Annuity"),IF('Deal maths'!AD133="Annual",12,IF('Deal maths'!AD133="Quarterly",3,6)),0)</f>
        <v/>
      </c>
      <c r="E133" s="109">
        <f>IFERROR(IF(D133=0,0,IF('Deal maths'!AE133&gt;0,IF('Deal maths'!AE133&gt;'Deal maths'!AA133,'Deal maths'!AA133,'Deal maths'!AE133),IF(IF(DAY('Deal maths'!AA133+1)=1,EOMONTH('Deal maths'!AA133,-(INT(((YEAR('Deal maths'!AA133)-YEAR(IF('Deal maths'!Z133&gt;0,'Deal maths'!Z133,DATE(1990,1,1))))*12+MONTH('Deal maths'!AA133)-MONTH(IF('Deal maths'!Z133&gt;0,'Deal maths'!Z133,DATE(1990,1,1))))/D133))*D133),EDATE('Deal maths'!AA133,-(INT(((YEAR('Deal maths'!AA133)-YEAR(IF('Deal maths'!Z133&gt;0,'Deal maths'!Z133,DATE(1990,1,1))))*12+MONTH('Deal maths'!AA133)-MONTH(IF('Deal maths'!Z133&gt;0,'Deal maths'!Z133,DATE(1990,1,1))))/D133))*D133))&gt;IF('Deal maths'!Z133&gt;0,'Deal maths'!Z133,DATE(1990,1,1)),IF(DAY('Deal maths'!AA133+1)=1,EOMONTH('Deal maths'!AA133,-(INT(((YEAR('Deal maths'!AA133)-YEAR(IF('Deal maths'!Z133&gt;0,'Deal maths'!Z133,DATE(1990,1,1))))*12+MONTH('Deal maths'!AA133)-MONTH(IF('Deal maths'!Z133&gt;0,'Deal maths'!Z133,DATE(1990,1,1))))/D133))*D133),EDATE('Deal maths'!AA133,-(INT(((YEAR('Deal maths'!AA133)-YEAR(IF('Deal maths'!Z133&gt;0,'Deal maths'!Z133,DATE(1990,1,1))))*12+MONTH('Deal maths'!AA133)-MONTH(IF('Deal maths'!Z133&gt;0,'Deal maths'!Z133,DATE(1990,1,1))))/D133))*D133)),IF(DAY('Deal maths'!AA133+1)=1,EOMONTH('Deal maths'!AA133,-(INT(((YEAR('Deal maths'!AA133)-YEAR(IF('Deal maths'!Z133&gt;0,'Deal maths'!Z133,DATE(1990,1,1))))*12+MONTH('Deal maths'!AA133)-MONTH(IF('Deal maths'!Z133&gt;0,'Deal maths'!Z133,DATE(1990,1,1))))/D133)-1)*D133),EDATE('Deal maths'!AA133,-(INT(((YEAR('Deal maths'!AA133)-YEAR(IF('Deal maths'!Z133&gt;0,'Deal maths'!Z133,DATE(1990,1,1))))*12+MONTH('Deal maths'!AA133)-MONTH(IF('Deal maths'!Z133&gt;0,'Deal maths'!Z133,DATE(1990,1,1))))/D133)-1)*D133))))),0)</f>
        <v/>
      </c>
      <c r="F133" s="110">
        <f>IF(D133=0,0,'Deal maths'!AB133*D133/12)</f>
        <v/>
      </c>
      <c r="G133" s="108">
        <f>N133+O133</f>
        <v/>
      </c>
      <c r="H133" s="108">
        <f>IFERROR(IF(OR(D133=0,AsAt&lt;E133),0,MIN(N133,INT(((YEAR(AsAt)-YEAR(E133))*12+MONTH(AsAt)-MONTH(E133)-(DAY(AsAt)&lt;MIN(R133,DAY(EOMONTH(AsAt,0)))))/D133)+1)+O133*(AsAt&gt;='Deal maths'!AA133)),0)</f>
        <v/>
      </c>
      <c r="I133" s="108">
        <f>G133-H133</f>
        <v/>
      </c>
      <c r="J133" s="111">
        <f>IF(AND(C133="EIP",I133&gt;0),'Deal maths'!Y133/I133,0)</f>
        <v/>
      </c>
      <c r="K133" s="111">
        <f>IF(AND(C133="Annuity",I133&gt;0),IF(F133&gt;0,'Deal maths'!Y133*F133/(1-(1+F133)^-I133),'Deal maths'!Y133/I133),0)</f>
        <v/>
      </c>
      <c r="L133" s="111">
        <f>IF('Deal maths'!Y133="",0,'Deal maths'!Y133)</f>
        <v/>
      </c>
      <c r="M133" s="112">
        <f>F133+(F133=0)</f>
        <v/>
      </c>
      <c r="N133" s="108">
        <f>IFERROR(IF(D133=0,0,INT(((YEAR('Deal maths'!AA133)-YEAR(E133))*12+MONTH('Deal maths'!AA133)-MONTH(E133)-(DAY('Deal maths'!AA133)&lt;MIN(R133,DAY(EOMONTH('Deal maths'!AA133,0)))))/D133)+1),0)</f>
        <v/>
      </c>
      <c r="O133" s="108">
        <f>IFERROR(IF(D133=0,0,IF(IF(DAY(E133+1)=1,EOMONTH(E133,(N133-1)*D133),EDATE(E133,(N133-1)*D133))='Deal maths'!AA133,0,1)),0)</f>
        <v/>
      </c>
      <c r="P133" s="113">
        <f>IF(B133=0,0,IFERROR(IF(C133="EIP",((I133-O133)*((IF(DAY(E133+1)=1,EOMONTH(E133,H133*D133),EDATE(E133,H133*D133))-AsAt)/365.25+(IF(DAY(E133+1)=1,EOMONTH(E133,(N133-1)*D133),EDATE(E133,(N133-1)*D133))-AsAt)/365.25)/2+O133*('Deal maths'!AA133-AsAt)/365.25)/I133,IF(C133="Annuity",IF(F133&gt;0,((K133-L133*F133)*((IF(DAY(E133+1)=1,EOMONTH(E133,H133*D133),EDATE(E133,H133*D133))-AsAt)/365.25*((1+F133)^(I133-O133)-1)/F133+IF((I133-O133)&gt;1,((IF(DAY(E133+1)=1,EOMONTH(E133,(N133-1)*D133),EDATE(E133,(N133-1)*D133))-AsAt)/365.25-(IF(DAY(E133+1)=1,EOMONTH(E133,H133*D133),EDATE(E133,H133*D133))-AsAt)/365.25)/((I133-O133)-1),0)*(1+F133)*(1-(I133-O133)*(1+F133)^((I133-O133)-1)+((I133-O133)-1)*(1+F133)^(I133-O133))/F133^2)+O133*(K133-L133*F133)*(1+F133)^(I133-1)*('Deal maths'!AA133-AsAt)/365.25)/L133,((I133-O133)*((IF(DAY(E133+1)=1,EOMONTH(E133,H133*D133),EDATE(E133,H133*D133))-AsAt)/365.25+(IF(DAY(E133+1)=1,EOMONTH(E133,(N133-1)*D133),EDATE(E133,(N133-1)*D133))-AsAt)/365.25)/2+O133*('Deal maths'!AA133-AsAt)/365.25)/I133),(S133-AsAt)/365.25)),0))</f>
        <v/>
      </c>
      <c r="Q133" s="109">
        <f>IF(B133=1,'Deal maths'!AA133+ROW()/1000000,"")</f>
        <v/>
      </c>
      <c r="R133" s="108">
        <f>IF(D133=0,0,IF(DAY(E133+1)=1,31,DAY(E133)))</f>
        <v/>
      </c>
      <c r="S133" s="109">
        <f>IF(AND('Deal maths'!V133="LOBO",'Deal maths'!AG133&gt;AsAt,'Deal maths'!AG133&lt;'Deal maths'!AA133),'Deal maths'!AG133,'Deal maths'!AA133)</f>
        <v/>
      </c>
      <c r="T133" s="108">
        <f>('Deal maths'!AA133&gt;AsAt)*('Deal maths'!Y133&gt;0)</f>
        <v/>
      </c>
    </row>
    <row r="134">
      <c r="A134" s="91">
        <f>IF('Deal maths'!V134="","",'Deal maths'!W134)</f>
        <v/>
      </c>
      <c r="B134" s="108">
        <f>('Deal maths'!AA134&gt;AsAt)*('Deal maths'!Y134&gt;0)*('Deal maths'!Z134&lt;=AsAt)</f>
        <v/>
      </c>
      <c r="C134" s="91">
        <f>IF('Deal maths'!V134="","",IF('Deal maths'!AC134="","Maturity",'Deal maths'!AC134))</f>
        <v/>
      </c>
      <c r="D134" s="108">
        <f>IF(OR(C134="EIP",C134="Annuity"),IF('Deal maths'!AD134="Annual",12,IF('Deal maths'!AD134="Quarterly",3,6)),0)</f>
        <v/>
      </c>
      <c r="E134" s="109">
        <f>IFERROR(IF(D134=0,0,IF('Deal maths'!AE134&gt;0,IF('Deal maths'!AE134&gt;'Deal maths'!AA134,'Deal maths'!AA134,'Deal maths'!AE134),IF(IF(DAY('Deal maths'!AA134+1)=1,EOMONTH('Deal maths'!AA134,-(INT(((YEAR('Deal maths'!AA134)-YEAR(IF('Deal maths'!Z134&gt;0,'Deal maths'!Z134,DATE(1990,1,1))))*12+MONTH('Deal maths'!AA134)-MONTH(IF('Deal maths'!Z134&gt;0,'Deal maths'!Z134,DATE(1990,1,1))))/D134))*D134),EDATE('Deal maths'!AA134,-(INT(((YEAR('Deal maths'!AA134)-YEAR(IF('Deal maths'!Z134&gt;0,'Deal maths'!Z134,DATE(1990,1,1))))*12+MONTH('Deal maths'!AA134)-MONTH(IF('Deal maths'!Z134&gt;0,'Deal maths'!Z134,DATE(1990,1,1))))/D134))*D134))&gt;IF('Deal maths'!Z134&gt;0,'Deal maths'!Z134,DATE(1990,1,1)),IF(DAY('Deal maths'!AA134+1)=1,EOMONTH('Deal maths'!AA134,-(INT(((YEAR('Deal maths'!AA134)-YEAR(IF('Deal maths'!Z134&gt;0,'Deal maths'!Z134,DATE(1990,1,1))))*12+MONTH('Deal maths'!AA134)-MONTH(IF('Deal maths'!Z134&gt;0,'Deal maths'!Z134,DATE(1990,1,1))))/D134))*D134),EDATE('Deal maths'!AA134,-(INT(((YEAR('Deal maths'!AA134)-YEAR(IF('Deal maths'!Z134&gt;0,'Deal maths'!Z134,DATE(1990,1,1))))*12+MONTH('Deal maths'!AA134)-MONTH(IF('Deal maths'!Z134&gt;0,'Deal maths'!Z134,DATE(1990,1,1))))/D134))*D134)),IF(DAY('Deal maths'!AA134+1)=1,EOMONTH('Deal maths'!AA134,-(INT(((YEAR('Deal maths'!AA134)-YEAR(IF('Deal maths'!Z134&gt;0,'Deal maths'!Z134,DATE(1990,1,1))))*12+MONTH('Deal maths'!AA134)-MONTH(IF('Deal maths'!Z134&gt;0,'Deal maths'!Z134,DATE(1990,1,1))))/D134)-1)*D134),EDATE('Deal maths'!AA134,-(INT(((YEAR('Deal maths'!AA134)-YEAR(IF('Deal maths'!Z134&gt;0,'Deal maths'!Z134,DATE(1990,1,1))))*12+MONTH('Deal maths'!AA134)-MONTH(IF('Deal maths'!Z134&gt;0,'Deal maths'!Z134,DATE(1990,1,1))))/D134)-1)*D134))))),0)</f>
        <v/>
      </c>
      <c r="F134" s="110">
        <f>IF(D134=0,0,'Deal maths'!AB134*D134/12)</f>
        <v/>
      </c>
      <c r="G134" s="108">
        <f>N134+O134</f>
        <v/>
      </c>
      <c r="H134" s="108">
        <f>IFERROR(IF(OR(D134=0,AsAt&lt;E134),0,MIN(N134,INT(((YEAR(AsAt)-YEAR(E134))*12+MONTH(AsAt)-MONTH(E134)-(DAY(AsAt)&lt;MIN(R134,DAY(EOMONTH(AsAt,0)))))/D134)+1)+O134*(AsAt&gt;='Deal maths'!AA134)),0)</f>
        <v/>
      </c>
      <c r="I134" s="108">
        <f>G134-H134</f>
        <v/>
      </c>
      <c r="J134" s="111">
        <f>IF(AND(C134="EIP",I134&gt;0),'Deal maths'!Y134/I134,0)</f>
        <v/>
      </c>
      <c r="K134" s="111">
        <f>IF(AND(C134="Annuity",I134&gt;0),IF(F134&gt;0,'Deal maths'!Y134*F134/(1-(1+F134)^-I134),'Deal maths'!Y134/I134),0)</f>
        <v/>
      </c>
      <c r="L134" s="111">
        <f>IF('Deal maths'!Y134="",0,'Deal maths'!Y134)</f>
        <v/>
      </c>
      <c r="M134" s="112">
        <f>F134+(F134=0)</f>
        <v/>
      </c>
      <c r="N134" s="108">
        <f>IFERROR(IF(D134=0,0,INT(((YEAR('Deal maths'!AA134)-YEAR(E134))*12+MONTH('Deal maths'!AA134)-MONTH(E134)-(DAY('Deal maths'!AA134)&lt;MIN(R134,DAY(EOMONTH('Deal maths'!AA134,0)))))/D134)+1),0)</f>
        <v/>
      </c>
      <c r="O134" s="108">
        <f>IFERROR(IF(D134=0,0,IF(IF(DAY(E134+1)=1,EOMONTH(E134,(N134-1)*D134),EDATE(E134,(N134-1)*D134))='Deal maths'!AA134,0,1)),0)</f>
        <v/>
      </c>
      <c r="P134" s="113">
        <f>IF(B134=0,0,IFERROR(IF(C134="EIP",((I134-O134)*((IF(DAY(E134+1)=1,EOMONTH(E134,H134*D134),EDATE(E134,H134*D134))-AsAt)/365.25+(IF(DAY(E134+1)=1,EOMONTH(E134,(N134-1)*D134),EDATE(E134,(N134-1)*D134))-AsAt)/365.25)/2+O134*('Deal maths'!AA134-AsAt)/365.25)/I134,IF(C134="Annuity",IF(F134&gt;0,((K134-L134*F134)*((IF(DAY(E134+1)=1,EOMONTH(E134,H134*D134),EDATE(E134,H134*D134))-AsAt)/365.25*((1+F134)^(I134-O134)-1)/F134+IF((I134-O134)&gt;1,((IF(DAY(E134+1)=1,EOMONTH(E134,(N134-1)*D134),EDATE(E134,(N134-1)*D134))-AsAt)/365.25-(IF(DAY(E134+1)=1,EOMONTH(E134,H134*D134),EDATE(E134,H134*D134))-AsAt)/365.25)/((I134-O134)-1),0)*(1+F134)*(1-(I134-O134)*(1+F134)^((I134-O134)-1)+((I134-O134)-1)*(1+F134)^(I134-O134))/F134^2)+O134*(K134-L134*F134)*(1+F134)^(I134-1)*('Deal maths'!AA134-AsAt)/365.25)/L134,((I134-O134)*((IF(DAY(E134+1)=1,EOMONTH(E134,H134*D134),EDATE(E134,H134*D134))-AsAt)/365.25+(IF(DAY(E134+1)=1,EOMONTH(E134,(N134-1)*D134),EDATE(E134,(N134-1)*D134))-AsAt)/365.25)/2+O134*('Deal maths'!AA134-AsAt)/365.25)/I134),(S134-AsAt)/365.25)),0))</f>
        <v/>
      </c>
      <c r="Q134" s="109">
        <f>IF(B134=1,'Deal maths'!AA134+ROW()/1000000,"")</f>
        <v/>
      </c>
      <c r="R134" s="108">
        <f>IF(D134=0,0,IF(DAY(E134+1)=1,31,DAY(E134)))</f>
        <v/>
      </c>
      <c r="S134" s="109">
        <f>IF(AND('Deal maths'!V134="LOBO",'Deal maths'!AG134&gt;AsAt,'Deal maths'!AG134&lt;'Deal maths'!AA134),'Deal maths'!AG134,'Deal maths'!AA134)</f>
        <v/>
      </c>
      <c r="T134" s="108">
        <f>('Deal maths'!AA134&gt;AsAt)*('Deal maths'!Y134&gt;0)</f>
        <v/>
      </c>
    </row>
    <row r="135">
      <c r="A135" s="91">
        <f>IF('Deal maths'!V135="","",'Deal maths'!W135)</f>
        <v/>
      </c>
      <c r="B135" s="108">
        <f>('Deal maths'!AA135&gt;AsAt)*('Deal maths'!Y135&gt;0)*('Deal maths'!Z135&lt;=AsAt)</f>
        <v/>
      </c>
      <c r="C135" s="91">
        <f>IF('Deal maths'!V135="","",IF('Deal maths'!AC135="","Maturity",'Deal maths'!AC135))</f>
        <v/>
      </c>
      <c r="D135" s="108">
        <f>IF(OR(C135="EIP",C135="Annuity"),IF('Deal maths'!AD135="Annual",12,IF('Deal maths'!AD135="Quarterly",3,6)),0)</f>
        <v/>
      </c>
      <c r="E135" s="109">
        <f>IFERROR(IF(D135=0,0,IF('Deal maths'!AE135&gt;0,IF('Deal maths'!AE135&gt;'Deal maths'!AA135,'Deal maths'!AA135,'Deal maths'!AE135),IF(IF(DAY('Deal maths'!AA135+1)=1,EOMONTH('Deal maths'!AA135,-(INT(((YEAR('Deal maths'!AA135)-YEAR(IF('Deal maths'!Z135&gt;0,'Deal maths'!Z135,DATE(1990,1,1))))*12+MONTH('Deal maths'!AA135)-MONTH(IF('Deal maths'!Z135&gt;0,'Deal maths'!Z135,DATE(1990,1,1))))/D135))*D135),EDATE('Deal maths'!AA135,-(INT(((YEAR('Deal maths'!AA135)-YEAR(IF('Deal maths'!Z135&gt;0,'Deal maths'!Z135,DATE(1990,1,1))))*12+MONTH('Deal maths'!AA135)-MONTH(IF('Deal maths'!Z135&gt;0,'Deal maths'!Z135,DATE(1990,1,1))))/D135))*D135))&gt;IF('Deal maths'!Z135&gt;0,'Deal maths'!Z135,DATE(1990,1,1)),IF(DAY('Deal maths'!AA135+1)=1,EOMONTH('Deal maths'!AA135,-(INT(((YEAR('Deal maths'!AA135)-YEAR(IF('Deal maths'!Z135&gt;0,'Deal maths'!Z135,DATE(1990,1,1))))*12+MONTH('Deal maths'!AA135)-MONTH(IF('Deal maths'!Z135&gt;0,'Deal maths'!Z135,DATE(1990,1,1))))/D135))*D135),EDATE('Deal maths'!AA135,-(INT(((YEAR('Deal maths'!AA135)-YEAR(IF('Deal maths'!Z135&gt;0,'Deal maths'!Z135,DATE(1990,1,1))))*12+MONTH('Deal maths'!AA135)-MONTH(IF('Deal maths'!Z135&gt;0,'Deal maths'!Z135,DATE(1990,1,1))))/D135))*D135)),IF(DAY('Deal maths'!AA135+1)=1,EOMONTH('Deal maths'!AA135,-(INT(((YEAR('Deal maths'!AA135)-YEAR(IF('Deal maths'!Z135&gt;0,'Deal maths'!Z135,DATE(1990,1,1))))*12+MONTH('Deal maths'!AA135)-MONTH(IF('Deal maths'!Z135&gt;0,'Deal maths'!Z135,DATE(1990,1,1))))/D135)-1)*D135),EDATE('Deal maths'!AA135,-(INT(((YEAR('Deal maths'!AA135)-YEAR(IF('Deal maths'!Z135&gt;0,'Deal maths'!Z135,DATE(1990,1,1))))*12+MONTH('Deal maths'!AA135)-MONTH(IF('Deal maths'!Z135&gt;0,'Deal maths'!Z135,DATE(1990,1,1))))/D135)-1)*D135))))),0)</f>
        <v/>
      </c>
      <c r="F135" s="110">
        <f>IF(D135=0,0,'Deal maths'!AB135*D135/12)</f>
        <v/>
      </c>
      <c r="G135" s="108">
        <f>N135+O135</f>
        <v/>
      </c>
      <c r="H135" s="108">
        <f>IFERROR(IF(OR(D135=0,AsAt&lt;E135),0,MIN(N135,INT(((YEAR(AsAt)-YEAR(E135))*12+MONTH(AsAt)-MONTH(E135)-(DAY(AsAt)&lt;MIN(R135,DAY(EOMONTH(AsAt,0)))))/D135)+1)+O135*(AsAt&gt;='Deal maths'!AA135)),0)</f>
        <v/>
      </c>
      <c r="I135" s="108">
        <f>G135-H135</f>
        <v/>
      </c>
      <c r="J135" s="111">
        <f>IF(AND(C135="EIP",I135&gt;0),'Deal maths'!Y135/I135,0)</f>
        <v/>
      </c>
      <c r="K135" s="111">
        <f>IF(AND(C135="Annuity",I135&gt;0),IF(F135&gt;0,'Deal maths'!Y135*F135/(1-(1+F135)^-I135),'Deal maths'!Y135/I135),0)</f>
        <v/>
      </c>
      <c r="L135" s="111">
        <f>IF('Deal maths'!Y135="",0,'Deal maths'!Y135)</f>
        <v/>
      </c>
      <c r="M135" s="112">
        <f>F135+(F135=0)</f>
        <v/>
      </c>
      <c r="N135" s="108">
        <f>IFERROR(IF(D135=0,0,INT(((YEAR('Deal maths'!AA135)-YEAR(E135))*12+MONTH('Deal maths'!AA135)-MONTH(E135)-(DAY('Deal maths'!AA135)&lt;MIN(R135,DAY(EOMONTH('Deal maths'!AA135,0)))))/D135)+1),0)</f>
        <v/>
      </c>
      <c r="O135" s="108">
        <f>IFERROR(IF(D135=0,0,IF(IF(DAY(E135+1)=1,EOMONTH(E135,(N135-1)*D135),EDATE(E135,(N135-1)*D135))='Deal maths'!AA135,0,1)),0)</f>
        <v/>
      </c>
      <c r="P135" s="113">
        <f>IF(B135=0,0,IFERROR(IF(C135="EIP",((I135-O135)*((IF(DAY(E135+1)=1,EOMONTH(E135,H135*D135),EDATE(E135,H135*D135))-AsAt)/365.25+(IF(DAY(E135+1)=1,EOMONTH(E135,(N135-1)*D135),EDATE(E135,(N135-1)*D135))-AsAt)/365.25)/2+O135*('Deal maths'!AA135-AsAt)/365.25)/I135,IF(C135="Annuity",IF(F135&gt;0,((K135-L135*F135)*((IF(DAY(E135+1)=1,EOMONTH(E135,H135*D135),EDATE(E135,H135*D135))-AsAt)/365.25*((1+F135)^(I135-O135)-1)/F135+IF((I135-O135)&gt;1,((IF(DAY(E135+1)=1,EOMONTH(E135,(N135-1)*D135),EDATE(E135,(N135-1)*D135))-AsAt)/365.25-(IF(DAY(E135+1)=1,EOMONTH(E135,H135*D135),EDATE(E135,H135*D135))-AsAt)/365.25)/((I135-O135)-1),0)*(1+F135)*(1-(I135-O135)*(1+F135)^((I135-O135)-1)+((I135-O135)-1)*(1+F135)^(I135-O135))/F135^2)+O135*(K135-L135*F135)*(1+F135)^(I135-1)*('Deal maths'!AA135-AsAt)/365.25)/L135,((I135-O135)*((IF(DAY(E135+1)=1,EOMONTH(E135,H135*D135),EDATE(E135,H135*D135))-AsAt)/365.25+(IF(DAY(E135+1)=1,EOMONTH(E135,(N135-1)*D135),EDATE(E135,(N135-1)*D135))-AsAt)/365.25)/2+O135*('Deal maths'!AA135-AsAt)/365.25)/I135),(S135-AsAt)/365.25)),0))</f>
        <v/>
      </c>
      <c r="Q135" s="109">
        <f>IF(B135=1,'Deal maths'!AA135+ROW()/1000000,"")</f>
        <v/>
      </c>
      <c r="R135" s="108">
        <f>IF(D135=0,0,IF(DAY(E135+1)=1,31,DAY(E135)))</f>
        <v/>
      </c>
      <c r="S135" s="109">
        <f>IF(AND('Deal maths'!V135="LOBO",'Deal maths'!AG135&gt;AsAt,'Deal maths'!AG135&lt;'Deal maths'!AA135),'Deal maths'!AG135,'Deal maths'!AA135)</f>
        <v/>
      </c>
      <c r="T135" s="108">
        <f>('Deal maths'!AA135&gt;AsAt)*('Deal maths'!Y135&gt;0)</f>
        <v/>
      </c>
    </row>
    <row r="136">
      <c r="A136" s="91">
        <f>IF('Deal maths'!V136="","",'Deal maths'!W136)</f>
        <v/>
      </c>
      <c r="B136" s="108">
        <f>('Deal maths'!AA136&gt;AsAt)*('Deal maths'!Y136&gt;0)*('Deal maths'!Z136&lt;=AsAt)</f>
        <v/>
      </c>
      <c r="C136" s="91">
        <f>IF('Deal maths'!V136="","",IF('Deal maths'!AC136="","Maturity",'Deal maths'!AC136))</f>
        <v/>
      </c>
      <c r="D136" s="108">
        <f>IF(OR(C136="EIP",C136="Annuity"),IF('Deal maths'!AD136="Annual",12,IF('Deal maths'!AD136="Quarterly",3,6)),0)</f>
        <v/>
      </c>
      <c r="E136" s="109">
        <f>IFERROR(IF(D136=0,0,IF('Deal maths'!AE136&gt;0,IF('Deal maths'!AE136&gt;'Deal maths'!AA136,'Deal maths'!AA136,'Deal maths'!AE136),IF(IF(DAY('Deal maths'!AA136+1)=1,EOMONTH('Deal maths'!AA136,-(INT(((YEAR('Deal maths'!AA136)-YEAR(IF('Deal maths'!Z136&gt;0,'Deal maths'!Z136,DATE(1990,1,1))))*12+MONTH('Deal maths'!AA136)-MONTH(IF('Deal maths'!Z136&gt;0,'Deal maths'!Z136,DATE(1990,1,1))))/D136))*D136),EDATE('Deal maths'!AA136,-(INT(((YEAR('Deal maths'!AA136)-YEAR(IF('Deal maths'!Z136&gt;0,'Deal maths'!Z136,DATE(1990,1,1))))*12+MONTH('Deal maths'!AA136)-MONTH(IF('Deal maths'!Z136&gt;0,'Deal maths'!Z136,DATE(1990,1,1))))/D136))*D136))&gt;IF('Deal maths'!Z136&gt;0,'Deal maths'!Z136,DATE(1990,1,1)),IF(DAY('Deal maths'!AA136+1)=1,EOMONTH('Deal maths'!AA136,-(INT(((YEAR('Deal maths'!AA136)-YEAR(IF('Deal maths'!Z136&gt;0,'Deal maths'!Z136,DATE(1990,1,1))))*12+MONTH('Deal maths'!AA136)-MONTH(IF('Deal maths'!Z136&gt;0,'Deal maths'!Z136,DATE(1990,1,1))))/D136))*D136),EDATE('Deal maths'!AA136,-(INT(((YEAR('Deal maths'!AA136)-YEAR(IF('Deal maths'!Z136&gt;0,'Deal maths'!Z136,DATE(1990,1,1))))*12+MONTH('Deal maths'!AA136)-MONTH(IF('Deal maths'!Z136&gt;0,'Deal maths'!Z136,DATE(1990,1,1))))/D136))*D136)),IF(DAY('Deal maths'!AA136+1)=1,EOMONTH('Deal maths'!AA136,-(INT(((YEAR('Deal maths'!AA136)-YEAR(IF('Deal maths'!Z136&gt;0,'Deal maths'!Z136,DATE(1990,1,1))))*12+MONTH('Deal maths'!AA136)-MONTH(IF('Deal maths'!Z136&gt;0,'Deal maths'!Z136,DATE(1990,1,1))))/D136)-1)*D136),EDATE('Deal maths'!AA136,-(INT(((YEAR('Deal maths'!AA136)-YEAR(IF('Deal maths'!Z136&gt;0,'Deal maths'!Z136,DATE(1990,1,1))))*12+MONTH('Deal maths'!AA136)-MONTH(IF('Deal maths'!Z136&gt;0,'Deal maths'!Z136,DATE(1990,1,1))))/D136)-1)*D136))))),0)</f>
        <v/>
      </c>
      <c r="F136" s="110">
        <f>IF(D136=0,0,'Deal maths'!AB136*D136/12)</f>
        <v/>
      </c>
      <c r="G136" s="108">
        <f>N136+O136</f>
        <v/>
      </c>
      <c r="H136" s="108">
        <f>IFERROR(IF(OR(D136=0,AsAt&lt;E136),0,MIN(N136,INT(((YEAR(AsAt)-YEAR(E136))*12+MONTH(AsAt)-MONTH(E136)-(DAY(AsAt)&lt;MIN(R136,DAY(EOMONTH(AsAt,0)))))/D136)+1)+O136*(AsAt&gt;='Deal maths'!AA136)),0)</f>
        <v/>
      </c>
      <c r="I136" s="108">
        <f>G136-H136</f>
        <v/>
      </c>
      <c r="J136" s="111">
        <f>IF(AND(C136="EIP",I136&gt;0),'Deal maths'!Y136/I136,0)</f>
        <v/>
      </c>
      <c r="K136" s="111">
        <f>IF(AND(C136="Annuity",I136&gt;0),IF(F136&gt;0,'Deal maths'!Y136*F136/(1-(1+F136)^-I136),'Deal maths'!Y136/I136),0)</f>
        <v/>
      </c>
      <c r="L136" s="111">
        <f>IF('Deal maths'!Y136="",0,'Deal maths'!Y136)</f>
        <v/>
      </c>
      <c r="M136" s="112">
        <f>F136+(F136=0)</f>
        <v/>
      </c>
      <c r="N136" s="108">
        <f>IFERROR(IF(D136=0,0,INT(((YEAR('Deal maths'!AA136)-YEAR(E136))*12+MONTH('Deal maths'!AA136)-MONTH(E136)-(DAY('Deal maths'!AA136)&lt;MIN(R136,DAY(EOMONTH('Deal maths'!AA136,0)))))/D136)+1),0)</f>
        <v/>
      </c>
      <c r="O136" s="108">
        <f>IFERROR(IF(D136=0,0,IF(IF(DAY(E136+1)=1,EOMONTH(E136,(N136-1)*D136),EDATE(E136,(N136-1)*D136))='Deal maths'!AA136,0,1)),0)</f>
        <v/>
      </c>
      <c r="P136" s="113">
        <f>IF(B136=0,0,IFERROR(IF(C136="EIP",((I136-O136)*((IF(DAY(E136+1)=1,EOMONTH(E136,H136*D136),EDATE(E136,H136*D136))-AsAt)/365.25+(IF(DAY(E136+1)=1,EOMONTH(E136,(N136-1)*D136),EDATE(E136,(N136-1)*D136))-AsAt)/365.25)/2+O136*('Deal maths'!AA136-AsAt)/365.25)/I136,IF(C136="Annuity",IF(F136&gt;0,((K136-L136*F136)*((IF(DAY(E136+1)=1,EOMONTH(E136,H136*D136),EDATE(E136,H136*D136))-AsAt)/365.25*((1+F136)^(I136-O136)-1)/F136+IF((I136-O136)&gt;1,((IF(DAY(E136+1)=1,EOMONTH(E136,(N136-1)*D136),EDATE(E136,(N136-1)*D136))-AsAt)/365.25-(IF(DAY(E136+1)=1,EOMONTH(E136,H136*D136),EDATE(E136,H136*D136))-AsAt)/365.25)/((I136-O136)-1),0)*(1+F136)*(1-(I136-O136)*(1+F136)^((I136-O136)-1)+((I136-O136)-1)*(1+F136)^(I136-O136))/F136^2)+O136*(K136-L136*F136)*(1+F136)^(I136-1)*('Deal maths'!AA136-AsAt)/365.25)/L136,((I136-O136)*((IF(DAY(E136+1)=1,EOMONTH(E136,H136*D136),EDATE(E136,H136*D136))-AsAt)/365.25+(IF(DAY(E136+1)=1,EOMONTH(E136,(N136-1)*D136),EDATE(E136,(N136-1)*D136))-AsAt)/365.25)/2+O136*('Deal maths'!AA136-AsAt)/365.25)/I136),(S136-AsAt)/365.25)),0))</f>
        <v/>
      </c>
      <c r="Q136" s="109">
        <f>IF(B136=1,'Deal maths'!AA136+ROW()/1000000,"")</f>
        <v/>
      </c>
      <c r="R136" s="108">
        <f>IF(D136=0,0,IF(DAY(E136+1)=1,31,DAY(E136)))</f>
        <v/>
      </c>
      <c r="S136" s="109">
        <f>IF(AND('Deal maths'!V136="LOBO",'Deal maths'!AG136&gt;AsAt,'Deal maths'!AG136&lt;'Deal maths'!AA136),'Deal maths'!AG136,'Deal maths'!AA136)</f>
        <v/>
      </c>
      <c r="T136" s="108">
        <f>('Deal maths'!AA136&gt;AsAt)*('Deal maths'!Y136&gt;0)</f>
        <v/>
      </c>
    </row>
    <row r="137">
      <c r="A137" s="91">
        <f>IF('Deal maths'!V137="","",'Deal maths'!W137)</f>
        <v/>
      </c>
      <c r="B137" s="108">
        <f>('Deal maths'!AA137&gt;AsAt)*('Deal maths'!Y137&gt;0)*('Deal maths'!Z137&lt;=AsAt)</f>
        <v/>
      </c>
      <c r="C137" s="91">
        <f>IF('Deal maths'!V137="","",IF('Deal maths'!AC137="","Maturity",'Deal maths'!AC137))</f>
        <v/>
      </c>
      <c r="D137" s="108">
        <f>IF(OR(C137="EIP",C137="Annuity"),IF('Deal maths'!AD137="Annual",12,IF('Deal maths'!AD137="Quarterly",3,6)),0)</f>
        <v/>
      </c>
      <c r="E137" s="109">
        <f>IFERROR(IF(D137=0,0,IF('Deal maths'!AE137&gt;0,IF('Deal maths'!AE137&gt;'Deal maths'!AA137,'Deal maths'!AA137,'Deal maths'!AE137),IF(IF(DAY('Deal maths'!AA137+1)=1,EOMONTH('Deal maths'!AA137,-(INT(((YEAR('Deal maths'!AA137)-YEAR(IF('Deal maths'!Z137&gt;0,'Deal maths'!Z137,DATE(1990,1,1))))*12+MONTH('Deal maths'!AA137)-MONTH(IF('Deal maths'!Z137&gt;0,'Deal maths'!Z137,DATE(1990,1,1))))/D137))*D137),EDATE('Deal maths'!AA137,-(INT(((YEAR('Deal maths'!AA137)-YEAR(IF('Deal maths'!Z137&gt;0,'Deal maths'!Z137,DATE(1990,1,1))))*12+MONTH('Deal maths'!AA137)-MONTH(IF('Deal maths'!Z137&gt;0,'Deal maths'!Z137,DATE(1990,1,1))))/D137))*D137))&gt;IF('Deal maths'!Z137&gt;0,'Deal maths'!Z137,DATE(1990,1,1)),IF(DAY('Deal maths'!AA137+1)=1,EOMONTH('Deal maths'!AA137,-(INT(((YEAR('Deal maths'!AA137)-YEAR(IF('Deal maths'!Z137&gt;0,'Deal maths'!Z137,DATE(1990,1,1))))*12+MONTH('Deal maths'!AA137)-MONTH(IF('Deal maths'!Z137&gt;0,'Deal maths'!Z137,DATE(1990,1,1))))/D137))*D137),EDATE('Deal maths'!AA137,-(INT(((YEAR('Deal maths'!AA137)-YEAR(IF('Deal maths'!Z137&gt;0,'Deal maths'!Z137,DATE(1990,1,1))))*12+MONTH('Deal maths'!AA137)-MONTH(IF('Deal maths'!Z137&gt;0,'Deal maths'!Z137,DATE(1990,1,1))))/D137))*D137)),IF(DAY('Deal maths'!AA137+1)=1,EOMONTH('Deal maths'!AA137,-(INT(((YEAR('Deal maths'!AA137)-YEAR(IF('Deal maths'!Z137&gt;0,'Deal maths'!Z137,DATE(1990,1,1))))*12+MONTH('Deal maths'!AA137)-MONTH(IF('Deal maths'!Z137&gt;0,'Deal maths'!Z137,DATE(1990,1,1))))/D137)-1)*D137),EDATE('Deal maths'!AA137,-(INT(((YEAR('Deal maths'!AA137)-YEAR(IF('Deal maths'!Z137&gt;0,'Deal maths'!Z137,DATE(1990,1,1))))*12+MONTH('Deal maths'!AA137)-MONTH(IF('Deal maths'!Z137&gt;0,'Deal maths'!Z137,DATE(1990,1,1))))/D137)-1)*D137))))),0)</f>
        <v/>
      </c>
      <c r="F137" s="110">
        <f>IF(D137=0,0,'Deal maths'!AB137*D137/12)</f>
        <v/>
      </c>
      <c r="G137" s="108">
        <f>N137+O137</f>
        <v/>
      </c>
      <c r="H137" s="108">
        <f>IFERROR(IF(OR(D137=0,AsAt&lt;E137),0,MIN(N137,INT(((YEAR(AsAt)-YEAR(E137))*12+MONTH(AsAt)-MONTH(E137)-(DAY(AsAt)&lt;MIN(R137,DAY(EOMONTH(AsAt,0)))))/D137)+1)+O137*(AsAt&gt;='Deal maths'!AA137)),0)</f>
        <v/>
      </c>
      <c r="I137" s="108">
        <f>G137-H137</f>
        <v/>
      </c>
      <c r="J137" s="111">
        <f>IF(AND(C137="EIP",I137&gt;0),'Deal maths'!Y137/I137,0)</f>
        <v/>
      </c>
      <c r="K137" s="111">
        <f>IF(AND(C137="Annuity",I137&gt;0),IF(F137&gt;0,'Deal maths'!Y137*F137/(1-(1+F137)^-I137),'Deal maths'!Y137/I137),0)</f>
        <v/>
      </c>
      <c r="L137" s="111">
        <f>IF('Deal maths'!Y137="",0,'Deal maths'!Y137)</f>
        <v/>
      </c>
      <c r="M137" s="112">
        <f>F137+(F137=0)</f>
        <v/>
      </c>
      <c r="N137" s="108">
        <f>IFERROR(IF(D137=0,0,INT(((YEAR('Deal maths'!AA137)-YEAR(E137))*12+MONTH('Deal maths'!AA137)-MONTH(E137)-(DAY('Deal maths'!AA137)&lt;MIN(R137,DAY(EOMONTH('Deal maths'!AA137,0)))))/D137)+1),0)</f>
        <v/>
      </c>
      <c r="O137" s="108">
        <f>IFERROR(IF(D137=0,0,IF(IF(DAY(E137+1)=1,EOMONTH(E137,(N137-1)*D137),EDATE(E137,(N137-1)*D137))='Deal maths'!AA137,0,1)),0)</f>
        <v/>
      </c>
      <c r="P137" s="113">
        <f>IF(B137=0,0,IFERROR(IF(C137="EIP",((I137-O137)*((IF(DAY(E137+1)=1,EOMONTH(E137,H137*D137),EDATE(E137,H137*D137))-AsAt)/365.25+(IF(DAY(E137+1)=1,EOMONTH(E137,(N137-1)*D137),EDATE(E137,(N137-1)*D137))-AsAt)/365.25)/2+O137*('Deal maths'!AA137-AsAt)/365.25)/I137,IF(C137="Annuity",IF(F137&gt;0,((K137-L137*F137)*((IF(DAY(E137+1)=1,EOMONTH(E137,H137*D137),EDATE(E137,H137*D137))-AsAt)/365.25*((1+F137)^(I137-O137)-1)/F137+IF((I137-O137)&gt;1,((IF(DAY(E137+1)=1,EOMONTH(E137,(N137-1)*D137),EDATE(E137,(N137-1)*D137))-AsAt)/365.25-(IF(DAY(E137+1)=1,EOMONTH(E137,H137*D137),EDATE(E137,H137*D137))-AsAt)/365.25)/((I137-O137)-1),0)*(1+F137)*(1-(I137-O137)*(1+F137)^((I137-O137)-1)+((I137-O137)-1)*(1+F137)^(I137-O137))/F137^2)+O137*(K137-L137*F137)*(1+F137)^(I137-1)*('Deal maths'!AA137-AsAt)/365.25)/L137,((I137-O137)*((IF(DAY(E137+1)=1,EOMONTH(E137,H137*D137),EDATE(E137,H137*D137))-AsAt)/365.25+(IF(DAY(E137+1)=1,EOMONTH(E137,(N137-1)*D137),EDATE(E137,(N137-1)*D137))-AsAt)/365.25)/2+O137*('Deal maths'!AA137-AsAt)/365.25)/I137),(S137-AsAt)/365.25)),0))</f>
        <v/>
      </c>
      <c r="Q137" s="109">
        <f>IF(B137=1,'Deal maths'!AA137+ROW()/1000000,"")</f>
        <v/>
      </c>
      <c r="R137" s="108">
        <f>IF(D137=0,0,IF(DAY(E137+1)=1,31,DAY(E137)))</f>
        <v/>
      </c>
      <c r="S137" s="109">
        <f>IF(AND('Deal maths'!V137="LOBO",'Deal maths'!AG137&gt;AsAt,'Deal maths'!AG137&lt;'Deal maths'!AA137),'Deal maths'!AG137,'Deal maths'!AA137)</f>
        <v/>
      </c>
      <c r="T137" s="108">
        <f>('Deal maths'!AA137&gt;AsAt)*('Deal maths'!Y137&gt;0)</f>
        <v/>
      </c>
    </row>
    <row r="138">
      <c r="A138" s="91">
        <f>IF('Deal maths'!V138="","",'Deal maths'!W138)</f>
        <v/>
      </c>
      <c r="B138" s="108">
        <f>('Deal maths'!AA138&gt;AsAt)*('Deal maths'!Y138&gt;0)*('Deal maths'!Z138&lt;=AsAt)</f>
        <v/>
      </c>
      <c r="C138" s="91">
        <f>IF('Deal maths'!V138="","",IF('Deal maths'!AC138="","Maturity",'Deal maths'!AC138))</f>
        <v/>
      </c>
      <c r="D138" s="108">
        <f>IF(OR(C138="EIP",C138="Annuity"),IF('Deal maths'!AD138="Annual",12,IF('Deal maths'!AD138="Quarterly",3,6)),0)</f>
        <v/>
      </c>
      <c r="E138" s="109">
        <f>IFERROR(IF(D138=0,0,IF('Deal maths'!AE138&gt;0,IF('Deal maths'!AE138&gt;'Deal maths'!AA138,'Deal maths'!AA138,'Deal maths'!AE138),IF(IF(DAY('Deal maths'!AA138+1)=1,EOMONTH('Deal maths'!AA138,-(INT(((YEAR('Deal maths'!AA138)-YEAR(IF('Deal maths'!Z138&gt;0,'Deal maths'!Z138,DATE(1990,1,1))))*12+MONTH('Deal maths'!AA138)-MONTH(IF('Deal maths'!Z138&gt;0,'Deal maths'!Z138,DATE(1990,1,1))))/D138))*D138),EDATE('Deal maths'!AA138,-(INT(((YEAR('Deal maths'!AA138)-YEAR(IF('Deal maths'!Z138&gt;0,'Deal maths'!Z138,DATE(1990,1,1))))*12+MONTH('Deal maths'!AA138)-MONTH(IF('Deal maths'!Z138&gt;0,'Deal maths'!Z138,DATE(1990,1,1))))/D138))*D138))&gt;IF('Deal maths'!Z138&gt;0,'Deal maths'!Z138,DATE(1990,1,1)),IF(DAY('Deal maths'!AA138+1)=1,EOMONTH('Deal maths'!AA138,-(INT(((YEAR('Deal maths'!AA138)-YEAR(IF('Deal maths'!Z138&gt;0,'Deal maths'!Z138,DATE(1990,1,1))))*12+MONTH('Deal maths'!AA138)-MONTH(IF('Deal maths'!Z138&gt;0,'Deal maths'!Z138,DATE(1990,1,1))))/D138))*D138),EDATE('Deal maths'!AA138,-(INT(((YEAR('Deal maths'!AA138)-YEAR(IF('Deal maths'!Z138&gt;0,'Deal maths'!Z138,DATE(1990,1,1))))*12+MONTH('Deal maths'!AA138)-MONTH(IF('Deal maths'!Z138&gt;0,'Deal maths'!Z138,DATE(1990,1,1))))/D138))*D138)),IF(DAY('Deal maths'!AA138+1)=1,EOMONTH('Deal maths'!AA138,-(INT(((YEAR('Deal maths'!AA138)-YEAR(IF('Deal maths'!Z138&gt;0,'Deal maths'!Z138,DATE(1990,1,1))))*12+MONTH('Deal maths'!AA138)-MONTH(IF('Deal maths'!Z138&gt;0,'Deal maths'!Z138,DATE(1990,1,1))))/D138)-1)*D138),EDATE('Deal maths'!AA138,-(INT(((YEAR('Deal maths'!AA138)-YEAR(IF('Deal maths'!Z138&gt;0,'Deal maths'!Z138,DATE(1990,1,1))))*12+MONTH('Deal maths'!AA138)-MONTH(IF('Deal maths'!Z138&gt;0,'Deal maths'!Z138,DATE(1990,1,1))))/D138)-1)*D138))))),0)</f>
        <v/>
      </c>
      <c r="F138" s="110">
        <f>IF(D138=0,0,'Deal maths'!AB138*D138/12)</f>
        <v/>
      </c>
      <c r="G138" s="108">
        <f>N138+O138</f>
        <v/>
      </c>
      <c r="H138" s="108">
        <f>IFERROR(IF(OR(D138=0,AsAt&lt;E138),0,MIN(N138,INT(((YEAR(AsAt)-YEAR(E138))*12+MONTH(AsAt)-MONTH(E138)-(DAY(AsAt)&lt;MIN(R138,DAY(EOMONTH(AsAt,0)))))/D138)+1)+O138*(AsAt&gt;='Deal maths'!AA138)),0)</f>
        <v/>
      </c>
      <c r="I138" s="108">
        <f>G138-H138</f>
        <v/>
      </c>
      <c r="J138" s="111">
        <f>IF(AND(C138="EIP",I138&gt;0),'Deal maths'!Y138/I138,0)</f>
        <v/>
      </c>
      <c r="K138" s="111">
        <f>IF(AND(C138="Annuity",I138&gt;0),IF(F138&gt;0,'Deal maths'!Y138*F138/(1-(1+F138)^-I138),'Deal maths'!Y138/I138),0)</f>
        <v/>
      </c>
      <c r="L138" s="111">
        <f>IF('Deal maths'!Y138="",0,'Deal maths'!Y138)</f>
        <v/>
      </c>
      <c r="M138" s="112">
        <f>F138+(F138=0)</f>
        <v/>
      </c>
      <c r="N138" s="108">
        <f>IFERROR(IF(D138=0,0,INT(((YEAR('Deal maths'!AA138)-YEAR(E138))*12+MONTH('Deal maths'!AA138)-MONTH(E138)-(DAY('Deal maths'!AA138)&lt;MIN(R138,DAY(EOMONTH('Deal maths'!AA138,0)))))/D138)+1),0)</f>
        <v/>
      </c>
      <c r="O138" s="108">
        <f>IFERROR(IF(D138=0,0,IF(IF(DAY(E138+1)=1,EOMONTH(E138,(N138-1)*D138),EDATE(E138,(N138-1)*D138))='Deal maths'!AA138,0,1)),0)</f>
        <v/>
      </c>
      <c r="P138" s="113">
        <f>IF(B138=0,0,IFERROR(IF(C138="EIP",((I138-O138)*((IF(DAY(E138+1)=1,EOMONTH(E138,H138*D138),EDATE(E138,H138*D138))-AsAt)/365.25+(IF(DAY(E138+1)=1,EOMONTH(E138,(N138-1)*D138),EDATE(E138,(N138-1)*D138))-AsAt)/365.25)/2+O138*('Deal maths'!AA138-AsAt)/365.25)/I138,IF(C138="Annuity",IF(F138&gt;0,((K138-L138*F138)*((IF(DAY(E138+1)=1,EOMONTH(E138,H138*D138),EDATE(E138,H138*D138))-AsAt)/365.25*((1+F138)^(I138-O138)-1)/F138+IF((I138-O138)&gt;1,((IF(DAY(E138+1)=1,EOMONTH(E138,(N138-1)*D138),EDATE(E138,(N138-1)*D138))-AsAt)/365.25-(IF(DAY(E138+1)=1,EOMONTH(E138,H138*D138),EDATE(E138,H138*D138))-AsAt)/365.25)/((I138-O138)-1),0)*(1+F138)*(1-(I138-O138)*(1+F138)^((I138-O138)-1)+((I138-O138)-1)*(1+F138)^(I138-O138))/F138^2)+O138*(K138-L138*F138)*(1+F138)^(I138-1)*('Deal maths'!AA138-AsAt)/365.25)/L138,((I138-O138)*((IF(DAY(E138+1)=1,EOMONTH(E138,H138*D138),EDATE(E138,H138*D138))-AsAt)/365.25+(IF(DAY(E138+1)=1,EOMONTH(E138,(N138-1)*D138),EDATE(E138,(N138-1)*D138))-AsAt)/365.25)/2+O138*('Deal maths'!AA138-AsAt)/365.25)/I138),(S138-AsAt)/365.25)),0))</f>
        <v/>
      </c>
      <c r="Q138" s="109">
        <f>IF(B138=1,'Deal maths'!AA138+ROW()/1000000,"")</f>
        <v/>
      </c>
      <c r="R138" s="108">
        <f>IF(D138=0,0,IF(DAY(E138+1)=1,31,DAY(E138)))</f>
        <v/>
      </c>
      <c r="S138" s="109">
        <f>IF(AND('Deal maths'!V138="LOBO",'Deal maths'!AG138&gt;AsAt,'Deal maths'!AG138&lt;'Deal maths'!AA138),'Deal maths'!AG138,'Deal maths'!AA138)</f>
        <v/>
      </c>
      <c r="T138" s="108">
        <f>('Deal maths'!AA138&gt;AsAt)*('Deal maths'!Y138&gt;0)</f>
        <v/>
      </c>
    </row>
    <row r="139">
      <c r="A139" s="91">
        <f>IF('Deal maths'!V139="","",'Deal maths'!W139)</f>
        <v/>
      </c>
      <c r="B139" s="108">
        <f>('Deal maths'!AA139&gt;AsAt)*('Deal maths'!Y139&gt;0)*('Deal maths'!Z139&lt;=AsAt)</f>
        <v/>
      </c>
      <c r="C139" s="91">
        <f>IF('Deal maths'!V139="","",IF('Deal maths'!AC139="","Maturity",'Deal maths'!AC139))</f>
        <v/>
      </c>
      <c r="D139" s="108">
        <f>IF(OR(C139="EIP",C139="Annuity"),IF('Deal maths'!AD139="Annual",12,IF('Deal maths'!AD139="Quarterly",3,6)),0)</f>
        <v/>
      </c>
      <c r="E139" s="109">
        <f>IFERROR(IF(D139=0,0,IF('Deal maths'!AE139&gt;0,IF('Deal maths'!AE139&gt;'Deal maths'!AA139,'Deal maths'!AA139,'Deal maths'!AE139),IF(IF(DAY('Deal maths'!AA139+1)=1,EOMONTH('Deal maths'!AA139,-(INT(((YEAR('Deal maths'!AA139)-YEAR(IF('Deal maths'!Z139&gt;0,'Deal maths'!Z139,DATE(1990,1,1))))*12+MONTH('Deal maths'!AA139)-MONTH(IF('Deal maths'!Z139&gt;0,'Deal maths'!Z139,DATE(1990,1,1))))/D139))*D139),EDATE('Deal maths'!AA139,-(INT(((YEAR('Deal maths'!AA139)-YEAR(IF('Deal maths'!Z139&gt;0,'Deal maths'!Z139,DATE(1990,1,1))))*12+MONTH('Deal maths'!AA139)-MONTH(IF('Deal maths'!Z139&gt;0,'Deal maths'!Z139,DATE(1990,1,1))))/D139))*D139))&gt;IF('Deal maths'!Z139&gt;0,'Deal maths'!Z139,DATE(1990,1,1)),IF(DAY('Deal maths'!AA139+1)=1,EOMONTH('Deal maths'!AA139,-(INT(((YEAR('Deal maths'!AA139)-YEAR(IF('Deal maths'!Z139&gt;0,'Deal maths'!Z139,DATE(1990,1,1))))*12+MONTH('Deal maths'!AA139)-MONTH(IF('Deal maths'!Z139&gt;0,'Deal maths'!Z139,DATE(1990,1,1))))/D139))*D139),EDATE('Deal maths'!AA139,-(INT(((YEAR('Deal maths'!AA139)-YEAR(IF('Deal maths'!Z139&gt;0,'Deal maths'!Z139,DATE(1990,1,1))))*12+MONTH('Deal maths'!AA139)-MONTH(IF('Deal maths'!Z139&gt;0,'Deal maths'!Z139,DATE(1990,1,1))))/D139))*D139)),IF(DAY('Deal maths'!AA139+1)=1,EOMONTH('Deal maths'!AA139,-(INT(((YEAR('Deal maths'!AA139)-YEAR(IF('Deal maths'!Z139&gt;0,'Deal maths'!Z139,DATE(1990,1,1))))*12+MONTH('Deal maths'!AA139)-MONTH(IF('Deal maths'!Z139&gt;0,'Deal maths'!Z139,DATE(1990,1,1))))/D139)-1)*D139),EDATE('Deal maths'!AA139,-(INT(((YEAR('Deal maths'!AA139)-YEAR(IF('Deal maths'!Z139&gt;0,'Deal maths'!Z139,DATE(1990,1,1))))*12+MONTH('Deal maths'!AA139)-MONTH(IF('Deal maths'!Z139&gt;0,'Deal maths'!Z139,DATE(1990,1,1))))/D139)-1)*D139))))),0)</f>
        <v/>
      </c>
      <c r="F139" s="110">
        <f>IF(D139=0,0,'Deal maths'!AB139*D139/12)</f>
        <v/>
      </c>
      <c r="G139" s="108">
        <f>N139+O139</f>
        <v/>
      </c>
      <c r="H139" s="108">
        <f>IFERROR(IF(OR(D139=0,AsAt&lt;E139),0,MIN(N139,INT(((YEAR(AsAt)-YEAR(E139))*12+MONTH(AsAt)-MONTH(E139)-(DAY(AsAt)&lt;MIN(R139,DAY(EOMONTH(AsAt,0)))))/D139)+1)+O139*(AsAt&gt;='Deal maths'!AA139)),0)</f>
        <v/>
      </c>
      <c r="I139" s="108">
        <f>G139-H139</f>
        <v/>
      </c>
      <c r="J139" s="111">
        <f>IF(AND(C139="EIP",I139&gt;0),'Deal maths'!Y139/I139,0)</f>
        <v/>
      </c>
      <c r="K139" s="111">
        <f>IF(AND(C139="Annuity",I139&gt;0),IF(F139&gt;0,'Deal maths'!Y139*F139/(1-(1+F139)^-I139),'Deal maths'!Y139/I139),0)</f>
        <v/>
      </c>
      <c r="L139" s="111">
        <f>IF('Deal maths'!Y139="",0,'Deal maths'!Y139)</f>
        <v/>
      </c>
      <c r="M139" s="112">
        <f>F139+(F139=0)</f>
        <v/>
      </c>
      <c r="N139" s="108">
        <f>IFERROR(IF(D139=0,0,INT(((YEAR('Deal maths'!AA139)-YEAR(E139))*12+MONTH('Deal maths'!AA139)-MONTH(E139)-(DAY('Deal maths'!AA139)&lt;MIN(R139,DAY(EOMONTH('Deal maths'!AA139,0)))))/D139)+1),0)</f>
        <v/>
      </c>
      <c r="O139" s="108">
        <f>IFERROR(IF(D139=0,0,IF(IF(DAY(E139+1)=1,EOMONTH(E139,(N139-1)*D139),EDATE(E139,(N139-1)*D139))='Deal maths'!AA139,0,1)),0)</f>
        <v/>
      </c>
      <c r="P139" s="113">
        <f>IF(B139=0,0,IFERROR(IF(C139="EIP",((I139-O139)*((IF(DAY(E139+1)=1,EOMONTH(E139,H139*D139),EDATE(E139,H139*D139))-AsAt)/365.25+(IF(DAY(E139+1)=1,EOMONTH(E139,(N139-1)*D139),EDATE(E139,(N139-1)*D139))-AsAt)/365.25)/2+O139*('Deal maths'!AA139-AsAt)/365.25)/I139,IF(C139="Annuity",IF(F139&gt;0,((K139-L139*F139)*((IF(DAY(E139+1)=1,EOMONTH(E139,H139*D139),EDATE(E139,H139*D139))-AsAt)/365.25*((1+F139)^(I139-O139)-1)/F139+IF((I139-O139)&gt;1,((IF(DAY(E139+1)=1,EOMONTH(E139,(N139-1)*D139),EDATE(E139,(N139-1)*D139))-AsAt)/365.25-(IF(DAY(E139+1)=1,EOMONTH(E139,H139*D139),EDATE(E139,H139*D139))-AsAt)/365.25)/((I139-O139)-1),0)*(1+F139)*(1-(I139-O139)*(1+F139)^((I139-O139)-1)+((I139-O139)-1)*(1+F139)^(I139-O139))/F139^2)+O139*(K139-L139*F139)*(1+F139)^(I139-1)*('Deal maths'!AA139-AsAt)/365.25)/L139,((I139-O139)*((IF(DAY(E139+1)=1,EOMONTH(E139,H139*D139),EDATE(E139,H139*D139))-AsAt)/365.25+(IF(DAY(E139+1)=1,EOMONTH(E139,(N139-1)*D139),EDATE(E139,(N139-1)*D139))-AsAt)/365.25)/2+O139*('Deal maths'!AA139-AsAt)/365.25)/I139),(S139-AsAt)/365.25)),0))</f>
        <v/>
      </c>
      <c r="Q139" s="109">
        <f>IF(B139=1,'Deal maths'!AA139+ROW()/1000000,"")</f>
        <v/>
      </c>
      <c r="R139" s="108">
        <f>IF(D139=0,0,IF(DAY(E139+1)=1,31,DAY(E139)))</f>
        <v/>
      </c>
      <c r="S139" s="109">
        <f>IF(AND('Deal maths'!V139="LOBO",'Deal maths'!AG139&gt;AsAt,'Deal maths'!AG139&lt;'Deal maths'!AA139),'Deal maths'!AG139,'Deal maths'!AA139)</f>
        <v/>
      </c>
      <c r="T139" s="108">
        <f>('Deal maths'!AA139&gt;AsAt)*('Deal maths'!Y139&gt;0)</f>
        <v/>
      </c>
    </row>
    <row r="140">
      <c r="A140" s="91">
        <f>IF('Deal maths'!V140="","",'Deal maths'!W140)</f>
        <v/>
      </c>
      <c r="B140" s="108">
        <f>('Deal maths'!AA140&gt;AsAt)*('Deal maths'!Y140&gt;0)*('Deal maths'!Z140&lt;=AsAt)</f>
        <v/>
      </c>
      <c r="C140" s="91">
        <f>IF('Deal maths'!V140="","",IF('Deal maths'!AC140="","Maturity",'Deal maths'!AC140))</f>
        <v/>
      </c>
      <c r="D140" s="108">
        <f>IF(OR(C140="EIP",C140="Annuity"),IF('Deal maths'!AD140="Annual",12,IF('Deal maths'!AD140="Quarterly",3,6)),0)</f>
        <v/>
      </c>
      <c r="E140" s="109">
        <f>IFERROR(IF(D140=0,0,IF('Deal maths'!AE140&gt;0,IF('Deal maths'!AE140&gt;'Deal maths'!AA140,'Deal maths'!AA140,'Deal maths'!AE140),IF(IF(DAY('Deal maths'!AA140+1)=1,EOMONTH('Deal maths'!AA140,-(INT(((YEAR('Deal maths'!AA140)-YEAR(IF('Deal maths'!Z140&gt;0,'Deal maths'!Z140,DATE(1990,1,1))))*12+MONTH('Deal maths'!AA140)-MONTH(IF('Deal maths'!Z140&gt;0,'Deal maths'!Z140,DATE(1990,1,1))))/D140))*D140),EDATE('Deal maths'!AA140,-(INT(((YEAR('Deal maths'!AA140)-YEAR(IF('Deal maths'!Z140&gt;0,'Deal maths'!Z140,DATE(1990,1,1))))*12+MONTH('Deal maths'!AA140)-MONTH(IF('Deal maths'!Z140&gt;0,'Deal maths'!Z140,DATE(1990,1,1))))/D140))*D140))&gt;IF('Deal maths'!Z140&gt;0,'Deal maths'!Z140,DATE(1990,1,1)),IF(DAY('Deal maths'!AA140+1)=1,EOMONTH('Deal maths'!AA140,-(INT(((YEAR('Deal maths'!AA140)-YEAR(IF('Deal maths'!Z140&gt;0,'Deal maths'!Z140,DATE(1990,1,1))))*12+MONTH('Deal maths'!AA140)-MONTH(IF('Deal maths'!Z140&gt;0,'Deal maths'!Z140,DATE(1990,1,1))))/D140))*D140),EDATE('Deal maths'!AA140,-(INT(((YEAR('Deal maths'!AA140)-YEAR(IF('Deal maths'!Z140&gt;0,'Deal maths'!Z140,DATE(1990,1,1))))*12+MONTH('Deal maths'!AA140)-MONTH(IF('Deal maths'!Z140&gt;0,'Deal maths'!Z140,DATE(1990,1,1))))/D140))*D140)),IF(DAY('Deal maths'!AA140+1)=1,EOMONTH('Deal maths'!AA140,-(INT(((YEAR('Deal maths'!AA140)-YEAR(IF('Deal maths'!Z140&gt;0,'Deal maths'!Z140,DATE(1990,1,1))))*12+MONTH('Deal maths'!AA140)-MONTH(IF('Deal maths'!Z140&gt;0,'Deal maths'!Z140,DATE(1990,1,1))))/D140)-1)*D140),EDATE('Deal maths'!AA140,-(INT(((YEAR('Deal maths'!AA140)-YEAR(IF('Deal maths'!Z140&gt;0,'Deal maths'!Z140,DATE(1990,1,1))))*12+MONTH('Deal maths'!AA140)-MONTH(IF('Deal maths'!Z140&gt;0,'Deal maths'!Z140,DATE(1990,1,1))))/D140)-1)*D140))))),0)</f>
        <v/>
      </c>
      <c r="F140" s="110">
        <f>IF(D140=0,0,'Deal maths'!AB140*D140/12)</f>
        <v/>
      </c>
      <c r="G140" s="108">
        <f>N140+O140</f>
        <v/>
      </c>
      <c r="H140" s="108">
        <f>IFERROR(IF(OR(D140=0,AsAt&lt;E140),0,MIN(N140,INT(((YEAR(AsAt)-YEAR(E140))*12+MONTH(AsAt)-MONTH(E140)-(DAY(AsAt)&lt;MIN(R140,DAY(EOMONTH(AsAt,0)))))/D140)+1)+O140*(AsAt&gt;='Deal maths'!AA140)),0)</f>
        <v/>
      </c>
      <c r="I140" s="108">
        <f>G140-H140</f>
        <v/>
      </c>
      <c r="J140" s="111">
        <f>IF(AND(C140="EIP",I140&gt;0),'Deal maths'!Y140/I140,0)</f>
        <v/>
      </c>
      <c r="K140" s="111">
        <f>IF(AND(C140="Annuity",I140&gt;0),IF(F140&gt;0,'Deal maths'!Y140*F140/(1-(1+F140)^-I140),'Deal maths'!Y140/I140),0)</f>
        <v/>
      </c>
      <c r="L140" s="111">
        <f>IF('Deal maths'!Y140="",0,'Deal maths'!Y140)</f>
        <v/>
      </c>
      <c r="M140" s="112">
        <f>F140+(F140=0)</f>
        <v/>
      </c>
      <c r="N140" s="108">
        <f>IFERROR(IF(D140=0,0,INT(((YEAR('Deal maths'!AA140)-YEAR(E140))*12+MONTH('Deal maths'!AA140)-MONTH(E140)-(DAY('Deal maths'!AA140)&lt;MIN(R140,DAY(EOMONTH('Deal maths'!AA140,0)))))/D140)+1),0)</f>
        <v/>
      </c>
      <c r="O140" s="108">
        <f>IFERROR(IF(D140=0,0,IF(IF(DAY(E140+1)=1,EOMONTH(E140,(N140-1)*D140),EDATE(E140,(N140-1)*D140))='Deal maths'!AA140,0,1)),0)</f>
        <v/>
      </c>
      <c r="P140" s="113">
        <f>IF(B140=0,0,IFERROR(IF(C140="EIP",((I140-O140)*((IF(DAY(E140+1)=1,EOMONTH(E140,H140*D140),EDATE(E140,H140*D140))-AsAt)/365.25+(IF(DAY(E140+1)=1,EOMONTH(E140,(N140-1)*D140),EDATE(E140,(N140-1)*D140))-AsAt)/365.25)/2+O140*('Deal maths'!AA140-AsAt)/365.25)/I140,IF(C140="Annuity",IF(F140&gt;0,((K140-L140*F140)*((IF(DAY(E140+1)=1,EOMONTH(E140,H140*D140),EDATE(E140,H140*D140))-AsAt)/365.25*((1+F140)^(I140-O140)-1)/F140+IF((I140-O140)&gt;1,((IF(DAY(E140+1)=1,EOMONTH(E140,(N140-1)*D140),EDATE(E140,(N140-1)*D140))-AsAt)/365.25-(IF(DAY(E140+1)=1,EOMONTH(E140,H140*D140),EDATE(E140,H140*D140))-AsAt)/365.25)/((I140-O140)-1),0)*(1+F140)*(1-(I140-O140)*(1+F140)^((I140-O140)-1)+((I140-O140)-1)*(1+F140)^(I140-O140))/F140^2)+O140*(K140-L140*F140)*(1+F140)^(I140-1)*('Deal maths'!AA140-AsAt)/365.25)/L140,((I140-O140)*((IF(DAY(E140+1)=1,EOMONTH(E140,H140*D140),EDATE(E140,H140*D140))-AsAt)/365.25+(IF(DAY(E140+1)=1,EOMONTH(E140,(N140-1)*D140),EDATE(E140,(N140-1)*D140))-AsAt)/365.25)/2+O140*('Deal maths'!AA140-AsAt)/365.25)/I140),(S140-AsAt)/365.25)),0))</f>
        <v/>
      </c>
      <c r="Q140" s="109">
        <f>IF(B140=1,'Deal maths'!AA140+ROW()/1000000,"")</f>
        <v/>
      </c>
      <c r="R140" s="108">
        <f>IF(D140=0,0,IF(DAY(E140+1)=1,31,DAY(E140)))</f>
        <v/>
      </c>
      <c r="S140" s="109">
        <f>IF(AND('Deal maths'!V140="LOBO",'Deal maths'!AG140&gt;AsAt,'Deal maths'!AG140&lt;'Deal maths'!AA140),'Deal maths'!AG140,'Deal maths'!AA140)</f>
        <v/>
      </c>
      <c r="T140" s="108">
        <f>('Deal maths'!AA140&gt;AsAt)*('Deal maths'!Y140&gt;0)</f>
        <v/>
      </c>
    </row>
    <row r="141">
      <c r="A141" s="91">
        <f>IF('Deal maths'!V141="","",'Deal maths'!W141)</f>
        <v/>
      </c>
      <c r="B141" s="108">
        <f>('Deal maths'!AA141&gt;AsAt)*('Deal maths'!Y141&gt;0)*('Deal maths'!Z141&lt;=AsAt)</f>
        <v/>
      </c>
      <c r="C141" s="91">
        <f>IF('Deal maths'!V141="","",IF('Deal maths'!AC141="","Maturity",'Deal maths'!AC141))</f>
        <v/>
      </c>
      <c r="D141" s="108">
        <f>IF(OR(C141="EIP",C141="Annuity"),IF('Deal maths'!AD141="Annual",12,IF('Deal maths'!AD141="Quarterly",3,6)),0)</f>
        <v/>
      </c>
      <c r="E141" s="109">
        <f>IFERROR(IF(D141=0,0,IF('Deal maths'!AE141&gt;0,IF('Deal maths'!AE141&gt;'Deal maths'!AA141,'Deal maths'!AA141,'Deal maths'!AE141),IF(IF(DAY('Deal maths'!AA141+1)=1,EOMONTH('Deal maths'!AA141,-(INT(((YEAR('Deal maths'!AA141)-YEAR(IF('Deal maths'!Z141&gt;0,'Deal maths'!Z141,DATE(1990,1,1))))*12+MONTH('Deal maths'!AA141)-MONTH(IF('Deal maths'!Z141&gt;0,'Deal maths'!Z141,DATE(1990,1,1))))/D141))*D141),EDATE('Deal maths'!AA141,-(INT(((YEAR('Deal maths'!AA141)-YEAR(IF('Deal maths'!Z141&gt;0,'Deal maths'!Z141,DATE(1990,1,1))))*12+MONTH('Deal maths'!AA141)-MONTH(IF('Deal maths'!Z141&gt;0,'Deal maths'!Z141,DATE(1990,1,1))))/D141))*D141))&gt;IF('Deal maths'!Z141&gt;0,'Deal maths'!Z141,DATE(1990,1,1)),IF(DAY('Deal maths'!AA141+1)=1,EOMONTH('Deal maths'!AA141,-(INT(((YEAR('Deal maths'!AA141)-YEAR(IF('Deal maths'!Z141&gt;0,'Deal maths'!Z141,DATE(1990,1,1))))*12+MONTH('Deal maths'!AA141)-MONTH(IF('Deal maths'!Z141&gt;0,'Deal maths'!Z141,DATE(1990,1,1))))/D141))*D141),EDATE('Deal maths'!AA141,-(INT(((YEAR('Deal maths'!AA141)-YEAR(IF('Deal maths'!Z141&gt;0,'Deal maths'!Z141,DATE(1990,1,1))))*12+MONTH('Deal maths'!AA141)-MONTH(IF('Deal maths'!Z141&gt;0,'Deal maths'!Z141,DATE(1990,1,1))))/D141))*D141)),IF(DAY('Deal maths'!AA141+1)=1,EOMONTH('Deal maths'!AA141,-(INT(((YEAR('Deal maths'!AA141)-YEAR(IF('Deal maths'!Z141&gt;0,'Deal maths'!Z141,DATE(1990,1,1))))*12+MONTH('Deal maths'!AA141)-MONTH(IF('Deal maths'!Z141&gt;0,'Deal maths'!Z141,DATE(1990,1,1))))/D141)-1)*D141),EDATE('Deal maths'!AA141,-(INT(((YEAR('Deal maths'!AA141)-YEAR(IF('Deal maths'!Z141&gt;0,'Deal maths'!Z141,DATE(1990,1,1))))*12+MONTH('Deal maths'!AA141)-MONTH(IF('Deal maths'!Z141&gt;0,'Deal maths'!Z141,DATE(1990,1,1))))/D141)-1)*D141))))),0)</f>
        <v/>
      </c>
      <c r="F141" s="110">
        <f>IF(D141=0,0,'Deal maths'!AB141*D141/12)</f>
        <v/>
      </c>
      <c r="G141" s="108">
        <f>N141+O141</f>
        <v/>
      </c>
      <c r="H141" s="108">
        <f>IFERROR(IF(OR(D141=0,AsAt&lt;E141),0,MIN(N141,INT(((YEAR(AsAt)-YEAR(E141))*12+MONTH(AsAt)-MONTH(E141)-(DAY(AsAt)&lt;MIN(R141,DAY(EOMONTH(AsAt,0)))))/D141)+1)+O141*(AsAt&gt;='Deal maths'!AA141)),0)</f>
        <v/>
      </c>
      <c r="I141" s="108">
        <f>G141-H141</f>
        <v/>
      </c>
      <c r="J141" s="111">
        <f>IF(AND(C141="EIP",I141&gt;0),'Deal maths'!Y141/I141,0)</f>
        <v/>
      </c>
      <c r="K141" s="111">
        <f>IF(AND(C141="Annuity",I141&gt;0),IF(F141&gt;0,'Deal maths'!Y141*F141/(1-(1+F141)^-I141),'Deal maths'!Y141/I141),0)</f>
        <v/>
      </c>
      <c r="L141" s="111">
        <f>IF('Deal maths'!Y141="",0,'Deal maths'!Y141)</f>
        <v/>
      </c>
      <c r="M141" s="112">
        <f>F141+(F141=0)</f>
        <v/>
      </c>
      <c r="N141" s="108">
        <f>IFERROR(IF(D141=0,0,INT(((YEAR('Deal maths'!AA141)-YEAR(E141))*12+MONTH('Deal maths'!AA141)-MONTH(E141)-(DAY('Deal maths'!AA141)&lt;MIN(R141,DAY(EOMONTH('Deal maths'!AA141,0)))))/D141)+1),0)</f>
        <v/>
      </c>
      <c r="O141" s="108">
        <f>IFERROR(IF(D141=0,0,IF(IF(DAY(E141+1)=1,EOMONTH(E141,(N141-1)*D141),EDATE(E141,(N141-1)*D141))='Deal maths'!AA141,0,1)),0)</f>
        <v/>
      </c>
      <c r="P141" s="113">
        <f>IF(B141=0,0,IFERROR(IF(C141="EIP",((I141-O141)*((IF(DAY(E141+1)=1,EOMONTH(E141,H141*D141),EDATE(E141,H141*D141))-AsAt)/365.25+(IF(DAY(E141+1)=1,EOMONTH(E141,(N141-1)*D141),EDATE(E141,(N141-1)*D141))-AsAt)/365.25)/2+O141*('Deal maths'!AA141-AsAt)/365.25)/I141,IF(C141="Annuity",IF(F141&gt;0,((K141-L141*F141)*((IF(DAY(E141+1)=1,EOMONTH(E141,H141*D141),EDATE(E141,H141*D141))-AsAt)/365.25*((1+F141)^(I141-O141)-1)/F141+IF((I141-O141)&gt;1,((IF(DAY(E141+1)=1,EOMONTH(E141,(N141-1)*D141),EDATE(E141,(N141-1)*D141))-AsAt)/365.25-(IF(DAY(E141+1)=1,EOMONTH(E141,H141*D141),EDATE(E141,H141*D141))-AsAt)/365.25)/((I141-O141)-1),0)*(1+F141)*(1-(I141-O141)*(1+F141)^((I141-O141)-1)+((I141-O141)-1)*(1+F141)^(I141-O141))/F141^2)+O141*(K141-L141*F141)*(1+F141)^(I141-1)*('Deal maths'!AA141-AsAt)/365.25)/L141,((I141-O141)*((IF(DAY(E141+1)=1,EOMONTH(E141,H141*D141),EDATE(E141,H141*D141))-AsAt)/365.25+(IF(DAY(E141+1)=1,EOMONTH(E141,(N141-1)*D141),EDATE(E141,(N141-1)*D141))-AsAt)/365.25)/2+O141*('Deal maths'!AA141-AsAt)/365.25)/I141),(S141-AsAt)/365.25)),0))</f>
        <v/>
      </c>
      <c r="Q141" s="109">
        <f>IF(B141=1,'Deal maths'!AA141+ROW()/1000000,"")</f>
        <v/>
      </c>
      <c r="R141" s="108">
        <f>IF(D141=0,0,IF(DAY(E141+1)=1,31,DAY(E141)))</f>
        <v/>
      </c>
      <c r="S141" s="109">
        <f>IF(AND('Deal maths'!V141="LOBO",'Deal maths'!AG141&gt;AsAt,'Deal maths'!AG141&lt;'Deal maths'!AA141),'Deal maths'!AG141,'Deal maths'!AA141)</f>
        <v/>
      </c>
      <c r="T141" s="108">
        <f>('Deal maths'!AA141&gt;AsAt)*('Deal maths'!Y141&gt;0)</f>
        <v/>
      </c>
    </row>
    <row r="142">
      <c r="A142" s="91">
        <f>IF('Deal maths'!V142="","",'Deal maths'!W142)</f>
        <v/>
      </c>
      <c r="B142" s="108">
        <f>('Deal maths'!AA142&gt;AsAt)*('Deal maths'!Y142&gt;0)*('Deal maths'!Z142&lt;=AsAt)</f>
        <v/>
      </c>
      <c r="C142" s="91">
        <f>IF('Deal maths'!V142="","",IF('Deal maths'!AC142="","Maturity",'Deal maths'!AC142))</f>
        <v/>
      </c>
      <c r="D142" s="108">
        <f>IF(OR(C142="EIP",C142="Annuity"),IF('Deal maths'!AD142="Annual",12,IF('Deal maths'!AD142="Quarterly",3,6)),0)</f>
        <v/>
      </c>
      <c r="E142" s="109">
        <f>IFERROR(IF(D142=0,0,IF('Deal maths'!AE142&gt;0,IF('Deal maths'!AE142&gt;'Deal maths'!AA142,'Deal maths'!AA142,'Deal maths'!AE142),IF(IF(DAY('Deal maths'!AA142+1)=1,EOMONTH('Deal maths'!AA142,-(INT(((YEAR('Deal maths'!AA142)-YEAR(IF('Deal maths'!Z142&gt;0,'Deal maths'!Z142,DATE(1990,1,1))))*12+MONTH('Deal maths'!AA142)-MONTH(IF('Deal maths'!Z142&gt;0,'Deal maths'!Z142,DATE(1990,1,1))))/D142))*D142),EDATE('Deal maths'!AA142,-(INT(((YEAR('Deal maths'!AA142)-YEAR(IF('Deal maths'!Z142&gt;0,'Deal maths'!Z142,DATE(1990,1,1))))*12+MONTH('Deal maths'!AA142)-MONTH(IF('Deal maths'!Z142&gt;0,'Deal maths'!Z142,DATE(1990,1,1))))/D142))*D142))&gt;IF('Deal maths'!Z142&gt;0,'Deal maths'!Z142,DATE(1990,1,1)),IF(DAY('Deal maths'!AA142+1)=1,EOMONTH('Deal maths'!AA142,-(INT(((YEAR('Deal maths'!AA142)-YEAR(IF('Deal maths'!Z142&gt;0,'Deal maths'!Z142,DATE(1990,1,1))))*12+MONTH('Deal maths'!AA142)-MONTH(IF('Deal maths'!Z142&gt;0,'Deal maths'!Z142,DATE(1990,1,1))))/D142))*D142),EDATE('Deal maths'!AA142,-(INT(((YEAR('Deal maths'!AA142)-YEAR(IF('Deal maths'!Z142&gt;0,'Deal maths'!Z142,DATE(1990,1,1))))*12+MONTH('Deal maths'!AA142)-MONTH(IF('Deal maths'!Z142&gt;0,'Deal maths'!Z142,DATE(1990,1,1))))/D142))*D142)),IF(DAY('Deal maths'!AA142+1)=1,EOMONTH('Deal maths'!AA142,-(INT(((YEAR('Deal maths'!AA142)-YEAR(IF('Deal maths'!Z142&gt;0,'Deal maths'!Z142,DATE(1990,1,1))))*12+MONTH('Deal maths'!AA142)-MONTH(IF('Deal maths'!Z142&gt;0,'Deal maths'!Z142,DATE(1990,1,1))))/D142)-1)*D142),EDATE('Deal maths'!AA142,-(INT(((YEAR('Deal maths'!AA142)-YEAR(IF('Deal maths'!Z142&gt;0,'Deal maths'!Z142,DATE(1990,1,1))))*12+MONTH('Deal maths'!AA142)-MONTH(IF('Deal maths'!Z142&gt;0,'Deal maths'!Z142,DATE(1990,1,1))))/D142)-1)*D142))))),0)</f>
        <v/>
      </c>
      <c r="F142" s="110">
        <f>IF(D142=0,0,'Deal maths'!AB142*D142/12)</f>
        <v/>
      </c>
      <c r="G142" s="108">
        <f>N142+O142</f>
        <v/>
      </c>
      <c r="H142" s="108">
        <f>IFERROR(IF(OR(D142=0,AsAt&lt;E142),0,MIN(N142,INT(((YEAR(AsAt)-YEAR(E142))*12+MONTH(AsAt)-MONTH(E142)-(DAY(AsAt)&lt;MIN(R142,DAY(EOMONTH(AsAt,0)))))/D142)+1)+O142*(AsAt&gt;='Deal maths'!AA142)),0)</f>
        <v/>
      </c>
      <c r="I142" s="108">
        <f>G142-H142</f>
        <v/>
      </c>
      <c r="J142" s="111">
        <f>IF(AND(C142="EIP",I142&gt;0),'Deal maths'!Y142/I142,0)</f>
        <v/>
      </c>
      <c r="K142" s="111">
        <f>IF(AND(C142="Annuity",I142&gt;0),IF(F142&gt;0,'Deal maths'!Y142*F142/(1-(1+F142)^-I142),'Deal maths'!Y142/I142),0)</f>
        <v/>
      </c>
      <c r="L142" s="111">
        <f>IF('Deal maths'!Y142="",0,'Deal maths'!Y142)</f>
        <v/>
      </c>
      <c r="M142" s="112">
        <f>F142+(F142=0)</f>
        <v/>
      </c>
      <c r="N142" s="108">
        <f>IFERROR(IF(D142=0,0,INT(((YEAR('Deal maths'!AA142)-YEAR(E142))*12+MONTH('Deal maths'!AA142)-MONTH(E142)-(DAY('Deal maths'!AA142)&lt;MIN(R142,DAY(EOMONTH('Deal maths'!AA142,0)))))/D142)+1),0)</f>
        <v/>
      </c>
      <c r="O142" s="108">
        <f>IFERROR(IF(D142=0,0,IF(IF(DAY(E142+1)=1,EOMONTH(E142,(N142-1)*D142),EDATE(E142,(N142-1)*D142))='Deal maths'!AA142,0,1)),0)</f>
        <v/>
      </c>
      <c r="P142" s="113">
        <f>IF(B142=0,0,IFERROR(IF(C142="EIP",((I142-O142)*((IF(DAY(E142+1)=1,EOMONTH(E142,H142*D142),EDATE(E142,H142*D142))-AsAt)/365.25+(IF(DAY(E142+1)=1,EOMONTH(E142,(N142-1)*D142),EDATE(E142,(N142-1)*D142))-AsAt)/365.25)/2+O142*('Deal maths'!AA142-AsAt)/365.25)/I142,IF(C142="Annuity",IF(F142&gt;0,((K142-L142*F142)*((IF(DAY(E142+1)=1,EOMONTH(E142,H142*D142),EDATE(E142,H142*D142))-AsAt)/365.25*((1+F142)^(I142-O142)-1)/F142+IF((I142-O142)&gt;1,((IF(DAY(E142+1)=1,EOMONTH(E142,(N142-1)*D142),EDATE(E142,(N142-1)*D142))-AsAt)/365.25-(IF(DAY(E142+1)=1,EOMONTH(E142,H142*D142),EDATE(E142,H142*D142))-AsAt)/365.25)/((I142-O142)-1),0)*(1+F142)*(1-(I142-O142)*(1+F142)^((I142-O142)-1)+((I142-O142)-1)*(1+F142)^(I142-O142))/F142^2)+O142*(K142-L142*F142)*(1+F142)^(I142-1)*('Deal maths'!AA142-AsAt)/365.25)/L142,((I142-O142)*((IF(DAY(E142+1)=1,EOMONTH(E142,H142*D142),EDATE(E142,H142*D142))-AsAt)/365.25+(IF(DAY(E142+1)=1,EOMONTH(E142,(N142-1)*D142),EDATE(E142,(N142-1)*D142))-AsAt)/365.25)/2+O142*('Deal maths'!AA142-AsAt)/365.25)/I142),(S142-AsAt)/365.25)),0))</f>
        <v/>
      </c>
      <c r="Q142" s="109">
        <f>IF(B142=1,'Deal maths'!AA142+ROW()/1000000,"")</f>
        <v/>
      </c>
      <c r="R142" s="108">
        <f>IF(D142=0,0,IF(DAY(E142+1)=1,31,DAY(E142)))</f>
        <v/>
      </c>
      <c r="S142" s="109">
        <f>IF(AND('Deal maths'!V142="LOBO",'Deal maths'!AG142&gt;AsAt,'Deal maths'!AG142&lt;'Deal maths'!AA142),'Deal maths'!AG142,'Deal maths'!AA142)</f>
        <v/>
      </c>
      <c r="T142" s="108">
        <f>('Deal maths'!AA142&gt;AsAt)*('Deal maths'!Y142&gt;0)</f>
        <v/>
      </c>
    </row>
    <row r="143">
      <c r="A143" s="91">
        <f>IF('Deal maths'!V143="","",'Deal maths'!W143)</f>
        <v/>
      </c>
      <c r="B143" s="108">
        <f>('Deal maths'!AA143&gt;AsAt)*('Deal maths'!Y143&gt;0)*('Deal maths'!Z143&lt;=AsAt)</f>
        <v/>
      </c>
      <c r="C143" s="91">
        <f>IF('Deal maths'!V143="","",IF('Deal maths'!AC143="","Maturity",'Deal maths'!AC143))</f>
        <v/>
      </c>
      <c r="D143" s="108">
        <f>IF(OR(C143="EIP",C143="Annuity"),IF('Deal maths'!AD143="Annual",12,IF('Deal maths'!AD143="Quarterly",3,6)),0)</f>
        <v/>
      </c>
      <c r="E143" s="109">
        <f>IFERROR(IF(D143=0,0,IF('Deal maths'!AE143&gt;0,IF('Deal maths'!AE143&gt;'Deal maths'!AA143,'Deal maths'!AA143,'Deal maths'!AE143),IF(IF(DAY('Deal maths'!AA143+1)=1,EOMONTH('Deal maths'!AA143,-(INT(((YEAR('Deal maths'!AA143)-YEAR(IF('Deal maths'!Z143&gt;0,'Deal maths'!Z143,DATE(1990,1,1))))*12+MONTH('Deal maths'!AA143)-MONTH(IF('Deal maths'!Z143&gt;0,'Deal maths'!Z143,DATE(1990,1,1))))/D143))*D143),EDATE('Deal maths'!AA143,-(INT(((YEAR('Deal maths'!AA143)-YEAR(IF('Deal maths'!Z143&gt;0,'Deal maths'!Z143,DATE(1990,1,1))))*12+MONTH('Deal maths'!AA143)-MONTH(IF('Deal maths'!Z143&gt;0,'Deal maths'!Z143,DATE(1990,1,1))))/D143))*D143))&gt;IF('Deal maths'!Z143&gt;0,'Deal maths'!Z143,DATE(1990,1,1)),IF(DAY('Deal maths'!AA143+1)=1,EOMONTH('Deal maths'!AA143,-(INT(((YEAR('Deal maths'!AA143)-YEAR(IF('Deal maths'!Z143&gt;0,'Deal maths'!Z143,DATE(1990,1,1))))*12+MONTH('Deal maths'!AA143)-MONTH(IF('Deal maths'!Z143&gt;0,'Deal maths'!Z143,DATE(1990,1,1))))/D143))*D143),EDATE('Deal maths'!AA143,-(INT(((YEAR('Deal maths'!AA143)-YEAR(IF('Deal maths'!Z143&gt;0,'Deal maths'!Z143,DATE(1990,1,1))))*12+MONTH('Deal maths'!AA143)-MONTH(IF('Deal maths'!Z143&gt;0,'Deal maths'!Z143,DATE(1990,1,1))))/D143))*D143)),IF(DAY('Deal maths'!AA143+1)=1,EOMONTH('Deal maths'!AA143,-(INT(((YEAR('Deal maths'!AA143)-YEAR(IF('Deal maths'!Z143&gt;0,'Deal maths'!Z143,DATE(1990,1,1))))*12+MONTH('Deal maths'!AA143)-MONTH(IF('Deal maths'!Z143&gt;0,'Deal maths'!Z143,DATE(1990,1,1))))/D143)-1)*D143),EDATE('Deal maths'!AA143,-(INT(((YEAR('Deal maths'!AA143)-YEAR(IF('Deal maths'!Z143&gt;0,'Deal maths'!Z143,DATE(1990,1,1))))*12+MONTH('Deal maths'!AA143)-MONTH(IF('Deal maths'!Z143&gt;0,'Deal maths'!Z143,DATE(1990,1,1))))/D143)-1)*D143))))),0)</f>
        <v/>
      </c>
      <c r="F143" s="110">
        <f>IF(D143=0,0,'Deal maths'!AB143*D143/12)</f>
        <v/>
      </c>
      <c r="G143" s="108">
        <f>N143+O143</f>
        <v/>
      </c>
      <c r="H143" s="108">
        <f>IFERROR(IF(OR(D143=0,AsAt&lt;E143),0,MIN(N143,INT(((YEAR(AsAt)-YEAR(E143))*12+MONTH(AsAt)-MONTH(E143)-(DAY(AsAt)&lt;MIN(R143,DAY(EOMONTH(AsAt,0)))))/D143)+1)+O143*(AsAt&gt;='Deal maths'!AA143)),0)</f>
        <v/>
      </c>
      <c r="I143" s="108">
        <f>G143-H143</f>
        <v/>
      </c>
      <c r="J143" s="111">
        <f>IF(AND(C143="EIP",I143&gt;0),'Deal maths'!Y143/I143,0)</f>
        <v/>
      </c>
      <c r="K143" s="111">
        <f>IF(AND(C143="Annuity",I143&gt;0),IF(F143&gt;0,'Deal maths'!Y143*F143/(1-(1+F143)^-I143),'Deal maths'!Y143/I143),0)</f>
        <v/>
      </c>
      <c r="L143" s="111">
        <f>IF('Deal maths'!Y143="",0,'Deal maths'!Y143)</f>
        <v/>
      </c>
      <c r="M143" s="112">
        <f>F143+(F143=0)</f>
        <v/>
      </c>
      <c r="N143" s="108">
        <f>IFERROR(IF(D143=0,0,INT(((YEAR('Deal maths'!AA143)-YEAR(E143))*12+MONTH('Deal maths'!AA143)-MONTH(E143)-(DAY('Deal maths'!AA143)&lt;MIN(R143,DAY(EOMONTH('Deal maths'!AA143,0)))))/D143)+1),0)</f>
        <v/>
      </c>
      <c r="O143" s="108">
        <f>IFERROR(IF(D143=0,0,IF(IF(DAY(E143+1)=1,EOMONTH(E143,(N143-1)*D143),EDATE(E143,(N143-1)*D143))='Deal maths'!AA143,0,1)),0)</f>
        <v/>
      </c>
      <c r="P143" s="113">
        <f>IF(B143=0,0,IFERROR(IF(C143="EIP",((I143-O143)*((IF(DAY(E143+1)=1,EOMONTH(E143,H143*D143),EDATE(E143,H143*D143))-AsAt)/365.25+(IF(DAY(E143+1)=1,EOMONTH(E143,(N143-1)*D143),EDATE(E143,(N143-1)*D143))-AsAt)/365.25)/2+O143*('Deal maths'!AA143-AsAt)/365.25)/I143,IF(C143="Annuity",IF(F143&gt;0,((K143-L143*F143)*((IF(DAY(E143+1)=1,EOMONTH(E143,H143*D143),EDATE(E143,H143*D143))-AsAt)/365.25*((1+F143)^(I143-O143)-1)/F143+IF((I143-O143)&gt;1,((IF(DAY(E143+1)=1,EOMONTH(E143,(N143-1)*D143),EDATE(E143,(N143-1)*D143))-AsAt)/365.25-(IF(DAY(E143+1)=1,EOMONTH(E143,H143*D143),EDATE(E143,H143*D143))-AsAt)/365.25)/((I143-O143)-1),0)*(1+F143)*(1-(I143-O143)*(1+F143)^((I143-O143)-1)+((I143-O143)-1)*(1+F143)^(I143-O143))/F143^2)+O143*(K143-L143*F143)*(1+F143)^(I143-1)*('Deal maths'!AA143-AsAt)/365.25)/L143,((I143-O143)*((IF(DAY(E143+1)=1,EOMONTH(E143,H143*D143),EDATE(E143,H143*D143))-AsAt)/365.25+(IF(DAY(E143+1)=1,EOMONTH(E143,(N143-1)*D143),EDATE(E143,(N143-1)*D143))-AsAt)/365.25)/2+O143*('Deal maths'!AA143-AsAt)/365.25)/I143),(S143-AsAt)/365.25)),0))</f>
        <v/>
      </c>
      <c r="Q143" s="109">
        <f>IF(B143=1,'Deal maths'!AA143+ROW()/1000000,"")</f>
        <v/>
      </c>
      <c r="R143" s="108">
        <f>IF(D143=0,0,IF(DAY(E143+1)=1,31,DAY(E143)))</f>
        <v/>
      </c>
      <c r="S143" s="109">
        <f>IF(AND('Deal maths'!V143="LOBO",'Deal maths'!AG143&gt;AsAt,'Deal maths'!AG143&lt;'Deal maths'!AA143),'Deal maths'!AG143,'Deal maths'!AA143)</f>
        <v/>
      </c>
      <c r="T143" s="108">
        <f>('Deal maths'!AA143&gt;AsAt)*('Deal maths'!Y143&gt;0)</f>
        <v/>
      </c>
    </row>
    <row r="144">
      <c r="A144" s="91">
        <f>IF('Deal maths'!V144="","",'Deal maths'!W144)</f>
        <v/>
      </c>
      <c r="B144" s="108">
        <f>('Deal maths'!AA144&gt;AsAt)*('Deal maths'!Y144&gt;0)*('Deal maths'!Z144&lt;=AsAt)</f>
        <v/>
      </c>
      <c r="C144" s="91">
        <f>IF('Deal maths'!V144="","",IF('Deal maths'!AC144="","Maturity",'Deal maths'!AC144))</f>
        <v/>
      </c>
      <c r="D144" s="108">
        <f>IF(OR(C144="EIP",C144="Annuity"),IF('Deal maths'!AD144="Annual",12,IF('Deal maths'!AD144="Quarterly",3,6)),0)</f>
        <v/>
      </c>
      <c r="E144" s="109">
        <f>IFERROR(IF(D144=0,0,IF('Deal maths'!AE144&gt;0,IF('Deal maths'!AE144&gt;'Deal maths'!AA144,'Deal maths'!AA144,'Deal maths'!AE144),IF(IF(DAY('Deal maths'!AA144+1)=1,EOMONTH('Deal maths'!AA144,-(INT(((YEAR('Deal maths'!AA144)-YEAR(IF('Deal maths'!Z144&gt;0,'Deal maths'!Z144,DATE(1990,1,1))))*12+MONTH('Deal maths'!AA144)-MONTH(IF('Deal maths'!Z144&gt;0,'Deal maths'!Z144,DATE(1990,1,1))))/D144))*D144),EDATE('Deal maths'!AA144,-(INT(((YEAR('Deal maths'!AA144)-YEAR(IF('Deal maths'!Z144&gt;0,'Deal maths'!Z144,DATE(1990,1,1))))*12+MONTH('Deal maths'!AA144)-MONTH(IF('Deal maths'!Z144&gt;0,'Deal maths'!Z144,DATE(1990,1,1))))/D144))*D144))&gt;IF('Deal maths'!Z144&gt;0,'Deal maths'!Z144,DATE(1990,1,1)),IF(DAY('Deal maths'!AA144+1)=1,EOMONTH('Deal maths'!AA144,-(INT(((YEAR('Deal maths'!AA144)-YEAR(IF('Deal maths'!Z144&gt;0,'Deal maths'!Z144,DATE(1990,1,1))))*12+MONTH('Deal maths'!AA144)-MONTH(IF('Deal maths'!Z144&gt;0,'Deal maths'!Z144,DATE(1990,1,1))))/D144))*D144),EDATE('Deal maths'!AA144,-(INT(((YEAR('Deal maths'!AA144)-YEAR(IF('Deal maths'!Z144&gt;0,'Deal maths'!Z144,DATE(1990,1,1))))*12+MONTH('Deal maths'!AA144)-MONTH(IF('Deal maths'!Z144&gt;0,'Deal maths'!Z144,DATE(1990,1,1))))/D144))*D144)),IF(DAY('Deal maths'!AA144+1)=1,EOMONTH('Deal maths'!AA144,-(INT(((YEAR('Deal maths'!AA144)-YEAR(IF('Deal maths'!Z144&gt;0,'Deal maths'!Z144,DATE(1990,1,1))))*12+MONTH('Deal maths'!AA144)-MONTH(IF('Deal maths'!Z144&gt;0,'Deal maths'!Z144,DATE(1990,1,1))))/D144)-1)*D144),EDATE('Deal maths'!AA144,-(INT(((YEAR('Deal maths'!AA144)-YEAR(IF('Deal maths'!Z144&gt;0,'Deal maths'!Z144,DATE(1990,1,1))))*12+MONTH('Deal maths'!AA144)-MONTH(IF('Deal maths'!Z144&gt;0,'Deal maths'!Z144,DATE(1990,1,1))))/D144)-1)*D144))))),0)</f>
        <v/>
      </c>
      <c r="F144" s="110">
        <f>IF(D144=0,0,'Deal maths'!AB144*D144/12)</f>
        <v/>
      </c>
      <c r="G144" s="108">
        <f>N144+O144</f>
        <v/>
      </c>
      <c r="H144" s="108">
        <f>IFERROR(IF(OR(D144=0,AsAt&lt;E144),0,MIN(N144,INT(((YEAR(AsAt)-YEAR(E144))*12+MONTH(AsAt)-MONTH(E144)-(DAY(AsAt)&lt;MIN(R144,DAY(EOMONTH(AsAt,0)))))/D144)+1)+O144*(AsAt&gt;='Deal maths'!AA144)),0)</f>
        <v/>
      </c>
      <c r="I144" s="108">
        <f>G144-H144</f>
        <v/>
      </c>
      <c r="J144" s="111">
        <f>IF(AND(C144="EIP",I144&gt;0),'Deal maths'!Y144/I144,0)</f>
        <v/>
      </c>
      <c r="K144" s="111">
        <f>IF(AND(C144="Annuity",I144&gt;0),IF(F144&gt;0,'Deal maths'!Y144*F144/(1-(1+F144)^-I144),'Deal maths'!Y144/I144),0)</f>
        <v/>
      </c>
      <c r="L144" s="111">
        <f>IF('Deal maths'!Y144="",0,'Deal maths'!Y144)</f>
        <v/>
      </c>
      <c r="M144" s="112">
        <f>F144+(F144=0)</f>
        <v/>
      </c>
      <c r="N144" s="108">
        <f>IFERROR(IF(D144=0,0,INT(((YEAR('Deal maths'!AA144)-YEAR(E144))*12+MONTH('Deal maths'!AA144)-MONTH(E144)-(DAY('Deal maths'!AA144)&lt;MIN(R144,DAY(EOMONTH('Deal maths'!AA144,0)))))/D144)+1),0)</f>
        <v/>
      </c>
      <c r="O144" s="108">
        <f>IFERROR(IF(D144=0,0,IF(IF(DAY(E144+1)=1,EOMONTH(E144,(N144-1)*D144),EDATE(E144,(N144-1)*D144))='Deal maths'!AA144,0,1)),0)</f>
        <v/>
      </c>
      <c r="P144" s="113">
        <f>IF(B144=0,0,IFERROR(IF(C144="EIP",((I144-O144)*((IF(DAY(E144+1)=1,EOMONTH(E144,H144*D144),EDATE(E144,H144*D144))-AsAt)/365.25+(IF(DAY(E144+1)=1,EOMONTH(E144,(N144-1)*D144),EDATE(E144,(N144-1)*D144))-AsAt)/365.25)/2+O144*('Deal maths'!AA144-AsAt)/365.25)/I144,IF(C144="Annuity",IF(F144&gt;0,((K144-L144*F144)*((IF(DAY(E144+1)=1,EOMONTH(E144,H144*D144),EDATE(E144,H144*D144))-AsAt)/365.25*((1+F144)^(I144-O144)-1)/F144+IF((I144-O144)&gt;1,((IF(DAY(E144+1)=1,EOMONTH(E144,(N144-1)*D144),EDATE(E144,(N144-1)*D144))-AsAt)/365.25-(IF(DAY(E144+1)=1,EOMONTH(E144,H144*D144),EDATE(E144,H144*D144))-AsAt)/365.25)/((I144-O144)-1),0)*(1+F144)*(1-(I144-O144)*(1+F144)^((I144-O144)-1)+((I144-O144)-1)*(1+F144)^(I144-O144))/F144^2)+O144*(K144-L144*F144)*(1+F144)^(I144-1)*('Deal maths'!AA144-AsAt)/365.25)/L144,((I144-O144)*((IF(DAY(E144+1)=1,EOMONTH(E144,H144*D144),EDATE(E144,H144*D144))-AsAt)/365.25+(IF(DAY(E144+1)=1,EOMONTH(E144,(N144-1)*D144),EDATE(E144,(N144-1)*D144))-AsAt)/365.25)/2+O144*('Deal maths'!AA144-AsAt)/365.25)/I144),(S144-AsAt)/365.25)),0))</f>
        <v/>
      </c>
      <c r="Q144" s="109">
        <f>IF(B144=1,'Deal maths'!AA144+ROW()/1000000,"")</f>
        <v/>
      </c>
      <c r="R144" s="108">
        <f>IF(D144=0,0,IF(DAY(E144+1)=1,31,DAY(E144)))</f>
        <v/>
      </c>
      <c r="S144" s="109">
        <f>IF(AND('Deal maths'!V144="LOBO",'Deal maths'!AG144&gt;AsAt,'Deal maths'!AG144&lt;'Deal maths'!AA144),'Deal maths'!AG144,'Deal maths'!AA144)</f>
        <v/>
      </c>
      <c r="T144" s="108">
        <f>('Deal maths'!AA144&gt;AsAt)*('Deal maths'!Y144&gt;0)</f>
        <v/>
      </c>
    </row>
    <row r="145">
      <c r="A145" s="91">
        <f>IF('Deal maths'!V145="","",'Deal maths'!W145)</f>
        <v/>
      </c>
      <c r="B145" s="108">
        <f>('Deal maths'!AA145&gt;AsAt)*('Deal maths'!Y145&gt;0)*('Deal maths'!Z145&lt;=AsAt)</f>
        <v/>
      </c>
      <c r="C145" s="91">
        <f>IF('Deal maths'!V145="","",IF('Deal maths'!AC145="","Maturity",'Deal maths'!AC145))</f>
        <v/>
      </c>
      <c r="D145" s="108">
        <f>IF(OR(C145="EIP",C145="Annuity"),IF('Deal maths'!AD145="Annual",12,IF('Deal maths'!AD145="Quarterly",3,6)),0)</f>
        <v/>
      </c>
      <c r="E145" s="109">
        <f>IFERROR(IF(D145=0,0,IF('Deal maths'!AE145&gt;0,IF('Deal maths'!AE145&gt;'Deal maths'!AA145,'Deal maths'!AA145,'Deal maths'!AE145),IF(IF(DAY('Deal maths'!AA145+1)=1,EOMONTH('Deal maths'!AA145,-(INT(((YEAR('Deal maths'!AA145)-YEAR(IF('Deal maths'!Z145&gt;0,'Deal maths'!Z145,DATE(1990,1,1))))*12+MONTH('Deal maths'!AA145)-MONTH(IF('Deal maths'!Z145&gt;0,'Deal maths'!Z145,DATE(1990,1,1))))/D145))*D145),EDATE('Deal maths'!AA145,-(INT(((YEAR('Deal maths'!AA145)-YEAR(IF('Deal maths'!Z145&gt;0,'Deal maths'!Z145,DATE(1990,1,1))))*12+MONTH('Deal maths'!AA145)-MONTH(IF('Deal maths'!Z145&gt;0,'Deal maths'!Z145,DATE(1990,1,1))))/D145))*D145))&gt;IF('Deal maths'!Z145&gt;0,'Deal maths'!Z145,DATE(1990,1,1)),IF(DAY('Deal maths'!AA145+1)=1,EOMONTH('Deal maths'!AA145,-(INT(((YEAR('Deal maths'!AA145)-YEAR(IF('Deal maths'!Z145&gt;0,'Deal maths'!Z145,DATE(1990,1,1))))*12+MONTH('Deal maths'!AA145)-MONTH(IF('Deal maths'!Z145&gt;0,'Deal maths'!Z145,DATE(1990,1,1))))/D145))*D145),EDATE('Deal maths'!AA145,-(INT(((YEAR('Deal maths'!AA145)-YEAR(IF('Deal maths'!Z145&gt;0,'Deal maths'!Z145,DATE(1990,1,1))))*12+MONTH('Deal maths'!AA145)-MONTH(IF('Deal maths'!Z145&gt;0,'Deal maths'!Z145,DATE(1990,1,1))))/D145))*D145)),IF(DAY('Deal maths'!AA145+1)=1,EOMONTH('Deal maths'!AA145,-(INT(((YEAR('Deal maths'!AA145)-YEAR(IF('Deal maths'!Z145&gt;0,'Deal maths'!Z145,DATE(1990,1,1))))*12+MONTH('Deal maths'!AA145)-MONTH(IF('Deal maths'!Z145&gt;0,'Deal maths'!Z145,DATE(1990,1,1))))/D145)-1)*D145),EDATE('Deal maths'!AA145,-(INT(((YEAR('Deal maths'!AA145)-YEAR(IF('Deal maths'!Z145&gt;0,'Deal maths'!Z145,DATE(1990,1,1))))*12+MONTH('Deal maths'!AA145)-MONTH(IF('Deal maths'!Z145&gt;0,'Deal maths'!Z145,DATE(1990,1,1))))/D145)-1)*D145))))),0)</f>
        <v/>
      </c>
      <c r="F145" s="110">
        <f>IF(D145=0,0,'Deal maths'!AB145*D145/12)</f>
        <v/>
      </c>
      <c r="G145" s="108">
        <f>N145+O145</f>
        <v/>
      </c>
      <c r="H145" s="108">
        <f>IFERROR(IF(OR(D145=0,AsAt&lt;E145),0,MIN(N145,INT(((YEAR(AsAt)-YEAR(E145))*12+MONTH(AsAt)-MONTH(E145)-(DAY(AsAt)&lt;MIN(R145,DAY(EOMONTH(AsAt,0)))))/D145)+1)+O145*(AsAt&gt;='Deal maths'!AA145)),0)</f>
        <v/>
      </c>
      <c r="I145" s="108">
        <f>G145-H145</f>
        <v/>
      </c>
      <c r="J145" s="111">
        <f>IF(AND(C145="EIP",I145&gt;0),'Deal maths'!Y145/I145,0)</f>
        <v/>
      </c>
      <c r="K145" s="111">
        <f>IF(AND(C145="Annuity",I145&gt;0),IF(F145&gt;0,'Deal maths'!Y145*F145/(1-(1+F145)^-I145),'Deal maths'!Y145/I145),0)</f>
        <v/>
      </c>
      <c r="L145" s="111">
        <f>IF('Deal maths'!Y145="",0,'Deal maths'!Y145)</f>
        <v/>
      </c>
      <c r="M145" s="112">
        <f>F145+(F145=0)</f>
        <v/>
      </c>
      <c r="N145" s="108">
        <f>IFERROR(IF(D145=0,0,INT(((YEAR('Deal maths'!AA145)-YEAR(E145))*12+MONTH('Deal maths'!AA145)-MONTH(E145)-(DAY('Deal maths'!AA145)&lt;MIN(R145,DAY(EOMONTH('Deal maths'!AA145,0)))))/D145)+1),0)</f>
        <v/>
      </c>
      <c r="O145" s="108">
        <f>IFERROR(IF(D145=0,0,IF(IF(DAY(E145+1)=1,EOMONTH(E145,(N145-1)*D145),EDATE(E145,(N145-1)*D145))='Deal maths'!AA145,0,1)),0)</f>
        <v/>
      </c>
      <c r="P145" s="113">
        <f>IF(B145=0,0,IFERROR(IF(C145="EIP",((I145-O145)*((IF(DAY(E145+1)=1,EOMONTH(E145,H145*D145),EDATE(E145,H145*D145))-AsAt)/365.25+(IF(DAY(E145+1)=1,EOMONTH(E145,(N145-1)*D145),EDATE(E145,(N145-1)*D145))-AsAt)/365.25)/2+O145*('Deal maths'!AA145-AsAt)/365.25)/I145,IF(C145="Annuity",IF(F145&gt;0,((K145-L145*F145)*((IF(DAY(E145+1)=1,EOMONTH(E145,H145*D145),EDATE(E145,H145*D145))-AsAt)/365.25*((1+F145)^(I145-O145)-1)/F145+IF((I145-O145)&gt;1,((IF(DAY(E145+1)=1,EOMONTH(E145,(N145-1)*D145),EDATE(E145,(N145-1)*D145))-AsAt)/365.25-(IF(DAY(E145+1)=1,EOMONTH(E145,H145*D145),EDATE(E145,H145*D145))-AsAt)/365.25)/((I145-O145)-1),0)*(1+F145)*(1-(I145-O145)*(1+F145)^((I145-O145)-1)+((I145-O145)-1)*(1+F145)^(I145-O145))/F145^2)+O145*(K145-L145*F145)*(1+F145)^(I145-1)*('Deal maths'!AA145-AsAt)/365.25)/L145,((I145-O145)*((IF(DAY(E145+1)=1,EOMONTH(E145,H145*D145),EDATE(E145,H145*D145))-AsAt)/365.25+(IF(DAY(E145+1)=1,EOMONTH(E145,(N145-1)*D145),EDATE(E145,(N145-1)*D145))-AsAt)/365.25)/2+O145*('Deal maths'!AA145-AsAt)/365.25)/I145),(S145-AsAt)/365.25)),0))</f>
        <v/>
      </c>
      <c r="Q145" s="109">
        <f>IF(B145=1,'Deal maths'!AA145+ROW()/1000000,"")</f>
        <v/>
      </c>
      <c r="R145" s="108">
        <f>IF(D145=0,0,IF(DAY(E145+1)=1,31,DAY(E145)))</f>
        <v/>
      </c>
      <c r="S145" s="109">
        <f>IF(AND('Deal maths'!V145="LOBO",'Deal maths'!AG145&gt;AsAt,'Deal maths'!AG145&lt;'Deal maths'!AA145),'Deal maths'!AG145,'Deal maths'!AA145)</f>
        <v/>
      </c>
      <c r="T145" s="108">
        <f>('Deal maths'!AA145&gt;AsAt)*('Deal maths'!Y145&gt;0)</f>
        <v/>
      </c>
    </row>
    <row r="146">
      <c r="A146" s="91">
        <f>IF('Deal maths'!V146="","",'Deal maths'!W146)</f>
        <v/>
      </c>
      <c r="B146" s="108">
        <f>('Deal maths'!AA146&gt;AsAt)*('Deal maths'!Y146&gt;0)*('Deal maths'!Z146&lt;=AsAt)</f>
        <v/>
      </c>
      <c r="C146" s="91">
        <f>IF('Deal maths'!V146="","",IF('Deal maths'!AC146="","Maturity",'Deal maths'!AC146))</f>
        <v/>
      </c>
      <c r="D146" s="108">
        <f>IF(OR(C146="EIP",C146="Annuity"),IF('Deal maths'!AD146="Annual",12,IF('Deal maths'!AD146="Quarterly",3,6)),0)</f>
        <v/>
      </c>
      <c r="E146" s="109">
        <f>IFERROR(IF(D146=0,0,IF('Deal maths'!AE146&gt;0,IF('Deal maths'!AE146&gt;'Deal maths'!AA146,'Deal maths'!AA146,'Deal maths'!AE146),IF(IF(DAY('Deal maths'!AA146+1)=1,EOMONTH('Deal maths'!AA146,-(INT(((YEAR('Deal maths'!AA146)-YEAR(IF('Deal maths'!Z146&gt;0,'Deal maths'!Z146,DATE(1990,1,1))))*12+MONTH('Deal maths'!AA146)-MONTH(IF('Deal maths'!Z146&gt;0,'Deal maths'!Z146,DATE(1990,1,1))))/D146))*D146),EDATE('Deal maths'!AA146,-(INT(((YEAR('Deal maths'!AA146)-YEAR(IF('Deal maths'!Z146&gt;0,'Deal maths'!Z146,DATE(1990,1,1))))*12+MONTH('Deal maths'!AA146)-MONTH(IF('Deal maths'!Z146&gt;0,'Deal maths'!Z146,DATE(1990,1,1))))/D146))*D146))&gt;IF('Deal maths'!Z146&gt;0,'Deal maths'!Z146,DATE(1990,1,1)),IF(DAY('Deal maths'!AA146+1)=1,EOMONTH('Deal maths'!AA146,-(INT(((YEAR('Deal maths'!AA146)-YEAR(IF('Deal maths'!Z146&gt;0,'Deal maths'!Z146,DATE(1990,1,1))))*12+MONTH('Deal maths'!AA146)-MONTH(IF('Deal maths'!Z146&gt;0,'Deal maths'!Z146,DATE(1990,1,1))))/D146))*D146),EDATE('Deal maths'!AA146,-(INT(((YEAR('Deal maths'!AA146)-YEAR(IF('Deal maths'!Z146&gt;0,'Deal maths'!Z146,DATE(1990,1,1))))*12+MONTH('Deal maths'!AA146)-MONTH(IF('Deal maths'!Z146&gt;0,'Deal maths'!Z146,DATE(1990,1,1))))/D146))*D146)),IF(DAY('Deal maths'!AA146+1)=1,EOMONTH('Deal maths'!AA146,-(INT(((YEAR('Deal maths'!AA146)-YEAR(IF('Deal maths'!Z146&gt;0,'Deal maths'!Z146,DATE(1990,1,1))))*12+MONTH('Deal maths'!AA146)-MONTH(IF('Deal maths'!Z146&gt;0,'Deal maths'!Z146,DATE(1990,1,1))))/D146)-1)*D146),EDATE('Deal maths'!AA146,-(INT(((YEAR('Deal maths'!AA146)-YEAR(IF('Deal maths'!Z146&gt;0,'Deal maths'!Z146,DATE(1990,1,1))))*12+MONTH('Deal maths'!AA146)-MONTH(IF('Deal maths'!Z146&gt;0,'Deal maths'!Z146,DATE(1990,1,1))))/D146)-1)*D146))))),0)</f>
        <v/>
      </c>
      <c r="F146" s="110">
        <f>IF(D146=0,0,'Deal maths'!AB146*D146/12)</f>
        <v/>
      </c>
      <c r="G146" s="108">
        <f>N146+O146</f>
        <v/>
      </c>
      <c r="H146" s="108">
        <f>IFERROR(IF(OR(D146=0,AsAt&lt;E146),0,MIN(N146,INT(((YEAR(AsAt)-YEAR(E146))*12+MONTH(AsAt)-MONTH(E146)-(DAY(AsAt)&lt;MIN(R146,DAY(EOMONTH(AsAt,0)))))/D146)+1)+O146*(AsAt&gt;='Deal maths'!AA146)),0)</f>
        <v/>
      </c>
      <c r="I146" s="108">
        <f>G146-H146</f>
        <v/>
      </c>
      <c r="J146" s="111">
        <f>IF(AND(C146="EIP",I146&gt;0),'Deal maths'!Y146/I146,0)</f>
        <v/>
      </c>
      <c r="K146" s="111">
        <f>IF(AND(C146="Annuity",I146&gt;0),IF(F146&gt;0,'Deal maths'!Y146*F146/(1-(1+F146)^-I146),'Deal maths'!Y146/I146),0)</f>
        <v/>
      </c>
      <c r="L146" s="111">
        <f>IF('Deal maths'!Y146="",0,'Deal maths'!Y146)</f>
        <v/>
      </c>
      <c r="M146" s="112">
        <f>F146+(F146=0)</f>
        <v/>
      </c>
      <c r="N146" s="108">
        <f>IFERROR(IF(D146=0,0,INT(((YEAR('Deal maths'!AA146)-YEAR(E146))*12+MONTH('Deal maths'!AA146)-MONTH(E146)-(DAY('Deal maths'!AA146)&lt;MIN(R146,DAY(EOMONTH('Deal maths'!AA146,0)))))/D146)+1),0)</f>
        <v/>
      </c>
      <c r="O146" s="108">
        <f>IFERROR(IF(D146=0,0,IF(IF(DAY(E146+1)=1,EOMONTH(E146,(N146-1)*D146),EDATE(E146,(N146-1)*D146))='Deal maths'!AA146,0,1)),0)</f>
        <v/>
      </c>
      <c r="P146" s="113">
        <f>IF(B146=0,0,IFERROR(IF(C146="EIP",((I146-O146)*((IF(DAY(E146+1)=1,EOMONTH(E146,H146*D146),EDATE(E146,H146*D146))-AsAt)/365.25+(IF(DAY(E146+1)=1,EOMONTH(E146,(N146-1)*D146),EDATE(E146,(N146-1)*D146))-AsAt)/365.25)/2+O146*('Deal maths'!AA146-AsAt)/365.25)/I146,IF(C146="Annuity",IF(F146&gt;0,((K146-L146*F146)*((IF(DAY(E146+1)=1,EOMONTH(E146,H146*D146),EDATE(E146,H146*D146))-AsAt)/365.25*((1+F146)^(I146-O146)-1)/F146+IF((I146-O146)&gt;1,((IF(DAY(E146+1)=1,EOMONTH(E146,(N146-1)*D146),EDATE(E146,(N146-1)*D146))-AsAt)/365.25-(IF(DAY(E146+1)=1,EOMONTH(E146,H146*D146),EDATE(E146,H146*D146))-AsAt)/365.25)/((I146-O146)-1),0)*(1+F146)*(1-(I146-O146)*(1+F146)^((I146-O146)-1)+((I146-O146)-1)*(1+F146)^(I146-O146))/F146^2)+O146*(K146-L146*F146)*(1+F146)^(I146-1)*('Deal maths'!AA146-AsAt)/365.25)/L146,((I146-O146)*((IF(DAY(E146+1)=1,EOMONTH(E146,H146*D146),EDATE(E146,H146*D146))-AsAt)/365.25+(IF(DAY(E146+1)=1,EOMONTH(E146,(N146-1)*D146),EDATE(E146,(N146-1)*D146))-AsAt)/365.25)/2+O146*('Deal maths'!AA146-AsAt)/365.25)/I146),(S146-AsAt)/365.25)),0))</f>
        <v/>
      </c>
      <c r="Q146" s="109">
        <f>IF(B146=1,'Deal maths'!AA146+ROW()/1000000,"")</f>
        <v/>
      </c>
      <c r="R146" s="108">
        <f>IF(D146=0,0,IF(DAY(E146+1)=1,31,DAY(E146)))</f>
        <v/>
      </c>
      <c r="S146" s="109">
        <f>IF(AND('Deal maths'!V146="LOBO",'Deal maths'!AG146&gt;AsAt,'Deal maths'!AG146&lt;'Deal maths'!AA146),'Deal maths'!AG146,'Deal maths'!AA146)</f>
        <v/>
      </c>
      <c r="T146" s="108">
        <f>('Deal maths'!AA146&gt;AsAt)*('Deal maths'!Y146&gt;0)</f>
        <v/>
      </c>
    </row>
    <row r="147">
      <c r="A147" s="91">
        <f>IF('Deal maths'!V147="","",'Deal maths'!W147)</f>
        <v/>
      </c>
      <c r="B147" s="108">
        <f>('Deal maths'!AA147&gt;AsAt)*('Deal maths'!Y147&gt;0)*('Deal maths'!Z147&lt;=AsAt)</f>
        <v/>
      </c>
      <c r="C147" s="91">
        <f>IF('Deal maths'!V147="","",IF('Deal maths'!AC147="","Maturity",'Deal maths'!AC147))</f>
        <v/>
      </c>
      <c r="D147" s="108">
        <f>IF(OR(C147="EIP",C147="Annuity"),IF('Deal maths'!AD147="Annual",12,IF('Deal maths'!AD147="Quarterly",3,6)),0)</f>
        <v/>
      </c>
      <c r="E147" s="109">
        <f>IFERROR(IF(D147=0,0,IF('Deal maths'!AE147&gt;0,IF('Deal maths'!AE147&gt;'Deal maths'!AA147,'Deal maths'!AA147,'Deal maths'!AE147),IF(IF(DAY('Deal maths'!AA147+1)=1,EOMONTH('Deal maths'!AA147,-(INT(((YEAR('Deal maths'!AA147)-YEAR(IF('Deal maths'!Z147&gt;0,'Deal maths'!Z147,DATE(1990,1,1))))*12+MONTH('Deal maths'!AA147)-MONTH(IF('Deal maths'!Z147&gt;0,'Deal maths'!Z147,DATE(1990,1,1))))/D147))*D147),EDATE('Deal maths'!AA147,-(INT(((YEAR('Deal maths'!AA147)-YEAR(IF('Deal maths'!Z147&gt;0,'Deal maths'!Z147,DATE(1990,1,1))))*12+MONTH('Deal maths'!AA147)-MONTH(IF('Deal maths'!Z147&gt;0,'Deal maths'!Z147,DATE(1990,1,1))))/D147))*D147))&gt;IF('Deal maths'!Z147&gt;0,'Deal maths'!Z147,DATE(1990,1,1)),IF(DAY('Deal maths'!AA147+1)=1,EOMONTH('Deal maths'!AA147,-(INT(((YEAR('Deal maths'!AA147)-YEAR(IF('Deal maths'!Z147&gt;0,'Deal maths'!Z147,DATE(1990,1,1))))*12+MONTH('Deal maths'!AA147)-MONTH(IF('Deal maths'!Z147&gt;0,'Deal maths'!Z147,DATE(1990,1,1))))/D147))*D147),EDATE('Deal maths'!AA147,-(INT(((YEAR('Deal maths'!AA147)-YEAR(IF('Deal maths'!Z147&gt;0,'Deal maths'!Z147,DATE(1990,1,1))))*12+MONTH('Deal maths'!AA147)-MONTH(IF('Deal maths'!Z147&gt;0,'Deal maths'!Z147,DATE(1990,1,1))))/D147))*D147)),IF(DAY('Deal maths'!AA147+1)=1,EOMONTH('Deal maths'!AA147,-(INT(((YEAR('Deal maths'!AA147)-YEAR(IF('Deal maths'!Z147&gt;0,'Deal maths'!Z147,DATE(1990,1,1))))*12+MONTH('Deal maths'!AA147)-MONTH(IF('Deal maths'!Z147&gt;0,'Deal maths'!Z147,DATE(1990,1,1))))/D147)-1)*D147),EDATE('Deal maths'!AA147,-(INT(((YEAR('Deal maths'!AA147)-YEAR(IF('Deal maths'!Z147&gt;0,'Deal maths'!Z147,DATE(1990,1,1))))*12+MONTH('Deal maths'!AA147)-MONTH(IF('Deal maths'!Z147&gt;0,'Deal maths'!Z147,DATE(1990,1,1))))/D147)-1)*D147))))),0)</f>
        <v/>
      </c>
      <c r="F147" s="110">
        <f>IF(D147=0,0,'Deal maths'!AB147*D147/12)</f>
        <v/>
      </c>
      <c r="G147" s="108">
        <f>N147+O147</f>
        <v/>
      </c>
      <c r="H147" s="108">
        <f>IFERROR(IF(OR(D147=0,AsAt&lt;E147),0,MIN(N147,INT(((YEAR(AsAt)-YEAR(E147))*12+MONTH(AsAt)-MONTH(E147)-(DAY(AsAt)&lt;MIN(R147,DAY(EOMONTH(AsAt,0)))))/D147)+1)+O147*(AsAt&gt;='Deal maths'!AA147)),0)</f>
        <v/>
      </c>
      <c r="I147" s="108">
        <f>G147-H147</f>
        <v/>
      </c>
      <c r="J147" s="111">
        <f>IF(AND(C147="EIP",I147&gt;0),'Deal maths'!Y147/I147,0)</f>
        <v/>
      </c>
      <c r="K147" s="111">
        <f>IF(AND(C147="Annuity",I147&gt;0),IF(F147&gt;0,'Deal maths'!Y147*F147/(1-(1+F147)^-I147),'Deal maths'!Y147/I147),0)</f>
        <v/>
      </c>
      <c r="L147" s="111">
        <f>IF('Deal maths'!Y147="",0,'Deal maths'!Y147)</f>
        <v/>
      </c>
      <c r="M147" s="112">
        <f>F147+(F147=0)</f>
        <v/>
      </c>
      <c r="N147" s="108">
        <f>IFERROR(IF(D147=0,0,INT(((YEAR('Deal maths'!AA147)-YEAR(E147))*12+MONTH('Deal maths'!AA147)-MONTH(E147)-(DAY('Deal maths'!AA147)&lt;MIN(R147,DAY(EOMONTH('Deal maths'!AA147,0)))))/D147)+1),0)</f>
        <v/>
      </c>
      <c r="O147" s="108">
        <f>IFERROR(IF(D147=0,0,IF(IF(DAY(E147+1)=1,EOMONTH(E147,(N147-1)*D147),EDATE(E147,(N147-1)*D147))='Deal maths'!AA147,0,1)),0)</f>
        <v/>
      </c>
      <c r="P147" s="113">
        <f>IF(B147=0,0,IFERROR(IF(C147="EIP",((I147-O147)*((IF(DAY(E147+1)=1,EOMONTH(E147,H147*D147),EDATE(E147,H147*D147))-AsAt)/365.25+(IF(DAY(E147+1)=1,EOMONTH(E147,(N147-1)*D147),EDATE(E147,(N147-1)*D147))-AsAt)/365.25)/2+O147*('Deal maths'!AA147-AsAt)/365.25)/I147,IF(C147="Annuity",IF(F147&gt;0,((K147-L147*F147)*((IF(DAY(E147+1)=1,EOMONTH(E147,H147*D147),EDATE(E147,H147*D147))-AsAt)/365.25*((1+F147)^(I147-O147)-1)/F147+IF((I147-O147)&gt;1,((IF(DAY(E147+1)=1,EOMONTH(E147,(N147-1)*D147),EDATE(E147,(N147-1)*D147))-AsAt)/365.25-(IF(DAY(E147+1)=1,EOMONTH(E147,H147*D147),EDATE(E147,H147*D147))-AsAt)/365.25)/((I147-O147)-1),0)*(1+F147)*(1-(I147-O147)*(1+F147)^((I147-O147)-1)+((I147-O147)-1)*(1+F147)^(I147-O147))/F147^2)+O147*(K147-L147*F147)*(1+F147)^(I147-1)*('Deal maths'!AA147-AsAt)/365.25)/L147,((I147-O147)*((IF(DAY(E147+1)=1,EOMONTH(E147,H147*D147),EDATE(E147,H147*D147))-AsAt)/365.25+(IF(DAY(E147+1)=1,EOMONTH(E147,(N147-1)*D147),EDATE(E147,(N147-1)*D147))-AsAt)/365.25)/2+O147*('Deal maths'!AA147-AsAt)/365.25)/I147),(S147-AsAt)/365.25)),0))</f>
        <v/>
      </c>
      <c r="Q147" s="109">
        <f>IF(B147=1,'Deal maths'!AA147+ROW()/1000000,"")</f>
        <v/>
      </c>
      <c r="R147" s="108">
        <f>IF(D147=0,0,IF(DAY(E147+1)=1,31,DAY(E147)))</f>
        <v/>
      </c>
      <c r="S147" s="109">
        <f>IF(AND('Deal maths'!V147="LOBO",'Deal maths'!AG147&gt;AsAt,'Deal maths'!AG147&lt;'Deal maths'!AA147),'Deal maths'!AG147,'Deal maths'!AA147)</f>
        <v/>
      </c>
      <c r="T147" s="108">
        <f>('Deal maths'!AA147&gt;AsAt)*('Deal maths'!Y147&gt;0)</f>
        <v/>
      </c>
    </row>
    <row r="148">
      <c r="A148" s="91">
        <f>IF('Deal maths'!V148="","",'Deal maths'!W148)</f>
        <v/>
      </c>
      <c r="B148" s="108">
        <f>('Deal maths'!AA148&gt;AsAt)*('Deal maths'!Y148&gt;0)*('Deal maths'!Z148&lt;=AsAt)</f>
        <v/>
      </c>
      <c r="C148" s="91">
        <f>IF('Deal maths'!V148="","",IF('Deal maths'!AC148="","Maturity",'Deal maths'!AC148))</f>
        <v/>
      </c>
      <c r="D148" s="108">
        <f>IF(OR(C148="EIP",C148="Annuity"),IF('Deal maths'!AD148="Annual",12,IF('Deal maths'!AD148="Quarterly",3,6)),0)</f>
        <v/>
      </c>
      <c r="E148" s="109">
        <f>IFERROR(IF(D148=0,0,IF('Deal maths'!AE148&gt;0,IF('Deal maths'!AE148&gt;'Deal maths'!AA148,'Deal maths'!AA148,'Deal maths'!AE148),IF(IF(DAY('Deal maths'!AA148+1)=1,EOMONTH('Deal maths'!AA148,-(INT(((YEAR('Deal maths'!AA148)-YEAR(IF('Deal maths'!Z148&gt;0,'Deal maths'!Z148,DATE(1990,1,1))))*12+MONTH('Deal maths'!AA148)-MONTH(IF('Deal maths'!Z148&gt;0,'Deal maths'!Z148,DATE(1990,1,1))))/D148))*D148),EDATE('Deal maths'!AA148,-(INT(((YEAR('Deal maths'!AA148)-YEAR(IF('Deal maths'!Z148&gt;0,'Deal maths'!Z148,DATE(1990,1,1))))*12+MONTH('Deal maths'!AA148)-MONTH(IF('Deal maths'!Z148&gt;0,'Deal maths'!Z148,DATE(1990,1,1))))/D148))*D148))&gt;IF('Deal maths'!Z148&gt;0,'Deal maths'!Z148,DATE(1990,1,1)),IF(DAY('Deal maths'!AA148+1)=1,EOMONTH('Deal maths'!AA148,-(INT(((YEAR('Deal maths'!AA148)-YEAR(IF('Deal maths'!Z148&gt;0,'Deal maths'!Z148,DATE(1990,1,1))))*12+MONTH('Deal maths'!AA148)-MONTH(IF('Deal maths'!Z148&gt;0,'Deal maths'!Z148,DATE(1990,1,1))))/D148))*D148),EDATE('Deal maths'!AA148,-(INT(((YEAR('Deal maths'!AA148)-YEAR(IF('Deal maths'!Z148&gt;0,'Deal maths'!Z148,DATE(1990,1,1))))*12+MONTH('Deal maths'!AA148)-MONTH(IF('Deal maths'!Z148&gt;0,'Deal maths'!Z148,DATE(1990,1,1))))/D148))*D148)),IF(DAY('Deal maths'!AA148+1)=1,EOMONTH('Deal maths'!AA148,-(INT(((YEAR('Deal maths'!AA148)-YEAR(IF('Deal maths'!Z148&gt;0,'Deal maths'!Z148,DATE(1990,1,1))))*12+MONTH('Deal maths'!AA148)-MONTH(IF('Deal maths'!Z148&gt;0,'Deal maths'!Z148,DATE(1990,1,1))))/D148)-1)*D148),EDATE('Deal maths'!AA148,-(INT(((YEAR('Deal maths'!AA148)-YEAR(IF('Deal maths'!Z148&gt;0,'Deal maths'!Z148,DATE(1990,1,1))))*12+MONTH('Deal maths'!AA148)-MONTH(IF('Deal maths'!Z148&gt;0,'Deal maths'!Z148,DATE(1990,1,1))))/D148)-1)*D148))))),0)</f>
        <v/>
      </c>
      <c r="F148" s="110">
        <f>IF(D148=0,0,'Deal maths'!AB148*D148/12)</f>
        <v/>
      </c>
      <c r="G148" s="108">
        <f>N148+O148</f>
        <v/>
      </c>
      <c r="H148" s="108">
        <f>IFERROR(IF(OR(D148=0,AsAt&lt;E148),0,MIN(N148,INT(((YEAR(AsAt)-YEAR(E148))*12+MONTH(AsAt)-MONTH(E148)-(DAY(AsAt)&lt;MIN(R148,DAY(EOMONTH(AsAt,0)))))/D148)+1)+O148*(AsAt&gt;='Deal maths'!AA148)),0)</f>
        <v/>
      </c>
      <c r="I148" s="108">
        <f>G148-H148</f>
        <v/>
      </c>
      <c r="J148" s="111">
        <f>IF(AND(C148="EIP",I148&gt;0),'Deal maths'!Y148/I148,0)</f>
        <v/>
      </c>
      <c r="K148" s="111">
        <f>IF(AND(C148="Annuity",I148&gt;0),IF(F148&gt;0,'Deal maths'!Y148*F148/(1-(1+F148)^-I148),'Deal maths'!Y148/I148),0)</f>
        <v/>
      </c>
      <c r="L148" s="111">
        <f>IF('Deal maths'!Y148="",0,'Deal maths'!Y148)</f>
        <v/>
      </c>
      <c r="M148" s="112">
        <f>F148+(F148=0)</f>
        <v/>
      </c>
      <c r="N148" s="108">
        <f>IFERROR(IF(D148=0,0,INT(((YEAR('Deal maths'!AA148)-YEAR(E148))*12+MONTH('Deal maths'!AA148)-MONTH(E148)-(DAY('Deal maths'!AA148)&lt;MIN(R148,DAY(EOMONTH('Deal maths'!AA148,0)))))/D148)+1),0)</f>
        <v/>
      </c>
      <c r="O148" s="108">
        <f>IFERROR(IF(D148=0,0,IF(IF(DAY(E148+1)=1,EOMONTH(E148,(N148-1)*D148),EDATE(E148,(N148-1)*D148))='Deal maths'!AA148,0,1)),0)</f>
        <v/>
      </c>
      <c r="P148" s="113">
        <f>IF(B148=0,0,IFERROR(IF(C148="EIP",((I148-O148)*((IF(DAY(E148+1)=1,EOMONTH(E148,H148*D148),EDATE(E148,H148*D148))-AsAt)/365.25+(IF(DAY(E148+1)=1,EOMONTH(E148,(N148-1)*D148),EDATE(E148,(N148-1)*D148))-AsAt)/365.25)/2+O148*('Deal maths'!AA148-AsAt)/365.25)/I148,IF(C148="Annuity",IF(F148&gt;0,((K148-L148*F148)*((IF(DAY(E148+1)=1,EOMONTH(E148,H148*D148),EDATE(E148,H148*D148))-AsAt)/365.25*((1+F148)^(I148-O148)-1)/F148+IF((I148-O148)&gt;1,((IF(DAY(E148+1)=1,EOMONTH(E148,(N148-1)*D148),EDATE(E148,(N148-1)*D148))-AsAt)/365.25-(IF(DAY(E148+1)=1,EOMONTH(E148,H148*D148),EDATE(E148,H148*D148))-AsAt)/365.25)/((I148-O148)-1),0)*(1+F148)*(1-(I148-O148)*(1+F148)^((I148-O148)-1)+((I148-O148)-1)*(1+F148)^(I148-O148))/F148^2)+O148*(K148-L148*F148)*(1+F148)^(I148-1)*('Deal maths'!AA148-AsAt)/365.25)/L148,((I148-O148)*((IF(DAY(E148+1)=1,EOMONTH(E148,H148*D148),EDATE(E148,H148*D148))-AsAt)/365.25+(IF(DAY(E148+1)=1,EOMONTH(E148,(N148-1)*D148),EDATE(E148,(N148-1)*D148))-AsAt)/365.25)/2+O148*('Deal maths'!AA148-AsAt)/365.25)/I148),(S148-AsAt)/365.25)),0))</f>
        <v/>
      </c>
      <c r="Q148" s="109">
        <f>IF(B148=1,'Deal maths'!AA148+ROW()/1000000,"")</f>
        <v/>
      </c>
      <c r="R148" s="108">
        <f>IF(D148=0,0,IF(DAY(E148+1)=1,31,DAY(E148)))</f>
        <v/>
      </c>
      <c r="S148" s="109">
        <f>IF(AND('Deal maths'!V148="LOBO",'Deal maths'!AG148&gt;AsAt,'Deal maths'!AG148&lt;'Deal maths'!AA148),'Deal maths'!AG148,'Deal maths'!AA148)</f>
        <v/>
      </c>
      <c r="T148" s="108">
        <f>('Deal maths'!AA148&gt;AsAt)*('Deal maths'!Y148&gt;0)</f>
        <v/>
      </c>
    </row>
    <row r="149">
      <c r="A149" s="91">
        <f>IF('Deal maths'!V149="","",'Deal maths'!W149)</f>
        <v/>
      </c>
      <c r="B149" s="108">
        <f>('Deal maths'!AA149&gt;AsAt)*('Deal maths'!Y149&gt;0)*('Deal maths'!Z149&lt;=AsAt)</f>
        <v/>
      </c>
      <c r="C149" s="91">
        <f>IF('Deal maths'!V149="","",IF('Deal maths'!AC149="","Maturity",'Deal maths'!AC149))</f>
        <v/>
      </c>
      <c r="D149" s="108">
        <f>IF(OR(C149="EIP",C149="Annuity"),IF('Deal maths'!AD149="Annual",12,IF('Deal maths'!AD149="Quarterly",3,6)),0)</f>
        <v/>
      </c>
      <c r="E149" s="109">
        <f>IFERROR(IF(D149=0,0,IF('Deal maths'!AE149&gt;0,IF('Deal maths'!AE149&gt;'Deal maths'!AA149,'Deal maths'!AA149,'Deal maths'!AE149),IF(IF(DAY('Deal maths'!AA149+1)=1,EOMONTH('Deal maths'!AA149,-(INT(((YEAR('Deal maths'!AA149)-YEAR(IF('Deal maths'!Z149&gt;0,'Deal maths'!Z149,DATE(1990,1,1))))*12+MONTH('Deal maths'!AA149)-MONTH(IF('Deal maths'!Z149&gt;0,'Deal maths'!Z149,DATE(1990,1,1))))/D149))*D149),EDATE('Deal maths'!AA149,-(INT(((YEAR('Deal maths'!AA149)-YEAR(IF('Deal maths'!Z149&gt;0,'Deal maths'!Z149,DATE(1990,1,1))))*12+MONTH('Deal maths'!AA149)-MONTH(IF('Deal maths'!Z149&gt;0,'Deal maths'!Z149,DATE(1990,1,1))))/D149))*D149))&gt;IF('Deal maths'!Z149&gt;0,'Deal maths'!Z149,DATE(1990,1,1)),IF(DAY('Deal maths'!AA149+1)=1,EOMONTH('Deal maths'!AA149,-(INT(((YEAR('Deal maths'!AA149)-YEAR(IF('Deal maths'!Z149&gt;0,'Deal maths'!Z149,DATE(1990,1,1))))*12+MONTH('Deal maths'!AA149)-MONTH(IF('Deal maths'!Z149&gt;0,'Deal maths'!Z149,DATE(1990,1,1))))/D149))*D149),EDATE('Deal maths'!AA149,-(INT(((YEAR('Deal maths'!AA149)-YEAR(IF('Deal maths'!Z149&gt;0,'Deal maths'!Z149,DATE(1990,1,1))))*12+MONTH('Deal maths'!AA149)-MONTH(IF('Deal maths'!Z149&gt;0,'Deal maths'!Z149,DATE(1990,1,1))))/D149))*D149)),IF(DAY('Deal maths'!AA149+1)=1,EOMONTH('Deal maths'!AA149,-(INT(((YEAR('Deal maths'!AA149)-YEAR(IF('Deal maths'!Z149&gt;0,'Deal maths'!Z149,DATE(1990,1,1))))*12+MONTH('Deal maths'!AA149)-MONTH(IF('Deal maths'!Z149&gt;0,'Deal maths'!Z149,DATE(1990,1,1))))/D149)-1)*D149),EDATE('Deal maths'!AA149,-(INT(((YEAR('Deal maths'!AA149)-YEAR(IF('Deal maths'!Z149&gt;0,'Deal maths'!Z149,DATE(1990,1,1))))*12+MONTH('Deal maths'!AA149)-MONTH(IF('Deal maths'!Z149&gt;0,'Deal maths'!Z149,DATE(1990,1,1))))/D149)-1)*D149))))),0)</f>
        <v/>
      </c>
      <c r="F149" s="110">
        <f>IF(D149=0,0,'Deal maths'!AB149*D149/12)</f>
        <v/>
      </c>
      <c r="G149" s="108">
        <f>N149+O149</f>
        <v/>
      </c>
      <c r="H149" s="108">
        <f>IFERROR(IF(OR(D149=0,AsAt&lt;E149),0,MIN(N149,INT(((YEAR(AsAt)-YEAR(E149))*12+MONTH(AsAt)-MONTH(E149)-(DAY(AsAt)&lt;MIN(R149,DAY(EOMONTH(AsAt,0)))))/D149)+1)+O149*(AsAt&gt;='Deal maths'!AA149)),0)</f>
        <v/>
      </c>
      <c r="I149" s="108">
        <f>G149-H149</f>
        <v/>
      </c>
      <c r="J149" s="111">
        <f>IF(AND(C149="EIP",I149&gt;0),'Deal maths'!Y149/I149,0)</f>
        <v/>
      </c>
      <c r="K149" s="111">
        <f>IF(AND(C149="Annuity",I149&gt;0),IF(F149&gt;0,'Deal maths'!Y149*F149/(1-(1+F149)^-I149),'Deal maths'!Y149/I149),0)</f>
        <v/>
      </c>
      <c r="L149" s="111">
        <f>IF('Deal maths'!Y149="",0,'Deal maths'!Y149)</f>
        <v/>
      </c>
      <c r="M149" s="112">
        <f>F149+(F149=0)</f>
        <v/>
      </c>
      <c r="N149" s="108">
        <f>IFERROR(IF(D149=0,0,INT(((YEAR('Deal maths'!AA149)-YEAR(E149))*12+MONTH('Deal maths'!AA149)-MONTH(E149)-(DAY('Deal maths'!AA149)&lt;MIN(R149,DAY(EOMONTH('Deal maths'!AA149,0)))))/D149)+1),0)</f>
        <v/>
      </c>
      <c r="O149" s="108">
        <f>IFERROR(IF(D149=0,0,IF(IF(DAY(E149+1)=1,EOMONTH(E149,(N149-1)*D149),EDATE(E149,(N149-1)*D149))='Deal maths'!AA149,0,1)),0)</f>
        <v/>
      </c>
      <c r="P149" s="113">
        <f>IF(B149=0,0,IFERROR(IF(C149="EIP",((I149-O149)*((IF(DAY(E149+1)=1,EOMONTH(E149,H149*D149),EDATE(E149,H149*D149))-AsAt)/365.25+(IF(DAY(E149+1)=1,EOMONTH(E149,(N149-1)*D149),EDATE(E149,(N149-1)*D149))-AsAt)/365.25)/2+O149*('Deal maths'!AA149-AsAt)/365.25)/I149,IF(C149="Annuity",IF(F149&gt;0,((K149-L149*F149)*((IF(DAY(E149+1)=1,EOMONTH(E149,H149*D149),EDATE(E149,H149*D149))-AsAt)/365.25*((1+F149)^(I149-O149)-1)/F149+IF((I149-O149)&gt;1,((IF(DAY(E149+1)=1,EOMONTH(E149,(N149-1)*D149),EDATE(E149,(N149-1)*D149))-AsAt)/365.25-(IF(DAY(E149+1)=1,EOMONTH(E149,H149*D149),EDATE(E149,H149*D149))-AsAt)/365.25)/((I149-O149)-1),0)*(1+F149)*(1-(I149-O149)*(1+F149)^((I149-O149)-1)+((I149-O149)-1)*(1+F149)^(I149-O149))/F149^2)+O149*(K149-L149*F149)*(1+F149)^(I149-1)*('Deal maths'!AA149-AsAt)/365.25)/L149,((I149-O149)*((IF(DAY(E149+1)=1,EOMONTH(E149,H149*D149),EDATE(E149,H149*D149))-AsAt)/365.25+(IF(DAY(E149+1)=1,EOMONTH(E149,(N149-1)*D149),EDATE(E149,(N149-1)*D149))-AsAt)/365.25)/2+O149*('Deal maths'!AA149-AsAt)/365.25)/I149),(S149-AsAt)/365.25)),0))</f>
        <v/>
      </c>
      <c r="Q149" s="109">
        <f>IF(B149=1,'Deal maths'!AA149+ROW()/1000000,"")</f>
        <v/>
      </c>
      <c r="R149" s="108">
        <f>IF(D149=0,0,IF(DAY(E149+1)=1,31,DAY(E149)))</f>
        <v/>
      </c>
      <c r="S149" s="109">
        <f>IF(AND('Deal maths'!V149="LOBO",'Deal maths'!AG149&gt;AsAt,'Deal maths'!AG149&lt;'Deal maths'!AA149),'Deal maths'!AG149,'Deal maths'!AA149)</f>
        <v/>
      </c>
      <c r="T149" s="108">
        <f>('Deal maths'!AA149&gt;AsAt)*('Deal maths'!Y149&gt;0)</f>
        <v/>
      </c>
    </row>
    <row r="150">
      <c r="A150" s="91">
        <f>IF('Deal maths'!V150="","",'Deal maths'!W150)</f>
        <v/>
      </c>
      <c r="B150" s="108">
        <f>('Deal maths'!AA150&gt;AsAt)*('Deal maths'!Y150&gt;0)*('Deal maths'!Z150&lt;=AsAt)</f>
        <v/>
      </c>
      <c r="C150" s="91">
        <f>IF('Deal maths'!V150="","",IF('Deal maths'!AC150="","Maturity",'Deal maths'!AC150))</f>
        <v/>
      </c>
      <c r="D150" s="108">
        <f>IF(OR(C150="EIP",C150="Annuity"),IF('Deal maths'!AD150="Annual",12,IF('Deal maths'!AD150="Quarterly",3,6)),0)</f>
        <v/>
      </c>
      <c r="E150" s="109">
        <f>IFERROR(IF(D150=0,0,IF('Deal maths'!AE150&gt;0,IF('Deal maths'!AE150&gt;'Deal maths'!AA150,'Deal maths'!AA150,'Deal maths'!AE150),IF(IF(DAY('Deal maths'!AA150+1)=1,EOMONTH('Deal maths'!AA150,-(INT(((YEAR('Deal maths'!AA150)-YEAR(IF('Deal maths'!Z150&gt;0,'Deal maths'!Z150,DATE(1990,1,1))))*12+MONTH('Deal maths'!AA150)-MONTH(IF('Deal maths'!Z150&gt;0,'Deal maths'!Z150,DATE(1990,1,1))))/D150))*D150),EDATE('Deal maths'!AA150,-(INT(((YEAR('Deal maths'!AA150)-YEAR(IF('Deal maths'!Z150&gt;0,'Deal maths'!Z150,DATE(1990,1,1))))*12+MONTH('Deal maths'!AA150)-MONTH(IF('Deal maths'!Z150&gt;0,'Deal maths'!Z150,DATE(1990,1,1))))/D150))*D150))&gt;IF('Deal maths'!Z150&gt;0,'Deal maths'!Z150,DATE(1990,1,1)),IF(DAY('Deal maths'!AA150+1)=1,EOMONTH('Deal maths'!AA150,-(INT(((YEAR('Deal maths'!AA150)-YEAR(IF('Deal maths'!Z150&gt;0,'Deal maths'!Z150,DATE(1990,1,1))))*12+MONTH('Deal maths'!AA150)-MONTH(IF('Deal maths'!Z150&gt;0,'Deal maths'!Z150,DATE(1990,1,1))))/D150))*D150),EDATE('Deal maths'!AA150,-(INT(((YEAR('Deal maths'!AA150)-YEAR(IF('Deal maths'!Z150&gt;0,'Deal maths'!Z150,DATE(1990,1,1))))*12+MONTH('Deal maths'!AA150)-MONTH(IF('Deal maths'!Z150&gt;0,'Deal maths'!Z150,DATE(1990,1,1))))/D150))*D150)),IF(DAY('Deal maths'!AA150+1)=1,EOMONTH('Deal maths'!AA150,-(INT(((YEAR('Deal maths'!AA150)-YEAR(IF('Deal maths'!Z150&gt;0,'Deal maths'!Z150,DATE(1990,1,1))))*12+MONTH('Deal maths'!AA150)-MONTH(IF('Deal maths'!Z150&gt;0,'Deal maths'!Z150,DATE(1990,1,1))))/D150)-1)*D150),EDATE('Deal maths'!AA150,-(INT(((YEAR('Deal maths'!AA150)-YEAR(IF('Deal maths'!Z150&gt;0,'Deal maths'!Z150,DATE(1990,1,1))))*12+MONTH('Deal maths'!AA150)-MONTH(IF('Deal maths'!Z150&gt;0,'Deal maths'!Z150,DATE(1990,1,1))))/D150)-1)*D150))))),0)</f>
        <v/>
      </c>
      <c r="F150" s="110">
        <f>IF(D150=0,0,'Deal maths'!AB150*D150/12)</f>
        <v/>
      </c>
      <c r="G150" s="108">
        <f>N150+O150</f>
        <v/>
      </c>
      <c r="H150" s="108">
        <f>IFERROR(IF(OR(D150=0,AsAt&lt;E150),0,MIN(N150,INT(((YEAR(AsAt)-YEAR(E150))*12+MONTH(AsAt)-MONTH(E150)-(DAY(AsAt)&lt;MIN(R150,DAY(EOMONTH(AsAt,0)))))/D150)+1)+O150*(AsAt&gt;='Deal maths'!AA150)),0)</f>
        <v/>
      </c>
      <c r="I150" s="108">
        <f>G150-H150</f>
        <v/>
      </c>
      <c r="J150" s="111">
        <f>IF(AND(C150="EIP",I150&gt;0),'Deal maths'!Y150/I150,0)</f>
        <v/>
      </c>
      <c r="K150" s="111">
        <f>IF(AND(C150="Annuity",I150&gt;0),IF(F150&gt;0,'Deal maths'!Y150*F150/(1-(1+F150)^-I150),'Deal maths'!Y150/I150),0)</f>
        <v/>
      </c>
      <c r="L150" s="111">
        <f>IF('Deal maths'!Y150="",0,'Deal maths'!Y150)</f>
        <v/>
      </c>
      <c r="M150" s="112">
        <f>F150+(F150=0)</f>
        <v/>
      </c>
      <c r="N150" s="108">
        <f>IFERROR(IF(D150=0,0,INT(((YEAR('Deal maths'!AA150)-YEAR(E150))*12+MONTH('Deal maths'!AA150)-MONTH(E150)-(DAY('Deal maths'!AA150)&lt;MIN(R150,DAY(EOMONTH('Deal maths'!AA150,0)))))/D150)+1),0)</f>
        <v/>
      </c>
      <c r="O150" s="108">
        <f>IFERROR(IF(D150=0,0,IF(IF(DAY(E150+1)=1,EOMONTH(E150,(N150-1)*D150),EDATE(E150,(N150-1)*D150))='Deal maths'!AA150,0,1)),0)</f>
        <v/>
      </c>
      <c r="P150" s="113">
        <f>IF(B150=0,0,IFERROR(IF(C150="EIP",((I150-O150)*((IF(DAY(E150+1)=1,EOMONTH(E150,H150*D150),EDATE(E150,H150*D150))-AsAt)/365.25+(IF(DAY(E150+1)=1,EOMONTH(E150,(N150-1)*D150),EDATE(E150,(N150-1)*D150))-AsAt)/365.25)/2+O150*('Deal maths'!AA150-AsAt)/365.25)/I150,IF(C150="Annuity",IF(F150&gt;0,((K150-L150*F150)*((IF(DAY(E150+1)=1,EOMONTH(E150,H150*D150),EDATE(E150,H150*D150))-AsAt)/365.25*((1+F150)^(I150-O150)-1)/F150+IF((I150-O150)&gt;1,((IF(DAY(E150+1)=1,EOMONTH(E150,(N150-1)*D150),EDATE(E150,(N150-1)*D150))-AsAt)/365.25-(IF(DAY(E150+1)=1,EOMONTH(E150,H150*D150),EDATE(E150,H150*D150))-AsAt)/365.25)/((I150-O150)-1),0)*(1+F150)*(1-(I150-O150)*(1+F150)^((I150-O150)-1)+((I150-O150)-1)*(1+F150)^(I150-O150))/F150^2)+O150*(K150-L150*F150)*(1+F150)^(I150-1)*('Deal maths'!AA150-AsAt)/365.25)/L150,((I150-O150)*((IF(DAY(E150+1)=1,EOMONTH(E150,H150*D150),EDATE(E150,H150*D150))-AsAt)/365.25+(IF(DAY(E150+1)=1,EOMONTH(E150,(N150-1)*D150),EDATE(E150,(N150-1)*D150))-AsAt)/365.25)/2+O150*('Deal maths'!AA150-AsAt)/365.25)/I150),(S150-AsAt)/365.25)),0))</f>
        <v/>
      </c>
      <c r="Q150" s="109">
        <f>IF(B150=1,'Deal maths'!AA150+ROW()/1000000,"")</f>
        <v/>
      </c>
      <c r="R150" s="108">
        <f>IF(D150=0,0,IF(DAY(E150+1)=1,31,DAY(E150)))</f>
        <v/>
      </c>
      <c r="S150" s="109">
        <f>IF(AND('Deal maths'!V150="LOBO",'Deal maths'!AG150&gt;AsAt,'Deal maths'!AG150&lt;'Deal maths'!AA150),'Deal maths'!AG150,'Deal maths'!AA150)</f>
        <v/>
      </c>
      <c r="T150" s="108">
        <f>('Deal maths'!AA150&gt;AsAt)*('Deal maths'!Y150&gt;0)</f>
        <v/>
      </c>
    </row>
    <row r="151">
      <c r="A151" s="91">
        <f>IF('Deal maths'!V151="","",'Deal maths'!W151)</f>
        <v/>
      </c>
      <c r="B151" s="108">
        <f>('Deal maths'!AA151&gt;AsAt)*('Deal maths'!Y151&gt;0)*('Deal maths'!Z151&lt;=AsAt)</f>
        <v/>
      </c>
      <c r="C151" s="91">
        <f>IF('Deal maths'!V151="","",IF('Deal maths'!AC151="","Maturity",'Deal maths'!AC151))</f>
        <v/>
      </c>
      <c r="D151" s="108">
        <f>IF(OR(C151="EIP",C151="Annuity"),IF('Deal maths'!AD151="Annual",12,IF('Deal maths'!AD151="Quarterly",3,6)),0)</f>
        <v/>
      </c>
      <c r="E151" s="109">
        <f>IFERROR(IF(D151=0,0,IF('Deal maths'!AE151&gt;0,IF('Deal maths'!AE151&gt;'Deal maths'!AA151,'Deal maths'!AA151,'Deal maths'!AE151),IF(IF(DAY('Deal maths'!AA151+1)=1,EOMONTH('Deal maths'!AA151,-(INT(((YEAR('Deal maths'!AA151)-YEAR(IF('Deal maths'!Z151&gt;0,'Deal maths'!Z151,DATE(1990,1,1))))*12+MONTH('Deal maths'!AA151)-MONTH(IF('Deal maths'!Z151&gt;0,'Deal maths'!Z151,DATE(1990,1,1))))/D151))*D151),EDATE('Deal maths'!AA151,-(INT(((YEAR('Deal maths'!AA151)-YEAR(IF('Deal maths'!Z151&gt;0,'Deal maths'!Z151,DATE(1990,1,1))))*12+MONTH('Deal maths'!AA151)-MONTH(IF('Deal maths'!Z151&gt;0,'Deal maths'!Z151,DATE(1990,1,1))))/D151))*D151))&gt;IF('Deal maths'!Z151&gt;0,'Deal maths'!Z151,DATE(1990,1,1)),IF(DAY('Deal maths'!AA151+1)=1,EOMONTH('Deal maths'!AA151,-(INT(((YEAR('Deal maths'!AA151)-YEAR(IF('Deal maths'!Z151&gt;0,'Deal maths'!Z151,DATE(1990,1,1))))*12+MONTH('Deal maths'!AA151)-MONTH(IF('Deal maths'!Z151&gt;0,'Deal maths'!Z151,DATE(1990,1,1))))/D151))*D151),EDATE('Deal maths'!AA151,-(INT(((YEAR('Deal maths'!AA151)-YEAR(IF('Deal maths'!Z151&gt;0,'Deal maths'!Z151,DATE(1990,1,1))))*12+MONTH('Deal maths'!AA151)-MONTH(IF('Deal maths'!Z151&gt;0,'Deal maths'!Z151,DATE(1990,1,1))))/D151))*D151)),IF(DAY('Deal maths'!AA151+1)=1,EOMONTH('Deal maths'!AA151,-(INT(((YEAR('Deal maths'!AA151)-YEAR(IF('Deal maths'!Z151&gt;0,'Deal maths'!Z151,DATE(1990,1,1))))*12+MONTH('Deal maths'!AA151)-MONTH(IF('Deal maths'!Z151&gt;0,'Deal maths'!Z151,DATE(1990,1,1))))/D151)-1)*D151),EDATE('Deal maths'!AA151,-(INT(((YEAR('Deal maths'!AA151)-YEAR(IF('Deal maths'!Z151&gt;0,'Deal maths'!Z151,DATE(1990,1,1))))*12+MONTH('Deal maths'!AA151)-MONTH(IF('Deal maths'!Z151&gt;0,'Deal maths'!Z151,DATE(1990,1,1))))/D151)-1)*D151))))),0)</f>
        <v/>
      </c>
      <c r="F151" s="110">
        <f>IF(D151=0,0,'Deal maths'!AB151*D151/12)</f>
        <v/>
      </c>
      <c r="G151" s="108">
        <f>N151+O151</f>
        <v/>
      </c>
      <c r="H151" s="108">
        <f>IFERROR(IF(OR(D151=0,AsAt&lt;E151),0,MIN(N151,INT(((YEAR(AsAt)-YEAR(E151))*12+MONTH(AsAt)-MONTH(E151)-(DAY(AsAt)&lt;MIN(R151,DAY(EOMONTH(AsAt,0)))))/D151)+1)+O151*(AsAt&gt;='Deal maths'!AA151)),0)</f>
        <v/>
      </c>
      <c r="I151" s="108">
        <f>G151-H151</f>
        <v/>
      </c>
      <c r="J151" s="111">
        <f>IF(AND(C151="EIP",I151&gt;0),'Deal maths'!Y151/I151,0)</f>
        <v/>
      </c>
      <c r="K151" s="111">
        <f>IF(AND(C151="Annuity",I151&gt;0),IF(F151&gt;0,'Deal maths'!Y151*F151/(1-(1+F151)^-I151),'Deal maths'!Y151/I151),0)</f>
        <v/>
      </c>
      <c r="L151" s="111">
        <f>IF('Deal maths'!Y151="",0,'Deal maths'!Y151)</f>
        <v/>
      </c>
      <c r="M151" s="112">
        <f>F151+(F151=0)</f>
        <v/>
      </c>
      <c r="N151" s="108">
        <f>IFERROR(IF(D151=0,0,INT(((YEAR('Deal maths'!AA151)-YEAR(E151))*12+MONTH('Deal maths'!AA151)-MONTH(E151)-(DAY('Deal maths'!AA151)&lt;MIN(R151,DAY(EOMONTH('Deal maths'!AA151,0)))))/D151)+1),0)</f>
        <v/>
      </c>
      <c r="O151" s="108">
        <f>IFERROR(IF(D151=0,0,IF(IF(DAY(E151+1)=1,EOMONTH(E151,(N151-1)*D151),EDATE(E151,(N151-1)*D151))='Deal maths'!AA151,0,1)),0)</f>
        <v/>
      </c>
      <c r="P151" s="113">
        <f>IF(B151=0,0,IFERROR(IF(C151="EIP",((I151-O151)*((IF(DAY(E151+1)=1,EOMONTH(E151,H151*D151),EDATE(E151,H151*D151))-AsAt)/365.25+(IF(DAY(E151+1)=1,EOMONTH(E151,(N151-1)*D151),EDATE(E151,(N151-1)*D151))-AsAt)/365.25)/2+O151*('Deal maths'!AA151-AsAt)/365.25)/I151,IF(C151="Annuity",IF(F151&gt;0,((K151-L151*F151)*((IF(DAY(E151+1)=1,EOMONTH(E151,H151*D151),EDATE(E151,H151*D151))-AsAt)/365.25*((1+F151)^(I151-O151)-1)/F151+IF((I151-O151)&gt;1,((IF(DAY(E151+1)=1,EOMONTH(E151,(N151-1)*D151),EDATE(E151,(N151-1)*D151))-AsAt)/365.25-(IF(DAY(E151+1)=1,EOMONTH(E151,H151*D151),EDATE(E151,H151*D151))-AsAt)/365.25)/((I151-O151)-1),0)*(1+F151)*(1-(I151-O151)*(1+F151)^((I151-O151)-1)+((I151-O151)-1)*(1+F151)^(I151-O151))/F151^2)+O151*(K151-L151*F151)*(1+F151)^(I151-1)*('Deal maths'!AA151-AsAt)/365.25)/L151,((I151-O151)*((IF(DAY(E151+1)=1,EOMONTH(E151,H151*D151),EDATE(E151,H151*D151))-AsAt)/365.25+(IF(DAY(E151+1)=1,EOMONTH(E151,(N151-1)*D151),EDATE(E151,(N151-1)*D151))-AsAt)/365.25)/2+O151*('Deal maths'!AA151-AsAt)/365.25)/I151),(S151-AsAt)/365.25)),0))</f>
        <v/>
      </c>
      <c r="Q151" s="109">
        <f>IF(B151=1,'Deal maths'!AA151+ROW()/1000000,"")</f>
        <v/>
      </c>
      <c r="R151" s="108">
        <f>IF(D151=0,0,IF(DAY(E151+1)=1,31,DAY(E151)))</f>
        <v/>
      </c>
      <c r="S151" s="109">
        <f>IF(AND('Deal maths'!V151="LOBO",'Deal maths'!AG151&gt;AsAt,'Deal maths'!AG151&lt;'Deal maths'!AA151),'Deal maths'!AG151,'Deal maths'!AA151)</f>
        <v/>
      </c>
      <c r="T151" s="108">
        <f>('Deal maths'!AA151&gt;AsAt)*('Deal maths'!Y151&gt;0)</f>
        <v/>
      </c>
    </row>
    <row r="152">
      <c r="A152" s="91">
        <f>IF('Deal maths'!V152="","",'Deal maths'!W152)</f>
        <v/>
      </c>
      <c r="B152" s="108">
        <f>('Deal maths'!AA152&gt;AsAt)*('Deal maths'!Y152&gt;0)*('Deal maths'!Z152&lt;=AsAt)</f>
        <v/>
      </c>
      <c r="C152" s="91">
        <f>IF('Deal maths'!V152="","",IF('Deal maths'!AC152="","Maturity",'Deal maths'!AC152))</f>
        <v/>
      </c>
      <c r="D152" s="108">
        <f>IF(OR(C152="EIP",C152="Annuity"),IF('Deal maths'!AD152="Annual",12,IF('Deal maths'!AD152="Quarterly",3,6)),0)</f>
        <v/>
      </c>
      <c r="E152" s="109">
        <f>IFERROR(IF(D152=0,0,IF('Deal maths'!AE152&gt;0,IF('Deal maths'!AE152&gt;'Deal maths'!AA152,'Deal maths'!AA152,'Deal maths'!AE152),IF(IF(DAY('Deal maths'!AA152+1)=1,EOMONTH('Deal maths'!AA152,-(INT(((YEAR('Deal maths'!AA152)-YEAR(IF('Deal maths'!Z152&gt;0,'Deal maths'!Z152,DATE(1990,1,1))))*12+MONTH('Deal maths'!AA152)-MONTH(IF('Deal maths'!Z152&gt;0,'Deal maths'!Z152,DATE(1990,1,1))))/D152))*D152),EDATE('Deal maths'!AA152,-(INT(((YEAR('Deal maths'!AA152)-YEAR(IF('Deal maths'!Z152&gt;0,'Deal maths'!Z152,DATE(1990,1,1))))*12+MONTH('Deal maths'!AA152)-MONTH(IF('Deal maths'!Z152&gt;0,'Deal maths'!Z152,DATE(1990,1,1))))/D152))*D152))&gt;IF('Deal maths'!Z152&gt;0,'Deal maths'!Z152,DATE(1990,1,1)),IF(DAY('Deal maths'!AA152+1)=1,EOMONTH('Deal maths'!AA152,-(INT(((YEAR('Deal maths'!AA152)-YEAR(IF('Deal maths'!Z152&gt;0,'Deal maths'!Z152,DATE(1990,1,1))))*12+MONTH('Deal maths'!AA152)-MONTH(IF('Deal maths'!Z152&gt;0,'Deal maths'!Z152,DATE(1990,1,1))))/D152))*D152),EDATE('Deal maths'!AA152,-(INT(((YEAR('Deal maths'!AA152)-YEAR(IF('Deal maths'!Z152&gt;0,'Deal maths'!Z152,DATE(1990,1,1))))*12+MONTH('Deal maths'!AA152)-MONTH(IF('Deal maths'!Z152&gt;0,'Deal maths'!Z152,DATE(1990,1,1))))/D152))*D152)),IF(DAY('Deal maths'!AA152+1)=1,EOMONTH('Deal maths'!AA152,-(INT(((YEAR('Deal maths'!AA152)-YEAR(IF('Deal maths'!Z152&gt;0,'Deal maths'!Z152,DATE(1990,1,1))))*12+MONTH('Deal maths'!AA152)-MONTH(IF('Deal maths'!Z152&gt;0,'Deal maths'!Z152,DATE(1990,1,1))))/D152)-1)*D152),EDATE('Deal maths'!AA152,-(INT(((YEAR('Deal maths'!AA152)-YEAR(IF('Deal maths'!Z152&gt;0,'Deal maths'!Z152,DATE(1990,1,1))))*12+MONTH('Deal maths'!AA152)-MONTH(IF('Deal maths'!Z152&gt;0,'Deal maths'!Z152,DATE(1990,1,1))))/D152)-1)*D152))))),0)</f>
        <v/>
      </c>
      <c r="F152" s="110">
        <f>IF(D152=0,0,'Deal maths'!AB152*D152/12)</f>
        <v/>
      </c>
      <c r="G152" s="108">
        <f>N152+O152</f>
        <v/>
      </c>
      <c r="H152" s="108">
        <f>IFERROR(IF(OR(D152=0,AsAt&lt;E152),0,MIN(N152,INT(((YEAR(AsAt)-YEAR(E152))*12+MONTH(AsAt)-MONTH(E152)-(DAY(AsAt)&lt;MIN(R152,DAY(EOMONTH(AsAt,0)))))/D152)+1)+O152*(AsAt&gt;='Deal maths'!AA152)),0)</f>
        <v/>
      </c>
      <c r="I152" s="108">
        <f>G152-H152</f>
        <v/>
      </c>
      <c r="J152" s="111">
        <f>IF(AND(C152="EIP",I152&gt;0),'Deal maths'!Y152/I152,0)</f>
        <v/>
      </c>
      <c r="K152" s="111">
        <f>IF(AND(C152="Annuity",I152&gt;0),IF(F152&gt;0,'Deal maths'!Y152*F152/(1-(1+F152)^-I152),'Deal maths'!Y152/I152),0)</f>
        <v/>
      </c>
      <c r="L152" s="111">
        <f>IF('Deal maths'!Y152="",0,'Deal maths'!Y152)</f>
        <v/>
      </c>
      <c r="M152" s="112">
        <f>F152+(F152=0)</f>
        <v/>
      </c>
      <c r="N152" s="108">
        <f>IFERROR(IF(D152=0,0,INT(((YEAR('Deal maths'!AA152)-YEAR(E152))*12+MONTH('Deal maths'!AA152)-MONTH(E152)-(DAY('Deal maths'!AA152)&lt;MIN(R152,DAY(EOMONTH('Deal maths'!AA152,0)))))/D152)+1),0)</f>
        <v/>
      </c>
      <c r="O152" s="108">
        <f>IFERROR(IF(D152=0,0,IF(IF(DAY(E152+1)=1,EOMONTH(E152,(N152-1)*D152),EDATE(E152,(N152-1)*D152))='Deal maths'!AA152,0,1)),0)</f>
        <v/>
      </c>
      <c r="P152" s="113">
        <f>IF(B152=0,0,IFERROR(IF(C152="EIP",((I152-O152)*((IF(DAY(E152+1)=1,EOMONTH(E152,H152*D152),EDATE(E152,H152*D152))-AsAt)/365.25+(IF(DAY(E152+1)=1,EOMONTH(E152,(N152-1)*D152),EDATE(E152,(N152-1)*D152))-AsAt)/365.25)/2+O152*('Deal maths'!AA152-AsAt)/365.25)/I152,IF(C152="Annuity",IF(F152&gt;0,((K152-L152*F152)*((IF(DAY(E152+1)=1,EOMONTH(E152,H152*D152),EDATE(E152,H152*D152))-AsAt)/365.25*((1+F152)^(I152-O152)-1)/F152+IF((I152-O152)&gt;1,((IF(DAY(E152+1)=1,EOMONTH(E152,(N152-1)*D152),EDATE(E152,(N152-1)*D152))-AsAt)/365.25-(IF(DAY(E152+1)=1,EOMONTH(E152,H152*D152),EDATE(E152,H152*D152))-AsAt)/365.25)/((I152-O152)-1),0)*(1+F152)*(1-(I152-O152)*(1+F152)^((I152-O152)-1)+((I152-O152)-1)*(1+F152)^(I152-O152))/F152^2)+O152*(K152-L152*F152)*(1+F152)^(I152-1)*('Deal maths'!AA152-AsAt)/365.25)/L152,((I152-O152)*((IF(DAY(E152+1)=1,EOMONTH(E152,H152*D152),EDATE(E152,H152*D152))-AsAt)/365.25+(IF(DAY(E152+1)=1,EOMONTH(E152,(N152-1)*D152),EDATE(E152,(N152-1)*D152))-AsAt)/365.25)/2+O152*('Deal maths'!AA152-AsAt)/365.25)/I152),(S152-AsAt)/365.25)),0))</f>
        <v/>
      </c>
      <c r="Q152" s="109">
        <f>IF(B152=1,'Deal maths'!AA152+ROW()/1000000,"")</f>
        <v/>
      </c>
      <c r="R152" s="108">
        <f>IF(D152=0,0,IF(DAY(E152+1)=1,31,DAY(E152)))</f>
        <v/>
      </c>
      <c r="S152" s="109">
        <f>IF(AND('Deal maths'!V152="LOBO",'Deal maths'!AG152&gt;AsAt,'Deal maths'!AG152&lt;'Deal maths'!AA152),'Deal maths'!AG152,'Deal maths'!AA152)</f>
        <v/>
      </c>
      <c r="T152" s="108">
        <f>('Deal maths'!AA152&gt;AsAt)*('Deal maths'!Y152&gt;0)</f>
        <v/>
      </c>
    </row>
    <row r="153">
      <c r="A153" s="91">
        <f>IF('Deal maths'!V153="","",'Deal maths'!W153)</f>
        <v/>
      </c>
      <c r="B153" s="108">
        <f>('Deal maths'!AA153&gt;AsAt)*('Deal maths'!Y153&gt;0)*('Deal maths'!Z153&lt;=AsAt)</f>
        <v/>
      </c>
      <c r="C153" s="91">
        <f>IF('Deal maths'!V153="","",IF('Deal maths'!AC153="","Maturity",'Deal maths'!AC153))</f>
        <v/>
      </c>
      <c r="D153" s="108">
        <f>IF(OR(C153="EIP",C153="Annuity"),IF('Deal maths'!AD153="Annual",12,IF('Deal maths'!AD153="Quarterly",3,6)),0)</f>
        <v/>
      </c>
      <c r="E153" s="109">
        <f>IFERROR(IF(D153=0,0,IF('Deal maths'!AE153&gt;0,IF('Deal maths'!AE153&gt;'Deal maths'!AA153,'Deal maths'!AA153,'Deal maths'!AE153),IF(IF(DAY('Deal maths'!AA153+1)=1,EOMONTH('Deal maths'!AA153,-(INT(((YEAR('Deal maths'!AA153)-YEAR(IF('Deal maths'!Z153&gt;0,'Deal maths'!Z153,DATE(1990,1,1))))*12+MONTH('Deal maths'!AA153)-MONTH(IF('Deal maths'!Z153&gt;0,'Deal maths'!Z153,DATE(1990,1,1))))/D153))*D153),EDATE('Deal maths'!AA153,-(INT(((YEAR('Deal maths'!AA153)-YEAR(IF('Deal maths'!Z153&gt;0,'Deal maths'!Z153,DATE(1990,1,1))))*12+MONTH('Deal maths'!AA153)-MONTH(IF('Deal maths'!Z153&gt;0,'Deal maths'!Z153,DATE(1990,1,1))))/D153))*D153))&gt;IF('Deal maths'!Z153&gt;0,'Deal maths'!Z153,DATE(1990,1,1)),IF(DAY('Deal maths'!AA153+1)=1,EOMONTH('Deal maths'!AA153,-(INT(((YEAR('Deal maths'!AA153)-YEAR(IF('Deal maths'!Z153&gt;0,'Deal maths'!Z153,DATE(1990,1,1))))*12+MONTH('Deal maths'!AA153)-MONTH(IF('Deal maths'!Z153&gt;0,'Deal maths'!Z153,DATE(1990,1,1))))/D153))*D153),EDATE('Deal maths'!AA153,-(INT(((YEAR('Deal maths'!AA153)-YEAR(IF('Deal maths'!Z153&gt;0,'Deal maths'!Z153,DATE(1990,1,1))))*12+MONTH('Deal maths'!AA153)-MONTH(IF('Deal maths'!Z153&gt;0,'Deal maths'!Z153,DATE(1990,1,1))))/D153))*D153)),IF(DAY('Deal maths'!AA153+1)=1,EOMONTH('Deal maths'!AA153,-(INT(((YEAR('Deal maths'!AA153)-YEAR(IF('Deal maths'!Z153&gt;0,'Deal maths'!Z153,DATE(1990,1,1))))*12+MONTH('Deal maths'!AA153)-MONTH(IF('Deal maths'!Z153&gt;0,'Deal maths'!Z153,DATE(1990,1,1))))/D153)-1)*D153),EDATE('Deal maths'!AA153,-(INT(((YEAR('Deal maths'!AA153)-YEAR(IF('Deal maths'!Z153&gt;0,'Deal maths'!Z153,DATE(1990,1,1))))*12+MONTH('Deal maths'!AA153)-MONTH(IF('Deal maths'!Z153&gt;0,'Deal maths'!Z153,DATE(1990,1,1))))/D153)-1)*D153))))),0)</f>
        <v/>
      </c>
      <c r="F153" s="110">
        <f>IF(D153=0,0,'Deal maths'!AB153*D153/12)</f>
        <v/>
      </c>
      <c r="G153" s="108">
        <f>N153+O153</f>
        <v/>
      </c>
      <c r="H153" s="108">
        <f>IFERROR(IF(OR(D153=0,AsAt&lt;E153),0,MIN(N153,INT(((YEAR(AsAt)-YEAR(E153))*12+MONTH(AsAt)-MONTH(E153)-(DAY(AsAt)&lt;MIN(R153,DAY(EOMONTH(AsAt,0)))))/D153)+1)+O153*(AsAt&gt;='Deal maths'!AA153)),0)</f>
        <v/>
      </c>
      <c r="I153" s="108">
        <f>G153-H153</f>
        <v/>
      </c>
      <c r="J153" s="111">
        <f>IF(AND(C153="EIP",I153&gt;0),'Deal maths'!Y153/I153,0)</f>
        <v/>
      </c>
      <c r="K153" s="111">
        <f>IF(AND(C153="Annuity",I153&gt;0),IF(F153&gt;0,'Deal maths'!Y153*F153/(1-(1+F153)^-I153),'Deal maths'!Y153/I153),0)</f>
        <v/>
      </c>
      <c r="L153" s="111">
        <f>IF('Deal maths'!Y153="",0,'Deal maths'!Y153)</f>
        <v/>
      </c>
      <c r="M153" s="112">
        <f>F153+(F153=0)</f>
        <v/>
      </c>
      <c r="N153" s="108">
        <f>IFERROR(IF(D153=0,0,INT(((YEAR('Deal maths'!AA153)-YEAR(E153))*12+MONTH('Deal maths'!AA153)-MONTH(E153)-(DAY('Deal maths'!AA153)&lt;MIN(R153,DAY(EOMONTH('Deal maths'!AA153,0)))))/D153)+1),0)</f>
        <v/>
      </c>
      <c r="O153" s="108">
        <f>IFERROR(IF(D153=0,0,IF(IF(DAY(E153+1)=1,EOMONTH(E153,(N153-1)*D153),EDATE(E153,(N153-1)*D153))='Deal maths'!AA153,0,1)),0)</f>
        <v/>
      </c>
      <c r="P153" s="113">
        <f>IF(B153=0,0,IFERROR(IF(C153="EIP",((I153-O153)*((IF(DAY(E153+1)=1,EOMONTH(E153,H153*D153),EDATE(E153,H153*D153))-AsAt)/365.25+(IF(DAY(E153+1)=1,EOMONTH(E153,(N153-1)*D153),EDATE(E153,(N153-1)*D153))-AsAt)/365.25)/2+O153*('Deal maths'!AA153-AsAt)/365.25)/I153,IF(C153="Annuity",IF(F153&gt;0,((K153-L153*F153)*((IF(DAY(E153+1)=1,EOMONTH(E153,H153*D153),EDATE(E153,H153*D153))-AsAt)/365.25*((1+F153)^(I153-O153)-1)/F153+IF((I153-O153)&gt;1,((IF(DAY(E153+1)=1,EOMONTH(E153,(N153-1)*D153),EDATE(E153,(N153-1)*D153))-AsAt)/365.25-(IF(DAY(E153+1)=1,EOMONTH(E153,H153*D153),EDATE(E153,H153*D153))-AsAt)/365.25)/((I153-O153)-1),0)*(1+F153)*(1-(I153-O153)*(1+F153)^((I153-O153)-1)+((I153-O153)-1)*(1+F153)^(I153-O153))/F153^2)+O153*(K153-L153*F153)*(1+F153)^(I153-1)*('Deal maths'!AA153-AsAt)/365.25)/L153,((I153-O153)*((IF(DAY(E153+1)=1,EOMONTH(E153,H153*D153),EDATE(E153,H153*D153))-AsAt)/365.25+(IF(DAY(E153+1)=1,EOMONTH(E153,(N153-1)*D153),EDATE(E153,(N153-1)*D153))-AsAt)/365.25)/2+O153*('Deal maths'!AA153-AsAt)/365.25)/I153),(S153-AsAt)/365.25)),0))</f>
        <v/>
      </c>
      <c r="Q153" s="109">
        <f>IF(B153=1,'Deal maths'!AA153+ROW()/1000000,"")</f>
        <v/>
      </c>
      <c r="R153" s="108">
        <f>IF(D153=0,0,IF(DAY(E153+1)=1,31,DAY(E153)))</f>
        <v/>
      </c>
      <c r="S153" s="109">
        <f>IF(AND('Deal maths'!V153="LOBO",'Deal maths'!AG153&gt;AsAt,'Deal maths'!AG153&lt;'Deal maths'!AA153),'Deal maths'!AG153,'Deal maths'!AA153)</f>
        <v/>
      </c>
      <c r="T153" s="108">
        <f>('Deal maths'!AA153&gt;AsAt)*('Deal maths'!Y153&gt;0)</f>
        <v/>
      </c>
    </row>
    <row r="154">
      <c r="A154" s="91">
        <f>IF('Deal maths'!V154="","",'Deal maths'!W154)</f>
        <v/>
      </c>
      <c r="B154" s="108">
        <f>('Deal maths'!AA154&gt;AsAt)*('Deal maths'!Y154&gt;0)*('Deal maths'!Z154&lt;=AsAt)</f>
        <v/>
      </c>
      <c r="C154" s="91">
        <f>IF('Deal maths'!V154="","",IF('Deal maths'!AC154="","Maturity",'Deal maths'!AC154))</f>
        <v/>
      </c>
      <c r="D154" s="108">
        <f>IF(OR(C154="EIP",C154="Annuity"),IF('Deal maths'!AD154="Annual",12,IF('Deal maths'!AD154="Quarterly",3,6)),0)</f>
        <v/>
      </c>
      <c r="E154" s="109">
        <f>IFERROR(IF(D154=0,0,IF('Deal maths'!AE154&gt;0,IF('Deal maths'!AE154&gt;'Deal maths'!AA154,'Deal maths'!AA154,'Deal maths'!AE154),IF(IF(DAY('Deal maths'!AA154+1)=1,EOMONTH('Deal maths'!AA154,-(INT(((YEAR('Deal maths'!AA154)-YEAR(IF('Deal maths'!Z154&gt;0,'Deal maths'!Z154,DATE(1990,1,1))))*12+MONTH('Deal maths'!AA154)-MONTH(IF('Deal maths'!Z154&gt;0,'Deal maths'!Z154,DATE(1990,1,1))))/D154))*D154),EDATE('Deal maths'!AA154,-(INT(((YEAR('Deal maths'!AA154)-YEAR(IF('Deal maths'!Z154&gt;0,'Deal maths'!Z154,DATE(1990,1,1))))*12+MONTH('Deal maths'!AA154)-MONTH(IF('Deal maths'!Z154&gt;0,'Deal maths'!Z154,DATE(1990,1,1))))/D154))*D154))&gt;IF('Deal maths'!Z154&gt;0,'Deal maths'!Z154,DATE(1990,1,1)),IF(DAY('Deal maths'!AA154+1)=1,EOMONTH('Deal maths'!AA154,-(INT(((YEAR('Deal maths'!AA154)-YEAR(IF('Deal maths'!Z154&gt;0,'Deal maths'!Z154,DATE(1990,1,1))))*12+MONTH('Deal maths'!AA154)-MONTH(IF('Deal maths'!Z154&gt;0,'Deal maths'!Z154,DATE(1990,1,1))))/D154))*D154),EDATE('Deal maths'!AA154,-(INT(((YEAR('Deal maths'!AA154)-YEAR(IF('Deal maths'!Z154&gt;0,'Deal maths'!Z154,DATE(1990,1,1))))*12+MONTH('Deal maths'!AA154)-MONTH(IF('Deal maths'!Z154&gt;0,'Deal maths'!Z154,DATE(1990,1,1))))/D154))*D154)),IF(DAY('Deal maths'!AA154+1)=1,EOMONTH('Deal maths'!AA154,-(INT(((YEAR('Deal maths'!AA154)-YEAR(IF('Deal maths'!Z154&gt;0,'Deal maths'!Z154,DATE(1990,1,1))))*12+MONTH('Deal maths'!AA154)-MONTH(IF('Deal maths'!Z154&gt;0,'Deal maths'!Z154,DATE(1990,1,1))))/D154)-1)*D154),EDATE('Deal maths'!AA154,-(INT(((YEAR('Deal maths'!AA154)-YEAR(IF('Deal maths'!Z154&gt;0,'Deal maths'!Z154,DATE(1990,1,1))))*12+MONTH('Deal maths'!AA154)-MONTH(IF('Deal maths'!Z154&gt;0,'Deal maths'!Z154,DATE(1990,1,1))))/D154)-1)*D154))))),0)</f>
        <v/>
      </c>
      <c r="F154" s="110">
        <f>IF(D154=0,0,'Deal maths'!AB154*D154/12)</f>
        <v/>
      </c>
      <c r="G154" s="108">
        <f>N154+O154</f>
        <v/>
      </c>
      <c r="H154" s="108">
        <f>IFERROR(IF(OR(D154=0,AsAt&lt;E154),0,MIN(N154,INT(((YEAR(AsAt)-YEAR(E154))*12+MONTH(AsAt)-MONTH(E154)-(DAY(AsAt)&lt;MIN(R154,DAY(EOMONTH(AsAt,0)))))/D154)+1)+O154*(AsAt&gt;='Deal maths'!AA154)),0)</f>
        <v/>
      </c>
      <c r="I154" s="108">
        <f>G154-H154</f>
        <v/>
      </c>
      <c r="J154" s="111">
        <f>IF(AND(C154="EIP",I154&gt;0),'Deal maths'!Y154/I154,0)</f>
        <v/>
      </c>
      <c r="K154" s="111">
        <f>IF(AND(C154="Annuity",I154&gt;0),IF(F154&gt;0,'Deal maths'!Y154*F154/(1-(1+F154)^-I154),'Deal maths'!Y154/I154),0)</f>
        <v/>
      </c>
      <c r="L154" s="111">
        <f>IF('Deal maths'!Y154="",0,'Deal maths'!Y154)</f>
        <v/>
      </c>
      <c r="M154" s="112">
        <f>F154+(F154=0)</f>
        <v/>
      </c>
      <c r="N154" s="108">
        <f>IFERROR(IF(D154=0,0,INT(((YEAR('Deal maths'!AA154)-YEAR(E154))*12+MONTH('Deal maths'!AA154)-MONTH(E154)-(DAY('Deal maths'!AA154)&lt;MIN(R154,DAY(EOMONTH('Deal maths'!AA154,0)))))/D154)+1),0)</f>
        <v/>
      </c>
      <c r="O154" s="108">
        <f>IFERROR(IF(D154=0,0,IF(IF(DAY(E154+1)=1,EOMONTH(E154,(N154-1)*D154),EDATE(E154,(N154-1)*D154))='Deal maths'!AA154,0,1)),0)</f>
        <v/>
      </c>
      <c r="P154" s="113">
        <f>IF(B154=0,0,IFERROR(IF(C154="EIP",((I154-O154)*((IF(DAY(E154+1)=1,EOMONTH(E154,H154*D154),EDATE(E154,H154*D154))-AsAt)/365.25+(IF(DAY(E154+1)=1,EOMONTH(E154,(N154-1)*D154),EDATE(E154,(N154-1)*D154))-AsAt)/365.25)/2+O154*('Deal maths'!AA154-AsAt)/365.25)/I154,IF(C154="Annuity",IF(F154&gt;0,((K154-L154*F154)*((IF(DAY(E154+1)=1,EOMONTH(E154,H154*D154),EDATE(E154,H154*D154))-AsAt)/365.25*((1+F154)^(I154-O154)-1)/F154+IF((I154-O154)&gt;1,((IF(DAY(E154+1)=1,EOMONTH(E154,(N154-1)*D154),EDATE(E154,(N154-1)*D154))-AsAt)/365.25-(IF(DAY(E154+1)=1,EOMONTH(E154,H154*D154),EDATE(E154,H154*D154))-AsAt)/365.25)/((I154-O154)-1),0)*(1+F154)*(1-(I154-O154)*(1+F154)^((I154-O154)-1)+((I154-O154)-1)*(1+F154)^(I154-O154))/F154^2)+O154*(K154-L154*F154)*(1+F154)^(I154-1)*('Deal maths'!AA154-AsAt)/365.25)/L154,((I154-O154)*((IF(DAY(E154+1)=1,EOMONTH(E154,H154*D154),EDATE(E154,H154*D154))-AsAt)/365.25+(IF(DAY(E154+1)=1,EOMONTH(E154,(N154-1)*D154),EDATE(E154,(N154-1)*D154))-AsAt)/365.25)/2+O154*('Deal maths'!AA154-AsAt)/365.25)/I154),(S154-AsAt)/365.25)),0))</f>
        <v/>
      </c>
      <c r="Q154" s="109">
        <f>IF(B154=1,'Deal maths'!AA154+ROW()/1000000,"")</f>
        <v/>
      </c>
      <c r="R154" s="108">
        <f>IF(D154=0,0,IF(DAY(E154+1)=1,31,DAY(E154)))</f>
        <v/>
      </c>
      <c r="S154" s="109">
        <f>IF(AND('Deal maths'!V154="LOBO",'Deal maths'!AG154&gt;AsAt,'Deal maths'!AG154&lt;'Deal maths'!AA154),'Deal maths'!AG154,'Deal maths'!AA154)</f>
        <v/>
      </c>
      <c r="T154" s="108">
        <f>('Deal maths'!AA154&gt;AsAt)*('Deal maths'!Y154&gt;0)</f>
        <v/>
      </c>
    </row>
    <row r="155">
      <c r="A155" s="91">
        <f>IF('Deal maths'!V155="","",'Deal maths'!W155)</f>
        <v/>
      </c>
      <c r="B155" s="108">
        <f>('Deal maths'!AA155&gt;AsAt)*('Deal maths'!Y155&gt;0)*('Deal maths'!Z155&lt;=AsAt)</f>
        <v/>
      </c>
      <c r="C155" s="91">
        <f>IF('Deal maths'!V155="","",IF('Deal maths'!AC155="","Maturity",'Deal maths'!AC155))</f>
        <v/>
      </c>
      <c r="D155" s="108">
        <f>IF(OR(C155="EIP",C155="Annuity"),IF('Deal maths'!AD155="Annual",12,IF('Deal maths'!AD155="Quarterly",3,6)),0)</f>
        <v/>
      </c>
      <c r="E155" s="109">
        <f>IFERROR(IF(D155=0,0,IF('Deal maths'!AE155&gt;0,IF('Deal maths'!AE155&gt;'Deal maths'!AA155,'Deal maths'!AA155,'Deal maths'!AE155),IF(IF(DAY('Deal maths'!AA155+1)=1,EOMONTH('Deal maths'!AA155,-(INT(((YEAR('Deal maths'!AA155)-YEAR(IF('Deal maths'!Z155&gt;0,'Deal maths'!Z155,DATE(1990,1,1))))*12+MONTH('Deal maths'!AA155)-MONTH(IF('Deal maths'!Z155&gt;0,'Deal maths'!Z155,DATE(1990,1,1))))/D155))*D155),EDATE('Deal maths'!AA155,-(INT(((YEAR('Deal maths'!AA155)-YEAR(IF('Deal maths'!Z155&gt;0,'Deal maths'!Z155,DATE(1990,1,1))))*12+MONTH('Deal maths'!AA155)-MONTH(IF('Deal maths'!Z155&gt;0,'Deal maths'!Z155,DATE(1990,1,1))))/D155))*D155))&gt;IF('Deal maths'!Z155&gt;0,'Deal maths'!Z155,DATE(1990,1,1)),IF(DAY('Deal maths'!AA155+1)=1,EOMONTH('Deal maths'!AA155,-(INT(((YEAR('Deal maths'!AA155)-YEAR(IF('Deal maths'!Z155&gt;0,'Deal maths'!Z155,DATE(1990,1,1))))*12+MONTH('Deal maths'!AA155)-MONTH(IF('Deal maths'!Z155&gt;0,'Deal maths'!Z155,DATE(1990,1,1))))/D155))*D155),EDATE('Deal maths'!AA155,-(INT(((YEAR('Deal maths'!AA155)-YEAR(IF('Deal maths'!Z155&gt;0,'Deal maths'!Z155,DATE(1990,1,1))))*12+MONTH('Deal maths'!AA155)-MONTH(IF('Deal maths'!Z155&gt;0,'Deal maths'!Z155,DATE(1990,1,1))))/D155))*D155)),IF(DAY('Deal maths'!AA155+1)=1,EOMONTH('Deal maths'!AA155,-(INT(((YEAR('Deal maths'!AA155)-YEAR(IF('Deal maths'!Z155&gt;0,'Deal maths'!Z155,DATE(1990,1,1))))*12+MONTH('Deal maths'!AA155)-MONTH(IF('Deal maths'!Z155&gt;0,'Deal maths'!Z155,DATE(1990,1,1))))/D155)-1)*D155),EDATE('Deal maths'!AA155,-(INT(((YEAR('Deal maths'!AA155)-YEAR(IF('Deal maths'!Z155&gt;0,'Deal maths'!Z155,DATE(1990,1,1))))*12+MONTH('Deal maths'!AA155)-MONTH(IF('Deal maths'!Z155&gt;0,'Deal maths'!Z155,DATE(1990,1,1))))/D155)-1)*D155))))),0)</f>
        <v/>
      </c>
      <c r="F155" s="110">
        <f>IF(D155=0,0,'Deal maths'!AB155*D155/12)</f>
        <v/>
      </c>
      <c r="G155" s="108">
        <f>N155+O155</f>
        <v/>
      </c>
      <c r="H155" s="108">
        <f>IFERROR(IF(OR(D155=0,AsAt&lt;E155),0,MIN(N155,INT(((YEAR(AsAt)-YEAR(E155))*12+MONTH(AsAt)-MONTH(E155)-(DAY(AsAt)&lt;MIN(R155,DAY(EOMONTH(AsAt,0)))))/D155)+1)+O155*(AsAt&gt;='Deal maths'!AA155)),0)</f>
        <v/>
      </c>
      <c r="I155" s="108">
        <f>G155-H155</f>
        <v/>
      </c>
      <c r="J155" s="111">
        <f>IF(AND(C155="EIP",I155&gt;0),'Deal maths'!Y155/I155,0)</f>
        <v/>
      </c>
      <c r="K155" s="111">
        <f>IF(AND(C155="Annuity",I155&gt;0),IF(F155&gt;0,'Deal maths'!Y155*F155/(1-(1+F155)^-I155),'Deal maths'!Y155/I155),0)</f>
        <v/>
      </c>
      <c r="L155" s="111">
        <f>IF('Deal maths'!Y155="",0,'Deal maths'!Y155)</f>
        <v/>
      </c>
      <c r="M155" s="112">
        <f>F155+(F155=0)</f>
        <v/>
      </c>
      <c r="N155" s="108">
        <f>IFERROR(IF(D155=0,0,INT(((YEAR('Deal maths'!AA155)-YEAR(E155))*12+MONTH('Deal maths'!AA155)-MONTH(E155)-(DAY('Deal maths'!AA155)&lt;MIN(R155,DAY(EOMONTH('Deal maths'!AA155,0)))))/D155)+1),0)</f>
        <v/>
      </c>
      <c r="O155" s="108">
        <f>IFERROR(IF(D155=0,0,IF(IF(DAY(E155+1)=1,EOMONTH(E155,(N155-1)*D155),EDATE(E155,(N155-1)*D155))='Deal maths'!AA155,0,1)),0)</f>
        <v/>
      </c>
      <c r="P155" s="113">
        <f>IF(B155=0,0,IFERROR(IF(C155="EIP",((I155-O155)*((IF(DAY(E155+1)=1,EOMONTH(E155,H155*D155),EDATE(E155,H155*D155))-AsAt)/365.25+(IF(DAY(E155+1)=1,EOMONTH(E155,(N155-1)*D155),EDATE(E155,(N155-1)*D155))-AsAt)/365.25)/2+O155*('Deal maths'!AA155-AsAt)/365.25)/I155,IF(C155="Annuity",IF(F155&gt;0,((K155-L155*F155)*((IF(DAY(E155+1)=1,EOMONTH(E155,H155*D155),EDATE(E155,H155*D155))-AsAt)/365.25*((1+F155)^(I155-O155)-1)/F155+IF((I155-O155)&gt;1,((IF(DAY(E155+1)=1,EOMONTH(E155,(N155-1)*D155),EDATE(E155,(N155-1)*D155))-AsAt)/365.25-(IF(DAY(E155+1)=1,EOMONTH(E155,H155*D155),EDATE(E155,H155*D155))-AsAt)/365.25)/((I155-O155)-1),0)*(1+F155)*(1-(I155-O155)*(1+F155)^((I155-O155)-1)+((I155-O155)-1)*(1+F155)^(I155-O155))/F155^2)+O155*(K155-L155*F155)*(1+F155)^(I155-1)*('Deal maths'!AA155-AsAt)/365.25)/L155,((I155-O155)*((IF(DAY(E155+1)=1,EOMONTH(E155,H155*D155),EDATE(E155,H155*D155))-AsAt)/365.25+(IF(DAY(E155+1)=1,EOMONTH(E155,(N155-1)*D155),EDATE(E155,(N155-1)*D155))-AsAt)/365.25)/2+O155*('Deal maths'!AA155-AsAt)/365.25)/I155),(S155-AsAt)/365.25)),0))</f>
        <v/>
      </c>
      <c r="Q155" s="109">
        <f>IF(B155=1,'Deal maths'!AA155+ROW()/1000000,"")</f>
        <v/>
      </c>
      <c r="R155" s="108">
        <f>IF(D155=0,0,IF(DAY(E155+1)=1,31,DAY(E155)))</f>
        <v/>
      </c>
      <c r="S155" s="109">
        <f>IF(AND('Deal maths'!V155="LOBO",'Deal maths'!AG155&gt;AsAt,'Deal maths'!AG155&lt;'Deal maths'!AA155),'Deal maths'!AG155,'Deal maths'!AA155)</f>
        <v/>
      </c>
      <c r="T155" s="108">
        <f>('Deal maths'!AA155&gt;AsAt)*('Deal maths'!Y155&gt;0)</f>
        <v/>
      </c>
    </row>
    <row r="156">
      <c r="A156" s="91">
        <f>IF('Deal maths'!V156="","",'Deal maths'!W156)</f>
        <v/>
      </c>
      <c r="B156" s="108">
        <f>('Deal maths'!AA156&gt;AsAt)*('Deal maths'!Y156&gt;0)*('Deal maths'!Z156&lt;=AsAt)</f>
        <v/>
      </c>
      <c r="C156" s="91">
        <f>IF('Deal maths'!V156="","",IF('Deal maths'!AC156="","Maturity",'Deal maths'!AC156))</f>
        <v/>
      </c>
      <c r="D156" s="108">
        <f>IF(OR(C156="EIP",C156="Annuity"),IF('Deal maths'!AD156="Annual",12,IF('Deal maths'!AD156="Quarterly",3,6)),0)</f>
        <v/>
      </c>
      <c r="E156" s="109">
        <f>IFERROR(IF(D156=0,0,IF('Deal maths'!AE156&gt;0,IF('Deal maths'!AE156&gt;'Deal maths'!AA156,'Deal maths'!AA156,'Deal maths'!AE156),IF(IF(DAY('Deal maths'!AA156+1)=1,EOMONTH('Deal maths'!AA156,-(INT(((YEAR('Deal maths'!AA156)-YEAR(IF('Deal maths'!Z156&gt;0,'Deal maths'!Z156,DATE(1990,1,1))))*12+MONTH('Deal maths'!AA156)-MONTH(IF('Deal maths'!Z156&gt;0,'Deal maths'!Z156,DATE(1990,1,1))))/D156))*D156),EDATE('Deal maths'!AA156,-(INT(((YEAR('Deal maths'!AA156)-YEAR(IF('Deal maths'!Z156&gt;0,'Deal maths'!Z156,DATE(1990,1,1))))*12+MONTH('Deal maths'!AA156)-MONTH(IF('Deal maths'!Z156&gt;0,'Deal maths'!Z156,DATE(1990,1,1))))/D156))*D156))&gt;IF('Deal maths'!Z156&gt;0,'Deal maths'!Z156,DATE(1990,1,1)),IF(DAY('Deal maths'!AA156+1)=1,EOMONTH('Deal maths'!AA156,-(INT(((YEAR('Deal maths'!AA156)-YEAR(IF('Deal maths'!Z156&gt;0,'Deal maths'!Z156,DATE(1990,1,1))))*12+MONTH('Deal maths'!AA156)-MONTH(IF('Deal maths'!Z156&gt;0,'Deal maths'!Z156,DATE(1990,1,1))))/D156))*D156),EDATE('Deal maths'!AA156,-(INT(((YEAR('Deal maths'!AA156)-YEAR(IF('Deal maths'!Z156&gt;0,'Deal maths'!Z156,DATE(1990,1,1))))*12+MONTH('Deal maths'!AA156)-MONTH(IF('Deal maths'!Z156&gt;0,'Deal maths'!Z156,DATE(1990,1,1))))/D156))*D156)),IF(DAY('Deal maths'!AA156+1)=1,EOMONTH('Deal maths'!AA156,-(INT(((YEAR('Deal maths'!AA156)-YEAR(IF('Deal maths'!Z156&gt;0,'Deal maths'!Z156,DATE(1990,1,1))))*12+MONTH('Deal maths'!AA156)-MONTH(IF('Deal maths'!Z156&gt;0,'Deal maths'!Z156,DATE(1990,1,1))))/D156)-1)*D156),EDATE('Deal maths'!AA156,-(INT(((YEAR('Deal maths'!AA156)-YEAR(IF('Deal maths'!Z156&gt;0,'Deal maths'!Z156,DATE(1990,1,1))))*12+MONTH('Deal maths'!AA156)-MONTH(IF('Deal maths'!Z156&gt;0,'Deal maths'!Z156,DATE(1990,1,1))))/D156)-1)*D156))))),0)</f>
        <v/>
      </c>
      <c r="F156" s="110">
        <f>IF(D156=0,0,'Deal maths'!AB156*D156/12)</f>
        <v/>
      </c>
      <c r="G156" s="108">
        <f>N156+O156</f>
        <v/>
      </c>
      <c r="H156" s="108">
        <f>IFERROR(IF(OR(D156=0,AsAt&lt;E156),0,MIN(N156,INT(((YEAR(AsAt)-YEAR(E156))*12+MONTH(AsAt)-MONTH(E156)-(DAY(AsAt)&lt;MIN(R156,DAY(EOMONTH(AsAt,0)))))/D156)+1)+O156*(AsAt&gt;='Deal maths'!AA156)),0)</f>
        <v/>
      </c>
      <c r="I156" s="108">
        <f>G156-H156</f>
        <v/>
      </c>
      <c r="J156" s="111">
        <f>IF(AND(C156="EIP",I156&gt;0),'Deal maths'!Y156/I156,0)</f>
        <v/>
      </c>
      <c r="K156" s="111">
        <f>IF(AND(C156="Annuity",I156&gt;0),IF(F156&gt;0,'Deal maths'!Y156*F156/(1-(1+F156)^-I156),'Deal maths'!Y156/I156),0)</f>
        <v/>
      </c>
      <c r="L156" s="111">
        <f>IF('Deal maths'!Y156="",0,'Deal maths'!Y156)</f>
        <v/>
      </c>
      <c r="M156" s="112">
        <f>F156+(F156=0)</f>
        <v/>
      </c>
      <c r="N156" s="108">
        <f>IFERROR(IF(D156=0,0,INT(((YEAR('Deal maths'!AA156)-YEAR(E156))*12+MONTH('Deal maths'!AA156)-MONTH(E156)-(DAY('Deal maths'!AA156)&lt;MIN(R156,DAY(EOMONTH('Deal maths'!AA156,0)))))/D156)+1),0)</f>
        <v/>
      </c>
      <c r="O156" s="108">
        <f>IFERROR(IF(D156=0,0,IF(IF(DAY(E156+1)=1,EOMONTH(E156,(N156-1)*D156),EDATE(E156,(N156-1)*D156))='Deal maths'!AA156,0,1)),0)</f>
        <v/>
      </c>
      <c r="P156" s="113">
        <f>IF(B156=0,0,IFERROR(IF(C156="EIP",((I156-O156)*((IF(DAY(E156+1)=1,EOMONTH(E156,H156*D156),EDATE(E156,H156*D156))-AsAt)/365.25+(IF(DAY(E156+1)=1,EOMONTH(E156,(N156-1)*D156),EDATE(E156,(N156-1)*D156))-AsAt)/365.25)/2+O156*('Deal maths'!AA156-AsAt)/365.25)/I156,IF(C156="Annuity",IF(F156&gt;0,((K156-L156*F156)*((IF(DAY(E156+1)=1,EOMONTH(E156,H156*D156),EDATE(E156,H156*D156))-AsAt)/365.25*((1+F156)^(I156-O156)-1)/F156+IF((I156-O156)&gt;1,((IF(DAY(E156+1)=1,EOMONTH(E156,(N156-1)*D156),EDATE(E156,(N156-1)*D156))-AsAt)/365.25-(IF(DAY(E156+1)=1,EOMONTH(E156,H156*D156),EDATE(E156,H156*D156))-AsAt)/365.25)/((I156-O156)-1),0)*(1+F156)*(1-(I156-O156)*(1+F156)^((I156-O156)-1)+((I156-O156)-1)*(1+F156)^(I156-O156))/F156^2)+O156*(K156-L156*F156)*(1+F156)^(I156-1)*('Deal maths'!AA156-AsAt)/365.25)/L156,((I156-O156)*((IF(DAY(E156+1)=1,EOMONTH(E156,H156*D156),EDATE(E156,H156*D156))-AsAt)/365.25+(IF(DAY(E156+1)=1,EOMONTH(E156,(N156-1)*D156),EDATE(E156,(N156-1)*D156))-AsAt)/365.25)/2+O156*('Deal maths'!AA156-AsAt)/365.25)/I156),(S156-AsAt)/365.25)),0))</f>
        <v/>
      </c>
      <c r="Q156" s="109">
        <f>IF(B156=1,'Deal maths'!AA156+ROW()/1000000,"")</f>
        <v/>
      </c>
      <c r="R156" s="108">
        <f>IF(D156=0,0,IF(DAY(E156+1)=1,31,DAY(E156)))</f>
        <v/>
      </c>
      <c r="S156" s="109">
        <f>IF(AND('Deal maths'!V156="LOBO",'Deal maths'!AG156&gt;AsAt,'Deal maths'!AG156&lt;'Deal maths'!AA156),'Deal maths'!AG156,'Deal maths'!AA156)</f>
        <v/>
      </c>
      <c r="T156" s="108">
        <f>('Deal maths'!AA156&gt;AsAt)*('Deal maths'!Y156&gt;0)</f>
        <v/>
      </c>
    </row>
    <row r="157">
      <c r="A157" s="91">
        <f>IF('Deal maths'!V157="","",'Deal maths'!W157)</f>
        <v/>
      </c>
      <c r="B157" s="108">
        <f>('Deal maths'!AA157&gt;AsAt)*('Deal maths'!Y157&gt;0)*('Deal maths'!Z157&lt;=AsAt)</f>
        <v/>
      </c>
      <c r="C157" s="91">
        <f>IF('Deal maths'!V157="","",IF('Deal maths'!AC157="","Maturity",'Deal maths'!AC157))</f>
        <v/>
      </c>
      <c r="D157" s="108">
        <f>IF(OR(C157="EIP",C157="Annuity"),IF('Deal maths'!AD157="Annual",12,IF('Deal maths'!AD157="Quarterly",3,6)),0)</f>
        <v/>
      </c>
      <c r="E157" s="109">
        <f>IFERROR(IF(D157=0,0,IF('Deal maths'!AE157&gt;0,IF('Deal maths'!AE157&gt;'Deal maths'!AA157,'Deal maths'!AA157,'Deal maths'!AE157),IF(IF(DAY('Deal maths'!AA157+1)=1,EOMONTH('Deal maths'!AA157,-(INT(((YEAR('Deal maths'!AA157)-YEAR(IF('Deal maths'!Z157&gt;0,'Deal maths'!Z157,DATE(1990,1,1))))*12+MONTH('Deal maths'!AA157)-MONTH(IF('Deal maths'!Z157&gt;0,'Deal maths'!Z157,DATE(1990,1,1))))/D157))*D157),EDATE('Deal maths'!AA157,-(INT(((YEAR('Deal maths'!AA157)-YEAR(IF('Deal maths'!Z157&gt;0,'Deal maths'!Z157,DATE(1990,1,1))))*12+MONTH('Deal maths'!AA157)-MONTH(IF('Deal maths'!Z157&gt;0,'Deal maths'!Z157,DATE(1990,1,1))))/D157))*D157))&gt;IF('Deal maths'!Z157&gt;0,'Deal maths'!Z157,DATE(1990,1,1)),IF(DAY('Deal maths'!AA157+1)=1,EOMONTH('Deal maths'!AA157,-(INT(((YEAR('Deal maths'!AA157)-YEAR(IF('Deal maths'!Z157&gt;0,'Deal maths'!Z157,DATE(1990,1,1))))*12+MONTH('Deal maths'!AA157)-MONTH(IF('Deal maths'!Z157&gt;0,'Deal maths'!Z157,DATE(1990,1,1))))/D157))*D157),EDATE('Deal maths'!AA157,-(INT(((YEAR('Deal maths'!AA157)-YEAR(IF('Deal maths'!Z157&gt;0,'Deal maths'!Z157,DATE(1990,1,1))))*12+MONTH('Deal maths'!AA157)-MONTH(IF('Deal maths'!Z157&gt;0,'Deal maths'!Z157,DATE(1990,1,1))))/D157))*D157)),IF(DAY('Deal maths'!AA157+1)=1,EOMONTH('Deal maths'!AA157,-(INT(((YEAR('Deal maths'!AA157)-YEAR(IF('Deal maths'!Z157&gt;0,'Deal maths'!Z157,DATE(1990,1,1))))*12+MONTH('Deal maths'!AA157)-MONTH(IF('Deal maths'!Z157&gt;0,'Deal maths'!Z157,DATE(1990,1,1))))/D157)-1)*D157),EDATE('Deal maths'!AA157,-(INT(((YEAR('Deal maths'!AA157)-YEAR(IF('Deal maths'!Z157&gt;0,'Deal maths'!Z157,DATE(1990,1,1))))*12+MONTH('Deal maths'!AA157)-MONTH(IF('Deal maths'!Z157&gt;0,'Deal maths'!Z157,DATE(1990,1,1))))/D157)-1)*D157))))),0)</f>
        <v/>
      </c>
      <c r="F157" s="110">
        <f>IF(D157=0,0,'Deal maths'!AB157*D157/12)</f>
        <v/>
      </c>
      <c r="G157" s="108">
        <f>N157+O157</f>
        <v/>
      </c>
      <c r="H157" s="108">
        <f>IFERROR(IF(OR(D157=0,AsAt&lt;E157),0,MIN(N157,INT(((YEAR(AsAt)-YEAR(E157))*12+MONTH(AsAt)-MONTH(E157)-(DAY(AsAt)&lt;MIN(R157,DAY(EOMONTH(AsAt,0)))))/D157)+1)+O157*(AsAt&gt;='Deal maths'!AA157)),0)</f>
        <v/>
      </c>
      <c r="I157" s="108">
        <f>G157-H157</f>
        <v/>
      </c>
      <c r="J157" s="111">
        <f>IF(AND(C157="EIP",I157&gt;0),'Deal maths'!Y157/I157,0)</f>
        <v/>
      </c>
      <c r="K157" s="111">
        <f>IF(AND(C157="Annuity",I157&gt;0),IF(F157&gt;0,'Deal maths'!Y157*F157/(1-(1+F157)^-I157),'Deal maths'!Y157/I157),0)</f>
        <v/>
      </c>
      <c r="L157" s="111">
        <f>IF('Deal maths'!Y157="",0,'Deal maths'!Y157)</f>
        <v/>
      </c>
      <c r="M157" s="112">
        <f>F157+(F157=0)</f>
        <v/>
      </c>
      <c r="N157" s="108">
        <f>IFERROR(IF(D157=0,0,INT(((YEAR('Deal maths'!AA157)-YEAR(E157))*12+MONTH('Deal maths'!AA157)-MONTH(E157)-(DAY('Deal maths'!AA157)&lt;MIN(R157,DAY(EOMONTH('Deal maths'!AA157,0)))))/D157)+1),0)</f>
        <v/>
      </c>
      <c r="O157" s="108">
        <f>IFERROR(IF(D157=0,0,IF(IF(DAY(E157+1)=1,EOMONTH(E157,(N157-1)*D157),EDATE(E157,(N157-1)*D157))='Deal maths'!AA157,0,1)),0)</f>
        <v/>
      </c>
      <c r="P157" s="113">
        <f>IF(B157=0,0,IFERROR(IF(C157="EIP",((I157-O157)*((IF(DAY(E157+1)=1,EOMONTH(E157,H157*D157),EDATE(E157,H157*D157))-AsAt)/365.25+(IF(DAY(E157+1)=1,EOMONTH(E157,(N157-1)*D157),EDATE(E157,(N157-1)*D157))-AsAt)/365.25)/2+O157*('Deal maths'!AA157-AsAt)/365.25)/I157,IF(C157="Annuity",IF(F157&gt;0,((K157-L157*F157)*((IF(DAY(E157+1)=1,EOMONTH(E157,H157*D157),EDATE(E157,H157*D157))-AsAt)/365.25*((1+F157)^(I157-O157)-1)/F157+IF((I157-O157)&gt;1,((IF(DAY(E157+1)=1,EOMONTH(E157,(N157-1)*D157),EDATE(E157,(N157-1)*D157))-AsAt)/365.25-(IF(DAY(E157+1)=1,EOMONTH(E157,H157*D157),EDATE(E157,H157*D157))-AsAt)/365.25)/((I157-O157)-1),0)*(1+F157)*(1-(I157-O157)*(1+F157)^((I157-O157)-1)+((I157-O157)-1)*(1+F157)^(I157-O157))/F157^2)+O157*(K157-L157*F157)*(1+F157)^(I157-1)*('Deal maths'!AA157-AsAt)/365.25)/L157,((I157-O157)*((IF(DAY(E157+1)=1,EOMONTH(E157,H157*D157),EDATE(E157,H157*D157))-AsAt)/365.25+(IF(DAY(E157+1)=1,EOMONTH(E157,(N157-1)*D157),EDATE(E157,(N157-1)*D157))-AsAt)/365.25)/2+O157*('Deal maths'!AA157-AsAt)/365.25)/I157),(S157-AsAt)/365.25)),0))</f>
        <v/>
      </c>
      <c r="Q157" s="109">
        <f>IF(B157=1,'Deal maths'!AA157+ROW()/1000000,"")</f>
        <v/>
      </c>
      <c r="R157" s="108">
        <f>IF(D157=0,0,IF(DAY(E157+1)=1,31,DAY(E157)))</f>
        <v/>
      </c>
      <c r="S157" s="109">
        <f>IF(AND('Deal maths'!V157="LOBO",'Deal maths'!AG157&gt;AsAt,'Deal maths'!AG157&lt;'Deal maths'!AA157),'Deal maths'!AG157,'Deal maths'!AA157)</f>
        <v/>
      </c>
      <c r="T157" s="108">
        <f>('Deal maths'!AA157&gt;AsAt)*('Deal maths'!Y157&gt;0)</f>
        <v/>
      </c>
    </row>
    <row r="158">
      <c r="A158" s="91">
        <f>IF('Deal maths'!V158="","",'Deal maths'!W158)</f>
        <v/>
      </c>
      <c r="B158" s="108">
        <f>('Deal maths'!AA158&gt;AsAt)*('Deal maths'!Y158&gt;0)*('Deal maths'!Z158&lt;=AsAt)</f>
        <v/>
      </c>
      <c r="C158" s="91">
        <f>IF('Deal maths'!V158="","",IF('Deal maths'!AC158="","Maturity",'Deal maths'!AC158))</f>
        <v/>
      </c>
      <c r="D158" s="108">
        <f>IF(OR(C158="EIP",C158="Annuity"),IF('Deal maths'!AD158="Annual",12,IF('Deal maths'!AD158="Quarterly",3,6)),0)</f>
        <v/>
      </c>
      <c r="E158" s="109">
        <f>IFERROR(IF(D158=0,0,IF('Deal maths'!AE158&gt;0,IF('Deal maths'!AE158&gt;'Deal maths'!AA158,'Deal maths'!AA158,'Deal maths'!AE158),IF(IF(DAY('Deal maths'!AA158+1)=1,EOMONTH('Deal maths'!AA158,-(INT(((YEAR('Deal maths'!AA158)-YEAR(IF('Deal maths'!Z158&gt;0,'Deal maths'!Z158,DATE(1990,1,1))))*12+MONTH('Deal maths'!AA158)-MONTH(IF('Deal maths'!Z158&gt;0,'Deal maths'!Z158,DATE(1990,1,1))))/D158))*D158),EDATE('Deal maths'!AA158,-(INT(((YEAR('Deal maths'!AA158)-YEAR(IF('Deal maths'!Z158&gt;0,'Deal maths'!Z158,DATE(1990,1,1))))*12+MONTH('Deal maths'!AA158)-MONTH(IF('Deal maths'!Z158&gt;0,'Deal maths'!Z158,DATE(1990,1,1))))/D158))*D158))&gt;IF('Deal maths'!Z158&gt;0,'Deal maths'!Z158,DATE(1990,1,1)),IF(DAY('Deal maths'!AA158+1)=1,EOMONTH('Deal maths'!AA158,-(INT(((YEAR('Deal maths'!AA158)-YEAR(IF('Deal maths'!Z158&gt;0,'Deal maths'!Z158,DATE(1990,1,1))))*12+MONTH('Deal maths'!AA158)-MONTH(IF('Deal maths'!Z158&gt;0,'Deal maths'!Z158,DATE(1990,1,1))))/D158))*D158),EDATE('Deal maths'!AA158,-(INT(((YEAR('Deal maths'!AA158)-YEAR(IF('Deal maths'!Z158&gt;0,'Deal maths'!Z158,DATE(1990,1,1))))*12+MONTH('Deal maths'!AA158)-MONTH(IF('Deal maths'!Z158&gt;0,'Deal maths'!Z158,DATE(1990,1,1))))/D158))*D158)),IF(DAY('Deal maths'!AA158+1)=1,EOMONTH('Deal maths'!AA158,-(INT(((YEAR('Deal maths'!AA158)-YEAR(IF('Deal maths'!Z158&gt;0,'Deal maths'!Z158,DATE(1990,1,1))))*12+MONTH('Deal maths'!AA158)-MONTH(IF('Deal maths'!Z158&gt;0,'Deal maths'!Z158,DATE(1990,1,1))))/D158)-1)*D158),EDATE('Deal maths'!AA158,-(INT(((YEAR('Deal maths'!AA158)-YEAR(IF('Deal maths'!Z158&gt;0,'Deal maths'!Z158,DATE(1990,1,1))))*12+MONTH('Deal maths'!AA158)-MONTH(IF('Deal maths'!Z158&gt;0,'Deal maths'!Z158,DATE(1990,1,1))))/D158)-1)*D158))))),0)</f>
        <v/>
      </c>
      <c r="F158" s="110">
        <f>IF(D158=0,0,'Deal maths'!AB158*D158/12)</f>
        <v/>
      </c>
      <c r="G158" s="108">
        <f>N158+O158</f>
        <v/>
      </c>
      <c r="H158" s="108">
        <f>IFERROR(IF(OR(D158=0,AsAt&lt;E158),0,MIN(N158,INT(((YEAR(AsAt)-YEAR(E158))*12+MONTH(AsAt)-MONTH(E158)-(DAY(AsAt)&lt;MIN(R158,DAY(EOMONTH(AsAt,0)))))/D158)+1)+O158*(AsAt&gt;='Deal maths'!AA158)),0)</f>
        <v/>
      </c>
      <c r="I158" s="108">
        <f>G158-H158</f>
        <v/>
      </c>
      <c r="J158" s="111">
        <f>IF(AND(C158="EIP",I158&gt;0),'Deal maths'!Y158/I158,0)</f>
        <v/>
      </c>
      <c r="K158" s="111">
        <f>IF(AND(C158="Annuity",I158&gt;0),IF(F158&gt;0,'Deal maths'!Y158*F158/(1-(1+F158)^-I158),'Deal maths'!Y158/I158),0)</f>
        <v/>
      </c>
      <c r="L158" s="111">
        <f>IF('Deal maths'!Y158="",0,'Deal maths'!Y158)</f>
        <v/>
      </c>
      <c r="M158" s="112">
        <f>F158+(F158=0)</f>
        <v/>
      </c>
      <c r="N158" s="108">
        <f>IFERROR(IF(D158=0,0,INT(((YEAR('Deal maths'!AA158)-YEAR(E158))*12+MONTH('Deal maths'!AA158)-MONTH(E158)-(DAY('Deal maths'!AA158)&lt;MIN(R158,DAY(EOMONTH('Deal maths'!AA158,0)))))/D158)+1),0)</f>
        <v/>
      </c>
      <c r="O158" s="108">
        <f>IFERROR(IF(D158=0,0,IF(IF(DAY(E158+1)=1,EOMONTH(E158,(N158-1)*D158),EDATE(E158,(N158-1)*D158))='Deal maths'!AA158,0,1)),0)</f>
        <v/>
      </c>
      <c r="P158" s="113">
        <f>IF(B158=0,0,IFERROR(IF(C158="EIP",((I158-O158)*((IF(DAY(E158+1)=1,EOMONTH(E158,H158*D158),EDATE(E158,H158*D158))-AsAt)/365.25+(IF(DAY(E158+1)=1,EOMONTH(E158,(N158-1)*D158),EDATE(E158,(N158-1)*D158))-AsAt)/365.25)/2+O158*('Deal maths'!AA158-AsAt)/365.25)/I158,IF(C158="Annuity",IF(F158&gt;0,((K158-L158*F158)*((IF(DAY(E158+1)=1,EOMONTH(E158,H158*D158),EDATE(E158,H158*D158))-AsAt)/365.25*((1+F158)^(I158-O158)-1)/F158+IF((I158-O158)&gt;1,((IF(DAY(E158+1)=1,EOMONTH(E158,(N158-1)*D158),EDATE(E158,(N158-1)*D158))-AsAt)/365.25-(IF(DAY(E158+1)=1,EOMONTH(E158,H158*D158),EDATE(E158,H158*D158))-AsAt)/365.25)/((I158-O158)-1),0)*(1+F158)*(1-(I158-O158)*(1+F158)^((I158-O158)-1)+((I158-O158)-1)*(1+F158)^(I158-O158))/F158^2)+O158*(K158-L158*F158)*(1+F158)^(I158-1)*('Deal maths'!AA158-AsAt)/365.25)/L158,((I158-O158)*((IF(DAY(E158+1)=1,EOMONTH(E158,H158*D158),EDATE(E158,H158*D158))-AsAt)/365.25+(IF(DAY(E158+1)=1,EOMONTH(E158,(N158-1)*D158),EDATE(E158,(N158-1)*D158))-AsAt)/365.25)/2+O158*('Deal maths'!AA158-AsAt)/365.25)/I158),(S158-AsAt)/365.25)),0))</f>
        <v/>
      </c>
      <c r="Q158" s="109">
        <f>IF(B158=1,'Deal maths'!AA158+ROW()/1000000,"")</f>
        <v/>
      </c>
      <c r="R158" s="108">
        <f>IF(D158=0,0,IF(DAY(E158+1)=1,31,DAY(E158)))</f>
        <v/>
      </c>
      <c r="S158" s="109">
        <f>IF(AND('Deal maths'!V158="LOBO",'Deal maths'!AG158&gt;AsAt,'Deal maths'!AG158&lt;'Deal maths'!AA158),'Deal maths'!AG158,'Deal maths'!AA158)</f>
        <v/>
      </c>
      <c r="T158" s="108">
        <f>('Deal maths'!AA158&gt;AsAt)*('Deal maths'!Y158&gt;0)</f>
        <v/>
      </c>
    </row>
    <row r="159">
      <c r="A159" s="91">
        <f>IF('Deal maths'!V159="","",'Deal maths'!W159)</f>
        <v/>
      </c>
      <c r="B159" s="108">
        <f>('Deal maths'!AA159&gt;AsAt)*('Deal maths'!Y159&gt;0)*('Deal maths'!Z159&lt;=AsAt)</f>
        <v/>
      </c>
      <c r="C159" s="91">
        <f>IF('Deal maths'!V159="","",IF('Deal maths'!AC159="","Maturity",'Deal maths'!AC159))</f>
        <v/>
      </c>
      <c r="D159" s="108">
        <f>IF(OR(C159="EIP",C159="Annuity"),IF('Deal maths'!AD159="Annual",12,IF('Deal maths'!AD159="Quarterly",3,6)),0)</f>
        <v/>
      </c>
      <c r="E159" s="109">
        <f>IFERROR(IF(D159=0,0,IF('Deal maths'!AE159&gt;0,IF('Deal maths'!AE159&gt;'Deal maths'!AA159,'Deal maths'!AA159,'Deal maths'!AE159),IF(IF(DAY('Deal maths'!AA159+1)=1,EOMONTH('Deal maths'!AA159,-(INT(((YEAR('Deal maths'!AA159)-YEAR(IF('Deal maths'!Z159&gt;0,'Deal maths'!Z159,DATE(1990,1,1))))*12+MONTH('Deal maths'!AA159)-MONTH(IF('Deal maths'!Z159&gt;0,'Deal maths'!Z159,DATE(1990,1,1))))/D159))*D159),EDATE('Deal maths'!AA159,-(INT(((YEAR('Deal maths'!AA159)-YEAR(IF('Deal maths'!Z159&gt;0,'Deal maths'!Z159,DATE(1990,1,1))))*12+MONTH('Deal maths'!AA159)-MONTH(IF('Deal maths'!Z159&gt;0,'Deal maths'!Z159,DATE(1990,1,1))))/D159))*D159))&gt;IF('Deal maths'!Z159&gt;0,'Deal maths'!Z159,DATE(1990,1,1)),IF(DAY('Deal maths'!AA159+1)=1,EOMONTH('Deal maths'!AA159,-(INT(((YEAR('Deal maths'!AA159)-YEAR(IF('Deal maths'!Z159&gt;0,'Deal maths'!Z159,DATE(1990,1,1))))*12+MONTH('Deal maths'!AA159)-MONTH(IF('Deal maths'!Z159&gt;0,'Deal maths'!Z159,DATE(1990,1,1))))/D159))*D159),EDATE('Deal maths'!AA159,-(INT(((YEAR('Deal maths'!AA159)-YEAR(IF('Deal maths'!Z159&gt;0,'Deal maths'!Z159,DATE(1990,1,1))))*12+MONTH('Deal maths'!AA159)-MONTH(IF('Deal maths'!Z159&gt;0,'Deal maths'!Z159,DATE(1990,1,1))))/D159))*D159)),IF(DAY('Deal maths'!AA159+1)=1,EOMONTH('Deal maths'!AA159,-(INT(((YEAR('Deal maths'!AA159)-YEAR(IF('Deal maths'!Z159&gt;0,'Deal maths'!Z159,DATE(1990,1,1))))*12+MONTH('Deal maths'!AA159)-MONTH(IF('Deal maths'!Z159&gt;0,'Deal maths'!Z159,DATE(1990,1,1))))/D159)-1)*D159),EDATE('Deal maths'!AA159,-(INT(((YEAR('Deal maths'!AA159)-YEAR(IF('Deal maths'!Z159&gt;0,'Deal maths'!Z159,DATE(1990,1,1))))*12+MONTH('Deal maths'!AA159)-MONTH(IF('Deal maths'!Z159&gt;0,'Deal maths'!Z159,DATE(1990,1,1))))/D159)-1)*D159))))),0)</f>
        <v/>
      </c>
      <c r="F159" s="110">
        <f>IF(D159=0,0,'Deal maths'!AB159*D159/12)</f>
        <v/>
      </c>
      <c r="G159" s="108">
        <f>N159+O159</f>
        <v/>
      </c>
      <c r="H159" s="108">
        <f>IFERROR(IF(OR(D159=0,AsAt&lt;E159),0,MIN(N159,INT(((YEAR(AsAt)-YEAR(E159))*12+MONTH(AsAt)-MONTH(E159)-(DAY(AsAt)&lt;MIN(R159,DAY(EOMONTH(AsAt,0)))))/D159)+1)+O159*(AsAt&gt;='Deal maths'!AA159)),0)</f>
        <v/>
      </c>
      <c r="I159" s="108">
        <f>G159-H159</f>
        <v/>
      </c>
      <c r="J159" s="111">
        <f>IF(AND(C159="EIP",I159&gt;0),'Deal maths'!Y159/I159,0)</f>
        <v/>
      </c>
      <c r="K159" s="111">
        <f>IF(AND(C159="Annuity",I159&gt;0),IF(F159&gt;0,'Deal maths'!Y159*F159/(1-(1+F159)^-I159),'Deal maths'!Y159/I159),0)</f>
        <v/>
      </c>
      <c r="L159" s="111">
        <f>IF('Deal maths'!Y159="",0,'Deal maths'!Y159)</f>
        <v/>
      </c>
      <c r="M159" s="112">
        <f>F159+(F159=0)</f>
        <v/>
      </c>
      <c r="N159" s="108">
        <f>IFERROR(IF(D159=0,0,INT(((YEAR('Deal maths'!AA159)-YEAR(E159))*12+MONTH('Deal maths'!AA159)-MONTH(E159)-(DAY('Deal maths'!AA159)&lt;MIN(R159,DAY(EOMONTH('Deal maths'!AA159,0)))))/D159)+1),0)</f>
        <v/>
      </c>
      <c r="O159" s="108">
        <f>IFERROR(IF(D159=0,0,IF(IF(DAY(E159+1)=1,EOMONTH(E159,(N159-1)*D159),EDATE(E159,(N159-1)*D159))='Deal maths'!AA159,0,1)),0)</f>
        <v/>
      </c>
      <c r="P159" s="113">
        <f>IF(B159=0,0,IFERROR(IF(C159="EIP",((I159-O159)*((IF(DAY(E159+1)=1,EOMONTH(E159,H159*D159),EDATE(E159,H159*D159))-AsAt)/365.25+(IF(DAY(E159+1)=1,EOMONTH(E159,(N159-1)*D159),EDATE(E159,(N159-1)*D159))-AsAt)/365.25)/2+O159*('Deal maths'!AA159-AsAt)/365.25)/I159,IF(C159="Annuity",IF(F159&gt;0,((K159-L159*F159)*((IF(DAY(E159+1)=1,EOMONTH(E159,H159*D159),EDATE(E159,H159*D159))-AsAt)/365.25*((1+F159)^(I159-O159)-1)/F159+IF((I159-O159)&gt;1,((IF(DAY(E159+1)=1,EOMONTH(E159,(N159-1)*D159),EDATE(E159,(N159-1)*D159))-AsAt)/365.25-(IF(DAY(E159+1)=1,EOMONTH(E159,H159*D159),EDATE(E159,H159*D159))-AsAt)/365.25)/((I159-O159)-1),0)*(1+F159)*(1-(I159-O159)*(1+F159)^((I159-O159)-1)+((I159-O159)-1)*(1+F159)^(I159-O159))/F159^2)+O159*(K159-L159*F159)*(1+F159)^(I159-1)*('Deal maths'!AA159-AsAt)/365.25)/L159,((I159-O159)*((IF(DAY(E159+1)=1,EOMONTH(E159,H159*D159),EDATE(E159,H159*D159))-AsAt)/365.25+(IF(DAY(E159+1)=1,EOMONTH(E159,(N159-1)*D159),EDATE(E159,(N159-1)*D159))-AsAt)/365.25)/2+O159*('Deal maths'!AA159-AsAt)/365.25)/I159),(S159-AsAt)/365.25)),0))</f>
        <v/>
      </c>
      <c r="Q159" s="109">
        <f>IF(B159=1,'Deal maths'!AA159+ROW()/1000000,"")</f>
        <v/>
      </c>
      <c r="R159" s="108">
        <f>IF(D159=0,0,IF(DAY(E159+1)=1,31,DAY(E159)))</f>
        <v/>
      </c>
      <c r="S159" s="109">
        <f>IF(AND('Deal maths'!V159="LOBO",'Deal maths'!AG159&gt;AsAt,'Deal maths'!AG159&lt;'Deal maths'!AA159),'Deal maths'!AG159,'Deal maths'!AA159)</f>
        <v/>
      </c>
      <c r="T159" s="108">
        <f>('Deal maths'!AA159&gt;AsAt)*('Deal maths'!Y159&gt;0)</f>
        <v/>
      </c>
    </row>
    <row r="160">
      <c r="A160" s="91">
        <f>IF('Deal maths'!V160="","",'Deal maths'!W160)</f>
        <v/>
      </c>
      <c r="B160" s="108">
        <f>('Deal maths'!AA160&gt;AsAt)*('Deal maths'!Y160&gt;0)*('Deal maths'!Z160&lt;=AsAt)</f>
        <v/>
      </c>
      <c r="C160" s="91">
        <f>IF('Deal maths'!V160="","",IF('Deal maths'!AC160="","Maturity",'Deal maths'!AC160))</f>
        <v/>
      </c>
      <c r="D160" s="108">
        <f>IF(OR(C160="EIP",C160="Annuity"),IF('Deal maths'!AD160="Annual",12,IF('Deal maths'!AD160="Quarterly",3,6)),0)</f>
        <v/>
      </c>
      <c r="E160" s="109">
        <f>IFERROR(IF(D160=0,0,IF('Deal maths'!AE160&gt;0,IF('Deal maths'!AE160&gt;'Deal maths'!AA160,'Deal maths'!AA160,'Deal maths'!AE160),IF(IF(DAY('Deal maths'!AA160+1)=1,EOMONTH('Deal maths'!AA160,-(INT(((YEAR('Deal maths'!AA160)-YEAR(IF('Deal maths'!Z160&gt;0,'Deal maths'!Z160,DATE(1990,1,1))))*12+MONTH('Deal maths'!AA160)-MONTH(IF('Deal maths'!Z160&gt;0,'Deal maths'!Z160,DATE(1990,1,1))))/D160))*D160),EDATE('Deal maths'!AA160,-(INT(((YEAR('Deal maths'!AA160)-YEAR(IF('Deal maths'!Z160&gt;0,'Deal maths'!Z160,DATE(1990,1,1))))*12+MONTH('Deal maths'!AA160)-MONTH(IF('Deal maths'!Z160&gt;0,'Deal maths'!Z160,DATE(1990,1,1))))/D160))*D160))&gt;IF('Deal maths'!Z160&gt;0,'Deal maths'!Z160,DATE(1990,1,1)),IF(DAY('Deal maths'!AA160+1)=1,EOMONTH('Deal maths'!AA160,-(INT(((YEAR('Deal maths'!AA160)-YEAR(IF('Deal maths'!Z160&gt;0,'Deal maths'!Z160,DATE(1990,1,1))))*12+MONTH('Deal maths'!AA160)-MONTH(IF('Deal maths'!Z160&gt;0,'Deal maths'!Z160,DATE(1990,1,1))))/D160))*D160),EDATE('Deal maths'!AA160,-(INT(((YEAR('Deal maths'!AA160)-YEAR(IF('Deal maths'!Z160&gt;0,'Deal maths'!Z160,DATE(1990,1,1))))*12+MONTH('Deal maths'!AA160)-MONTH(IF('Deal maths'!Z160&gt;0,'Deal maths'!Z160,DATE(1990,1,1))))/D160))*D160)),IF(DAY('Deal maths'!AA160+1)=1,EOMONTH('Deal maths'!AA160,-(INT(((YEAR('Deal maths'!AA160)-YEAR(IF('Deal maths'!Z160&gt;0,'Deal maths'!Z160,DATE(1990,1,1))))*12+MONTH('Deal maths'!AA160)-MONTH(IF('Deal maths'!Z160&gt;0,'Deal maths'!Z160,DATE(1990,1,1))))/D160)-1)*D160),EDATE('Deal maths'!AA160,-(INT(((YEAR('Deal maths'!AA160)-YEAR(IF('Deal maths'!Z160&gt;0,'Deal maths'!Z160,DATE(1990,1,1))))*12+MONTH('Deal maths'!AA160)-MONTH(IF('Deal maths'!Z160&gt;0,'Deal maths'!Z160,DATE(1990,1,1))))/D160)-1)*D160))))),0)</f>
        <v/>
      </c>
      <c r="F160" s="110">
        <f>IF(D160=0,0,'Deal maths'!AB160*D160/12)</f>
        <v/>
      </c>
      <c r="G160" s="108">
        <f>N160+O160</f>
        <v/>
      </c>
      <c r="H160" s="108">
        <f>IFERROR(IF(OR(D160=0,AsAt&lt;E160),0,MIN(N160,INT(((YEAR(AsAt)-YEAR(E160))*12+MONTH(AsAt)-MONTH(E160)-(DAY(AsAt)&lt;MIN(R160,DAY(EOMONTH(AsAt,0)))))/D160)+1)+O160*(AsAt&gt;='Deal maths'!AA160)),0)</f>
        <v/>
      </c>
      <c r="I160" s="108">
        <f>G160-H160</f>
        <v/>
      </c>
      <c r="J160" s="111">
        <f>IF(AND(C160="EIP",I160&gt;0),'Deal maths'!Y160/I160,0)</f>
        <v/>
      </c>
      <c r="K160" s="111">
        <f>IF(AND(C160="Annuity",I160&gt;0),IF(F160&gt;0,'Deal maths'!Y160*F160/(1-(1+F160)^-I160),'Deal maths'!Y160/I160),0)</f>
        <v/>
      </c>
      <c r="L160" s="111">
        <f>IF('Deal maths'!Y160="",0,'Deal maths'!Y160)</f>
        <v/>
      </c>
      <c r="M160" s="112">
        <f>F160+(F160=0)</f>
        <v/>
      </c>
      <c r="N160" s="108">
        <f>IFERROR(IF(D160=0,0,INT(((YEAR('Deal maths'!AA160)-YEAR(E160))*12+MONTH('Deal maths'!AA160)-MONTH(E160)-(DAY('Deal maths'!AA160)&lt;MIN(R160,DAY(EOMONTH('Deal maths'!AA160,0)))))/D160)+1),0)</f>
        <v/>
      </c>
      <c r="O160" s="108">
        <f>IFERROR(IF(D160=0,0,IF(IF(DAY(E160+1)=1,EOMONTH(E160,(N160-1)*D160),EDATE(E160,(N160-1)*D160))='Deal maths'!AA160,0,1)),0)</f>
        <v/>
      </c>
      <c r="P160" s="113">
        <f>IF(B160=0,0,IFERROR(IF(C160="EIP",((I160-O160)*((IF(DAY(E160+1)=1,EOMONTH(E160,H160*D160),EDATE(E160,H160*D160))-AsAt)/365.25+(IF(DAY(E160+1)=1,EOMONTH(E160,(N160-1)*D160),EDATE(E160,(N160-1)*D160))-AsAt)/365.25)/2+O160*('Deal maths'!AA160-AsAt)/365.25)/I160,IF(C160="Annuity",IF(F160&gt;0,((K160-L160*F160)*((IF(DAY(E160+1)=1,EOMONTH(E160,H160*D160),EDATE(E160,H160*D160))-AsAt)/365.25*((1+F160)^(I160-O160)-1)/F160+IF((I160-O160)&gt;1,((IF(DAY(E160+1)=1,EOMONTH(E160,(N160-1)*D160),EDATE(E160,(N160-1)*D160))-AsAt)/365.25-(IF(DAY(E160+1)=1,EOMONTH(E160,H160*D160),EDATE(E160,H160*D160))-AsAt)/365.25)/((I160-O160)-1),0)*(1+F160)*(1-(I160-O160)*(1+F160)^((I160-O160)-1)+((I160-O160)-1)*(1+F160)^(I160-O160))/F160^2)+O160*(K160-L160*F160)*(1+F160)^(I160-1)*('Deal maths'!AA160-AsAt)/365.25)/L160,((I160-O160)*((IF(DAY(E160+1)=1,EOMONTH(E160,H160*D160),EDATE(E160,H160*D160))-AsAt)/365.25+(IF(DAY(E160+1)=1,EOMONTH(E160,(N160-1)*D160),EDATE(E160,(N160-1)*D160))-AsAt)/365.25)/2+O160*('Deal maths'!AA160-AsAt)/365.25)/I160),(S160-AsAt)/365.25)),0))</f>
        <v/>
      </c>
      <c r="Q160" s="109">
        <f>IF(B160=1,'Deal maths'!AA160+ROW()/1000000,"")</f>
        <v/>
      </c>
      <c r="R160" s="108">
        <f>IF(D160=0,0,IF(DAY(E160+1)=1,31,DAY(E160)))</f>
        <v/>
      </c>
      <c r="S160" s="109">
        <f>IF(AND('Deal maths'!V160="LOBO",'Deal maths'!AG160&gt;AsAt,'Deal maths'!AG160&lt;'Deal maths'!AA160),'Deal maths'!AG160,'Deal maths'!AA160)</f>
        <v/>
      </c>
      <c r="T160" s="108">
        <f>('Deal maths'!AA160&gt;AsAt)*('Deal maths'!Y160&gt;0)</f>
        <v/>
      </c>
    </row>
    <row r="161">
      <c r="A161" s="91">
        <f>IF('Deal maths'!V161="","",'Deal maths'!W161)</f>
        <v/>
      </c>
      <c r="B161" s="108">
        <f>('Deal maths'!AA161&gt;AsAt)*('Deal maths'!Y161&gt;0)*('Deal maths'!Z161&lt;=AsAt)</f>
        <v/>
      </c>
      <c r="C161" s="91">
        <f>IF('Deal maths'!V161="","",IF('Deal maths'!AC161="","Maturity",'Deal maths'!AC161))</f>
        <v/>
      </c>
      <c r="D161" s="108">
        <f>IF(OR(C161="EIP",C161="Annuity"),IF('Deal maths'!AD161="Annual",12,IF('Deal maths'!AD161="Quarterly",3,6)),0)</f>
        <v/>
      </c>
      <c r="E161" s="109">
        <f>IFERROR(IF(D161=0,0,IF('Deal maths'!AE161&gt;0,IF('Deal maths'!AE161&gt;'Deal maths'!AA161,'Deal maths'!AA161,'Deal maths'!AE161),IF(IF(DAY('Deal maths'!AA161+1)=1,EOMONTH('Deal maths'!AA161,-(INT(((YEAR('Deal maths'!AA161)-YEAR(IF('Deal maths'!Z161&gt;0,'Deal maths'!Z161,DATE(1990,1,1))))*12+MONTH('Deal maths'!AA161)-MONTH(IF('Deal maths'!Z161&gt;0,'Deal maths'!Z161,DATE(1990,1,1))))/D161))*D161),EDATE('Deal maths'!AA161,-(INT(((YEAR('Deal maths'!AA161)-YEAR(IF('Deal maths'!Z161&gt;0,'Deal maths'!Z161,DATE(1990,1,1))))*12+MONTH('Deal maths'!AA161)-MONTH(IF('Deal maths'!Z161&gt;0,'Deal maths'!Z161,DATE(1990,1,1))))/D161))*D161))&gt;IF('Deal maths'!Z161&gt;0,'Deal maths'!Z161,DATE(1990,1,1)),IF(DAY('Deal maths'!AA161+1)=1,EOMONTH('Deal maths'!AA161,-(INT(((YEAR('Deal maths'!AA161)-YEAR(IF('Deal maths'!Z161&gt;0,'Deal maths'!Z161,DATE(1990,1,1))))*12+MONTH('Deal maths'!AA161)-MONTH(IF('Deal maths'!Z161&gt;0,'Deal maths'!Z161,DATE(1990,1,1))))/D161))*D161),EDATE('Deal maths'!AA161,-(INT(((YEAR('Deal maths'!AA161)-YEAR(IF('Deal maths'!Z161&gt;0,'Deal maths'!Z161,DATE(1990,1,1))))*12+MONTH('Deal maths'!AA161)-MONTH(IF('Deal maths'!Z161&gt;0,'Deal maths'!Z161,DATE(1990,1,1))))/D161))*D161)),IF(DAY('Deal maths'!AA161+1)=1,EOMONTH('Deal maths'!AA161,-(INT(((YEAR('Deal maths'!AA161)-YEAR(IF('Deal maths'!Z161&gt;0,'Deal maths'!Z161,DATE(1990,1,1))))*12+MONTH('Deal maths'!AA161)-MONTH(IF('Deal maths'!Z161&gt;0,'Deal maths'!Z161,DATE(1990,1,1))))/D161)-1)*D161),EDATE('Deal maths'!AA161,-(INT(((YEAR('Deal maths'!AA161)-YEAR(IF('Deal maths'!Z161&gt;0,'Deal maths'!Z161,DATE(1990,1,1))))*12+MONTH('Deal maths'!AA161)-MONTH(IF('Deal maths'!Z161&gt;0,'Deal maths'!Z161,DATE(1990,1,1))))/D161)-1)*D161))))),0)</f>
        <v/>
      </c>
      <c r="F161" s="110">
        <f>IF(D161=0,0,'Deal maths'!AB161*D161/12)</f>
        <v/>
      </c>
      <c r="G161" s="108">
        <f>N161+O161</f>
        <v/>
      </c>
      <c r="H161" s="108">
        <f>IFERROR(IF(OR(D161=0,AsAt&lt;E161),0,MIN(N161,INT(((YEAR(AsAt)-YEAR(E161))*12+MONTH(AsAt)-MONTH(E161)-(DAY(AsAt)&lt;MIN(R161,DAY(EOMONTH(AsAt,0)))))/D161)+1)+O161*(AsAt&gt;='Deal maths'!AA161)),0)</f>
        <v/>
      </c>
      <c r="I161" s="108">
        <f>G161-H161</f>
        <v/>
      </c>
      <c r="J161" s="111">
        <f>IF(AND(C161="EIP",I161&gt;0),'Deal maths'!Y161/I161,0)</f>
        <v/>
      </c>
      <c r="K161" s="111">
        <f>IF(AND(C161="Annuity",I161&gt;0),IF(F161&gt;0,'Deal maths'!Y161*F161/(1-(1+F161)^-I161),'Deal maths'!Y161/I161),0)</f>
        <v/>
      </c>
      <c r="L161" s="111">
        <f>IF('Deal maths'!Y161="",0,'Deal maths'!Y161)</f>
        <v/>
      </c>
      <c r="M161" s="112">
        <f>F161+(F161=0)</f>
        <v/>
      </c>
      <c r="N161" s="108">
        <f>IFERROR(IF(D161=0,0,INT(((YEAR('Deal maths'!AA161)-YEAR(E161))*12+MONTH('Deal maths'!AA161)-MONTH(E161)-(DAY('Deal maths'!AA161)&lt;MIN(R161,DAY(EOMONTH('Deal maths'!AA161,0)))))/D161)+1),0)</f>
        <v/>
      </c>
      <c r="O161" s="108">
        <f>IFERROR(IF(D161=0,0,IF(IF(DAY(E161+1)=1,EOMONTH(E161,(N161-1)*D161),EDATE(E161,(N161-1)*D161))='Deal maths'!AA161,0,1)),0)</f>
        <v/>
      </c>
      <c r="P161" s="113">
        <f>IF(B161=0,0,IFERROR(IF(C161="EIP",((I161-O161)*((IF(DAY(E161+1)=1,EOMONTH(E161,H161*D161),EDATE(E161,H161*D161))-AsAt)/365.25+(IF(DAY(E161+1)=1,EOMONTH(E161,(N161-1)*D161),EDATE(E161,(N161-1)*D161))-AsAt)/365.25)/2+O161*('Deal maths'!AA161-AsAt)/365.25)/I161,IF(C161="Annuity",IF(F161&gt;0,((K161-L161*F161)*((IF(DAY(E161+1)=1,EOMONTH(E161,H161*D161),EDATE(E161,H161*D161))-AsAt)/365.25*((1+F161)^(I161-O161)-1)/F161+IF((I161-O161)&gt;1,((IF(DAY(E161+1)=1,EOMONTH(E161,(N161-1)*D161),EDATE(E161,(N161-1)*D161))-AsAt)/365.25-(IF(DAY(E161+1)=1,EOMONTH(E161,H161*D161),EDATE(E161,H161*D161))-AsAt)/365.25)/((I161-O161)-1),0)*(1+F161)*(1-(I161-O161)*(1+F161)^((I161-O161)-1)+((I161-O161)-1)*(1+F161)^(I161-O161))/F161^2)+O161*(K161-L161*F161)*(1+F161)^(I161-1)*('Deal maths'!AA161-AsAt)/365.25)/L161,((I161-O161)*((IF(DAY(E161+1)=1,EOMONTH(E161,H161*D161),EDATE(E161,H161*D161))-AsAt)/365.25+(IF(DAY(E161+1)=1,EOMONTH(E161,(N161-1)*D161),EDATE(E161,(N161-1)*D161))-AsAt)/365.25)/2+O161*('Deal maths'!AA161-AsAt)/365.25)/I161),(S161-AsAt)/365.25)),0))</f>
        <v/>
      </c>
      <c r="Q161" s="109">
        <f>IF(B161=1,'Deal maths'!AA161+ROW()/1000000,"")</f>
        <v/>
      </c>
      <c r="R161" s="108">
        <f>IF(D161=0,0,IF(DAY(E161+1)=1,31,DAY(E161)))</f>
        <v/>
      </c>
      <c r="S161" s="109">
        <f>IF(AND('Deal maths'!V161="LOBO",'Deal maths'!AG161&gt;AsAt,'Deal maths'!AG161&lt;'Deal maths'!AA161),'Deal maths'!AG161,'Deal maths'!AA161)</f>
        <v/>
      </c>
      <c r="T161" s="108">
        <f>('Deal maths'!AA161&gt;AsAt)*('Deal maths'!Y161&gt;0)</f>
        <v/>
      </c>
    </row>
    <row r="162">
      <c r="A162" s="91">
        <f>IF('Deal maths'!V162="","",'Deal maths'!W162)</f>
        <v/>
      </c>
      <c r="B162" s="108">
        <f>('Deal maths'!AA162&gt;AsAt)*('Deal maths'!Y162&gt;0)*('Deal maths'!Z162&lt;=AsAt)</f>
        <v/>
      </c>
      <c r="C162" s="91">
        <f>IF('Deal maths'!V162="","",IF('Deal maths'!AC162="","Maturity",'Deal maths'!AC162))</f>
        <v/>
      </c>
      <c r="D162" s="108">
        <f>IF(OR(C162="EIP",C162="Annuity"),IF('Deal maths'!AD162="Annual",12,IF('Deal maths'!AD162="Quarterly",3,6)),0)</f>
        <v/>
      </c>
      <c r="E162" s="109">
        <f>IFERROR(IF(D162=0,0,IF('Deal maths'!AE162&gt;0,IF('Deal maths'!AE162&gt;'Deal maths'!AA162,'Deal maths'!AA162,'Deal maths'!AE162),IF(IF(DAY('Deal maths'!AA162+1)=1,EOMONTH('Deal maths'!AA162,-(INT(((YEAR('Deal maths'!AA162)-YEAR(IF('Deal maths'!Z162&gt;0,'Deal maths'!Z162,DATE(1990,1,1))))*12+MONTH('Deal maths'!AA162)-MONTH(IF('Deal maths'!Z162&gt;0,'Deal maths'!Z162,DATE(1990,1,1))))/D162))*D162),EDATE('Deal maths'!AA162,-(INT(((YEAR('Deal maths'!AA162)-YEAR(IF('Deal maths'!Z162&gt;0,'Deal maths'!Z162,DATE(1990,1,1))))*12+MONTH('Deal maths'!AA162)-MONTH(IF('Deal maths'!Z162&gt;0,'Deal maths'!Z162,DATE(1990,1,1))))/D162))*D162))&gt;IF('Deal maths'!Z162&gt;0,'Deal maths'!Z162,DATE(1990,1,1)),IF(DAY('Deal maths'!AA162+1)=1,EOMONTH('Deal maths'!AA162,-(INT(((YEAR('Deal maths'!AA162)-YEAR(IF('Deal maths'!Z162&gt;0,'Deal maths'!Z162,DATE(1990,1,1))))*12+MONTH('Deal maths'!AA162)-MONTH(IF('Deal maths'!Z162&gt;0,'Deal maths'!Z162,DATE(1990,1,1))))/D162))*D162),EDATE('Deal maths'!AA162,-(INT(((YEAR('Deal maths'!AA162)-YEAR(IF('Deal maths'!Z162&gt;0,'Deal maths'!Z162,DATE(1990,1,1))))*12+MONTH('Deal maths'!AA162)-MONTH(IF('Deal maths'!Z162&gt;0,'Deal maths'!Z162,DATE(1990,1,1))))/D162))*D162)),IF(DAY('Deal maths'!AA162+1)=1,EOMONTH('Deal maths'!AA162,-(INT(((YEAR('Deal maths'!AA162)-YEAR(IF('Deal maths'!Z162&gt;0,'Deal maths'!Z162,DATE(1990,1,1))))*12+MONTH('Deal maths'!AA162)-MONTH(IF('Deal maths'!Z162&gt;0,'Deal maths'!Z162,DATE(1990,1,1))))/D162)-1)*D162),EDATE('Deal maths'!AA162,-(INT(((YEAR('Deal maths'!AA162)-YEAR(IF('Deal maths'!Z162&gt;0,'Deal maths'!Z162,DATE(1990,1,1))))*12+MONTH('Deal maths'!AA162)-MONTH(IF('Deal maths'!Z162&gt;0,'Deal maths'!Z162,DATE(1990,1,1))))/D162)-1)*D162))))),0)</f>
        <v/>
      </c>
      <c r="F162" s="110">
        <f>IF(D162=0,0,'Deal maths'!AB162*D162/12)</f>
        <v/>
      </c>
      <c r="G162" s="108">
        <f>N162+O162</f>
        <v/>
      </c>
      <c r="H162" s="108">
        <f>IFERROR(IF(OR(D162=0,AsAt&lt;E162),0,MIN(N162,INT(((YEAR(AsAt)-YEAR(E162))*12+MONTH(AsAt)-MONTH(E162)-(DAY(AsAt)&lt;MIN(R162,DAY(EOMONTH(AsAt,0)))))/D162)+1)+O162*(AsAt&gt;='Deal maths'!AA162)),0)</f>
        <v/>
      </c>
      <c r="I162" s="108">
        <f>G162-H162</f>
        <v/>
      </c>
      <c r="J162" s="111">
        <f>IF(AND(C162="EIP",I162&gt;0),'Deal maths'!Y162/I162,0)</f>
        <v/>
      </c>
      <c r="K162" s="111">
        <f>IF(AND(C162="Annuity",I162&gt;0),IF(F162&gt;0,'Deal maths'!Y162*F162/(1-(1+F162)^-I162),'Deal maths'!Y162/I162),0)</f>
        <v/>
      </c>
      <c r="L162" s="111">
        <f>IF('Deal maths'!Y162="",0,'Deal maths'!Y162)</f>
        <v/>
      </c>
      <c r="M162" s="112">
        <f>F162+(F162=0)</f>
        <v/>
      </c>
      <c r="N162" s="108">
        <f>IFERROR(IF(D162=0,0,INT(((YEAR('Deal maths'!AA162)-YEAR(E162))*12+MONTH('Deal maths'!AA162)-MONTH(E162)-(DAY('Deal maths'!AA162)&lt;MIN(R162,DAY(EOMONTH('Deal maths'!AA162,0)))))/D162)+1),0)</f>
        <v/>
      </c>
      <c r="O162" s="108">
        <f>IFERROR(IF(D162=0,0,IF(IF(DAY(E162+1)=1,EOMONTH(E162,(N162-1)*D162),EDATE(E162,(N162-1)*D162))='Deal maths'!AA162,0,1)),0)</f>
        <v/>
      </c>
      <c r="P162" s="113">
        <f>IF(B162=0,0,IFERROR(IF(C162="EIP",((I162-O162)*((IF(DAY(E162+1)=1,EOMONTH(E162,H162*D162),EDATE(E162,H162*D162))-AsAt)/365.25+(IF(DAY(E162+1)=1,EOMONTH(E162,(N162-1)*D162),EDATE(E162,(N162-1)*D162))-AsAt)/365.25)/2+O162*('Deal maths'!AA162-AsAt)/365.25)/I162,IF(C162="Annuity",IF(F162&gt;0,((K162-L162*F162)*((IF(DAY(E162+1)=1,EOMONTH(E162,H162*D162),EDATE(E162,H162*D162))-AsAt)/365.25*((1+F162)^(I162-O162)-1)/F162+IF((I162-O162)&gt;1,((IF(DAY(E162+1)=1,EOMONTH(E162,(N162-1)*D162),EDATE(E162,(N162-1)*D162))-AsAt)/365.25-(IF(DAY(E162+1)=1,EOMONTH(E162,H162*D162),EDATE(E162,H162*D162))-AsAt)/365.25)/((I162-O162)-1),0)*(1+F162)*(1-(I162-O162)*(1+F162)^((I162-O162)-1)+((I162-O162)-1)*(1+F162)^(I162-O162))/F162^2)+O162*(K162-L162*F162)*(1+F162)^(I162-1)*('Deal maths'!AA162-AsAt)/365.25)/L162,((I162-O162)*((IF(DAY(E162+1)=1,EOMONTH(E162,H162*D162),EDATE(E162,H162*D162))-AsAt)/365.25+(IF(DAY(E162+1)=1,EOMONTH(E162,(N162-1)*D162),EDATE(E162,(N162-1)*D162))-AsAt)/365.25)/2+O162*('Deal maths'!AA162-AsAt)/365.25)/I162),(S162-AsAt)/365.25)),0))</f>
        <v/>
      </c>
      <c r="Q162" s="109">
        <f>IF(B162=1,'Deal maths'!AA162+ROW()/1000000,"")</f>
        <v/>
      </c>
      <c r="R162" s="108">
        <f>IF(D162=0,0,IF(DAY(E162+1)=1,31,DAY(E162)))</f>
        <v/>
      </c>
      <c r="S162" s="109">
        <f>IF(AND('Deal maths'!V162="LOBO",'Deal maths'!AG162&gt;AsAt,'Deal maths'!AG162&lt;'Deal maths'!AA162),'Deal maths'!AG162,'Deal maths'!AA162)</f>
        <v/>
      </c>
      <c r="T162" s="108">
        <f>('Deal maths'!AA162&gt;AsAt)*('Deal maths'!Y162&gt;0)</f>
        <v/>
      </c>
    </row>
    <row r="163">
      <c r="A163" s="91">
        <f>IF('Deal maths'!V163="","",'Deal maths'!W163)</f>
        <v/>
      </c>
      <c r="B163" s="108">
        <f>('Deal maths'!AA163&gt;AsAt)*('Deal maths'!Y163&gt;0)*('Deal maths'!Z163&lt;=AsAt)</f>
        <v/>
      </c>
      <c r="C163" s="91">
        <f>IF('Deal maths'!V163="","",IF('Deal maths'!AC163="","Maturity",'Deal maths'!AC163))</f>
        <v/>
      </c>
      <c r="D163" s="108">
        <f>IF(OR(C163="EIP",C163="Annuity"),IF('Deal maths'!AD163="Annual",12,IF('Deal maths'!AD163="Quarterly",3,6)),0)</f>
        <v/>
      </c>
      <c r="E163" s="109">
        <f>IFERROR(IF(D163=0,0,IF('Deal maths'!AE163&gt;0,IF('Deal maths'!AE163&gt;'Deal maths'!AA163,'Deal maths'!AA163,'Deal maths'!AE163),IF(IF(DAY('Deal maths'!AA163+1)=1,EOMONTH('Deal maths'!AA163,-(INT(((YEAR('Deal maths'!AA163)-YEAR(IF('Deal maths'!Z163&gt;0,'Deal maths'!Z163,DATE(1990,1,1))))*12+MONTH('Deal maths'!AA163)-MONTH(IF('Deal maths'!Z163&gt;0,'Deal maths'!Z163,DATE(1990,1,1))))/D163))*D163),EDATE('Deal maths'!AA163,-(INT(((YEAR('Deal maths'!AA163)-YEAR(IF('Deal maths'!Z163&gt;0,'Deal maths'!Z163,DATE(1990,1,1))))*12+MONTH('Deal maths'!AA163)-MONTH(IF('Deal maths'!Z163&gt;0,'Deal maths'!Z163,DATE(1990,1,1))))/D163))*D163))&gt;IF('Deal maths'!Z163&gt;0,'Deal maths'!Z163,DATE(1990,1,1)),IF(DAY('Deal maths'!AA163+1)=1,EOMONTH('Deal maths'!AA163,-(INT(((YEAR('Deal maths'!AA163)-YEAR(IF('Deal maths'!Z163&gt;0,'Deal maths'!Z163,DATE(1990,1,1))))*12+MONTH('Deal maths'!AA163)-MONTH(IF('Deal maths'!Z163&gt;0,'Deal maths'!Z163,DATE(1990,1,1))))/D163))*D163),EDATE('Deal maths'!AA163,-(INT(((YEAR('Deal maths'!AA163)-YEAR(IF('Deal maths'!Z163&gt;0,'Deal maths'!Z163,DATE(1990,1,1))))*12+MONTH('Deal maths'!AA163)-MONTH(IF('Deal maths'!Z163&gt;0,'Deal maths'!Z163,DATE(1990,1,1))))/D163))*D163)),IF(DAY('Deal maths'!AA163+1)=1,EOMONTH('Deal maths'!AA163,-(INT(((YEAR('Deal maths'!AA163)-YEAR(IF('Deal maths'!Z163&gt;0,'Deal maths'!Z163,DATE(1990,1,1))))*12+MONTH('Deal maths'!AA163)-MONTH(IF('Deal maths'!Z163&gt;0,'Deal maths'!Z163,DATE(1990,1,1))))/D163)-1)*D163),EDATE('Deal maths'!AA163,-(INT(((YEAR('Deal maths'!AA163)-YEAR(IF('Deal maths'!Z163&gt;0,'Deal maths'!Z163,DATE(1990,1,1))))*12+MONTH('Deal maths'!AA163)-MONTH(IF('Deal maths'!Z163&gt;0,'Deal maths'!Z163,DATE(1990,1,1))))/D163)-1)*D163))))),0)</f>
        <v/>
      </c>
      <c r="F163" s="110">
        <f>IF(D163=0,0,'Deal maths'!AB163*D163/12)</f>
        <v/>
      </c>
      <c r="G163" s="108">
        <f>N163+O163</f>
        <v/>
      </c>
      <c r="H163" s="108">
        <f>IFERROR(IF(OR(D163=0,AsAt&lt;E163),0,MIN(N163,INT(((YEAR(AsAt)-YEAR(E163))*12+MONTH(AsAt)-MONTH(E163)-(DAY(AsAt)&lt;MIN(R163,DAY(EOMONTH(AsAt,0)))))/D163)+1)+O163*(AsAt&gt;='Deal maths'!AA163)),0)</f>
        <v/>
      </c>
      <c r="I163" s="108">
        <f>G163-H163</f>
        <v/>
      </c>
      <c r="J163" s="111">
        <f>IF(AND(C163="EIP",I163&gt;0),'Deal maths'!Y163/I163,0)</f>
        <v/>
      </c>
      <c r="K163" s="111">
        <f>IF(AND(C163="Annuity",I163&gt;0),IF(F163&gt;0,'Deal maths'!Y163*F163/(1-(1+F163)^-I163),'Deal maths'!Y163/I163),0)</f>
        <v/>
      </c>
      <c r="L163" s="111">
        <f>IF('Deal maths'!Y163="",0,'Deal maths'!Y163)</f>
        <v/>
      </c>
      <c r="M163" s="112">
        <f>F163+(F163=0)</f>
        <v/>
      </c>
      <c r="N163" s="108">
        <f>IFERROR(IF(D163=0,0,INT(((YEAR('Deal maths'!AA163)-YEAR(E163))*12+MONTH('Deal maths'!AA163)-MONTH(E163)-(DAY('Deal maths'!AA163)&lt;MIN(R163,DAY(EOMONTH('Deal maths'!AA163,0)))))/D163)+1),0)</f>
        <v/>
      </c>
      <c r="O163" s="108">
        <f>IFERROR(IF(D163=0,0,IF(IF(DAY(E163+1)=1,EOMONTH(E163,(N163-1)*D163),EDATE(E163,(N163-1)*D163))='Deal maths'!AA163,0,1)),0)</f>
        <v/>
      </c>
      <c r="P163" s="113">
        <f>IF(B163=0,0,IFERROR(IF(C163="EIP",((I163-O163)*((IF(DAY(E163+1)=1,EOMONTH(E163,H163*D163),EDATE(E163,H163*D163))-AsAt)/365.25+(IF(DAY(E163+1)=1,EOMONTH(E163,(N163-1)*D163),EDATE(E163,(N163-1)*D163))-AsAt)/365.25)/2+O163*('Deal maths'!AA163-AsAt)/365.25)/I163,IF(C163="Annuity",IF(F163&gt;0,((K163-L163*F163)*((IF(DAY(E163+1)=1,EOMONTH(E163,H163*D163),EDATE(E163,H163*D163))-AsAt)/365.25*((1+F163)^(I163-O163)-1)/F163+IF((I163-O163)&gt;1,((IF(DAY(E163+1)=1,EOMONTH(E163,(N163-1)*D163),EDATE(E163,(N163-1)*D163))-AsAt)/365.25-(IF(DAY(E163+1)=1,EOMONTH(E163,H163*D163),EDATE(E163,H163*D163))-AsAt)/365.25)/((I163-O163)-1),0)*(1+F163)*(1-(I163-O163)*(1+F163)^((I163-O163)-1)+((I163-O163)-1)*(1+F163)^(I163-O163))/F163^2)+O163*(K163-L163*F163)*(1+F163)^(I163-1)*('Deal maths'!AA163-AsAt)/365.25)/L163,((I163-O163)*((IF(DAY(E163+1)=1,EOMONTH(E163,H163*D163),EDATE(E163,H163*D163))-AsAt)/365.25+(IF(DAY(E163+1)=1,EOMONTH(E163,(N163-1)*D163),EDATE(E163,(N163-1)*D163))-AsAt)/365.25)/2+O163*('Deal maths'!AA163-AsAt)/365.25)/I163),(S163-AsAt)/365.25)),0))</f>
        <v/>
      </c>
      <c r="Q163" s="109">
        <f>IF(B163=1,'Deal maths'!AA163+ROW()/1000000,"")</f>
        <v/>
      </c>
      <c r="R163" s="108">
        <f>IF(D163=0,0,IF(DAY(E163+1)=1,31,DAY(E163)))</f>
        <v/>
      </c>
      <c r="S163" s="109">
        <f>IF(AND('Deal maths'!V163="LOBO",'Deal maths'!AG163&gt;AsAt,'Deal maths'!AG163&lt;'Deal maths'!AA163),'Deal maths'!AG163,'Deal maths'!AA163)</f>
        <v/>
      </c>
      <c r="T163" s="108">
        <f>('Deal maths'!AA163&gt;AsAt)*('Deal maths'!Y163&gt;0)</f>
        <v/>
      </c>
    </row>
    <row r="164">
      <c r="A164" s="91">
        <f>IF('Deal maths'!V164="","",'Deal maths'!W164)</f>
        <v/>
      </c>
      <c r="B164" s="108">
        <f>('Deal maths'!AA164&gt;AsAt)*('Deal maths'!Y164&gt;0)*('Deal maths'!Z164&lt;=AsAt)</f>
        <v/>
      </c>
      <c r="C164" s="91">
        <f>IF('Deal maths'!V164="","",IF('Deal maths'!AC164="","Maturity",'Deal maths'!AC164))</f>
        <v/>
      </c>
      <c r="D164" s="108">
        <f>IF(OR(C164="EIP",C164="Annuity"),IF('Deal maths'!AD164="Annual",12,IF('Deal maths'!AD164="Quarterly",3,6)),0)</f>
        <v/>
      </c>
      <c r="E164" s="109">
        <f>IFERROR(IF(D164=0,0,IF('Deal maths'!AE164&gt;0,IF('Deal maths'!AE164&gt;'Deal maths'!AA164,'Deal maths'!AA164,'Deal maths'!AE164),IF(IF(DAY('Deal maths'!AA164+1)=1,EOMONTH('Deal maths'!AA164,-(INT(((YEAR('Deal maths'!AA164)-YEAR(IF('Deal maths'!Z164&gt;0,'Deal maths'!Z164,DATE(1990,1,1))))*12+MONTH('Deal maths'!AA164)-MONTH(IF('Deal maths'!Z164&gt;0,'Deal maths'!Z164,DATE(1990,1,1))))/D164))*D164),EDATE('Deal maths'!AA164,-(INT(((YEAR('Deal maths'!AA164)-YEAR(IF('Deal maths'!Z164&gt;0,'Deal maths'!Z164,DATE(1990,1,1))))*12+MONTH('Deal maths'!AA164)-MONTH(IF('Deal maths'!Z164&gt;0,'Deal maths'!Z164,DATE(1990,1,1))))/D164))*D164))&gt;IF('Deal maths'!Z164&gt;0,'Deal maths'!Z164,DATE(1990,1,1)),IF(DAY('Deal maths'!AA164+1)=1,EOMONTH('Deal maths'!AA164,-(INT(((YEAR('Deal maths'!AA164)-YEAR(IF('Deal maths'!Z164&gt;0,'Deal maths'!Z164,DATE(1990,1,1))))*12+MONTH('Deal maths'!AA164)-MONTH(IF('Deal maths'!Z164&gt;0,'Deal maths'!Z164,DATE(1990,1,1))))/D164))*D164),EDATE('Deal maths'!AA164,-(INT(((YEAR('Deal maths'!AA164)-YEAR(IF('Deal maths'!Z164&gt;0,'Deal maths'!Z164,DATE(1990,1,1))))*12+MONTH('Deal maths'!AA164)-MONTH(IF('Deal maths'!Z164&gt;0,'Deal maths'!Z164,DATE(1990,1,1))))/D164))*D164)),IF(DAY('Deal maths'!AA164+1)=1,EOMONTH('Deal maths'!AA164,-(INT(((YEAR('Deal maths'!AA164)-YEAR(IF('Deal maths'!Z164&gt;0,'Deal maths'!Z164,DATE(1990,1,1))))*12+MONTH('Deal maths'!AA164)-MONTH(IF('Deal maths'!Z164&gt;0,'Deal maths'!Z164,DATE(1990,1,1))))/D164)-1)*D164),EDATE('Deal maths'!AA164,-(INT(((YEAR('Deal maths'!AA164)-YEAR(IF('Deal maths'!Z164&gt;0,'Deal maths'!Z164,DATE(1990,1,1))))*12+MONTH('Deal maths'!AA164)-MONTH(IF('Deal maths'!Z164&gt;0,'Deal maths'!Z164,DATE(1990,1,1))))/D164)-1)*D164))))),0)</f>
        <v/>
      </c>
      <c r="F164" s="110">
        <f>IF(D164=0,0,'Deal maths'!AB164*D164/12)</f>
        <v/>
      </c>
      <c r="G164" s="108">
        <f>N164+O164</f>
        <v/>
      </c>
      <c r="H164" s="108">
        <f>IFERROR(IF(OR(D164=0,AsAt&lt;E164),0,MIN(N164,INT(((YEAR(AsAt)-YEAR(E164))*12+MONTH(AsAt)-MONTH(E164)-(DAY(AsAt)&lt;MIN(R164,DAY(EOMONTH(AsAt,0)))))/D164)+1)+O164*(AsAt&gt;='Deal maths'!AA164)),0)</f>
        <v/>
      </c>
      <c r="I164" s="108">
        <f>G164-H164</f>
        <v/>
      </c>
      <c r="J164" s="111">
        <f>IF(AND(C164="EIP",I164&gt;0),'Deal maths'!Y164/I164,0)</f>
        <v/>
      </c>
      <c r="K164" s="111">
        <f>IF(AND(C164="Annuity",I164&gt;0),IF(F164&gt;0,'Deal maths'!Y164*F164/(1-(1+F164)^-I164),'Deal maths'!Y164/I164),0)</f>
        <v/>
      </c>
      <c r="L164" s="111">
        <f>IF('Deal maths'!Y164="",0,'Deal maths'!Y164)</f>
        <v/>
      </c>
      <c r="M164" s="112">
        <f>F164+(F164=0)</f>
        <v/>
      </c>
      <c r="N164" s="108">
        <f>IFERROR(IF(D164=0,0,INT(((YEAR('Deal maths'!AA164)-YEAR(E164))*12+MONTH('Deal maths'!AA164)-MONTH(E164)-(DAY('Deal maths'!AA164)&lt;MIN(R164,DAY(EOMONTH('Deal maths'!AA164,0)))))/D164)+1),0)</f>
        <v/>
      </c>
      <c r="O164" s="108">
        <f>IFERROR(IF(D164=0,0,IF(IF(DAY(E164+1)=1,EOMONTH(E164,(N164-1)*D164),EDATE(E164,(N164-1)*D164))='Deal maths'!AA164,0,1)),0)</f>
        <v/>
      </c>
      <c r="P164" s="113">
        <f>IF(B164=0,0,IFERROR(IF(C164="EIP",((I164-O164)*((IF(DAY(E164+1)=1,EOMONTH(E164,H164*D164),EDATE(E164,H164*D164))-AsAt)/365.25+(IF(DAY(E164+1)=1,EOMONTH(E164,(N164-1)*D164),EDATE(E164,(N164-1)*D164))-AsAt)/365.25)/2+O164*('Deal maths'!AA164-AsAt)/365.25)/I164,IF(C164="Annuity",IF(F164&gt;0,((K164-L164*F164)*((IF(DAY(E164+1)=1,EOMONTH(E164,H164*D164),EDATE(E164,H164*D164))-AsAt)/365.25*((1+F164)^(I164-O164)-1)/F164+IF((I164-O164)&gt;1,((IF(DAY(E164+1)=1,EOMONTH(E164,(N164-1)*D164),EDATE(E164,(N164-1)*D164))-AsAt)/365.25-(IF(DAY(E164+1)=1,EOMONTH(E164,H164*D164),EDATE(E164,H164*D164))-AsAt)/365.25)/((I164-O164)-1),0)*(1+F164)*(1-(I164-O164)*(1+F164)^((I164-O164)-1)+((I164-O164)-1)*(1+F164)^(I164-O164))/F164^2)+O164*(K164-L164*F164)*(1+F164)^(I164-1)*('Deal maths'!AA164-AsAt)/365.25)/L164,((I164-O164)*((IF(DAY(E164+1)=1,EOMONTH(E164,H164*D164),EDATE(E164,H164*D164))-AsAt)/365.25+(IF(DAY(E164+1)=1,EOMONTH(E164,(N164-1)*D164),EDATE(E164,(N164-1)*D164))-AsAt)/365.25)/2+O164*('Deal maths'!AA164-AsAt)/365.25)/I164),(S164-AsAt)/365.25)),0))</f>
        <v/>
      </c>
      <c r="Q164" s="109">
        <f>IF(B164=1,'Deal maths'!AA164+ROW()/1000000,"")</f>
        <v/>
      </c>
      <c r="R164" s="108">
        <f>IF(D164=0,0,IF(DAY(E164+1)=1,31,DAY(E164)))</f>
        <v/>
      </c>
      <c r="S164" s="109">
        <f>IF(AND('Deal maths'!V164="LOBO",'Deal maths'!AG164&gt;AsAt,'Deal maths'!AG164&lt;'Deal maths'!AA164),'Deal maths'!AG164,'Deal maths'!AA164)</f>
        <v/>
      </c>
      <c r="T164" s="108">
        <f>('Deal maths'!AA164&gt;AsAt)*('Deal maths'!Y164&gt;0)</f>
        <v/>
      </c>
    </row>
    <row r="165">
      <c r="A165" s="91">
        <f>IF('Deal maths'!V165="","",'Deal maths'!W165)</f>
        <v/>
      </c>
      <c r="B165" s="108">
        <f>('Deal maths'!AA165&gt;AsAt)*('Deal maths'!Y165&gt;0)*('Deal maths'!Z165&lt;=AsAt)</f>
        <v/>
      </c>
      <c r="C165" s="91">
        <f>IF('Deal maths'!V165="","",IF('Deal maths'!AC165="","Maturity",'Deal maths'!AC165))</f>
        <v/>
      </c>
      <c r="D165" s="108">
        <f>IF(OR(C165="EIP",C165="Annuity"),IF('Deal maths'!AD165="Annual",12,IF('Deal maths'!AD165="Quarterly",3,6)),0)</f>
        <v/>
      </c>
      <c r="E165" s="109">
        <f>IFERROR(IF(D165=0,0,IF('Deal maths'!AE165&gt;0,IF('Deal maths'!AE165&gt;'Deal maths'!AA165,'Deal maths'!AA165,'Deal maths'!AE165),IF(IF(DAY('Deal maths'!AA165+1)=1,EOMONTH('Deal maths'!AA165,-(INT(((YEAR('Deal maths'!AA165)-YEAR(IF('Deal maths'!Z165&gt;0,'Deal maths'!Z165,DATE(1990,1,1))))*12+MONTH('Deal maths'!AA165)-MONTH(IF('Deal maths'!Z165&gt;0,'Deal maths'!Z165,DATE(1990,1,1))))/D165))*D165),EDATE('Deal maths'!AA165,-(INT(((YEAR('Deal maths'!AA165)-YEAR(IF('Deal maths'!Z165&gt;0,'Deal maths'!Z165,DATE(1990,1,1))))*12+MONTH('Deal maths'!AA165)-MONTH(IF('Deal maths'!Z165&gt;0,'Deal maths'!Z165,DATE(1990,1,1))))/D165))*D165))&gt;IF('Deal maths'!Z165&gt;0,'Deal maths'!Z165,DATE(1990,1,1)),IF(DAY('Deal maths'!AA165+1)=1,EOMONTH('Deal maths'!AA165,-(INT(((YEAR('Deal maths'!AA165)-YEAR(IF('Deal maths'!Z165&gt;0,'Deal maths'!Z165,DATE(1990,1,1))))*12+MONTH('Deal maths'!AA165)-MONTH(IF('Deal maths'!Z165&gt;0,'Deal maths'!Z165,DATE(1990,1,1))))/D165))*D165),EDATE('Deal maths'!AA165,-(INT(((YEAR('Deal maths'!AA165)-YEAR(IF('Deal maths'!Z165&gt;0,'Deal maths'!Z165,DATE(1990,1,1))))*12+MONTH('Deal maths'!AA165)-MONTH(IF('Deal maths'!Z165&gt;0,'Deal maths'!Z165,DATE(1990,1,1))))/D165))*D165)),IF(DAY('Deal maths'!AA165+1)=1,EOMONTH('Deal maths'!AA165,-(INT(((YEAR('Deal maths'!AA165)-YEAR(IF('Deal maths'!Z165&gt;0,'Deal maths'!Z165,DATE(1990,1,1))))*12+MONTH('Deal maths'!AA165)-MONTH(IF('Deal maths'!Z165&gt;0,'Deal maths'!Z165,DATE(1990,1,1))))/D165)-1)*D165),EDATE('Deal maths'!AA165,-(INT(((YEAR('Deal maths'!AA165)-YEAR(IF('Deal maths'!Z165&gt;0,'Deal maths'!Z165,DATE(1990,1,1))))*12+MONTH('Deal maths'!AA165)-MONTH(IF('Deal maths'!Z165&gt;0,'Deal maths'!Z165,DATE(1990,1,1))))/D165)-1)*D165))))),0)</f>
        <v/>
      </c>
      <c r="F165" s="110">
        <f>IF(D165=0,0,'Deal maths'!AB165*D165/12)</f>
        <v/>
      </c>
      <c r="G165" s="108">
        <f>N165+O165</f>
        <v/>
      </c>
      <c r="H165" s="108">
        <f>IFERROR(IF(OR(D165=0,AsAt&lt;E165),0,MIN(N165,INT(((YEAR(AsAt)-YEAR(E165))*12+MONTH(AsAt)-MONTH(E165)-(DAY(AsAt)&lt;MIN(R165,DAY(EOMONTH(AsAt,0)))))/D165)+1)+O165*(AsAt&gt;='Deal maths'!AA165)),0)</f>
        <v/>
      </c>
      <c r="I165" s="108">
        <f>G165-H165</f>
        <v/>
      </c>
      <c r="J165" s="111">
        <f>IF(AND(C165="EIP",I165&gt;0),'Deal maths'!Y165/I165,0)</f>
        <v/>
      </c>
      <c r="K165" s="111">
        <f>IF(AND(C165="Annuity",I165&gt;0),IF(F165&gt;0,'Deal maths'!Y165*F165/(1-(1+F165)^-I165),'Deal maths'!Y165/I165),0)</f>
        <v/>
      </c>
      <c r="L165" s="111">
        <f>IF('Deal maths'!Y165="",0,'Deal maths'!Y165)</f>
        <v/>
      </c>
      <c r="M165" s="112">
        <f>F165+(F165=0)</f>
        <v/>
      </c>
      <c r="N165" s="108">
        <f>IFERROR(IF(D165=0,0,INT(((YEAR('Deal maths'!AA165)-YEAR(E165))*12+MONTH('Deal maths'!AA165)-MONTH(E165)-(DAY('Deal maths'!AA165)&lt;MIN(R165,DAY(EOMONTH('Deal maths'!AA165,0)))))/D165)+1),0)</f>
        <v/>
      </c>
      <c r="O165" s="108">
        <f>IFERROR(IF(D165=0,0,IF(IF(DAY(E165+1)=1,EOMONTH(E165,(N165-1)*D165),EDATE(E165,(N165-1)*D165))='Deal maths'!AA165,0,1)),0)</f>
        <v/>
      </c>
      <c r="P165" s="113">
        <f>IF(B165=0,0,IFERROR(IF(C165="EIP",((I165-O165)*((IF(DAY(E165+1)=1,EOMONTH(E165,H165*D165),EDATE(E165,H165*D165))-AsAt)/365.25+(IF(DAY(E165+1)=1,EOMONTH(E165,(N165-1)*D165),EDATE(E165,(N165-1)*D165))-AsAt)/365.25)/2+O165*('Deal maths'!AA165-AsAt)/365.25)/I165,IF(C165="Annuity",IF(F165&gt;0,((K165-L165*F165)*((IF(DAY(E165+1)=1,EOMONTH(E165,H165*D165),EDATE(E165,H165*D165))-AsAt)/365.25*((1+F165)^(I165-O165)-1)/F165+IF((I165-O165)&gt;1,((IF(DAY(E165+1)=1,EOMONTH(E165,(N165-1)*D165),EDATE(E165,(N165-1)*D165))-AsAt)/365.25-(IF(DAY(E165+1)=1,EOMONTH(E165,H165*D165),EDATE(E165,H165*D165))-AsAt)/365.25)/((I165-O165)-1),0)*(1+F165)*(1-(I165-O165)*(1+F165)^((I165-O165)-1)+((I165-O165)-1)*(1+F165)^(I165-O165))/F165^2)+O165*(K165-L165*F165)*(1+F165)^(I165-1)*('Deal maths'!AA165-AsAt)/365.25)/L165,((I165-O165)*((IF(DAY(E165+1)=1,EOMONTH(E165,H165*D165),EDATE(E165,H165*D165))-AsAt)/365.25+(IF(DAY(E165+1)=1,EOMONTH(E165,(N165-1)*D165),EDATE(E165,(N165-1)*D165))-AsAt)/365.25)/2+O165*('Deal maths'!AA165-AsAt)/365.25)/I165),(S165-AsAt)/365.25)),0))</f>
        <v/>
      </c>
      <c r="Q165" s="109">
        <f>IF(B165=1,'Deal maths'!AA165+ROW()/1000000,"")</f>
        <v/>
      </c>
      <c r="R165" s="108">
        <f>IF(D165=0,0,IF(DAY(E165+1)=1,31,DAY(E165)))</f>
        <v/>
      </c>
      <c r="S165" s="109">
        <f>IF(AND('Deal maths'!V165="LOBO",'Deal maths'!AG165&gt;AsAt,'Deal maths'!AG165&lt;'Deal maths'!AA165),'Deal maths'!AG165,'Deal maths'!AA165)</f>
        <v/>
      </c>
      <c r="T165" s="108">
        <f>('Deal maths'!AA165&gt;AsAt)*('Deal maths'!Y165&gt;0)</f>
        <v/>
      </c>
    </row>
    <row r="166">
      <c r="A166" s="91">
        <f>IF('Deal maths'!V166="","",'Deal maths'!W166)</f>
        <v/>
      </c>
      <c r="B166" s="108">
        <f>('Deal maths'!AA166&gt;AsAt)*('Deal maths'!Y166&gt;0)*('Deal maths'!Z166&lt;=AsAt)</f>
        <v/>
      </c>
      <c r="C166" s="91">
        <f>IF('Deal maths'!V166="","",IF('Deal maths'!AC166="","Maturity",'Deal maths'!AC166))</f>
        <v/>
      </c>
      <c r="D166" s="108">
        <f>IF(OR(C166="EIP",C166="Annuity"),IF('Deal maths'!AD166="Annual",12,IF('Deal maths'!AD166="Quarterly",3,6)),0)</f>
        <v/>
      </c>
      <c r="E166" s="109">
        <f>IFERROR(IF(D166=0,0,IF('Deal maths'!AE166&gt;0,IF('Deal maths'!AE166&gt;'Deal maths'!AA166,'Deal maths'!AA166,'Deal maths'!AE166),IF(IF(DAY('Deal maths'!AA166+1)=1,EOMONTH('Deal maths'!AA166,-(INT(((YEAR('Deal maths'!AA166)-YEAR(IF('Deal maths'!Z166&gt;0,'Deal maths'!Z166,DATE(1990,1,1))))*12+MONTH('Deal maths'!AA166)-MONTH(IF('Deal maths'!Z166&gt;0,'Deal maths'!Z166,DATE(1990,1,1))))/D166))*D166),EDATE('Deal maths'!AA166,-(INT(((YEAR('Deal maths'!AA166)-YEAR(IF('Deal maths'!Z166&gt;0,'Deal maths'!Z166,DATE(1990,1,1))))*12+MONTH('Deal maths'!AA166)-MONTH(IF('Deal maths'!Z166&gt;0,'Deal maths'!Z166,DATE(1990,1,1))))/D166))*D166))&gt;IF('Deal maths'!Z166&gt;0,'Deal maths'!Z166,DATE(1990,1,1)),IF(DAY('Deal maths'!AA166+1)=1,EOMONTH('Deal maths'!AA166,-(INT(((YEAR('Deal maths'!AA166)-YEAR(IF('Deal maths'!Z166&gt;0,'Deal maths'!Z166,DATE(1990,1,1))))*12+MONTH('Deal maths'!AA166)-MONTH(IF('Deal maths'!Z166&gt;0,'Deal maths'!Z166,DATE(1990,1,1))))/D166))*D166),EDATE('Deal maths'!AA166,-(INT(((YEAR('Deal maths'!AA166)-YEAR(IF('Deal maths'!Z166&gt;0,'Deal maths'!Z166,DATE(1990,1,1))))*12+MONTH('Deal maths'!AA166)-MONTH(IF('Deal maths'!Z166&gt;0,'Deal maths'!Z166,DATE(1990,1,1))))/D166))*D166)),IF(DAY('Deal maths'!AA166+1)=1,EOMONTH('Deal maths'!AA166,-(INT(((YEAR('Deal maths'!AA166)-YEAR(IF('Deal maths'!Z166&gt;0,'Deal maths'!Z166,DATE(1990,1,1))))*12+MONTH('Deal maths'!AA166)-MONTH(IF('Deal maths'!Z166&gt;0,'Deal maths'!Z166,DATE(1990,1,1))))/D166)-1)*D166),EDATE('Deal maths'!AA166,-(INT(((YEAR('Deal maths'!AA166)-YEAR(IF('Deal maths'!Z166&gt;0,'Deal maths'!Z166,DATE(1990,1,1))))*12+MONTH('Deal maths'!AA166)-MONTH(IF('Deal maths'!Z166&gt;0,'Deal maths'!Z166,DATE(1990,1,1))))/D166)-1)*D166))))),0)</f>
        <v/>
      </c>
      <c r="F166" s="110">
        <f>IF(D166=0,0,'Deal maths'!AB166*D166/12)</f>
        <v/>
      </c>
      <c r="G166" s="108">
        <f>N166+O166</f>
        <v/>
      </c>
      <c r="H166" s="108">
        <f>IFERROR(IF(OR(D166=0,AsAt&lt;E166),0,MIN(N166,INT(((YEAR(AsAt)-YEAR(E166))*12+MONTH(AsAt)-MONTH(E166)-(DAY(AsAt)&lt;MIN(R166,DAY(EOMONTH(AsAt,0)))))/D166)+1)+O166*(AsAt&gt;='Deal maths'!AA166)),0)</f>
        <v/>
      </c>
      <c r="I166" s="108">
        <f>G166-H166</f>
        <v/>
      </c>
      <c r="J166" s="111">
        <f>IF(AND(C166="EIP",I166&gt;0),'Deal maths'!Y166/I166,0)</f>
        <v/>
      </c>
      <c r="K166" s="111">
        <f>IF(AND(C166="Annuity",I166&gt;0),IF(F166&gt;0,'Deal maths'!Y166*F166/(1-(1+F166)^-I166),'Deal maths'!Y166/I166),0)</f>
        <v/>
      </c>
      <c r="L166" s="111">
        <f>IF('Deal maths'!Y166="",0,'Deal maths'!Y166)</f>
        <v/>
      </c>
      <c r="M166" s="112">
        <f>F166+(F166=0)</f>
        <v/>
      </c>
      <c r="N166" s="108">
        <f>IFERROR(IF(D166=0,0,INT(((YEAR('Deal maths'!AA166)-YEAR(E166))*12+MONTH('Deal maths'!AA166)-MONTH(E166)-(DAY('Deal maths'!AA166)&lt;MIN(R166,DAY(EOMONTH('Deal maths'!AA166,0)))))/D166)+1),0)</f>
        <v/>
      </c>
      <c r="O166" s="108">
        <f>IFERROR(IF(D166=0,0,IF(IF(DAY(E166+1)=1,EOMONTH(E166,(N166-1)*D166),EDATE(E166,(N166-1)*D166))='Deal maths'!AA166,0,1)),0)</f>
        <v/>
      </c>
      <c r="P166" s="113">
        <f>IF(B166=0,0,IFERROR(IF(C166="EIP",((I166-O166)*((IF(DAY(E166+1)=1,EOMONTH(E166,H166*D166),EDATE(E166,H166*D166))-AsAt)/365.25+(IF(DAY(E166+1)=1,EOMONTH(E166,(N166-1)*D166),EDATE(E166,(N166-1)*D166))-AsAt)/365.25)/2+O166*('Deal maths'!AA166-AsAt)/365.25)/I166,IF(C166="Annuity",IF(F166&gt;0,((K166-L166*F166)*((IF(DAY(E166+1)=1,EOMONTH(E166,H166*D166),EDATE(E166,H166*D166))-AsAt)/365.25*((1+F166)^(I166-O166)-1)/F166+IF((I166-O166)&gt;1,((IF(DAY(E166+1)=1,EOMONTH(E166,(N166-1)*D166),EDATE(E166,(N166-1)*D166))-AsAt)/365.25-(IF(DAY(E166+1)=1,EOMONTH(E166,H166*D166),EDATE(E166,H166*D166))-AsAt)/365.25)/((I166-O166)-1),0)*(1+F166)*(1-(I166-O166)*(1+F166)^((I166-O166)-1)+((I166-O166)-1)*(1+F166)^(I166-O166))/F166^2)+O166*(K166-L166*F166)*(1+F166)^(I166-1)*('Deal maths'!AA166-AsAt)/365.25)/L166,((I166-O166)*((IF(DAY(E166+1)=1,EOMONTH(E166,H166*D166),EDATE(E166,H166*D166))-AsAt)/365.25+(IF(DAY(E166+1)=1,EOMONTH(E166,(N166-1)*D166),EDATE(E166,(N166-1)*D166))-AsAt)/365.25)/2+O166*('Deal maths'!AA166-AsAt)/365.25)/I166),(S166-AsAt)/365.25)),0))</f>
        <v/>
      </c>
      <c r="Q166" s="109">
        <f>IF(B166=1,'Deal maths'!AA166+ROW()/1000000,"")</f>
        <v/>
      </c>
      <c r="R166" s="108">
        <f>IF(D166=0,0,IF(DAY(E166+1)=1,31,DAY(E166)))</f>
        <v/>
      </c>
      <c r="S166" s="109">
        <f>IF(AND('Deal maths'!V166="LOBO",'Deal maths'!AG166&gt;AsAt,'Deal maths'!AG166&lt;'Deal maths'!AA166),'Deal maths'!AG166,'Deal maths'!AA166)</f>
        <v/>
      </c>
      <c r="T166" s="108">
        <f>('Deal maths'!AA166&gt;AsAt)*('Deal maths'!Y166&gt;0)</f>
        <v/>
      </c>
    </row>
    <row r="167">
      <c r="A167" s="91">
        <f>IF('Deal maths'!V167="","",'Deal maths'!W167)</f>
        <v/>
      </c>
      <c r="B167" s="108">
        <f>('Deal maths'!AA167&gt;AsAt)*('Deal maths'!Y167&gt;0)*('Deal maths'!Z167&lt;=AsAt)</f>
        <v/>
      </c>
      <c r="C167" s="91">
        <f>IF('Deal maths'!V167="","",IF('Deal maths'!AC167="","Maturity",'Deal maths'!AC167))</f>
        <v/>
      </c>
      <c r="D167" s="108">
        <f>IF(OR(C167="EIP",C167="Annuity"),IF('Deal maths'!AD167="Annual",12,IF('Deal maths'!AD167="Quarterly",3,6)),0)</f>
        <v/>
      </c>
      <c r="E167" s="109">
        <f>IFERROR(IF(D167=0,0,IF('Deal maths'!AE167&gt;0,IF('Deal maths'!AE167&gt;'Deal maths'!AA167,'Deal maths'!AA167,'Deal maths'!AE167),IF(IF(DAY('Deal maths'!AA167+1)=1,EOMONTH('Deal maths'!AA167,-(INT(((YEAR('Deal maths'!AA167)-YEAR(IF('Deal maths'!Z167&gt;0,'Deal maths'!Z167,DATE(1990,1,1))))*12+MONTH('Deal maths'!AA167)-MONTH(IF('Deal maths'!Z167&gt;0,'Deal maths'!Z167,DATE(1990,1,1))))/D167))*D167),EDATE('Deal maths'!AA167,-(INT(((YEAR('Deal maths'!AA167)-YEAR(IF('Deal maths'!Z167&gt;0,'Deal maths'!Z167,DATE(1990,1,1))))*12+MONTH('Deal maths'!AA167)-MONTH(IF('Deal maths'!Z167&gt;0,'Deal maths'!Z167,DATE(1990,1,1))))/D167))*D167))&gt;IF('Deal maths'!Z167&gt;0,'Deal maths'!Z167,DATE(1990,1,1)),IF(DAY('Deal maths'!AA167+1)=1,EOMONTH('Deal maths'!AA167,-(INT(((YEAR('Deal maths'!AA167)-YEAR(IF('Deal maths'!Z167&gt;0,'Deal maths'!Z167,DATE(1990,1,1))))*12+MONTH('Deal maths'!AA167)-MONTH(IF('Deal maths'!Z167&gt;0,'Deal maths'!Z167,DATE(1990,1,1))))/D167))*D167),EDATE('Deal maths'!AA167,-(INT(((YEAR('Deal maths'!AA167)-YEAR(IF('Deal maths'!Z167&gt;0,'Deal maths'!Z167,DATE(1990,1,1))))*12+MONTH('Deal maths'!AA167)-MONTH(IF('Deal maths'!Z167&gt;0,'Deal maths'!Z167,DATE(1990,1,1))))/D167))*D167)),IF(DAY('Deal maths'!AA167+1)=1,EOMONTH('Deal maths'!AA167,-(INT(((YEAR('Deal maths'!AA167)-YEAR(IF('Deal maths'!Z167&gt;0,'Deal maths'!Z167,DATE(1990,1,1))))*12+MONTH('Deal maths'!AA167)-MONTH(IF('Deal maths'!Z167&gt;0,'Deal maths'!Z167,DATE(1990,1,1))))/D167)-1)*D167),EDATE('Deal maths'!AA167,-(INT(((YEAR('Deal maths'!AA167)-YEAR(IF('Deal maths'!Z167&gt;0,'Deal maths'!Z167,DATE(1990,1,1))))*12+MONTH('Deal maths'!AA167)-MONTH(IF('Deal maths'!Z167&gt;0,'Deal maths'!Z167,DATE(1990,1,1))))/D167)-1)*D167))))),0)</f>
        <v/>
      </c>
      <c r="F167" s="110">
        <f>IF(D167=0,0,'Deal maths'!AB167*D167/12)</f>
        <v/>
      </c>
      <c r="G167" s="108">
        <f>N167+O167</f>
        <v/>
      </c>
      <c r="H167" s="108">
        <f>IFERROR(IF(OR(D167=0,AsAt&lt;E167),0,MIN(N167,INT(((YEAR(AsAt)-YEAR(E167))*12+MONTH(AsAt)-MONTH(E167)-(DAY(AsAt)&lt;MIN(R167,DAY(EOMONTH(AsAt,0)))))/D167)+1)+O167*(AsAt&gt;='Deal maths'!AA167)),0)</f>
        <v/>
      </c>
      <c r="I167" s="108">
        <f>G167-H167</f>
        <v/>
      </c>
      <c r="J167" s="111">
        <f>IF(AND(C167="EIP",I167&gt;0),'Deal maths'!Y167/I167,0)</f>
        <v/>
      </c>
      <c r="K167" s="111">
        <f>IF(AND(C167="Annuity",I167&gt;0),IF(F167&gt;0,'Deal maths'!Y167*F167/(1-(1+F167)^-I167),'Deal maths'!Y167/I167),0)</f>
        <v/>
      </c>
      <c r="L167" s="111">
        <f>IF('Deal maths'!Y167="",0,'Deal maths'!Y167)</f>
        <v/>
      </c>
      <c r="M167" s="112">
        <f>F167+(F167=0)</f>
        <v/>
      </c>
      <c r="N167" s="108">
        <f>IFERROR(IF(D167=0,0,INT(((YEAR('Deal maths'!AA167)-YEAR(E167))*12+MONTH('Deal maths'!AA167)-MONTH(E167)-(DAY('Deal maths'!AA167)&lt;MIN(R167,DAY(EOMONTH('Deal maths'!AA167,0)))))/D167)+1),0)</f>
        <v/>
      </c>
      <c r="O167" s="108">
        <f>IFERROR(IF(D167=0,0,IF(IF(DAY(E167+1)=1,EOMONTH(E167,(N167-1)*D167),EDATE(E167,(N167-1)*D167))='Deal maths'!AA167,0,1)),0)</f>
        <v/>
      </c>
      <c r="P167" s="113">
        <f>IF(B167=0,0,IFERROR(IF(C167="EIP",((I167-O167)*((IF(DAY(E167+1)=1,EOMONTH(E167,H167*D167),EDATE(E167,H167*D167))-AsAt)/365.25+(IF(DAY(E167+1)=1,EOMONTH(E167,(N167-1)*D167),EDATE(E167,(N167-1)*D167))-AsAt)/365.25)/2+O167*('Deal maths'!AA167-AsAt)/365.25)/I167,IF(C167="Annuity",IF(F167&gt;0,((K167-L167*F167)*((IF(DAY(E167+1)=1,EOMONTH(E167,H167*D167),EDATE(E167,H167*D167))-AsAt)/365.25*((1+F167)^(I167-O167)-1)/F167+IF((I167-O167)&gt;1,((IF(DAY(E167+1)=1,EOMONTH(E167,(N167-1)*D167),EDATE(E167,(N167-1)*D167))-AsAt)/365.25-(IF(DAY(E167+1)=1,EOMONTH(E167,H167*D167),EDATE(E167,H167*D167))-AsAt)/365.25)/((I167-O167)-1),0)*(1+F167)*(1-(I167-O167)*(1+F167)^((I167-O167)-1)+((I167-O167)-1)*(1+F167)^(I167-O167))/F167^2)+O167*(K167-L167*F167)*(1+F167)^(I167-1)*('Deal maths'!AA167-AsAt)/365.25)/L167,((I167-O167)*((IF(DAY(E167+1)=1,EOMONTH(E167,H167*D167),EDATE(E167,H167*D167))-AsAt)/365.25+(IF(DAY(E167+1)=1,EOMONTH(E167,(N167-1)*D167),EDATE(E167,(N167-1)*D167))-AsAt)/365.25)/2+O167*('Deal maths'!AA167-AsAt)/365.25)/I167),(S167-AsAt)/365.25)),0))</f>
        <v/>
      </c>
      <c r="Q167" s="109">
        <f>IF(B167=1,'Deal maths'!AA167+ROW()/1000000,"")</f>
        <v/>
      </c>
      <c r="R167" s="108">
        <f>IF(D167=0,0,IF(DAY(E167+1)=1,31,DAY(E167)))</f>
        <v/>
      </c>
      <c r="S167" s="109">
        <f>IF(AND('Deal maths'!V167="LOBO",'Deal maths'!AG167&gt;AsAt,'Deal maths'!AG167&lt;'Deal maths'!AA167),'Deal maths'!AG167,'Deal maths'!AA167)</f>
        <v/>
      </c>
      <c r="T167" s="108">
        <f>('Deal maths'!AA167&gt;AsAt)*('Deal maths'!Y167&gt;0)</f>
        <v/>
      </c>
    </row>
    <row r="168">
      <c r="A168" s="91">
        <f>IF('Deal maths'!V168="","",'Deal maths'!W168)</f>
        <v/>
      </c>
      <c r="B168" s="108">
        <f>('Deal maths'!AA168&gt;AsAt)*('Deal maths'!Y168&gt;0)*('Deal maths'!Z168&lt;=AsAt)</f>
        <v/>
      </c>
      <c r="C168" s="91">
        <f>IF('Deal maths'!V168="","",IF('Deal maths'!AC168="","Maturity",'Deal maths'!AC168))</f>
        <v/>
      </c>
      <c r="D168" s="108">
        <f>IF(OR(C168="EIP",C168="Annuity"),IF('Deal maths'!AD168="Annual",12,IF('Deal maths'!AD168="Quarterly",3,6)),0)</f>
        <v/>
      </c>
      <c r="E168" s="109">
        <f>IFERROR(IF(D168=0,0,IF('Deal maths'!AE168&gt;0,IF('Deal maths'!AE168&gt;'Deal maths'!AA168,'Deal maths'!AA168,'Deal maths'!AE168),IF(IF(DAY('Deal maths'!AA168+1)=1,EOMONTH('Deal maths'!AA168,-(INT(((YEAR('Deal maths'!AA168)-YEAR(IF('Deal maths'!Z168&gt;0,'Deal maths'!Z168,DATE(1990,1,1))))*12+MONTH('Deal maths'!AA168)-MONTH(IF('Deal maths'!Z168&gt;0,'Deal maths'!Z168,DATE(1990,1,1))))/D168))*D168),EDATE('Deal maths'!AA168,-(INT(((YEAR('Deal maths'!AA168)-YEAR(IF('Deal maths'!Z168&gt;0,'Deal maths'!Z168,DATE(1990,1,1))))*12+MONTH('Deal maths'!AA168)-MONTH(IF('Deal maths'!Z168&gt;0,'Deal maths'!Z168,DATE(1990,1,1))))/D168))*D168))&gt;IF('Deal maths'!Z168&gt;0,'Deal maths'!Z168,DATE(1990,1,1)),IF(DAY('Deal maths'!AA168+1)=1,EOMONTH('Deal maths'!AA168,-(INT(((YEAR('Deal maths'!AA168)-YEAR(IF('Deal maths'!Z168&gt;0,'Deal maths'!Z168,DATE(1990,1,1))))*12+MONTH('Deal maths'!AA168)-MONTH(IF('Deal maths'!Z168&gt;0,'Deal maths'!Z168,DATE(1990,1,1))))/D168))*D168),EDATE('Deal maths'!AA168,-(INT(((YEAR('Deal maths'!AA168)-YEAR(IF('Deal maths'!Z168&gt;0,'Deal maths'!Z168,DATE(1990,1,1))))*12+MONTH('Deal maths'!AA168)-MONTH(IF('Deal maths'!Z168&gt;0,'Deal maths'!Z168,DATE(1990,1,1))))/D168))*D168)),IF(DAY('Deal maths'!AA168+1)=1,EOMONTH('Deal maths'!AA168,-(INT(((YEAR('Deal maths'!AA168)-YEAR(IF('Deal maths'!Z168&gt;0,'Deal maths'!Z168,DATE(1990,1,1))))*12+MONTH('Deal maths'!AA168)-MONTH(IF('Deal maths'!Z168&gt;0,'Deal maths'!Z168,DATE(1990,1,1))))/D168)-1)*D168),EDATE('Deal maths'!AA168,-(INT(((YEAR('Deal maths'!AA168)-YEAR(IF('Deal maths'!Z168&gt;0,'Deal maths'!Z168,DATE(1990,1,1))))*12+MONTH('Deal maths'!AA168)-MONTH(IF('Deal maths'!Z168&gt;0,'Deal maths'!Z168,DATE(1990,1,1))))/D168)-1)*D168))))),0)</f>
        <v/>
      </c>
      <c r="F168" s="110">
        <f>IF(D168=0,0,'Deal maths'!AB168*D168/12)</f>
        <v/>
      </c>
      <c r="G168" s="108">
        <f>N168+O168</f>
        <v/>
      </c>
      <c r="H168" s="108">
        <f>IFERROR(IF(OR(D168=0,AsAt&lt;E168),0,MIN(N168,INT(((YEAR(AsAt)-YEAR(E168))*12+MONTH(AsAt)-MONTH(E168)-(DAY(AsAt)&lt;MIN(R168,DAY(EOMONTH(AsAt,0)))))/D168)+1)+O168*(AsAt&gt;='Deal maths'!AA168)),0)</f>
        <v/>
      </c>
      <c r="I168" s="108">
        <f>G168-H168</f>
        <v/>
      </c>
      <c r="J168" s="111">
        <f>IF(AND(C168="EIP",I168&gt;0),'Deal maths'!Y168/I168,0)</f>
        <v/>
      </c>
      <c r="K168" s="111">
        <f>IF(AND(C168="Annuity",I168&gt;0),IF(F168&gt;0,'Deal maths'!Y168*F168/(1-(1+F168)^-I168),'Deal maths'!Y168/I168),0)</f>
        <v/>
      </c>
      <c r="L168" s="111">
        <f>IF('Deal maths'!Y168="",0,'Deal maths'!Y168)</f>
        <v/>
      </c>
      <c r="M168" s="112">
        <f>F168+(F168=0)</f>
        <v/>
      </c>
      <c r="N168" s="108">
        <f>IFERROR(IF(D168=0,0,INT(((YEAR('Deal maths'!AA168)-YEAR(E168))*12+MONTH('Deal maths'!AA168)-MONTH(E168)-(DAY('Deal maths'!AA168)&lt;MIN(R168,DAY(EOMONTH('Deal maths'!AA168,0)))))/D168)+1),0)</f>
        <v/>
      </c>
      <c r="O168" s="108">
        <f>IFERROR(IF(D168=0,0,IF(IF(DAY(E168+1)=1,EOMONTH(E168,(N168-1)*D168),EDATE(E168,(N168-1)*D168))='Deal maths'!AA168,0,1)),0)</f>
        <v/>
      </c>
      <c r="P168" s="113">
        <f>IF(B168=0,0,IFERROR(IF(C168="EIP",((I168-O168)*((IF(DAY(E168+1)=1,EOMONTH(E168,H168*D168),EDATE(E168,H168*D168))-AsAt)/365.25+(IF(DAY(E168+1)=1,EOMONTH(E168,(N168-1)*D168),EDATE(E168,(N168-1)*D168))-AsAt)/365.25)/2+O168*('Deal maths'!AA168-AsAt)/365.25)/I168,IF(C168="Annuity",IF(F168&gt;0,((K168-L168*F168)*((IF(DAY(E168+1)=1,EOMONTH(E168,H168*D168),EDATE(E168,H168*D168))-AsAt)/365.25*((1+F168)^(I168-O168)-1)/F168+IF((I168-O168)&gt;1,((IF(DAY(E168+1)=1,EOMONTH(E168,(N168-1)*D168),EDATE(E168,(N168-1)*D168))-AsAt)/365.25-(IF(DAY(E168+1)=1,EOMONTH(E168,H168*D168),EDATE(E168,H168*D168))-AsAt)/365.25)/((I168-O168)-1),0)*(1+F168)*(1-(I168-O168)*(1+F168)^((I168-O168)-1)+((I168-O168)-1)*(1+F168)^(I168-O168))/F168^2)+O168*(K168-L168*F168)*(1+F168)^(I168-1)*('Deal maths'!AA168-AsAt)/365.25)/L168,((I168-O168)*((IF(DAY(E168+1)=1,EOMONTH(E168,H168*D168),EDATE(E168,H168*D168))-AsAt)/365.25+(IF(DAY(E168+1)=1,EOMONTH(E168,(N168-1)*D168),EDATE(E168,(N168-1)*D168))-AsAt)/365.25)/2+O168*('Deal maths'!AA168-AsAt)/365.25)/I168),(S168-AsAt)/365.25)),0))</f>
        <v/>
      </c>
      <c r="Q168" s="109">
        <f>IF(B168=1,'Deal maths'!AA168+ROW()/1000000,"")</f>
        <v/>
      </c>
      <c r="R168" s="108">
        <f>IF(D168=0,0,IF(DAY(E168+1)=1,31,DAY(E168)))</f>
        <v/>
      </c>
      <c r="S168" s="109">
        <f>IF(AND('Deal maths'!V168="LOBO",'Deal maths'!AG168&gt;AsAt,'Deal maths'!AG168&lt;'Deal maths'!AA168),'Deal maths'!AG168,'Deal maths'!AA168)</f>
        <v/>
      </c>
      <c r="T168" s="108">
        <f>('Deal maths'!AA168&gt;AsAt)*('Deal maths'!Y168&gt;0)</f>
        <v/>
      </c>
    </row>
    <row r="169">
      <c r="A169" s="91">
        <f>IF('Deal maths'!V169="","",'Deal maths'!W169)</f>
        <v/>
      </c>
      <c r="B169" s="108">
        <f>('Deal maths'!AA169&gt;AsAt)*('Deal maths'!Y169&gt;0)*('Deal maths'!Z169&lt;=AsAt)</f>
        <v/>
      </c>
      <c r="C169" s="91">
        <f>IF('Deal maths'!V169="","",IF('Deal maths'!AC169="","Maturity",'Deal maths'!AC169))</f>
        <v/>
      </c>
      <c r="D169" s="108">
        <f>IF(OR(C169="EIP",C169="Annuity"),IF('Deal maths'!AD169="Annual",12,IF('Deal maths'!AD169="Quarterly",3,6)),0)</f>
        <v/>
      </c>
      <c r="E169" s="109">
        <f>IFERROR(IF(D169=0,0,IF('Deal maths'!AE169&gt;0,IF('Deal maths'!AE169&gt;'Deal maths'!AA169,'Deal maths'!AA169,'Deal maths'!AE169),IF(IF(DAY('Deal maths'!AA169+1)=1,EOMONTH('Deal maths'!AA169,-(INT(((YEAR('Deal maths'!AA169)-YEAR(IF('Deal maths'!Z169&gt;0,'Deal maths'!Z169,DATE(1990,1,1))))*12+MONTH('Deal maths'!AA169)-MONTH(IF('Deal maths'!Z169&gt;0,'Deal maths'!Z169,DATE(1990,1,1))))/D169))*D169),EDATE('Deal maths'!AA169,-(INT(((YEAR('Deal maths'!AA169)-YEAR(IF('Deal maths'!Z169&gt;0,'Deal maths'!Z169,DATE(1990,1,1))))*12+MONTH('Deal maths'!AA169)-MONTH(IF('Deal maths'!Z169&gt;0,'Deal maths'!Z169,DATE(1990,1,1))))/D169))*D169))&gt;IF('Deal maths'!Z169&gt;0,'Deal maths'!Z169,DATE(1990,1,1)),IF(DAY('Deal maths'!AA169+1)=1,EOMONTH('Deal maths'!AA169,-(INT(((YEAR('Deal maths'!AA169)-YEAR(IF('Deal maths'!Z169&gt;0,'Deal maths'!Z169,DATE(1990,1,1))))*12+MONTH('Deal maths'!AA169)-MONTH(IF('Deal maths'!Z169&gt;0,'Deal maths'!Z169,DATE(1990,1,1))))/D169))*D169),EDATE('Deal maths'!AA169,-(INT(((YEAR('Deal maths'!AA169)-YEAR(IF('Deal maths'!Z169&gt;0,'Deal maths'!Z169,DATE(1990,1,1))))*12+MONTH('Deal maths'!AA169)-MONTH(IF('Deal maths'!Z169&gt;0,'Deal maths'!Z169,DATE(1990,1,1))))/D169))*D169)),IF(DAY('Deal maths'!AA169+1)=1,EOMONTH('Deal maths'!AA169,-(INT(((YEAR('Deal maths'!AA169)-YEAR(IF('Deal maths'!Z169&gt;0,'Deal maths'!Z169,DATE(1990,1,1))))*12+MONTH('Deal maths'!AA169)-MONTH(IF('Deal maths'!Z169&gt;0,'Deal maths'!Z169,DATE(1990,1,1))))/D169)-1)*D169),EDATE('Deal maths'!AA169,-(INT(((YEAR('Deal maths'!AA169)-YEAR(IF('Deal maths'!Z169&gt;0,'Deal maths'!Z169,DATE(1990,1,1))))*12+MONTH('Deal maths'!AA169)-MONTH(IF('Deal maths'!Z169&gt;0,'Deal maths'!Z169,DATE(1990,1,1))))/D169)-1)*D169))))),0)</f>
        <v/>
      </c>
      <c r="F169" s="110">
        <f>IF(D169=0,0,'Deal maths'!AB169*D169/12)</f>
        <v/>
      </c>
      <c r="G169" s="108">
        <f>N169+O169</f>
        <v/>
      </c>
      <c r="H169" s="108">
        <f>IFERROR(IF(OR(D169=0,AsAt&lt;E169),0,MIN(N169,INT(((YEAR(AsAt)-YEAR(E169))*12+MONTH(AsAt)-MONTH(E169)-(DAY(AsAt)&lt;MIN(R169,DAY(EOMONTH(AsAt,0)))))/D169)+1)+O169*(AsAt&gt;='Deal maths'!AA169)),0)</f>
        <v/>
      </c>
      <c r="I169" s="108">
        <f>G169-H169</f>
        <v/>
      </c>
      <c r="J169" s="111">
        <f>IF(AND(C169="EIP",I169&gt;0),'Deal maths'!Y169/I169,0)</f>
        <v/>
      </c>
      <c r="K169" s="111">
        <f>IF(AND(C169="Annuity",I169&gt;0),IF(F169&gt;0,'Deal maths'!Y169*F169/(1-(1+F169)^-I169),'Deal maths'!Y169/I169),0)</f>
        <v/>
      </c>
      <c r="L169" s="111">
        <f>IF('Deal maths'!Y169="",0,'Deal maths'!Y169)</f>
        <v/>
      </c>
      <c r="M169" s="112">
        <f>F169+(F169=0)</f>
        <v/>
      </c>
      <c r="N169" s="108">
        <f>IFERROR(IF(D169=0,0,INT(((YEAR('Deal maths'!AA169)-YEAR(E169))*12+MONTH('Deal maths'!AA169)-MONTH(E169)-(DAY('Deal maths'!AA169)&lt;MIN(R169,DAY(EOMONTH('Deal maths'!AA169,0)))))/D169)+1),0)</f>
        <v/>
      </c>
      <c r="O169" s="108">
        <f>IFERROR(IF(D169=0,0,IF(IF(DAY(E169+1)=1,EOMONTH(E169,(N169-1)*D169),EDATE(E169,(N169-1)*D169))='Deal maths'!AA169,0,1)),0)</f>
        <v/>
      </c>
      <c r="P169" s="113">
        <f>IF(B169=0,0,IFERROR(IF(C169="EIP",((I169-O169)*((IF(DAY(E169+1)=1,EOMONTH(E169,H169*D169),EDATE(E169,H169*D169))-AsAt)/365.25+(IF(DAY(E169+1)=1,EOMONTH(E169,(N169-1)*D169),EDATE(E169,(N169-1)*D169))-AsAt)/365.25)/2+O169*('Deal maths'!AA169-AsAt)/365.25)/I169,IF(C169="Annuity",IF(F169&gt;0,((K169-L169*F169)*((IF(DAY(E169+1)=1,EOMONTH(E169,H169*D169),EDATE(E169,H169*D169))-AsAt)/365.25*((1+F169)^(I169-O169)-1)/F169+IF((I169-O169)&gt;1,((IF(DAY(E169+1)=1,EOMONTH(E169,(N169-1)*D169),EDATE(E169,(N169-1)*D169))-AsAt)/365.25-(IF(DAY(E169+1)=1,EOMONTH(E169,H169*D169),EDATE(E169,H169*D169))-AsAt)/365.25)/((I169-O169)-1),0)*(1+F169)*(1-(I169-O169)*(1+F169)^((I169-O169)-1)+((I169-O169)-1)*(1+F169)^(I169-O169))/F169^2)+O169*(K169-L169*F169)*(1+F169)^(I169-1)*('Deal maths'!AA169-AsAt)/365.25)/L169,((I169-O169)*((IF(DAY(E169+1)=1,EOMONTH(E169,H169*D169),EDATE(E169,H169*D169))-AsAt)/365.25+(IF(DAY(E169+1)=1,EOMONTH(E169,(N169-1)*D169),EDATE(E169,(N169-1)*D169))-AsAt)/365.25)/2+O169*('Deal maths'!AA169-AsAt)/365.25)/I169),(S169-AsAt)/365.25)),0))</f>
        <v/>
      </c>
      <c r="Q169" s="109">
        <f>IF(B169=1,'Deal maths'!AA169+ROW()/1000000,"")</f>
        <v/>
      </c>
      <c r="R169" s="108">
        <f>IF(D169=0,0,IF(DAY(E169+1)=1,31,DAY(E169)))</f>
        <v/>
      </c>
      <c r="S169" s="109">
        <f>IF(AND('Deal maths'!V169="LOBO",'Deal maths'!AG169&gt;AsAt,'Deal maths'!AG169&lt;'Deal maths'!AA169),'Deal maths'!AG169,'Deal maths'!AA169)</f>
        <v/>
      </c>
      <c r="T169" s="108">
        <f>('Deal maths'!AA169&gt;AsAt)*('Deal maths'!Y169&gt;0)</f>
        <v/>
      </c>
    </row>
    <row r="170">
      <c r="A170" s="91">
        <f>IF('Deal maths'!V170="","",'Deal maths'!W170)</f>
        <v/>
      </c>
      <c r="B170" s="108">
        <f>('Deal maths'!AA170&gt;AsAt)*('Deal maths'!Y170&gt;0)*('Deal maths'!Z170&lt;=AsAt)</f>
        <v/>
      </c>
      <c r="C170" s="91">
        <f>IF('Deal maths'!V170="","",IF('Deal maths'!AC170="","Maturity",'Deal maths'!AC170))</f>
        <v/>
      </c>
      <c r="D170" s="108">
        <f>IF(OR(C170="EIP",C170="Annuity"),IF('Deal maths'!AD170="Annual",12,IF('Deal maths'!AD170="Quarterly",3,6)),0)</f>
        <v/>
      </c>
      <c r="E170" s="109">
        <f>IFERROR(IF(D170=0,0,IF('Deal maths'!AE170&gt;0,IF('Deal maths'!AE170&gt;'Deal maths'!AA170,'Deal maths'!AA170,'Deal maths'!AE170),IF(IF(DAY('Deal maths'!AA170+1)=1,EOMONTH('Deal maths'!AA170,-(INT(((YEAR('Deal maths'!AA170)-YEAR(IF('Deal maths'!Z170&gt;0,'Deal maths'!Z170,DATE(1990,1,1))))*12+MONTH('Deal maths'!AA170)-MONTH(IF('Deal maths'!Z170&gt;0,'Deal maths'!Z170,DATE(1990,1,1))))/D170))*D170),EDATE('Deal maths'!AA170,-(INT(((YEAR('Deal maths'!AA170)-YEAR(IF('Deal maths'!Z170&gt;0,'Deal maths'!Z170,DATE(1990,1,1))))*12+MONTH('Deal maths'!AA170)-MONTH(IF('Deal maths'!Z170&gt;0,'Deal maths'!Z170,DATE(1990,1,1))))/D170))*D170))&gt;IF('Deal maths'!Z170&gt;0,'Deal maths'!Z170,DATE(1990,1,1)),IF(DAY('Deal maths'!AA170+1)=1,EOMONTH('Deal maths'!AA170,-(INT(((YEAR('Deal maths'!AA170)-YEAR(IF('Deal maths'!Z170&gt;0,'Deal maths'!Z170,DATE(1990,1,1))))*12+MONTH('Deal maths'!AA170)-MONTH(IF('Deal maths'!Z170&gt;0,'Deal maths'!Z170,DATE(1990,1,1))))/D170))*D170),EDATE('Deal maths'!AA170,-(INT(((YEAR('Deal maths'!AA170)-YEAR(IF('Deal maths'!Z170&gt;0,'Deal maths'!Z170,DATE(1990,1,1))))*12+MONTH('Deal maths'!AA170)-MONTH(IF('Deal maths'!Z170&gt;0,'Deal maths'!Z170,DATE(1990,1,1))))/D170))*D170)),IF(DAY('Deal maths'!AA170+1)=1,EOMONTH('Deal maths'!AA170,-(INT(((YEAR('Deal maths'!AA170)-YEAR(IF('Deal maths'!Z170&gt;0,'Deal maths'!Z170,DATE(1990,1,1))))*12+MONTH('Deal maths'!AA170)-MONTH(IF('Deal maths'!Z170&gt;0,'Deal maths'!Z170,DATE(1990,1,1))))/D170)-1)*D170),EDATE('Deal maths'!AA170,-(INT(((YEAR('Deal maths'!AA170)-YEAR(IF('Deal maths'!Z170&gt;0,'Deal maths'!Z170,DATE(1990,1,1))))*12+MONTH('Deal maths'!AA170)-MONTH(IF('Deal maths'!Z170&gt;0,'Deal maths'!Z170,DATE(1990,1,1))))/D170)-1)*D170))))),0)</f>
        <v/>
      </c>
      <c r="F170" s="110">
        <f>IF(D170=0,0,'Deal maths'!AB170*D170/12)</f>
        <v/>
      </c>
      <c r="G170" s="108">
        <f>N170+O170</f>
        <v/>
      </c>
      <c r="H170" s="108">
        <f>IFERROR(IF(OR(D170=0,AsAt&lt;E170),0,MIN(N170,INT(((YEAR(AsAt)-YEAR(E170))*12+MONTH(AsAt)-MONTH(E170)-(DAY(AsAt)&lt;MIN(R170,DAY(EOMONTH(AsAt,0)))))/D170)+1)+O170*(AsAt&gt;='Deal maths'!AA170)),0)</f>
        <v/>
      </c>
      <c r="I170" s="108">
        <f>G170-H170</f>
        <v/>
      </c>
      <c r="J170" s="111">
        <f>IF(AND(C170="EIP",I170&gt;0),'Deal maths'!Y170/I170,0)</f>
        <v/>
      </c>
      <c r="K170" s="111">
        <f>IF(AND(C170="Annuity",I170&gt;0),IF(F170&gt;0,'Deal maths'!Y170*F170/(1-(1+F170)^-I170),'Deal maths'!Y170/I170),0)</f>
        <v/>
      </c>
      <c r="L170" s="111">
        <f>IF('Deal maths'!Y170="",0,'Deal maths'!Y170)</f>
        <v/>
      </c>
      <c r="M170" s="112">
        <f>F170+(F170=0)</f>
        <v/>
      </c>
      <c r="N170" s="108">
        <f>IFERROR(IF(D170=0,0,INT(((YEAR('Deal maths'!AA170)-YEAR(E170))*12+MONTH('Deal maths'!AA170)-MONTH(E170)-(DAY('Deal maths'!AA170)&lt;MIN(R170,DAY(EOMONTH('Deal maths'!AA170,0)))))/D170)+1),0)</f>
        <v/>
      </c>
      <c r="O170" s="108">
        <f>IFERROR(IF(D170=0,0,IF(IF(DAY(E170+1)=1,EOMONTH(E170,(N170-1)*D170),EDATE(E170,(N170-1)*D170))='Deal maths'!AA170,0,1)),0)</f>
        <v/>
      </c>
      <c r="P170" s="113">
        <f>IF(B170=0,0,IFERROR(IF(C170="EIP",((I170-O170)*((IF(DAY(E170+1)=1,EOMONTH(E170,H170*D170),EDATE(E170,H170*D170))-AsAt)/365.25+(IF(DAY(E170+1)=1,EOMONTH(E170,(N170-1)*D170),EDATE(E170,(N170-1)*D170))-AsAt)/365.25)/2+O170*('Deal maths'!AA170-AsAt)/365.25)/I170,IF(C170="Annuity",IF(F170&gt;0,((K170-L170*F170)*((IF(DAY(E170+1)=1,EOMONTH(E170,H170*D170),EDATE(E170,H170*D170))-AsAt)/365.25*((1+F170)^(I170-O170)-1)/F170+IF((I170-O170)&gt;1,((IF(DAY(E170+1)=1,EOMONTH(E170,(N170-1)*D170),EDATE(E170,(N170-1)*D170))-AsAt)/365.25-(IF(DAY(E170+1)=1,EOMONTH(E170,H170*D170),EDATE(E170,H170*D170))-AsAt)/365.25)/((I170-O170)-1),0)*(1+F170)*(1-(I170-O170)*(1+F170)^((I170-O170)-1)+((I170-O170)-1)*(1+F170)^(I170-O170))/F170^2)+O170*(K170-L170*F170)*(1+F170)^(I170-1)*('Deal maths'!AA170-AsAt)/365.25)/L170,((I170-O170)*((IF(DAY(E170+1)=1,EOMONTH(E170,H170*D170),EDATE(E170,H170*D170))-AsAt)/365.25+(IF(DAY(E170+1)=1,EOMONTH(E170,(N170-1)*D170),EDATE(E170,(N170-1)*D170))-AsAt)/365.25)/2+O170*('Deal maths'!AA170-AsAt)/365.25)/I170),(S170-AsAt)/365.25)),0))</f>
        <v/>
      </c>
      <c r="Q170" s="109">
        <f>IF(B170=1,'Deal maths'!AA170+ROW()/1000000,"")</f>
        <v/>
      </c>
      <c r="R170" s="108">
        <f>IF(D170=0,0,IF(DAY(E170+1)=1,31,DAY(E170)))</f>
        <v/>
      </c>
      <c r="S170" s="109">
        <f>IF(AND('Deal maths'!V170="LOBO",'Deal maths'!AG170&gt;AsAt,'Deal maths'!AG170&lt;'Deal maths'!AA170),'Deal maths'!AG170,'Deal maths'!AA170)</f>
        <v/>
      </c>
      <c r="T170" s="108">
        <f>('Deal maths'!AA170&gt;AsAt)*('Deal maths'!Y170&gt;0)</f>
        <v/>
      </c>
    </row>
    <row r="171">
      <c r="A171" s="91">
        <f>IF('Deal maths'!V171="","",'Deal maths'!W171)</f>
        <v/>
      </c>
      <c r="B171" s="108">
        <f>('Deal maths'!AA171&gt;AsAt)*('Deal maths'!Y171&gt;0)*('Deal maths'!Z171&lt;=AsAt)</f>
        <v/>
      </c>
      <c r="C171" s="91">
        <f>IF('Deal maths'!V171="","",IF('Deal maths'!AC171="","Maturity",'Deal maths'!AC171))</f>
        <v/>
      </c>
      <c r="D171" s="108">
        <f>IF(OR(C171="EIP",C171="Annuity"),IF('Deal maths'!AD171="Annual",12,IF('Deal maths'!AD171="Quarterly",3,6)),0)</f>
        <v/>
      </c>
      <c r="E171" s="109">
        <f>IFERROR(IF(D171=0,0,IF('Deal maths'!AE171&gt;0,IF('Deal maths'!AE171&gt;'Deal maths'!AA171,'Deal maths'!AA171,'Deal maths'!AE171),IF(IF(DAY('Deal maths'!AA171+1)=1,EOMONTH('Deal maths'!AA171,-(INT(((YEAR('Deal maths'!AA171)-YEAR(IF('Deal maths'!Z171&gt;0,'Deal maths'!Z171,DATE(1990,1,1))))*12+MONTH('Deal maths'!AA171)-MONTH(IF('Deal maths'!Z171&gt;0,'Deal maths'!Z171,DATE(1990,1,1))))/D171))*D171),EDATE('Deal maths'!AA171,-(INT(((YEAR('Deal maths'!AA171)-YEAR(IF('Deal maths'!Z171&gt;0,'Deal maths'!Z171,DATE(1990,1,1))))*12+MONTH('Deal maths'!AA171)-MONTH(IF('Deal maths'!Z171&gt;0,'Deal maths'!Z171,DATE(1990,1,1))))/D171))*D171))&gt;IF('Deal maths'!Z171&gt;0,'Deal maths'!Z171,DATE(1990,1,1)),IF(DAY('Deal maths'!AA171+1)=1,EOMONTH('Deal maths'!AA171,-(INT(((YEAR('Deal maths'!AA171)-YEAR(IF('Deal maths'!Z171&gt;0,'Deal maths'!Z171,DATE(1990,1,1))))*12+MONTH('Deal maths'!AA171)-MONTH(IF('Deal maths'!Z171&gt;0,'Deal maths'!Z171,DATE(1990,1,1))))/D171))*D171),EDATE('Deal maths'!AA171,-(INT(((YEAR('Deal maths'!AA171)-YEAR(IF('Deal maths'!Z171&gt;0,'Deal maths'!Z171,DATE(1990,1,1))))*12+MONTH('Deal maths'!AA171)-MONTH(IF('Deal maths'!Z171&gt;0,'Deal maths'!Z171,DATE(1990,1,1))))/D171))*D171)),IF(DAY('Deal maths'!AA171+1)=1,EOMONTH('Deal maths'!AA171,-(INT(((YEAR('Deal maths'!AA171)-YEAR(IF('Deal maths'!Z171&gt;0,'Deal maths'!Z171,DATE(1990,1,1))))*12+MONTH('Deal maths'!AA171)-MONTH(IF('Deal maths'!Z171&gt;0,'Deal maths'!Z171,DATE(1990,1,1))))/D171)-1)*D171),EDATE('Deal maths'!AA171,-(INT(((YEAR('Deal maths'!AA171)-YEAR(IF('Deal maths'!Z171&gt;0,'Deal maths'!Z171,DATE(1990,1,1))))*12+MONTH('Deal maths'!AA171)-MONTH(IF('Deal maths'!Z171&gt;0,'Deal maths'!Z171,DATE(1990,1,1))))/D171)-1)*D171))))),0)</f>
        <v/>
      </c>
      <c r="F171" s="110">
        <f>IF(D171=0,0,'Deal maths'!AB171*D171/12)</f>
        <v/>
      </c>
      <c r="G171" s="108">
        <f>N171+O171</f>
        <v/>
      </c>
      <c r="H171" s="108">
        <f>IFERROR(IF(OR(D171=0,AsAt&lt;E171),0,MIN(N171,INT(((YEAR(AsAt)-YEAR(E171))*12+MONTH(AsAt)-MONTH(E171)-(DAY(AsAt)&lt;MIN(R171,DAY(EOMONTH(AsAt,0)))))/D171)+1)+O171*(AsAt&gt;='Deal maths'!AA171)),0)</f>
        <v/>
      </c>
      <c r="I171" s="108">
        <f>G171-H171</f>
        <v/>
      </c>
      <c r="J171" s="111">
        <f>IF(AND(C171="EIP",I171&gt;0),'Deal maths'!Y171/I171,0)</f>
        <v/>
      </c>
      <c r="K171" s="111">
        <f>IF(AND(C171="Annuity",I171&gt;0),IF(F171&gt;0,'Deal maths'!Y171*F171/(1-(1+F171)^-I171),'Deal maths'!Y171/I171),0)</f>
        <v/>
      </c>
      <c r="L171" s="111">
        <f>IF('Deal maths'!Y171="",0,'Deal maths'!Y171)</f>
        <v/>
      </c>
      <c r="M171" s="112">
        <f>F171+(F171=0)</f>
        <v/>
      </c>
      <c r="N171" s="108">
        <f>IFERROR(IF(D171=0,0,INT(((YEAR('Deal maths'!AA171)-YEAR(E171))*12+MONTH('Deal maths'!AA171)-MONTH(E171)-(DAY('Deal maths'!AA171)&lt;MIN(R171,DAY(EOMONTH('Deal maths'!AA171,0)))))/D171)+1),0)</f>
        <v/>
      </c>
      <c r="O171" s="108">
        <f>IFERROR(IF(D171=0,0,IF(IF(DAY(E171+1)=1,EOMONTH(E171,(N171-1)*D171),EDATE(E171,(N171-1)*D171))='Deal maths'!AA171,0,1)),0)</f>
        <v/>
      </c>
      <c r="P171" s="113">
        <f>IF(B171=0,0,IFERROR(IF(C171="EIP",((I171-O171)*((IF(DAY(E171+1)=1,EOMONTH(E171,H171*D171),EDATE(E171,H171*D171))-AsAt)/365.25+(IF(DAY(E171+1)=1,EOMONTH(E171,(N171-1)*D171),EDATE(E171,(N171-1)*D171))-AsAt)/365.25)/2+O171*('Deal maths'!AA171-AsAt)/365.25)/I171,IF(C171="Annuity",IF(F171&gt;0,((K171-L171*F171)*((IF(DAY(E171+1)=1,EOMONTH(E171,H171*D171),EDATE(E171,H171*D171))-AsAt)/365.25*((1+F171)^(I171-O171)-1)/F171+IF((I171-O171)&gt;1,((IF(DAY(E171+1)=1,EOMONTH(E171,(N171-1)*D171),EDATE(E171,(N171-1)*D171))-AsAt)/365.25-(IF(DAY(E171+1)=1,EOMONTH(E171,H171*D171),EDATE(E171,H171*D171))-AsAt)/365.25)/((I171-O171)-1),0)*(1+F171)*(1-(I171-O171)*(1+F171)^((I171-O171)-1)+((I171-O171)-1)*(1+F171)^(I171-O171))/F171^2)+O171*(K171-L171*F171)*(1+F171)^(I171-1)*('Deal maths'!AA171-AsAt)/365.25)/L171,((I171-O171)*((IF(DAY(E171+1)=1,EOMONTH(E171,H171*D171),EDATE(E171,H171*D171))-AsAt)/365.25+(IF(DAY(E171+1)=1,EOMONTH(E171,(N171-1)*D171),EDATE(E171,(N171-1)*D171))-AsAt)/365.25)/2+O171*('Deal maths'!AA171-AsAt)/365.25)/I171),(S171-AsAt)/365.25)),0))</f>
        <v/>
      </c>
      <c r="Q171" s="109">
        <f>IF(B171=1,'Deal maths'!AA171+ROW()/1000000,"")</f>
        <v/>
      </c>
      <c r="R171" s="108">
        <f>IF(D171=0,0,IF(DAY(E171+1)=1,31,DAY(E171)))</f>
        <v/>
      </c>
      <c r="S171" s="109">
        <f>IF(AND('Deal maths'!V171="LOBO",'Deal maths'!AG171&gt;AsAt,'Deal maths'!AG171&lt;'Deal maths'!AA171),'Deal maths'!AG171,'Deal maths'!AA171)</f>
        <v/>
      </c>
      <c r="T171" s="108">
        <f>('Deal maths'!AA171&gt;AsAt)*('Deal maths'!Y171&gt;0)</f>
        <v/>
      </c>
    </row>
    <row r="172">
      <c r="A172" s="91">
        <f>IF('Deal maths'!V172="","",'Deal maths'!W172)</f>
        <v/>
      </c>
      <c r="B172" s="108">
        <f>('Deal maths'!AA172&gt;AsAt)*('Deal maths'!Y172&gt;0)*('Deal maths'!Z172&lt;=AsAt)</f>
        <v/>
      </c>
      <c r="C172" s="91">
        <f>IF('Deal maths'!V172="","",IF('Deal maths'!AC172="","Maturity",'Deal maths'!AC172))</f>
        <v/>
      </c>
      <c r="D172" s="108">
        <f>IF(OR(C172="EIP",C172="Annuity"),IF('Deal maths'!AD172="Annual",12,IF('Deal maths'!AD172="Quarterly",3,6)),0)</f>
        <v/>
      </c>
      <c r="E172" s="109">
        <f>IFERROR(IF(D172=0,0,IF('Deal maths'!AE172&gt;0,IF('Deal maths'!AE172&gt;'Deal maths'!AA172,'Deal maths'!AA172,'Deal maths'!AE172),IF(IF(DAY('Deal maths'!AA172+1)=1,EOMONTH('Deal maths'!AA172,-(INT(((YEAR('Deal maths'!AA172)-YEAR(IF('Deal maths'!Z172&gt;0,'Deal maths'!Z172,DATE(1990,1,1))))*12+MONTH('Deal maths'!AA172)-MONTH(IF('Deal maths'!Z172&gt;0,'Deal maths'!Z172,DATE(1990,1,1))))/D172))*D172),EDATE('Deal maths'!AA172,-(INT(((YEAR('Deal maths'!AA172)-YEAR(IF('Deal maths'!Z172&gt;0,'Deal maths'!Z172,DATE(1990,1,1))))*12+MONTH('Deal maths'!AA172)-MONTH(IF('Deal maths'!Z172&gt;0,'Deal maths'!Z172,DATE(1990,1,1))))/D172))*D172))&gt;IF('Deal maths'!Z172&gt;0,'Deal maths'!Z172,DATE(1990,1,1)),IF(DAY('Deal maths'!AA172+1)=1,EOMONTH('Deal maths'!AA172,-(INT(((YEAR('Deal maths'!AA172)-YEAR(IF('Deal maths'!Z172&gt;0,'Deal maths'!Z172,DATE(1990,1,1))))*12+MONTH('Deal maths'!AA172)-MONTH(IF('Deal maths'!Z172&gt;0,'Deal maths'!Z172,DATE(1990,1,1))))/D172))*D172),EDATE('Deal maths'!AA172,-(INT(((YEAR('Deal maths'!AA172)-YEAR(IF('Deal maths'!Z172&gt;0,'Deal maths'!Z172,DATE(1990,1,1))))*12+MONTH('Deal maths'!AA172)-MONTH(IF('Deal maths'!Z172&gt;0,'Deal maths'!Z172,DATE(1990,1,1))))/D172))*D172)),IF(DAY('Deal maths'!AA172+1)=1,EOMONTH('Deal maths'!AA172,-(INT(((YEAR('Deal maths'!AA172)-YEAR(IF('Deal maths'!Z172&gt;0,'Deal maths'!Z172,DATE(1990,1,1))))*12+MONTH('Deal maths'!AA172)-MONTH(IF('Deal maths'!Z172&gt;0,'Deal maths'!Z172,DATE(1990,1,1))))/D172)-1)*D172),EDATE('Deal maths'!AA172,-(INT(((YEAR('Deal maths'!AA172)-YEAR(IF('Deal maths'!Z172&gt;0,'Deal maths'!Z172,DATE(1990,1,1))))*12+MONTH('Deal maths'!AA172)-MONTH(IF('Deal maths'!Z172&gt;0,'Deal maths'!Z172,DATE(1990,1,1))))/D172)-1)*D172))))),0)</f>
        <v/>
      </c>
      <c r="F172" s="110">
        <f>IF(D172=0,0,'Deal maths'!AB172*D172/12)</f>
        <v/>
      </c>
      <c r="G172" s="108">
        <f>N172+O172</f>
        <v/>
      </c>
      <c r="H172" s="108">
        <f>IFERROR(IF(OR(D172=0,AsAt&lt;E172),0,MIN(N172,INT(((YEAR(AsAt)-YEAR(E172))*12+MONTH(AsAt)-MONTH(E172)-(DAY(AsAt)&lt;MIN(R172,DAY(EOMONTH(AsAt,0)))))/D172)+1)+O172*(AsAt&gt;='Deal maths'!AA172)),0)</f>
        <v/>
      </c>
      <c r="I172" s="108">
        <f>G172-H172</f>
        <v/>
      </c>
      <c r="J172" s="111">
        <f>IF(AND(C172="EIP",I172&gt;0),'Deal maths'!Y172/I172,0)</f>
        <v/>
      </c>
      <c r="K172" s="111">
        <f>IF(AND(C172="Annuity",I172&gt;0),IF(F172&gt;0,'Deal maths'!Y172*F172/(1-(1+F172)^-I172),'Deal maths'!Y172/I172),0)</f>
        <v/>
      </c>
      <c r="L172" s="111">
        <f>IF('Deal maths'!Y172="",0,'Deal maths'!Y172)</f>
        <v/>
      </c>
      <c r="M172" s="112">
        <f>F172+(F172=0)</f>
        <v/>
      </c>
      <c r="N172" s="108">
        <f>IFERROR(IF(D172=0,0,INT(((YEAR('Deal maths'!AA172)-YEAR(E172))*12+MONTH('Deal maths'!AA172)-MONTH(E172)-(DAY('Deal maths'!AA172)&lt;MIN(R172,DAY(EOMONTH('Deal maths'!AA172,0)))))/D172)+1),0)</f>
        <v/>
      </c>
      <c r="O172" s="108">
        <f>IFERROR(IF(D172=0,0,IF(IF(DAY(E172+1)=1,EOMONTH(E172,(N172-1)*D172),EDATE(E172,(N172-1)*D172))='Deal maths'!AA172,0,1)),0)</f>
        <v/>
      </c>
      <c r="P172" s="113">
        <f>IF(B172=0,0,IFERROR(IF(C172="EIP",((I172-O172)*((IF(DAY(E172+1)=1,EOMONTH(E172,H172*D172),EDATE(E172,H172*D172))-AsAt)/365.25+(IF(DAY(E172+1)=1,EOMONTH(E172,(N172-1)*D172),EDATE(E172,(N172-1)*D172))-AsAt)/365.25)/2+O172*('Deal maths'!AA172-AsAt)/365.25)/I172,IF(C172="Annuity",IF(F172&gt;0,((K172-L172*F172)*((IF(DAY(E172+1)=1,EOMONTH(E172,H172*D172),EDATE(E172,H172*D172))-AsAt)/365.25*((1+F172)^(I172-O172)-1)/F172+IF((I172-O172)&gt;1,((IF(DAY(E172+1)=1,EOMONTH(E172,(N172-1)*D172),EDATE(E172,(N172-1)*D172))-AsAt)/365.25-(IF(DAY(E172+1)=1,EOMONTH(E172,H172*D172),EDATE(E172,H172*D172))-AsAt)/365.25)/((I172-O172)-1),0)*(1+F172)*(1-(I172-O172)*(1+F172)^((I172-O172)-1)+((I172-O172)-1)*(1+F172)^(I172-O172))/F172^2)+O172*(K172-L172*F172)*(1+F172)^(I172-1)*('Deal maths'!AA172-AsAt)/365.25)/L172,((I172-O172)*((IF(DAY(E172+1)=1,EOMONTH(E172,H172*D172),EDATE(E172,H172*D172))-AsAt)/365.25+(IF(DAY(E172+1)=1,EOMONTH(E172,(N172-1)*D172),EDATE(E172,(N172-1)*D172))-AsAt)/365.25)/2+O172*('Deal maths'!AA172-AsAt)/365.25)/I172),(S172-AsAt)/365.25)),0))</f>
        <v/>
      </c>
      <c r="Q172" s="109">
        <f>IF(B172=1,'Deal maths'!AA172+ROW()/1000000,"")</f>
        <v/>
      </c>
      <c r="R172" s="108">
        <f>IF(D172=0,0,IF(DAY(E172+1)=1,31,DAY(E172)))</f>
        <v/>
      </c>
      <c r="S172" s="109">
        <f>IF(AND('Deal maths'!V172="LOBO",'Deal maths'!AG172&gt;AsAt,'Deal maths'!AG172&lt;'Deal maths'!AA172),'Deal maths'!AG172,'Deal maths'!AA172)</f>
        <v/>
      </c>
      <c r="T172" s="108">
        <f>('Deal maths'!AA172&gt;AsAt)*('Deal maths'!Y172&gt;0)</f>
        <v/>
      </c>
    </row>
    <row r="173">
      <c r="A173" s="91">
        <f>IF('Deal maths'!V173="","",'Deal maths'!W173)</f>
        <v/>
      </c>
      <c r="B173" s="108">
        <f>('Deal maths'!AA173&gt;AsAt)*('Deal maths'!Y173&gt;0)*('Deal maths'!Z173&lt;=AsAt)</f>
        <v/>
      </c>
      <c r="C173" s="91">
        <f>IF('Deal maths'!V173="","",IF('Deal maths'!AC173="","Maturity",'Deal maths'!AC173))</f>
        <v/>
      </c>
      <c r="D173" s="108">
        <f>IF(OR(C173="EIP",C173="Annuity"),IF('Deal maths'!AD173="Annual",12,IF('Deal maths'!AD173="Quarterly",3,6)),0)</f>
        <v/>
      </c>
      <c r="E173" s="109">
        <f>IFERROR(IF(D173=0,0,IF('Deal maths'!AE173&gt;0,IF('Deal maths'!AE173&gt;'Deal maths'!AA173,'Deal maths'!AA173,'Deal maths'!AE173),IF(IF(DAY('Deal maths'!AA173+1)=1,EOMONTH('Deal maths'!AA173,-(INT(((YEAR('Deal maths'!AA173)-YEAR(IF('Deal maths'!Z173&gt;0,'Deal maths'!Z173,DATE(1990,1,1))))*12+MONTH('Deal maths'!AA173)-MONTH(IF('Deal maths'!Z173&gt;0,'Deal maths'!Z173,DATE(1990,1,1))))/D173))*D173),EDATE('Deal maths'!AA173,-(INT(((YEAR('Deal maths'!AA173)-YEAR(IF('Deal maths'!Z173&gt;0,'Deal maths'!Z173,DATE(1990,1,1))))*12+MONTH('Deal maths'!AA173)-MONTH(IF('Deal maths'!Z173&gt;0,'Deal maths'!Z173,DATE(1990,1,1))))/D173))*D173))&gt;IF('Deal maths'!Z173&gt;0,'Deal maths'!Z173,DATE(1990,1,1)),IF(DAY('Deal maths'!AA173+1)=1,EOMONTH('Deal maths'!AA173,-(INT(((YEAR('Deal maths'!AA173)-YEAR(IF('Deal maths'!Z173&gt;0,'Deal maths'!Z173,DATE(1990,1,1))))*12+MONTH('Deal maths'!AA173)-MONTH(IF('Deal maths'!Z173&gt;0,'Deal maths'!Z173,DATE(1990,1,1))))/D173))*D173),EDATE('Deal maths'!AA173,-(INT(((YEAR('Deal maths'!AA173)-YEAR(IF('Deal maths'!Z173&gt;0,'Deal maths'!Z173,DATE(1990,1,1))))*12+MONTH('Deal maths'!AA173)-MONTH(IF('Deal maths'!Z173&gt;0,'Deal maths'!Z173,DATE(1990,1,1))))/D173))*D173)),IF(DAY('Deal maths'!AA173+1)=1,EOMONTH('Deal maths'!AA173,-(INT(((YEAR('Deal maths'!AA173)-YEAR(IF('Deal maths'!Z173&gt;0,'Deal maths'!Z173,DATE(1990,1,1))))*12+MONTH('Deal maths'!AA173)-MONTH(IF('Deal maths'!Z173&gt;0,'Deal maths'!Z173,DATE(1990,1,1))))/D173)-1)*D173),EDATE('Deal maths'!AA173,-(INT(((YEAR('Deal maths'!AA173)-YEAR(IF('Deal maths'!Z173&gt;0,'Deal maths'!Z173,DATE(1990,1,1))))*12+MONTH('Deal maths'!AA173)-MONTH(IF('Deal maths'!Z173&gt;0,'Deal maths'!Z173,DATE(1990,1,1))))/D173)-1)*D173))))),0)</f>
        <v/>
      </c>
      <c r="F173" s="110">
        <f>IF(D173=0,0,'Deal maths'!AB173*D173/12)</f>
        <v/>
      </c>
      <c r="G173" s="108">
        <f>N173+O173</f>
        <v/>
      </c>
      <c r="H173" s="108">
        <f>IFERROR(IF(OR(D173=0,AsAt&lt;E173),0,MIN(N173,INT(((YEAR(AsAt)-YEAR(E173))*12+MONTH(AsAt)-MONTH(E173)-(DAY(AsAt)&lt;MIN(R173,DAY(EOMONTH(AsAt,0)))))/D173)+1)+O173*(AsAt&gt;='Deal maths'!AA173)),0)</f>
        <v/>
      </c>
      <c r="I173" s="108">
        <f>G173-H173</f>
        <v/>
      </c>
      <c r="J173" s="111">
        <f>IF(AND(C173="EIP",I173&gt;0),'Deal maths'!Y173/I173,0)</f>
        <v/>
      </c>
      <c r="K173" s="111">
        <f>IF(AND(C173="Annuity",I173&gt;0),IF(F173&gt;0,'Deal maths'!Y173*F173/(1-(1+F173)^-I173),'Deal maths'!Y173/I173),0)</f>
        <v/>
      </c>
      <c r="L173" s="111">
        <f>IF('Deal maths'!Y173="",0,'Deal maths'!Y173)</f>
        <v/>
      </c>
      <c r="M173" s="112">
        <f>F173+(F173=0)</f>
        <v/>
      </c>
      <c r="N173" s="108">
        <f>IFERROR(IF(D173=0,0,INT(((YEAR('Deal maths'!AA173)-YEAR(E173))*12+MONTH('Deal maths'!AA173)-MONTH(E173)-(DAY('Deal maths'!AA173)&lt;MIN(R173,DAY(EOMONTH('Deal maths'!AA173,0)))))/D173)+1),0)</f>
        <v/>
      </c>
      <c r="O173" s="108">
        <f>IFERROR(IF(D173=0,0,IF(IF(DAY(E173+1)=1,EOMONTH(E173,(N173-1)*D173),EDATE(E173,(N173-1)*D173))='Deal maths'!AA173,0,1)),0)</f>
        <v/>
      </c>
      <c r="P173" s="113">
        <f>IF(B173=0,0,IFERROR(IF(C173="EIP",((I173-O173)*((IF(DAY(E173+1)=1,EOMONTH(E173,H173*D173),EDATE(E173,H173*D173))-AsAt)/365.25+(IF(DAY(E173+1)=1,EOMONTH(E173,(N173-1)*D173),EDATE(E173,(N173-1)*D173))-AsAt)/365.25)/2+O173*('Deal maths'!AA173-AsAt)/365.25)/I173,IF(C173="Annuity",IF(F173&gt;0,((K173-L173*F173)*((IF(DAY(E173+1)=1,EOMONTH(E173,H173*D173),EDATE(E173,H173*D173))-AsAt)/365.25*((1+F173)^(I173-O173)-1)/F173+IF((I173-O173)&gt;1,((IF(DAY(E173+1)=1,EOMONTH(E173,(N173-1)*D173),EDATE(E173,(N173-1)*D173))-AsAt)/365.25-(IF(DAY(E173+1)=1,EOMONTH(E173,H173*D173),EDATE(E173,H173*D173))-AsAt)/365.25)/((I173-O173)-1),0)*(1+F173)*(1-(I173-O173)*(1+F173)^((I173-O173)-1)+((I173-O173)-1)*(1+F173)^(I173-O173))/F173^2)+O173*(K173-L173*F173)*(1+F173)^(I173-1)*('Deal maths'!AA173-AsAt)/365.25)/L173,((I173-O173)*((IF(DAY(E173+1)=1,EOMONTH(E173,H173*D173),EDATE(E173,H173*D173))-AsAt)/365.25+(IF(DAY(E173+1)=1,EOMONTH(E173,(N173-1)*D173),EDATE(E173,(N173-1)*D173))-AsAt)/365.25)/2+O173*('Deal maths'!AA173-AsAt)/365.25)/I173),(S173-AsAt)/365.25)),0))</f>
        <v/>
      </c>
      <c r="Q173" s="109">
        <f>IF(B173=1,'Deal maths'!AA173+ROW()/1000000,"")</f>
        <v/>
      </c>
      <c r="R173" s="108">
        <f>IF(D173=0,0,IF(DAY(E173+1)=1,31,DAY(E173)))</f>
        <v/>
      </c>
      <c r="S173" s="109">
        <f>IF(AND('Deal maths'!V173="LOBO",'Deal maths'!AG173&gt;AsAt,'Deal maths'!AG173&lt;'Deal maths'!AA173),'Deal maths'!AG173,'Deal maths'!AA173)</f>
        <v/>
      </c>
      <c r="T173" s="108">
        <f>('Deal maths'!AA173&gt;AsAt)*('Deal maths'!Y173&gt;0)</f>
        <v/>
      </c>
    </row>
    <row r="174">
      <c r="A174" s="91">
        <f>IF('Deal maths'!V174="","",'Deal maths'!W174)</f>
        <v/>
      </c>
      <c r="B174" s="108">
        <f>('Deal maths'!AA174&gt;AsAt)*('Deal maths'!Y174&gt;0)*('Deal maths'!Z174&lt;=AsAt)</f>
        <v/>
      </c>
      <c r="C174" s="91">
        <f>IF('Deal maths'!V174="","",IF('Deal maths'!AC174="","Maturity",'Deal maths'!AC174))</f>
        <v/>
      </c>
      <c r="D174" s="108">
        <f>IF(OR(C174="EIP",C174="Annuity"),IF('Deal maths'!AD174="Annual",12,IF('Deal maths'!AD174="Quarterly",3,6)),0)</f>
        <v/>
      </c>
      <c r="E174" s="109">
        <f>IFERROR(IF(D174=0,0,IF('Deal maths'!AE174&gt;0,IF('Deal maths'!AE174&gt;'Deal maths'!AA174,'Deal maths'!AA174,'Deal maths'!AE174),IF(IF(DAY('Deal maths'!AA174+1)=1,EOMONTH('Deal maths'!AA174,-(INT(((YEAR('Deal maths'!AA174)-YEAR(IF('Deal maths'!Z174&gt;0,'Deal maths'!Z174,DATE(1990,1,1))))*12+MONTH('Deal maths'!AA174)-MONTH(IF('Deal maths'!Z174&gt;0,'Deal maths'!Z174,DATE(1990,1,1))))/D174))*D174),EDATE('Deal maths'!AA174,-(INT(((YEAR('Deal maths'!AA174)-YEAR(IF('Deal maths'!Z174&gt;0,'Deal maths'!Z174,DATE(1990,1,1))))*12+MONTH('Deal maths'!AA174)-MONTH(IF('Deal maths'!Z174&gt;0,'Deal maths'!Z174,DATE(1990,1,1))))/D174))*D174))&gt;IF('Deal maths'!Z174&gt;0,'Deal maths'!Z174,DATE(1990,1,1)),IF(DAY('Deal maths'!AA174+1)=1,EOMONTH('Deal maths'!AA174,-(INT(((YEAR('Deal maths'!AA174)-YEAR(IF('Deal maths'!Z174&gt;0,'Deal maths'!Z174,DATE(1990,1,1))))*12+MONTH('Deal maths'!AA174)-MONTH(IF('Deal maths'!Z174&gt;0,'Deal maths'!Z174,DATE(1990,1,1))))/D174))*D174),EDATE('Deal maths'!AA174,-(INT(((YEAR('Deal maths'!AA174)-YEAR(IF('Deal maths'!Z174&gt;0,'Deal maths'!Z174,DATE(1990,1,1))))*12+MONTH('Deal maths'!AA174)-MONTH(IF('Deal maths'!Z174&gt;0,'Deal maths'!Z174,DATE(1990,1,1))))/D174))*D174)),IF(DAY('Deal maths'!AA174+1)=1,EOMONTH('Deal maths'!AA174,-(INT(((YEAR('Deal maths'!AA174)-YEAR(IF('Deal maths'!Z174&gt;0,'Deal maths'!Z174,DATE(1990,1,1))))*12+MONTH('Deal maths'!AA174)-MONTH(IF('Deal maths'!Z174&gt;0,'Deal maths'!Z174,DATE(1990,1,1))))/D174)-1)*D174),EDATE('Deal maths'!AA174,-(INT(((YEAR('Deal maths'!AA174)-YEAR(IF('Deal maths'!Z174&gt;0,'Deal maths'!Z174,DATE(1990,1,1))))*12+MONTH('Deal maths'!AA174)-MONTH(IF('Deal maths'!Z174&gt;0,'Deal maths'!Z174,DATE(1990,1,1))))/D174)-1)*D174))))),0)</f>
        <v/>
      </c>
      <c r="F174" s="110">
        <f>IF(D174=0,0,'Deal maths'!AB174*D174/12)</f>
        <v/>
      </c>
      <c r="G174" s="108">
        <f>N174+O174</f>
        <v/>
      </c>
      <c r="H174" s="108">
        <f>IFERROR(IF(OR(D174=0,AsAt&lt;E174),0,MIN(N174,INT(((YEAR(AsAt)-YEAR(E174))*12+MONTH(AsAt)-MONTH(E174)-(DAY(AsAt)&lt;MIN(R174,DAY(EOMONTH(AsAt,0)))))/D174)+1)+O174*(AsAt&gt;='Deal maths'!AA174)),0)</f>
        <v/>
      </c>
      <c r="I174" s="108">
        <f>G174-H174</f>
        <v/>
      </c>
      <c r="J174" s="111">
        <f>IF(AND(C174="EIP",I174&gt;0),'Deal maths'!Y174/I174,0)</f>
        <v/>
      </c>
      <c r="K174" s="111">
        <f>IF(AND(C174="Annuity",I174&gt;0),IF(F174&gt;0,'Deal maths'!Y174*F174/(1-(1+F174)^-I174),'Deal maths'!Y174/I174),0)</f>
        <v/>
      </c>
      <c r="L174" s="111">
        <f>IF('Deal maths'!Y174="",0,'Deal maths'!Y174)</f>
        <v/>
      </c>
      <c r="M174" s="112">
        <f>F174+(F174=0)</f>
        <v/>
      </c>
      <c r="N174" s="108">
        <f>IFERROR(IF(D174=0,0,INT(((YEAR('Deal maths'!AA174)-YEAR(E174))*12+MONTH('Deal maths'!AA174)-MONTH(E174)-(DAY('Deal maths'!AA174)&lt;MIN(R174,DAY(EOMONTH('Deal maths'!AA174,0)))))/D174)+1),0)</f>
        <v/>
      </c>
      <c r="O174" s="108">
        <f>IFERROR(IF(D174=0,0,IF(IF(DAY(E174+1)=1,EOMONTH(E174,(N174-1)*D174),EDATE(E174,(N174-1)*D174))='Deal maths'!AA174,0,1)),0)</f>
        <v/>
      </c>
      <c r="P174" s="113">
        <f>IF(B174=0,0,IFERROR(IF(C174="EIP",((I174-O174)*((IF(DAY(E174+1)=1,EOMONTH(E174,H174*D174),EDATE(E174,H174*D174))-AsAt)/365.25+(IF(DAY(E174+1)=1,EOMONTH(E174,(N174-1)*D174),EDATE(E174,(N174-1)*D174))-AsAt)/365.25)/2+O174*('Deal maths'!AA174-AsAt)/365.25)/I174,IF(C174="Annuity",IF(F174&gt;0,((K174-L174*F174)*((IF(DAY(E174+1)=1,EOMONTH(E174,H174*D174),EDATE(E174,H174*D174))-AsAt)/365.25*((1+F174)^(I174-O174)-1)/F174+IF((I174-O174)&gt;1,((IF(DAY(E174+1)=1,EOMONTH(E174,(N174-1)*D174),EDATE(E174,(N174-1)*D174))-AsAt)/365.25-(IF(DAY(E174+1)=1,EOMONTH(E174,H174*D174),EDATE(E174,H174*D174))-AsAt)/365.25)/((I174-O174)-1),0)*(1+F174)*(1-(I174-O174)*(1+F174)^((I174-O174)-1)+((I174-O174)-1)*(1+F174)^(I174-O174))/F174^2)+O174*(K174-L174*F174)*(1+F174)^(I174-1)*('Deal maths'!AA174-AsAt)/365.25)/L174,((I174-O174)*((IF(DAY(E174+1)=1,EOMONTH(E174,H174*D174),EDATE(E174,H174*D174))-AsAt)/365.25+(IF(DAY(E174+1)=1,EOMONTH(E174,(N174-1)*D174),EDATE(E174,(N174-1)*D174))-AsAt)/365.25)/2+O174*('Deal maths'!AA174-AsAt)/365.25)/I174),(S174-AsAt)/365.25)),0))</f>
        <v/>
      </c>
      <c r="Q174" s="109">
        <f>IF(B174=1,'Deal maths'!AA174+ROW()/1000000,"")</f>
        <v/>
      </c>
      <c r="R174" s="108">
        <f>IF(D174=0,0,IF(DAY(E174+1)=1,31,DAY(E174)))</f>
        <v/>
      </c>
      <c r="S174" s="109">
        <f>IF(AND('Deal maths'!V174="LOBO",'Deal maths'!AG174&gt;AsAt,'Deal maths'!AG174&lt;'Deal maths'!AA174),'Deal maths'!AG174,'Deal maths'!AA174)</f>
        <v/>
      </c>
      <c r="T174" s="108">
        <f>('Deal maths'!AA174&gt;AsAt)*('Deal maths'!Y174&gt;0)</f>
        <v/>
      </c>
    </row>
    <row r="175">
      <c r="A175" s="91">
        <f>IF('Deal maths'!V175="","",'Deal maths'!W175)</f>
        <v/>
      </c>
      <c r="B175" s="108">
        <f>('Deal maths'!AA175&gt;AsAt)*('Deal maths'!Y175&gt;0)*('Deal maths'!Z175&lt;=AsAt)</f>
        <v/>
      </c>
      <c r="C175" s="91">
        <f>IF('Deal maths'!V175="","",IF('Deal maths'!AC175="","Maturity",'Deal maths'!AC175))</f>
        <v/>
      </c>
      <c r="D175" s="108">
        <f>IF(OR(C175="EIP",C175="Annuity"),IF('Deal maths'!AD175="Annual",12,IF('Deal maths'!AD175="Quarterly",3,6)),0)</f>
        <v/>
      </c>
      <c r="E175" s="109">
        <f>IFERROR(IF(D175=0,0,IF('Deal maths'!AE175&gt;0,IF('Deal maths'!AE175&gt;'Deal maths'!AA175,'Deal maths'!AA175,'Deal maths'!AE175),IF(IF(DAY('Deal maths'!AA175+1)=1,EOMONTH('Deal maths'!AA175,-(INT(((YEAR('Deal maths'!AA175)-YEAR(IF('Deal maths'!Z175&gt;0,'Deal maths'!Z175,DATE(1990,1,1))))*12+MONTH('Deal maths'!AA175)-MONTH(IF('Deal maths'!Z175&gt;0,'Deal maths'!Z175,DATE(1990,1,1))))/D175))*D175),EDATE('Deal maths'!AA175,-(INT(((YEAR('Deal maths'!AA175)-YEAR(IF('Deal maths'!Z175&gt;0,'Deal maths'!Z175,DATE(1990,1,1))))*12+MONTH('Deal maths'!AA175)-MONTH(IF('Deal maths'!Z175&gt;0,'Deal maths'!Z175,DATE(1990,1,1))))/D175))*D175))&gt;IF('Deal maths'!Z175&gt;0,'Deal maths'!Z175,DATE(1990,1,1)),IF(DAY('Deal maths'!AA175+1)=1,EOMONTH('Deal maths'!AA175,-(INT(((YEAR('Deal maths'!AA175)-YEAR(IF('Deal maths'!Z175&gt;0,'Deal maths'!Z175,DATE(1990,1,1))))*12+MONTH('Deal maths'!AA175)-MONTH(IF('Deal maths'!Z175&gt;0,'Deal maths'!Z175,DATE(1990,1,1))))/D175))*D175),EDATE('Deal maths'!AA175,-(INT(((YEAR('Deal maths'!AA175)-YEAR(IF('Deal maths'!Z175&gt;0,'Deal maths'!Z175,DATE(1990,1,1))))*12+MONTH('Deal maths'!AA175)-MONTH(IF('Deal maths'!Z175&gt;0,'Deal maths'!Z175,DATE(1990,1,1))))/D175))*D175)),IF(DAY('Deal maths'!AA175+1)=1,EOMONTH('Deal maths'!AA175,-(INT(((YEAR('Deal maths'!AA175)-YEAR(IF('Deal maths'!Z175&gt;0,'Deal maths'!Z175,DATE(1990,1,1))))*12+MONTH('Deal maths'!AA175)-MONTH(IF('Deal maths'!Z175&gt;0,'Deal maths'!Z175,DATE(1990,1,1))))/D175)-1)*D175),EDATE('Deal maths'!AA175,-(INT(((YEAR('Deal maths'!AA175)-YEAR(IF('Deal maths'!Z175&gt;0,'Deal maths'!Z175,DATE(1990,1,1))))*12+MONTH('Deal maths'!AA175)-MONTH(IF('Deal maths'!Z175&gt;0,'Deal maths'!Z175,DATE(1990,1,1))))/D175)-1)*D175))))),0)</f>
        <v/>
      </c>
      <c r="F175" s="110">
        <f>IF(D175=0,0,'Deal maths'!AB175*D175/12)</f>
        <v/>
      </c>
      <c r="G175" s="108">
        <f>N175+O175</f>
        <v/>
      </c>
      <c r="H175" s="108">
        <f>IFERROR(IF(OR(D175=0,AsAt&lt;E175),0,MIN(N175,INT(((YEAR(AsAt)-YEAR(E175))*12+MONTH(AsAt)-MONTH(E175)-(DAY(AsAt)&lt;MIN(R175,DAY(EOMONTH(AsAt,0)))))/D175)+1)+O175*(AsAt&gt;='Deal maths'!AA175)),0)</f>
        <v/>
      </c>
      <c r="I175" s="108">
        <f>G175-H175</f>
        <v/>
      </c>
      <c r="J175" s="111">
        <f>IF(AND(C175="EIP",I175&gt;0),'Deal maths'!Y175/I175,0)</f>
        <v/>
      </c>
      <c r="K175" s="111">
        <f>IF(AND(C175="Annuity",I175&gt;0),IF(F175&gt;0,'Deal maths'!Y175*F175/(1-(1+F175)^-I175),'Deal maths'!Y175/I175),0)</f>
        <v/>
      </c>
      <c r="L175" s="111">
        <f>IF('Deal maths'!Y175="",0,'Deal maths'!Y175)</f>
        <v/>
      </c>
      <c r="M175" s="112">
        <f>F175+(F175=0)</f>
        <v/>
      </c>
      <c r="N175" s="108">
        <f>IFERROR(IF(D175=0,0,INT(((YEAR('Deal maths'!AA175)-YEAR(E175))*12+MONTH('Deal maths'!AA175)-MONTH(E175)-(DAY('Deal maths'!AA175)&lt;MIN(R175,DAY(EOMONTH('Deal maths'!AA175,0)))))/D175)+1),0)</f>
        <v/>
      </c>
      <c r="O175" s="108">
        <f>IFERROR(IF(D175=0,0,IF(IF(DAY(E175+1)=1,EOMONTH(E175,(N175-1)*D175),EDATE(E175,(N175-1)*D175))='Deal maths'!AA175,0,1)),0)</f>
        <v/>
      </c>
      <c r="P175" s="113">
        <f>IF(B175=0,0,IFERROR(IF(C175="EIP",((I175-O175)*((IF(DAY(E175+1)=1,EOMONTH(E175,H175*D175),EDATE(E175,H175*D175))-AsAt)/365.25+(IF(DAY(E175+1)=1,EOMONTH(E175,(N175-1)*D175),EDATE(E175,(N175-1)*D175))-AsAt)/365.25)/2+O175*('Deal maths'!AA175-AsAt)/365.25)/I175,IF(C175="Annuity",IF(F175&gt;0,((K175-L175*F175)*((IF(DAY(E175+1)=1,EOMONTH(E175,H175*D175),EDATE(E175,H175*D175))-AsAt)/365.25*((1+F175)^(I175-O175)-1)/F175+IF((I175-O175)&gt;1,((IF(DAY(E175+1)=1,EOMONTH(E175,(N175-1)*D175),EDATE(E175,(N175-1)*D175))-AsAt)/365.25-(IF(DAY(E175+1)=1,EOMONTH(E175,H175*D175),EDATE(E175,H175*D175))-AsAt)/365.25)/((I175-O175)-1),0)*(1+F175)*(1-(I175-O175)*(1+F175)^((I175-O175)-1)+((I175-O175)-1)*(1+F175)^(I175-O175))/F175^2)+O175*(K175-L175*F175)*(1+F175)^(I175-1)*('Deal maths'!AA175-AsAt)/365.25)/L175,((I175-O175)*((IF(DAY(E175+1)=1,EOMONTH(E175,H175*D175),EDATE(E175,H175*D175))-AsAt)/365.25+(IF(DAY(E175+1)=1,EOMONTH(E175,(N175-1)*D175),EDATE(E175,(N175-1)*D175))-AsAt)/365.25)/2+O175*('Deal maths'!AA175-AsAt)/365.25)/I175),(S175-AsAt)/365.25)),0))</f>
        <v/>
      </c>
      <c r="Q175" s="109">
        <f>IF(B175=1,'Deal maths'!AA175+ROW()/1000000,"")</f>
        <v/>
      </c>
      <c r="R175" s="108">
        <f>IF(D175=0,0,IF(DAY(E175+1)=1,31,DAY(E175)))</f>
        <v/>
      </c>
      <c r="S175" s="109">
        <f>IF(AND('Deal maths'!V175="LOBO",'Deal maths'!AG175&gt;AsAt,'Deal maths'!AG175&lt;'Deal maths'!AA175),'Deal maths'!AG175,'Deal maths'!AA175)</f>
        <v/>
      </c>
      <c r="T175" s="108">
        <f>('Deal maths'!AA175&gt;AsAt)*('Deal maths'!Y175&gt;0)</f>
        <v/>
      </c>
    </row>
    <row r="176">
      <c r="A176" s="91">
        <f>IF('Deal maths'!V176="","",'Deal maths'!W176)</f>
        <v/>
      </c>
      <c r="B176" s="108">
        <f>('Deal maths'!AA176&gt;AsAt)*('Deal maths'!Y176&gt;0)*('Deal maths'!Z176&lt;=AsAt)</f>
        <v/>
      </c>
      <c r="C176" s="91">
        <f>IF('Deal maths'!V176="","",IF('Deal maths'!AC176="","Maturity",'Deal maths'!AC176))</f>
        <v/>
      </c>
      <c r="D176" s="108">
        <f>IF(OR(C176="EIP",C176="Annuity"),IF('Deal maths'!AD176="Annual",12,IF('Deal maths'!AD176="Quarterly",3,6)),0)</f>
        <v/>
      </c>
      <c r="E176" s="109">
        <f>IFERROR(IF(D176=0,0,IF('Deal maths'!AE176&gt;0,IF('Deal maths'!AE176&gt;'Deal maths'!AA176,'Deal maths'!AA176,'Deal maths'!AE176),IF(IF(DAY('Deal maths'!AA176+1)=1,EOMONTH('Deal maths'!AA176,-(INT(((YEAR('Deal maths'!AA176)-YEAR(IF('Deal maths'!Z176&gt;0,'Deal maths'!Z176,DATE(1990,1,1))))*12+MONTH('Deal maths'!AA176)-MONTH(IF('Deal maths'!Z176&gt;0,'Deal maths'!Z176,DATE(1990,1,1))))/D176))*D176),EDATE('Deal maths'!AA176,-(INT(((YEAR('Deal maths'!AA176)-YEAR(IF('Deal maths'!Z176&gt;0,'Deal maths'!Z176,DATE(1990,1,1))))*12+MONTH('Deal maths'!AA176)-MONTH(IF('Deal maths'!Z176&gt;0,'Deal maths'!Z176,DATE(1990,1,1))))/D176))*D176))&gt;IF('Deal maths'!Z176&gt;0,'Deal maths'!Z176,DATE(1990,1,1)),IF(DAY('Deal maths'!AA176+1)=1,EOMONTH('Deal maths'!AA176,-(INT(((YEAR('Deal maths'!AA176)-YEAR(IF('Deal maths'!Z176&gt;0,'Deal maths'!Z176,DATE(1990,1,1))))*12+MONTH('Deal maths'!AA176)-MONTH(IF('Deal maths'!Z176&gt;0,'Deal maths'!Z176,DATE(1990,1,1))))/D176))*D176),EDATE('Deal maths'!AA176,-(INT(((YEAR('Deal maths'!AA176)-YEAR(IF('Deal maths'!Z176&gt;0,'Deal maths'!Z176,DATE(1990,1,1))))*12+MONTH('Deal maths'!AA176)-MONTH(IF('Deal maths'!Z176&gt;0,'Deal maths'!Z176,DATE(1990,1,1))))/D176))*D176)),IF(DAY('Deal maths'!AA176+1)=1,EOMONTH('Deal maths'!AA176,-(INT(((YEAR('Deal maths'!AA176)-YEAR(IF('Deal maths'!Z176&gt;0,'Deal maths'!Z176,DATE(1990,1,1))))*12+MONTH('Deal maths'!AA176)-MONTH(IF('Deal maths'!Z176&gt;0,'Deal maths'!Z176,DATE(1990,1,1))))/D176)-1)*D176),EDATE('Deal maths'!AA176,-(INT(((YEAR('Deal maths'!AA176)-YEAR(IF('Deal maths'!Z176&gt;0,'Deal maths'!Z176,DATE(1990,1,1))))*12+MONTH('Deal maths'!AA176)-MONTH(IF('Deal maths'!Z176&gt;0,'Deal maths'!Z176,DATE(1990,1,1))))/D176)-1)*D176))))),0)</f>
        <v/>
      </c>
      <c r="F176" s="110">
        <f>IF(D176=0,0,'Deal maths'!AB176*D176/12)</f>
        <v/>
      </c>
      <c r="G176" s="108">
        <f>N176+O176</f>
        <v/>
      </c>
      <c r="H176" s="108">
        <f>IFERROR(IF(OR(D176=0,AsAt&lt;E176),0,MIN(N176,INT(((YEAR(AsAt)-YEAR(E176))*12+MONTH(AsAt)-MONTH(E176)-(DAY(AsAt)&lt;MIN(R176,DAY(EOMONTH(AsAt,0)))))/D176)+1)+O176*(AsAt&gt;='Deal maths'!AA176)),0)</f>
        <v/>
      </c>
      <c r="I176" s="108">
        <f>G176-H176</f>
        <v/>
      </c>
      <c r="J176" s="111">
        <f>IF(AND(C176="EIP",I176&gt;0),'Deal maths'!Y176/I176,0)</f>
        <v/>
      </c>
      <c r="K176" s="111">
        <f>IF(AND(C176="Annuity",I176&gt;0),IF(F176&gt;0,'Deal maths'!Y176*F176/(1-(1+F176)^-I176),'Deal maths'!Y176/I176),0)</f>
        <v/>
      </c>
      <c r="L176" s="111">
        <f>IF('Deal maths'!Y176="",0,'Deal maths'!Y176)</f>
        <v/>
      </c>
      <c r="M176" s="112">
        <f>F176+(F176=0)</f>
        <v/>
      </c>
      <c r="N176" s="108">
        <f>IFERROR(IF(D176=0,0,INT(((YEAR('Deal maths'!AA176)-YEAR(E176))*12+MONTH('Deal maths'!AA176)-MONTH(E176)-(DAY('Deal maths'!AA176)&lt;MIN(R176,DAY(EOMONTH('Deal maths'!AA176,0)))))/D176)+1),0)</f>
        <v/>
      </c>
      <c r="O176" s="108">
        <f>IFERROR(IF(D176=0,0,IF(IF(DAY(E176+1)=1,EOMONTH(E176,(N176-1)*D176),EDATE(E176,(N176-1)*D176))='Deal maths'!AA176,0,1)),0)</f>
        <v/>
      </c>
      <c r="P176" s="113">
        <f>IF(B176=0,0,IFERROR(IF(C176="EIP",((I176-O176)*((IF(DAY(E176+1)=1,EOMONTH(E176,H176*D176),EDATE(E176,H176*D176))-AsAt)/365.25+(IF(DAY(E176+1)=1,EOMONTH(E176,(N176-1)*D176),EDATE(E176,(N176-1)*D176))-AsAt)/365.25)/2+O176*('Deal maths'!AA176-AsAt)/365.25)/I176,IF(C176="Annuity",IF(F176&gt;0,((K176-L176*F176)*((IF(DAY(E176+1)=1,EOMONTH(E176,H176*D176),EDATE(E176,H176*D176))-AsAt)/365.25*((1+F176)^(I176-O176)-1)/F176+IF((I176-O176)&gt;1,((IF(DAY(E176+1)=1,EOMONTH(E176,(N176-1)*D176),EDATE(E176,(N176-1)*D176))-AsAt)/365.25-(IF(DAY(E176+1)=1,EOMONTH(E176,H176*D176),EDATE(E176,H176*D176))-AsAt)/365.25)/((I176-O176)-1),0)*(1+F176)*(1-(I176-O176)*(1+F176)^((I176-O176)-1)+((I176-O176)-1)*(1+F176)^(I176-O176))/F176^2)+O176*(K176-L176*F176)*(1+F176)^(I176-1)*('Deal maths'!AA176-AsAt)/365.25)/L176,((I176-O176)*((IF(DAY(E176+1)=1,EOMONTH(E176,H176*D176),EDATE(E176,H176*D176))-AsAt)/365.25+(IF(DAY(E176+1)=1,EOMONTH(E176,(N176-1)*D176),EDATE(E176,(N176-1)*D176))-AsAt)/365.25)/2+O176*('Deal maths'!AA176-AsAt)/365.25)/I176),(S176-AsAt)/365.25)),0))</f>
        <v/>
      </c>
      <c r="Q176" s="109">
        <f>IF(B176=1,'Deal maths'!AA176+ROW()/1000000,"")</f>
        <v/>
      </c>
      <c r="R176" s="108">
        <f>IF(D176=0,0,IF(DAY(E176+1)=1,31,DAY(E176)))</f>
        <v/>
      </c>
      <c r="S176" s="109">
        <f>IF(AND('Deal maths'!V176="LOBO",'Deal maths'!AG176&gt;AsAt,'Deal maths'!AG176&lt;'Deal maths'!AA176),'Deal maths'!AG176,'Deal maths'!AA176)</f>
        <v/>
      </c>
      <c r="T176" s="108">
        <f>('Deal maths'!AA176&gt;AsAt)*('Deal maths'!Y176&gt;0)</f>
        <v/>
      </c>
    </row>
    <row r="177">
      <c r="A177" s="91">
        <f>IF('Deal maths'!V177="","",'Deal maths'!W177)</f>
        <v/>
      </c>
      <c r="B177" s="108">
        <f>('Deal maths'!AA177&gt;AsAt)*('Deal maths'!Y177&gt;0)*('Deal maths'!Z177&lt;=AsAt)</f>
        <v/>
      </c>
      <c r="C177" s="91">
        <f>IF('Deal maths'!V177="","",IF('Deal maths'!AC177="","Maturity",'Deal maths'!AC177))</f>
        <v/>
      </c>
      <c r="D177" s="108">
        <f>IF(OR(C177="EIP",C177="Annuity"),IF('Deal maths'!AD177="Annual",12,IF('Deal maths'!AD177="Quarterly",3,6)),0)</f>
        <v/>
      </c>
      <c r="E177" s="109">
        <f>IFERROR(IF(D177=0,0,IF('Deal maths'!AE177&gt;0,IF('Deal maths'!AE177&gt;'Deal maths'!AA177,'Deal maths'!AA177,'Deal maths'!AE177),IF(IF(DAY('Deal maths'!AA177+1)=1,EOMONTH('Deal maths'!AA177,-(INT(((YEAR('Deal maths'!AA177)-YEAR(IF('Deal maths'!Z177&gt;0,'Deal maths'!Z177,DATE(1990,1,1))))*12+MONTH('Deal maths'!AA177)-MONTH(IF('Deal maths'!Z177&gt;0,'Deal maths'!Z177,DATE(1990,1,1))))/D177))*D177),EDATE('Deal maths'!AA177,-(INT(((YEAR('Deal maths'!AA177)-YEAR(IF('Deal maths'!Z177&gt;0,'Deal maths'!Z177,DATE(1990,1,1))))*12+MONTH('Deal maths'!AA177)-MONTH(IF('Deal maths'!Z177&gt;0,'Deal maths'!Z177,DATE(1990,1,1))))/D177))*D177))&gt;IF('Deal maths'!Z177&gt;0,'Deal maths'!Z177,DATE(1990,1,1)),IF(DAY('Deal maths'!AA177+1)=1,EOMONTH('Deal maths'!AA177,-(INT(((YEAR('Deal maths'!AA177)-YEAR(IF('Deal maths'!Z177&gt;0,'Deal maths'!Z177,DATE(1990,1,1))))*12+MONTH('Deal maths'!AA177)-MONTH(IF('Deal maths'!Z177&gt;0,'Deal maths'!Z177,DATE(1990,1,1))))/D177))*D177),EDATE('Deal maths'!AA177,-(INT(((YEAR('Deal maths'!AA177)-YEAR(IF('Deal maths'!Z177&gt;0,'Deal maths'!Z177,DATE(1990,1,1))))*12+MONTH('Deal maths'!AA177)-MONTH(IF('Deal maths'!Z177&gt;0,'Deal maths'!Z177,DATE(1990,1,1))))/D177))*D177)),IF(DAY('Deal maths'!AA177+1)=1,EOMONTH('Deal maths'!AA177,-(INT(((YEAR('Deal maths'!AA177)-YEAR(IF('Deal maths'!Z177&gt;0,'Deal maths'!Z177,DATE(1990,1,1))))*12+MONTH('Deal maths'!AA177)-MONTH(IF('Deal maths'!Z177&gt;0,'Deal maths'!Z177,DATE(1990,1,1))))/D177)-1)*D177),EDATE('Deal maths'!AA177,-(INT(((YEAR('Deal maths'!AA177)-YEAR(IF('Deal maths'!Z177&gt;0,'Deal maths'!Z177,DATE(1990,1,1))))*12+MONTH('Deal maths'!AA177)-MONTH(IF('Deal maths'!Z177&gt;0,'Deal maths'!Z177,DATE(1990,1,1))))/D177)-1)*D177))))),0)</f>
        <v/>
      </c>
      <c r="F177" s="110">
        <f>IF(D177=0,0,'Deal maths'!AB177*D177/12)</f>
        <v/>
      </c>
      <c r="G177" s="108">
        <f>N177+O177</f>
        <v/>
      </c>
      <c r="H177" s="108">
        <f>IFERROR(IF(OR(D177=0,AsAt&lt;E177),0,MIN(N177,INT(((YEAR(AsAt)-YEAR(E177))*12+MONTH(AsAt)-MONTH(E177)-(DAY(AsAt)&lt;MIN(R177,DAY(EOMONTH(AsAt,0)))))/D177)+1)+O177*(AsAt&gt;='Deal maths'!AA177)),0)</f>
        <v/>
      </c>
      <c r="I177" s="108">
        <f>G177-H177</f>
        <v/>
      </c>
      <c r="J177" s="111">
        <f>IF(AND(C177="EIP",I177&gt;0),'Deal maths'!Y177/I177,0)</f>
        <v/>
      </c>
      <c r="K177" s="111">
        <f>IF(AND(C177="Annuity",I177&gt;0),IF(F177&gt;0,'Deal maths'!Y177*F177/(1-(1+F177)^-I177),'Deal maths'!Y177/I177),0)</f>
        <v/>
      </c>
      <c r="L177" s="111">
        <f>IF('Deal maths'!Y177="",0,'Deal maths'!Y177)</f>
        <v/>
      </c>
      <c r="M177" s="112">
        <f>F177+(F177=0)</f>
        <v/>
      </c>
      <c r="N177" s="108">
        <f>IFERROR(IF(D177=0,0,INT(((YEAR('Deal maths'!AA177)-YEAR(E177))*12+MONTH('Deal maths'!AA177)-MONTH(E177)-(DAY('Deal maths'!AA177)&lt;MIN(R177,DAY(EOMONTH('Deal maths'!AA177,0)))))/D177)+1),0)</f>
        <v/>
      </c>
      <c r="O177" s="108">
        <f>IFERROR(IF(D177=0,0,IF(IF(DAY(E177+1)=1,EOMONTH(E177,(N177-1)*D177),EDATE(E177,(N177-1)*D177))='Deal maths'!AA177,0,1)),0)</f>
        <v/>
      </c>
      <c r="P177" s="113">
        <f>IF(B177=0,0,IFERROR(IF(C177="EIP",((I177-O177)*((IF(DAY(E177+1)=1,EOMONTH(E177,H177*D177),EDATE(E177,H177*D177))-AsAt)/365.25+(IF(DAY(E177+1)=1,EOMONTH(E177,(N177-1)*D177),EDATE(E177,(N177-1)*D177))-AsAt)/365.25)/2+O177*('Deal maths'!AA177-AsAt)/365.25)/I177,IF(C177="Annuity",IF(F177&gt;0,((K177-L177*F177)*((IF(DAY(E177+1)=1,EOMONTH(E177,H177*D177),EDATE(E177,H177*D177))-AsAt)/365.25*((1+F177)^(I177-O177)-1)/F177+IF((I177-O177)&gt;1,((IF(DAY(E177+1)=1,EOMONTH(E177,(N177-1)*D177),EDATE(E177,(N177-1)*D177))-AsAt)/365.25-(IF(DAY(E177+1)=1,EOMONTH(E177,H177*D177),EDATE(E177,H177*D177))-AsAt)/365.25)/((I177-O177)-1),0)*(1+F177)*(1-(I177-O177)*(1+F177)^((I177-O177)-1)+((I177-O177)-1)*(1+F177)^(I177-O177))/F177^2)+O177*(K177-L177*F177)*(1+F177)^(I177-1)*('Deal maths'!AA177-AsAt)/365.25)/L177,((I177-O177)*((IF(DAY(E177+1)=1,EOMONTH(E177,H177*D177),EDATE(E177,H177*D177))-AsAt)/365.25+(IF(DAY(E177+1)=1,EOMONTH(E177,(N177-1)*D177),EDATE(E177,(N177-1)*D177))-AsAt)/365.25)/2+O177*('Deal maths'!AA177-AsAt)/365.25)/I177),(S177-AsAt)/365.25)),0))</f>
        <v/>
      </c>
      <c r="Q177" s="109">
        <f>IF(B177=1,'Deal maths'!AA177+ROW()/1000000,"")</f>
        <v/>
      </c>
      <c r="R177" s="108">
        <f>IF(D177=0,0,IF(DAY(E177+1)=1,31,DAY(E177)))</f>
        <v/>
      </c>
      <c r="S177" s="109">
        <f>IF(AND('Deal maths'!V177="LOBO",'Deal maths'!AG177&gt;AsAt,'Deal maths'!AG177&lt;'Deal maths'!AA177),'Deal maths'!AG177,'Deal maths'!AA177)</f>
        <v/>
      </c>
      <c r="T177" s="108">
        <f>('Deal maths'!AA177&gt;AsAt)*('Deal maths'!Y177&gt;0)</f>
        <v/>
      </c>
    </row>
    <row r="178">
      <c r="A178" s="91">
        <f>IF('Deal maths'!V178="","",'Deal maths'!W178)</f>
        <v/>
      </c>
      <c r="B178" s="108">
        <f>('Deal maths'!AA178&gt;AsAt)*('Deal maths'!Y178&gt;0)*('Deal maths'!Z178&lt;=AsAt)</f>
        <v/>
      </c>
      <c r="C178" s="91">
        <f>IF('Deal maths'!V178="","",IF('Deal maths'!AC178="","Maturity",'Deal maths'!AC178))</f>
        <v/>
      </c>
      <c r="D178" s="108">
        <f>IF(OR(C178="EIP",C178="Annuity"),IF('Deal maths'!AD178="Annual",12,IF('Deal maths'!AD178="Quarterly",3,6)),0)</f>
        <v/>
      </c>
      <c r="E178" s="109">
        <f>IFERROR(IF(D178=0,0,IF('Deal maths'!AE178&gt;0,IF('Deal maths'!AE178&gt;'Deal maths'!AA178,'Deal maths'!AA178,'Deal maths'!AE178),IF(IF(DAY('Deal maths'!AA178+1)=1,EOMONTH('Deal maths'!AA178,-(INT(((YEAR('Deal maths'!AA178)-YEAR(IF('Deal maths'!Z178&gt;0,'Deal maths'!Z178,DATE(1990,1,1))))*12+MONTH('Deal maths'!AA178)-MONTH(IF('Deal maths'!Z178&gt;0,'Deal maths'!Z178,DATE(1990,1,1))))/D178))*D178),EDATE('Deal maths'!AA178,-(INT(((YEAR('Deal maths'!AA178)-YEAR(IF('Deal maths'!Z178&gt;0,'Deal maths'!Z178,DATE(1990,1,1))))*12+MONTH('Deal maths'!AA178)-MONTH(IF('Deal maths'!Z178&gt;0,'Deal maths'!Z178,DATE(1990,1,1))))/D178))*D178))&gt;IF('Deal maths'!Z178&gt;0,'Deal maths'!Z178,DATE(1990,1,1)),IF(DAY('Deal maths'!AA178+1)=1,EOMONTH('Deal maths'!AA178,-(INT(((YEAR('Deal maths'!AA178)-YEAR(IF('Deal maths'!Z178&gt;0,'Deal maths'!Z178,DATE(1990,1,1))))*12+MONTH('Deal maths'!AA178)-MONTH(IF('Deal maths'!Z178&gt;0,'Deal maths'!Z178,DATE(1990,1,1))))/D178))*D178),EDATE('Deal maths'!AA178,-(INT(((YEAR('Deal maths'!AA178)-YEAR(IF('Deal maths'!Z178&gt;0,'Deal maths'!Z178,DATE(1990,1,1))))*12+MONTH('Deal maths'!AA178)-MONTH(IF('Deal maths'!Z178&gt;0,'Deal maths'!Z178,DATE(1990,1,1))))/D178))*D178)),IF(DAY('Deal maths'!AA178+1)=1,EOMONTH('Deal maths'!AA178,-(INT(((YEAR('Deal maths'!AA178)-YEAR(IF('Deal maths'!Z178&gt;0,'Deal maths'!Z178,DATE(1990,1,1))))*12+MONTH('Deal maths'!AA178)-MONTH(IF('Deal maths'!Z178&gt;0,'Deal maths'!Z178,DATE(1990,1,1))))/D178)-1)*D178),EDATE('Deal maths'!AA178,-(INT(((YEAR('Deal maths'!AA178)-YEAR(IF('Deal maths'!Z178&gt;0,'Deal maths'!Z178,DATE(1990,1,1))))*12+MONTH('Deal maths'!AA178)-MONTH(IF('Deal maths'!Z178&gt;0,'Deal maths'!Z178,DATE(1990,1,1))))/D178)-1)*D178))))),0)</f>
        <v/>
      </c>
      <c r="F178" s="110">
        <f>IF(D178=0,0,'Deal maths'!AB178*D178/12)</f>
        <v/>
      </c>
      <c r="G178" s="108">
        <f>N178+O178</f>
        <v/>
      </c>
      <c r="H178" s="108">
        <f>IFERROR(IF(OR(D178=0,AsAt&lt;E178),0,MIN(N178,INT(((YEAR(AsAt)-YEAR(E178))*12+MONTH(AsAt)-MONTH(E178)-(DAY(AsAt)&lt;MIN(R178,DAY(EOMONTH(AsAt,0)))))/D178)+1)+O178*(AsAt&gt;='Deal maths'!AA178)),0)</f>
        <v/>
      </c>
      <c r="I178" s="108">
        <f>G178-H178</f>
        <v/>
      </c>
      <c r="J178" s="111">
        <f>IF(AND(C178="EIP",I178&gt;0),'Deal maths'!Y178/I178,0)</f>
        <v/>
      </c>
      <c r="K178" s="111">
        <f>IF(AND(C178="Annuity",I178&gt;0),IF(F178&gt;0,'Deal maths'!Y178*F178/(1-(1+F178)^-I178),'Deal maths'!Y178/I178),0)</f>
        <v/>
      </c>
      <c r="L178" s="111">
        <f>IF('Deal maths'!Y178="",0,'Deal maths'!Y178)</f>
        <v/>
      </c>
      <c r="M178" s="112">
        <f>F178+(F178=0)</f>
        <v/>
      </c>
      <c r="N178" s="108">
        <f>IFERROR(IF(D178=0,0,INT(((YEAR('Deal maths'!AA178)-YEAR(E178))*12+MONTH('Deal maths'!AA178)-MONTH(E178)-(DAY('Deal maths'!AA178)&lt;MIN(R178,DAY(EOMONTH('Deal maths'!AA178,0)))))/D178)+1),0)</f>
        <v/>
      </c>
      <c r="O178" s="108">
        <f>IFERROR(IF(D178=0,0,IF(IF(DAY(E178+1)=1,EOMONTH(E178,(N178-1)*D178),EDATE(E178,(N178-1)*D178))='Deal maths'!AA178,0,1)),0)</f>
        <v/>
      </c>
      <c r="P178" s="113">
        <f>IF(B178=0,0,IFERROR(IF(C178="EIP",((I178-O178)*((IF(DAY(E178+1)=1,EOMONTH(E178,H178*D178),EDATE(E178,H178*D178))-AsAt)/365.25+(IF(DAY(E178+1)=1,EOMONTH(E178,(N178-1)*D178),EDATE(E178,(N178-1)*D178))-AsAt)/365.25)/2+O178*('Deal maths'!AA178-AsAt)/365.25)/I178,IF(C178="Annuity",IF(F178&gt;0,((K178-L178*F178)*((IF(DAY(E178+1)=1,EOMONTH(E178,H178*D178),EDATE(E178,H178*D178))-AsAt)/365.25*((1+F178)^(I178-O178)-1)/F178+IF((I178-O178)&gt;1,((IF(DAY(E178+1)=1,EOMONTH(E178,(N178-1)*D178),EDATE(E178,(N178-1)*D178))-AsAt)/365.25-(IF(DAY(E178+1)=1,EOMONTH(E178,H178*D178),EDATE(E178,H178*D178))-AsAt)/365.25)/((I178-O178)-1),0)*(1+F178)*(1-(I178-O178)*(1+F178)^((I178-O178)-1)+((I178-O178)-1)*(1+F178)^(I178-O178))/F178^2)+O178*(K178-L178*F178)*(1+F178)^(I178-1)*('Deal maths'!AA178-AsAt)/365.25)/L178,((I178-O178)*((IF(DAY(E178+1)=1,EOMONTH(E178,H178*D178),EDATE(E178,H178*D178))-AsAt)/365.25+(IF(DAY(E178+1)=1,EOMONTH(E178,(N178-1)*D178),EDATE(E178,(N178-1)*D178))-AsAt)/365.25)/2+O178*('Deal maths'!AA178-AsAt)/365.25)/I178),(S178-AsAt)/365.25)),0))</f>
        <v/>
      </c>
      <c r="Q178" s="109">
        <f>IF(B178=1,'Deal maths'!AA178+ROW()/1000000,"")</f>
        <v/>
      </c>
      <c r="R178" s="108">
        <f>IF(D178=0,0,IF(DAY(E178+1)=1,31,DAY(E178)))</f>
        <v/>
      </c>
      <c r="S178" s="109">
        <f>IF(AND('Deal maths'!V178="LOBO",'Deal maths'!AG178&gt;AsAt,'Deal maths'!AG178&lt;'Deal maths'!AA178),'Deal maths'!AG178,'Deal maths'!AA178)</f>
        <v/>
      </c>
      <c r="T178" s="108">
        <f>('Deal maths'!AA178&gt;AsAt)*('Deal maths'!Y178&gt;0)</f>
        <v/>
      </c>
    </row>
    <row r="179">
      <c r="A179" s="91">
        <f>IF('Deal maths'!V179="","",'Deal maths'!W179)</f>
        <v/>
      </c>
      <c r="B179" s="108">
        <f>('Deal maths'!AA179&gt;AsAt)*('Deal maths'!Y179&gt;0)*('Deal maths'!Z179&lt;=AsAt)</f>
        <v/>
      </c>
      <c r="C179" s="91">
        <f>IF('Deal maths'!V179="","",IF('Deal maths'!AC179="","Maturity",'Deal maths'!AC179))</f>
        <v/>
      </c>
      <c r="D179" s="108">
        <f>IF(OR(C179="EIP",C179="Annuity"),IF('Deal maths'!AD179="Annual",12,IF('Deal maths'!AD179="Quarterly",3,6)),0)</f>
        <v/>
      </c>
      <c r="E179" s="109">
        <f>IFERROR(IF(D179=0,0,IF('Deal maths'!AE179&gt;0,IF('Deal maths'!AE179&gt;'Deal maths'!AA179,'Deal maths'!AA179,'Deal maths'!AE179),IF(IF(DAY('Deal maths'!AA179+1)=1,EOMONTH('Deal maths'!AA179,-(INT(((YEAR('Deal maths'!AA179)-YEAR(IF('Deal maths'!Z179&gt;0,'Deal maths'!Z179,DATE(1990,1,1))))*12+MONTH('Deal maths'!AA179)-MONTH(IF('Deal maths'!Z179&gt;0,'Deal maths'!Z179,DATE(1990,1,1))))/D179))*D179),EDATE('Deal maths'!AA179,-(INT(((YEAR('Deal maths'!AA179)-YEAR(IF('Deal maths'!Z179&gt;0,'Deal maths'!Z179,DATE(1990,1,1))))*12+MONTH('Deal maths'!AA179)-MONTH(IF('Deal maths'!Z179&gt;0,'Deal maths'!Z179,DATE(1990,1,1))))/D179))*D179))&gt;IF('Deal maths'!Z179&gt;0,'Deal maths'!Z179,DATE(1990,1,1)),IF(DAY('Deal maths'!AA179+1)=1,EOMONTH('Deal maths'!AA179,-(INT(((YEAR('Deal maths'!AA179)-YEAR(IF('Deal maths'!Z179&gt;0,'Deal maths'!Z179,DATE(1990,1,1))))*12+MONTH('Deal maths'!AA179)-MONTH(IF('Deal maths'!Z179&gt;0,'Deal maths'!Z179,DATE(1990,1,1))))/D179))*D179),EDATE('Deal maths'!AA179,-(INT(((YEAR('Deal maths'!AA179)-YEAR(IF('Deal maths'!Z179&gt;0,'Deal maths'!Z179,DATE(1990,1,1))))*12+MONTH('Deal maths'!AA179)-MONTH(IF('Deal maths'!Z179&gt;0,'Deal maths'!Z179,DATE(1990,1,1))))/D179))*D179)),IF(DAY('Deal maths'!AA179+1)=1,EOMONTH('Deal maths'!AA179,-(INT(((YEAR('Deal maths'!AA179)-YEAR(IF('Deal maths'!Z179&gt;0,'Deal maths'!Z179,DATE(1990,1,1))))*12+MONTH('Deal maths'!AA179)-MONTH(IF('Deal maths'!Z179&gt;0,'Deal maths'!Z179,DATE(1990,1,1))))/D179)-1)*D179),EDATE('Deal maths'!AA179,-(INT(((YEAR('Deal maths'!AA179)-YEAR(IF('Deal maths'!Z179&gt;0,'Deal maths'!Z179,DATE(1990,1,1))))*12+MONTH('Deal maths'!AA179)-MONTH(IF('Deal maths'!Z179&gt;0,'Deal maths'!Z179,DATE(1990,1,1))))/D179)-1)*D179))))),0)</f>
        <v/>
      </c>
      <c r="F179" s="110">
        <f>IF(D179=0,0,'Deal maths'!AB179*D179/12)</f>
        <v/>
      </c>
      <c r="G179" s="108">
        <f>N179+O179</f>
        <v/>
      </c>
      <c r="H179" s="108">
        <f>IFERROR(IF(OR(D179=0,AsAt&lt;E179),0,MIN(N179,INT(((YEAR(AsAt)-YEAR(E179))*12+MONTH(AsAt)-MONTH(E179)-(DAY(AsAt)&lt;MIN(R179,DAY(EOMONTH(AsAt,0)))))/D179)+1)+O179*(AsAt&gt;='Deal maths'!AA179)),0)</f>
        <v/>
      </c>
      <c r="I179" s="108">
        <f>G179-H179</f>
        <v/>
      </c>
      <c r="J179" s="111">
        <f>IF(AND(C179="EIP",I179&gt;0),'Deal maths'!Y179/I179,0)</f>
        <v/>
      </c>
      <c r="K179" s="111">
        <f>IF(AND(C179="Annuity",I179&gt;0),IF(F179&gt;0,'Deal maths'!Y179*F179/(1-(1+F179)^-I179),'Deal maths'!Y179/I179),0)</f>
        <v/>
      </c>
      <c r="L179" s="111">
        <f>IF('Deal maths'!Y179="",0,'Deal maths'!Y179)</f>
        <v/>
      </c>
      <c r="M179" s="112">
        <f>F179+(F179=0)</f>
        <v/>
      </c>
      <c r="N179" s="108">
        <f>IFERROR(IF(D179=0,0,INT(((YEAR('Deal maths'!AA179)-YEAR(E179))*12+MONTH('Deal maths'!AA179)-MONTH(E179)-(DAY('Deal maths'!AA179)&lt;MIN(R179,DAY(EOMONTH('Deal maths'!AA179,0)))))/D179)+1),0)</f>
        <v/>
      </c>
      <c r="O179" s="108">
        <f>IFERROR(IF(D179=0,0,IF(IF(DAY(E179+1)=1,EOMONTH(E179,(N179-1)*D179),EDATE(E179,(N179-1)*D179))='Deal maths'!AA179,0,1)),0)</f>
        <v/>
      </c>
      <c r="P179" s="113">
        <f>IF(B179=0,0,IFERROR(IF(C179="EIP",((I179-O179)*((IF(DAY(E179+1)=1,EOMONTH(E179,H179*D179),EDATE(E179,H179*D179))-AsAt)/365.25+(IF(DAY(E179+1)=1,EOMONTH(E179,(N179-1)*D179),EDATE(E179,(N179-1)*D179))-AsAt)/365.25)/2+O179*('Deal maths'!AA179-AsAt)/365.25)/I179,IF(C179="Annuity",IF(F179&gt;0,((K179-L179*F179)*((IF(DAY(E179+1)=1,EOMONTH(E179,H179*D179),EDATE(E179,H179*D179))-AsAt)/365.25*((1+F179)^(I179-O179)-1)/F179+IF((I179-O179)&gt;1,((IF(DAY(E179+1)=1,EOMONTH(E179,(N179-1)*D179),EDATE(E179,(N179-1)*D179))-AsAt)/365.25-(IF(DAY(E179+1)=1,EOMONTH(E179,H179*D179),EDATE(E179,H179*D179))-AsAt)/365.25)/((I179-O179)-1),0)*(1+F179)*(1-(I179-O179)*(1+F179)^((I179-O179)-1)+((I179-O179)-1)*(1+F179)^(I179-O179))/F179^2)+O179*(K179-L179*F179)*(1+F179)^(I179-1)*('Deal maths'!AA179-AsAt)/365.25)/L179,((I179-O179)*((IF(DAY(E179+1)=1,EOMONTH(E179,H179*D179),EDATE(E179,H179*D179))-AsAt)/365.25+(IF(DAY(E179+1)=1,EOMONTH(E179,(N179-1)*D179),EDATE(E179,(N179-1)*D179))-AsAt)/365.25)/2+O179*('Deal maths'!AA179-AsAt)/365.25)/I179),(S179-AsAt)/365.25)),0))</f>
        <v/>
      </c>
      <c r="Q179" s="109">
        <f>IF(B179=1,'Deal maths'!AA179+ROW()/1000000,"")</f>
        <v/>
      </c>
      <c r="R179" s="108">
        <f>IF(D179=0,0,IF(DAY(E179+1)=1,31,DAY(E179)))</f>
        <v/>
      </c>
      <c r="S179" s="109">
        <f>IF(AND('Deal maths'!V179="LOBO",'Deal maths'!AG179&gt;AsAt,'Deal maths'!AG179&lt;'Deal maths'!AA179),'Deal maths'!AG179,'Deal maths'!AA179)</f>
        <v/>
      </c>
      <c r="T179" s="108">
        <f>('Deal maths'!AA179&gt;AsAt)*('Deal maths'!Y179&gt;0)</f>
        <v/>
      </c>
    </row>
    <row r="180">
      <c r="A180" s="91">
        <f>IF('Deal maths'!V180="","",'Deal maths'!W180)</f>
        <v/>
      </c>
      <c r="B180" s="108">
        <f>('Deal maths'!AA180&gt;AsAt)*('Deal maths'!Y180&gt;0)*('Deal maths'!Z180&lt;=AsAt)</f>
        <v/>
      </c>
      <c r="C180" s="91">
        <f>IF('Deal maths'!V180="","",IF('Deal maths'!AC180="","Maturity",'Deal maths'!AC180))</f>
        <v/>
      </c>
      <c r="D180" s="108">
        <f>IF(OR(C180="EIP",C180="Annuity"),IF('Deal maths'!AD180="Annual",12,IF('Deal maths'!AD180="Quarterly",3,6)),0)</f>
        <v/>
      </c>
      <c r="E180" s="109">
        <f>IFERROR(IF(D180=0,0,IF('Deal maths'!AE180&gt;0,IF('Deal maths'!AE180&gt;'Deal maths'!AA180,'Deal maths'!AA180,'Deal maths'!AE180),IF(IF(DAY('Deal maths'!AA180+1)=1,EOMONTH('Deal maths'!AA180,-(INT(((YEAR('Deal maths'!AA180)-YEAR(IF('Deal maths'!Z180&gt;0,'Deal maths'!Z180,DATE(1990,1,1))))*12+MONTH('Deal maths'!AA180)-MONTH(IF('Deal maths'!Z180&gt;0,'Deal maths'!Z180,DATE(1990,1,1))))/D180))*D180),EDATE('Deal maths'!AA180,-(INT(((YEAR('Deal maths'!AA180)-YEAR(IF('Deal maths'!Z180&gt;0,'Deal maths'!Z180,DATE(1990,1,1))))*12+MONTH('Deal maths'!AA180)-MONTH(IF('Deal maths'!Z180&gt;0,'Deal maths'!Z180,DATE(1990,1,1))))/D180))*D180))&gt;IF('Deal maths'!Z180&gt;0,'Deal maths'!Z180,DATE(1990,1,1)),IF(DAY('Deal maths'!AA180+1)=1,EOMONTH('Deal maths'!AA180,-(INT(((YEAR('Deal maths'!AA180)-YEAR(IF('Deal maths'!Z180&gt;0,'Deal maths'!Z180,DATE(1990,1,1))))*12+MONTH('Deal maths'!AA180)-MONTH(IF('Deal maths'!Z180&gt;0,'Deal maths'!Z180,DATE(1990,1,1))))/D180))*D180),EDATE('Deal maths'!AA180,-(INT(((YEAR('Deal maths'!AA180)-YEAR(IF('Deal maths'!Z180&gt;0,'Deal maths'!Z180,DATE(1990,1,1))))*12+MONTH('Deal maths'!AA180)-MONTH(IF('Deal maths'!Z180&gt;0,'Deal maths'!Z180,DATE(1990,1,1))))/D180))*D180)),IF(DAY('Deal maths'!AA180+1)=1,EOMONTH('Deal maths'!AA180,-(INT(((YEAR('Deal maths'!AA180)-YEAR(IF('Deal maths'!Z180&gt;0,'Deal maths'!Z180,DATE(1990,1,1))))*12+MONTH('Deal maths'!AA180)-MONTH(IF('Deal maths'!Z180&gt;0,'Deal maths'!Z180,DATE(1990,1,1))))/D180)-1)*D180),EDATE('Deal maths'!AA180,-(INT(((YEAR('Deal maths'!AA180)-YEAR(IF('Deal maths'!Z180&gt;0,'Deal maths'!Z180,DATE(1990,1,1))))*12+MONTH('Deal maths'!AA180)-MONTH(IF('Deal maths'!Z180&gt;0,'Deal maths'!Z180,DATE(1990,1,1))))/D180)-1)*D180))))),0)</f>
        <v/>
      </c>
      <c r="F180" s="110">
        <f>IF(D180=0,0,'Deal maths'!AB180*D180/12)</f>
        <v/>
      </c>
      <c r="G180" s="108">
        <f>N180+O180</f>
        <v/>
      </c>
      <c r="H180" s="108">
        <f>IFERROR(IF(OR(D180=0,AsAt&lt;E180),0,MIN(N180,INT(((YEAR(AsAt)-YEAR(E180))*12+MONTH(AsAt)-MONTH(E180)-(DAY(AsAt)&lt;MIN(R180,DAY(EOMONTH(AsAt,0)))))/D180)+1)+O180*(AsAt&gt;='Deal maths'!AA180)),0)</f>
        <v/>
      </c>
      <c r="I180" s="108">
        <f>G180-H180</f>
        <v/>
      </c>
      <c r="J180" s="111">
        <f>IF(AND(C180="EIP",I180&gt;0),'Deal maths'!Y180/I180,0)</f>
        <v/>
      </c>
      <c r="K180" s="111">
        <f>IF(AND(C180="Annuity",I180&gt;0),IF(F180&gt;0,'Deal maths'!Y180*F180/(1-(1+F180)^-I180),'Deal maths'!Y180/I180),0)</f>
        <v/>
      </c>
      <c r="L180" s="111">
        <f>IF('Deal maths'!Y180="",0,'Deal maths'!Y180)</f>
        <v/>
      </c>
      <c r="M180" s="112">
        <f>F180+(F180=0)</f>
        <v/>
      </c>
      <c r="N180" s="108">
        <f>IFERROR(IF(D180=0,0,INT(((YEAR('Deal maths'!AA180)-YEAR(E180))*12+MONTH('Deal maths'!AA180)-MONTH(E180)-(DAY('Deal maths'!AA180)&lt;MIN(R180,DAY(EOMONTH('Deal maths'!AA180,0)))))/D180)+1),0)</f>
        <v/>
      </c>
      <c r="O180" s="108">
        <f>IFERROR(IF(D180=0,0,IF(IF(DAY(E180+1)=1,EOMONTH(E180,(N180-1)*D180),EDATE(E180,(N180-1)*D180))='Deal maths'!AA180,0,1)),0)</f>
        <v/>
      </c>
      <c r="P180" s="113">
        <f>IF(B180=0,0,IFERROR(IF(C180="EIP",((I180-O180)*((IF(DAY(E180+1)=1,EOMONTH(E180,H180*D180),EDATE(E180,H180*D180))-AsAt)/365.25+(IF(DAY(E180+1)=1,EOMONTH(E180,(N180-1)*D180),EDATE(E180,(N180-1)*D180))-AsAt)/365.25)/2+O180*('Deal maths'!AA180-AsAt)/365.25)/I180,IF(C180="Annuity",IF(F180&gt;0,((K180-L180*F180)*((IF(DAY(E180+1)=1,EOMONTH(E180,H180*D180),EDATE(E180,H180*D180))-AsAt)/365.25*((1+F180)^(I180-O180)-1)/F180+IF((I180-O180)&gt;1,((IF(DAY(E180+1)=1,EOMONTH(E180,(N180-1)*D180),EDATE(E180,(N180-1)*D180))-AsAt)/365.25-(IF(DAY(E180+1)=1,EOMONTH(E180,H180*D180),EDATE(E180,H180*D180))-AsAt)/365.25)/((I180-O180)-1),0)*(1+F180)*(1-(I180-O180)*(1+F180)^((I180-O180)-1)+((I180-O180)-1)*(1+F180)^(I180-O180))/F180^2)+O180*(K180-L180*F180)*(1+F180)^(I180-1)*('Deal maths'!AA180-AsAt)/365.25)/L180,((I180-O180)*((IF(DAY(E180+1)=1,EOMONTH(E180,H180*D180),EDATE(E180,H180*D180))-AsAt)/365.25+(IF(DAY(E180+1)=1,EOMONTH(E180,(N180-1)*D180),EDATE(E180,(N180-1)*D180))-AsAt)/365.25)/2+O180*('Deal maths'!AA180-AsAt)/365.25)/I180),(S180-AsAt)/365.25)),0))</f>
        <v/>
      </c>
      <c r="Q180" s="109">
        <f>IF(B180=1,'Deal maths'!AA180+ROW()/1000000,"")</f>
        <v/>
      </c>
      <c r="R180" s="108">
        <f>IF(D180=0,0,IF(DAY(E180+1)=1,31,DAY(E180)))</f>
        <v/>
      </c>
      <c r="S180" s="109">
        <f>IF(AND('Deal maths'!V180="LOBO",'Deal maths'!AG180&gt;AsAt,'Deal maths'!AG180&lt;'Deal maths'!AA180),'Deal maths'!AG180,'Deal maths'!AA180)</f>
        <v/>
      </c>
      <c r="T180" s="108">
        <f>('Deal maths'!AA180&gt;AsAt)*('Deal maths'!Y180&gt;0)</f>
        <v/>
      </c>
    </row>
    <row r="181">
      <c r="A181" s="91">
        <f>IF('Deal maths'!V181="","",'Deal maths'!W181)</f>
        <v/>
      </c>
      <c r="B181" s="108">
        <f>('Deal maths'!AA181&gt;AsAt)*('Deal maths'!Y181&gt;0)*('Deal maths'!Z181&lt;=AsAt)</f>
        <v/>
      </c>
      <c r="C181" s="91">
        <f>IF('Deal maths'!V181="","",IF('Deal maths'!AC181="","Maturity",'Deal maths'!AC181))</f>
        <v/>
      </c>
      <c r="D181" s="108">
        <f>IF(OR(C181="EIP",C181="Annuity"),IF('Deal maths'!AD181="Annual",12,IF('Deal maths'!AD181="Quarterly",3,6)),0)</f>
        <v/>
      </c>
      <c r="E181" s="109">
        <f>IFERROR(IF(D181=0,0,IF('Deal maths'!AE181&gt;0,IF('Deal maths'!AE181&gt;'Deal maths'!AA181,'Deal maths'!AA181,'Deal maths'!AE181),IF(IF(DAY('Deal maths'!AA181+1)=1,EOMONTH('Deal maths'!AA181,-(INT(((YEAR('Deal maths'!AA181)-YEAR(IF('Deal maths'!Z181&gt;0,'Deal maths'!Z181,DATE(1990,1,1))))*12+MONTH('Deal maths'!AA181)-MONTH(IF('Deal maths'!Z181&gt;0,'Deal maths'!Z181,DATE(1990,1,1))))/D181))*D181),EDATE('Deal maths'!AA181,-(INT(((YEAR('Deal maths'!AA181)-YEAR(IF('Deal maths'!Z181&gt;0,'Deal maths'!Z181,DATE(1990,1,1))))*12+MONTH('Deal maths'!AA181)-MONTH(IF('Deal maths'!Z181&gt;0,'Deal maths'!Z181,DATE(1990,1,1))))/D181))*D181))&gt;IF('Deal maths'!Z181&gt;0,'Deal maths'!Z181,DATE(1990,1,1)),IF(DAY('Deal maths'!AA181+1)=1,EOMONTH('Deal maths'!AA181,-(INT(((YEAR('Deal maths'!AA181)-YEAR(IF('Deal maths'!Z181&gt;0,'Deal maths'!Z181,DATE(1990,1,1))))*12+MONTH('Deal maths'!AA181)-MONTH(IF('Deal maths'!Z181&gt;0,'Deal maths'!Z181,DATE(1990,1,1))))/D181))*D181),EDATE('Deal maths'!AA181,-(INT(((YEAR('Deal maths'!AA181)-YEAR(IF('Deal maths'!Z181&gt;0,'Deal maths'!Z181,DATE(1990,1,1))))*12+MONTH('Deal maths'!AA181)-MONTH(IF('Deal maths'!Z181&gt;0,'Deal maths'!Z181,DATE(1990,1,1))))/D181))*D181)),IF(DAY('Deal maths'!AA181+1)=1,EOMONTH('Deal maths'!AA181,-(INT(((YEAR('Deal maths'!AA181)-YEAR(IF('Deal maths'!Z181&gt;0,'Deal maths'!Z181,DATE(1990,1,1))))*12+MONTH('Deal maths'!AA181)-MONTH(IF('Deal maths'!Z181&gt;0,'Deal maths'!Z181,DATE(1990,1,1))))/D181)-1)*D181),EDATE('Deal maths'!AA181,-(INT(((YEAR('Deal maths'!AA181)-YEAR(IF('Deal maths'!Z181&gt;0,'Deal maths'!Z181,DATE(1990,1,1))))*12+MONTH('Deal maths'!AA181)-MONTH(IF('Deal maths'!Z181&gt;0,'Deal maths'!Z181,DATE(1990,1,1))))/D181)-1)*D181))))),0)</f>
        <v/>
      </c>
      <c r="F181" s="110">
        <f>IF(D181=0,0,'Deal maths'!AB181*D181/12)</f>
        <v/>
      </c>
      <c r="G181" s="108">
        <f>N181+O181</f>
        <v/>
      </c>
      <c r="H181" s="108">
        <f>IFERROR(IF(OR(D181=0,AsAt&lt;E181),0,MIN(N181,INT(((YEAR(AsAt)-YEAR(E181))*12+MONTH(AsAt)-MONTH(E181)-(DAY(AsAt)&lt;MIN(R181,DAY(EOMONTH(AsAt,0)))))/D181)+1)+O181*(AsAt&gt;='Deal maths'!AA181)),0)</f>
        <v/>
      </c>
      <c r="I181" s="108">
        <f>G181-H181</f>
        <v/>
      </c>
      <c r="J181" s="111">
        <f>IF(AND(C181="EIP",I181&gt;0),'Deal maths'!Y181/I181,0)</f>
        <v/>
      </c>
      <c r="K181" s="111">
        <f>IF(AND(C181="Annuity",I181&gt;0),IF(F181&gt;0,'Deal maths'!Y181*F181/(1-(1+F181)^-I181),'Deal maths'!Y181/I181),0)</f>
        <v/>
      </c>
      <c r="L181" s="111">
        <f>IF('Deal maths'!Y181="",0,'Deal maths'!Y181)</f>
        <v/>
      </c>
      <c r="M181" s="112">
        <f>F181+(F181=0)</f>
        <v/>
      </c>
      <c r="N181" s="108">
        <f>IFERROR(IF(D181=0,0,INT(((YEAR('Deal maths'!AA181)-YEAR(E181))*12+MONTH('Deal maths'!AA181)-MONTH(E181)-(DAY('Deal maths'!AA181)&lt;MIN(R181,DAY(EOMONTH('Deal maths'!AA181,0)))))/D181)+1),0)</f>
        <v/>
      </c>
      <c r="O181" s="108">
        <f>IFERROR(IF(D181=0,0,IF(IF(DAY(E181+1)=1,EOMONTH(E181,(N181-1)*D181),EDATE(E181,(N181-1)*D181))='Deal maths'!AA181,0,1)),0)</f>
        <v/>
      </c>
      <c r="P181" s="113">
        <f>IF(B181=0,0,IFERROR(IF(C181="EIP",((I181-O181)*((IF(DAY(E181+1)=1,EOMONTH(E181,H181*D181),EDATE(E181,H181*D181))-AsAt)/365.25+(IF(DAY(E181+1)=1,EOMONTH(E181,(N181-1)*D181),EDATE(E181,(N181-1)*D181))-AsAt)/365.25)/2+O181*('Deal maths'!AA181-AsAt)/365.25)/I181,IF(C181="Annuity",IF(F181&gt;0,((K181-L181*F181)*((IF(DAY(E181+1)=1,EOMONTH(E181,H181*D181),EDATE(E181,H181*D181))-AsAt)/365.25*((1+F181)^(I181-O181)-1)/F181+IF((I181-O181)&gt;1,((IF(DAY(E181+1)=1,EOMONTH(E181,(N181-1)*D181),EDATE(E181,(N181-1)*D181))-AsAt)/365.25-(IF(DAY(E181+1)=1,EOMONTH(E181,H181*D181),EDATE(E181,H181*D181))-AsAt)/365.25)/((I181-O181)-1),0)*(1+F181)*(1-(I181-O181)*(1+F181)^((I181-O181)-1)+((I181-O181)-1)*(1+F181)^(I181-O181))/F181^2)+O181*(K181-L181*F181)*(1+F181)^(I181-1)*('Deal maths'!AA181-AsAt)/365.25)/L181,((I181-O181)*((IF(DAY(E181+1)=1,EOMONTH(E181,H181*D181),EDATE(E181,H181*D181))-AsAt)/365.25+(IF(DAY(E181+1)=1,EOMONTH(E181,(N181-1)*D181),EDATE(E181,(N181-1)*D181))-AsAt)/365.25)/2+O181*('Deal maths'!AA181-AsAt)/365.25)/I181),(S181-AsAt)/365.25)),0))</f>
        <v/>
      </c>
      <c r="Q181" s="109">
        <f>IF(B181=1,'Deal maths'!AA181+ROW()/1000000,"")</f>
        <v/>
      </c>
      <c r="R181" s="108">
        <f>IF(D181=0,0,IF(DAY(E181+1)=1,31,DAY(E181)))</f>
        <v/>
      </c>
      <c r="S181" s="109">
        <f>IF(AND('Deal maths'!V181="LOBO",'Deal maths'!AG181&gt;AsAt,'Deal maths'!AG181&lt;'Deal maths'!AA181),'Deal maths'!AG181,'Deal maths'!AA181)</f>
        <v/>
      </c>
      <c r="T181" s="108">
        <f>('Deal maths'!AA181&gt;AsAt)*('Deal maths'!Y181&gt;0)</f>
        <v/>
      </c>
    </row>
    <row r="182">
      <c r="A182" s="91">
        <f>IF('Deal maths'!V182="","",'Deal maths'!W182)</f>
        <v/>
      </c>
      <c r="B182" s="108">
        <f>('Deal maths'!AA182&gt;AsAt)*('Deal maths'!Y182&gt;0)*('Deal maths'!Z182&lt;=AsAt)</f>
        <v/>
      </c>
      <c r="C182" s="91">
        <f>IF('Deal maths'!V182="","",IF('Deal maths'!AC182="","Maturity",'Deal maths'!AC182))</f>
        <v/>
      </c>
      <c r="D182" s="108">
        <f>IF(OR(C182="EIP",C182="Annuity"),IF('Deal maths'!AD182="Annual",12,IF('Deal maths'!AD182="Quarterly",3,6)),0)</f>
        <v/>
      </c>
      <c r="E182" s="109">
        <f>IFERROR(IF(D182=0,0,IF('Deal maths'!AE182&gt;0,IF('Deal maths'!AE182&gt;'Deal maths'!AA182,'Deal maths'!AA182,'Deal maths'!AE182),IF(IF(DAY('Deal maths'!AA182+1)=1,EOMONTH('Deal maths'!AA182,-(INT(((YEAR('Deal maths'!AA182)-YEAR(IF('Deal maths'!Z182&gt;0,'Deal maths'!Z182,DATE(1990,1,1))))*12+MONTH('Deal maths'!AA182)-MONTH(IF('Deal maths'!Z182&gt;0,'Deal maths'!Z182,DATE(1990,1,1))))/D182))*D182),EDATE('Deal maths'!AA182,-(INT(((YEAR('Deal maths'!AA182)-YEAR(IF('Deal maths'!Z182&gt;0,'Deal maths'!Z182,DATE(1990,1,1))))*12+MONTH('Deal maths'!AA182)-MONTH(IF('Deal maths'!Z182&gt;0,'Deal maths'!Z182,DATE(1990,1,1))))/D182))*D182))&gt;IF('Deal maths'!Z182&gt;0,'Deal maths'!Z182,DATE(1990,1,1)),IF(DAY('Deal maths'!AA182+1)=1,EOMONTH('Deal maths'!AA182,-(INT(((YEAR('Deal maths'!AA182)-YEAR(IF('Deal maths'!Z182&gt;0,'Deal maths'!Z182,DATE(1990,1,1))))*12+MONTH('Deal maths'!AA182)-MONTH(IF('Deal maths'!Z182&gt;0,'Deal maths'!Z182,DATE(1990,1,1))))/D182))*D182),EDATE('Deal maths'!AA182,-(INT(((YEAR('Deal maths'!AA182)-YEAR(IF('Deal maths'!Z182&gt;0,'Deal maths'!Z182,DATE(1990,1,1))))*12+MONTH('Deal maths'!AA182)-MONTH(IF('Deal maths'!Z182&gt;0,'Deal maths'!Z182,DATE(1990,1,1))))/D182))*D182)),IF(DAY('Deal maths'!AA182+1)=1,EOMONTH('Deal maths'!AA182,-(INT(((YEAR('Deal maths'!AA182)-YEAR(IF('Deal maths'!Z182&gt;0,'Deal maths'!Z182,DATE(1990,1,1))))*12+MONTH('Deal maths'!AA182)-MONTH(IF('Deal maths'!Z182&gt;0,'Deal maths'!Z182,DATE(1990,1,1))))/D182)-1)*D182),EDATE('Deal maths'!AA182,-(INT(((YEAR('Deal maths'!AA182)-YEAR(IF('Deal maths'!Z182&gt;0,'Deal maths'!Z182,DATE(1990,1,1))))*12+MONTH('Deal maths'!AA182)-MONTH(IF('Deal maths'!Z182&gt;0,'Deal maths'!Z182,DATE(1990,1,1))))/D182)-1)*D182))))),0)</f>
        <v/>
      </c>
      <c r="F182" s="110">
        <f>IF(D182=0,0,'Deal maths'!AB182*D182/12)</f>
        <v/>
      </c>
      <c r="G182" s="108">
        <f>N182+O182</f>
        <v/>
      </c>
      <c r="H182" s="108">
        <f>IFERROR(IF(OR(D182=0,AsAt&lt;E182),0,MIN(N182,INT(((YEAR(AsAt)-YEAR(E182))*12+MONTH(AsAt)-MONTH(E182)-(DAY(AsAt)&lt;MIN(R182,DAY(EOMONTH(AsAt,0)))))/D182)+1)+O182*(AsAt&gt;='Deal maths'!AA182)),0)</f>
        <v/>
      </c>
      <c r="I182" s="108">
        <f>G182-H182</f>
        <v/>
      </c>
      <c r="J182" s="111">
        <f>IF(AND(C182="EIP",I182&gt;0),'Deal maths'!Y182/I182,0)</f>
        <v/>
      </c>
      <c r="K182" s="111">
        <f>IF(AND(C182="Annuity",I182&gt;0),IF(F182&gt;0,'Deal maths'!Y182*F182/(1-(1+F182)^-I182),'Deal maths'!Y182/I182),0)</f>
        <v/>
      </c>
      <c r="L182" s="111">
        <f>IF('Deal maths'!Y182="",0,'Deal maths'!Y182)</f>
        <v/>
      </c>
      <c r="M182" s="112">
        <f>F182+(F182=0)</f>
        <v/>
      </c>
      <c r="N182" s="108">
        <f>IFERROR(IF(D182=0,0,INT(((YEAR('Deal maths'!AA182)-YEAR(E182))*12+MONTH('Deal maths'!AA182)-MONTH(E182)-(DAY('Deal maths'!AA182)&lt;MIN(R182,DAY(EOMONTH('Deal maths'!AA182,0)))))/D182)+1),0)</f>
        <v/>
      </c>
      <c r="O182" s="108">
        <f>IFERROR(IF(D182=0,0,IF(IF(DAY(E182+1)=1,EOMONTH(E182,(N182-1)*D182),EDATE(E182,(N182-1)*D182))='Deal maths'!AA182,0,1)),0)</f>
        <v/>
      </c>
      <c r="P182" s="113">
        <f>IF(B182=0,0,IFERROR(IF(C182="EIP",((I182-O182)*((IF(DAY(E182+1)=1,EOMONTH(E182,H182*D182),EDATE(E182,H182*D182))-AsAt)/365.25+(IF(DAY(E182+1)=1,EOMONTH(E182,(N182-1)*D182),EDATE(E182,(N182-1)*D182))-AsAt)/365.25)/2+O182*('Deal maths'!AA182-AsAt)/365.25)/I182,IF(C182="Annuity",IF(F182&gt;0,((K182-L182*F182)*((IF(DAY(E182+1)=1,EOMONTH(E182,H182*D182),EDATE(E182,H182*D182))-AsAt)/365.25*((1+F182)^(I182-O182)-1)/F182+IF((I182-O182)&gt;1,((IF(DAY(E182+1)=1,EOMONTH(E182,(N182-1)*D182),EDATE(E182,(N182-1)*D182))-AsAt)/365.25-(IF(DAY(E182+1)=1,EOMONTH(E182,H182*D182),EDATE(E182,H182*D182))-AsAt)/365.25)/((I182-O182)-1),0)*(1+F182)*(1-(I182-O182)*(1+F182)^((I182-O182)-1)+((I182-O182)-1)*(1+F182)^(I182-O182))/F182^2)+O182*(K182-L182*F182)*(1+F182)^(I182-1)*('Deal maths'!AA182-AsAt)/365.25)/L182,((I182-O182)*((IF(DAY(E182+1)=1,EOMONTH(E182,H182*D182),EDATE(E182,H182*D182))-AsAt)/365.25+(IF(DAY(E182+1)=1,EOMONTH(E182,(N182-1)*D182),EDATE(E182,(N182-1)*D182))-AsAt)/365.25)/2+O182*('Deal maths'!AA182-AsAt)/365.25)/I182),(S182-AsAt)/365.25)),0))</f>
        <v/>
      </c>
      <c r="Q182" s="109">
        <f>IF(B182=1,'Deal maths'!AA182+ROW()/1000000,"")</f>
        <v/>
      </c>
      <c r="R182" s="108">
        <f>IF(D182=0,0,IF(DAY(E182+1)=1,31,DAY(E182)))</f>
        <v/>
      </c>
      <c r="S182" s="109">
        <f>IF(AND('Deal maths'!V182="LOBO",'Deal maths'!AG182&gt;AsAt,'Deal maths'!AG182&lt;'Deal maths'!AA182),'Deal maths'!AG182,'Deal maths'!AA182)</f>
        <v/>
      </c>
      <c r="T182" s="108">
        <f>('Deal maths'!AA182&gt;AsAt)*('Deal maths'!Y182&gt;0)</f>
        <v/>
      </c>
    </row>
    <row r="183">
      <c r="A183" s="91">
        <f>IF('Deal maths'!V183="","",'Deal maths'!W183)</f>
        <v/>
      </c>
      <c r="B183" s="108">
        <f>('Deal maths'!AA183&gt;AsAt)*('Deal maths'!Y183&gt;0)*('Deal maths'!Z183&lt;=AsAt)</f>
        <v/>
      </c>
      <c r="C183" s="91">
        <f>IF('Deal maths'!V183="","",IF('Deal maths'!AC183="","Maturity",'Deal maths'!AC183))</f>
        <v/>
      </c>
      <c r="D183" s="108">
        <f>IF(OR(C183="EIP",C183="Annuity"),IF('Deal maths'!AD183="Annual",12,IF('Deal maths'!AD183="Quarterly",3,6)),0)</f>
        <v/>
      </c>
      <c r="E183" s="109">
        <f>IFERROR(IF(D183=0,0,IF('Deal maths'!AE183&gt;0,IF('Deal maths'!AE183&gt;'Deal maths'!AA183,'Deal maths'!AA183,'Deal maths'!AE183),IF(IF(DAY('Deal maths'!AA183+1)=1,EOMONTH('Deal maths'!AA183,-(INT(((YEAR('Deal maths'!AA183)-YEAR(IF('Deal maths'!Z183&gt;0,'Deal maths'!Z183,DATE(1990,1,1))))*12+MONTH('Deal maths'!AA183)-MONTH(IF('Deal maths'!Z183&gt;0,'Deal maths'!Z183,DATE(1990,1,1))))/D183))*D183),EDATE('Deal maths'!AA183,-(INT(((YEAR('Deal maths'!AA183)-YEAR(IF('Deal maths'!Z183&gt;0,'Deal maths'!Z183,DATE(1990,1,1))))*12+MONTH('Deal maths'!AA183)-MONTH(IF('Deal maths'!Z183&gt;0,'Deal maths'!Z183,DATE(1990,1,1))))/D183))*D183))&gt;IF('Deal maths'!Z183&gt;0,'Deal maths'!Z183,DATE(1990,1,1)),IF(DAY('Deal maths'!AA183+1)=1,EOMONTH('Deal maths'!AA183,-(INT(((YEAR('Deal maths'!AA183)-YEAR(IF('Deal maths'!Z183&gt;0,'Deal maths'!Z183,DATE(1990,1,1))))*12+MONTH('Deal maths'!AA183)-MONTH(IF('Deal maths'!Z183&gt;0,'Deal maths'!Z183,DATE(1990,1,1))))/D183))*D183),EDATE('Deal maths'!AA183,-(INT(((YEAR('Deal maths'!AA183)-YEAR(IF('Deal maths'!Z183&gt;0,'Deal maths'!Z183,DATE(1990,1,1))))*12+MONTH('Deal maths'!AA183)-MONTH(IF('Deal maths'!Z183&gt;0,'Deal maths'!Z183,DATE(1990,1,1))))/D183))*D183)),IF(DAY('Deal maths'!AA183+1)=1,EOMONTH('Deal maths'!AA183,-(INT(((YEAR('Deal maths'!AA183)-YEAR(IF('Deal maths'!Z183&gt;0,'Deal maths'!Z183,DATE(1990,1,1))))*12+MONTH('Deal maths'!AA183)-MONTH(IF('Deal maths'!Z183&gt;0,'Deal maths'!Z183,DATE(1990,1,1))))/D183)-1)*D183),EDATE('Deal maths'!AA183,-(INT(((YEAR('Deal maths'!AA183)-YEAR(IF('Deal maths'!Z183&gt;0,'Deal maths'!Z183,DATE(1990,1,1))))*12+MONTH('Deal maths'!AA183)-MONTH(IF('Deal maths'!Z183&gt;0,'Deal maths'!Z183,DATE(1990,1,1))))/D183)-1)*D183))))),0)</f>
        <v/>
      </c>
      <c r="F183" s="110">
        <f>IF(D183=0,0,'Deal maths'!AB183*D183/12)</f>
        <v/>
      </c>
      <c r="G183" s="108">
        <f>N183+O183</f>
        <v/>
      </c>
      <c r="H183" s="108">
        <f>IFERROR(IF(OR(D183=0,AsAt&lt;E183),0,MIN(N183,INT(((YEAR(AsAt)-YEAR(E183))*12+MONTH(AsAt)-MONTH(E183)-(DAY(AsAt)&lt;MIN(R183,DAY(EOMONTH(AsAt,0)))))/D183)+1)+O183*(AsAt&gt;='Deal maths'!AA183)),0)</f>
        <v/>
      </c>
      <c r="I183" s="108">
        <f>G183-H183</f>
        <v/>
      </c>
      <c r="J183" s="111">
        <f>IF(AND(C183="EIP",I183&gt;0),'Deal maths'!Y183/I183,0)</f>
        <v/>
      </c>
      <c r="K183" s="111">
        <f>IF(AND(C183="Annuity",I183&gt;0),IF(F183&gt;0,'Deal maths'!Y183*F183/(1-(1+F183)^-I183),'Deal maths'!Y183/I183),0)</f>
        <v/>
      </c>
      <c r="L183" s="111">
        <f>IF('Deal maths'!Y183="",0,'Deal maths'!Y183)</f>
        <v/>
      </c>
      <c r="M183" s="112">
        <f>F183+(F183=0)</f>
        <v/>
      </c>
      <c r="N183" s="108">
        <f>IFERROR(IF(D183=0,0,INT(((YEAR('Deal maths'!AA183)-YEAR(E183))*12+MONTH('Deal maths'!AA183)-MONTH(E183)-(DAY('Deal maths'!AA183)&lt;MIN(R183,DAY(EOMONTH('Deal maths'!AA183,0)))))/D183)+1),0)</f>
        <v/>
      </c>
      <c r="O183" s="108">
        <f>IFERROR(IF(D183=0,0,IF(IF(DAY(E183+1)=1,EOMONTH(E183,(N183-1)*D183),EDATE(E183,(N183-1)*D183))='Deal maths'!AA183,0,1)),0)</f>
        <v/>
      </c>
      <c r="P183" s="113">
        <f>IF(B183=0,0,IFERROR(IF(C183="EIP",((I183-O183)*((IF(DAY(E183+1)=1,EOMONTH(E183,H183*D183),EDATE(E183,H183*D183))-AsAt)/365.25+(IF(DAY(E183+1)=1,EOMONTH(E183,(N183-1)*D183),EDATE(E183,(N183-1)*D183))-AsAt)/365.25)/2+O183*('Deal maths'!AA183-AsAt)/365.25)/I183,IF(C183="Annuity",IF(F183&gt;0,((K183-L183*F183)*((IF(DAY(E183+1)=1,EOMONTH(E183,H183*D183),EDATE(E183,H183*D183))-AsAt)/365.25*((1+F183)^(I183-O183)-1)/F183+IF((I183-O183)&gt;1,((IF(DAY(E183+1)=1,EOMONTH(E183,(N183-1)*D183),EDATE(E183,(N183-1)*D183))-AsAt)/365.25-(IF(DAY(E183+1)=1,EOMONTH(E183,H183*D183),EDATE(E183,H183*D183))-AsAt)/365.25)/((I183-O183)-1),0)*(1+F183)*(1-(I183-O183)*(1+F183)^((I183-O183)-1)+((I183-O183)-1)*(1+F183)^(I183-O183))/F183^2)+O183*(K183-L183*F183)*(1+F183)^(I183-1)*('Deal maths'!AA183-AsAt)/365.25)/L183,((I183-O183)*((IF(DAY(E183+1)=1,EOMONTH(E183,H183*D183),EDATE(E183,H183*D183))-AsAt)/365.25+(IF(DAY(E183+1)=1,EOMONTH(E183,(N183-1)*D183),EDATE(E183,(N183-1)*D183))-AsAt)/365.25)/2+O183*('Deal maths'!AA183-AsAt)/365.25)/I183),(S183-AsAt)/365.25)),0))</f>
        <v/>
      </c>
      <c r="Q183" s="109">
        <f>IF(B183=1,'Deal maths'!AA183+ROW()/1000000,"")</f>
        <v/>
      </c>
      <c r="R183" s="108">
        <f>IF(D183=0,0,IF(DAY(E183+1)=1,31,DAY(E183)))</f>
        <v/>
      </c>
      <c r="S183" s="109">
        <f>IF(AND('Deal maths'!V183="LOBO",'Deal maths'!AG183&gt;AsAt,'Deal maths'!AG183&lt;'Deal maths'!AA183),'Deal maths'!AG183,'Deal maths'!AA183)</f>
        <v/>
      </c>
      <c r="T183" s="108">
        <f>('Deal maths'!AA183&gt;AsAt)*('Deal maths'!Y183&gt;0)</f>
        <v/>
      </c>
    </row>
    <row r="184">
      <c r="A184" s="91">
        <f>IF('Deal maths'!V184="","",'Deal maths'!W184)</f>
        <v/>
      </c>
      <c r="B184" s="108">
        <f>('Deal maths'!AA184&gt;AsAt)*('Deal maths'!Y184&gt;0)*('Deal maths'!Z184&lt;=AsAt)</f>
        <v/>
      </c>
      <c r="C184" s="91">
        <f>IF('Deal maths'!V184="","",IF('Deal maths'!AC184="","Maturity",'Deal maths'!AC184))</f>
        <v/>
      </c>
      <c r="D184" s="108">
        <f>IF(OR(C184="EIP",C184="Annuity"),IF('Deal maths'!AD184="Annual",12,IF('Deal maths'!AD184="Quarterly",3,6)),0)</f>
        <v/>
      </c>
      <c r="E184" s="109">
        <f>IFERROR(IF(D184=0,0,IF('Deal maths'!AE184&gt;0,IF('Deal maths'!AE184&gt;'Deal maths'!AA184,'Deal maths'!AA184,'Deal maths'!AE184),IF(IF(DAY('Deal maths'!AA184+1)=1,EOMONTH('Deal maths'!AA184,-(INT(((YEAR('Deal maths'!AA184)-YEAR(IF('Deal maths'!Z184&gt;0,'Deal maths'!Z184,DATE(1990,1,1))))*12+MONTH('Deal maths'!AA184)-MONTH(IF('Deal maths'!Z184&gt;0,'Deal maths'!Z184,DATE(1990,1,1))))/D184))*D184),EDATE('Deal maths'!AA184,-(INT(((YEAR('Deal maths'!AA184)-YEAR(IF('Deal maths'!Z184&gt;0,'Deal maths'!Z184,DATE(1990,1,1))))*12+MONTH('Deal maths'!AA184)-MONTH(IF('Deal maths'!Z184&gt;0,'Deal maths'!Z184,DATE(1990,1,1))))/D184))*D184))&gt;IF('Deal maths'!Z184&gt;0,'Deal maths'!Z184,DATE(1990,1,1)),IF(DAY('Deal maths'!AA184+1)=1,EOMONTH('Deal maths'!AA184,-(INT(((YEAR('Deal maths'!AA184)-YEAR(IF('Deal maths'!Z184&gt;0,'Deal maths'!Z184,DATE(1990,1,1))))*12+MONTH('Deal maths'!AA184)-MONTH(IF('Deal maths'!Z184&gt;0,'Deal maths'!Z184,DATE(1990,1,1))))/D184))*D184),EDATE('Deal maths'!AA184,-(INT(((YEAR('Deal maths'!AA184)-YEAR(IF('Deal maths'!Z184&gt;0,'Deal maths'!Z184,DATE(1990,1,1))))*12+MONTH('Deal maths'!AA184)-MONTH(IF('Deal maths'!Z184&gt;0,'Deal maths'!Z184,DATE(1990,1,1))))/D184))*D184)),IF(DAY('Deal maths'!AA184+1)=1,EOMONTH('Deal maths'!AA184,-(INT(((YEAR('Deal maths'!AA184)-YEAR(IF('Deal maths'!Z184&gt;0,'Deal maths'!Z184,DATE(1990,1,1))))*12+MONTH('Deal maths'!AA184)-MONTH(IF('Deal maths'!Z184&gt;0,'Deal maths'!Z184,DATE(1990,1,1))))/D184)-1)*D184),EDATE('Deal maths'!AA184,-(INT(((YEAR('Deal maths'!AA184)-YEAR(IF('Deal maths'!Z184&gt;0,'Deal maths'!Z184,DATE(1990,1,1))))*12+MONTH('Deal maths'!AA184)-MONTH(IF('Deal maths'!Z184&gt;0,'Deal maths'!Z184,DATE(1990,1,1))))/D184)-1)*D184))))),0)</f>
        <v/>
      </c>
      <c r="F184" s="110">
        <f>IF(D184=0,0,'Deal maths'!AB184*D184/12)</f>
        <v/>
      </c>
      <c r="G184" s="108">
        <f>N184+O184</f>
        <v/>
      </c>
      <c r="H184" s="108">
        <f>IFERROR(IF(OR(D184=0,AsAt&lt;E184),0,MIN(N184,INT(((YEAR(AsAt)-YEAR(E184))*12+MONTH(AsAt)-MONTH(E184)-(DAY(AsAt)&lt;MIN(R184,DAY(EOMONTH(AsAt,0)))))/D184)+1)+O184*(AsAt&gt;='Deal maths'!AA184)),0)</f>
        <v/>
      </c>
      <c r="I184" s="108">
        <f>G184-H184</f>
        <v/>
      </c>
      <c r="J184" s="111">
        <f>IF(AND(C184="EIP",I184&gt;0),'Deal maths'!Y184/I184,0)</f>
        <v/>
      </c>
      <c r="K184" s="111">
        <f>IF(AND(C184="Annuity",I184&gt;0),IF(F184&gt;0,'Deal maths'!Y184*F184/(1-(1+F184)^-I184),'Deal maths'!Y184/I184),0)</f>
        <v/>
      </c>
      <c r="L184" s="111">
        <f>IF('Deal maths'!Y184="",0,'Deal maths'!Y184)</f>
        <v/>
      </c>
      <c r="M184" s="112">
        <f>F184+(F184=0)</f>
        <v/>
      </c>
      <c r="N184" s="108">
        <f>IFERROR(IF(D184=0,0,INT(((YEAR('Deal maths'!AA184)-YEAR(E184))*12+MONTH('Deal maths'!AA184)-MONTH(E184)-(DAY('Deal maths'!AA184)&lt;MIN(R184,DAY(EOMONTH('Deal maths'!AA184,0)))))/D184)+1),0)</f>
        <v/>
      </c>
      <c r="O184" s="108">
        <f>IFERROR(IF(D184=0,0,IF(IF(DAY(E184+1)=1,EOMONTH(E184,(N184-1)*D184),EDATE(E184,(N184-1)*D184))='Deal maths'!AA184,0,1)),0)</f>
        <v/>
      </c>
      <c r="P184" s="113">
        <f>IF(B184=0,0,IFERROR(IF(C184="EIP",((I184-O184)*((IF(DAY(E184+1)=1,EOMONTH(E184,H184*D184),EDATE(E184,H184*D184))-AsAt)/365.25+(IF(DAY(E184+1)=1,EOMONTH(E184,(N184-1)*D184),EDATE(E184,(N184-1)*D184))-AsAt)/365.25)/2+O184*('Deal maths'!AA184-AsAt)/365.25)/I184,IF(C184="Annuity",IF(F184&gt;0,((K184-L184*F184)*((IF(DAY(E184+1)=1,EOMONTH(E184,H184*D184),EDATE(E184,H184*D184))-AsAt)/365.25*((1+F184)^(I184-O184)-1)/F184+IF((I184-O184)&gt;1,((IF(DAY(E184+1)=1,EOMONTH(E184,(N184-1)*D184),EDATE(E184,(N184-1)*D184))-AsAt)/365.25-(IF(DAY(E184+1)=1,EOMONTH(E184,H184*D184),EDATE(E184,H184*D184))-AsAt)/365.25)/((I184-O184)-1),0)*(1+F184)*(1-(I184-O184)*(1+F184)^((I184-O184)-1)+((I184-O184)-1)*(1+F184)^(I184-O184))/F184^2)+O184*(K184-L184*F184)*(1+F184)^(I184-1)*('Deal maths'!AA184-AsAt)/365.25)/L184,((I184-O184)*((IF(DAY(E184+1)=1,EOMONTH(E184,H184*D184),EDATE(E184,H184*D184))-AsAt)/365.25+(IF(DAY(E184+1)=1,EOMONTH(E184,(N184-1)*D184),EDATE(E184,(N184-1)*D184))-AsAt)/365.25)/2+O184*('Deal maths'!AA184-AsAt)/365.25)/I184),(S184-AsAt)/365.25)),0))</f>
        <v/>
      </c>
      <c r="Q184" s="109">
        <f>IF(B184=1,'Deal maths'!AA184+ROW()/1000000,"")</f>
        <v/>
      </c>
      <c r="R184" s="108">
        <f>IF(D184=0,0,IF(DAY(E184+1)=1,31,DAY(E184)))</f>
        <v/>
      </c>
      <c r="S184" s="109">
        <f>IF(AND('Deal maths'!V184="LOBO",'Deal maths'!AG184&gt;AsAt,'Deal maths'!AG184&lt;'Deal maths'!AA184),'Deal maths'!AG184,'Deal maths'!AA184)</f>
        <v/>
      </c>
      <c r="T184" s="108">
        <f>('Deal maths'!AA184&gt;AsAt)*('Deal maths'!Y184&gt;0)</f>
        <v/>
      </c>
    </row>
    <row r="185">
      <c r="A185" s="91">
        <f>IF('Deal maths'!V185="","",'Deal maths'!W185)</f>
        <v/>
      </c>
      <c r="B185" s="108">
        <f>('Deal maths'!AA185&gt;AsAt)*('Deal maths'!Y185&gt;0)*('Deal maths'!Z185&lt;=AsAt)</f>
        <v/>
      </c>
      <c r="C185" s="91">
        <f>IF('Deal maths'!V185="","",IF('Deal maths'!AC185="","Maturity",'Deal maths'!AC185))</f>
        <v/>
      </c>
      <c r="D185" s="108">
        <f>IF(OR(C185="EIP",C185="Annuity"),IF('Deal maths'!AD185="Annual",12,IF('Deal maths'!AD185="Quarterly",3,6)),0)</f>
        <v/>
      </c>
      <c r="E185" s="109">
        <f>IFERROR(IF(D185=0,0,IF('Deal maths'!AE185&gt;0,IF('Deal maths'!AE185&gt;'Deal maths'!AA185,'Deal maths'!AA185,'Deal maths'!AE185),IF(IF(DAY('Deal maths'!AA185+1)=1,EOMONTH('Deal maths'!AA185,-(INT(((YEAR('Deal maths'!AA185)-YEAR(IF('Deal maths'!Z185&gt;0,'Deal maths'!Z185,DATE(1990,1,1))))*12+MONTH('Deal maths'!AA185)-MONTH(IF('Deal maths'!Z185&gt;0,'Deal maths'!Z185,DATE(1990,1,1))))/D185))*D185),EDATE('Deal maths'!AA185,-(INT(((YEAR('Deal maths'!AA185)-YEAR(IF('Deal maths'!Z185&gt;0,'Deal maths'!Z185,DATE(1990,1,1))))*12+MONTH('Deal maths'!AA185)-MONTH(IF('Deal maths'!Z185&gt;0,'Deal maths'!Z185,DATE(1990,1,1))))/D185))*D185))&gt;IF('Deal maths'!Z185&gt;0,'Deal maths'!Z185,DATE(1990,1,1)),IF(DAY('Deal maths'!AA185+1)=1,EOMONTH('Deal maths'!AA185,-(INT(((YEAR('Deal maths'!AA185)-YEAR(IF('Deal maths'!Z185&gt;0,'Deal maths'!Z185,DATE(1990,1,1))))*12+MONTH('Deal maths'!AA185)-MONTH(IF('Deal maths'!Z185&gt;0,'Deal maths'!Z185,DATE(1990,1,1))))/D185))*D185),EDATE('Deal maths'!AA185,-(INT(((YEAR('Deal maths'!AA185)-YEAR(IF('Deal maths'!Z185&gt;0,'Deal maths'!Z185,DATE(1990,1,1))))*12+MONTH('Deal maths'!AA185)-MONTH(IF('Deal maths'!Z185&gt;0,'Deal maths'!Z185,DATE(1990,1,1))))/D185))*D185)),IF(DAY('Deal maths'!AA185+1)=1,EOMONTH('Deal maths'!AA185,-(INT(((YEAR('Deal maths'!AA185)-YEAR(IF('Deal maths'!Z185&gt;0,'Deal maths'!Z185,DATE(1990,1,1))))*12+MONTH('Deal maths'!AA185)-MONTH(IF('Deal maths'!Z185&gt;0,'Deal maths'!Z185,DATE(1990,1,1))))/D185)-1)*D185),EDATE('Deal maths'!AA185,-(INT(((YEAR('Deal maths'!AA185)-YEAR(IF('Deal maths'!Z185&gt;0,'Deal maths'!Z185,DATE(1990,1,1))))*12+MONTH('Deal maths'!AA185)-MONTH(IF('Deal maths'!Z185&gt;0,'Deal maths'!Z185,DATE(1990,1,1))))/D185)-1)*D185))))),0)</f>
        <v/>
      </c>
      <c r="F185" s="110">
        <f>IF(D185=0,0,'Deal maths'!AB185*D185/12)</f>
        <v/>
      </c>
      <c r="G185" s="108">
        <f>N185+O185</f>
        <v/>
      </c>
      <c r="H185" s="108">
        <f>IFERROR(IF(OR(D185=0,AsAt&lt;E185),0,MIN(N185,INT(((YEAR(AsAt)-YEAR(E185))*12+MONTH(AsAt)-MONTH(E185)-(DAY(AsAt)&lt;MIN(R185,DAY(EOMONTH(AsAt,0)))))/D185)+1)+O185*(AsAt&gt;='Deal maths'!AA185)),0)</f>
        <v/>
      </c>
      <c r="I185" s="108">
        <f>G185-H185</f>
        <v/>
      </c>
      <c r="J185" s="111">
        <f>IF(AND(C185="EIP",I185&gt;0),'Deal maths'!Y185/I185,0)</f>
        <v/>
      </c>
      <c r="K185" s="111">
        <f>IF(AND(C185="Annuity",I185&gt;0),IF(F185&gt;0,'Deal maths'!Y185*F185/(1-(1+F185)^-I185),'Deal maths'!Y185/I185),0)</f>
        <v/>
      </c>
      <c r="L185" s="111">
        <f>IF('Deal maths'!Y185="",0,'Deal maths'!Y185)</f>
        <v/>
      </c>
      <c r="M185" s="112">
        <f>F185+(F185=0)</f>
        <v/>
      </c>
      <c r="N185" s="108">
        <f>IFERROR(IF(D185=0,0,INT(((YEAR('Deal maths'!AA185)-YEAR(E185))*12+MONTH('Deal maths'!AA185)-MONTH(E185)-(DAY('Deal maths'!AA185)&lt;MIN(R185,DAY(EOMONTH('Deal maths'!AA185,0)))))/D185)+1),0)</f>
        <v/>
      </c>
      <c r="O185" s="108">
        <f>IFERROR(IF(D185=0,0,IF(IF(DAY(E185+1)=1,EOMONTH(E185,(N185-1)*D185),EDATE(E185,(N185-1)*D185))='Deal maths'!AA185,0,1)),0)</f>
        <v/>
      </c>
      <c r="P185" s="113">
        <f>IF(B185=0,0,IFERROR(IF(C185="EIP",((I185-O185)*((IF(DAY(E185+1)=1,EOMONTH(E185,H185*D185),EDATE(E185,H185*D185))-AsAt)/365.25+(IF(DAY(E185+1)=1,EOMONTH(E185,(N185-1)*D185),EDATE(E185,(N185-1)*D185))-AsAt)/365.25)/2+O185*('Deal maths'!AA185-AsAt)/365.25)/I185,IF(C185="Annuity",IF(F185&gt;0,((K185-L185*F185)*((IF(DAY(E185+1)=1,EOMONTH(E185,H185*D185),EDATE(E185,H185*D185))-AsAt)/365.25*((1+F185)^(I185-O185)-1)/F185+IF((I185-O185)&gt;1,((IF(DAY(E185+1)=1,EOMONTH(E185,(N185-1)*D185),EDATE(E185,(N185-1)*D185))-AsAt)/365.25-(IF(DAY(E185+1)=1,EOMONTH(E185,H185*D185),EDATE(E185,H185*D185))-AsAt)/365.25)/((I185-O185)-1),0)*(1+F185)*(1-(I185-O185)*(1+F185)^((I185-O185)-1)+((I185-O185)-1)*(1+F185)^(I185-O185))/F185^2)+O185*(K185-L185*F185)*(1+F185)^(I185-1)*('Deal maths'!AA185-AsAt)/365.25)/L185,((I185-O185)*((IF(DAY(E185+1)=1,EOMONTH(E185,H185*D185),EDATE(E185,H185*D185))-AsAt)/365.25+(IF(DAY(E185+1)=1,EOMONTH(E185,(N185-1)*D185),EDATE(E185,(N185-1)*D185))-AsAt)/365.25)/2+O185*('Deal maths'!AA185-AsAt)/365.25)/I185),(S185-AsAt)/365.25)),0))</f>
        <v/>
      </c>
      <c r="Q185" s="109">
        <f>IF(B185=1,'Deal maths'!AA185+ROW()/1000000,"")</f>
        <v/>
      </c>
      <c r="R185" s="108">
        <f>IF(D185=0,0,IF(DAY(E185+1)=1,31,DAY(E185)))</f>
        <v/>
      </c>
      <c r="S185" s="109">
        <f>IF(AND('Deal maths'!V185="LOBO",'Deal maths'!AG185&gt;AsAt,'Deal maths'!AG185&lt;'Deal maths'!AA185),'Deal maths'!AG185,'Deal maths'!AA185)</f>
        <v/>
      </c>
      <c r="T185" s="108">
        <f>('Deal maths'!AA185&gt;AsAt)*('Deal maths'!Y185&gt;0)</f>
        <v/>
      </c>
    </row>
    <row r="186">
      <c r="A186" s="91">
        <f>IF('Deal maths'!V186="","",'Deal maths'!W186)</f>
        <v/>
      </c>
      <c r="B186" s="108">
        <f>('Deal maths'!AA186&gt;AsAt)*('Deal maths'!Y186&gt;0)*('Deal maths'!Z186&lt;=AsAt)</f>
        <v/>
      </c>
      <c r="C186" s="91">
        <f>IF('Deal maths'!V186="","",IF('Deal maths'!AC186="","Maturity",'Deal maths'!AC186))</f>
        <v/>
      </c>
      <c r="D186" s="108">
        <f>IF(OR(C186="EIP",C186="Annuity"),IF('Deal maths'!AD186="Annual",12,IF('Deal maths'!AD186="Quarterly",3,6)),0)</f>
        <v/>
      </c>
      <c r="E186" s="109">
        <f>IFERROR(IF(D186=0,0,IF('Deal maths'!AE186&gt;0,IF('Deal maths'!AE186&gt;'Deal maths'!AA186,'Deal maths'!AA186,'Deal maths'!AE186),IF(IF(DAY('Deal maths'!AA186+1)=1,EOMONTH('Deal maths'!AA186,-(INT(((YEAR('Deal maths'!AA186)-YEAR(IF('Deal maths'!Z186&gt;0,'Deal maths'!Z186,DATE(1990,1,1))))*12+MONTH('Deal maths'!AA186)-MONTH(IF('Deal maths'!Z186&gt;0,'Deal maths'!Z186,DATE(1990,1,1))))/D186))*D186),EDATE('Deal maths'!AA186,-(INT(((YEAR('Deal maths'!AA186)-YEAR(IF('Deal maths'!Z186&gt;0,'Deal maths'!Z186,DATE(1990,1,1))))*12+MONTH('Deal maths'!AA186)-MONTH(IF('Deal maths'!Z186&gt;0,'Deal maths'!Z186,DATE(1990,1,1))))/D186))*D186))&gt;IF('Deal maths'!Z186&gt;0,'Deal maths'!Z186,DATE(1990,1,1)),IF(DAY('Deal maths'!AA186+1)=1,EOMONTH('Deal maths'!AA186,-(INT(((YEAR('Deal maths'!AA186)-YEAR(IF('Deal maths'!Z186&gt;0,'Deal maths'!Z186,DATE(1990,1,1))))*12+MONTH('Deal maths'!AA186)-MONTH(IF('Deal maths'!Z186&gt;0,'Deal maths'!Z186,DATE(1990,1,1))))/D186))*D186),EDATE('Deal maths'!AA186,-(INT(((YEAR('Deal maths'!AA186)-YEAR(IF('Deal maths'!Z186&gt;0,'Deal maths'!Z186,DATE(1990,1,1))))*12+MONTH('Deal maths'!AA186)-MONTH(IF('Deal maths'!Z186&gt;0,'Deal maths'!Z186,DATE(1990,1,1))))/D186))*D186)),IF(DAY('Deal maths'!AA186+1)=1,EOMONTH('Deal maths'!AA186,-(INT(((YEAR('Deal maths'!AA186)-YEAR(IF('Deal maths'!Z186&gt;0,'Deal maths'!Z186,DATE(1990,1,1))))*12+MONTH('Deal maths'!AA186)-MONTH(IF('Deal maths'!Z186&gt;0,'Deal maths'!Z186,DATE(1990,1,1))))/D186)-1)*D186),EDATE('Deal maths'!AA186,-(INT(((YEAR('Deal maths'!AA186)-YEAR(IF('Deal maths'!Z186&gt;0,'Deal maths'!Z186,DATE(1990,1,1))))*12+MONTH('Deal maths'!AA186)-MONTH(IF('Deal maths'!Z186&gt;0,'Deal maths'!Z186,DATE(1990,1,1))))/D186)-1)*D186))))),0)</f>
        <v/>
      </c>
      <c r="F186" s="110">
        <f>IF(D186=0,0,'Deal maths'!AB186*D186/12)</f>
        <v/>
      </c>
      <c r="G186" s="108">
        <f>N186+O186</f>
        <v/>
      </c>
      <c r="H186" s="108">
        <f>IFERROR(IF(OR(D186=0,AsAt&lt;E186),0,MIN(N186,INT(((YEAR(AsAt)-YEAR(E186))*12+MONTH(AsAt)-MONTH(E186)-(DAY(AsAt)&lt;MIN(R186,DAY(EOMONTH(AsAt,0)))))/D186)+1)+O186*(AsAt&gt;='Deal maths'!AA186)),0)</f>
        <v/>
      </c>
      <c r="I186" s="108">
        <f>G186-H186</f>
        <v/>
      </c>
      <c r="J186" s="111">
        <f>IF(AND(C186="EIP",I186&gt;0),'Deal maths'!Y186/I186,0)</f>
        <v/>
      </c>
      <c r="K186" s="111">
        <f>IF(AND(C186="Annuity",I186&gt;0),IF(F186&gt;0,'Deal maths'!Y186*F186/(1-(1+F186)^-I186),'Deal maths'!Y186/I186),0)</f>
        <v/>
      </c>
      <c r="L186" s="111">
        <f>IF('Deal maths'!Y186="",0,'Deal maths'!Y186)</f>
        <v/>
      </c>
      <c r="M186" s="112">
        <f>F186+(F186=0)</f>
        <v/>
      </c>
      <c r="N186" s="108">
        <f>IFERROR(IF(D186=0,0,INT(((YEAR('Deal maths'!AA186)-YEAR(E186))*12+MONTH('Deal maths'!AA186)-MONTH(E186)-(DAY('Deal maths'!AA186)&lt;MIN(R186,DAY(EOMONTH('Deal maths'!AA186,0)))))/D186)+1),0)</f>
        <v/>
      </c>
      <c r="O186" s="108">
        <f>IFERROR(IF(D186=0,0,IF(IF(DAY(E186+1)=1,EOMONTH(E186,(N186-1)*D186),EDATE(E186,(N186-1)*D186))='Deal maths'!AA186,0,1)),0)</f>
        <v/>
      </c>
      <c r="P186" s="113">
        <f>IF(B186=0,0,IFERROR(IF(C186="EIP",((I186-O186)*((IF(DAY(E186+1)=1,EOMONTH(E186,H186*D186),EDATE(E186,H186*D186))-AsAt)/365.25+(IF(DAY(E186+1)=1,EOMONTH(E186,(N186-1)*D186),EDATE(E186,(N186-1)*D186))-AsAt)/365.25)/2+O186*('Deal maths'!AA186-AsAt)/365.25)/I186,IF(C186="Annuity",IF(F186&gt;0,((K186-L186*F186)*((IF(DAY(E186+1)=1,EOMONTH(E186,H186*D186),EDATE(E186,H186*D186))-AsAt)/365.25*((1+F186)^(I186-O186)-1)/F186+IF((I186-O186)&gt;1,((IF(DAY(E186+1)=1,EOMONTH(E186,(N186-1)*D186),EDATE(E186,(N186-1)*D186))-AsAt)/365.25-(IF(DAY(E186+1)=1,EOMONTH(E186,H186*D186),EDATE(E186,H186*D186))-AsAt)/365.25)/((I186-O186)-1),0)*(1+F186)*(1-(I186-O186)*(1+F186)^((I186-O186)-1)+((I186-O186)-1)*(1+F186)^(I186-O186))/F186^2)+O186*(K186-L186*F186)*(1+F186)^(I186-1)*('Deal maths'!AA186-AsAt)/365.25)/L186,((I186-O186)*((IF(DAY(E186+1)=1,EOMONTH(E186,H186*D186),EDATE(E186,H186*D186))-AsAt)/365.25+(IF(DAY(E186+1)=1,EOMONTH(E186,(N186-1)*D186),EDATE(E186,(N186-1)*D186))-AsAt)/365.25)/2+O186*('Deal maths'!AA186-AsAt)/365.25)/I186),(S186-AsAt)/365.25)),0))</f>
        <v/>
      </c>
      <c r="Q186" s="109">
        <f>IF(B186=1,'Deal maths'!AA186+ROW()/1000000,"")</f>
        <v/>
      </c>
      <c r="R186" s="108">
        <f>IF(D186=0,0,IF(DAY(E186+1)=1,31,DAY(E186)))</f>
        <v/>
      </c>
      <c r="S186" s="109">
        <f>IF(AND('Deal maths'!V186="LOBO",'Deal maths'!AG186&gt;AsAt,'Deal maths'!AG186&lt;'Deal maths'!AA186),'Deal maths'!AG186,'Deal maths'!AA186)</f>
        <v/>
      </c>
      <c r="T186" s="108">
        <f>('Deal maths'!AA186&gt;AsAt)*('Deal maths'!Y186&gt;0)</f>
        <v/>
      </c>
    </row>
    <row r="187">
      <c r="A187" s="91">
        <f>IF('Deal maths'!V187="","",'Deal maths'!W187)</f>
        <v/>
      </c>
      <c r="B187" s="108">
        <f>('Deal maths'!AA187&gt;AsAt)*('Deal maths'!Y187&gt;0)*('Deal maths'!Z187&lt;=AsAt)</f>
        <v/>
      </c>
      <c r="C187" s="91">
        <f>IF('Deal maths'!V187="","",IF('Deal maths'!AC187="","Maturity",'Deal maths'!AC187))</f>
        <v/>
      </c>
      <c r="D187" s="108">
        <f>IF(OR(C187="EIP",C187="Annuity"),IF('Deal maths'!AD187="Annual",12,IF('Deal maths'!AD187="Quarterly",3,6)),0)</f>
        <v/>
      </c>
      <c r="E187" s="109">
        <f>IFERROR(IF(D187=0,0,IF('Deal maths'!AE187&gt;0,IF('Deal maths'!AE187&gt;'Deal maths'!AA187,'Deal maths'!AA187,'Deal maths'!AE187),IF(IF(DAY('Deal maths'!AA187+1)=1,EOMONTH('Deal maths'!AA187,-(INT(((YEAR('Deal maths'!AA187)-YEAR(IF('Deal maths'!Z187&gt;0,'Deal maths'!Z187,DATE(1990,1,1))))*12+MONTH('Deal maths'!AA187)-MONTH(IF('Deal maths'!Z187&gt;0,'Deal maths'!Z187,DATE(1990,1,1))))/D187))*D187),EDATE('Deal maths'!AA187,-(INT(((YEAR('Deal maths'!AA187)-YEAR(IF('Deal maths'!Z187&gt;0,'Deal maths'!Z187,DATE(1990,1,1))))*12+MONTH('Deal maths'!AA187)-MONTH(IF('Deal maths'!Z187&gt;0,'Deal maths'!Z187,DATE(1990,1,1))))/D187))*D187))&gt;IF('Deal maths'!Z187&gt;0,'Deal maths'!Z187,DATE(1990,1,1)),IF(DAY('Deal maths'!AA187+1)=1,EOMONTH('Deal maths'!AA187,-(INT(((YEAR('Deal maths'!AA187)-YEAR(IF('Deal maths'!Z187&gt;0,'Deal maths'!Z187,DATE(1990,1,1))))*12+MONTH('Deal maths'!AA187)-MONTH(IF('Deal maths'!Z187&gt;0,'Deal maths'!Z187,DATE(1990,1,1))))/D187))*D187),EDATE('Deal maths'!AA187,-(INT(((YEAR('Deal maths'!AA187)-YEAR(IF('Deal maths'!Z187&gt;0,'Deal maths'!Z187,DATE(1990,1,1))))*12+MONTH('Deal maths'!AA187)-MONTH(IF('Deal maths'!Z187&gt;0,'Deal maths'!Z187,DATE(1990,1,1))))/D187))*D187)),IF(DAY('Deal maths'!AA187+1)=1,EOMONTH('Deal maths'!AA187,-(INT(((YEAR('Deal maths'!AA187)-YEAR(IF('Deal maths'!Z187&gt;0,'Deal maths'!Z187,DATE(1990,1,1))))*12+MONTH('Deal maths'!AA187)-MONTH(IF('Deal maths'!Z187&gt;0,'Deal maths'!Z187,DATE(1990,1,1))))/D187)-1)*D187),EDATE('Deal maths'!AA187,-(INT(((YEAR('Deal maths'!AA187)-YEAR(IF('Deal maths'!Z187&gt;0,'Deal maths'!Z187,DATE(1990,1,1))))*12+MONTH('Deal maths'!AA187)-MONTH(IF('Deal maths'!Z187&gt;0,'Deal maths'!Z187,DATE(1990,1,1))))/D187)-1)*D187))))),0)</f>
        <v/>
      </c>
      <c r="F187" s="110">
        <f>IF(D187=0,0,'Deal maths'!AB187*D187/12)</f>
        <v/>
      </c>
      <c r="G187" s="108">
        <f>N187+O187</f>
        <v/>
      </c>
      <c r="H187" s="108">
        <f>IFERROR(IF(OR(D187=0,AsAt&lt;E187),0,MIN(N187,INT(((YEAR(AsAt)-YEAR(E187))*12+MONTH(AsAt)-MONTH(E187)-(DAY(AsAt)&lt;MIN(R187,DAY(EOMONTH(AsAt,0)))))/D187)+1)+O187*(AsAt&gt;='Deal maths'!AA187)),0)</f>
        <v/>
      </c>
      <c r="I187" s="108">
        <f>G187-H187</f>
        <v/>
      </c>
      <c r="J187" s="111">
        <f>IF(AND(C187="EIP",I187&gt;0),'Deal maths'!Y187/I187,0)</f>
        <v/>
      </c>
      <c r="K187" s="111">
        <f>IF(AND(C187="Annuity",I187&gt;0),IF(F187&gt;0,'Deal maths'!Y187*F187/(1-(1+F187)^-I187),'Deal maths'!Y187/I187),0)</f>
        <v/>
      </c>
      <c r="L187" s="111">
        <f>IF('Deal maths'!Y187="",0,'Deal maths'!Y187)</f>
        <v/>
      </c>
      <c r="M187" s="112">
        <f>F187+(F187=0)</f>
        <v/>
      </c>
      <c r="N187" s="108">
        <f>IFERROR(IF(D187=0,0,INT(((YEAR('Deal maths'!AA187)-YEAR(E187))*12+MONTH('Deal maths'!AA187)-MONTH(E187)-(DAY('Deal maths'!AA187)&lt;MIN(R187,DAY(EOMONTH('Deal maths'!AA187,0)))))/D187)+1),0)</f>
        <v/>
      </c>
      <c r="O187" s="108">
        <f>IFERROR(IF(D187=0,0,IF(IF(DAY(E187+1)=1,EOMONTH(E187,(N187-1)*D187),EDATE(E187,(N187-1)*D187))='Deal maths'!AA187,0,1)),0)</f>
        <v/>
      </c>
      <c r="P187" s="113">
        <f>IF(B187=0,0,IFERROR(IF(C187="EIP",((I187-O187)*((IF(DAY(E187+1)=1,EOMONTH(E187,H187*D187),EDATE(E187,H187*D187))-AsAt)/365.25+(IF(DAY(E187+1)=1,EOMONTH(E187,(N187-1)*D187),EDATE(E187,(N187-1)*D187))-AsAt)/365.25)/2+O187*('Deal maths'!AA187-AsAt)/365.25)/I187,IF(C187="Annuity",IF(F187&gt;0,((K187-L187*F187)*((IF(DAY(E187+1)=1,EOMONTH(E187,H187*D187),EDATE(E187,H187*D187))-AsAt)/365.25*((1+F187)^(I187-O187)-1)/F187+IF((I187-O187)&gt;1,((IF(DAY(E187+1)=1,EOMONTH(E187,(N187-1)*D187),EDATE(E187,(N187-1)*D187))-AsAt)/365.25-(IF(DAY(E187+1)=1,EOMONTH(E187,H187*D187),EDATE(E187,H187*D187))-AsAt)/365.25)/((I187-O187)-1),0)*(1+F187)*(1-(I187-O187)*(1+F187)^((I187-O187)-1)+((I187-O187)-1)*(1+F187)^(I187-O187))/F187^2)+O187*(K187-L187*F187)*(1+F187)^(I187-1)*('Deal maths'!AA187-AsAt)/365.25)/L187,((I187-O187)*((IF(DAY(E187+1)=1,EOMONTH(E187,H187*D187),EDATE(E187,H187*D187))-AsAt)/365.25+(IF(DAY(E187+1)=1,EOMONTH(E187,(N187-1)*D187),EDATE(E187,(N187-1)*D187))-AsAt)/365.25)/2+O187*('Deal maths'!AA187-AsAt)/365.25)/I187),(S187-AsAt)/365.25)),0))</f>
        <v/>
      </c>
      <c r="Q187" s="109">
        <f>IF(B187=1,'Deal maths'!AA187+ROW()/1000000,"")</f>
        <v/>
      </c>
      <c r="R187" s="108">
        <f>IF(D187=0,0,IF(DAY(E187+1)=1,31,DAY(E187)))</f>
        <v/>
      </c>
      <c r="S187" s="109">
        <f>IF(AND('Deal maths'!V187="LOBO",'Deal maths'!AG187&gt;AsAt,'Deal maths'!AG187&lt;'Deal maths'!AA187),'Deal maths'!AG187,'Deal maths'!AA187)</f>
        <v/>
      </c>
      <c r="T187" s="108">
        <f>('Deal maths'!AA187&gt;AsAt)*('Deal maths'!Y187&gt;0)</f>
        <v/>
      </c>
    </row>
    <row r="188">
      <c r="A188" s="91">
        <f>IF('Deal maths'!V188="","",'Deal maths'!W188)</f>
        <v/>
      </c>
      <c r="B188" s="108">
        <f>('Deal maths'!AA188&gt;AsAt)*('Deal maths'!Y188&gt;0)*('Deal maths'!Z188&lt;=AsAt)</f>
        <v/>
      </c>
      <c r="C188" s="91">
        <f>IF('Deal maths'!V188="","",IF('Deal maths'!AC188="","Maturity",'Deal maths'!AC188))</f>
        <v/>
      </c>
      <c r="D188" s="108">
        <f>IF(OR(C188="EIP",C188="Annuity"),IF('Deal maths'!AD188="Annual",12,IF('Deal maths'!AD188="Quarterly",3,6)),0)</f>
        <v/>
      </c>
      <c r="E188" s="109">
        <f>IFERROR(IF(D188=0,0,IF('Deal maths'!AE188&gt;0,IF('Deal maths'!AE188&gt;'Deal maths'!AA188,'Deal maths'!AA188,'Deal maths'!AE188),IF(IF(DAY('Deal maths'!AA188+1)=1,EOMONTH('Deal maths'!AA188,-(INT(((YEAR('Deal maths'!AA188)-YEAR(IF('Deal maths'!Z188&gt;0,'Deal maths'!Z188,DATE(1990,1,1))))*12+MONTH('Deal maths'!AA188)-MONTH(IF('Deal maths'!Z188&gt;0,'Deal maths'!Z188,DATE(1990,1,1))))/D188))*D188),EDATE('Deal maths'!AA188,-(INT(((YEAR('Deal maths'!AA188)-YEAR(IF('Deal maths'!Z188&gt;0,'Deal maths'!Z188,DATE(1990,1,1))))*12+MONTH('Deal maths'!AA188)-MONTH(IF('Deal maths'!Z188&gt;0,'Deal maths'!Z188,DATE(1990,1,1))))/D188))*D188))&gt;IF('Deal maths'!Z188&gt;0,'Deal maths'!Z188,DATE(1990,1,1)),IF(DAY('Deal maths'!AA188+1)=1,EOMONTH('Deal maths'!AA188,-(INT(((YEAR('Deal maths'!AA188)-YEAR(IF('Deal maths'!Z188&gt;0,'Deal maths'!Z188,DATE(1990,1,1))))*12+MONTH('Deal maths'!AA188)-MONTH(IF('Deal maths'!Z188&gt;0,'Deal maths'!Z188,DATE(1990,1,1))))/D188))*D188),EDATE('Deal maths'!AA188,-(INT(((YEAR('Deal maths'!AA188)-YEAR(IF('Deal maths'!Z188&gt;0,'Deal maths'!Z188,DATE(1990,1,1))))*12+MONTH('Deal maths'!AA188)-MONTH(IF('Deal maths'!Z188&gt;0,'Deal maths'!Z188,DATE(1990,1,1))))/D188))*D188)),IF(DAY('Deal maths'!AA188+1)=1,EOMONTH('Deal maths'!AA188,-(INT(((YEAR('Deal maths'!AA188)-YEAR(IF('Deal maths'!Z188&gt;0,'Deal maths'!Z188,DATE(1990,1,1))))*12+MONTH('Deal maths'!AA188)-MONTH(IF('Deal maths'!Z188&gt;0,'Deal maths'!Z188,DATE(1990,1,1))))/D188)-1)*D188),EDATE('Deal maths'!AA188,-(INT(((YEAR('Deal maths'!AA188)-YEAR(IF('Deal maths'!Z188&gt;0,'Deal maths'!Z188,DATE(1990,1,1))))*12+MONTH('Deal maths'!AA188)-MONTH(IF('Deal maths'!Z188&gt;0,'Deal maths'!Z188,DATE(1990,1,1))))/D188)-1)*D188))))),0)</f>
        <v/>
      </c>
      <c r="F188" s="110">
        <f>IF(D188=0,0,'Deal maths'!AB188*D188/12)</f>
        <v/>
      </c>
      <c r="G188" s="108">
        <f>N188+O188</f>
        <v/>
      </c>
      <c r="H188" s="108">
        <f>IFERROR(IF(OR(D188=0,AsAt&lt;E188),0,MIN(N188,INT(((YEAR(AsAt)-YEAR(E188))*12+MONTH(AsAt)-MONTH(E188)-(DAY(AsAt)&lt;MIN(R188,DAY(EOMONTH(AsAt,0)))))/D188)+1)+O188*(AsAt&gt;='Deal maths'!AA188)),0)</f>
        <v/>
      </c>
      <c r="I188" s="108">
        <f>G188-H188</f>
        <v/>
      </c>
      <c r="J188" s="111">
        <f>IF(AND(C188="EIP",I188&gt;0),'Deal maths'!Y188/I188,0)</f>
        <v/>
      </c>
      <c r="K188" s="111">
        <f>IF(AND(C188="Annuity",I188&gt;0),IF(F188&gt;0,'Deal maths'!Y188*F188/(1-(1+F188)^-I188),'Deal maths'!Y188/I188),0)</f>
        <v/>
      </c>
      <c r="L188" s="111">
        <f>IF('Deal maths'!Y188="",0,'Deal maths'!Y188)</f>
        <v/>
      </c>
      <c r="M188" s="112">
        <f>F188+(F188=0)</f>
        <v/>
      </c>
      <c r="N188" s="108">
        <f>IFERROR(IF(D188=0,0,INT(((YEAR('Deal maths'!AA188)-YEAR(E188))*12+MONTH('Deal maths'!AA188)-MONTH(E188)-(DAY('Deal maths'!AA188)&lt;MIN(R188,DAY(EOMONTH('Deal maths'!AA188,0)))))/D188)+1),0)</f>
        <v/>
      </c>
      <c r="O188" s="108">
        <f>IFERROR(IF(D188=0,0,IF(IF(DAY(E188+1)=1,EOMONTH(E188,(N188-1)*D188),EDATE(E188,(N188-1)*D188))='Deal maths'!AA188,0,1)),0)</f>
        <v/>
      </c>
      <c r="P188" s="113">
        <f>IF(B188=0,0,IFERROR(IF(C188="EIP",((I188-O188)*((IF(DAY(E188+1)=1,EOMONTH(E188,H188*D188),EDATE(E188,H188*D188))-AsAt)/365.25+(IF(DAY(E188+1)=1,EOMONTH(E188,(N188-1)*D188),EDATE(E188,(N188-1)*D188))-AsAt)/365.25)/2+O188*('Deal maths'!AA188-AsAt)/365.25)/I188,IF(C188="Annuity",IF(F188&gt;0,((K188-L188*F188)*((IF(DAY(E188+1)=1,EOMONTH(E188,H188*D188),EDATE(E188,H188*D188))-AsAt)/365.25*((1+F188)^(I188-O188)-1)/F188+IF((I188-O188)&gt;1,((IF(DAY(E188+1)=1,EOMONTH(E188,(N188-1)*D188),EDATE(E188,(N188-1)*D188))-AsAt)/365.25-(IF(DAY(E188+1)=1,EOMONTH(E188,H188*D188),EDATE(E188,H188*D188))-AsAt)/365.25)/((I188-O188)-1),0)*(1+F188)*(1-(I188-O188)*(1+F188)^((I188-O188)-1)+((I188-O188)-1)*(1+F188)^(I188-O188))/F188^2)+O188*(K188-L188*F188)*(1+F188)^(I188-1)*('Deal maths'!AA188-AsAt)/365.25)/L188,((I188-O188)*((IF(DAY(E188+1)=1,EOMONTH(E188,H188*D188),EDATE(E188,H188*D188))-AsAt)/365.25+(IF(DAY(E188+1)=1,EOMONTH(E188,(N188-1)*D188),EDATE(E188,(N188-1)*D188))-AsAt)/365.25)/2+O188*('Deal maths'!AA188-AsAt)/365.25)/I188),(S188-AsAt)/365.25)),0))</f>
        <v/>
      </c>
      <c r="Q188" s="109">
        <f>IF(B188=1,'Deal maths'!AA188+ROW()/1000000,"")</f>
        <v/>
      </c>
      <c r="R188" s="108">
        <f>IF(D188=0,0,IF(DAY(E188+1)=1,31,DAY(E188)))</f>
        <v/>
      </c>
      <c r="S188" s="109">
        <f>IF(AND('Deal maths'!V188="LOBO",'Deal maths'!AG188&gt;AsAt,'Deal maths'!AG188&lt;'Deal maths'!AA188),'Deal maths'!AG188,'Deal maths'!AA188)</f>
        <v/>
      </c>
      <c r="T188" s="108">
        <f>('Deal maths'!AA188&gt;AsAt)*('Deal maths'!Y188&gt;0)</f>
        <v/>
      </c>
    </row>
    <row r="189">
      <c r="A189" s="91">
        <f>IF('Deal maths'!V189="","",'Deal maths'!W189)</f>
        <v/>
      </c>
      <c r="B189" s="108">
        <f>('Deal maths'!AA189&gt;AsAt)*('Deal maths'!Y189&gt;0)*('Deal maths'!Z189&lt;=AsAt)</f>
        <v/>
      </c>
      <c r="C189" s="91">
        <f>IF('Deal maths'!V189="","",IF('Deal maths'!AC189="","Maturity",'Deal maths'!AC189))</f>
        <v/>
      </c>
      <c r="D189" s="108">
        <f>IF(OR(C189="EIP",C189="Annuity"),IF('Deal maths'!AD189="Annual",12,IF('Deal maths'!AD189="Quarterly",3,6)),0)</f>
        <v/>
      </c>
      <c r="E189" s="109">
        <f>IFERROR(IF(D189=0,0,IF('Deal maths'!AE189&gt;0,IF('Deal maths'!AE189&gt;'Deal maths'!AA189,'Deal maths'!AA189,'Deal maths'!AE189),IF(IF(DAY('Deal maths'!AA189+1)=1,EOMONTH('Deal maths'!AA189,-(INT(((YEAR('Deal maths'!AA189)-YEAR(IF('Deal maths'!Z189&gt;0,'Deal maths'!Z189,DATE(1990,1,1))))*12+MONTH('Deal maths'!AA189)-MONTH(IF('Deal maths'!Z189&gt;0,'Deal maths'!Z189,DATE(1990,1,1))))/D189))*D189),EDATE('Deal maths'!AA189,-(INT(((YEAR('Deal maths'!AA189)-YEAR(IF('Deal maths'!Z189&gt;0,'Deal maths'!Z189,DATE(1990,1,1))))*12+MONTH('Deal maths'!AA189)-MONTH(IF('Deal maths'!Z189&gt;0,'Deal maths'!Z189,DATE(1990,1,1))))/D189))*D189))&gt;IF('Deal maths'!Z189&gt;0,'Deal maths'!Z189,DATE(1990,1,1)),IF(DAY('Deal maths'!AA189+1)=1,EOMONTH('Deal maths'!AA189,-(INT(((YEAR('Deal maths'!AA189)-YEAR(IF('Deal maths'!Z189&gt;0,'Deal maths'!Z189,DATE(1990,1,1))))*12+MONTH('Deal maths'!AA189)-MONTH(IF('Deal maths'!Z189&gt;0,'Deal maths'!Z189,DATE(1990,1,1))))/D189))*D189),EDATE('Deal maths'!AA189,-(INT(((YEAR('Deal maths'!AA189)-YEAR(IF('Deal maths'!Z189&gt;0,'Deal maths'!Z189,DATE(1990,1,1))))*12+MONTH('Deal maths'!AA189)-MONTH(IF('Deal maths'!Z189&gt;0,'Deal maths'!Z189,DATE(1990,1,1))))/D189))*D189)),IF(DAY('Deal maths'!AA189+1)=1,EOMONTH('Deal maths'!AA189,-(INT(((YEAR('Deal maths'!AA189)-YEAR(IF('Deal maths'!Z189&gt;0,'Deal maths'!Z189,DATE(1990,1,1))))*12+MONTH('Deal maths'!AA189)-MONTH(IF('Deal maths'!Z189&gt;0,'Deal maths'!Z189,DATE(1990,1,1))))/D189)-1)*D189),EDATE('Deal maths'!AA189,-(INT(((YEAR('Deal maths'!AA189)-YEAR(IF('Deal maths'!Z189&gt;0,'Deal maths'!Z189,DATE(1990,1,1))))*12+MONTH('Deal maths'!AA189)-MONTH(IF('Deal maths'!Z189&gt;0,'Deal maths'!Z189,DATE(1990,1,1))))/D189)-1)*D189))))),0)</f>
        <v/>
      </c>
      <c r="F189" s="110">
        <f>IF(D189=0,0,'Deal maths'!AB189*D189/12)</f>
        <v/>
      </c>
      <c r="G189" s="108">
        <f>N189+O189</f>
        <v/>
      </c>
      <c r="H189" s="108">
        <f>IFERROR(IF(OR(D189=0,AsAt&lt;E189),0,MIN(N189,INT(((YEAR(AsAt)-YEAR(E189))*12+MONTH(AsAt)-MONTH(E189)-(DAY(AsAt)&lt;MIN(R189,DAY(EOMONTH(AsAt,0)))))/D189)+1)+O189*(AsAt&gt;='Deal maths'!AA189)),0)</f>
        <v/>
      </c>
      <c r="I189" s="108">
        <f>G189-H189</f>
        <v/>
      </c>
      <c r="J189" s="111">
        <f>IF(AND(C189="EIP",I189&gt;0),'Deal maths'!Y189/I189,0)</f>
        <v/>
      </c>
      <c r="K189" s="111">
        <f>IF(AND(C189="Annuity",I189&gt;0),IF(F189&gt;0,'Deal maths'!Y189*F189/(1-(1+F189)^-I189),'Deal maths'!Y189/I189),0)</f>
        <v/>
      </c>
      <c r="L189" s="111">
        <f>IF('Deal maths'!Y189="",0,'Deal maths'!Y189)</f>
        <v/>
      </c>
      <c r="M189" s="112">
        <f>F189+(F189=0)</f>
        <v/>
      </c>
      <c r="N189" s="108">
        <f>IFERROR(IF(D189=0,0,INT(((YEAR('Deal maths'!AA189)-YEAR(E189))*12+MONTH('Deal maths'!AA189)-MONTH(E189)-(DAY('Deal maths'!AA189)&lt;MIN(R189,DAY(EOMONTH('Deal maths'!AA189,0)))))/D189)+1),0)</f>
        <v/>
      </c>
      <c r="O189" s="108">
        <f>IFERROR(IF(D189=0,0,IF(IF(DAY(E189+1)=1,EOMONTH(E189,(N189-1)*D189),EDATE(E189,(N189-1)*D189))='Deal maths'!AA189,0,1)),0)</f>
        <v/>
      </c>
      <c r="P189" s="113">
        <f>IF(B189=0,0,IFERROR(IF(C189="EIP",((I189-O189)*((IF(DAY(E189+1)=1,EOMONTH(E189,H189*D189),EDATE(E189,H189*D189))-AsAt)/365.25+(IF(DAY(E189+1)=1,EOMONTH(E189,(N189-1)*D189),EDATE(E189,(N189-1)*D189))-AsAt)/365.25)/2+O189*('Deal maths'!AA189-AsAt)/365.25)/I189,IF(C189="Annuity",IF(F189&gt;0,((K189-L189*F189)*((IF(DAY(E189+1)=1,EOMONTH(E189,H189*D189),EDATE(E189,H189*D189))-AsAt)/365.25*((1+F189)^(I189-O189)-1)/F189+IF((I189-O189)&gt;1,((IF(DAY(E189+1)=1,EOMONTH(E189,(N189-1)*D189),EDATE(E189,(N189-1)*D189))-AsAt)/365.25-(IF(DAY(E189+1)=1,EOMONTH(E189,H189*D189),EDATE(E189,H189*D189))-AsAt)/365.25)/((I189-O189)-1),0)*(1+F189)*(1-(I189-O189)*(1+F189)^((I189-O189)-1)+((I189-O189)-1)*(1+F189)^(I189-O189))/F189^2)+O189*(K189-L189*F189)*(1+F189)^(I189-1)*('Deal maths'!AA189-AsAt)/365.25)/L189,((I189-O189)*((IF(DAY(E189+1)=1,EOMONTH(E189,H189*D189),EDATE(E189,H189*D189))-AsAt)/365.25+(IF(DAY(E189+1)=1,EOMONTH(E189,(N189-1)*D189),EDATE(E189,(N189-1)*D189))-AsAt)/365.25)/2+O189*('Deal maths'!AA189-AsAt)/365.25)/I189),(S189-AsAt)/365.25)),0))</f>
        <v/>
      </c>
      <c r="Q189" s="109">
        <f>IF(B189=1,'Deal maths'!AA189+ROW()/1000000,"")</f>
        <v/>
      </c>
      <c r="R189" s="108">
        <f>IF(D189=0,0,IF(DAY(E189+1)=1,31,DAY(E189)))</f>
        <v/>
      </c>
      <c r="S189" s="109">
        <f>IF(AND('Deal maths'!V189="LOBO",'Deal maths'!AG189&gt;AsAt,'Deal maths'!AG189&lt;'Deal maths'!AA189),'Deal maths'!AG189,'Deal maths'!AA189)</f>
        <v/>
      </c>
      <c r="T189" s="108">
        <f>('Deal maths'!AA189&gt;AsAt)*('Deal maths'!Y189&gt;0)</f>
        <v/>
      </c>
    </row>
    <row r="190">
      <c r="A190" s="91">
        <f>IF('Deal maths'!V190="","",'Deal maths'!W190)</f>
        <v/>
      </c>
      <c r="B190" s="108">
        <f>('Deal maths'!AA190&gt;AsAt)*('Deal maths'!Y190&gt;0)*('Deal maths'!Z190&lt;=AsAt)</f>
        <v/>
      </c>
      <c r="C190" s="91">
        <f>IF('Deal maths'!V190="","",IF('Deal maths'!AC190="","Maturity",'Deal maths'!AC190))</f>
        <v/>
      </c>
      <c r="D190" s="108">
        <f>IF(OR(C190="EIP",C190="Annuity"),IF('Deal maths'!AD190="Annual",12,IF('Deal maths'!AD190="Quarterly",3,6)),0)</f>
        <v/>
      </c>
      <c r="E190" s="109">
        <f>IFERROR(IF(D190=0,0,IF('Deal maths'!AE190&gt;0,IF('Deal maths'!AE190&gt;'Deal maths'!AA190,'Deal maths'!AA190,'Deal maths'!AE190),IF(IF(DAY('Deal maths'!AA190+1)=1,EOMONTH('Deal maths'!AA190,-(INT(((YEAR('Deal maths'!AA190)-YEAR(IF('Deal maths'!Z190&gt;0,'Deal maths'!Z190,DATE(1990,1,1))))*12+MONTH('Deal maths'!AA190)-MONTH(IF('Deal maths'!Z190&gt;0,'Deal maths'!Z190,DATE(1990,1,1))))/D190))*D190),EDATE('Deal maths'!AA190,-(INT(((YEAR('Deal maths'!AA190)-YEAR(IF('Deal maths'!Z190&gt;0,'Deal maths'!Z190,DATE(1990,1,1))))*12+MONTH('Deal maths'!AA190)-MONTH(IF('Deal maths'!Z190&gt;0,'Deal maths'!Z190,DATE(1990,1,1))))/D190))*D190))&gt;IF('Deal maths'!Z190&gt;0,'Deal maths'!Z190,DATE(1990,1,1)),IF(DAY('Deal maths'!AA190+1)=1,EOMONTH('Deal maths'!AA190,-(INT(((YEAR('Deal maths'!AA190)-YEAR(IF('Deal maths'!Z190&gt;0,'Deal maths'!Z190,DATE(1990,1,1))))*12+MONTH('Deal maths'!AA190)-MONTH(IF('Deal maths'!Z190&gt;0,'Deal maths'!Z190,DATE(1990,1,1))))/D190))*D190),EDATE('Deal maths'!AA190,-(INT(((YEAR('Deal maths'!AA190)-YEAR(IF('Deal maths'!Z190&gt;0,'Deal maths'!Z190,DATE(1990,1,1))))*12+MONTH('Deal maths'!AA190)-MONTH(IF('Deal maths'!Z190&gt;0,'Deal maths'!Z190,DATE(1990,1,1))))/D190))*D190)),IF(DAY('Deal maths'!AA190+1)=1,EOMONTH('Deal maths'!AA190,-(INT(((YEAR('Deal maths'!AA190)-YEAR(IF('Deal maths'!Z190&gt;0,'Deal maths'!Z190,DATE(1990,1,1))))*12+MONTH('Deal maths'!AA190)-MONTH(IF('Deal maths'!Z190&gt;0,'Deal maths'!Z190,DATE(1990,1,1))))/D190)-1)*D190),EDATE('Deal maths'!AA190,-(INT(((YEAR('Deal maths'!AA190)-YEAR(IF('Deal maths'!Z190&gt;0,'Deal maths'!Z190,DATE(1990,1,1))))*12+MONTH('Deal maths'!AA190)-MONTH(IF('Deal maths'!Z190&gt;0,'Deal maths'!Z190,DATE(1990,1,1))))/D190)-1)*D190))))),0)</f>
        <v/>
      </c>
      <c r="F190" s="110">
        <f>IF(D190=0,0,'Deal maths'!AB190*D190/12)</f>
        <v/>
      </c>
      <c r="G190" s="108">
        <f>N190+O190</f>
        <v/>
      </c>
      <c r="H190" s="108">
        <f>IFERROR(IF(OR(D190=0,AsAt&lt;E190),0,MIN(N190,INT(((YEAR(AsAt)-YEAR(E190))*12+MONTH(AsAt)-MONTH(E190)-(DAY(AsAt)&lt;MIN(R190,DAY(EOMONTH(AsAt,0)))))/D190)+1)+O190*(AsAt&gt;='Deal maths'!AA190)),0)</f>
        <v/>
      </c>
      <c r="I190" s="108">
        <f>G190-H190</f>
        <v/>
      </c>
      <c r="J190" s="111">
        <f>IF(AND(C190="EIP",I190&gt;0),'Deal maths'!Y190/I190,0)</f>
        <v/>
      </c>
      <c r="K190" s="111">
        <f>IF(AND(C190="Annuity",I190&gt;0),IF(F190&gt;0,'Deal maths'!Y190*F190/(1-(1+F190)^-I190),'Deal maths'!Y190/I190),0)</f>
        <v/>
      </c>
      <c r="L190" s="111">
        <f>IF('Deal maths'!Y190="",0,'Deal maths'!Y190)</f>
        <v/>
      </c>
      <c r="M190" s="112">
        <f>F190+(F190=0)</f>
        <v/>
      </c>
      <c r="N190" s="108">
        <f>IFERROR(IF(D190=0,0,INT(((YEAR('Deal maths'!AA190)-YEAR(E190))*12+MONTH('Deal maths'!AA190)-MONTH(E190)-(DAY('Deal maths'!AA190)&lt;MIN(R190,DAY(EOMONTH('Deal maths'!AA190,0)))))/D190)+1),0)</f>
        <v/>
      </c>
      <c r="O190" s="108">
        <f>IFERROR(IF(D190=0,0,IF(IF(DAY(E190+1)=1,EOMONTH(E190,(N190-1)*D190),EDATE(E190,(N190-1)*D190))='Deal maths'!AA190,0,1)),0)</f>
        <v/>
      </c>
      <c r="P190" s="113">
        <f>IF(B190=0,0,IFERROR(IF(C190="EIP",((I190-O190)*((IF(DAY(E190+1)=1,EOMONTH(E190,H190*D190),EDATE(E190,H190*D190))-AsAt)/365.25+(IF(DAY(E190+1)=1,EOMONTH(E190,(N190-1)*D190),EDATE(E190,(N190-1)*D190))-AsAt)/365.25)/2+O190*('Deal maths'!AA190-AsAt)/365.25)/I190,IF(C190="Annuity",IF(F190&gt;0,((K190-L190*F190)*((IF(DAY(E190+1)=1,EOMONTH(E190,H190*D190),EDATE(E190,H190*D190))-AsAt)/365.25*((1+F190)^(I190-O190)-1)/F190+IF((I190-O190)&gt;1,((IF(DAY(E190+1)=1,EOMONTH(E190,(N190-1)*D190),EDATE(E190,(N190-1)*D190))-AsAt)/365.25-(IF(DAY(E190+1)=1,EOMONTH(E190,H190*D190),EDATE(E190,H190*D190))-AsAt)/365.25)/((I190-O190)-1),0)*(1+F190)*(1-(I190-O190)*(1+F190)^((I190-O190)-1)+((I190-O190)-1)*(1+F190)^(I190-O190))/F190^2)+O190*(K190-L190*F190)*(1+F190)^(I190-1)*('Deal maths'!AA190-AsAt)/365.25)/L190,((I190-O190)*((IF(DAY(E190+1)=1,EOMONTH(E190,H190*D190),EDATE(E190,H190*D190))-AsAt)/365.25+(IF(DAY(E190+1)=1,EOMONTH(E190,(N190-1)*D190),EDATE(E190,(N190-1)*D190))-AsAt)/365.25)/2+O190*('Deal maths'!AA190-AsAt)/365.25)/I190),(S190-AsAt)/365.25)),0))</f>
        <v/>
      </c>
      <c r="Q190" s="109">
        <f>IF(B190=1,'Deal maths'!AA190+ROW()/1000000,"")</f>
        <v/>
      </c>
      <c r="R190" s="108">
        <f>IF(D190=0,0,IF(DAY(E190+1)=1,31,DAY(E190)))</f>
        <v/>
      </c>
      <c r="S190" s="109">
        <f>IF(AND('Deal maths'!V190="LOBO",'Deal maths'!AG190&gt;AsAt,'Deal maths'!AG190&lt;'Deal maths'!AA190),'Deal maths'!AG190,'Deal maths'!AA190)</f>
        <v/>
      </c>
      <c r="T190" s="108">
        <f>('Deal maths'!AA190&gt;AsAt)*('Deal maths'!Y190&gt;0)</f>
        <v/>
      </c>
    </row>
    <row r="191">
      <c r="A191" s="91">
        <f>IF('Deal maths'!V191="","",'Deal maths'!W191)</f>
        <v/>
      </c>
      <c r="B191" s="108">
        <f>('Deal maths'!AA191&gt;AsAt)*('Deal maths'!Y191&gt;0)*('Deal maths'!Z191&lt;=AsAt)</f>
        <v/>
      </c>
      <c r="C191" s="91">
        <f>IF('Deal maths'!V191="","",IF('Deal maths'!AC191="","Maturity",'Deal maths'!AC191))</f>
        <v/>
      </c>
      <c r="D191" s="108">
        <f>IF(OR(C191="EIP",C191="Annuity"),IF('Deal maths'!AD191="Annual",12,IF('Deal maths'!AD191="Quarterly",3,6)),0)</f>
        <v/>
      </c>
      <c r="E191" s="109">
        <f>IFERROR(IF(D191=0,0,IF('Deal maths'!AE191&gt;0,IF('Deal maths'!AE191&gt;'Deal maths'!AA191,'Deal maths'!AA191,'Deal maths'!AE191),IF(IF(DAY('Deal maths'!AA191+1)=1,EOMONTH('Deal maths'!AA191,-(INT(((YEAR('Deal maths'!AA191)-YEAR(IF('Deal maths'!Z191&gt;0,'Deal maths'!Z191,DATE(1990,1,1))))*12+MONTH('Deal maths'!AA191)-MONTH(IF('Deal maths'!Z191&gt;0,'Deal maths'!Z191,DATE(1990,1,1))))/D191))*D191),EDATE('Deal maths'!AA191,-(INT(((YEAR('Deal maths'!AA191)-YEAR(IF('Deal maths'!Z191&gt;0,'Deal maths'!Z191,DATE(1990,1,1))))*12+MONTH('Deal maths'!AA191)-MONTH(IF('Deal maths'!Z191&gt;0,'Deal maths'!Z191,DATE(1990,1,1))))/D191))*D191))&gt;IF('Deal maths'!Z191&gt;0,'Deal maths'!Z191,DATE(1990,1,1)),IF(DAY('Deal maths'!AA191+1)=1,EOMONTH('Deal maths'!AA191,-(INT(((YEAR('Deal maths'!AA191)-YEAR(IF('Deal maths'!Z191&gt;0,'Deal maths'!Z191,DATE(1990,1,1))))*12+MONTH('Deal maths'!AA191)-MONTH(IF('Deal maths'!Z191&gt;0,'Deal maths'!Z191,DATE(1990,1,1))))/D191))*D191),EDATE('Deal maths'!AA191,-(INT(((YEAR('Deal maths'!AA191)-YEAR(IF('Deal maths'!Z191&gt;0,'Deal maths'!Z191,DATE(1990,1,1))))*12+MONTH('Deal maths'!AA191)-MONTH(IF('Deal maths'!Z191&gt;0,'Deal maths'!Z191,DATE(1990,1,1))))/D191))*D191)),IF(DAY('Deal maths'!AA191+1)=1,EOMONTH('Deal maths'!AA191,-(INT(((YEAR('Deal maths'!AA191)-YEAR(IF('Deal maths'!Z191&gt;0,'Deal maths'!Z191,DATE(1990,1,1))))*12+MONTH('Deal maths'!AA191)-MONTH(IF('Deal maths'!Z191&gt;0,'Deal maths'!Z191,DATE(1990,1,1))))/D191)-1)*D191),EDATE('Deal maths'!AA191,-(INT(((YEAR('Deal maths'!AA191)-YEAR(IF('Deal maths'!Z191&gt;0,'Deal maths'!Z191,DATE(1990,1,1))))*12+MONTH('Deal maths'!AA191)-MONTH(IF('Deal maths'!Z191&gt;0,'Deal maths'!Z191,DATE(1990,1,1))))/D191)-1)*D191))))),0)</f>
        <v/>
      </c>
      <c r="F191" s="110">
        <f>IF(D191=0,0,'Deal maths'!AB191*D191/12)</f>
        <v/>
      </c>
      <c r="G191" s="108">
        <f>N191+O191</f>
        <v/>
      </c>
      <c r="H191" s="108">
        <f>IFERROR(IF(OR(D191=0,AsAt&lt;E191),0,MIN(N191,INT(((YEAR(AsAt)-YEAR(E191))*12+MONTH(AsAt)-MONTH(E191)-(DAY(AsAt)&lt;MIN(R191,DAY(EOMONTH(AsAt,0)))))/D191)+1)+O191*(AsAt&gt;='Deal maths'!AA191)),0)</f>
        <v/>
      </c>
      <c r="I191" s="108">
        <f>G191-H191</f>
        <v/>
      </c>
      <c r="J191" s="111">
        <f>IF(AND(C191="EIP",I191&gt;0),'Deal maths'!Y191/I191,0)</f>
        <v/>
      </c>
      <c r="K191" s="111">
        <f>IF(AND(C191="Annuity",I191&gt;0),IF(F191&gt;0,'Deal maths'!Y191*F191/(1-(1+F191)^-I191),'Deal maths'!Y191/I191),0)</f>
        <v/>
      </c>
      <c r="L191" s="111">
        <f>IF('Deal maths'!Y191="",0,'Deal maths'!Y191)</f>
        <v/>
      </c>
      <c r="M191" s="112">
        <f>F191+(F191=0)</f>
        <v/>
      </c>
      <c r="N191" s="108">
        <f>IFERROR(IF(D191=0,0,INT(((YEAR('Deal maths'!AA191)-YEAR(E191))*12+MONTH('Deal maths'!AA191)-MONTH(E191)-(DAY('Deal maths'!AA191)&lt;MIN(R191,DAY(EOMONTH('Deal maths'!AA191,0)))))/D191)+1),0)</f>
        <v/>
      </c>
      <c r="O191" s="108">
        <f>IFERROR(IF(D191=0,0,IF(IF(DAY(E191+1)=1,EOMONTH(E191,(N191-1)*D191),EDATE(E191,(N191-1)*D191))='Deal maths'!AA191,0,1)),0)</f>
        <v/>
      </c>
      <c r="P191" s="113">
        <f>IF(B191=0,0,IFERROR(IF(C191="EIP",((I191-O191)*((IF(DAY(E191+1)=1,EOMONTH(E191,H191*D191),EDATE(E191,H191*D191))-AsAt)/365.25+(IF(DAY(E191+1)=1,EOMONTH(E191,(N191-1)*D191),EDATE(E191,(N191-1)*D191))-AsAt)/365.25)/2+O191*('Deal maths'!AA191-AsAt)/365.25)/I191,IF(C191="Annuity",IF(F191&gt;0,((K191-L191*F191)*((IF(DAY(E191+1)=1,EOMONTH(E191,H191*D191),EDATE(E191,H191*D191))-AsAt)/365.25*((1+F191)^(I191-O191)-1)/F191+IF((I191-O191)&gt;1,((IF(DAY(E191+1)=1,EOMONTH(E191,(N191-1)*D191),EDATE(E191,(N191-1)*D191))-AsAt)/365.25-(IF(DAY(E191+1)=1,EOMONTH(E191,H191*D191),EDATE(E191,H191*D191))-AsAt)/365.25)/((I191-O191)-1),0)*(1+F191)*(1-(I191-O191)*(1+F191)^((I191-O191)-1)+((I191-O191)-1)*(1+F191)^(I191-O191))/F191^2)+O191*(K191-L191*F191)*(1+F191)^(I191-1)*('Deal maths'!AA191-AsAt)/365.25)/L191,((I191-O191)*((IF(DAY(E191+1)=1,EOMONTH(E191,H191*D191),EDATE(E191,H191*D191))-AsAt)/365.25+(IF(DAY(E191+1)=1,EOMONTH(E191,(N191-1)*D191),EDATE(E191,(N191-1)*D191))-AsAt)/365.25)/2+O191*('Deal maths'!AA191-AsAt)/365.25)/I191),(S191-AsAt)/365.25)),0))</f>
        <v/>
      </c>
      <c r="Q191" s="109">
        <f>IF(B191=1,'Deal maths'!AA191+ROW()/1000000,"")</f>
        <v/>
      </c>
      <c r="R191" s="108">
        <f>IF(D191=0,0,IF(DAY(E191+1)=1,31,DAY(E191)))</f>
        <v/>
      </c>
      <c r="S191" s="109">
        <f>IF(AND('Deal maths'!V191="LOBO",'Deal maths'!AG191&gt;AsAt,'Deal maths'!AG191&lt;'Deal maths'!AA191),'Deal maths'!AG191,'Deal maths'!AA191)</f>
        <v/>
      </c>
      <c r="T191" s="108">
        <f>('Deal maths'!AA191&gt;AsAt)*('Deal maths'!Y191&gt;0)</f>
        <v/>
      </c>
    </row>
    <row r="192">
      <c r="A192" s="91">
        <f>IF('Deal maths'!V192="","",'Deal maths'!W192)</f>
        <v/>
      </c>
      <c r="B192" s="108">
        <f>('Deal maths'!AA192&gt;AsAt)*('Deal maths'!Y192&gt;0)*('Deal maths'!Z192&lt;=AsAt)</f>
        <v/>
      </c>
      <c r="C192" s="91">
        <f>IF('Deal maths'!V192="","",IF('Deal maths'!AC192="","Maturity",'Deal maths'!AC192))</f>
        <v/>
      </c>
      <c r="D192" s="108">
        <f>IF(OR(C192="EIP",C192="Annuity"),IF('Deal maths'!AD192="Annual",12,IF('Deal maths'!AD192="Quarterly",3,6)),0)</f>
        <v/>
      </c>
      <c r="E192" s="109">
        <f>IFERROR(IF(D192=0,0,IF('Deal maths'!AE192&gt;0,IF('Deal maths'!AE192&gt;'Deal maths'!AA192,'Deal maths'!AA192,'Deal maths'!AE192),IF(IF(DAY('Deal maths'!AA192+1)=1,EOMONTH('Deal maths'!AA192,-(INT(((YEAR('Deal maths'!AA192)-YEAR(IF('Deal maths'!Z192&gt;0,'Deal maths'!Z192,DATE(1990,1,1))))*12+MONTH('Deal maths'!AA192)-MONTH(IF('Deal maths'!Z192&gt;0,'Deal maths'!Z192,DATE(1990,1,1))))/D192))*D192),EDATE('Deal maths'!AA192,-(INT(((YEAR('Deal maths'!AA192)-YEAR(IF('Deal maths'!Z192&gt;0,'Deal maths'!Z192,DATE(1990,1,1))))*12+MONTH('Deal maths'!AA192)-MONTH(IF('Deal maths'!Z192&gt;0,'Deal maths'!Z192,DATE(1990,1,1))))/D192))*D192))&gt;IF('Deal maths'!Z192&gt;0,'Deal maths'!Z192,DATE(1990,1,1)),IF(DAY('Deal maths'!AA192+1)=1,EOMONTH('Deal maths'!AA192,-(INT(((YEAR('Deal maths'!AA192)-YEAR(IF('Deal maths'!Z192&gt;0,'Deal maths'!Z192,DATE(1990,1,1))))*12+MONTH('Deal maths'!AA192)-MONTH(IF('Deal maths'!Z192&gt;0,'Deal maths'!Z192,DATE(1990,1,1))))/D192))*D192),EDATE('Deal maths'!AA192,-(INT(((YEAR('Deal maths'!AA192)-YEAR(IF('Deal maths'!Z192&gt;0,'Deal maths'!Z192,DATE(1990,1,1))))*12+MONTH('Deal maths'!AA192)-MONTH(IF('Deal maths'!Z192&gt;0,'Deal maths'!Z192,DATE(1990,1,1))))/D192))*D192)),IF(DAY('Deal maths'!AA192+1)=1,EOMONTH('Deal maths'!AA192,-(INT(((YEAR('Deal maths'!AA192)-YEAR(IF('Deal maths'!Z192&gt;0,'Deal maths'!Z192,DATE(1990,1,1))))*12+MONTH('Deal maths'!AA192)-MONTH(IF('Deal maths'!Z192&gt;0,'Deal maths'!Z192,DATE(1990,1,1))))/D192)-1)*D192),EDATE('Deal maths'!AA192,-(INT(((YEAR('Deal maths'!AA192)-YEAR(IF('Deal maths'!Z192&gt;0,'Deal maths'!Z192,DATE(1990,1,1))))*12+MONTH('Deal maths'!AA192)-MONTH(IF('Deal maths'!Z192&gt;0,'Deal maths'!Z192,DATE(1990,1,1))))/D192)-1)*D192))))),0)</f>
        <v/>
      </c>
      <c r="F192" s="110">
        <f>IF(D192=0,0,'Deal maths'!AB192*D192/12)</f>
        <v/>
      </c>
      <c r="G192" s="108">
        <f>N192+O192</f>
        <v/>
      </c>
      <c r="H192" s="108">
        <f>IFERROR(IF(OR(D192=0,AsAt&lt;E192),0,MIN(N192,INT(((YEAR(AsAt)-YEAR(E192))*12+MONTH(AsAt)-MONTH(E192)-(DAY(AsAt)&lt;MIN(R192,DAY(EOMONTH(AsAt,0)))))/D192)+1)+O192*(AsAt&gt;='Deal maths'!AA192)),0)</f>
        <v/>
      </c>
      <c r="I192" s="108">
        <f>G192-H192</f>
        <v/>
      </c>
      <c r="J192" s="111">
        <f>IF(AND(C192="EIP",I192&gt;0),'Deal maths'!Y192/I192,0)</f>
        <v/>
      </c>
      <c r="K192" s="111">
        <f>IF(AND(C192="Annuity",I192&gt;0),IF(F192&gt;0,'Deal maths'!Y192*F192/(1-(1+F192)^-I192),'Deal maths'!Y192/I192),0)</f>
        <v/>
      </c>
      <c r="L192" s="111">
        <f>IF('Deal maths'!Y192="",0,'Deal maths'!Y192)</f>
        <v/>
      </c>
      <c r="M192" s="112">
        <f>F192+(F192=0)</f>
        <v/>
      </c>
      <c r="N192" s="108">
        <f>IFERROR(IF(D192=0,0,INT(((YEAR('Deal maths'!AA192)-YEAR(E192))*12+MONTH('Deal maths'!AA192)-MONTH(E192)-(DAY('Deal maths'!AA192)&lt;MIN(R192,DAY(EOMONTH('Deal maths'!AA192,0)))))/D192)+1),0)</f>
        <v/>
      </c>
      <c r="O192" s="108">
        <f>IFERROR(IF(D192=0,0,IF(IF(DAY(E192+1)=1,EOMONTH(E192,(N192-1)*D192),EDATE(E192,(N192-1)*D192))='Deal maths'!AA192,0,1)),0)</f>
        <v/>
      </c>
      <c r="P192" s="113">
        <f>IF(B192=0,0,IFERROR(IF(C192="EIP",((I192-O192)*((IF(DAY(E192+1)=1,EOMONTH(E192,H192*D192),EDATE(E192,H192*D192))-AsAt)/365.25+(IF(DAY(E192+1)=1,EOMONTH(E192,(N192-1)*D192),EDATE(E192,(N192-1)*D192))-AsAt)/365.25)/2+O192*('Deal maths'!AA192-AsAt)/365.25)/I192,IF(C192="Annuity",IF(F192&gt;0,((K192-L192*F192)*((IF(DAY(E192+1)=1,EOMONTH(E192,H192*D192),EDATE(E192,H192*D192))-AsAt)/365.25*((1+F192)^(I192-O192)-1)/F192+IF((I192-O192)&gt;1,((IF(DAY(E192+1)=1,EOMONTH(E192,(N192-1)*D192),EDATE(E192,(N192-1)*D192))-AsAt)/365.25-(IF(DAY(E192+1)=1,EOMONTH(E192,H192*D192),EDATE(E192,H192*D192))-AsAt)/365.25)/((I192-O192)-1),0)*(1+F192)*(1-(I192-O192)*(1+F192)^((I192-O192)-1)+((I192-O192)-1)*(1+F192)^(I192-O192))/F192^2)+O192*(K192-L192*F192)*(1+F192)^(I192-1)*('Deal maths'!AA192-AsAt)/365.25)/L192,((I192-O192)*((IF(DAY(E192+1)=1,EOMONTH(E192,H192*D192),EDATE(E192,H192*D192))-AsAt)/365.25+(IF(DAY(E192+1)=1,EOMONTH(E192,(N192-1)*D192),EDATE(E192,(N192-1)*D192))-AsAt)/365.25)/2+O192*('Deal maths'!AA192-AsAt)/365.25)/I192),(S192-AsAt)/365.25)),0))</f>
        <v/>
      </c>
      <c r="Q192" s="109">
        <f>IF(B192=1,'Deal maths'!AA192+ROW()/1000000,"")</f>
        <v/>
      </c>
      <c r="R192" s="108">
        <f>IF(D192=0,0,IF(DAY(E192+1)=1,31,DAY(E192)))</f>
        <v/>
      </c>
      <c r="S192" s="109">
        <f>IF(AND('Deal maths'!V192="LOBO",'Deal maths'!AG192&gt;AsAt,'Deal maths'!AG192&lt;'Deal maths'!AA192),'Deal maths'!AG192,'Deal maths'!AA192)</f>
        <v/>
      </c>
      <c r="T192" s="108">
        <f>('Deal maths'!AA192&gt;AsAt)*('Deal maths'!Y192&gt;0)</f>
        <v/>
      </c>
    </row>
    <row r="193">
      <c r="A193" s="91">
        <f>IF('Deal maths'!V193="","",'Deal maths'!W193)</f>
        <v/>
      </c>
      <c r="B193" s="108">
        <f>('Deal maths'!AA193&gt;AsAt)*('Deal maths'!Y193&gt;0)*('Deal maths'!Z193&lt;=AsAt)</f>
        <v/>
      </c>
      <c r="C193" s="91">
        <f>IF('Deal maths'!V193="","",IF('Deal maths'!AC193="","Maturity",'Deal maths'!AC193))</f>
        <v/>
      </c>
      <c r="D193" s="108">
        <f>IF(OR(C193="EIP",C193="Annuity"),IF('Deal maths'!AD193="Annual",12,IF('Deal maths'!AD193="Quarterly",3,6)),0)</f>
        <v/>
      </c>
      <c r="E193" s="109">
        <f>IFERROR(IF(D193=0,0,IF('Deal maths'!AE193&gt;0,IF('Deal maths'!AE193&gt;'Deal maths'!AA193,'Deal maths'!AA193,'Deal maths'!AE193),IF(IF(DAY('Deal maths'!AA193+1)=1,EOMONTH('Deal maths'!AA193,-(INT(((YEAR('Deal maths'!AA193)-YEAR(IF('Deal maths'!Z193&gt;0,'Deal maths'!Z193,DATE(1990,1,1))))*12+MONTH('Deal maths'!AA193)-MONTH(IF('Deal maths'!Z193&gt;0,'Deal maths'!Z193,DATE(1990,1,1))))/D193))*D193),EDATE('Deal maths'!AA193,-(INT(((YEAR('Deal maths'!AA193)-YEAR(IF('Deal maths'!Z193&gt;0,'Deal maths'!Z193,DATE(1990,1,1))))*12+MONTH('Deal maths'!AA193)-MONTH(IF('Deal maths'!Z193&gt;0,'Deal maths'!Z193,DATE(1990,1,1))))/D193))*D193))&gt;IF('Deal maths'!Z193&gt;0,'Deal maths'!Z193,DATE(1990,1,1)),IF(DAY('Deal maths'!AA193+1)=1,EOMONTH('Deal maths'!AA193,-(INT(((YEAR('Deal maths'!AA193)-YEAR(IF('Deal maths'!Z193&gt;0,'Deal maths'!Z193,DATE(1990,1,1))))*12+MONTH('Deal maths'!AA193)-MONTH(IF('Deal maths'!Z193&gt;0,'Deal maths'!Z193,DATE(1990,1,1))))/D193))*D193),EDATE('Deal maths'!AA193,-(INT(((YEAR('Deal maths'!AA193)-YEAR(IF('Deal maths'!Z193&gt;0,'Deal maths'!Z193,DATE(1990,1,1))))*12+MONTH('Deal maths'!AA193)-MONTH(IF('Deal maths'!Z193&gt;0,'Deal maths'!Z193,DATE(1990,1,1))))/D193))*D193)),IF(DAY('Deal maths'!AA193+1)=1,EOMONTH('Deal maths'!AA193,-(INT(((YEAR('Deal maths'!AA193)-YEAR(IF('Deal maths'!Z193&gt;0,'Deal maths'!Z193,DATE(1990,1,1))))*12+MONTH('Deal maths'!AA193)-MONTH(IF('Deal maths'!Z193&gt;0,'Deal maths'!Z193,DATE(1990,1,1))))/D193)-1)*D193),EDATE('Deal maths'!AA193,-(INT(((YEAR('Deal maths'!AA193)-YEAR(IF('Deal maths'!Z193&gt;0,'Deal maths'!Z193,DATE(1990,1,1))))*12+MONTH('Deal maths'!AA193)-MONTH(IF('Deal maths'!Z193&gt;0,'Deal maths'!Z193,DATE(1990,1,1))))/D193)-1)*D193))))),0)</f>
        <v/>
      </c>
      <c r="F193" s="110">
        <f>IF(D193=0,0,'Deal maths'!AB193*D193/12)</f>
        <v/>
      </c>
      <c r="G193" s="108">
        <f>N193+O193</f>
        <v/>
      </c>
      <c r="H193" s="108">
        <f>IFERROR(IF(OR(D193=0,AsAt&lt;E193),0,MIN(N193,INT(((YEAR(AsAt)-YEAR(E193))*12+MONTH(AsAt)-MONTH(E193)-(DAY(AsAt)&lt;MIN(R193,DAY(EOMONTH(AsAt,0)))))/D193)+1)+O193*(AsAt&gt;='Deal maths'!AA193)),0)</f>
        <v/>
      </c>
      <c r="I193" s="108">
        <f>G193-H193</f>
        <v/>
      </c>
      <c r="J193" s="111">
        <f>IF(AND(C193="EIP",I193&gt;0),'Deal maths'!Y193/I193,0)</f>
        <v/>
      </c>
      <c r="K193" s="111">
        <f>IF(AND(C193="Annuity",I193&gt;0),IF(F193&gt;0,'Deal maths'!Y193*F193/(1-(1+F193)^-I193),'Deal maths'!Y193/I193),0)</f>
        <v/>
      </c>
      <c r="L193" s="111">
        <f>IF('Deal maths'!Y193="",0,'Deal maths'!Y193)</f>
        <v/>
      </c>
      <c r="M193" s="112">
        <f>F193+(F193=0)</f>
        <v/>
      </c>
      <c r="N193" s="108">
        <f>IFERROR(IF(D193=0,0,INT(((YEAR('Deal maths'!AA193)-YEAR(E193))*12+MONTH('Deal maths'!AA193)-MONTH(E193)-(DAY('Deal maths'!AA193)&lt;MIN(R193,DAY(EOMONTH('Deal maths'!AA193,0)))))/D193)+1),0)</f>
        <v/>
      </c>
      <c r="O193" s="108">
        <f>IFERROR(IF(D193=0,0,IF(IF(DAY(E193+1)=1,EOMONTH(E193,(N193-1)*D193),EDATE(E193,(N193-1)*D193))='Deal maths'!AA193,0,1)),0)</f>
        <v/>
      </c>
      <c r="P193" s="113">
        <f>IF(B193=0,0,IFERROR(IF(C193="EIP",((I193-O193)*((IF(DAY(E193+1)=1,EOMONTH(E193,H193*D193),EDATE(E193,H193*D193))-AsAt)/365.25+(IF(DAY(E193+1)=1,EOMONTH(E193,(N193-1)*D193),EDATE(E193,(N193-1)*D193))-AsAt)/365.25)/2+O193*('Deal maths'!AA193-AsAt)/365.25)/I193,IF(C193="Annuity",IF(F193&gt;0,((K193-L193*F193)*((IF(DAY(E193+1)=1,EOMONTH(E193,H193*D193),EDATE(E193,H193*D193))-AsAt)/365.25*((1+F193)^(I193-O193)-1)/F193+IF((I193-O193)&gt;1,((IF(DAY(E193+1)=1,EOMONTH(E193,(N193-1)*D193),EDATE(E193,(N193-1)*D193))-AsAt)/365.25-(IF(DAY(E193+1)=1,EOMONTH(E193,H193*D193),EDATE(E193,H193*D193))-AsAt)/365.25)/((I193-O193)-1),0)*(1+F193)*(1-(I193-O193)*(1+F193)^((I193-O193)-1)+((I193-O193)-1)*(1+F193)^(I193-O193))/F193^2)+O193*(K193-L193*F193)*(1+F193)^(I193-1)*('Deal maths'!AA193-AsAt)/365.25)/L193,((I193-O193)*((IF(DAY(E193+1)=1,EOMONTH(E193,H193*D193),EDATE(E193,H193*D193))-AsAt)/365.25+(IF(DAY(E193+1)=1,EOMONTH(E193,(N193-1)*D193),EDATE(E193,(N193-1)*D193))-AsAt)/365.25)/2+O193*('Deal maths'!AA193-AsAt)/365.25)/I193),(S193-AsAt)/365.25)),0))</f>
        <v/>
      </c>
      <c r="Q193" s="109">
        <f>IF(B193=1,'Deal maths'!AA193+ROW()/1000000,"")</f>
        <v/>
      </c>
      <c r="R193" s="108">
        <f>IF(D193=0,0,IF(DAY(E193+1)=1,31,DAY(E193)))</f>
        <v/>
      </c>
      <c r="S193" s="109">
        <f>IF(AND('Deal maths'!V193="LOBO",'Deal maths'!AG193&gt;AsAt,'Deal maths'!AG193&lt;'Deal maths'!AA193),'Deal maths'!AG193,'Deal maths'!AA193)</f>
        <v/>
      </c>
      <c r="T193" s="108">
        <f>('Deal maths'!AA193&gt;AsAt)*('Deal maths'!Y193&gt;0)</f>
        <v/>
      </c>
    </row>
    <row r="194">
      <c r="A194" s="91">
        <f>IF('Deal maths'!V194="","",'Deal maths'!W194)</f>
        <v/>
      </c>
      <c r="B194" s="108">
        <f>('Deal maths'!AA194&gt;AsAt)*('Deal maths'!Y194&gt;0)*('Deal maths'!Z194&lt;=AsAt)</f>
        <v/>
      </c>
      <c r="C194" s="91">
        <f>IF('Deal maths'!V194="","",IF('Deal maths'!AC194="","Maturity",'Deal maths'!AC194))</f>
        <v/>
      </c>
      <c r="D194" s="108">
        <f>IF(OR(C194="EIP",C194="Annuity"),IF('Deal maths'!AD194="Annual",12,IF('Deal maths'!AD194="Quarterly",3,6)),0)</f>
        <v/>
      </c>
      <c r="E194" s="109">
        <f>IFERROR(IF(D194=0,0,IF('Deal maths'!AE194&gt;0,IF('Deal maths'!AE194&gt;'Deal maths'!AA194,'Deal maths'!AA194,'Deal maths'!AE194),IF(IF(DAY('Deal maths'!AA194+1)=1,EOMONTH('Deal maths'!AA194,-(INT(((YEAR('Deal maths'!AA194)-YEAR(IF('Deal maths'!Z194&gt;0,'Deal maths'!Z194,DATE(1990,1,1))))*12+MONTH('Deal maths'!AA194)-MONTH(IF('Deal maths'!Z194&gt;0,'Deal maths'!Z194,DATE(1990,1,1))))/D194))*D194),EDATE('Deal maths'!AA194,-(INT(((YEAR('Deal maths'!AA194)-YEAR(IF('Deal maths'!Z194&gt;0,'Deal maths'!Z194,DATE(1990,1,1))))*12+MONTH('Deal maths'!AA194)-MONTH(IF('Deal maths'!Z194&gt;0,'Deal maths'!Z194,DATE(1990,1,1))))/D194))*D194))&gt;IF('Deal maths'!Z194&gt;0,'Deal maths'!Z194,DATE(1990,1,1)),IF(DAY('Deal maths'!AA194+1)=1,EOMONTH('Deal maths'!AA194,-(INT(((YEAR('Deal maths'!AA194)-YEAR(IF('Deal maths'!Z194&gt;0,'Deal maths'!Z194,DATE(1990,1,1))))*12+MONTH('Deal maths'!AA194)-MONTH(IF('Deal maths'!Z194&gt;0,'Deal maths'!Z194,DATE(1990,1,1))))/D194))*D194),EDATE('Deal maths'!AA194,-(INT(((YEAR('Deal maths'!AA194)-YEAR(IF('Deal maths'!Z194&gt;0,'Deal maths'!Z194,DATE(1990,1,1))))*12+MONTH('Deal maths'!AA194)-MONTH(IF('Deal maths'!Z194&gt;0,'Deal maths'!Z194,DATE(1990,1,1))))/D194))*D194)),IF(DAY('Deal maths'!AA194+1)=1,EOMONTH('Deal maths'!AA194,-(INT(((YEAR('Deal maths'!AA194)-YEAR(IF('Deal maths'!Z194&gt;0,'Deal maths'!Z194,DATE(1990,1,1))))*12+MONTH('Deal maths'!AA194)-MONTH(IF('Deal maths'!Z194&gt;0,'Deal maths'!Z194,DATE(1990,1,1))))/D194)-1)*D194),EDATE('Deal maths'!AA194,-(INT(((YEAR('Deal maths'!AA194)-YEAR(IF('Deal maths'!Z194&gt;0,'Deal maths'!Z194,DATE(1990,1,1))))*12+MONTH('Deal maths'!AA194)-MONTH(IF('Deal maths'!Z194&gt;0,'Deal maths'!Z194,DATE(1990,1,1))))/D194)-1)*D194))))),0)</f>
        <v/>
      </c>
      <c r="F194" s="110">
        <f>IF(D194=0,0,'Deal maths'!AB194*D194/12)</f>
        <v/>
      </c>
      <c r="G194" s="108">
        <f>N194+O194</f>
        <v/>
      </c>
      <c r="H194" s="108">
        <f>IFERROR(IF(OR(D194=0,AsAt&lt;E194),0,MIN(N194,INT(((YEAR(AsAt)-YEAR(E194))*12+MONTH(AsAt)-MONTH(E194)-(DAY(AsAt)&lt;MIN(R194,DAY(EOMONTH(AsAt,0)))))/D194)+1)+O194*(AsAt&gt;='Deal maths'!AA194)),0)</f>
        <v/>
      </c>
      <c r="I194" s="108">
        <f>G194-H194</f>
        <v/>
      </c>
      <c r="J194" s="111">
        <f>IF(AND(C194="EIP",I194&gt;0),'Deal maths'!Y194/I194,0)</f>
        <v/>
      </c>
      <c r="K194" s="111">
        <f>IF(AND(C194="Annuity",I194&gt;0),IF(F194&gt;0,'Deal maths'!Y194*F194/(1-(1+F194)^-I194),'Deal maths'!Y194/I194),0)</f>
        <v/>
      </c>
      <c r="L194" s="111">
        <f>IF('Deal maths'!Y194="",0,'Deal maths'!Y194)</f>
        <v/>
      </c>
      <c r="M194" s="112">
        <f>F194+(F194=0)</f>
        <v/>
      </c>
      <c r="N194" s="108">
        <f>IFERROR(IF(D194=0,0,INT(((YEAR('Deal maths'!AA194)-YEAR(E194))*12+MONTH('Deal maths'!AA194)-MONTH(E194)-(DAY('Deal maths'!AA194)&lt;MIN(R194,DAY(EOMONTH('Deal maths'!AA194,0)))))/D194)+1),0)</f>
        <v/>
      </c>
      <c r="O194" s="108">
        <f>IFERROR(IF(D194=0,0,IF(IF(DAY(E194+1)=1,EOMONTH(E194,(N194-1)*D194),EDATE(E194,(N194-1)*D194))='Deal maths'!AA194,0,1)),0)</f>
        <v/>
      </c>
      <c r="P194" s="113">
        <f>IF(B194=0,0,IFERROR(IF(C194="EIP",((I194-O194)*((IF(DAY(E194+1)=1,EOMONTH(E194,H194*D194),EDATE(E194,H194*D194))-AsAt)/365.25+(IF(DAY(E194+1)=1,EOMONTH(E194,(N194-1)*D194),EDATE(E194,(N194-1)*D194))-AsAt)/365.25)/2+O194*('Deal maths'!AA194-AsAt)/365.25)/I194,IF(C194="Annuity",IF(F194&gt;0,((K194-L194*F194)*((IF(DAY(E194+1)=1,EOMONTH(E194,H194*D194),EDATE(E194,H194*D194))-AsAt)/365.25*((1+F194)^(I194-O194)-1)/F194+IF((I194-O194)&gt;1,((IF(DAY(E194+1)=1,EOMONTH(E194,(N194-1)*D194),EDATE(E194,(N194-1)*D194))-AsAt)/365.25-(IF(DAY(E194+1)=1,EOMONTH(E194,H194*D194),EDATE(E194,H194*D194))-AsAt)/365.25)/((I194-O194)-1),0)*(1+F194)*(1-(I194-O194)*(1+F194)^((I194-O194)-1)+((I194-O194)-1)*(1+F194)^(I194-O194))/F194^2)+O194*(K194-L194*F194)*(1+F194)^(I194-1)*('Deal maths'!AA194-AsAt)/365.25)/L194,((I194-O194)*((IF(DAY(E194+1)=1,EOMONTH(E194,H194*D194),EDATE(E194,H194*D194))-AsAt)/365.25+(IF(DAY(E194+1)=1,EOMONTH(E194,(N194-1)*D194),EDATE(E194,(N194-1)*D194))-AsAt)/365.25)/2+O194*('Deal maths'!AA194-AsAt)/365.25)/I194),(S194-AsAt)/365.25)),0))</f>
        <v/>
      </c>
      <c r="Q194" s="109">
        <f>IF(B194=1,'Deal maths'!AA194+ROW()/1000000,"")</f>
        <v/>
      </c>
      <c r="R194" s="108">
        <f>IF(D194=0,0,IF(DAY(E194+1)=1,31,DAY(E194)))</f>
        <v/>
      </c>
      <c r="S194" s="109">
        <f>IF(AND('Deal maths'!V194="LOBO",'Deal maths'!AG194&gt;AsAt,'Deal maths'!AG194&lt;'Deal maths'!AA194),'Deal maths'!AG194,'Deal maths'!AA194)</f>
        <v/>
      </c>
      <c r="T194" s="108">
        <f>('Deal maths'!AA194&gt;AsAt)*('Deal maths'!Y194&gt;0)</f>
        <v/>
      </c>
    </row>
    <row r="195">
      <c r="A195" s="91">
        <f>IF('Deal maths'!V195="","",'Deal maths'!W195)</f>
        <v/>
      </c>
      <c r="B195" s="108">
        <f>('Deal maths'!AA195&gt;AsAt)*('Deal maths'!Y195&gt;0)*('Deal maths'!Z195&lt;=AsAt)</f>
        <v/>
      </c>
      <c r="C195" s="91">
        <f>IF('Deal maths'!V195="","",IF('Deal maths'!AC195="","Maturity",'Deal maths'!AC195))</f>
        <v/>
      </c>
      <c r="D195" s="108">
        <f>IF(OR(C195="EIP",C195="Annuity"),IF('Deal maths'!AD195="Annual",12,IF('Deal maths'!AD195="Quarterly",3,6)),0)</f>
        <v/>
      </c>
      <c r="E195" s="109">
        <f>IFERROR(IF(D195=0,0,IF('Deal maths'!AE195&gt;0,IF('Deal maths'!AE195&gt;'Deal maths'!AA195,'Deal maths'!AA195,'Deal maths'!AE195),IF(IF(DAY('Deal maths'!AA195+1)=1,EOMONTH('Deal maths'!AA195,-(INT(((YEAR('Deal maths'!AA195)-YEAR(IF('Deal maths'!Z195&gt;0,'Deal maths'!Z195,DATE(1990,1,1))))*12+MONTH('Deal maths'!AA195)-MONTH(IF('Deal maths'!Z195&gt;0,'Deal maths'!Z195,DATE(1990,1,1))))/D195))*D195),EDATE('Deal maths'!AA195,-(INT(((YEAR('Deal maths'!AA195)-YEAR(IF('Deal maths'!Z195&gt;0,'Deal maths'!Z195,DATE(1990,1,1))))*12+MONTH('Deal maths'!AA195)-MONTH(IF('Deal maths'!Z195&gt;0,'Deal maths'!Z195,DATE(1990,1,1))))/D195))*D195))&gt;IF('Deal maths'!Z195&gt;0,'Deal maths'!Z195,DATE(1990,1,1)),IF(DAY('Deal maths'!AA195+1)=1,EOMONTH('Deal maths'!AA195,-(INT(((YEAR('Deal maths'!AA195)-YEAR(IF('Deal maths'!Z195&gt;0,'Deal maths'!Z195,DATE(1990,1,1))))*12+MONTH('Deal maths'!AA195)-MONTH(IF('Deal maths'!Z195&gt;0,'Deal maths'!Z195,DATE(1990,1,1))))/D195))*D195),EDATE('Deal maths'!AA195,-(INT(((YEAR('Deal maths'!AA195)-YEAR(IF('Deal maths'!Z195&gt;0,'Deal maths'!Z195,DATE(1990,1,1))))*12+MONTH('Deal maths'!AA195)-MONTH(IF('Deal maths'!Z195&gt;0,'Deal maths'!Z195,DATE(1990,1,1))))/D195))*D195)),IF(DAY('Deal maths'!AA195+1)=1,EOMONTH('Deal maths'!AA195,-(INT(((YEAR('Deal maths'!AA195)-YEAR(IF('Deal maths'!Z195&gt;0,'Deal maths'!Z195,DATE(1990,1,1))))*12+MONTH('Deal maths'!AA195)-MONTH(IF('Deal maths'!Z195&gt;0,'Deal maths'!Z195,DATE(1990,1,1))))/D195)-1)*D195),EDATE('Deal maths'!AA195,-(INT(((YEAR('Deal maths'!AA195)-YEAR(IF('Deal maths'!Z195&gt;0,'Deal maths'!Z195,DATE(1990,1,1))))*12+MONTH('Deal maths'!AA195)-MONTH(IF('Deal maths'!Z195&gt;0,'Deal maths'!Z195,DATE(1990,1,1))))/D195)-1)*D195))))),0)</f>
        <v/>
      </c>
      <c r="F195" s="110">
        <f>IF(D195=0,0,'Deal maths'!AB195*D195/12)</f>
        <v/>
      </c>
      <c r="G195" s="108">
        <f>N195+O195</f>
        <v/>
      </c>
      <c r="H195" s="108">
        <f>IFERROR(IF(OR(D195=0,AsAt&lt;E195),0,MIN(N195,INT(((YEAR(AsAt)-YEAR(E195))*12+MONTH(AsAt)-MONTH(E195)-(DAY(AsAt)&lt;MIN(R195,DAY(EOMONTH(AsAt,0)))))/D195)+1)+O195*(AsAt&gt;='Deal maths'!AA195)),0)</f>
        <v/>
      </c>
      <c r="I195" s="108">
        <f>G195-H195</f>
        <v/>
      </c>
      <c r="J195" s="111">
        <f>IF(AND(C195="EIP",I195&gt;0),'Deal maths'!Y195/I195,0)</f>
        <v/>
      </c>
      <c r="K195" s="111">
        <f>IF(AND(C195="Annuity",I195&gt;0),IF(F195&gt;0,'Deal maths'!Y195*F195/(1-(1+F195)^-I195),'Deal maths'!Y195/I195),0)</f>
        <v/>
      </c>
      <c r="L195" s="111">
        <f>IF('Deal maths'!Y195="",0,'Deal maths'!Y195)</f>
        <v/>
      </c>
      <c r="M195" s="112">
        <f>F195+(F195=0)</f>
        <v/>
      </c>
      <c r="N195" s="108">
        <f>IFERROR(IF(D195=0,0,INT(((YEAR('Deal maths'!AA195)-YEAR(E195))*12+MONTH('Deal maths'!AA195)-MONTH(E195)-(DAY('Deal maths'!AA195)&lt;MIN(R195,DAY(EOMONTH('Deal maths'!AA195,0)))))/D195)+1),0)</f>
        <v/>
      </c>
      <c r="O195" s="108">
        <f>IFERROR(IF(D195=0,0,IF(IF(DAY(E195+1)=1,EOMONTH(E195,(N195-1)*D195),EDATE(E195,(N195-1)*D195))='Deal maths'!AA195,0,1)),0)</f>
        <v/>
      </c>
      <c r="P195" s="113">
        <f>IF(B195=0,0,IFERROR(IF(C195="EIP",((I195-O195)*((IF(DAY(E195+1)=1,EOMONTH(E195,H195*D195),EDATE(E195,H195*D195))-AsAt)/365.25+(IF(DAY(E195+1)=1,EOMONTH(E195,(N195-1)*D195),EDATE(E195,(N195-1)*D195))-AsAt)/365.25)/2+O195*('Deal maths'!AA195-AsAt)/365.25)/I195,IF(C195="Annuity",IF(F195&gt;0,((K195-L195*F195)*((IF(DAY(E195+1)=1,EOMONTH(E195,H195*D195),EDATE(E195,H195*D195))-AsAt)/365.25*((1+F195)^(I195-O195)-1)/F195+IF((I195-O195)&gt;1,((IF(DAY(E195+1)=1,EOMONTH(E195,(N195-1)*D195),EDATE(E195,(N195-1)*D195))-AsAt)/365.25-(IF(DAY(E195+1)=1,EOMONTH(E195,H195*D195),EDATE(E195,H195*D195))-AsAt)/365.25)/((I195-O195)-1),0)*(1+F195)*(1-(I195-O195)*(1+F195)^((I195-O195)-1)+((I195-O195)-1)*(1+F195)^(I195-O195))/F195^2)+O195*(K195-L195*F195)*(1+F195)^(I195-1)*('Deal maths'!AA195-AsAt)/365.25)/L195,((I195-O195)*((IF(DAY(E195+1)=1,EOMONTH(E195,H195*D195),EDATE(E195,H195*D195))-AsAt)/365.25+(IF(DAY(E195+1)=1,EOMONTH(E195,(N195-1)*D195),EDATE(E195,(N195-1)*D195))-AsAt)/365.25)/2+O195*('Deal maths'!AA195-AsAt)/365.25)/I195),(S195-AsAt)/365.25)),0))</f>
        <v/>
      </c>
      <c r="Q195" s="109">
        <f>IF(B195=1,'Deal maths'!AA195+ROW()/1000000,"")</f>
        <v/>
      </c>
      <c r="R195" s="108">
        <f>IF(D195=0,0,IF(DAY(E195+1)=1,31,DAY(E195)))</f>
        <v/>
      </c>
      <c r="S195" s="109">
        <f>IF(AND('Deal maths'!V195="LOBO",'Deal maths'!AG195&gt;AsAt,'Deal maths'!AG195&lt;'Deal maths'!AA195),'Deal maths'!AG195,'Deal maths'!AA195)</f>
        <v/>
      </c>
      <c r="T195" s="108">
        <f>('Deal maths'!AA195&gt;AsAt)*('Deal maths'!Y195&gt;0)</f>
        <v/>
      </c>
    </row>
    <row r="196">
      <c r="A196" s="91">
        <f>IF('Deal maths'!V196="","",'Deal maths'!W196)</f>
        <v/>
      </c>
      <c r="B196" s="108">
        <f>('Deal maths'!AA196&gt;AsAt)*('Deal maths'!Y196&gt;0)*('Deal maths'!Z196&lt;=AsAt)</f>
        <v/>
      </c>
      <c r="C196" s="91">
        <f>IF('Deal maths'!V196="","",IF('Deal maths'!AC196="","Maturity",'Deal maths'!AC196))</f>
        <v/>
      </c>
      <c r="D196" s="108">
        <f>IF(OR(C196="EIP",C196="Annuity"),IF('Deal maths'!AD196="Annual",12,IF('Deal maths'!AD196="Quarterly",3,6)),0)</f>
        <v/>
      </c>
      <c r="E196" s="109">
        <f>IFERROR(IF(D196=0,0,IF('Deal maths'!AE196&gt;0,IF('Deal maths'!AE196&gt;'Deal maths'!AA196,'Deal maths'!AA196,'Deal maths'!AE196),IF(IF(DAY('Deal maths'!AA196+1)=1,EOMONTH('Deal maths'!AA196,-(INT(((YEAR('Deal maths'!AA196)-YEAR(IF('Deal maths'!Z196&gt;0,'Deal maths'!Z196,DATE(1990,1,1))))*12+MONTH('Deal maths'!AA196)-MONTH(IF('Deal maths'!Z196&gt;0,'Deal maths'!Z196,DATE(1990,1,1))))/D196))*D196),EDATE('Deal maths'!AA196,-(INT(((YEAR('Deal maths'!AA196)-YEAR(IF('Deal maths'!Z196&gt;0,'Deal maths'!Z196,DATE(1990,1,1))))*12+MONTH('Deal maths'!AA196)-MONTH(IF('Deal maths'!Z196&gt;0,'Deal maths'!Z196,DATE(1990,1,1))))/D196))*D196))&gt;IF('Deal maths'!Z196&gt;0,'Deal maths'!Z196,DATE(1990,1,1)),IF(DAY('Deal maths'!AA196+1)=1,EOMONTH('Deal maths'!AA196,-(INT(((YEAR('Deal maths'!AA196)-YEAR(IF('Deal maths'!Z196&gt;0,'Deal maths'!Z196,DATE(1990,1,1))))*12+MONTH('Deal maths'!AA196)-MONTH(IF('Deal maths'!Z196&gt;0,'Deal maths'!Z196,DATE(1990,1,1))))/D196))*D196),EDATE('Deal maths'!AA196,-(INT(((YEAR('Deal maths'!AA196)-YEAR(IF('Deal maths'!Z196&gt;0,'Deal maths'!Z196,DATE(1990,1,1))))*12+MONTH('Deal maths'!AA196)-MONTH(IF('Deal maths'!Z196&gt;0,'Deal maths'!Z196,DATE(1990,1,1))))/D196))*D196)),IF(DAY('Deal maths'!AA196+1)=1,EOMONTH('Deal maths'!AA196,-(INT(((YEAR('Deal maths'!AA196)-YEAR(IF('Deal maths'!Z196&gt;0,'Deal maths'!Z196,DATE(1990,1,1))))*12+MONTH('Deal maths'!AA196)-MONTH(IF('Deal maths'!Z196&gt;0,'Deal maths'!Z196,DATE(1990,1,1))))/D196)-1)*D196),EDATE('Deal maths'!AA196,-(INT(((YEAR('Deal maths'!AA196)-YEAR(IF('Deal maths'!Z196&gt;0,'Deal maths'!Z196,DATE(1990,1,1))))*12+MONTH('Deal maths'!AA196)-MONTH(IF('Deal maths'!Z196&gt;0,'Deal maths'!Z196,DATE(1990,1,1))))/D196)-1)*D196))))),0)</f>
        <v/>
      </c>
      <c r="F196" s="110">
        <f>IF(D196=0,0,'Deal maths'!AB196*D196/12)</f>
        <v/>
      </c>
      <c r="G196" s="108">
        <f>N196+O196</f>
        <v/>
      </c>
      <c r="H196" s="108">
        <f>IFERROR(IF(OR(D196=0,AsAt&lt;E196),0,MIN(N196,INT(((YEAR(AsAt)-YEAR(E196))*12+MONTH(AsAt)-MONTH(E196)-(DAY(AsAt)&lt;MIN(R196,DAY(EOMONTH(AsAt,0)))))/D196)+1)+O196*(AsAt&gt;='Deal maths'!AA196)),0)</f>
        <v/>
      </c>
      <c r="I196" s="108">
        <f>G196-H196</f>
        <v/>
      </c>
      <c r="J196" s="111">
        <f>IF(AND(C196="EIP",I196&gt;0),'Deal maths'!Y196/I196,0)</f>
        <v/>
      </c>
      <c r="K196" s="111">
        <f>IF(AND(C196="Annuity",I196&gt;0),IF(F196&gt;0,'Deal maths'!Y196*F196/(1-(1+F196)^-I196),'Deal maths'!Y196/I196),0)</f>
        <v/>
      </c>
      <c r="L196" s="111">
        <f>IF('Deal maths'!Y196="",0,'Deal maths'!Y196)</f>
        <v/>
      </c>
      <c r="M196" s="112">
        <f>F196+(F196=0)</f>
        <v/>
      </c>
      <c r="N196" s="108">
        <f>IFERROR(IF(D196=0,0,INT(((YEAR('Deal maths'!AA196)-YEAR(E196))*12+MONTH('Deal maths'!AA196)-MONTH(E196)-(DAY('Deal maths'!AA196)&lt;MIN(R196,DAY(EOMONTH('Deal maths'!AA196,0)))))/D196)+1),0)</f>
        <v/>
      </c>
      <c r="O196" s="108">
        <f>IFERROR(IF(D196=0,0,IF(IF(DAY(E196+1)=1,EOMONTH(E196,(N196-1)*D196),EDATE(E196,(N196-1)*D196))='Deal maths'!AA196,0,1)),0)</f>
        <v/>
      </c>
      <c r="P196" s="113">
        <f>IF(B196=0,0,IFERROR(IF(C196="EIP",((I196-O196)*((IF(DAY(E196+1)=1,EOMONTH(E196,H196*D196),EDATE(E196,H196*D196))-AsAt)/365.25+(IF(DAY(E196+1)=1,EOMONTH(E196,(N196-1)*D196),EDATE(E196,(N196-1)*D196))-AsAt)/365.25)/2+O196*('Deal maths'!AA196-AsAt)/365.25)/I196,IF(C196="Annuity",IF(F196&gt;0,((K196-L196*F196)*((IF(DAY(E196+1)=1,EOMONTH(E196,H196*D196),EDATE(E196,H196*D196))-AsAt)/365.25*((1+F196)^(I196-O196)-1)/F196+IF((I196-O196)&gt;1,((IF(DAY(E196+1)=1,EOMONTH(E196,(N196-1)*D196),EDATE(E196,(N196-1)*D196))-AsAt)/365.25-(IF(DAY(E196+1)=1,EOMONTH(E196,H196*D196),EDATE(E196,H196*D196))-AsAt)/365.25)/((I196-O196)-1),0)*(1+F196)*(1-(I196-O196)*(1+F196)^((I196-O196)-1)+((I196-O196)-1)*(1+F196)^(I196-O196))/F196^2)+O196*(K196-L196*F196)*(1+F196)^(I196-1)*('Deal maths'!AA196-AsAt)/365.25)/L196,((I196-O196)*((IF(DAY(E196+1)=1,EOMONTH(E196,H196*D196),EDATE(E196,H196*D196))-AsAt)/365.25+(IF(DAY(E196+1)=1,EOMONTH(E196,(N196-1)*D196),EDATE(E196,(N196-1)*D196))-AsAt)/365.25)/2+O196*('Deal maths'!AA196-AsAt)/365.25)/I196),(S196-AsAt)/365.25)),0))</f>
        <v/>
      </c>
      <c r="Q196" s="109">
        <f>IF(B196=1,'Deal maths'!AA196+ROW()/1000000,"")</f>
        <v/>
      </c>
      <c r="R196" s="108">
        <f>IF(D196=0,0,IF(DAY(E196+1)=1,31,DAY(E196)))</f>
        <v/>
      </c>
      <c r="S196" s="109">
        <f>IF(AND('Deal maths'!V196="LOBO",'Deal maths'!AG196&gt;AsAt,'Deal maths'!AG196&lt;'Deal maths'!AA196),'Deal maths'!AG196,'Deal maths'!AA196)</f>
        <v/>
      </c>
      <c r="T196" s="108">
        <f>('Deal maths'!AA196&gt;AsAt)*('Deal maths'!Y196&gt;0)</f>
        <v/>
      </c>
    </row>
    <row r="197">
      <c r="A197" s="91">
        <f>IF('Deal maths'!V197="","",'Deal maths'!W197)</f>
        <v/>
      </c>
      <c r="B197" s="108">
        <f>('Deal maths'!AA197&gt;AsAt)*('Deal maths'!Y197&gt;0)*('Deal maths'!Z197&lt;=AsAt)</f>
        <v/>
      </c>
      <c r="C197" s="91">
        <f>IF('Deal maths'!V197="","",IF('Deal maths'!AC197="","Maturity",'Deal maths'!AC197))</f>
        <v/>
      </c>
      <c r="D197" s="108">
        <f>IF(OR(C197="EIP",C197="Annuity"),IF('Deal maths'!AD197="Annual",12,IF('Deal maths'!AD197="Quarterly",3,6)),0)</f>
        <v/>
      </c>
      <c r="E197" s="109">
        <f>IFERROR(IF(D197=0,0,IF('Deal maths'!AE197&gt;0,IF('Deal maths'!AE197&gt;'Deal maths'!AA197,'Deal maths'!AA197,'Deal maths'!AE197),IF(IF(DAY('Deal maths'!AA197+1)=1,EOMONTH('Deal maths'!AA197,-(INT(((YEAR('Deal maths'!AA197)-YEAR(IF('Deal maths'!Z197&gt;0,'Deal maths'!Z197,DATE(1990,1,1))))*12+MONTH('Deal maths'!AA197)-MONTH(IF('Deal maths'!Z197&gt;0,'Deal maths'!Z197,DATE(1990,1,1))))/D197))*D197),EDATE('Deal maths'!AA197,-(INT(((YEAR('Deal maths'!AA197)-YEAR(IF('Deal maths'!Z197&gt;0,'Deal maths'!Z197,DATE(1990,1,1))))*12+MONTH('Deal maths'!AA197)-MONTH(IF('Deal maths'!Z197&gt;0,'Deal maths'!Z197,DATE(1990,1,1))))/D197))*D197))&gt;IF('Deal maths'!Z197&gt;0,'Deal maths'!Z197,DATE(1990,1,1)),IF(DAY('Deal maths'!AA197+1)=1,EOMONTH('Deal maths'!AA197,-(INT(((YEAR('Deal maths'!AA197)-YEAR(IF('Deal maths'!Z197&gt;0,'Deal maths'!Z197,DATE(1990,1,1))))*12+MONTH('Deal maths'!AA197)-MONTH(IF('Deal maths'!Z197&gt;0,'Deal maths'!Z197,DATE(1990,1,1))))/D197))*D197),EDATE('Deal maths'!AA197,-(INT(((YEAR('Deal maths'!AA197)-YEAR(IF('Deal maths'!Z197&gt;0,'Deal maths'!Z197,DATE(1990,1,1))))*12+MONTH('Deal maths'!AA197)-MONTH(IF('Deal maths'!Z197&gt;0,'Deal maths'!Z197,DATE(1990,1,1))))/D197))*D197)),IF(DAY('Deal maths'!AA197+1)=1,EOMONTH('Deal maths'!AA197,-(INT(((YEAR('Deal maths'!AA197)-YEAR(IF('Deal maths'!Z197&gt;0,'Deal maths'!Z197,DATE(1990,1,1))))*12+MONTH('Deal maths'!AA197)-MONTH(IF('Deal maths'!Z197&gt;0,'Deal maths'!Z197,DATE(1990,1,1))))/D197)-1)*D197),EDATE('Deal maths'!AA197,-(INT(((YEAR('Deal maths'!AA197)-YEAR(IF('Deal maths'!Z197&gt;0,'Deal maths'!Z197,DATE(1990,1,1))))*12+MONTH('Deal maths'!AA197)-MONTH(IF('Deal maths'!Z197&gt;0,'Deal maths'!Z197,DATE(1990,1,1))))/D197)-1)*D197))))),0)</f>
        <v/>
      </c>
      <c r="F197" s="110">
        <f>IF(D197=0,0,'Deal maths'!AB197*D197/12)</f>
        <v/>
      </c>
      <c r="G197" s="108">
        <f>N197+O197</f>
        <v/>
      </c>
      <c r="H197" s="108">
        <f>IFERROR(IF(OR(D197=0,AsAt&lt;E197),0,MIN(N197,INT(((YEAR(AsAt)-YEAR(E197))*12+MONTH(AsAt)-MONTH(E197)-(DAY(AsAt)&lt;MIN(R197,DAY(EOMONTH(AsAt,0)))))/D197)+1)+O197*(AsAt&gt;='Deal maths'!AA197)),0)</f>
        <v/>
      </c>
      <c r="I197" s="108">
        <f>G197-H197</f>
        <v/>
      </c>
      <c r="J197" s="111">
        <f>IF(AND(C197="EIP",I197&gt;0),'Deal maths'!Y197/I197,0)</f>
        <v/>
      </c>
      <c r="K197" s="111">
        <f>IF(AND(C197="Annuity",I197&gt;0),IF(F197&gt;0,'Deal maths'!Y197*F197/(1-(1+F197)^-I197),'Deal maths'!Y197/I197),0)</f>
        <v/>
      </c>
      <c r="L197" s="111">
        <f>IF('Deal maths'!Y197="",0,'Deal maths'!Y197)</f>
        <v/>
      </c>
      <c r="M197" s="112">
        <f>F197+(F197=0)</f>
        <v/>
      </c>
      <c r="N197" s="108">
        <f>IFERROR(IF(D197=0,0,INT(((YEAR('Deal maths'!AA197)-YEAR(E197))*12+MONTH('Deal maths'!AA197)-MONTH(E197)-(DAY('Deal maths'!AA197)&lt;MIN(R197,DAY(EOMONTH('Deal maths'!AA197,0)))))/D197)+1),0)</f>
        <v/>
      </c>
      <c r="O197" s="108">
        <f>IFERROR(IF(D197=0,0,IF(IF(DAY(E197+1)=1,EOMONTH(E197,(N197-1)*D197),EDATE(E197,(N197-1)*D197))='Deal maths'!AA197,0,1)),0)</f>
        <v/>
      </c>
      <c r="P197" s="113">
        <f>IF(B197=0,0,IFERROR(IF(C197="EIP",((I197-O197)*((IF(DAY(E197+1)=1,EOMONTH(E197,H197*D197),EDATE(E197,H197*D197))-AsAt)/365.25+(IF(DAY(E197+1)=1,EOMONTH(E197,(N197-1)*D197),EDATE(E197,(N197-1)*D197))-AsAt)/365.25)/2+O197*('Deal maths'!AA197-AsAt)/365.25)/I197,IF(C197="Annuity",IF(F197&gt;0,((K197-L197*F197)*((IF(DAY(E197+1)=1,EOMONTH(E197,H197*D197),EDATE(E197,H197*D197))-AsAt)/365.25*((1+F197)^(I197-O197)-1)/F197+IF((I197-O197)&gt;1,((IF(DAY(E197+1)=1,EOMONTH(E197,(N197-1)*D197),EDATE(E197,(N197-1)*D197))-AsAt)/365.25-(IF(DAY(E197+1)=1,EOMONTH(E197,H197*D197),EDATE(E197,H197*D197))-AsAt)/365.25)/((I197-O197)-1),0)*(1+F197)*(1-(I197-O197)*(1+F197)^((I197-O197)-1)+((I197-O197)-1)*(1+F197)^(I197-O197))/F197^2)+O197*(K197-L197*F197)*(1+F197)^(I197-1)*('Deal maths'!AA197-AsAt)/365.25)/L197,((I197-O197)*((IF(DAY(E197+1)=1,EOMONTH(E197,H197*D197),EDATE(E197,H197*D197))-AsAt)/365.25+(IF(DAY(E197+1)=1,EOMONTH(E197,(N197-1)*D197),EDATE(E197,(N197-1)*D197))-AsAt)/365.25)/2+O197*('Deal maths'!AA197-AsAt)/365.25)/I197),(S197-AsAt)/365.25)),0))</f>
        <v/>
      </c>
      <c r="Q197" s="109">
        <f>IF(B197=1,'Deal maths'!AA197+ROW()/1000000,"")</f>
        <v/>
      </c>
      <c r="R197" s="108">
        <f>IF(D197=0,0,IF(DAY(E197+1)=1,31,DAY(E197)))</f>
        <v/>
      </c>
      <c r="S197" s="109">
        <f>IF(AND('Deal maths'!V197="LOBO",'Deal maths'!AG197&gt;AsAt,'Deal maths'!AG197&lt;'Deal maths'!AA197),'Deal maths'!AG197,'Deal maths'!AA197)</f>
        <v/>
      </c>
      <c r="T197" s="108">
        <f>('Deal maths'!AA197&gt;AsAt)*('Deal maths'!Y197&gt;0)</f>
        <v/>
      </c>
    </row>
    <row r="198">
      <c r="A198" s="91">
        <f>IF('Deal maths'!V198="","",'Deal maths'!W198)</f>
        <v/>
      </c>
      <c r="B198" s="108">
        <f>('Deal maths'!AA198&gt;AsAt)*('Deal maths'!Y198&gt;0)*('Deal maths'!Z198&lt;=AsAt)</f>
        <v/>
      </c>
      <c r="C198" s="91">
        <f>IF('Deal maths'!V198="","",IF('Deal maths'!AC198="","Maturity",'Deal maths'!AC198))</f>
        <v/>
      </c>
      <c r="D198" s="108">
        <f>IF(OR(C198="EIP",C198="Annuity"),IF('Deal maths'!AD198="Annual",12,IF('Deal maths'!AD198="Quarterly",3,6)),0)</f>
        <v/>
      </c>
      <c r="E198" s="109">
        <f>IFERROR(IF(D198=0,0,IF('Deal maths'!AE198&gt;0,IF('Deal maths'!AE198&gt;'Deal maths'!AA198,'Deal maths'!AA198,'Deal maths'!AE198),IF(IF(DAY('Deal maths'!AA198+1)=1,EOMONTH('Deal maths'!AA198,-(INT(((YEAR('Deal maths'!AA198)-YEAR(IF('Deal maths'!Z198&gt;0,'Deal maths'!Z198,DATE(1990,1,1))))*12+MONTH('Deal maths'!AA198)-MONTH(IF('Deal maths'!Z198&gt;0,'Deal maths'!Z198,DATE(1990,1,1))))/D198))*D198),EDATE('Deal maths'!AA198,-(INT(((YEAR('Deal maths'!AA198)-YEAR(IF('Deal maths'!Z198&gt;0,'Deal maths'!Z198,DATE(1990,1,1))))*12+MONTH('Deal maths'!AA198)-MONTH(IF('Deal maths'!Z198&gt;0,'Deal maths'!Z198,DATE(1990,1,1))))/D198))*D198))&gt;IF('Deal maths'!Z198&gt;0,'Deal maths'!Z198,DATE(1990,1,1)),IF(DAY('Deal maths'!AA198+1)=1,EOMONTH('Deal maths'!AA198,-(INT(((YEAR('Deal maths'!AA198)-YEAR(IF('Deal maths'!Z198&gt;0,'Deal maths'!Z198,DATE(1990,1,1))))*12+MONTH('Deal maths'!AA198)-MONTH(IF('Deal maths'!Z198&gt;0,'Deal maths'!Z198,DATE(1990,1,1))))/D198))*D198),EDATE('Deal maths'!AA198,-(INT(((YEAR('Deal maths'!AA198)-YEAR(IF('Deal maths'!Z198&gt;0,'Deal maths'!Z198,DATE(1990,1,1))))*12+MONTH('Deal maths'!AA198)-MONTH(IF('Deal maths'!Z198&gt;0,'Deal maths'!Z198,DATE(1990,1,1))))/D198))*D198)),IF(DAY('Deal maths'!AA198+1)=1,EOMONTH('Deal maths'!AA198,-(INT(((YEAR('Deal maths'!AA198)-YEAR(IF('Deal maths'!Z198&gt;0,'Deal maths'!Z198,DATE(1990,1,1))))*12+MONTH('Deal maths'!AA198)-MONTH(IF('Deal maths'!Z198&gt;0,'Deal maths'!Z198,DATE(1990,1,1))))/D198)-1)*D198),EDATE('Deal maths'!AA198,-(INT(((YEAR('Deal maths'!AA198)-YEAR(IF('Deal maths'!Z198&gt;0,'Deal maths'!Z198,DATE(1990,1,1))))*12+MONTH('Deal maths'!AA198)-MONTH(IF('Deal maths'!Z198&gt;0,'Deal maths'!Z198,DATE(1990,1,1))))/D198)-1)*D198))))),0)</f>
        <v/>
      </c>
      <c r="F198" s="110">
        <f>IF(D198=0,0,'Deal maths'!AB198*D198/12)</f>
        <v/>
      </c>
      <c r="G198" s="108">
        <f>N198+O198</f>
        <v/>
      </c>
      <c r="H198" s="108">
        <f>IFERROR(IF(OR(D198=0,AsAt&lt;E198),0,MIN(N198,INT(((YEAR(AsAt)-YEAR(E198))*12+MONTH(AsAt)-MONTH(E198)-(DAY(AsAt)&lt;MIN(R198,DAY(EOMONTH(AsAt,0)))))/D198)+1)+O198*(AsAt&gt;='Deal maths'!AA198)),0)</f>
        <v/>
      </c>
      <c r="I198" s="108">
        <f>G198-H198</f>
        <v/>
      </c>
      <c r="J198" s="111">
        <f>IF(AND(C198="EIP",I198&gt;0),'Deal maths'!Y198/I198,0)</f>
        <v/>
      </c>
      <c r="K198" s="111">
        <f>IF(AND(C198="Annuity",I198&gt;0),IF(F198&gt;0,'Deal maths'!Y198*F198/(1-(1+F198)^-I198),'Deal maths'!Y198/I198),0)</f>
        <v/>
      </c>
      <c r="L198" s="111">
        <f>IF('Deal maths'!Y198="",0,'Deal maths'!Y198)</f>
        <v/>
      </c>
      <c r="M198" s="112">
        <f>F198+(F198=0)</f>
        <v/>
      </c>
      <c r="N198" s="108">
        <f>IFERROR(IF(D198=0,0,INT(((YEAR('Deal maths'!AA198)-YEAR(E198))*12+MONTH('Deal maths'!AA198)-MONTH(E198)-(DAY('Deal maths'!AA198)&lt;MIN(R198,DAY(EOMONTH('Deal maths'!AA198,0)))))/D198)+1),0)</f>
        <v/>
      </c>
      <c r="O198" s="108">
        <f>IFERROR(IF(D198=0,0,IF(IF(DAY(E198+1)=1,EOMONTH(E198,(N198-1)*D198),EDATE(E198,(N198-1)*D198))='Deal maths'!AA198,0,1)),0)</f>
        <v/>
      </c>
      <c r="P198" s="113">
        <f>IF(B198=0,0,IFERROR(IF(C198="EIP",((I198-O198)*((IF(DAY(E198+1)=1,EOMONTH(E198,H198*D198),EDATE(E198,H198*D198))-AsAt)/365.25+(IF(DAY(E198+1)=1,EOMONTH(E198,(N198-1)*D198),EDATE(E198,(N198-1)*D198))-AsAt)/365.25)/2+O198*('Deal maths'!AA198-AsAt)/365.25)/I198,IF(C198="Annuity",IF(F198&gt;0,((K198-L198*F198)*((IF(DAY(E198+1)=1,EOMONTH(E198,H198*D198),EDATE(E198,H198*D198))-AsAt)/365.25*((1+F198)^(I198-O198)-1)/F198+IF((I198-O198)&gt;1,((IF(DAY(E198+1)=1,EOMONTH(E198,(N198-1)*D198),EDATE(E198,(N198-1)*D198))-AsAt)/365.25-(IF(DAY(E198+1)=1,EOMONTH(E198,H198*D198),EDATE(E198,H198*D198))-AsAt)/365.25)/((I198-O198)-1),0)*(1+F198)*(1-(I198-O198)*(1+F198)^((I198-O198)-1)+((I198-O198)-1)*(1+F198)^(I198-O198))/F198^2)+O198*(K198-L198*F198)*(1+F198)^(I198-1)*('Deal maths'!AA198-AsAt)/365.25)/L198,((I198-O198)*((IF(DAY(E198+1)=1,EOMONTH(E198,H198*D198),EDATE(E198,H198*D198))-AsAt)/365.25+(IF(DAY(E198+1)=1,EOMONTH(E198,(N198-1)*D198),EDATE(E198,(N198-1)*D198))-AsAt)/365.25)/2+O198*('Deal maths'!AA198-AsAt)/365.25)/I198),(S198-AsAt)/365.25)),0))</f>
        <v/>
      </c>
      <c r="Q198" s="109">
        <f>IF(B198=1,'Deal maths'!AA198+ROW()/1000000,"")</f>
        <v/>
      </c>
      <c r="R198" s="108">
        <f>IF(D198=0,0,IF(DAY(E198+1)=1,31,DAY(E198)))</f>
        <v/>
      </c>
      <c r="S198" s="109">
        <f>IF(AND('Deal maths'!V198="LOBO",'Deal maths'!AG198&gt;AsAt,'Deal maths'!AG198&lt;'Deal maths'!AA198),'Deal maths'!AG198,'Deal maths'!AA198)</f>
        <v/>
      </c>
      <c r="T198" s="108">
        <f>('Deal maths'!AA198&gt;AsAt)*('Deal maths'!Y198&gt;0)</f>
        <v/>
      </c>
    </row>
    <row r="199">
      <c r="A199" s="91">
        <f>IF('Deal maths'!V199="","",'Deal maths'!W199)</f>
        <v/>
      </c>
      <c r="B199" s="108">
        <f>('Deal maths'!AA199&gt;AsAt)*('Deal maths'!Y199&gt;0)*('Deal maths'!Z199&lt;=AsAt)</f>
        <v/>
      </c>
      <c r="C199" s="91">
        <f>IF('Deal maths'!V199="","",IF('Deal maths'!AC199="","Maturity",'Deal maths'!AC199))</f>
        <v/>
      </c>
      <c r="D199" s="108">
        <f>IF(OR(C199="EIP",C199="Annuity"),IF('Deal maths'!AD199="Annual",12,IF('Deal maths'!AD199="Quarterly",3,6)),0)</f>
        <v/>
      </c>
      <c r="E199" s="109">
        <f>IFERROR(IF(D199=0,0,IF('Deal maths'!AE199&gt;0,IF('Deal maths'!AE199&gt;'Deal maths'!AA199,'Deal maths'!AA199,'Deal maths'!AE199),IF(IF(DAY('Deal maths'!AA199+1)=1,EOMONTH('Deal maths'!AA199,-(INT(((YEAR('Deal maths'!AA199)-YEAR(IF('Deal maths'!Z199&gt;0,'Deal maths'!Z199,DATE(1990,1,1))))*12+MONTH('Deal maths'!AA199)-MONTH(IF('Deal maths'!Z199&gt;0,'Deal maths'!Z199,DATE(1990,1,1))))/D199))*D199),EDATE('Deal maths'!AA199,-(INT(((YEAR('Deal maths'!AA199)-YEAR(IF('Deal maths'!Z199&gt;0,'Deal maths'!Z199,DATE(1990,1,1))))*12+MONTH('Deal maths'!AA199)-MONTH(IF('Deal maths'!Z199&gt;0,'Deal maths'!Z199,DATE(1990,1,1))))/D199))*D199))&gt;IF('Deal maths'!Z199&gt;0,'Deal maths'!Z199,DATE(1990,1,1)),IF(DAY('Deal maths'!AA199+1)=1,EOMONTH('Deal maths'!AA199,-(INT(((YEAR('Deal maths'!AA199)-YEAR(IF('Deal maths'!Z199&gt;0,'Deal maths'!Z199,DATE(1990,1,1))))*12+MONTH('Deal maths'!AA199)-MONTH(IF('Deal maths'!Z199&gt;0,'Deal maths'!Z199,DATE(1990,1,1))))/D199))*D199),EDATE('Deal maths'!AA199,-(INT(((YEAR('Deal maths'!AA199)-YEAR(IF('Deal maths'!Z199&gt;0,'Deal maths'!Z199,DATE(1990,1,1))))*12+MONTH('Deal maths'!AA199)-MONTH(IF('Deal maths'!Z199&gt;0,'Deal maths'!Z199,DATE(1990,1,1))))/D199))*D199)),IF(DAY('Deal maths'!AA199+1)=1,EOMONTH('Deal maths'!AA199,-(INT(((YEAR('Deal maths'!AA199)-YEAR(IF('Deal maths'!Z199&gt;0,'Deal maths'!Z199,DATE(1990,1,1))))*12+MONTH('Deal maths'!AA199)-MONTH(IF('Deal maths'!Z199&gt;0,'Deal maths'!Z199,DATE(1990,1,1))))/D199)-1)*D199),EDATE('Deal maths'!AA199,-(INT(((YEAR('Deal maths'!AA199)-YEAR(IF('Deal maths'!Z199&gt;0,'Deal maths'!Z199,DATE(1990,1,1))))*12+MONTH('Deal maths'!AA199)-MONTH(IF('Deal maths'!Z199&gt;0,'Deal maths'!Z199,DATE(1990,1,1))))/D199)-1)*D199))))),0)</f>
        <v/>
      </c>
      <c r="F199" s="110">
        <f>IF(D199=0,0,'Deal maths'!AB199*D199/12)</f>
        <v/>
      </c>
      <c r="G199" s="108">
        <f>N199+O199</f>
        <v/>
      </c>
      <c r="H199" s="108">
        <f>IFERROR(IF(OR(D199=0,AsAt&lt;E199),0,MIN(N199,INT(((YEAR(AsAt)-YEAR(E199))*12+MONTH(AsAt)-MONTH(E199)-(DAY(AsAt)&lt;MIN(R199,DAY(EOMONTH(AsAt,0)))))/D199)+1)+O199*(AsAt&gt;='Deal maths'!AA199)),0)</f>
        <v/>
      </c>
      <c r="I199" s="108">
        <f>G199-H199</f>
        <v/>
      </c>
      <c r="J199" s="111">
        <f>IF(AND(C199="EIP",I199&gt;0),'Deal maths'!Y199/I199,0)</f>
        <v/>
      </c>
      <c r="K199" s="111">
        <f>IF(AND(C199="Annuity",I199&gt;0),IF(F199&gt;0,'Deal maths'!Y199*F199/(1-(1+F199)^-I199),'Deal maths'!Y199/I199),0)</f>
        <v/>
      </c>
      <c r="L199" s="111">
        <f>IF('Deal maths'!Y199="",0,'Deal maths'!Y199)</f>
        <v/>
      </c>
      <c r="M199" s="112">
        <f>F199+(F199=0)</f>
        <v/>
      </c>
      <c r="N199" s="108">
        <f>IFERROR(IF(D199=0,0,INT(((YEAR('Deal maths'!AA199)-YEAR(E199))*12+MONTH('Deal maths'!AA199)-MONTH(E199)-(DAY('Deal maths'!AA199)&lt;MIN(R199,DAY(EOMONTH('Deal maths'!AA199,0)))))/D199)+1),0)</f>
        <v/>
      </c>
      <c r="O199" s="108">
        <f>IFERROR(IF(D199=0,0,IF(IF(DAY(E199+1)=1,EOMONTH(E199,(N199-1)*D199),EDATE(E199,(N199-1)*D199))='Deal maths'!AA199,0,1)),0)</f>
        <v/>
      </c>
      <c r="P199" s="113">
        <f>IF(B199=0,0,IFERROR(IF(C199="EIP",((I199-O199)*((IF(DAY(E199+1)=1,EOMONTH(E199,H199*D199),EDATE(E199,H199*D199))-AsAt)/365.25+(IF(DAY(E199+1)=1,EOMONTH(E199,(N199-1)*D199),EDATE(E199,(N199-1)*D199))-AsAt)/365.25)/2+O199*('Deal maths'!AA199-AsAt)/365.25)/I199,IF(C199="Annuity",IF(F199&gt;0,((K199-L199*F199)*((IF(DAY(E199+1)=1,EOMONTH(E199,H199*D199),EDATE(E199,H199*D199))-AsAt)/365.25*((1+F199)^(I199-O199)-1)/F199+IF((I199-O199)&gt;1,((IF(DAY(E199+1)=1,EOMONTH(E199,(N199-1)*D199),EDATE(E199,(N199-1)*D199))-AsAt)/365.25-(IF(DAY(E199+1)=1,EOMONTH(E199,H199*D199),EDATE(E199,H199*D199))-AsAt)/365.25)/((I199-O199)-1),0)*(1+F199)*(1-(I199-O199)*(1+F199)^((I199-O199)-1)+((I199-O199)-1)*(1+F199)^(I199-O199))/F199^2)+O199*(K199-L199*F199)*(1+F199)^(I199-1)*('Deal maths'!AA199-AsAt)/365.25)/L199,((I199-O199)*((IF(DAY(E199+1)=1,EOMONTH(E199,H199*D199),EDATE(E199,H199*D199))-AsAt)/365.25+(IF(DAY(E199+1)=1,EOMONTH(E199,(N199-1)*D199),EDATE(E199,(N199-1)*D199))-AsAt)/365.25)/2+O199*('Deal maths'!AA199-AsAt)/365.25)/I199),(S199-AsAt)/365.25)),0))</f>
        <v/>
      </c>
      <c r="Q199" s="109">
        <f>IF(B199=1,'Deal maths'!AA199+ROW()/1000000,"")</f>
        <v/>
      </c>
      <c r="R199" s="108">
        <f>IF(D199=0,0,IF(DAY(E199+1)=1,31,DAY(E199)))</f>
        <v/>
      </c>
      <c r="S199" s="109">
        <f>IF(AND('Deal maths'!V199="LOBO",'Deal maths'!AG199&gt;AsAt,'Deal maths'!AG199&lt;'Deal maths'!AA199),'Deal maths'!AG199,'Deal maths'!AA199)</f>
        <v/>
      </c>
      <c r="T199" s="108">
        <f>('Deal maths'!AA199&gt;AsAt)*('Deal maths'!Y199&gt;0)</f>
        <v/>
      </c>
    </row>
    <row r="200">
      <c r="A200" s="91">
        <f>IF('Deal maths'!V200="","",'Deal maths'!W200)</f>
        <v/>
      </c>
      <c r="B200" s="108">
        <f>('Deal maths'!AA200&gt;AsAt)*('Deal maths'!Y200&gt;0)*('Deal maths'!Z200&lt;=AsAt)</f>
        <v/>
      </c>
      <c r="C200" s="91">
        <f>IF('Deal maths'!V200="","",IF('Deal maths'!AC200="","Maturity",'Deal maths'!AC200))</f>
        <v/>
      </c>
      <c r="D200" s="108">
        <f>IF(OR(C200="EIP",C200="Annuity"),IF('Deal maths'!AD200="Annual",12,IF('Deal maths'!AD200="Quarterly",3,6)),0)</f>
        <v/>
      </c>
      <c r="E200" s="109">
        <f>IFERROR(IF(D200=0,0,IF('Deal maths'!AE200&gt;0,IF('Deal maths'!AE200&gt;'Deal maths'!AA200,'Deal maths'!AA200,'Deal maths'!AE200),IF(IF(DAY('Deal maths'!AA200+1)=1,EOMONTH('Deal maths'!AA200,-(INT(((YEAR('Deal maths'!AA200)-YEAR(IF('Deal maths'!Z200&gt;0,'Deal maths'!Z200,DATE(1990,1,1))))*12+MONTH('Deal maths'!AA200)-MONTH(IF('Deal maths'!Z200&gt;0,'Deal maths'!Z200,DATE(1990,1,1))))/D200))*D200),EDATE('Deal maths'!AA200,-(INT(((YEAR('Deal maths'!AA200)-YEAR(IF('Deal maths'!Z200&gt;0,'Deal maths'!Z200,DATE(1990,1,1))))*12+MONTH('Deal maths'!AA200)-MONTH(IF('Deal maths'!Z200&gt;0,'Deal maths'!Z200,DATE(1990,1,1))))/D200))*D200))&gt;IF('Deal maths'!Z200&gt;0,'Deal maths'!Z200,DATE(1990,1,1)),IF(DAY('Deal maths'!AA200+1)=1,EOMONTH('Deal maths'!AA200,-(INT(((YEAR('Deal maths'!AA200)-YEAR(IF('Deal maths'!Z200&gt;0,'Deal maths'!Z200,DATE(1990,1,1))))*12+MONTH('Deal maths'!AA200)-MONTH(IF('Deal maths'!Z200&gt;0,'Deal maths'!Z200,DATE(1990,1,1))))/D200))*D200),EDATE('Deal maths'!AA200,-(INT(((YEAR('Deal maths'!AA200)-YEAR(IF('Deal maths'!Z200&gt;0,'Deal maths'!Z200,DATE(1990,1,1))))*12+MONTH('Deal maths'!AA200)-MONTH(IF('Deal maths'!Z200&gt;0,'Deal maths'!Z200,DATE(1990,1,1))))/D200))*D200)),IF(DAY('Deal maths'!AA200+1)=1,EOMONTH('Deal maths'!AA200,-(INT(((YEAR('Deal maths'!AA200)-YEAR(IF('Deal maths'!Z200&gt;0,'Deal maths'!Z200,DATE(1990,1,1))))*12+MONTH('Deal maths'!AA200)-MONTH(IF('Deal maths'!Z200&gt;0,'Deal maths'!Z200,DATE(1990,1,1))))/D200)-1)*D200),EDATE('Deal maths'!AA200,-(INT(((YEAR('Deal maths'!AA200)-YEAR(IF('Deal maths'!Z200&gt;0,'Deal maths'!Z200,DATE(1990,1,1))))*12+MONTH('Deal maths'!AA200)-MONTH(IF('Deal maths'!Z200&gt;0,'Deal maths'!Z200,DATE(1990,1,1))))/D200)-1)*D200))))),0)</f>
        <v/>
      </c>
      <c r="F200" s="110">
        <f>IF(D200=0,0,'Deal maths'!AB200*D200/12)</f>
        <v/>
      </c>
      <c r="G200" s="108">
        <f>N200+O200</f>
        <v/>
      </c>
      <c r="H200" s="108">
        <f>IFERROR(IF(OR(D200=0,AsAt&lt;E200),0,MIN(N200,INT(((YEAR(AsAt)-YEAR(E200))*12+MONTH(AsAt)-MONTH(E200)-(DAY(AsAt)&lt;MIN(R200,DAY(EOMONTH(AsAt,0)))))/D200)+1)+O200*(AsAt&gt;='Deal maths'!AA200)),0)</f>
        <v/>
      </c>
      <c r="I200" s="108">
        <f>G200-H200</f>
        <v/>
      </c>
      <c r="J200" s="111">
        <f>IF(AND(C200="EIP",I200&gt;0),'Deal maths'!Y200/I200,0)</f>
        <v/>
      </c>
      <c r="K200" s="111">
        <f>IF(AND(C200="Annuity",I200&gt;0),IF(F200&gt;0,'Deal maths'!Y200*F200/(1-(1+F200)^-I200),'Deal maths'!Y200/I200),0)</f>
        <v/>
      </c>
      <c r="L200" s="111">
        <f>IF('Deal maths'!Y200="",0,'Deal maths'!Y200)</f>
        <v/>
      </c>
      <c r="M200" s="112">
        <f>F200+(F200=0)</f>
        <v/>
      </c>
      <c r="N200" s="108">
        <f>IFERROR(IF(D200=0,0,INT(((YEAR('Deal maths'!AA200)-YEAR(E200))*12+MONTH('Deal maths'!AA200)-MONTH(E200)-(DAY('Deal maths'!AA200)&lt;MIN(R200,DAY(EOMONTH('Deal maths'!AA200,0)))))/D200)+1),0)</f>
        <v/>
      </c>
      <c r="O200" s="108">
        <f>IFERROR(IF(D200=0,0,IF(IF(DAY(E200+1)=1,EOMONTH(E200,(N200-1)*D200),EDATE(E200,(N200-1)*D200))='Deal maths'!AA200,0,1)),0)</f>
        <v/>
      </c>
      <c r="P200" s="113">
        <f>IF(B200=0,0,IFERROR(IF(C200="EIP",((I200-O200)*((IF(DAY(E200+1)=1,EOMONTH(E200,H200*D200),EDATE(E200,H200*D200))-AsAt)/365.25+(IF(DAY(E200+1)=1,EOMONTH(E200,(N200-1)*D200),EDATE(E200,(N200-1)*D200))-AsAt)/365.25)/2+O200*('Deal maths'!AA200-AsAt)/365.25)/I200,IF(C200="Annuity",IF(F200&gt;0,((K200-L200*F200)*((IF(DAY(E200+1)=1,EOMONTH(E200,H200*D200),EDATE(E200,H200*D200))-AsAt)/365.25*((1+F200)^(I200-O200)-1)/F200+IF((I200-O200)&gt;1,((IF(DAY(E200+1)=1,EOMONTH(E200,(N200-1)*D200),EDATE(E200,(N200-1)*D200))-AsAt)/365.25-(IF(DAY(E200+1)=1,EOMONTH(E200,H200*D200),EDATE(E200,H200*D200))-AsAt)/365.25)/((I200-O200)-1),0)*(1+F200)*(1-(I200-O200)*(1+F200)^((I200-O200)-1)+((I200-O200)-1)*(1+F200)^(I200-O200))/F200^2)+O200*(K200-L200*F200)*(1+F200)^(I200-1)*('Deal maths'!AA200-AsAt)/365.25)/L200,((I200-O200)*((IF(DAY(E200+1)=1,EOMONTH(E200,H200*D200),EDATE(E200,H200*D200))-AsAt)/365.25+(IF(DAY(E200+1)=1,EOMONTH(E200,(N200-1)*D200),EDATE(E200,(N200-1)*D200))-AsAt)/365.25)/2+O200*('Deal maths'!AA200-AsAt)/365.25)/I200),(S200-AsAt)/365.25)),0))</f>
        <v/>
      </c>
      <c r="Q200" s="109">
        <f>IF(B200=1,'Deal maths'!AA200+ROW()/1000000,"")</f>
        <v/>
      </c>
      <c r="R200" s="108">
        <f>IF(D200=0,0,IF(DAY(E200+1)=1,31,DAY(E200)))</f>
        <v/>
      </c>
      <c r="S200" s="109">
        <f>IF(AND('Deal maths'!V200="LOBO",'Deal maths'!AG200&gt;AsAt,'Deal maths'!AG200&lt;'Deal maths'!AA200),'Deal maths'!AG200,'Deal maths'!AA200)</f>
        <v/>
      </c>
      <c r="T200" s="108">
        <f>('Deal maths'!AA200&gt;AsAt)*('Deal maths'!Y200&gt;0)</f>
        <v/>
      </c>
    </row>
    <row r="201">
      <c r="A201" s="91">
        <f>IF('Deal maths'!V201="","",'Deal maths'!W201)</f>
        <v/>
      </c>
      <c r="B201" s="108">
        <f>('Deal maths'!AA201&gt;AsAt)*('Deal maths'!Y201&gt;0)*('Deal maths'!Z201&lt;=AsAt)</f>
        <v/>
      </c>
      <c r="C201" s="91">
        <f>IF('Deal maths'!V201="","",IF('Deal maths'!AC201="","Maturity",'Deal maths'!AC201))</f>
        <v/>
      </c>
      <c r="D201" s="108">
        <f>IF(OR(C201="EIP",C201="Annuity"),IF('Deal maths'!AD201="Annual",12,IF('Deal maths'!AD201="Quarterly",3,6)),0)</f>
        <v/>
      </c>
      <c r="E201" s="109">
        <f>IFERROR(IF(D201=0,0,IF('Deal maths'!AE201&gt;0,IF('Deal maths'!AE201&gt;'Deal maths'!AA201,'Deal maths'!AA201,'Deal maths'!AE201),IF(IF(DAY('Deal maths'!AA201+1)=1,EOMONTH('Deal maths'!AA201,-(INT(((YEAR('Deal maths'!AA201)-YEAR(IF('Deal maths'!Z201&gt;0,'Deal maths'!Z201,DATE(1990,1,1))))*12+MONTH('Deal maths'!AA201)-MONTH(IF('Deal maths'!Z201&gt;0,'Deal maths'!Z201,DATE(1990,1,1))))/D201))*D201),EDATE('Deal maths'!AA201,-(INT(((YEAR('Deal maths'!AA201)-YEAR(IF('Deal maths'!Z201&gt;0,'Deal maths'!Z201,DATE(1990,1,1))))*12+MONTH('Deal maths'!AA201)-MONTH(IF('Deal maths'!Z201&gt;0,'Deal maths'!Z201,DATE(1990,1,1))))/D201))*D201))&gt;IF('Deal maths'!Z201&gt;0,'Deal maths'!Z201,DATE(1990,1,1)),IF(DAY('Deal maths'!AA201+1)=1,EOMONTH('Deal maths'!AA201,-(INT(((YEAR('Deal maths'!AA201)-YEAR(IF('Deal maths'!Z201&gt;0,'Deal maths'!Z201,DATE(1990,1,1))))*12+MONTH('Deal maths'!AA201)-MONTH(IF('Deal maths'!Z201&gt;0,'Deal maths'!Z201,DATE(1990,1,1))))/D201))*D201),EDATE('Deal maths'!AA201,-(INT(((YEAR('Deal maths'!AA201)-YEAR(IF('Deal maths'!Z201&gt;0,'Deal maths'!Z201,DATE(1990,1,1))))*12+MONTH('Deal maths'!AA201)-MONTH(IF('Deal maths'!Z201&gt;0,'Deal maths'!Z201,DATE(1990,1,1))))/D201))*D201)),IF(DAY('Deal maths'!AA201+1)=1,EOMONTH('Deal maths'!AA201,-(INT(((YEAR('Deal maths'!AA201)-YEAR(IF('Deal maths'!Z201&gt;0,'Deal maths'!Z201,DATE(1990,1,1))))*12+MONTH('Deal maths'!AA201)-MONTH(IF('Deal maths'!Z201&gt;0,'Deal maths'!Z201,DATE(1990,1,1))))/D201)-1)*D201),EDATE('Deal maths'!AA201,-(INT(((YEAR('Deal maths'!AA201)-YEAR(IF('Deal maths'!Z201&gt;0,'Deal maths'!Z201,DATE(1990,1,1))))*12+MONTH('Deal maths'!AA201)-MONTH(IF('Deal maths'!Z201&gt;0,'Deal maths'!Z201,DATE(1990,1,1))))/D201)-1)*D201))))),0)</f>
        <v/>
      </c>
      <c r="F201" s="110">
        <f>IF(D201=0,0,'Deal maths'!AB201*D201/12)</f>
        <v/>
      </c>
      <c r="G201" s="108">
        <f>N201+O201</f>
        <v/>
      </c>
      <c r="H201" s="108">
        <f>IFERROR(IF(OR(D201=0,AsAt&lt;E201),0,MIN(N201,INT(((YEAR(AsAt)-YEAR(E201))*12+MONTH(AsAt)-MONTH(E201)-(DAY(AsAt)&lt;MIN(R201,DAY(EOMONTH(AsAt,0)))))/D201)+1)+O201*(AsAt&gt;='Deal maths'!AA201)),0)</f>
        <v/>
      </c>
      <c r="I201" s="108">
        <f>G201-H201</f>
        <v/>
      </c>
      <c r="J201" s="111">
        <f>IF(AND(C201="EIP",I201&gt;0),'Deal maths'!Y201/I201,0)</f>
        <v/>
      </c>
      <c r="K201" s="111">
        <f>IF(AND(C201="Annuity",I201&gt;0),IF(F201&gt;0,'Deal maths'!Y201*F201/(1-(1+F201)^-I201),'Deal maths'!Y201/I201),0)</f>
        <v/>
      </c>
      <c r="L201" s="111">
        <f>IF('Deal maths'!Y201="",0,'Deal maths'!Y201)</f>
        <v/>
      </c>
      <c r="M201" s="112">
        <f>F201+(F201=0)</f>
        <v/>
      </c>
      <c r="N201" s="108">
        <f>IFERROR(IF(D201=0,0,INT(((YEAR('Deal maths'!AA201)-YEAR(E201))*12+MONTH('Deal maths'!AA201)-MONTH(E201)-(DAY('Deal maths'!AA201)&lt;MIN(R201,DAY(EOMONTH('Deal maths'!AA201,0)))))/D201)+1),0)</f>
        <v/>
      </c>
      <c r="O201" s="108">
        <f>IFERROR(IF(D201=0,0,IF(IF(DAY(E201+1)=1,EOMONTH(E201,(N201-1)*D201),EDATE(E201,(N201-1)*D201))='Deal maths'!AA201,0,1)),0)</f>
        <v/>
      </c>
      <c r="P201" s="113">
        <f>IF(B201=0,0,IFERROR(IF(C201="EIP",((I201-O201)*((IF(DAY(E201+1)=1,EOMONTH(E201,H201*D201),EDATE(E201,H201*D201))-AsAt)/365.25+(IF(DAY(E201+1)=1,EOMONTH(E201,(N201-1)*D201),EDATE(E201,(N201-1)*D201))-AsAt)/365.25)/2+O201*('Deal maths'!AA201-AsAt)/365.25)/I201,IF(C201="Annuity",IF(F201&gt;0,((K201-L201*F201)*((IF(DAY(E201+1)=1,EOMONTH(E201,H201*D201),EDATE(E201,H201*D201))-AsAt)/365.25*((1+F201)^(I201-O201)-1)/F201+IF((I201-O201)&gt;1,((IF(DAY(E201+1)=1,EOMONTH(E201,(N201-1)*D201),EDATE(E201,(N201-1)*D201))-AsAt)/365.25-(IF(DAY(E201+1)=1,EOMONTH(E201,H201*D201),EDATE(E201,H201*D201))-AsAt)/365.25)/((I201-O201)-1),0)*(1+F201)*(1-(I201-O201)*(1+F201)^((I201-O201)-1)+((I201-O201)-1)*(1+F201)^(I201-O201))/F201^2)+O201*(K201-L201*F201)*(1+F201)^(I201-1)*('Deal maths'!AA201-AsAt)/365.25)/L201,((I201-O201)*((IF(DAY(E201+1)=1,EOMONTH(E201,H201*D201),EDATE(E201,H201*D201))-AsAt)/365.25+(IF(DAY(E201+1)=1,EOMONTH(E201,(N201-1)*D201),EDATE(E201,(N201-1)*D201))-AsAt)/365.25)/2+O201*('Deal maths'!AA201-AsAt)/365.25)/I201),(S201-AsAt)/365.25)),0))</f>
        <v/>
      </c>
      <c r="Q201" s="109">
        <f>IF(B201=1,'Deal maths'!AA201+ROW()/1000000,"")</f>
        <v/>
      </c>
      <c r="R201" s="108">
        <f>IF(D201=0,0,IF(DAY(E201+1)=1,31,DAY(E201)))</f>
        <v/>
      </c>
      <c r="S201" s="109">
        <f>IF(AND('Deal maths'!V201="LOBO",'Deal maths'!AG201&gt;AsAt,'Deal maths'!AG201&lt;'Deal maths'!AA201),'Deal maths'!AG201,'Deal maths'!AA201)</f>
        <v/>
      </c>
      <c r="T201" s="108">
        <f>('Deal maths'!AA201&gt;AsAt)*('Deal maths'!Y201&gt;0)</f>
        <v/>
      </c>
    </row>
    <row r="202">
      <c r="A202" s="91">
        <f>IF('Deal maths'!V202="","",'Deal maths'!W202)</f>
        <v/>
      </c>
      <c r="B202" s="108">
        <f>('Deal maths'!AA202&gt;AsAt)*('Deal maths'!Y202&gt;0)*('Deal maths'!Z202&lt;=AsAt)</f>
        <v/>
      </c>
      <c r="C202" s="91">
        <f>IF('Deal maths'!V202="","",IF('Deal maths'!AC202="","Maturity",'Deal maths'!AC202))</f>
        <v/>
      </c>
      <c r="D202" s="108">
        <f>IF(OR(C202="EIP",C202="Annuity"),IF('Deal maths'!AD202="Annual",12,IF('Deal maths'!AD202="Quarterly",3,6)),0)</f>
        <v/>
      </c>
      <c r="E202" s="109">
        <f>IFERROR(IF(D202=0,0,IF('Deal maths'!AE202&gt;0,IF('Deal maths'!AE202&gt;'Deal maths'!AA202,'Deal maths'!AA202,'Deal maths'!AE202),IF(IF(DAY('Deal maths'!AA202+1)=1,EOMONTH('Deal maths'!AA202,-(INT(((YEAR('Deal maths'!AA202)-YEAR(IF('Deal maths'!Z202&gt;0,'Deal maths'!Z202,DATE(1990,1,1))))*12+MONTH('Deal maths'!AA202)-MONTH(IF('Deal maths'!Z202&gt;0,'Deal maths'!Z202,DATE(1990,1,1))))/D202))*D202),EDATE('Deal maths'!AA202,-(INT(((YEAR('Deal maths'!AA202)-YEAR(IF('Deal maths'!Z202&gt;0,'Deal maths'!Z202,DATE(1990,1,1))))*12+MONTH('Deal maths'!AA202)-MONTH(IF('Deal maths'!Z202&gt;0,'Deal maths'!Z202,DATE(1990,1,1))))/D202))*D202))&gt;IF('Deal maths'!Z202&gt;0,'Deal maths'!Z202,DATE(1990,1,1)),IF(DAY('Deal maths'!AA202+1)=1,EOMONTH('Deal maths'!AA202,-(INT(((YEAR('Deal maths'!AA202)-YEAR(IF('Deal maths'!Z202&gt;0,'Deal maths'!Z202,DATE(1990,1,1))))*12+MONTH('Deal maths'!AA202)-MONTH(IF('Deal maths'!Z202&gt;0,'Deal maths'!Z202,DATE(1990,1,1))))/D202))*D202),EDATE('Deal maths'!AA202,-(INT(((YEAR('Deal maths'!AA202)-YEAR(IF('Deal maths'!Z202&gt;0,'Deal maths'!Z202,DATE(1990,1,1))))*12+MONTH('Deal maths'!AA202)-MONTH(IF('Deal maths'!Z202&gt;0,'Deal maths'!Z202,DATE(1990,1,1))))/D202))*D202)),IF(DAY('Deal maths'!AA202+1)=1,EOMONTH('Deal maths'!AA202,-(INT(((YEAR('Deal maths'!AA202)-YEAR(IF('Deal maths'!Z202&gt;0,'Deal maths'!Z202,DATE(1990,1,1))))*12+MONTH('Deal maths'!AA202)-MONTH(IF('Deal maths'!Z202&gt;0,'Deal maths'!Z202,DATE(1990,1,1))))/D202)-1)*D202),EDATE('Deal maths'!AA202,-(INT(((YEAR('Deal maths'!AA202)-YEAR(IF('Deal maths'!Z202&gt;0,'Deal maths'!Z202,DATE(1990,1,1))))*12+MONTH('Deal maths'!AA202)-MONTH(IF('Deal maths'!Z202&gt;0,'Deal maths'!Z202,DATE(1990,1,1))))/D202)-1)*D202))))),0)</f>
        <v/>
      </c>
      <c r="F202" s="110">
        <f>IF(D202=0,0,'Deal maths'!AB202*D202/12)</f>
        <v/>
      </c>
      <c r="G202" s="108">
        <f>N202+O202</f>
        <v/>
      </c>
      <c r="H202" s="108">
        <f>IFERROR(IF(OR(D202=0,AsAt&lt;E202),0,MIN(N202,INT(((YEAR(AsAt)-YEAR(E202))*12+MONTH(AsAt)-MONTH(E202)-(DAY(AsAt)&lt;MIN(R202,DAY(EOMONTH(AsAt,0)))))/D202)+1)+O202*(AsAt&gt;='Deal maths'!AA202)),0)</f>
        <v/>
      </c>
      <c r="I202" s="108">
        <f>G202-H202</f>
        <v/>
      </c>
      <c r="J202" s="111">
        <f>IF(AND(C202="EIP",I202&gt;0),'Deal maths'!Y202/I202,0)</f>
        <v/>
      </c>
      <c r="K202" s="111">
        <f>IF(AND(C202="Annuity",I202&gt;0),IF(F202&gt;0,'Deal maths'!Y202*F202/(1-(1+F202)^-I202),'Deal maths'!Y202/I202),0)</f>
        <v/>
      </c>
      <c r="L202" s="111">
        <f>IF('Deal maths'!Y202="",0,'Deal maths'!Y202)</f>
        <v/>
      </c>
      <c r="M202" s="112">
        <f>F202+(F202=0)</f>
        <v/>
      </c>
      <c r="N202" s="108">
        <f>IFERROR(IF(D202=0,0,INT(((YEAR('Deal maths'!AA202)-YEAR(E202))*12+MONTH('Deal maths'!AA202)-MONTH(E202)-(DAY('Deal maths'!AA202)&lt;MIN(R202,DAY(EOMONTH('Deal maths'!AA202,0)))))/D202)+1),0)</f>
        <v/>
      </c>
      <c r="O202" s="108">
        <f>IFERROR(IF(D202=0,0,IF(IF(DAY(E202+1)=1,EOMONTH(E202,(N202-1)*D202),EDATE(E202,(N202-1)*D202))='Deal maths'!AA202,0,1)),0)</f>
        <v/>
      </c>
      <c r="P202" s="113">
        <f>IF(B202=0,0,IFERROR(IF(C202="EIP",((I202-O202)*((IF(DAY(E202+1)=1,EOMONTH(E202,H202*D202),EDATE(E202,H202*D202))-AsAt)/365.25+(IF(DAY(E202+1)=1,EOMONTH(E202,(N202-1)*D202),EDATE(E202,(N202-1)*D202))-AsAt)/365.25)/2+O202*('Deal maths'!AA202-AsAt)/365.25)/I202,IF(C202="Annuity",IF(F202&gt;0,((K202-L202*F202)*((IF(DAY(E202+1)=1,EOMONTH(E202,H202*D202),EDATE(E202,H202*D202))-AsAt)/365.25*((1+F202)^(I202-O202)-1)/F202+IF((I202-O202)&gt;1,((IF(DAY(E202+1)=1,EOMONTH(E202,(N202-1)*D202),EDATE(E202,(N202-1)*D202))-AsAt)/365.25-(IF(DAY(E202+1)=1,EOMONTH(E202,H202*D202),EDATE(E202,H202*D202))-AsAt)/365.25)/((I202-O202)-1),0)*(1+F202)*(1-(I202-O202)*(1+F202)^((I202-O202)-1)+((I202-O202)-1)*(1+F202)^(I202-O202))/F202^2)+O202*(K202-L202*F202)*(1+F202)^(I202-1)*('Deal maths'!AA202-AsAt)/365.25)/L202,((I202-O202)*((IF(DAY(E202+1)=1,EOMONTH(E202,H202*D202),EDATE(E202,H202*D202))-AsAt)/365.25+(IF(DAY(E202+1)=1,EOMONTH(E202,(N202-1)*D202),EDATE(E202,(N202-1)*D202))-AsAt)/365.25)/2+O202*('Deal maths'!AA202-AsAt)/365.25)/I202),(S202-AsAt)/365.25)),0))</f>
        <v/>
      </c>
      <c r="Q202" s="109">
        <f>IF(B202=1,'Deal maths'!AA202+ROW()/1000000,"")</f>
        <v/>
      </c>
      <c r="R202" s="108">
        <f>IF(D202=0,0,IF(DAY(E202+1)=1,31,DAY(E202)))</f>
        <v/>
      </c>
      <c r="S202" s="109">
        <f>IF(AND('Deal maths'!V202="LOBO",'Deal maths'!AG202&gt;AsAt,'Deal maths'!AG202&lt;'Deal maths'!AA202),'Deal maths'!AG202,'Deal maths'!AA202)</f>
        <v/>
      </c>
      <c r="T202" s="108">
        <f>('Deal maths'!AA202&gt;AsAt)*('Deal maths'!Y202&gt;0)</f>
        <v/>
      </c>
    </row>
    <row r="203">
      <c r="A203" s="91">
        <f>IF('Deal maths'!V203="","",'Deal maths'!W203)</f>
        <v/>
      </c>
      <c r="B203" s="108">
        <f>('Deal maths'!AA203&gt;AsAt)*('Deal maths'!Y203&gt;0)*('Deal maths'!Z203&lt;=AsAt)</f>
        <v/>
      </c>
      <c r="C203" s="91">
        <f>IF('Deal maths'!V203="","",IF('Deal maths'!AC203="","Maturity",'Deal maths'!AC203))</f>
        <v/>
      </c>
      <c r="D203" s="108">
        <f>IF(OR(C203="EIP",C203="Annuity"),IF('Deal maths'!AD203="Annual",12,IF('Deal maths'!AD203="Quarterly",3,6)),0)</f>
        <v/>
      </c>
      <c r="E203" s="109">
        <f>IFERROR(IF(D203=0,0,IF('Deal maths'!AE203&gt;0,IF('Deal maths'!AE203&gt;'Deal maths'!AA203,'Deal maths'!AA203,'Deal maths'!AE203),IF(IF(DAY('Deal maths'!AA203+1)=1,EOMONTH('Deal maths'!AA203,-(INT(((YEAR('Deal maths'!AA203)-YEAR(IF('Deal maths'!Z203&gt;0,'Deal maths'!Z203,DATE(1990,1,1))))*12+MONTH('Deal maths'!AA203)-MONTH(IF('Deal maths'!Z203&gt;0,'Deal maths'!Z203,DATE(1990,1,1))))/D203))*D203),EDATE('Deal maths'!AA203,-(INT(((YEAR('Deal maths'!AA203)-YEAR(IF('Deal maths'!Z203&gt;0,'Deal maths'!Z203,DATE(1990,1,1))))*12+MONTH('Deal maths'!AA203)-MONTH(IF('Deal maths'!Z203&gt;0,'Deal maths'!Z203,DATE(1990,1,1))))/D203))*D203))&gt;IF('Deal maths'!Z203&gt;0,'Deal maths'!Z203,DATE(1990,1,1)),IF(DAY('Deal maths'!AA203+1)=1,EOMONTH('Deal maths'!AA203,-(INT(((YEAR('Deal maths'!AA203)-YEAR(IF('Deal maths'!Z203&gt;0,'Deal maths'!Z203,DATE(1990,1,1))))*12+MONTH('Deal maths'!AA203)-MONTH(IF('Deal maths'!Z203&gt;0,'Deal maths'!Z203,DATE(1990,1,1))))/D203))*D203),EDATE('Deal maths'!AA203,-(INT(((YEAR('Deal maths'!AA203)-YEAR(IF('Deal maths'!Z203&gt;0,'Deal maths'!Z203,DATE(1990,1,1))))*12+MONTH('Deal maths'!AA203)-MONTH(IF('Deal maths'!Z203&gt;0,'Deal maths'!Z203,DATE(1990,1,1))))/D203))*D203)),IF(DAY('Deal maths'!AA203+1)=1,EOMONTH('Deal maths'!AA203,-(INT(((YEAR('Deal maths'!AA203)-YEAR(IF('Deal maths'!Z203&gt;0,'Deal maths'!Z203,DATE(1990,1,1))))*12+MONTH('Deal maths'!AA203)-MONTH(IF('Deal maths'!Z203&gt;0,'Deal maths'!Z203,DATE(1990,1,1))))/D203)-1)*D203),EDATE('Deal maths'!AA203,-(INT(((YEAR('Deal maths'!AA203)-YEAR(IF('Deal maths'!Z203&gt;0,'Deal maths'!Z203,DATE(1990,1,1))))*12+MONTH('Deal maths'!AA203)-MONTH(IF('Deal maths'!Z203&gt;0,'Deal maths'!Z203,DATE(1990,1,1))))/D203)-1)*D203))))),0)</f>
        <v/>
      </c>
      <c r="F203" s="110">
        <f>IF(D203=0,0,'Deal maths'!AB203*D203/12)</f>
        <v/>
      </c>
      <c r="G203" s="108">
        <f>N203+O203</f>
        <v/>
      </c>
      <c r="H203" s="108">
        <f>IFERROR(IF(OR(D203=0,AsAt&lt;E203),0,MIN(N203,INT(((YEAR(AsAt)-YEAR(E203))*12+MONTH(AsAt)-MONTH(E203)-(DAY(AsAt)&lt;MIN(R203,DAY(EOMONTH(AsAt,0)))))/D203)+1)+O203*(AsAt&gt;='Deal maths'!AA203)),0)</f>
        <v/>
      </c>
      <c r="I203" s="108">
        <f>G203-H203</f>
        <v/>
      </c>
      <c r="J203" s="111">
        <f>IF(AND(C203="EIP",I203&gt;0),'Deal maths'!Y203/I203,0)</f>
        <v/>
      </c>
      <c r="K203" s="111">
        <f>IF(AND(C203="Annuity",I203&gt;0),IF(F203&gt;0,'Deal maths'!Y203*F203/(1-(1+F203)^-I203),'Deal maths'!Y203/I203),0)</f>
        <v/>
      </c>
      <c r="L203" s="111">
        <f>IF('Deal maths'!Y203="",0,'Deal maths'!Y203)</f>
        <v/>
      </c>
      <c r="M203" s="112">
        <f>F203+(F203=0)</f>
        <v/>
      </c>
      <c r="N203" s="108">
        <f>IFERROR(IF(D203=0,0,INT(((YEAR('Deal maths'!AA203)-YEAR(E203))*12+MONTH('Deal maths'!AA203)-MONTH(E203)-(DAY('Deal maths'!AA203)&lt;MIN(R203,DAY(EOMONTH('Deal maths'!AA203,0)))))/D203)+1),0)</f>
        <v/>
      </c>
      <c r="O203" s="108">
        <f>IFERROR(IF(D203=0,0,IF(IF(DAY(E203+1)=1,EOMONTH(E203,(N203-1)*D203),EDATE(E203,(N203-1)*D203))='Deal maths'!AA203,0,1)),0)</f>
        <v/>
      </c>
      <c r="P203" s="113">
        <f>IF(B203=0,0,IFERROR(IF(C203="EIP",((I203-O203)*((IF(DAY(E203+1)=1,EOMONTH(E203,H203*D203),EDATE(E203,H203*D203))-AsAt)/365.25+(IF(DAY(E203+1)=1,EOMONTH(E203,(N203-1)*D203),EDATE(E203,(N203-1)*D203))-AsAt)/365.25)/2+O203*('Deal maths'!AA203-AsAt)/365.25)/I203,IF(C203="Annuity",IF(F203&gt;0,((K203-L203*F203)*((IF(DAY(E203+1)=1,EOMONTH(E203,H203*D203),EDATE(E203,H203*D203))-AsAt)/365.25*((1+F203)^(I203-O203)-1)/F203+IF((I203-O203)&gt;1,((IF(DAY(E203+1)=1,EOMONTH(E203,(N203-1)*D203),EDATE(E203,(N203-1)*D203))-AsAt)/365.25-(IF(DAY(E203+1)=1,EOMONTH(E203,H203*D203),EDATE(E203,H203*D203))-AsAt)/365.25)/((I203-O203)-1),0)*(1+F203)*(1-(I203-O203)*(1+F203)^((I203-O203)-1)+((I203-O203)-1)*(1+F203)^(I203-O203))/F203^2)+O203*(K203-L203*F203)*(1+F203)^(I203-1)*('Deal maths'!AA203-AsAt)/365.25)/L203,((I203-O203)*((IF(DAY(E203+1)=1,EOMONTH(E203,H203*D203),EDATE(E203,H203*D203))-AsAt)/365.25+(IF(DAY(E203+1)=1,EOMONTH(E203,(N203-1)*D203),EDATE(E203,(N203-1)*D203))-AsAt)/365.25)/2+O203*('Deal maths'!AA203-AsAt)/365.25)/I203),(S203-AsAt)/365.25)),0))</f>
        <v/>
      </c>
      <c r="Q203" s="109">
        <f>IF(B203=1,'Deal maths'!AA203+ROW()/1000000,"")</f>
        <v/>
      </c>
      <c r="R203" s="108">
        <f>IF(D203=0,0,IF(DAY(E203+1)=1,31,DAY(E203)))</f>
        <v/>
      </c>
      <c r="S203" s="109">
        <f>IF(AND('Deal maths'!V203="LOBO",'Deal maths'!AG203&gt;AsAt,'Deal maths'!AG203&lt;'Deal maths'!AA203),'Deal maths'!AG203,'Deal maths'!AA203)</f>
        <v/>
      </c>
      <c r="T203" s="108">
        <f>('Deal maths'!AA203&gt;AsAt)*('Deal maths'!Y203&gt;0)</f>
        <v/>
      </c>
    </row>
    <row r="204">
      <c r="A204" s="91">
        <f>IF('Deal maths'!V204="","",'Deal maths'!W204)</f>
        <v/>
      </c>
      <c r="B204" s="108">
        <f>('Deal maths'!AA204&gt;AsAt)*('Deal maths'!Y204&gt;0)*('Deal maths'!Z204&lt;=AsAt)</f>
        <v/>
      </c>
      <c r="C204" s="91">
        <f>IF('Deal maths'!V204="","",IF('Deal maths'!AC204="","Maturity",'Deal maths'!AC204))</f>
        <v/>
      </c>
      <c r="D204" s="108">
        <f>IF(OR(C204="EIP",C204="Annuity"),IF('Deal maths'!AD204="Annual",12,IF('Deal maths'!AD204="Quarterly",3,6)),0)</f>
        <v/>
      </c>
      <c r="E204" s="109">
        <f>IFERROR(IF(D204=0,0,IF('Deal maths'!AE204&gt;0,IF('Deal maths'!AE204&gt;'Deal maths'!AA204,'Deal maths'!AA204,'Deal maths'!AE204),IF(IF(DAY('Deal maths'!AA204+1)=1,EOMONTH('Deal maths'!AA204,-(INT(((YEAR('Deal maths'!AA204)-YEAR(IF('Deal maths'!Z204&gt;0,'Deal maths'!Z204,DATE(1990,1,1))))*12+MONTH('Deal maths'!AA204)-MONTH(IF('Deal maths'!Z204&gt;0,'Deal maths'!Z204,DATE(1990,1,1))))/D204))*D204),EDATE('Deal maths'!AA204,-(INT(((YEAR('Deal maths'!AA204)-YEAR(IF('Deal maths'!Z204&gt;0,'Deal maths'!Z204,DATE(1990,1,1))))*12+MONTH('Deal maths'!AA204)-MONTH(IF('Deal maths'!Z204&gt;0,'Deal maths'!Z204,DATE(1990,1,1))))/D204))*D204))&gt;IF('Deal maths'!Z204&gt;0,'Deal maths'!Z204,DATE(1990,1,1)),IF(DAY('Deal maths'!AA204+1)=1,EOMONTH('Deal maths'!AA204,-(INT(((YEAR('Deal maths'!AA204)-YEAR(IF('Deal maths'!Z204&gt;0,'Deal maths'!Z204,DATE(1990,1,1))))*12+MONTH('Deal maths'!AA204)-MONTH(IF('Deal maths'!Z204&gt;0,'Deal maths'!Z204,DATE(1990,1,1))))/D204))*D204),EDATE('Deal maths'!AA204,-(INT(((YEAR('Deal maths'!AA204)-YEAR(IF('Deal maths'!Z204&gt;0,'Deal maths'!Z204,DATE(1990,1,1))))*12+MONTH('Deal maths'!AA204)-MONTH(IF('Deal maths'!Z204&gt;0,'Deal maths'!Z204,DATE(1990,1,1))))/D204))*D204)),IF(DAY('Deal maths'!AA204+1)=1,EOMONTH('Deal maths'!AA204,-(INT(((YEAR('Deal maths'!AA204)-YEAR(IF('Deal maths'!Z204&gt;0,'Deal maths'!Z204,DATE(1990,1,1))))*12+MONTH('Deal maths'!AA204)-MONTH(IF('Deal maths'!Z204&gt;0,'Deal maths'!Z204,DATE(1990,1,1))))/D204)-1)*D204),EDATE('Deal maths'!AA204,-(INT(((YEAR('Deal maths'!AA204)-YEAR(IF('Deal maths'!Z204&gt;0,'Deal maths'!Z204,DATE(1990,1,1))))*12+MONTH('Deal maths'!AA204)-MONTH(IF('Deal maths'!Z204&gt;0,'Deal maths'!Z204,DATE(1990,1,1))))/D204)-1)*D204))))),0)</f>
        <v/>
      </c>
      <c r="F204" s="110">
        <f>IF(D204=0,0,'Deal maths'!AB204*D204/12)</f>
        <v/>
      </c>
      <c r="G204" s="108">
        <f>N204+O204</f>
        <v/>
      </c>
      <c r="H204" s="108">
        <f>IFERROR(IF(OR(D204=0,AsAt&lt;E204),0,MIN(N204,INT(((YEAR(AsAt)-YEAR(E204))*12+MONTH(AsAt)-MONTH(E204)-(DAY(AsAt)&lt;MIN(R204,DAY(EOMONTH(AsAt,0)))))/D204)+1)+O204*(AsAt&gt;='Deal maths'!AA204)),0)</f>
        <v/>
      </c>
      <c r="I204" s="108">
        <f>G204-H204</f>
        <v/>
      </c>
      <c r="J204" s="111">
        <f>IF(AND(C204="EIP",I204&gt;0),'Deal maths'!Y204/I204,0)</f>
        <v/>
      </c>
      <c r="K204" s="111">
        <f>IF(AND(C204="Annuity",I204&gt;0),IF(F204&gt;0,'Deal maths'!Y204*F204/(1-(1+F204)^-I204),'Deal maths'!Y204/I204),0)</f>
        <v/>
      </c>
      <c r="L204" s="111">
        <f>IF('Deal maths'!Y204="",0,'Deal maths'!Y204)</f>
        <v/>
      </c>
      <c r="M204" s="112">
        <f>F204+(F204=0)</f>
        <v/>
      </c>
      <c r="N204" s="108">
        <f>IFERROR(IF(D204=0,0,INT(((YEAR('Deal maths'!AA204)-YEAR(E204))*12+MONTH('Deal maths'!AA204)-MONTH(E204)-(DAY('Deal maths'!AA204)&lt;MIN(R204,DAY(EOMONTH('Deal maths'!AA204,0)))))/D204)+1),0)</f>
        <v/>
      </c>
      <c r="O204" s="108">
        <f>IFERROR(IF(D204=0,0,IF(IF(DAY(E204+1)=1,EOMONTH(E204,(N204-1)*D204),EDATE(E204,(N204-1)*D204))='Deal maths'!AA204,0,1)),0)</f>
        <v/>
      </c>
      <c r="P204" s="113">
        <f>IF(B204=0,0,IFERROR(IF(C204="EIP",((I204-O204)*((IF(DAY(E204+1)=1,EOMONTH(E204,H204*D204),EDATE(E204,H204*D204))-AsAt)/365.25+(IF(DAY(E204+1)=1,EOMONTH(E204,(N204-1)*D204),EDATE(E204,(N204-1)*D204))-AsAt)/365.25)/2+O204*('Deal maths'!AA204-AsAt)/365.25)/I204,IF(C204="Annuity",IF(F204&gt;0,((K204-L204*F204)*((IF(DAY(E204+1)=1,EOMONTH(E204,H204*D204),EDATE(E204,H204*D204))-AsAt)/365.25*((1+F204)^(I204-O204)-1)/F204+IF((I204-O204)&gt;1,((IF(DAY(E204+1)=1,EOMONTH(E204,(N204-1)*D204),EDATE(E204,(N204-1)*D204))-AsAt)/365.25-(IF(DAY(E204+1)=1,EOMONTH(E204,H204*D204),EDATE(E204,H204*D204))-AsAt)/365.25)/((I204-O204)-1),0)*(1+F204)*(1-(I204-O204)*(1+F204)^((I204-O204)-1)+((I204-O204)-1)*(1+F204)^(I204-O204))/F204^2)+O204*(K204-L204*F204)*(1+F204)^(I204-1)*('Deal maths'!AA204-AsAt)/365.25)/L204,((I204-O204)*((IF(DAY(E204+1)=1,EOMONTH(E204,H204*D204),EDATE(E204,H204*D204))-AsAt)/365.25+(IF(DAY(E204+1)=1,EOMONTH(E204,(N204-1)*D204),EDATE(E204,(N204-1)*D204))-AsAt)/365.25)/2+O204*('Deal maths'!AA204-AsAt)/365.25)/I204),(S204-AsAt)/365.25)),0))</f>
        <v/>
      </c>
      <c r="Q204" s="109">
        <f>IF(B204=1,'Deal maths'!AA204+ROW()/1000000,"")</f>
        <v/>
      </c>
      <c r="R204" s="108">
        <f>IF(D204=0,0,IF(DAY(E204+1)=1,31,DAY(E204)))</f>
        <v/>
      </c>
      <c r="S204" s="109">
        <f>IF(AND('Deal maths'!V204="LOBO",'Deal maths'!AG204&gt;AsAt,'Deal maths'!AG204&lt;'Deal maths'!AA204),'Deal maths'!AG204,'Deal maths'!AA204)</f>
        <v/>
      </c>
      <c r="T204" s="108">
        <f>('Deal maths'!AA204&gt;AsAt)*('Deal maths'!Y204&gt;0)</f>
        <v/>
      </c>
    </row>
    <row r="205">
      <c r="A205" s="91">
        <f>IF('Deal maths'!V205="","",'Deal maths'!W205)</f>
        <v/>
      </c>
      <c r="B205" s="108">
        <f>('Deal maths'!AA205&gt;AsAt)*('Deal maths'!Y205&gt;0)*('Deal maths'!Z205&lt;=AsAt)</f>
        <v/>
      </c>
      <c r="C205" s="91">
        <f>IF('Deal maths'!V205="","",IF('Deal maths'!AC205="","Maturity",'Deal maths'!AC205))</f>
        <v/>
      </c>
      <c r="D205" s="108">
        <f>IF(OR(C205="EIP",C205="Annuity"),IF('Deal maths'!AD205="Annual",12,IF('Deal maths'!AD205="Quarterly",3,6)),0)</f>
        <v/>
      </c>
      <c r="E205" s="109">
        <f>IFERROR(IF(D205=0,0,IF('Deal maths'!AE205&gt;0,IF('Deal maths'!AE205&gt;'Deal maths'!AA205,'Deal maths'!AA205,'Deal maths'!AE205),IF(IF(DAY('Deal maths'!AA205+1)=1,EOMONTH('Deal maths'!AA205,-(INT(((YEAR('Deal maths'!AA205)-YEAR(IF('Deal maths'!Z205&gt;0,'Deal maths'!Z205,DATE(1990,1,1))))*12+MONTH('Deal maths'!AA205)-MONTH(IF('Deal maths'!Z205&gt;0,'Deal maths'!Z205,DATE(1990,1,1))))/D205))*D205),EDATE('Deal maths'!AA205,-(INT(((YEAR('Deal maths'!AA205)-YEAR(IF('Deal maths'!Z205&gt;0,'Deal maths'!Z205,DATE(1990,1,1))))*12+MONTH('Deal maths'!AA205)-MONTH(IF('Deal maths'!Z205&gt;0,'Deal maths'!Z205,DATE(1990,1,1))))/D205))*D205))&gt;IF('Deal maths'!Z205&gt;0,'Deal maths'!Z205,DATE(1990,1,1)),IF(DAY('Deal maths'!AA205+1)=1,EOMONTH('Deal maths'!AA205,-(INT(((YEAR('Deal maths'!AA205)-YEAR(IF('Deal maths'!Z205&gt;0,'Deal maths'!Z205,DATE(1990,1,1))))*12+MONTH('Deal maths'!AA205)-MONTH(IF('Deal maths'!Z205&gt;0,'Deal maths'!Z205,DATE(1990,1,1))))/D205))*D205),EDATE('Deal maths'!AA205,-(INT(((YEAR('Deal maths'!AA205)-YEAR(IF('Deal maths'!Z205&gt;0,'Deal maths'!Z205,DATE(1990,1,1))))*12+MONTH('Deal maths'!AA205)-MONTH(IF('Deal maths'!Z205&gt;0,'Deal maths'!Z205,DATE(1990,1,1))))/D205))*D205)),IF(DAY('Deal maths'!AA205+1)=1,EOMONTH('Deal maths'!AA205,-(INT(((YEAR('Deal maths'!AA205)-YEAR(IF('Deal maths'!Z205&gt;0,'Deal maths'!Z205,DATE(1990,1,1))))*12+MONTH('Deal maths'!AA205)-MONTH(IF('Deal maths'!Z205&gt;0,'Deal maths'!Z205,DATE(1990,1,1))))/D205)-1)*D205),EDATE('Deal maths'!AA205,-(INT(((YEAR('Deal maths'!AA205)-YEAR(IF('Deal maths'!Z205&gt;0,'Deal maths'!Z205,DATE(1990,1,1))))*12+MONTH('Deal maths'!AA205)-MONTH(IF('Deal maths'!Z205&gt;0,'Deal maths'!Z205,DATE(1990,1,1))))/D205)-1)*D205))))),0)</f>
        <v/>
      </c>
      <c r="F205" s="110">
        <f>IF(D205=0,0,'Deal maths'!AB205*D205/12)</f>
        <v/>
      </c>
      <c r="G205" s="108">
        <f>N205+O205</f>
        <v/>
      </c>
      <c r="H205" s="108">
        <f>IFERROR(IF(OR(D205=0,AsAt&lt;E205),0,MIN(N205,INT(((YEAR(AsAt)-YEAR(E205))*12+MONTH(AsAt)-MONTH(E205)-(DAY(AsAt)&lt;MIN(R205,DAY(EOMONTH(AsAt,0)))))/D205)+1)+O205*(AsAt&gt;='Deal maths'!AA205)),0)</f>
        <v/>
      </c>
      <c r="I205" s="108">
        <f>G205-H205</f>
        <v/>
      </c>
      <c r="J205" s="111">
        <f>IF(AND(C205="EIP",I205&gt;0),'Deal maths'!Y205/I205,0)</f>
        <v/>
      </c>
      <c r="K205" s="111">
        <f>IF(AND(C205="Annuity",I205&gt;0),IF(F205&gt;0,'Deal maths'!Y205*F205/(1-(1+F205)^-I205),'Deal maths'!Y205/I205),0)</f>
        <v/>
      </c>
      <c r="L205" s="111">
        <f>IF('Deal maths'!Y205="",0,'Deal maths'!Y205)</f>
        <v/>
      </c>
      <c r="M205" s="112">
        <f>F205+(F205=0)</f>
        <v/>
      </c>
      <c r="N205" s="108">
        <f>IFERROR(IF(D205=0,0,INT(((YEAR('Deal maths'!AA205)-YEAR(E205))*12+MONTH('Deal maths'!AA205)-MONTH(E205)-(DAY('Deal maths'!AA205)&lt;MIN(R205,DAY(EOMONTH('Deal maths'!AA205,0)))))/D205)+1),0)</f>
        <v/>
      </c>
      <c r="O205" s="108">
        <f>IFERROR(IF(D205=0,0,IF(IF(DAY(E205+1)=1,EOMONTH(E205,(N205-1)*D205),EDATE(E205,(N205-1)*D205))='Deal maths'!AA205,0,1)),0)</f>
        <v/>
      </c>
      <c r="P205" s="113">
        <f>IF(B205=0,0,IFERROR(IF(C205="EIP",((I205-O205)*((IF(DAY(E205+1)=1,EOMONTH(E205,H205*D205),EDATE(E205,H205*D205))-AsAt)/365.25+(IF(DAY(E205+1)=1,EOMONTH(E205,(N205-1)*D205),EDATE(E205,(N205-1)*D205))-AsAt)/365.25)/2+O205*('Deal maths'!AA205-AsAt)/365.25)/I205,IF(C205="Annuity",IF(F205&gt;0,((K205-L205*F205)*((IF(DAY(E205+1)=1,EOMONTH(E205,H205*D205),EDATE(E205,H205*D205))-AsAt)/365.25*((1+F205)^(I205-O205)-1)/F205+IF((I205-O205)&gt;1,((IF(DAY(E205+1)=1,EOMONTH(E205,(N205-1)*D205),EDATE(E205,(N205-1)*D205))-AsAt)/365.25-(IF(DAY(E205+1)=1,EOMONTH(E205,H205*D205),EDATE(E205,H205*D205))-AsAt)/365.25)/((I205-O205)-1),0)*(1+F205)*(1-(I205-O205)*(1+F205)^((I205-O205)-1)+((I205-O205)-1)*(1+F205)^(I205-O205))/F205^2)+O205*(K205-L205*F205)*(1+F205)^(I205-1)*('Deal maths'!AA205-AsAt)/365.25)/L205,((I205-O205)*((IF(DAY(E205+1)=1,EOMONTH(E205,H205*D205),EDATE(E205,H205*D205))-AsAt)/365.25+(IF(DAY(E205+1)=1,EOMONTH(E205,(N205-1)*D205),EDATE(E205,(N205-1)*D205))-AsAt)/365.25)/2+O205*('Deal maths'!AA205-AsAt)/365.25)/I205),(S205-AsAt)/365.25)),0))</f>
        <v/>
      </c>
      <c r="Q205" s="109">
        <f>IF(B205=1,'Deal maths'!AA205+ROW()/1000000,"")</f>
        <v/>
      </c>
      <c r="R205" s="108">
        <f>IF(D205=0,0,IF(DAY(E205+1)=1,31,DAY(E205)))</f>
        <v/>
      </c>
      <c r="S205" s="109">
        <f>IF(AND('Deal maths'!V205="LOBO",'Deal maths'!AG205&gt;AsAt,'Deal maths'!AG205&lt;'Deal maths'!AA205),'Deal maths'!AG205,'Deal maths'!AA205)</f>
        <v/>
      </c>
      <c r="T205" s="108">
        <f>('Deal maths'!AA205&gt;AsAt)*('Deal maths'!Y205&gt;0)</f>
        <v/>
      </c>
    </row>
    <row r="206">
      <c r="A206" s="91">
        <f>IF('Deal maths'!V206="","",'Deal maths'!W206)</f>
        <v/>
      </c>
      <c r="B206" s="108">
        <f>('Deal maths'!AA206&gt;AsAt)*('Deal maths'!Y206&gt;0)*('Deal maths'!Z206&lt;=AsAt)</f>
        <v/>
      </c>
      <c r="C206" s="91">
        <f>IF('Deal maths'!V206="","",IF('Deal maths'!AC206="","Maturity",'Deal maths'!AC206))</f>
        <v/>
      </c>
      <c r="D206" s="108">
        <f>IF(OR(C206="EIP",C206="Annuity"),IF('Deal maths'!AD206="Annual",12,IF('Deal maths'!AD206="Quarterly",3,6)),0)</f>
        <v/>
      </c>
      <c r="E206" s="109">
        <f>IFERROR(IF(D206=0,0,IF('Deal maths'!AE206&gt;0,IF('Deal maths'!AE206&gt;'Deal maths'!AA206,'Deal maths'!AA206,'Deal maths'!AE206),IF(IF(DAY('Deal maths'!AA206+1)=1,EOMONTH('Deal maths'!AA206,-(INT(((YEAR('Deal maths'!AA206)-YEAR(IF('Deal maths'!Z206&gt;0,'Deal maths'!Z206,DATE(1990,1,1))))*12+MONTH('Deal maths'!AA206)-MONTH(IF('Deal maths'!Z206&gt;0,'Deal maths'!Z206,DATE(1990,1,1))))/D206))*D206),EDATE('Deal maths'!AA206,-(INT(((YEAR('Deal maths'!AA206)-YEAR(IF('Deal maths'!Z206&gt;0,'Deal maths'!Z206,DATE(1990,1,1))))*12+MONTH('Deal maths'!AA206)-MONTH(IF('Deal maths'!Z206&gt;0,'Deal maths'!Z206,DATE(1990,1,1))))/D206))*D206))&gt;IF('Deal maths'!Z206&gt;0,'Deal maths'!Z206,DATE(1990,1,1)),IF(DAY('Deal maths'!AA206+1)=1,EOMONTH('Deal maths'!AA206,-(INT(((YEAR('Deal maths'!AA206)-YEAR(IF('Deal maths'!Z206&gt;0,'Deal maths'!Z206,DATE(1990,1,1))))*12+MONTH('Deal maths'!AA206)-MONTH(IF('Deal maths'!Z206&gt;0,'Deal maths'!Z206,DATE(1990,1,1))))/D206))*D206),EDATE('Deal maths'!AA206,-(INT(((YEAR('Deal maths'!AA206)-YEAR(IF('Deal maths'!Z206&gt;0,'Deal maths'!Z206,DATE(1990,1,1))))*12+MONTH('Deal maths'!AA206)-MONTH(IF('Deal maths'!Z206&gt;0,'Deal maths'!Z206,DATE(1990,1,1))))/D206))*D206)),IF(DAY('Deal maths'!AA206+1)=1,EOMONTH('Deal maths'!AA206,-(INT(((YEAR('Deal maths'!AA206)-YEAR(IF('Deal maths'!Z206&gt;0,'Deal maths'!Z206,DATE(1990,1,1))))*12+MONTH('Deal maths'!AA206)-MONTH(IF('Deal maths'!Z206&gt;0,'Deal maths'!Z206,DATE(1990,1,1))))/D206)-1)*D206),EDATE('Deal maths'!AA206,-(INT(((YEAR('Deal maths'!AA206)-YEAR(IF('Deal maths'!Z206&gt;0,'Deal maths'!Z206,DATE(1990,1,1))))*12+MONTH('Deal maths'!AA206)-MONTH(IF('Deal maths'!Z206&gt;0,'Deal maths'!Z206,DATE(1990,1,1))))/D206)-1)*D206))))),0)</f>
        <v/>
      </c>
      <c r="F206" s="110">
        <f>IF(D206=0,0,'Deal maths'!AB206*D206/12)</f>
        <v/>
      </c>
      <c r="G206" s="108">
        <f>N206+O206</f>
        <v/>
      </c>
      <c r="H206" s="108">
        <f>IFERROR(IF(OR(D206=0,AsAt&lt;E206),0,MIN(N206,INT(((YEAR(AsAt)-YEAR(E206))*12+MONTH(AsAt)-MONTH(E206)-(DAY(AsAt)&lt;MIN(R206,DAY(EOMONTH(AsAt,0)))))/D206)+1)+O206*(AsAt&gt;='Deal maths'!AA206)),0)</f>
        <v/>
      </c>
      <c r="I206" s="108">
        <f>G206-H206</f>
        <v/>
      </c>
      <c r="J206" s="111">
        <f>IF(AND(C206="EIP",I206&gt;0),'Deal maths'!Y206/I206,0)</f>
        <v/>
      </c>
      <c r="K206" s="111">
        <f>IF(AND(C206="Annuity",I206&gt;0),IF(F206&gt;0,'Deal maths'!Y206*F206/(1-(1+F206)^-I206),'Deal maths'!Y206/I206),0)</f>
        <v/>
      </c>
      <c r="L206" s="111">
        <f>IF('Deal maths'!Y206="",0,'Deal maths'!Y206)</f>
        <v/>
      </c>
      <c r="M206" s="112">
        <f>F206+(F206=0)</f>
        <v/>
      </c>
      <c r="N206" s="108">
        <f>IFERROR(IF(D206=0,0,INT(((YEAR('Deal maths'!AA206)-YEAR(E206))*12+MONTH('Deal maths'!AA206)-MONTH(E206)-(DAY('Deal maths'!AA206)&lt;MIN(R206,DAY(EOMONTH('Deal maths'!AA206,0)))))/D206)+1),0)</f>
        <v/>
      </c>
      <c r="O206" s="108">
        <f>IFERROR(IF(D206=0,0,IF(IF(DAY(E206+1)=1,EOMONTH(E206,(N206-1)*D206),EDATE(E206,(N206-1)*D206))='Deal maths'!AA206,0,1)),0)</f>
        <v/>
      </c>
      <c r="P206" s="113">
        <f>IF(B206=0,0,IFERROR(IF(C206="EIP",((I206-O206)*((IF(DAY(E206+1)=1,EOMONTH(E206,H206*D206),EDATE(E206,H206*D206))-AsAt)/365.25+(IF(DAY(E206+1)=1,EOMONTH(E206,(N206-1)*D206),EDATE(E206,(N206-1)*D206))-AsAt)/365.25)/2+O206*('Deal maths'!AA206-AsAt)/365.25)/I206,IF(C206="Annuity",IF(F206&gt;0,((K206-L206*F206)*((IF(DAY(E206+1)=1,EOMONTH(E206,H206*D206),EDATE(E206,H206*D206))-AsAt)/365.25*((1+F206)^(I206-O206)-1)/F206+IF((I206-O206)&gt;1,((IF(DAY(E206+1)=1,EOMONTH(E206,(N206-1)*D206),EDATE(E206,(N206-1)*D206))-AsAt)/365.25-(IF(DAY(E206+1)=1,EOMONTH(E206,H206*D206),EDATE(E206,H206*D206))-AsAt)/365.25)/((I206-O206)-1),0)*(1+F206)*(1-(I206-O206)*(1+F206)^((I206-O206)-1)+((I206-O206)-1)*(1+F206)^(I206-O206))/F206^2)+O206*(K206-L206*F206)*(1+F206)^(I206-1)*('Deal maths'!AA206-AsAt)/365.25)/L206,((I206-O206)*((IF(DAY(E206+1)=1,EOMONTH(E206,H206*D206),EDATE(E206,H206*D206))-AsAt)/365.25+(IF(DAY(E206+1)=1,EOMONTH(E206,(N206-1)*D206),EDATE(E206,(N206-1)*D206))-AsAt)/365.25)/2+O206*('Deal maths'!AA206-AsAt)/365.25)/I206),(S206-AsAt)/365.25)),0))</f>
        <v/>
      </c>
      <c r="Q206" s="109">
        <f>IF(B206=1,'Deal maths'!AA206+ROW()/1000000,"")</f>
        <v/>
      </c>
      <c r="R206" s="108">
        <f>IF(D206=0,0,IF(DAY(E206+1)=1,31,DAY(E206)))</f>
        <v/>
      </c>
      <c r="S206" s="109">
        <f>IF(AND('Deal maths'!V206="LOBO",'Deal maths'!AG206&gt;AsAt,'Deal maths'!AG206&lt;'Deal maths'!AA206),'Deal maths'!AG206,'Deal maths'!AA206)</f>
        <v/>
      </c>
      <c r="T206" s="108">
        <f>('Deal maths'!AA206&gt;AsAt)*('Deal maths'!Y206&gt;0)</f>
        <v/>
      </c>
    </row>
    <row r="207">
      <c r="A207" s="91">
        <f>IF('Deal maths'!V207="","",'Deal maths'!W207)</f>
        <v/>
      </c>
      <c r="B207" s="108">
        <f>('Deal maths'!AA207&gt;AsAt)*('Deal maths'!Y207&gt;0)*('Deal maths'!Z207&lt;=AsAt)</f>
        <v/>
      </c>
      <c r="C207" s="91">
        <f>IF('Deal maths'!V207="","",IF('Deal maths'!AC207="","Maturity",'Deal maths'!AC207))</f>
        <v/>
      </c>
      <c r="D207" s="108">
        <f>IF(OR(C207="EIP",C207="Annuity"),IF('Deal maths'!AD207="Annual",12,IF('Deal maths'!AD207="Quarterly",3,6)),0)</f>
        <v/>
      </c>
      <c r="E207" s="109">
        <f>IFERROR(IF(D207=0,0,IF('Deal maths'!AE207&gt;0,IF('Deal maths'!AE207&gt;'Deal maths'!AA207,'Deal maths'!AA207,'Deal maths'!AE207),IF(IF(DAY('Deal maths'!AA207+1)=1,EOMONTH('Deal maths'!AA207,-(INT(((YEAR('Deal maths'!AA207)-YEAR(IF('Deal maths'!Z207&gt;0,'Deal maths'!Z207,DATE(1990,1,1))))*12+MONTH('Deal maths'!AA207)-MONTH(IF('Deal maths'!Z207&gt;0,'Deal maths'!Z207,DATE(1990,1,1))))/D207))*D207),EDATE('Deal maths'!AA207,-(INT(((YEAR('Deal maths'!AA207)-YEAR(IF('Deal maths'!Z207&gt;0,'Deal maths'!Z207,DATE(1990,1,1))))*12+MONTH('Deal maths'!AA207)-MONTH(IF('Deal maths'!Z207&gt;0,'Deal maths'!Z207,DATE(1990,1,1))))/D207))*D207))&gt;IF('Deal maths'!Z207&gt;0,'Deal maths'!Z207,DATE(1990,1,1)),IF(DAY('Deal maths'!AA207+1)=1,EOMONTH('Deal maths'!AA207,-(INT(((YEAR('Deal maths'!AA207)-YEAR(IF('Deal maths'!Z207&gt;0,'Deal maths'!Z207,DATE(1990,1,1))))*12+MONTH('Deal maths'!AA207)-MONTH(IF('Deal maths'!Z207&gt;0,'Deal maths'!Z207,DATE(1990,1,1))))/D207))*D207),EDATE('Deal maths'!AA207,-(INT(((YEAR('Deal maths'!AA207)-YEAR(IF('Deal maths'!Z207&gt;0,'Deal maths'!Z207,DATE(1990,1,1))))*12+MONTH('Deal maths'!AA207)-MONTH(IF('Deal maths'!Z207&gt;0,'Deal maths'!Z207,DATE(1990,1,1))))/D207))*D207)),IF(DAY('Deal maths'!AA207+1)=1,EOMONTH('Deal maths'!AA207,-(INT(((YEAR('Deal maths'!AA207)-YEAR(IF('Deal maths'!Z207&gt;0,'Deal maths'!Z207,DATE(1990,1,1))))*12+MONTH('Deal maths'!AA207)-MONTH(IF('Deal maths'!Z207&gt;0,'Deal maths'!Z207,DATE(1990,1,1))))/D207)-1)*D207),EDATE('Deal maths'!AA207,-(INT(((YEAR('Deal maths'!AA207)-YEAR(IF('Deal maths'!Z207&gt;0,'Deal maths'!Z207,DATE(1990,1,1))))*12+MONTH('Deal maths'!AA207)-MONTH(IF('Deal maths'!Z207&gt;0,'Deal maths'!Z207,DATE(1990,1,1))))/D207)-1)*D207))))),0)</f>
        <v/>
      </c>
      <c r="F207" s="110">
        <f>IF(D207=0,0,'Deal maths'!AB207*D207/12)</f>
        <v/>
      </c>
      <c r="G207" s="108">
        <f>N207+O207</f>
        <v/>
      </c>
      <c r="H207" s="108">
        <f>IFERROR(IF(OR(D207=0,AsAt&lt;E207),0,MIN(N207,INT(((YEAR(AsAt)-YEAR(E207))*12+MONTH(AsAt)-MONTH(E207)-(DAY(AsAt)&lt;MIN(R207,DAY(EOMONTH(AsAt,0)))))/D207)+1)+O207*(AsAt&gt;='Deal maths'!AA207)),0)</f>
        <v/>
      </c>
      <c r="I207" s="108">
        <f>G207-H207</f>
        <v/>
      </c>
      <c r="J207" s="111">
        <f>IF(AND(C207="EIP",I207&gt;0),'Deal maths'!Y207/I207,0)</f>
        <v/>
      </c>
      <c r="K207" s="111">
        <f>IF(AND(C207="Annuity",I207&gt;0),IF(F207&gt;0,'Deal maths'!Y207*F207/(1-(1+F207)^-I207),'Deal maths'!Y207/I207),0)</f>
        <v/>
      </c>
      <c r="L207" s="111">
        <f>IF('Deal maths'!Y207="",0,'Deal maths'!Y207)</f>
        <v/>
      </c>
      <c r="M207" s="112">
        <f>F207+(F207=0)</f>
        <v/>
      </c>
      <c r="N207" s="108">
        <f>IFERROR(IF(D207=0,0,INT(((YEAR('Deal maths'!AA207)-YEAR(E207))*12+MONTH('Deal maths'!AA207)-MONTH(E207)-(DAY('Deal maths'!AA207)&lt;MIN(R207,DAY(EOMONTH('Deal maths'!AA207,0)))))/D207)+1),0)</f>
        <v/>
      </c>
      <c r="O207" s="108">
        <f>IFERROR(IF(D207=0,0,IF(IF(DAY(E207+1)=1,EOMONTH(E207,(N207-1)*D207),EDATE(E207,(N207-1)*D207))='Deal maths'!AA207,0,1)),0)</f>
        <v/>
      </c>
      <c r="P207" s="113">
        <f>IF(B207=0,0,IFERROR(IF(C207="EIP",((I207-O207)*((IF(DAY(E207+1)=1,EOMONTH(E207,H207*D207),EDATE(E207,H207*D207))-AsAt)/365.25+(IF(DAY(E207+1)=1,EOMONTH(E207,(N207-1)*D207),EDATE(E207,(N207-1)*D207))-AsAt)/365.25)/2+O207*('Deal maths'!AA207-AsAt)/365.25)/I207,IF(C207="Annuity",IF(F207&gt;0,((K207-L207*F207)*((IF(DAY(E207+1)=1,EOMONTH(E207,H207*D207),EDATE(E207,H207*D207))-AsAt)/365.25*((1+F207)^(I207-O207)-1)/F207+IF((I207-O207)&gt;1,((IF(DAY(E207+1)=1,EOMONTH(E207,(N207-1)*D207),EDATE(E207,(N207-1)*D207))-AsAt)/365.25-(IF(DAY(E207+1)=1,EOMONTH(E207,H207*D207),EDATE(E207,H207*D207))-AsAt)/365.25)/((I207-O207)-1),0)*(1+F207)*(1-(I207-O207)*(1+F207)^((I207-O207)-1)+((I207-O207)-1)*(1+F207)^(I207-O207))/F207^2)+O207*(K207-L207*F207)*(1+F207)^(I207-1)*('Deal maths'!AA207-AsAt)/365.25)/L207,((I207-O207)*((IF(DAY(E207+1)=1,EOMONTH(E207,H207*D207),EDATE(E207,H207*D207))-AsAt)/365.25+(IF(DAY(E207+1)=1,EOMONTH(E207,(N207-1)*D207),EDATE(E207,(N207-1)*D207))-AsAt)/365.25)/2+O207*('Deal maths'!AA207-AsAt)/365.25)/I207),(S207-AsAt)/365.25)),0))</f>
        <v/>
      </c>
      <c r="Q207" s="109">
        <f>IF(B207=1,'Deal maths'!AA207+ROW()/1000000,"")</f>
        <v/>
      </c>
      <c r="R207" s="108">
        <f>IF(D207=0,0,IF(DAY(E207+1)=1,31,DAY(E207)))</f>
        <v/>
      </c>
      <c r="S207" s="109">
        <f>IF(AND('Deal maths'!V207="LOBO",'Deal maths'!AG207&gt;AsAt,'Deal maths'!AG207&lt;'Deal maths'!AA207),'Deal maths'!AG207,'Deal maths'!AA207)</f>
        <v/>
      </c>
      <c r="T207" s="108">
        <f>('Deal maths'!AA207&gt;AsAt)*('Deal maths'!Y207&gt;0)</f>
        <v/>
      </c>
    </row>
    <row r="208">
      <c r="A208" s="91">
        <f>IF('Deal maths'!V208="","",'Deal maths'!W208)</f>
        <v/>
      </c>
      <c r="B208" s="108">
        <f>('Deal maths'!AA208&gt;AsAt)*('Deal maths'!Y208&gt;0)*('Deal maths'!Z208&lt;=AsAt)</f>
        <v/>
      </c>
      <c r="C208" s="91">
        <f>IF('Deal maths'!V208="","",IF('Deal maths'!AC208="","Maturity",'Deal maths'!AC208))</f>
        <v/>
      </c>
      <c r="D208" s="108">
        <f>IF(OR(C208="EIP",C208="Annuity"),IF('Deal maths'!AD208="Annual",12,IF('Deal maths'!AD208="Quarterly",3,6)),0)</f>
        <v/>
      </c>
      <c r="E208" s="109">
        <f>IFERROR(IF(D208=0,0,IF('Deal maths'!AE208&gt;0,IF('Deal maths'!AE208&gt;'Deal maths'!AA208,'Deal maths'!AA208,'Deal maths'!AE208),IF(IF(DAY('Deal maths'!AA208+1)=1,EOMONTH('Deal maths'!AA208,-(INT(((YEAR('Deal maths'!AA208)-YEAR(IF('Deal maths'!Z208&gt;0,'Deal maths'!Z208,DATE(1990,1,1))))*12+MONTH('Deal maths'!AA208)-MONTH(IF('Deal maths'!Z208&gt;0,'Deal maths'!Z208,DATE(1990,1,1))))/D208))*D208),EDATE('Deal maths'!AA208,-(INT(((YEAR('Deal maths'!AA208)-YEAR(IF('Deal maths'!Z208&gt;0,'Deal maths'!Z208,DATE(1990,1,1))))*12+MONTH('Deal maths'!AA208)-MONTH(IF('Deal maths'!Z208&gt;0,'Deal maths'!Z208,DATE(1990,1,1))))/D208))*D208))&gt;IF('Deal maths'!Z208&gt;0,'Deal maths'!Z208,DATE(1990,1,1)),IF(DAY('Deal maths'!AA208+1)=1,EOMONTH('Deal maths'!AA208,-(INT(((YEAR('Deal maths'!AA208)-YEAR(IF('Deal maths'!Z208&gt;0,'Deal maths'!Z208,DATE(1990,1,1))))*12+MONTH('Deal maths'!AA208)-MONTH(IF('Deal maths'!Z208&gt;0,'Deal maths'!Z208,DATE(1990,1,1))))/D208))*D208),EDATE('Deal maths'!AA208,-(INT(((YEAR('Deal maths'!AA208)-YEAR(IF('Deal maths'!Z208&gt;0,'Deal maths'!Z208,DATE(1990,1,1))))*12+MONTH('Deal maths'!AA208)-MONTH(IF('Deal maths'!Z208&gt;0,'Deal maths'!Z208,DATE(1990,1,1))))/D208))*D208)),IF(DAY('Deal maths'!AA208+1)=1,EOMONTH('Deal maths'!AA208,-(INT(((YEAR('Deal maths'!AA208)-YEAR(IF('Deal maths'!Z208&gt;0,'Deal maths'!Z208,DATE(1990,1,1))))*12+MONTH('Deal maths'!AA208)-MONTH(IF('Deal maths'!Z208&gt;0,'Deal maths'!Z208,DATE(1990,1,1))))/D208)-1)*D208),EDATE('Deal maths'!AA208,-(INT(((YEAR('Deal maths'!AA208)-YEAR(IF('Deal maths'!Z208&gt;0,'Deal maths'!Z208,DATE(1990,1,1))))*12+MONTH('Deal maths'!AA208)-MONTH(IF('Deal maths'!Z208&gt;0,'Deal maths'!Z208,DATE(1990,1,1))))/D208)-1)*D208))))),0)</f>
        <v/>
      </c>
      <c r="F208" s="110">
        <f>IF(D208=0,0,'Deal maths'!AB208*D208/12)</f>
        <v/>
      </c>
      <c r="G208" s="108">
        <f>N208+O208</f>
        <v/>
      </c>
      <c r="H208" s="108">
        <f>IFERROR(IF(OR(D208=0,AsAt&lt;E208),0,MIN(N208,INT(((YEAR(AsAt)-YEAR(E208))*12+MONTH(AsAt)-MONTH(E208)-(DAY(AsAt)&lt;MIN(R208,DAY(EOMONTH(AsAt,0)))))/D208)+1)+O208*(AsAt&gt;='Deal maths'!AA208)),0)</f>
        <v/>
      </c>
      <c r="I208" s="108">
        <f>G208-H208</f>
        <v/>
      </c>
      <c r="J208" s="111">
        <f>IF(AND(C208="EIP",I208&gt;0),'Deal maths'!Y208/I208,0)</f>
        <v/>
      </c>
      <c r="K208" s="111">
        <f>IF(AND(C208="Annuity",I208&gt;0),IF(F208&gt;0,'Deal maths'!Y208*F208/(1-(1+F208)^-I208),'Deal maths'!Y208/I208),0)</f>
        <v/>
      </c>
      <c r="L208" s="111">
        <f>IF('Deal maths'!Y208="",0,'Deal maths'!Y208)</f>
        <v/>
      </c>
      <c r="M208" s="112">
        <f>F208+(F208=0)</f>
        <v/>
      </c>
      <c r="N208" s="108">
        <f>IFERROR(IF(D208=0,0,INT(((YEAR('Deal maths'!AA208)-YEAR(E208))*12+MONTH('Deal maths'!AA208)-MONTH(E208)-(DAY('Deal maths'!AA208)&lt;MIN(R208,DAY(EOMONTH('Deal maths'!AA208,0)))))/D208)+1),0)</f>
        <v/>
      </c>
      <c r="O208" s="108">
        <f>IFERROR(IF(D208=0,0,IF(IF(DAY(E208+1)=1,EOMONTH(E208,(N208-1)*D208),EDATE(E208,(N208-1)*D208))='Deal maths'!AA208,0,1)),0)</f>
        <v/>
      </c>
      <c r="P208" s="113">
        <f>IF(B208=0,0,IFERROR(IF(C208="EIP",((I208-O208)*((IF(DAY(E208+1)=1,EOMONTH(E208,H208*D208),EDATE(E208,H208*D208))-AsAt)/365.25+(IF(DAY(E208+1)=1,EOMONTH(E208,(N208-1)*D208),EDATE(E208,(N208-1)*D208))-AsAt)/365.25)/2+O208*('Deal maths'!AA208-AsAt)/365.25)/I208,IF(C208="Annuity",IF(F208&gt;0,((K208-L208*F208)*((IF(DAY(E208+1)=1,EOMONTH(E208,H208*D208),EDATE(E208,H208*D208))-AsAt)/365.25*((1+F208)^(I208-O208)-1)/F208+IF((I208-O208)&gt;1,((IF(DAY(E208+1)=1,EOMONTH(E208,(N208-1)*D208),EDATE(E208,(N208-1)*D208))-AsAt)/365.25-(IF(DAY(E208+1)=1,EOMONTH(E208,H208*D208),EDATE(E208,H208*D208))-AsAt)/365.25)/((I208-O208)-1),0)*(1+F208)*(1-(I208-O208)*(1+F208)^((I208-O208)-1)+((I208-O208)-1)*(1+F208)^(I208-O208))/F208^2)+O208*(K208-L208*F208)*(1+F208)^(I208-1)*('Deal maths'!AA208-AsAt)/365.25)/L208,((I208-O208)*((IF(DAY(E208+1)=1,EOMONTH(E208,H208*D208),EDATE(E208,H208*D208))-AsAt)/365.25+(IF(DAY(E208+1)=1,EOMONTH(E208,(N208-1)*D208),EDATE(E208,(N208-1)*D208))-AsAt)/365.25)/2+O208*('Deal maths'!AA208-AsAt)/365.25)/I208),(S208-AsAt)/365.25)),0))</f>
        <v/>
      </c>
      <c r="Q208" s="109">
        <f>IF(B208=1,'Deal maths'!AA208+ROW()/1000000,"")</f>
        <v/>
      </c>
      <c r="R208" s="108">
        <f>IF(D208=0,0,IF(DAY(E208+1)=1,31,DAY(E208)))</f>
        <v/>
      </c>
      <c r="S208" s="109">
        <f>IF(AND('Deal maths'!V208="LOBO",'Deal maths'!AG208&gt;AsAt,'Deal maths'!AG208&lt;'Deal maths'!AA208),'Deal maths'!AG208,'Deal maths'!AA208)</f>
        <v/>
      </c>
      <c r="T208" s="108">
        <f>('Deal maths'!AA208&gt;AsAt)*('Deal maths'!Y208&gt;0)</f>
        <v/>
      </c>
    </row>
    <row r="209">
      <c r="A209" s="91">
        <f>IF('Deal maths'!V209="","",'Deal maths'!W209)</f>
        <v/>
      </c>
      <c r="B209" s="108">
        <f>('Deal maths'!AA209&gt;AsAt)*('Deal maths'!Y209&gt;0)*('Deal maths'!Z209&lt;=AsAt)</f>
        <v/>
      </c>
      <c r="C209" s="91">
        <f>IF('Deal maths'!V209="","",IF('Deal maths'!AC209="","Maturity",'Deal maths'!AC209))</f>
        <v/>
      </c>
      <c r="D209" s="108">
        <f>IF(OR(C209="EIP",C209="Annuity"),IF('Deal maths'!AD209="Annual",12,IF('Deal maths'!AD209="Quarterly",3,6)),0)</f>
        <v/>
      </c>
      <c r="E209" s="109">
        <f>IFERROR(IF(D209=0,0,IF('Deal maths'!AE209&gt;0,IF('Deal maths'!AE209&gt;'Deal maths'!AA209,'Deal maths'!AA209,'Deal maths'!AE209),IF(IF(DAY('Deal maths'!AA209+1)=1,EOMONTH('Deal maths'!AA209,-(INT(((YEAR('Deal maths'!AA209)-YEAR(IF('Deal maths'!Z209&gt;0,'Deal maths'!Z209,DATE(1990,1,1))))*12+MONTH('Deal maths'!AA209)-MONTH(IF('Deal maths'!Z209&gt;0,'Deal maths'!Z209,DATE(1990,1,1))))/D209))*D209),EDATE('Deal maths'!AA209,-(INT(((YEAR('Deal maths'!AA209)-YEAR(IF('Deal maths'!Z209&gt;0,'Deal maths'!Z209,DATE(1990,1,1))))*12+MONTH('Deal maths'!AA209)-MONTH(IF('Deal maths'!Z209&gt;0,'Deal maths'!Z209,DATE(1990,1,1))))/D209))*D209))&gt;IF('Deal maths'!Z209&gt;0,'Deal maths'!Z209,DATE(1990,1,1)),IF(DAY('Deal maths'!AA209+1)=1,EOMONTH('Deal maths'!AA209,-(INT(((YEAR('Deal maths'!AA209)-YEAR(IF('Deal maths'!Z209&gt;0,'Deal maths'!Z209,DATE(1990,1,1))))*12+MONTH('Deal maths'!AA209)-MONTH(IF('Deal maths'!Z209&gt;0,'Deal maths'!Z209,DATE(1990,1,1))))/D209))*D209),EDATE('Deal maths'!AA209,-(INT(((YEAR('Deal maths'!AA209)-YEAR(IF('Deal maths'!Z209&gt;0,'Deal maths'!Z209,DATE(1990,1,1))))*12+MONTH('Deal maths'!AA209)-MONTH(IF('Deal maths'!Z209&gt;0,'Deal maths'!Z209,DATE(1990,1,1))))/D209))*D209)),IF(DAY('Deal maths'!AA209+1)=1,EOMONTH('Deal maths'!AA209,-(INT(((YEAR('Deal maths'!AA209)-YEAR(IF('Deal maths'!Z209&gt;0,'Deal maths'!Z209,DATE(1990,1,1))))*12+MONTH('Deal maths'!AA209)-MONTH(IF('Deal maths'!Z209&gt;0,'Deal maths'!Z209,DATE(1990,1,1))))/D209)-1)*D209),EDATE('Deal maths'!AA209,-(INT(((YEAR('Deal maths'!AA209)-YEAR(IF('Deal maths'!Z209&gt;0,'Deal maths'!Z209,DATE(1990,1,1))))*12+MONTH('Deal maths'!AA209)-MONTH(IF('Deal maths'!Z209&gt;0,'Deal maths'!Z209,DATE(1990,1,1))))/D209)-1)*D209))))),0)</f>
        <v/>
      </c>
      <c r="F209" s="110">
        <f>IF(D209=0,0,'Deal maths'!AB209*D209/12)</f>
        <v/>
      </c>
      <c r="G209" s="108">
        <f>N209+O209</f>
        <v/>
      </c>
      <c r="H209" s="108">
        <f>IFERROR(IF(OR(D209=0,AsAt&lt;E209),0,MIN(N209,INT(((YEAR(AsAt)-YEAR(E209))*12+MONTH(AsAt)-MONTH(E209)-(DAY(AsAt)&lt;MIN(R209,DAY(EOMONTH(AsAt,0)))))/D209)+1)+O209*(AsAt&gt;='Deal maths'!AA209)),0)</f>
        <v/>
      </c>
      <c r="I209" s="108">
        <f>G209-H209</f>
        <v/>
      </c>
      <c r="J209" s="111">
        <f>IF(AND(C209="EIP",I209&gt;0),'Deal maths'!Y209/I209,0)</f>
        <v/>
      </c>
      <c r="K209" s="111">
        <f>IF(AND(C209="Annuity",I209&gt;0),IF(F209&gt;0,'Deal maths'!Y209*F209/(1-(1+F209)^-I209),'Deal maths'!Y209/I209),0)</f>
        <v/>
      </c>
      <c r="L209" s="111">
        <f>IF('Deal maths'!Y209="",0,'Deal maths'!Y209)</f>
        <v/>
      </c>
      <c r="M209" s="112">
        <f>F209+(F209=0)</f>
        <v/>
      </c>
      <c r="N209" s="108">
        <f>IFERROR(IF(D209=0,0,INT(((YEAR('Deal maths'!AA209)-YEAR(E209))*12+MONTH('Deal maths'!AA209)-MONTH(E209)-(DAY('Deal maths'!AA209)&lt;MIN(R209,DAY(EOMONTH('Deal maths'!AA209,0)))))/D209)+1),0)</f>
        <v/>
      </c>
      <c r="O209" s="108">
        <f>IFERROR(IF(D209=0,0,IF(IF(DAY(E209+1)=1,EOMONTH(E209,(N209-1)*D209),EDATE(E209,(N209-1)*D209))='Deal maths'!AA209,0,1)),0)</f>
        <v/>
      </c>
      <c r="P209" s="113">
        <f>IF(B209=0,0,IFERROR(IF(C209="EIP",((I209-O209)*((IF(DAY(E209+1)=1,EOMONTH(E209,H209*D209),EDATE(E209,H209*D209))-AsAt)/365.25+(IF(DAY(E209+1)=1,EOMONTH(E209,(N209-1)*D209),EDATE(E209,(N209-1)*D209))-AsAt)/365.25)/2+O209*('Deal maths'!AA209-AsAt)/365.25)/I209,IF(C209="Annuity",IF(F209&gt;0,((K209-L209*F209)*((IF(DAY(E209+1)=1,EOMONTH(E209,H209*D209),EDATE(E209,H209*D209))-AsAt)/365.25*((1+F209)^(I209-O209)-1)/F209+IF((I209-O209)&gt;1,((IF(DAY(E209+1)=1,EOMONTH(E209,(N209-1)*D209),EDATE(E209,(N209-1)*D209))-AsAt)/365.25-(IF(DAY(E209+1)=1,EOMONTH(E209,H209*D209),EDATE(E209,H209*D209))-AsAt)/365.25)/((I209-O209)-1),0)*(1+F209)*(1-(I209-O209)*(1+F209)^((I209-O209)-1)+((I209-O209)-1)*(1+F209)^(I209-O209))/F209^2)+O209*(K209-L209*F209)*(1+F209)^(I209-1)*('Deal maths'!AA209-AsAt)/365.25)/L209,((I209-O209)*((IF(DAY(E209+1)=1,EOMONTH(E209,H209*D209),EDATE(E209,H209*D209))-AsAt)/365.25+(IF(DAY(E209+1)=1,EOMONTH(E209,(N209-1)*D209),EDATE(E209,(N209-1)*D209))-AsAt)/365.25)/2+O209*('Deal maths'!AA209-AsAt)/365.25)/I209),(S209-AsAt)/365.25)),0))</f>
        <v/>
      </c>
      <c r="Q209" s="109">
        <f>IF(B209=1,'Deal maths'!AA209+ROW()/1000000,"")</f>
        <v/>
      </c>
      <c r="R209" s="108">
        <f>IF(D209=0,0,IF(DAY(E209+1)=1,31,DAY(E209)))</f>
        <v/>
      </c>
      <c r="S209" s="109">
        <f>IF(AND('Deal maths'!V209="LOBO",'Deal maths'!AG209&gt;AsAt,'Deal maths'!AG209&lt;'Deal maths'!AA209),'Deal maths'!AG209,'Deal maths'!AA209)</f>
        <v/>
      </c>
      <c r="T209" s="108">
        <f>('Deal maths'!AA209&gt;AsAt)*('Deal maths'!Y209&gt;0)</f>
        <v/>
      </c>
    </row>
    <row r="210">
      <c r="A210" s="91">
        <f>IF('Deal maths'!V210="","",'Deal maths'!W210)</f>
        <v/>
      </c>
      <c r="B210" s="108">
        <f>('Deal maths'!AA210&gt;AsAt)*('Deal maths'!Y210&gt;0)*('Deal maths'!Z210&lt;=AsAt)</f>
        <v/>
      </c>
      <c r="C210" s="91">
        <f>IF('Deal maths'!V210="","",IF('Deal maths'!AC210="","Maturity",'Deal maths'!AC210))</f>
        <v/>
      </c>
      <c r="D210" s="108">
        <f>IF(OR(C210="EIP",C210="Annuity"),IF('Deal maths'!AD210="Annual",12,IF('Deal maths'!AD210="Quarterly",3,6)),0)</f>
        <v/>
      </c>
      <c r="E210" s="109">
        <f>IFERROR(IF(D210=0,0,IF('Deal maths'!AE210&gt;0,IF('Deal maths'!AE210&gt;'Deal maths'!AA210,'Deal maths'!AA210,'Deal maths'!AE210),IF(IF(DAY('Deal maths'!AA210+1)=1,EOMONTH('Deal maths'!AA210,-(INT(((YEAR('Deal maths'!AA210)-YEAR(IF('Deal maths'!Z210&gt;0,'Deal maths'!Z210,DATE(1990,1,1))))*12+MONTH('Deal maths'!AA210)-MONTH(IF('Deal maths'!Z210&gt;0,'Deal maths'!Z210,DATE(1990,1,1))))/D210))*D210),EDATE('Deal maths'!AA210,-(INT(((YEAR('Deal maths'!AA210)-YEAR(IF('Deal maths'!Z210&gt;0,'Deal maths'!Z210,DATE(1990,1,1))))*12+MONTH('Deal maths'!AA210)-MONTH(IF('Deal maths'!Z210&gt;0,'Deal maths'!Z210,DATE(1990,1,1))))/D210))*D210))&gt;IF('Deal maths'!Z210&gt;0,'Deal maths'!Z210,DATE(1990,1,1)),IF(DAY('Deal maths'!AA210+1)=1,EOMONTH('Deal maths'!AA210,-(INT(((YEAR('Deal maths'!AA210)-YEAR(IF('Deal maths'!Z210&gt;0,'Deal maths'!Z210,DATE(1990,1,1))))*12+MONTH('Deal maths'!AA210)-MONTH(IF('Deal maths'!Z210&gt;0,'Deal maths'!Z210,DATE(1990,1,1))))/D210))*D210),EDATE('Deal maths'!AA210,-(INT(((YEAR('Deal maths'!AA210)-YEAR(IF('Deal maths'!Z210&gt;0,'Deal maths'!Z210,DATE(1990,1,1))))*12+MONTH('Deal maths'!AA210)-MONTH(IF('Deal maths'!Z210&gt;0,'Deal maths'!Z210,DATE(1990,1,1))))/D210))*D210)),IF(DAY('Deal maths'!AA210+1)=1,EOMONTH('Deal maths'!AA210,-(INT(((YEAR('Deal maths'!AA210)-YEAR(IF('Deal maths'!Z210&gt;0,'Deal maths'!Z210,DATE(1990,1,1))))*12+MONTH('Deal maths'!AA210)-MONTH(IF('Deal maths'!Z210&gt;0,'Deal maths'!Z210,DATE(1990,1,1))))/D210)-1)*D210),EDATE('Deal maths'!AA210,-(INT(((YEAR('Deal maths'!AA210)-YEAR(IF('Deal maths'!Z210&gt;0,'Deal maths'!Z210,DATE(1990,1,1))))*12+MONTH('Deal maths'!AA210)-MONTH(IF('Deal maths'!Z210&gt;0,'Deal maths'!Z210,DATE(1990,1,1))))/D210)-1)*D210))))),0)</f>
        <v/>
      </c>
      <c r="F210" s="110">
        <f>IF(D210=0,0,'Deal maths'!AB210*D210/12)</f>
        <v/>
      </c>
      <c r="G210" s="108">
        <f>N210+O210</f>
        <v/>
      </c>
      <c r="H210" s="108">
        <f>IFERROR(IF(OR(D210=0,AsAt&lt;E210),0,MIN(N210,INT(((YEAR(AsAt)-YEAR(E210))*12+MONTH(AsAt)-MONTH(E210)-(DAY(AsAt)&lt;MIN(R210,DAY(EOMONTH(AsAt,0)))))/D210)+1)+O210*(AsAt&gt;='Deal maths'!AA210)),0)</f>
        <v/>
      </c>
      <c r="I210" s="108">
        <f>G210-H210</f>
        <v/>
      </c>
      <c r="J210" s="111">
        <f>IF(AND(C210="EIP",I210&gt;0),'Deal maths'!Y210/I210,0)</f>
        <v/>
      </c>
      <c r="K210" s="111">
        <f>IF(AND(C210="Annuity",I210&gt;0),IF(F210&gt;0,'Deal maths'!Y210*F210/(1-(1+F210)^-I210),'Deal maths'!Y210/I210),0)</f>
        <v/>
      </c>
      <c r="L210" s="111">
        <f>IF('Deal maths'!Y210="",0,'Deal maths'!Y210)</f>
        <v/>
      </c>
      <c r="M210" s="112">
        <f>F210+(F210=0)</f>
        <v/>
      </c>
      <c r="N210" s="108">
        <f>IFERROR(IF(D210=0,0,INT(((YEAR('Deal maths'!AA210)-YEAR(E210))*12+MONTH('Deal maths'!AA210)-MONTH(E210)-(DAY('Deal maths'!AA210)&lt;MIN(R210,DAY(EOMONTH('Deal maths'!AA210,0)))))/D210)+1),0)</f>
        <v/>
      </c>
      <c r="O210" s="108">
        <f>IFERROR(IF(D210=0,0,IF(IF(DAY(E210+1)=1,EOMONTH(E210,(N210-1)*D210),EDATE(E210,(N210-1)*D210))='Deal maths'!AA210,0,1)),0)</f>
        <v/>
      </c>
      <c r="P210" s="113">
        <f>IF(B210=0,0,IFERROR(IF(C210="EIP",((I210-O210)*((IF(DAY(E210+1)=1,EOMONTH(E210,H210*D210),EDATE(E210,H210*D210))-AsAt)/365.25+(IF(DAY(E210+1)=1,EOMONTH(E210,(N210-1)*D210),EDATE(E210,(N210-1)*D210))-AsAt)/365.25)/2+O210*('Deal maths'!AA210-AsAt)/365.25)/I210,IF(C210="Annuity",IF(F210&gt;0,((K210-L210*F210)*((IF(DAY(E210+1)=1,EOMONTH(E210,H210*D210),EDATE(E210,H210*D210))-AsAt)/365.25*((1+F210)^(I210-O210)-1)/F210+IF((I210-O210)&gt;1,((IF(DAY(E210+1)=1,EOMONTH(E210,(N210-1)*D210),EDATE(E210,(N210-1)*D210))-AsAt)/365.25-(IF(DAY(E210+1)=1,EOMONTH(E210,H210*D210),EDATE(E210,H210*D210))-AsAt)/365.25)/((I210-O210)-1),0)*(1+F210)*(1-(I210-O210)*(1+F210)^((I210-O210)-1)+((I210-O210)-1)*(1+F210)^(I210-O210))/F210^2)+O210*(K210-L210*F210)*(1+F210)^(I210-1)*('Deal maths'!AA210-AsAt)/365.25)/L210,((I210-O210)*((IF(DAY(E210+1)=1,EOMONTH(E210,H210*D210),EDATE(E210,H210*D210))-AsAt)/365.25+(IF(DAY(E210+1)=1,EOMONTH(E210,(N210-1)*D210),EDATE(E210,(N210-1)*D210))-AsAt)/365.25)/2+O210*('Deal maths'!AA210-AsAt)/365.25)/I210),(S210-AsAt)/365.25)),0))</f>
        <v/>
      </c>
      <c r="Q210" s="109">
        <f>IF(B210=1,'Deal maths'!AA210+ROW()/1000000,"")</f>
        <v/>
      </c>
      <c r="R210" s="108">
        <f>IF(D210=0,0,IF(DAY(E210+1)=1,31,DAY(E210)))</f>
        <v/>
      </c>
      <c r="S210" s="109">
        <f>IF(AND('Deal maths'!V210="LOBO",'Deal maths'!AG210&gt;AsAt,'Deal maths'!AG210&lt;'Deal maths'!AA210),'Deal maths'!AG210,'Deal maths'!AA210)</f>
        <v/>
      </c>
      <c r="T210" s="108">
        <f>('Deal maths'!AA210&gt;AsAt)*('Deal maths'!Y210&gt;0)</f>
        <v/>
      </c>
    </row>
    <row r="211">
      <c r="A211" s="91">
        <f>IF('Deal maths'!V211="","",'Deal maths'!W211)</f>
        <v/>
      </c>
      <c r="B211" s="108">
        <f>('Deal maths'!AA211&gt;AsAt)*('Deal maths'!Y211&gt;0)*('Deal maths'!Z211&lt;=AsAt)</f>
        <v/>
      </c>
      <c r="C211" s="91">
        <f>IF('Deal maths'!V211="","",IF('Deal maths'!AC211="","Maturity",'Deal maths'!AC211))</f>
        <v/>
      </c>
      <c r="D211" s="108">
        <f>IF(OR(C211="EIP",C211="Annuity"),IF('Deal maths'!AD211="Annual",12,IF('Deal maths'!AD211="Quarterly",3,6)),0)</f>
        <v/>
      </c>
      <c r="E211" s="109">
        <f>IFERROR(IF(D211=0,0,IF('Deal maths'!AE211&gt;0,IF('Deal maths'!AE211&gt;'Deal maths'!AA211,'Deal maths'!AA211,'Deal maths'!AE211),IF(IF(DAY('Deal maths'!AA211+1)=1,EOMONTH('Deal maths'!AA211,-(INT(((YEAR('Deal maths'!AA211)-YEAR(IF('Deal maths'!Z211&gt;0,'Deal maths'!Z211,DATE(1990,1,1))))*12+MONTH('Deal maths'!AA211)-MONTH(IF('Deal maths'!Z211&gt;0,'Deal maths'!Z211,DATE(1990,1,1))))/D211))*D211),EDATE('Deal maths'!AA211,-(INT(((YEAR('Deal maths'!AA211)-YEAR(IF('Deal maths'!Z211&gt;0,'Deal maths'!Z211,DATE(1990,1,1))))*12+MONTH('Deal maths'!AA211)-MONTH(IF('Deal maths'!Z211&gt;0,'Deal maths'!Z211,DATE(1990,1,1))))/D211))*D211))&gt;IF('Deal maths'!Z211&gt;0,'Deal maths'!Z211,DATE(1990,1,1)),IF(DAY('Deal maths'!AA211+1)=1,EOMONTH('Deal maths'!AA211,-(INT(((YEAR('Deal maths'!AA211)-YEAR(IF('Deal maths'!Z211&gt;0,'Deal maths'!Z211,DATE(1990,1,1))))*12+MONTH('Deal maths'!AA211)-MONTH(IF('Deal maths'!Z211&gt;0,'Deal maths'!Z211,DATE(1990,1,1))))/D211))*D211),EDATE('Deal maths'!AA211,-(INT(((YEAR('Deal maths'!AA211)-YEAR(IF('Deal maths'!Z211&gt;0,'Deal maths'!Z211,DATE(1990,1,1))))*12+MONTH('Deal maths'!AA211)-MONTH(IF('Deal maths'!Z211&gt;0,'Deal maths'!Z211,DATE(1990,1,1))))/D211))*D211)),IF(DAY('Deal maths'!AA211+1)=1,EOMONTH('Deal maths'!AA211,-(INT(((YEAR('Deal maths'!AA211)-YEAR(IF('Deal maths'!Z211&gt;0,'Deal maths'!Z211,DATE(1990,1,1))))*12+MONTH('Deal maths'!AA211)-MONTH(IF('Deal maths'!Z211&gt;0,'Deal maths'!Z211,DATE(1990,1,1))))/D211)-1)*D211),EDATE('Deal maths'!AA211,-(INT(((YEAR('Deal maths'!AA211)-YEAR(IF('Deal maths'!Z211&gt;0,'Deal maths'!Z211,DATE(1990,1,1))))*12+MONTH('Deal maths'!AA211)-MONTH(IF('Deal maths'!Z211&gt;0,'Deal maths'!Z211,DATE(1990,1,1))))/D211)-1)*D211))))),0)</f>
        <v/>
      </c>
      <c r="F211" s="110">
        <f>IF(D211=0,0,'Deal maths'!AB211*D211/12)</f>
        <v/>
      </c>
      <c r="G211" s="108">
        <f>N211+O211</f>
        <v/>
      </c>
      <c r="H211" s="108">
        <f>IFERROR(IF(OR(D211=0,AsAt&lt;E211),0,MIN(N211,INT(((YEAR(AsAt)-YEAR(E211))*12+MONTH(AsAt)-MONTH(E211)-(DAY(AsAt)&lt;MIN(R211,DAY(EOMONTH(AsAt,0)))))/D211)+1)+O211*(AsAt&gt;='Deal maths'!AA211)),0)</f>
        <v/>
      </c>
      <c r="I211" s="108">
        <f>G211-H211</f>
        <v/>
      </c>
      <c r="J211" s="111">
        <f>IF(AND(C211="EIP",I211&gt;0),'Deal maths'!Y211/I211,0)</f>
        <v/>
      </c>
      <c r="K211" s="111">
        <f>IF(AND(C211="Annuity",I211&gt;0),IF(F211&gt;0,'Deal maths'!Y211*F211/(1-(1+F211)^-I211),'Deal maths'!Y211/I211),0)</f>
        <v/>
      </c>
      <c r="L211" s="111">
        <f>IF('Deal maths'!Y211="",0,'Deal maths'!Y211)</f>
        <v/>
      </c>
      <c r="M211" s="112">
        <f>F211+(F211=0)</f>
        <v/>
      </c>
      <c r="N211" s="108">
        <f>IFERROR(IF(D211=0,0,INT(((YEAR('Deal maths'!AA211)-YEAR(E211))*12+MONTH('Deal maths'!AA211)-MONTH(E211)-(DAY('Deal maths'!AA211)&lt;MIN(R211,DAY(EOMONTH('Deal maths'!AA211,0)))))/D211)+1),0)</f>
        <v/>
      </c>
      <c r="O211" s="108">
        <f>IFERROR(IF(D211=0,0,IF(IF(DAY(E211+1)=1,EOMONTH(E211,(N211-1)*D211),EDATE(E211,(N211-1)*D211))='Deal maths'!AA211,0,1)),0)</f>
        <v/>
      </c>
      <c r="P211" s="113">
        <f>IF(B211=0,0,IFERROR(IF(C211="EIP",((I211-O211)*((IF(DAY(E211+1)=1,EOMONTH(E211,H211*D211),EDATE(E211,H211*D211))-AsAt)/365.25+(IF(DAY(E211+1)=1,EOMONTH(E211,(N211-1)*D211),EDATE(E211,(N211-1)*D211))-AsAt)/365.25)/2+O211*('Deal maths'!AA211-AsAt)/365.25)/I211,IF(C211="Annuity",IF(F211&gt;0,((K211-L211*F211)*((IF(DAY(E211+1)=1,EOMONTH(E211,H211*D211),EDATE(E211,H211*D211))-AsAt)/365.25*((1+F211)^(I211-O211)-1)/F211+IF((I211-O211)&gt;1,((IF(DAY(E211+1)=1,EOMONTH(E211,(N211-1)*D211),EDATE(E211,(N211-1)*D211))-AsAt)/365.25-(IF(DAY(E211+1)=1,EOMONTH(E211,H211*D211),EDATE(E211,H211*D211))-AsAt)/365.25)/((I211-O211)-1),0)*(1+F211)*(1-(I211-O211)*(1+F211)^((I211-O211)-1)+((I211-O211)-1)*(1+F211)^(I211-O211))/F211^2)+O211*(K211-L211*F211)*(1+F211)^(I211-1)*('Deal maths'!AA211-AsAt)/365.25)/L211,((I211-O211)*((IF(DAY(E211+1)=1,EOMONTH(E211,H211*D211),EDATE(E211,H211*D211))-AsAt)/365.25+(IF(DAY(E211+1)=1,EOMONTH(E211,(N211-1)*D211),EDATE(E211,(N211-1)*D211))-AsAt)/365.25)/2+O211*('Deal maths'!AA211-AsAt)/365.25)/I211),(S211-AsAt)/365.25)),0))</f>
        <v/>
      </c>
      <c r="Q211" s="109">
        <f>IF(B211=1,'Deal maths'!AA211+ROW()/1000000,"")</f>
        <v/>
      </c>
      <c r="R211" s="108">
        <f>IF(D211=0,0,IF(DAY(E211+1)=1,31,DAY(E211)))</f>
        <v/>
      </c>
      <c r="S211" s="109">
        <f>IF(AND('Deal maths'!V211="LOBO",'Deal maths'!AG211&gt;AsAt,'Deal maths'!AG211&lt;'Deal maths'!AA211),'Deal maths'!AG211,'Deal maths'!AA211)</f>
        <v/>
      </c>
      <c r="T211" s="108">
        <f>('Deal maths'!AA211&gt;AsAt)*('Deal maths'!Y211&gt;0)</f>
        <v/>
      </c>
    </row>
    <row r="212">
      <c r="A212" s="91">
        <f>IF('Deal maths'!V212="","",'Deal maths'!W212)</f>
        <v/>
      </c>
      <c r="B212" s="108">
        <f>('Deal maths'!AA212&gt;AsAt)*('Deal maths'!Y212&gt;0)*('Deal maths'!Z212&lt;=AsAt)</f>
        <v/>
      </c>
      <c r="C212" s="91">
        <f>IF('Deal maths'!V212="","",IF('Deal maths'!AC212="","Maturity",'Deal maths'!AC212))</f>
        <v/>
      </c>
      <c r="D212" s="108">
        <f>IF(OR(C212="EIP",C212="Annuity"),IF('Deal maths'!AD212="Annual",12,IF('Deal maths'!AD212="Quarterly",3,6)),0)</f>
        <v/>
      </c>
      <c r="E212" s="109">
        <f>IFERROR(IF(D212=0,0,IF('Deal maths'!AE212&gt;0,IF('Deal maths'!AE212&gt;'Deal maths'!AA212,'Deal maths'!AA212,'Deal maths'!AE212),IF(IF(DAY('Deal maths'!AA212+1)=1,EOMONTH('Deal maths'!AA212,-(INT(((YEAR('Deal maths'!AA212)-YEAR(IF('Deal maths'!Z212&gt;0,'Deal maths'!Z212,DATE(1990,1,1))))*12+MONTH('Deal maths'!AA212)-MONTH(IF('Deal maths'!Z212&gt;0,'Deal maths'!Z212,DATE(1990,1,1))))/D212))*D212),EDATE('Deal maths'!AA212,-(INT(((YEAR('Deal maths'!AA212)-YEAR(IF('Deal maths'!Z212&gt;0,'Deal maths'!Z212,DATE(1990,1,1))))*12+MONTH('Deal maths'!AA212)-MONTH(IF('Deal maths'!Z212&gt;0,'Deal maths'!Z212,DATE(1990,1,1))))/D212))*D212))&gt;IF('Deal maths'!Z212&gt;0,'Deal maths'!Z212,DATE(1990,1,1)),IF(DAY('Deal maths'!AA212+1)=1,EOMONTH('Deal maths'!AA212,-(INT(((YEAR('Deal maths'!AA212)-YEAR(IF('Deal maths'!Z212&gt;0,'Deal maths'!Z212,DATE(1990,1,1))))*12+MONTH('Deal maths'!AA212)-MONTH(IF('Deal maths'!Z212&gt;0,'Deal maths'!Z212,DATE(1990,1,1))))/D212))*D212),EDATE('Deal maths'!AA212,-(INT(((YEAR('Deal maths'!AA212)-YEAR(IF('Deal maths'!Z212&gt;0,'Deal maths'!Z212,DATE(1990,1,1))))*12+MONTH('Deal maths'!AA212)-MONTH(IF('Deal maths'!Z212&gt;0,'Deal maths'!Z212,DATE(1990,1,1))))/D212))*D212)),IF(DAY('Deal maths'!AA212+1)=1,EOMONTH('Deal maths'!AA212,-(INT(((YEAR('Deal maths'!AA212)-YEAR(IF('Deal maths'!Z212&gt;0,'Deal maths'!Z212,DATE(1990,1,1))))*12+MONTH('Deal maths'!AA212)-MONTH(IF('Deal maths'!Z212&gt;0,'Deal maths'!Z212,DATE(1990,1,1))))/D212)-1)*D212),EDATE('Deal maths'!AA212,-(INT(((YEAR('Deal maths'!AA212)-YEAR(IF('Deal maths'!Z212&gt;0,'Deal maths'!Z212,DATE(1990,1,1))))*12+MONTH('Deal maths'!AA212)-MONTH(IF('Deal maths'!Z212&gt;0,'Deal maths'!Z212,DATE(1990,1,1))))/D212)-1)*D212))))),0)</f>
        <v/>
      </c>
      <c r="F212" s="110">
        <f>IF(D212=0,0,'Deal maths'!AB212*D212/12)</f>
        <v/>
      </c>
      <c r="G212" s="108">
        <f>N212+O212</f>
        <v/>
      </c>
      <c r="H212" s="108">
        <f>IFERROR(IF(OR(D212=0,AsAt&lt;E212),0,MIN(N212,INT(((YEAR(AsAt)-YEAR(E212))*12+MONTH(AsAt)-MONTH(E212)-(DAY(AsAt)&lt;MIN(R212,DAY(EOMONTH(AsAt,0)))))/D212)+1)+O212*(AsAt&gt;='Deal maths'!AA212)),0)</f>
        <v/>
      </c>
      <c r="I212" s="108">
        <f>G212-H212</f>
        <v/>
      </c>
      <c r="J212" s="111">
        <f>IF(AND(C212="EIP",I212&gt;0),'Deal maths'!Y212/I212,0)</f>
        <v/>
      </c>
      <c r="K212" s="111">
        <f>IF(AND(C212="Annuity",I212&gt;0),IF(F212&gt;0,'Deal maths'!Y212*F212/(1-(1+F212)^-I212),'Deal maths'!Y212/I212),0)</f>
        <v/>
      </c>
      <c r="L212" s="111">
        <f>IF('Deal maths'!Y212="",0,'Deal maths'!Y212)</f>
        <v/>
      </c>
      <c r="M212" s="112">
        <f>F212+(F212=0)</f>
        <v/>
      </c>
      <c r="N212" s="108">
        <f>IFERROR(IF(D212=0,0,INT(((YEAR('Deal maths'!AA212)-YEAR(E212))*12+MONTH('Deal maths'!AA212)-MONTH(E212)-(DAY('Deal maths'!AA212)&lt;MIN(R212,DAY(EOMONTH('Deal maths'!AA212,0)))))/D212)+1),0)</f>
        <v/>
      </c>
      <c r="O212" s="108">
        <f>IFERROR(IF(D212=0,0,IF(IF(DAY(E212+1)=1,EOMONTH(E212,(N212-1)*D212),EDATE(E212,(N212-1)*D212))='Deal maths'!AA212,0,1)),0)</f>
        <v/>
      </c>
      <c r="P212" s="113">
        <f>IF(B212=0,0,IFERROR(IF(C212="EIP",((I212-O212)*((IF(DAY(E212+1)=1,EOMONTH(E212,H212*D212),EDATE(E212,H212*D212))-AsAt)/365.25+(IF(DAY(E212+1)=1,EOMONTH(E212,(N212-1)*D212),EDATE(E212,(N212-1)*D212))-AsAt)/365.25)/2+O212*('Deal maths'!AA212-AsAt)/365.25)/I212,IF(C212="Annuity",IF(F212&gt;0,((K212-L212*F212)*((IF(DAY(E212+1)=1,EOMONTH(E212,H212*D212),EDATE(E212,H212*D212))-AsAt)/365.25*((1+F212)^(I212-O212)-1)/F212+IF((I212-O212)&gt;1,((IF(DAY(E212+1)=1,EOMONTH(E212,(N212-1)*D212),EDATE(E212,(N212-1)*D212))-AsAt)/365.25-(IF(DAY(E212+1)=1,EOMONTH(E212,H212*D212),EDATE(E212,H212*D212))-AsAt)/365.25)/((I212-O212)-1),0)*(1+F212)*(1-(I212-O212)*(1+F212)^((I212-O212)-1)+((I212-O212)-1)*(1+F212)^(I212-O212))/F212^2)+O212*(K212-L212*F212)*(1+F212)^(I212-1)*('Deal maths'!AA212-AsAt)/365.25)/L212,((I212-O212)*((IF(DAY(E212+1)=1,EOMONTH(E212,H212*D212),EDATE(E212,H212*D212))-AsAt)/365.25+(IF(DAY(E212+1)=1,EOMONTH(E212,(N212-1)*D212),EDATE(E212,(N212-1)*D212))-AsAt)/365.25)/2+O212*('Deal maths'!AA212-AsAt)/365.25)/I212),(S212-AsAt)/365.25)),0))</f>
        <v/>
      </c>
      <c r="Q212" s="109">
        <f>IF(B212=1,'Deal maths'!AA212+ROW()/1000000,"")</f>
        <v/>
      </c>
      <c r="R212" s="108">
        <f>IF(D212=0,0,IF(DAY(E212+1)=1,31,DAY(E212)))</f>
        <v/>
      </c>
      <c r="S212" s="109">
        <f>IF(AND('Deal maths'!V212="LOBO",'Deal maths'!AG212&gt;AsAt,'Deal maths'!AG212&lt;'Deal maths'!AA212),'Deal maths'!AG212,'Deal maths'!AA212)</f>
        <v/>
      </c>
      <c r="T212" s="108">
        <f>('Deal maths'!AA212&gt;AsAt)*('Deal maths'!Y212&gt;0)</f>
        <v/>
      </c>
    </row>
    <row r="213">
      <c r="A213" s="91">
        <f>IF('Deal maths'!V213="","",'Deal maths'!W213)</f>
        <v/>
      </c>
      <c r="B213" s="108">
        <f>('Deal maths'!AA213&gt;AsAt)*('Deal maths'!Y213&gt;0)*('Deal maths'!Z213&lt;=AsAt)</f>
        <v/>
      </c>
      <c r="C213" s="91">
        <f>IF('Deal maths'!V213="","",IF('Deal maths'!AC213="","Maturity",'Deal maths'!AC213))</f>
        <v/>
      </c>
      <c r="D213" s="108">
        <f>IF(OR(C213="EIP",C213="Annuity"),IF('Deal maths'!AD213="Annual",12,IF('Deal maths'!AD213="Quarterly",3,6)),0)</f>
        <v/>
      </c>
      <c r="E213" s="109">
        <f>IFERROR(IF(D213=0,0,IF('Deal maths'!AE213&gt;0,IF('Deal maths'!AE213&gt;'Deal maths'!AA213,'Deal maths'!AA213,'Deal maths'!AE213),IF(IF(DAY('Deal maths'!AA213+1)=1,EOMONTH('Deal maths'!AA213,-(INT(((YEAR('Deal maths'!AA213)-YEAR(IF('Deal maths'!Z213&gt;0,'Deal maths'!Z213,DATE(1990,1,1))))*12+MONTH('Deal maths'!AA213)-MONTH(IF('Deal maths'!Z213&gt;0,'Deal maths'!Z213,DATE(1990,1,1))))/D213))*D213),EDATE('Deal maths'!AA213,-(INT(((YEAR('Deal maths'!AA213)-YEAR(IF('Deal maths'!Z213&gt;0,'Deal maths'!Z213,DATE(1990,1,1))))*12+MONTH('Deal maths'!AA213)-MONTH(IF('Deal maths'!Z213&gt;0,'Deal maths'!Z213,DATE(1990,1,1))))/D213))*D213))&gt;IF('Deal maths'!Z213&gt;0,'Deal maths'!Z213,DATE(1990,1,1)),IF(DAY('Deal maths'!AA213+1)=1,EOMONTH('Deal maths'!AA213,-(INT(((YEAR('Deal maths'!AA213)-YEAR(IF('Deal maths'!Z213&gt;0,'Deal maths'!Z213,DATE(1990,1,1))))*12+MONTH('Deal maths'!AA213)-MONTH(IF('Deal maths'!Z213&gt;0,'Deal maths'!Z213,DATE(1990,1,1))))/D213))*D213),EDATE('Deal maths'!AA213,-(INT(((YEAR('Deal maths'!AA213)-YEAR(IF('Deal maths'!Z213&gt;0,'Deal maths'!Z213,DATE(1990,1,1))))*12+MONTH('Deal maths'!AA213)-MONTH(IF('Deal maths'!Z213&gt;0,'Deal maths'!Z213,DATE(1990,1,1))))/D213))*D213)),IF(DAY('Deal maths'!AA213+1)=1,EOMONTH('Deal maths'!AA213,-(INT(((YEAR('Deal maths'!AA213)-YEAR(IF('Deal maths'!Z213&gt;0,'Deal maths'!Z213,DATE(1990,1,1))))*12+MONTH('Deal maths'!AA213)-MONTH(IF('Deal maths'!Z213&gt;0,'Deal maths'!Z213,DATE(1990,1,1))))/D213)-1)*D213),EDATE('Deal maths'!AA213,-(INT(((YEAR('Deal maths'!AA213)-YEAR(IF('Deal maths'!Z213&gt;0,'Deal maths'!Z213,DATE(1990,1,1))))*12+MONTH('Deal maths'!AA213)-MONTH(IF('Deal maths'!Z213&gt;0,'Deal maths'!Z213,DATE(1990,1,1))))/D213)-1)*D213))))),0)</f>
        <v/>
      </c>
      <c r="F213" s="110">
        <f>IF(D213=0,0,'Deal maths'!AB213*D213/12)</f>
        <v/>
      </c>
      <c r="G213" s="108">
        <f>N213+O213</f>
        <v/>
      </c>
      <c r="H213" s="108">
        <f>IFERROR(IF(OR(D213=0,AsAt&lt;E213),0,MIN(N213,INT(((YEAR(AsAt)-YEAR(E213))*12+MONTH(AsAt)-MONTH(E213)-(DAY(AsAt)&lt;MIN(R213,DAY(EOMONTH(AsAt,0)))))/D213)+1)+O213*(AsAt&gt;='Deal maths'!AA213)),0)</f>
        <v/>
      </c>
      <c r="I213" s="108">
        <f>G213-H213</f>
        <v/>
      </c>
      <c r="J213" s="111">
        <f>IF(AND(C213="EIP",I213&gt;0),'Deal maths'!Y213/I213,0)</f>
        <v/>
      </c>
      <c r="K213" s="111">
        <f>IF(AND(C213="Annuity",I213&gt;0),IF(F213&gt;0,'Deal maths'!Y213*F213/(1-(1+F213)^-I213),'Deal maths'!Y213/I213),0)</f>
        <v/>
      </c>
      <c r="L213" s="111">
        <f>IF('Deal maths'!Y213="",0,'Deal maths'!Y213)</f>
        <v/>
      </c>
      <c r="M213" s="112">
        <f>F213+(F213=0)</f>
        <v/>
      </c>
      <c r="N213" s="108">
        <f>IFERROR(IF(D213=0,0,INT(((YEAR('Deal maths'!AA213)-YEAR(E213))*12+MONTH('Deal maths'!AA213)-MONTH(E213)-(DAY('Deal maths'!AA213)&lt;MIN(R213,DAY(EOMONTH('Deal maths'!AA213,0)))))/D213)+1),0)</f>
        <v/>
      </c>
      <c r="O213" s="108">
        <f>IFERROR(IF(D213=0,0,IF(IF(DAY(E213+1)=1,EOMONTH(E213,(N213-1)*D213),EDATE(E213,(N213-1)*D213))='Deal maths'!AA213,0,1)),0)</f>
        <v/>
      </c>
      <c r="P213" s="113">
        <f>IF(B213=0,0,IFERROR(IF(C213="EIP",((I213-O213)*((IF(DAY(E213+1)=1,EOMONTH(E213,H213*D213),EDATE(E213,H213*D213))-AsAt)/365.25+(IF(DAY(E213+1)=1,EOMONTH(E213,(N213-1)*D213),EDATE(E213,(N213-1)*D213))-AsAt)/365.25)/2+O213*('Deal maths'!AA213-AsAt)/365.25)/I213,IF(C213="Annuity",IF(F213&gt;0,((K213-L213*F213)*((IF(DAY(E213+1)=1,EOMONTH(E213,H213*D213),EDATE(E213,H213*D213))-AsAt)/365.25*((1+F213)^(I213-O213)-1)/F213+IF((I213-O213)&gt;1,((IF(DAY(E213+1)=1,EOMONTH(E213,(N213-1)*D213),EDATE(E213,(N213-1)*D213))-AsAt)/365.25-(IF(DAY(E213+1)=1,EOMONTH(E213,H213*D213),EDATE(E213,H213*D213))-AsAt)/365.25)/((I213-O213)-1),0)*(1+F213)*(1-(I213-O213)*(1+F213)^((I213-O213)-1)+((I213-O213)-1)*(1+F213)^(I213-O213))/F213^2)+O213*(K213-L213*F213)*(1+F213)^(I213-1)*('Deal maths'!AA213-AsAt)/365.25)/L213,((I213-O213)*((IF(DAY(E213+1)=1,EOMONTH(E213,H213*D213),EDATE(E213,H213*D213))-AsAt)/365.25+(IF(DAY(E213+1)=1,EOMONTH(E213,(N213-1)*D213),EDATE(E213,(N213-1)*D213))-AsAt)/365.25)/2+O213*('Deal maths'!AA213-AsAt)/365.25)/I213),(S213-AsAt)/365.25)),0))</f>
        <v/>
      </c>
      <c r="Q213" s="109">
        <f>IF(B213=1,'Deal maths'!AA213+ROW()/1000000,"")</f>
        <v/>
      </c>
      <c r="R213" s="108">
        <f>IF(D213=0,0,IF(DAY(E213+1)=1,31,DAY(E213)))</f>
        <v/>
      </c>
      <c r="S213" s="109">
        <f>IF(AND('Deal maths'!V213="LOBO",'Deal maths'!AG213&gt;AsAt,'Deal maths'!AG213&lt;'Deal maths'!AA213),'Deal maths'!AG213,'Deal maths'!AA213)</f>
        <v/>
      </c>
      <c r="T213" s="108">
        <f>('Deal maths'!AA213&gt;AsAt)*('Deal maths'!Y213&gt;0)</f>
        <v/>
      </c>
    </row>
    <row r="214">
      <c r="A214" s="91">
        <f>IF('Deal maths'!V214="","",'Deal maths'!W214)</f>
        <v/>
      </c>
      <c r="B214" s="108">
        <f>('Deal maths'!AA214&gt;AsAt)*('Deal maths'!Y214&gt;0)*('Deal maths'!Z214&lt;=AsAt)</f>
        <v/>
      </c>
      <c r="C214" s="91">
        <f>IF('Deal maths'!V214="","",IF('Deal maths'!AC214="","Maturity",'Deal maths'!AC214))</f>
        <v/>
      </c>
      <c r="D214" s="108">
        <f>IF(OR(C214="EIP",C214="Annuity"),IF('Deal maths'!AD214="Annual",12,IF('Deal maths'!AD214="Quarterly",3,6)),0)</f>
        <v/>
      </c>
      <c r="E214" s="109">
        <f>IFERROR(IF(D214=0,0,IF('Deal maths'!AE214&gt;0,IF('Deal maths'!AE214&gt;'Deal maths'!AA214,'Deal maths'!AA214,'Deal maths'!AE214),IF(IF(DAY('Deal maths'!AA214+1)=1,EOMONTH('Deal maths'!AA214,-(INT(((YEAR('Deal maths'!AA214)-YEAR(IF('Deal maths'!Z214&gt;0,'Deal maths'!Z214,DATE(1990,1,1))))*12+MONTH('Deal maths'!AA214)-MONTH(IF('Deal maths'!Z214&gt;0,'Deal maths'!Z214,DATE(1990,1,1))))/D214))*D214),EDATE('Deal maths'!AA214,-(INT(((YEAR('Deal maths'!AA214)-YEAR(IF('Deal maths'!Z214&gt;0,'Deal maths'!Z214,DATE(1990,1,1))))*12+MONTH('Deal maths'!AA214)-MONTH(IF('Deal maths'!Z214&gt;0,'Deal maths'!Z214,DATE(1990,1,1))))/D214))*D214))&gt;IF('Deal maths'!Z214&gt;0,'Deal maths'!Z214,DATE(1990,1,1)),IF(DAY('Deal maths'!AA214+1)=1,EOMONTH('Deal maths'!AA214,-(INT(((YEAR('Deal maths'!AA214)-YEAR(IF('Deal maths'!Z214&gt;0,'Deal maths'!Z214,DATE(1990,1,1))))*12+MONTH('Deal maths'!AA214)-MONTH(IF('Deal maths'!Z214&gt;0,'Deal maths'!Z214,DATE(1990,1,1))))/D214))*D214),EDATE('Deal maths'!AA214,-(INT(((YEAR('Deal maths'!AA214)-YEAR(IF('Deal maths'!Z214&gt;0,'Deal maths'!Z214,DATE(1990,1,1))))*12+MONTH('Deal maths'!AA214)-MONTH(IF('Deal maths'!Z214&gt;0,'Deal maths'!Z214,DATE(1990,1,1))))/D214))*D214)),IF(DAY('Deal maths'!AA214+1)=1,EOMONTH('Deal maths'!AA214,-(INT(((YEAR('Deal maths'!AA214)-YEAR(IF('Deal maths'!Z214&gt;0,'Deal maths'!Z214,DATE(1990,1,1))))*12+MONTH('Deal maths'!AA214)-MONTH(IF('Deal maths'!Z214&gt;0,'Deal maths'!Z214,DATE(1990,1,1))))/D214)-1)*D214),EDATE('Deal maths'!AA214,-(INT(((YEAR('Deal maths'!AA214)-YEAR(IF('Deal maths'!Z214&gt;0,'Deal maths'!Z214,DATE(1990,1,1))))*12+MONTH('Deal maths'!AA214)-MONTH(IF('Deal maths'!Z214&gt;0,'Deal maths'!Z214,DATE(1990,1,1))))/D214)-1)*D214))))),0)</f>
        <v/>
      </c>
      <c r="F214" s="110">
        <f>IF(D214=0,0,'Deal maths'!AB214*D214/12)</f>
        <v/>
      </c>
      <c r="G214" s="108">
        <f>N214+O214</f>
        <v/>
      </c>
      <c r="H214" s="108">
        <f>IFERROR(IF(OR(D214=0,AsAt&lt;E214),0,MIN(N214,INT(((YEAR(AsAt)-YEAR(E214))*12+MONTH(AsAt)-MONTH(E214)-(DAY(AsAt)&lt;MIN(R214,DAY(EOMONTH(AsAt,0)))))/D214)+1)+O214*(AsAt&gt;='Deal maths'!AA214)),0)</f>
        <v/>
      </c>
      <c r="I214" s="108">
        <f>G214-H214</f>
        <v/>
      </c>
      <c r="J214" s="111">
        <f>IF(AND(C214="EIP",I214&gt;0),'Deal maths'!Y214/I214,0)</f>
        <v/>
      </c>
      <c r="K214" s="111">
        <f>IF(AND(C214="Annuity",I214&gt;0),IF(F214&gt;0,'Deal maths'!Y214*F214/(1-(1+F214)^-I214),'Deal maths'!Y214/I214),0)</f>
        <v/>
      </c>
      <c r="L214" s="111">
        <f>IF('Deal maths'!Y214="",0,'Deal maths'!Y214)</f>
        <v/>
      </c>
      <c r="M214" s="112">
        <f>F214+(F214=0)</f>
        <v/>
      </c>
      <c r="N214" s="108">
        <f>IFERROR(IF(D214=0,0,INT(((YEAR('Deal maths'!AA214)-YEAR(E214))*12+MONTH('Deal maths'!AA214)-MONTH(E214)-(DAY('Deal maths'!AA214)&lt;MIN(R214,DAY(EOMONTH('Deal maths'!AA214,0)))))/D214)+1),0)</f>
        <v/>
      </c>
      <c r="O214" s="108">
        <f>IFERROR(IF(D214=0,0,IF(IF(DAY(E214+1)=1,EOMONTH(E214,(N214-1)*D214),EDATE(E214,(N214-1)*D214))='Deal maths'!AA214,0,1)),0)</f>
        <v/>
      </c>
      <c r="P214" s="113">
        <f>IF(B214=0,0,IFERROR(IF(C214="EIP",((I214-O214)*((IF(DAY(E214+1)=1,EOMONTH(E214,H214*D214),EDATE(E214,H214*D214))-AsAt)/365.25+(IF(DAY(E214+1)=1,EOMONTH(E214,(N214-1)*D214),EDATE(E214,(N214-1)*D214))-AsAt)/365.25)/2+O214*('Deal maths'!AA214-AsAt)/365.25)/I214,IF(C214="Annuity",IF(F214&gt;0,((K214-L214*F214)*((IF(DAY(E214+1)=1,EOMONTH(E214,H214*D214),EDATE(E214,H214*D214))-AsAt)/365.25*((1+F214)^(I214-O214)-1)/F214+IF((I214-O214)&gt;1,((IF(DAY(E214+1)=1,EOMONTH(E214,(N214-1)*D214),EDATE(E214,(N214-1)*D214))-AsAt)/365.25-(IF(DAY(E214+1)=1,EOMONTH(E214,H214*D214),EDATE(E214,H214*D214))-AsAt)/365.25)/((I214-O214)-1),0)*(1+F214)*(1-(I214-O214)*(1+F214)^((I214-O214)-1)+((I214-O214)-1)*(1+F214)^(I214-O214))/F214^2)+O214*(K214-L214*F214)*(1+F214)^(I214-1)*('Deal maths'!AA214-AsAt)/365.25)/L214,((I214-O214)*((IF(DAY(E214+1)=1,EOMONTH(E214,H214*D214),EDATE(E214,H214*D214))-AsAt)/365.25+(IF(DAY(E214+1)=1,EOMONTH(E214,(N214-1)*D214),EDATE(E214,(N214-1)*D214))-AsAt)/365.25)/2+O214*('Deal maths'!AA214-AsAt)/365.25)/I214),(S214-AsAt)/365.25)),0))</f>
        <v/>
      </c>
      <c r="Q214" s="109">
        <f>IF(B214=1,'Deal maths'!AA214+ROW()/1000000,"")</f>
        <v/>
      </c>
      <c r="R214" s="108">
        <f>IF(D214=0,0,IF(DAY(E214+1)=1,31,DAY(E214)))</f>
        <v/>
      </c>
      <c r="S214" s="109">
        <f>IF(AND('Deal maths'!V214="LOBO",'Deal maths'!AG214&gt;AsAt,'Deal maths'!AG214&lt;'Deal maths'!AA214),'Deal maths'!AG214,'Deal maths'!AA214)</f>
        <v/>
      </c>
      <c r="T214" s="108">
        <f>('Deal maths'!AA214&gt;AsAt)*('Deal maths'!Y214&gt;0)</f>
        <v/>
      </c>
    </row>
    <row r="215">
      <c r="A215" s="91">
        <f>IF('Deal maths'!V215="","",'Deal maths'!W215)</f>
        <v/>
      </c>
      <c r="B215" s="108">
        <f>('Deal maths'!AA215&gt;AsAt)*('Deal maths'!Y215&gt;0)*('Deal maths'!Z215&lt;=AsAt)</f>
        <v/>
      </c>
      <c r="C215" s="91">
        <f>IF('Deal maths'!V215="","",IF('Deal maths'!AC215="","Maturity",'Deal maths'!AC215))</f>
        <v/>
      </c>
      <c r="D215" s="108">
        <f>IF(OR(C215="EIP",C215="Annuity"),IF('Deal maths'!AD215="Annual",12,IF('Deal maths'!AD215="Quarterly",3,6)),0)</f>
        <v/>
      </c>
      <c r="E215" s="109">
        <f>IFERROR(IF(D215=0,0,IF('Deal maths'!AE215&gt;0,IF('Deal maths'!AE215&gt;'Deal maths'!AA215,'Deal maths'!AA215,'Deal maths'!AE215),IF(IF(DAY('Deal maths'!AA215+1)=1,EOMONTH('Deal maths'!AA215,-(INT(((YEAR('Deal maths'!AA215)-YEAR(IF('Deal maths'!Z215&gt;0,'Deal maths'!Z215,DATE(1990,1,1))))*12+MONTH('Deal maths'!AA215)-MONTH(IF('Deal maths'!Z215&gt;0,'Deal maths'!Z215,DATE(1990,1,1))))/D215))*D215),EDATE('Deal maths'!AA215,-(INT(((YEAR('Deal maths'!AA215)-YEAR(IF('Deal maths'!Z215&gt;0,'Deal maths'!Z215,DATE(1990,1,1))))*12+MONTH('Deal maths'!AA215)-MONTH(IF('Deal maths'!Z215&gt;0,'Deal maths'!Z215,DATE(1990,1,1))))/D215))*D215))&gt;IF('Deal maths'!Z215&gt;0,'Deal maths'!Z215,DATE(1990,1,1)),IF(DAY('Deal maths'!AA215+1)=1,EOMONTH('Deal maths'!AA215,-(INT(((YEAR('Deal maths'!AA215)-YEAR(IF('Deal maths'!Z215&gt;0,'Deal maths'!Z215,DATE(1990,1,1))))*12+MONTH('Deal maths'!AA215)-MONTH(IF('Deal maths'!Z215&gt;0,'Deal maths'!Z215,DATE(1990,1,1))))/D215))*D215),EDATE('Deal maths'!AA215,-(INT(((YEAR('Deal maths'!AA215)-YEAR(IF('Deal maths'!Z215&gt;0,'Deal maths'!Z215,DATE(1990,1,1))))*12+MONTH('Deal maths'!AA215)-MONTH(IF('Deal maths'!Z215&gt;0,'Deal maths'!Z215,DATE(1990,1,1))))/D215))*D215)),IF(DAY('Deal maths'!AA215+1)=1,EOMONTH('Deal maths'!AA215,-(INT(((YEAR('Deal maths'!AA215)-YEAR(IF('Deal maths'!Z215&gt;0,'Deal maths'!Z215,DATE(1990,1,1))))*12+MONTH('Deal maths'!AA215)-MONTH(IF('Deal maths'!Z215&gt;0,'Deal maths'!Z215,DATE(1990,1,1))))/D215)-1)*D215),EDATE('Deal maths'!AA215,-(INT(((YEAR('Deal maths'!AA215)-YEAR(IF('Deal maths'!Z215&gt;0,'Deal maths'!Z215,DATE(1990,1,1))))*12+MONTH('Deal maths'!AA215)-MONTH(IF('Deal maths'!Z215&gt;0,'Deal maths'!Z215,DATE(1990,1,1))))/D215)-1)*D215))))),0)</f>
        <v/>
      </c>
      <c r="F215" s="110">
        <f>IF(D215=0,0,'Deal maths'!AB215*D215/12)</f>
        <v/>
      </c>
      <c r="G215" s="108">
        <f>N215+O215</f>
        <v/>
      </c>
      <c r="H215" s="108">
        <f>IFERROR(IF(OR(D215=0,AsAt&lt;E215),0,MIN(N215,INT(((YEAR(AsAt)-YEAR(E215))*12+MONTH(AsAt)-MONTH(E215)-(DAY(AsAt)&lt;MIN(R215,DAY(EOMONTH(AsAt,0)))))/D215)+1)+O215*(AsAt&gt;='Deal maths'!AA215)),0)</f>
        <v/>
      </c>
      <c r="I215" s="108">
        <f>G215-H215</f>
        <v/>
      </c>
      <c r="J215" s="111">
        <f>IF(AND(C215="EIP",I215&gt;0),'Deal maths'!Y215/I215,0)</f>
        <v/>
      </c>
      <c r="K215" s="111">
        <f>IF(AND(C215="Annuity",I215&gt;0),IF(F215&gt;0,'Deal maths'!Y215*F215/(1-(1+F215)^-I215),'Deal maths'!Y215/I215),0)</f>
        <v/>
      </c>
      <c r="L215" s="111">
        <f>IF('Deal maths'!Y215="",0,'Deal maths'!Y215)</f>
        <v/>
      </c>
      <c r="M215" s="112">
        <f>F215+(F215=0)</f>
        <v/>
      </c>
      <c r="N215" s="108">
        <f>IFERROR(IF(D215=0,0,INT(((YEAR('Deal maths'!AA215)-YEAR(E215))*12+MONTH('Deal maths'!AA215)-MONTH(E215)-(DAY('Deal maths'!AA215)&lt;MIN(R215,DAY(EOMONTH('Deal maths'!AA215,0)))))/D215)+1),0)</f>
        <v/>
      </c>
      <c r="O215" s="108">
        <f>IFERROR(IF(D215=0,0,IF(IF(DAY(E215+1)=1,EOMONTH(E215,(N215-1)*D215),EDATE(E215,(N215-1)*D215))='Deal maths'!AA215,0,1)),0)</f>
        <v/>
      </c>
      <c r="P215" s="113">
        <f>IF(B215=0,0,IFERROR(IF(C215="EIP",((I215-O215)*((IF(DAY(E215+1)=1,EOMONTH(E215,H215*D215),EDATE(E215,H215*D215))-AsAt)/365.25+(IF(DAY(E215+1)=1,EOMONTH(E215,(N215-1)*D215),EDATE(E215,(N215-1)*D215))-AsAt)/365.25)/2+O215*('Deal maths'!AA215-AsAt)/365.25)/I215,IF(C215="Annuity",IF(F215&gt;0,((K215-L215*F215)*((IF(DAY(E215+1)=1,EOMONTH(E215,H215*D215),EDATE(E215,H215*D215))-AsAt)/365.25*((1+F215)^(I215-O215)-1)/F215+IF((I215-O215)&gt;1,((IF(DAY(E215+1)=1,EOMONTH(E215,(N215-1)*D215),EDATE(E215,(N215-1)*D215))-AsAt)/365.25-(IF(DAY(E215+1)=1,EOMONTH(E215,H215*D215),EDATE(E215,H215*D215))-AsAt)/365.25)/((I215-O215)-1),0)*(1+F215)*(1-(I215-O215)*(1+F215)^((I215-O215)-1)+((I215-O215)-1)*(1+F215)^(I215-O215))/F215^2)+O215*(K215-L215*F215)*(1+F215)^(I215-1)*('Deal maths'!AA215-AsAt)/365.25)/L215,((I215-O215)*((IF(DAY(E215+1)=1,EOMONTH(E215,H215*D215),EDATE(E215,H215*D215))-AsAt)/365.25+(IF(DAY(E215+1)=1,EOMONTH(E215,(N215-1)*D215),EDATE(E215,(N215-1)*D215))-AsAt)/365.25)/2+O215*('Deal maths'!AA215-AsAt)/365.25)/I215),(S215-AsAt)/365.25)),0))</f>
        <v/>
      </c>
      <c r="Q215" s="109">
        <f>IF(B215=1,'Deal maths'!AA215+ROW()/1000000,"")</f>
        <v/>
      </c>
      <c r="R215" s="108">
        <f>IF(D215=0,0,IF(DAY(E215+1)=1,31,DAY(E215)))</f>
        <v/>
      </c>
      <c r="S215" s="109">
        <f>IF(AND('Deal maths'!V215="LOBO",'Deal maths'!AG215&gt;AsAt,'Deal maths'!AG215&lt;'Deal maths'!AA215),'Deal maths'!AG215,'Deal maths'!AA215)</f>
        <v/>
      </c>
      <c r="T215" s="108">
        <f>('Deal maths'!AA215&gt;AsAt)*('Deal maths'!Y215&gt;0)</f>
        <v/>
      </c>
    </row>
    <row r="216">
      <c r="A216" s="91">
        <f>IF('Deal maths'!V216="","",'Deal maths'!W216)</f>
        <v/>
      </c>
      <c r="B216" s="108">
        <f>('Deal maths'!AA216&gt;AsAt)*('Deal maths'!Y216&gt;0)*('Deal maths'!Z216&lt;=AsAt)</f>
        <v/>
      </c>
      <c r="C216" s="91">
        <f>IF('Deal maths'!V216="","",IF('Deal maths'!AC216="","Maturity",'Deal maths'!AC216))</f>
        <v/>
      </c>
      <c r="D216" s="108">
        <f>IF(OR(C216="EIP",C216="Annuity"),IF('Deal maths'!AD216="Annual",12,IF('Deal maths'!AD216="Quarterly",3,6)),0)</f>
        <v/>
      </c>
      <c r="E216" s="109">
        <f>IFERROR(IF(D216=0,0,IF('Deal maths'!AE216&gt;0,IF('Deal maths'!AE216&gt;'Deal maths'!AA216,'Deal maths'!AA216,'Deal maths'!AE216),IF(IF(DAY('Deal maths'!AA216+1)=1,EOMONTH('Deal maths'!AA216,-(INT(((YEAR('Deal maths'!AA216)-YEAR(IF('Deal maths'!Z216&gt;0,'Deal maths'!Z216,DATE(1990,1,1))))*12+MONTH('Deal maths'!AA216)-MONTH(IF('Deal maths'!Z216&gt;0,'Deal maths'!Z216,DATE(1990,1,1))))/D216))*D216),EDATE('Deal maths'!AA216,-(INT(((YEAR('Deal maths'!AA216)-YEAR(IF('Deal maths'!Z216&gt;0,'Deal maths'!Z216,DATE(1990,1,1))))*12+MONTH('Deal maths'!AA216)-MONTH(IF('Deal maths'!Z216&gt;0,'Deal maths'!Z216,DATE(1990,1,1))))/D216))*D216))&gt;IF('Deal maths'!Z216&gt;0,'Deal maths'!Z216,DATE(1990,1,1)),IF(DAY('Deal maths'!AA216+1)=1,EOMONTH('Deal maths'!AA216,-(INT(((YEAR('Deal maths'!AA216)-YEAR(IF('Deal maths'!Z216&gt;0,'Deal maths'!Z216,DATE(1990,1,1))))*12+MONTH('Deal maths'!AA216)-MONTH(IF('Deal maths'!Z216&gt;0,'Deal maths'!Z216,DATE(1990,1,1))))/D216))*D216),EDATE('Deal maths'!AA216,-(INT(((YEAR('Deal maths'!AA216)-YEAR(IF('Deal maths'!Z216&gt;0,'Deal maths'!Z216,DATE(1990,1,1))))*12+MONTH('Deal maths'!AA216)-MONTH(IF('Deal maths'!Z216&gt;0,'Deal maths'!Z216,DATE(1990,1,1))))/D216))*D216)),IF(DAY('Deal maths'!AA216+1)=1,EOMONTH('Deal maths'!AA216,-(INT(((YEAR('Deal maths'!AA216)-YEAR(IF('Deal maths'!Z216&gt;0,'Deal maths'!Z216,DATE(1990,1,1))))*12+MONTH('Deal maths'!AA216)-MONTH(IF('Deal maths'!Z216&gt;0,'Deal maths'!Z216,DATE(1990,1,1))))/D216)-1)*D216),EDATE('Deal maths'!AA216,-(INT(((YEAR('Deal maths'!AA216)-YEAR(IF('Deal maths'!Z216&gt;0,'Deal maths'!Z216,DATE(1990,1,1))))*12+MONTH('Deal maths'!AA216)-MONTH(IF('Deal maths'!Z216&gt;0,'Deal maths'!Z216,DATE(1990,1,1))))/D216)-1)*D216))))),0)</f>
        <v/>
      </c>
      <c r="F216" s="110">
        <f>IF(D216=0,0,'Deal maths'!AB216*D216/12)</f>
        <v/>
      </c>
      <c r="G216" s="108">
        <f>N216+O216</f>
        <v/>
      </c>
      <c r="H216" s="108">
        <f>IFERROR(IF(OR(D216=0,AsAt&lt;E216),0,MIN(N216,INT(((YEAR(AsAt)-YEAR(E216))*12+MONTH(AsAt)-MONTH(E216)-(DAY(AsAt)&lt;MIN(R216,DAY(EOMONTH(AsAt,0)))))/D216)+1)+O216*(AsAt&gt;='Deal maths'!AA216)),0)</f>
        <v/>
      </c>
      <c r="I216" s="108">
        <f>G216-H216</f>
        <v/>
      </c>
      <c r="J216" s="111">
        <f>IF(AND(C216="EIP",I216&gt;0),'Deal maths'!Y216/I216,0)</f>
        <v/>
      </c>
      <c r="K216" s="111">
        <f>IF(AND(C216="Annuity",I216&gt;0),IF(F216&gt;0,'Deal maths'!Y216*F216/(1-(1+F216)^-I216),'Deal maths'!Y216/I216),0)</f>
        <v/>
      </c>
      <c r="L216" s="111">
        <f>IF('Deal maths'!Y216="",0,'Deal maths'!Y216)</f>
        <v/>
      </c>
      <c r="M216" s="112">
        <f>F216+(F216=0)</f>
        <v/>
      </c>
      <c r="N216" s="108">
        <f>IFERROR(IF(D216=0,0,INT(((YEAR('Deal maths'!AA216)-YEAR(E216))*12+MONTH('Deal maths'!AA216)-MONTH(E216)-(DAY('Deal maths'!AA216)&lt;MIN(R216,DAY(EOMONTH('Deal maths'!AA216,0)))))/D216)+1),0)</f>
        <v/>
      </c>
      <c r="O216" s="108">
        <f>IFERROR(IF(D216=0,0,IF(IF(DAY(E216+1)=1,EOMONTH(E216,(N216-1)*D216),EDATE(E216,(N216-1)*D216))='Deal maths'!AA216,0,1)),0)</f>
        <v/>
      </c>
      <c r="P216" s="113">
        <f>IF(B216=0,0,IFERROR(IF(C216="EIP",((I216-O216)*((IF(DAY(E216+1)=1,EOMONTH(E216,H216*D216),EDATE(E216,H216*D216))-AsAt)/365.25+(IF(DAY(E216+1)=1,EOMONTH(E216,(N216-1)*D216),EDATE(E216,(N216-1)*D216))-AsAt)/365.25)/2+O216*('Deal maths'!AA216-AsAt)/365.25)/I216,IF(C216="Annuity",IF(F216&gt;0,((K216-L216*F216)*((IF(DAY(E216+1)=1,EOMONTH(E216,H216*D216),EDATE(E216,H216*D216))-AsAt)/365.25*((1+F216)^(I216-O216)-1)/F216+IF((I216-O216)&gt;1,((IF(DAY(E216+1)=1,EOMONTH(E216,(N216-1)*D216),EDATE(E216,(N216-1)*D216))-AsAt)/365.25-(IF(DAY(E216+1)=1,EOMONTH(E216,H216*D216),EDATE(E216,H216*D216))-AsAt)/365.25)/((I216-O216)-1),0)*(1+F216)*(1-(I216-O216)*(1+F216)^((I216-O216)-1)+((I216-O216)-1)*(1+F216)^(I216-O216))/F216^2)+O216*(K216-L216*F216)*(1+F216)^(I216-1)*('Deal maths'!AA216-AsAt)/365.25)/L216,((I216-O216)*((IF(DAY(E216+1)=1,EOMONTH(E216,H216*D216),EDATE(E216,H216*D216))-AsAt)/365.25+(IF(DAY(E216+1)=1,EOMONTH(E216,(N216-1)*D216),EDATE(E216,(N216-1)*D216))-AsAt)/365.25)/2+O216*('Deal maths'!AA216-AsAt)/365.25)/I216),(S216-AsAt)/365.25)),0))</f>
        <v/>
      </c>
      <c r="Q216" s="109">
        <f>IF(B216=1,'Deal maths'!AA216+ROW()/1000000,"")</f>
        <v/>
      </c>
      <c r="R216" s="108">
        <f>IF(D216=0,0,IF(DAY(E216+1)=1,31,DAY(E216)))</f>
        <v/>
      </c>
      <c r="S216" s="109">
        <f>IF(AND('Deal maths'!V216="LOBO",'Deal maths'!AG216&gt;AsAt,'Deal maths'!AG216&lt;'Deal maths'!AA216),'Deal maths'!AG216,'Deal maths'!AA216)</f>
        <v/>
      </c>
      <c r="T216" s="108">
        <f>('Deal maths'!AA216&gt;AsAt)*('Deal maths'!Y216&gt;0)</f>
        <v/>
      </c>
    </row>
    <row r="217">
      <c r="A217" s="91">
        <f>IF('Deal maths'!V217="","",'Deal maths'!W217)</f>
        <v/>
      </c>
      <c r="B217" s="108">
        <f>('Deal maths'!AA217&gt;AsAt)*('Deal maths'!Y217&gt;0)*('Deal maths'!Z217&lt;=AsAt)</f>
        <v/>
      </c>
      <c r="C217" s="91">
        <f>IF('Deal maths'!V217="","",IF('Deal maths'!AC217="","Maturity",'Deal maths'!AC217))</f>
        <v/>
      </c>
      <c r="D217" s="108">
        <f>IF(OR(C217="EIP",C217="Annuity"),IF('Deal maths'!AD217="Annual",12,IF('Deal maths'!AD217="Quarterly",3,6)),0)</f>
        <v/>
      </c>
      <c r="E217" s="109">
        <f>IFERROR(IF(D217=0,0,IF('Deal maths'!AE217&gt;0,IF('Deal maths'!AE217&gt;'Deal maths'!AA217,'Deal maths'!AA217,'Deal maths'!AE217),IF(IF(DAY('Deal maths'!AA217+1)=1,EOMONTH('Deal maths'!AA217,-(INT(((YEAR('Deal maths'!AA217)-YEAR(IF('Deal maths'!Z217&gt;0,'Deal maths'!Z217,DATE(1990,1,1))))*12+MONTH('Deal maths'!AA217)-MONTH(IF('Deal maths'!Z217&gt;0,'Deal maths'!Z217,DATE(1990,1,1))))/D217))*D217),EDATE('Deal maths'!AA217,-(INT(((YEAR('Deal maths'!AA217)-YEAR(IF('Deal maths'!Z217&gt;0,'Deal maths'!Z217,DATE(1990,1,1))))*12+MONTH('Deal maths'!AA217)-MONTH(IF('Deal maths'!Z217&gt;0,'Deal maths'!Z217,DATE(1990,1,1))))/D217))*D217))&gt;IF('Deal maths'!Z217&gt;0,'Deal maths'!Z217,DATE(1990,1,1)),IF(DAY('Deal maths'!AA217+1)=1,EOMONTH('Deal maths'!AA217,-(INT(((YEAR('Deal maths'!AA217)-YEAR(IF('Deal maths'!Z217&gt;0,'Deal maths'!Z217,DATE(1990,1,1))))*12+MONTH('Deal maths'!AA217)-MONTH(IF('Deal maths'!Z217&gt;0,'Deal maths'!Z217,DATE(1990,1,1))))/D217))*D217),EDATE('Deal maths'!AA217,-(INT(((YEAR('Deal maths'!AA217)-YEAR(IF('Deal maths'!Z217&gt;0,'Deal maths'!Z217,DATE(1990,1,1))))*12+MONTH('Deal maths'!AA217)-MONTH(IF('Deal maths'!Z217&gt;0,'Deal maths'!Z217,DATE(1990,1,1))))/D217))*D217)),IF(DAY('Deal maths'!AA217+1)=1,EOMONTH('Deal maths'!AA217,-(INT(((YEAR('Deal maths'!AA217)-YEAR(IF('Deal maths'!Z217&gt;0,'Deal maths'!Z217,DATE(1990,1,1))))*12+MONTH('Deal maths'!AA217)-MONTH(IF('Deal maths'!Z217&gt;0,'Deal maths'!Z217,DATE(1990,1,1))))/D217)-1)*D217),EDATE('Deal maths'!AA217,-(INT(((YEAR('Deal maths'!AA217)-YEAR(IF('Deal maths'!Z217&gt;0,'Deal maths'!Z217,DATE(1990,1,1))))*12+MONTH('Deal maths'!AA217)-MONTH(IF('Deal maths'!Z217&gt;0,'Deal maths'!Z217,DATE(1990,1,1))))/D217)-1)*D217))))),0)</f>
        <v/>
      </c>
      <c r="F217" s="110">
        <f>IF(D217=0,0,'Deal maths'!AB217*D217/12)</f>
        <v/>
      </c>
      <c r="G217" s="108">
        <f>N217+O217</f>
        <v/>
      </c>
      <c r="H217" s="108">
        <f>IFERROR(IF(OR(D217=0,AsAt&lt;E217),0,MIN(N217,INT(((YEAR(AsAt)-YEAR(E217))*12+MONTH(AsAt)-MONTH(E217)-(DAY(AsAt)&lt;MIN(R217,DAY(EOMONTH(AsAt,0)))))/D217)+1)+O217*(AsAt&gt;='Deal maths'!AA217)),0)</f>
        <v/>
      </c>
      <c r="I217" s="108">
        <f>G217-H217</f>
        <v/>
      </c>
      <c r="J217" s="111">
        <f>IF(AND(C217="EIP",I217&gt;0),'Deal maths'!Y217/I217,0)</f>
        <v/>
      </c>
      <c r="K217" s="111">
        <f>IF(AND(C217="Annuity",I217&gt;0),IF(F217&gt;0,'Deal maths'!Y217*F217/(1-(1+F217)^-I217),'Deal maths'!Y217/I217),0)</f>
        <v/>
      </c>
      <c r="L217" s="111">
        <f>IF('Deal maths'!Y217="",0,'Deal maths'!Y217)</f>
        <v/>
      </c>
      <c r="M217" s="112">
        <f>F217+(F217=0)</f>
        <v/>
      </c>
      <c r="N217" s="108">
        <f>IFERROR(IF(D217=0,0,INT(((YEAR('Deal maths'!AA217)-YEAR(E217))*12+MONTH('Deal maths'!AA217)-MONTH(E217)-(DAY('Deal maths'!AA217)&lt;MIN(R217,DAY(EOMONTH('Deal maths'!AA217,0)))))/D217)+1),0)</f>
        <v/>
      </c>
      <c r="O217" s="108">
        <f>IFERROR(IF(D217=0,0,IF(IF(DAY(E217+1)=1,EOMONTH(E217,(N217-1)*D217),EDATE(E217,(N217-1)*D217))='Deal maths'!AA217,0,1)),0)</f>
        <v/>
      </c>
      <c r="P217" s="113">
        <f>IF(B217=0,0,IFERROR(IF(C217="EIP",((I217-O217)*((IF(DAY(E217+1)=1,EOMONTH(E217,H217*D217),EDATE(E217,H217*D217))-AsAt)/365.25+(IF(DAY(E217+1)=1,EOMONTH(E217,(N217-1)*D217),EDATE(E217,(N217-1)*D217))-AsAt)/365.25)/2+O217*('Deal maths'!AA217-AsAt)/365.25)/I217,IF(C217="Annuity",IF(F217&gt;0,((K217-L217*F217)*((IF(DAY(E217+1)=1,EOMONTH(E217,H217*D217),EDATE(E217,H217*D217))-AsAt)/365.25*((1+F217)^(I217-O217)-1)/F217+IF((I217-O217)&gt;1,((IF(DAY(E217+1)=1,EOMONTH(E217,(N217-1)*D217),EDATE(E217,(N217-1)*D217))-AsAt)/365.25-(IF(DAY(E217+1)=1,EOMONTH(E217,H217*D217),EDATE(E217,H217*D217))-AsAt)/365.25)/((I217-O217)-1),0)*(1+F217)*(1-(I217-O217)*(1+F217)^((I217-O217)-1)+((I217-O217)-1)*(1+F217)^(I217-O217))/F217^2)+O217*(K217-L217*F217)*(1+F217)^(I217-1)*('Deal maths'!AA217-AsAt)/365.25)/L217,((I217-O217)*((IF(DAY(E217+1)=1,EOMONTH(E217,H217*D217),EDATE(E217,H217*D217))-AsAt)/365.25+(IF(DAY(E217+1)=1,EOMONTH(E217,(N217-1)*D217),EDATE(E217,(N217-1)*D217))-AsAt)/365.25)/2+O217*('Deal maths'!AA217-AsAt)/365.25)/I217),(S217-AsAt)/365.25)),0))</f>
        <v/>
      </c>
      <c r="Q217" s="109">
        <f>IF(B217=1,'Deal maths'!AA217+ROW()/1000000,"")</f>
        <v/>
      </c>
      <c r="R217" s="108">
        <f>IF(D217=0,0,IF(DAY(E217+1)=1,31,DAY(E217)))</f>
        <v/>
      </c>
      <c r="S217" s="109">
        <f>IF(AND('Deal maths'!V217="LOBO",'Deal maths'!AG217&gt;AsAt,'Deal maths'!AG217&lt;'Deal maths'!AA217),'Deal maths'!AG217,'Deal maths'!AA217)</f>
        <v/>
      </c>
      <c r="T217" s="108">
        <f>('Deal maths'!AA217&gt;AsAt)*('Deal maths'!Y217&gt;0)</f>
        <v/>
      </c>
    </row>
    <row r="218">
      <c r="A218" s="91">
        <f>IF('Deal maths'!V218="","",'Deal maths'!W218)</f>
        <v/>
      </c>
      <c r="B218" s="108">
        <f>('Deal maths'!AA218&gt;AsAt)*('Deal maths'!Y218&gt;0)*('Deal maths'!Z218&lt;=AsAt)</f>
        <v/>
      </c>
      <c r="C218" s="91">
        <f>IF('Deal maths'!V218="","",IF('Deal maths'!AC218="","Maturity",'Deal maths'!AC218))</f>
        <v/>
      </c>
      <c r="D218" s="108">
        <f>IF(OR(C218="EIP",C218="Annuity"),IF('Deal maths'!AD218="Annual",12,IF('Deal maths'!AD218="Quarterly",3,6)),0)</f>
        <v/>
      </c>
      <c r="E218" s="109">
        <f>IFERROR(IF(D218=0,0,IF('Deal maths'!AE218&gt;0,IF('Deal maths'!AE218&gt;'Deal maths'!AA218,'Deal maths'!AA218,'Deal maths'!AE218),IF(IF(DAY('Deal maths'!AA218+1)=1,EOMONTH('Deal maths'!AA218,-(INT(((YEAR('Deal maths'!AA218)-YEAR(IF('Deal maths'!Z218&gt;0,'Deal maths'!Z218,DATE(1990,1,1))))*12+MONTH('Deal maths'!AA218)-MONTH(IF('Deal maths'!Z218&gt;0,'Deal maths'!Z218,DATE(1990,1,1))))/D218))*D218),EDATE('Deal maths'!AA218,-(INT(((YEAR('Deal maths'!AA218)-YEAR(IF('Deal maths'!Z218&gt;0,'Deal maths'!Z218,DATE(1990,1,1))))*12+MONTH('Deal maths'!AA218)-MONTH(IF('Deal maths'!Z218&gt;0,'Deal maths'!Z218,DATE(1990,1,1))))/D218))*D218))&gt;IF('Deal maths'!Z218&gt;0,'Deal maths'!Z218,DATE(1990,1,1)),IF(DAY('Deal maths'!AA218+1)=1,EOMONTH('Deal maths'!AA218,-(INT(((YEAR('Deal maths'!AA218)-YEAR(IF('Deal maths'!Z218&gt;0,'Deal maths'!Z218,DATE(1990,1,1))))*12+MONTH('Deal maths'!AA218)-MONTH(IF('Deal maths'!Z218&gt;0,'Deal maths'!Z218,DATE(1990,1,1))))/D218))*D218),EDATE('Deal maths'!AA218,-(INT(((YEAR('Deal maths'!AA218)-YEAR(IF('Deal maths'!Z218&gt;0,'Deal maths'!Z218,DATE(1990,1,1))))*12+MONTH('Deal maths'!AA218)-MONTH(IF('Deal maths'!Z218&gt;0,'Deal maths'!Z218,DATE(1990,1,1))))/D218))*D218)),IF(DAY('Deal maths'!AA218+1)=1,EOMONTH('Deal maths'!AA218,-(INT(((YEAR('Deal maths'!AA218)-YEAR(IF('Deal maths'!Z218&gt;0,'Deal maths'!Z218,DATE(1990,1,1))))*12+MONTH('Deal maths'!AA218)-MONTH(IF('Deal maths'!Z218&gt;0,'Deal maths'!Z218,DATE(1990,1,1))))/D218)-1)*D218),EDATE('Deal maths'!AA218,-(INT(((YEAR('Deal maths'!AA218)-YEAR(IF('Deal maths'!Z218&gt;0,'Deal maths'!Z218,DATE(1990,1,1))))*12+MONTH('Deal maths'!AA218)-MONTH(IF('Deal maths'!Z218&gt;0,'Deal maths'!Z218,DATE(1990,1,1))))/D218)-1)*D218))))),0)</f>
        <v/>
      </c>
      <c r="F218" s="110">
        <f>IF(D218=0,0,'Deal maths'!AB218*D218/12)</f>
        <v/>
      </c>
      <c r="G218" s="108">
        <f>N218+O218</f>
        <v/>
      </c>
      <c r="H218" s="108">
        <f>IFERROR(IF(OR(D218=0,AsAt&lt;E218),0,MIN(N218,INT(((YEAR(AsAt)-YEAR(E218))*12+MONTH(AsAt)-MONTH(E218)-(DAY(AsAt)&lt;MIN(R218,DAY(EOMONTH(AsAt,0)))))/D218)+1)+O218*(AsAt&gt;='Deal maths'!AA218)),0)</f>
        <v/>
      </c>
      <c r="I218" s="108">
        <f>G218-H218</f>
        <v/>
      </c>
      <c r="J218" s="111">
        <f>IF(AND(C218="EIP",I218&gt;0),'Deal maths'!Y218/I218,0)</f>
        <v/>
      </c>
      <c r="K218" s="111">
        <f>IF(AND(C218="Annuity",I218&gt;0),IF(F218&gt;0,'Deal maths'!Y218*F218/(1-(1+F218)^-I218),'Deal maths'!Y218/I218),0)</f>
        <v/>
      </c>
      <c r="L218" s="111">
        <f>IF('Deal maths'!Y218="",0,'Deal maths'!Y218)</f>
        <v/>
      </c>
      <c r="M218" s="112">
        <f>F218+(F218=0)</f>
        <v/>
      </c>
      <c r="N218" s="108">
        <f>IFERROR(IF(D218=0,0,INT(((YEAR('Deal maths'!AA218)-YEAR(E218))*12+MONTH('Deal maths'!AA218)-MONTH(E218)-(DAY('Deal maths'!AA218)&lt;MIN(R218,DAY(EOMONTH('Deal maths'!AA218,0)))))/D218)+1),0)</f>
        <v/>
      </c>
      <c r="O218" s="108">
        <f>IFERROR(IF(D218=0,0,IF(IF(DAY(E218+1)=1,EOMONTH(E218,(N218-1)*D218),EDATE(E218,(N218-1)*D218))='Deal maths'!AA218,0,1)),0)</f>
        <v/>
      </c>
      <c r="P218" s="113">
        <f>IF(B218=0,0,IFERROR(IF(C218="EIP",((I218-O218)*((IF(DAY(E218+1)=1,EOMONTH(E218,H218*D218),EDATE(E218,H218*D218))-AsAt)/365.25+(IF(DAY(E218+1)=1,EOMONTH(E218,(N218-1)*D218),EDATE(E218,(N218-1)*D218))-AsAt)/365.25)/2+O218*('Deal maths'!AA218-AsAt)/365.25)/I218,IF(C218="Annuity",IF(F218&gt;0,((K218-L218*F218)*((IF(DAY(E218+1)=1,EOMONTH(E218,H218*D218),EDATE(E218,H218*D218))-AsAt)/365.25*((1+F218)^(I218-O218)-1)/F218+IF((I218-O218)&gt;1,((IF(DAY(E218+1)=1,EOMONTH(E218,(N218-1)*D218),EDATE(E218,(N218-1)*D218))-AsAt)/365.25-(IF(DAY(E218+1)=1,EOMONTH(E218,H218*D218),EDATE(E218,H218*D218))-AsAt)/365.25)/((I218-O218)-1),0)*(1+F218)*(1-(I218-O218)*(1+F218)^((I218-O218)-1)+((I218-O218)-1)*(1+F218)^(I218-O218))/F218^2)+O218*(K218-L218*F218)*(1+F218)^(I218-1)*('Deal maths'!AA218-AsAt)/365.25)/L218,((I218-O218)*((IF(DAY(E218+1)=1,EOMONTH(E218,H218*D218),EDATE(E218,H218*D218))-AsAt)/365.25+(IF(DAY(E218+1)=1,EOMONTH(E218,(N218-1)*D218),EDATE(E218,(N218-1)*D218))-AsAt)/365.25)/2+O218*('Deal maths'!AA218-AsAt)/365.25)/I218),(S218-AsAt)/365.25)),0))</f>
        <v/>
      </c>
      <c r="Q218" s="109">
        <f>IF(B218=1,'Deal maths'!AA218+ROW()/1000000,"")</f>
        <v/>
      </c>
      <c r="R218" s="108">
        <f>IF(D218=0,0,IF(DAY(E218+1)=1,31,DAY(E218)))</f>
        <v/>
      </c>
      <c r="S218" s="109">
        <f>IF(AND('Deal maths'!V218="LOBO",'Deal maths'!AG218&gt;AsAt,'Deal maths'!AG218&lt;'Deal maths'!AA218),'Deal maths'!AG218,'Deal maths'!AA218)</f>
        <v/>
      </c>
      <c r="T218" s="108">
        <f>('Deal maths'!AA218&gt;AsAt)*('Deal maths'!Y218&gt;0)</f>
        <v/>
      </c>
    </row>
    <row r="219">
      <c r="A219" s="91">
        <f>IF('Deal maths'!V219="","",'Deal maths'!W219)</f>
        <v/>
      </c>
      <c r="B219" s="108">
        <f>('Deal maths'!AA219&gt;AsAt)*('Deal maths'!Y219&gt;0)*('Deal maths'!Z219&lt;=AsAt)</f>
        <v/>
      </c>
      <c r="C219" s="91">
        <f>IF('Deal maths'!V219="","",IF('Deal maths'!AC219="","Maturity",'Deal maths'!AC219))</f>
        <v/>
      </c>
      <c r="D219" s="108">
        <f>IF(OR(C219="EIP",C219="Annuity"),IF('Deal maths'!AD219="Annual",12,IF('Deal maths'!AD219="Quarterly",3,6)),0)</f>
        <v/>
      </c>
      <c r="E219" s="109">
        <f>IFERROR(IF(D219=0,0,IF('Deal maths'!AE219&gt;0,IF('Deal maths'!AE219&gt;'Deal maths'!AA219,'Deal maths'!AA219,'Deal maths'!AE219),IF(IF(DAY('Deal maths'!AA219+1)=1,EOMONTH('Deal maths'!AA219,-(INT(((YEAR('Deal maths'!AA219)-YEAR(IF('Deal maths'!Z219&gt;0,'Deal maths'!Z219,DATE(1990,1,1))))*12+MONTH('Deal maths'!AA219)-MONTH(IF('Deal maths'!Z219&gt;0,'Deal maths'!Z219,DATE(1990,1,1))))/D219))*D219),EDATE('Deal maths'!AA219,-(INT(((YEAR('Deal maths'!AA219)-YEAR(IF('Deal maths'!Z219&gt;0,'Deal maths'!Z219,DATE(1990,1,1))))*12+MONTH('Deal maths'!AA219)-MONTH(IF('Deal maths'!Z219&gt;0,'Deal maths'!Z219,DATE(1990,1,1))))/D219))*D219))&gt;IF('Deal maths'!Z219&gt;0,'Deal maths'!Z219,DATE(1990,1,1)),IF(DAY('Deal maths'!AA219+1)=1,EOMONTH('Deal maths'!AA219,-(INT(((YEAR('Deal maths'!AA219)-YEAR(IF('Deal maths'!Z219&gt;0,'Deal maths'!Z219,DATE(1990,1,1))))*12+MONTH('Deal maths'!AA219)-MONTH(IF('Deal maths'!Z219&gt;0,'Deal maths'!Z219,DATE(1990,1,1))))/D219))*D219),EDATE('Deal maths'!AA219,-(INT(((YEAR('Deal maths'!AA219)-YEAR(IF('Deal maths'!Z219&gt;0,'Deal maths'!Z219,DATE(1990,1,1))))*12+MONTH('Deal maths'!AA219)-MONTH(IF('Deal maths'!Z219&gt;0,'Deal maths'!Z219,DATE(1990,1,1))))/D219))*D219)),IF(DAY('Deal maths'!AA219+1)=1,EOMONTH('Deal maths'!AA219,-(INT(((YEAR('Deal maths'!AA219)-YEAR(IF('Deal maths'!Z219&gt;0,'Deal maths'!Z219,DATE(1990,1,1))))*12+MONTH('Deal maths'!AA219)-MONTH(IF('Deal maths'!Z219&gt;0,'Deal maths'!Z219,DATE(1990,1,1))))/D219)-1)*D219),EDATE('Deal maths'!AA219,-(INT(((YEAR('Deal maths'!AA219)-YEAR(IF('Deal maths'!Z219&gt;0,'Deal maths'!Z219,DATE(1990,1,1))))*12+MONTH('Deal maths'!AA219)-MONTH(IF('Deal maths'!Z219&gt;0,'Deal maths'!Z219,DATE(1990,1,1))))/D219)-1)*D219))))),0)</f>
        <v/>
      </c>
      <c r="F219" s="110">
        <f>IF(D219=0,0,'Deal maths'!AB219*D219/12)</f>
        <v/>
      </c>
      <c r="G219" s="108">
        <f>N219+O219</f>
        <v/>
      </c>
      <c r="H219" s="108">
        <f>IFERROR(IF(OR(D219=0,AsAt&lt;E219),0,MIN(N219,INT(((YEAR(AsAt)-YEAR(E219))*12+MONTH(AsAt)-MONTH(E219)-(DAY(AsAt)&lt;MIN(R219,DAY(EOMONTH(AsAt,0)))))/D219)+1)+O219*(AsAt&gt;='Deal maths'!AA219)),0)</f>
        <v/>
      </c>
      <c r="I219" s="108">
        <f>G219-H219</f>
        <v/>
      </c>
      <c r="J219" s="111">
        <f>IF(AND(C219="EIP",I219&gt;0),'Deal maths'!Y219/I219,0)</f>
        <v/>
      </c>
      <c r="K219" s="111">
        <f>IF(AND(C219="Annuity",I219&gt;0),IF(F219&gt;0,'Deal maths'!Y219*F219/(1-(1+F219)^-I219),'Deal maths'!Y219/I219),0)</f>
        <v/>
      </c>
      <c r="L219" s="111">
        <f>IF('Deal maths'!Y219="",0,'Deal maths'!Y219)</f>
        <v/>
      </c>
      <c r="M219" s="112">
        <f>F219+(F219=0)</f>
        <v/>
      </c>
      <c r="N219" s="108">
        <f>IFERROR(IF(D219=0,0,INT(((YEAR('Deal maths'!AA219)-YEAR(E219))*12+MONTH('Deal maths'!AA219)-MONTH(E219)-(DAY('Deal maths'!AA219)&lt;MIN(R219,DAY(EOMONTH('Deal maths'!AA219,0)))))/D219)+1),0)</f>
        <v/>
      </c>
      <c r="O219" s="108">
        <f>IFERROR(IF(D219=0,0,IF(IF(DAY(E219+1)=1,EOMONTH(E219,(N219-1)*D219),EDATE(E219,(N219-1)*D219))='Deal maths'!AA219,0,1)),0)</f>
        <v/>
      </c>
      <c r="P219" s="113">
        <f>IF(B219=0,0,IFERROR(IF(C219="EIP",((I219-O219)*((IF(DAY(E219+1)=1,EOMONTH(E219,H219*D219),EDATE(E219,H219*D219))-AsAt)/365.25+(IF(DAY(E219+1)=1,EOMONTH(E219,(N219-1)*D219),EDATE(E219,(N219-1)*D219))-AsAt)/365.25)/2+O219*('Deal maths'!AA219-AsAt)/365.25)/I219,IF(C219="Annuity",IF(F219&gt;0,((K219-L219*F219)*((IF(DAY(E219+1)=1,EOMONTH(E219,H219*D219),EDATE(E219,H219*D219))-AsAt)/365.25*((1+F219)^(I219-O219)-1)/F219+IF((I219-O219)&gt;1,((IF(DAY(E219+1)=1,EOMONTH(E219,(N219-1)*D219),EDATE(E219,(N219-1)*D219))-AsAt)/365.25-(IF(DAY(E219+1)=1,EOMONTH(E219,H219*D219),EDATE(E219,H219*D219))-AsAt)/365.25)/((I219-O219)-1),0)*(1+F219)*(1-(I219-O219)*(1+F219)^((I219-O219)-1)+((I219-O219)-1)*(1+F219)^(I219-O219))/F219^2)+O219*(K219-L219*F219)*(1+F219)^(I219-1)*('Deal maths'!AA219-AsAt)/365.25)/L219,((I219-O219)*((IF(DAY(E219+1)=1,EOMONTH(E219,H219*D219),EDATE(E219,H219*D219))-AsAt)/365.25+(IF(DAY(E219+1)=1,EOMONTH(E219,(N219-1)*D219),EDATE(E219,(N219-1)*D219))-AsAt)/365.25)/2+O219*('Deal maths'!AA219-AsAt)/365.25)/I219),(S219-AsAt)/365.25)),0))</f>
        <v/>
      </c>
      <c r="Q219" s="109">
        <f>IF(B219=1,'Deal maths'!AA219+ROW()/1000000,"")</f>
        <v/>
      </c>
      <c r="R219" s="108">
        <f>IF(D219=0,0,IF(DAY(E219+1)=1,31,DAY(E219)))</f>
        <v/>
      </c>
      <c r="S219" s="109">
        <f>IF(AND('Deal maths'!V219="LOBO",'Deal maths'!AG219&gt;AsAt,'Deal maths'!AG219&lt;'Deal maths'!AA219),'Deal maths'!AG219,'Deal maths'!AA219)</f>
        <v/>
      </c>
      <c r="T219" s="108">
        <f>('Deal maths'!AA219&gt;AsAt)*('Deal maths'!Y219&gt;0)</f>
        <v/>
      </c>
    </row>
    <row r="220">
      <c r="A220" s="91">
        <f>IF('Deal maths'!V220="","",'Deal maths'!W220)</f>
        <v/>
      </c>
      <c r="B220" s="108">
        <f>('Deal maths'!AA220&gt;AsAt)*('Deal maths'!Y220&gt;0)*('Deal maths'!Z220&lt;=AsAt)</f>
        <v/>
      </c>
      <c r="C220" s="91">
        <f>IF('Deal maths'!V220="","",IF('Deal maths'!AC220="","Maturity",'Deal maths'!AC220))</f>
        <v/>
      </c>
      <c r="D220" s="108">
        <f>IF(OR(C220="EIP",C220="Annuity"),IF('Deal maths'!AD220="Annual",12,IF('Deal maths'!AD220="Quarterly",3,6)),0)</f>
        <v/>
      </c>
      <c r="E220" s="109">
        <f>IFERROR(IF(D220=0,0,IF('Deal maths'!AE220&gt;0,IF('Deal maths'!AE220&gt;'Deal maths'!AA220,'Deal maths'!AA220,'Deal maths'!AE220),IF(IF(DAY('Deal maths'!AA220+1)=1,EOMONTH('Deal maths'!AA220,-(INT(((YEAR('Deal maths'!AA220)-YEAR(IF('Deal maths'!Z220&gt;0,'Deal maths'!Z220,DATE(1990,1,1))))*12+MONTH('Deal maths'!AA220)-MONTH(IF('Deal maths'!Z220&gt;0,'Deal maths'!Z220,DATE(1990,1,1))))/D220))*D220),EDATE('Deal maths'!AA220,-(INT(((YEAR('Deal maths'!AA220)-YEAR(IF('Deal maths'!Z220&gt;0,'Deal maths'!Z220,DATE(1990,1,1))))*12+MONTH('Deal maths'!AA220)-MONTH(IF('Deal maths'!Z220&gt;0,'Deal maths'!Z220,DATE(1990,1,1))))/D220))*D220))&gt;IF('Deal maths'!Z220&gt;0,'Deal maths'!Z220,DATE(1990,1,1)),IF(DAY('Deal maths'!AA220+1)=1,EOMONTH('Deal maths'!AA220,-(INT(((YEAR('Deal maths'!AA220)-YEAR(IF('Deal maths'!Z220&gt;0,'Deal maths'!Z220,DATE(1990,1,1))))*12+MONTH('Deal maths'!AA220)-MONTH(IF('Deal maths'!Z220&gt;0,'Deal maths'!Z220,DATE(1990,1,1))))/D220))*D220),EDATE('Deal maths'!AA220,-(INT(((YEAR('Deal maths'!AA220)-YEAR(IF('Deal maths'!Z220&gt;0,'Deal maths'!Z220,DATE(1990,1,1))))*12+MONTH('Deal maths'!AA220)-MONTH(IF('Deal maths'!Z220&gt;0,'Deal maths'!Z220,DATE(1990,1,1))))/D220))*D220)),IF(DAY('Deal maths'!AA220+1)=1,EOMONTH('Deal maths'!AA220,-(INT(((YEAR('Deal maths'!AA220)-YEAR(IF('Deal maths'!Z220&gt;0,'Deal maths'!Z220,DATE(1990,1,1))))*12+MONTH('Deal maths'!AA220)-MONTH(IF('Deal maths'!Z220&gt;0,'Deal maths'!Z220,DATE(1990,1,1))))/D220)-1)*D220),EDATE('Deal maths'!AA220,-(INT(((YEAR('Deal maths'!AA220)-YEAR(IF('Deal maths'!Z220&gt;0,'Deal maths'!Z220,DATE(1990,1,1))))*12+MONTH('Deal maths'!AA220)-MONTH(IF('Deal maths'!Z220&gt;0,'Deal maths'!Z220,DATE(1990,1,1))))/D220)-1)*D220))))),0)</f>
        <v/>
      </c>
      <c r="F220" s="110">
        <f>IF(D220=0,0,'Deal maths'!AB220*D220/12)</f>
        <v/>
      </c>
      <c r="G220" s="108">
        <f>N220+O220</f>
        <v/>
      </c>
      <c r="H220" s="108">
        <f>IFERROR(IF(OR(D220=0,AsAt&lt;E220),0,MIN(N220,INT(((YEAR(AsAt)-YEAR(E220))*12+MONTH(AsAt)-MONTH(E220)-(DAY(AsAt)&lt;MIN(R220,DAY(EOMONTH(AsAt,0)))))/D220)+1)+O220*(AsAt&gt;='Deal maths'!AA220)),0)</f>
        <v/>
      </c>
      <c r="I220" s="108">
        <f>G220-H220</f>
        <v/>
      </c>
      <c r="J220" s="111">
        <f>IF(AND(C220="EIP",I220&gt;0),'Deal maths'!Y220/I220,0)</f>
        <v/>
      </c>
      <c r="K220" s="111">
        <f>IF(AND(C220="Annuity",I220&gt;0),IF(F220&gt;0,'Deal maths'!Y220*F220/(1-(1+F220)^-I220),'Deal maths'!Y220/I220),0)</f>
        <v/>
      </c>
      <c r="L220" s="111">
        <f>IF('Deal maths'!Y220="",0,'Deal maths'!Y220)</f>
        <v/>
      </c>
      <c r="M220" s="112">
        <f>F220+(F220=0)</f>
        <v/>
      </c>
      <c r="N220" s="108">
        <f>IFERROR(IF(D220=0,0,INT(((YEAR('Deal maths'!AA220)-YEAR(E220))*12+MONTH('Deal maths'!AA220)-MONTH(E220)-(DAY('Deal maths'!AA220)&lt;MIN(R220,DAY(EOMONTH('Deal maths'!AA220,0)))))/D220)+1),0)</f>
        <v/>
      </c>
      <c r="O220" s="108">
        <f>IFERROR(IF(D220=0,0,IF(IF(DAY(E220+1)=1,EOMONTH(E220,(N220-1)*D220),EDATE(E220,(N220-1)*D220))='Deal maths'!AA220,0,1)),0)</f>
        <v/>
      </c>
      <c r="P220" s="113">
        <f>IF(B220=0,0,IFERROR(IF(C220="EIP",((I220-O220)*((IF(DAY(E220+1)=1,EOMONTH(E220,H220*D220),EDATE(E220,H220*D220))-AsAt)/365.25+(IF(DAY(E220+1)=1,EOMONTH(E220,(N220-1)*D220),EDATE(E220,(N220-1)*D220))-AsAt)/365.25)/2+O220*('Deal maths'!AA220-AsAt)/365.25)/I220,IF(C220="Annuity",IF(F220&gt;0,((K220-L220*F220)*((IF(DAY(E220+1)=1,EOMONTH(E220,H220*D220),EDATE(E220,H220*D220))-AsAt)/365.25*((1+F220)^(I220-O220)-1)/F220+IF((I220-O220)&gt;1,((IF(DAY(E220+1)=1,EOMONTH(E220,(N220-1)*D220),EDATE(E220,(N220-1)*D220))-AsAt)/365.25-(IF(DAY(E220+1)=1,EOMONTH(E220,H220*D220),EDATE(E220,H220*D220))-AsAt)/365.25)/((I220-O220)-1),0)*(1+F220)*(1-(I220-O220)*(1+F220)^((I220-O220)-1)+((I220-O220)-1)*(1+F220)^(I220-O220))/F220^2)+O220*(K220-L220*F220)*(1+F220)^(I220-1)*('Deal maths'!AA220-AsAt)/365.25)/L220,((I220-O220)*((IF(DAY(E220+1)=1,EOMONTH(E220,H220*D220),EDATE(E220,H220*D220))-AsAt)/365.25+(IF(DAY(E220+1)=1,EOMONTH(E220,(N220-1)*D220),EDATE(E220,(N220-1)*D220))-AsAt)/365.25)/2+O220*('Deal maths'!AA220-AsAt)/365.25)/I220),(S220-AsAt)/365.25)),0))</f>
        <v/>
      </c>
      <c r="Q220" s="109">
        <f>IF(B220=1,'Deal maths'!AA220+ROW()/1000000,"")</f>
        <v/>
      </c>
      <c r="R220" s="108">
        <f>IF(D220=0,0,IF(DAY(E220+1)=1,31,DAY(E220)))</f>
        <v/>
      </c>
      <c r="S220" s="109">
        <f>IF(AND('Deal maths'!V220="LOBO",'Deal maths'!AG220&gt;AsAt,'Deal maths'!AG220&lt;'Deal maths'!AA220),'Deal maths'!AG220,'Deal maths'!AA220)</f>
        <v/>
      </c>
      <c r="T220" s="108">
        <f>('Deal maths'!AA220&gt;AsAt)*('Deal maths'!Y220&gt;0)</f>
        <v/>
      </c>
    </row>
    <row r="221">
      <c r="A221" s="91">
        <f>IF('Deal maths'!V221="","",'Deal maths'!W221)</f>
        <v/>
      </c>
      <c r="B221" s="108">
        <f>('Deal maths'!AA221&gt;AsAt)*('Deal maths'!Y221&gt;0)*('Deal maths'!Z221&lt;=AsAt)</f>
        <v/>
      </c>
      <c r="C221" s="91">
        <f>IF('Deal maths'!V221="","",IF('Deal maths'!AC221="","Maturity",'Deal maths'!AC221))</f>
        <v/>
      </c>
      <c r="D221" s="108">
        <f>IF(OR(C221="EIP",C221="Annuity"),IF('Deal maths'!AD221="Annual",12,IF('Deal maths'!AD221="Quarterly",3,6)),0)</f>
        <v/>
      </c>
      <c r="E221" s="109">
        <f>IFERROR(IF(D221=0,0,IF('Deal maths'!AE221&gt;0,IF('Deal maths'!AE221&gt;'Deal maths'!AA221,'Deal maths'!AA221,'Deal maths'!AE221),IF(IF(DAY('Deal maths'!AA221+1)=1,EOMONTH('Deal maths'!AA221,-(INT(((YEAR('Deal maths'!AA221)-YEAR(IF('Deal maths'!Z221&gt;0,'Deal maths'!Z221,DATE(1990,1,1))))*12+MONTH('Deal maths'!AA221)-MONTH(IF('Deal maths'!Z221&gt;0,'Deal maths'!Z221,DATE(1990,1,1))))/D221))*D221),EDATE('Deal maths'!AA221,-(INT(((YEAR('Deal maths'!AA221)-YEAR(IF('Deal maths'!Z221&gt;0,'Deal maths'!Z221,DATE(1990,1,1))))*12+MONTH('Deal maths'!AA221)-MONTH(IF('Deal maths'!Z221&gt;0,'Deal maths'!Z221,DATE(1990,1,1))))/D221))*D221))&gt;IF('Deal maths'!Z221&gt;0,'Deal maths'!Z221,DATE(1990,1,1)),IF(DAY('Deal maths'!AA221+1)=1,EOMONTH('Deal maths'!AA221,-(INT(((YEAR('Deal maths'!AA221)-YEAR(IF('Deal maths'!Z221&gt;0,'Deal maths'!Z221,DATE(1990,1,1))))*12+MONTH('Deal maths'!AA221)-MONTH(IF('Deal maths'!Z221&gt;0,'Deal maths'!Z221,DATE(1990,1,1))))/D221))*D221),EDATE('Deal maths'!AA221,-(INT(((YEAR('Deal maths'!AA221)-YEAR(IF('Deal maths'!Z221&gt;0,'Deal maths'!Z221,DATE(1990,1,1))))*12+MONTH('Deal maths'!AA221)-MONTH(IF('Deal maths'!Z221&gt;0,'Deal maths'!Z221,DATE(1990,1,1))))/D221))*D221)),IF(DAY('Deal maths'!AA221+1)=1,EOMONTH('Deal maths'!AA221,-(INT(((YEAR('Deal maths'!AA221)-YEAR(IF('Deal maths'!Z221&gt;0,'Deal maths'!Z221,DATE(1990,1,1))))*12+MONTH('Deal maths'!AA221)-MONTH(IF('Deal maths'!Z221&gt;0,'Deal maths'!Z221,DATE(1990,1,1))))/D221)-1)*D221),EDATE('Deal maths'!AA221,-(INT(((YEAR('Deal maths'!AA221)-YEAR(IF('Deal maths'!Z221&gt;0,'Deal maths'!Z221,DATE(1990,1,1))))*12+MONTH('Deal maths'!AA221)-MONTH(IF('Deal maths'!Z221&gt;0,'Deal maths'!Z221,DATE(1990,1,1))))/D221)-1)*D221))))),0)</f>
        <v/>
      </c>
      <c r="F221" s="110">
        <f>IF(D221=0,0,'Deal maths'!AB221*D221/12)</f>
        <v/>
      </c>
      <c r="G221" s="108">
        <f>N221+O221</f>
        <v/>
      </c>
      <c r="H221" s="108">
        <f>IFERROR(IF(OR(D221=0,AsAt&lt;E221),0,MIN(N221,INT(((YEAR(AsAt)-YEAR(E221))*12+MONTH(AsAt)-MONTH(E221)-(DAY(AsAt)&lt;MIN(R221,DAY(EOMONTH(AsAt,0)))))/D221)+1)+O221*(AsAt&gt;='Deal maths'!AA221)),0)</f>
        <v/>
      </c>
      <c r="I221" s="108">
        <f>G221-H221</f>
        <v/>
      </c>
      <c r="J221" s="111">
        <f>IF(AND(C221="EIP",I221&gt;0),'Deal maths'!Y221/I221,0)</f>
        <v/>
      </c>
      <c r="K221" s="111">
        <f>IF(AND(C221="Annuity",I221&gt;0),IF(F221&gt;0,'Deal maths'!Y221*F221/(1-(1+F221)^-I221),'Deal maths'!Y221/I221),0)</f>
        <v/>
      </c>
      <c r="L221" s="111">
        <f>IF('Deal maths'!Y221="",0,'Deal maths'!Y221)</f>
        <v/>
      </c>
      <c r="M221" s="112">
        <f>F221+(F221=0)</f>
        <v/>
      </c>
      <c r="N221" s="108">
        <f>IFERROR(IF(D221=0,0,INT(((YEAR('Deal maths'!AA221)-YEAR(E221))*12+MONTH('Deal maths'!AA221)-MONTH(E221)-(DAY('Deal maths'!AA221)&lt;MIN(R221,DAY(EOMONTH('Deal maths'!AA221,0)))))/D221)+1),0)</f>
        <v/>
      </c>
      <c r="O221" s="108">
        <f>IFERROR(IF(D221=0,0,IF(IF(DAY(E221+1)=1,EOMONTH(E221,(N221-1)*D221),EDATE(E221,(N221-1)*D221))='Deal maths'!AA221,0,1)),0)</f>
        <v/>
      </c>
      <c r="P221" s="113">
        <f>IF(B221=0,0,IFERROR(IF(C221="EIP",((I221-O221)*((IF(DAY(E221+1)=1,EOMONTH(E221,H221*D221),EDATE(E221,H221*D221))-AsAt)/365.25+(IF(DAY(E221+1)=1,EOMONTH(E221,(N221-1)*D221),EDATE(E221,(N221-1)*D221))-AsAt)/365.25)/2+O221*('Deal maths'!AA221-AsAt)/365.25)/I221,IF(C221="Annuity",IF(F221&gt;0,((K221-L221*F221)*((IF(DAY(E221+1)=1,EOMONTH(E221,H221*D221),EDATE(E221,H221*D221))-AsAt)/365.25*((1+F221)^(I221-O221)-1)/F221+IF((I221-O221)&gt;1,((IF(DAY(E221+1)=1,EOMONTH(E221,(N221-1)*D221),EDATE(E221,(N221-1)*D221))-AsAt)/365.25-(IF(DAY(E221+1)=1,EOMONTH(E221,H221*D221),EDATE(E221,H221*D221))-AsAt)/365.25)/((I221-O221)-1),0)*(1+F221)*(1-(I221-O221)*(1+F221)^((I221-O221)-1)+((I221-O221)-1)*(1+F221)^(I221-O221))/F221^2)+O221*(K221-L221*F221)*(1+F221)^(I221-1)*('Deal maths'!AA221-AsAt)/365.25)/L221,((I221-O221)*((IF(DAY(E221+1)=1,EOMONTH(E221,H221*D221),EDATE(E221,H221*D221))-AsAt)/365.25+(IF(DAY(E221+1)=1,EOMONTH(E221,(N221-1)*D221),EDATE(E221,(N221-1)*D221))-AsAt)/365.25)/2+O221*('Deal maths'!AA221-AsAt)/365.25)/I221),(S221-AsAt)/365.25)),0))</f>
        <v/>
      </c>
      <c r="Q221" s="109">
        <f>IF(B221=1,'Deal maths'!AA221+ROW()/1000000,"")</f>
        <v/>
      </c>
      <c r="R221" s="108">
        <f>IF(D221=0,0,IF(DAY(E221+1)=1,31,DAY(E221)))</f>
        <v/>
      </c>
      <c r="S221" s="109">
        <f>IF(AND('Deal maths'!V221="LOBO",'Deal maths'!AG221&gt;AsAt,'Deal maths'!AG221&lt;'Deal maths'!AA221),'Deal maths'!AG221,'Deal maths'!AA221)</f>
        <v/>
      </c>
      <c r="T221" s="108">
        <f>('Deal maths'!AA221&gt;AsAt)*('Deal maths'!Y221&gt;0)</f>
        <v/>
      </c>
    </row>
    <row r="222">
      <c r="A222" s="91">
        <f>IF('Deal maths'!V222="","",'Deal maths'!W222)</f>
        <v/>
      </c>
      <c r="B222" s="108">
        <f>('Deal maths'!AA222&gt;AsAt)*('Deal maths'!Y222&gt;0)*('Deal maths'!Z222&lt;=AsAt)</f>
        <v/>
      </c>
      <c r="C222" s="91">
        <f>IF('Deal maths'!V222="","",IF('Deal maths'!AC222="","Maturity",'Deal maths'!AC222))</f>
        <v/>
      </c>
      <c r="D222" s="108">
        <f>IF(OR(C222="EIP",C222="Annuity"),IF('Deal maths'!AD222="Annual",12,IF('Deal maths'!AD222="Quarterly",3,6)),0)</f>
        <v/>
      </c>
      <c r="E222" s="109">
        <f>IFERROR(IF(D222=0,0,IF('Deal maths'!AE222&gt;0,IF('Deal maths'!AE222&gt;'Deal maths'!AA222,'Deal maths'!AA222,'Deal maths'!AE222),IF(IF(DAY('Deal maths'!AA222+1)=1,EOMONTH('Deal maths'!AA222,-(INT(((YEAR('Deal maths'!AA222)-YEAR(IF('Deal maths'!Z222&gt;0,'Deal maths'!Z222,DATE(1990,1,1))))*12+MONTH('Deal maths'!AA222)-MONTH(IF('Deal maths'!Z222&gt;0,'Deal maths'!Z222,DATE(1990,1,1))))/D222))*D222),EDATE('Deal maths'!AA222,-(INT(((YEAR('Deal maths'!AA222)-YEAR(IF('Deal maths'!Z222&gt;0,'Deal maths'!Z222,DATE(1990,1,1))))*12+MONTH('Deal maths'!AA222)-MONTH(IF('Deal maths'!Z222&gt;0,'Deal maths'!Z222,DATE(1990,1,1))))/D222))*D222))&gt;IF('Deal maths'!Z222&gt;0,'Deal maths'!Z222,DATE(1990,1,1)),IF(DAY('Deal maths'!AA222+1)=1,EOMONTH('Deal maths'!AA222,-(INT(((YEAR('Deal maths'!AA222)-YEAR(IF('Deal maths'!Z222&gt;0,'Deal maths'!Z222,DATE(1990,1,1))))*12+MONTH('Deal maths'!AA222)-MONTH(IF('Deal maths'!Z222&gt;0,'Deal maths'!Z222,DATE(1990,1,1))))/D222))*D222),EDATE('Deal maths'!AA222,-(INT(((YEAR('Deal maths'!AA222)-YEAR(IF('Deal maths'!Z222&gt;0,'Deal maths'!Z222,DATE(1990,1,1))))*12+MONTH('Deal maths'!AA222)-MONTH(IF('Deal maths'!Z222&gt;0,'Deal maths'!Z222,DATE(1990,1,1))))/D222))*D222)),IF(DAY('Deal maths'!AA222+1)=1,EOMONTH('Deal maths'!AA222,-(INT(((YEAR('Deal maths'!AA222)-YEAR(IF('Deal maths'!Z222&gt;0,'Deal maths'!Z222,DATE(1990,1,1))))*12+MONTH('Deal maths'!AA222)-MONTH(IF('Deal maths'!Z222&gt;0,'Deal maths'!Z222,DATE(1990,1,1))))/D222)-1)*D222),EDATE('Deal maths'!AA222,-(INT(((YEAR('Deal maths'!AA222)-YEAR(IF('Deal maths'!Z222&gt;0,'Deal maths'!Z222,DATE(1990,1,1))))*12+MONTH('Deal maths'!AA222)-MONTH(IF('Deal maths'!Z222&gt;0,'Deal maths'!Z222,DATE(1990,1,1))))/D222)-1)*D222))))),0)</f>
        <v/>
      </c>
      <c r="F222" s="110">
        <f>IF(D222=0,0,'Deal maths'!AB222*D222/12)</f>
        <v/>
      </c>
      <c r="G222" s="108">
        <f>N222+O222</f>
        <v/>
      </c>
      <c r="H222" s="108">
        <f>IFERROR(IF(OR(D222=0,AsAt&lt;E222),0,MIN(N222,INT(((YEAR(AsAt)-YEAR(E222))*12+MONTH(AsAt)-MONTH(E222)-(DAY(AsAt)&lt;MIN(R222,DAY(EOMONTH(AsAt,0)))))/D222)+1)+O222*(AsAt&gt;='Deal maths'!AA222)),0)</f>
        <v/>
      </c>
      <c r="I222" s="108">
        <f>G222-H222</f>
        <v/>
      </c>
      <c r="J222" s="111">
        <f>IF(AND(C222="EIP",I222&gt;0),'Deal maths'!Y222/I222,0)</f>
        <v/>
      </c>
      <c r="K222" s="111">
        <f>IF(AND(C222="Annuity",I222&gt;0),IF(F222&gt;0,'Deal maths'!Y222*F222/(1-(1+F222)^-I222),'Deal maths'!Y222/I222),0)</f>
        <v/>
      </c>
      <c r="L222" s="111">
        <f>IF('Deal maths'!Y222="",0,'Deal maths'!Y222)</f>
        <v/>
      </c>
      <c r="M222" s="112">
        <f>F222+(F222=0)</f>
        <v/>
      </c>
      <c r="N222" s="108">
        <f>IFERROR(IF(D222=0,0,INT(((YEAR('Deal maths'!AA222)-YEAR(E222))*12+MONTH('Deal maths'!AA222)-MONTH(E222)-(DAY('Deal maths'!AA222)&lt;MIN(R222,DAY(EOMONTH('Deal maths'!AA222,0)))))/D222)+1),0)</f>
        <v/>
      </c>
      <c r="O222" s="108">
        <f>IFERROR(IF(D222=0,0,IF(IF(DAY(E222+1)=1,EOMONTH(E222,(N222-1)*D222),EDATE(E222,(N222-1)*D222))='Deal maths'!AA222,0,1)),0)</f>
        <v/>
      </c>
      <c r="P222" s="113">
        <f>IF(B222=0,0,IFERROR(IF(C222="EIP",((I222-O222)*((IF(DAY(E222+1)=1,EOMONTH(E222,H222*D222),EDATE(E222,H222*D222))-AsAt)/365.25+(IF(DAY(E222+1)=1,EOMONTH(E222,(N222-1)*D222),EDATE(E222,(N222-1)*D222))-AsAt)/365.25)/2+O222*('Deal maths'!AA222-AsAt)/365.25)/I222,IF(C222="Annuity",IF(F222&gt;0,((K222-L222*F222)*((IF(DAY(E222+1)=1,EOMONTH(E222,H222*D222),EDATE(E222,H222*D222))-AsAt)/365.25*((1+F222)^(I222-O222)-1)/F222+IF((I222-O222)&gt;1,((IF(DAY(E222+1)=1,EOMONTH(E222,(N222-1)*D222),EDATE(E222,(N222-1)*D222))-AsAt)/365.25-(IF(DAY(E222+1)=1,EOMONTH(E222,H222*D222),EDATE(E222,H222*D222))-AsAt)/365.25)/((I222-O222)-1),0)*(1+F222)*(1-(I222-O222)*(1+F222)^((I222-O222)-1)+((I222-O222)-1)*(1+F222)^(I222-O222))/F222^2)+O222*(K222-L222*F222)*(1+F222)^(I222-1)*('Deal maths'!AA222-AsAt)/365.25)/L222,((I222-O222)*((IF(DAY(E222+1)=1,EOMONTH(E222,H222*D222),EDATE(E222,H222*D222))-AsAt)/365.25+(IF(DAY(E222+1)=1,EOMONTH(E222,(N222-1)*D222),EDATE(E222,(N222-1)*D222))-AsAt)/365.25)/2+O222*('Deal maths'!AA222-AsAt)/365.25)/I222),(S222-AsAt)/365.25)),0))</f>
        <v/>
      </c>
      <c r="Q222" s="109">
        <f>IF(B222=1,'Deal maths'!AA222+ROW()/1000000,"")</f>
        <v/>
      </c>
      <c r="R222" s="108">
        <f>IF(D222=0,0,IF(DAY(E222+1)=1,31,DAY(E222)))</f>
        <v/>
      </c>
      <c r="S222" s="109">
        <f>IF(AND('Deal maths'!V222="LOBO",'Deal maths'!AG222&gt;AsAt,'Deal maths'!AG222&lt;'Deal maths'!AA222),'Deal maths'!AG222,'Deal maths'!AA222)</f>
        <v/>
      </c>
      <c r="T222" s="108">
        <f>('Deal maths'!AA222&gt;AsAt)*('Deal maths'!Y222&gt;0)</f>
        <v/>
      </c>
    </row>
    <row r="223">
      <c r="A223" s="91">
        <f>IF('Deal maths'!V223="","",'Deal maths'!W223)</f>
        <v/>
      </c>
      <c r="B223" s="108">
        <f>('Deal maths'!AA223&gt;AsAt)*('Deal maths'!Y223&gt;0)*('Deal maths'!Z223&lt;=AsAt)</f>
        <v/>
      </c>
      <c r="C223" s="91">
        <f>IF('Deal maths'!V223="","",IF('Deal maths'!AC223="","Maturity",'Deal maths'!AC223))</f>
        <v/>
      </c>
      <c r="D223" s="108">
        <f>IF(OR(C223="EIP",C223="Annuity"),IF('Deal maths'!AD223="Annual",12,IF('Deal maths'!AD223="Quarterly",3,6)),0)</f>
        <v/>
      </c>
      <c r="E223" s="109">
        <f>IFERROR(IF(D223=0,0,IF('Deal maths'!AE223&gt;0,IF('Deal maths'!AE223&gt;'Deal maths'!AA223,'Deal maths'!AA223,'Deal maths'!AE223),IF(IF(DAY('Deal maths'!AA223+1)=1,EOMONTH('Deal maths'!AA223,-(INT(((YEAR('Deal maths'!AA223)-YEAR(IF('Deal maths'!Z223&gt;0,'Deal maths'!Z223,DATE(1990,1,1))))*12+MONTH('Deal maths'!AA223)-MONTH(IF('Deal maths'!Z223&gt;0,'Deal maths'!Z223,DATE(1990,1,1))))/D223))*D223),EDATE('Deal maths'!AA223,-(INT(((YEAR('Deal maths'!AA223)-YEAR(IF('Deal maths'!Z223&gt;0,'Deal maths'!Z223,DATE(1990,1,1))))*12+MONTH('Deal maths'!AA223)-MONTH(IF('Deal maths'!Z223&gt;0,'Deal maths'!Z223,DATE(1990,1,1))))/D223))*D223))&gt;IF('Deal maths'!Z223&gt;0,'Deal maths'!Z223,DATE(1990,1,1)),IF(DAY('Deal maths'!AA223+1)=1,EOMONTH('Deal maths'!AA223,-(INT(((YEAR('Deal maths'!AA223)-YEAR(IF('Deal maths'!Z223&gt;0,'Deal maths'!Z223,DATE(1990,1,1))))*12+MONTH('Deal maths'!AA223)-MONTH(IF('Deal maths'!Z223&gt;0,'Deal maths'!Z223,DATE(1990,1,1))))/D223))*D223),EDATE('Deal maths'!AA223,-(INT(((YEAR('Deal maths'!AA223)-YEAR(IF('Deal maths'!Z223&gt;0,'Deal maths'!Z223,DATE(1990,1,1))))*12+MONTH('Deal maths'!AA223)-MONTH(IF('Deal maths'!Z223&gt;0,'Deal maths'!Z223,DATE(1990,1,1))))/D223))*D223)),IF(DAY('Deal maths'!AA223+1)=1,EOMONTH('Deal maths'!AA223,-(INT(((YEAR('Deal maths'!AA223)-YEAR(IF('Deal maths'!Z223&gt;0,'Deal maths'!Z223,DATE(1990,1,1))))*12+MONTH('Deal maths'!AA223)-MONTH(IF('Deal maths'!Z223&gt;0,'Deal maths'!Z223,DATE(1990,1,1))))/D223)-1)*D223),EDATE('Deal maths'!AA223,-(INT(((YEAR('Deal maths'!AA223)-YEAR(IF('Deal maths'!Z223&gt;0,'Deal maths'!Z223,DATE(1990,1,1))))*12+MONTH('Deal maths'!AA223)-MONTH(IF('Deal maths'!Z223&gt;0,'Deal maths'!Z223,DATE(1990,1,1))))/D223)-1)*D223))))),0)</f>
        <v/>
      </c>
      <c r="F223" s="110">
        <f>IF(D223=0,0,'Deal maths'!AB223*D223/12)</f>
        <v/>
      </c>
      <c r="G223" s="108">
        <f>N223+O223</f>
        <v/>
      </c>
      <c r="H223" s="108">
        <f>IFERROR(IF(OR(D223=0,AsAt&lt;E223),0,MIN(N223,INT(((YEAR(AsAt)-YEAR(E223))*12+MONTH(AsAt)-MONTH(E223)-(DAY(AsAt)&lt;MIN(R223,DAY(EOMONTH(AsAt,0)))))/D223)+1)+O223*(AsAt&gt;='Deal maths'!AA223)),0)</f>
        <v/>
      </c>
      <c r="I223" s="108">
        <f>G223-H223</f>
        <v/>
      </c>
      <c r="J223" s="111">
        <f>IF(AND(C223="EIP",I223&gt;0),'Deal maths'!Y223/I223,0)</f>
        <v/>
      </c>
      <c r="K223" s="111">
        <f>IF(AND(C223="Annuity",I223&gt;0),IF(F223&gt;0,'Deal maths'!Y223*F223/(1-(1+F223)^-I223),'Deal maths'!Y223/I223),0)</f>
        <v/>
      </c>
      <c r="L223" s="111">
        <f>IF('Deal maths'!Y223="",0,'Deal maths'!Y223)</f>
        <v/>
      </c>
      <c r="M223" s="112">
        <f>F223+(F223=0)</f>
        <v/>
      </c>
      <c r="N223" s="108">
        <f>IFERROR(IF(D223=0,0,INT(((YEAR('Deal maths'!AA223)-YEAR(E223))*12+MONTH('Deal maths'!AA223)-MONTH(E223)-(DAY('Deal maths'!AA223)&lt;MIN(R223,DAY(EOMONTH('Deal maths'!AA223,0)))))/D223)+1),0)</f>
        <v/>
      </c>
      <c r="O223" s="108">
        <f>IFERROR(IF(D223=0,0,IF(IF(DAY(E223+1)=1,EOMONTH(E223,(N223-1)*D223),EDATE(E223,(N223-1)*D223))='Deal maths'!AA223,0,1)),0)</f>
        <v/>
      </c>
      <c r="P223" s="113">
        <f>IF(B223=0,0,IFERROR(IF(C223="EIP",((I223-O223)*((IF(DAY(E223+1)=1,EOMONTH(E223,H223*D223),EDATE(E223,H223*D223))-AsAt)/365.25+(IF(DAY(E223+1)=1,EOMONTH(E223,(N223-1)*D223),EDATE(E223,(N223-1)*D223))-AsAt)/365.25)/2+O223*('Deal maths'!AA223-AsAt)/365.25)/I223,IF(C223="Annuity",IF(F223&gt;0,((K223-L223*F223)*((IF(DAY(E223+1)=1,EOMONTH(E223,H223*D223),EDATE(E223,H223*D223))-AsAt)/365.25*((1+F223)^(I223-O223)-1)/F223+IF((I223-O223)&gt;1,((IF(DAY(E223+1)=1,EOMONTH(E223,(N223-1)*D223),EDATE(E223,(N223-1)*D223))-AsAt)/365.25-(IF(DAY(E223+1)=1,EOMONTH(E223,H223*D223),EDATE(E223,H223*D223))-AsAt)/365.25)/((I223-O223)-1),0)*(1+F223)*(1-(I223-O223)*(1+F223)^((I223-O223)-1)+((I223-O223)-1)*(1+F223)^(I223-O223))/F223^2)+O223*(K223-L223*F223)*(1+F223)^(I223-1)*('Deal maths'!AA223-AsAt)/365.25)/L223,((I223-O223)*((IF(DAY(E223+1)=1,EOMONTH(E223,H223*D223),EDATE(E223,H223*D223))-AsAt)/365.25+(IF(DAY(E223+1)=1,EOMONTH(E223,(N223-1)*D223),EDATE(E223,(N223-1)*D223))-AsAt)/365.25)/2+O223*('Deal maths'!AA223-AsAt)/365.25)/I223),(S223-AsAt)/365.25)),0))</f>
        <v/>
      </c>
      <c r="Q223" s="109">
        <f>IF(B223=1,'Deal maths'!AA223+ROW()/1000000,"")</f>
        <v/>
      </c>
      <c r="R223" s="108">
        <f>IF(D223=0,0,IF(DAY(E223+1)=1,31,DAY(E223)))</f>
        <v/>
      </c>
      <c r="S223" s="109">
        <f>IF(AND('Deal maths'!V223="LOBO",'Deal maths'!AG223&gt;AsAt,'Deal maths'!AG223&lt;'Deal maths'!AA223),'Deal maths'!AG223,'Deal maths'!AA223)</f>
        <v/>
      </c>
      <c r="T223" s="108">
        <f>('Deal maths'!AA223&gt;AsAt)*('Deal maths'!Y223&gt;0)</f>
        <v/>
      </c>
    </row>
    <row r="224">
      <c r="A224" s="91">
        <f>IF('Deal maths'!V224="","",'Deal maths'!W224)</f>
        <v/>
      </c>
      <c r="B224" s="108">
        <f>('Deal maths'!AA224&gt;AsAt)*('Deal maths'!Y224&gt;0)*('Deal maths'!Z224&lt;=AsAt)</f>
        <v/>
      </c>
      <c r="C224" s="91">
        <f>IF('Deal maths'!V224="","",IF('Deal maths'!AC224="","Maturity",'Deal maths'!AC224))</f>
        <v/>
      </c>
      <c r="D224" s="108">
        <f>IF(OR(C224="EIP",C224="Annuity"),IF('Deal maths'!AD224="Annual",12,IF('Deal maths'!AD224="Quarterly",3,6)),0)</f>
        <v/>
      </c>
      <c r="E224" s="109">
        <f>IFERROR(IF(D224=0,0,IF('Deal maths'!AE224&gt;0,IF('Deal maths'!AE224&gt;'Deal maths'!AA224,'Deal maths'!AA224,'Deal maths'!AE224),IF(IF(DAY('Deal maths'!AA224+1)=1,EOMONTH('Deal maths'!AA224,-(INT(((YEAR('Deal maths'!AA224)-YEAR(IF('Deal maths'!Z224&gt;0,'Deal maths'!Z224,DATE(1990,1,1))))*12+MONTH('Deal maths'!AA224)-MONTH(IF('Deal maths'!Z224&gt;0,'Deal maths'!Z224,DATE(1990,1,1))))/D224))*D224),EDATE('Deal maths'!AA224,-(INT(((YEAR('Deal maths'!AA224)-YEAR(IF('Deal maths'!Z224&gt;0,'Deal maths'!Z224,DATE(1990,1,1))))*12+MONTH('Deal maths'!AA224)-MONTH(IF('Deal maths'!Z224&gt;0,'Deal maths'!Z224,DATE(1990,1,1))))/D224))*D224))&gt;IF('Deal maths'!Z224&gt;0,'Deal maths'!Z224,DATE(1990,1,1)),IF(DAY('Deal maths'!AA224+1)=1,EOMONTH('Deal maths'!AA224,-(INT(((YEAR('Deal maths'!AA224)-YEAR(IF('Deal maths'!Z224&gt;0,'Deal maths'!Z224,DATE(1990,1,1))))*12+MONTH('Deal maths'!AA224)-MONTH(IF('Deal maths'!Z224&gt;0,'Deal maths'!Z224,DATE(1990,1,1))))/D224))*D224),EDATE('Deal maths'!AA224,-(INT(((YEAR('Deal maths'!AA224)-YEAR(IF('Deal maths'!Z224&gt;0,'Deal maths'!Z224,DATE(1990,1,1))))*12+MONTH('Deal maths'!AA224)-MONTH(IF('Deal maths'!Z224&gt;0,'Deal maths'!Z224,DATE(1990,1,1))))/D224))*D224)),IF(DAY('Deal maths'!AA224+1)=1,EOMONTH('Deal maths'!AA224,-(INT(((YEAR('Deal maths'!AA224)-YEAR(IF('Deal maths'!Z224&gt;0,'Deal maths'!Z224,DATE(1990,1,1))))*12+MONTH('Deal maths'!AA224)-MONTH(IF('Deal maths'!Z224&gt;0,'Deal maths'!Z224,DATE(1990,1,1))))/D224)-1)*D224),EDATE('Deal maths'!AA224,-(INT(((YEAR('Deal maths'!AA224)-YEAR(IF('Deal maths'!Z224&gt;0,'Deal maths'!Z224,DATE(1990,1,1))))*12+MONTH('Deal maths'!AA224)-MONTH(IF('Deal maths'!Z224&gt;0,'Deal maths'!Z224,DATE(1990,1,1))))/D224)-1)*D224))))),0)</f>
        <v/>
      </c>
      <c r="F224" s="110">
        <f>IF(D224=0,0,'Deal maths'!AB224*D224/12)</f>
        <v/>
      </c>
      <c r="G224" s="108">
        <f>N224+O224</f>
        <v/>
      </c>
      <c r="H224" s="108">
        <f>IFERROR(IF(OR(D224=0,AsAt&lt;E224),0,MIN(N224,INT(((YEAR(AsAt)-YEAR(E224))*12+MONTH(AsAt)-MONTH(E224)-(DAY(AsAt)&lt;MIN(R224,DAY(EOMONTH(AsAt,0)))))/D224)+1)+O224*(AsAt&gt;='Deal maths'!AA224)),0)</f>
        <v/>
      </c>
      <c r="I224" s="108">
        <f>G224-H224</f>
        <v/>
      </c>
      <c r="J224" s="111">
        <f>IF(AND(C224="EIP",I224&gt;0),'Deal maths'!Y224/I224,0)</f>
        <v/>
      </c>
      <c r="K224" s="111">
        <f>IF(AND(C224="Annuity",I224&gt;0),IF(F224&gt;0,'Deal maths'!Y224*F224/(1-(1+F224)^-I224),'Deal maths'!Y224/I224),0)</f>
        <v/>
      </c>
      <c r="L224" s="111">
        <f>IF('Deal maths'!Y224="",0,'Deal maths'!Y224)</f>
        <v/>
      </c>
      <c r="M224" s="112">
        <f>F224+(F224=0)</f>
        <v/>
      </c>
      <c r="N224" s="108">
        <f>IFERROR(IF(D224=0,0,INT(((YEAR('Deal maths'!AA224)-YEAR(E224))*12+MONTH('Deal maths'!AA224)-MONTH(E224)-(DAY('Deal maths'!AA224)&lt;MIN(R224,DAY(EOMONTH('Deal maths'!AA224,0)))))/D224)+1),0)</f>
        <v/>
      </c>
      <c r="O224" s="108">
        <f>IFERROR(IF(D224=0,0,IF(IF(DAY(E224+1)=1,EOMONTH(E224,(N224-1)*D224),EDATE(E224,(N224-1)*D224))='Deal maths'!AA224,0,1)),0)</f>
        <v/>
      </c>
      <c r="P224" s="113">
        <f>IF(B224=0,0,IFERROR(IF(C224="EIP",((I224-O224)*((IF(DAY(E224+1)=1,EOMONTH(E224,H224*D224),EDATE(E224,H224*D224))-AsAt)/365.25+(IF(DAY(E224+1)=1,EOMONTH(E224,(N224-1)*D224),EDATE(E224,(N224-1)*D224))-AsAt)/365.25)/2+O224*('Deal maths'!AA224-AsAt)/365.25)/I224,IF(C224="Annuity",IF(F224&gt;0,((K224-L224*F224)*((IF(DAY(E224+1)=1,EOMONTH(E224,H224*D224),EDATE(E224,H224*D224))-AsAt)/365.25*((1+F224)^(I224-O224)-1)/F224+IF((I224-O224)&gt;1,((IF(DAY(E224+1)=1,EOMONTH(E224,(N224-1)*D224),EDATE(E224,(N224-1)*D224))-AsAt)/365.25-(IF(DAY(E224+1)=1,EOMONTH(E224,H224*D224),EDATE(E224,H224*D224))-AsAt)/365.25)/((I224-O224)-1),0)*(1+F224)*(1-(I224-O224)*(1+F224)^((I224-O224)-1)+((I224-O224)-1)*(1+F224)^(I224-O224))/F224^2)+O224*(K224-L224*F224)*(1+F224)^(I224-1)*('Deal maths'!AA224-AsAt)/365.25)/L224,((I224-O224)*((IF(DAY(E224+1)=1,EOMONTH(E224,H224*D224),EDATE(E224,H224*D224))-AsAt)/365.25+(IF(DAY(E224+1)=1,EOMONTH(E224,(N224-1)*D224),EDATE(E224,(N224-1)*D224))-AsAt)/365.25)/2+O224*('Deal maths'!AA224-AsAt)/365.25)/I224),(S224-AsAt)/365.25)),0))</f>
        <v/>
      </c>
      <c r="Q224" s="109">
        <f>IF(B224=1,'Deal maths'!AA224+ROW()/1000000,"")</f>
        <v/>
      </c>
      <c r="R224" s="108">
        <f>IF(D224=0,0,IF(DAY(E224+1)=1,31,DAY(E224)))</f>
        <v/>
      </c>
      <c r="S224" s="109">
        <f>IF(AND('Deal maths'!V224="LOBO",'Deal maths'!AG224&gt;AsAt,'Deal maths'!AG224&lt;'Deal maths'!AA224),'Deal maths'!AG224,'Deal maths'!AA224)</f>
        <v/>
      </c>
      <c r="T224" s="108">
        <f>('Deal maths'!AA224&gt;AsAt)*('Deal maths'!Y224&gt;0)</f>
        <v/>
      </c>
    </row>
    <row r="225">
      <c r="A225" s="91">
        <f>IF('Deal maths'!V225="","",'Deal maths'!W225)</f>
        <v/>
      </c>
      <c r="B225" s="108">
        <f>('Deal maths'!AA225&gt;AsAt)*('Deal maths'!Y225&gt;0)*('Deal maths'!Z225&lt;=AsAt)</f>
        <v/>
      </c>
      <c r="C225" s="91">
        <f>IF('Deal maths'!V225="","",IF('Deal maths'!AC225="","Maturity",'Deal maths'!AC225))</f>
        <v/>
      </c>
      <c r="D225" s="108">
        <f>IF(OR(C225="EIP",C225="Annuity"),IF('Deal maths'!AD225="Annual",12,IF('Deal maths'!AD225="Quarterly",3,6)),0)</f>
        <v/>
      </c>
      <c r="E225" s="109">
        <f>IFERROR(IF(D225=0,0,IF('Deal maths'!AE225&gt;0,IF('Deal maths'!AE225&gt;'Deal maths'!AA225,'Deal maths'!AA225,'Deal maths'!AE225),IF(IF(DAY('Deal maths'!AA225+1)=1,EOMONTH('Deal maths'!AA225,-(INT(((YEAR('Deal maths'!AA225)-YEAR(IF('Deal maths'!Z225&gt;0,'Deal maths'!Z225,DATE(1990,1,1))))*12+MONTH('Deal maths'!AA225)-MONTH(IF('Deal maths'!Z225&gt;0,'Deal maths'!Z225,DATE(1990,1,1))))/D225))*D225),EDATE('Deal maths'!AA225,-(INT(((YEAR('Deal maths'!AA225)-YEAR(IF('Deal maths'!Z225&gt;0,'Deal maths'!Z225,DATE(1990,1,1))))*12+MONTH('Deal maths'!AA225)-MONTH(IF('Deal maths'!Z225&gt;0,'Deal maths'!Z225,DATE(1990,1,1))))/D225))*D225))&gt;IF('Deal maths'!Z225&gt;0,'Deal maths'!Z225,DATE(1990,1,1)),IF(DAY('Deal maths'!AA225+1)=1,EOMONTH('Deal maths'!AA225,-(INT(((YEAR('Deal maths'!AA225)-YEAR(IF('Deal maths'!Z225&gt;0,'Deal maths'!Z225,DATE(1990,1,1))))*12+MONTH('Deal maths'!AA225)-MONTH(IF('Deal maths'!Z225&gt;0,'Deal maths'!Z225,DATE(1990,1,1))))/D225))*D225),EDATE('Deal maths'!AA225,-(INT(((YEAR('Deal maths'!AA225)-YEAR(IF('Deal maths'!Z225&gt;0,'Deal maths'!Z225,DATE(1990,1,1))))*12+MONTH('Deal maths'!AA225)-MONTH(IF('Deal maths'!Z225&gt;0,'Deal maths'!Z225,DATE(1990,1,1))))/D225))*D225)),IF(DAY('Deal maths'!AA225+1)=1,EOMONTH('Deal maths'!AA225,-(INT(((YEAR('Deal maths'!AA225)-YEAR(IF('Deal maths'!Z225&gt;0,'Deal maths'!Z225,DATE(1990,1,1))))*12+MONTH('Deal maths'!AA225)-MONTH(IF('Deal maths'!Z225&gt;0,'Deal maths'!Z225,DATE(1990,1,1))))/D225)-1)*D225),EDATE('Deal maths'!AA225,-(INT(((YEAR('Deal maths'!AA225)-YEAR(IF('Deal maths'!Z225&gt;0,'Deal maths'!Z225,DATE(1990,1,1))))*12+MONTH('Deal maths'!AA225)-MONTH(IF('Deal maths'!Z225&gt;0,'Deal maths'!Z225,DATE(1990,1,1))))/D225)-1)*D225))))),0)</f>
        <v/>
      </c>
      <c r="F225" s="110">
        <f>IF(D225=0,0,'Deal maths'!AB225*D225/12)</f>
        <v/>
      </c>
      <c r="G225" s="108">
        <f>N225+O225</f>
        <v/>
      </c>
      <c r="H225" s="108">
        <f>IFERROR(IF(OR(D225=0,AsAt&lt;E225),0,MIN(N225,INT(((YEAR(AsAt)-YEAR(E225))*12+MONTH(AsAt)-MONTH(E225)-(DAY(AsAt)&lt;MIN(R225,DAY(EOMONTH(AsAt,0)))))/D225)+1)+O225*(AsAt&gt;='Deal maths'!AA225)),0)</f>
        <v/>
      </c>
      <c r="I225" s="108">
        <f>G225-H225</f>
        <v/>
      </c>
      <c r="J225" s="111">
        <f>IF(AND(C225="EIP",I225&gt;0),'Deal maths'!Y225/I225,0)</f>
        <v/>
      </c>
      <c r="K225" s="111">
        <f>IF(AND(C225="Annuity",I225&gt;0),IF(F225&gt;0,'Deal maths'!Y225*F225/(1-(1+F225)^-I225),'Deal maths'!Y225/I225),0)</f>
        <v/>
      </c>
      <c r="L225" s="111">
        <f>IF('Deal maths'!Y225="",0,'Deal maths'!Y225)</f>
        <v/>
      </c>
      <c r="M225" s="112">
        <f>F225+(F225=0)</f>
        <v/>
      </c>
      <c r="N225" s="108">
        <f>IFERROR(IF(D225=0,0,INT(((YEAR('Deal maths'!AA225)-YEAR(E225))*12+MONTH('Deal maths'!AA225)-MONTH(E225)-(DAY('Deal maths'!AA225)&lt;MIN(R225,DAY(EOMONTH('Deal maths'!AA225,0)))))/D225)+1),0)</f>
        <v/>
      </c>
      <c r="O225" s="108">
        <f>IFERROR(IF(D225=0,0,IF(IF(DAY(E225+1)=1,EOMONTH(E225,(N225-1)*D225),EDATE(E225,(N225-1)*D225))='Deal maths'!AA225,0,1)),0)</f>
        <v/>
      </c>
      <c r="P225" s="113">
        <f>IF(B225=0,0,IFERROR(IF(C225="EIP",((I225-O225)*((IF(DAY(E225+1)=1,EOMONTH(E225,H225*D225),EDATE(E225,H225*D225))-AsAt)/365.25+(IF(DAY(E225+1)=1,EOMONTH(E225,(N225-1)*D225),EDATE(E225,(N225-1)*D225))-AsAt)/365.25)/2+O225*('Deal maths'!AA225-AsAt)/365.25)/I225,IF(C225="Annuity",IF(F225&gt;0,((K225-L225*F225)*((IF(DAY(E225+1)=1,EOMONTH(E225,H225*D225),EDATE(E225,H225*D225))-AsAt)/365.25*((1+F225)^(I225-O225)-1)/F225+IF((I225-O225)&gt;1,((IF(DAY(E225+1)=1,EOMONTH(E225,(N225-1)*D225),EDATE(E225,(N225-1)*D225))-AsAt)/365.25-(IF(DAY(E225+1)=1,EOMONTH(E225,H225*D225),EDATE(E225,H225*D225))-AsAt)/365.25)/((I225-O225)-1),0)*(1+F225)*(1-(I225-O225)*(1+F225)^((I225-O225)-1)+((I225-O225)-1)*(1+F225)^(I225-O225))/F225^2)+O225*(K225-L225*F225)*(1+F225)^(I225-1)*('Deal maths'!AA225-AsAt)/365.25)/L225,((I225-O225)*((IF(DAY(E225+1)=1,EOMONTH(E225,H225*D225),EDATE(E225,H225*D225))-AsAt)/365.25+(IF(DAY(E225+1)=1,EOMONTH(E225,(N225-1)*D225),EDATE(E225,(N225-1)*D225))-AsAt)/365.25)/2+O225*('Deal maths'!AA225-AsAt)/365.25)/I225),(S225-AsAt)/365.25)),0))</f>
        <v/>
      </c>
      <c r="Q225" s="109">
        <f>IF(B225=1,'Deal maths'!AA225+ROW()/1000000,"")</f>
        <v/>
      </c>
      <c r="R225" s="108">
        <f>IF(D225=0,0,IF(DAY(E225+1)=1,31,DAY(E225)))</f>
        <v/>
      </c>
      <c r="S225" s="109">
        <f>IF(AND('Deal maths'!V225="LOBO",'Deal maths'!AG225&gt;AsAt,'Deal maths'!AG225&lt;'Deal maths'!AA225),'Deal maths'!AG225,'Deal maths'!AA225)</f>
        <v/>
      </c>
      <c r="T225" s="108">
        <f>('Deal maths'!AA225&gt;AsAt)*('Deal maths'!Y225&gt;0)</f>
        <v/>
      </c>
    </row>
    <row r="226">
      <c r="A226" s="91">
        <f>IF('Deal maths'!V226="","",'Deal maths'!W226)</f>
        <v/>
      </c>
      <c r="B226" s="108">
        <f>('Deal maths'!AA226&gt;AsAt)*('Deal maths'!Y226&gt;0)*('Deal maths'!Z226&lt;=AsAt)</f>
        <v/>
      </c>
      <c r="C226" s="91">
        <f>IF('Deal maths'!V226="","",IF('Deal maths'!AC226="","Maturity",'Deal maths'!AC226))</f>
        <v/>
      </c>
      <c r="D226" s="108">
        <f>IF(OR(C226="EIP",C226="Annuity"),IF('Deal maths'!AD226="Annual",12,IF('Deal maths'!AD226="Quarterly",3,6)),0)</f>
        <v/>
      </c>
      <c r="E226" s="109">
        <f>IFERROR(IF(D226=0,0,IF('Deal maths'!AE226&gt;0,IF('Deal maths'!AE226&gt;'Deal maths'!AA226,'Deal maths'!AA226,'Deal maths'!AE226),IF(IF(DAY('Deal maths'!AA226+1)=1,EOMONTH('Deal maths'!AA226,-(INT(((YEAR('Deal maths'!AA226)-YEAR(IF('Deal maths'!Z226&gt;0,'Deal maths'!Z226,DATE(1990,1,1))))*12+MONTH('Deal maths'!AA226)-MONTH(IF('Deal maths'!Z226&gt;0,'Deal maths'!Z226,DATE(1990,1,1))))/D226))*D226),EDATE('Deal maths'!AA226,-(INT(((YEAR('Deal maths'!AA226)-YEAR(IF('Deal maths'!Z226&gt;0,'Deal maths'!Z226,DATE(1990,1,1))))*12+MONTH('Deal maths'!AA226)-MONTH(IF('Deal maths'!Z226&gt;0,'Deal maths'!Z226,DATE(1990,1,1))))/D226))*D226))&gt;IF('Deal maths'!Z226&gt;0,'Deal maths'!Z226,DATE(1990,1,1)),IF(DAY('Deal maths'!AA226+1)=1,EOMONTH('Deal maths'!AA226,-(INT(((YEAR('Deal maths'!AA226)-YEAR(IF('Deal maths'!Z226&gt;0,'Deal maths'!Z226,DATE(1990,1,1))))*12+MONTH('Deal maths'!AA226)-MONTH(IF('Deal maths'!Z226&gt;0,'Deal maths'!Z226,DATE(1990,1,1))))/D226))*D226),EDATE('Deal maths'!AA226,-(INT(((YEAR('Deal maths'!AA226)-YEAR(IF('Deal maths'!Z226&gt;0,'Deal maths'!Z226,DATE(1990,1,1))))*12+MONTH('Deal maths'!AA226)-MONTH(IF('Deal maths'!Z226&gt;0,'Deal maths'!Z226,DATE(1990,1,1))))/D226))*D226)),IF(DAY('Deal maths'!AA226+1)=1,EOMONTH('Deal maths'!AA226,-(INT(((YEAR('Deal maths'!AA226)-YEAR(IF('Deal maths'!Z226&gt;0,'Deal maths'!Z226,DATE(1990,1,1))))*12+MONTH('Deal maths'!AA226)-MONTH(IF('Deal maths'!Z226&gt;0,'Deal maths'!Z226,DATE(1990,1,1))))/D226)-1)*D226),EDATE('Deal maths'!AA226,-(INT(((YEAR('Deal maths'!AA226)-YEAR(IF('Deal maths'!Z226&gt;0,'Deal maths'!Z226,DATE(1990,1,1))))*12+MONTH('Deal maths'!AA226)-MONTH(IF('Deal maths'!Z226&gt;0,'Deal maths'!Z226,DATE(1990,1,1))))/D226)-1)*D226))))),0)</f>
        <v/>
      </c>
      <c r="F226" s="110">
        <f>IF(D226=0,0,'Deal maths'!AB226*D226/12)</f>
        <v/>
      </c>
      <c r="G226" s="108">
        <f>N226+O226</f>
        <v/>
      </c>
      <c r="H226" s="108">
        <f>IFERROR(IF(OR(D226=0,AsAt&lt;E226),0,MIN(N226,INT(((YEAR(AsAt)-YEAR(E226))*12+MONTH(AsAt)-MONTH(E226)-(DAY(AsAt)&lt;MIN(R226,DAY(EOMONTH(AsAt,0)))))/D226)+1)+O226*(AsAt&gt;='Deal maths'!AA226)),0)</f>
        <v/>
      </c>
      <c r="I226" s="108">
        <f>G226-H226</f>
        <v/>
      </c>
      <c r="J226" s="111">
        <f>IF(AND(C226="EIP",I226&gt;0),'Deal maths'!Y226/I226,0)</f>
        <v/>
      </c>
      <c r="K226" s="111">
        <f>IF(AND(C226="Annuity",I226&gt;0),IF(F226&gt;0,'Deal maths'!Y226*F226/(1-(1+F226)^-I226),'Deal maths'!Y226/I226),0)</f>
        <v/>
      </c>
      <c r="L226" s="111">
        <f>IF('Deal maths'!Y226="",0,'Deal maths'!Y226)</f>
        <v/>
      </c>
      <c r="M226" s="112">
        <f>F226+(F226=0)</f>
        <v/>
      </c>
      <c r="N226" s="108">
        <f>IFERROR(IF(D226=0,0,INT(((YEAR('Deal maths'!AA226)-YEAR(E226))*12+MONTH('Deal maths'!AA226)-MONTH(E226)-(DAY('Deal maths'!AA226)&lt;MIN(R226,DAY(EOMONTH('Deal maths'!AA226,0)))))/D226)+1),0)</f>
        <v/>
      </c>
      <c r="O226" s="108">
        <f>IFERROR(IF(D226=0,0,IF(IF(DAY(E226+1)=1,EOMONTH(E226,(N226-1)*D226),EDATE(E226,(N226-1)*D226))='Deal maths'!AA226,0,1)),0)</f>
        <v/>
      </c>
      <c r="P226" s="113">
        <f>IF(B226=0,0,IFERROR(IF(C226="EIP",((I226-O226)*((IF(DAY(E226+1)=1,EOMONTH(E226,H226*D226),EDATE(E226,H226*D226))-AsAt)/365.25+(IF(DAY(E226+1)=1,EOMONTH(E226,(N226-1)*D226),EDATE(E226,(N226-1)*D226))-AsAt)/365.25)/2+O226*('Deal maths'!AA226-AsAt)/365.25)/I226,IF(C226="Annuity",IF(F226&gt;0,((K226-L226*F226)*((IF(DAY(E226+1)=1,EOMONTH(E226,H226*D226),EDATE(E226,H226*D226))-AsAt)/365.25*((1+F226)^(I226-O226)-1)/F226+IF((I226-O226)&gt;1,((IF(DAY(E226+1)=1,EOMONTH(E226,(N226-1)*D226),EDATE(E226,(N226-1)*D226))-AsAt)/365.25-(IF(DAY(E226+1)=1,EOMONTH(E226,H226*D226),EDATE(E226,H226*D226))-AsAt)/365.25)/((I226-O226)-1),0)*(1+F226)*(1-(I226-O226)*(1+F226)^((I226-O226)-1)+((I226-O226)-1)*(1+F226)^(I226-O226))/F226^2)+O226*(K226-L226*F226)*(1+F226)^(I226-1)*('Deal maths'!AA226-AsAt)/365.25)/L226,((I226-O226)*((IF(DAY(E226+1)=1,EOMONTH(E226,H226*D226),EDATE(E226,H226*D226))-AsAt)/365.25+(IF(DAY(E226+1)=1,EOMONTH(E226,(N226-1)*D226),EDATE(E226,(N226-1)*D226))-AsAt)/365.25)/2+O226*('Deal maths'!AA226-AsAt)/365.25)/I226),(S226-AsAt)/365.25)),0))</f>
        <v/>
      </c>
      <c r="Q226" s="109">
        <f>IF(B226=1,'Deal maths'!AA226+ROW()/1000000,"")</f>
        <v/>
      </c>
      <c r="R226" s="108">
        <f>IF(D226=0,0,IF(DAY(E226+1)=1,31,DAY(E226)))</f>
        <v/>
      </c>
      <c r="S226" s="109">
        <f>IF(AND('Deal maths'!V226="LOBO",'Deal maths'!AG226&gt;AsAt,'Deal maths'!AG226&lt;'Deal maths'!AA226),'Deal maths'!AG226,'Deal maths'!AA226)</f>
        <v/>
      </c>
      <c r="T226" s="108">
        <f>('Deal maths'!AA226&gt;AsAt)*('Deal maths'!Y226&gt;0)</f>
        <v/>
      </c>
    </row>
    <row r="227">
      <c r="A227" s="91">
        <f>IF('Deal maths'!V227="","",'Deal maths'!W227)</f>
        <v/>
      </c>
      <c r="B227" s="108">
        <f>('Deal maths'!AA227&gt;AsAt)*('Deal maths'!Y227&gt;0)*('Deal maths'!Z227&lt;=AsAt)</f>
        <v/>
      </c>
      <c r="C227" s="91">
        <f>IF('Deal maths'!V227="","",IF('Deal maths'!AC227="","Maturity",'Deal maths'!AC227))</f>
        <v/>
      </c>
      <c r="D227" s="108">
        <f>IF(OR(C227="EIP",C227="Annuity"),IF('Deal maths'!AD227="Annual",12,IF('Deal maths'!AD227="Quarterly",3,6)),0)</f>
        <v/>
      </c>
      <c r="E227" s="109">
        <f>IFERROR(IF(D227=0,0,IF('Deal maths'!AE227&gt;0,IF('Deal maths'!AE227&gt;'Deal maths'!AA227,'Deal maths'!AA227,'Deal maths'!AE227),IF(IF(DAY('Deal maths'!AA227+1)=1,EOMONTH('Deal maths'!AA227,-(INT(((YEAR('Deal maths'!AA227)-YEAR(IF('Deal maths'!Z227&gt;0,'Deal maths'!Z227,DATE(1990,1,1))))*12+MONTH('Deal maths'!AA227)-MONTH(IF('Deal maths'!Z227&gt;0,'Deal maths'!Z227,DATE(1990,1,1))))/D227))*D227),EDATE('Deal maths'!AA227,-(INT(((YEAR('Deal maths'!AA227)-YEAR(IF('Deal maths'!Z227&gt;0,'Deal maths'!Z227,DATE(1990,1,1))))*12+MONTH('Deal maths'!AA227)-MONTH(IF('Deal maths'!Z227&gt;0,'Deal maths'!Z227,DATE(1990,1,1))))/D227))*D227))&gt;IF('Deal maths'!Z227&gt;0,'Deal maths'!Z227,DATE(1990,1,1)),IF(DAY('Deal maths'!AA227+1)=1,EOMONTH('Deal maths'!AA227,-(INT(((YEAR('Deal maths'!AA227)-YEAR(IF('Deal maths'!Z227&gt;0,'Deal maths'!Z227,DATE(1990,1,1))))*12+MONTH('Deal maths'!AA227)-MONTH(IF('Deal maths'!Z227&gt;0,'Deal maths'!Z227,DATE(1990,1,1))))/D227))*D227),EDATE('Deal maths'!AA227,-(INT(((YEAR('Deal maths'!AA227)-YEAR(IF('Deal maths'!Z227&gt;0,'Deal maths'!Z227,DATE(1990,1,1))))*12+MONTH('Deal maths'!AA227)-MONTH(IF('Deal maths'!Z227&gt;0,'Deal maths'!Z227,DATE(1990,1,1))))/D227))*D227)),IF(DAY('Deal maths'!AA227+1)=1,EOMONTH('Deal maths'!AA227,-(INT(((YEAR('Deal maths'!AA227)-YEAR(IF('Deal maths'!Z227&gt;0,'Deal maths'!Z227,DATE(1990,1,1))))*12+MONTH('Deal maths'!AA227)-MONTH(IF('Deal maths'!Z227&gt;0,'Deal maths'!Z227,DATE(1990,1,1))))/D227)-1)*D227),EDATE('Deal maths'!AA227,-(INT(((YEAR('Deal maths'!AA227)-YEAR(IF('Deal maths'!Z227&gt;0,'Deal maths'!Z227,DATE(1990,1,1))))*12+MONTH('Deal maths'!AA227)-MONTH(IF('Deal maths'!Z227&gt;0,'Deal maths'!Z227,DATE(1990,1,1))))/D227)-1)*D227))))),0)</f>
        <v/>
      </c>
      <c r="F227" s="110">
        <f>IF(D227=0,0,'Deal maths'!AB227*D227/12)</f>
        <v/>
      </c>
      <c r="G227" s="108">
        <f>N227+O227</f>
        <v/>
      </c>
      <c r="H227" s="108">
        <f>IFERROR(IF(OR(D227=0,AsAt&lt;E227),0,MIN(N227,INT(((YEAR(AsAt)-YEAR(E227))*12+MONTH(AsAt)-MONTH(E227)-(DAY(AsAt)&lt;MIN(R227,DAY(EOMONTH(AsAt,0)))))/D227)+1)+O227*(AsAt&gt;='Deal maths'!AA227)),0)</f>
        <v/>
      </c>
      <c r="I227" s="108">
        <f>G227-H227</f>
        <v/>
      </c>
      <c r="J227" s="111">
        <f>IF(AND(C227="EIP",I227&gt;0),'Deal maths'!Y227/I227,0)</f>
        <v/>
      </c>
      <c r="K227" s="111">
        <f>IF(AND(C227="Annuity",I227&gt;0),IF(F227&gt;0,'Deal maths'!Y227*F227/(1-(1+F227)^-I227),'Deal maths'!Y227/I227),0)</f>
        <v/>
      </c>
      <c r="L227" s="111">
        <f>IF('Deal maths'!Y227="",0,'Deal maths'!Y227)</f>
        <v/>
      </c>
      <c r="M227" s="112">
        <f>F227+(F227=0)</f>
        <v/>
      </c>
      <c r="N227" s="108">
        <f>IFERROR(IF(D227=0,0,INT(((YEAR('Deal maths'!AA227)-YEAR(E227))*12+MONTH('Deal maths'!AA227)-MONTH(E227)-(DAY('Deal maths'!AA227)&lt;MIN(R227,DAY(EOMONTH('Deal maths'!AA227,0)))))/D227)+1),0)</f>
        <v/>
      </c>
      <c r="O227" s="108">
        <f>IFERROR(IF(D227=0,0,IF(IF(DAY(E227+1)=1,EOMONTH(E227,(N227-1)*D227),EDATE(E227,(N227-1)*D227))='Deal maths'!AA227,0,1)),0)</f>
        <v/>
      </c>
      <c r="P227" s="113">
        <f>IF(B227=0,0,IFERROR(IF(C227="EIP",((I227-O227)*((IF(DAY(E227+1)=1,EOMONTH(E227,H227*D227),EDATE(E227,H227*D227))-AsAt)/365.25+(IF(DAY(E227+1)=1,EOMONTH(E227,(N227-1)*D227),EDATE(E227,(N227-1)*D227))-AsAt)/365.25)/2+O227*('Deal maths'!AA227-AsAt)/365.25)/I227,IF(C227="Annuity",IF(F227&gt;0,((K227-L227*F227)*((IF(DAY(E227+1)=1,EOMONTH(E227,H227*D227),EDATE(E227,H227*D227))-AsAt)/365.25*((1+F227)^(I227-O227)-1)/F227+IF((I227-O227)&gt;1,((IF(DAY(E227+1)=1,EOMONTH(E227,(N227-1)*D227),EDATE(E227,(N227-1)*D227))-AsAt)/365.25-(IF(DAY(E227+1)=1,EOMONTH(E227,H227*D227),EDATE(E227,H227*D227))-AsAt)/365.25)/((I227-O227)-1),0)*(1+F227)*(1-(I227-O227)*(1+F227)^((I227-O227)-1)+((I227-O227)-1)*(1+F227)^(I227-O227))/F227^2)+O227*(K227-L227*F227)*(1+F227)^(I227-1)*('Deal maths'!AA227-AsAt)/365.25)/L227,((I227-O227)*((IF(DAY(E227+1)=1,EOMONTH(E227,H227*D227),EDATE(E227,H227*D227))-AsAt)/365.25+(IF(DAY(E227+1)=1,EOMONTH(E227,(N227-1)*D227),EDATE(E227,(N227-1)*D227))-AsAt)/365.25)/2+O227*('Deal maths'!AA227-AsAt)/365.25)/I227),(S227-AsAt)/365.25)),0))</f>
        <v/>
      </c>
      <c r="Q227" s="109">
        <f>IF(B227=1,'Deal maths'!AA227+ROW()/1000000,"")</f>
        <v/>
      </c>
      <c r="R227" s="108">
        <f>IF(D227=0,0,IF(DAY(E227+1)=1,31,DAY(E227)))</f>
        <v/>
      </c>
      <c r="S227" s="109">
        <f>IF(AND('Deal maths'!V227="LOBO",'Deal maths'!AG227&gt;AsAt,'Deal maths'!AG227&lt;'Deal maths'!AA227),'Deal maths'!AG227,'Deal maths'!AA227)</f>
        <v/>
      </c>
      <c r="T227" s="108">
        <f>('Deal maths'!AA227&gt;AsAt)*('Deal maths'!Y227&gt;0)</f>
        <v/>
      </c>
    </row>
    <row r="228">
      <c r="A228" s="91">
        <f>IF('Deal maths'!V228="","",'Deal maths'!W228)</f>
        <v/>
      </c>
      <c r="B228" s="108">
        <f>('Deal maths'!AA228&gt;AsAt)*('Deal maths'!Y228&gt;0)*('Deal maths'!Z228&lt;=AsAt)</f>
        <v/>
      </c>
      <c r="C228" s="91">
        <f>IF('Deal maths'!V228="","",IF('Deal maths'!AC228="","Maturity",'Deal maths'!AC228))</f>
        <v/>
      </c>
      <c r="D228" s="108">
        <f>IF(OR(C228="EIP",C228="Annuity"),IF('Deal maths'!AD228="Annual",12,IF('Deal maths'!AD228="Quarterly",3,6)),0)</f>
        <v/>
      </c>
      <c r="E228" s="109">
        <f>IFERROR(IF(D228=0,0,IF('Deal maths'!AE228&gt;0,IF('Deal maths'!AE228&gt;'Deal maths'!AA228,'Deal maths'!AA228,'Deal maths'!AE228),IF(IF(DAY('Deal maths'!AA228+1)=1,EOMONTH('Deal maths'!AA228,-(INT(((YEAR('Deal maths'!AA228)-YEAR(IF('Deal maths'!Z228&gt;0,'Deal maths'!Z228,DATE(1990,1,1))))*12+MONTH('Deal maths'!AA228)-MONTH(IF('Deal maths'!Z228&gt;0,'Deal maths'!Z228,DATE(1990,1,1))))/D228))*D228),EDATE('Deal maths'!AA228,-(INT(((YEAR('Deal maths'!AA228)-YEAR(IF('Deal maths'!Z228&gt;0,'Deal maths'!Z228,DATE(1990,1,1))))*12+MONTH('Deal maths'!AA228)-MONTH(IF('Deal maths'!Z228&gt;0,'Deal maths'!Z228,DATE(1990,1,1))))/D228))*D228))&gt;IF('Deal maths'!Z228&gt;0,'Deal maths'!Z228,DATE(1990,1,1)),IF(DAY('Deal maths'!AA228+1)=1,EOMONTH('Deal maths'!AA228,-(INT(((YEAR('Deal maths'!AA228)-YEAR(IF('Deal maths'!Z228&gt;0,'Deal maths'!Z228,DATE(1990,1,1))))*12+MONTH('Deal maths'!AA228)-MONTH(IF('Deal maths'!Z228&gt;0,'Deal maths'!Z228,DATE(1990,1,1))))/D228))*D228),EDATE('Deal maths'!AA228,-(INT(((YEAR('Deal maths'!AA228)-YEAR(IF('Deal maths'!Z228&gt;0,'Deal maths'!Z228,DATE(1990,1,1))))*12+MONTH('Deal maths'!AA228)-MONTH(IF('Deal maths'!Z228&gt;0,'Deal maths'!Z228,DATE(1990,1,1))))/D228))*D228)),IF(DAY('Deal maths'!AA228+1)=1,EOMONTH('Deal maths'!AA228,-(INT(((YEAR('Deal maths'!AA228)-YEAR(IF('Deal maths'!Z228&gt;0,'Deal maths'!Z228,DATE(1990,1,1))))*12+MONTH('Deal maths'!AA228)-MONTH(IF('Deal maths'!Z228&gt;0,'Deal maths'!Z228,DATE(1990,1,1))))/D228)-1)*D228),EDATE('Deal maths'!AA228,-(INT(((YEAR('Deal maths'!AA228)-YEAR(IF('Deal maths'!Z228&gt;0,'Deal maths'!Z228,DATE(1990,1,1))))*12+MONTH('Deal maths'!AA228)-MONTH(IF('Deal maths'!Z228&gt;0,'Deal maths'!Z228,DATE(1990,1,1))))/D228)-1)*D228))))),0)</f>
        <v/>
      </c>
      <c r="F228" s="110">
        <f>IF(D228=0,0,'Deal maths'!AB228*D228/12)</f>
        <v/>
      </c>
      <c r="G228" s="108">
        <f>N228+O228</f>
        <v/>
      </c>
      <c r="H228" s="108">
        <f>IFERROR(IF(OR(D228=0,AsAt&lt;E228),0,MIN(N228,INT(((YEAR(AsAt)-YEAR(E228))*12+MONTH(AsAt)-MONTH(E228)-(DAY(AsAt)&lt;MIN(R228,DAY(EOMONTH(AsAt,0)))))/D228)+1)+O228*(AsAt&gt;='Deal maths'!AA228)),0)</f>
        <v/>
      </c>
      <c r="I228" s="108">
        <f>G228-H228</f>
        <v/>
      </c>
      <c r="J228" s="111">
        <f>IF(AND(C228="EIP",I228&gt;0),'Deal maths'!Y228/I228,0)</f>
        <v/>
      </c>
      <c r="K228" s="111">
        <f>IF(AND(C228="Annuity",I228&gt;0),IF(F228&gt;0,'Deal maths'!Y228*F228/(1-(1+F228)^-I228),'Deal maths'!Y228/I228),0)</f>
        <v/>
      </c>
      <c r="L228" s="111">
        <f>IF('Deal maths'!Y228="",0,'Deal maths'!Y228)</f>
        <v/>
      </c>
      <c r="M228" s="112">
        <f>F228+(F228=0)</f>
        <v/>
      </c>
      <c r="N228" s="108">
        <f>IFERROR(IF(D228=0,0,INT(((YEAR('Deal maths'!AA228)-YEAR(E228))*12+MONTH('Deal maths'!AA228)-MONTH(E228)-(DAY('Deal maths'!AA228)&lt;MIN(R228,DAY(EOMONTH('Deal maths'!AA228,0)))))/D228)+1),0)</f>
        <v/>
      </c>
      <c r="O228" s="108">
        <f>IFERROR(IF(D228=0,0,IF(IF(DAY(E228+1)=1,EOMONTH(E228,(N228-1)*D228),EDATE(E228,(N228-1)*D228))='Deal maths'!AA228,0,1)),0)</f>
        <v/>
      </c>
      <c r="P228" s="113">
        <f>IF(B228=0,0,IFERROR(IF(C228="EIP",((I228-O228)*((IF(DAY(E228+1)=1,EOMONTH(E228,H228*D228),EDATE(E228,H228*D228))-AsAt)/365.25+(IF(DAY(E228+1)=1,EOMONTH(E228,(N228-1)*D228),EDATE(E228,(N228-1)*D228))-AsAt)/365.25)/2+O228*('Deal maths'!AA228-AsAt)/365.25)/I228,IF(C228="Annuity",IF(F228&gt;0,((K228-L228*F228)*((IF(DAY(E228+1)=1,EOMONTH(E228,H228*D228),EDATE(E228,H228*D228))-AsAt)/365.25*((1+F228)^(I228-O228)-1)/F228+IF((I228-O228)&gt;1,((IF(DAY(E228+1)=1,EOMONTH(E228,(N228-1)*D228),EDATE(E228,(N228-1)*D228))-AsAt)/365.25-(IF(DAY(E228+1)=1,EOMONTH(E228,H228*D228),EDATE(E228,H228*D228))-AsAt)/365.25)/((I228-O228)-1),0)*(1+F228)*(1-(I228-O228)*(1+F228)^((I228-O228)-1)+((I228-O228)-1)*(1+F228)^(I228-O228))/F228^2)+O228*(K228-L228*F228)*(1+F228)^(I228-1)*('Deal maths'!AA228-AsAt)/365.25)/L228,((I228-O228)*((IF(DAY(E228+1)=1,EOMONTH(E228,H228*D228),EDATE(E228,H228*D228))-AsAt)/365.25+(IF(DAY(E228+1)=1,EOMONTH(E228,(N228-1)*D228),EDATE(E228,(N228-1)*D228))-AsAt)/365.25)/2+O228*('Deal maths'!AA228-AsAt)/365.25)/I228),(S228-AsAt)/365.25)),0))</f>
        <v/>
      </c>
      <c r="Q228" s="109">
        <f>IF(B228=1,'Deal maths'!AA228+ROW()/1000000,"")</f>
        <v/>
      </c>
      <c r="R228" s="108">
        <f>IF(D228=0,0,IF(DAY(E228+1)=1,31,DAY(E228)))</f>
        <v/>
      </c>
      <c r="S228" s="109">
        <f>IF(AND('Deal maths'!V228="LOBO",'Deal maths'!AG228&gt;AsAt,'Deal maths'!AG228&lt;'Deal maths'!AA228),'Deal maths'!AG228,'Deal maths'!AA228)</f>
        <v/>
      </c>
      <c r="T228" s="108">
        <f>('Deal maths'!AA228&gt;AsAt)*('Deal maths'!Y228&gt;0)</f>
        <v/>
      </c>
    </row>
    <row r="229">
      <c r="A229" s="91">
        <f>IF('Deal maths'!V229="","",'Deal maths'!W229)</f>
        <v/>
      </c>
      <c r="B229" s="108">
        <f>('Deal maths'!AA229&gt;AsAt)*('Deal maths'!Y229&gt;0)*('Deal maths'!Z229&lt;=AsAt)</f>
        <v/>
      </c>
      <c r="C229" s="91">
        <f>IF('Deal maths'!V229="","",IF('Deal maths'!AC229="","Maturity",'Deal maths'!AC229))</f>
        <v/>
      </c>
      <c r="D229" s="108">
        <f>IF(OR(C229="EIP",C229="Annuity"),IF('Deal maths'!AD229="Annual",12,IF('Deal maths'!AD229="Quarterly",3,6)),0)</f>
        <v/>
      </c>
      <c r="E229" s="109">
        <f>IFERROR(IF(D229=0,0,IF('Deal maths'!AE229&gt;0,IF('Deal maths'!AE229&gt;'Deal maths'!AA229,'Deal maths'!AA229,'Deal maths'!AE229),IF(IF(DAY('Deal maths'!AA229+1)=1,EOMONTH('Deal maths'!AA229,-(INT(((YEAR('Deal maths'!AA229)-YEAR(IF('Deal maths'!Z229&gt;0,'Deal maths'!Z229,DATE(1990,1,1))))*12+MONTH('Deal maths'!AA229)-MONTH(IF('Deal maths'!Z229&gt;0,'Deal maths'!Z229,DATE(1990,1,1))))/D229))*D229),EDATE('Deal maths'!AA229,-(INT(((YEAR('Deal maths'!AA229)-YEAR(IF('Deal maths'!Z229&gt;0,'Deal maths'!Z229,DATE(1990,1,1))))*12+MONTH('Deal maths'!AA229)-MONTH(IF('Deal maths'!Z229&gt;0,'Deal maths'!Z229,DATE(1990,1,1))))/D229))*D229))&gt;IF('Deal maths'!Z229&gt;0,'Deal maths'!Z229,DATE(1990,1,1)),IF(DAY('Deal maths'!AA229+1)=1,EOMONTH('Deal maths'!AA229,-(INT(((YEAR('Deal maths'!AA229)-YEAR(IF('Deal maths'!Z229&gt;0,'Deal maths'!Z229,DATE(1990,1,1))))*12+MONTH('Deal maths'!AA229)-MONTH(IF('Deal maths'!Z229&gt;0,'Deal maths'!Z229,DATE(1990,1,1))))/D229))*D229),EDATE('Deal maths'!AA229,-(INT(((YEAR('Deal maths'!AA229)-YEAR(IF('Deal maths'!Z229&gt;0,'Deal maths'!Z229,DATE(1990,1,1))))*12+MONTH('Deal maths'!AA229)-MONTH(IF('Deal maths'!Z229&gt;0,'Deal maths'!Z229,DATE(1990,1,1))))/D229))*D229)),IF(DAY('Deal maths'!AA229+1)=1,EOMONTH('Deal maths'!AA229,-(INT(((YEAR('Deal maths'!AA229)-YEAR(IF('Deal maths'!Z229&gt;0,'Deal maths'!Z229,DATE(1990,1,1))))*12+MONTH('Deal maths'!AA229)-MONTH(IF('Deal maths'!Z229&gt;0,'Deal maths'!Z229,DATE(1990,1,1))))/D229)-1)*D229),EDATE('Deal maths'!AA229,-(INT(((YEAR('Deal maths'!AA229)-YEAR(IF('Deal maths'!Z229&gt;0,'Deal maths'!Z229,DATE(1990,1,1))))*12+MONTH('Deal maths'!AA229)-MONTH(IF('Deal maths'!Z229&gt;0,'Deal maths'!Z229,DATE(1990,1,1))))/D229)-1)*D229))))),0)</f>
        <v/>
      </c>
      <c r="F229" s="110">
        <f>IF(D229=0,0,'Deal maths'!AB229*D229/12)</f>
        <v/>
      </c>
      <c r="G229" s="108">
        <f>N229+O229</f>
        <v/>
      </c>
      <c r="H229" s="108">
        <f>IFERROR(IF(OR(D229=0,AsAt&lt;E229),0,MIN(N229,INT(((YEAR(AsAt)-YEAR(E229))*12+MONTH(AsAt)-MONTH(E229)-(DAY(AsAt)&lt;MIN(R229,DAY(EOMONTH(AsAt,0)))))/D229)+1)+O229*(AsAt&gt;='Deal maths'!AA229)),0)</f>
        <v/>
      </c>
      <c r="I229" s="108">
        <f>G229-H229</f>
        <v/>
      </c>
      <c r="J229" s="111">
        <f>IF(AND(C229="EIP",I229&gt;0),'Deal maths'!Y229/I229,0)</f>
        <v/>
      </c>
      <c r="K229" s="111">
        <f>IF(AND(C229="Annuity",I229&gt;0),IF(F229&gt;0,'Deal maths'!Y229*F229/(1-(1+F229)^-I229),'Deal maths'!Y229/I229),0)</f>
        <v/>
      </c>
      <c r="L229" s="111">
        <f>IF('Deal maths'!Y229="",0,'Deal maths'!Y229)</f>
        <v/>
      </c>
      <c r="M229" s="112">
        <f>F229+(F229=0)</f>
        <v/>
      </c>
      <c r="N229" s="108">
        <f>IFERROR(IF(D229=0,0,INT(((YEAR('Deal maths'!AA229)-YEAR(E229))*12+MONTH('Deal maths'!AA229)-MONTH(E229)-(DAY('Deal maths'!AA229)&lt;MIN(R229,DAY(EOMONTH('Deal maths'!AA229,0)))))/D229)+1),0)</f>
        <v/>
      </c>
      <c r="O229" s="108">
        <f>IFERROR(IF(D229=0,0,IF(IF(DAY(E229+1)=1,EOMONTH(E229,(N229-1)*D229),EDATE(E229,(N229-1)*D229))='Deal maths'!AA229,0,1)),0)</f>
        <v/>
      </c>
      <c r="P229" s="113">
        <f>IF(B229=0,0,IFERROR(IF(C229="EIP",((I229-O229)*((IF(DAY(E229+1)=1,EOMONTH(E229,H229*D229),EDATE(E229,H229*D229))-AsAt)/365.25+(IF(DAY(E229+1)=1,EOMONTH(E229,(N229-1)*D229),EDATE(E229,(N229-1)*D229))-AsAt)/365.25)/2+O229*('Deal maths'!AA229-AsAt)/365.25)/I229,IF(C229="Annuity",IF(F229&gt;0,((K229-L229*F229)*((IF(DAY(E229+1)=1,EOMONTH(E229,H229*D229),EDATE(E229,H229*D229))-AsAt)/365.25*((1+F229)^(I229-O229)-1)/F229+IF((I229-O229)&gt;1,((IF(DAY(E229+1)=1,EOMONTH(E229,(N229-1)*D229),EDATE(E229,(N229-1)*D229))-AsAt)/365.25-(IF(DAY(E229+1)=1,EOMONTH(E229,H229*D229),EDATE(E229,H229*D229))-AsAt)/365.25)/((I229-O229)-1),0)*(1+F229)*(1-(I229-O229)*(1+F229)^((I229-O229)-1)+((I229-O229)-1)*(1+F229)^(I229-O229))/F229^2)+O229*(K229-L229*F229)*(1+F229)^(I229-1)*('Deal maths'!AA229-AsAt)/365.25)/L229,((I229-O229)*((IF(DAY(E229+1)=1,EOMONTH(E229,H229*D229),EDATE(E229,H229*D229))-AsAt)/365.25+(IF(DAY(E229+1)=1,EOMONTH(E229,(N229-1)*D229),EDATE(E229,(N229-1)*D229))-AsAt)/365.25)/2+O229*('Deal maths'!AA229-AsAt)/365.25)/I229),(S229-AsAt)/365.25)),0))</f>
        <v/>
      </c>
      <c r="Q229" s="109">
        <f>IF(B229=1,'Deal maths'!AA229+ROW()/1000000,"")</f>
        <v/>
      </c>
      <c r="R229" s="108">
        <f>IF(D229=0,0,IF(DAY(E229+1)=1,31,DAY(E229)))</f>
        <v/>
      </c>
      <c r="S229" s="109">
        <f>IF(AND('Deal maths'!V229="LOBO",'Deal maths'!AG229&gt;AsAt,'Deal maths'!AG229&lt;'Deal maths'!AA229),'Deal maths'!AG229,'Deal maths'!AA229)</f>
        <v/>
      </c>
      <c r="T229" s="108">
        <f>('Deal maths'!AA229&gt;AsAt)*('Deal maths'!Y229&gt;0)</f>
        <v/>
      </c>
    </row>
    <row r="230">
      <c r="A230" s="91">
        <f>IF('Deal maths'!V230="","",'Deal maths'!W230)</f>
        <v/>
      </c>
      <c r="B230" s="108">
        <f>('Deal maths'!AA230&gt;AsAt)*('Deal maths'!Y230&gt;0)*('Deal maths'!Z230&lt;=AsAt)</f>
        <v/>
      </c>
      <c r="C230" s="91">
        <f>IF('Deal maths'!V230="","",IF('Deal maths'!AC230="","Maturity",'Deal maths'!AC230))</f>
        <v/>
      </c>
      <c r="D230" s="108">
        <f>IF(OR(C230="EIP",C230="Annuity"),IF('Deal maths'!AD230="Annual",12,IF('Deal maths'!AD230="Quarterly",3,6)),0)</f>
        <v/>
      </c>
      <c r="E230" s="109">
        <f>IFERROR(IF(D230=0,0,IF('Deal maths'!AE230&gt;0,IF('Deal maths'!AE230&gt;'Deal maths'!AA230,'Deal maths'!AA230,'Deal maths'!AE230),IF(IF(DAY('Deal maths'!AA230+1)=1,EOMONTH('Deal maths'!AA230,-(INT(((YEAR('Deal maths'!AA230)-YEAR(IF('Deal maths'!Z230&gt;0,'Deal maths'!Z230,DATE(1990,1,1))))*12+MONTH('Deal maths'!AA230)-MONTH(IF('Deal maths'!Z230&gt;0,'Deal maths'!Z230,DATE(1990,1,1))))/D230))*D230),EDATE('Deal maths'!AA230,-(INT(((YEAR('Deal maths'!AA230)-YEAR(IF('Deal maths'!Z230&gt;0,'Deal maths'!Z230,DATE(1990,1,1))))*12+MONTH('Deal maths'!AA230)-MONTH(IF('Deal maths'!Z230&gt;0,'Deal maths'!Z230,DATE(1990,1,1))))/D230))*D230))&gt;IF('Deal maths'!Z230&gt;0,'Deal maths'!Z230,DATE(1990,1,1)),IF(DAY('Deal maths'!AA230+1)=1,EOMONTH('Deal maths'!AA230,-(INT(((YEAR('Deal maths'!AA230)-YEAR(IF('Deal maths'!Z230&gt;0,'Deal maths'!Z230,DATE(1990,1,1))))*12+MONTH('Deal maths'!AA230)-MONTH(IF('Deal maths'!Z230&gt;0,'Deal maths'!Z230,DATE(1990,1,1))))/D230))*D230),EDATE('Deal maths'!AA230,-(INT(((YEAR('Deal maths'!AA230)-YEAR(IF('Deal maths'!Z230&gt;0,'Deal maths'!Z230,DATE(1990,1,1))))*12+MONTH('Deal maths'!AA230)-MONTH(IF('Deal maths'!Z230&gt;0,'Deal maths'!Z230,DATE(1990,1,1))))/D230))*D230)),IF(DAY('Deal maths'!AA230+1)=1,EOMONTH('Deal maths'!AA230,-(INT(((YEAR('Deal maths'!AA230)-YEAR(IF('Deal maths'!Z230&gt;0,'Deal maths'!Z230,DATE(1990,1,1))))*12+MONTH('Deal maths'!AA230)-MONTH(IF('Deal maths'!Z230&gt;0,'Deal maths'!Z230,DATE(1990,1,1))))/D230)-1)*D230),EDATE('Deal maths'!AA230,-(INT(((YEAR('Deal maths'!AA230)-YEAR(IF('Deal maths'!Z230&gt;0,'Deal maths'!Z230,DATE(1990,1,1))))*12+MONTH('Deal maths'!AA230)-MONTH(IF('Deal maths'!Z230&gt;0,'Deal maths'!Z230,DATE(1990,1,1))))/D230)-1)*D230))))),0)</f>
        <v/>
      </c>
      <c r="F230" s="110">
        <f>IF(D230=0,0,'Deal maths'!AB230*D230/12)</f>
        <v/>
      </c>
      <c r="G230" s="108">
        <f>N230+O230</f>
        <v/>
      </c>
      <c r="H230" s="108">
        <f>IFERROR(IF(OR(D230=0,AsAt&lt;E230),0,MIN(N230,INT(((YEAR(AsAt)-YEAR(E230))*12+MONTH(AsAt)-MONTH(E230)-(DAY(AsAt)&lt;MIN(R230,DAY(EOMONTH(AsAt,0)))))/D230)+1)+O230*(AsAt&gt;='Deal maths'!AA230)),0)</f>
        <v/>
      </c>
      <c r="I230" s="108">
        <f>G230-H230</f>
        <v/>
      </c>
      <c r="J230" s="111">
        <f>IF(AND(C230="EIP",I230&gt;0),'Deal maths'!Y230/I230,0)</f>
        <v/>
      </c>
      <c r="K230" s="111">
        <f>IF(AND(C230="Annuity",I230&gt;0),IF(F230&gt;0,'Deal maths'!Y230*F230/(1-(1+F230)^-I230),'Deal maths'!Y230/I230),0)</f>
        <v/>
      </c>
      <c r="L230" s="111">
        <f>IF('Deal maths'!Y230="",0,'Deal maths'!Y230)</f>
        <v/>
      </c>
      <c r="M230" s="112">
        <f>F230+(F230=0)</f>
        <v/>
      </c>
      <c r="N230" s="108">
        <f>IFERROR(IF(D230=0,0,INT(((YEAR('Deal maths'!AA230)-YEAR(E230))*12+MONTH('Deal maths'!AA230)-MONTH(E230)-(DAY('Deal maths'!AA230)&lt;MIN(R230,DAY(EOMONTH('Deal maths'!AA230,0)))))/D230)+1),0)</f>
        <v/>
      </c>
      <c r="O230" s="108">
        <f>IFERROR(IF(D230=0,0,IF(IF(DAY(E230+1)=1,EOMONTH(E230,(N230-1)*D230),EDATE(E230,(N230-1)*D230))='Deal maths'!AA230,0,1)),0)</f>
        <v/>
      </c>
      <c r="P230" s="113">
        <f>IF(B230=0,0,IFERROR(IF(C230="EIP",((I230-O230)*((IF(DAY(E230+1)=1,EOMONTH(E230,H230*D230),EDATE(E230,H230*D230))-AsAt)/365.25+(IF(DAY(E230+1)=1,EOMONTH(E230,(N230-1)*D230),EDATE(E230,(N230-1)*D230))-AsAt)/365.25)/2+O230*('Deal maths'!AA230-AsAt)/365.25)/I230,IF(C230="Annuity",IF(F230&gt;0,((K230-L230*F230)*((IF(DAY(E230+1)=1,EOMONTH(E230,H230*D230),EDATE(E230,H230*D230))-AsAt)/365.25*((1+F230)^(I230-O230)-1)/F230+IF((I230-O230)&gt;1,((IF(DAY(E230+1)=1,EOMONTH(E230,(N230-1)*D230),EDATE(E230,(N230-1)*D230))-AsAt)/365.25-(IF(DAY(E230+1)=1,EOMONTH(E230,H230*D230),EDATE(E230,H230*D230))-AsAt)/365.25)/((I230-O230)-1),0)*(1+F230)*(1-(I230-O230)*(1+F230)^((I230-O230)-1)+((I230-O230)-1)*(1+F230)^(I230-O230))/F230^2)+O230*(K230-L230*F230)*(1+F230)^(I230-1)*('Deal maths'!AA230-AsAt)/365.25)/L230,((I230-O230)*((IF(DAY(E230+1)=1,EOMONTH(E230,H230*D230),EDATE(E230,H230*D230))-AsAt)/365.25+(IF(DAY(E230+1)=1,EOMONTH(E230,(N230-1)*D230),EDATE(E230,(N230-1)*D230))-AsAt)/365.25)/2+O230*('Deal maths'!AA230-AsAt)/365.25)/I230),(S230-AsAt)/365.25)),0))</f>
        <v/>
      </c>
      <c r="Q230" s="109">
        <f>IF(B230=1,'Deal maths'!AA230+ROW()/1000000,"")</f>
        <v/>
      </c>
      <c r="R230" s="108">
        <f>IF(D230=0,0,IF(DAY(E230+1)=1,31,DAY(E230)))</f>
        <v/>
      </c>
      <c r="S230" s="109">
        <f>IF(AND('Deal maths'!V230="LOBO",'Deal maths'!AG230&gt;AsAt,'Deal maths'!AG230&lt;'Deal maths'!AA230),'Deal maths'!AG230,'Deal maths'!AA230)</f>
        <v/>
      </c>
      <c r="T230" s="108">
        <f>('Deal maths'!AA230&gt;AsAt)*('Deal maths'!Y230&gt;0)</f>
        <v/>
      </c>
    </row>
    <row r="231">
      <c r="A231" s="91">
        <f>IF('Deal maths'!V231="","",'Deal maths'!W231)</f>
        <v/>
      </c>
      <c r="B231" s="108">
        <f>('Deal maths'!AA231&gt;AsAt)*('Deal maths'!Y231&gt;0)*('Deal maths'!Z231&lt;=AsAt)</f>
        <v/>
      </c>
      <c r="C231" s="91">
        <f>IF('Deal maths'!V231="","",IF('Deal maths'!AC231="","Maturity",'Deal maths'!AC231))</f>
        <v/>
      </c>
      <c r="D231" s="108">
        <f>IF(OR(C231="EIP",C231="Annuity"),IF('Deal maths'!AD231="Annual",12,IF('Deal maths'!AD231="Quarterly",3,6)),0)</f>
        <v/>
      </c>
      <c r="E231" s="109">
        <f>IFERROR(IF(D231=0,0,IF('Deal maths'!AE231&gt;0,IF('Deal maths'!AE231&gt;'Deal maths'!AA231,'Deal maths'!AA231,'Deal maths'!AE231),IF(IF(DAY('Deal maths'!AA231+1)=1,EOMONTH('Deal maths'!AA231,-(INT(((YEAR('Deal maths'!AA231)-YEAR(IF('Deal maths'!Z231&gt;0,'Deal maths'!Z231,DATE(1990,1,1))))*12+MONTH('Deal maths'!AA231)-MONTH(IF('Deal maths'!Z231&gt;0,'Deal maths'!Z231,DATE(1990,1,1))))/D231))*D231),EDATE('Deal maths'!AA231,-(INT(((YEAR('Deal maths'!AA231)-YEAR(IF('Deal maths'!Z231&gt;0,'Deal maths'!Z231,DATE(1990,1,1))))*12+MONTH('Deal maths'!AA231)-MONTH(IF('Deal maths'!Z231&gt;0,'Deal maths'!Z231,DATE(1990,1,1))))/D231))*D231))&gt;IF('Deal maths'!Z231&gt;0,'Deal maths'!Z231,DATE(1990,1,1)),IF(DAY('Deal maths'!AA231+1)=1,EOMONTH('Deal maths'!AA231,-(INT(((YEAR('Deal maths'!AA231)-YEAR(IF('Deal maths'!Z231&gt;0,'Deal maths'!Z231,DATE(1990,1,1))))*12+MONTH('Deal maths'!AA231)-MONTH(IF('Deal maths'!Z231&gt;0,'Deal maths'!Z231,DATE(1990,1,1))))/D231))*D231),EDATE('Deal maths'!AA231,-(INT(((YEAR('Deal maths'!AA231)-YEAR(IF('Deal maths'!Z231&gt;0,'Deal maths'!Z231,DATE(1990,1,1))))*12+MONTH('Deal maths'!AA231)-MONTH(IF('Deal maths'!Z231&gt;0,'Deal maths'!Z231,DATE(1990,1,1))))/D231))*D231)),IF(DAY('Deal maths'!AA231+1)=1,EOMONTH('Deal maths'!AA231,-(INT(((YEAR('Deal maths'!AA231)-YEAR(IF('Deal maths'!Z231&gt;0,'Deal maths'!Z231,DATE(1990,1,1))))*12+MONTH('Deal maths'!AA231)-MONTH(IF('Deal maths'!Z231&gt;0,'Deal maths'!Z231,DATE(1990,1,1))))/D231)-1)*D231),EDATE('Deal maths'!AA231,-(INT(((YEAR('Deal maths'!AA231)-YEAR(IF('Deal maths'!Z231&gt;0,'Deal maths'!Z231,DATE(1990,1,1))))*12+MONTH('Deal maths'!AA231)-MONTH(IF('Deal maths'!Z231&gt;0,'Deal maths'!Z231,DATE(1990,1,1))))/D231)-1)*D231))))),0)</f>
        <v/>
      </c>
      <c r="F231" s="110">
        <f>IF(D231=0,0,'Deal maths'!AB231*D231/12)</f>
        <v/>
      </c>
      <c r="G231" s="108">
        <f>N231+O231</f>
        <v/>
      </c>
      <c r="H231" s="108">
        <f>IFERROR(IF(OR(D231=0,AsAt&lt;E231),0,MIN(N231,INT(((YEAR(AsAt)-YEAR(E231))*12+MONTH(AsAt)-MONTH(E231)-(DAY(AsAt)&lt;MIN(R231,DAY(EOMONTH(AsAt,0)))))/D231)+1)+O231*(AsAt&gt;='Deal maths'!AA231)),0)</f>
        <v/>
      </c>
      <c r="I231" s="108">
        <f>G231-H231</f>
        <v/>
      </c>
      <c r="J231" s="111">
        <f>IF(AND(C231="EIP",I231&gt;0),'Deal maths'!Y231/I231,0)</f>
        <v/>
      </c>
      <c r="K231" s="111">
        <f>IF(AND(C231="Annuity",I231&gt;0),IF(F231&gt;0,'Deal maths'!Y231*F231/(1-(1+F231)^-I231),'Deal maths'!Y231/I231),0)</f>
        <v/>
      </c>
      <c r="L231" s="111">
        <f>IF('Deal maths'!Y231="",0,'Deal maths'!Y231)</f>
        <v/>
      </c>
      <c r="M231" s="112">
        <f>F231+(F231=0)</f>
        <v/>
      </c>
      <c r="N231" s="108">
        <f>IFERROR(IF(D231=0,0,INT(((YEAR('Deal maths'!AA231)-YEAR(E231))*12+MONTH('Deal maths'!AA231)-MONTH(E231)-(DAY('Deal maths'!AA231)&lt;MIN(R231,DAY(EOMONTH('Deal maths'!AA231,0)))))/D231)+1),0)</f>
        <v/>
      </c>
      <c r="O231" s="108">
        <f>IFERROR(IF(D231=0,0,IF(IF(DAY(E231+1)=1,EOMONTH(E231,(N231-1)*D231),EDATE(E231,(N231-1)*D231))='Deal maths'!AA231,0,1)),0)</f>
        <v/>
      </c>
      <c r="P231" s="113">
        <f>IF(B231=0,0,IFERROR(IF(C231="EIP",((I231-O231)*((IF(DAY(E231+1)=1,EOMONTH(E231,H231*D231),EDATE(E231,H231*D231))-AsAt)/365.25+(IF(DAY(E231+1)=1,EOMONTH(E231,(N231-1)*D231),EDATE(E231,(N231-1)*D231))-AsAt)/365.25)/2+O231*('Deal maths'!AA231-AsAt)/365.25)/I231,IF(C231="Annuity",IF(F231&gt;0,((K231-L231*F231)*((IF(DAY(E231+1)=1,EOMONTH(E231,H231*D231),EDATE(E231,H231*D231))-AsAt)/365.25*((1+F231)^(I231-O231)-1)/F231+IF((I231-O231)&gt;1,((IF(DAY(E231+1)=1,EOMONTH(E231,(N231-1)*D231),EDATE(E231,(N231-1)*D231))-AsAt)/365.25-(IF(DAY(E231+1)=1,EOMONTH(E231,H231*D231),EDATE(E231,H231*D231))-AsAt)/365.25)/((I231-O231)-1),0)*(1+F231)*(1-(I231-O231)*(1+F231)^((I231-O231)-1)+((I231-O231)-1)*(1+F231)^(I231-O231))/F231^2)+O231*(K231-L231*F231)*(1+F231)^(I231-1)*('Deal maths'!AA231-AsAt)/365.25)/L231,((I231-O231)*((IF(DAY(E231+1)=1,EOMONTH(E231,H231*D231),EDATE(E231,H231*D231))-AsAt)/365.25+(IF(DAY(E231+1)=1,EOMONTH(E231,(N231-1)*D231),EDATE(E231,(N231-1)*D231))-AsAt)/365.25)/2+O231*('Deal maths'!AA231-AsAt)/365.25)/I231),(S231-AsAt)/365.25)),0))</f>
        <v/>
      </c>
      <c r="Q231" s="109">
        <f>IF(B231=1,'Deal maths'!AA231+ROW()/1000000,"")</f>
        <v/>
      </c>
      <c r="R231" s="108">
        <f>IF(D231=0,0,IF(DAY(E231+1)=1,31,DAY(E231)))</f>
        <v/>
      </c>
      <c r="S231" s="109">
        <f>IF(AND('Deal maths'!V231="LOBO",'Deal maths'!AG231&gt;AsAt,'Deal maths'!AG231&lt;'Deal maths'!AA231),'Deal maths'!AG231,'Deal maths'!AA231)</f>
        <v/>
      </c>
      <c r="T231" s="108">
        <f>('Deal maths'!AA231&gt;AsAt)*('Deal maths'!Y231&gt;0)</f>
        <v/>
      </c>
    </row>
    <row r="232">
      <c r="A232" s="91">
        <f>IF('Deal maths'!V232="","",'Deal maths'!W232)</f>
        <v/>
      </c>
      <c r="B232" s="108">
        <f>('Deal maths'!AA232&gt;AsAt)*('Deal maths'!Y232&gt;0)*('Deal maths'!Z232&lt;=AsAt)</f>
        <v/>
      </c>
      <c r="C232" s="91">
        <f>IF('Deal maths'!V232="","",IF('Deal maths'!AC232="","Maturity",'Deal maths'!AC232))</f>
        <v/>
      </c>
      <c r="D232" s="108">
        <f>IF(OR(C232="EIP",C232="Annuity"),IF('Deal maths'!AD232="Annual",12,IF('Deal maths'!AD232="Quarterly",3,6)),0)</f>
        <v/>
      </c>
      <c r="E232" s="109">
        <f>IFERROR(IF(D232=0,0,IF('Deal maths'!AE232&gt;0,IF('Deal maths'!AE232&gt;'Deal maths'!AA232,'Deal maths'!AA232,'Deal maths'!AE232),IF(IF(DAY('Deal maths'!AA232+1)=1,EOMONTH('Deal maths'!AA232,-(INT(((YEAR('Deal maths'!AA232)-YEAR(IF('Deal maths'!Z232&gt;0,'Deal maths'!Z232,DATE(1990,1,1))))*12+MONTH('Deal maths'!AA232)-MONTH(IF('Deal maths'!Z232&gt;0,'Deal maths'!Z232,DATE(1990,1,1))))/D232))*D232),EDATE('Deal maths'!AA232,-(INT(((YEAR('Deal maths'!AA232)-YEAR(IF('Deal maths'!Z232&gt;0,'Deal maths'!Z232,DATE(1990,1,1))))*12+MONTH('Deal maths'!AA232)-MONTH(IF('Deal maths'!Z232&gt;0,'Deal maths'!Z232,DATE(1990,1,1))))/D232))*D232))&gt;IF('Deal maths'!Z232&gt;0,'Deal maths'!Z232,DATE(1990,1,1)),IF(DAY('Deal maths'!AA232+1)=1,EOMONTH('Deal maths'!AA232,-(INT(((YEAR('Deal maths'!AA232)-YEAR(IF('Deal maths'!Z232&gt;0,'Deal maths'!Z232,DATE(1990,1,1))))*12+MONTH('Deal maths'!AA232)-MONTH(IF('Deal maths'!Z232&gt;0,'Deal maths'!Z232,DATE(1990,1,1))))/D232))*D232),EDATE('Deal maths'!AA232,-(INT(((YEAR('Deal maths'!AA232)-YEAR(IF('Deal maths'!Z232&gt;0,'Deal maths'!Z232,DATE(1990,1,1))))*12+MONTH('Deal maths'!AA232)-MONTH(IF('Deal maths'!Z232&gt;0,'Deal maths'!Z232,DATE(1990,1,1))))/D232))*D232)),IF(DAY('Deal maths'!AA232+1)=1,EOMONTH('Deal maths'!AA232,-(INT(((YEAR('Deal maths'!AA232)-YEAR(IF('Deal maths'!Z232&gt;0,'Deal maths'!Z232,DATE(1990,1,1))))*12+MONTH('Deal maths'!AA232)-MONTH(IF('Deal maths'!Z232&gt;0,'Deal maths'!Z232,DATE(1990,1,1))))/D232)-1)*D232),EDATE('Deal maths'!AA232,-(INT(((YEAR('Deal maths'!AA232)-YEAR(IF('Deal maths'!Z232&gt;0,'Deal maths'!Z232,DATE(1990,1,1))))*12+MONTH('Deal maths'!AA232)-MONTH(IF('Deal maths'!Z232&gt;0,'Deal maths'!Z232,DATE(1990,1,1))))/D232)-1)*D232))))),0)</f>
        <v/>
      </c>
      <c r="F232" s="110">
        <f>IF(D232=0,0,'Deal maths'!AB232*D232/12)</f>
        <v/>
      </c>
      <c r="G232" s="108">
        <f>N232+O232</f>
        <v/>
      </c>
      <c r="H232" s="108">
        <f>IFERROR(IF(OR(D232=0,AsAt&lt;E232),0,MIN(N232,INT(((YEAR(AsAt)-YEAR(E232))*12+MONTH(AsAt)-MONTH(E232)-(DAY(AsAt)&lt;MIN(R232,DAY(EOMONTH(AsAt,0)))))/D232)+1)+O232*(AsAt&gt;='Deal maths'!AA232)),0)</f>
        <v/>
      </c>
      <c r="I232" s="108">
        <f>G232-H232</f>
        <v/>
      </c>
      <c r="J232" s="111">
        <f>IF(AND(C232="EIP",I232&gt;0),'Deal maths'!Y232/I232,0)</f>
        <v/>
      </c>
      <c r="K232" s="111">
        <f>IF(AND(C232="Annuity",I232&gt;0),IF(F232&gt;0,'Deal maths'!Y232*F232/(1-(1+F232)^-I232),'Deal maths'!Y232/I232),0)</f>
        <v/>
      </c>
      <c r="L232" s="111">
        <f>IF('Deal maths'!Y232="",0,'Deal maths'!Y232)</f>
        <v/>
      </c>
      <c r="M232" s="112">
        <f>F232+(F232=0)</f>
        <v/>
      </c>
      <c r="N232" s="108">
        <f>IFERROR(IF(D232=0,0,INT(((YEAR('Deal maths'!AA232)-YEAR(E232))*12+MONTH('Deal maths'!AA232)-MONTH(E232)-(DAY('Deal maths'!AA232)&lt;MIN(R232,DAY(EOMONTH('Deal maths'!AA232,0)))))/D232)+1),0)</f>
        <v/>
      </c>
      <c r="O232" s="108">
        <f>IFERROR(IF(D232=0,0,IF(IF(DAY(E232+1)=1,EOMONTH(E232,(N232-1)*D232),EDATE(E232,(N232-1)*D232))='Deal maths'!AA232,0,1)),0)</f>
        <v/>
      </c>
      <c r="P232" s="113">
        <f>IF(B232=0,0,IFERROR(IF(C232="EIP",((I232-O232)*((IF(DAY(E232+1)=1,EOMONTH(E232,H232*D232),EDATE(E232,H232*D232))-AsAt)/365.25+(IF(DAY(E232+1)=1,EOMONTH(E232,(N232-1)*D232),EDATE(E232,(N232-1)*D232))-AsAt)/365.25)/2+O232*('Deal maths'!AA232-AsAt)/365.25)/I232,IF(C232="Annuity",IF(F232&gt;0,((K232-L232*F232)*((IF(DAY(E232+1)=1,EOMONTH(E232,H232*D232),EDATE(E232,H232*D232))-AsAt)/365.25*((1+F232)^(I232-O232)-1)/F232+IF((I232-O232)&gt;1,((IF(DAY(E232+1)=1,EOMONTH(E232,(N232-1)*D232),EDATE(E232,(N232-1)*D232))-AsAt)/365.25-(IF(DAY(E232+1)=1,EOMONTH(E232,H232*D232),EDATE(E232,H232*D232))-AsAt)/365.25)/((I232-O232)-1),0)*(1+F232)*(1-(I232-O232)*(1+F232)^((I232-O232)-1)+((I232-O232)-1)*(1+F232)^(I232-O232))/F232^2)+O232*(K232-L232*F232)*(1+F232)^(I232-1)*('Deal maths'!AA232-AsAt)/365.25)/L232,((I232-O232)*((IF(DAY(E232+1)=1,EOMONTH(E232,H232*D232),EDATE(E232,H232*D232))-AsAt)/365.25+(IF(DAY(E232+1)=1,EOMONTH(E232,(N232-1)*D232),EDATE(E232,(N232-1)*D232))-AsAt)/365.25)/2+O232*('Deal maths'!AA232-AsAt)/365.25)/I232),(S232-AsAt)/365.25)),0))</f>
        <v/>
      </c>
      <c r="Q232" s="109">
        <f>IF(B232=1,'Deal maths'!AA232+ROW()/1000000,"")</f>
        <v/>
      </c>
      <c r="R232" s="108">
        <f>IF(D232=0,0,IF(DAY(E232+1)=1,31,DAY(E232)))</f>
        <v/>
      </c>
      <c r="S232" s="109">
        <f>IF(AND('Deal maths'!V232="LOBO",'Deal maths'!AG232&gt;AsAt,'Deal maths'!AG232&lt;'Deal maths'!AA232),'Deal maths'!AG232,'Deal maths'!AA232)</f>
        <v/>
      </c>
      <c r="T232" s="108">
        <f>('Deal maths'!AA232&gt;AsAt)*('Deal maths'!Y232&gt;0)</f>
        <v/>
      </c>
    </row>
    <row r="233">
      <c r="A233" s="91">
        <f>IF('Deal maths'!V233="","",'Deal maths'!W233)</f>
        <v/>
      </c>
      <c r="B233" s="108">
        <f>('Deal maths'!AA233&gt;AsAt)*('Deal maths'!Y233&gt;0)*('Deal maths'!Z233&lt;=AsAt)</f>
        <v/>
      </c>
      <c r="C233" s="91">
        <f>IF('Deal maths'!V233="","",IF('Deal maths'!AC233="","Maturity",'Deal maths'!AC233))</f>
        <v/>
      </c>
      <c r="D233" s="108">
        <f>IF(OR(C233="EIP",C233="Annuity"),IF('Deal maths'!AD233="Annual",12,IF('Deal maths'!AD233="Quarterly",3,6)),0)</f>
        <v/>
      </c>
      <c r="E233" s="109">
        <f>IFERROR(IF(D233=0,0,IF('Deal maths'!AE233&gt;0,IF('Deal maths'!AE233&gt;'Deal maths'!AA233,'Deal maths'!AA233,'Deal maths'!AE233),IF(IF(DAY('Deal maths'!AA233+1)=1,EOMONTH('Deal maths'!AA233,-(INT(((YEAR('Deal maths'!AA233)-YEAR(IF('Deal maths'!Z233&gt;0,'Deal maths'!Z233,DATE(1990,1,1))))*12+MONTH('Deal maths'!AA233)-MONTH(IF('Deal maths'!Z233&gt;0,'Deal maths'!Z233,DATE(1990,1,1))))/D233))*D233),EDATE('Deal maths'!AA233,-(INT(((YEAR('Deal maths'!AA233)-YEAR(IF('Deal maths'!Z233&gt;0,'Deal maths'!Z233,DATE(1990,1,1))))*12+MONTH('Deal maths'!AA233)-MONTH(IF('Deal maths'!Z233&gt;0,'Deal maths'!Z233,DATE(1990,1,1))))/D233))*D233))&gt;IF('Deal maths'!Z233&gt;0,'Deal maths'!Z233,DATE(1990,1,1)),IF(DAY('Deal maths'!AA233+1)=1,EOMONTH('Deal maths'!AA233,-(INT(((YEAR('Deal maths'!AA233)-YEAR(IF('Deal maths'!Z233&gt;0,'Deal maths'!Z233,DATE(1990,1,1))))*12+MONTH('Deal maths'!AA233)-MONTH(IF('Deal maths'!Z233&gt;0,'Deal maths'!Z233,DATE(1990,1,1))))/D233))*D233),EDATE('Deal maths'!AA233,-(INT(((YEAR('Deal maths'!AA233)-YEAR(IF('Deal maths'!Z233&gt;0,'Deal maths'!Z233,DATE(1990,1,1))))*12+MONTH('Deal maths'!AA233)-MONTH(IF('Deal maths'!Z233&gt;0,'Deal maths'!Z233,DATE(1990,1,1))))/D233))*D233)),IF(DAY('Deal maths'!AA233+1)=1,EOMONTH('Deal maths'!AA233,-(INT(((YEAR('Deal maths'!AA233)-YEAR(IF('Deal maths'!Z233&gt;0,'Deal maths'!Z233,DATE(1990,1,1))))*12+MONTH('Deal maths'!AA233)-MONTH(IF('Deal maths'!Z233&gt;0,'Deal maths'!Z233,DATE(1990,1,1))))/D233)-1)*D233),EDATE('Deal maths'!AA233,-(INT(((YEAR('Deal maths'!AA233)-YEAR(IF('Deal maths'!Z233&gt;0,'Deal maths'!Z233,DATE(1990,1,1))))*12+MONTH('Deal maths'!AA233)-MONTH(IF('Deal maths'!Z233&gt;0,'Deal maths'!Z233,DATE(1990,1,1))))/D233)-1)*D233))))),0)</f>
        <v/>
      </c>
      <c r="F233" s="110">
        <f>IF(D233=0,0,'Deal maths'!AB233*D233/12)</f>
        <v/>
      </c>
      <c r="G233" s="108">
        <f>N233+O233</f>
        <v/>
      </c>
      <c r="H233" s="108">
        <f>IFERROR(IF(OR(D233=0,AsAt&lt;E233),0,MIN(N233,INT(((YEAR(AsAt)-YEAR(E233))*12+MONTH(AsAt)-MONTH(E233)-(DAY(AsAt)&lt;MIN(R233,DAY(EOMONTH(AsAt,0)))))/D233)+1)+O233*(AsAt&gt;='Deal maths'!AA233)),0)</f>
        <v/>
      </c>
      <c r="I233" s="108">
        <f>G233-H233</f>
        <v/>
      </c>
      <c r="J233" s="111">
        <f>IF(AND(C233="EIP",I233&gt;0),'Deal maths'!Y233/I233,0)</f>
        <v/>
      </c>
      <c r="K233" s="111">
        <f>IF(AND(C233="Annuity",I233&gt;0),IF(F233&gt;0,'Deal maths'!Y233*F233/(1-(1+F233)^-I233),'Deal maths'!Y233/I233),0)</f>
        <v/>
      </c>
      <c r="L233" s="111">
        <f>IF('Deal maths'!Y233="",0,'Deal maths'!Y233)</f>
        <v/>
      </c>
      <c r="M233" s="112">
        <f>F233+(F233=0)</f>
        <v/>
      </c>
      <c r="N233" s="108">
        <f>IFERROR(IF(D233=0,0,INT(((YEAR('Deal maths'!AA233)-YEAR(E233))*12+MONTH('Deal maths'!AA233)-MONTH(E233)-(DAY('Deal maths'!AA233)&lt;MIN(R233,DAY(EOMONTH('Deal maths'!AA233,0)))))/D233)+1),0)</f>
        <v/>
      </c>
      <c r="O233" s="108">
        <f>IFERROR(IF(D233=0,0,IF(IF(DAY(E233+1)=1,EOMONTH(E233,(N233-1)*D233),EDATE(E233,(N233-1)*D233))='Deal maths'!AA233,0,1)),0)</f>
        <v/>
      </c>
      <c r="P233" s="113">
        <f>IF(B233=0,0,IFERROR(IF(C233="EIP",((I233-O233)*((IF(DAY(E233+1)=1,EOMONTH(E233,H233*D233),EDATE(E233,H233*D233))-AsAt)/365.25+(IF(DAY(E233+1)=1,EOMONTH(E233,(N233-1)*D233),EDATE(E233,(N233-1)*D233))-AsAt)/365.25)/2+O233*('Deal maths'!AA233-AsAt)/365.25)/I233,IF(C233="Annuity",IF(F233&gt;0,((K233-L233*F233)*((IF(DAY(E233+1)=1,EOMONTH(E233,H233*D233),EDATE(E233,H233*D233))-AsAt)/365.25*((1+F233)^(I233-O233)-1)/F233+IF((I233-O233)&gt;1,((IF(DAY(E233+1)=1,EOMONTH(E233,(N233-1)*D233),EDATE(E233,(N233-1)*D233))-AsAt)/365.25-(IF(DAY(E233+1)=1,EOMONTH(E233,H233*D233),EDATE(E233,H233*D233))-AsAt)/365.25)/((I233-O233)-1),0)*(1+F233)*(1-(I233-O233)*(1+F233)^((I233-O233)-1)+((I233-O233)-1)*(1+F233)^(I233-O233))/F233^2)+O233*(K233-L233*F233)*(1+F233)^(I233-1)*('Deal maths'!AA233-AsAt)/365.25)/L233,((I233-O233)*((IF(DAY(E233+1)=1,EOMONTH(E233,H233*D233),EDATE(E233,H233*D233))-AsAt)/365.25+(IF(DAY(E233+1)=1,EOMONTH(E233,(N233-1)*D233),EDATE(E233,(N233-1)*D233))-AsAt)/365.25)/2+O233*('Deal maths'!AA233-AsAt)/365.25)/I233),(S233-AsAt)/365.25)),0))</f>
        <v/>
      </c>
      <c r="Q233" s="109">
        <f>IF(B233=1,'Deal maths'!AA233+ROW()/1000000,"")</f>
        <v/>
      </c>
      <c r="R233" s="108">
        <f>IF(D233=0,0,IF(DAY(E233+1)=1,31,DAY(E233)))</f>
        <v/>
      </c>
      <c r="S233" s="109">
        <f>IF(AND('Deal maths'!V233="LOBO",'Deal maths'!AG233&gt;AsAt,'Deal maths'!AG233&lt;'Deal maths'!AA233),'Deal maths'!AG233,'Deal maths'!AA233)</f>
        <v/>
      </c>
      <c r="T233" s="108">
        <f>('Deal maths'!AA233&gt;AsAt)*('Deal maths'!Y233&gt;0)</f>
        <v/>
      </c>
    </row>
    <row r="234">
      <c r="A234" s="91">
        <f>IF('Deal maths'!V234="","",'Deal maths'!W234)</f>
        <v/>
      </c>
      <c r="B234" s="108">
        <f>('Deal maths'!AA234&gt;AsAt)*('Deal maths'!Y234&gt;0)*('Deal maths'!Z234&lt;=AsAt)</f>
        <v/>
      </c>
      <c r="C234" s="91">
        <f>IF('Deal maths'!V234="","",IF('Deal maths'!AC234="","Maturity",'Deal maths'!AC234))</f>
        <v/>
      </c>
      <c r="D234" s="108">
        <f>IF(OR(C234="EIP",C234="Annuity"),IF('Deal maths'!AD234="Annual",12,IF('Deal maths'!AD234="Quarterly",3,6)),0)</f>
        <v/>
      </c>
      <c r="E234" s="109">
        <f>IFERROR(IF(D234=0,0,IF('Deal maths'!AE234&gt;0,IF('Deal maths'!AE234&gt;'Deal maths'!AA234,'Deal maths'!AA234,'Deal maths'!AE234),IF(IF(DAY('Deal maths'!AA234+1)=1,EOMONTH('Deal maths'!AA234,-(INT(((YEAR('Deal maths'!AA234)-YEAR(IF('Deal maths'!Z234&gt;0,'Deal maths'!Z234,DATE(1990,1,1))))*12+MONTH('Deal maths'!AA234)-MONTH(IF('Deal maths'!Z234&gt;0,'Deal maths'!Z234,DATE(1990,1,1))))/D234))*D234),EDATE('Deal maths'!AA234,-(INT(((YEAR('Deal maths'!AA234)-YEAR(IF('Deal maths'!Z234&gt;0,'Deal maths'!Z234,DATE(1990,1,1))))*12+MONTH('Deal maths'!AA234)-MONTH(IF('Deal maths'!Z234&gt;0,'Deal maths'!Z234,DATE(1990,1,1))))/D234))*D234))&gt;IF('Deal maths'!Z234&gt;0,'Deal maths'!Z234,DATE(1990,1,1)),IF(DAY('Deal maths'!AA234+1)=1,EOMONTH('Deal maths'!AA234,-(INT(((YEAR('Deal maths'!AA234)-YEAR(IF('Deal maths'!Z234&gt;0,'Deal maths'!Z234,DATE(1990,1,1))))*12+MONTH('Deal maths'!AA234)-MONTH(IF('Deal maths'!Z234&gt;0,'Deal maths'!Z234,DATE(1990,1,1))))/D234))*D234),EDATE('Deal maths'!AA234,-(INT(((YEAR('Deal maths'!AA234)-YEAR(IF('Deal maths'!Z234&gt;0,'Deal maths'!Z234,DATE(1990,1,1))))*12+MONTH('Deal maths'!AA234)-MONTH(IF('Deal maths'!Z234&gt;0,'Deal maths'!Z234,DATE(1990,1,1))))/D234))*D234)),IF(DAY('Deal maths'!AA234+1)=1,EOMONTH('Deal maths'!AA234,-(INT(((YEAR('Deal maths'!AA234)-YEAR(IF('Deal maths'!Z234&gt;0,'Deal maths'!Z234,DATE(1990,1,1))))*12+MONTH('Deal maths'!AA234)-MONTH(IF('Deal maths'!Z234&gt;0,'Deal maths'!Z234,DATE(1990,1,1))))/D234)-1)*D234),EDATE('Deal maths'!AA234,-(INT(((YEAR('Deal maths'!AA234)-YEAR(IF('Deal maths'!Z234&gt;0,'Deal maths'!Z234,DATE(1990,1,1))))*12+MONTH('Deal maths'!AA234)-MONTH(IF('Deal maths'!Z234&gt;0,'Deal maths'!Z234,DATE(1990,1,1))))/D234)-1)*D234))))),0)</f>
        <v/>
      </c>
      <c r="F234" s="110">
        <f>IF(D234=0,0,'Deal maths'!AB234*D234/12)</f>
        <v/>
      </c>
      <c r="G234" s="108">
        <f>N234+O234</f>
        <v/>
      </c>
      <c r="H234" s="108">
        <f>IFERROR(IF(OR(D234=0,AsAt&lt;E234),0,MIN(N234,INT(((YEAR(AsAt)-YEAR(E234))*12+MONTH(AsAt)-MONTH(E234)-(DAY(AsAt)&lt;MIN(R234,DAY(EOMONTH(AsAt,0)))))/D234)+1)+O234*(AsAt&gt;='Deal maths'!AA234)),0)</f>
        <v/>
      </c>
      <c r="I234" s="108">
        <f>G234-H234</f>
        <v/>
      </c>
      <c r="J234" s="111">
        <f>IF(AND(C234="EIP",I234&gt;0),'Deal maths'!Y234/I234,0)</f>
        <v/>
      </c>
      <c r="K234" s="111">
        <f>IF(AND(C234="Annuity",I234&gt;0),IF(F234&gt;0,'Deal maths'!Y234*F234/(1-(1+F234)^-I234),'Deal maths'!Y234/I234),0)</f>
        <v/>
      </c>
      <c r="L234" s="111">
        <f>IF('Deal maths'!Y234="",0,'Deal maths'!Y234)</f>
        <v/>
      </c>
      <c r="M234" s="112">
        <f>F234+(F234=0)</f>
        <v/>
      </c>
      <c r="N234" s="108">
        <f>IFERROR(IF(D234=0,0,INT(((YEAR('Deal maths'!AA234)-YEAR(E234))*12+MONTH('Deal maths'!AA234)-MONTH(E234)-(DAY('Deal maths'!AA234)&lt;MIN(R234,DAY(EOMONTH('Deal maths'!AA234,0)))))/D234)+1),0)</f>
        <v/>
      </c>
      <c r="O234" s="108">
        <f>IFERROR(IF(D234=0,0,IF(IF(DAY(E234+1)=1,EOMONTH(E234,(N234-1)*D234),EDATE(E234,(N234-1)*D234))='Deal maths'!AA234,0,1)),0)</f>
        <v/>
      </c>
      <c r="P234" s="113">
        <f>IF(B234=0,0,IFERROR(IF(C234="EIP",((I234-O234)*((IF(DAY(E234+1)=1,EOMONTH(E234,H234*D234),EDATE(E234,H234*D234))-AsAt)/365.25+(IF(DAY(E234+1)=1,EOMONTH(E234,(N234-1)*D234),EDATE(E234,(N234-1)*D234))-AsAt)/365.25)/2+O234*('Deal maths'!AA234-AsAt)/365.25)/I234,IF(C234="Annuity",IF(F234&gt;0,((K234-L234*F234)*((IF(DAY(E234+1)=1,EOMONTH(E234,H234*D234),EDATE(E234,H234*D234))-AsAt)/365.25*((1+F234)^(I234-O234)-1)/F234+IF((I234-O234)&gt;1,((IF(DAY(E234+1)=1,EOMONTH(E234,(N234-1)*D234),EDATE(E234,(N234-1)*D234))-AsAt)/365.25-(IF(DAY(E234+1)=1,EOMONTH(E234,H234*D234),EDATE(E234,H234*D234))-AsAt)/365.25)/((I234-O234)-1),0)*(1+F234)*(1-(I234-O234)*(1+F234)^((I234-O234)-1)+((I234-O234)-1)*(1+F234)^(I234-O234))/F234^2)+O234*(K234-L234*F234)*(1+F234)^(I234-1)*('Deal maths'!AA234-AsAt)/365.25)/L234,((I234-O234)*((IF(DAY(E234+1)=1,EOMONTH(E234,H234*D234),EDATE(E234,H234*D234))-AsAt)/365.25+(IF(DAY(E234+1)=1,EOMONTH(E234,(N234-1)*D234),EDATE(E234,(N234-1)*D234))-AsAt)/365.25)/2+O234*('Deal maths'!AA234-AsAt)/365.25)/I234),(S234-AsAt)/365.25)),0))</f>
        <v/>
      </c>
      <c r="Q234" s="109">
        <f>IF(B234=1,'Deal maths'!AA234+ROW()/1000000,"")</f>
        <v/>
      </c>
      <c r="R234" s="108">
        <f>IF(D234=0,0,IF(DAY(E234+1)=1,31,DAY(E234)))</f>
        <v/>
      </c>
      <c r="S234" s="109">
        <f>IF(AND('Deal maths'!V234="LOBO",'Deal maths'!AG234&gt;AsAt,'Deal maths'!AG234&lt;'Deal maths'!AA234),'Deal maths'!AG234,'Deal maths'!AA234)</f>
        <v/>
      </c>
      <c r="T234" s="108">
        <f>('Deal maths'!AA234&gt;AsAt)*('Deal maths'!Y234&gt;0)</f>
        <v/>
      </c>
    </row>
    <row r="235">
      <c r="A235" s="91">
        <f>IF('Deal maths'!V235="","",'Deal maths'!W235)</f>
        <v/>
      </c>
      <c r="B235" s="108">
        <f>('Deal maths'!AA235&gt;AsAt)*('Deal maths'!Y235&gt;0)*('Deal maths'!Z235&lt;=AsAt)</f>
        <v/>
      </c>
      <c r="C235" s="91">
        <f>IF('Deal maths'!V235="","",IF('Deal maths'!AC235="","Maturity",'Deal maths'!AC235))</f>
        <v/>
      </c>
      <c r="D235" s="108">
        <f>IF(OR(C235="EIP",C235="Annuity"),IF('Deal maths'!AD235="Annual",12,IF('Deal maths'!AD235="Quarterly",3,6)),0)</f>
        <v/>
      </c>
      <c r="E235" s="109">
        <f>IFERROR(IF(D235=0,0,IF('Deal maths'!AE235&gt;0,IF('Deal maths'!AE235&gt;'Deal maths'!AA235,'Deal maths'!AA235,'Deal maths'!AE235),IF(IF(DAY('Deal maths'!AA235+1)=1,EOMONTH('Deal maths'!AA235,-(INT(((YEAR('Deal maths'!AA235)-YEAR(IF('Deal maths'!Z235&gt;0,'Deal maths'!Z235,DATE(1990,1,1))))*12+MONTH('Deal maths'!AA235)-MONTH(IF('Deal maths'!Z235&gt;0,'Deal maths'!Z235,DATE(1990,1,1))))/D235))*D235),EDATE('Deal maths'!AA235,-(INT(((YEAR('Deal maths'!AA235)-YEAR(IF('Deal maths'!Z235&gt;0,'Deal maths'!Z235,DATE(1990,1,1))))*12+MONTH('Deal maths'!AA235)-MONTH(IF('Deal maths'!Z235&gt;0,'Deal maths'!Z235,DATE(1990,1,1))))/D235))*D235))&gt;IF('Deal maths'!Z235&gt;0,'Deal maths'!Z235,DATE(1990,1,1)),IF(DAY('Deal maths'!AA235+1)=1,EOMONTH('Deal maths'!AA235,-(INT(((YEAR('Deal maths'!AA235)-YEAR(IF('Deal maths'!Z235&gt;0,'Deal maths'!Z235,DATE(1990,1,1))))*12+MONTH('Deal maths'!AA235)-MONTH(IF('Deal maths'!Z235&gt;0,'Deal maths'!Z235,DATE(1990,1,1))))/D235))*D235),EDATE('Deal maths'!AA235,-(INT(((YEAR('Deal maths'!AA235)-YEAR(IF('Deal maths'!Z235&gt;0,'Deal maths'!Z235,DATE(1990,1,1))))*12+MONTH('Deal maths'!AA235)-MONTH(IF('Deal maths'!Z235&gt;0,'Deal maths'!Z235,DATE(1990,1,1))))/D235))*D235)),IF(DAY('Deal maths'!AA235+1)=1,EOMONTH('Deal maths'!AA235,-(INT(((YEAR('Deal maths'!AA235)-YEAR(IF('Deal maths'!Z235&gt;0,'Deal maths'!Z235,DATE(1990,1,1))))*12+MONTH('Deal maths'!AA235)-MONTH(IF('Deal maths'!Z235&gt;0,'Deal maths'!Z235,DATE(1990,1,1))))/D235)-1)*D235),EDATE('Deal maths'!AA235,-(INT(((YEAR('Deal maths'!AA235)-YEAR(IF('Deal maths'!Z235&gt;0,'Deal maths'!Z235,DATE(1990,1,1))))*12+MONTH('Deal maths'!AA235)-MONTH(IF('Deal maths'!Z235&gt;0,'Deal maths'!Z235,DATE(1990,1,1))))/D235)-1)*D235))))),0)</f>
        <v/>
      </c>
      <c r="F235" s="110">
        <f>IF(D235=0,0,'Deal maths'!AB235*D235/12)</f>
        <v/>
      </c>
      <c r="G235" s="108">
        <f>N235+O235</f>
        <v/>
      </c>
      <c r="H235" s="108">
        <f>IFERROR(IF(OR(D235=0,AsAt&lt;E235),0,MIN(N235,INT(((YEAR(AsAt)-YEAR(E235))*12+MONTH(AsAt)-MONTH(E235)-(DAY(AsAt)&lt;MIN(R235,DAY(EOMONTH(AsAt,0)))))/D235)+1)+O235*(AsAt&gt;='Deal maths'!AA235)),0)</f>
        <v/>
      </c>
      <c r="I235" s="108">
        <f>G235-H235</f>
        <v/>
      </c>
      <c r="J235" s="111">
        <f>IF(AND(C235="EIP",I235&gt;0),'Deal maths'!Y235/I235,0)</f>
        <v/>
      </c>
      <c r="K235" s="111">
        <f>IF(AND(C235="Annuity",I235&gt;0),IF(F235&gt;0,'Deal maths'!Y235*F235/(1-(1+F235)^-I235),'Deal maths'!Y235/I235),0)</f>
        <v/>
      </c>
      <c r="L235" s="111">
        <f>IF('Deal maths'!Y235="",0,'Deal maths'!Y235)</f>
        <v/>
      </c>
      <c r="M235" s="112">
        <f>F235+(F235=0)</f>
        <v/>
      </c>
      <c r="N235" s="108">
        <f>IFERROR(IF(D235=0,0,INT(((YEAR('Deal maths'!AA235)-YEAR(E235))*12+MONTH('Deal maths'!AA235)-MONTH(E235)-(DAY('Deal maths'!AA235)&lt;MIN(R235,DAY(EOMONTH('Deal maths'!AA235,0)))))/D235)+1),0)</f>
        <v/>
      </c>
      <c r="O235" s="108">
        <f>IFERROR(IF(D235=0,0,IF(IF(DAY(E235+1)=1,EOMONTH(E235,(N235-1)*D235),EDATE(E235,(N235-1)*D235))='Deal maths'!AA235,0,1)),0)</f>
        <v/>
      </c>
      <c r="P235" s="113">
        <f>IF(B235=0,0,IFERROR(IF(C235="EIP",((I235-O235)*((IF(DAY(E235+1)=1,EOMONTH(E235,H235*D235),EDATE(E235,H235*D235))-AsAt)/365.25+(IF(DAY(E235+1)=1,EOMONTH(E235,(N235-1)*D235),EDATE(E235,(N235-1)*D235))-AsAt)/365.25)/2+O235*('Deal maths'!AA235-AsAt)/365.25)/I235,IF(C235="Annuity",IF(F235&gt;0,((K235-L235*F235)*((IF(DAY(E235+1)=1,EOMONTH(E235,H235*D235),EDATE(E235,H235*D235))-AsAt)/365.25*((1+F235)^(I235-O235)-1)/F235+IF((I235-O235)&gt;1,((IF(DAY(E235+1)=1,EOMONTH(E235,(N235-1)*D235),EDATE(E235,(N235-1)*D235))-AsAt)/365.25-(IF(DAY(E235+1)=1,EOMONTH(E235,H235*D235),EDATE(E235,H235*D235))-AsAt)/365.25)/((I235-O235)-1),0)*(1+F235)*(1-(I235-O235)*(1+F235)^((I235-O235)-1)+((I235-O235)-1)*(1+F235)^(I235-O235))/F235^2)+O235*(K235-L235*F235)*(1+F235)^(I235-1)*('Deal maths'!AA235-AsAt)/365.25)/L235,((I235-O235)*((IF(DAY(E235+1)=1,EOMONTH(E235,H235*D235),EDATE(E235,H235*D235))-AsAt)/365.25+(IF(DAY(E235+1)=1,EOMONTH(E235,(N235-1)*D235),EDATE(E235,(N235-1)*D235))-AsAt)/365.25)/2+O235*('Deal maths'!AA235-AsAt)/365.25)/I235),(S235-AsAt)/365.25)),0))</f>
        <v/>
      </c>
      <c r="Q235" s="109">
        <f>IF(B235=1,'Deal maths'!AA235+ROW()/1000000,"")</f>
        <v/>
      </c>
      <c r="R235" s="108">
        <f>IF(D235=0,0,IF(DAY(E235+1)=1,31,DAY(E235)))</f>
        <v/>
      </c>
      <c r="S235" s="109">
        <f>IF(AND('Deal maths'!V235="LOBO",'Deal maths'!AG235&gt;AsAt,'Deal maths'!AG235&lt;'Deal maths'!AA235),'Deal maths'!AG235,'Deal maths'!AA235)</f>
        <v/>
      </c>
      <c r="T235" s="108">
        <f>('Deal maths'!AA235&gt;AsAt)*('Deal maths'!Y235&gt;0)</f>
        <v/>
      </c>
    </row>
    <row r="236">
      <c r="A236" s="91">
        <f>IF('Deal maths'!V236="","",'Deal maths'!W236)</f>
        <v/>
      </c>
      <c r="B236" s="108">
        <f>('Deal maths'!AA236&gt;AsAt)*('Deal maths'!Y236&gt;0)*('Deal maths'!Z236&lt;=AsAt)</f>
        <v/>
      </c>
      <c r="C236" s="91">
        <f>IF('Deal maths'!V236="","",IF('Deal maths'!AC236="","Maturity",'Deal maths'!AC236))</f>
        <v/>
      </c>
      <c r="D236" s="108">
        <f>IF(OR(C236="EIP",C236="Annuity"),IF('Deal maths'!AD236="Annual",12,IF('Deal maths'!AD236="Quarterly",3,6)),0)</f>
        <v/>
      </c>
      <c r="E236" s="109">
        <f>IFERROR(IF(D236=0,0,IF('Deal maths'!AE236&gt;0,IF('Deal maths'!AE236&gt;'Deal maths'!AA236,'Deal maths'!AA236,'Deal maths'!AE236),IF(IF(DAY('Deal maths'!AA236+1)=1,EOMONTH('Deal maths'!AA236,-(INT(((YEAR('Deal maths'!AA236)-YEAR(IF('Deal maths'!Z236&gt;0,'Deal maths'!Z236,DATE(1990,1,1))))*12+MONTH('Deal maths'!AA236)-MONTH(IF('Deal maths'!Z236&gt;0,'Deal maths'!Z236,DATE(1990,1,1))))/D236))*D236),EDATE('Deal maths'!AA236,-(INT(((YEAR('Deal maths'!AA236)-YEAR(IF('Deal maths'!Z236&gt;0,'Deal maths'!Z236,DATE(1990,1,1))))*12+MONTH('Deal maths'!AA236)-MONTH(IF('Deal maths'!Z236&gt;0,'Deal maths'!Z236,DATE(1990,1,1))))/D236))*D236))&gt;IF('Deal maths'!Z236&gt;0,'Deal maths'!Z236,DATE(1990,1,1)),IF(DAY('Deal maths'!AA236+1)=1,EOMONTH('Deal maths'!AA236,-(INT(((YEAR('Deal maths'!AA236)-YEAR(IF('Deal maths'!Z236&gt;0,'Deal maths'!Z236,DATE(1990,1,1))))*12+MONTH('Deal maths'!AA236)-MONTH(IF('Deal maths'!Z236&gt;0,'Deal maths'!Z236,DATE(1990,1,1))))/D236))*D236),EDATE('Deal maths'!AA236,-(INT(((YEAR('Deal maths'!AA236)-YEAR(IF('Deal maths'!Z236&gt;0,'Deal maths'!Z236,DATE(1990,1,1))))*12+MONTH('Deal maths'!AA236)-MONTH(IF('Deal maths'!Z236&gt;0,'Deal maths'!Z236,DATE(1990,1,1))))/D236))*D236)),IF(DAY('Deal maths'!AA236+1)=1,EOMONTH('Deal maths'!AA236,-(INT(((YEAR('Deal maths'!AA236)-YEAR(IF('Deal maths'!Z236&gt;0,'Deal maths'!Z236,DATE(1990,1,1))))*12+MONTH('Deal maths'!AA236)-MONTH(IF('Deal maths'!Z236&gt;0,'Deal maths'!Z236,DATE(1990,1,1))))/D236)-1)*D236),EDATE('Deal maths'!AA236,-(INT(((YEAR('Deal maths'!AA236)-YEAR(IF('Deal maths'!Z236&gt;0,'Deal maths'!Z236,DATE(1990,1,1))))*12+MONTH('Deal maths'!AA236)-MONTH(IF('Deal maths'!Z236&gt;0,'Deal maths'!Z236,DATE(1990,1,1))))/D236)-1)*D236))))),0)</f>
        <v/>
      </c>
      <c r="F236" s="110">
        <f>IF(D236=0,0,'Deal maths'!AB236*D236/12)</f>
        <v/>
      </c>
      <c r="G236" s="108">
        <f>N236+O236</f>
        <v/>
      </c>
      <c r="H236" s="108">
        <f>IFERROR(IF(OR(D236=0,AsAt&lt;E236),0,MIN(N236,INT(((YEAR(AsAt)-YEAR(E236))*12+MONTH(AsAt)-MONTH(E236)-(DAY(AsAt)&lt;MIN(R236,DAY(EOMONTH(AsAt,0)))))/D236)+1)+O236*(AsAt&gt;='Deal maths'!AA236)),0)</f>
        <v/>
      </c>
      <c r="I236" s="108">
        <f>G236-H236</f>
        <v/>
      </c>
      <c r="J236" s="111">
        <f>IF(AND(C236="EIP",I236&gt;0),'Deal maths'!Y236/I236,0)</f>
        <v/>
      </c>
      <c r="K236" s="111">
        <f>IF(AND(C236="Annuity",I236&gt;0),IF(F236&gt;0,'Deal maths'!Y236*F236/(1-(1+F236)^-I236),'Deal maths'!Y236/I236),0)</f>
        <v/>
      </c>
      <c r="L236" s="111">
        <f>IF('Deal maths'!Y236="",0,'Deal maths'!Y236)</f>
        <v/>
      </c>
      <c r="M236" s="112">
        <f>F236+(F236=0)</f>
        <v/>
      </c>
      <c r="N236" s="108">
        <f>IFERROR(IF(D236=0,0,INT(((YEAR('Deal maths'!AA236)-YEAR(E236))*12+MONTH('Deal maths'!AA236)-MONTH(E236)-(DAY('Deal maths'!AA236)&lt;MIN(R236,DAY(EOMONTH('Deal maths'!AA236,0)))))/D236)+1),0)</f>
        <v/>
      </c>
      <c r="O236" s="108">
        <f>IFERROR(IF(D236=0,0,IF(IF(DAY(E236+1)=1,EOMONTH(E236,(N236-1)*D236),EDATE(E236,(N236-1)*D236))='Deal maths'!AA236,0,1)),0)</f>
        <v/>
      </c>
      <c r="P236" s="113">
        <f>IF(B236=0,0,IFERROR(IF(C236="EIP",((I236-O236)*((IF(DAY(E236+1)=1,EOMONTH(E236,H236*D236),EDATE(E236,H236*D236))-AsAt)/365.25+(IF(DAY(E236+1)=1,EOMONTH(E236,(N236-1)*D236),EDATE(E236,(N236-1)*D236))-AsAt)/365.25)/2+O236*('Deal maths'!AA236-AsAt)/365.25)/I236,IF(C236="Annuity",IF(F236&gt;0,((K236-L236*F236)*((IF(DAY(E236+1)=1,EOMONTH(E236,H236*D236),EDATE(E236,H236*D236))-AsAt)/365.25*((1+F236)^(I236-O236)-1)/F236+IF((I236-O236)&gt;1,((IF(DAY(E236+1)=1,EOMONTH(E236,(N236-1)*D236),EDATE(E236,(N236-1)*D236))-AsAt)/365.25-(IF(DAY(E236+1)=1,EOMONTH(E236,H236*D236),EDATE(E236,H236*D236))-AsAt)/365.25)/((I236-O236)-1),0)*(1+F236)*(1-(I236-O236)*(1+F236)^((I236-O236)-1)+((I236-O236)-1)*(1+F236)^(I236-O236))/F236^2)+O236*(K236-L236*F236)*(1+F236)^(I236-1)*('Deal maths'!AA236-AsAt)/365.25)/L236,((I236-O236)*((IF(DAY(E236+1)=1,EOMONTH(E236,H236*D236),EDATE(E236,H236*D236))-AsAt)/365.25+(IF(DAY(E236+1)=1,EOMONTH(E236,(N236-1)*D236),EDATE(E236,(N236-1)*D236))-AsAt)/365.25)/2+O236*('Deal maths'!AA236-AsAt)/365.25)/I236),(S236-AsAt)/365.25)),0))</f>
        <v/>
      </c>
      <c r="Q236" s="109">
        <f>IF(B236=1,'Deal maths'!AA236+ROW()/1000000,"")</f>
        <v/>
      </c>
      <c r="R236" s="108">
        <f>IF(D236=0,0,IF(DAY(E236+1)=1,31,DAY(E236)))</f>
        <v/>
      </c>
      <c r="S236" s="109">
        <f>IF(AND('Deal maths'!V236="LOBO",'Deal maths'!AG236&gt;AsAt,'Deal maths'!AG236&lt;'Deal maths'!AA236),'Deal maths'!AG236,'Deal maths'!AA236)</f>
        <v/>
      </c>
      <c r="T236" s="108">
        <f>('Deal maths'!AA236&gt;AsAt)*('Deal maths'!Y236&gt;0)</f>
        <v/>
      </c>
    </row>
    <row r="237">
      <c r="A237" s="91">
        <f>IF('Deal maths'!V237="","",'Deal maths'!W237)</f>
        <v/>
      </c>
      <c r="B237" s="108">
        <f>('Deal maths'!AA237&gt;AsAt)*('Deal maths'!Y237&gt;0)*('Deal maths'!Z237&lt;=AsAt)</f>
        <v/>
      </c>
      <c r="C237" s="91">
        <f>IF('Deal maths'!V237="","",IF('Deal maths'!AC237="","Maturity",'Deal maths'!AC237))</f>
        <v/>
      </c>
      <c r="D237" s="108">
        <f>IF(OR(C237="EIP",C237="Annuity"),IF('Deal maths'!AD237="Annual",12,IF('Deal maths'!AD237="Quarterly",3,6)),0)</f>
        <v/>
      </c>
      <c r="E237" s="109">
        <f>IFERROR(IF(D237=0,0,IF('Deal maths'!AE237&gt;0,IF('Deal maths'!AE237&gt;'Deal maths'!AA237,'Deal maths'!AA237,'Deal maths'!AE237),IF(IF(DAY('Deal maths'!AA237+1)=1,EOMONTH('Deal maths'!AA237,-(INT(((YEAR('Deal maths'!AA237)-YEAR(IF('Deal maths'!Z237&gt;0,'Deal maths'!Z237,DATE(1990,1,1))))*12+MONTH('Deal maths'!AA237)-MONTH(IF('Deal maths'!Z237&gt;0,'Deal maths'!Z237,DATE(1990,1,1))))/D237))*D237),EDATE('Deal maths'!AA237,-(INT(((YEAR('Deal maths'!AA237)-YEAR(IF('Deal maths'!Z237&gt;0,'Deal maths'!Z237,DATE(1990,1,1))))*12+MONTH('Deal maths'!AA237)-MONTH(IF('Deal maths'!Z237&gt;0,'Deal maths'!Z237,DATE(1990,1,1))))/D237))*D237))&gt;IF('Deal maths'!Z237&gt;0,'Deal maths'!Z237,DATE(1990,1,1)),IF(DAY('Deal maths'!AA237+1)=1,EOMONTH('Deal maths'!AA237,-(INT(((YEAR('Deal maths'!AA237)-YEAR(IF('Deal maths'!Z237&gt;0,'Deal maths'!Z237,DATE(1990,1,1))))*12+MONTH('Deal maths'!AA237)-MONTH(IF('Deal maths'!Z237&gt;0,'Deal maths'!Z237,DATE(1990,1,1))))/D237))*D237),EDATE('Deal maths'!AA237,-(INT(((YEAR('Deal maths'!AA237)-YEAR(IF('Deal maths'!Z237&gt;0,'Deal maths'!Z237,DATE(1990,1,1))))*12+MONTH('Deal maths'!AA237)-MONTH(IF('Deal maths'!Z237&gt;0,'Deal maths'!Z237,DATE(1990,1,1))))/D237))*D237)),IF(DAY('Deal maths'!AA237+1)=1,EOMONTH('Deal maths'!AA237,-(INT(((YEAR('Deal maths'!AA237)-YEAR(IF('Deal maths'!Z237&gt;0,'Deal maths'!Z237,DATE(1990,1,1))))*12+MONTH('Deal maths'!AA237)-MONTH(IF('Deal maths'!Z237&gt;0,'Deal maths'!Z237,DATE(1990,1,1))))/D237)-1)*D237),EDATE('Deal maths'!AA237,-(INT(((YEAR('Deal maths'!AA237)-YEAR(IF('Deal maths'!Z237&gt;0,'Deal maths'!Z237,DATE(1990,1,1))))*12+MONTH('Deal maths'!AA237)-MONTH(IF('Deal maths'!Z237&gt;0,'Deal maths'!Z237,DATE(1990,1,1))))/D237)-1)*D237))))),0)</f>
        <v/>
      </c>
      <c r="F237" s="110">
        <f>IF(D237=0,0,'Deal maths'!AB237*D237/12)</f>
        <v/>
      </c>
      <c r="G237" s="108">
        <f>N237+O237</f>
        <v/>
      </c>
      <c r="H237" s="108">
        <f>IFERROR(IF(OR(D237=0,AsAt&lt;E237),0,MIN(N237,INT(((YEAR(AsAt)-YEAR(E237))*12+MONTH(AsAt)-MONTH(E237)-(DAY(AsAt)&lt;MIN(R237,DAY(EOMONTH(AsAt,0)))))/D237)+1)+O237*(AsAt&gt;='Deal maths'!AA237)),0)</f>
        <v/>
      </c>
      <c r="I237" s="108">
        <f>G237-H237</f>
        <v/>
      </c>
      <c r="J237" s="111">
        <f>IF(AND(C237="EIP",I237&gt;0),'Deal maths'!Y237/I237,0)</f>
        <v/>
      </c>
      <c r="K237" s="111">
        <f>IF(AND(C237="Annuity",I237&gt;0),IF(F237&gt;0,'Deal maths'!Y237*F237/(1-(1+F237)^-I237),'Deal maths'!Y237/I237),0)</f>
        <v/>
      </c>
      <c r="L237" s="111">
        <f>IF('Deal maths'!Y237="",0,'Deal maths'!Y237)</f>
        <v/>
      </c>
      <c r="M237" s="112">
        <f>F237+(F237=0)</f>
        <v/>
      </c>
      <c r="N237" s="108">
        <f>IFERROR(IF(D237=0,0,INT(((YEAR('Deal maths'!AA237)-YEAR(E237))*12+MONTH('Deal maths'!AA237)-MONTH(E237)-(DAY('Deal maths'!AA237)&lt;MIN(R237,DAY(EOMONTH('Deal maths'!AA237,0)))))/D237)+1),0)</f>
        <v/>
      </c>
      <c r="O237" s="108">
        <f>IFERROR(IF(D237=0,0,IF(IF(DAY(E237+1)=1,EOMONTH(E237,(N237-1)*D237),EDATE(E237,(N237-1)*D237))='Deal maths'!AA237,0,1)),0)</f>
        <v/>
      </c>
      <c r="P237" s="113">
        <f>IF(B237=0,0,IFERROR(IF(C237="EIP",((I237-O237)*((IF(DAY(E237+1)=1,EOMONTH(E237,H237*D237),EDATE(E237,H237*D237))-AsAt)/365.25+(IF(DAY(E237+1)=1,EOMONTH(E237,(N237-1)*D237),EDATE(E237,(N237-1)*D237))-AsAt)/365.25)/2+O237*('Deal maths'!AA237-AsAt)/365.25)/I237,IF(C237="Annuity",IF(F237&gt;0,((K237-L237*F237)*((IF(DAY(E237+1)=1,EOMONTH(E237,H237*D237),EDATE(E237,H237*D237))-AsAt)/365.25*((1+F237)^(I237-O237)-1)/F237+IF((I237-O237)&gt;1,((IF(DAY(E237+1)=1,EOMONTH(E237,(N237-1)*D237),EDATE(E237,(N237-1)*D237))-AsAt)/365.25-(IF(DAY(E237+1)=1,EOMONTH(E237,H237*D237),EDATE(E237,H237*D237))-AsAt)/365.25)/((I237-O237)-1),0)*(1+F237)*(1-(I237-O237)*(1+F237)^((I237-O237)-1)+((I237-O237)-1)*(1+F237)^(I237-O237))/F237^2)+O237*(K237-L237*F237)*(1+F237)^(I237-1)*('Deal maths'!AA237-AsAt)/365.25)/L237,((I237-O237)*((IF(DAY(E237+1)=1,EOMONTH(E237,H237*D237),EDATE(E237,H237*D237))-AsAt)/365.25+(IF(DAY(E237+1)=1,EOMONTH(E237,(N237-1)*D237),EDATE(E237,(N237-1)*D237))-AsAt)/365.25)/2+O237*('Deal maths'!AA237-AsAt)/365.25)/I237),(S237-AsAt)/365.25)),0))</f>
        <v/>
      </c>
      <c r="Q237" s="109">
        <f>IF(B237=1,'Deal maths'!AA237+ROW()/1000000,"")</f>
        <v/>
      </c>
      <c r="R237" s="108">
        <f>IF(D237=0,0,IF(DAY(E237+1)=1,31,DAY(E237)))</f>
        <v/>
      </c>
      <c r="S237" s="109">
        <f>IF(AND('Deal maths'!V237="LOBO",'Deal maths'!AG237&gt;AsAt,'Deal maths'!AG237&lt;'Deal maths'!AA237),'Deal maths'!AG237,'Deal maths'!AA237)</f>
        <v/>
      </c>
      <c r="T237" s="108">
        <f>('Deal maths'!AA237&gt;AsAt)*('Deal maths'!Y237&gt;0)</f>
        <v/>
      </c>
    </row>
    <row r="238">
      <c r="A238" s="91">
        <f>IF('Deal maths'!V238="","",'Deal maths'!W238)</f>
        <v/>
      </c>
      <c r="B238" s="108">
        <f>('Deal maths'!AA238&gt;AsAt)*('Deal maths'!Y238&gt;0)*('Deal maths'!Z238&lt;=AsAt)</f>
        <v/>
      </c>
      <c r="C238" s="91">
        <f>IF('Deal maths'!V238="","",IF('Deal maths'!AC238="","Maturity",'Deal maths'!AC238))</f>
        <v/>
      </c>
      <c r="D238" s="108">
        <f>IF(OR(C238="EIP",C238="Annuity"),IF('Deal maths'!AD238="Annual",12,IF('Deal maths'!AD238="Quarterly",3,6)),0)</f>
        <v/>
      </c>
      <c r="E238" s="109">
        <f>IFERROR(IF(D238=0,0,IF('Deal maths'!AE238&gt;0,IF('Deal maths'!AE238&gt;'Deal maths'!AA238,'Deal maths'!AA238,'Deal maths'!AE238),IF(IF(DAY('Deal maths'!AA238+1)=1,EOMONTH('Deal maths'!AA238,-(INT(((YEAR('Deal maths'!AA238)-YEAR(IF('Deal maths'!Z238&gt;0,'Deal maths'!Z238,DATE(1990,1,1))))*12+MONTH('Deal maths'!AA238)-MONTH(IF('Deal maths'!Z238&gt;0,'Deal maths'!Z238,DATE(1990,1,1))))/D238))*D238),EDATE('Deal maths'!AA238,-(INT(((YEAR('Deal maths'!AA238)-YEAR(IF('Deal maths'!Z238&gt;0,'Deal maths'!Z238,DATE(1990,1,1))))*12+MONTH('Deal maths'!AA238)-MONTH(IF('Deal maths'!Z238&gt;0,'Deal maths'!Z238,DATE(1990,1,1))))/D238))*D238))&gt;IF('Deal maths'!Z238&gt;0,'Deal maths'!Z238,DATE(1990,1,1)),IF(DAY('Deal maths'!AA238+1)=1,EOMONTH('Deal maths'!AA238,-(INT(((YEAR('Deal maths'!AA238)-YEAR(IF('Deal maths'!Z238&gt;0,'Deal maths'!Z238,DATE(1990,1,1))))*12+MONTH('Deal maths'!AA238)-MONTH(IF('Deal maths'!Z238&gt;0,'Deal maths'!Z238,DATE(1990,1,1))))/D238))*D238),EDATE('Deal maths'!AA238,-(INT(((YEAR('Deal maths'!AA238)-YEAR(IF('Deal maths'!Z238&gt;0,'Deal maths'!Z238,DATE(1990,1,1))))*12+MONTH('Deal maths'!AA238)-MONTH(IF('Deal maths'!Z238&gt;0,'Deal maths'!Z238,DATE(1990,1,1))))/D238))*D238)),IF(DAY('Deal maths'!AA238+1)=1,EOMONTH('Deal maths'!AA238,-(INT(((YEAR('Deal maths'!AA238)-YEAR(IF('Deal maths'!Z238&gt;0,'Deal maths'!Z238,DATE(1990,1,1))))*12+MONTH('Deal maths'!AA238)-MONTH(IF('Deal maths'!Z238&gt;0,'Deal maths'!Z238,DATE(1990,1,1))))/D238)-1)*D238),EDATE('Deal maths'!AA238,-(INT(((YEAR('Deal maths'!AA238)-YEAR(IF('Deal maths'!Z238&gt;0,'Deal maths'!Z238,DATE(1990,1,1))))*12+MONTH('Deal maths'!AA238)-MONTH(IF('Deal maths'!Z238&gt;0,'Deal maths'!Z238,DATE(1990,1,1))))/D238)-1)*D238))))),0)</f>
        <v/>
      </c>
      <c r="F238" s="110">
        <f>IF(D238=0,0,'Deal maths'!AB238*D238/12)</f>
        <v/>
      </c>
      <c r="G238" s="108">
        <f>N238+O238</f>
        <v/>
      </c>
      <c r="H238" s="108">
        <f>IFERROR(IF(OR(D238=0,AsAt&lt;E238),0,MIN(N238,INT(((YEAR(AsAt)-YEAR(E238))*12+MONTH(AsAt)-MONTH(E238)-(DAY(AsAt)&lt;MIN(R238,DAY(EOMONTH(AsAt,0)))))/D238)+1)+O238*(AsAt&gt;='Deal maths'!AA238)),0)</f>
        <v/>
      </c>
      <c r="I238" s="108">
        <f>G238-H238</f>
        <v/>
      </c>
      <c r="J238" s="111">
        <f>IF(AND(C238="EIP",I238&gt;0),'Deal maths'!Y238/I238,0)</f>
        <v/>
      </c>
      <c r="K238" s="111">
        <f>IF(AND(C238="Annuity",I238&gt;0),IF(F238&gt;0,'Deal maths'!Y238*F238/(1-(1+F238)^-I238),'Deal maths'!Y238/I238),0)</f>
        <v/>
      </c>
      <c r="L238" s="111">
        <f>IF('Deal maths'!Y238="",0,'Deal maths'!Y238)</f>
        <v/>
      </c>
      <c r="M238" s="112">
        <f>F238+(F238=0)</f>
        <v/>
      </c>
      <c r="N238" s="108">
        <f>IFERROR(IF(D238=0,0,INT(((YEAR('Deal maths'!AA238)-YEAR(E238))*12+MONTH('Deal maths'!AA238)-MONTH(E238)-(DAY('Deal maths'!AA238)&lt;MIN(R238,DAY(EOMONTH('Deal maths'!AA238,0)))))/D238)+1),0)</f>
        <v/>
      </c>
      <c r="O238" s="108">
        <f>IFERROR(IF(D238=0,0,IF(IF(DAY(E238+1)=1,EOMONTH(E238,(N238-1)*D238),EDATE(E238,(N238-1)*D238))='Deal maths'!AA238,0,1)),0)</f>
        <v/>
      </c>
      <c r="P238" s="113">
        <f>IF(B238=0,0,IFERROR(IF(C238="EIP",((I238-O238)*((IF(DAY(E238+1)=1,EOMONTH(E238,H238*D238),EDATE(E238,H238*D238))-AsAt)/365.25+(IF(DAY(E238+1)=1,EOMONTH(E238,(N238-1)*D238),EDATE(E238,(N238-1)*D238))-AsAt)/365.25)/2+O238*('Deal maths'!AA238-AsAt)/365.25)/I238,IF(C238="Annuity",IF(F238&gt;0,((K238-L238*F238)*((IF(DAY(E238+1)=1,EOMONTH(E238,H238*D238),EDATE(E238,H238*D238))-AsAt)/365.25*((1+F238)^(I238-O238)-1)/F238+IF((I238-O238)&gt;1,((IF(DAY(E238+1)=1,EOMONTH(E238,(N238-1)*D238),EDATE(E238,(N238-1)*D238))-AsAt)/365.25-(IF(DAY(E238+1)=1,EOMONTH(E238,H238*D238),EDATE(E238,H238*D238))-AsAt)/365.25)/((I238-O238)-1),0)*(1+F238)*(1-(I238-O238)*(1+F238)^((I238-O238)-1)+((I238-O238)-1)*(1+F238)^(I238-O238))/F238^2)+O238*(K238-L238*F238)*(1+F238)^(I238-1)*('Deal maths'!AA238-AsAt)/365.25)/L238,((I238-O238)*((IF(DAY(E238+1)=1,EOMONTH(E238,H238*D238),EDATE(E238,H238*D238))-AsAt)/365.25+(IF(DAY(E238+1)=1,EOMONTH(E238,(N238-1)*D238),EDATE(E238,(N238-1)*D238))-AsAt)/365.25)/2+O238*('Deal maths'!AA238-AsAt)/365.25)/I238),(S238-AsAt)/365.25)),0))</f>
        <v/>
      </c>
      <c r="Q238" s="109">
        <f>IF(B238=1,'Deal maths'!AA238+ROW()/1000000,"")</f>
        <v/>
      </c>
      <c r="R238" s="108">
        <f>IF(D238=0,0,IF(DAY(E238+1)=1,31,DAY(E238)))</f>
        <v/>
      </c>
      <c r="S238" s="109">
        <f>IF(AND('Deal maths'!V238="LOBO",'Deal maths'!AG238&gt;AsAt,'Deal maths'!AG238&lt;'Deal maths'!AA238),'Deal maths'!AG238,'Deal maths'!AA238)</f>
        <v/>
      </c>
      <c r="T238" s="108">
        <f>('Deal maths'!AA238&gt;AsAt)*('Deal maths'!Y238&gt;0)</f>
        <v/>
      </c>
    </row>
    <row r="239">
      <c r="A239" s="91">
        <f>IF('Deal maths'!V239="","",'Deal maths'!W239)</f>
        <v/>
      </c>
      <c r="B239" s="108">
        <f>('Deal maths'!AA239&gt;AsAt)*('Deal maths'!Y239&gt;0)*('Deal maths'!Z239&lt;=AsAt)</f>
        <v/>
      </c>
      <c r="C239" s="91">
        <f>IF('Deal maths'!V239="","",IF('Deal maths'!AC239="","Maturity",'Deal maths'!AC239))</f>
        <v/>
      </c>
      <c r="D239" s="108">
        <f>IF(OR(C239="EIP",C239="Annuity"),IF('Deal maths'!AD239="Annual",12,IF('Deal maths'!AD239="Quarterly",3,6)),0)</f>
        <v/>
      </c>
      <c r="E239" s="109">
        <f>IFERROR(IF(D239=0,0,IF('Deal maths'!AE239&gt;0,IF('Deal maths'!AE239&gt;'Deal maths'!AA239,'Deal maths'!AA239,'Deal maths'!AE239),IF(IF(DAY('Deal maths'!AA239+1)=1,EOMONTH('Deal maths'!AA239,-(INT(((YEAR('Deal maths'!AA239)-YEAR(IF('Deal maths'!Z239&gt;0,'Deal maths'!Z239,DATE(1990,1,1))))*12+MONTH('Deal maths'!AA239)-MONTH(IF('Deal maths'!Z239&gt;0,'Deal maths'!Z239,DATE(1990,1,1))))/D239))*D239),EDATE('Deal maths'!AA239,-(INT(((YEAR('Deal maths'!AA239)-YEAR(IF('Deal maths'!Z239&gt;0,'Deal maths'!Z239,DATE(1990,1,1))))*12+MONTH('Deal maths'!AA239)-MONTH(IF('Deal maths'!Z239&gt;0,'Deal maths'!Z239,DATE(1990,1,1))))/D239))*D239))&gt;IF('Deal maths'!Z239&gt;0,'Deal maths'!Z239,DATE(1990,1,1)),IF(DAY('Deal maths'!AA239+1)=1,EOMONTH('Deal maths'!AA239,-(INT(((YEAR('Deal maths'!AA239)-YEAR(IF('Deal maths'!Z239&gt;0,'Deal maths'!Z239,DATE(1990,1,1))))*12+MONTH('Deal maths'!AA239)-MONTH(IF('Deal maths'!Z239&gt;0,'Deal maths'!Z239,DATE(1990,1,1))))/D239))*D239),EDATE('Deal maths'!AA239,-(INT(((YEAR('Deal maths'!AA239)-YEAR(IF('Deal maths'!Z239&gt;0,'Deal maths'!Z239,DATE(1990,1,1))))*12+MONTH('Deal maths'!AA239)-MONTH(IF('Deal maths'!Z239&gt;0,'Deal maths'!Z239,DATE(1990,1,1))))/D239))*D239)),IF(DAY('Deal maths'!AA239+1)=1,EOMONTH('Deal maths'!AA239,-(INT(((YEAR('Deal maths'!AA239)-YEAR(IF('Deal maths'!Z239&gt;0,'Deal maths'!Z239,DATE(1990,1,1))))*12+MONTH('Deal maths'!AA239)-MONTH(IF('Deal maths'!Z239&gt;0,'Deal maths'!Z239,DATE(1990,1,1))))/D239)-1)*D239),EDATE('Deal maths'!AA239,-(INT(((YEAR('Deal maths'!AA239)-YEAR(IF('Deal maths'!Z239&gt;0,'Deal maths'!Z239,DATE(1990,1,1))))*12+MONTH('Deal maths'!AA239)-MONTH(IF('Deal maths'!Z239&gt;0,'Deal maths'!Z239,DATE(1990,1,1))))/D239)-1)*D239))))),0)</f>
        <v/>
      </c>
      <c r="F239" s="110">
        <f>IF(D239=0,0,'Deal maths'!AB239*D239/12)</f>
        <v/>
      </c>
      <c r="G239" s="108">
        <f>N239+O239</f>
        <v/>
      </c>
      <c r="H239" s="108">
        <f>IFERROR(IF(OR(D239=0,AsAt&lt;E239),0,MIN(N239,INT(((YEAR(AsAt)-YEAR(E239))*12+MONTH(AsAt)-MONTH(E239)-(DAY(AsAt)&lt;MIN(R239,DAY(EOMONTH(AsAt,0)))))/D239)+1)+O239*(AsAt&gt;='Deal maths'!AA239)),0)</f>
        <v/>
      </c>
      <c r="I239" s="108">
        <f>G239-H239</f>
        <v/>
      </c>
      <c r="J239" s="111">
        <f>IF(AND(C239="EIP",I239&gt;0),'Deal maths'!Y239/I239,0)</f>
        <v/>
      </c>
      <c r="K239" s="111">
        <f>IF(AND(C239="Annuity",I239&gt;0),IF(F239&gt;0,'Deal maths'!Y239*F239/(1-(1+F239)^-I239),'Deal maths'!Y239/I239),0)</f>
        <v/>
      </c>
      <c r="L239" s="111">
        <f>IF('Deal maths'!Y239="",0,'Deal maths'!Y239)</f>
        <v/>
      </c>
      <c r="M239" s="112">
        <f>F239+(F239=0)</f>
        <v/>
      </c>
      <c r="N239" s="108">
        <f>IFERROR(IF(D239=0,0,INT(((YEAR('Deal maths'!AA239)-YEAR(E239))*12+MONTH('Deal maths'!AA239)-MONTH(E239)-(DAY('Deal maths'!AA239)&lt;MIN(R239,DAY(EOMONTH('Deal maths'!AA239,0)))))/D239)+1),0)</f>
        <v/>
      </c>
      <c r="O239" s="108">
        <f>IFERROR(IF(D239=0,0,IF(IF(DAY(E239+1)=1,EOMONTH(E239,(N239-1)*D239),EDATE(E239,(N239-1)*D239))='Deal maths'!AA239,0,1)),0)</f>
        <v/>
      </c>
      <c r="P239" s="113">
        <f>IF(B239=0,0,IFERROR(IF(C239="EIP",((I239-O239)*((IF(DAY(E239+1)=1,EOMONTH(E239,H239*D239),EDATE(E239,H239*D239))-AsAt)/365.25+(IF(DAY(E239+1)=1,EOMONTH(E239,(N239-1)*D239),EDATE(E239,(N239-1)*D239))-AsAt)/365.25)/2+O239*('Deal maths'!AA239-AsAt)/365.25)/I239,IF(C239="Annuity",IF(F239&gt;0,((K239-L239*F239)*((IF(DAY(E239+1)=1,EOMONTH(E239,H239*D239),EDATE(E239,H239*D239))-AsAt)/365.25*((1+F239)^(I239-O239)-1)/F239+IF((I239-O239)&gt;1,((IF(DAY(E239+1)=1,EOMONTH(E239,(N239-1)*D239),EDATE(E239,(N239-1)*D239))-AsAt)/365.25-(IF(DAY(E239+1)=1,EOMONTH(E239,H239*D239),EDATE(E239,H239*D239))-AsAt)/365.25)/((I239-O239)-1),0)*(1+F239)*(1-(I239-O239)*(1+F239)^((I239-O239)-1)+((I239-O239)-1)*(1+F239)^(I239-O239))/F239^2)+O239*(K239-L239*F239)*(1+F239)^(I239-1)*('Deal maths'!AA239-AsAt)/365.25)/L239,((I239-O239)*((IF(DAY(E239+1)=1,EOMONTH(E239,H239*D239),EDATE(E239,H239*D239))-AsAt)/365.25+(IF(DAY(E239+1)=1,EOMONTH(E239,(N239-1)*D239),EDATE(E239,(N239-1)*D239))-AsAt)/365.25)/2+O239*('Deal maths'!AA239-AsAt)/365.25)/I239),(S239-AsAt)/365.25)),0))</f>
        <v/>
      </c>
      <c r="Q239" s="109">
        <f>IF(B239=1,'Deal maths'!AA239+ROW()/1000000,"")</f>
        <v/>
      </c>
      <c r="R239" s="108">
        <f>IF(D239=0,0,IF(DAY(E239+1)=1,31,DAY(E239)))</f>
        <v/>
      </c>
      <c r="S239" s="109">
        <f>IF(AND('Deal maths'!V239="LOBO",'Deal maths'!AG239&gt;AsAt,'Deal maths'!AG239&lt;'Deal maths'!AA239),'Deal maths'!AG239,'Deal maths'!AA239)</f>
        <v/>
      </c>
      <c r="T239" s="108">
        <f>('Deal maths'!AA239&gt;AsAt)*('Deal maths'!Y239&gt;0)</f>
        <v/>
      </c>
    </row>
    <row r="240">
      <c r="A240" s="91">
        <f>IF('Deal maths'!V240="","",'Deal maths'!W240)</f>
        <v/>
      </c>
      <c r="B240" s="108">
        <f>('Deal maths'!AA240&gt;AsAt)*('Deal maths'!Y240&gt;0)*('Deal maths'!Z240&lt;=AsAt)</f>
        <v/>
      </c>
      <c r="C240" s="91">
        <f>IF('Deal maths'!V240="","",IF('Deal maths'!AC240="","Maturity",'Deal maths'!AC240))</f>
        <v/>
      </c>
      <c r="D240" s="108">
        <f>IF(OR(C240="EIP",C240="Annuity"),IF('Deal maths'!AD240="Annual",12,IF('Deal maths'!AD240="Quarterly",3,6)),0)</f>
        <v/>
      </c>
      <c r="E240" s="109">
        <f>IFERROR(IF(D240=0,0,IF('Deal maths'!AE240&gt;0,IF('Deal maths'!AE240&gt;'Deal maths'!AA240,'Deal maths'!AA240,'Deal maths'!AE240),IF(IF(DAY('Deal maths'!AA240+1)=1,EOMONTH('Deal maths'!AA240,-(INT(((YEAR('Deal maths'!AA240)-YEAR(IF('Deal maths'!Z240&gt;0,'Deal maths'!Z240,DATE(1990,1,1))))*12+MONTH('Deal maths'!AA240)-MONTH(IF('Deal maths'!Z240&gt;0,'Deal maths'!Z240,DATE(1990,1,1))))/D240))*D240),EDATE('Deal maths'!AA240,-(INT(((YEAR('Deal maths'!AA240)-YEAR(IF('Deal maths'!Z240&gt;0,'Deal maths'!Z240,DATE(1990,1,1))))*12+MONTH('Deal maths'!AA240)-MONTH(IF('Deal maths'!Z240&gt;0,'Deal maths'!Z240,DATE(1990,1,1))))/D240))*D240))&gt;IF('Deal maths'!Z240&gt;0,'Deal maths'!Z240,DATE(1990,1,1)),IF(DAY('Deal maths'!AA240+1)=1,EOMONTH('Deal maths'!AA240,-(INT(((YEAR('Deal maths'!AA240)-YEAR(IF('Deal maths'!Z240&gt;0,'Deal maths'!Z240,DATE(1990,1,1))))*12+MONTH('Deal maths'!AA240)-MONTH(IF('Deal maths'!Z240&gt;0,'Deal maths'!Z240,DATE(1990,1,1))))/D240))*D240),EDATE('Deal maths'!AA240,-(INT(((YEAR('Deal maths'!AA240)-YEAR(IF('Deal maths'!Z240&gt;0,'Deal maths'!Z240,DATE(1990,1,1))))*12+MONTH('Deal maths'!AA240)-MONTH(IF('Deal maths'!Z240&gt;0,'Deal maths'!Z240,DATE(1990,1,1))))/D240))*D240)),IF(DAY('Deal maths'!AA240+1)=1,EOMONTH('Deal maths'!AA240,-(INT(((YEAR('Deal maths'!AA240)-YEAR(IF('Deal maths'!Z240&gt;0,'Deal maths'!Z240,DATE(1990,1,1))))*12+MONTH('Deal maths'!AA240)-MONTH(IF('Deal maths'!Z240&gt;0,'Deal maths'!Z240,DATE(1990,1,1))))/D240)-1)*D240),EDATE('Deal maths'!AA240,-(INT(((YEAR('Deal maths'!AA240)-YEAR(IF('Deal maths'!Z240&gt;0,'Deal maths'!Z240,DATE(1990,1,1))))*12+MONTH('Deal maths'!AA240)-MONTH(IF('Deal maths'!Z240&gt;0,'Deal maths'!Z240,DATE(1990,1,1))))/D240)-1)*D240))))),0)</f>
        <v/>
      </c>
      <c r="F240" s="110">
        <f>IF(D240=0,0,'Deal maths'!AB240*D240/12)</f>
        <v/>
      </c>
      <c r="G240" s="108">
        <f>N240+O240</f>
        <v/>
      </c>
      <c r="H240" s="108">
        <f>IFERROR(IF(OR(D240=0,AsAt&lt;E240),0,MIN(N240,INT(((YEAR(AsAt)-YEAR(E240))*12+MONTH(AsAt)-MONTH(E240)-(DAY(AsAt)&lt;MIN(R240,DAY(EOMONTH(AsAt,0)))))/D240)+1)+O240*(AsAt&gt;='Deal maths'!AA240)),0)</f>
        <v/>
      </c>
      <c r="I240" s="108">
        <f>G240-H240</f>
        <v/>
      </c>
      <c r="J240" s="111">
        <f>IF(AND(C240="EIP",I240&gt;0),'Deal maths'!Y240/I240,0)</f>
        <v/>
      </c>
      <c r="K240" s="111">
        <f>IF(AND(C240="Annuity",I240&gt;0),IF(F240&gt;0,'Deal maths'!Y240*F240/(1-(1+F240)^-I240),'Deal maths'!Y240/I240),0)</f>
        <v/>
      </c>
      <c r="L240" s="111">
        <f>IF('Deal maths'!Y240="",0,'Deal maths'!Y240)</f>
        <v/>
      </c>
      <c r="M240" s="112">
        <f>F240+(F240=0)</f>
        <v/>
      </c>
      <c r="N240" s="108">
        <f>IFERROR(IF(D240=0,0,INT(((YEAR('Deal maths'!AA240)-YEAR(E240))*12+MONTH('Deal maths'!AA240)-MONTH(E240)-(DAY('Deal maths'!AA240)&lt;MIN(R240,DAY(EOMONTH('Deal maths'!AA240,0)))))/D240)+1),0)</f>
        <v/>
      </c>
      <c r="O240" s="108">
        <f>IFERROR(IF(D240=0,0,IF(IF(DAY(E240+1)=1,EOMONTH(E240,(N240-1)*D240),EDATE(E240,(N240-1)*D240))='Deal maths'!AA240,0,1)),0)</f>
        <v/>
      </c>
      <c r="P240" s="113">
        <f>IF(B240=0,0,IFERROR(IF(C240="EIP",((I240-O240)*((IF(DAY(E240+1)=1,EOMONTH(E240,H240*D240),EDATE(E240,H240*D240))-AsAt)/365.25+(IF(DAY(E240+1)=1,EOMONTH(E240,(N240-1)*D240),EDATE(E240,(N240-1)*D240))-AsAt)/365.25)/2+O240*('Deal maths'!AA240-AsAt)/365.25)/I240,IF(C240="Annuity",IF(F240&gt;0,((K240-L240*F240)*((IF(DAY(E240+1)=1,EOMONTH(E240,H240*D240),EDATE(E240,H240*D240))-AsAt)/365.25*((1+F240)^(I240-O240)-1)/F240+IF((I240-O240)&gt;1,((IF(DAY(E240+1)=1,EOMONTH(E240,(N240-1)*D240),EDATE(E240,(N240-1)*D240))-AsAt)/365.25-(IF(DAY(E240+1)=1,EOMONTH(E240,H240*D240),EDATE(E240,H240*D240))-AsAt)/365.25)/((I240-O240)-1),0)*(1+F240)*(1-(I240-O240)*(1+F240)^((I240-O240)-1)+((I240-O240)-1)*(1+F240)^(I240-O240))/F240^2)+O240*(K240-L240*F240)*(1+F240)^(I240-1)*('Deal maths'!AA240-AsAt)/365.25)/L240,((I240-O240)*((IF(DAY(E240+1)=1,EOMONTH(E240,H240*D240),EDATE(E240,H240*D240))-AsAt)/365.25+(IF(DAY(E240+1)=1,EOMONTH(E240,(N240-1)*D240),EDATE(E240,(N240-1)*D240))-AsAt)/365.25)/2+O240*('Deal maths'!AA240-AsAt)/365.25)/I240),(S240-AsAt)/365.25)),0))</f>
        <v/>
      </c>
      <c r="Q240" s="109">
        <f>IF(B240=1,'Deal maths'!AA240+ROW()/1000000,"")</f>
        <v/>
      </c>
      <c r="R240" s="108">
        <f>IF(D240=0,0,IF(DAY(E240+1)=1,31,DAY(E240)))</f>
        <v/>
      </c>
      <c r="S240" s="109">
        <f>IF(AND('Deal maths'!V240="LOBO",'Deal maths'!AG240&gt;AsAt,'Deal maths'!AG240&lt;'Deal maths'!AA240),'Deal maths'!AG240,'Deal maths'!AA240)</f>
        <v/>
      </c>
      <c r="T240" s="108">
        <f>('Deal maths'!AA240&gt;AsAt)*('Deal maths'!Y240&gt;0)</f>
        <v/>
      </c>
    </row>
    <row r="241">
      <c r="A241" s="91">
        <f>IF('Deal maths'!V241="","",'Deal maths'!W241)</f>
        <v/>
      </c>
      <c r="B241" s="108">
        <f>('Deal maths'!AA241&gt;AsAt)*('Deal maths'!Y241&gt;0)*('Deal maths'!Z241&lt;=AsAt)</f>
        <v/>
      </c>
      <c r="C241" s="91">
        <f>IF('Deal maths'!V241="","",IF('Deal maths'!AC241="","Maturity",'Deal maths'!AC241))</f>
        <v/>
      </c>
      <c r="D241" s="108">
        <f>IF(OR(C241="EIP",C241="Annuity"),IF('Deal maths'!AD241="Annual",12,IF('Deal maths'!AD241="Quarterly",3,6)),0)</f>
        <v/>
      </c>
      <c r="E241" s="109">
        <f>IFERROR(IF(D241=0,0,IF('Deal maths'!AE241&gt;0,IF('Deal maths'!AE241&gt;'Deal maths'!AA241,'Deal maths'!AA241,'Deal maths'!AE241),IF(IF(DAY('Deal maths'!AA241+1)=1,EOMONTH('Deal maths'!AA241,-(INT(((YEAR('Deal maths'!AA241)-YEAR(IF('Deal maths'!Z241&gt;0,'Deal maths'!Z241,DATE(1990,1,1))))*12+MONTH('Deal maths'!AA241)-MONTH(IF('Deal maths'!Z241&gt;0,'Deal maths'!Z241,DATE(1990,1,1))))/D241))*D241),EDATE('Deal maths'!AA241,-(INT(((YEAR('Deal maths'!AA241)-YEAR(IF('Deal maths'!Z241&gt;0,'Deal maths'!Z241,DATE(1990,1,1))))*12+MONTH('Deal maths'!AA241)-MONTH(IF('Deal maths'!Z241&gt;0,'Deal maths'!Z241,DATE(1990,1,1))))/D241))*D241))&gt;IF('Deal maths'!Z241&gt;0,'Deal maths'!Z241,DATE(1990,1,1)),IF(DAY('Deal maths'!AA241+1)=1,EOMONTH('Deal maths'!AA241,-(INT(((YEAR('Deal maths'!AA241)-YEAR(IF('Deal maths'!Z241&gt;0,'Deal maths'!Z241,DATE(1990,1,1))))*12+MONTH('Deal maths'!AA241)-MONTH(IF('Deal maths'!Z241&gt;0,'Deal maths'!Z241,DATE(1990,1,1))))/D241))*D241),EDATE('Deal maths'!AA241,-(INT(((YEAR('Deal maths'!AA241)-YEAR(IF('Deal maths'!Z241&gt;0,'Deal maths'!Z241,DATE(1990,1,1))))*12+MONTH('Deal maths'!AA241)-MONTH(IF('Deal maths'!Z241&gt;0,'Deal maths'!Z241,DATE(1990,1,1))))/D241))*D241)),IF(DAY('Deal maths'!AA241+1)=1,EOMONTH('Deal maths'!AA241,-(INT(((YEAR('Deal maths'!AA241)-YEAR(IF('Deal maths'!Z241&gt;0,'Deal maths'!Z241,DATE(1990,1,1))))*12+MONTH('Deal maths'!AA241)-MONTH(IF('Deal maths'!Z241&gt;0,'Deal maths'!Z241,DATE(1990,1,1))))/D241)-1)*D241),EDATE('Deal maths'!AA241,-(INT(((YEAR('Deal maths'!AA241)-YEAR(IF('Deal maths'!Z241&gt;0,'Deal maths'!Z241,DATE(1990,1,1))))*12+MONTH('Deal maths'!AA241)-MONTH(IF('Deal maths'!Z241&gt;0,'Deal maths'!Z241,DATE(1990,1,1))))/D241)-1)*D241))))),0)</f>
        <v/>
      </c>
      <c r="F241" s="110">
        <f>IF(D241=0,0,'Deal maths'!AB241*D241/12)</f>
        <v/>
      </c>
      <c r="G241" s="108">
        <f>N241+O241</f>
        <v/>
      </c>
      <c r="H241" s="108">
        <f>IFERROR(IF(OR(D241=0,AsAt&lt;E241),0,MIN(N241,INT(((YEAR(AsAt)-YEAR(E241))*12+MONTH(AsAt)-MONTH(E241)-(DAY(AsAt)&lt;MIN(R241,DAY(EOMONTH(AsAt,0)))))/D241)+1)+O241*(AsAt&gt;='Deal maths'!AA241)),0)</f>
        <v/>
      </c>
      <c r="I241" s="108">
        <f>G241-H241</f>
        <v/>
      </c>
      <c r="J241" s="111">
        <f>IF(AND(C241="EIP",I241&gt;0),'Deal maths'!Y241/I241,0)</f>
        <v/>
      </c>
      <c r="K241" s="111">
        <f>IF(AND(C241="Annuity",I241&gt;0),IF(F241&gt;0,'Deal maths'!Y241*F241/(1-(1+F241)^-I241),'Deal maths'!Y241/I241),0)</f>
        <v/>
      </c>
      <c r="L241" s="111">
        <f>IF('Deal maths'!Y241="",0,'Deal maths'!Y241)</f>
        <v/>
      </c>
      <c r="M241" s="112">
        <f>F241+(F241=0)</f>
        <v/>
      </c>
      <c r="N241" s="108">
        <f>IFERROR(IF(D241=0,0,INT(((YEAR('Deal maths'!AA241)-YEAR(E241))*12+MONTH('Deal maths'!AA241)-MONTH(E241)-(DAY('Deal maths'!AA241)&lt;MIN(R241,DAY(EOMONTH('Deal maths'!AA241,0)))))/D241)+1),0)</f>
        <v/>
      </c>
      <c r="O241" s="108">
        <f>IFERROR(IF(D241=0,0,IF(IF(DAY(E241+1)=1,EOMONTH(E241,(N241-1)*D241),EDATE(E241,(N241-1)*D241))='Deal maths'!AA241,0,1)),0)</f>
        <v/>
      </c>
      <c r="P241" s="113">
        <f>IF(B241=0,0,IFERROR(IF(C241="EIP",((I241-O241)*((IF(DAY(E241+1)=1,EOMONTH(E241,H241*D241),EDATE(E241,H241*D241))-AsAt)/365.25+(IF(DAY(E241+1)=1,EOMONTH(E241,(N241-1)*D241),EDATE(E241,(N241-1)*D241))-AsAt)/365.25)/2+O241*('Deal maths'!AA241-AsAt)/365.25)/I241,IF(C241="Annuity",IF(F241&gt;0,((K241-L241*F241)*((IF(DAY(E241+1)=1,EOMONTH(E241,H241*D241),EDATE(E241,H241*D241))-AsAt)/365.25*((1+F241)^(I241-O241)-1)/F241+IF((I241-O241)&gt;1,((IF(DAY(E241+1)=1,EOMONTH(E241,(N241-1)*D241),EDATE(E241,(N241-1)*D241))-AsAt)/365.25-(IF(DAY(E241+1)=1,EOMONTH(E241,H241*D241),EDATE(E241,H241*D241))-AsAt)/365.25)/((I241-O241)-1),0)*(1+F241)*(1-(I241-O241)*(1+F241)^((I241-O241)-1)+((I241-O241)-1)*(1+F241)^(I241-O241))/F241^2)+O241*(K241-L241*F241)*(1+F241)^(I241-1)*('Deal maths'!AA241-AsAt)/365.25)/L241,((I241-O241)*((IF(DAY(E241+1)=1,EOMONTH(E241,H241*D241),EDATE(E241,H241*D241))-AsAt)/365.25+(IF(DAY(E241+1)=1,EOMONTH(E241,(N241-1)*D241),EDATE(E241,(N241-1)*D241))-AsAt)/365.25)/2+O241*('Deal maths'!AA241-AsAt)/365.25)/I241),(S241-AsAt)/365.25)),0))</f>
        <v/>
      </c>
      <c r="Q241" s="109">
        <f>IF(B241=1,'Deal maths'!AA241+ROW()/1000000,"")</f>
        <v/>
      </c>
      <c r="R241" s="108">
        <f>IF(D241=0,0,IF(DAY(E241+1)=1,31,DAY(E241)))</f>
        <v/>
      </c>
      <c r="S241" s="109">
        <f>IF(AND('Deal maths'!V241="LOBO",'Deal maths'!AG241&gt;AsAt,'Deal maths'!AG241&lt;'Deal maths'!AA241),'Deal maths'!AG241,'Deal maths'!AA241)</f>
        <v/>
      </c>
      <c r="T241" s="108">
        <f>('Deal maths'!AA241&gt;AsAt)*('Deal maths'!Y241&gt;0)</f>
        <v/>
      </c>
    </row>
    <row r="242">
      <c r="A242" s="91">
        <f>IF('Deal maths'!V242="","",'Deal maths'!W242)</f>
        <v/>
      </c>
      <c r="B242" s="108">
        <f>('Deal maths'!AA242&gt;AsAt)*('Deal maths'!Y242&gt;0)*('Deal maths'!Z242&lt;=AsAt)</f>
        <v/>
      </c>
      <c r="C242" s="91">
        <f>IF('Deal maths'!V242="","",IF('Deal maths'!AC242="","Maturity",'Deal maths'!AC242))</f>
        <v/>
      </c>
      <c r="D242" s="108">
        <f>IF(OR(C242="EIP",C242="Annuity"),IF('Deal maths'!AD242="Annual",12,IF('Deal maths'!AD242="Quarterly",3,6)),0)</f>
        <v/>
      </c>
      <c r="E242" s="109">
        <f>IFERROR(IF(D242=0,0,IF('Deal maths'!AE242&gt;0,IF('Deal maths'!AE242&gt;'Deal maths'!AA242,'Deal maths'!AA242,'Deal maths'!AE242),IF(IF(DAY('Deal maths'!AA242+1)=1,EOMONTH('Deal maths'!AA242,-(INT(((YEAR('Deal maths'!AA242)-YEAR(IF('Deal maths'!Z242&gt;0,'Deal maths'!Z242,DATE(1990,1,1))))*12+MONTH('Deal maths'!AA242)-MONTH(IF('Deal maths'!Z242&gt;0,'Deal maths'!Z242,DATE(1990,1,1))))/D242))*D242),EDATE('Deal maths'!AA242,-(INT(((YEAR('Deal maths'!AA242)-YEAR(IF('Deal maths'!Z242&gt;0,'Deal maths'!Z242,DATE(1990,1,1))))*12+MONTH('Deal maths'!AA242)-MONTH(IF('Deal maths'!Z242&gt;0,'Deal maths'!Z242,DATE(1990,1,1))))/D242))*D242))&gt;IF('Deal maths'!Z242&gt;0,'Deal maths'!Z242,DATE(1990,1,1)),IF(DAY('Deal maths'!AA242+1)=1,EOMONTH('Deal maths'!AA242,-(INT(((YEAR('Deal maths'!AA242)-YEAR(IF('Deal maths'!Z242&gt;0,'Deal maths'!Z242,DATE(1990,1,1))))*12+MONTH('Deal maths'!AA242)-MONTH(IF('Deal maths'!Z242&gt;0,'Deal maths'!Z242,DATE(1990,1,1))))/D242))*D242),EDATE('Deal maths'!AA242,-(INT(((YEAR('Deal maths'!AA242)-YEAR(IF('Deal maths'!Z242&gt;0,'Deal maths'!Z242,DATE(1990,1,1))))*12+MONTH('Deal maths'!AA242)-MONTH(IF('Deal maths'!Z242&gt;0,'Deal maths'!Z242,DATE(1990,1,1))))/D242))*D242)),IF(DAY('Deal maths'!AA242+1)=1,EOMONTH('Deal maths'!AA242,-(INT(((YEAR('Deal maths'!AA242)-YEAR(IF('Deal maths'!Z242&gt;0,'Deal maths'!Z242,DATE(1990,1,1))))*12+MONTH('Deal maths'!AA242)-MONTH(IF('Deal maths'!Z242&gt;0,'Deal maths'!Z242,DATE(1990,1,1))))/D242)-1)*D242),EDATE('Deal maths'!AA242,-(INT(((YEAR('Deal maths'!AA242)-YEAR(IF('Deal maths'!Z242&gt;0,'Deal maths'!Z242,DATE(1990,1,1))))*12+MONTH('Deal maths'!AA242)-MONTH(IF('Deal maths'!Z242&gt;0,'Deal maths'!Z242,DATE(1990,1,1))))/D242)-1)*D242))))),0)</f>
        <v/>
      </c>
      <c r="F242" s="110">
        <f>IF(D242=0,0,'Deal maths'!AB242*D242/12)</f>
        <v/>
      </c>
      <c r="G242" s="108">
        <f>N242+O242</f>
        <v/>
      </c>
      <c r="H242" s="108">
        <f>IFERROR(IF(OR(D242=0,AsAt&lt;E242),0,MIN(N242,INT(((YEAR(AsAt)-YEAR(E242))*12+MONTH(AsAt)-MONTH(E242)-(DAY(AsAt)&lt;MIN(R242,DAY(EOMONTH(AsAt,0)))))/D242)+1)+O242*(AsAt&gt;='Deal maths'!AA242)),0)</f>
        <v/>
      </c>
      <c r="I242" s="108">
        <f>G242-H242</f>
        <v/>
      </c>
      <c r="J242" s="111">
        <f>IF(AND(C242="EIP",I242&gt;0),'Deal maths'!Y242/I242,0)</f>
        <v/>
      </c>
      <c r="K242" s="111">
        <f>IF(AND(C242="Annuity",I242&gt;0),IF(F242&gt;0,'Deal maths'!Y242*F242/(1-(1+F242)^-I242),'Deal maths'!Y242/I242),0)</f>
        <v/>
      </c>
      <c r="L242" s="111">
        <f>IF('Deal maths'!Y242="",0,'Deal maths'!Y242)</f>
        <v/>
      </c>
      <c r="M242" s="112">
        <f>F242+(F242=0)</f>
        <v/>
      </c>
      <c r="N242" s="108">
        <f>IFERROR(IF(D242=0,0,INT(((YEAR('Deal maths'!AA242)-YEAR(E242))*12+MONTH('Deal maths'!AA242)-MONTH(E242)-(DAY('Deal maths'!AA242)&lt;MIN(R242,DAY(EOMONTH('Deal maths'!AA242,0)))))/D242)+1),0)</f>
        <v/>
      </c>
      <c r="O242" s="108">
        <f>IFERROR(IF(D242=0,0,IF(IF(DAY(E242+1)=1,EOMONTH(E242,(N242-1)*D242),EDATE(E242,(N242-1)*D242))='Deal maths'!AA242,0,1)),0)</f>
        <v/>
      </c>
      <c r="P242" s="113">
        <f>IF(B242=0,0,IFERROR(IF(C242="EIP",((I242-O242)*((IF(DAY(E242+1)=1,EOMONTH(E242,H242*D242),EDATE(E242,H242*D242))-AsAt)/365.25+(IF(DAY(E242+1)=1,EOMONTH(E242,(N242-1)*D242),EDATE(E242,(N242-1)*D242))-AsAt)/365.25)/2+O242*('Deal maths'!AA242-AsAt)/365.25)/I242,IF(C242="Annuity",IF(F242&gt;0,((K242-L242*F242)*((IF(DAY(E242+1)=1,EOMONTH(E242,H242*D242),EDATE(E242,H242*D242))-AsAt)/365.25*((1+F242)^(I242-O242)-1)/F242+IF((I242-O242)&gt;1,((IF(DAY(E242+1)=1,EOMONTH(E242,(N242-1)*D242),EDATE(E242,(N242-1)*D242))-AsAt)/365.25-(IF(DAY(E242+1)=1,EOMONTH(E242,H242*D242),EDATE(E242,H242*D242))-AsAt)/365.25)/((I242-O242)-1),0)*(1+F242)*(1-(I242-O242)*(1+F242)^((I242-O242)-1)+((I242-O242)-1)*(1+F242)^(I242-O242))/F242^2)+O242*(K242-L242*F242)*(1+F242)^(I242-1)*('Deal maths'!AA242-AsAt)/365.25)/L242,((I242-O242)*((IF(DAY(E242+1)=1,EOMONTH(E242,H242*D242),EDATE(E242,H242*D242))-AsAt)/365.25+(IF(DAY(E242+1)=1,EOMONTH(E242,(N242-1)*D242),EDATE(E242,(N242-1)*D242))-AsAt)/365.25)/2+O242*('Deal maths'!AA242-AsAt)/365.25)/I242),(S242-AsAt)/365.25)),0))</f>
        <v/>
      </c>
      <c r="Q242" s="109">
        <f>IF(B242=1,'Deal maths'!AA242+ROW()/1000000,"")</f>
        <v/>
      </c>
      <c r="R242" s="108">
        <f>IF(D242=0,0,IF(DAY(E242+1)=1,31,DAY(E242)))</f>
        <v/>
      </c>
      <c r="S242" s="109">
        <f>IF(AND('Deal maths'!V242="LOBO",'Deal maths'!AG242&gt;AsAt,'Deal maths'!AG242&lt;'Deal maths'!AA242),'Deal maths'!AG242,'Deal maths'!AA242)</f>
        <v/>
      </c>
      <c r="T242" s="108">
        <f>('Deal maths'!AA242&gt;AsAt)*('Deal maths'!Y242&gt;0)</f>
        <v/>
      </c>
    </row>
    <row r="243">
      <c r="A243" s="91">
        <f>IF('Deal maths'!V243="","",'Deal maths'!W243)</f>
        <v/>
      </c>
      <c r="B243" s="108">
        <f>('Deal maths'!AA243&gt;AsAt)*('Deal maths'!Y243&gt;0)*('Deal maths'!Z243&lt;=AsAt)</f>
        <v/>
      </c>
      <c r="C243" s="91">
        <f>IF('Deal maths'!V243="","",IF('Deal maths'!AC243="","Maturity",'Deal maths'!AC243))</f>
        <v/>
      </c>
      <c r="D243" s="108">
        <f>IF(OR(C243="EIP",C243="Annuity"),IF('Deal maths'!AD243="Annual",12,IF('Deal maths'!AD243="Quarterly",3,6)),0)</f>
        <v/>
      </c>
      <c r="E243" s="109">
        <f>IFERROR(IF(D243=0,0,IF('Deal maths'!AE243&gt;0,IF('Deal maths'!AE243&gt;'Deal maths'!AA243,'Deal maths'!AA243,'Deal maths'!AE243),IF(IF(DAY('Deal maths'!AA243+1)=1,EOMONTH('Deal maths'!AA243,-(INT(((YEAR('Deal maths'!AA243)-YEAR(IF('Deal maths'!Z243&gt;0,'Deal maths'!Z243,DATE(1990,1,1))))*12+MONTH('Deal maths'!AA243)-MONTH(IF('Deal maths'!Z243&gt;0,'Deal maths'!Z243,DATE(1990,1,1))))/D243))*D243),EDATE('Deal maths'!AA243,-(INT(((YEAR('Deal maths'!AA243)-YEAR(IF('Deal maths'!Z243&gt;0,'Deal maths'!Z243,DATE(1990,1,1))))*12+MONTH('Deal maths'!AA243)-MONTH(IF('Deal maths'!Z243&gt;0,'Deal maths'!Z243,DATE(1990,1,1))))/D243))*D243))&gt;IF('Deal maths'!Z243&gt;0,'Deal maths'!Z243,DATE(1990,1,1)),IF(DAY('Deal maths'!AA243+1)=1,EOMONTH('Deal maths'!AA243,-(INT(((YEAR('Deal maths'!AA243)-YEAR(IF('Deal maths'!Z243&gt;0,'Deal maths'!Z243,DATE(1990,1,1))))*12+MONTH('Deal maths'!AA243)-MONTH(IF('Deal maths'!Z243&gt;0,'Deal maths'!Z243,DATE(1990,1,1))))/D243))*D243),EDATE('Deal maths'!AA243,-(INT(((YEAR('Deal maths'!AA243)-YEAR(IF('Deal maths'!Z243&gt;0,'Deal maths'!Z243,DATE(1990,1,1))))*12+MONTH('Deal maths'!AA243)-MONTH(IF('Deal maths'!Z243&gt;0,'Deal maths'!Z243,DATE(1990,1,1))))/D243))*D243)),IF(DAY('Deal maths'!AA243+1)=1,EOMONTH('Deal maths'!AA243,-(INT(((YEAR('Deal maths'!AA243)-YEAR(IF('Deal maths'!Z243&gt;0,'Deal maths'!Z243,DATE(1990,1,1))))*12+MONTH('Deal maths'!AA243)-MONTH(IF('Deal maths'!Z243&gt;0,'Deal maths'!Z243,DATE(1990,1,1))))/D243)-1)*D243),EDATE('Deal maths'!AA243,-(INT(((YEAR('Deal maths'!AA243)-YEAR(IF('Deal maths'!Z243&gt;0,'Deal maths'!Z243,DATE(1990,1,1))))*12+MONTH('Deal maths'!AA243)-MONTH(IF('Deal maths'!Z243&gt;0,'Deal maths'!Z243,DATE(1990,1,1))))/D243)-1)*D243))))),0)</f>
        <v/>
      </c>
      <c r="F243" s="110">
        <f>IF(D243=0,0,'Deal maths'!AB243*D243/12)</f>
        <v/>
      </c>
      <c r="G243" s="108">
        <f>N243+O243</f>
        <v/>
      </c>
      <c r="H243" s="108">
        <f>IFERROR(IF(OR(D243=0,AsAt&lt;E243),0,MIN(N243,INT(((YEAR(AsAt)-YEAR(E243))*12+MONTH(AsAt)-MONTH(E243)-(DAY(AsAt)&lt;MIN(R243,DAY(EOMONTH(AsAt,0)))))/D243)+1)+O243*(AsAt&gt;='Deal maths'!AA243)),0)</f>
        <v/>
      </c>
      <c r="I243" s="108">
        <f>G243-H243</f>
        <v/>
      </c>
      <c r="J243" s="111">
        <f>IF(AND(C243="EIP",I243&gt;0),'Deal maths'!Y243/I243,0)</f>
        <v/>
      </c>
      <c r="K243" s="111">
        <f>IF(AND(C243="Annuity",I243&gt;0),IF(F243&gt;0,'Deal maths'!Y243*F243/(1-(1+F243)^-I243),'Deal maths'!Y243/I243),0)</f>
        <v/>
      </c>
      <c r="L243" s="111">
        <f>IF('Deal maths'!Y243="",0,'Deal maths'!Y243)</f>
        <v/>
      </c>
      <c r="M243" s="112">
        <f>F243+(F243=0)</f>
        <v/>
      </c>
      <c r="N243" s="108">
        <f>IFERROR(IF(D243=0,0,INT(((YEAR('Deal maths'!AA243)-YEAR(E243))*12+MONTH('Deal maths'!AA243)-MONTH(E243)-(DAY('Deal maths'!AA243)&lt;MIN(R243,DAY(EOMONTH('Deal maths'!AA243,0)))))/D243)+1),0)</f>
        <v/>
      </c>
      <c r="O243" s="108">
        <f>IFERROR(IF(D243=0,0,IF(IF(DAY(E243+1)=1,EOMONTH(E243,(N243-1)*D243),EDATE(E243,(N243-1)*D243))='Deal maths'!AA243,0,1)),0)</f>
        <v/>
      </c>
      <c r="P243" s="113">
        <f>IF(B243=0,0,IFERROR(IF(C243="EIP",((I243-O243)*((IF(DAY(E243+1)=1,EOMONTH(E243,H243*D243),EDATE(E243,H243*D243))-AsAt)/365.25+(IF(DAY(E243+1)=1,EOMONTH(E243,(N243-1)*D243),EDATE(E243,(N243-1)*D243))-AsAt)/365.25)/2+O243*('Deal maths'!AA243-AsAt)/365.25)/I243,IF(C243="Annuity",IF(F243&gt;0,((K243-L243*F243)*((IF(DAY(E243+1)=1,EOMONTH(E243,H243*D243),EDATE(E243,H243*D243))-AsAt)/365.25*((1+F243)^(I243-O243)-1)/F243+IF((I243-O243)&gt;1,((IF(DAY(E243+1)=1,EOMONTH(E243,(N243-1)*D243),EDATE(E243,(N243-1)*D243))-AsAt)/365.25-(IF(DAY(E243+1)=1,EOMONTH(E243,H243*D243),EDATE(E243,H243*D243))-AsAt)/365.25)/((I243-O243)-1),0)*(1+F243)*(1-(I243-O243)*(1+F243)^((I243-O243)-1)+((I243-O243)-1)*(1+F243)^(I243-O243))/F243^2)+O243*(K243-L243*F243)*(1+F243)^(I243-1)*('Deal maths'!AA243-AsAt)/365.25)/L243,((I243-O243)*((IF(DAY(E243+1)=1,EOMONTH(E243,H243*D243),EDATE(E243,H243*D243))-AsAt)/365.25+(IF(DAY(E243+1)=1,EOMONTH(E243,(N243-1)*D243),EDATE(E243,(N243-1)*D243))-AsAt)/365.25)/2+O243*('Deal maths'!AA243-AsAt)/365.25)/I243),(S243-AsAt)/365.25)),0))</f>
        <v/>
      </c>
      <c r="Q243" s="109">
        <f>IF(B243=1,'Deal maths'!AA243+ROW()/1000000,"")</f>
        <v/>
      </c>
      <c r="R243" s="108">
        <f>IF(D243=0,0,IF(DAY(E243+1)=1,31,DAY(E243)))</f>
        <v/>
      </c>
      <c r="S243" s="109">
        <f>IF(AND('Deal maths'!V243="LOBO",'Deal maths'!AG243&gt;AsAt,'Deal maths'!AG243&lt;'Deal maths'!AA243),'Deal maths'!AG243,'Deal maths'!AA243)</f>
        <v/>
      </c>
      <c r="T243" s="108">
        <f>('Deal maths'!AA243&gt;AsAt)*('Deal maths'!Y243&gt;0)</f>
        <v/>
      </c>
    </row>
    <row r="244">
      <c r="A244" s="91">
        <f>IF('Deal maths'!V244="","",'Deal maths'!W244)</f>
        <v/>
      </c>
      <c r="B244" s="108">
        <f>('Deal maths'!AA244&gt;AsAt)*('Deal maths'!Y244&gt;0)*('Deal maths'!Z244&lt;=AsAt)</f>
        <v/>
      </c>
      <c r="C244" s="91">
        <f>IF('Deal maths'!V244="","",IF('Deal maths'!AC244="","Maturity",'Deal maths'!AC244))</f>
        <v/>
      </c>
      <c r="D244" s="108">
        <f>IF(OR(C244="EIP",C244="Annuity"),IF('Deal maths'!AD244="Annual",12,IF('Deal maths'!AD244="Quarterly",3,6)),0)</f>
        <v/>
      </c>
      <c r="E244" s="109">
        <f>IFERROR(IF(D244=0,0,IF('Deal maths'!AE244&gt;0,IF('Deal maths'!AE244&gt;'Deal maths'!AA244,'Deal maths'!AA244,'Deal maths'!AE244),IF(IF(DAY('Deal maths'!AA244+1)=1,EOMONTH('Deal maths'!AA244,-(INT(((YEAR('Deal maths'!AA244)-YEAR(IF('Deal maths'!Z244&gt;0,'Deal maths'!Z244,DATE(1990,1,1))))*12+MONTH('Deal maths'!AA244)-MONTH(IF('Deal maths'!Z244&gt;0,'Deal maths'!Z244,DATE(1990,1,1))))/D244))*D244),EDATE('Deal maths'!AA244,-(INT(((YEAR('Deal maths'!AA244)-YEAR(IF('Deal maths'!Z244&gt;0,'Deal maths'!Z244,DATE(1990,1,1))))*12+MONTH('Deal maths'!AA244)-MONTH(IF('Deal maths'!Z244&gt;0,'Deal maths'!Z244,DATE(1990,1,1))))/D244))*D244))&gt;IF('Deal maths'!Z244&gt;0,'Deal maths'!Z244,DATE(1990,1,1)),IF(DAY('Deal maths'!AA244+1)=1,EOMONTH('Deal maths'!AA244,-(INT(((YEAR('Deal maths'!AA244)-YEAR(IF('Deal maths'!Z244&gt;0,'Deal maths'!Z244,DATE(1990,1,1))))*12+MONTH('Deal maths'!AA244)-MONTH(IF('Deal maths'!Z244&gt;0,'Deal maths'!Z244,DATE(1990,1,1))))/D244))*D244),EDATE('Deal maths'!AA244,-(INT(((YEAR('Deal maths'!AA244)-YEAR(IF('Deal maths'!Z244&gt;0,'Deal maths'!Z244,DATE(1990,1,1))))*12+MONTH('Deal maths'!AA244)-MONTH(IF('Deal maths'!Z244&gt;0,'Deal maths'!Z244,DATE(1990,1,1))))/D244))*D244)),IF(DAY('Deal maths'!AA244+1)=1,EOMONTH('Deal maths'!AA244,-(INT(((YEAR('Deal maths'!AA244)-YEAR(IF('Deal maths'!Z244&gt;0,'Deal maths'!Z244,DATE(1990,1,1))))*12+MONTH('Deal maths'!AA244)-MONTH(IF('Deal maths'!Z244&gt;0,'Deal maths'!Z244,DATE(1990,1,1))))/D244)-1)*D244),EDATE('Deal maths'!AA244,-(INT(((YEAR('Deal maths'!AA244)-YEAR(IF('Deal maths'!Z244&gt;0,'Deal maths'!Z244,DATE(1990,1,1))))*12+MONTH('Deal maths'!AA244)-MONTH(IF('Deal maths'!Z244&gt;0,'Deal maths'!Z244,DATE(1990,1,1))))/D244)-1)*D244))))),0)</f>
        <v/>
      </c>
      <c r="F244" s="110">
        <f>IF(D244=0,0,'Deal maths'!AB244*D244/12)</f>
        <v/>
      </c>
      <c r="G244" s="108">
        <f>N244+O244</f>
        <v/>
      </c>
      <c r="H244" s="108">
        <f>IFERROR(IF(OR(D244=0,AsAt&lt;E244),0,MIN(N244,INT(((YEAR(AsAt)-YEAR(E244))*12+MONTH(AsAt)-MONTH(E244)-(DAY(AsAt)&lt;MIN(R244,DAY(EOMONTH(AsAt,0)))))/D244)+1)+O244*(AsAt&gt;='Deal maths'!AA244)),0)</f>
        <v/>
      </c>
      <c r="I244" s="108">
        <f>G244-H244</f>
        <v/>
      </c>
      <c r="J244" s="111">
        <f>IF(AND(C244="EIP",I244&gt;0),'Deal maths'!Y244/I244,0)</f>
        <v/>
      </c>
      <c r="K244" s="111">
        <f>IF(AND(C244="Annuity",I244&gt;0),IF(F244&gt;0,'Deal maths'!Y244*F244/(1-(1+F244)^-I244),'Deal maths'!Y244/I244),0)</f>
        <v/>
      </c>
      <c r="L244" s="111">
        <f>IF('Deal maths'!Y244="",0,'Deal maths'!Y244)</f>
        <v/>
      </c>
      <c r="M244" s="112">
        <f>F244+(F244=0)</f>
        <v/>
      </c>
      <c r="N244" s="108">
        <f>IFERROR(IF(D244=0,0,INT(((YEAR('Deal maths'!AA244)-YEAR(E244))*12+MONTH('Deal maths'!AA244)-MONTH(E244)-(DAY('Deal maths'!AA244)&lt;MIN(R244,DAY(EOMONTH('Deal maths'!AA244,0)))))/D244)+1),0)</f>
        <v/>
      </c>
      <c r="O244" s="108">
        <f>IFERROR(IF(D244=0,0,IF(IF(DAY(E244+1)=1,EOMONTH(E244,(N244-1)*D244),EDATE(E244,(N244-1)*D244))='Deal maths'!AA244,0,1)),0)</f>
        <v/>
      </c>
      <c r="P244" s="113">
        <f>IF(B244=0,0,IFERROR(IF(C244="EIP",((I244-O244)*((IF(DAY(E244+1)=1,EOMONTH(E244,H244*D244),EDATE(E244,H244*D244))-AsAt)/365.25+(IF(DAY(E244+1)=1,EOMONTH(E244,(N244-1)*D244),EDATE(E244,(N244-1)*D244))-AsAt)/365.25)/2+O244*('Deal maths'!AA244-AsAt)/365.25)/I244,IF(C244="Annuity",IF(F244&gt;0,((K244-L244*F244)*((IF(DAY(E244+1)=1,EOMONTH(E244,H244*D244),EDATE(E244,H244*D244))-AsAt)/365.25*((1+F244)^(I244-O244)-1)/F244+IF((I244-O244)&gt;1,((IF(DAY(E244+1)=1,EOMONTH(E244,(N244-1)*D244),EDATE(E244,(N244-1)*D244))-AsAt)/365.25-(IF(DAY(E244+1)=1,EOMONTH(E244,H244*D244),EDATE(E244,H244*D244))-AsAt)/365.25)/((I244-O244)-1),0)*(1+F244)*(1-(I244-O244)*(1+F244)^((I244-O244)-1)+((I244-O244)-1)*(1+F244)^(I244-O244))/F244^2)+O244*(K244-L244*F244)*(1+F244)^(I244-1)*('Deal maths'!AA244-AsAt)/365.25)/L244,((I244-O244)*((IF(DAY(E244+1)=1,EOMONTH(E244,H244*D244),EDATE(E244,H244*D244))-AsAt)/365.25+(IF(DAY(E244+1)=1,EOMONTH(E244,(N244-1)*D244),EDATE(E244,(N244-1)*D244))-AsAt)/365.25)/2+O244*('Deal maths'!AA244-AsAt)/365.25)/I244),(S244-AsAt)/365.25)),0))</f>
        <v/>
      </c>
      <c r="Q244" s="109">
        <f>IF(B244=1,'Deal maths'!AA244+ROW()/1000000,"")</f>
        <v/>
      </c>
      <c r="R244" s="108">
        <f>IF(D244=0,0,IF(DAY(E244+1)=1,31,DAY(E244)))</f>
        <v/>
      </c>
      <c r="S244" s="109">
        <f>IF(AND('Deal maths'!V244="LOBO",'Deal maths'!AG244&gt;AsAt,'Deal maths'!AG244&lt;'Deal maths'!AA244),'Deal maths'!AG244,'Deal maths'!AA244)</f>
        <v/>
      </c>
      <c r="T244" s="108">
        <f>('Deal maths'!AA244&gt;AsAt)*('Deal maths'!Y244&gt;0)</f>
        <v/>
      </c>
    </row>
    <row r="245">
      <c r="A245" s="91">
        <f>IF('Deal maths'!V245="","",'Deal maths'!W245)</f>
        <v/>
      </c>
      <c r="B245" s="108">
        <f>('Deal maths'!AA245&gt;AsAt)*('Deal maths'!Y245&gt;0)*('Deal maths'!Z245&lt;=AsAt)</f>
        <v/>
      </c>
      <c r="C245" s="91">
        <f>IF('Deal maths'!V245="","",IF('Deal maths'!AC245="","Maturity",'Deal maths'!AC245))</f>
        <v/>
      </c>
      <c r="D245" s="108">
        <f>IF(OR(C245="EIP",C245="Annuity"),IF('Deal maths'!AD245="Annual",12,IF('Deal maths'!AD245="Quarterly",3,6)),0)</f>
        <v/>
      </c>
      <c r="E245" s="109">
        <f>IFERROR(IF(D245=0,0,IF('Deal maths'!AE245&gt;0,IF('Deal maths'!AE245&gt;'Deal maths'!AA245,'Deal maths'!AA245,'Deal maths'!AE245),IF(IF(DAY('Deal maths'!AA245+1)=1,EOMONTH('Deal maths'!AA245,-(INT(((YEAR('Deal maths'!AA245)-YEAR(IF('Deal maths'!Z245&gt;0,'Deal maths'!Z245,DATE(1990,1,1))))*12+MONTH('Deal maths'!AA245)-MONTH(IF('Deal maths'!Z245&gt;0,'Deal maths'!Z245,DATE(1990,1,1))))/D245))*D245),EDATE('Deal maths'!AA245,-(INT(((YEAR('Deal maths'!AA245)-YEAR(IF('Deal maths'!Z245&gt;0,'Deal maths'!Z245,DATE(1990,1,1))))*12+MONTH('Deal maths'!AA245)-MONTH(IF('Deal maths'!Z245&gt;0,'Deal maths'!Z245,DATE(1990,1,1))))/D245))*D245))&gt;IF('Deal maths'!Z245&gt;0,'Deal maths'!Z245,DATE(1990,1,1)),IF(DAY('Deal maths'!AA245+1)=1,EOMONTH('Deal maths'!AA245,-(INT(((YEAR('Deal maths'!AA245)-YEAR(IF('Deal maths'!Z245&gt;0,'Deal maths'!Z245,DATE(1990,1,1))))*12+MONTH('Deal maths'!AA245)-MONTH(IF('Deal maths'!Z245&gt;0,'Deal maths'!Z245,DATE(1990,1,1))))/D245))*D245),EDATE('Deal maths'!AA245,-(INT(((YEAR('Deal maths'!AA245)-YEAR(IF('Deal maths'!Z245&gt;0,'Deal maths'!Z245,DATE(1990,1,1))))*12+MONTH('Deal maths'!AA245)-MONTH(IF('Deal maths'!Z245&gt;0,'Deal maths'!Z245,DATE(1990,1,1))))/D245))*D245)),IF(DAY('Deal maths'!AA245+1)=1,EOMONTH('Deal maths'!AA245,-(INT(((YEAR('Deal maths'!AA245)-YEAR(IF('Deal maths'!Z245&gt;0,'Deal maths'!Z245,DATE(1990,1,1))))*12+MONTH('Deal maths'!AA245)-MONTH(IF('Deal maths'!Z245&gt;0,'Deal maths'!Z245,DATE(1990,1,1))))/D245)-1)*D245),EDATE('Deal maths'!AA245,-(INT(((YEAR('Deal maths'!AA245)-YEAR(IF('Deal maths'!Z245&gt;0,'Deal maths'!Z245,DATE(1990,1,1))))*12+MONTH('Deal maths'!AA245)-MONTH(IF('Deal maths'!Z245&gt;0,'Deal maths'!Z245,DATE(1990,1,1))))/D245)-1)*D245))))),0)</f>
        <v/>
      </c>
      <c r="F245" s="110">
        <f>IF(D245=0,0,'Deal maths'!AB245*D245/12)</f>
        <v/>
      </c>
      <c r="G245" s="108">
        <f>N245+O245</f>
        <v/>
      </c>
      <c r="H245" s="108">
        <f>IFERROR(IF(OR(D245=0,AsAt&lt;E245),0,MIN(N245,INT(((YEAR(AsAt)-YEAR(E245))*12+MONTH(AsAt)-MONTH(E245)-(DAY(AsAt)&lt;MIN(R245,DAY(EOMONTH(AsAt,0)))))/D245)+1)+O245*(AsAt&gt;='Deal maths'!AA245)),0)</f>
        <v/>
      </c>
      <c r="I245" s="108">
        <f>G245-H245</f>
        <v/>
      </c>
      <c r="J245" s="111">
        <f>IF(AND(C245="EIP",I245&gt;0),'Deal maths'!Y245/I245,0)</f>
        <v/>
      </c>
      <c r="K245" s="111">
        <f>IF(AND(C245="Annuity",I245&gt;0),IF(F245&gt;0,'Deal maths'!Y245*F245/(1-(1+F245)^-I245),'Deal maths'!Y245/I245),0)</f>
        <v/>
      </c>
      <c r="L245" s="111">
        <f>IF('Deal maths'!Y245="",0,'Deal maths'!Y245)</f>
        <v/>
      </c>
      <c r="M245" s="112">
        <f>F245+(F245=0)</f>
        <v/>
      </c>
      <c r="N245" s="108">
        <f>IFERROR(IF(D245=0,0,INT(((YEAR('Deal maths'!AA245)-YEAR(E245))*12+MONTH('Deal maths'!AA245)-MONTH(E245)-(DAY('Deal maths'!AA245)&lt;MIN(R245,DAY(EOMONTH('Deal maths'!AA245,0)))))/D245)+1),0)</f>
        <v/>
      </c>
      <c r="O245" s="108">
        <f>IFERROR(IF(D245=0,0,IF(IF(DAY(E245+1)=1,EOMONTH(E245,(N245-1)*D245),EDATE(E245,(N245-1)*D245))='Deal maths'!AA245,0,1)),0)</f>
        <v/>
      </c>
      <c r="P245" s="113">
        <f>IF(B245=0,0,IFERROR(IF(C245="EIP",((I245-O245)*((IF(DAY(E245+1)=1,EOMONTH(E245,H245*D245),EDATE(E245,H245*D245))-AsAt)/365.25+(IF(DAY(E245+1)=1,EOMONTH(E245,(N245-1)*D245),EDATE(E245,(N245-1)*D245))-AsAt)/365.25)/2+O245*('Deal maths'!AA245-AsAt)/365.25)/I245,IF(C245="Annuity",IF(F245&gt;0,((K245-L245*F245)*((IF(DAY(E245+1)=1,EOMONTH(E245,H245*D245),EDATE(E245,H245*D245))-AsAt)/365.25*((1+F245)^(I245-O245)-1)/F245+IF((I245-O245)&gt;1,((IF(DAY(E245+1)=1,EOMONTH(E245,(N245-1)*D245),EDATE(E245,(N245-1)*D245))-AsAt)/365.25-(IF(DAY(E245+1)=1,EOMONTH(E245,H245*D245),EDATE(E245,H245*D245))-AsAt)/365.25)/((I245-O245)-1),0)*(1+F245)*(1-(I245-O245)*(1+F245)^((I245-O245)-1)+((I245-O245)-1)*(1+F245)^(I245-O245))/F245^2)+O245*(K245-L245*F245)*(1+F245)^(I245-1)*('Deal maths'!AA245-AsAt)/365.25)/L245,((I245-O245)*((IF(DAY(E245+1)=1,EOMONTH(E245,H245*D245),EDATE(E245,H245*D245))-AsAt)/365.25+(IF(DAY(E245+1)=1,EOMONTH(E245,(N245-1)*D245),EDATE(E245,(N245-1)*D245))-AsAt)/365.25)/2+O245*('Deal maths'!AA245-AsAt)/365.25)/I245),(S245-AsAt)/365.25)),0))</f>
        <v/>
      </c>
      <c r="Q245" s="109">
        <f>IF(B245=1,'Deal maths'!AA245+ROW()/1000000,"")</f>
        <v/>
      </c>
      <c r="R245" s="108">
        <f>IF(D245=0,0,IF(DAY(E245+1)=1,31,DAY(E245)))</f>
        <v/>
      </c>
      <c r="S245" s="109">
        <f>IF(AND('Deal maths'!V245="LOBO",'Deal maths'!AG245&gt;AsAt,'Deal maths'!AG245&lt;'Deal maths'!AA245),'Deal maths'!AG245,'Deal maths'!AA245)</f>
        <v/>
      </c>
      <c r="T245" s="108">
        <f>('Deal maths'!AA245&gt;AsAt)*('Deal maths'!Y245&gt;0)</f>
        <v/>
      </c>
    </row>
    <row r="246">
      <c r="A246" s="91">
        <f>IF('Deal maths'!V246="","",'Deal maths'!W246)</f>
        <v/>
      </c>
      <c r="B246" s="108">
        <f>('Deal maths'!AA246&gt;AsAt)*('Deal maths'!Y246&gt;0)*('Deal maths'!Z246&lt;=AsAt)</f>
        <v/>
      </c>
      <c r="C246" s="91">
        <f>IF('Deal maths'!V246="","",IF('Deal maths'!AC246="","Maturity",'Deal maths'!AC246))</f>
        <v/>
      </c>
      <c r="D246" s="108">
        <f>IF(OR(C246="EIP",C246="Annuity"),IF('Deal maths'!AD246="Annual",12,IF('Deal maths'!AD246="Quarterly",3,6)),0)</f>
        <v/>
      </c>
      <c r="E246" s="109">
        <f>IFERROR(IF(D246=0,0,IF('Deal maths'!AE246&gt;0,IF('Deal maths'!AE246&gt;'Deal maths'!AA246,'Deal maths'!AA246,'Deal maths'!AE246),IF(IF(DAY('Deal maths'!AA246+1)=1,EOMONTH('Deal maths'!AA246,-(INT(((YEAR('Deal maths'!AA246)-YEAR(IF('Deal maths'!Z246&gt;0,'Deal maths'!Z246,DATE(1990,1,1))))*12+MONTH('Deal maths'!AA246)-MONTH(IF('Deal maths'!Z246&gt;0,'Deal maths'!Z246,DATE(1990,1,1))))/D246))*D246),EDATE('Deal maths'!AA246,-(INT(((YEAR('Deal maths'!AA246)-YEAR(IF('Deal maths'!Z246&gt;0,'Deal maths'!Z246,DATE(1990,1,1))))*12+MONTH('Deal maths'!AA246)-MONTH(IF('Deal maths'!Z246&gt;0,'Deal maths'!Z246,DATE(1990,1,1))))/D246))*D246))&gt;IF('Deal maths'!Z246&gt;0,'Deal maths'!Z246,DATE(1990,1,1)),IF(DAY('Deal maths'!AA246+1)=1,EOMONTH('Deal maths'!AA246,-(INT(((YEAR('Deal maths'!AA246)-YEAR(IF('Deal maths'!Z246&gt;0,'Deal maths'!Z246,DATE(1990,1,1))))*12+MONTH('Deal maths'!AA246)-MONTH(IF('Deal maths'!Z246&gt;0,'Deal maths'!Z246,DATE(1990,1,1))))/D246))*D246),EDATE('Deal maths'!AA246,-(INT(((YEAR('Deal maths'!AA246)-YEAR(IF('Deal maths'!Z246&gt;0,'Deal maths'!Z246,DATE(1990,1,1))))*12+MONTH('Deal maths'!AA246)-MONTH(IF('Deal maths'!Z246&gt;0,'Deal maths'!Z246,DATE(1990,1,1))))/D246))*D246)),IF(DAY('Deal maths'!AA246+1)=1,EOMONTH('Deal maths'!AA246,-(INT(((YEAR('Deal maths'!AA246)-YEAR(IF('Deal maths'!Z246&gt;0,'Deal maths'!Z246,DATE(1990,1,1))))*12+MONTH('Deal maths'!AA246)-MONTH(IF('Deal maths'!Z246&gt;0,'Deal maths'!Z246,DATE(1990,1,1))))/D246)-1)*D246),EDATE('Deal maths'!AA246,-(INT(((YEAR('Deal maths'!AA246)-YEAR(IF('Deal maths'!Z246&gt;0,'Deal maths'!Z246,DATE(1990,1,1))))*12+MONTH('Deal maths'!AA246)-MONTH(IF('Deal maths'!Z246&gt;0,'Deal maths'!Z246,DATE(1990,1,1))))/D246)-1)*D246))))),0)</f>
        <v/>
      </c>
      <c r="F246" s="110">
        <f>IF(D246=0,0,'Deal maths'!AB246*D246/12)</f>
        <v/>
      </c>
      <c r="G246" s="108">
        <f>N246+O246</f>
        <v/>
      </c>
      <c r="H246" s="108">
        <f>IFERROR(IF(OR(D246=0,AsAt&lt;E246),0,MIN(N246,INT(((YEAR(AsAt)-YEAR(E246))*12+MONTH(AsAt)-MONTH(E246)-(DAY(AsAt)&lt;MIN(R246,DAY(EOMONTH(AsAt,0)))))/D246)+1)+O246*(AsAt&gt;='Deal maths'!AA246)),0)</f>
        <v/>
      </c>
      <c r="I246" s="108">
        <f>G246-H246</f>
        <v/>
      </c>
      <c r="J246" s="111">
        <f>IF(AND(C246="EIP",I246&gt;0),'Deal maths'!Y246/I246,0)</f>
        <v/>
      </c>
      <c r="K246" s="111">
        <f>IF(AND(C246="Annuity",I246&gt;0),IF(F246&gt;0,'Deal maths'!Y246*F246/(1-(1+F246)^-I246),'Deal maths'!Y246/I246),0)</f>
        <v/>
      </c>
      <c r="L246" s="111">
        <f>IF('Deal maths'!Y246="",0,'Deal maths'!Y246)</f>
        <v/>
      </c>
      <c r="M246" s="112">
        <f>F246+(F246=0)</f>
        <v/>
      </c>
      <c r="N246" s="108">
        <f>IFERROR(IF(D246=0,0,INT(((YEAR('Deal maths'!AA246)-YEAR(E246))*12+MONTH('Deal maths'!AA246)-MONTH(E246)-(DAY('Deal maths'!AA246)&lt;MIN(R246,DAY(EOMONTH('Deal maths'!AA246,0)))))/D246)+1),0)</f>
        <v/>
      </c>
      <c r="O246" s="108">
        <f>IFERROR(IF(D246=0,0,IF(IF(DAY(E246+1)=1,EOMONTH(E246,(N246-1)*D246),EDATE(E246,(N246-1)*D246))='Deal maths'!AA246,0,1)),0)</f>
        <v/>
      </c>
      <c r="P246" s="113">
        <f>IF(B246=0,0,IFERROR(IF(C246="EIP",((I246-O246)*((IF(DAY(E246+1)=1,EOMONTH(E246,H246*D246),EDATE(E246,H246*D246))-AsAt)/365.25+(IF(DAY(E246+1)=1,EOMONTH(E246,(N246-1)*D246),EDATE(E246,(N246-1)*D246))-AsAt)/365.25)/2+O246*('Deal maths'!AA246-AsAt)/365.25)/I246,IF(C246="Annuity",IF(F246&gt;0,((K246-L246*F246)*((IF(DAY(E246+1)=1,EOMONTH(E246,H246*D246),EDATE(E246,H246*D246))-AsAt)/365.25*((1+F246)^(I246-O246)-1)/F246+IF((I246-O246)&gt;1,((IF(DAY(E246+1)=1,EOMONTH(E246,(N246-1)*D246),EDATE(E246,(N246-1)*D246))-AsAt)/365.25-(IF(DAY(E246+1)=1,EOMONTH(E246,H246*D246),EDATE(E246,H246*D246))-AsAt)/365.25)/((I246-O246)-1),0)*(1+F246)*(1-(I246-O246)*(1+F246)^((I246-O246)-1)+((I246-O246)-1)*(1+F246)^(I246-O246))/F246^2)+O246*(K246-L246*F246)*(1+F246)^(I246-1)*('Deal maths'!AA246-AsAt)/365.25)/L246,((I246-O246)*((IF(DAY(E246+1)=1,EOMONTH(E246,H246*D246),EDATE(E246,H246*D246))-AsAt)/365.25+(IF(DAY(E246+1)=1,EOMONTH(E246,(N246-1)*D246),EDATE(E246,(N246-1)*D246))-AsAt)/365.25)/2+O246*('Deal maths'!AA246-AsAt)/365.25)/I246),(S246-AsAt)/365.25)),0))</f>
        <v/>
      </c>
      <c r="Q246" s="109">
        <f>IF(B246=1,'Deal maths'!AA246+ROW()/1000000,"")</f>
        <v/>
      </c>
      <c r="R246" s="108">
        <f>IF(D246=0,0,IF(DAY(E246+1)=1,31,DAY(E246)))</f>
        <v/>
      </c>
      <c r="S246" s="109">
        <f>IF(AND('Deal maths'!V246="LOBO",'Deal maths'!AG246&gt;AsAt,'Deal maths'!AG246&lt;'Deal maths'!AA246),'Deal maths'!AG246,'Deal maths'!AA246)</f>
        <v/>
      </c>
      <c r="T246" s="108">
        <f>('Deal maths'!AA246&gt;AsAt)*('Deal maths'!Y246&gt;0)</f>
        <v/>
      </c>
    </row>
    <row r="247">
      <c r="A247" s="91">
        <f>IF('Deal maths'!V247="","",'Deal maths'!W247)</f>
        <v/>
      </c>
      <c r="B247" s="108">
        <f>('Deal maths'!AA247&gt;AsAt)*('Deal maths'!Y247&gt;0)*('Deal maths'!Z247&lt;=AsAt)</f>
        <v/>
      </c>
      <c r="C247" s="91">
        <f>IF('Deal maths'!V247="","",IF('Deal maths'!AC247="","Maturity",'Deal maths'!AC247))</f>
        <v/>
      </c>
      <c r="D247" s="108">
        <f>IF(OR(C247="EIP",C247="Annuity"),IF('Deal maths'!AD247="Annual",12,IF('Deal maths'!AD247="Quarterly",3,6)),0)</f>
        <v/>
      </c>
      <c r="E247" s="109">
        <f>IFERROR(IF(D247=0,0,IF('Deal maths'!AE247&gt;0,IF('Deal maths'!AE247&gt;'Deal maths'!AA247,'Deal maths'!AA247,'Deal maths'!AE247),IF(IF(DAY('Deal maths'!AA247+1)=1,EOMONTH('Deal maths'!AA247,-(INT(((YEAR('Deal maths'!AA247)-YEAR(IF('Deal maths'!Z247&gt;0,'Deal maths'!Z247,DATE(1990,1,1))))*12+MONTH('Deal maths'!AA247)-MONTH(IF('Deal maths'!Z247&gt;0,'Deal maths'!Z247,DATE(1990,1,1))))/D247))*D247),EDATE('Deal maths'!AA247,-(INT(((YEAR('Deal maths'!AA247)-YEAR(IF('Deal maths'!Z247&gt;0,'Deal maths'!Z247,DATE(1990,1,1))))*12+MONTH('Deal maths'!AA247)-MONTH(IF('Deal maths'!Z247&gt;0,'Deal maths'!Z247,DATE(1990,1,1))))/D247))*D247))&gt;IF('Deal maths'!Z247&gt;0,'Deal maths'!Z247,DATE(1990,1,1)),IF(DAY('Deal maths'!AA247+1)=1,EOMONTH('Deal maths'!AA247,-(INT(((YEAR('Deal maths'!AA247)-YEAR(IF('Deal maths'!Z247&gt;0,'Deal maths'!Z247,DATE(1990,1,1))))*12+MONTH('Deal maths'!AA247)-MONTH(IF('Deal maths'!Z247&gt;0,'Deal maths'!Z247,DATE(1990,1,1))))/D247))*D247),EDATE('Deal maths'!AA247,-(INT(((YEAR('Deal maths'!AA247)-YEAR(IF('Deal maths'!Z247&gt;0,'Deal maths'!Z247,DATE(1990,1,1))))*12+MONTH('Deal maths'!AA247)-MONTH(IF('Deal maths'!Z247&gt;0,'Deal maths'!Z247,DATE(1990,1,1))))/D247))*D247)),IF(DAY('Deal maths'!AA247+1)=1,EOMONTH('Deal maths'!AA247,-(INT(((YEAR('Deal maths'!AA247)-YEAR(IF('Deal maths'!Z247&gt;0,'Deal maths'!Z247,DATE(1990,1,1))))*12+MONTH('Deal maths'!AA247)-MONTH(IF('Deal maths'!Z247&gt;0,'Deal maths'!Z247,DATE(1990,1,1))))/D247)-1)*D247),EDATE('Deal maths'!AA247,-(INT(((YEAR('Deal maths'!AA247)-YEAR(IF('Deal maths'!Z247&gt;0,'Deal maths'!Z247,DATE(1990,1,1))))*12+MONTH('Deal maths'!AA247)-MONTH(IF('Deal maths'!Z247&gt;0,'Deal maths'!Z247,DATE(1990,1,1))))/D247)-1)*D247))))),0)</f>
        <v/>
      </c>
      <c r="F247" s="110">
        <f>IF(D247=0,0,'Deal maths'!AB247*D247/12)</f>
        <v/>
      </c>
      <c r="G247" s="108">
        <f>N247+O247</f>
        <v/>
      </c>
      <c r="H247" s="108">
        <f>IFERROR(IF(OR(D247=0,AsAt&lt;E247),0,MIN(N247,INT(((YEAR(AsAt)-YEAR(E247))*12+MONTH(AsAt)-MONTH(E247)-(DAY(AsAt)&lt;MIN(R247,DAY(EOMONTH(AsAt,0)))))/D247)+1)+O247*(AsAt&gt;='Deal maths'!AA247)),0)</f>
        <v/>
      </c>
      <c r="I247" s="108">
        <f>G247-H247</f>
        <v/>
      </c>
      <c r="J247" s="111">
        <f>IF(AND(C247="EIP",I247&gt;0),'Deal maths'!Y247/I247,0)</f>
        <v/>
      </c>
      <c r="K247" s="111">
        <f>IF(AND(C247="Annuity",I247&gt;0),IF(F247&gt;0,'Deal maths'!Y247*F247/(1-(1+F247)^-I247),'Deal maths'!Y247/I247),0)</f>
        <v/>
      </c>
      <c r="L247" s="111">
        <f>IF('Deal maths'!Y247="",0,'Deal maths'!Y247)</f>
        <v/>
      </c>
      <c r="M247" s="112">
        <f>F247+(F247=0)</f>
        <v/>
      </c>
      <c r="N247" s="108">
        <f>IFERROR(IF(D247=0,0,INT(((YEAR('Deal maths'!AA247)-YEAR(E247))*12+MONTH('Deal maths'!AA247)-MONTH(E247)-(DAY('Deal maths'!AA247)&lt;MIN(R247,DAY(EOMONTH('Deal maths'!AA247,0)))))/D247)+1),0)</f>
        <v/>
      </c>
      <c r="O247" s="108">
        <f>IFERROR(IF(D247=0,0,IF(IF(DAY(E247+1)=1,EOMONTH(E247,(N247-1)*D247),EDATE(E247,(N247-1)*D247))='Deal maths'!AA247,0,1)),0)</f>
        <v/>
      </c>
      <c r="P247" s="113">
        <f>IF(B247=0,0,IFERROR(IF(C247="EIP",((I247-O247)*((IF(DAY(E247+1)=1,EOMONTH(E247,H247*D247),EDATE(E247,H247*D247))-AsAt)/365.25+(IF(DAY(E247+1)=1,EOMONTH(E247,(N247-1)*D247),EDATE(E247,(N247-1)*D247))-AsAt)/365.25)/2+O247*('Deal maths'!AA247-AsAt)/365.25)/I247,IF(C247="Annuity",IF(F247&gt;0,((K247-L247*F247)*((IF(DAY(E247+1)=1,EOMONTH(E247,H247*D247),EDATE(E247,H247*D247))-AsAt)/365.25*((1+F247)^(I247-O247)-1)/F247+IF((I247-O247)&gt;1,((IF(DAY(E247+1)=1,EOMONTH(E247,(N247-1)*D247),EDATE(E247,(N247-1)*D247))-AsAt)/365.25-(IF(DAY(E247+1)=1,EOMONTH(E247,H247*D247),EDATE(E247,H247*D247))-AsAt)/365.25)/((I247-O247)-1),0)*(1+F247)*(1-(I247-O247)*(1+F247)^((I247-O247)-1)+((I247-O247)-1)*(1+F247)^(I247-O247))/F247^2)+O247*(K247-L247*F247)*(1+F247)^(I247-1)*('Deal maths'!AA247-AsAt)/365.25)/L247,((I247-O247)*((IF(DAY(E247+1)=1,EOMONTH(E247,H247*D247),EDATE(E247,H247*D247))-AsAt)/365.25+(IF(DAY(E247+1)=1,EOMONTH(E247,(N247-1)*D247),EDATE(E247,(N247-1)*D247))-AsAt)/365.25)/2+O247*('Deal maths'!AA247-AsAt)/365.25)/I247),(S247-AsAt)/365.25)),0))</f>
        <v/>
      </c>
      <c r="Q247" s="109">
        <f>IF(B247=1,'Deal maths'!AA247+ROW()/1000000,"")</f>
        <v/>
      </c>
      <c r="R247" s="108">
        <f>IF(D247=0,0,IF(DAY(E247+1)=1,31,DAY(E247)))</f>
        <v/>
      </c>
      <c r="S247" s="109">
        <f>IF(AND('Deal maths'!V247="LOBO",'Deal maths'!AG247&gt;AsAt,'Deal maths'!AG247&lt;'Deal maths'!AA247),'Deal maths'!AG247,'Deal maths'!AA247)</f>
        <v/>
      </c>
      <c r="T247" s="108">
        <f>('Deal maths'!AA247&gt;AsAt)*('Deal maths'!Y247&gt;0)</f>
        <v/>
      </c>
    </row>
    <row r="248">
      <c r="A248" s="91">
        <f>IF('Deal maths'!V248="","",'Deal maths'!W248)</f>
        <v/>
      </c>
      <c r="B248" s="108">
        <f>('Deal maths'!AA248&gt;AsAt)*('Deal maths'!Y248&gt;0)*('Deal maths'!Z248&lt;=AsAt)</f>
        <v/>
      </c>
      <c r="C248" s="91">
        <f>IF('Deal maths'!V248="","",IF('Deal maths'!AC248="","Maturity",'Deal maths'!AC248))</f>
        <v/>
      </c>
      <c r="D248" s="108">
        <f>IF(OR(C248="EIP",C248="Annuity"),IF('Deal maths'!AD248="Annual",12,IF('Deal maths'!AD248="Quarterly",3,6)),0)</f>
        <v/>
      </c>
      <c r="E248" s="109">
        <f>IFERROR(IF(D248=0,0,IF('Deal maths'!AE248&gt;0,IF('Deal maths'!AE248&gt;'Deal maths'!AA248,'Deal maths'!AA248,'Deal maths'!AE248),IF(IF(DAY('Deal maths'!AA248+1)=1,EOMONTH('Deal maths'!AA248,-(INT(((YEAR('Deal maths'!AA248)-YEAR(IF('Deal maths'!Z248&gt;0,'Deal maths'!Z248,DATE(1990,1,1))))*12+MONTH('Deal maths'!AA248)-MONTH(IF('Deal maths'!Z248&gt;0,'Deal maths'!Z248,DATE(1990,1,1))))/D248))*D248),EDATE('Deal maths'!AA248,-(INT(((YEAR('Deal maths'!AA248)-YEAR(IF('Deal maths'!Z248&gt;0,'Deal maths'!Z248,DATE(1990,1,1))))*12+MONTH('Deal maths'!AA248)-MONTH(IF('Deal maths'!Z248&gt;0,'Deal maths'!Z248,DATE(1990,1,1))))/D248))*D248))&gt;IF('Deal maths'!Z248&gt;0,'Deal maths'!Z248,DATE(1990,1,1)),IF(DAY('Deal maths'!AA248+1)=1,EOMONTH('Deal maths'!AA248,-(INT(((YEAR('Deal maths'!AA248)-YEAR(IF('Deal maths'!Z248&gt;0,'Deal maths'!Z248,DATE(1990,1,1))))*12+MONTH('Deal maths'!AA248)-MONTH(IF('Deal maths'!Z248&gt;0,'Deal maths'!Z248,DATE(1990,1,1))))/D248))*D248),EDATE('Deal maths'!AA248,-(INT(((YEAR('Deal maths'!AA248)-YEAR(IF('Deal maths'!Z248&gt;0,'Deal maths'!Z248,DATE(1990,1,1))))*12+MONTH('Deal maths'!AA248)-MONTH(IF('Deal maths'!Z248&gt;0,'Deal maths'!Z248,DATE(1990,1,1))))/D248))*D248)),IF(DAY('Deal maths'!AA248+1)=1,EOMONTH('Deal maths'!AA248,-(INT(((YEAR('Deal maths'!AA248)-YEAR(IF('Deal maths'!Z248&gt;0,'Deal maths'!Z248,DATE(1990,1,1))))*12+MONTH('Deal maths'!AA248)-MONTH(IF('Deal maths'!Z248&gt;0,'Deal maths'!Z248,DATE(1990,1,1))))/D248)-1)*D248),EDATE('Deal maths'!AA248,-(INT(((YEAR('Deal maths'!AA248)-YEAR(IF('Deal maths'!Z248&gt;0,'Deal maths'!Z248,DATE(1990,1,1))))*12+MONTH('Deal maths'!AA248)-MONTH(IF('Deal maths'!Z248&gt;0,'Deal maths'!Z248,DATE(1990,1,1))))/D248)-1)*D248))))),0)</f>
        <v/>
      </c>
      <c r="F248" s="110">
        <f>IF(D248=0,0,'Deal maths'!AB248*D248/12)</f>
        <v/>
      </c>
      <c r="G248" s="108">
        <f>N248+O248</f>
        <v/>
      </c>
      <c r="H248" s="108">
        <f>IFERROR(IF(OR(D248=0,AsAt&lt;E248),0,MIN(N248,INT(((YEAR(AsAt)-YEAR(E248))*12+MONTH(AsAt)-MONTH(E248)-(DAY(AsAt)&lt;MIN(R248,DAY(EOMONTH(AsAt,0)))))/D248)+1)+O248*(AsAt&gt;='Deal maths'!AA248)),0)</f>
        <v/>
      </c>
      <c r="I248" s="108">
        <f>G248-H248</f>
        <v/>
      </c>
      <c r="J248" s="111">
        <f>IF(AND(C248="EIP",I248&gt;0),'Deal maths'!Y248/I248,0)</f>
        <v/>
      </c>
      <c r="K248" s="111">
        <f>IF(AND(C248="Annuity",I248&gt;0),IF(F248&gt;0,'Deal maths'!Y248*F248/(1-(1+F248)^-I248),'Deal maths'!Y248/I248),0)</f>
        <v/>
      </c>
      <c r="L248" s="111">
        <f>IF('Deal maths'!Y248="",0,'Deal maths'!Y248)</f>
        <v/>
      </c>
      <c r="M248" s="112">
        <f>F248+(F248=0)</f>
        <v/>
      </c>
      <c r="N248" s="108">
        <f>IFERROR(IF(D248=0,0,INT(((YEAR('Deal maths'!AA248)-YEAR(E248))*12+MONTH('Deal maths'!AA248)-MONTH(E248)-(DAY('Deal maths'!AA248)&lt;MIN(R248,DAY(EOMONTH('Deal maths'!AA248,0)))))/D248)+1),0)</f>
        <v/>
      </c>
      <c r="O248" s="108">
        <f>IFERROR(IF(D248=0,0,IF(IF(DAY(E248+1)=1,EOMONTH(E248,(N248-1)*D248),EDATE(E248,(N248-1)*D248))='Deal maths'!AA248,0,1)),0)</f>
        <v/>
      </c>
      <c r="P248" s="113">
        <f>IF(B248=0,0,IFERROR(IF(C248="EIP",((I248-O248)*((IF(DAY(E248+1)=1,EOMONTH(E248,H248*D248),EDATE(E248,H248*D248))-AsAt)/365.25+(IF(DAY(E248+1)=1,EOMONTH(E248,(N248-1)*D248),EDATE(E248,(N248-1)*D248))-AsAt)/365.25)/2+O248*('Deal maths'!AA248-AsAt)/365.25)/I248,IF(C248="Annuity",IF(F248&gt;0,((K248-L248*F248)*((IF(DAY(E248+1)=1,EOMONTH(E248,H248*D248),EDATE(E248,H248*D248))-AsAt)/365.25*((1+F248)^(I248-O248)-1)/F248+IF((I248-O248)&gt;1,((IF(DAY(E248+1)=1,EOMONTH(E248,(N248-1)*D248),EDATE(E248,(N248-1)*D248))-AsAt)/365.25-(IF(DAY(E248+1)=1,EOMONTH(E248,H248*D248),EDATE(E248,H248*D248))-AsAt)/365.25)/((I248-O248)-1),0)*(1+F248)*(1-(I248-O248)*(1+F248)^((I248-O248)-1)+((I248-O248)-1)*(1+F248)^(I248-O248))/F248^2)+O248*(K248-L248*F248)*(1+F248)^(I248-1)*('Deal maths'!AA248-AsAt)/365.25)/L248,((I248-O248)*((IF(DAY(E248+1)=1,EOMONTH(E248,H248*D248),EDATE(E248,H248*D248))-AsAt)/365.25+(IF(DAY(E248+1)=1,EOMONTH(E248,(N248-1)*D248),EDATE(E248,(N248-1)*D248))-AsAt)/365.25)/2+O248*('Deal maths'!AA248-AsAt)/365.25)/I248),(S248-AsAt)/365.25)),0))</f>
        <v/>
      </c>
      <c r="Q248" s="109">
        <f>IF(B248=1,'Deal maths'!AA248+ROW()/1000000,"")</f>
        <v/>
      </c>
      <c r="R248" s="108">
        <f>IF(D248=0,0,IF(DAY(E248+1)=1,31,DAY(E248)))</f>
        <v/>
      </c>
      <c r="S248" s="109">
        <f>IF(AND('Deal maths'!V248="LOBO",'Deal maths'!AG248&gt;AsAt,'Deal maths'!AG248&lt;'Deal maths'!AA248),'Deal maths'!AG248,'Deal maths'!AA248)</f>
        <v/>
      </c>
      <c r="T248" s="108">
        <f>('Deal maths'!AA248&gt;AsAt)*('Deal maths'!Y248&gt;0)</f>
        <v/>
      </c>
    </row>
    <row r="249">
      <c r="A249" s="91">
        <f>IF('Deal maths'!V249="","",'Deal maths'!W249)</f>
        <v/>
      </c>
      <c r="B249" s="108">
        <f>('Deal maths'!AA249&gt;AsAt)*('Deal maths'!Y249&gt;0)*('Deal maths'!Z249&lt;=AsAt)</f>
        <v/>
      </c>
      <c r="C249" s="91">
        <f>IF('Deal maths'!V249="","",IF('Deal maths'!AC249="","Maturity",'Deal maths'!AC249))</f>
        <v/>
      </c>
      <c r="D249" s="108">
        <f>IF(OR(C249="EIP",C249="Annuity"),IF('Deal maths'!AD249="Annual",12,IF('Deal maths'!AD249="Quarterly",3,6)),0)</f>
        <v/>
      </c>
      <c r="E249" s="109">
        <f>IFERROR(IF(D249=0,0,IF('Deal maths'!AE249&gt;0,IF('Deal maths'!AE249&gt;'Deal maths'!AA249,'Deal maths'!AA249,'Deal maths'!AE249),IF(IF(DAY('Deal maths'!AA249+1)=1,EOMONTH('Deal maths'!AA249,-(INT(((YEAR('Deal maths'!AA249)-YEAR(IF('Deal maths'!Z249&gt;0,'Deal maths'!Z249,DATE(1990,1,1))))*12+MONTH('Deal maths'!AA249)-MONTH(IF('Deal maths'!Z249&gt;0,'Deal maths'!Z249,DATE(1990,1,1))))/D249))*D249),EDATE('Deal maths'!AA249,-(INT(((YEAR('Deal maths'!AA249)-YEAR(IF('Deal maths'!Z249&gt;0,'Deal maths'!Z249,DATE(1990,1,1))))*12+MONTH('Deal maths'!AA249)-MONTH(IF('Deal maths'!Z249&gt;0,'Deal maths'!Z249,DATE(1990,1,1))))/D249))*D249))&gt;IF('Deal maths'!Z249&gt;0,'Deal maths'!Z249,DATE(1990,1,1)),IF(DAY('Deal maths'!AA249+1)=1,EOMONTH('Deal maths'!AA249,-(INT(((YEAR('Deal maths'!AA249)-YEAR(IF('Deal maths'!Z249&gt;0,'Deal maths'!Z249,DATE(1990,1,1))))*12+MONTH('Deal maths'!AA249)-MONTH(IF('Deal maths'!Z249&gt;0,'Deal maths'!Z249,DATE(1990,1,1))))/D249))*D249),EDATE('Deal maths'!AA249,-(INT(((YEAR('Deal maths'!AA249)-YEAR(IF('Deal maths'!Z249&gt;0,'Deal maths'!Z249,DATE(1990,1,1))))*12+MONTH('Deal maths'!AA249)-MONTH(IF('Deal maths'!Z249&gt;0,'Deal maths'!Z249,DATE(1990,1,1))))/D249))*D249)),IF(DAY('Deal maths'!AA249+1)=1,EOMONTH('Deal maths'!AA249,-(INT(((YEAR('Deal maths'!AA249)-YEAR(IF('Deal maths'!Z249&gt;0,'Deal maths'!Z249,DATE(1990,1,1))))*12+MONTH('Deal maths'!AA249)-MONTH(IF('Deal maths'!Z249&gt;0,'Deal maths'!Z249,DATE(1990,1,1))))/D249)-1)*D249),EDATE('Deal maths'!AA249,-(INT(((YEAR('Deal maths'!AA249)-YEAR(IF('Deal maths'!Z249&gt;0,'Deal maths'!Z249,DATE(1990,1,1))))*12+MONTH('Deal maths'!AA249)-MONTH(IF('Deal maths'!Z249&gt;0,'Deal maths'!Z249,DATE(1990,1,1))))/D249)-1)*D249))))),0)</f>
        <v/>
      </c>
      <c r="F249" s="110">
        <f>IF(D249=0,0,'Deal maths'!AB249*D249/12)</f>
        <v/>
      </c>
      <c r="G249" s="108">
        <f>N249+O249</f>
        <v/>
      </c>
      <c r="H249" s="108">
        <f>IFERROR(IF(OR(D249=0,AsAt&lt;E249),0,MIN(N249,INT(((YEAR(AsAt)-YEAR(E249))*12+MONTH(AsAt)-MONTH(E249)-(DAY(AsAt)&lt;MIN(R249,DAY(EOMONTH(AsAt,0)))))/D249)+1)+O249*(AsAt&gt;='Deal maths'!AA249)),0)</f>
        <v/>
      </c>
      <c r="I249" s="108">
        <f>G249-H249</f>
        <v/>
      </c>
      <c r="J249" s="111">
        <f>IF(AND(C249="EIP",I249&gt;0),'Deal maths'!Y249/I249,0)</f>
        <v/>
      </c>
      <c r="K249" s="111">
        <f>IF(AND(C249="Annuity",I249&gt;0),IF(F249&gt;0,'Deal maths'!Y249*F249/(1-(1+F249)^-I249),'Deal maths'!Y249/I249),0)</f>
        <v/>
      </c>
      <c r="L249" s="111">
        <f>IF('Deal maths'!Y249="",0,'Deal maths'!Y249)</f>
        <v/>
      </c>
      <c r="M249" s="112">
        <f>F249+(F249=0)</f>
        <v/>
      </c>
      <c r="N249" s="108">
        <f>IFERROR(IF(D249=0,0,INT(((YEAR('Deal maths'!AA249)-YEAR(E249))*12+MONTH('Deal maths'!AA249)-MONTH(E249)-(DAY('Deal maths'!AA249)&lt;MIN(R249,DAY(EOMONTH('Deal maths'!AA249,0)))))/D249)+1),0)</f>
        <v/>
      </c>
      <c r="O249" s="108">
        <f>IFERROR(IF(D249=0,0,IF(IF(DAY(E249+1)=1,EOMONTH(E249,(N249-1)*D249),EDATE(E249,(N249-1)*D249))='Deal maths'!AA249,0,1)),0)</f>
        <v/>
      </c>
      <c r="P249" s="113">
        <f>IF(B249=0,0,IFERROR(IF(C249="EIP",((I249-O249)*((IF(DAY(E249+1)=1,EOMONTH(E249,H249*D249),EDATE(E249,H249*D249))-AsAt)/365.25+(IF(DAY(E249+1)=1,EOMONTH(E249,(N249-1)*D249),EDATE(E249,(N249-1)*D249))-AsAt)/365.25)/2+O249*('Deal maths'!AA249-AsAt)/365.25)/I249,IF(C249="Annuity",IF(F249&gt;0,((K249-L249*F249)*((IF(DAY(E249+1)=1,EOMONTH(E249,H249*D249),EDATE(E249,H249*D249))-AsAt)/365.25*((1+F249)^(I249-O249)-1)/F249+IF((I249-O249)&gt;1,((IF(DAY(E249+1)=1,EOMONTH(E249,(N249-1)*D249),EDATE(E249,(N249-1)*D249))-AsAt)/365.25-(IF(DAY(E249+1)=1,EOMONTH(E249,H249*D249),EDATE(E249,H249*D249))-AsAt)/365.25)/((I249-O249)-1),0)*(1+F249)*(1-(I249-O249)*(1+F249)^((I249-O249)-1)+((I249-O249)-1)*(1+F249)^(I249-O249))/F249^2)+O249*(K249-L249*F249)*(1+F249)^(I249-1)*('Deal maths'!AA249-AsAt)/365.25)/L249,((I249-O249)*((IF(DAY(E249+1)=1,EOMONTH(E249,H249*D249),EDATE(E249,H249*D249))-AsAt)/365.25+(IF(DAY(E249+1)=1,EOMONTH(E249,(N249-1)*D249),EDATE(E249,(N249-1)*D249))-AsAt)/365.25)/2+O249*('Deal maths'!AA249-AsAt)/365.25)/I249),(S249-AsAt)/365.25)),0))</f>
        <v/>
      </c>
      <c r="Q249" s="109">
        <f>IF(B249=1,'Deal maths'!AA249+ROW()/1000000,"")</f>
        <v/>
      </c>
      <c r="R249" s="108">
        <f>IF(D249=0,0,IF(DAY(E249+1)=1,31,DAY(E249)))</f>
        <v/>
      </c>
      <c r="S249" s="109">
        <f>IF(AND('Deal maths'!V249="LOBO",'Deal maths'!AG249&gt;AsAt,'Deal maths'!AG249&lt;'Deal maths'!AA249),'Deal maths'!AG249,'Deal maths'!AA249)</f>
        <v/>
      </c>
      <c r="T249" s="108">
        <f>('Deal maths'!AA249&gt;AsAt)*('Deal maths'!Y249&gt;0)</f>
        <v/>
      </c>
    </row>
    <row r="250">
      <c r="A250" s="91">
        <f>IF('Deal maths'!V250="","",'Deal maths'!W250)</f>
        <v/>
      </c>
      <c r="B250" s="108">
        <f>('Deal maths'!AA250&gt;AsAt)*('Deal maths'!Y250&gt;0)*('Deal maths'!Z250&lt;=AsAt)</f>
        <v/>
      </c>
      <c r="C250" s="91">
        <f>IF('Deal maths'!V250="","",IF('Deal maths'!AC250="","Maturity",'Deal maths'!AC250))</f>
        <v/>
      </c>
      <c r="D250" s="108">
        <f>IF(OR(C250="EIP",C250="Annuity"),IF('Deal maths'!AD250="Annual",12,IF('Deal maths'!AD250="Quarterly",3,6)),0)</f>
        <v/>
      </c>
      <c r="E250" s="109">
        <f>IFERROR(IF(D250=0,0,IF('Deal maths'!AE250&gt;0,IF('Deal maths'!AE250&gt;'Deal maths'!AA250,'Deal maths'!AA250,'Deal maths'!AE250),IF(IF(DAY('Deal maths'!AA250+1)=1,EOMONTH('Deal maths'!AA250,-(INT(((YEAR('Deal maths'!AA250)-YEAR(IF('Deal maths'!Z250&gt;0,'Deal maths'!Z250,DATE(1990,1,1))))*12+MONTH('Deal maths'!AA250)-MONTH(IF('Deal maths'!Z250&gt;0,'Deal maths'!Z250,DATE(1990,1,1))))/D250))*D250),EDATE('Deal maths'!AA250,-(INT(((YEAR('Deal maths'!AA250)-YEAR(IF('Deal maths'!Z250&gt;0,'Deal maths'!Z250,DATE(1990,1,1))))*12+MONTH('Deal maths'!AA250)-MONTH(IF('Deal maths'!Z250&gt;0,'Deal maths'!Z250,DATE(1990,1,1))))/D250))*D250))&gt;IF('Deal maths'!Z250&gt;0,'Deal maths'!Z250,DATE(1990,1,1)),IF(DAY('Deal maths'!AA250+1)=1,EOMONTH('Deal maths'!AA250,-(INT(((YEAR('Deal maths'!AA250)-YEAR(IF('Deal maths'!Z250&gt;0,'Deal maths'!Z250,DATE(1990,1,1))))*12+MONTH('Deal maths'!AA250)-MONTH(IF('Deal maths'!Z250&gt;0,'Deal maths'!Z250,DATE(1990,1,1))))/D250))*D250),EDATE('Deal maths'!AA250,-(INT(((YEAR('Deal maths'!AA250)-YEAR(IF('Deal maths'!Z250&gt;0,'Deal maths'!Z250,DATE(1990,1,1))))*12+MONTH('Deal maths'!AA250)-MONTH(IF('Deal maths'!Z250&gt;0,'Deal maths'!Z250,DATE(1990,1,1))))/D250))*D250)),IF(DAY('Deal maths'!AA250+1)=1,EOMONTH('Deal maths'!AA250,-(INT(((YEAR('Deal maths'!AA250)-YEAR(IF('Deal maths'!Z250&gt;0,'Deal maths'!Z250,DATE(1990,1,1))))*12+MONTH('Deal maths'!AA250)-MONTH(IF('Deal maths'!Z250&gt;0,'Deal maths'!Z250,DATE(1990,1,1))))/D250)-1)*D250),EDATE('Deal maths'!AA250,-(INT(((YEAR('Deal maths'!AA250)-YEAR(IF('Deal maths'!Z250&gt;0,'Deal maths'!Z250,DATE(1990,1,1))))*12+MONTH('Deal maths'!AA250)-MONTH(IF('Deal maths'!Z250&gt;0,'Deal maths'!Z250,DATE(1990,1,1))))/D250)-1)*D250))))),0)</f>
        <v/>
      </c>
      <c r="F250" s="110">
        <f>IF(D250=0,0,'Deal maths'!AB250*D250/12)</f>
        <v/>
      </c>
      <c r="G250" s="108">
        <f>N250+O250</f>
        <v/>
      </c>
      <c r="H250" s="108">
        <f>IFERROR(IF(OR(D250=0,AsAt&lt;E250),0,MIN(N250,INT(((YEAR(AsAt)-YEAR(E250))*12+MONTH(AsAt)-MONTH(E250)-(DAY(AsAt)&lt;MIN(R250,DAY(EOMONTH(AsAt,0)))))/D250)+1)+O250*(AsAt&gt;='Deal maths'!AA250)),0)</f>
        <v/>
      </c>
      <c r="I250" s="108">
        <f>G250-H250</f>
        <v/>
      </c>
      <c r="J250" s="111">
        <f>IF(AND(C250="EIP",I250&gt;0),'Deal maths'!Y250/I250,0)</f>
        <v/>
      </c>
      <c r="K250" s="111">
        <f>IF(AND(C250="Annuity",I250&gt;0),IF(F250&gt;0,'Deal maths'!Y250*F250/(1-(1+F250)^-I250),'Deal maths'!Y250/I250),0)</f>
        <v/>
      </c>
      <c r="L250" s="111">
        <f>IF('Deal maths'!Y250="",0,'Deal maths'!Y250)</f>
        <v/>
      </c>
      <c r="M250" s="112">
        <f>F250+(F250=0)</f>
        <v/>
      </c>
      <c r="N250" s="108">
        <f>IFERROR(IF(D250=0,0,INT(((YEAR('Deal maths'!AA250)-YEAR(E250))*12+MONTH('Deal maths'!AA250)-MONTH(E250)-(DAY('Deal maths'!AA250)&lt;MIN(R250,DAY(EOMONTH('Deal maths'!AA250,0)))))/D250)+1),0)</f>
        <v/>
      </c>
      <c r="O250" s="108">
        <f>IFERROR(IF(D250=0,0,IF(IF(DAY(E250+1)=1,EOMONTH(E250,(N250-1)*D250),EDATE(E250,(N250-1)*D250))='Deal maths'!AA250,0,1)),0)</f>
        <v/>
      </c>
      <c r="P250" s="113">
        <f>IF(B250=0,0,IFERROR(IF(C250="EIP",((I250-O250)*((IF(DAY(E250+1)=1,EOMONTH(E250,H250*D250),EDATE(E250,H250*D250))-AsAt)/365.25+(IF(DAY(E250+1)=1,EOMONTH(E250,(N250-1)*D250),EDATE(E250,(N250-1)*D250))-AsAt)/365.25)/2+O250*('Deal maths'!AA250-AsAt)/365.25)/I250,IF(C250="Annuity",IF(F250&gt;0,((K250-L250*F250)*((IF(DAY(E250+1)=1,EOMONTH(E250,H250*D250),EDATE(E250,H250*D250))-AsAt)/365.25*((1+F250)^(I250-O250)-1)/F250+IF((I250-O250)&gt;1,((IF(DAY(E250+1)=1,EOMONTH(E250,(N250-1)*D250),EDATE(E250,(N250-1)*D250))-AsAt)/365.25-(IF(DAY(E250+1)=1,EOMONTH(E250,H250*D250),EDATE(E250,H250*D250))-AsAt)/365.25)/((I250-O250)-1),0)*(1+F250)*(1-(I250-O250)*(1+F250)^((I250-O250)-1)+((I250-O250)-1)*(1+F250)^(I250-O250))/F250^2)+O250*(K250-L250*F250)*(1+F250)^(I250-1)*('Deal maths'!AA250-AsAt)/365.25)/L250,((I250-O250)*((IF(DAY(E250+1)=1,EOMONTH(E250,H250*D250),EDATE(E250,H250*D250))-AsAt)/365.25+(IF(DAY(E250+1)=1,EOMONTH(E250,(N250-1)*D250),EDATE(E250,(N250-1)*D250))-AsAt)/365.25)/2+O250*('Deal maths'!AA250-AsAt)/365.25)/I250),(S250-AsAt)/365.25)),0))</f>
        <v/>
      </c>
      <c r="Q250" s="109">
        <f>IF(B250=1,'Deal maths'!AA250+ROW()/1000000,"")</f>
        <v/>
      </c>
      <c r="R250" s="108">
        <f>IF(D250=0,0,IF(DAY(E250+1)=1,31,DAY(E250)))</f>
        <v/>
      </c>
      <c r="S250" s="109">
        <f>IF(AND('Deal maths'!V250="LOBO",'Deal maths'!AG250&gt;AsAt,'Deal maths'!AG250&lt;'Deal maths'!AA250),'Deal maths'!AG250,'Deal maths'!AA250)</f>
        <v/>
      </c>
      <c r="T250" s="108">
        <f>('Deal maths'!AA250&gt;AsAt)*('Deal maths'!Y250&gt;0)</f>
        <v/>
      </c>
    </row>
    <row r="251">
      <c r="A251" s="91">
        <f>IF('Deal maths'!V251="","",'Deal maths'!W251)</f>
        <v/>
      </c>
      <c r="B251" s="108">
        <f>('Deal maths'!AA251&gt;AsAt)*('Deal maths'!Y251&gt;0)*('Deal maths'!Z251&lt;=AsAt)</f>
        <v/>
      </c>
      <c r="C251" s="91">
        <f>IF('Deal maths'!V251="","",IF('Deal maths'!AC251="","Maturity",'Deal maths'!AC251))</f>
        <v/>
      </c>
      <c r="D251" s="108">
        <f>IF(OR(C251="EIP",C251="Annuity"),IF('Deal maths'!AD251="Annual",12,IF('Deal maths'!AD251="Quarterly",3,6)),0)</f>
        <v/>
      </c>
      <c r="E251" s="109">
        <f>IFERROR(IF(D251=0,0,IF('Deal maths'!AE251&gt;0,IF('Deal maths'!AE251&gt;'Deal maths'!AA251,'Deal maths'!AA251,'Deal maths'!AE251),IF(IF(DAY('Deal maths'!AA251+1)=1,EOMONTH('Deal maths'!AA251,-(INT(((YEAR('Deal maths'!AA251)-YEAR(IF('Deal maths'!Z251&gt;0,'Deal maths'!Z251,DATE(1990,1,1))))*12+MONTH('Deal maths'!AA251)-MONTH(IF('Deal maths'!Z251&gt;0,'Deal maths'!Z251,DATE(1990,1,1))))/D251))*D251),EDATE('Deal maths'!AA251,-(INT(((YEAR('Deal maths'!AA251)-YEAR(IF('Deal maths'!Z251&gt;0,'Deal maths'!Z251,DATE(1990,1,1))))*12+MONTH('Deal maths'!AA251)-MONTH(IF('Deal maths'!Z251&gt;0,'Deal maths'!Z251,DATE(1990,1,1))))/D251))*D251))&gt;IF('Deal maths'!Z251&gt;0,'Deal maths'!Z251,DATE(1990,1,1)),IF(DAY('Deal maths'!AA251+1)=1,EOMONTH('Deal maths'!AA251,-(INT(((YEAR('Deal maths'!AA251)-YEAR(IF('Deal maths'!Z251&gt;0,'Deal maths'!Z251,DATE(1990,1,1))))*12+MONTH('Deal maths'!AA251)-MONTH(IF('Deal maths'!Z251&gt;0,'Deal maths'!Z251,DATE(1990,1,1))))/D251))*D251),EDATE('Deal maths'!AA251,-(INT(((YEAR('Deal maths'!AA251)-YEAR(IF('Deal maths'!Z251&gt;0,'Deal maths'!Z251,DATE(1990,1,1))))*12+MONTH('Deal maths'!AA251)-MONTH(IF('Deal maths'!Z251&gt;0,'Deal maths'!Z251,DATE(1990,1,1))))/D251))*D251)),IF(DAY('Deal maths'!AA251+1)=1,EOMONTH('Deal maths'!AA251,-(INT(((YEAR('Deal maths'!AA251)-YEAR(IF('Deal maths'!Z251&gt;0,'Deal maths'!Z251,DATE(1990,1,1))))*12+MONTH('Deal maths'!AA251)-MONTH(IF('Deal maths'!Z251&gt;0,'Deal maths'!Z251,DATE(1990,1,1))))/D251)-1)*D251),EDATE('Deal maths'!AA251,-(INT(((YEAR('Deal maths'!AA251)-YEAR(IF('Deal maths'!Z251&gt;0,'Deal maths'!Z251,DATE(1990,1,1))))*12+MONTH('Deal maths'!AA251)-MONTH(IF('Deal maths'!Z251&gt;0,'Deal maths'!Z251,DATE(1990,1,1))))/D251)-1)*D251))))),0)</f>
        <v/>
      </c>
      <c r="F251" s="110">
        <f>IF(D251=0,0,'Deal maths'!AB251*D251/12)</f>
        <v/>
      </c>
      <c r="G251" s="108">
        <f>N251+O251</f>
        <v/>
      </c>
      <c r="H251" s="108">
        <f>IFERROR(IF(OR(D251=0,AsAt&lt;E251),0,MIN(N251,INT(((YEAR(AsAt)-YEAR(E251))*12+MONTH(AsAt)-MONTH(E251)-(DAY(AsAt)&lt;MIN(R251,DAY(EOMONTH(AsAt,0)))))/D251)+1)+O251*(AsAt&gt;='Deal maths'!AA251)),0)</f>
        <v/>
      </c>
      <c r="I251" s="108">
        <f>G251-H251</f>
        <v/>
      </c>
      <c r="J251" s="111">
        <f>IF(AND(C251="EIP",I251&gt;0),'Deal maths'!Y251/I251,0)</f>
        <v/>
      </c>
      <c r="K251" s="111">
        <f>IF(AND(C251="Annuity",I251&gt;0),IF(F251&gt;0,'Deal maths'!Y251*F251/(1-(1+F251)^-I251),'Deal maths'!Y251/I251),0)</f>
        <v/>
      </c>
      <c r="L251" s="111">
        <f>IF('Deal maths'!Y251="",0,'Deal maths'!Y251)</f>
        <v/>
      </c>
      <c r="M251" s="112">
        <f>F251+(F251=0)</f>
        <v/>
      </c>
      <c r="N251" s="108">
        <f>IFERROR(IF(D251=0,0,INT(((YEAR('Deal maths'!AA251)-YEAR(E251))*12+MONTH('Deal maths'!AA251)-MONTH(E251)-(DAY('Deal maths'!AA251)&lt;MIN(R251,DAY(EOMONTH('Deal maths'!AA251,0)))))/D251)+1),0)</f>
        <v/>
      </c>
      <c r="O251" s="108">
        <f>IFERROR(IF(D251=0,0,IF(IF(DAY(E251+1)=1,EOMONTH(E251,(N251-1)*D251),EDATE(E251,(N251-1)*D251))='Deal maths'!AA251,0,1)),0)</f>
        <v/>
      </c>
      <c r="P251" s="113">
        <f>IF(B251=0,0,IFERROR(IF(C251="EIP",((I251-O251)*((IF(DAY(E251+1)=1,EOMONTH(E251,H251*D251),EDATE(E251,H251*D251))-AsAt)/365.25+(IF(DAY(E251+1)=1,EOMONTH(E251,(N251-1)*D251),EDATE(E251,(N251-1)*D251))-AsAt)/365.25)/2+O251*('Deal maths'!AA251-AsAt)/365.25)/I251,IF(C251="Annuity",IF(F251&gt;0,((K251-L251*F251)*((IF(DAY(E251+1)=1,EOMONTH(E251,H251*D251),EDATE(E251,H251*D251))-AsAt)/365.25*((1+F251)^(I251-O251)-1)/F251+IF((I251-O251)&gt;1,((IF(DAY(E251+1)=1,EOMONTH(E251,(N251-1)*D251),EDATE(E251,(N251-1)*D251))-AsAt)/365.25-(IF(DAY(E251+1)=1,EOMONTH(E251,H251*D251),EDATE(E251,H251*D251))-AsAt)/365.25)/((I251-O251)-1),0)*(1+F251)*(1-(I251-O251)*(1+F251)^((I251-O251)-1)+((I251-O251)-1)*(1+F251)^(I251-O251))/F251^2)+O251*(K251-L251*F251)*(1+F251)^(I251-1)*('Deal maths'!AA251-AsAt)/365.25)/L251,((I251-O251)*((IF(DAY(E251+1)=1,EOMONTH(E251,H251*D251),EDATE(E251,H251*D251))-AsAt)/365.25+(IF(DAY(E251+1)=1,EOMONTH(E251,(N251-1)*D251),EDATE(E251,(N251-1)*D251))-AsAt)/365.25)/2+O251*('Deal maths'!AA251-AsAt)/365.25)/I251),(S251-AsAt)/365.25)),0))</f>
        <v/>
      </c>
      <c r="Q251" s="109">
        <f>IF(B251=1,'Deal maths'!AA251+ROW()/1000000,"")</f>
        <v/>
      </c>
      <c r="R251" s="108">
        <f>IF(D251=0,0,IF(DAY(E251+1)=1,31,DAY(E251)))</f>
        <v/>
      </c>
      <c r="S251" s="109">
        <f>IF(AND('Deal maths'!V251="LOBO",'Deal maths'!AG251&gt;AsAt,'Deal maths'!AG251&lt;'Deal maths'!AA251),'Deal maths'!AG251,'Deal maths'!AA251)</f>
        <v/>
      </c>
      <c r="T251" s="108">
        <f>('Deal maths'!AA251&gt;AsAt)*('Deal maths'!Y251&gt;0)</f>
        <v/>
      </c>
    </row>
    <row r="252">
      <c r="A252" s="91">
        <f>IF('Deal maths'!V252="","",'Deal maths'!W252)</f>
        <v/>
      </c>
      <c r="B252" s="108">
        <f>('Deal maths'!AA252&gt;AsAt)*('Deal maths'!Y252&gt;0)*('Deal maths'!Z252&lt;=AsAt)</f>
        <v/>
      </c>
      <c r="C252" s="91">
        <f>IF('Deal maths'!V252="","",IF('Deal maths'!AC252="","Maturity",'Deal maths'!AC252))</f>
        <v/>
      </c>
      <c r="D252" s="108">
        <f>IF(OR(C252="EIP",C252="Annuity"),IF('Deal maths'!AD252="Annual",12,IF('Deal maths'!AD252="Quarterly",3,6)),0)</f>
        <v/>
      </c>
      <c r="E252" s="109">
        <f>IFERROR(IF(D252=0,0,IF('Deal maths'!AE252&gt;0,IF('Deal maths'!AE252&gt;'Deal maths'!AA252,'Deal maths'!AA252,'Deal maths'!AE252),IF(IF(DAY('Deal maths'!AA252+1)=1,EOMONTH('Deal maths'!AA252,-(INT(((YEAR('Deal maths'!AA252)-YEAR(IF('Deal maths'!Z252&gt;0,'Deal maths'!Z252,DATE(1990,1,1))))*12+MONTH('Deal maths'!AA252)-MONTH(IF('Deal maths'!Z252&gt;0,'Deal maths'!Z252,DATE(1990,1,1))))/D252))*D252),EDATE('Deal maths'!AA252,-(INT(((YEAR('Deal maths'!AA252)-YEAR(IF('Deal maths'!Z252&gt;0,'Deal maths'!Z252,DATE(1990,1,1))))*12+MONTH('Deal maths'!AA252)-MONTH(IF('Deal maths'!Z252&gt;0,'Deal maths'!Z252,DATE(1990,1,1))))/D252))*D252))&gt;IF('Deal maths'!Z252&gt;0,'Deal maths'!Z252,DATE(1990,1,1)),IF(DAY('Deal maths'!AA252+1)=1,EOMONTH('Deal maths'!AA252,-(INT(((YEAR('Deal maths'!AA252)-YEAR(IF('Deal maths'!Z252&gt;0,'Deal maths'!Z252,DATE(1990,1,1))))*12+MONTH('Deal maths'!AA252)-MONTH(IF('Deal maths'!Z252&gt;0,'Deal maths'!Z252,DATE(1990,1,1))))/D252))*D252),EDATE('Deal maths'!AA252,-(INT(((YEAR('Deal maths'!AA252)-YEAR(IF('Deal maths'!Z252&gt;0,'Deal maths'!Z252,DATE(1990,1,1))))*12+MONTH('Deal maths'!AA252)-MONTH(IF('Deal maths'!Z252&gt;0,'Deal maths'!Z252,DATE(1990,1,1))))/D252))*D252)),IF(DAY('Deal maths'!AA252+1)=1,EOMONTH('Deal maths'!AA252,-(INT(((YEAR('Deal maths'!AA252)-YEAR(IF('Deal maths'!Z252&gt;0,'Deal maths'!Z252,DATE(1990,1,1))))*12+MONTH('Deal maths'!AA252)-MONTH(IF('Deal maths'!Z252&gt;0,'Deal maths'!Z252,DATE(1990,1,1))))/D252)-1)*D252),EDATE('Deal maths'!AA252,-(INT(((YEAR('Deal maths'!AA252)-YEAR(IF('Deal maths'!Z252&gt;0,'Deal maths'!Z252,DATE(1990,1,1))))*12+MONTH('Deal maths'!AA252)-MONTH(IF('Deal maths'!Z252&gt;0,'Deal maths'!Z252,DATE(1990,1,1))))/D252)-1)*D252))))),0)</f>
        <v/>
      </c>
      <c r="F252" s="110">
        <f>IF(D252=0,0,'Deal maths'!AB252*D252/12)</f>
        <v/>
      </c>
      <c r="G252" s="108">
        <f>N252+O252</f>
        <v/>
      </c>
      <c r="H252" s="108">
        <f>IFERROR(IF(OR(D252=0,AsAt&lt;E252),0,MIN(N252,INT(((YEAR(AsAt)-YEAR(E252))*12+MONTH(AsAt)-MONTH(E252)-(DAY(AsAt)&lt;MIN(R252,DAY(EOMONTH(AsAt,0)))))/D252)+1)+O252*(AsAt&gt;='Deal maths'!AA252)),0)</f>
        <v/>
      </c>
      <c r="I252" s="108">
        <f>G252-H252</f>
        <v/>
      </c>
      <c r="J252" s="111">
        <f>IF(AND(C252="EIP",I252&gt;0),'Deal maths'!Y252/I252,0)</f>
        <v/>
      </c>
      <c r="K252" s="111">
        <f>IF(AND(C252="Annuity",I252&gt;0),IF(F252&gt;0,'Deal maths'!Y252*F252/(1-(1+F252)^-I252),'Deal maths'!Y252/I252),0)</f>
        <v/>
      </c>
      <c r="L252" s="111">
        <f>IF('Deal maths'!Y252="",0,'Deal maths'!Y252)</f>
        <v/>
      </c>
      <c r="M252" s="112">
        <f>F252+(F252=0)</f>
        <v/>
      </c>
      <c r="N252" s="108">
        <f>IFERROR(IF(D252=0,0,INT(((YEAR('Deal maths'!AA252)-YEAR(E252))*12+MONTH('Deal maths'!AA252)-MONTH(E252)-(DAY('Deal maths'!AA252)&lt;MIN(R252,DAY(EOMONTH('Deal maths'!AA252,0)))))/D252)+1),0)</f>
        <v/>
      </c>
      <c r="O252" s="108">
        <f>IFERROR(IF(D252=0,0,IF(IF(DAY(E252+1)=1,EOMONTH(E252,(N252-1)*D252),EDATE(E252,(N252-1)*D252))='Deal maths'!AA252,0,1)),0)</f>
        <v/>
      </c>
      <c r="P252" s="113">
        <f>IF(B252=0,0,IFERROR(IF(C252="EIP",((I252-O252)*((IF(DAY(E252+1)=1,EOMONTH(E252,H252*D252),EDATE(E252,H252*D252))-AsAt)/365.25+(IF(DAY(E252+1)=1,EOMONTH(E252,(N252-1)*D252),EDATE(E252,(N252-1)*D252))-AsAt)/365.25)/2+O252*('Deal maths'!AA252-AsAt)/365.25)/I252,IF(C252="Annuity",IF(F252&gt;0,((K252-L252*F252)*((IF(DAY(E252+1)=1,EOMONTH(E252,H252*D252),EDATE(E252,H252*D252))-AsAt)/365.25*((1+F252)^(I252-O252)-1)/F252+IF((I252-O252)&gt;1,((IF(DAY(E252+1)=1,EOMONTH(E252,(N252-1)*D252),EDATE(E252,(N252-1)*D252))-AsAt)/365.25-(IF(DAY(E252+1)=1,EOMONTH(E252,H252*D252),EDATE(E252,H252*D252))-AsAt)/365.25)/((I252-O252)-1),0)*(1+F252)*(1-(I252-O252)*(1+F252)^((I252-O252)-1)+((I252-O252)-1)*(1+F252)^(I252-O252))/F252^2)+O252*(K252-L252*F252)*(1+F252)^(I252-1)*('Deal maths'!AA252-AsAt)/365.25)/L252,((I252-O252)*((IF(DAY(E252+1)=1,EOMONTH(E252,H252*D252),EDATE(E252,H252*D252))-AsAt)/365.25+(IF(DAY(E252+1)=1,EOMONTH(E252,(N252-1)*D252),EDATE(E252,(N252-1)*D252))-AsAt)/365.25)/2+O252*('Deal maths'!AA252-AsAt)/365.25)/I252),(S252-AsAt)/365.25)),0))</f>
        <v/>
      </c>
      <c r="Q252" s="109">
        <f>IF(B252=1,'Deal maths'!AA252+ROW()/1000000,"")</f>
        <v/>
      </c>
      <c r="R252" s="108">
        <f>IF(D252=0,0,IF(DAY(E252+1)=1,31,DAY(E252)))</f>
        <v/>
      </c>
      <c r="S252" s="109">
        <f>IF(AND('Deal maths'!V252="LOBO",'Deal maths'!AG252&gt;AsAt,'Deal maths'!AG252&lt;'Deal maths'!AA252),'Deal maths'!AG252,'Deal maths'!AA252)</f>
        <v/>
      </c>
      <c r="T252" s="108">
        <f>('Deal maths'!AA252&gt;AsAt)*('Deal maths'!Y252&gt;0)</f>
        <v/>
      </c>
    </row>
    <row r="253">
      <c r="A253" s="91">
        <f>IF('Deal maths'!V253="","",'Deal maths'!W253)</f>
        <v/>
      </c>
      <c r="B253" s="108">
        <f>('Deal maths'!AA253&gt;AsAt)*('Deal maths'!Y253&gt;0)*('Deal maths'!Z253&lt;=AsAt)</f>
        <v/>
      </c>
      <c r="C253" s="91">
        <f>IF('Deal maths'!V253="","",IF('Deal maths'!AC253="","Maturity",'Deal maths'!AC253))</f>
        <v/>
      </c>
      <c r="D253" s="108">
        <f>IF(OR(C253="EIP",C253="Annuity"),IF('Deal maths'!AD253="Annual",12,IF('Deal maths'!AD253="Quarterly",3,6)),0)</f>
        <v/>
      </c>
      <c r="E253" s="109">
        <f>IFERROR(IF(D253=0,0,IF('Deal maths'!AE253&gt;0,IF('Deal maths'!AE253&gt;'Deal maths'!AA253,'Deal maths'!AA253,'Deal maths'!AE253),IF(IF(DAY('Deal maths'!AA253+1)=1,EOMONTH('Deal maths'!AA253,-(INT(((YEAR('Deal maths'!AA253)-YEAR(IF('Deal maths'!Z253&gt;0,'Deal maths'!Z253,DATE(1990,1,1))))*12+MONTH('Deal maths'!AA253)-MONTH(IF('Deal maths'!Z253&gt;0,'Deal maths'!Z253,DATE(1990,1,1))))/D253))*D253),EDATE('Deal maths'!AA253,-(INT(((YEAR('Deal maths'!AA253)-YEAR(IF('Deal maths'!Z253&gt;0,'Deal maths'!Z253,DATE(1990,1,1))))*12+MONTH('Deal maths'!AA253)-MONTH(IF('Deal maths'!Z253&gt;0,'Deal maths'!Z253,DATE(1990,1,1))))/D253))*D253))&gt;IF('Deal maths'!Z253&gt;0,'Deal maths'!Z253,DATE(1990,1,1)),IF(DAY('Deal maths'!AA253+1)=1,EOMONTH('Deal maths'!AA253,-(INT(((YEAR('Deal maths'!AA253)-YEAR(IF('Deal maths'!Z253&gt;0,'Deal maths'!Z253,DATE(1990,1,1))))*12+MONTH('Deal maths'!AA253)-MONTH(IF('Deal maths'!Z253&gt;0,'Deal maths'!Z253,DATE(1990,1,1))))/D253))*D253),EDATE('Deal maths'!AA253,-(INT(((YEAR('Deal maths'!AA253)-YEAR(IF('Deal maths'!Z253&gt;0,'Deal maths'!Z253,DATE(1990,1,1))))*12+MONTH('Deal maths'!AA253)-MONTH(IF('Deal maths'!Z253&gt;0,'Deal maths'!Z253,DATE(1990,1,1))))/D253))*D253)),IF(DAY('Deal maths'!AA253+1)=1,EOMONTH('Deal maths'!AA253,-(INT(((YEAR('Deal maths'!AA253)-YEAR(IF('Deal maths'!Z253&gt;0,'Deal maths'!Z253,DATE(1990,1,1))))*12+MONTH('Deal maths'!AA253)-MONTH(IF('Deal maths'!Z253&gt;0,'Deal maths'!Z253,DATE(1990,1,1))))/D253)-1)*D253),EDATE('Deal maths'!AA253,-(INT(((YEAR('Deal maths'!AA253)-YEAR(IF('Deal maths'!Z253&gt;0,'Deal maths'!Z253,DATE(1990,1,1))))*12+MONTH('Deal maths'!AA253)-MONTH(IF('Deal maths'!Z253&gt;0,'Deal maths'!Z253,DATE(1990,1,1))))/D253)-1)*D253))))),0)</f>
        <v/>
      </c>
      <c r="F253" s="110">
        <f>IF(D253=0,0,'Deal maths'!AB253*D253/12)</f>
        <v/>
      </c>
      <c r="G253" s="108">
        <f>N253+O253</f>
        <v/>
      </c>
      <c r="H253" s="108">
        <f>IFERROR(IF(OR(D253=0,AsAt&lt;E253),0,MIN(N253,INT(((YEAR(AsAt)-YEAR(E253))*12+MONTH(AsAt)-MONTH(E253)-(DAY(AsAt)&lt;MIN(R253,DAY(EOMONTH(AsAt,0)))))/D253)+1)+O253*(AsAt&gt;='Deal maths'!AA253)),0)</f>
        <v/>
      </c>
      <c r="I253" s="108">
        <f>G253-H253</f>
        <v/>
      </c>
      <c r="J253" s="111">
        <f>IF(AND(C253="EIP",I253&gt;0),'Deal maths'!Y253/I253,0)</f>
        <v/>
      </c>
      <c r="K253" s="111">
        <f>IF(AND(C253="Annuity",I253&gt;0),IF(F253&gt;0,'Deal maths'!Y253*F253/(1-(1+F253)^-I253),'Deal maths'!Y253/I253),0)</f>
        <v/>
      </c>
      <c r="L253" s="111">
        <f>IF('Deal maths'!Y253="",0,'Deal maths'!Y253)</f>
        <v/>
      </c>
      <c r="M253" s="112">
        <f>F253+(F253=0)</f>
        <v/>
      </c>
      <c r="N253" s="108">
        <f>IFERROR(IF(D253=0,0,INT(((YEAR('Deal maths'!AA253)-YEAR(E253))*12+MONTH('Deal maths'!AA253)-MONTH(E253)-(DAY('Deal maths'!AA253)&lt;MIN(R253,DAY(EOMONTH('Deal maths'!AA253,0)))))/D253)+1),0)</f>
        <v/>
      </c>
      <c r="O253" s="108">
        <f>IFERROR(IF(D253=0,0,IF(IF(DAY(E253+1)=1,EOMONTH(E253,(N253-1)*D253),EDATE(E253,(N253-1)*D253))='Deal maths'!AA253,0,1)),0)</f>
        <v/>
      </c>
      <c r="P253" s="113">
        <f>IF(B253=0,0,IFERROR(IF(C253="EIP",((I253-O253)*((IF(DAY(E253+1)=1,EOMONTH(E253,H253*D253),EDATE(E253,H253*D253))-AsAt)/365.25+(IF(DAY(E253+1)=1,EOMONTH(E253,(N253-1)*D253),EDATE(E253,(N253-1)*D253))-AsAt)/365.25)/2+O253*('Deal maths'!AA253-AsAt)/365.25)/I253,IF(C253="Annuity",IF(F253&gt;0,((K253-L253*F253)*((IF(DAY(E253+1)=1,EOMONTH(E253,H253*D253),EDATE(E253,H253*D253))-AsAt)/365.25*((1+F253)^(I253-O253)-1)/F253+IF((I253-O253)&gt;1,((IF(DAY(E253+1)=1,EOMONTH(E253,(N253-1)*D253),EDATE(E253,(N253-1)*D253))-AsAt)/365.25-(IF(DAY(E253+1)=1,EOMONTH(E253,H253*D253),EDATE(E253,H253*D253))-AsAt)/365.25)/((I253-O253)-1),0)*(1+F253)*(1-(I253-O253)*(1+F253)^((I253-O253)-1)+((I253-O253)-1)*(1+F253)^(I253-O253))/F253^2)+O253*(K253-L253*F253)*(1+F253)^(I253-1)*('Deal maths'!AA253-AsAt)/365.25)/L253,((I253-O253)*((IF(DAY(E253+1)=1,EOMONTH(E253,H253*D253),EDATE(E253,H253*D253))-AsAt)/365.25+(IF(DAY(E253+1)=1,EOMONTH(E253,(N253-1)*D253),EDATE(E253,(N253-1)*D253))-AsAt)/365.25)/2+O253*('Deal maths'!AA253-AsAt)/365.25)/I253),(S253-AsAt)/365.25)),0))</f>
        <v/>
      </c>
      <c r="Q253" s="109">
        <f>IF(B253=1,'Deal maths'!AA253+ROW()/1000000,"")</f>
        <v/>
      </c>
      <c r="R253" s="108">
        <f>IF(D253=0,0,IF(DAY(E253+1)=1,31,DAY(E253)))</f>
        <v/>
      </c>
      <c r="S253" s="109">
        <f>IF(AND('Deal maths'!V253="LOBO",'Deal maths'!AG253&gt;AsAt,'Deal maths'!AG253&lt;'Deal maths'!AA253),'Deal maths'!AG253,'Deal maths'!AA253)</f>
        <v/>
      </c>
      <c r="T253" s="108">
        <f>('Deal maths'!AA253&gt;AsAt)*('Deal maths'!Y253&gt;0)</f>
        <v/>
      </c>
    </row>
    <row r="254">
      <c r="A254" s="91">
        <f>IF('Deal maths'!V254="","",'Deal maths'!W254)</f>
        <v/>
      </c>
      <c r="B254" s="108">
        <f>('Deal maths'!AA254&gt;AsAt)*('Deal maths'!Y254&gt;0)*('Deal maths'!Z254&lt;=AsAt)</f>
        <v/>
      </c>
      <c r="C254" s="91">
        <f>IF('Deal maths'!V254="","",IF('Deal maths'!AC254="","Maturity",'Deal maths'!AC254))</f>
        <v/>
      </c>
      <c r="D254" s="108">
        <f>IF(OR(C254="EIP",C254="Annuity"),IF('Deal maths'!AD254="Annual",12,IF('Deal maths'!AD254="Quarterly",3,6)),0)</f>
        <v/>
      </c>
      <c r="E254" s="109">
        <f>IFERROR(IF(D254=0,0,IF('Deal maths'!AE254&gt;0,IF('Deal maths'!AE254&gt;'Deal maths'!AA254,'Deal maths'!AA254,'Deal maths'!AE254),IF(IF(DAY('Deal maths'!AA254+1)=1,EOMONTH('Deal maths'!AA254,-(INT(((YEAR('Deal maths'!AA254)-YEAR(IF('Deal maths'!Z254&gt;0,'Deal maths'!Z254,DATE(1990,1,1))))*12+MONTH('Deal maths'!AA254)-MONTH(IF('Deal maths'!Z254&gt;0,'Deal maths'!Z254,DATE(1990,1,1))))/D254))*D254),EDATE('Deal maths'!AA254,-(INT(((YEAR('Deal maths'!AA254)-YEAR(IF('Deal maths'!Z254&gt;0,'Deal maths'!Z254,DATE(1990,1,1))))*12+MONTH('Deal maths'!AA254)-MONTH(IF('Deal maths'!Z254&gt;0,'Deal maths'!Z254,DATE(1990,1,1))))/D254))*D254))&gt;IF('Deal maths'!Z254&gt;0,'Deal maths'!Z254,DATE(1990,1,1)),IF(DAY('Deal maths'!AA254+1)=1,EOMONTH('Deal maths'!AA254,-(INT(((YEAR('Deal maths'!AA254)-YEAR(IF('Deal maths'!Z254&gt;0,'Deal maths'!Z254,DATE(1990,1,1))))*12+MONTH('Deal maths'!AA254)-MONTH(IF('Deal maths'!Z254&gt;0,'Deal maths'!Z254,DATE(1990,1,1))))/D254))*D254),EDATE('Deal maths'!AA254,-(INT(((YEAR('Deal maths'!AA254)-YEAR(IF('Deal maths'!Z254&gt;0,'Deal maths'!Z254,DATE(1990,1,1))))*12+MONTH('Deal maths'!AA254)-MONTH(IF('Deal maths'!Z254&gt;0,'Deal maths'!Z254,DATE(1990,1,1))))/D254))*D254)),IF(DAY('Deal maths'!AA254+1)=1,EOMONTH('Deal maths'!AA254,-(INT(((YEAR('Deal maths'!AA254)-YEAR(IF('Deal maths'!Z254&gt;0,'Deal maths'!Z254,DATE(1990,1,1))))*12+MONTH('Deal maths'!AA254)-MONTH(IF('Deal maths'!Z254&gt;0,'Deal maths'!Z254,DATE(1990,1,1))))/D254)-1)*D254),EDATE('Deal maths'!AA254,-(INT(((YEAR('Deal maths'!AA254)-YEAR(IF('Deal maths'!Z254&gt;0,'Deal maths'!Z254,DATE(1990,1,1))))*12+MONTH('Deal maths'!AA254)-MONTH(IF('Deal maths'!Z254&gt;0,'Deal maths'!Z254,DATE(1990,1,1))))/D254)-1)*D254))))),0)</f>
        <v/>
      </c>
      <c r="F254" s="110">
        <f>IF(D254=0,0,'Deal maths'!AB254*D254/12)</f>
        <v/>
      </c>
      <c r="G254" s="108">
        <f>N254+O254</f>
        <v/>
      </c>
      <c r="H254" s="108">
        <f>IFERROR(IF(OR(D254=0,AsAt&lt;E254),0,MIN(N254,INT(((YEAR(AsAt)-YEAR(E254))*12+MONTH(AsAt)-MONTH(E254)-(DAY(AsAt)&lt;MIN(R254,DAY(EOMONTH(AsAt,0)))))/D254)+1)+O254*(AsAt&gt;='Deal maths'!AA254)),0)</f>
        <v/>
      </c>
      <c r="I254" s="108">
        <f>G254-H254</f>
        <v/>
      </c>
      <c r="J254" s="111">
        <f>IF(AND(C254="EIP",I254&gt;0),'Deal maths'!Y254/I254,0)</f>
        <v/>
      </c>
      <c r="K254" s="111">
        <f>IF(AND(C254="Annuity",I254&gt;0),IF(F254&gt;0,'Deal maths'!Y254*F254/(1-(1+F254)^-I254),'Deal maths'!Y254/I254),0)</f>
        <v/>
      </c>
      <c r="L254" s="111">
        <f>IF('Deal maths'!Y254="",0,'Deal maths'!Y254)</f>
        <v/>
      </c>
      <c r="M254" s="112">
        <f>F254+(F254=0)</f>
        <v/>
      </c>
      <c r="N254" s="108">
        <f>IFERROR(IF(D254=0,0,INT(((YEAR('Deal maths'!AA254)-YEAR(E254))*12+MONTH('Deal maths'!AA254)-MONTH(E254)-(DAY('Deal maths'!AA254)&lt;MIN(R254,DAY(EOMONTH('Deal maths'!AA254,0)))))/D254)+1),0)</f>
        <v/>
      </c>
      <c r="O254" s="108">
        <f>IFERROR(IF(D254=0,0,IF(IF(DAY(E254+1)=1,EOMONTH(E254,(N254-1)*D254),EDATE(E254,(N254-1)*D254))='Deal maths'!AA254,0,1)),0)</f>
        <v/>
      </c>
      <c r="P254" s="113">
        <f>IF(B254=0,0,IFERROR(IF(C254="EIP",((I254-O254)*((IF(DAY(E254+1)=1,EOMONTH(E254,H254*D254),EDATE(E254,H254*D254))-AsAt)/365.25+(IF(DAY(E254+1)=1,EOMONTH(E254,(N254-1)*D254),EDATE(E254,(N254-1)*D254))-AsAt)/365.25)/2+O254*('Deal maths'!AA254-AsAt)/365.25)/I254,IF(C254="Annuity",IF(F254&gt;0,((K254-L254*F254)*((IF(DAY(E254+1)=1,EOMONTH(E254,H254*D254),EDATE(E254,H254*D254))-AsAt)/365.25*((1+F254)^(I254-O254)-1)/F254+IF((I254-O254)&gt;1,((IF(DAY(E254+1)=1,EOMONTH(E254,(N254-1)*D254),EDATE(E254,(N254-1)*D254))-AsAt)/365.25-(IF(DAY(E254+1)=1,EOMONTH(E254,H254*D254),EDATE(E254,H254*D254))-AsAt)/365.25)/((I254-O254)-1),0)*(1+F254)*(1-(I254-O254)*(1+F254)^((I254-O254)-1)+((I254-O254)-1)*(1+F254)^(I254-O254))/F254^2)+O254*(K254-L254*F254)*(1+F254)^(I254-1)*('Deal maths'!AA254-AsAt)/365.25)/L254,((I254-O254)*((IF(DAY(E254+1)=1,EOMONTH(E254,H254*D254),EDATE(E254,H254*D254))-AsAt)/365.25+(IF(DAY(E254+1)=1,EOMONTH(E254,(N254-1)*D254),EDATE(E254,(N254-1)*D254))-AsAt)/365.25)/2+O254*('Deal maths'!AA254-AsAt)/365.25)/I254),(S254-AsAt)/365.25)),0))</f>
        <v/>
      </c>
      <c r="Q254" s="109">
        <f>IF(B254=1,'Deal maths'!AA254+ROW()/1000000,"")</f>
        <v/>
      </c>
      <c r="R254" s="108">
        <f>IF(D254=0,0,IF(DAY(E254+1)=1,31,DAY(E254)))</f>
        <v/>
      </c>
      <c r="S254" s="109">
        <f>IF(AND('Deal maths'!V254="LOBO",'Deal maths'!AG254&gt;AsAt,'Deal maths'!AG254&lt;'Deal maths'!AA254),'Deal maths'!AG254,'Deal maths'!AA254)</f>
        <v/>
      </c>
      <c r="T254" s="108">
        <f>('Deal maths'!AA254&gt;AsAt)*('Deal maths'!Y254&gt;0)</f>
        <v/>
      </c>
    </row>
    <row r="255">
      <c r="A255" s="91">
        <f>IF('Deal maths'!V255="","",'Deal maths'!W255)</f>
        <v/>
      </c>
      <c r="B255" s="108">
        <f>('Deal maths'!AA255&gt;AsAt)*('Deal maths'!Y255&gt;0)*('Deal maths'!Z255&lt;=AsAt)</f>
        <v/>
      </c>
      <c r="C255" s="91">
        <f>IF('Deal maths'!V255="","",IF('Deal maths'!AC255="","Maturity",'Deal maths'!AC255))</f>
        <v/>
      </c>
      <c r="D255" s="108">
        <f>IF(OR(C255="EIP",C255="Annuity"),IF('Deal maths'!AD255="Annual",12,IF('Deal maths'!AD255="Quarterly",3,6)),0)</f>
        <v/>
      </c>
      <c r="E255" s="109">
        <f>IFERROR(IF(D255=0,0,IF('Deal maths'!AE255&gt;0,IF('Deal maths'!AE255&gt;'Deal maths'!AA255,'Deal maths'!AA255,'Deal maths'!AE255),IF(IF(DAY('Deal maths'!AA255+1)=1,EOMONTH('Deal maths'!AA255,-(INT(((YEAR('Deal maths'!AA255)-YEAR(IF('Deal maths'!Z255&gt;0,'Deal maths'!Z255,DATE(1990,1,1))))*12+MONTH('Deal maths'!AA255)-MONTH(IF('Deal maths'!Z255&gt;0,'Deal maths'!Z255,DATE(1990,1,1))))/D255))*D255),EDATE('Deal maths'!AA255,-(INT(((YEAR('Deal maths'!AA255)-YEAR(IF('Deal maths'!Z255&gt;0,'Deal maths'!Z255,DATE(1990,1,1))))*12+MONTH('Deal maths'!AA255)-MONTH(IF('Deal maths'!Z255&gt;0,'Deal maths'!Z255,DATE(1990,1,1))))/D255))*D255))&gt;IF('Deal maths'!Z255&gt;0,'Deal maths'!Z255,DATE(1990,1,1)),IF(DAY('Deal maths'!AA255+1)=1,EOMONTH('Deal maths'!AA255,-(INT(((YEAR('Deal maths'!AA255)-YEAR(IF('Deal maths'!Z255&gt;0,'Deal maths'!Z255,DATE(1990,1,1))))*12+MONTH('Deal maths'!AA255)-MONTH(IF('Deal maths'!Z255&gt;0,'Deal maths'!Z255,DATE(1990,1,1))))/D255))*D255),EDATE('Deal maths'!AA255,-(INT(((YEAR('Deal maths'!AA255)-YEAR(IF('Deal maths'!Z255&gt;0,'Deal maths'!Z255,DATE(1990,1,1))))*12+MONTH('Deal maths'!AA255)-MONTH(IF('Deal maths'!Z255&gt;0,'Deal maths'!Z255,DATE(1990,1,1))))/D255))*D255)),IF(DAY('Deal maths'!AA255+1)=1,EOMONTH('Deal maths'!AA255,-(INT(((YEAR('Deal maths'!AA255)-YEAR(IF('Deal maths'!Z255&gt;0,'Deal maths'!Z255,DATE(1990,1,1))))*12+MONTH('Deal maths'!AA255)-MONTH(IF('Deal maths'!Z255&gt;0,'Deal maths'!Z255,DATE(1990,1,1))))/D255)-1)*D255),EDATE('Deal maths'!AA255,-(INT(((YEAR('Deal maths'!AA255)-YEAR(IF('Deal maths'!Z255&gt;0,'Deal maths'!Z255,DATE(1990,1,1))))*12+MONTH('Deal maths'!AA255)-MONTH(IF('Deal maths'!Z255&gt;0,'Deal maths'!Z255,DATE(1990,1,1))))/D255)-1)*D255))))),0)</f>
        <v/>
      </c>
      <c r="F255" s="110">
        <f>IF(D255=0,0,'Deal maths'!AB255*D255/12)</f>
        <v/>
      </c>
      <c r="G255" s="108">
        <f>N255+O255</f>
        <v/>
      </c>
      <c r="H255" s="108">
        <f>IFERROR(IF(OR(D255=0,AsAt&lt;E255),0,MIN(N255,INT(((YEAR(AsAt)-YEAR(E255))*12+MONTH(AsAt)-MONTH(E255)-(DAY(AsAt)&lt;MIN(R255,DAY(EOMONTH(AsAt,0)))))/D255)+1)+O255*(AsAt&gt;='Deal maths'!AA255)),0)</f>
        <v/>
      </c>
      <c r="I255" s="108">
        <f>G255-H255</f>
        <v/>
      </c>
      <c r="J255" s="111">
        <f>IF(AND(C255="EIP",I255&gt;0),'Deal maths'!Y255/I255,0)</f>
        <v/>
      </c>
      <c r="K255" s="111">
        <f>IF(AND(C255="Annuity",I255&gt;0),IF(F255&gt;0,'Deal maths'!Y255*F255/(1-(1+F255)^-I255),'Deal maths'!Y255/I255),0)</f>
        <v/>
      </c>
      <c r="L255" s="111">
        <f>IF('Deal maths'!Y255="",0,'Deal maths'!Y255)</f>
        <v/>
      </c>
      <c r="M255" s="112">
        <f>F255+(F255=0)</f>
        <v/>
      </c>
      <c r="N255" s="108">
        <f>IFERROR(IF(D255=0,0,INT(((YEAR('Deal maths'!AA255)-YEAR(E255))*12+MONTH('Deal maths'!AA255)-MONTH(E255)-(DAY('Deal maths'!AA255)&lt;MIN(R255,DAY(EOMONTH('Deal maths'!AA255,0)))))/D255)+1),0)</f>
        <v/>
      </c>
      <c r="O255" s="108">
        <f>IFERROR(IF(D255=0,0,IF(IF(DAY(E255+1)=1,EOMONTH(E255,(N255-1)*D255),EDATE(E255,(N255-1)*D255))='Deal maths'!AA255,0,1)),0)</f>
        <v/>
      </c>
      <c r="P255" s="113">
        <f>IF(B255=0,0,IFERROR(IF(C255="EIP",((I255-O255)*((IF(DAY(E255+1)=1,EOMONTH(E255,H255*D255),EDATE(E255,H255*D255))-AsAt)/365.25+(IF(DAY(E255+1)=1,EOMONTH(E255,(N255-1)*D255),EDATE(E255,(N255-1)*D255))-AsAt)/365.25)/2+O255*('Deal maths'!AA255-AsAt)/365.25)/I255,IF(C255="Annuity",IF(F255&gt;0,((K255-L255*F255)*((IF(DAY(E255+1)=1,EOMONTH(E255,H255*D255),EDATE(E255,H255*D255))-AsAt)/365.25*((1+F255)^(I255-O255)-1)/F255+IF((I255-O255)&gt;1,((IF(DAY(E255+1)=1,EOMONTH(E255,(N255-1)*D255),EDATE(E255,(N255-1)*D255))-AsAt)/365.25-(IF(DAY(E255+1)=1,EOMONTH(E255,H255*D255),EDATE(E255,H255*D255))-AsAt)/365.25)/((I255-O255)-1),0)*(1+F255)*(1-(I255-O255)*(1+F255)^((I255-O255)-1)+((I255-O255)-1)*(1+F255)^(I255-O255))/F255^2)+O255*(K255-L255*F255)*(1+F255)^(I255-1)*('Deal maths'!AA255-AsAt)/365.25)/L255,((I255-O255)*((IF(DAY(E255+1)=1,EOMONTH(E255,H255*D255),EDATE(E255,H255*D255))-AsAt)/365.25+(IF(DAY(E255+1)=1,EOMONTH(E255,(N255-1)*D255),EDATE(E255,(N255-1)*D255))-AsAt)/365.25)/2+O255*('Deal maths'!AA255-AsAt)/365.25)/I255),(S255-AsAt)/365.25)),0))</f>
        <v/>
      </c>
      <c r="Q255" s="109">
        <f>IF(B255=1,'Deal maths'!AA255+ROW()/1000000,"")</f>
        <v/>
      </c>
      <c r="R255" s="108">
        <f>IF(D255=0,0,IF(DAY(E255+1)=1,31,DAY(E255)))</f>
        <v/>
      </c>
      <c r="S255" s="109">
        <f>IF(AND('Deal maths'!V255="LOBO",'Deal maths'!AG255&gt;AsAt,'Deal maths'!AG255&lt;'Deal maths'!AA255),'Deal maths'!AG255,'Deal maths'!AA255)</f>
        <v/>
      </c>
      <c r="T255" s="108">
        <f>('Deal maths'!AA255&gt;AsAt)*('Deal maths'!Y255&gt;0)</f>
        <v/>
      </c>
    </row>
    <row r="256">
      <c r="A256" s="91">
        <f>IF('Deal maths'!V256="","",'Deal maths'!W256)</f>
        <v/>
      </c>
      <c r="B256" s="108">
        <f>('Deal maths'!AA256&gt;AsAt)*('Deal maths'!Y256&gt;0)*('Deal maths'!Z256&lt;=AsAt)</f>
        <v/>
      </c>
      <c r="C256" s="91">
        <f>IF('Deal maths'!V256="","",IF('Deal maths'!AC256="","Maturity",'Deal maths'!AC256))</f>
        <v/>
      </c>
      <c r="D256" s="108">
        <f>IF(OR(C256="EIP",C256="Annuity"),IF('Deal maths'!AD256="Annual",12,IF('Deal maths'!AD256="Quarterly",3,6)),0)</f>
        <v/>
      </c>
      <c r="E256" s="109">
        <f>IFERROR(IF(D256=0,0,IF('Deal maths'!AE256&gt;0,IF('Deal maths'!AE256&gt;'Deal maths'!AA256,'Deal maths'!AA256,'Deal maths'!AE256),IF(IF(DAY('Deal maths'!AA256+1)=1,EOMONTH('Deal maths'!AA256,-(INT(((YEAR('Deal maths'!AA256)-YEAR(IF('Deal maths'!Z256&gt;0,'Deal maths'!Z256,DATE(1990,1,1))))*12+MONTH('Deal maths'!AA256)-MONTH(IF('Deal maths'!Z256&gt;0,'Deal maths'!Z256,DATE(1990,1,1))))/D256))*D256),EDATE('Deal maths'!AA256,-(INT(((YEAR('Deal maths'!AA256)-YEAR(IF('Deal maths'!Z256&gt;0,'Deal maths'!Z256,DATE(1990,1,1))))*12+MONTH('Deal maths'!AA256)-MONTH(IF('Deal maths'!Z256&gt;0,'Deal maths'!Z256,DATE(1990,1,1))))/D256))*D256))&gt;IF('Deal maths'!Z256&gt;0,'Deal maths'!Z256,DATE(1990,1,1)),IF(DAY('Deal maths'!AA256+1)=1,EOMONTH('Deal maths'!AA256,-(INT(((YEAR('Deal maths'!AA256)-YEAR(IF('Deal maths'!Z256&gt;0,'Deal maths'!Z256,DATE(1990,1,1))))*12+MONTH('Deal maths'!AA256)-MONTH(IF('Deal maths'!Z256&gt;0,'Deal maths'!Z256,DATE(1990,1,1))))/D256))*D256),EDATE('Deal maths'!AA256,-(INT(((YEAR('Deal maths'!AA256)-YEAR(IF('Deal maths'!Z256&gt;0,'Deal maths'!Z256,DATE(1990,1,1))))*12+MONTH('Deal maths'!AA256)-MONTH(IF('Deal maths'!Z256&gt;0,'Deal maths'!Z256,DATE(1990,1,1))))/D256))*D256)),IF(DAY('Deal maths'!AA256+1)=1,EOMONTH('Deal maths'!AA256,-(INT(((YEAR('Deal maths'!AA256)-YEAR(IF('Deal maths'!Z256&gt;0,'Deal maths'!Z256,DATE(1990,1,1))))*12+MONTH('Deal maths'!AA256)-MONTH(IF('Deal maths'!Z256&gt;0,'Deal maths'!Z256,DATE(1990,1,1))))/D256)-1)*D256),EDATE('Deal maths'!AA256,-(INT(((YEAR('Deal maths'!AA256)-YEAR(IF('Deal maths'!Z256&gt;0,'Deal maths'!Z256,DATE(1990,1,1))))*12+MONTH('Deal maths'!AA256)-MONTH(IF('Deal maths'!Z256&gt;0,'Deal maths'!Z256,DATE(1990,1,1))))/D256)-1)*D256))))),0)</f>
        <v/>
      </c>
      <c r="F256" s="110">
        <f>IF(D256=0,0,'Deal maths'!AB256*D256/12)</f>
        <v/>
      </c>
      <c r="G256" s="108">
        <f>N256+O256</f>
        <v/>
      </c>
      <c r="H256" s="108">
        <f>IFERROR(IF(OR(D256=0,AsAt&lt;E256),0,MIN(N256,INT(((YEAR(AsAt)-YEAR(E256))*12+MONTH(AsAt)-MONTH(E256)-(DAY(AsAt)&lt;MIN(R256,DAY(EOMONTH(AsAt,0)))))/D256)+1)+O256*(AsAt&gt;='Deal maths'!AA256)),0)</f>
        <v/>
      </c>
      <c r="I256" s="108">
        <f>G256-H256</f>
        <v/>
      </c>
      <c r="J256" s="111">
        <f>IF(AND(C256="EIP",I256&gt;0),'Deal maths'!Y256/I256,0)</f>
        <v/>
      </c>
      <c r="K256" s="111">
        <f>IF(AND(C256="Annuity",I256&gt;0),IF(F256&gt;0,'Deal maths'!Y256*F256/(1-(1+F256)^-I256),'Deal maths'!Y256/I256),0)</f>
        <v/>
      </c>
      <c r="L256" s="111">
        <f>IF('Deal maths'!Y256="",0,'Deal maths'!Y256)</f>
        <v/>
      </c>
      <c r="M256" s="112">
        <f>F256+(F256=0)</f>
        <v/>
      </c>
      <c r="N256" s="108">
        <f>IFERROR(IF(D256=0,0,INT(((YEAR('Deal maths'!AA256)-YEAR(E256))*12+MONTH('Deal maths'!AA256)-MONTH(E256)-(DAY('Deal maths'!AA256)&lt;MIN(R256,DAY(EOMONTH('Deal maths'!AA256,0)))))/D256)+1),0)</f>
        <v/>
      </c>
      <c r="O256" s="108">
        <f>IFERROR(IF(D256=0,0,IF(IF(DAY(E256+1)=1,EOMONTH(E256,(N256-1)*D256),EDATE(E256,(N256-1)*D256))='Deal maths'!AA256,0,1)),0)</f>
        <v/>
      </c>
      <c r="P256" s="113">
        <f>IF(B256=0,0,IFERROR(IF(C256="EIP",((I256-O256)*((IF(DAY(E256+1)=1,EOMONTH(E256,H256*D256),EDATE(E256,H256*D256))-AsAt)/365.25+(IF(DAY(E256+1)=1,EOMONTH(E256,(N256-1)*D256),EDATE(E256,(N256-1)*D256))-AsAt)/365.25)/2+O256*('Deal maths'!AA256-AsAt)/365.25)/I256,IF(C256="Annuity",IF(F256&gt;0,((K256-L256*F256)*((IF(DAY(E256+1)=1,EOMONTH(E256,H256*D256),EDATE(E256,H256*D256))-AsAt)/365.25*((1+F256)^(I256-O256)-1)/F256+IF((I256-O256)&gt;1,((IF(DAY(E256+1)=1,EOMONTH(E256,(N256-1)*D256),EDATE(E256,(N256-1)*D256))-AsAt)/365.25-(IF(DAY(E256+1)=1,EOMONTH(E256,H256*D256),EDATE(E256,H256*D256))-AsAt)/365.25)/((I256-O256)-1),0)*(1+F256)*(1-(I256-O256)*(1+F256)^((I256-O256)-1)+((I256-O256)-1)*(1+F256)^(I256-O256))/F256^2)+O256*(K256-L256*F256)*(1+F256)^(I256-1)*('Deal maths'!AA256-AsAt)/365.25)/L256,((I256-O256)*((IF(DAY(E256+1)=1,EOMONTH(E256,H256*D256),EDATE(E256,H256*D256))-AsAt)/365.25+(IF(DAY(E256+1)=1,EOMONTH(E256,(N256-1)*D256),EDATE(E256,(N256-1)*D256))-AsAt)/365.25)/2+O256*('Deal maths'!AA256-AsAt)/365.25)/I256),(S256-AsAt)/365.25)),0))</f>
        <v/>
      </c>
      <c r="Q256" s="109">
        <f>IF(B256=1,'Deal maths'!AA256+ROW()/1000000,"")</f>
        <v/>
      </c>
      <c r="R256" s="108">
        <f>IF(D256=0,0,IF(DAY(E256+1)=1,31,DAY(E256)))</f>
        <v/>
      </c>
      <c r="S256" s="109">
        <f>IF(AND('Deal maths'!V256="LOBO",'Deal maths'!AG256&gt;AsAt,'Deal maths'!AG256&lt;'Deal maths'!AA256),'Deal maths'!AG256,'Deal maths'!AA256)</f>
        <v/>
      </c>
      <c r="T256" s="108">
        <f>('Deal maths'!AA256&gt;AsAt)*('Deal maths'!Y256&gt;0)</f>
        <v/>
      </c>
    </row>
    <row r="257">
      <c r="A257" s="91">
        <f>IF('Deal maths'!V257="","",'Deal maths'!W257)</f>
        <v/>
      </c>
      <c r="B257" s="108">
        <f>('Deal maths'!AA257&gt;AsAt)*('Deal maths'!Y257&gt;0)*('Deal maths'!Z257&lt;=AsAt)</f>
        <v/>
      </c>
      <c r="C257" s="91">
        <f>IF('Deal maths'!V257="","",IF('Deal maths'!AC257="","Maturity",'Deal maths'!AC257))</f>
        <v/>
      </c>
      <c r="D257" s="108">
        <f>IF(OR(C257="EIP",C257="Annuity"),IF('Deal maths'!AD257="Annual",12,IF('Deal maths'!AD257="Quarterly",3,6)),0)</f>
        <v/>
      </c>
      <c r="E257" s="109">
        <f>IFERROR(IF(D257=0,0,IF('Deal maths'!AE257&gt;0,IF('Deal maths'!AE257&gt;'Deal maths'!AA257,'Deal maths'!AA257,'Deal maths'!AE257),IF(IF(DAY('Deal maths'!AA257+1)=1,EOMONTH('Deal maths'!AA257,-(INT(((YEAR('Deal maths'!AA257)-YEAR(IF('Deal maths'!Z257&gt;0,'Deal maths'!Z257,DATE(1990,1,1))))*12+MONTH('Deal maths'!AA257)-MONTH(IF('Deal maths'!Z257&gt;0,'Deal maths'!Z257,DATE(1990,1,1))))/D257))*D257),EDATE('Deal maths'!AA257,-(INT(((YEAR('Deal maths'!AA257)-YEAR(IF('Deal maths'!Z257&gt;0,'Deal maths'!Z257,DATE(1990,1,1))))*12+MONTH('Deal maths'!AA257)-MONTH(IF('Deal maths'!Z257&gt;0,'Deal maths'!Z257,DATE(1990,1,1))))/D257))*D257))&gt;IF('Deal maths'!Z257&gt;0,'Deal maths'!Z257,DATE(1990,1,1)),IF(DAY('Deal maths'!AA257+1)=1,EOMONTH('Deal maths'!AA257,-(INT(((YEAR('Deal maths'!AA257)-YEAR(IF('Deal maths'!Z257&gt;0,'Deal maths'!Z257,DATE(1990,1,1))))*12+MONTH('Deal maths'!AA257)-MONTH(IF('Deal maths'!Z257&gt;0,'Deal maths'!Z257,DATE(1990,1,1))))/D257))*D257),EDATE('Deal maths'!AA257,-(INT(((YEAR('Deal maths'!AA257)-YEAR(IF('Deal maths'!Z257&gt;0,'Deal maths'!Z257,DATE(1990,1,1))))*12+MONTH('Deal maths'!AA257)-MONTH(IF('Deal maths'!Z257&gt;0,'Deal maths'!Z257,DATE(1990,1,1))))/D257))*D257)),IF(DAY('Deal maths'!AA257+1)=1,EOMONTH('Deal maths'!AA257,-(INT(((YEAR('Deal maths'!AA257)-YEAR(IF('Deal maths'!Z257&gt;0,'Deal maths'!Z257,DATE(1990,1,1))))*12+MONTH('Deal maths'!AA257)-MONTH(IF('Deal maths'!Z257&gt;0,'Deal maths'!Z257,DATE(1990,1,1))))/D257)-1)*D257),EDATE('Deal maths'!AA257,-(INT(((YEAR('Deal maths'!AA257)-YEAR(IF('Deal maths'!Z257&gt;0,'Deal maths'!Z257,DATE(1990,1,1))))*12+MONTH('Deal maths'!AA257)-MONTH(IF('Deal maths'!Z257&gt;0,'Deal maths'!Z257,DATE(1990,1,1))))/D257)-1)*D257))))),0)</f>
        <v/>
      </c>
      <c r="F257" s="110">
        <f>IF(D257=0,0,'Deal maths'!AB257*D257/12)</f>
        <v/>
      </c>
      <c r="G257" s="108">
        <f>N257+O257</f>
        <v/>
      </c>
      <c r="H257" s="108">
        <f>IFERROR(IF(OR(D257=0,AsAt&lt;E257),0,MIN(N257,INT(((YEAR(AsAt)-YEAR(E257))*12+MONTH(AsAt)-MONTH(E257)-(DAY(AsAt)&lt;MIN(R257,DAY(EOMONTH(AsAt,0)))))/D257)+1)+O257*(AsAt&gt;='Deal maths'!AA257)),0)</f>
        <v/>
      </c>
      <c r="I257" s="108">
        <f>G257-H257</f>
        <v/>
      </c>
      <c r="J257" s="111">
        <f>IF(AND(C257="EIP",I257&gt;0),'Deal maths'!Y257/I257,0)</f>
        <v/>
      </c>
      <c r="K257" s="111">
        <f>IF(AND(C257="Annuity",I257&gt;0),IF(F257&gt;0,'Deal maths'!Y257*F257/(1-(1+F257)^-I257),'Deal maths'!Y257/I257),0)</f>
        <v/>
      </c>
      <c r="L257" s="111">
        <f>IF('Deal maths'!Y257="",0,'Deal maths'!Y257)</f>
        <v/>
      </c>
      <c r="M257" s="112">
        <f>F257+(F257=0)</f>
        <v/>
      </c>
      <c r="N257" s="108">
        <f>IFERROR(IF(D257=0,0,INT(((YEAR('Deal maths'!AA257)-YEAR(E257))*12+MONTH('Deal maths'!AA257)-MONTH(E257)-(DAY('Deal maths'!AA257)&lt;MIN(R257,DAY(EOMONTH('Deal maths'!AA257,0)))))/D257)+1),0)</f>
        <v/>
      </c>
      <c r="O257" s="108">
        <f>IFERROR(IF(D257=0,0,IF(IF(DAY(E257+1)=1,EOMONTH(E257,(N257-1)*D257),EDATE(E257,(N257-1)*D257))='Deal maths'!AA257,0,1)),0)</f>
        <v/>
      </c>
      <c r="P257" s="113">
        <f>IF(B257=0,0,IFERROR(IF(C257="EIP",((I257-O257)*((IF(DAY(E257+1)=1,EOMONTH(E257,H257*D257),EDATE(E257,H257*D257))-AsAt)/365.25+(IF(DAY(E257+1)=1,EOMONTH(E257,(N257-1)*D257),EDATE(E257,(N257-1)*D257))-AsAt)/365.25)/2+O257*('Deal maths'!AA257-AsAt)/365.25)/I257,IF(C257="Annuity",IF(F257&gt;0,((K257-L257*F257)*((IF(DAY(E257+1)=1,EOMONTH(E257,H257*D257),EDATE(E257,H257*D257))-AsAt)/365.25*((1+F257)^(I257-O257)-1)/F257+IF((I257-O257)&gt;1,((IF(DAY(E257+1)=1,EOMONTH(E257,(N257-1)*D257),EDATE(E257,(N257-1)*D257))-AsAt)/365.25-(IF(DAY(E257+1)=1,EOMONTH(E257,H257*D257),EDATE(E257,H257*D257))-AsAt)/365.25)/((I257-O257)-1),0)*(1+F257)*(1-(I257-O257)*(1+F257)^((I257-O257)-1)+((I257-O257)-1)*(1+F257)^(I257-O257))/F257^2)+O257*(K257-L257*F257)*(1+F257)^(I257-1)*('Deal maths'!AA257-AsAt)/365.25)/L257,((I257-O257)*((IF(DAY(E257+1)=1,EOMONTH(E257,H257*D257),EDATE(E257,H257*D257))-AsAt)/365.25+(IF(DAY(E257+1)=1,EOMONTH(E257,(N257-1)*D257),EDATE(E257,(N257-1)*D257))-AsAt)/365.25)/2+O257*('Deal maths'!AA257-AsAt)/365.25)/I257),(S257-AsAt)/365.25)),0))</f>
        <v/>
      </c>
      <c r="Q257" s="109">
        <f>IF(B257=1,'Deal maths'!AA257+ROW()/1000000,"")</f>
        <v/>
      </c>
      <c r="R257" s="108">
        <f>IF(D257=0,0,IF(DAY(E257+1)=1,31,DAY(E257)))</f>
        <v/>
      </c>
      <c r="S257" s="109">
        <f>IF(AND('Deal maths'!V257="LOBO",'Deal maths'!AG257&gt;AsAt,'Deal maths'!AG257&lt;'Deal maths'!AA257),'Deal maths'!AG257,'Deal maths'!AA257)</f>
        <v/>
      </c>
      <c r="T257" s="108">
        <f>('Deal maths'!AA257&gt;AsAt)*('Deal maths'!Y257&gt;0)</f>
        <v/>
      </c>
    </row>
    <row r="258">
      <c r="A258" s="91">
        <f>IF('Deal maths'!V258="","",'Deal maths'!W258)</f>
        <v/>
      </c>
      <c r="B258" s="108">
        <f>('Deal maths'!AA258&gt;AsAt)*('Deal maths'!Y258&gt;0)*('Deal maths'!Z258&lt;=AsAt)</f>
        <v/>
      </c>
      <c r="C258" s="91">
        <f>IF('Deal maths'!V258="","",IF('Deal maths'!AC258="","Maturity",'Deal maths'!AC258))</f>
        <v/>
      </c>
      <c r="D258" s="108">
        <f>IF(OR(C258="EIP",C258="Annuity"),IF('Deal maths'!AD258="Annual",12,IF('Deal maths'!AD258="Quarterly",3,6)),0)</f>
        <v/>
      </c>
      <c r="E258" s="109">
        <f>IFERROR(IF(D258=0,0,IF('Deal maths'!AE258&gt;0,IF('Deal maths'!AE258&gt;'Deal maths'!AA258,'Deal maths'!AA258,'Deal maths'!AE258),IF(IF(DAY('Deal maths'!AA258+1)=1,EOMONTH('Deal maths'!AA258,-(INT(((YEAR('Deal maths'!AA258)-YEAR(IF('Deal maths'!Z258&gt;0,'Deal maths'!Z258,DATE(1990,1,1))))*12+MONTH('Deal maths'!AA258)-MONTH(IF('Deal maths'!Z258&gt;0,'Deal maths'!Z258,DATE(1990,1,1))))/D258))*D258),EDATE('Deal maths'!AA258,-(INT(((YEAR('Deal maths'!AA258)-YEAR(IF('Deal maths'!Z258&gt;0,'Deal maths'!Z258,DATE(1990,1,1))))*12+MONTH('Deal maths'!AA258)-MONTH(IF('Deal maths'!Z258&gt;0,'Deal maths'!Z258,DATE(1990,1,1))))/D258))*D258))&gt;IF('Deal maths'!Z258&gt;0,'Deal maths'!Z258,DATE(1990,1,1)),IF(DAY('Deal maths'!AA258+1)=1,EOMONTH('Deal maths'!AA258,-(INT(((YEAR('Deal maths'!AA258)-YEAR(IF('Deal maths'!Z258&gt;0,'Deal maths'!Z258,DATE(1990,1,1))))*12+MONTH('Deal maths'!AA258)-MONTH(IF('Deal maths'!Z258&gt;0,'Deal maths'!Z258,DATE(1990,1,1))))/D258))*D258),EDATE('Deal maths'!AA258,-(INT(((YEAR('Deal maths'!AA258)-YEAR(IF('Deal maths'!Z258&gt;0,'Deal maths'!Z258,DATE(1990,1,1))))*12+MONTH('Deal maths'!AA258)-MONTH(IF('Deal maths'!Z258&gt;0,'Deal maths'!Z258,DATE(1990,1,1))))/D258))*D258)),IF(DAY('Deal maths'!AA258+1)=1,EOMONTH('Deal maths'!AA258,-(INT(((YEAR('Deal maths'!AA258)-YEAR(IF('Deal maths'!Z258&gt;0,'Deal maths'!Z258,DATE(1990,1,1))))*12+MONTH('Deal maths'!AA258)-MONTH(IF('Deal maths'!Z258&gt;0,'Deal maths'!Z258,DATE(1990,1,1))))/D258)-1)*D258),EDATE('Deal maths'!AA258,-(INT(((YEAR('Deal maths'!AA258)-YEAR(IF('Deal maths'!Z258&gt;0,'Deal maths'!Z258,DATE(1990,1,1))))*12+MONTH('Deal maths'!AA258)-MONTH(IF('Deal maths'!Z258&gt;0,'Deal maths'!Z258,DATE(1990,1,1))))/D258)-1)*D258))))),0)</f>
        <v/>
      </c>
      <c r="F258" s="110">
        <f>IF(D258=0,0,'Deal maths'!AB258*D258/12)</f>
        <v/>
      </c>
      <c r="G258" s="108">
        <f>N258+O258</f>
        <v/>
      </c>
      <c r="H258" s="108">
        <f>IFERROR(IF(OR(D258=0,AsAt&lt;E258),0,MIN(N258,INT(((YEAR(AsAt)-YEAR(E258))*12+MONTH(AsAt)-MONTH(E258)-(DAY(AsAt)&lt;MIN(R258,DAY(EOMONTH(AsAt,0)))))/D258)+1)+O258*(AsAt&gt;='Deal maths'!AA258)),0)</f>
        <v/>
      </c>
      <c r="I258" s="108">
        <f>G258-H258</f>
        <v/>
      </c>
      <c r="J258" s="111">
        <f>IF(AND(C258="EIP",I258&gt;0),'Deal maths'!Y258/I258,0)</f>
        <v/>
      </c>
      <c r="K258" s="111">
        <f>IF(AND(C258="Annuity",I258&gt;0),IF(F258&gt;0,'Deal maths'!Y258*F258/(1-(1+F258)^-I258),'Deal maths'!Y258/I258),0)</f>
        <v/>
      </c>
      <c r="L258" s="111">
        <f>IF('Deal maths'!Y258="",0,'Deal maths'!Y258)</f>
        <v/>
      </c>
      <c r="M258" s="112">
        <f>F258+(F258=0)</f>
        <v/>
      </c>
      <c r="N258" s="108">
        <f>IFERROR(IF(D258=0,0,INT(((YEAR('Deal maths'!AA258)-YEAR(E258))*12+MONTH('Deal maths'!AA258)-MONTH(E258)-(DAY('Deal maths'!AA258)&lt;MIN(R258,DAY(EOMONTH('Deal maths'!AA258,0)))))/D258)+1),0)</f>
        <v/>
      </c>
      <c r="O258" s="108">
        <f>IFERROR(IF(D258=0,0,IF(IF(DAY(E258+1)=1,EOMONTH(E258,(N258-1)*D258),EDATE(E258,(N258-1)*D258))='Deal maths'!AA258,0,1)),0)</f>
        <v/>
      </c>
      <c r="P258" s="113">
        <f>IF(B258=0,0,IFERROR(IF(C258="EIP",((I258-O258)*((IF(DAY(E258+1)=1,EOMONTH(E258,H258*D258),EDATE(E258,H258*D258))-AsAt)/365.25+(IF(DAY(E258+1)=1,EOMONTH(E258,(N258-1)*D258),EDATE(E258,(N258-1)*D258))-AsAt)/365.25)/2+O258*('Deal maths'!AA258-AsAt)/365.25)/I258,IF(C258="Annuity",IF(F258&gt;0,((K258-L258*F258)*((IF(DAY(E258+1)=1,EOMONTH(E258,H258*D258),EDATE(E258,H258*D258))-AsAt)/365.25*((1+F258)^(I258-O258)-1)/F258+IF((I258-O258)&gt;1,((IF(DAY(E258+1)=1,EOMONTH(E258,(N258-1)*D258),EDATE(E258,(N258-1)*D258))-AsAt)/365.25-(IF(DAY(E258+1)=1,EOMONTH(E258,H258*D258),EDATE(E258,H258*D258))-AsAt)/365.25)/((I258-O258)-1),0)*(1+F258)*(1-(I258-O258)*(1+F258)^((I258-O258)-1)+((I258-O258)-1)*(1+F258)^(I258-O258))/F258^2)+O258*(K258-L258*F258)*(1+F258)^(I258-1)*('Deal maths'!AA258-AsAt)/365.25)/L258,((I258-O258)*((IF(DAY(E258+1)=1,EOMONTH(E258,H258*D258),EDATE(E258,H258*D258))-AsAt)/365.25+(IF(DAY(E258+1)=1,EOMONTH(E258,(N258-1)*D258),EDATE(E258,(N258-1)*D258))-AsAt)/365.25)/2+O258*('Deal maths'!AA258-AsAt)/365.25)/I258),(S258-AsAt)/365.25)),0))</f>
        <v/>
      </c>
      <c r="Q258" s="109">
        <f>IF(B258=1,'Deal maths'!AA258+ROW()/1000000,"")</f>
        <v/>
      </c>
      <c r="R258" s="108">
        <f>IF(D258=0,0,IF(DAY(E258+1)=1,31,DAY(E258)))</f>
        <v/>
      </c>
      <c r="S258" s="109">
        <f>IF(AND('Deal maths'!V258="LOBO",'Deal maths'!AG258&gt;AsAt,'Deal maths'!AG258&lt;'Deal maths'!AA258),'Deal maths'!AG258,'Deal maths'!AA258)</f>
        <v/>
      </c>
      <c r="T258" s="108">
        <f>('Deal maths'!AA258&gt;AsAt)*('Deal maths'!Y258&gt;0)</f>
        <v/>
      </c>
    </row>
    <row r="259">
      <c r="A259" s="91">
        <f>IF('Deal maths'!V259="","",'Deal maths'!W259)</f>
        <v/>
      </c>
      <c r="B259" s="108">
        <f>('Deal maths'!AA259&gt;AsAt)*('Deal maths'!Y259&gt;0)*('Deal maths'!Z259&lt;=AsAt)</f>
        <v/>
      </c>
      <c r="C259" s="91">
        <f>IF('Deal maths'!V259="","",IF('Deal maths'!AC259="","Maturity",'Deal maths'!AC259))</f>
        <v/>
      </c>
      <c r="D259" s="108">
        <f>IF(OR(C259="EIP",C259="Annuity"),IF('Deal maths'!AD259="Annual",12,IF('Deal maths'!AD259="Quarterly",3,6)),0)</f>
        <v/>
      </c>
      <c r="E259" s="109">
        <f>IFERROR(IF(D259=0,0,IF('Deal maths'!AE259&gt;0,IF('Deal maths'!AE259&gt;'Deal maths'!AA259,'Deal maths'!AA259,'Deal maths'!AE259),IF(IF(DAY('Deal maths'!AA259+1)=1,EOMONTH('Deal maths'!AA259,-(INT(((YEAR('Deal maths'!AA259)-YEAR(IF('Deal maths'!Z259&gt;0,'Deal maths'!Z259,DATE(1990,1,1))))*12+MONTH('Deal maths'!AA259)-MONTH(IF('Deal maths'!Z259&gt;0,'Deal maths'!Z259,DATE(1990,1,1))))/D259))*D259),EDATE('Deal maths'!AA259,-(INT(((YEAR('Deal maths'!AA259)-YEAR(IF('Deal maths'!Z259&gt;0,'Deal maths'!Z259,DATE(1990,1,1))))*12+MONTH('Deal maths'!AA259)-MONTH(IF('Deal maths'!Z259&gt;0,'Deal maths'!Z259,DATE(1990,1,1))))/D259))*D259))&gt;IF('Deal maths'!Z259&gt;0,'Deal maths'!Z259,DATE(1990,1,1)),IF(DAY('Deal maths'!AA259+1)=1,EOMONTH('Deal maths'!AA259,-(INT(((YEAR('Deal maths'!AA259)-YEAR(IF('Deal maths'!Z259&gt;0,'Deal maths'!Z259,DATE(1990,1,1))))*12+MONTH('Deal maths'!AA259)-MONTH(IF('Deal maths'!Z259&gt;0,'Deal maths'!Z259,DATE(1990,1,1))))/D259))*D259),EDATE('Deal maths'!AA259,-(INT(((YEAR('Deal maths'!AA259)-YEAR(IF('Deal maths'!Z259&gt;0,'Deal maths'!Z259,DATE(1990,1,1))))*12+MONTH('Deal maths'!AA259)-MONTH(IF('Deal maths'!Z259&gt;0,'Deal maths'!Z259,DATE(1990,1,1))))/D259))*D259)),IF(DAY('Deal maths'!AA259+1)=1,EOMONTH('Deal maths'!AA259,-(INT(((YEAR('Deal maths'!AA259)-YEAR(IF('Deal maths'!Z259&gt;0,'Deal maths'!Z259,DATE(1990,1,1))))*12+MONTH('Deal maths'!AA259)-MONTH(IF('Deal maths'!Z259&gt;0,'Deal maths'!Z259,DATE(1990,1,1))))/D259)-1)*D259),EDATE('Deal maths'!AA259,-(INT(((YEAR('Deal maths'!AA259)-YEAR(IF('Deal maths'!Z259&gt;0,'Deal maths'!Z259,DATE(1990,1,1))))*12+MONTH('Deal maths'!AA259)-MONTH(IF('Deal maths'!Z259&gt;0,'Deal maths'!Z259,DATE(1990,1,1))))/D259)-1)*D259))))),0)</f>
        <v/>
      </c>
      <c r="F259" s="110">
        <f>IF(D259=0,0,'Deal maths'!AB259*D259/12)</f>
        <v/>
      </c>
      <c r="G259" s="108">
        <f>N259+O259</f>
        <v/>
      </c>
      <c r="H259" s="108">
        <f>IFERROR(IF(OR(D259=0,AsAt&lt;E259),0,MIN(N259,INT(((YEAR(AsAt)-YEAR(E259))*12+MONTH(AsAt)-MONTH(E259)-(DAY(AsAt)&lt;MIN(R259,DAY(EOMONTH(AsAt,0)))))/D259)+1)+O259*(AsAt&gt;='Deal maths'!AA259)),0)</f>
        <v/>
      </c>
      <c r="I259" s="108">
        <f>G259-H259</f>
        <v/>
      </c>
      <c r="J259" s="111">
        <f>IF(AND(C259="EIP",I259&gt;0),'Deal maths'!Y259/I259,0)</f>
        <v/>
      </c>
      <c r="K259" s="111">
        <f>IF(AND(C259="Annuity",I259&gt;0),IF(F259&gt;0,'Deal maths'!Y259*F259/(1-(1+F259)^-I259),'Deal maths'!Y259/I259),0)</f>
        <v/>
      </c>
      <c r="L259" s="111">
        <f>IF('Deal maths'!Y259="",0,'Deal maths'!Y259)</f>
        <v/>
      </c>
      <c r="M259" s="112">
        <f>F259+(F259=0)</f>
        <v/>
      </c>
      <c r="N259" s="108">
        <f>IFERROR(IF(D259=0,0,INT(((YEAR('Deal maths'!AA259)-YEAR(E259))*12+MONTH('Deal maths'!AA259)-MONTH(E259)-(DAY('Deal maths'!AA259)&lt;MIN(R259,DAY(EOMONTH('Deal maths'!AA259,0)))))/D259)+1),0)</f>
        <v/>
      </c>
      <c r="O259" s="108">
        <f>IFERROR(IF(D259=0,0,IF(IF(DAY(E259+1)=1,EOMONTH(E259,(N259-1)*D259),EDATE(E259,(N259-1)*D259))='Deal maths'!AA259,0,1)),0)</f>
        <v/>
      </c>
      <c r="P259" s="113">
        <f>IF(B259=0,0,IFERROR(IF(C259="EIP",((I259-O259)*((IF(DAY(E259+1)=1,EOMONTH(E259,H259*D259),EDATE(E259,H259*D259))-AsAt)/365.25+(IF(DAY(E259+1)=1,EOMONTH(E259,(N259-1)*D259),EDATE(E259,(N259-1)*D259))-AsAt)/365.25)/2+O259*('Deal maths'!AA259-AsAt)/365.25)/I259,IF(C259="Annuity",IF(F259&gt;0,((K259-L259*F259)*((IF(DAY(E259+1)=1,EOMONTH(E259,H259*D259),EDATE(E259,H259*D259))-AsAt)/365.25*((1+F259)^(I259-O259)-1)/F259+IF((I259-O259)&gt;1,((IF(DAY(E259+1)=1,EOMONTH(E259,(N259-1)*D259),EDATE(E259,(N259-1)*D259))-AsAt)/365.25-(IF(DAY(E259+1)=1,EOMONTH(E259,H259*D259),EDATE(E259,H259*D259))-AsAt)/365.25)/((I259-O259)-1),0)*(1+F259)*(1-(I259-O259)*(1+F259)^((I259-O259)-1)+((I259-O259)-1)*(1+F259)^(I259-O259))/F259^2)+O259*(K259-L259*F259)*(1+F259)^(I259-1)*('Deal maths'!AA259-AsAt)/365.25)/L259,((I259-O259)*((IF(DAY(E259+1)=1,EOMONTH(E259,H259*D259),EDATE(E259,H259*D259))-AsAt)/365.25+(IF(DAY(E259+1)=1,EOMONTH(E259,(N259-1)*D259),EDATE(E259,(N259-1)*D259))-AsAt)/365.25)/2+O259*('Deal maths'!AA259-AsAt)/365.25)/I259),(S259-AsAt)/365.25)),0))</f>
        <v/>
      </c>
      <c r="Q259" s="109">
        <f>IF(B259=1,'Deal maths'!AA259+ROW()/1000000,"")</f>
        <v/>
      </c>
      <c r="R259" s="108">
        <f>IF(D259=0,0,IF(DAY(E259+1)=1,31,DAY(E259)))</f>
        <v/>
      </c>
      <c r="S259" s="109">
        <f>IF(AND('Deal maths'!V259="LOBO",'Deal maths'!AG259&gt;AsAt,'Deal maths'!AG259&lt;'Deal maths'!AA259),'Deal maths'!AG259,'Deal maths'!AA259)</f>
        <v/>
      </c>
      <c r="T259" s="108">
        <f>('Deal maths'!AA259&gt;AsAt)*('Deal maths'!Y259&gt;0)</f>
        <v/>
      </c>
    </row>
    <row r="260">
      <c r="A260" s="91">
        <f>IF('Deal maths'!V260="","",'Deal maths'!W260)</f>
        <v/>
      </c>
      <c r="B260" s="108">
        <f>('Deal maths'!AA260&gt;AsAt)*('Deal maths'!Y260&gt;0)*('Deal maths'!Z260&lt;=AsAt)</f>
        <v/>
      </c>
      <c r="C260" s="91">
        <f>IF('Deal maths'!V260="","",IF('Deal maths'!AC260="","Maturity",'Deal maths'!AC260))</f>
        <v/>
      </c>
      <c r="D260" s="108">
        <f>IF(OR(C260="EIP",C260="Annuity"),IF('Deal maths'!AD260="Annual",12,IF('Deal maths'!AD260="Quarterly",3,6)),0)</f>
        <v/>
      </c>
      <c r="E260" s="109">
        <f>IFERROR(IF(D260=0,0,IF('Deal maths'!AE260&gt;0,IF('Deal maths'!AE260&gt;'Deal maths'!AA260,'Deal maths'!AA260,'Deal maths'!AE260),IF(IF(DAY('Deal maths'!AA260+1)=1,EOMONTH('Deal maths'!AA260,-(INT(((YEAR('Deal maths'!AA260)-YEAR(IF('Deal maths'!Z260&gt;0,'Deal maths'!Z260,DATE(1990,1,1))))*12+MONTH('Deal maths'!AA260)-MONTH(IF('Deal maths'!Z260&gt;0,'Deal maths'!Z260,DATE(1990,1,1))))/D260))*D260),EDATE('Deal maths'!AA260,-(INT(((YEAR('Deal maths'!AA260)-YEAR(IF('Deal maths'!Z260&gt;0,'Deal maths'!Z260,DATE(1990,1,1))))*12+MONTH('Deal maths'!AA260)-MONTH(IF('Deal maths'!Z260&gt;0,'Deal maths'!Z260,DATE(1990,1,1))))/D260))*D260))&gt;IF('Deal maths'!Z260&gt;0,'Deal maths'!Z260,DATE(1990,1,1)),IF(DAY('Deal maths'!AA260+1)=1,EOMONTH('Deal maths'!AA260,-(INT(((YEAR('Deal maths'!AA260)-YEAR(IF('Deal maths'!Z260&gt;0,'Deal maths'!Z260,DATE(1990,1,1))))*12+MONTH('Deal maths'!AA260)-MONTH(IF('Deal maths'!Z260&gt;0,'Deal maths'!Z260,DATE(1990,1,1))))/D260))*D260),EDATE('Deal maths'!AA260,-(INT(((YEAR('Deal maths'!AA260)-YEAR(IF('Deal maths'!Z260&gt;0,'Deal maths'!Z260,DATE(1990,1,1))))*12+MONTH('Deal maths'!AA260)-MONTH(IF('Deal maths'!Z260&gt;0,'Deal maths'!Z260,DATE(1990,1,1))))/D260))*D260)),IF(DAY('Deal maths'!AA260+1)=1,EOMONTH('Deal maths'!AA260,-(INT(((YEAR('Deal maths'!AA260)-YEAR(IF('Deal maths'!Z260&gt;0,'Deal maths'!Z260,DATE(1990,1,1))))*12+MONTH('Deal maths'!AA260)-MONTH(IF('Deal maths'!Z260&gt;0,'Deal maths'!Z260,DATE(1990,1,1))))/D260)-1)*D260),EDATE('Deal maths'!AA260,-(INT(((YEAR('Deal maths'!AA260)-YEAR(IF('Deal maths'!Z260&gt;0,'Deal maths'!Z260,DATE(1990,1,1))))*12+MONTH('Deal maths'!AA260)-MONTH(IF('Deal maths'!Z260&gt;0,'Deal maths'!Z260,DATE(1990,1,1))))/D260)-1)*D260))))),0)</f>
        <v/>
      </c>
      <c r="F260" s="110">
        <f>IF(D260=0,0,'Deal maths'!AB260*D260/12)</f>
        <v/>
      </c>
      <c r="G260" s="108">
        <f>N260+O260</f>
        <v/>
      </c>
      <c r="H260" s="108">
        <f>IFERROR(IF(OR(D260=0,AsAt&lt;E260),0,MIN(N260,INT(((YEAR(AsAt)-YEAR(E260))*12+MONTH(AsAt)-MONTH(E260)-(DAY(AsAt)&lt;MIN(R260,DAY(EOMONTH(AsAt,0)))))/D260)+1)+O260*(AsAt&gt;='Deal maths'!AA260)),0)</f>
        <v/>
      </c>
      <c r="I260" s="108">
        <f>G260-H260</f>
        <v/>
      </c>
      <c r="J260" s="111">
        <f>IF(AND(C260="EIP",I260&gt;0),'Deal maths'!Y260/I260,0)</f>
        <v/>
      </c>
      <c r="K260" s="111">
        <f>IF(AND(C260="Annuity",I260&gt;0),IF(F260&gt;0,'Deal maths'!Y260*F260/(1-(1+F260)^-I260),'Deal maths'!Y260/I260),0)</f>
        <v/>
      </c>
      <c r="L260" s="111">
        <f>IF('Deal maths'!Y260="",0,'Deal maths'!Y260)</f>
        <v/>
      </c>
      <c r="M260" s="112">
        <f>F260+(F260=0)</f>
        <v/>
      </c>
      <c r="N260" s="108">
        <f>IFERROR(IF(D260=0,0,INT(((YEAR('Deal maths'!AA260)-YEAR(E260))*12+MONTH('Deal maths'!AA260)-MONTH(E260)-(DAY('Deal maths'!AA260)&lt;MIN(R260,DAY(EOMONTH('Deal maths'!AA260,0)))))/D260)+1),0)</f>
        <v/>
      </c>
      <c r="O260" s="108">
        <f>IFERROR(IF(D260=0,0,IF(IF(DAY(E260+1)=1,EOMONTH(E260,(N260-1)*D260),EDATE(E260,(N260-1)*D260))='Deal maths'!AA260,0,1)),0)</f>
        <v/>
      </c>
      <c r="P260" s="113">
        <f>IF(B260=0,0,IFERROR(IF(C260="EIP",((I260-O260)*((IF(DAY(E260+1)=1,EOMONTH(E260,H260*D260),EDATE(E260,H260*D260))-AsAt)/365.25+(IF(DAY(E260+1)=1,EOMONTH(E260,(N260-1)*D260),EDATE(E260,(N260-1)*D260))-AsAt)/365.25)/2+O260*('Deal maths'!AA260-AsAt)/365.25)/I260,IF(C260="Annuity",IF(F260&gt;0,((K260-L260*F260)*((IF(DAY(E260+1)=1,EOMONTH(E260,H260*D260),EDATE(E260,H260*D260))-AsAt)/365.25*((1+F260)^(I260-O260)-1)/F260+IF((I260-O260)&gt;1,((IF(DAY(E260+1)=1,EOMONTH(E260,(N260-1)*D260),EDATE(E260,(N260-1)*D260))-AsAt)/365.25-(IF(DAY(E260+1)=1,EOMONTH(E260,H260*D260),EDATE(E260,H260*D260))-AsAt)/365.25)/((I260-O260)-1),0)*(1+F260)*(1-(I260-O260)*(1+F260)^((I260-O260)-1)+((I260-O260)-1)*(1+F260)^(I260-O260))/F260^2)+O260*(K260-L260*F260)*(1+F260)^(I260-1)*('Deal maths'!AA260-AsAt)/365.25)/L260,((I260-O260)*((IF(DAY(E260+1)=1,EOMONTH(E260,H260*D260),EDATE(E260,H260*D260))-AsAt)/365.25+(IF(DAY(E260+1)=1,EOMONTH(E260,(N260-1)*D260),EDATE(E260,(N260-1)*D260))-AsAt)/365.25)/2+O260*('Deal maths'!AA260-AsAt)/365.25)/I260),(S260-AsAt)/365.25)),0))</f>
        <v/>
      </c>
      <c r="Q260" s="109">
        <f>IF(B260=1,'Deal maths'!AA260+ROW()/1000000,"")</f>
        <v/>
      </c>
      <c r="R260" s="108">
        <f>IF(D260=0,0,IF(DAY(E260+1)=1,31,DAY(E260)))</f>
        <v/>
      </c>
      <c r="S260" s="109">
        <f>IF(AND('Deal maths'!V260="LOBO",'Deal maths'!AG260&gt;AsAt,'Deal maths'!AG260&lt;'Deal maths'!AA260),'Deal maths'!AG260,'Deal maths'!AA260)</f>
        <v/>
      </c>
      <c r="T260" s="108">
        <f>('Deal maths'!AA260&gt;AsAt)*('Deal maths'!Y260&gt;0)</f>
        <v/>
      </c>
    </row>
    <row r="261">
      <c r="A261" s="91">
        <f>IF('Deal maths'!V261="","",'Deal maths'!W261)</f>
        <v/>
      </c>
      <c r="B261" s="108">
        <f>('Deal maths'!AA261&gt;AsAt)*('Deal maths'!Y261&gt;0)*('Deal maths'!Z261&lt;=AsAt)</f>
        <v/>
      </c>
      <c r="C261" s="91">
        <f>IF('Deal maths'!V261="","",IF('Deal maths'!AC261="","Maturity",'Deal maths'!AC261))</f>
        <v/>
      </c>
      <c r="D261" s="108">
        <f>IF(OR(C261="EIP",C261="Annuity"),IF('Deal maths'!AD261="Annual",12,IF('Deal maths'!AD261="Quarterly",3,6)),0)</f>
        <v/>
      </c>
      <c r="E261" s="109">
        <f>IFERROR(IF(D261=0,0,IF('Deal maths'!AE261&gt;0,IF('Deal maths'!AE261&gt;'Deal maths'!AA261,'Deal maths'!AA261,'Deal maths'!AE261),IF(IF(DAY('Deal maths'!AA261+1)=1,EOMONTH('Deal maths'!AA261,-(INT(((YEAR('Deal maths'!AA261)-YEAR(IF('Deal maths'!Z261&gt;0,'Deal maths'!Z261,DATE(1990,1,1))))*12+MONTH('Deal maths'!AA261)-MONTH(IF('Deal maths'!Z261&gt;0,'Deal maths'!Z261,DATE(1990,1,1))))/D261))*D261),EDATE('Deal maths'!AA261,-(INT(((YEAR('Deal maths'!AA261)-YEAR(IF('Deal maths'!Z261&gt;0,'Deal maths'!Z261,DATE(1990,1,1))))*12+MONTH('Deal maths'!AA261)-MONTH(IF('Deal maths'!Z261&gt;0,'Deal maths'!Z261,DATE(1990,1,1))))/D261))*D261))&gt;IF('Deal maths'!Z261&gt;0,'Deal maths'!Z261,DATE(1990,1,1)),IF(DAY('Deal maths'!AA261+1)=1,EOMONTH('Deal maths'!AA261,-(INT(((YEAR('Deal maths'!AA261)-YEAR(IF('Deal maths'!Z261&gt;0,'Deal maths'!Z261,DATE(1990,1,1))))*12+MONTH('Deal maths'!AA261)-MONTH(IF('Deal maths'!Z261&gt;0,'Deal maths'!Z261,DATE(1990,1,1))))/D261))*D261),EDATE('Deal maths'!AA261,-(INT(((YEAR('Deal maths'!AA261)-YEAR(IF('Deal maths'!Z261&gt;0,'Deal maths'!Z261,DATE(1990,1,1))))*12+MONTH('Deal maths'!AA261)-MONTH(IF('Deal maths'!Z261&gt;0,'Deal maths'!Z261,DATE(1990,1,1))))/D261))*D261)),IF(DAY('Deal maths'!AA261+1)=1,EOMONTH('Deal maths'!AA261,-(INT(((YEAR('Deal maths'!AA261)-YEAR(IF('Deal maths'!Z261&gt;0,'Deal maths'!Z261,DATE(1990,1,1))))*12+MONTH('Deal maths'!AA261)-MONTH(IF('Deal maths'!Z261&gt;0,'Deal maths'!Z261,DATE(1990,1,1))))/D261)-1)*D261),EDATE('Deal maths'!AA261,-(INT(((YEAR('Deal maths'!AA261)-YEAR(IF('Deal maths'!Z261&gt;0,'Deal maths'!Z261,DATE(1990,1,1))))*12+MONTH('Deal maths'!AA261)-MONTH(IF('Deal maths'!Z261&gt;0,'Deal maths'!Z261,DATE(1990,1,1))))/D261)-1)*D261))))),0)</f>
        <v/>
      </c>
      <c r="F261" s="110">
        <f>IF(D261=0,0,'Deal maths'!AB261*D261/12)</f>
        <v/>
      </c>
      <c r="G261" s="108">
        <f>N261+O261</f>
        <v/>
      </c>
      <c r="H261" s="108">
        <f>IFERROR(IF(OR(D261=0,AsAt&lt;E261),0,MIN(N261,INT(((YEAR(AsAt)-YEAR(E261))*12+MONTH(AsAt)-MONTH(E261)-(DAY(AsAt)&lt;MIN(R261,DAY(EOMONTH(AsAt,0)))))/D261)+1)+O261*(AsAt&gt;='Deal maths'!AA261)),0)</f>
        <v/>
      </c>
      <c r="I261" s="108">
        <f>G261-H261</f>
        <v/>
      </c>
      <c r="J261" s="111">
        <f>IF(AND(C261="EIP",I261&gt;0),'Deal maths'!Y261/I261,0)</f>
        <v/>
      </c>
      <c r="K261" s="111">
        <f>IF(AND(C261="Annuity",I261&gt;0),IF(F261&gt;0,'Deal maths'!Y261*F261/(1-(1+F261)^-I261),'Deal maths'!Y261/I261),0)</f>
        <v/>
      </c>
      <c r="L261" s="111">
        <f>IF('Deal maths'!Y261="",0,'Deal maths'!Y261)</f>
        <v/>
      </c>
      <c r="M261" s="112">
        <f>F261+(F261=0)</f>
        <v/>
      </c>
      <c r="N261" s="108">
        <f>IFERROR(IF(D261=0,0,INT(((YEAR('Deal maths'!AA261)-YEAR(E261))*12+MONTH('Deal maths'!AA261)-MONTH(E261)-(DAY('Deal maths'!AA261)&lt;MIN(R261,DAY(EOMONTH('Deal maths'!AA261,0)))))/D261)+1),0)</f>
        <v/>
      </c>
      <c r="O261" s="108">
        <f>IFERROR(IF(D261=0,0,IF(IF(DAY(E261+1)=1,EOMONTH(E261,(N261-1)*D261),EDATE(E261,(N261-1)*D261))='Deal maths'!AA261,0,1)),0)</f>
        <v/>
      </c>
      <c r="P261" s="113">
        <f>IF(B261=0,0,IFERROR(IF(C261="EIP",((I261-O261)*((IF(DAY(E261+1)=1,EOMONTH(E261,H261*D261),EDATE(E261,H261*D261))-AsAt)/365.25+(IF(DAY(E261+1)=1,EOMONTH(E261,(N261-1)*D261),EDATE(E261,(N261-1)*D261))-AsAt)/365.25)/2+O261*('Deal maths'!AA261-AsAt)/365.25)/I261,IF(C261="Annuity",IF(F261&gt;0,((K261-L261*F261)*((IF(DAY(E261+1)=1,EOMONTH(E261,H261*D261),EDATE(E261,H261*D261))-AsAt)/365.25*((1+F261)^(I261-O261)-1)/F261+IF((I261-O261)&gt;1,((IF(DAY(E261+1)=1,EOMONTH(E261,(N261-1)*D261),EDATE(E261,(N261-1)*D261))-AsAt)/365.25-(IF(DAY(E261+1)=1,EOMONTH(E261,H261*D261),EDATE(E261,H261*D261))-AsAt)/365.25)/((I261-O261)-1),0)*(1+F261)*(1-(I261-O261)*(1+F261)^((I261-O261)-1)+((I261-O261)-1)*(1+F261)^(I261-O261))/F261^2)+O261*(K261-L261*F261)*(1+F261)^(I261-1)*('Deal maths'!AA261-AsAt)/365.25)/L261,((I261-O261)*((IF(DAY(E261+1)=1,EOMONTH(E261,H261*D261),EDATE(E261,H261*D261))-AsAt)/365.25+(IF(DAY(E261+1)=1,EOMONTH(E261,(N261-1)*D261),EDATE(E261,(N261-1)*D261))-AsAt)/365.25)/2+O261*('Deal maths'!AA261-AsAt)/365.25)/I261),(S261-AsAt)/365.25)),0))</f>
        <v/>
      </c>
      <c r="Q261" s="109">
        <f>IF(B261=1,'Deal maths'!AA261+ROW()/1000000,"")</f>
        <v/>
      </c>
      <c r="R261" s="108">
        <f>IF(D261=0,0,IF(DAY(E261+1)=1,31,DAY(E261)))</f>
        <v/>
      </c>
      <c r="S261" s="109">
        <f>IF(AND('Deal maths'!V261="LOBO",'Deal maths'!AG261&gt;AsAt,'Deal maths'!AG261&lt;'Deal maths'!AA261),'Deal maths'!AG261,'Deal maths'!AA261)</f>
        <v/>
      </c>
      <c r="T261" s="108">
        <f>('Deal maths'!AA261&gt;AsAt)*('Deal maths'!Y261&gt;0)</f>
        <v/>
      </c>
    </row>
    <row r="262">
      <c r="A262" s="91">
        <f>IF('Deal maths'!V262="","",'Deal maths'!W262)</f>
        <v/>
      </c>
      <c r="B262" s="108">
        <f>('Deal maths'!AA262&gt;AsAt)*('Deal maths'!Y262&gt;0)*('Deal maths'!Z262&lt;=AsAt)</f>
        <v/>
      </c>
      <c r="C262" s="91">
        <f>IF('Deal maths'!V262="","",IF('Deal maths'!AC262="","Maturity",'Deal maths'!AC262))</f>
        <v/>
      </c>
      <c r="D262" s="108">
        <f>IF(OR(C262="EIP",C262="Annuity"),IF('Deal maths'!AD262="Annual",12,IF('Deal maths'!AD262="Quarterly",3,6)),0)</f>
        <v/>
      </c>
      <c r="E262" s="109">
        <f>IFERROR(IF(D262=0,0,IF('Deal maths'!AE262&gt;0,IF('Deal maths'!AE262&gt;'Deal maths'!AA262,'Deal maths'!AA262,'Deal maths'!AE262),IF(IF(DAY('Deal maths'!AA262+1)=1,EOMONTH('Deal maths'!AA262,-(INT(((YEAR('Deal maths'!AA262)-YEAR(IF('Deal maths'!Z262&gt;0,'Deal maths'!Z262,DATE(1990,1,1))))*12+MONTH('Deal maths'!AA262)-MONTH(IF('Deal maths'!Z262&gt;0,'Deal maths'!Z262,DATE(1990,1,1))))/D262))*D262),EDATE('Deal maths'!AA262,-(INT(((YEAR('Deal maths'!AA262)-YEAR(IF('Deal maths'!Z262&gt;0,'Deal maths'!Z262,DATE(1990,1,1))))*12+MONTH('Deal maths'!AA262)-MONTH(IF('Deal maths'!Z262&gt;0,'Deal maths'!Z262,DATE(1990,1,1))))/D262))*D262))&gt;IF('Deal maths'!Z262&gt;0,'Deal maths'!Z262,DATE(1990,1,1)),IF(DAY('Deal maths'!AA262+1)=1,EOMONTH('Deal maths'!AA262,-(INT(((YEAR('Deal maths'!AA262)-YEAR(IF('Deal maths'!Z262&gt;0,'Deal maths'!Z262,DATE(1990,1,1))))*12+MONTH('Deal maths'!AA262)-MONTH(IF('Deal maths'!Z262&gt;0,'Deal maths'!Z262,DATE(1990,1,1))))/D262))*D262),EDATE('Deal maths'!AA262,-(INT(((YEAR('Deal maths'!AA262)-YEAR(IF('Deal maths'!Z262&gt;0,'Deal maths'!Z262,DATE(1990,1,1))))*12+MONTH('Deal maths'!AA262)-MONTH(IF('Deal maths'!Z262&gt;0,'Deal maths'!Z262,DATE(1990,1,1))))/D262))*D262)),IF(DAY('Deal maths'!AA262+1)=1,EOMONTH('Deal maths'!AA262,-(INT(((YEAR('Deal maths'!AA262)-YEAR(IF('Deal maths'!Z262&gt;0,'Deal maths'!Z262,DATE(1990,1,1))))*12+MONTH('Deal maths'!AA262)-MONTH(IF('Deal maths'!Z262&gt;0,'Deal maths'!Z262,DATE(1990,1,1))))/D262)-1)*D262),EDATE('Deal maths'!AA262,-(INT(((YEAR('Deal maths'!AA262)-YEAR(IF('Deal maths'!Z262&gt;0,'Deal maths'!Z262,DATE(1990,1,1))))*12+MONTH('Deal maths'!AA262)-MONTH(IF('Deal maths'!Z262&gt;0,'Deal maths'!Z262,DATE(1990,1,1))))/D262)-1)*D262))))),0)</f>
        <v/>
      </c>
      <c r="F262" s="110">
        <f>IF(D262=0,0,'Deal maths'!AB262*D262/12)</f>
        <v/>
      </c>
      <c r="G262" s="108">
        <f>N262+O262</f>
        <v/>
      </c>
      <c r="H262" s="108">
        <f>IFERROR(IF(OR(D262=0,AsAt&lt;E262),0,MIN(N262,INT(((YEAR(AsAt)-YEAR(E262))*12+MONTH(AsAt)-MONTH(E262)-(DAY(AsAt)&lt;MIN(R262,DAY(EOMONTH(AsAt,0)))))/D262)+1)+O262*(AsAt&gt;='Deal maths'!AA262)),0)</f>
        <v/>
      </c>
      <c r="I262" s="108">
        <f>G262-H262</f>
        <v/>
      </c>
      <c r="J262" s="111">
        <f>IF(AND(C262="EIP",I262&gt;0),'Deal maths'!Y262/I262,0)</f>
        <v/>
      </c>
      <c r="K262" s="111">
        <f>IF(AND(C262="Annuity",I262&gt;0),IF(F262&gt;0,'Deal maths'!Y262*F262/(1-(1+F262)^-I262),'Deal maths'!Y262/I262),0)</f>
        <v/>
      </c>
      <c r="L262" s="111">
        <f>IF('Deal maths'!Y262="",0,'Deal maths'!Y262)</f>
        <v/>
      </c>
      <c r="M262" s="112">
        <f>F262+(F262=0)</f>
        <v/>
      </c>
      <c r="N262" s="108">
        <f>IFERROR(IF(D262=0,0,INT(((YEAR('Deal maths'!AA262)-YEAR(E262))*12+MONTH('Deal maths'!AA262)-MONTH(E262)-(DAY('Deal maths'!AA262)&lt;MIN(R262,DAY(EOMONTH('Deal maths'!AA262,0)))))/D262)+1),0)</f>
        <v/>
      </c>
      <c r="O262" s="108">
        <f>IFERROR(IF(D262=0,0,IF(IF(DAY(E262+1)=1,EOMONTH(E262,(N262-1)*D262),EDATE(E262,(N262-1)*D262))='Deal maths'!AA262,0,1)),0)</f>
        <v/>
      </c>
      <c r="P262" s="113">
        <f>IF(B262=0,0,IFERROR(IF(C262="EIP",((I262-O262)*((IF(DAY(E262+1)=1,EOMONTH(E262,H262*D262),EDATE(E262,H262*D262))-AsAt)/365.25+(IF(DAY(E262+1)=1,EOMONTH(E262,(N262-1)*D262),EDATE(E262,(N262-1)*D262))-AsAt)/365.25)/2+O262*('Deal maths'!AA262-AsAt)/365.25)/I262,IF(C262="Annuity",IF(F262&gt;0,((K262-L262*F262)*((IF(DAY(E262+1)=1,EOMONTH(E262,H262*D262),EDATE(E262,H262*D262))-AsAt)/365.25*((1+F262)^(I262-O262)-1)/F262+IF((I262-O262)&gt;1,((IF(DAY(E262+1)=1,EOMONTH(E262,(N262-1)*D262),EDATE(E262,(N262-1)*D262))-AsAt)/365.25-(IF(DAY(E262+1)=1,EOMONTH(E262,H262*D262),EDATE(E262,H262*D262))-AsAt)/365.25)/((I262-O262)-1),0)*(1+F262)*(1-(I262-O262)*(1+F262)^((I262-O262)-1)+((I262-O262)-1)*(1+F262)^(I262-O262))/F262^2)+O262*(K262-L262*F262)*(1+F262)^(I262-1)*('Deal maths'!AA262-AsAt)/365.25)/L262,((I262-O262)*((IF(DAY(E262+1)=1,EOMONTH(E262,H262*D262),EDATE(E262,H262*D262))-AsAt)/365.25+(IF(DAY(E262+1)=1,EOMONTH(E262,(N262-1)*D262),EDATE(E262,(N262-1)*D262))-AsAt)/365.25)/2+O262*('Deal maths'!AA262-AsAt)/365.25)/I262),(S262-AsAt)/365.25)),0))</f>
        <v/>
      </c>
      <c r="Q262" s="109">
        <f>IF(B262=1,'Deal maths'!AA262+ROW()/1000000,"")</f>
        <v/>
      </c>
      <c r="R262" s="108">
        <f>IF(D262=0,0,IF(DAY(E262+1)=1,31,DAY(E262)))</f>
        <v/>
      </c>
      <c r="S262" s="109">
        <f>IF(AND('Deal maths'!V262="LOBO",'Deal maths'!AG262&gt;AsAt,'Deal maths'!AG262&lt;'Deal maths'!AA262),'Deal maths'!AG262,'Deal maths'!AA262)</f>
        <v/>
      </c>
      <c r="T262" s="108">
        <f>('Deal maths'!AA262&gt;AsAt)*('Deal maths'!Y262&gt;0)</f>
        <v/>
      </c>
    </row>
    <row r="263">
      <c r="A263" s="91">
        <f>IF('Deal maths'!V263="","",'Deal maths'!W263)</f>
        <v/>
      </c>
      <c r="B263" s="108">
        <f>('Deal maths'!AA263&gt;AsAt)*('Deal maths'!Y263&gt;0)*('Deal maths'!Z263&lt;=AsAt)</f>
        <v/>
      </c>
      <c r="C263" s="91">
        <f>IF('Deal maths'!V263="","",IF('Deal maths'!AC263="","Maturity",'Deal maths'!AC263))</f>
        <v/>
      </c>
      <c r="D263" s="108">
        <f>IF(OR(C263="EIP",C263="Annuity"),IF('Deal maths'!AD263="Annual",12,IF('Deal maths'!AD263="Quarterly",3,6)),0)</f>
        <v/>
      </c>
      <c r="E263" s="109">
        <f>IFERROR(IF(D263=0,0,IF('Deal maths'!AE263&gt;0,IF('Deal maths'!AE263&gt;'Deal maths'!AA263,'Deal maths'!AA263,'Deal maths'!AE263),IF(IF(DAY('Deal maths'!AA263+1)=1,EOMONTH('Deal maths'!AA263,-(INT(((YEAR('Deal maths'!AA263)-YEAR(IF('Deal maths'!Z263&gt;0,'Deal maths'!Z263,DATE(1990,1,1))))*12+MONTH('Deal maths'!AA263)-MONTH(IF('Deal maths'!Z263&gt;0,'Deal maths'!Z263,DATE(1990,1,1))))/D263))*D263),EDATE('Deal maths'!AA263,-(INT(((YEAR('Deal maths'!AA263)-YEAR(IF('Deal maths'!Z263&gt;0,'Deal maths'!Z263,DATE(1990,1,1))))*12+MONTH('Deal maths'!AA263)-MONTH(IF('Deal maths'!Z263&gt;0,'Deal maths'!Z263,DATE(1990,1,1))))/D263))*D263))&gt;IF('Deal maths'!Z263&gt;0,'Deal maths'!Z263,DATE(1990,1,1)),IF(DAY('Deal maths'!AA263+1)=1,EOMONTH('Deal maths'!AA263,-(INT(((YEAR('Deal maths'!AA263)-YEAR(IF('Deal maths'!Z263&gt;0,'Deal maths'!Z263,DATE(1990,1,1))))*12+MONTH('Deal maths'!AA263)-MONTH(IF('Deal maths'!Z263&gt;0,'Deal maths'!Z263,DATE(1990,1,1))))/D263))*D263),EDATE('Deal maths'!AA263,-(INT(((YEAR('Deal maths'!AA263)-YEAR(IF('Deal maths'!Z263&gt;0,'Deal maths'!Z263,DATE(1990,1,1))))*12+MONTH('Deal maths'!AA263)-MONTH(IF('Deal maths'!Z263&gt;0,'Deal maths'!Z263,DATE(1990,1,1))))/D263))*D263)),IF(DAY('Deal maths'!AA263+1)=1,EOMONTH('Deal maths'!AA263,-(INT(((YEAR('Deal maths'!AA263)-YEAR(IF('Deal maths'!Z263&gt;0,'Deal maths'!Z263,DATE(1990,1,1))))*12+MONTH('Deal maths'!AA263)-MONTH(IF('Deal maths'!Z263&gt;0,'Deal maths'!Z263,DATE(1990,1,1))))/D263)-1)*D263),EDATE('Deal maths'!AA263,-(INT(((YEAR('Deal maths'!AA263)-YEAR(IF('Deal maths'!Z263&gt;0,'Deal maths'!Z263,DATE(1990,1,1))))*12+MONTH('Deal maths'!AA263)-MONTH(IF('Deal maths'!Z263&gt;0,'Deal maths'!Z263,DATE(1990,1,1))))/D263)-1)*D263))))),0)</f>
        <v/>
      </c>
      <c r="F263" s="110">
        <f>IF(D263=0,0,'Deal maths'!AB263*D263/12)</f>
        <v/>
      </c>
      <c r="G263" s="108">
        <f>N263+O263</f>
        <v/>
      </c>
      <c r="H263" s="108">
        <f>IFERROR(IF(OR(D263=0,AsAt&lt;E263),0,MIN(N263,INT(((YEAR(AsAt)-YEAR(E263))*12+MONTH(AsAt)-MONTH(E263)-(DAY(AsAt)&lt;MIN(R263,DAY(EOMONTH(AsAt,0)))))/D263)+1)+O263*(AsAt&gt;='Deal maths'!AA263)),0)</f>
        <v/>
      </c>
      <c r="I263" s="108">
        <f>G263-H263</f>
        <v/>
      </c>
      <c r="J263" s="111">
        <f>IF(AND(C263="EIP",I263&gt;0),'Deal maths'!Y263/I263,0)</f>
        <v/>
      </c>
      <c r="K263" s="111">
        <f>IF(AND(C263="Annuity",I263&gt;0),IF(F263&gt;0,'Deal maths'!Y263*F263/(1-(1+F263)^-I263),'Deal maths'!Y263/I263),0)</f>
        <v/>
      </c>
      <c r="L263" s="111">
        <f>IF('Deal maths'!Y263="",0,'Deal maths'!Y263)</f>
        <v/>
      </c>
      <c r="M263" s="112">
        <f>F263+(F263=0)</f>
        <v/>
      </c>
      <c r="N263" s="108">
        <f>IFERROR(IF(D263=0,0,INT(((YEAR('Deal maths'!AA263)-YEAR(E263))*12+MONTH('Deal maths'!AA263)-MONTH(E263)-(DAY('Deal maths'!AA263)&lt;MIN(R263,DAY(EOMONTH('Deal maths'!AA263,0)))))/D263)+1),0)</f>
        <v/>
      </c>
      <c r="O263" s="108">
        <f>IFERROR(IF(D263=0,0,IF(IF(DAY(E263+1)=1,EOMONTH(E263,(N263-1)*D263),EDATE(E263,(N263-1)*D263))='Deal maths'!AA263,0,1)),0)</f>
        <v/>
      </c>
      <c r="P263" s="113">
        <f>IF(B263=0,0,IFERROR(IF(C263="EIP",((I263-O263)*((IF(DAY(E263+1)=1,EOMONTH(E263,H263*D263),EDATE(E263,H263*D263))-AsAt)/365.25+(IF(DAY(E263+1)=1,EOMONTH(E263,(N263-1)*D263),EDATE(E263,(N263-1)*D263))-AsAt)/365.25)/2+O263*('Deal maths'!AA263-AsAt)/365.25)/I263,IF(C263="Annuity",IF(F263&gt;0,((K263-L263*F263)*((IF(DAY(E263+1)=1,EOMONTH(E263,H263*D263),EDATE(E263,H263*D263))-AsAt)/365.25*((1+F263)^(I263-O263)-1)/F263+IF((I263-O263)&gt;1,((IF(DAY(E263+1)=1,EOMONTH(E263,(N263-1)*D263),EDATE(E263,(N263-1)*D263))-AsAt)/365.25-(IF(DAY(E263+1)=1,EOMONTH(E263,H263*D263),EDATE(E263,H263*D263))-AsAt)/365.25)/((I263-O263)-1),0)*(1+F263)*(1-(I263-O263)*(1+F263)^((I263-O263)-1)+((I263-O263)-1)*(1+F263)^(I263-O263))/F263^2)+O263*(K263-L263*F263)*(1+F263)^(I263-1)*('Deal maths'!AA263-AsAt)/365.25)/L263,((I263-O263)*((IF(DAY(E263+1)=1,EOMONTH(E263,H263*D263),EDATE(E263,H263*D263))-AsAt)/365.25+(IF(DAY(E263+1)=1,EOMONTH(E263,(N263-1)*D263),EDATE(E263,(N263-1)*D263))-AsAt)/365.25)/2+O263*('Deal maths'!AA263-AsAt)/365.25)/I263),(S263-AsAt)/365.25)),0))</f>
        <v/>
      </c>
      <c r="Q263" s="109">
        <f>IF(B263=1,'Deal maths'!AA263+ROW()/1000000,"")</f>
        <v/>
      </c>
      <c r="R263" s="108">
        <f>IF(D263=0,0,IF(DAY(E263+1)=1,31,DAY(E263)))</f>
        <v/>
      </c>
      <c r="S263" s="109">
        <f>IF(AND('Deal maths'!V263="LOBO",'Deal maths'!AG263&gt;AsAt,'Deal maths'!AG263&lt;'Deal maths'!AA263),'Deal maths'!AG263,'Deal maths'!AA263)</f>
        <v/>
      </c>
      <c r="T263" s="108">
        <f>('Deal maths'!AA263&gt;AsAt)*('Deal maths'!Y263&gt;0)</f>
        <v/>
      </c>
    </row>
    <row r="264">
      <c r="A264" s="91">
        <f>IF('Deal maths'!V264="","",'Deal maths'!W264)</f>
        <v/>
      </c>
      <c r="B264" s="108">
        <f>('Deal maths'!AA264&gt;AsAt)*('Deal maths'!Y264&gt;0)*('Deal maths'!Z264&lt;=AsAt)</f>
        <v/>
      </c>
      <c r="C264" s="91">
        <f>IF('Deal maths'!V264="","",IF('Deal maths'!AC264="","Maturity",'Deal maths'!AC264))</f>
        <v/>
      </c>
      <c r="D264" s="108">
        <f>IF(OR(C264="EIP",C264="Annuity"),IF('Deal maths'!AD264="Annual",12,IF('Deal maths'!AD264="Quarterly",3,6)),0)</f>
        <v/>
      </c>
      <c r="E264" s="109">
        <f>IFERROR(IF(D264=0,0,IF('Deal maths'!AE264&gt;0,IF('Deal maths'!AE264&gt;'Deal maths'!AA264,'Deal maths'!AA264,'Deal maths'!AE264),IF(IF(DAY('Deal maths'!AA264+1)=1,EOMONTH('Deal maths'!AA264,-(INT(((YEAR('Deal maths'!AA264)-YEAR(IF('Deal maths'!Z264&gt;0,'Deal maths'!Z264,DATE(1990,1,1))))*12+MONTH('Deal maths'!AA264)-MONTH(IF('Deal maths'!Z264&gt;0,'Deal maths'!Z264,DATE(1990,1,1))))/D264))*D264),EDATE('Deal maths'!AA264,-(INT(((YEAR('Deal maths'!AA264)-YEAR(IF('Deal maths'!Z264&gt;0,'Deal maths'!Z264,DATE(1990,1,1))))*12+MONTH('Deal maths'!AA264)-MONTH(IF('Deal maths'!Z264&gt;0,'Deal maths'!Z264,DATE(1990,1,1))))/D264))*D264))&gt;IF('Deal maths'!Z264&gt;0,'Deal maths'!Z264,DATE(1990,1,1)),IF(DAY('Deal maths'!AA264+1)=1,EOMONTH('Deal maths'!AA264,-(INT(((YEAR('Deal maths'!AA264)-YEAR(IF('Deal maths'!Z264&gt;0,'Deal maths'!Z264,DATE(1990,1,1))))*12+MONTH('Deal maths'!AA264)-MONTH(IF('Deal maths'!Z264&gt;0,'Deal maths'!Z264,DATE(1990,1,1))))/D264))*D264),EDATE('Deal maths'!AA264,-(INT(((YEAR('Deal maths'!AA264)-YEAR(IF('Deal maths'!Z264&gt;0,'Deal maths'!Z264,DATE(1990,1,1))))*12+MONTH('Deal maths'!AA264)-MONTH(IF('Deal maths'!Z264&gt;0,'Deal maths'!Z264,DATE(1990,1,1))))/D264))*D264)),IF(DAY('Deal maths'!AA264+1)=1,EOMONTH('Deal maths'!AA264,-(INT(((YEAR('Deal maths'!AA264)-YEAR(IF('Deal maths'!Z264&gt;0,'Deal maths'!Z264,DATE(1990,1,1))))*12+MONTH('Deal maths'!AA264)-MONTH(IF('Deal maths'!Z264&gt;0,'Deal maths'!Z264,DATE(1990,1,1))))/D264)-1)*D264),EDATE('Deal maths'!AA264,-(INT(((YEAR('Deal maths'!AA264)-YEAR(IF('Deal maths'!Z264&gt;0,'Deal maths'!Z264,DATE(1990,1,1))))*12+MONTH('Deal maths'!AA264)-MONTH(IF('Deal maths'!Z264&gt;0,'Deal maths'!Z264,DATE(1990,1,1))))/D264)-1)*D264))))),0)</f>
        <v/>
      </c>
      <c r="F264" s="110">
        <f>IF(D264=0,0,'Deal maths'!AB264*D264/12)</f>
        <v/>
      </c>
      <c r="G264" s="108">
        <f>N264+O264</f>
        <v/>
      </c>
      <c r="H264" s="108">
        <f>IFERROR(IF(OR(D264=0,AsAt&lt;E264),0,MIN(N264,INT(((YEAR(AsAt)-YEAR(E264))*12+MONTH(AsAt)-MONTH(E264)-(DAY(AsAt)&lt;MIN(R264,DAY(EOMONTH(AsAt,0)))))/D264)+1)+O264*(AsAt&gt;='Deal maths'!AA264)),0)</f>
        <v/>
      </c>
      <c r="I264" s="108">
        <f>G264-H264</f>
        <v/>
      </c>
      <c r="J264" s="111">
        <f>IF(AND(C264="EIP",I264&gt;0),'Deal maths'!Y264/I264,0)</f>
        <v/>
      </c>
      <c r="K264" s="111">
        <f>IF(AND(C264="Annuity",I264&gt;0),IF(F264&gt;0,'Deal maths'!Y264*F264/(1-(1+F264)^-I264),'Deal maths'!Y264/I264),0)</f>
        <v/>
      </c>
      <c r="L264" s="111">
        <f>IF('Deal maths'!Y264="",0,'Deal maths'!Y264)</f>
        <v/>
      </c>
      <c r="M264" s="112">
        <f>F264+(F264=0)</f>
        <v/>
      </c>
      <c r="N264" s="108">
        <f>IFERROR(IF(D264=0,0,INT(((YEAR('Deal maths'!AA264)-YEAR(E264))*12+MONTH('Deal maths'!AA264)-MONTH(E264)-(DAY('Deal maths'!AA264)&lt;MIN(R264,DAY(EOMONTH('Deal maths'!AA264,0)))))/D264)+1),0)</f>
        <v/>
      </c>
      <c r="O264" s="108">
        <f>IFERROR(IF(D264=0,0,IF(IF(DAY(E264+1)=1,EOMONTH(E264,(N264-1)*D264),EDATE(E264,(N264-1)*D264))='Deal maths'!AA264,0,1)),0)</f>
        <v/>
      </c>
      <c r="P264" s="113">
        <f>IF(B264=0,0,IFERROR(IF(C264="EIP",((I264-O264)*((IF(DAY(E264+1)=1,EOMONTH(E264,H264*D264),EDATE(E264,H264*D264))-AsAt)/365.25+(IF(DAY(E264+1)=1,EOMONTH(E264,(N264-1)*D264),EDATE(E264,(N264-1)*D264))-AsAt)/365.25)/2+O264*('Deal maths'!AA264-AsAt)/365.25)/I264,IF(C264="Annuity",IF(F264&gt;0,((K264-L264*F264)*((IF(DAY(E264+1)=1,EOMONTH(E264,H264*D264),EDATE(E264,H264*D264))-AsAt)/365.25*((1+F264)^(I264-O264)-1)/F264+IF((I264-O264)&gt;1,((IF(DAY(E264+1)=1,EOMONTH(E264,(N264-1)*D264),EDATE(E264,(N264-1)*D264))-AsAt)/365.25-(IF(DAY(E264+1)=1,EOMONTH(E264,H264*D264),EDATE(E264,H264*D264))-AsAt)/365.25)/((I264-O264)-1),0)*(1+F264)*(1-(I264-O264)*(1+F264)^((I264-O264)-1)+((I264-O264)-1)*(1+F264)^(I264-O264))/F264^2)+O264*(K264-L264*F264)*(1+F264)^(I264-1)*('Deal maths'!AA264-AsAt)/365.25)/L264,((I264-O264)*((IF(DAY(E264+1)=1,EOMONTH(E264,H264*D264),EDATE(E264,H264*D264))-AsAt)/365.25+(IF(DAY(E264+1)=1,EOMONTH(E264,(N264-1)*D264),EDATE(E264,(N264-1)*D264))-AsAt)/365.25)/2+O264*('Deal maths'!AA264-AsAt)/365.25)/I264),(S264-AsAt)/365.25)),0))</f>
        <v/>
      </c>
      <c r="Q264" s="109">
        <f>IF(B264=1,'Deal maths'!AA264+ROW()/1000000,"")</f>
        <v/>
      </c>
      <c r="R264" s="108">
        <f>IF(D264=0,0,IF(DAY(E264+1)=1,31,DAY(E264)))</f>
        <v/>
      </c>
      <c r="S264" s="109">
        <f>IF(AND('Deal maths'!V264="LOBO",'Deal maths'!AG264&gt;AsAt,'Deal maths'!AG264&lt;'Deal maths'!AA264),'Deal maths'!AG264,'Deal maths'!AA264)</f>
        <v/>
      </c>
      <c r="T264" s="108">
        <f>('Deal maths'!AA264&gt;AsAt)*('Deal maths'!Y264&gt;0)</f>
        <v/>
      </c>
    </row>
    <row r="265">
      <c r="A265" s="91">
        <f>IF('Deal maths'!V265="","",'Deal maths'!W265)</f>
        <v/>
      </c>
      <c r="B265" s="108">
        <f>('Deal maths'!AA265&gt;AsAt)*('Deal maths'!Y265&gt;0)*('Deal maths'!Z265&lt;=AsAt)</f>
        <v/>
      </c>
      <c r="C265" s="91">
        <f>IF('Deal maths'!V265="","",IF('Deal maths'!AC265="","Maturity",'Deal maths'!AC265))</f>
        <v/>
      </c>
      <c r="D265" s="108">
        <f>IF(OR(C265="EIP",C265="Annuity"),IF('Deal maths'!AD265="Annual",12,IF('Deal maths'!AD265="Quarterly",3,6)),0)</f>
        <v/>
      </c>
      <c r="E265" s="109">
        <f>IFERROR(IF(D265=0,0,IF('Deal maths'!AE265&gt;0,IF('Deal maths'!AE265&gt;'Deal maths'!AA265,'Deal maths'!AA265,'Deal maths'!AE265),IF(IF(DAY('Deal maths'!AA265+1)=1,EOMONTH('Deal maths'!AA265,-(INT(((YEAR('Deal maths'!AA265)-YEAR(IF('Deal maths'!Z265&gt;0,'Deal maths'!Z265,DATE(1990,1,1))))*12+MONTH('Deal maths'!AA265)-MONTH(IF('Deal maths'!Z265&gt;0,'Deal maths'!Z265,DATE(1990,1,1))))/D265))*D265),EDATE('Deal maths'!AA265,-(INT(((YEAR('Deal maths'!AA265)-YEAR(IF('Deal maths'!Z265&gt;0,'Deal maths'!Z265,DATE(1990,1,1))))*12+MONTH('Deal maths'!AA265)-MONTH(IF('Deal maths'!Z265&gt;0,'Deal maths'!Z265,DATE(1990,1,1))))/D265))*D265))&gt;IF('Deal maths'!Z265&gt;0,'Deal maths'!Z265,DATE(1990,1,1)),IF(DAY('Deal maths'!AA265+1)=1,EOMONTH('Deal maths'!AA265,-(INT(((YEAR('Deal maths'!AA265)-YEAR(IF('Deal maths'!Z265&gt;0,'Deal maths'!Z265,DATE(1990,1,1))))*12+MONTH('Deal maths'!AA265)-MONTH(IF('Deal maths'!Z265&gt;0,'Deal maths'!Z265,DATE(1990,1,1))))/D265))*D265),EDATE('Deal maths'!AA265,-(INT(((YEAR('Deal maths'!AA265)-YEAR(IF('Deal maths'!Z265&gt;0,'Deal maths'!Z265,DATE(1990,1,1))))*12+MONTH('Deal maths'!AA265)-MONTH(IF('Deal maths'!Z265&gt;0,'Deal maths'!Z265,DATE(1990,1,1))))/D265))*D265)),IF(DAY('Deal maths'!AA265+1)=1,EOMONTH('Deal maths'!AA265,-(INT(((YEAR('Deal maths'!AA265)-YEAR(IF('Deal maths'!Z265&gt;0,'Deal maths'!Z265,DATE(1990,1,1))))*12+MONTH('Deal maths'!AA265)-MONTH(IF('Deal maths'!Z265&gt;0,'Deal maths'!Z265,DATE(1990,1,1))))/D265)-1)*D265),EDATE('Deal maths'!AA265,-(INT(((YEAR('Deal maths'!AA265)-YEAR(IF('Deal maths'!Z265&gt;0,'Deal maths'!Z265,DATE(1990,1,1))))*12+MONTH('Deal maths'!AA265)-MONTH(IF('Deal maths'!Z265&gt;0,'Deal maths'!Z265,DATE(1990,1,1))))/D265)-1)*D265))))),0)</f>
        <v/>
      </c>
      <c r="F265" s="110">
        <f>IF(D265=0,0,'Deal maths'!AB265*D265/12)</f>
        <v/>
      </c>
      <c r="G265" s="108">
        <f>N265+O265</f>
        <v/>
      </c>
      <c r="H265" s="108">
        <f>IFERROR(IF(OR(D265=0,AsAt&lt;E265),0,MIN(N265,INT(((YEAR(AsAt)-YEAR(E265))*12+MONTH(AsAt)-MONTH(E265)-(DAY(AsAt)&lt;MIN(R265,DAY(EOMONTH(AsAt,0)))))/D265)+1)+O265*(AsAt&gt;='Deal maths'!AA265)),0)</f>
        <v/>
      </c>
      <c r="I265" s="108">
        <f>G265-H265</f>
        <v/>
      </c>
      <c r="J265" s="111">
        <f>IF(AND(C265="EIP",I265&gt;0),'Deal maths'!Y265/I265,0)</f>
        <v/>
      </c>
      <c r="K265" s="111">
        <f>IF(AND(C265="Annuity",I265&gt;0),IF(F265&gt;0,'Deal maths'!Y265*F265/(1-(1+F265)^-I265),'Deal maths'!Y265/I265),0)</f>
        <v/>
      </c>
      <c r="L265" s="111">
        <f>IF('Deal maths'!Y265="",0,'Deal maths'!Y265)</f>
        <v/>
      </c>
      <c r="M265" s="112">
        <f>F265+(F265=0)</f>
        <v/>
      </c>
      <c r="N265" s="108">
        <f>IFERROR(IF(D265=0,0,INT(((YEAR('Deal maths'!AA265)-YEAR(E265))*12+MONTH('Deal maths'!AA265)-MONTH(E265)-(DAY('Deal maths'!AA265)&lt;MIN(R265,DAY(EOMONTH('Deal maths'!AA265,0)))))/D265)+1),0)</f>
        <v/>
      </c>
      <c r="O265" s="108">
        <f>IFERROR(IF(D265=0,0,IF(IF(DAY(E265+1)=1,EOMONTH(E265,(N265-1)*D265),EDATE(E265,(N265-1)*D265))='Deal maths'!AA265,0,1)),0)</f>
        <v/>
      </c>
      <c r="P265" s="113">
        <f>IF(B265=0,0,IFERROR(IF(C265="EIP",((I265-O265)*((IF(DAY(E265+1)=1,EOMONTH(E265,H265*D265),EDATE(E265,H265*D265))-AsAt)/365.25+(IF(DAY(E265+1)=1,EOMONTH(E265,(N265-1)*D265),EDATE(E265,(N265-1)*D265))-AsAt)/365.25)/2+O265*('Deal maths'!AA265-AsAt)/365.25)/I265,IF(C265="Annuity",IF(F265&gt;0,((K265-L265*F265)*((IF(DAY(E265+1)=1,EOMONTH(E265,H265*D265),EDATE(E265,H265*D265))-AsAt)/365.25*((1+F265)^(I265-O265)-1)/F265+IF((I265-O265)&gt;1,((IF(DAY(E265+1)=1,EOMONTH(E265,(N265-1)*D265),EDATE(E265,(N265-1)*D265))-AsAt)/365.25-(IF(DAY(E265+1)=1,EOMONTH(E265,H265*D265),EDATE(E265,H265*D265))-AsAt)/365.25)/((I265-O265)-1),0)*(1+F265)*(1-(I265-O265)*(1+F265)^((I265-O265)-1)+((I265-O265)-1)*(1+F265)^(I265-O265))/F265^2)+O265*(K265-L265*F265)*(1+F265)^(I265-1)*('Deal maths'!AA265-AsAt)/365.25)/L265,((I265-O265)*((IF(DAY(E265+1)=1,EOMONTH(E265,H265*D265),EDATE(E265,H265*D265))-AsAt)/365.25+(IF(DAY(E265+1)=1,EOMONTH(E265,(N265-1)*D265),EDATE(E265,(N265-1)*D265))-AsAt)/365.25)/2+O265*('Deal maths'!AA265-AsAt)/365.25)/I265),(S265-AsAt)/365.25)),0))</f>
        <v/>
      </c>
      <c r="Q265" s="109">
        <f>IF(B265=1,'Deal maths'!AA265+ROW()/1000000,"")</f>
        <v/>
      </c>
      <c r="R265" s="108">
        <f>IF(D265=0,0,IF(DAY(E265+1)=1,31,DAY(E265)))</f>
        <v/>
      </c>
      <c r="S265" s="109">
        <f>IF(AND('Deal maths'!V265="LOBO",'Deal maths'!AG265&gt;AsAt,'Deal maths'!AG265&lt;'Deal maths'!AA265),'Deal maths'!AG265,'Deal maths'!AA265)</f>
        <v/>
      </c>
      <c r="T265" s="108">
        <f>('Deal maths'!AA265&gt;AsAt)*('Deal maths'!Y265&gt;0)</f>
        <v/>
      </c>
    </row>
    <row r="266">
      <c r="A266" s="91">
        <f>IF('Deal maths'!V266="","",'Deal maths'!W266)</f>
        <v/>
      </c>
      <c r="B266" s="108">
        <f>('Deal maths'!AA266&gt;AsAt)*('Deal maths'!Y266&gt;0)*('Deal maths'!Z266&lt;=AsAt)</f>
        <v/>
      </c>
      <c r="C266" s="91">
        <f>IF('Deal maths'!V266="","",IF('Deal maths'!AC266="","Maturity",'Deal maths'!AC266))</f>
        <v/>
      </c>
      <c r="D266" s="108">
        <f>IF(OR(C266="EIP",C266="Annuity"),IF('Deal maths'!AD266="Annual",12,IF('Deal maths'!AD266="Quarterly",3,6)),0)</f>
        <v/>
      </c>
      <c r="E266" s="109">
        <f>IFERROR(IF(D266=0,0,IF('Deal maths'!AE266&gt;0,IF('Deal maths'!AE266&gt;'Deal maths'!AA266,'Deal maths'!AA266,'Deal maths'!AE266),IF(IF(DAY('Deal maths'!AA266+1)=1,EOMONTH('Deal maths'!AA266,-(INT(((YEAR('Deal maths'!AA266)-YEAR(IF('Deal maths'!Z266&gt;0,'Deal maths'!Z266,DATE(1990,1,1))))*12+MONTH('Deal maths'!AA266)-MONTH(IF('Deal maths'!Z266&gt;0,'Deal maths'!Z266,DATE(1990,1,1))))/D266))*D266),EDATE('Deal maths'!AA266,-(INT(((YEAR('Deal maths'!AA266)-YEAR(IF('Deal maths'!Z266&gt;0,'Deal maths'!Z266,DATE(1990,1,1))))*12+MONTH('Deal maths'!AA266)-MONTH(IF('Deal maths'!Z266&gt;0,'Deal maths'!Z266,DATE(1990,1,1))))/D266))*D266))&gt;IF('Deal maths'!Z266&gt;0,'Deal maths'!Z266,DATE(1990,1,1)),IF(DAY('Deal maths'!AA266+1)=1,EOMONTH('Deal maths'!AA266,-(INT(((YEAR('Deal maths'!AA266)-YEAR(IF('Deal maths'!Z266&gt;0,'Deal maths'!Z266,DATE(1990,1,1))))*12+MONTH('Deal maths'!AA266)-MONTH(IF('Deal maths'!Z266&gt;0,'Deal maths'!Z266,DATE(1990,1,1))))/D266))*D266),EDATE('Deal maths'!AA266,-(INT(((YEAR('Deal maths'!AA266)-YEAR(IF('Deal maths'!Z266&gt;0,'Deal maths'!Z266,DATE(1990,1,1))))*12+MONTH('Deal maths'!AA266)-MONTH(IF('Deal maths'!Z266&gt;0,'Deal maths'!Z266,DATE(1990,1,1))))/D266))*D266)),IF(DAY('Deal maths'!AA266+1)=1,EOMONTH('Deal maths'!AA266,-(INT(((YEAR('Deal maths'!AA266)-YEAR(IF('Deal maths'!Z266&gt;0,'Deal maths'!Z266,DATE(1990,1,1))))*12+MONTH('Deal maths'!AA266)-MONTH(IF('Deal maths'!Z266&gt;0,'Deal maths'!Z266,DATE(1990,1,1))))/D266)-1)*D266),EDATE('Deal maths'!AA266,-(INT(((YEAR('Deal maths'!AA266)-YEAR(IF('Deal maths'!Z266&gt;0,'Deal maths'!Z266,DATE(1990,1,1))))*12+MONTH('Deal maths'!AA266)-MONTH(IF('Deal maths'!Z266&gt;0,'Deal maths'!Z266,DATE(1990,1,1))))/D266)-1)*D266))))),0)</f>
        <v/>
      </c>
      <c r="F266" s="110">
        <f>IF(D266=0,0,'Deal maths'!AB266*D266/12)</f>
        <v/>
      </c>
      <c r="G266" s="108">
        <f>N266+O266</f>
        <v/>
      </c>
      <c r="H266" s="108">
        <f>IFERROR(IF(OR(D266=0,AsAt&lt;E266),0,MIN(N266,INT(((YEAR(AsAt)-YEAR(E266))*12+MONTH(AsAt)-MONTH(E266)-(DAY(AsAt)&lt;MIN(R266,DAY(EOMONTH(AsAt,0)))))/D266)+1)+O266*(AsAt&gt;='Deal maths'!AA266)),0)</f>
        <v/>
      </c>
      <c r="I266" s="108">
        <f>G266-H266</f>
        <v/>
      </c>
      <c r="J266" s="111">
        <f>IF(AND(C266="EIP",I266&gt;0),'Deal maths'!Y266/I266,0)</f>
        <v/>
      </c>
      <c r="K266" s="111">
        <f>IF(AND(C266="Annuity",I266&gt;0),IF(F266&gt;0,'Deal maths'!Y266*F266/(1-(1+F266)^-I266),'Deal maths'!Y266/I266),0)</f>
        <v/>
      </c>
      <c r="L266" s="111">
        <f>IF('Deal maths'!Y266="",0,'Deal maths'!Y266)</f>
        <v/>
      </c>
      <c r="M266" s="112">
        <f>F266+(F266=0)</f>
        <v/>
      </c>
      <c r="N266" s="108">
        <f>IFERROR(IF(D266=0,0,INT(((YEAR('Deal maths'!AA266)-YEAR(E266))*12+MONTH('Deal maths'!AA266)-MONTH(E266)-(DAY('Deal maths'!AA266)&lt;MIN(R266,DAY(EOMONTH('Deal maths'!AA266,0)))))/D266)+1),0)</f>
        <v/>
      </c>
      <c r="O266" s="108">
        <f>IFERROR(IF(D266=0,0,IF(IF(DAY(E266+1)=1,EOMONTH(E266,(N266-1)*D266),EDATE(E266,(N266-1)*D266))='Deal maths'!AA266,0,1)),0)</f>
        <v/>
      </c>
      <c r="P266" s="113">
        <f>IF(B266=0,0,IFERROR(IF(C266="EIP",((I266-O266)*((IF(DAY(E266+1)=1,EOMONTH(E266,H266*D266),EDATE(E266,H266*D266))-AsAt)/365.25+(IF(DAY(E266+1)=1,EOMONTH(E266,(N266-1)*D266),EDATE(E266,(N266-1)*D266))-AsAt)/365.25)/2+O266*('Deal maths'!AA266-AsAt)/365.25)/I266,IF(C266="Annuity",IF(F266&gt;0,((K266-L266*F266)*((IF(DAY(E266+1)=1,EOMONTH(E266,H266*D266),EDATE(E266,H266*D266))-AsAt)/365.25*((1+F266)^(I266-O266)-1)/F266+IF((I266-O266)&gt;1,((IF(DAY(E266+1)=1,EOMONTH(E266,(N266-1)*D266),EDATE(E266,(N266-1)*D266))-AsAt)/365.25-(IF(DAY(E266+1)=1,EOMONTH(E266,H266*D266),EDATE(E266,H266*D266))-AsAt)/365.25)/((I266-O266)-1),0)*(1+F266)*(1-(I266-O266)*(1+F266)^((I266-O266)-1)+((I266-O266)-1)*(1+F266)^(I266-O266))/F266^2)+O266*(K266-L266*F266)*(1+F266)^(I266-1)*('Deal maths'!AA266-AsAt)/365.25)/L266,((I266-O266)*((IF(DAY(E266+1)=1,EOMONTH(E266,H266*D266),EDATE(E266,H266*D266))-AsAt)/365.25+(IF(DAY(E266+1)=1,EOMONTH(E266,(N266-1)*D266),EDATE(E266,(N266-1)*D266))-AsAt)/365.25)/2+O266*('Deal maths'!AA266-AsAt)/365.25)/I266),(S266-AsAt)/365.25)),0))</f>
        <v/>
      </c>
      <c r="Q266" s="109">
        <f>IF(B266=1,'Deal maths'!AA266+ROW()/1000000,"")</f>
        <v/>
      </c>
      <c r="R266" s="108">
        <f>IF(D266=0,0,IF(DAY(E266+1)=1,31,DAY(E266)))</f>
        <v/>
      </c>
      <c r="S266" s="109">
        <f>IF(AND('Deal maths'!V266="LOBO",'Deal maths'!AG266&gt;AsAt,'Deal maths'!AG266&lt;'Deal maths'!AA266),'Deal maths'!AG266,'Deal maths'!AA266)</f>
        <v/>
      </c>
      <c r="T266" s="108">
        <f>('Deal maths'!AA266&gt;AsAt)*('Deal maths'!Y266&gt;0)</f>
        <v/>
      </c>
    </row>
    <row r="267">
      <c r="A267" s="91">
        <f>IF('Deal maths'!V267="","",'Deal maths'!W267)</f>
        <v/>
      </c>
      <c r="B267" s="108">
        <f>('Deal maths'!AA267&gt;AsAt)*('Deal maths'!Y267&gt;0)*('Deal maths'!Z267&lt;=AsAt)</f>
        <v/>
      </c>
      <c r="C267" s="91">
        <f>IF('Deal maths'!V267="","",IF('Deal maths'!AC267="","Maturity",'Deal maths'!AC267))</f>
        <v/>
      </c>
      <c r="D267" s="108">
        <f>IF(OR(C267="EIP",C267="Annuity"),IF('Deal maths'!AD267="Annual",12,IF('Deal maths'!AD267="Quarterly",3,6)),0)</f>
        <v/>
      </c>
      <c r="E267" s="109">
        <f>IFERROR(IF(D267=0,0,IF('Deal maths'!AE267&gt;0,IF('Deal maths'!AE267&gt;'Deal maths'!AA267,'Deal maths'!AA267,'Deal maths'!AE267),IF(IF(DAY('Deal maths'!AA267+1)=1,EOMONTH('Deal maths'!AA267,-(INT(((YEAR('Deal maths'!AA267)-YEAR(IF('Deal maths'!Z267&gt;0,'Deal maths'!Z267,DATE(1990,1,1))))*12+MONTH('Deal maths'!AA267)-MONTH(IF('Deal maths'!Z267&gt;0,'Deal maths'!Z267,DATE(1990,1,1))))/D267))*D267),EDATE('Deal maths'!AA267,-(INT(((YEAR('Deal maths'!AA267)-YEAR(IF('Deal maths'!Z267&gt;0,'Deal maths'!Z267,DATE(1990,1,1))))*12+MONTH('Deal maths'!AA267)-MONTH(IF('Deal maths'!Z267&gt;0,'Deal maths'!Z267,DATE(1990,1,1))))/D267))*D267))&gt;IF('Deal maths'!Z267&gt;0,'Deal maths'!Z267,DATE(1990,1,1)),IF(DAY('Deal maths'!AA267+1)=1,EOMONTH('Deal maths'!AA267,-(INT(((YEAR('Deal maths'!AA267)-YEAR(IF('Deal maths'!Z267&gt;0,'Deal maths'!Z267,DATE(1990,1,1))))*12+MONTH('Deal maths'!AA267)-MONTH(IF('Deal maths'!Z267&gt;0,'Deal maths'!Z267,DATE(1990,1,1))))/D267))*D267),EDATE('Deal maths'!AA267,-(INT(((YEAR('Deal maths'!AA267)-YEAR(IF('Deal maths'!Z267&gt;0,'Deal maths'!Z267,DATE(1990,1,1))))*12+MONTH('Deal maths'!AA267)-MONTH(IF('Deal maths'!Z267&gt;0,'Deal maths'!Z267,DATE(1990,1,1))))/D267))*D267)),IF(DAY('Deal maths'!AA267+1)=1,EOMONTH('Deal maths'!AA267,-(INT(((YEAR('Deal maths'!AA267)-YEAR(IF('Deal maths'!Z267&gt;0,'Deal maths'!Z267,DATE(1990,1,1))))*12+MONTH('Deal maths'!AA267)-MONTH(IF('Deal maths'!Z267&gt;0,'Deal maths'!Z267,DATE(1990,1,1))))/D267)-1)*D267),EDATE('Deal maths'!AA267,-(INT(((YEAR('Deal maths'!AA267)-YEAR(IF('Deal maths'!Z267&gt;0,'Deal maths'!Z267,DATE(1990,1,1))))*12+MONTH('Deal maths'!AA267)-MONTH(IF('Deal maths'!Z267&gt;0,'Deal maths'!Z267,DATE(1990,1,1))))/D267)-1)*D267))))),0)</f>
        <v/>
      </c>
      <c r="F267" s="110">
        <f>IF(D267=0,0,'Deal maths'!AB267*D267/12)</f>
        <v/>
      </c>
      <c r="G267" s="108">
        <f>N267+O267</f>
        <v/>
      </c>
      <c r="H267" s="108">
        <f>IFERROR(IF(OR(D267=0,AsAt&lt;E267),0,MIN(N267,INT(((YEAR(AsAt)-YEAR(E267))*12+MONTH(AsAt)-MONTH(E267)-(DAY(AsAt)&lt;MIN(R267,DAY(EOMONTH(AsAt,0)))))/D267)+1)+O267*(AsAt&gt;='Deal maths'!AA267)),0)</f>
        <v/>
      </c>
      <c r="I267" s="108">
        <f>G267-H267</f>
        <v/>
      </c>
      <c r="J267" s="111">
        <f>IF(AND(C267="EIP",I267&gt;0),'Deal maths'!Y267/I267,0)</f>
        <v/>
      </c>
      <c r="K267" s="111">
        <f>IF(AND(C267="Annuity",I267&gt;0),IF(F267&gt;0,'Deal maths'!Y267*F267/(1-(1+F267)^-I267),'Deal maths'!Y267/I267),0)</f>
        <v/>
      </c>
      <c r="L267" s="111">
        <f>IF('Deal maths'!Y267="",0,'Deal maths'!Y267)</f>
        <v/>
      </c>
      <c r="M267" s="112">
        <f>F267+(F267=0)</f>
        <v/>
      </c>
      <c r="N267" s="108">
        <f>IFERROR(IF(D267=0,0,INT(((YEAR('Deal maths'!AA267)-YEAR(E267))*12+MONTH('Deal maths'!AA267)-MONTH(E267)-(DAY('Deal maths'!AA267)&lt;MIN(R267,DAY(EOMONTH('Deal maths'!AA267,0)))))/D267)+1),0)</f>
        <v/>
      </c>
      <c r="O267" s="108">
        <f>IFERROR(IF(D267=0,0,IF(IF(DAY(E267+1)=1,EOMONTH(E267,(N267-1)*D267),EDATE(E267,(N267-1)*D267))='Deal maths'!AA267,0,1)),0)</f>
        <v/>
      </c>
      <c r="P267" s="113">
        <f>IF(B267=0,0,IFERROR(IF(C267="EIP",((I267-O267)*((IF(DAY(E267+1)=1,EOMONTH(E267,H267*D267),EDATE(E267,H267*D267))-AsAt)/365.25+(IF(DAY(E267+1)=1,EOMONTH(E267,(N267-1)*D267),EDATE(E267,(N267-1)*D267))-AsAt)/365.25)/2+O267*('Deal maths'!AA267-AsAt)/365.25)/I267,IF(C267="Annuity",IF(F267&gt;0,((K267-L267*F267)*((IF(DAY(E267+1)=1,EOMONTH(E267,H267*D267),EDATE(E267,H267*D267))-AsAt)/365.25*((1+F267)^(I267-O267)-1)/F267+IF((I267-O267)&gt;1,((IF(DAY(E267+1)=1,EOMONTH(E267,(N267-1)*D267),EDATE(E267,(N267-1)*D267))-AsAt)/365.25-(IF(DAY(E267+1)=1,EOMONTH(E267,H267*D267),EDATE(E267,H267*D267))-AsAt)/365.25)/((I267-O267)-1),0)*(1+F267)*(1-(I267-O267)*(1+F267)^((I267-O267)-1)+((I267-O267)-1)*(1+F267)^(I267-O267))/F267^2)+O267*(K267-L267*F267)*(1+F267)^(I267-1)*('Deal maths'!AA267-AsAt)/365.25)/L267,((I267-O267)*((IF(DAY(E267+1)=1,EOMONTH(E267,H267*D267),EDATE(E267,H267*D267))-AsAt)/365.25+(IF(DAY(E267+1)=1,EOMONTH(E267,(N267-1)*D267),EDATE(E267,(N267-1)*D267))-AsAt)/365.25)/2+O267*('Deal maths'!AA267-AsAt)/365.25)/I267),(S267-AsAt)/365.25)),0))</f>
        <v/>
      </c>
      <c r="Q267" s="109">
        <f>IF(B267=1,'Deal maths'!AA267+ROW()/1000000,"")</f>
        <v/>
      </c>
      <c r="R267" s="108">
        <f>IF(D267=0,0,IF(DAY(E267+1)=1,31,DAY(E267)))</f>
        <v/>
      </c>
      <c r="S267" s="109">
        <f>IF(AND('Deal maths'!V267="LOBO",'Deal maths'!AG267&gt;AsAt,'Deal maths'!AG267&lt;'Deal maths'!AA267),'Deal maths'!AG267,'Deal maths'!AA267)</f>
        <v/>
      </c>
      <c r="T267" s="108">
        <f>('Deal maths'!AA267&gt;AsAt)*('Deal maths'!Y267&gt;0)</f>
        <v/>
      </c>
    </row>
    <row r="268">
      <c r="A268" s="91">
        <f>IF('Deal maths'!V268="","",'Deal maths'!W268)</f>
        <v/>
      </c>
      <c r="B268" s="108">
        <f>('Deal maths'!AA268&gt;AsAt)*('Deal maths'!Y268&gt;0)*('Deal maths'!Z268&lt;=AsAt)</f>
        <v/>
      </c>
      <c r="C268" s="91">
        <f>IF('Deal maths'!V268="","",IF('Deal maths'!AC268="","Maturity",'Deal maths'!AC268))</f>
        <v/>
      </c>
      <c r="D268" s="108">
        <f>IF(OR(C268="EIP",C268="Annuity"),IF('Deal maths'!AD268="Annual",12,IF('Deal maths'!AD268="Quarterly",3,6)),0)</f>
        <v/>
      </c>
      <c r="E268" s="109">
        <f>IFERROR(IF(D268=0,0,IF('Deal maths'!AE268&gt;0,IF('Deal maths'!AE268&gt;'Deal maths'!AA268,'Deal maths'!AA268,'Deal maths'!AE268),IF(IF(DAY('Deal maths'!AA268+1)=1,EOMONTH('Deal maths'!AA268,-(INT(((YEAR('Deal maths'!AA268)-YEAR(IF('Deal maths'!Z268&gt;0,'Deal maths'!Z268,DATE(1990,1,1))))*12+MONTH('Deal maths'!AA268)-MONTH(IF('Deal maths'!Z268&gt;0,'Deal maths'!Z268,DATE(1990,1,1))))/D268))*D268),EDATE('Deal maths'!AA268,-(INT(((YEAR('Deal maths'!AA268)-YEAR(IF('Deal maths'!Z268&gt;0,'Deal maths'!Z268,DATE(1990,1,1))))*12+MONTH('Deal maths'!AA268)-MONTH(IF('Deal maths'!Z268&gt;0,'Deal maths'!Z268,DATE(1990,1,1))))/D268))*D268))&gt;IF('Deal maths'!Z268&gt;0,'Deal maths'!Z268,DATE(1990,1,1)),IF(DAY('Deal maths'!AA268+1)=1,EOMONTH('Deal maths'!AA268,-(INT(((YEAR('Deal maths'!AA268)-YEAR(IF('Deal maths'!Z268&gt;0,'Deal maths'!Z268,DATE(1990,1,1))))*12+MONTH('Deal maths'!AA268)-MONTH(IF('Deal maths'!Z268&gt;0,'Deal maths'!Z268,DATE(1990,1,1))))/D268))*D268),EDATE('Deal maths'!AA268,-(INT(((YEAR('Deal maths'!AA268)-YEAR(IF('Deal maths'!Z268&gt;0,'Deal maths'!Z268,DATE(1990,1,1))))*12+MONTH('Deal maths'!AA268)-MONTH(IF('Deal maths'!Z268&gt;0,'Deal maths'!Z268,DATE(1990,1,1))))/D268))*D268)),IF(DAY('Deal maths'!AA268+1)=1,EOMONTH('Deal maths'!AA268,-(INT(((YEAR('Deal maths'!AA268)-YEAR(IF('Deal maths'!Z268&gt;0,'Deal maths'!Z268,DATE(1990,1,1))))*12+MONTH('Deal maths'!AA268)-MONTH(IF('Deal maths'!Z268&gt;0,'Deal maths'!Z268,DATE(1990,1,1))))/D268)-1)*D268),EDATE('Deal maths'!AA268,-(INT(((YEAR('Deal maths'!AA268)-YEAR(IF('Deal maths'!Z268&gt;0,'Deal maths'!Z268,DATE(1990,1,1))))*12+MONTH('Deal maths'!AA268)-MONTH(IF('Deal maths'!Z268&gt;0,'Deal maths'!Z268,DATE(1990,1,1))))/D268)-1)*D268))))),0)</f>
        <v/>
      </c>
      <c r="F268" s="110">
        <f>IF(D268=0,0,'Deal maths'!AB268*D268/12)</f>
        <v/>
      </c>
      <c r="G268" s="108">
        <f>N268+O268</f>
        <v/>
      </c>
      <c r="H268" s="108">
        <f>IFERROR(IF(OR(D268=0,AsAt&lt;E268),0,MIN(N268,INT(((YEAR(AsAt)-YEAR(E268))*12+MONTH(AsAt)-MONTH(E268)-(DAY(AsAt)&lt;MIN(R268,DAY(EOMONTH(AsAt,0)))))/D268)+1)+O268*(AsAt&gt;='Deal maths'!AA268)),0)</f>
        <v/>
      </c>
      <c r="I268" s="108">
        <f>G268-H268</f>
        <v/>
      </c>
      <c r="J268" s="111">
        <f>IF(AND(C268="EIP",I268&gt;0),'Deal maths'!Y268/I268,0)</f>
        <v/>
      </c>
      <c r="K268" s="111">
        <f>IF(AND(C268="Annuity",I268&gt;0),IF(F268&gt;0,'Deal maths'!Y268*F268/(1-(1+F268)^-I268),'Deal maths'!Y268/I268),0)</f>
        <v/>
      </c>
      <c r="L268" s="111">
        <f>IF('Deal maths'!Y268="",0,'Deal maths'!Y268)</f>
        <v/>
      </c>
      <c r="M268" s="112">
        <f>F268+(F268=0)</f>
        <v/>
      </c>
      <c r="N268" s="108">
        <f>IFERROR(IF(D268=0,0,INT(((YEAR('Deal maths'!AA268)-YEAR(E268))*12+MONTH('Deal maths'!AA268)-MONTH(E268)-(DAY('Deal maths'!AA268)&lt;MIN(R268,DAY(EOMONTH('Deal maths'!AA268,0)))))/D268)+1),0)</f>
        <v/>
      </c>
      <c r="O268" s="108">
        <f>IFERROR(IF(D268=0,0,IF(IF(DAY(E268+1)=1,EOMONTH(E268,(N268-1)*D268),EDATE(E268,(N268-1)*D268))='Deal maths'!AA268,0,1)),0)</f>
        <v/>
      </c>
      <c r="P268" s="113">
        <f>IF(B268=0,0,IFERROR(IF(C268="EIP",((I268-O268)*((IF(DAY(E268+1)=1,EOMONTH(E268,H268*D268),EDATE(E268,H268*D268))-AsAt)/365.25+(IF(DAY(E268+1)=1,EOMONTH(E268,(N268-1)*D268),EDATE(E268,(N268-1)*D268))-AsAt)/365.25)/2+O268*('Deal maths'!AA268-AsAt)/365.25)/I268,IF(C268="Annuity",IF(F268&gt;0,((K268-L268*F268)*((IF(DAY(E268+1)=1,EOMONTH(E268,H268*D268),EDATE(E268,H268*D268))-AsAt)/365.25*((1+F268)^(I268-O268)-1)/F268+IF((I268-O268)&gt;1,((IF(DAY(E268+1)=1,EOMONTH(E268,(N268-1)*D268),EDATE(E268,(N268-1)*D268))-AsAt)/365.25-(IF(DAY(E268+1)=1,EOMONTH(E268,H268*D268),EDATE(E268,H268*D268))-AsAt)/365.25)/((I268-O268)-1),0)*(1+F268)*(1-(I268-O268)*(1+F268)^((I268-O268)-1)+((I268-O268)-1)*(1+F268)^(I268-O268))/F268^2)+O268*(K268-L268*F268)*(1+F268)^(I268-1)*('Deal maths'!AA268-AsAt)/365.25)/L268,((I268-O268)*((IF(DAY(E268+1)=1,EOMONTH(E268,H268*D268),EDATE(E268,H268*D268))-AsAt)/365.25+(IF(DAY(E268+1)=1,EOMONTH(E268,(N268-1)*D268),EDATE(E268,(N268-1)*D268))-AsAt)/365.25)/2+O268*('Deal maths'!AA268-AsAt)/365.25)/I268),(S268-AsAt)/365.25)),0))</f>
        <v/>
      </c>
      <c r="Q268" s="109">
        <f>IF(B268=1,'Deal maths'!AA268+ROW()/1000000,"")</f>
        <v/>
      </c>
      <c r="R268" s="108">
        <f>IF(D268=0,0,IF(DAY(E268+1)=1,31,DAY(E268)))</f>
        <v/>
      </c>
      <c r="S268" s="109">
        <f>IF(AND('Deal maths'!V268="LOBO",'Deal maths'!AG268&gt;AsAt,'Deal maths'!AG268&lt;'Deal maths'!AA268),'Deal maths'!AG268,'Deal maths'!AA268)</f>
        <v/>
      </c>
      <c r="T268" s="108">
        <f>('Deal maths'!AA268&gt;AsAt)*('Deal maths'!Y268&gt;0)</f>
        <v/>
      </c>
    </row>
    <row r="269">
      <c r="A269" s="91">
        <f>IF('Deal maths'!V269="","",'Deal maths'!W269)</f>
        <v/>
      </c>
      <c r="B269" s="108">
        <f>('Deal maths'!AA269&gt;AsAt)*('Deal maths'!Y269&gt;0)*('Deal maths'!Z269&lt;=AsAt)</f>
        <v/>
      </c>
      <c r="C269" s="91">
        <f>IF('Deal maths'!V269="","",IF('Deal maths'!AC269="","Maturity",'Deal maths'!AC269))</f>
        <v/>
      </c>
      <c r="D269" s="108">
        <f>IF(OR(C269="EIP",C269="Annuity"),IF('Deal maths'!AD269="Annual",12,IF('Deal maths'!AD269="Quarterly",3,6)),0)</f>
        <v/>
      </c>
      <c r="E269" s="109">
        <f>IFERROR(IF(D269=0,0,IF('Deal maths'!AE269&gt;0,IF('Deal maths'!AE269&gt;'Deal maths'!AA269,'Deal maths'!AA269,'Deal maths'!AE269),IF(IF(DAY('Deal maths'!AA269+1)=1,EOMONTH('Deal maths'!AA269,-(INT(((YEAR('Deal maths'!AA269)-YEAR(IF('Deal maths'!Z269&gt;0,'Deal maths'!Z269,DATE(1990,1,1))))*12+MONTH('Deal maths'!AA269)-MONTH(IF('Deal maths'!Z269&gt;0,'Deal maths'!Z269,DATE(1990,1,1))))/D269))*D269),EDATE('Deal maths'!AA269,-(INT(((YEAR('Deal maths'!AA269)-YEAR(IF('Deal maths'!Z269&gt;0,'Deal maths'!Z269,DATE(1990,1,1))))*12+MONTH('Deal maths'!AA269)-MONTH(IF('Deal maths'!Z269&gt;0,'Deal maths'!Z269,DATE(1990,1,1))))/D269))*D269))&gt;IF('Deal maths'!Z269&gt;0,'Deal maths'!Z269,DATE(1990,1,1)),IF(DAY('Deal maths'!AA269+1)=1,EOMONTH('Deal maths'!AA269,-(INT(((YEAR('Deal maths'!AA269)-YEAR(IF('Deal maths'!Z269&gt;0,'Deal maths'!Z269,DATE(1990,1,1))))*12+MONTH('Deal maths'!AA269)-MONTH(IF('Deal maths'!Z269&gt;0,'Deal maths'!Z269,DATE(1990,1,1))))/D269))*D269),EDATE('Deal maths'!AA269,-(INT(((YEAR('Deal maths'!AA269)-YEAR(IF('Deal maths'!Z269&gt;0,'Deal maths'!Z269,DATE(1990,1,1))))*12+MONTH('Deal maths'!AA269)-MONTH(IF('Deal maths'!Z269&gt;0,'Deal maths'!Z269,DATE(1990,1,1))))/D269))*D269)),IF(DAY('Deal maths'!AA269+1)=1,EOMONTH('Deal maths'!AA269,-(INT(((YEAR('Deal maths'!AA269)-YEAR(IF('Deal maths'!Z269&gt;0,'Deal maths'!Z269,DATE(1990,1,1))))*12+MONTH('Deal maths'!AA269)-MONTH(IF('Deal maths'!Z269&gt;0,'Deal maths'!Z269,DATE(1990,1,1))))/D269)-1)*D269),EDATE('Deal maths'!AA269,-(INT(((YEAR('Deal maths'!AA269)-YEAR(IF('Deal maths'!Z269&gt;0,'Deal maths'!Z269,DATE(1990,1,1))))*12+MONTH('Deal maths'!AA269)-MONTH(IF('Deal maths'!Z269&gt;0,'Deal maths'!Z269,DATE(1990,1,1))))/D269)-1)*D269))))),0)</f>
        <v/>
      </c>
      <c r="F269" s="110">
        <f>IF(D269=0,0,'Deal maths'!AB269*D269/12)</f>
        <v/>
      </c>
      <c r="G269" s="108">
        <f>N269+O269</f>
        <v/>
      </c>
      <c r="H269" s="108">
        <f>IFERROR(IF(OR(D269=0,AsAt&lt;E269),0,MIN(N269,INT(((YEAR(AsAt)-YEAR(E269))*12+MONTH(AsAt)-MONTH(E269)-(DAY(AsAt)&lt;MIN(R269,DAY(EOMONTH(AsAt,0)))))/D269)+1)+O269*(AsAt&gt;='Deal maths'!AA269)),0)</f>
        <v/>
      </c>
      <c r="I269" s="108">
        <f>G269-H269</f>
        <v/>
      </c>
      <c r="J269" s="111">
        <f>IF(AND(C269="EIP",I269&gt;0),'Deal maths'!Y269/I269,0)</f>
        <v/>
      </c>
      <c r="K269" s="111">
        <f>IF(AND(C269="Annuity",I269&gt;0),IF(F269&gt;0,'Deal maths'!Y269*F269/(1-(1+F269)^-I269),'Deal maths'!Y269/I269),0)</f>
        <v/>
      </c>
      <c r="L269" s="111">
        <f>IF('Deal maths'!Y269="",0,'Deal maths'!Y269)</f>
        <v/>
      </c>
      <c r="M269" s="112">
        <f>F269+(F269=0)</f>
        <v/>
      </c>
      <c r="N269" s="108">
        <f>IFERROR(IF(D269=0,0,INT(((YEAR('Deal maths'!AA269)-YEAR(E269))*12+MONTH('Deal maths'!AA269)-MONTH(E269)-(DAY('Deal maths'!AA269)&lt;MIN(R269,DAY(EOMONTH('Deal maths'!AA269,0)))))/D269)+1),0)</f>
        <v/>
      </c>
      <c r="O269" s="108">
        <f>IFERROR(IF(D269=0,0,IF(IF(DAY(E269+1)=1,EOMONTH(E269,(N269-1)*D269),EDATE(E269,(N269-1)*D269))='Deal maths'!AA269,0,1)),0)</f>
        <v/>
      </c>
      <c r="P269" s="113">
        <f>IF(B269=0,0,IFERROR(IF(C269="EIP",((I269-O269)*((IF(DAY(E269+1)=1,EOMONTH(E269,H269*D269),EDATE(E269,H269*D269))-AsAt)/365.25+(IF(DAY(E269+1)=1,EOMONTH(E269,(N269-1)*D269),EDATE(E269,(N269-1)*D269))-AsAt)/365.25)/2+O269*('Deal maths'!AA269-AsAt)/365.25)/I269,IF(C269="Annuity",IF(F269&gt;0,((K269-L269*F269)*((IF(DAY(E269+1)=1,EOMONTH(E269,H269*D269),EDATE(E269,H269*D269))-AsAt)/365.25*((1+F269)^(I269-O269)-1)/F269+IF((I269-O269)&gt;1,((IF(DAY(E269+1)=1,EOMONTH(E269,(N269-1)*D269),EDATE(E269,(N269-1)*D269))-AsAt)/365.25-(IF(DAY(E269+1)=1,EOMONTH(E269,H269*D269),EDATE(E269,H269*D269))-AsAt)/365.25)/((I269-O269)-1),0)*(1+F269)*(1-(I269-O269)*(1+F269)^((I269-O269)-1)+((I269-O269)-1)*(1+F269)^(I269-O269))/F269^2)+O269*(K269-L269*F269)*(1+F269)^(I269-1)*('Deal maths'!AA269-AsAt)/365.25)/L269,((I269-O269)*((IF(DAY(E269+1)=1,EOMONTH(E269,H269*D269),EDATE(E269,H269*D269))-AsAt)/365.25+(IF(DAY(E269+1)=1,EOMONTH(E269,(N269-1)*D269),EDATE(E269,(N269-1)*D269))-AsAt)/365.25)/2+O269*('Deal maths'!AA269-AsAt)/365.25)/I269),(S269-AsAt)/365.25)),0))</f>
        <v/>
      </c>
      <c r="Q269" s="109">
        <f>IF(B269=1,'Deal maths'!AA269+ROW()/1000000,"")</f>
        <v/>
      </c>
      <c r="R269" s="108">
        <f>IF(D269=0,0,IF(DAY(E269+1)=1,31,DAY(E269)))</f>
        <v/>
      </c>
      <c r="S269" s="109">
        <f>IF(AND('Deal maths'!V269="LOBO",'Deal maths'!AG269&gt;AsAt,'Deal maths'!AG269&lt;'Deal maths'!AA269),'Deal maths'!AG269,'Deal maths'!AA269)</f>
        <v/>
      </c>
      <c r="T269" s="108">
        <f>('Deal maths'!AA269&gt;AsAt)*('Deal maths'!Y269&gt;0)</f>
        <v/>
      </c>
    </row>
    <row r="270">
      <c r="A270" s="91">
        <f>IF('Deal maths'!V270="","",'Deal maths'!W270)</f>
        <v/>
      </c>
      <c r="B270" s="108">
        <f>('Deal maths'!AA270&gt;AsAt)*('Deal maths'!Y270&gt;0)*('Deal maths'!Z270&lt;=AsAt)</f>
        <v/>
      </c>
      <c r="C270" s="91">
        <f>IF('Deal maths'!V270="","",IF('Deal maths'!AC270="","Maturity",'Deal maths'!AC270))</f>
        <v/>
      </c>
      <c r="D270" s="108">
        <f>IF(OR(C270="EIP",C270="Annuity"),IF('Deal maths'!AD270="Annual",12,IF('Deal maths'!AD270="Quarterly",3,6)),0)</f>
        <v/>
      </c>
      <c r="E270" s="109">
        <f>IFERROR(IF(D270=0,0,IF('Deal maths'!AE270&gt;0,IF('Deal maths'!AE270&gt;'Deal maths'!AA270,'Deal maths'!AA270,'Deal maths'!AE270),IF(IF(DAY('Deal maths'!AA270+1)=1,EOMONTH('Deal maths'!AA270,-(INT(((YEAR('Deal maths'!AA270)-YEAR(IF('Deal maths'!Z270&gt;0,'Deal maths'!Z270,DATE(1990,1,1))))*12+MONTH('Deal maths'!AA270)-MONTH(IF('Deal maths'!Z270&gt;0,'Deal maths'!Z270,DATE(1990,1,1))))/D270))*D270),EDATE('Deal maths'!AA270,-(INT(((YEAR('Deal maths'!AA270)-YEAR(IF('Deal maths'!Z270&gt;0,'Deal maths'!Z270,DATE(1990,1,1))))*12+MONTH('Deal maths'!AA270)-MONTH(IF('Deal maths'!Z270&gt;0,'Deal maths'!Z270,DATE(1990,1,1))))/D270))*D270))&gt;IF('Deal maths'!Z270&gt;0,'Deal maths'!Z270,DATE(1990,1,1)),IF(DAY('Deal maths'!AA270+1)=1,EOMONTH('Deal maths'!AA270,-(INT(((YEAR('Deal maths'!AA270)-YEAR(IF('Deal maths'!Z270&gt;0,'Deal maths'!Z270,DATE(1990,1,1))))*12+MONTH('Deal maths'!AA270)-MONTH(IF('Deal maths'!Z270&gt;0,'Deal maths'!Z270,DATE(1990,1,1))))/D270))*D270),EDATE('Deal maths'!AA270,-(INT(((YEAR('Deal maths'!AA270)-YEAR(IF('Deal maths'!Z270&gt;0,'Deal maths'!Z270,DATE(1990,1,1))))*12+MONTH('Deal maths'!AA270)-MONTH(IF('Deal maths'!Z270&gt;0,'Deal maths'!Z270,DATE(1990,1,1))))/D270))*D270)),IF(DAY('Deal maths'!AA270+1)=1,EOMONTH('Deal maths'!AA270,-(INT(((YEAR('Deal maths'!AA270)-YEAR(IF('Deal maths'!Z270&gt;0,'Deal maths'!Z270,DATE(1990,1,1))))*12+MONTH('Deal maths'!AA270)-MONTH(IF('Deal maths'!Z270&gt;0,'Deal maths'!Z270,DATE(1990,1,1))))/D270)-1)*D270),EDATE('Deal maths'!AA270,-(INT(((YEAR('Deal maths'!AA270)-YEAR(IF('Deal maths'!Z270&gt;0,'Deal maths'!Z270,DATE(1990,1,1))))*12+MONTH('Deal maths'!AA270)-MONTH(IF('Deal maths'!Z270&gt;0,'Deal maths'!Z270,DATE(1990,1,1))))/D270)-1)*D270))))),0)</f>
        <v/>
      </c>
      <c r="F270" s="110">
        <f>IF(D270=0,0,'Deal maths'!AB270*D270/12)</f>
        <v/>
      </c>
      <c r="G270" s="108">
        <f>N270+O270</f>
        <v/>
      </c>
      <c r="H270" s="108">
        <f>IFERROR(IF(OR(D270=0,AsAt&lt;E270),0,MIN(N270,INT(((YEAR(AsAt)-YEAR(E270))*12+MONTH(AsAt)-MONTH(E270)-(DAY(AsAt)&lt;MIN(R270,DAY(EOMONTH(AsAt,0)))))/D270)+1)+O270*(AsAt&gt;='Deal maths'!AA270)),0)</f>
        <v/>
      </c>
      <c r="I270" s="108">
        <f>G270-H270</f>
        <v/>
      </c>
      <c r="J270" s="111">
        <f>IF(AND(C270="EIP",I270&gt;0),'Deal maths'!Y270/I270,0)</f>
        <v/>
      </c>
      <c r="K270" s="111">
        <f>IF(AND(C270="Annuity",I270&gt;0),IF(F270&gt;0,'Deal maths'!Y270*F270/(1-(1+F270)^-I270),'Deal maths'!Y270/I270),0)</f>
        <v/>
      </c>
      <c r="L270" s="111">
        <f>IF('Deal maths'!Y270="",0,'Deal maths'!Y270)</f>
        <v/>
      </c>
      <c r="M270" s="112">
        <f>F270+(F270=0)</f>
        <v/>
      </c>
      <c r="N270" s="108">
        <f>IFERROR(IF(D270=0,0,INT(((YEAR('Deal maths'!AA270)-YEAR(E270))*12+MONTH('Deal maths'!AA270)-MONTH(E270)-(DAY('Deal maths'!AA270)&lt;MIN(R270,DAY(EOMONTH('Deal maths'!AA270,0)))))/D270)+1),0)</f>
        <v/>
      </c>
      <c r="O270" s="108">
        <f>IFERROR(IF(D270=0,0,IF(IF(DAY(E270+1)=1,EOMONTH(E270,(N270-1)*D270),EDATE(E270,(N270-1)*D270))='Deal maths'!AA270,0,1)),0)</f>
        <v/>
      </c>
      <c r="P270" s="113">
        <f>IF(B270=0,0,IFERROR(IF(C270="EIP",((I270-O270)*((IF(DAY(E270+1)=1,EOMONTH(E270,H270*D270),EDATE(E270,H270*D270))-AsAt)/365.25+(IF(DAY(E270+1)=1,EOMONTH(E270,(N270-1)*D270),EDATE(E270,(N270-1)*D270))-AsAt)/365.25)/2+O270*('Deal maths'!AA270-AsAt)/365.25)/I270,IF(C270="Annuity",IF(F270&gt;0,((K270-L270*F270)*((IF(DAY(E270+1)=1,EOMONTH(E270,H270*D270),EDATE(E270,H270*D270))-AsAt)/365.25*((1+F270)^(I270-O270)-1)/F270+IF((I270-O270)&gt;1,((IF(DAY(E270+1)=1,EOMONTH(E270,(N270-1)*D270),EDATE(E270,(N270-1)*D270))-AsAt)/365.25-(IF(DAY(E270+1)=1,EOMONTH(E270,H270*D270),EDATE(E270,H270*D270))-AsAt)/365.25)/((I270-O270)-1),0)*(1+F270)*(1-(I270-O270)*(1+F270)^((I270-O270)-1)+((I270-O270)-1)*(1+F270)^(I270-O270))/F270^2)+O270*(K270-L270*F270)*(1+F270)^(I270-1)*('Deal maths'!AA270-AsAt)/365.25)/L270,((I270-O270)*((IF(DAY(E270+1)=1,EOMONTH(E270,H270*D270),EDATE(E270,H270*D270))-AsAt)/365.25+(IF(DAY(E270+1)=1,EOMONTH(E270,(N270-1)*D270),EDATE(E270,(N270-1)*D270))-AsAt)/365.25)/2+O270*('Deal maths'!AA270-AsAt)/365.25)/I270),(S270-AsAt)/365.25)),0))</f>
        <v/>
      </c>
      <c r="Q270" s="109">
        <f>IF(B270=1,'Deal maths'!AA270+ROW()/1000000,"")</f>
        <v/>
      </c>
      <c r="R270" s="108">
        <f>IF(D270=0,0,IF(DAY(E270+1)=1,31,DAY(E270)))</f>
        <v/>
      </c>
      <c r="S270" s="109">
        <f>IF(AND('Deal maths'!V270="LOBO",'Deal maths'!AG270&gt;AsAt,'Deal maths'!AG270&lt;'Deal maths'!AA270),'Deal maths'!AG270,'Deal maths'!AA270)</f>
        <v/>
      </c>
      <c r="T270" s="108">
        <f>('Deal maths'!AA270&gt;AsAt)*('Deal maths'!Y270&gt;0)</f>
        <v/>
      </c>
    </row>
    <row r="271">
      <c r="A271" s="91">
        <f>IF('Deal maths'!V271="","",'Deal maths'!W271)</f>
        <v/>
      </c>
      <c r="B271" s="108">
        <f>('Deal maths'!AA271&gt;AsAt)*('Deal maths'!Y271&gt;0)*('Deal maths'!Z271&lt;=AsAt)</f>
        <v/>
      </c>
      <c r="C271" s="91">
        <f>IF('Deal maths'!V271="","",IF('Deal maths'!AC271="","Maturity",'Deal maths'!AC271))</f>
        <v/>
      </c>
      <c r="D271" s="108">
        <f>IF(OR(C271="EIP",C271="Annuity"),IF('Deal maths'!AD271="Annual",12,IF('Deal maths'!AD271="Quarterly",3,6)),0)</f>
        <v/>
      </c>
      <c r="E271" s="109">
        <f>IFERROR(IF(D271=0,0,IF('Deal maths'!AE271&gt;0,IF('Deal maths'!AE271&gt;'Deal maths'!AA271,'Deal maths'!AA271,'Deal maths'!AE271),IF(IF(DAY('Deal maths'!AA271+1)=1,EOMONTH('Deal maths'!AA271,-(INT(((YEAR('Deal maths'!AA271)-YEAR(IF('Deal maths'!Z271&gt;0,'Deal maths'!Z271,DATE(1990,1,1))))*12+MONTH('Deal maths'!AA271)-MONTH(IF('Deal maths'!Z271&gt;0,'Deal maths'!Z271,DATE(1990,1,1))))/D271))*D271),EDATE('Deal maths'!AA271,-(INT(((YEAR('Deal maths'!AA271)-YEAR(IF('Deal maths'!Z271&gt;0,'Deal maths'!Z271,DATE(1990,1,1))))*12+MONTH('Deal maths'!AA271)-MONTH(IF('Deal maths'!Z271&gt;0,'Deal maths'!Z271,DATE(1990,1,1))))/D271))*D271))&gt;IF('Deal maths'!Z271&gt;0,'Deal maths'!Z271,DATE(1990,1,1)),IF(DAY('Deal maths'!AA271+1)=1,EOMONTH('Deal maths'!AA271,-(INT(((YEAR('Deal maths'!AA271)-YEAR(IF('Deal maths'!Z271&gt;0,'Deal maths'!Z271,DATE(1990,1,1))))*12+MONTH('Deal maths'!AA271)-MONTH(IF('Deal maths'!Z271&gt;0,'Deal maths'!Z271,DATE(1990,1,1))))/D271))*D271),EDATE('Deal maths'!AA271,-(INT(((YEAR('Deal maths'!AA271)-YEAR(IF('Deal maths'!Z271&gt;0,'Deal maths'!Z271,DATE(1990,1,1))))*12+MONTH('Deal maths'!AA271)-MONTH(IF('Deal maths'!Z271&gt;0,'Deal maths'!Z271,DATE(1990,1,1))))/D271))*D271)),IF(DAY('Deal maths'!AA271+1)=1,EOMONTH('Deal maths'!AA271,-(INT(((YEAR('Deal maths'!AA271)-YEAR(IF('Deal maths'!Z271&gt;0,'Deal maths'!Z271,DATE(1990,1,1))))*12+MONTH('Deal maths'!AA271)-MONTH(IF('Deal maths'!Z271&gt;0,'Deal maths'!Z271,DATE(1990,1,1))))/D271)-1)*D271),EDATE('Deal maths'!AA271,-(INT(((YEAR('Deal maths'!AA271)-YEAR(IF('Deal maths'!Z271&gt;0,'Deal maths'!Z271,DATE(1990,1,1))))*12+MONTH('Deal maths'!AA271)-MONTH(IF('Deal maths'!Z271&gt;0,'Deal maths'!Z271,DATE(1990,1,1))))/D271)-1)*D271))))),0)</f>
        <v/>
      </c>
      <c r="F271" s="110">
        <f>IF(D271=0,0,'Deal maths'!AB271*D271/12)</f>
        <v/>
      </c>
      <c r="G271" s="108">
        <f>N271+O271</f>
        <v/>
      </c>
      <c r="H271" s="108">
        <f>IFERROR(IF(OR(D271=0,AsAt&lt;E271),0,MIN(N271,INT(((YEAR(AsAt)-YEAR(E271))*12+MONTH(AsAt)-MONTH(E271)-(DAY(AsAt)&lt;MIN(R271,DAY(EOMONTH(AsAt,0)))))/D271)+1)+O271*(AsAt&gt;='Deal maths'!AA271)),0)</f>
        <v/>
      </c>
      <c r="I271" s="108">
        <f>G271-H271</f>
        <v/>
      </c>
      <c r="J271" s="111">
        <f>IF(AND(C271="EIP",I271&gt;0),'Deal maths'!Y271/I271,0)</f>
        <v/>
      </c>
      <c r="K271" s="111">
        <f>IF(AND(C271="Annuity",I271&gt;0),IF(F271&gt;0,'Deal maths'!Y271*F271/(1-(1+F271)^-I271),'Deal maths'!Y271/I271),0)</f>
        <v/>
      </c>
      <c r="L271" s="111">
        <f>IF('Deal maths'!Y271="",0,'Deal maths'!Y271)</f>
        <v/>
      </c>
      <c r="M271" s="112">
        <f>F271+(F271=0)</f>
        <v/>
      </c>
      <c r="N271" s="108">
        <f>IFERROR(IF(D271=0,0,INT(((YEAR('Deal maths'!AA271)-YEAR(E271))*12+MONTH('Deal maths'!AA271)-MONTH(E271)-(DAY('Deal maths'!AA271)&lt;MIN(R271,DAY(EOMONTH('Deal maths'!AA271,0)))))/D271)+1),0)</f>
        <v/>
      </c>
      <c r="O271" s="108">
        <f>IFERROR(IF(D271=0,0,IF(IF(DAY(E271+1)=1,EOMONTH(E271,(N271-1)*D271),EDATE(E271,(N271-1)*D271))='Deal maths'!AA271,0,1)),0)</f>
        <v/>
      </c>
      <c r="P271" s="113">
        <f>IF(B271=0,0,IFERROR(IF(C271="EIP",((I271-O271)*((IF(DAY(E271+1)=1,EOMONTH(E271,H271*D271),EDATE(E271,H271*D271))-AsAt)/365.25+(IF(DAY(E271+1)=1,EOMONTH(E271,(N271-1)*D271),EDATE(E271,(N271-1)*D271))-AsAt)/365.25)/2+O271*('Deal maths'!AA271-AsAt)/365.25)/I271,IF(C271="Annuity",IF(F271&gt;0,((K271-L271*F271)*((IF(DAY(E271+1)=1,EOMONTH(E271,H271*D271),EDATE(E271,H271*D271))-AsAt)/365.25*((1+F271)^(I271-O271)-1)/F271+IF((I271-O271)&gt;1,((IF(DAY(E271+1)=1,EOMONTH(E271,(N271-1)*D271),EDATE(E271,(N271-1)*D271))-AsAt)/365.25-(IF(DAY(E271+1)=1,EOMONTH(E271,H271*D271),EDATE(E271,H271*D271))-AsAt)/365.25)/((I271-O271)-1),0)*(1+F271)*(1-(I271-O271)*(1+F271)^((I271-O271)-1)+((I271-O271)-1)*(1+F271)^(I271-O271))/F271^2)+O271*(K271-L271*F271)*(1+F271)^(I271-1)*('Deal maths'!AA271-AsAt)/365.25)/L271,((I271-O271)*((IF(DAY(E271+1)=1,EOMONTH(E271,H271*D271),EDATE(E271,H271*D271))-AsAt)/365.25+(IF(DAY(E271+1)=1,EOMONTH(E271,(N271-1)*D271),EDATE(E271,(N271-1)*D271))-AsAt)/365.25)/2+O271*('Deal maths'!AA271-AsAt)/365.25)/I271),(S271-AsAt)/365.25)),0))</f>
        <v/>
      </c>
      <c r="Q271" s="109">
        <f>IF(B271=1,'Deal maths'!AA271+ROW()/1000000,"")</f>
        <v/>
      </c>
      <c r="R271" s="108">
        <f>IF(D271=0,0,IF(DAY(E271+1)=1,31,DAY(E271)))</f>
        <v/>
      </c>
      <c r="S271" s="109">
        <f>IF(AND('Deal maths'!V271="LOBO",'Deal maths'!AG271&gt;AsAt,'Deal maths'!AG271&lt;'Deal maths'!AA271),'Deal maths'!AG271,'Deal maths'!AA271)</f>
        <v/>
      </c>
      <c r="T271" s="108">
        <f>('Deal maths'!AA271&gt;AsAt)*('Deal maths'!Y271&gt;0)</f>
        <v/>
      </c>
    </row>
    <row r="272">
      <c r="A272" s="91">
        <f>IF('Deal maths'!V272="","",'Deal maths'!W272)</f>
        <v/>
      </c>
      <c r="B272" s="108">
        <f>('Deal maths'!AA272&gt;AsAt)*('Deal maths'!Y272&gt;0)*('Deal maths'!Z272&lt;=AsAt)</f>
        <v/>
      </c>
      <c r="C272" s="91">
        <f>IF('Deal maths'!V272="","",IF('Deal maths'!AC272="","Maturity",'Deal maths'!AC272))</f>
        <v/>
      </c>
      <c r="D272" s="108">
        <f>IF(OR(C272="EIP",C272="Annuity"),IF('Deal maths'!AD272="Annual",12,IF('Deal maths'!AD272="Quarterly",3,6)),0)</f>
        <v/>
      </c>
      <c r="E272" s="109">
        <f>IFERROR(IF(D272=0,0,IF('Deal maths'!AE272&gt;0,IF('Deal maths'!AE272&gt;'Deal maths'!AA272,'Deal maths'!AA272,'Deal maths'!AE272),IF(IF(DAY('Deal maths'!AA272+1)=1,EOMONTH('Deal maths'!AA272,-(INT(((YEAR('Deal maths'!AA272)-YEAR(IF('Deal maths'!Z272&gt;0,'Deal maths'!Z272,DATE(1990,1,1))))*12+MONTH('Deal maths'!AA272)-MONTH(IF('Deal maths'!Z272&gt;0,'Deal maths'!Z272,DATE(1990,1,1))))/D272))*D272),EDATE('Deal maths'!AA272,-(INT(((YEAR('Deal maths'!AA272)-YEAR(IF('Deal maths'!Z272&gt;0,'Deal maths'!Z272,DATE(1990,1,1))))*12+MONTH('Deal maths'!AA272)-MONTH(IF('Deal maths'!Z272&gt;0,'Deal maths'!Z272,DATE(1990,1,1))))/D272))*D272))&gt;IF('Deal maths'!Z272&gt;0,'Deal maths'!Z272,DATE(1990,1,1)),IF(DAY('Deal maths'!AA272+1)=1,EOMONTH('Deal maths'!AA272,-(INT(((YEAR('Deal maths'!AA272)-YEAR(IF('Deal maths'!Z272&gt;0,'Deal maths'!Z272,DATE(1990,1,1))))*12+MONTH('Deal maths'!AA272)-MONTH(IF('Deal maths'!Z272&gt;0,'Deal maths'!Z272,DATE(1990,1,1))))/D272))*D272),EDATE('Deal maths'!AA272,-(INT(((YEAR('Deal maths'!AA272)-YEAR(IF('Deal maths'!Z272&gt;0,'Deal maths'!Z272,DATE(1990,1,1))))*12+MONTH('Deal maths'!AA272)-MONTH(IF('Deal maths'!Z272&gt;0,'Deal maths'!Z272,DATE(1990,1,1))))/D272))*D272)),IF(DAY('Deal maths'!AA272+1)=1,EOMONTH('Deal maths'!AA272,-(INT(((YEAR('Deal maths'!AA272)-YEAR(IF('Deal maths'!Z272&gt;0,'Deal maths'!Z272,DATE(1990,1,1))))*12+MONTH('Deal maths'!AA272)-MONTH(IF('Deal maths'!Z272&gt;0,'Deal maths'!Z272,DATE(1990,1,1))))/D272)-1)*D272),EDATE('Deal maths'!AA272,-(INT(((YEAR('Deal maths'!AA272)-YEAR(IF('Deal maths'!Z272&gt;0,'Deal maths'!Z272,DATE(1990,1,1))))*12+MONTH('Deal maths'!AA272)-MONTH(IF('Deal maths'!Z272&gt;0,'Deal maths'!Z272,DATE(1990,1,1))))/D272)-1)*D272))))),0)</f>
        <v/>
      </c>
      <c r="F272" s="110">
        <f>IF(D272=0,0,'Deal maths'!AB272*D272/12)</f>
        <v/>
      </c>
      <c r="G272" s="108">
        <f>N272+O272</f>
        <v/>
      </c>
      <c r="H272" s="108">
        <f>IFERROR(IF(OR(D272=0,AsAt&lt;E272),0,MIN(N272,INT(((YEAR(AsAt)-YEAR(E272))*12+MONTH(AsAt)-MONTH(E272)-(DAY(AsAt)&lt;MIN(R272,DAY(EOMONTH(AsAt,0)))))/D272)+1)+O272*(AsAt&gt;='Deal maths'!AA272)),0)</f>
        <v/>
      </c>
      <c r="I272" s="108">
        <f>G272-H272</f>
        <v/>
      </c>
      <c r="J272" s="111">
        <f>IF(AND(C272="EIP",I272&gt;0),'Deal maths'!Y272/I272,0)</f>
        <v/>
      </c>
      <c r="K272" s="111">
        <f>IF(AND(C272="Annuity",I272&gt;0),IF(F272&gt;0,'Deal maths'!Y272*F272/(1-(1+F272)^-I272),'Deal maths'!Y272/I272),0)</f>
        <v/>
      </c>
      <c r="L272" s="111">
        <f>IF('Deal maths'!Y272="",0,'Deal maths'!Y272)</f>
        <v/>
      </c>
      <c r="M272" s="112">
        <f>F272+(F272=0)</f>
        <v/>
      </c>
      <c r="N272" s="108">
        <f>IFERROR(IF(D272=0,0,INT(((YEAR('Deal maths'!AA272)-YEAR(E272))*12+MONTH('Deal maths'!AA272)-MONTH(E272)-(DAY('Deal maths'!AA272)&lt;MIN(R272,DAY(EOMONTH('Deal maths'!AA272,0)))))/D272)+1),0)</f>
        <v/>
      </c>
      <c r="O272" s="108">
        <f>IFERROR(IF(D272=0,0,IF(IF(DAY(E272+1)=1,EOMONTH(E272,(N272-1)*D272),EDATE(E272,(N272-1)*D272))='Deal maths'!AA272,0,1)),0)</f>
        <v/>
      </c>
      <c r="P272" s="113">
        <f>IF(B272=0,0,IFERROR(IF(C272="EIP",((I272-O272)*((IF(DAY(E272+1)=1,EOMONTH(E272,H272*D272),EDATE(E272,H272*D272))-AsAt)/365.25+(IF(DAY(E272+1)=1,EOMONTH(E272,(N272-1)*D272),EDATE(E272,(N272-1)*D272))-AsAt)/365.25)/2+O272*('Deal maths'!AA272-AsAt)/365.25)/I272,IF(C272="Annuity",IF(F272&gt;0,((K272-L272*F272)*((IF(DAY(E272+1)=1,EOMONTH(E272,H272*D272),EDATE(E272,H272*D272))-AsAt)/365.25*((1+F272)^(I272-O272)-1)/F272+IF((I272-O272)&gt;1,((IF(DAY(E272+1)=1,EOMONTH(E272,(N272-1)*D272),EDATE(E272,(N272-1)*D272))-AsAt)/365.25-(IF(DAY(E272+1)=1,EOMONTH(E272,H272*D272),EDATE(E272,H272*D272))-AsAt)/365.25)/((I272-O272)-1),0)*(1+F272)*(1-(I272-O272)*(1+F272)^((I272-O272)-1)+((I272-O272)-1)*(1+F272)^(I272-O272))/F272^2)+O272*(K272-L272*F272)*(1+F272)^(I272-1)*('Deal maths'!AA272-AsAt)/365.25)/L272,((I272-O272)*((IF(DAY(E272+1)=1,EOMONTH(E272,H272*D272),EDATE(E272,H272*D272))-AsAt)/365.25+(IF(DAY(E272+1)=1,EOMONTH(E272,(N272-1)*D272),EDATE(E272,(N272-1)*D272))-AsAt)/365.25)/2+O272*('Deal maths'!AA272-AsAt)/365.25)/I272),(S272-AsAt)/365.25)),0))</f>
        <v/>
      </c>
      <c r="Q272" s="109">
        <f>IF(B272=1,'Deal maths'!AA272+ROW()/1000000,"")</f>
        <v/>
      </c>
      <c r="R272" s="108">
        <f>IF(D272=0,0,IF(DAY(E272+1)=1,31,DAY(E272)))</f>
        <v/>
      </c>
      <c r="S272" s="109">
        <f>IF(AND('Deal maths'!V272="LOBO",'Deal maths'!AG272&gt;AsAt,'Deal maths'!AG272&lt;'Deal maths'!AA272),'Deal maths'!AG272,'Deal maths'!AA272)</f>
        <v/>
      </c>
      <c r="T272" s="108">
        <f>('Deal maths'!AA272&gt;AsAt)*('Deal maths'!Y272&gt;0)</f>
        <v/>
      </c>
    </row>
    <row r="273">
      <c r="A273" s="91">
        <f>IF('Deal maths'!V273="","",'Deal maths'!W273)</f>
        <v/>
      </c>
      <c r="B273" s="108">
        <f>('Deal maths'!AA273&gt;AsAt)*('Deal maths'!Y273&gt;0)*('Deal maths'!Z273&lt;=AsAt)</f>
        <v/>
      </c>
      <c r="C273" s="91">
        <f>IF('Deal maths'!V273="","",IF('Deal maths'!AC273="","Maturity",'Deal maths'!AC273))</f>
        <v/>
      </c>
      <c r="D273" s="108">
        <f>IF(OR(C273="EIP",C273="Annuity"),IF('Deal maths'!AD273="Annual",12,IF('Deal maths'!AD273="Quarterly",3,6)),0)</f>
        <v/>
      </c>
      <c r="E273" s="109">
        <f>IFERROR(IF(D273=0,0,IF('Deal maths'!AE273&gt;0,IF('Deal maths'!AE273&gt;'Deal maths'!AA273,'Deal maths'!AA273,'Deal maths'!AE273),IF(IF(DAY('Deal maths'!AA273+1)=1,EOMONTH('Deal maths'!AA273,-(INT(((YEAR('Deal maths'!AA273)-YEAR(IF('Deal maths'!Z273&gt;0,'Deal maths'!Z273,DATE(1990,1,1))))*12+MONTH('Deal maths'!AA273)-MONTH(IF('Deal maths'!Z273&gt;0,'Deal maths'!Z273,DATE(1990,1,1))))/D273))*D273),EDATE('Deal maths'!AA273,-(INT(((YEAR('Deal maths'!AA273)-YEAR(IF('Deal maths'!Z273&gt;0,'Deal maths'!Z273,DATE(1990,1,1))))*12+MONTH('Deal maths'!AA273)-MONTH(IF('Deal maths'!Z273&gt;0,'Deal maths'!Z273,DATE(1990,1,1))))/D273))*D273))&gt;IF('Deal maths'!Z273&gt;0,'Deal maths'!Z273,DATE(1990,1,1)),IF(DAY('Deal maths'!AA273+1)=1,EOMONTH('Deal maths'!AA273,-(INT(((YEAR('Deal maths'!AA273)-YEAR(IF('Deal maths'!Z273&gt;0,'Deal maths'!Z273,DATE(1990,1,1))))*12+MONTH('Deal maths'!AA273)-MONTH(IF('Deal maths'!Z273&gt;0,'Deal maths'!Z273,DATE(1990,1,1))))/D273))*D273),EDATE('Deal maths'!AA273,-(INT(((YEAR('Deal maths'!AA273)-YEAR(IF('Deal maths'!Z273&gt;0,'Deal maths'!Z273,DATE(1990,1,1))))*12+MONTH('Deal maths'!AA273)-MONTH(IF('Deal maths'!Z273&gt;0,'Deal maths'!Z273,DATE(1990,1,1))))/D273))*D273)),IF(DAY('Deal maths'!AA273+1)=1,EOMONTH('Deal maths'!AA273,-(INT(((YEAR('Deal maths'!AA273)-YEAR(IF('Deal maths'!Z273&gt;0,'Deal maths'!Z273,DATE(1990,1,1))))*12+MONTH('Deal maths'!AA273)-MONTH(IF('Deal maths'!Z273&gt;0,'Deal maths'!Z273,DATE(1990,1,1))))/D273)-1)*D273),EDATE('Deal maths'!AA273,-(INT(((YEAR('Deal maths'!AA273)-YEAR(IF('Deal maths'!Z273&gt;0,'Deal maths'!Z273,DATE(1990,1,1))))*12+MONTH('Deal maths'!AA273)-MONTH(IF('Deal maths'!Z273&gt;0,'Deal maths'!Z273,DATE(1990,1,1))))/D273)-1)*D273))))),0)</f>
        <v/>
      </c>
      <c r="F273" s="110">
        <f>IF(D273=0,0,'Deal maths'!AB273*D273/12)</f>
        <v/>
      </c>
      <c r="G273" s="108">
        <f>N273+O273</f>
        <v/>
      </c>
      <c r="H273" s="108">
        <f>IFERROR(IF(OR(D273=0,AsAt&lt;E273),0,MIN(N273,INT(((YEAR(AsAt)-YEAR(E273))*12+MONTH(AsAt)-MONTH(E273)-(DAY(AsAt)&lt;MIN(R273,DAY(EOMONTH(AsAt,0)))))/D273)+1)+O273*(AsAt&gt;='Deal maths'!AA273)),0)</f>
        <v/>
      </c>
      <c r="I273" s="108">
        <f>G273-H273</f>
        <v/>
      </c>
      <c r="J273" s="111">
        <f>IF(AND(C273="EIP",I273&gt;0),'Deal maths'!Y273/I273,0)</f>
        <v/>
      </c>
      <c r="K273" s="111">
        <f>IF(AND(C273="Annuity",I273&gt;0),IF(F273&gt;0,'Deal maths'!Y273*F273/(1-(1+F273)^-I273),'Deal maths'!Y273/I273),0)</f>
        <v/>
      </c>
      <c r="L273" s="111">
        <f>IF('Deal maths'!Y273="",0,'Deal maths'!Y273)</f>
        <v/>
      </c>
      <c r="M273" s="112">
        <f>F273+(F273=0)</f>
        <v/>
      </c>
      <c r="N273" s="108">
        <f>IFERROR(IF(D273=0,0,INT(((YEAR('Deal maths'!AA273)-YEAR(E273))*12+MONTH('Deal maths'!AA273)-MONTH(E273)-(DAY('Deal maths'!AA273)&lt;MIN(R273,DAY(EOMONTH('Deal maths'!AA273,0)))))/D273)+1),0)</f>
        <v/>
      </c>
      <c r="O273" s="108">
        <f>IFERROR(IF(D273=0,0,IF(IF(DAY(E273+1)=1,EOMONTH(E273,(N273-1)*D273),EDATE(E273,(N273-1)*D273))='Deal maths'!AA273,0,1)),0)</f>
        <v/>
      </c>
      <c r="P273" s="113">
        <f>IF(B273=0,0,IFERROR(IF(C273="EIP",((I273-O273)*((IF(DAY(E273+1)=1,EOMONTH(E273,H273*D273),EDATE(E273,H273*D273))-AsAt)/365.25+(IF(DAY(E273+1)=1,EOMONTH(E273,(N273-1)*D273),EDATE(E273,(N273-1)*D273))-AsAt)/365.25)/2+O273*('Deal maths'!AA273-AsAt)/365.25)/I273,IF(C273="Annuity",IF(F273&gt;0,((K273-L273*F273)*((IF(DAY(E273+1)=1,EOMONTH(E273,H273*D273),EDATE(E273,H273*D273))-AsAt)/365.25*((1+F273)^(I273-O273)-1)/F273+IF((I273-O273)&gt;1,((IF(DAY(E273+1)=1,EOMONTH(E273,(N273-1)*D273),EDATE(E273,(N273-1)*D273))-AsAt)/365.25-(IF(DAY(E273+1)=1,EOMONTH(E273,H273*D273),EDATE(E273,H273*D273))-AsAt)/365.25)/((I273-O273)-1),0)*(1+F273)*(1-(I273-O273)*(1+F273)^((I273-O273)-1)+((I273-O273)-1)*(1+F273)^(I273-O273))/F273^2)+O273*(K273-L273*F273)*(1+F273)^(I273-1)*('Deal maths'!AA273-AsAt)/365.25)/L273,((I273-O273)*((IF(DAY(E273+1)=1,EOMONTH(E273,H273*D273),EDATE(E273,H273*D273))-AsAt)/365.25+(IF(DAY(E273+1)=1,EOMONTH(E273,(N273-1)*D273),EDATE(E273,(N273-1)*D273))-AsAt)/365.25)/2+O273*('Deal maths'!AA273-AsAt)/365.25)/I273),(S273-AsAt)/365.25)),0))</f>
        <v/>
      </c>
      <c r="Q273" s="109">
        <f>IF(B273=1,'Deal maths'!AA273+ROW()/1000000,"")</f>
        <v/>
      </c>
      <c r="R273" s="108">
        <f>IF(D273=0,0,IF(DAY(E273+1)=1,31,DAY(E273)))</f>
        <v/>
      </c>
      <c r="S273" s="109">
        <f>IF(AND('Deal maths'!V273="LOBO",'Deal maths'!AG273&gt;AsAt,'Deal maths'!AG273&lt;'Deal maths'!AA273),'Deal maths'!AG273,'Deal maths'!AA273)</f>
        <v/>
      </c>
      <c r="T273" s="108">
        <f>('Deal maths'!AA273&gt;AsAt)*('Deal maths'!Y273&gt;0)</f>
        <v/>
      </c>
    </row>
    <row r="274">
      <c r="A274" s="91">
        <f>IF('Deal maths'!V274="","",'Deal maths'!W274)</f>
        <v/>
      </c>
      <c r="B274" s="108">
        <f>('Deal maths'!AA274&gt;AsAt)*('Deal maths'!Y274&gt;0)*('Deal maths'!Z274&lt;=AsAt)</f>
        <v/>
      </c>
      <c r="C274" s="91">
        <f>IF('Deal maths'!V274="","",IF('Deal maths'!AC274="","Maturity",'Deal maths'!AC274))</f>
        <v/>
      </c>
      <c r="D274" s="108">
        <f>IF(OR(C274="EIP",C274="Annuity"),IF('Deal maths'!AD274="Annual",12,IF('Deal maths'!AD274="Quarterly",3,6)),0)</f>
        <v/>
      </c>
      <c r="E274" s="109">
        <f>IFERROR(IF(D274=0,0,IF('Deal maths'!AE274&gt;0,IF('Deal maths'!AE274&gt;'Deal maths'!AA274,'Deal maths'!AA274,'Deal maths'!AE274),IF(IF(DAY('Deal maths'!AA274+1)=1,EOMONTH('Deal maths'!AA274,-(INT(((YEAR('Deal maths'!AA274)-YEAR(IF('Deal maths'!Z274&gt;0,'Deal maths'!Z274,DATE(1990,1,1))))*12+MONTH('Deal maths'!AA274)-MONTH(IF('Deal maths'!Z274&gt;0,'Deal maths'!Z274,DATE(1990,1,1))))/D274))*D274),EDATE('Deal maths'!AA274,-(INT(((YEAR('Deal maths'!AA274)-YEAR(IF('Deal maths'!Z274&gt;0,'Deal maths'!Z274,DATE(1990,1,1))))*12+MONTH('Deal maths'!AA274)-MONTH(IF('Deal maths'!Z274&gt;0,'Deal maths'!Z274,DATE(1990,1,1))))/D274))*D274))&gt;IF('Deal maths'!Z274&gt;0,'Deal maths'!Z274,DATE(1990,1,1)),IF(DAY('Deal maths'!AA274+1)=1,EOMONTH('Deal maths'!AA274,-(INT(((YEAR('Deal maths'!AA274)-YEAR(IF('Deal maths'!Z274&gt;0,'Deal maths'!Z274,DATE(1990,1,1))))*12+MONTH('Deal maths'!AA274)-MONTH(IF('Deal maths'!Z274&gt;0,'Deal maths'!Z274,DATE(1990,1,1))))/D274))*D274),EDATE('Deal maths'!AA274,-(INT(((YEAR('Deal maths'!AA274)-YEAR(IF('Deal maths'!Z274&gt;0,'Deal maths'!Z274,DATE(1990,1,1))))*12+MONTH('Deal maths'!AA274)-MONTH(IF('Deal maths'!Z274&gt;0,'Deal maths'!Z274,DATE(1990,1,1))))/D274))*D274)),IF(DAY('Deal maths'!AA274+1)=1,EOMONTH('Deal maths'!AA274,-(INT(((YEAR('Deal maths'!AA274)-YEAR(IF('Deal maths'!Z274&gt;0,'Deal maths'!Z274,DATE(1990,1,1))))*12+MONTH('Deal maths'!AA274)-MONTH(IF('Deal maths'!Z274&gt;0,'Deal maths'!Z274,DATE(1990,1,1))))/D274)-1)*D274),EDATE('Deal maths'!AA274,-(INT(((YEAR('Deal maths'!AA274)-YEAR(IF('Deal maths'!Z274&gt;0,'Deal maths'!Z274,DATE(1990,1,1))))*12+MONTH('Deal maths'!AA274)-MONTH(IF('Deal maths'!Z274&gt;0,'Deal maths'!Z274,DATE(1990,1,1))))/D274)-1)*D274))))),0)</f>
        <v/>
      </c>
      <c r="F274" s="110">
        <f>IF(D274=0,0,'Deal maths'!AB274*D274/12)</f>
        <v/>
      </c>
      <c r="G274" s="108">
        <f>N274+O274</f>
        <v/>
      </c>
      <c r="H274" s="108">
        <f>IFERROR(IF(OR(D274=0,AsAt&lt;E274),0,MIN(N274,INT(((YEAR(AsAt)-YEAR(E274))*12+MONTH(AsAt)-MONTH(E274)-(DAY(AsAt)&lt;MIN(R274,DAY(EOMONTH(AsAt,0)))))/D274)+1)+O274*(AsAt&gt;='Deal maths'!AA274)),0)</f>
        <v/>
      </c>
      <c r="I274" s="108">
        <f>G274-H274</f>
        <v/>
      </c>
      <c r="J274" s="111">
        <f>IF(AND(C274="EIP",I274&gt;0),'Deal maths'!Y274/I274,0)</f>
        <v/>
      </c>
      <c r="K274" s="111">
        <f>IF(AND(C274="Annuity",I274&gt;0),IF(F274&gt;0,'Deal maths'!Y274*F274/(1-(1+F274)^-I274),'Deal maths'!Y274/I274),0)</f>
        <v/>
      </c>
      <c r="L274" s="111">
        <f>IF('Deal maths'!Y274="",0,'Deal maths'!Y274)</f>
        <v/>
      </c>
      <c r="M274" s="112">
        <f>F274+(F274=0)</f>
        <v/>
      </c>
      <c r="N274" s="108">
        <f>IFERROR(IF(D274=0,0,INT(((YEAR('Deal maths'!AA274)-YEAR(E274))*12+MONTH('Deal maths'!AA274)-MONTH(E274)-(DAY('Deal maths'!AA274)&lt;MIN(R274,DAY(EOMONTH('Deal maths'!AA274,0)))))/D274)+1),0)</f>
        <v/>
      </c>
      <c r="O274" s="108">
        <f>IFERROR(IF(D274=0,0,IF(IF(DAY(E274+1)=1,EOMONTH(E274,(N274-1)*D274),EDATE(E274,(N274-1)*D274))='Deal maths'!AA274,0,1)),0)</f>
        <v/>
      </c>
      <c r="P274" s="113">
        <f>IF(B274=0,0,IFERROR(IF(C274="EIP",((I274-O274)*((IF(DAY(E274+1)=1,EOMONTH(E274,H274*D274),EDATE(E274,H274*D274))-AsAt)/365.25+(IF(DAY(E274+1)=1,EOMONTH(E274,(N274-1)*D274),EDATE(E274,(N274-1)*D274))-AsAt)/365.25)/2+O274*('Deal maths'!AA274-AsAt)/365.25)/I274,IF(C274="Annuity",IF(F274&gt;0,((K274-L274*F274)*((IF(DAY(E274+1)=1,EOMONTH(E274,H274*D274),EDATE(E274,H274*D274))-AsAt)/365.25*((1+F274)^(I274-O274)-1)/F274+IF((I274-O274)&gt;1,((IF(DAY(E274+1)=1,EOMONTH(E274,(N274-1)*D274),EDATE(E274,(N274-1)*D274))-AsAt)/365.25-(IF(DAY(E274+1)=1,EOMONTH(E274,H274*D274),EDATE(E274,H274*D274))-AsAt)/365.25)/((I274-O274)-1),0)*(1+F274)*(1-(I274-O274)*(1+F274)^((I274-O274)-1)+((I274-O274)-1)*(1+F274)^(I274-O274))/F274^2)+O274*(K274-L274*F274)*(1+F274)^(I274-1)*('Deal maths'!AA274-AsAt)/365.25)/L274,((I274-O274)*((IF(DAY(E274+1)=1,EOMONTH(E274,H274*D274),EDATE(E274,H274*D274))-AsAt)/365.25+(IF(DAY(E274+1)=1,EOMONTH(E274,(N274-1)*D274),EDATE(E274,(N274-1)*D274))-AsAt)/365.25)/2+O274*('Deal maths'!AA274-AsAt)/365.25)/I274),(S274-AsAt)/365.25)),0))</f>
        <v/>
      </c>
      <c r="Q274" s="109">
        <f>IF(B274=1,'Deal maths'!AA274+ROW()/1000000,"")</f>
        <v/>
      </c>
      <c r="R274" s="108">
        <f>IF(D274=0,0,IF(DAY(E274+1)=1,31,DAY(E274)))</f>
        <v/>
      </c>
      <c r="S274" s="109">
        <f>IF(AND('Deal maths'!V274="LOBO",'Deal maths'!AG274&gt;AsAt,'Deal maths'!AG274&lt;'Deal maths'!AA274),'Deal maths'!AG274,'Deal maths'!AA274)</f>
        <v/>
      </c>
      <c r="T274" s="108">
        <f>('Deal maths'!AA274&gt;AsAt)*('Deal maths'!Y274&gt;0)</f>
        <v/>
      </c>
    </row>
    <row r="275">
      <c r="A275" s="91">
        <f>IF('Deal maths'!V275="","",'Deal maths'!W275)</f>
        <v/>
      </c>
      <c r="B275" s="108">
        <f>('Deal maths'!AA275&gt;AsAt)*('Deal maths'!Y275&gt;0)*('Deal maths'!Z275&lt;=AsAt)</f>
        <v/>
      </c>
      <c r="C275" s="91">
        <f>IF('Deal maths'!V275="","",IF('Deal maths'!AC275="","Maturity",'Deal maths'!AC275))</f>
        <v/>
      </c>
      <c r="D275" s="108">
        <f>IF(OR(C275="EIP",C275="Annuity"),IF('Deal maths'!AD275="Annual",12,IF('Deal maths'!AD275="Quarterly",3,6)),0)</f>
        <v/>
      </c>
      <c r="E275" s="109">
        <f>IFERROR(IF(D275=0,0,IF('Deal maths'!AE275&gt;0,IF('Deal maths'!AE275&gt;'Deal maths'!AA275,'Deal maths'!AA275,'Deal maths'!AE275),IF(IF(DAY('Deal maths'!AA275+1)=1,EOMONTH('Deal maths'!AA275,-(INT(((YEAR('Deal maths'!AA275)-YEAR(IF('Deal maths'!Z275&gt;0,'Deal maths'!Z275,DATE(1990,1,1))))*12+MONTH('Deal maths'!AA275)-MONTH(IF('Deal maths'!Z275&gt;0,'Deal maths'!Z275,DATE(1990,1,1))))/D275))*D275),EDATE('Deal maths'!AA275,-(INT(((YEAR('Deal maths'!AA275)-YEAR(IF('Deal maths'!Z275&gt;0,'Deal maths'!Z275,DATE(1990,1,1))))*12+MONTH('Deal maths'!AA275)-MONTH(IF('Deal maths'!Z275&gt;0,'Deal maths'!Z275,DATE(1990,1,1))))/D275))*D275))&gt;IF('Deal maths'!Z275&gt;0,'Deal maths'!Z275,DATE(1990,1,1)),IF(DAY('Deal maths'!AA275+1)=1,EOMONTH('Deal maths'!AA275,-(INT(((YEAR('Deal maths'!AA275)-YEAR(IF('Deal maths'!Z275&gt;0,'Deal maths'!Z275,DATE(1990,1,1))))*12+MONTH('Deal maths'!AA275)-MONTH(IF('Deal maths'!Z275&gt;0,'Deal maths'!Z275,DATE(1990,1,1))))/D275))*D275),EDATE('Deal maths'!AA275,-(INT(((YEAR('Deal maths'!AA275)-YEAR(IF('Deal maths'!Z275&gt;0,'Deal maths'!Z275,DATE(1990,1,1))))*12+MONTH('Deal maths'!AA275)-MONTH(IF('Deal maths'!Z275&gt;0,'Deal maths'!Z275,DATE(1990,1,1))))/D275))*D275)),IF(DAY('Deal maths'!AA275+1)=1,EOMONTH('Deal maths'!AA275,-(INT(((YEAR('Deal maths'!AA275)-YEAR(IF('Deal maths'!Z275&gt;0,'Deal maths'!Z275,DATE(1990,1,1))))*12+MONTH('Deal maths'!AA275)-MONTH(IF('Deal maths'!Z275&gt;0,'Deal maths'!Z275,DATE(1990,1,1))))/D275)-1)*D275),EDATE('Deal maths'!AA275,-(INT(((YEAR('Deal maths'!AA275)-YEAR(IF('Deal maths'!Z275&gt;0,'Deal maths'!Z275,DATE(1990,1,1))))*12+MONTH('Deal maths'!AA275)-MONTH(IF('Deal maths'!Z275&gt;0,'Deal maths'!Z275,DATE(1990,1,1))))/D275)-1)*D275))))),0)</f>
        <v/>
      </c>
      <c r="F275" s="110">
        <f>IF(D275=0,0,'Deal maths'!AB275*D275/12)</f>
        <v/>
      </c>
      <c r="G275" s="108">
        <f>N275+O275</f>
        <v/>
      </c>
      <c r="H275" s="108">
        <f>IFERROR(IF(OR(D275=0,AsAt&lt;E275),0,MIN(N275,INT(((YEAR(AsAt)-YEAR(E275))*12+MONTH(AsAt)-MONTH(E275)-(DAY(AsAt)&lt;MIN(R275,DAY(EOMONTH(AsAt,0)))))/D275)+1)+O275*(AsAt&gt;='Deal maths'!AA275)),0)</f>
        <v/>
      </c>
      <c r="I275" s="108">
        <f>G275-H275</f>
        <v/>
      </c>
      <c r="J275" s="111">
        <f>IF(AND(C275="EIP",I275&gt;0),'Deal maths'!Y275/I275,0)</f>
        <v/>
      </c>
      <c r="K275" s="111">
        <f>IF(AND(C275="Annuity",I275&gt;0),IF(F275&gt;0,'Deal maths'!Y275*F275/(1-(1+F275)^-I275),'Deal maths'!Y275/I275),0)</f>
        <v/>
      </c>
      <c r="L275" s="111">
        <f>IF('Deal maths'!Y275="",0,'Deal maths'!Y275)</f>
        <v/>
      </c>
      <c r="M275" s="112">
        <f>F275+(F275=0)</f>
        <v/>
      </c>
      <c r="N275" s="108">
        <f>IFERROR(IF(D275=0,0,INT(((YEAR('Deal maths'!AA275)-YEAR(E275))*12+MONTH('Deal maths'!AA275)-MONTH(E275)-(DAY('Deal maths'!AA275)&lt;MIN(R275,DAY(EOMONTH('Deal maths'!AA275,0)))))/D275)+1),0)</f>
        <v/>
      </c>
      <c r="O275" s="108">
        <f>IFERROR(IF(D275=0,0,IF(IF(DAY(E275+1)=1,EOMONTH(E275,(N275-1)*D275),EDATE(E275,(N275-1)*D275))='Deal maths'!AA275,0,1)),0)</f>
        <v/>
      </c>
      <c r="P275" s="113">
        <f>IF(B275=0,0,IFERROR(IF(C275="EIP",((I275-O275)*((IF(DAY(E275+1)=1,EOMONTH(E275,H275*D275),EDATE(E275,H275*D275))-AsAt)/365.25+(IF(DAY(E275+1)=1,EOMONTH(E275,(N275-1)*D275),EDATE(E275,(N275-1)*D275))-AsAt)/365.25)/2+O275*('Deal maths'!AA275-AsAt)/365.25)/I275,IF(C275="Annuity",IF(F275&gt;0,((K275-L275*F275)*((IF(DAY(E275+1)=1,EOMONTH(E275,H275*D275),EDATE(E275,H275*D275))-AsAt)/365.25*((1+F275)^(I275-O275)-1)/F275+IF((I275-O275)&gt;1,((IF(DAY(E275+1)=1,EOMONTH(E275,(N275-1)*D275),EDATE(E275,(N275-1)*D275))-AsAt)/365.25-(IF(DAY(E275+1)=1,EOMONTH(E275,H275*D275),EDATE(E275,H275*D275))-AsAt)/365.25)/((I275-O275)-1),0)*(1+F275)*(1-(I275-O275)*(1+F275)^((I275-O275)-1)+((I275-O275)-1)*(1+F275)^(I275-O275))/F275^2)+O275*(K275-L275*F275)*(1+F275)^(I275-1)*('Deal maths'!AA275-AsAt)/365.25)/L275,((I275-O275)*((IF(DAY(E275+1)=1,EOMONTH(E275,H275*D275),EDATE(E275,H275*D275))-AsAt)/365.25+(IF(DAY(E275+1)=1,EOMONTH(E275,(N275-1)*D275),EDATE(E275,(N275-1)*D275))-AsAt)/365.25)/2+O275*('Deal maths'!AA275-AsAt)/365.25)/I275),(S275-AsAt)/365.25)),0))</f>
        <v/>
      </c>
      <c r="Q275" s="109">
        <f>IF(B275=1,'Deal maths'!AA275+ROW()/1000000,"")</f>
        <v/>
      </c>
      <c r="R275" s="108">
        <f>IF(D275=0,0,IF(DAY(E275+1)=1,31,DAY(E275)))</f>
        <v/>
      </c>
      <c r="S275" s="109">
        <f>IF(AND('Deal maths'!V275="LOBO",'Deal maths'!AG275&gt;AsAt,'Deal maths'!AG275&lt;'Deal maths'!AA275),'Deal maths'!AG275,'Deal maths'!AA275)</f>
        <v/>
      </c>
      <c r="T275" s="108">
        <f>('Deal maths'!AA275&gt;AsAt)*('Deal maths'!Y275&gt;0)</f>
        <v/>
      </c>
    </row>
    <row r="276">
      <c r="A276" s="91">
        <f>IF('Deal maths'!V276="","",'Deal maths'!W276)</f>
        <v/>
      </c>
      <c r="B276" s="108">
        <f>('Deal maths'!AA276&gt;AsAt)*('Deal maths'!Y276&gt;0)*('Deal maths'!Z276&lt;=AsAt)</f>
        <v/>
      </c>
      <c r="C276" s="91">
        <f>IF('Deal maths'!V276="","",IF('Deal maths'!AC276="","Maturity",'Deal maths'!AC276))</f>
        <v/>
      </c>
      <c r="D276" s="108">
        <f>IF(OR(C276="EIP",C276="Annuity"),IF('Deal maths'!AD276="Annual",12,IF('Deal maths'!AD276="Quarterly",3,6)),0)</f>
        <v/>
      </c>
      <c r="E276" s="109">
        <f>IFERROR(IF(D276=0,0,IF('Deal maths'!AE276&gt;0,IF('Deal maths'!AE276&gt;'Deal maths'!AA276,'Deal maths'!AA276,'Deal maths'!AE276),IF(IF(DAY('Deal maths'!AA276+1)=1,EOMONTH('Deal maths'!AA276,-(INT(((YEAR('Deal maths'!AA276)-YEAR(IF('Deal maths'!Z276&gt;0,'Deal maths'!Z276,DATE(1990,1,1))))*12+MONTH('Deal maths'!AA276)-MONTH(IF('Deal maths'!Z276&gt;0,'Deal maths'!Z276,DATE(1990,1,1))))/D276))*D276),EDATE('Deal maths'!AA276,-(INT(((YEAR('Deal maths'!AA276)-YEAR(IF('Deal maths'!Z276&gt;0,'Deal maths'!Z276,DATE(1990,1,1))))*12+MONTH('Deal maths'!AA276)-MONTH(IF('Deal maths'!Z276&gt;0,'Deal maths'!Z276,DATE(1990,1,1))))/D276))*D276))&gt;IF('Deal maths'!Z276&gt;0,'Deal maths'!Z276,DATE(1990,1,1)),IF(DAY('Deal maths'!AA276+1)=1,EOMONTH('Deal maths'!AA276,-(INT(((YEAR('Deal maths'!AA276)-YEAR(IF('Deal maths'!Z276&gt;0,'Deal maths'!Z276,DATE(1990,1,1))))*12+MONTH('Deal maths'!AA276)-MONTH(IF('Deal maths'!Z276&gt;0,'Deal maths'!Z276,DATE(1990,1,1))))/D276))*D276),EDATE('Deal maths'!AA276,-(INT(((YEAR('Deal maths'!AA276)-YEAR(IF('Deal maths'!Z276&gt;0,'Deal maths'!Z276,DATE(1990,1,1))))*12+MONTH('Deal maths'!AA276)-MONTH(IF('Deal maths'!Z276&gt;0,'Deal maths'!Z276,DATE(1990,1,1))))/D276))*D276)),IF(DAY('Deal maths'!AA276+1)=1,EOMONTH('Deal maths'!AA276,-(INT(((YEAR('Deal maths'!AA276)-YEAR(IF('Deal maths'!Z276&gt;0,'Deal maths'!Z276,DATE(1990,1,1))))*12+MONTH('Deal maths'!AA276)-MONTH(IF('Deal maths'!Z276&gt;0,'Deal maths'!Z276,DATE(1990,1,1))))/D276)-1)*D276),EDATE('Deal maths'!AA276,-(INT(((YEAR('Deal maths'!AA276)-YEAR(IF('Deal maths'!Z276&gt;0,'Deal maths'!Z276,DATE(1990,1,1))))*12+MONTH('Deal maths'!AA276)-MONTH(IF('Deal maths'!Z276&gt;0,'Deal maths'!Z276,DATE(1990,1,1))))/D276)-1)*D276))))),0)</f>
        <v/>
      </c>
      <c r="F276" s="110">
        <f>IF(D276=0,0,'Deal maths'!AB276*D276/12)</f>
        <v/>
      </c>
      <c r="G276" s="108">
        <f>N276+O276</f>
        <v/>
      </c>
      <c r="H276" s="108">
        <f>IFERROR(IF(OR(D276=0,AsAt&lt;E276),0,MIN(N276,INT(((YEAR(AsAt)-YEAR(E276))*12+MONTH(AsAt)-MONTH(E276)-(DAY(AsAt)&lt;MIN(R276,DAY(EOMONTH(AsAt,0)))))/D276)+1)+O276*(AsAt&gt;='Deal maths'!AA276)),0)</f>
        <v/>
      </c>
      <c r="I276" s="108">
        <f>G276-H276</f>
        <v/>
      </c>
      <c r="J276" s="111">
        <f>IF(AND(C276="EIP",I276&gt;0),'Deal maths'!Y276/I276,0)</f>
        <v/>
      </c>
      <c r="K276" s="111">
        <f>IF(AND(C276="Annuity",I276&gt;0),IF(F276&gt;0,'Deal maths'!Y276*F276/(1-(1+F276)^-I276),'Deal maths'!Y276/I276),0)</f>
        <v/>
      </c>
      <c r="L276" s="111">
        <f>IF('Deal maths'!Y276="",0,'Deal maths'!Y276)</f>
        <v/>
      </c>
      <c r="M276" s="112">
        <f>F276+(F276=0)</f>
        <v/>
      </c>
      <c r="N276" s="108">
        <f>IFERROR(IF(D276=0,0,INT(((YEAR('Deal maths'!AA276)-YEAR(E276))*12+MONTH('Deal maths'!AA276)-MONTH(E276)-(DAY('Deal maths'!AA276)&lt;MIN(R276,DAY(EOMONTH('Deal maths'!AA276,0)))))/D276)+1),0)</f>
        <v/>
      </c>
      <c r="O276" s="108">
        <f>IFERROR(IF(D276=0,0,IF(IF(DAY(E276+1)=1,EOMONTH(E276,(N276-1)*D276),EDATE(E276,(N276-1)*D276))='Deal maths'!AA276,0,1)),0)</f>
        <v/>
      </c>
      <c r="P276" s="113">
        <f>IF(B276=0,0,IFERROR(IF(C276="EIP",((I276-O276)*((IF(DAY(E276+1)=1,EOMONTH(E276,H276*D276),EDATE(E276,H276*D276))-AsAt)/365.25+(IF(DAY(E276+1)=1,EOMONTH(E276,(N276-1)*D276),EDATE(E276,(N276-1)*D276))-AsAt)/365.25)/2+O276*('Deal maths'!AA276-AsAt)/365.25)/I276,IF(C276="Annuity",IF(F276&gt;0,((K276-L276*F276)*((IF(DAY(E276+1)=1,EOMONTH(E276,H276*D276),EDATE(E276,H276*D276))-AsAt)/365.25*((1+F276)^(I276-O276)-1)/F276+IF((I276-O276)&gt;1,((IF(DAY(E276+1)=1,EOMONTH(E276,(N276-1)*D276),EDATE(E276,(N276-1)*D276))-AsAt)/365.25-(IF(DAY(E276+1)=1,EOMONTH(E276,H276*D276),EDATE(E276,H276*D276))-AsAt)/365.25)/((I276-O276)-1),0)*(1+F276)*(1-(I276-O276)*(1+F276)^((I276-O276)-1)+((I276-O276)-1)*(1+F276)^(I276-O276))/F276^2)+O276*(K276-L276*F276)*(1+F276)^(I276-1)*('Deal maths'!AA276-AsAt)/365.25)/L276,((I276-O276)*((IF(DAY(E276+1)=1,EOMONTH(E276,H276*D276),EDATE(E276,H276*D276))-AsAt)/365.25+(IF(DAY(E276+1)=1,EOMONTH(E276,(N276-1)*D276),EDATE(E276,(N276-1)*D276))-AsAt)/365.25)/2+O276*('Deal maths'!AA276-AsAt)/365.25)/I276),(S276-AsAt)/365.25)),0))</f>
        <v/>
      </c>
      <c r="Q276" s="109">
        <f>IF(B276=1,'Deal maths'!AA276+ROW()/1000000,"")</f>
        <v/>
      </c>
      <c r="R276" s="108">
        <f>IF(D276=0,0,IF(DAY(E276+1)=1,31,DAY(E276)))</f>
        <v/>
      </c>
      <c r="S276" s="109">
        <f>IF(AND('Deal maths'!V276="LOBO",'Deal maths'!AG276&gt;AsAt,'Deal maths'!AG276&lt;'Deal maths'!AA276),'Deal maths'!AG276,'Deal maths'!AA276)</f>
        <v/>
      </c>
      <c r="T276" s="108">
        <f>('Deal maths'!AA276&gt;AsAt)*('Deal maths'!Y276&gt;0)</f>
        <v/>
      </c>
    </row>
    <row r="277">
      <c r="A277" s="91">
        <f>IF('Deal maths'!V277="","",'Deal maths'!W277)</f>
        <v/>
      </c>
      <c r="B277" s="108">
        <f>('Deal maths'!AA277&gt;AsAt)*('Deal maths'!Y277&gt;0)*('Deal maths'!Z277&lt;=AsAt)</f>
        <v/>
      </c>
      <c r="C277" s="91">
        <f>IF('Deal maths'!V277="","",IF('Deal maths'!AC277="","Maturity",'Deal maths'!AC277))</f>
        <v/>
      </c>
      <c r="D277" s="108">
        <f>IF(OR(C277="EIP",C277="Annuity"),IF('Deal maths'!AD277="Annual",12,IF('Deal maths'!AD277="Quarterly",3,6)),0)</f>
        <v/>
      </c>
      <c r="E277" s="109">
        <f>IFERROR(IF(D277=0,0,IF('Deal maths'!AE277&gt;0,IF('Deal maths'!AE277&gt;'Deal maths'!AA277,'Deal maths'!AA277,'Deal maths'!AE277),IF(IF(DAY('Deal maths'!AA277+1)=1,EOMONTH('Deal maths'!AA277,-(INT(((YEAR('Deal maths'!AA277)-YEAR(IF('Deal maths'!Z277&gt;0,'Deal maths'!Z277,DATE(1990,1,1))))*12+MONTH('Deal maths'!AA277)-MONTH(IF('Deal maths'!Z277&gt;0,'Deal maths'!Z277,DATE(1990,1,1))))/D277))*D277),EDATE('Deal maths'!AA277,-(INT(((YEAR('Deal maths'!AA277)-YEAR(IF('Deal maths'!Z277&gt;0,'Deal maths'!Z277,DATE(1990,1,1))))*12+MONTH('Deal maths'!AA277)-MONTH(IF('Deal maths'!Z277&gt;0,'Deal maths'!Z277,DATE(1990,1,1))))/D277))*D277))&gt;IF('Deal maths'!Z277&gt;0,'Deal maths'!Z277,DATE(1990,1,1)),IF(DAY('Deal maths'!AA277+1)=1,EOMONTH('Deal maths'!AA277,-(INT(((YEAR('Deal maths'!AA277)-YEAR(IF('Deal maths'!Z277&gt;0,'Deal maths'!Z277,DATE(1990,1,1))))*12+MONTH('Deal maths'!AA277)-MONTH(IF('Deal maths'!Z277&gt;0,'Deal maths'!Z277,DATE(1990,1,1))))/D277))*D277),EDATE('Deal maths'!AA277,-(INT(((YEAR('Deal maths'!AA277)-YEAR(IF('Deal maths'!Z277&gt;0,'Deal maths'!Z277,DATE(1990,1,1))))*12+MONTH('Deal maths'!AA277)-MONTH(IF('Deal maths'!Z277&gt;0,'Deal maths'!Z277,DATE(1990,1,1))))/D277))*D277)),IF(DAY('Deal maths'!AA277+1)=1,EOMONTH('Deal maths'!AA277,-(INT(((YEAR('Deal maths'!AA277)-YEAR(IF('Deal maths'!Z277&gt;0,'Deal maths'!Z277,DATE(1990,1,1))))*12+MONTH('Deal maths'!AA277)-MONTH(IF('Deal maths'!Z277&gt;0,'Deal maths'!Z277,DATE(1990,1,1))))/D277)-1)*D277),EDATE('Deal maths'!AA277,-(INT(((YEAR('Deal maths'!AA277)-YEAR(IF('Deal maths'!Z277&gt;0,'Deal maths'!Z277,DATE(1990,1,1))))*12+MONTH('Deal maths'!AA277)-MONTH(IF('Deal maths'!Z277&gt;0,'Deal maths'!Z277,DATE(1990,1,1))))/D277)-1)*D277))))),0)</f>
        <v/>
      </c>
      <c r="F277" s="110">
        <f>IF(D277=0,0,'Deal maths'!AB277*D277/12)</f>
        <v/>
      </c>
      <c r="G277" s="108">
        <f>N277+O277</f>
        <v/>
      </c>
      <c r="H277" s="108">
        <f>IFERROR(IF(OR(D277=0,AsAt&lt;E277),0,MIN(N277,INT(((YEAR(AsAt)-YEAR(E277))*12+MONTH(AsAt)-MONTH(E277)-(DAY(AsAt)&lt;MIN(R277,DAY(EOMONTH(AsAt,0)))))/D277)+1)+O277*(AsAt&gt;='Deal maths'!AA277)),0)</f>
        <v/>
      </c>
      <c r="I277" s="108">
        <f>G277-H277</f>
        <v/>
      </c>
      <c r="J277" s="111">
        <f>IF(AND(C277="EIP",I277&gt;0),'Deal maths'!Y277/I277,0)</f>
        <v/>
      </c>
      <c r="K277" s="111">
        <f>IF(AND(C277="Annuity",I277&gt;0),IF(F277&gt;0,'Deal maths'!Y277*F277/(1-(1+F277)^-I277),'Deal maths'!Y277/I277),0)</f>
        <v/>
      </c>
      <c r="L277" s="111">
        <f>IF('Deal maths'!Y277="",0,'Deal maths'!Y277)</f>
        <v/>
      </c>
      <c r="M277" s="112">
        <f>F277+(F277=0)</f>
        <v/>
      </c>
      <c r="N277" s="108">
        <f>IFERROR(IF(D277=0,0,INT(((YEAR('Deal maths'!AA277)-YEAR(E277))*12+MONTH('Deal maths'!AA277)-MONTH(E277)-(DAY('Deal maths'!AA277)&lt;MIN(R277,DAY(EOMONTH('Deal maths'!AA277,0)))))/D277)+1),0)</f>
        <v/>
      </c>
      <c r="O277" s="108">
        <f>IFERROR(IF(D277=0,0,IF(IF(DAY(E277+1)=1,EOMONTH(E277,(N277-1)*D277),EDATE(E277,(N277-1)*D277))='Deal maths'!AA277,0,1)),0)</f>
        <v/>
      </c>
      <c r="P277" s="113">
        <f>IF(B277=0,0,IFERROR(IF(C277="EIP",((I277-O277)*((IF(DAY(E277+1)=1,EOMONTH(E277,H277*D277),EDATE(E277,H277*D277))-AsAt)/365.25+(IF(DAY(E277+1)=1,EOMONTH(E277,(N277-1)*D277),EDATE(E277,(N277-1)*D277))-AsAt)/365.25)/2+O277*('Deal maths'!AA277-AsAt)/365.25)/I277,IF(C277="Annuity",IF(F277&gt;0,((K277-L277*F277)*((IF(DAY(E277+1)=1,EOMONTH(E277,H277*D277),EDATE(E277,H277*D277))-AsAt)/365.25*((1+F277)^(I277-O277)-1)/F277+IF((I277-O277)&gt;1,((IF(DAY(E277+1)=1,EOMONTH(E277,(N277-1)*D277),EDATE(E277,(N277-1)*D277))-AsAt)/365.25-(IF(DAY(E277+1)=1,EOMONTH(E277,H277*D277),EDATE(E277,H277*D277))-AsAt)/365.25)/((I277-O277)-1),0)*(1+F277)*(1-(I277-O277)*(1+F277)^((I277-O277)-1)+((I277-O277)-1)*(1+F277)^(I277-O277))/F277^2)+O277*(K277-L277*F277)*(1+F277)^(I277-1)*('Deal maths'!AA277-AsAt)/365.25)/L277,((I277-O277)*((IF(DAY(E277+1)=1,EOMONTH(E277,H277*D277),EDATE(E277,H277*D277))-AsAt)/365.25+(IF(DAY(E277+1)=1,EOMONTH(E277,(N277-1)*D277),EDATE(E277,(N277-1)*D277))-AsAt)/365.25)/2+O277*('Deal maths'!AA277-AsAt)/365.25)/I277),(S277-AsAt)/365.25)),0))</f>
        <v/>
      </c>
      <c r="Q277" s="109">
        <f>IF(B277=1,'Deal maths'!AA277+ROW()/1000000,"")</f>
        <v/>
      </c>
      <c r="R277" s="108">
        <f>IF(D277=0,0,IF(DAY(E277+1)=1,31,DAY(E277)))</f>
        <v/>
      </c>
      <c r="S277" s="109">
        <f>IF(AND('Deal maths'!V277="LOBO",'Deal maths'!AG277&gt;AsAt,'Deal maths'!AG277&lt;'Deal maths'!AA277),'Deal maths'!AG277,'Deal maths'!AA277)</f>
        <v/>
      </c>
      <c r="T277" s="108">
        <f>('Deal maths'!AA277&gt;AsAt)*('Deal maths'!Y277&gt;0)</f>
        <v/>
      </c>
    </row>
    <row r="278">
      <c r="A278" s="91">
        <f>IF('Deal maths'!V278="","",'Deal maths'!W278)</f>
        <v/>
      </c>
      <c r="B278" s="108">
        <f>('Deal maths'!AA278&gt;AsAt)*('Deal maths'!Y278&gt;0)*('Deal maths'!Z278&lt;=AsAt)</f>
        <v/>
      </c>
      <c r="C278" s="91">
        <f>IF('Deal maths'!V278="","",IF('Deal maths'!AC278="","Maturity",'Deal maths'!AC278))</f>
        <v/>
      </c>
      <c r="D278" s="108">
        <f>IF(OR(C278="EIP",C278="Annuity"),IF('Deal maths'!AD278="Annual",12,IF('Deal maths'!AD278="Quarterly",3,6)),0)</f>
        <v/>
      </c>
      <c r="E278" s="109">
        <f>IFERROR(IF(D278=0,0,IF('Deal maths'!AE278&gt;0,IF('Deal maths'!AE278&gt;'Deal maths'!AA278,'Deal maths'!AA278,'Deal maths'!AE278),IF(IF(DAY('Deal maths'!AA278+1)=1,EOMONTH('Deal maths'!AA278,-(INT(((YEAR('Deal maths'!AA278)-YEAR(IF('Deal maths'!Z278&gt;0,'Deal maths'!Z278,DATE(1990,1,1))))*12+MONTH('Deal maths'!AA278)-MONTH(IF('Deal maths'!Z278&gt;0,'Deal maths'!Z278,DATE(1990,1,1))))/D278))*D278),EDATE('Deal maths'!AA278,-(INT(((YEAR('Deal maths'!AA278)-YEAR(IF('Deal maths'!Z278&gt;0,'Deal maths'!Z278,DATE(1990,1,1))))*12+MONTH('Deal maths'!AA278)-MONTH(IF('Deal maths'!Z278&gt;0,'Deal maths'!Z278,DATE(1990,1,1))))/D278))*D278))&gt;IF('Deal maths'!Z278&gt;0,'Deal maths'!Z278,DATE(1990,1,1)),IF(DAY('Deal maths'!AA278+1)=1,EOMONTH('Deal maths'!AA278,-(INT(((YEAR('Deal maths'!AA278)-YEAR(IF('Deal maths'!Z278&gt;0,'Deal maths'!Z278,DATE(1990,1,1))))*12+MONTH('Deal maths'!AA278)-MONTH(IF('Deal maths'!Z278&gt;0,'Deal maths'!Z278,DATE(1990,1,1))))/D278))*D278),EDATE('Deal maths'!AA278,-(INT(((YEAR('Deal maths'!AA278)-YEAR(IF('Deal maths'!Z278&gt;0,'Deal maths'!Z278,DATE(1990,1,1))))*12+MONTH('Deal maths'!AA278)-MONTH(IF('Deal maths'!Z278&gt;0,'Deal maths'!Z278,DATE(1990,1,1))))/D278))*D278)),IF(DAY('Deal maths'!AA278+1)=1,EOMONTH('Deal maths'!AA278,-(INT(((YEAR('Deal maths'!AA278)-YEAR(IF('Deal maths'!Z278&gt;0,'Deal maths'!Z278,DATE(1990,1,1))))*12+MONTH('Deal maths'!AA278)-MONTH(IF('Deal maths'!Z278&gt;0,'Deal maths'!Z278,DATE(1990,1,1))))/D278)-1)*D278),EDATE('Deal maths'!AA278,-(INT(((YEAR('Deal maths'!AA278)-YEAR(IF('Deal maths'!Z278&gt;0,'Deal maths'!Z278,DATE(1990,1,1))))*12+MONTH('Deal maths'!AA278)-MONTH(IF('Deal maths'!Z278&gt;0,'Deal maths'!Z278,DATE(1990,1,1))))/D278)-1)*D278))))),0)</f>
        <v/>
      </c>
      <c r="F278" s="110">
        <f>IF(D278=0,0,'Deal maths'!AB278*D278/12)</f>
        <v/>
      </c>
      <c r="G278" s="108">
        <f>N278+O278</f>
        <v/>
      </c>
      <c r="H278" s="108">
        <f>IFERROR(IF(OR(D278=0,AsAt&lt;E278),0,MIN(N278,INT(((YEAR(AsAt)-YEAR(E278))*12+MONTH(AsAt)-MONTH(E278)-(DAY(AsAt)&lt;MIN(R278,DAY(EOMONTH(AsAt,0)))))/D278)+1)+O278*(AsAt&gt;='Deal maths'!AA278)),0)</f>
        <v/>
      </c>
      <c r="I278" s="108">
        <f>G278-H278</f>
        <v/>
      </c>
      <c r="J278" s="111">
        <f>IF(AND(C278="EIP",I278&gt;0),'Deal maths'!Y278/I278,0)</f>
        <v/>
      </c>
      <c r="K278" s="111">
        <f>IF(AND(C278="Annuity",I278&gt;0),IF(F278&gt;0,'Deal maths'!Y278*F278/(1-(1+F278)^-I278),'Deal maths'!Y278/I278),0)</f>
        <v/>
      </c>
      <c r="L278" s="111">
        <f>IF('Deal maths'!Y278="",0,'Deal maths'!Y278)</f>
        <v/>
      </c>
      <c r="M278" s="112">
        <f>F278+(F278=0)</f>
        <v/>
      </c>
      <c r="N278" s="108">
        <f>IFERROR(IF(D278=0,0,INT(((YEAR('Deal maths'!AA278)-YEAR(E278))*12+MONTH('Deal maths'!AA278)-MONTH(E278)-(DAY('Deal maths'!AA278)&lt;MIN(R278,DAY(EOMONTH('Deal maths'!AA278,0)))))/D278)+1),0)</f>
        <v/>
      </c>
      <c r="O278" s="108">
        <f>IFERROR(IF(D278=0,0,IF(IF(DAY(E278+1)=1,EOMONTH(E278,(N278-1)*D278),EDATE(E278,(N278-1)*D278))='Deal maths'!AA278,0,1)),0)</f>
        <v/>
      </c>
      <c r="P278" s="113">
        <f>IF(B278=0,0,IFERROR(IF(C278="EIP",((I278-O278)*((IF(DAY(E278+1)=1,EOMONTH(E278,H278*D278),EDATE(E278,H278*D278))-AsAt)/365.25+(IF(DAY(E278+1)=1,EOMONTH(E278,(N278-1)*D278),EDATE(E278,(N278-1)*D278))-AsAt)/365.25)/2+O278*('Deal maths'!AA278-AsAt)/365.25)/I278,IF(C278="Annuity",IF(F278&gt;0,((K278-L278*F278)*((IF(DAY(E278+1)=1,EOMONTH(E278,H278*D278),EDATE(E278,H278*D278))-AsAt)/365.25*((1+F278)^(I278-O278)-1)/F278+IF((I278-O278)&gt;1,((IF(DAY(E278+1)=1,EOMONTH(E278,(N278-1)*D278),EDATE(E278,(N278-1)*D278))-AsAt)/365.25-(IF(DAY(E278+1)=1,EOMONTH(E278,H278*D278),EDATE(E278,H278*D278))-AsAt)/365.25)/((I278-O278)-1),0)*(1+F278)*(1-(I278-O278)*(1+F278)^((I278-O278)-1)+((I278-O278)-1)*(1+F278)^(I278-O278))/F278^2)+O278*(K278-L278*F278)*(1+F278)^(I278-1)*('Deal maths'!AA278-AsAt)/365.25)/L278,((I278-O278)*((IF(DAY(E278+1)=1,EOMONTH(E278,H278*D278),EDATE(E278,H278*D278))-AsAt)/365.25+(IF(DAY(E278+1)=1,EOMONTH(E278,(N278-1)*D278),EDATE(E278,(N278-1)*D278))-AsAt)/365.25)/2+O278*('Deal maths'!AA278-AsAt)/365.25)/I278),(S278-AsAt)/365.25)),0))</f>
        <v/>
      </c>
      <c r="Q278" s="109">
        <f>IF(B278=1,'Deal maths'!AA278+ROW()/1000000,"")</f>
        <v/>
      </c>
      <c r="R278" s="108">
        <f>IF(D278=0,0,IF(DAY(E278+1)=1,31,DAY(E278)))</f>
        <v/>
      </c>
      <c r="S278" s="109">
        <f>IF(AND('Deal maths'!V278="LOBO",'Deal maths'!AG278&gt;AsAt,'Deal maths'!AG278&lt;'Deal maths'!AA278),'Deal maths'!AG278,'Deal maths'!AA278)</f>
        <v/>
      </c>
      <c r="T278" s="108">
        <f>('Deal maths'!AA278&gt;AsAt)*('Deal maths'!Y278&gt;0)</f>
        <v/>
      </c>
    </row>
    <row r="279">
      <c r="A279" s="91">
        <f>IF('Deal maths'!V279="","",'Deal maths'!W279)</f>
        <v/>
      </c>
      <c r="B279" s="108">
        <f>('Deal maths'!AA279&gt;AsAt)*('Deal maths'!Y279&gt;0)*('Deal maths'!Z279&lt;=AsAt)</f>
        <v/>
      </c>
      <c r="C279" s="91">
        <f>IF('Deal maths'!V279="","",IF('Deal maths'!AC279="","Maturity",'Deal maths'!AC279))</f>
        <v/>
      </c>
      <c r="D279" s="108">
        <f>IF(OR(C279="EIP",C279="Annuity"),IF('Deal maths'!AD279="Annual",12,IF('Deal maths'!AD279="Quarterly",3,6)),0)</f>
        <v/>
      </c>
      <c r="E279" s="109">
        <f>IFERROR(IF(D279=0,0,IF('Deal maths'!AE279&gt;0,IF('Deal maths'!AE279&gt;'Deal maths'!AA279,'Deal maths'!AA279,'Deal maths'!AE279),IF(IF(DAY('Deal maths'!AA279+1)=1,EOMONTH('Deal maths'!AA279,-(INT(((YEAR('Deal maths'!AA279)-YEAR(IF('Deal maths'!Z279&gt;0,'Deal maths'!Z279,DATE(1990,1,1))))*12+MONTH('Deal maths'!AA279)-MONTH(IF('Deal maths'!Z279&gt;0,'Deal maths'!Z279,DATE(1990,1,1))))/D279))*D279),EDATE('Deal maths'!AA279,-(INT(((YEAR('Deal maths'!AA279)-YEAR(IF('Deal maths'!Z279&gt;0,'Deal maths'!Z279,DATE(1990,1,1))))*12+MONTH('Deal maths'!AA279)-MONTH(IF('Deal maths'!Z279&gt;0,'Deal maths'!Z279,DATE(1990,1,1))))/D279))*D279))&gt;IF('Deal maths'!Z279&gt;0,'Deal maths'!Z279,DATE(1990,1,1)),IF(DAY('Deal maths'!AA279+1)=1,EOMONTH('Deal maths'!AA279,-(INT(((YEAR('Deal maths'!AA279)-YEAR(IF('Deal maths'!Z279&gt;0,'Deal maths'!Z279,DATE(1990,1,1))))*12+MONTH('Deal maths'!AA279)-MONTH(IF('Deal maths'!Z279&gt;0,'Deal maths'!Z279,DATE(1990,1,1))))/D279))*D279),EDATE('Deal maths'!AA279,-(INT(((YEAR('Deal maths'!AA279)-YEAR(IF('Deal maths'!Z279&gt;0,'Deal maths'!Z279,DATE(1990,1,1))))*12+MONTH('Deal maths'!AA279)-MONTH(IF('Deal maths'!Z279&gt;0,'Deal maths'!Z279,DATE(1990,1,1))))/D279))*D279)),IF(DAY('Deal maths'!AA279+1)=1,EOMONTH('Deal maths'!AA279,-(INT(((YEAR('Deal maths'!AA279)-YEAR(IF('Deal maths'!Z279&gt;0,'Deal maths'!Z279,DATE(1990,1,1))))*12+MONTH('Deal maths'!AA279)-MONTH(IF('Deal maths'!Z279&gt;0,'Deal maths'!Z279,DATE(1990,1,1))))/D279)-1)*D279),EDATE('Deal maths'!AA279,-(INT(((YEAR('Deal maths'!AA279)-YEAR(IF('Deal maths'!Z279&gt;0,'Deal maths'!Z279,DATE(1990,1,1))))*12+MONTH('Deal maths'!AA279)-MONTH(IF('Deal maths'!Z279&gt;0,'Deal maths'!Z279,DATE(1990,1,1))))/D279)-1)*D279))))),0)</f>
        <v/>
      </c>
      <c r="F279" s="110">
        <f>IF(D279=0,0,'Deal maths'!AB279*D279/12)</f>
        <v/>
      </c>
      <c r="G279" s="108">
        <f>N279+O279</f>
        <v/>
      </c>
      <c r="H279" s="108">
        <f>IFERROR(IF(OR(D279=0,AsAt&lt;E279),0,MIN(N279,INT(((YEAR(AsAt)-YEAR(E279))*12+MONTH(AsAt)-MONTH(E279)-(DAY(AsAt)&lt;MIN(R279,DAY(EOMONTH(AsAt,0)))))/D279)+1)+O279*(AsAt&gt;='Deal maths'!AA279)),0)</f>
        <v/>
      </c>
      <c r="I279" s="108">
        <f>G279-H279</f>
        <v/>
      </c>
      <c r="J279" s="111">
        <f>IF(AND(C279="EIP",I279&gt;0),'Deal maths'!Y279/I279,0)</f>
        <v/>
      </c>
      <c r="K279" s="111">
        <f>IF(AND(C279="Annuity",I279&gt;0),IF(F279&gt;0,'Deal maths'!Y279*F279/(1-(1+F279)^-I279),'Deal maths'!Y279/I279),0)</f>
        <v/>
      </c>
      <c r="L279" s="111">
        <f>IF('Deal maths'!Y279="",0,'Deal maths'!Y279)</f>
        <v/>
      </c>
      <c r="M279" s="112">
        <f>F279+(F279=0)</f>
        <v/>
      </c>
      <c r="N279" s="108">
        <f>IFERROR(IF(D279=0,0,INT(((YEAR('Deal maths'!AA279)-YEAR(E279))*12+MONTH('Deal maths'!AA279)-MONTH(E279)-(DAY('Deal maths'!AA279)&lt;MIN(R279,DAY(EOMONTH('Deal maths'!AA279,0)))))/D279)+1),0)</f>
        <v/>
      </c>
      <c r="O279" s="108">
        <f>IFERROR(IF(D279=0,0,IF(IF(DAY(E279+1)=1,EOMONTH(E279,(N279-1)*D279),EDATE(E279,(N279-1)*D279))='Deal maths'!AA279,0,1)),0)</f>
        <v/>
      </c>
      <c r="P279" s="113">
        <f>IF(B279=0,0,IFERROR(IF(C279="EIP",((I279-O279)*((IF(DAY(E279+1)=1,EOMONTH(E279,H279*D279),EDATE(E279,H279*D279))-AsAt)/365.25+(IF(DAY(E279+1)=1,EOMONTH(E279,(N279-1)*D279),EDATE(E279,(N279-1)*D279))-AsAt)/365.25)/2+O279*('Deal maths'!AA279-AsAt)/365.25)/I279,IF(C279="Annuity",IF(F279&gt;0,((K279-L279*F279)*((IF(DAY(E279+1)=1,EOMONTH(E279,H279*D279),EDATE(E279,H279*D279))-AsAt)/365.25*((1+F279)^(I279-O279)-1)/F279+IF((I279-O279)&gt;1,((IF(DAY(E279+1)=1,EOMONTH(E279,(N279-1)*D279),EDATE(E279,(N279-1)*D279))-AsAt)/365.25-(IF(DAY(E279+1)=1,EOMONTH(E279,H279*D279),EDATE(E279,H279*D279))-AsAt)/365.25)/((I279-O279)-1),0)*(1+F279)*(1-(I279-O279)*(1+F279)^((I279-O279)-1)+((I279-O279)-1)*(1+F279)^(I279-O279))/F279^2)+O279*(K279-L279*F279)*(1+F279)^(I279-1)*('Deal maths'!AA279-AsAt)/365.25)/L279,((I279-O279)*((IF(DAY(E279+1)=1,EOMONTH(E279,H279*D279),EDATE(E279,H279*D279))-AsAt)/365.25+(IF(DAY(E279+1)=1,EOMONTH(E279,(N279-1)*D279),EDATE(E279,(N279-1)*D279))-AsAt)/365.25)/2+O279*('Deal maths'!AA279-AsAt)/365.25)/I279),(S279-AsAt)/365.25)),0))</f>
        <v/>
      </c>
      <c r="Q279" s="109">
        <f>IF(B279=1,'Deal maths'!AA279+ROW()/1000000,"")</f>
        <v/>
      </c>
      <c r="R279" s="108">
        <f>IF(D279=0,0,IF(DAY(E279+1)=1,31,DAY(E279)))</f>
        <v/>
      </c>
      <c r="S279" s="109">
        <f>IF(AND('Deal maths'!V279="LOBO",'Deal maths'!AG279&gt;AsAt,'Deal maths'!AG279&lt;'Deal maths'!AA279),'Deal maths'!AG279,'Deal maths'!AA279)</f>
        <v/>
      </c>
      <c r="T279" s="108">
        <f>('Deal maths'!AA279&gt;AsAt)*('Deal maths'!Y279&gt;0)</f>
        <v/>
      </c>
    </row>
    <row r="280">
      <c r="A280" s="91">
        <f>IF('Deal maths'!V280="","",'Deal maths'!W280)</f>
        <v/>
      </c>
      <c r="B280" s="108">
        <f>('Deal maths'!AA280&gt;AsAt)*('Deal maths'!Y280&gt;0)*('Deal maths'!Z280&lt;=AsAt)</f>
        <v/>
      </c>
      <c r="C280" s="91">
        <f>IF('Deal maths'!V280="","",IF('Deal maths'!AC280="","Maturity",'Deal maths'!AC280))</f>
        <v/>
      </c>
      <c r="D280" s="108">
        <f>IF(OR(C280="EIP",C280="Annuity"),IF('Deal maths'!AD280="Annual",12,IF('Deal maths'!AD280="Quarterly",3,6)),0)</f>
        <v/>
      </c>
      <c r="E280" s="109">
        <f>IFERROR(IF(D280=0,0,IF('Deal maths'!AE280&gt;0,IF('Deal maths'!AE280&gt;'Deal maths'!AA280,'Deal maths'!AA280,'Deal maths'!AE280),IF(IF(DAY('Deal maths'!AA280+1)=1,EOMONTH('Deal maths'!AA280,-(INT(((YEAR('Deal maths'!AA280)-YEAR(IF('Deal maths'!Z280&gt;0,'Deal maths'!Z280,DATE(1990,1,1))))*12+MONTH('Deal maths'!AA280)-MONTH(IF('Deal maths'!Z280&gt;0,'Deal maths'!Z280,DATE(1990,1,1))))/D280))*D280),EDATE('Deal maths'!AA280,-(INT(((YEAR('Deal maths'!AA280)-YEAR(IF('Deal maths'!Z280&gt;0,'Deal maths'!Z280,DATE(1990,1,1))))*12+MONTH('Deal maths'!AA280)-MONTH(IF('Deal maths'!Z280&gt;0,'Deal maths'!Z280,DATE(1990,1,1))))/D280))*D280))&gt;IF('Deal maths'!Z280&gt;0,'Deal maths'!Z280,DATE(1990,1,1)),IF(DAY('Deal maths'!AA280+1)=1,EOMONTH('Deal maths'!AA280,-(INT(((YEAR('Deal maths'!AA280)-YEAR(IF('Deal maths'!Z280&gt;0,'Deal maths'!Z280,DATE(1990,1,1))))*12+MONTH('Deal maths'!AA280)-MONTH(IF('Deal maths'!Z280&gt;0,'Deal maths'!Z280,DATE(1990,1,1))))/D280))*D280),EDATE('Deal maths'!AA280,-(INT(((YEAR('Deal maths'!AA280)-YEAR(IF('Deal maths'!Z280&gt;0,'Deal maths'!Z280,DATE(1990,1,1))))*12+MONTH('Deal maths'!AA280)-MONTH(IF('Deal maths'!Z280&gt;0,'Deal maths'!Z280,DATE(1990,1,1))))/D280))*D280)),IF(DAY('Deal maths'!AA280+1)=1,EOMONTH('Deal maths'!AA280,-(INT(((YEAR('Deal maths'!AA280)-YEAR(IF('Deal maths'!Z280&gt;0,'Deal maths'!Z280,DATE(1990,1,1))))*12+MONTH('Deal maths'!AA280)-MONTH(IF('Deal maths'!Z280&gt;0,'Deal maths'!Z280,DATE(1990,1,1))))/D280)-1)*D280),EDATE('Deal maths'!AA280,-(INT(((YEAR('Deal maths'!AA280)-YEAR(IF('Deal maths'!Z280&gt;0,'Deal maths'!Z280,DATE(1990,1,1))))*12+MONTH('Deal maths'!AA280)-MONTH(IF('Deal maths'!Z280&gt;0,'Deal maths'!Z280,DATE(1990,1,1))))/D280)-1)*D280))))),0)</f>
        <v/>
      </c>
      <c r="F280" s="110">
        <f>IF(D280=0,0,'Deal maths'!AB280*D280/12)</f>
        <v/>
      </c>
      <c r="G280" s="108">
        <f>N280+O280</f>
        <v/>
      </c>
      <c r="H280" s="108">
        <f>IFERROR(IF(OR(D280=0,AsAt&lt;E280),0,MIN(N280,INT(((YEAR(AsAt)-YEAR(E280))*12+MONTH(AsAt)-MONTH(E280)-(DAY(AsAt)&lt;MIN(R280,DAY(EOMONTH(AsAt,0)))))/D280)+1)+O280*(AsAt&gt;='Deal maths'!AA280)),0)</f>
        <v/>
      </c>
      <c r="I280" s="108">
        <f>G280-H280</f>
        <v/>
      </c>
      <c r="J280" s="111">
        <f>IF(AND(C280="EIP",I280&gt;0),'Deal maths'!Y280/I280,0)</f>
        <v/>
      </c>
      <c r="K280" s="111">
        <f>IF(AND(C280="Annuity",I280&gt;0),IF(F280&gt;0,'Deal maths'!Y280*F280/(1-(1+F280)^-I280),'Deal maths'!Y280/I280),0)</f>
        <v/>
      </c>
      <c r="L280" s="111">
        <f>IF('Deal maths'!Y280="",0,'Deal maths'!Y280)</f>
        <v/>
      </c>
      <c r="M280" s="112">
        <f>F280+(F280=0)</f>
        <v/>
      </c>
      <c r="N280" s="108">
        <f>IFERROR(IF(D280=0,0,INT(((YEAR('Deal maths'!AA280)-YEAR(E280))*12+MONTH('Deal maths'!AA280)-MONTH(E280)-(DAY('Deal maths'!AA280)&lt;MIN(R280,DAY(EOMONTH('Deal maths'!AA280,0)))))/D280)+1),0)</f>
        <v/>
      </c>
      <c r="O280" s="108">
        <f>IFERROR(IF(D280=0,0,IF(IF(DAY(E280+1)=1,EOMONTH(E280,(N280-1)*D280),EDATE(E280,(N280-1)*D280))='Deal maths'!AA280,0,1)),0)</f>
        <v/>
      </c>
      <c r="P280" s="113">
        <f>IF(B280=0,0,IFERROR(IF(C280="EIP",((I280-O280)*((IF(DAY(E280+1)=1,EOMONTH(E280,H280*D280),EDATE(E280,H280*D280))-AsAt)/365.25+(IF(DAY(E280+1)=1,EOMONTH(E280,(N280-1)*D280),EDATE(E280,(N280-1)*D280))-AsAt)/365.25)/2+O280*('Deal maths'!AA280-AsAt)/365.25)/I280,IF(C280="Annuity",IF(F280&gt;0,((K280-L280*F280)*((IF(DAY(E280+1)=1,EOMONTH(E280,H280*D280),EDATE(E280,H280*D280))-AsAt)/365.25*((1+F280)^(I280-O280)-1)/F280+IF((I280-O280)&gt;1,((IF(DAY(E280+1)=1,EOMONTH(E280,(N280-1)*D280),EDATE(E280,(N280-1)*D280))-AsAt)/365.25-(IF(DAY(E280+1)=1,EOMONTH(E280,H280*D280),EDATE(E280,H280*D280))-AsAt)/365.25)/((I280-O280)-1),0)*(1+F280)*(1-(I280-O280)*(1+F280)^((I280-O280)-1)+((I280-O280)-1)*(1+F280)^(I280-O280))/F280^2)+O280*(K280-L280*F280)*(1+F280)^(I280-1)*('Deal maths'!AA280-AsAt)/365.25)/L280,((I280-O280)*((IF(DAY(E280+1)=1,EOMONTH(E280,H280*D280),EDATE(E280,H280*D280))-AsAt)/365.25+(IF(DAY(E280+1)=1,EOMONTH(E280,(N280-1)*D280),EDATE(E280,(N280-1)*D280))-AsAt)/365.25)/2+O280*('Deal maths'!AA280-AsAt)/365.25)/I280),(S280-AsAt)/365.25)),0))</f>
        <v/>
      </c>
      <c r="Q280" s="109">
        <f>IF(B280=1,'Deal maths'!AA280+ROW()/1000000,"")</f>
        <v/>
      </c>
      <c r="R280" s="108">
        <f>IF(D280=0,0,IF(DAY(E280+1)=1,31,DAY(E280)))</f>
        <v/>
      </c>
      <c r="S280" s="109">
        <f>IF(AND('Deal maths'!V280="LOBO",'Deal maths'!AG280&gt;AsAt,'Deal maths'!AG280&lt;'Deal maths'!AA280),'Deal maths'!AG280,'Deal maths'!AA280)</f>
        <v/>
      </c>
      <c r="T280" s="108">
        <f>('Deal maths'!AA280&gt;AsAt)*('Deal maths'!Y280&gt;0)</f>
        <v/>
      </c>
    </row>
    <row r="281">
      <c r="A281" s="91">
        <f>IF('Deal maths'!V281="","",'Deal maths'!W281)</f>
        <v/>
      </c>
      <c r="B281" s="108">
        <f>('Deal maths'!AA281&gt;AsAt)*('Deal maths'!Y281&gt;0)*('Deal maths'!Z281&lt;=AsAt)</f>
        <v/>
      </c>
      <c r="C281" s="91">
        <f>IF('Deal maths'!V281="","",IF('Deal maths'!AC281="","Maturity",'Deal maths'!AC281))</f>
        <v/>
      </c>
      <c r="D281" s="108">
        <f>IF(OR(C281="EIP",C281="Annuity"),IF('Deal maths'!AD281="Annual",12,IF('Deal maths'!AD281="Quarterly",3,6)),0)</f>
        <v/>
      </c>
      <c r="E281" s="109">
        <f>IFERROR(IF(D281=0,0,IF('Deal maths'!AE281&gt;0,IF('Deal maths'!AE281&gt;'Deal maths'!AA281,'Deal maths'!AA281,'Deal maths'!AE281),IF(IF(DAY('Deal maths'!AA281+1)=1,EOMONTH('Deal maths'!AA281,-(INT(((YEAR('Deal maths'!AA281)-YEAR(IF('Deal maths'!Z281&gt;0,'Deal maths'!Z281,DATE(1990,1,1))))*12+MONTH('Deal maths'!AA281)-MONTH(IF('Deal maths'!Z281&gt;0,'Deal maths'!Z281,DATE(1990,1,1))))/D281))*D281),EDATE('Deal maths'!AA281,-(INT(((YEAR('Deal maths'!AA281)-YEAR(IF('Deal maths'!Z281&gt;0,'Deal maths'!Z281,DATE(1990,1,1))))*12+MONTH('Deal maths'!AA281)-MONTH(IF('Deal maths'!Z281&gt;0,'Deal maths'!Z281,DATE(1990,1,1))))/D281))*D281))&gt;IF('Deal maths'!Z281&gt;0,'Deal maths'!Z281,DATE(1990,1,1)),IF(DAY('Deal maths'!AA281+1)=1,EOMONTH('Deal maths'!AA281,-(INT(((YEAR('Deal maths'!AA281)-YEAR(IF('Deal maths'!Z281&gt;0,'Deal maths'!Z281,DATE(1990,1,1))))*12+MONTH('Deal maths'!AA281)-MONTH(IF('Deal maths'!Z281&gt;0,'Deal maths'!Z281,DATE(1990,1,1))))/D281))*D281),EDATE('Deal maths'!AA281,-(INT(((YEAR('Deal maths'!AA281)-YEAR(IF('Deal maths'!Z281&gt;0,'Deal maths'!Z281,DATE(1990,1,1))))*12+MONTH('Deal maths'!AA281)-MONTH(IF('Deal maths'!Z281&gt;0,'Deal maths'!Z281,DATE(1990,1,1))))/D281))*D281)),IF(DAY('Deal maths'!AA281+1)=1,EOMONTH('Deal maths'!AA281,-(INT(((YEAR('Deal maths'!AA281)-YEAR(IF('Deal maths'!Z281&gt;0,'Deal maths'!Z281,DATE(1990,1,1))))*12+MONTH('Deal maths'!AA281)-MONTH(IF('Deal maths'!Z281&gt;0,'Deal maths'!Z281,DATE(1990,1,1))))/D281)-1)*D281),EDATE('Deal maths'!AA281,-(INT(((YEAR('Deal maths'!AA281)-YEAR(IF('Deal maths'!Z281&gt;0,'Deal maths'!Z281,DATE(1990,1,1))))*12+MONTH('Deal maths'!AA281)-MONTH(IF('Deal maths'!Z281&gt;0,'Deal maths'!Z281,DATE(1990,1,1))))/D281)-1)*D281))))),0)</f>
        <v/>
      </c>
      <c r="F281" s="110">
        <f>IF(D281=0,0,'Deal maths'!AB281*D281/12)</f>
        <v/>
      </c>
      <c r="G281" s="108">
        <f>N281+O281</f>
        <v/>
      </c>
      <c r="H281" s="108">
        <f>IFERROR(IF(OR(D281=0,AsAt&lt;E281),0,MIN(N281,INT(((YEAR(AsAt)-YEAR(E281))*12+MONTH(AsAt)-MONTH(E281)-(DAY(AsAt)&lt;MIN(R281,DAY(EOMONTH(AsAt,0)))))/D281)+1)+O281*(AsAt&gt;='Deal maths'!AA281)),0)</f>
        <v/>
      </c>
      <c r="I281" s="108">
        <f>G281-H281</f>
        <v/>
      </c>
      <c r="J281" s="111">
        <f>IF(AND(C281="EIP",I281&gt;0),'Deal maths'!Y281/I281,0)</f>
        <v/>
      </c>
      <c r="K281" s="111">
        <f>IF(AND(C281="Annuity",I281&gt;0),IF(F281&gt;0,'Deal maths'!Y281*F281/(1-(1+F281)^-I281),'Deal maths'!Y281/I281),0)</f>
        <v/>
      </c>
      <c r="L281" s="111">
        <f>IF('Deal maths'!Y281="",0,'Deal maths'!Y281)</f>
        <v/>
      </c>
      <c r="M281" s="112">
        <f>F281+(F281=0)</f>
        <v/>
      </c>
      <c r="N281" s="108">
        <f>IFERROR(IF(D281=0,0,INT(((YEAR('Deal maths'!AA281)-YEAR(E281))*12+MONTH('Deal maths'!AA281)-MONTH(E281)-(DAY('Deal maths'!AA281)&lt;MIN(R281,DAY(EOMONTH('Deal maths'!AA281,0)))))/D281)+1),0)</f>
        <v/>
      </c>
      <c r="O281" s="108">
        <f>IFERROR(IF(D281=0,0,IF(IF(DAY(E281+1)=1,EOMONTH(E281,(N281-1)*D281),EDATE(E281,(N281-1)*D281))='Deal maths'!AA281,0,1)),0)</f>
        <v/>
      </c>
      <c r="P281" s="113">
        <f>IF(B281=0,0,IFERROR(IF(C281="EIP",((I281-O281)*((IF(DAY(E281+1)=1,EOMONTH(E281,H281*D281),EDATE(E281,H281*D281))-AsAt)/365.25+(IF(DAY(E281+1)=1,EOMONTH(E281,(N281-1)*D281),EDATE(E281,(N281-1)*D281))-AsAt)/365.25)/2+O281*('Deal maths'!AA281-AsAt)/365.25)/I281,IF(C281="Annuity",IF(F281&gt;0,((K281-L281*F281)*((IF(DAY(E281+1)=1,EOMONTH(E281,H281*D281),EDATE(E281,H281*D281))-AsAt)/365.25*((1+F281)^(I281-O281)-1)/F281+IF((I281-O281)&gt;1,((IF(DAY(E281+1)=1,EOMONTH(E281,(N281-1)*D281),EDATE(E281,(N281-1)*D281))-AsAt)/365.25-(IF(DAY(E281+1)=1,EOMONTH(E281,H281*D281),EDATE(E281,H281*D281))-AsAt)/365.25)/((I281-O281)-1),0)*(1+F281)*(1-(I281-O281)*(1+F281)^((I281-O281)-1)+((I281-O281)-1)*(1+F281)^(I281-O281))/F281^2)+O281*(K281-L281*F281)*(1+F281)^(I281-1)*('Deal maths'!AA281-AsAt)/365.25)/L281,((I281-O281)*((IF(DAY(E281+1)=1,EOMONTH(E281,H281*D281),EDATE(E281,H281*D281))-AsAt)/365.25+(IF(DAY(E281+1)=1,EOMONTH(E281,(N281-1)*D281),EDATE(E281,(N281-1)*D281))-AsAt)/365.25)/2+O281*('Deal maths'!AA281-AsAt)/365.25)/I281),(S281-AsAt)/365.25)),0))</f>
        <v/>
      </c>
      <c r="Q281" s="109">
        <f>IF(B281=1,'Deal maths'!AA281+ROW()/1000000,"")</f>
        <v/>
      </c>
      <c r="R281" s="108">
        <f>IF(D281=0,0,IF(DAY(E281+1)=1,31,DAY(E281)))</f>
        <v/>
      </c>
      <c r="S281" s="109">
        <f>IF(AND('Deal maths'!V281="LOBO",'Deal maths'!AG281&gt;AsAt,'Deal maths'!AG281&lt;'Deal maths'!AA281),'Deal maths'!AG281,'Deal maths'!AA281)</f>
        <v/>
      </c>
      <c r="T281" s="108">
        <f>('Deal maths'!AA281&gt;AsAt)*('Deal maths'!Y281&gt;0)</f>
        <v/>
      </c>
    </row>
    <row r="282">
      <c r="A282" s="91">
        <f>IF('Deal maths'!V282="","",'Deal maths'!W282)</f>
        <v/>
      </c>
      <c r="B282" s="108">
        <f>('Deal maths'!AA282&gt;AsAt)*('Deal maths'!Y282&gt;0)*('Deal maths'!Z282&lt;=AsAt)</f>
        <v/>
      </c>
      <c r="C282" s="91">
        <f>IF('Deal maths'!V282="","",IF('Deal maths'!AC282="","Maturity",'Deal maths'!AC282))</f>
        <v/>
      </c>
      <c r="D282" s="108">
        <f>IF(OR(C282="EIP",C282="Annuity"),IF('Deal maths'!AD282="Annual",12,IF('Deal maths'!AD282="Quarterly",3,6)),0)</f>
        <v/>
      </c>
      <c r="E282" s="109">
        <f>IFERROR(IF(D282=0,0,IF('Deal maths'!AE282&gt;0,IF('Deal maths'!AE282&gt;'Deal maths'!AA282,'Deal maths'!AA282,'Deal maths'!AE282),IF(IF(DAY('Deal maths'!AA282+1)=1,EOMONTH('Deal maths'!AA282,-(INT(((YEAR('Deal maths'!AA282)-YEAR(IF('Deal maths'!Z282&gt;0,'Deal maths'!Z282,DATE(1990,1,1))))*12+MONTH('Deal maths'!AA282)-MONTH(IF('Deal maths'!Z282&gt;0,'Deal maths'!Z282,DATE(1990,1,1))))/D282))*D282),EDATE('Deal maths'!AA282,-(INT(((YEAR('Deal maths'!AA282)-YEAR(IF('Deal maths'!Z282&gt;0,'Deal maths'!Z282,DATE(1990,1,1))))*12+MONTH('Deal maths'!AA282)-MONTH(IF('Deal maths'!Z282&gt;0,'Deal maths'!Z282,DATE(1990,1,1))))/D282))*D282))&gt;IF('Deal maths'!Z282&gt;0,'Deal maths'!Z282,DATE(1990,1,1)),IF(DAY('Deal maths'!AA282+1)=1,EOMONTH('Deal maths'!AA282,-(INT(((YEAR('Deal maths'!AA282)-YEAR(IF('Deal maths'!Z282&gt;0,'Deal maths'!Z282,DATE(1990,1,1))))*12+MONTH('Deal maths'!AA282)-MONTH(IF('Deal maths'!Z282&gt;0,'Deal maths'!Z282,DATE(1990,1,1))))/D282))*D282),EDATE('Deal maths'!AA282,-(INT(((YEAR('Deal maths'!AA282)-YEAR(IF('Deal maths'!Z282&gt;0,'Deal maths'!Z282,DATE(1990,1,1))))*12+MONTH('Deal maths'!AA282)-MONTH(IF('Deal maths'!Z282&gt;0,'Deal maths'!Z282,DATE(1990,1,1))))/D282))*D282)),IF(DAY('Deal maths'!AA282+1)=1,EOMONTH('Deal maths'!AA282,-(INT(((YEAR('Deal maths'!AA282)-YEAR(IF('Deal maths'!Z282&gt;0,'Deal maths'!Z282,DATE(1990,1,1))))*12+MONTH('Deal maths'!AA282)-MONTH(IF('Deal maths'!Z282&gt;0,'Deal maths'!Z282,DATE(1990,1,1))))/D282)-1)*D282),EDATE('Deal maths'!AA282,-(INT(((YEAR('Deal maths'!AA282)-YEAR(IF('Deal maths'!Z282&gt;0,'Deal maths'!Z282,DATE(1990,1,1))))*12+MONTH('Deal maths'!AA282)-MONTH(IF('Deal maths'!Z282&gt;0,'Deal maths'!Z282,DATE(1990,1,1))))/D282)-1)*D282))))),0)</f>
        <v/>
      </c>
      <c r="F282" s="110">
        <f>IF(D282=0,0,'Deal maths'!AB282*D282/12)</f>
        <v/>
      </c>
      <c r="G282" s="108">
        <f>N282+O282</f>
        <v/>
      </c>
      <c r="H282" s="108">
        <f>IFERROR(IF(OR(D282=0,AsAt&lt;E282),0,MIN(N282,INT(((YEAR(AsAt)-YEAR(E282))*12+MONTH(AsAt)-MONTH(E282)-(DAY(AsAt)&lt;MIN(R282,DAY(EOMONTH(AsAt,0)))))/D282)+1)+O282*(AsAt&gt;='Deal maths'!AA282)),0)</f>
        <v/>
      </c>
      <c r="I282" s="108">
        <f>G282-H282</f>
        <v/>
      </c>
      <c r="J282" s="111">
        <f>IF(AND(C282="EIP",I282&gt;0),'Deal maths'!Y282/I282,0)</f>
        <v/>
      </c>
      <c r="K282" s="111">
        <f>IF(AND(C282="Annuity",I282&gt;0),IF(F282&gt;0,'Deal maths'!Y282*F282/(1-(1+F282)^-I282),'Deal maths'!Y282/I282),0)</f>
        <v/>
      </c>
      <c r="L282" s="111">
        <f>IF('Deal maths'!Y282="",0,'Deal maths'!Y282)</f>
        <v/>
      </c>
      <c r="M282" s="112">
        <f>F282+(F282=0)</f>
        <v/>
      </c>
      <c r="N282" s="108">
        <f>IFERROR(IF(D282=0,0,INT(((YEAR('Deal maths'!AA282)-YEAR(E282))*12+MONTH('Deal maths'!AA282)-MONTH(E282)-(DAY('Deal maths'!AA282)&lt;MIN(R282,DAY(EOMONTH('Deal maths'!AA282,0)))))/D282)+1),0)</f>
        <v/>
      </c>
      <c r="O282" s="108">
        <f>IFERROR(IF(D282=0,0,IF(IF(DAY(E282+1)=1,EOMONTH(E282,(N282-1)*D282),EDATE(E282,(N282-1)*D282))='Deal maths'!AA282,0,1)),0)</f>
        <v/>
      </c>
      <c r="P282" s="113">
        <f>IF(B282=0,0,IFERROR(IF(C282="EIP",((I282-O282)*((IF(DAY(E282+1)=1,EOMONTH(E282,H282*D282),EDATE(E282,H282*D282))-AsAt)/365.25+(IF(DAY(E282+1)=1,EOMONTH(E282,(N282-1)*D282),EDATE(E282,(N282-1)*D282))-AsAt)/365.25)/2+O282*('Deal maths'!AA282-AsAt)/365.25)/I282,IF(C282="Annuity",IF(F282&gt;0,((K282-L282*F282)*((IF(DAY(E282+1)=1,EOMONTH(E282,H282*D282),EDATE(E282,H282*D282))-AsAt)/365.25*((1+F282)^(I282-O282)-1)/F282+IF((I282-O282)&gt;1,((IF(DAY(E282+1)=1,EOMONTH(E282,(N282-1)*D282),EDATE(E282,(N282-1)*D282))-AsAt)/365.25-(IF(DAY(E282+1)=1,EOMONTH(E282,H282*D282),EDATE(E282,H282*D282))-AsAt)/365.25)/((I282-O282)-1),0)*(1+F282)*(1-(I282-O282)*(1+F282)^((I282-O282)-1)+((I282-O282)-1)*(1+F282)^(I282-O282))/F282^2)+O282*(K282-L282*F282)*(1+F282)^(I282-1)*('Deal maths'!AA282-AsAt)/365.25)/L282,((I282-O282)*((IF(DAY(E282+1)=1,EOMONTH(E282,H282*D282),EDATE(E282,H282*D282))-AsAt)/365.25+(IF(DAY(E282+1)=1,EOMONTH(E282,(N282-1)*D282),EDATE(E282,(N282-1)*D282))-AsAt)/365.25)/2+O282*('Deal maths'!AA282-AsAt)/365.25)/I282),(S282-AsAt)/365.25)),0))</f>
        <v/>
      </c>
      <c r="Q282" s="109">
        <f>IF(B282=1,'Deal maths'!AA282+ROW()/1000000,"")</f>
        <v/>
      </c>
      <c r="R282" s="108">
        <f>IF(D282=0,0,IF(DAY(E282+1)=1,31,DAY(E282)))</f>
        <v/>
      </c>
      <c r="S282" s="109">
        <f>IF(AND('Deal maths'!V282="LOBO",'Deal maths'!AG282&gt;AsAt,'Deal maths'!AG282&lt;'Deal maths'!AA282),'Deal maths'!AG282,'Deal maths'!AA282)</f>
        <v/>
      </c>
      <c r="T282" s="108">
        <f>('Deal maths'!AA282&gt;AsAt)*('Deal maths'!Y282&gt;0)</f>
        <v/>
      </c>
    </row>
    <row r="283">
      <c r="A283" s="91">
        <f>IF('Deal maths'!V283="","",'Deal maths'!W283)</f>
        <v/>
      </c>
      <c r="B283" s="108">
        <f>('Deal maths'!AA283&gt;AsAt)*('Deal maths'!Y283&gt;0)*('Deal maths'!Z283&lt;=AsAt)</f>
        <v/>
      </c>
      <c r="C283" s="91">
        <f>IF('Deal maths'!V283="","",IF('Deal maths'!AC283="","Maturity",'Deal maths'!AC283))</f>
        <v/>
      </c>
      <c r="D283" s="108">
        <f>IF(OR(C283="EIP",C283="Annuity"),IF('Deal maths'!AD283="Annual",12,IF('Deal maths'!AD283="Quarterly",3,6)),0)</f>
        <v/>
      </c>
      <c r="E283" s="109">
        <f>IFERROR(IF(D283=0,0,IF('Deal maths'!AE283&gt;0,IF('Deal maths'!AE283&gt;'Deal maths'!AA283,'Deal maths'!AA283,'Deal maths'!AE283),IF(IF(DAY('Deal maths'!AA283+1)=1,EOMONTH('Deal maths'!AA283,-(INT(((YEAR('Deal maths'!AA283)-YEAR(IF('Deal maths'!Z283&gt;0,'Deal maths'!Z283,DATE(1990,1,1))))*12+MONTH('Deal maths'!AA283)-MONTH(IF('Deal maths'!Z283&gt;0,'Deal maths'!Z283,DATE(1990,1,1))))/D283))*D283),EDATE('Deal maths'!AA283,-(INT(((YEAR('Deal maths'!AA283)-YEAR(IF('Deal maths'!Z283&gt;0,'Deal maths'!Z283,DATE(1990,1,1))))*12+MONTH('Deal maths'!AA283)-MONTH(IF('Deal maths'!Z283&gt;0,'Deal maths'!Z283,DATE(1990,1,1))))/D283))*D283))&gt;IF('Deal maths'!Z283&gt;0,'Deal maths'!Z283,DATE(1990,1,1)),IF(DAY('Deal maths'!AA283+1)=1,EOMONTH('Deal maths'!AA283,-(INT(((YEAR('Deal maths'!AA283)-YEAR(IF('Deal maths'!Z283&gt;0,'Deal maths'!Z283,DATE(1990,1,1))))*12+MONTH('Deal maths'!AA283)-MONTH(IF('Deal maths'!Z283&gt;0,'Deal maths'!Z283,DATE(1990,1,1))))/D283))*D283),EDATE('Deal maths'!AA283,-(INT(((YEAR('Deal maths'!AA283)-YEAR(IF('Deal maths'!Z283&gt;0,'Deal maths'!Z283,DATE(1990,1,1))))*12+MONTH('Deal maths'!AA283)-MONTH(IF('Deal maths'!Z283&gt;0,'Deal maths'!Z283,DATE(1990,1,1))))/D283))*D283)),IF(DAY('Deal maths'!AA283+1)=1,EOMONTH('Deal maths'!AA283,-(INT(((YEAR('Deal maths'!AA283)-YEAR(IF('Deal maths'!Z283&gt;0,'Deal maths'!Z283,DATE(1990,1,1))))*12+MONTH('Deal maths'!AA283)-MONTH(IF('Deal maths'!Z283&gt;0,'Deal maths'!Z283,DATE(1990,1,1))))/D283)-1)*D283),EDATE('Deal maths'!AA283,-(INT(((YEAR('Deal maths'!AA283)-YEAR(IF('Deal maths'!Z283&gt;0,'Deal maths'!Z283,DATE(1990,1,1))))*12+MONTH('Deal maths'!AA283)-MONTH(IF('Deal maths'!Z283&gt;0,'Deal maths'!Z283,DATE(1990,1,1))))/D283)-1)*D283))))),0)</f>
        <v/>
      </c>
      <c r="F283" s="110">
        <f>IF(D283=0,0,'Deal maths'!AB283*D283/12)</f>
        <v/>
      </c>
      <c r="G283" s="108">
        <f>N283+O283</f>
        <v/>
      </c>
      <c r="H283" s="108">
        <f>IFERROR(IF(OR(D283=0,AsAt&lt;E283),0,MIN(N283,INT(((YEAR(AsAt)-YEAR(E283))*12+MONTH(AsAt)-MONTH(E283)-(DAY(AsAt)&lt;MIN(R283,DAY(EOMONTH(AsAt,0)))))/D283)+1)+O283*(AsAt&gt;='Deal maths'!AA283)),0)</f>
        <v/>
      </c>
      <c r="I283" s="108">
        <f>G283-H283</f>
        <v/>
      </c>
      <c r="J283" s="111">
        <f>IF(AND(C283="EIP",I283&gt;0),'Deal maths'!Y283/I283,0)</f>
        <v/>
      </c>
      <c r="K283" s="111">
        <f>IF(AND(C283="Annuity",I283&gt;0),IF(F283&gt;0,'Deal maths'!Y283*F283/(1-(1+F283)^-I283),'Deal maths'!Y283/I283),0)</f>
        <v/>
      </c>
      <c r="L283" s="111">
        <f>IF('Deal maths'!Y283="",0,'Deal maths'!Y283)</f>
        <v/>
      </c>
      <c r="M283" s="112">
        <f>F283+(F283=0)</f>
        <v/>
      </c>
      <c r="N283" s="108">
        <f>IFERROR(IF(D283=0,0,INT(((YEAR('Deal maths'!AA283)-YEAR(E283))*12+MONTH('Deal maths'!AA283)-MONTH(E283)-(DAY('Deal maths'!AA283)&lt;MIN(R283,DAY(EOMONTH('Deal maths'!AA283,0)))))/D283)+1),0)</f>
        <v/>
      </c>
      <c r="O283" s="108">
        <f>IFERROR(IF(D283=0,0,IF(IF(DAY(E283+1)=1,EOMONTH(E283,(N283-1)*D283),EDATE(E283,(N283-1)*D283))='Deal maths'!AA283,0,1)),0)</f>
        <v/>
      </c>
      <c r="P283" s="113">
        <f>IF(B283=0,0,IFERROR(IF(C283="EIP",((I283-O283)*((IF(DAY(E283+1)=1,EOMONTH(E283,H283*D283),EDATE(E283,H283*D283))-AsAt)/365.25+(IF(DAY(E283+1)=1,EOMONTH(E283,(N283-1)*D283),EDATE(E283,(N283-1)*D283))-AsAt)/365.25)/2+O283*('Deal maths'!AA283-AsAt)/365.25)/I283,IF(C283="Annuity",IF(F283&gt;0,((K283-L283*F283)*((IF(DAY(E283+1)=1,EOMONTH(E283,H283*D283),EDATE(E283,H283*D283))-AsAt)/365.25*((1+F283)^(I283-O283)-1)/F283+IF((I283-O283)&gt;1,((IF(DAY(E283+1)=1,EOMONTH(E283,(N283-1)*D283),EDATE(E283,(N283-1)*D283))-AsAt)/365.25-(IF(DAY(E283+1)=1,EOMONTH(E283,H283*D283),EDATE(E283,H283*D283))-AsAt)/365.25)/((I283-O283)-1),0)*(1+F283)*(1-(I283-O283)*(1+F283)^((I283-O283)-1)+((I283-O283)-1)*(1+F283)^(I283-O283))/F283^2)+O283*(K283-L283*F283)*(1+F283)^(I283-1)*('Deal maths'!AA283-AsAt)/365.25)/L283,((I283-O283)*((IF(DAY(E283+1)=1,EOMONTH(E283,H283*D283),EDATE(E283,H283*D283))-AsAt)/365.25+(IF(DAY(E283+1)=1,EOMONTH(E283,(N283-1)*D283),EDATE(E283,(N283-1)*D283))-AsAt)/365.25)/2+O283*('Deal maths'!AA283-AsAt)/365.25)/I283),(S283-AsAt)/365.25)),0))</f>
        <v/>
      </c>
      <c r="Q283" s="109">
        <f>IF(B283=1,'Deal maths'!AA283+ROW()/1000000,"")</f>
        <v/>
      </c>
      <c r="R283" s="108">
        <f>IF(D283=0,0,IF(DAY(E283+1)=1,31,DAY(E283)))</f>
        <v/>
      </c>
      <c r="S283" s="109">
        <f>IF(AND('Deal maths'!V283="LOBO",'Deal maths'!AG283&gt;AsAt,'Deal maths'!AG283&lt;'Deal maths'!AA283),'Deal maths'!AG283,'Deal maths'!AA283)</f>
        <v/>
      </c>
      <c r="T283" s="108">
        <f>('Deal maths'!AA283&gt;AsAt)*('Deal maths'!Y283&gt;0)</f>
        <v/>
      </c>
    </row>
    <row r="284">
      <c r="A284" s="91">
        <f>IF('Deal maths'!V284="","",'Deal maths'!W284)</f>
        <v/>
      </c>
      <c r="B284" s="108">
        <f>('Deal maths'!AA284&gt;AsAt)*('Deal maths'!Y284&gt;0)*('Deal maths'!Z284&lt;=AsAt)</f>
        <v/>
      </c>
      <c r="C284" s="91">
        <f>IF('Deal maths'!V284="","",IF('Deal maths'!AC284="","Maturity",'Deal maths'!AC284))</f>
        <v/>
      </c>
      <c r="D284" s="108">
        <f>IF(OR(C284="EIP",C284="Annuity"),IF('Deal maths'!AD284="Annual",12,IF('Deal maths'!AD284="Quarterly",3,6)),0)</f>
        <v/>
      </c>
      <c r="E284" s="109">
        <f>IFERROR(IF(D284=0,0,IF('Deal maths'!AE284&gt;0,IF('Deal maths'!AE284&gt;'Deal maths'!AA284,'Deal maths'!AA284,'Deal maths'!AE284),IF(IF(DAY('Deal maths'!AA284+1)=1,EOMONTH('Deal maths'!AA284,-(INT(((YEAR('Deal maths'!AA284)-YEAR(IF('Deal maths'!Z284&gt;0,'Deal maths'!Z284,DATE(1990,1,1))))*12+MONTH('Deal maths'!AA284)-MONTH(IF('Deal maths'!Z284&gt;0,'Deal maths'!Z284,DATE(1990,1,1))))/D284))*D284),EDATE('Deal maths'!AA284,-(INT(((YEAR('Deal maths'!AA284)-YEAR(IF('Deal maths'!Z284&gt;0,'Deal maths'!Z284,DATE(1990,1,1))))*12+MONTH('Deal maths'!AA284)-MONTH(IF('Deal maths'!Z284&gt;0,'Deal maths'!Z284,DATE(1990,1,1))))/D284))*D284))&gt;IF('Deal maths'!Z284&gt;0,'Deal maths'!Z284,DATE(1990,1,1)),IF(DAY('Deal maths'!AA284+1)=1,EOMONTH('Deal maths'!AA284,-(INT(((YEAR('Deal maths'!AA284)-YEAR(IF('Deal maths'!Z284&gt;0,'Deal maths'!Z284,DATE(1990,1,1))))*12+MONTH('Deal maths'!AA284)-MONTH(IF('Deal maths'!Z284&gt;0,'Deal maths'!Z284,DATE(1990,1,1))))/D284))*D284),EDATE('Deal maths'!AA284,-(INT(((YEAR('Deal maths'!AA284)-YEAR(IF('Deal maths'!Z284&gt;0,'Deal maths'!Z284,DATE(1990,1,1))))*12+MONTH('Deal maths'!AA284)-MONTH(IF('Deal maths'!Z284&gt;0,'Deal maths'!Z284,DATE(1990,1,1))))/D284))*D284)),IF(DAY('Deal maths'!AA284+1)=1,EOMONTH('Deal maths'!AA284,-(INT(((YEAR('Deal maths'!AA284)-YEAR(IF('Deal maths'!Z284&gt;0,'Deal maths'!Z284,DATE(1990,1,1))))*12+MONTH('Deal maths'!AA284)-MONTH(IF('Deal maths'!Z284&gt;0,'Deal maths'!Z284,DATE(1990,1,1))))/D284)-1)*D284),EDATE('Deal maths'!AA284,-(INT(((YEAR('Deal maths'!AA284)-YEAR(IF('Deal maths'!Z284&gt;0,'Deal maths'!Z284,DATE(1990,1,1))))*12+MONTH('Deal maths'!AA284)-MONTH(IF('Deal maths'!Z284&gt;0,'Deal maths'!Z284,DATE(1990,1,1))))/D284)-1)*D284))))),0)</f>
        <v/>
      </c>
      <c r="F284" s="110">
        <f>IF(D284=0,0,'Deal maths'!AB284*D284/12)</f>
        <v/>
      </c>
      <c r="G284" s="108">
        <f>N284+O284</f>
        <v/>
      </c>
      <c r="H284" s="108">
        <f>IFERROR(IF(OR(D284=0,AsAt&lt;E284),0,MIN(N284,INT(((YEAR(AsAt)-YEAR(E284))*12+MONTH(AsAt)-MONTH(E284)-(DAY(AsAt)&lt;MIN(R284,DAY(EOMONTH(AsAt,0)))))/D284)+1)+O284*(AsAt&gt;='Deal maths'!AA284)),0)</f>
        <v/>
      </c>
      <c r="I284" s="108">
        <f>G284-H284</f>
        <v/>
      </c>
      <c r="J284" s="111">
        <f>IF(AND(C284="EIP",I284&gt;0),'Deal maths'!Y284/I284,0)</f>
        <v/>
      </c>
      <c r="K284" s="111">
        <f>IF(AND(C284="Annuity",I284&gt;0),IF(F284&gt;0,'Deal maths'!Y284*F284/(1-(1+F284)^-I284),'Deal maths'!Y284/I284),0)</f>
        <v/>
      </c>
      <c r="L284" s="111">
        <f>IF('Deal maths'!Y284="",0,'Deal maths'!Y284)</f>
        <v/>
      </c>
      <c r="M284" s="112">
        <f>F284+(F284=0)</f>
        <v/>
      </c>
      <c r="N284" s="108">
        <f>IFERROR(IF(D284=0,0,INT(((YEAR('Deal maths'!AA284)-YEAR(E284))*12+MONTH('Deal maths'!AA284)-MONTH(E284)-(DAY('Deal maths'!AA284)&lt;MIN(R284,DAY(EOMONTH('Deal maths'!AA284,0)))))/D284)+1),0)</f>
        <v/>
      </c>
      <c r="O284" s="108">
        <f>IFERROR(IF(D284=0,0,IF(IF(DAY(E284+1)=1,EOMONTH(E284,(N284-1)*D284),EDATE(E284,(N284-1)*D284))='Deal maths'!AA284,0,1)),0)</f>
        <v/>
      </c>
      <c r="P284" s="113">
        <f>IF(B284=0,0,IFERROR(IF(C284="EIP",((I284-O284)*((IF(DAY(E284+1)=1,EOMONTH(E284,H284*D284),EDATE(E284,H284*D284))-AsAt)/365.25+(IF(DAY(E284+1)=1,EOMONTH(E284,(N284-1)*D284),EDATE(E284,(N284-1)*D284))-AsAt)/365.25)/2+O284*('Deal maths'!AA284-AsAt)/365.25)/I284,IF(C284="Annuity",IF(F284&gt;0,((K284-L284*F284)*((IF(DAY(E284+1)=1,EOMONTH(E284,H284*D284),EDATE(E284,H284*D284))-AsAt)/365.25*((1+F284)^(I284-O284)-1)/F284+IF((I284-O284)&gt;1,((IF(DAY(E284+1)=1,EOMONTH(E284,(N284-1)*D284),EDATE(E284,(N284-1)*D284))-AsAt)/365.25-(IF(DAY(E284+1)=1,EOMONTH(E284,H284*D284),EDATE(E284,H284*D284))-AsAt)/365.25)/((I284-O284)-1),0)*(1+F284)*(1-(I284-O284)*(1+F284)^((I284-O284)-1)+((I284-O284)-1)*(1+F284)^(I284-O284))/F284^2)+O284*(K284-L284*F284)*(1+F284)^(I284-1)*('Deal maths'!AA284-AsAt)/365.25)/L284,((I284-O284)*((IF(DAY(E284+1)=1,EOMONTH(E284,H284*D284),EDATE(E284,H284*D284))-AsAt)/365.25+(IF(DAY(E284+1)=1,EOMONTH(E284,(N284-1)*D284),EDATE(E284,(N284-1)*D284))-AsAt)/365.25)/2+O284*('Deal maths'!AA284-AsAt)/365.25)/I284),(S284-AsAt)/365.25)),0))</f>
        <v/>
      </c>
      <c r="Q284" s="109">
        <f>IF(B284=1,'Deal maths'!AA284+ROW()/1000000,"")</f>
        <v/>
      </c>
      <c r="R284" s="108">
        <f>IF(D284=0,0,IF(DAY(E284+1)=1,31,DAY(E284)))</f>
        <v/>
      </c>
      <c r="S284" s="109">
        <f>IF(AND('Deal maths'!V284="LOBO",'Deal maths'!AG284&gt;AsAt,'Deal maths'!AG284&lt;'Deal maths'!AA284),'Deal maths'!AG284,'Deal maths'!AA284)</f>
        <v/>
      </c>
      <c r="T284" s="108">
        <f>('Deal maths'!AA284&gt;AsAt)*('Deal maths'!Y284&gt;0)</f>
        <v/>
      </c>
    </row>
    <row r="285">
      <c r="A285" s="91">
        <f>IF('Deal maths'!V285="","",'Deal maths'!W285)</f>
        <v/>
      </c>
      <c r="B285" s="108">
        <f>('Deal maths'!AA285&gt;AsAt)*('Deal maths'!Y285&gt;0)*('Deal maths'!Z285&lt;=AsAt)</f>
        <v/>
      </c>
      <c r="C285" s="91">
        <f>IF('Deal maths'!V285="","",IF('Deal maths'!AC285="","Maturity",'Deal maths'!AC285))</f>
        <v/>
      </c>
      <c r="D285" s="108">
        <f>IF(OR(C285="EIP",C285="Annuity"),IF('Deal maths'!AD285="Annual",12,IF('Deal maths'!AD285="Quarterly",3,6)),0)</f>
        <v/>
      </c>
      <c r="E285" s="109">
        <f>IFERROR(IF(D285=0,0,IF('Deal maths'!AE285&gt;0,IF('Deal maths'!AE285&gt;'Deal maths'!AA285,'Deal maths'!AA285,'Deal maths'!AE285),IF(IF(DAY('Deal maths'!AA285+1)=1,EOMONTH('Deal maths'!AA285,-(INT(((YEAR('Deal maths'!AA285)-YEAR(IF('Deal maths'!Z285&gt;0,'Deal maths'!Z285,DATE(1990,1,1))))*12+MONTH('Deal maths'!AA285)-MONTH(IF('Deal maths'!Z285&gt;0,'Deal maths'!Z285,DATE(1990,1,1))))/D285))*D285),EDATE('Deal maths'!AA285,-(INT(((YEAR('Deal maths'!AA285)-YEAR(IF('Deal maths'!Z285&gt;0,'Deal maths'!Z285,DATE(1990,1,1))))*12+MONTH('Deal maths'!AA285)-MONTH(IF('Deal maths'!Z285&gt;0,'Deal maths'!Z285,DATE(1990,1,1))))/D285))*D285))&gt;IF('Deal maths'!Z285&gt;0,'Deal maths'!Z285,DATE(1990,1,1)),IF(DAY('Deal maths'!AA285+1)=1,EOMONTH('Deal maths'!AA285,-(INT(((YEAR('Deal maths'!AA285)-YEAR(IF('Deal maths'!Z285&gt;0,'Deal maths'!Z285,DATE(1990,1,1))))*12+MONTH('Deal maths'!AA285)-MONTH(IF('Deal maths'!Z285&gt;0,'Deal maths'!Z285,DATE(1990,1,1))))/D285))*D285),EDATE('Deal maths'!AA285,-(INT(((YEAR('Deal maths'!AA285)-YEAR(IF('Deal maths'!Z285&gt;0,'Deal maths'!Z285,DATE(1990,1,1))))*12+MONTH('Deal maths'!AA285)-MONTH(IF('Deal maths'!Z285&gt;0,'Deal maths'!Z285,DATE(1990,1,1))))/D285))*D285)),IF(DAY('Deal maths'!AA285+1)=1,EOMONTH('Deal maths'!AA285,-(INT(((YEAR('Deal maths'!AA285)-YEAR(IF('Deal maths'!Z285&gt;0,'Deal maths'!Z285,DATE(1990,1,1))))*12+MONTH('Deal maths'!AA285)-MONTH(IF('Deal maths'!Z285&gt;0,'Deal maths'!Z285,DATE(1990,1,1))))/D285)-1)*D285),EDATE('Deal maths'!AA285,-(INT(((YEAR('Deal maths'!AA285)-YEAR(IF('Deal maths'!Z285&gt;0,'Deal maths'!Z285,DATE(1990,1,1))))*12+MONTH('Deal maths'!AA285)-MONTH(IF('Deal maths'!Z285&gt;0,'Deal maths'!Z285,DATE(1990,1,1))))/D285)-1)*D285))))),0)</f>
        <v/>
      </c>
      <c r="F285" s="110">
        <f>IF(D285=0,0,'Deal maths'!AB285*D285/12)</f>
        <v/>
      </c>
      <c r="G285" s="108">
        <f>N285+O285</f>
        <v/>
      </c>
      <c r="H285" s="108">
        <f>IFERROR(IF(OR(D285=0,AsAt&lt;E285),0,MIN(N285,INT(((YEAR(AsAt)-YEAR(E285))*12+MONTH(AsAt)-MONTH(E285)-(DAY(AsAt)&lt;MIN(R285,DAY(EOMONTH(AsAt,0)))))/D285)+1)+O285*(AsAt&gt;='Deal maths'!AA285)),0)</f>
        <v/>
      </c>
      <c r="I285" s="108">
        <f>G285-H285</f>
        <v/>
      </c>
      <c r="J285" s="111">
        <f>IF(AND(C285="EIP",I285&gt;0),'Deal maths'!Y285/I285,0)</f>
        <v/>
      </c>
      <c r="K285" s="111">
        <f>IF(AND(C285="Annuity",I285&gt;0),IF(F285&gt;0,'Deal maths'!Y285*F285/(1-(1+F285)^-I285),'Deal maths'!Y285/I285),0)</f>
        <v/>
      </c>
      <c r="L285" s="111">
        <f>IF('Deal maths'!Y285="",0,'Deal maths'!Y285)</f>
        <v/>
      </c>
      <c r="M285" s="112">
        <f>F285+(F285=0)</f>
        <v/>
      </c>
      <c r="N285" s="108">
        <f>IFERROR(IF(D285=0,0,INT(((YEAR('Deal maths'!AA285)-YEAR(E285))*12+MONTH('Deal maths'!AA285)-MONTH(E285)-(DAY('Deal maths'!AA285)&lt;MIN(R285,DAY(EOMONTH('Deal maths'!AA285,0)))))/D285)+1),0)</f>
        <v/>
      </c>
      <c r="O285" s="108">
        <f>IFERROR(IF(D285=0,0,IF(IF(DAY(E285+1)=1,EOMONTH(E285,(N285-1)*D285),EDATE(E285,(N285-1)*D285))='Deal maths'!AA285,0,1)),0)</f>
        <v/>
      </c>
      <c r="P285" s="113">
        <f>IF(B285=0,0,IFERROR(IF(C285="EIP",((I285-O285)*((IF(DAY(E285+1)=1,EOMONTH(E285,H285*D285),EDATE(E285,H285*D285))-AsAt)/365.25+(IF(DAY(E285+1)=1,EOMONTH(E285,(N285-1)*D285),EDATE(E285,(N285-1)*D285))-AsAt)/365.25)/2+O285*('Deal maths'!AA285-AsAt)/365.25)/I285,IF(C285="Annuity",IF(F285&gt;0,((K285-L285*F285)*((IF(DAY(E285+1)=1,EOMONTH(E285,H285*D285),EDATE(E285,H285*D285))-AsAt)/365.25*((1+F285)^(I285-O285)-1)/F285+IF((I285-O285)&gt;1,((IF(DAY(E285+1)=1,EOMONTH(E285,(N285-1)*D285),EDATE(E285,(N285-1)*D285))-AsAt)/365.25-(IF(DAY(E285+1)=1,EOMONTH(E285,H285*D285),EDATE(E285,H285*D285))-AsAt)/365.25)/((I285-O285)-1),0)*(1+F285)*(1-(I285-O285)*(1+F285)^((I285-O285)-1)+((I285-O285)-1)*(1+F285)^(I285-O285))/F285^2)+O285*(K285-L285*F285)*(1+F285)^(I285-1)*('Deal maths'!AA285-AsAt)/365.25)/L285,((I285-O285)*((IF(DAY(E285+1)=1,EOMONTH(E285,H285*D285),EDATE(E285,H285*D285))-AsAt)/365.25+(IF(DAY(E285+1)=1,EOMONTH(E285,(N285-1)*D285),EDATE(E285,(N285-1)*D285))-AsAt)/365.25)/2+O285*('Deal maths'!AA285-AsAt)/365.25)/I285),(S285-AsAt)/365.25)),0))</f>
        <v/>
      </c>
      <c r="Q285" s="109">
        <f>IF(B285=1,'Deal maths'!AA285+ROW()/1000000,"")</f>
        <v/>
      </c>
      <c r="R285" s="108">
        <f>IF(D285=0,0,IF(DAY(E285+1)=1,31,DAY(E285)))</f>
        <v/>
      </c>
      <c r="S285" s="109">
        <f>IF(AND('Deal maths'!V285="LOBO",'Deal maths'!AG285&gt;AsAt,'Deal maths'!AG285&lt;'Deal maths'!AA285),'Deal maths'!AG285,'Deal maths'!AA285)</f>
        <v/>
      </c>
      <c r="T285" s="108">
        <f>('Deal maths'!AA285&gt;AsAt)*('Deal maths'!Y285&gt;0)</f>
        <v/>
      </c>
    </row>
    <row r="286">
      <c r="A286" s="91">
        <f>IF('Deal maths'!V286="","",'Deal maths'!W286)</f>
        <v/>
      </c>
      <c r="B286" s="108">
        <f>('Deal maths'!AA286&gt;AsAt)*('Deal maths'!Y286&gt;0)*('Deal maths'!Z286&lt;=AsAt)</f>
        <v/>
      </c>
      <c r="C286" s="91">
        <f>IF('Deal maths'!V286="","",IF('Deal maths'!AC286="","Maturity",'Deal maths'!AC286))</f>
        <v/>
      </c>
      <c r="D286" s="108">
        <f>IF(OR(C286="EIP",C286="Annuity"),IF('Deal maths'!AD286="Annual",12,IF('Deal maths'!AD286="Quarterly",3,6)),0)</f>
        <v/>
      </c>
      <c r="E286" s="109">
        <f>IFERROR(IF(D286=0,0,IF('Deal maths'!AE286&gt;0,IF('Deal maths'!AE286&gt;'Deal maths'!AA286,'Deal maths'!AA286,'Deal maths'!AE286),IF(IF(DAY('Deal maths'!AA286+1)=1,EOMONTH('Deal maths'!AA286,-(INT(((YEAR('Deal maths'!AA286)-YEAR(IF('Deal maths'!Z286&gt;0,'Deal maths'!Z286,DATE(1990,1,1))))*12+MONTH('Deal maths'!AA286)-MONTH(IF('Deal maths'!Z286&gt;0,'Deal maths'!Z286,DATE(1990,1,1))))/D286))*D286),EDATE('Deal maths'!AA286,-(INT(((YEAR('Deal maths'!AA286)-YEAR(IF('Deal maths'!Z286&gt;0,'Deal maths'!Z286,DATE(1990,1,1))))*12+MONTH('Deal maths'!AA286)-MONTH(IF('Deal maths'!Z286&gt;0,'Deal maths'!Z286,DATE(1990,1,1))))/D286))*D286))&gt;IF('Deal maths'!Z286&gt;0,'Deal maths'!Z286,DATE(1990,1,1)),IF(DAY('Deal maths'!AA286+1)=1,EOMONTH('Deal maths'!AA286,-(INT(((YEAR('Deal maths'!AA286)-YEAR(IF('Deal maths'!Z286&gt;0,'Deal maths'!Z286,DATE(1990,1,1))))*12+MONTH('Deal maths'!AA286)-MONTH(IF('Deal maths'!Z286&gt;0,'Deal maths'!Z286,DATE(1990,1,1))))/D286))*D286),EDATE('Deal maths'!AA286,-(INT(((YEAR('Deal maths'!AA286)-YEAR(IF('Deal maths'!Z286&gt;0,'Deal maths'!Z286,DATE(1990,1,1))))*12+MONTH('Deal maths'!AA286)-MONTH(IF('Deal maths'!Z286&gt;0,'Deal maths'!Z286,DATE(1990,1,1))))/D286))*D286)),IF(DAY('Deal maths'!AA286+1)=1,EOMONTH('Deal maths'!AA286,-(INT(((YEAR('Deal maths'!AA286)-YEAR(IF('Deal maths'!Z286&gt;0,'Deal maths'!Z286,DATE(1990,1,1))))*12+MONTH('Deal maths'!AA286)-MONTH(IF('Deal maths'!Z286&gt;0,'Deal maths'!Z286,DATE(1990,1,1))))/D286)-1)*D286),EDATE('Deal maths'!AA286,-(INT(((YEAR('Deal maths'!AA286)-YEAR(IF('Deal maths'!Z286&gt;0,'Deal maths'!Z286,DATE(1990,1,1))))*12+MONTH('Deal maths'!AA286)-MONTH(IF('Deal maths'!Z286&gt;0,'Deal maths'!Z286,DATE(1990,1,1))))/D286)-1)*D286))))),0)</f>
        <v/>
      </c>
      <c r="F286" s="110">
        <f>IF(D286=0,0,'Deal maths'!AB286*D286/12)</f>
        <v/>
      </c>
      <c r="G286" s="108">
        <f>N286+O286</f>
        <v/>
      </c>
      <c r="H286" s="108">
        <f>IFERROR(IF(OR(D286=0,AsAt&lt;E286),0,MIN(N286,INT(((YEAR(AsAt)-YEAR(E286))*12+MONTH(AsAt)-MONTH(E286)-(DAY(AsAt)&lt;MIN(R286,DAY(EOMONTH(AsAt,0)))))/D286)+1)+O286*(AsAt&gt;='Deal maths'!AA286)),0)</f>
        <v/>
      </c>
      <c r="I286" s="108">
        <f>G286-H286</f>
        <v/>
      </c>
      <c r="J286" s="111">
        <f>IF(AND(C286="EIP",I286&gt;0),'Deal maths'!Y286/I286,0)</f>
        <v/>
      </c>
      <c r="K286" s="111">
        <f>IF(AND(C286="Annuity",I286&gt;0),IF(F286&gt;0,'Deal maths'!Y286*F286/(1-(1+F286)^-I286),'Deal maths'!Y286/I286),0)</f>
        <v/>
      </c>
      <c r="L286" s="111">
        <f>IF('Deal maths'!Y286="",0,'Deal maths'!Y286)</f>
        <v/>
      </c>
      <c r="M286" s="112">
        <f>F286+(F286=0)</f>
        <v/>
      </c>
      <c r="N286" s="108">
        <f>IFERROR(IF(D286=0,0,INT(((YEAR('Deal maths'!AA286)-YEAR(E286))*12+MONTH('Deal maths'!AA286)-MONTH(E286)-(DAY('Deal maths'!AA286)&lt;MIN(R286,DAY(EOMONTH('Deal maths'!AA286,0)))))/D286)+1),0)</f>
        <v/>
      </c>
      <c r="O286" s="108">
        <f>IFERROR(IF(D286=0,0,IF(IF(DAY(E286+1)=1,EOMONTH(E286,(N286-1)*D286),EDATE(E286,(N286-1)*D286))='Deal maths'!AA286,0,1)),0)</f>
        <v/>
      </c>
      <c r="P286" s="113">
        <f>IF(B286=0,0,IFERROR(IF(C286="EIP",((I286-O286)*((IF(DAY(E286+1)=1,EOMONTH(E286,H286*D286),EDATE(E286,H286*D286))-AsAt)/365.25+(IF(DAY(E286+1)=1,EOMONTH(E286,(N286-1)*D286),EDATE(E286,(N286-1)*D286))-AsAt)/365.25)/2+O286*('Deal maths'!AA286-AsAt)/365.25)/I286,IF(C286="Annuity",IF(F286&gt;0,((K286-L286*F286)*((IF(DAY(E286+1)=1,EOMONTH(E286,H286*D286),EDATE(E286,H286*D286))-AsAt)/365.25*((1+F286)^(I286-O286)-1)/F286+IF((I286-O286)&gt;1,((IF(DAY(E286+1)=1,EOMONTH(E286,(N286-1)*D286),EDATE(E286,(N286-1)*D286))-AsAt)/365.25-(IF(DAY(E286+1)=1,EOMONTH(E286,H286*D286),EDATE(E286,H286*D286))-AsAt)/365.25)/((I286-O286)-1),0)*(1+F286)*(1-(I286-O286)*(1+F286)^((I286-O286)-1)+((I286-O286)-1)*(1+F286)^(I286-O286))/F286^2)+O286*(K286-L286*F286)*(1+F286)^(I286-1)*('Deal maths'!AA286-AsAt)/365.25)/L286,((I286-O286)*((IF(DAY(E286+1)=1,EOMONTH(E286,H286*D286),EDATE(E286,H286*D286))-AsAt)/365.25+(IF(DAY(E286+1)=1,EOMONTH(E286,(N286-1)*D286),EDATE(E286,(N286-1)*D286))-AsAt)/365.25)/2+O286*('Deal maths'!AA286-AsAt)/365.25)/I286),(S286-AsAt)/365.25)),0))</f>
        <v/>
      </c>
      <c r="Q286" s="109">
        <f>IF(B286=1,'Deal maths'!AA286+ROW()/1000000,"")</f>
        <v/>
      </c>
      <c r="R286" s="108">
        <f>IF(D286=0,0,IF(DAY(E286+1)=1,31,DAY(E286)))</f>
        <v/>
      </c>
      <c r="S286" s="109">
        <f>IF(AND('Deal maths'!V286="LOBO",'Deal maths'!AG286&gt;AsAt,'Deal maths'!AG286&lt;'Deal maths'!AA286),'Deal maths'!AG286,'Deal maths'!AA286)</f>
        <v/>
      </c>
      <c r="T286" s="108">
        <f>('Deal maths'!AA286&gt;AsAt)*('Deal maths'!Y286&gt;0)</f>
        <v/>
      </c>
    </row>
    <row r="287">
      <c r="A287" s="91">
        <f>IF('Deal maths'!V287="","",'Deal maths'!W287)</f>
        <v/>
      </c>
      <c r="B287" s="108">
        <f>('Deal maths'!AA287&gt;AsAt)*('Deal maths'!Y287&gt;0)*('Deal maths'!Z287&lt;=AsAt)</f>
        <v/>
      </c>
      <c r="C287" s="91">
        <f>IF('Deal maths'!V287="","",IF('Deal maths'!AC287="","Maturity",'Deal maths'!AC287))</f>
        <v/>
      </c>
      <c r="D287" s="108">
        <f>IF(OR(C287="EIP",C287="Annuity"),IF('Deal maths'!AD287="Annual",12,IF('Deal maths'!AD287="Quarterly",3,6)),0)</f>
        <v/>
      </c>
      <c r="E287" s="109">
        <f>IFERROR(IF(D287=0,0,IF('Deal maths'!AE287&gt;0,IF('Deal maths'!AE287&gt;'Deal maths'!AA287,'Deal maths'!AA287,'Deal maths'!AE287),IF(IF(DAY('Deal maths'!AA287+1)=1,EOMONTH('Deal maths'!AA287,-(INT(((YEAR('Deal maths'!AA287)-YEAR(IF('Deal maths'!Z287&gt;0,'Deal maths'!Z287,DATE(1990,1,1))))*12+MONTH('Deal maths'!AA287)-MONTH(IF('Deal maths'!Z287&gt;0,'Deal maths'!Z287,DATE(1990,1,1))))/D287))*D287),EDATE('Deal maths'!AA287,-(INT(((YEAR('Deal maths'!AA287)-YEAR(IF('Deal maths'!Z287&gt;0,'Deal maths'!Z287,DATE(1990,1,1))))*12+MONTH('Deal maths'!AA287)-MONTH(IF('Deal maths'!Z287&gt;0,'Deal maths'!Z287,DATE(1990,1,1))))/D287))*D287))&gt;IF('Deal maths'!Z287&gt;0,'Deal maths'!Z287,DATE(1990,1,1)),IF(DAY('Deal maths'!AA287+1)=1,EOMONTH('Deal maths'!AA287,-(INT(((YEAR('Deal maths'!AA287)-YEAR(IF('Deal maths'!Z287&gt;0,'Deal maths'!Z287,DATE(1990,1,1))))*12+MONTH('Deal maths'!AA287)-MONTH(IF('Deal maths'!Z287&gt;0,'Deal maths'!Z287,DATE(1990,1,1))))/D287))*D287),EDATE('Deal maths'!AA287,-(INT(((YEAR('Deal maths'!AA287)-YEAR(IF('Deal maths'!Z287&gt;0,'Deal maths'!Z287,DATE(1990,1,1))))*12+MONTH('Deal maths'!AA287)-MONTH(IF('Deal maths'!Z287&gt;0,'Deal maths'!Z287,DATE(1990,1,1))))/D287))*D287)),IF(DAY('Deal maths'!AA287+1)=1,EOMONTH('Deal maths'!AA287,-(INT(((YEAR('Deal maths'!AA287)-YEAR(IF('Deal maths'!Z287&gt;0,'Deal maths'!Z287,DATE(1990,1,1))))*12+MONTH('Deal maths'!AA287)-MONTH(IF('Deal maths'!Z287&gt;0,'Deal maths'!Z287,DATE(1990,1,1))))/D287)-1)*D287),EDATE('Deal maths'!AA287,-(INT(((YEAR('Deal maths'!AA287)-YEAR(IF('Deal maths'!Z287&gt;0,'Deal maths'!Z287,DATE(1990,1,1))))*12+MONTH('Deal maths'!AA287)-MONTH(IF('Deal maths'!Z287&gt;0,'Deal maths'!Z287,DATE(1990,1,1))))/D287)-1)*D287))))),0)</f>
        <v/>
      </c>
      <c r="F287" s="110">
        <f>IF(D287=0,0,'Deal maths'!AB287*D287/12)</f>
        <v/>
      </c>
      <c r="G287" s="108">
        <f>N287+O287</f>
        <v/>
      </c>
      <c r="H287" s="108">
        <f>IFERROR(IF(OR(D287=0,AsAt&lt;E287),0,MIN(N287,INT(((YEAR(AsAt)-YEAR(E287))*12+MONTH(AsAt)-MONTH(E287)-(DAY(AsAt)&lt;MIN(R287,DAY(EOMONTH(AsAt,0)))))/D287)+1)+O287*(AsAt&gt;='Deal maths'!AA287)),0)</f>
        <v/>
      </c>
      <c r="I287" s="108">
        <f>G287-H287</f>
        <v/>
      </c>
      <c r="J287" s="111">
        <f>IF(AND(C287="EIP",I287&gt;0),'Deal maths'!Y287/I287,0)</f>
        <v/>
      </c>
      <c r="K287" s="111">
        <f>IF(AND(C287="Annuity",I287&gt;0),IF(F287&gt;0,'Deal maths'!Y287*F287/(1-(1+F287)^-I287),'Deal maths'!Y287/I287),0)</f>
        <v/>
      </c>
      <c r="L287" s="111">
        <f>IF('Deal maths'!Y287="",0,'Deal maths'!Y287)</f>
        <v/>
      </c>
      <c r="M287" s="112">
        <f>F287+(F287=0)</f>
        <v/>
      </c>
      <c r="N287" s="108">
        <f>IFERROR(IF(D287=0,0,INT(((YEAR('Deal maths'!AA287)-YEAR(E287))*12+MONTH('Deal maths'!AA287)-MONTH(E287)-(DAY('Deal maths'!AA287)&lt;MIN(R287,DAY(EOMONTH('Deal maths'!AA287,0)))))/D287)+1),0)</f>
        <v/>
      </c>
      <c r="O287" s="108">
        <f>IFERROR(IF(D287=0,0,IF(IF(DAY(E287+1)=1,EOMONTH(E287,(N287-1)*D287),EDATE(E287,(N287-1)*D287))='Deal maths'!AA287,0,1)),0)</f>
        <v/>
      </c>
      <c r="P287" s="113">
        <f>IF(B287=0,0,IFERROR(IF(C287="EIP",((I287-O287)*((IF(DAY(E287+1)=1,EOMONTH(E287,H287*D287),EDATE(E287,H287*D287))-AsAt)/365.25+(IF(DAY(E287+1)=1,EOMONTH(E287,(N287-1)*D287),EDATE(E287,(N287-1)*D287))-AsAt)/365.25)/2+O287*('Deal maths'!AA287-AsAt)/365.25)/I287,IF(C287="Annuity",IF(F287&gt;0,((K287-L287*F287)*((IF(DAY(E287+1)=1,EOMONTH(E287,H287*D287),EDATE(E287,H287*D287))-AsAt)/365.25*((1+F287)^(I287-O287)-1)/F287+IF((I287-O287)&gt;1,((IF(DAY(E287+1)=1,EOMONTH(E287,(N287-1)*D287),EDATE(E287,(N287-1)*D287))-AsAt)/365.25-(IF(DAY(E287+1)=1,EOMONTH(E287,H287*D287),EDATE(E287,H287*D287))-AsAt)/365.25)/((I287-O287)-1),0)*(1+F287)*(1-(I287-O287)*(1+F287)^((I287-O287)-1)+((I287-O287)-1)*(1+F287)^(I287-O287))/F287^2)+O287*(K287-L287*F287)*(1+F287)^(I287-1)*('Deal maths'!AA287-AsAt)/365.25)/L287,((I287-O287)*((IF(DAY(E287+1)=1,EOMONTH(E287,H287*D287),EDATE(E287,H287*D287))-AsAt)/365.25+(IF(DAY(E287+1)=1,EOMONTH(E287,(N287-1)*D287),EDATE(E287,(N287-1)*D287))-AsAt)/365.25)/2+O287*('Deal maths'!AA287-AsAt)/365.25)/I287),(S287-AsAt)/365.25)),0))</f>
        <v/>
      </c>
      <c r="Q287" s="109">
        <f>IF(B287=1,'Deal maths'!AA287+ROW()/1000000,"")</f>
        <v/>
      </c>
      <c r="R287" s="108">
        <f>IF(D287=0,0,IF(DAY(E287+1)=1,31,DAY(E287)))</f>
        <v/>
      </c>
      <c r="S287" s="109">
        <f>IF(AND('Deal maths'!V287="LOBO",'Deal maths'!AG287&gt;AsAt,'Deal maths'!AG287&lt;'Deal maths'!AA287),'Deal maths'!AG287,'Deal maths'!AA287)</f>
        <v/>
      </c>
      <c r="T287" s="108">
        <f>('Deal maths'!AA287&gt;AsAt)*('Deal maths'!Y287&gt;0)</f>
        <v/>
      </c>
    </row>
    <row r="288">
      <c r="A288" s="91">
        <f>IF('Deal maths'!V288="","",'Deal maths'!W288)</f>
        <v/>
      </c>
      <c r="B288" s="108">
        <f>('Deal maths'!AA288&gt;AsAt)*('Deal maths'!Y288&gt;0)*('Deal maths'!Z288&lt;=AsAt)</f>
        <v/>
      </c>
      <c r="C288" s="91">
        <f>IF('Deal maths'!V288="","",IF('Deal maths'!AC288="","Maturity",'Deal maths'!AC288))</f>
        <v/>
      </c>
      <c r="D288" s="108">
        <f>IF(OR(C288="EIP",C288="Annuity"),IF('Deal maths'!AD288="Annual",12,IF('Deal maths'!AD288="Quarterly",3,6)),0)</f>
        <v/>
      </c>
      <c r="E288" s="109">
        <f>IFERROR(IF(D288=0,0,IF('Deal maths'!AE288&gt;0,IF('Deal maths'!AE288&gt;'Deal maths'!AA288,'Deal maths'!AA288,'Deal maths'!AE288),IF(IF(DAY('Deal maths'!AA288+1)=1,EOMONTH('Deal maths'!AA288,-(INT(((YEAR('Deal maths'!AA288)-YEAR(IF('Deal maths'!Z288&gt;0,'Deal maths'!Z288,DATE(1990,1,1))))*12+MONTH('Deal maths'!AA288)-MONTH(IF('Deal maths'!Z288&gt;0,'Deal maths'!Z288,DATE(1990,1,1))))/D288))*D288),EDATE('Deal maths'!AA288,-(INT(((YEAR('Deal maths'!AA288)-YEAR(IF('Deal maths'!Z288&gt;0,'Deal maths'!Z288,DATE(1990,1,1))))*12+MONTH('Deal maths'!AA288)-MONTH(IF('Deal maths'!Z288&gt;0,'Deal maths'!Z288,DATE(1990,1,1))))/D288))*D288))&gt;IF('Deal maths'!Z288&gt;0,'Deal maths'!Z288,DATE(1990,1,1)),IF(DAY('Deal maths'!AA288+1)=1,EOMONTH('Deal maths'!AA288,-(INT(((YEAR('Deal maths'!AA288)-YEAR(IF('Deal maths'!Z288&gt;0,'Deal maths'!Z288,DATE(1990,1,1))))*12+MONTH('Deal maths'!AA288)-MONTH(IF('Deal maths'!Z288&gt;0,'Deal maths'!Z288,DATE(1990,1,1))))/D288))*D288),EDATE('Deal maths'!AA288,-(INT(((YEAR('Deal maths'!AA288)-YEAR(IF('Deal maths'!Z288&gt;0,'Deal maths'!Z288,DATE(1990,1,1))))*12+MONTH('Deal maths'!AA288)-MONTH(IF('Deal maths'!Z288&gt;0,'Deal maths'!Z288,DATE(1990,1,1))))/D288))*D288)),IF(DAY('Deal maths'!AA288+1)=1,EOMONTH('Deal maths'!AA288,-(INT(((YEAR('Deal maths'!AA288)-YEAR(IF('Deal maths'!Z288&gt;0,'Deal maths'!Z288,DATE(1990,1,1))))*12+MONTH('Deal maths'!AA288)-MONTH(IF('Deal maths'!Z288&gt;0,'Deal maths'!Z288,DATE(1990,1,1))))/D288)-1)*D288),EDATE('Deal maths'!AA288,-(INT(((YEAR('Deal maths'!AA288)-YEAR(IF('Deal maths'!Z288&gt;0,'Deal maths'!Z288,DATE(1990,1,1))))*12+MONTH('Deal maths'!AA288)-MONTH(IF('Deal maths'!Z288&gt;0,'Deal maths'!Z288,DATE(1990,1,1))))/D288)-1)*D288))))),0)</f>
        <v/>
      </c>
      <c r="F288" s="110">
        <f>IF(D288=0,0,'Deal maths'!AB288*D288/12)</f>
        <v/>
      </c>
      <c r="G288" s="108">
        <f>N288+O288</f>
        <v/>
      </c>
      <c r="H288" s="108">
        <f>IFERROR(IF(OR(D288=0,AsAt&lt;E288),0,MIN(N288,INT(((YEAR(AsAt)-YEAR(E288))*12+MONTH(AsAt)-MONTH(E288)-(DAY(AsAt)&lt;MIN(R288,DAY(EOMONTH(AsAt,0)))))/D288)+1)+O288*(AsAt&gt;='Deal maths'!AA288)),0)</f>
        <v/>
      </c>
      <c r="I288" s="108">
        <f>G288-H288</f>
        <v/>
      </c>
      <c r="J288" s="111">
        <f>IF(AND(C288="EIP",I288&gt;0),'Deal maths'!Y288/I288,0)</f>
        <v/>
      </c>
      <c r="K288" s="111">
        <f>IF(AND(C288="Annuity",I288&gt;0),IF(F288&gt;0,'Deal maths'!Y288*F288/(1-(1+F288)^-I288),'Deal maths'!Y288/I288),0)</f>
        <v/>
      </c>
      <c r="L288" s="111">
        <f>IF('Deal maths'!Y288="",0,'Deal maths'!Y288)</f>
        <v/>
      </c>
      <c r="M288" s="112">
        <f>F288+(F288=0)</f>
        <v/>
      </c>
      <c r="N288" s="108">
        <f>IFERROR(IF(D288=0,0,INT(((YEAR('Deal maths'!AA288)-YEAR(E288))*12+MONTH('Deal maths'!AA288)-MONTH(E288)-(DAY('Deal maths'!AA288)&lt;MIN(R288,DAY(EOMONTH('Deal maths'!AA288,0)))))/D288)+1),0)</f>
        <v/>
      </c>
      <c r="O288" s="108">
        <f>IFERROR(IF(D288=0,0,IF(IF(DAY(E288+1)=1,EOMONTH(E288,(N288-1)*D288),EDATE(E288,(N288-1)*D288))='Deal maths'!AA288,0,1)),0)</f>
        <v/>
      </c>
      <c r="P288" s="113">
        <f>IF(B288=0,0,IFERROR(IF(C288="EIP",((I288-O288)*((IF(DAY(E288+1)=1,EOMONTH(E288,H288*D288),EDATE(E288,H288*D288))-AsAt)/365.25+(IF(DAY(E288+1)=1,EOMONTH(E288,(N288-1)*D288),EDATE(E288,(N288-1)*D288))-AsAt)/365.25)/2+O288*('Deal maths'!AA288-AsAt)/365.25)/I288,IF(C288="Annuity",IF(F288&gt;0,((K288-L288*F288)*((IF(DAY(E288+1)=1,EOMONTH(E288,H288*D288),EDATE(E288,H288*D288))-AsAt)/365.25*((1+F288)^(I288-O288)-1)/F288+IF((I288-O288)&gt;1,((IF(DAY(E288+1)=1,EOMONTH(E288,(N288-1)*D288),EDATE(E288,(N288-1)*D288))-AsAt)/365.25-(IF(DAY(E288+1)=1,EOMONTH(E288,H288*D288),EDATE(E288,H288*D288))-AsAt)/365.25)/((I288-O288)-1),0)*(1+F288)*(1-(I288-O288)*(1+F288)^((I288-O288)-1)+((I288-O288)-1)*(1+F288)^(I288-O288))/F288^2)+O288*(K288-L288*F288)*(1+F288)^(I288-1)*('Deal maths'!AA288-AsAt)/365.25)/L288,((I288-O288)*((IF(DAY(E288+1)=1,EOMONTH(E288,H288*D288),EDATE(E288,H288*D288))-AsAt)/365.25+(IF(DAY(E288+1)=1,EOMONTH(E288,(N288-1)*D288),EDATE(E288,(N288-1)*D288))-AsAt)/365.25)/2+O288*('Deal maths'!AA288-AsAt)/365.25)/I288),(S288-AsAt)/365.25)),0))</f>
        <v/>
      </c>
      <c r="Q288" s="109">
        <f>IF(B288=1,'Deal maths'!AA288+ROW()/1000000,"")</f>
        <v/>
      </c>
      <c r="R288" s="108">
        <f>IF(D288=0,0,IF(DAY(E288+1)=1,31,DAY(E288)))</f>
        <v/>
      </c>
      <c r="S288" s="109">
        <f>IF(AND('Deal maths'!V288="LOBO",'Deal maths'!AG288&gt;AsAt,'Deal maths'!AG288&lt;'Deal maths'!AA288),'Deal maths'!AG288,'Deal maths'!AA288)</f>
        <v/>
      </c>
      <c r="T288" s="108">
        <f>('Deal maths'!AA288&gt;AsAt)*('Deal maths'!Y288&gt;0)</f>
        <v/>
      </c>
    </row>
    <row r="289">
      <c r="A289" s="91">
        <f>IF('Deal maths'!V289="","",'Deal maths'!W289)</f>
        <v/>
      </c>
      <c r="B289" s="108">
        <f>('Deal maths'!AA289&gt;AsAt)*('Deal maths'!Y289&gt;0)*('Deal maths'!Z289&lt;=AsAt)</f>
        <v/>
      </c>
      <c r="C289" s="91">
        <f>IF('Deal maths'!V289="","",IF('Deal maths'!AC289="","Maturity",'Deal maths'!AC289))</f>
        <v/>
      </c>
      <c r="D289" s="108">
        <f>IF(OR(C289="EIP",C289="Annuity"),IF('Deal maths'!AD289="Annual",12,IF('Deal maths'!AD289="Quarterly",3,6)),0)</f>
        <v/>
      </c>
      <c r="E289" s="109">
        <f>IFERROR(IF(D289=0,0,IF('Deal maths'!AE289&gt;0,IF('Deal maths'!AE289&gt;'Deal maths'!AA289,'Deal maths'!AA289,'Deal maths'!AE289),IF(IF(DAY('Deal maths'!AA289+1)=1,EOMONTH('Deal maths'!AA289,-(INT(((YEAR('Deal maths'!AA289)-YEAR(IF('Deal maths'!Z289&gt;0,'Deal maths'!Z289,DATE(1990,1,1))))*12+MONTH('Deal maths'!AA289)-MONTH(IF('Deal maths'!Z289&gt;0,'Deal maths'!Z289,DATE(1990,1,1))))/D289))*D289),EDATE('Deal maths'!AA289,-(INT(((YEAR('Deal maths'!AA289)-YEAR(IF('Deal maths'!Z289&gt;0,'Deal maths'!Z289,DATE(1990,1,1))))*12+MONTH('Deal maths'!AA289)-MONTH(IF('Deal maths'!Z289&gt;0,'Deal maths'!Z289,DATE(1990,1,1))))/D289))*D289))&gt;IF('Deal maths'!Z289&gt;0,'Deal maths'!Z289,DATE(1990,1,1)),IF(DAY('Deal maths'!AA289+1)=1,EOMONTH('Deal maths'!AA289,-(INT(((YEAR('Deal maths'!AA289)-YEAR(IF('Deal maths'!Z289&gt;0,'Deal maths'!Z289,DATE(1990,1,1))))*12+MONTH('Deal maths'!AA289)-MONTH(IF('Deal maths'!Z289&gt;0,'Deal maths'!Z289,DATE(1990,1,1))))/D289))*D289),EDATE('Deal maths'!AA289,-(INT(((YEAR('Deal maths'!AA289)-YEAR(IF('Deal maths'!Z289&gt;0,'Deal maths'!Z289,DATE(1990,1,1))))*12+MONTH('Deal maths'!AA289)-MONTH(IF('Deal maths'!Z289&gt;0,'Deal maths'!Z289,DATE(1990,1,1))))/D289))*D289)),IF(DAY('Deal maths'!AA289+1)=1,EOMONTH('Deal maths'!AA289,-(INT(((YEAR('Deal maths'!AA289)-YEAR(IF('Deal maths'!Z289&gt;0,'Deal maths'!Z289,DATE(1990,1,1))))*12+MONTH('Deal maths'!AA289)-MONTH(IF('Deal maths'!Z289&gt;0,'Deal maths'!Z289,DATE(1990,1,1))))/D289)-1)*D289),EDATE('Deal maths'!AA289,-(INT(((YEAR('Deal maths'!AA289)-YEAR(IF('Deal maths'!Z289&gt;0,'Deal maths'!Z289,DATE(1990,1,1))))*12+MONTH('Deal maths'!AA289)-MONTH(IF('Deal maths'!Z289&gt;0,'Deal maths'!Z289,DATE(1990,1,1))))/D289)-1)*D289))))),0)</f>
        <v/>
      </c>
      <c r="F289" s="110">
        <f>IF(D289=0,0,'Deal maths'!AB289*D289/12)</f>
        <v/>
      </c>
      <c r="G289" s="108">
        <f>N289+O289</f>
        <v/>
      </c>
      <c r="H289" s="108">
        <f>IFERROR(IF(OR(D289=0,AsAt&lt;E289),0,MIN(N289,INT(((YEAR(AsAt)-YEAR(E289))*12+MONTH(AsAt)-MONTH(E289)-(DAY(AsAt)&lt;MIN(R289,DAY(EOMONTH(AsAt,0)))))/D289)+1)+O289*(AsAt&gt;='Deal maths'!AA289)),0)</f>
        <v/>
      </c>
      <c r="I289" s="108">
        <f>G289-H289</f>
        <v/>
      </c>
      <c r="J289" s="111">
        <f>IF(AND(C289="EIP",I289&gt;0),'Deal maths'!Y289/I289,0)</f>
        <v/>
      </c>
      <c r="K289" s="111">
        <f>IF(AND(C289="Annuity",I289&gt;0),IF(F289&gt;0,'Deal maths'!Y289*F289/(1-(1+F289)^-I289),'Deal maths'!Y289/I289),0)</f>
        <v/>
      </c>
      <c r="L289" s="111">
        <f>IF('Deal maths'!Y289="",0,'Deal maths'!Y289)</f>
        <v/>
      </c>
      <c r="M289" s="112">
        <f>F289+(F289=0)</f>
        <v/>
      </c>
      <c r="N289" s="108">
        <f>IFERROR(IF(D289=0,0,INT(((YEAR('Deal maths'!AA289)-YEAR(E289))*12+MONTH('Deal maths'!AA289)-MONTH(E289)-(DAY('Deal maths'!AA289)&lt;MIN(R289,DAY(EOMONTH('Deal maths'!AA289,0)))))/D289)+1),0)</f>
        <v/>
      </c>
      <c r="O289" s="108">
        <f>IFERROR(IF(D289=0,0,IF(IF(DAY(E289+1)=1,EOMONTH(E289,(N289-1)*D289),EDATE(E289,(N289-1)*D289))='Deal maths'!AA289,0,1)),0)</f>
        <v/>
      </c>
      <c r="P289" s="113">
        <f>IF(B289=0,0,IFERROR(IF(C289="EIP",((I289-O289)*((IF(DAY(E289+1)=1,EOMONTH(E289,H289*D289),EDATE(E289,H289*D289))-AsAt)/365.25+(IF(DAY(E289+1)=1,EOMONTH(E289,(N289-1)*D289),EDATE(E289,(N289-1)*D289))-AsAt)/365.25)/2+O289*('Deal maths'!AA289-AsAt)/365.25)/I289,IF(C289="Annuity",IF(F289&gt;0,((K289-L289*F289)*((IF(DAY(E289+1)=1,EOMONTH(E289,H289*D289),EDATE(E289,H289*D289))-AsAt)/365.25*((1+F289)^(I289-O289)-1)/F289+IF((I289-O289)&gt;1,((IF(DAY(E289+1)=1,EOMONTH(E289,(N289-1)*D289),EDATE(E289,(N289-1)*D289))-AsAt)/365.25-(IF(DAY(E289+1)=1,EOMONTH(E289,H289*D289),EDATE(E289,H289*D289))-AsAt)/365.25)/((I289-O289)-1),0)*(1+F289)*(1-(I289-O289)*(1+F289)^((I289-O289)-1)+((I289-O289)-1)*(1+F289)^(I289-O289))/F289^2)+O289*(K289-L289*F289)*(1+F289)^(I289-1)*('Deal maths'!AA289-AsAt)/365.25)/L289,((I289-O289)*((IF(DAY(E289+1)=1,EOMONTH(E289,H289*D289),EDATE(E289,H289*D289))-AsAt)/365.25+(IF(DAY(E289+1)=1,EOMONTH(E289,(N289-1)*D289),EDATE(E289,(N289-1)*D289))-AsAt)/365.25)/2+O289*('Deal maths'!AA289-AsAt)/365.25)/I289),(S289-AsAt)/365.25)),0))</f>
        <v/>
      </c>
      <c r="Q289" s="109">
        <f>IF(B289=1,'Deal maths'!AA289+ROW()/1000000,"")</f>
        <v/>
      </c>
      <c r="R289" s="108">
        <f>IF(D289=0,0,IF(DAY(E289+1)=1,31,DAY(E289)))</f>
        <v/>
      </c>
      <c r="S289" s="109">
        <f>IF(AND('Deal maths'!V289="LOBO",'Deal maths'!AG289&gt;AsAt,'Deal maths'!AG289&lt;'Deal maths'!AA289),'Deal maths'!AG289,'Deal maths'!AA289)</f>
        <v/>
      </c>
      <c r="T289" s="108">
        <f>('Deal maths'!AA289&gt;AsAt)*('Deal maths'!Y289&gt;0)</f>
        <v/>
      </c>
    </row>
    <row r="290">
      <c r="A290" s="91">
        <f>IF('Deal maths'!V290="","",'Deal maths'!W290)</f>
        <v/>
      </c>
      <c r="B290" s="108">
        <f>('Deal maths'!AA290&gt;AsAt)*('Deal maths'!Y290&gt;0)*('Deal maths'!Z290&lt;=AsAt)</f>
        <v/>
      </c>
      <c r="C290" s="91">
        <f>IF('Deal maths'!V290="","",IF('Deal maths'!AC290="","Maturity",'Deal maths'!AC290))</f>
        <v/>
      </c>
      <c r="D290" s="108">
        <f>IF(OR(C290="EIP",C290="Annuity"),IF('Deal maths'!AD290="Annual",12,IF('Deal maths'!AD290="Quarterly",3,6)),0)</f>
        <v/>
      </c>
      <c r="E290" s="109">
        <f>IFERROR(IF(D290=0,0,IF('Deal maths'!AE290&gt;0,IF('Deal maths'!AE290&gt;'Deal maths'!AA290,'Deal maths'!AA290,'Deal maths'!AE290),IF(IF(DAY('Deal maths'!AA290+1)=1,EOMONTH('Deal maths'!AA290,-(INT(((YEAR('Deal maths'!AA290)-YEAR(IF('Deal maths'!Z290&gt;0,'Deal maths'!Z290,DATE(1990,1,1))))*12+MONTH('Deal maths'!AA290)-MONTH(IF('Deal maths'!Z290&gt;0,'Deal maths'!Z290,DATE(1990,1,1))))/D290))*D290),EDATE('Deal maths'!AA290,-(INT(((YEAR('Deal maths'!AA290)-YEAR(IF('Deal maths'!Z290&gt;0,'Deal maths'!Z290,DATE(1990,1,1))))*12+MONTH('Deal maths'!AA290)-MONTH(IF('Deal maths'!Z290&gt;0,'Deal maths'!Z290,DATE(1990,1,1))))/D290))*D290))&gt;IF('Deal maths'!Z290&gt;0,'Deal maths'!Z290,DATE(1990,1,1)),IF(DAY('Deal maths'!AA290+1)=1,EOMONTH('Deal maths'!AA290,-(INT(((YEAR('Deal maths'!AA290)-YEAR(IF('Deal maths'!Z290&gt;0,'Deal maths'!Z290,DATE(1990,1,1))))*12+MONTH('Deal maths'!AA290)-MONTH(IF('Deal maths'!Z290&gt;0,'Deal maths'!Z290,DATE(1990,1,1))))/D290))*D290),EDATE('Deal maths'!AA290,-(INT(((YEAR('Deal maths'!AA290)-YEAR(IF('Deal maths'!Z290&gt;0,'Deal maths'!Z290,DATE(1990,1,1))))*12+MONTH('Deal maths'!AA290)-MONTH(IF('Deal maths'!Z290&gt;0,'Deal maths'!Z290,DATE(1990,1,1))))/D290))*D290)),IF(DAY('Deal maths'!AA290+1)=1,EOMONTH('Deal maths'!AA290,-(INT(((YEAR('Deal maths'!AA290)-YEAR(IF('Deal maths'!Z290&gt;0,'Deal maths'!Z290,DATE(1990,1,1))))*12+MONTH('Deal maths'!AA290)-MONTH(IF('Deal maths'!Z290&gt;0,'Deal maths'!Z290,DATE(1990,1,1))))/D290)-1)*D290),EDATE('Deal maths'!AA290,-(INT(((YEAR('Deal maths'!AA290)-YEAR(IF('Deal maths'!Z290&gt;0,'Deal maths'!Z290,DATE(1990,1,1))))*12+MONTH('Deal maths'!AA290)-MONTH(IF('Deal maths'!Z290&gt;0,'Deal maths'!Z290,DATE(1990,1,1))))/D290)-1)*D290))))),0)</f>
        <v/>
      </c>
      <c r="F290" s="110">
        <f>IF(D290=0,0,'Deal maths'!AB290*D290/12)</f>
        <v/>
      </c>
      <c r="G290" s="108">
        <f>N290+O290</f>
        <v/>
      </c>
      <c r="H290" s="108">
        <f>IFERROR(IF(OR(D290=0,AsAt&lt;E290),0,MIN(N290,INT(((YEAR(AsAt)-YEAR(E290))*12+MONTH(AsAt)-MONTH(E290)-(DAY(AsAt)&lt;MIN(R290,DAY(EOMONTH(AsAt,0)))))/D290)+1)+O290*(AsAt&gt;='Deal maths'!AA290)),0)</f>
        <v/>
      </c>
      <c r="I290" s="108">
        <f>G290-H290</f>
        <v/>
      </c>
      <c r="J290" s="111">
        <f>IF(AND(C290="EIP",I290&gt;0),'Deal maths'!Y290/I290,0)</f>
        <v/>
      </c>
      <c r="K290" s="111">
        <f>IF(AND(C290="Annuity",I290&gt;0),IF(F290&gt;0,'Deal maths'!Y290*F290/(1-(1+F290)^-I290),'Deal maths'!Y290/I290),0)</f>
        <v/>
      </c>
      <c r="L290" s="111">
        <f>IF('Deal maths'!Y290="",0,'Deal maths'!Y290)</f>
        <v/>
      </c>
      <c r="M290" s="112">
        <f>F290+(F290=0)</f>
        <v/>
      </c>
      <c r="N290" s="108">
        <f>IFERROR(IF(D290=0,0,INT(((YEAR('Deal maths'!AA290)-YEAR(E290))*12+MONTH('Deal maths'!AA290)-MONTH(E290)-(DAY('Deal maths'!AA290)&lt;MIN(R290,DAY(EOMONTH('Deal maths'!AA290,0)))))/D290)+1),0)</f>
        <v/>
      </c>
      <c r="O290" s="108">
        <f>IFERROR(IF(D290=0,0,IF(IF(DAY(E290+1)=1,EOMONTH(E290,(N290-1)*D290),EDATE(E290,(N290-1)*D290))='Deal maths'!AA290,0,1)),0)</f>
        <v/>
      </c>
      <c r="P290" s="113">
        <f>IF(B290=0,0,IFERROR(IF(C290="EIP",((I290-O290)*((IF(DAY(E290+1)=1,EOMONTH(E290,H290*D290),EDATE(E290,H290*D290))-AsAt)/365.25+(IF(DAY(E290+1)=1,EOMONTH(E290,(N290-1)*D290),EDATE(E290,(N290-1)*D290))-AsAt)/365.25)/2+O290*('Deal maths'!AA290-AsAt)/365.25)/I290,IF(C290="Annuity",IF(F290&gt;0,((K290-L290*F290)*((IF(DAY(E290+1)=1,EOMONTH(E290,H290*D290),EDATE(E290,H290*D290))-AsAt)/365.25*((1+F290)^(I290-O290)-1)/F290+IF((I290-O290)&gt;1,((IF(DAY(E290+1)=1,EOMONTH(E290,(N290-1)*D290),EDATE(E290,(N290-1)*D290))-AsAt)/365.25-(IF(DAY(E290+1)=1,EOMONTH(E290,H290*D290),EDATE(E290,H290*D290))-AsAt)/365.25)/((I290-O290)-1),0)*(1+F290)*(1-(I290-O290)*(1+F290)^((I290-O290)-1)+((I290-O290)-1)*(1+F290)^(I290-O290))/F290^2)+O290*(K290-L290*F290)*(1+F290)^(I290-1)*('Deal maths'!AA290-AsAt)/365.25)/L290,((I290-O290)*((IF(DAY(E290+1)=1,EOMONTH(E290,H290*D290),EDATE(E290,H290*D290))-AsAt)/365.25+(IF(DAY(E290+1)=1,EOMONTH(E290,(N290-1)*D290),EDATE(E290,(N290-1)*D290))-AsAt)/365.25)/2+O290*('Deal maths'!AA290-AsAt)/365.25)/I290),(S290-AsAt)/365.25)),0))</f>
        <v/>
      </c>
      <c r="Q290" s="109">
        <f>IF(B290=1,'Deal maths'!AA290+ROW()/1000000,"")</f>
        <v/>
      </c>
      <c r="R290" s="108">
        <f>IF(D290=0,0,IF(DAY(E290+1)=1,31,DAY(E290)))</f>
        <v/>
      </c>
      <c r="S290" s="109">
        <f>IF(AND('Deal maths'!V290="LOBO",'Deal maths'!AG290&gt;AsAt,'Deal maths'!AG290&lt;'Deal maths'!AA290),'Deal maths'!AG290,'Deal maths'!AA290)</f>
        <v/>
      </c>
      <c r="T290" s="108">
        <f>('Deal maths'!AA290&gt;AsAt)*('Deal maths'!Y290&gt;0)</f>
        <v/>
      </c>
    </row>
    <row r="291">
      <c r="A291" s="91">
        <f>IF('Deal maths'!V291="","",'Deal maths'!W291)</f>
        <v/>
      </c>
      <c r="B291" s="108">
        <f>('Deal maths'!AA291&gt;AsAt)*('Deal maths'!Y291&gt;0)*('Deal maths'!Z291&lt;=AsAt)</f>
        <v/>
      </c>
      <c r="C291" s="91">
        <f>IF('Deal maths'!V291="","",IF('Deal maths'!AC291="","Maturity",'Deal maths'!AC291))</f>
        <v/>
      </c>
      <c r="D291" s="108">
        <f>IF(OR(C291="EIP",C291="Annuity"),IF('Deal maths'!AD291="Annual",12,IF('Deal maths'!AD291="Quarterly",3,6)),0)</f>
        <v/>
      </c>
      <c r="E291" s="109">
        <f>IFERROR(IF(D291=0,0,IF('Deal maths'!AE291&gt;0,IF('Deal maths'!AE291&gt;'Deal maths'!AA291,'Deal maths'!AA291,'Deal maths'!AE291),IF(IF(DAY('Deal maths'!AA291+1)=1,EOMONTH('Deal maths'!AA291,-(INT(((YEAR('Deal maths'!AA291)-YEAR(IF('Deal maths'!Z291&gt;0,'Deal maths'!Z291,DATE(1990,1,1))))*12+MONTH('Deal maths'!AA291)-MONTH(IF('Deal maths'!Z291&gt;0,'Deal maths'!Z291,DATE(1990,1,1))))/D291))*D291),EDATE('Deal maths'!AA291,-(INT(((YEAR('Deal maths'!AA291)-YEAR(IF('Deal maths'!Z291&gt;0,'Deal maths'!Z291,DATE(1990,1,1))))*12+MONTH('Deal maths'!AA291)-MONTH(IF('Deal maths'!Z291&gt;0,'Deal maths'!Z291,DATE(1990,1,1))))/D291))*D291))&gt;IF('Deal maths'!Z291&gt;0,'Deal maths'!Z291,DATE(1990,1,1)),IF(DAY('Deal maths'!AA291+1)=1,EOMONTH('Deal maths'!AA291,-(INT(((YEAR('Deal maths'!AA291)-YEAR(IF('Deal maths'!Z291&gt;0,'Deal maths'!Z291,DATE(1990,1,1))))*12+MONTH('Deal maths'!AA291)-MONTH(IF('Deal maths'!Z291&gt;0,'Deal maths'!Z291,DATE(1990,1,1))))/D291))*D291),EDATE('Deal maths'!AA291,-(INT(((YEAR('Deal maths'!AA291)-YEAR(IF('Deal maths'!Z291&gt;0,'Deal maths'!Z291,DATE(1990,1,1))))*12+MONTH('Deal maths'!AA291)-MONTH(IF('Deal maths'!Z291&gt;0,'Deal maths'!Z291,DATE(1990,1,1))))/D291))*D291)),IF(DAY('Deal maths'!AA291+1)=1,EOMONTH('Deal maths'!AA291,-(INT(((YEAR('Deal maths'!AA291)-YEAR(IF('Deal maths'!Z291&gt;0,'Deal maths'!Z291,DATE(1990,1,1))))*12+MONTH('Deal maths'!AA291)-MONTH(IF('Deal maths'!Z291&gt;0,'Deal maths'!Z291,DATE(1990,1,1))))/D291)-1)*D291),EDATE('Deal maths'!AA291,-(INT(((YEAR('Deal maths'!AA291)-YEAR(IF('Deal maths'!Z291&gt;0,'Deal maths'!Z291,DATE(1990,1,1))))*12+MONTH('Deal maths'!AA291)-MONTH(IF('Deal maths'!Z291&gt;0,'Deal maths'!Z291,DATE(1990,1,1))))/D291)-1)*D291))))),0)</f>
        <v/>
      </c>
      <c r="F291" s="110">
        <f>IF(D291=0,0,'Deal maths'!AB291*D291/12)</f>
        <v/>
      </c>
      <c r="G291" s="108">
        <f>N291+O291</f>
        <v/>
      </c>
      <c r="H291" s="108">
        <f>IFERROR(IF(OR(D291=0,AsAt&lt;E291),0,MIN(N291,INT(((YEAR(AsAt)-YEAR(E291))*12+MONTH(AsAt)-MONTH(E291)-(DAY(AsAt)&lt;MIN(R291,DAY(EOMONTH(AsAt,0)))))/D291)+1)+O291*(AsAt&gt;='Deal maths'!AA291)),0)</f>
        <v/>
      </c>
      <c r="I291" s="108">
        <f>G291-H291</f>
        <v/>
      </c>
      <c r="J291" s="111">
        <f>IF(AND(C291="EIP",I291&gt;0),'Deal maths'!Y291/I291,0)</f>
        <v/>
      </c>
      <c r="K291" s="111">
        <f>IF(AND(C291="Annuity",I291&gt;0),IF(F291&gt;0,'Deal maths'!Y291*F291/(1-(1+F291)^-I291),'Deal maths'!Y291/I291),0)</f>
        <v/>
      </c>
      <c r="L291" s="111">
        <f>IF('Deal maths'!Y291="",0,'Deal maths'!Y291)</f>
        <v/>
      </c>
      <c r="M291" s="112">
        <f>F291+(F291=0)</f>
        <v/>
      </c>
      <c r="N291" s="108">
        <f>IFERROR(IF(D291=0,0,INT(((YEAR('Deal maths'!AA291)-YEAR(E291))*12+MONTH('Deal maths'!AA291)-MONTH(E291)-(DAY('Deal maths'!AA291)&lt;MIN(R291,DAY(EOMONTH('Deal maths'!AA291,0)))))/D291)+1),0)</f>
        <v/>
      </c>
      <c r="O291" s="108">
        <f>IFERROR(IF(D291=0,0,IF(IF(DAY(E291+1)=1,EOMONTH(E291,(N291-1)*D291),EDATE(E291,(N291-1)*D291))='Deal maths'!AA291,0,1)),0)</f>
        <v/>
      </c>
      <c r="P291" s="113">
        <f>IF(B291=0,0,IFERROR(IF(C291="EIP",((I291-O291)*((IF(DAY(E291+1)=1,EOMONTH(E291,H291*D291),EDATE(E291,H291*D291))-AsAt)/365.25+(IF(DAY(E291+1)=1,EOMONTH(E291,(N291-1)*D291),EDATE(E291,(N291-1)*D291))-AsAt)/365.25)/2+O291*('Deal maths'!AA291-AsAt)/365.25)/I291,IF(C291="Annuity",IF(F291&gt;0,((K291-L291*F291)*((IF(DAY(E291+1)=1,EOMONTH(E291,H291*D291),EDATE(E291,H291*D291))-AsAt)/365.25*((1+F291)^(I291-O291)-1)/F291+IF((I291-O291)&gt;1,((IF(DAY(E291+1)=1,EOMONTH(E291,(N291-1)*D291),EDATE(E291,(N291-1)*D291))-AsAt)/365.25-(IF(DAY(E291+1)=1,EOMONTH(E291,H291*D291),EDATE(E291,H291*D291))-AsAt)/365.25)/((I291-O291)-1),0)*(1+F291)*(1-(I291-O291)*(1+F291)^((I291-O291)-1)+((I291-O291)-1)*(1+F291)^(I291-O291))/F291^2)+O291*(K291-L291*F291)*(1+F291)^(I291-1)*('Deal maths'!AA291-AsAt)/365.25)/L291,((I291-O291)*((IF(DAY(E291+1)=1,EOMONTH(E291,H291*D291),EDATE(E291,H291*D291))-AsAt)/365.25+(IF(DAY(E291+1)=1,EOMONTH(E291,(N291-1)*D291),EDATE(E291,(N291-1)*D291))-AsAt)/365.25)/2+O291*('Deal maths'!AA291-AsAt)/365.25)/I291),(S291-AsAt)/365.25)),0))</f>
        <v/>
      </c>
      <c r="Q291" s="109">
        <f>IF(B291=1,'Deal maths'!AA291+ROW()/1000000,"")</f>
        <v/>
      </c>
      <c r="R291" s="108">
        <f>IF(D291=0,0,IF(DAY(E291+1)=1,31,DAY(E291)))</f>
        <v/>
      </c>
      <c r="S291" s="109">
        <f>IF(AND('Deal maths'!V291="LOBO",'Deal maths'!AG291&gt;AsAt,'Deal maths'!AG291&lt;'Deal maths'!AA291),'Deal maths'!AG291,'Deal maths'!AA291)</f>
        <v/>
      </c>
      <c r="T291" s="108">
        <f>('Deal maths'!AA291&gt;AsAt)*('Deal maths'!Y291&gt;0)</f>
        <v/>
      </c>
    </row>
    <row r="292">
      <c r="A292" s="91">
        <f>IF('Deal maths'!V292="","",'Deal maths'!W292)</f>
        <v/>
      </c>
      <c r="B292" s="108">
        <f>('Deal maths'!AA292&gt;AsAt)*('Deal maths'!Y292&gt;0)*('Deal maths'!Z292&lt;=AsAt)</f>
        <v/>
      </c>
      <c r="C292" s="91">
        <f>IF('Deal maths'!V292="","",IF('Deal maths'!AC292="","Maturity",'Deal maths'!AC292))</f>
        <v/>
      </c>
      <c r="D292" s="108">
        <f>IF(OR(C292="EIP",C292="Annuity"),IF('Deal maths'!AD292="Annual",12,IF('Deal maths'!AD292="Quarterly",3,6)),0)</f>
        <v/>
      </c>
      <c r="E292" s="109">
        <f>IFERROR(IF(D292=0,0,IF('Deal maths'!AE292&gt;0,IF('Deal maths'!AE292&gt;'Deal maths'!AA292,'Deal maths'!AA292,'Deal maths'!AE292),IF(IF(DAY('Deal maths'!AA292+1)=1,EOMONTH('Deal maths'!AA292,-(INT(((YEAR('Deal maths'!AA292)-YEAR(IF('Deal maths'!Z292&gt;0,'Deal maths'!Z292,DATE(1990,1,1))))*12+MONTH('Deal maths'!AA292)-MONTH(IF('Deal maths'!Z292&gt;0,'Deal maths'!Z292,DATE(1990,1,1))))/D292))*D292),EDATE('Deal maths'!AA292,-(INT(((YEAR('Deal maths'!AA292)-YEAR(IF('Deal maths'!Z292&gt;0,'Deal maths'!Z292,DATE(1990,1,1))))*12+MONTH('Deal maths'!AA292)-MONTH(IF('Deal maths'!Z292&gt;0,'Deal maths'!Z292,DATE(1990,1,1))))/D292))*D292))&gt;IF('Deal maths'!Z292&gt;0,'Deal maths'!Z292,DATE(1990,1,1)),IF(DAY('Deal maths'!AA292+1)=1,EOMONTH('Deal maths'!AA292,-(INT(((YEAR('Deal maths'!AA292)-YEAR(IF('Deal maths'!Z292&gt;0,'Deal maths'!Z292,DATE(1990,1,1))))*12+MONTH('Deal maths'!AA292)-MONTH(IF('Deal maths'!Z292&gt;0,'Deal maths'!Z292,DATE(1990,1,1))))/D292))*D292),EDATE('Deal maths'!AA292,-(INT(((YEAR('Deal maths'!AA292)-YEAR(IF('Deal maths'!Z292&gt;0,'Deal maths'!Z292,DATE(1990,1,1))))*12+MONTH('Deal maths'!AA292)-MONTH(IF('Deal maths'!Z292&gt;0,'Deal maths'!Z292,DATE(1990,1,1))))/D292))*D292)),IF(DAY('Deal maths'!AA292+1)=1,EOMONTH('Deal maths'!AA292,-(INT(((YEAR('Deal maths'!AA292)-YEAR(IF('Deal maths'!Z292&gt;0,'Deal maths'!Z292,DATE(1990,1,1))))*12+MONTH('Deal maths'!AA292)-MONTH(IF('Deal maths'!Z292&gt;0,'Deal maths'!Z292,DATE(1990,1,1))))/D292)-1)*D292),EDATE('Deal maths'!AA292,-(INT(((YEAR('Deal maths'!AA292)-YEAR(IF('Deal maths'!Z292&gt;0,'Deal maths'!Z292,DATE(1990,1,1))))*12+MONTH('Deal maths'!AA292)-MONTH(IF('Deal maths'!Z292&gt;0,'Deal maths'!Z292,DATE(1990,1,1))))/D292)-1)*D292))))),0)</f>
        <v/>
      </c>
      <c r="F292" s="110">
        <f>IF(D292=0,0,'Deal maths'!AB292*D292/12)</f>
        <v/>
      </c>
      <c r="G292" s="108">
        <f>N292+O292</f>
        <v/>
      </c>
      <c r="H292" s="108">
        <f>IFERROR(IF(OR(D292=0,AsAt&lt;E292),0,MIN(N292,INT(((YEAR(AsAt)-YEAR(E292))*12+MONTH(AsAt)-MONTH(E292)-(DAY(AsAt)&lt;MIN(R292,DAY(EOMONTH(AsAt,0)))))/D292)+1)+O292*(AsAt&gt;='Deal maths'!AA292)),0)</f>
        <v/>
      </c>
      <c r="I292" s="108">
        <f>G292-H292</f>
        <v/>
      </c>
      <c r="J292" s="111">
        <f>IF(AND(C292="EIP",I292&gt;0),'Deal maths'!Y292/I292,0)</f>
        <v/>
      </c>
      <c r="K292" s="111">
        <f>IF(AND(C292="Annuity",I292&gt;0),IF(F292&gt;0,'Deal maths'!Y292*F292/(1-(1+F292)^-I292),'Deal maths'!Y292/I292),0)</f>
        <v/>
      </c>
      <c r="L292" s="111">
        <f>IF('Deal maths'!Y292="",0,'Deal maths'!Y292)</f>
        <v/>
      </c>
      <c r="M292" s="112">
        <f>F292+(F292=0)</f>
        <v/>
      </c>
      <c r="N292" s="108">
        <f>IFERROR(IF(D292=0,0,INT(((YEAR('Deal maths'!AA292)-YEAR(E292))*12+MONTH('Deal maths'!AA292)-MONTH(E292)-(DAY('Deal maths'!AA292)&lt;MIN(R292,DAY(EOMONTH('Deal maths'!AA292,0)))))/D292)+1),0)</f>
        <v/>
      </c>
      <c r="O292" s="108">
        <f>IFERROR(IF(D292=0,0,IF(IF(DAY(E292+1)=1,EOMONTH(E292,(N292-1)*D292),EDATE(E292,(N292-1)*D292))='Deal maths'!AA292,0,1)),0)</f>
        <v/>
      </c>
      <c r="P292" s="113">
        <f>IF(B292=0,0,IFERROR(IF(C292="EIP",((I292-O292)*((IF(DAY(E292+1)=1,EOMONTH(E292,H292*D292),EDATE(E292,H292*D292))-AsAt)/365.25+(IF(DAY(E292+1)=1,EOMONTH(E292,(N292-1)*D292),EDATE(E292,(N292-1)*D292))-AsAt)/365.25)/2+O292*('Deal maths'!AA292-AsAt)/365.25)/I292,IF(C292="Annuity",IF(F292&gt;0,((K292-L292*F292)*((IF(DAY(E292+1)=1,EOMONTH(E292,H292*D292),EDATE(E292,H292*D292))-AsAt)/365.25*((1+F292)^(I292-O292)-1)/F292+IF((I292-O292)&gt;1,((IF(DAY(E292+1)=1,EOMONTH(E292,(N292-1)*D292),EDATE(E292,(N292-1)*D292))-AsAt)/365.25-(IF(DAY(E292+1)=1,EOMONTH(E292,H292*D292),EDATE(E292,H292*D292))-AsAt)/365.25)/((I292-O292)-1),0)*(1+F292)*(1-(I292-O292)*(1+F292)^((I292-O292)-1)+((I292-O292)-1)*(1+F292)^(I292-O292))/F292^2)+O292*(K292-L292*F292)*(1+F292)^(I292-1)*('Deal maths'!AA292-AsAt)/365.25)/L292,((I292-O292)*((IF(DAY(E292+1)=1,EOMONTH(E292,H292*D292),EDATE(E292,H292*D292))-AsAt)/365.25+(IF(DAY(E292+1)=1,EOMONTH(E292,(N292-1)*D292),EDATE(E292,(N292-1)*D292))-AsAt)/365.25)/2+O292*('Deal maths'!AA292-AsAt)/365.25)/I292),(S292-AsAt)/365.25)),0))</f>
        <v/>
      </c>
      <c r="Q292" s="109">
        <f>IF(B292=1,'Deal maths'!AA292+ROW()/1000000,"")</f>
        <v/>
      </c>
      <c r="R292" s="108">
        <f>IF(D292=0,0,IF(DAY(E292+1)=1,31,DAY(E292)))</f>
        <v/>
      </c>
      <c r="S292" s="109">
        <f>IF(AND('Deal maths'!V292="LOBO",'Deal maths'!AG292&gt;AsAt,'Deal maths'!AG292&lt;'Deal maths'!AA292),'Deal maths'!AG292,'Deal maths'!AA292)</f>
        <v/>
      </c>
      <c r="T292" s="108">
        <f>('Deal maths'!AA292&gt;AsAt)*('Deal maths'!Y292&gt;0)</f>
        <v/>
      </c>
    </row>
    <row r="293">
      <c r="A293" s="91">
        <f>IF('Deal maths'!V293="","",'Deal maths'!W293)</f>
        <v/>
      </c>
      <c r="B293" s="108">
        <f>('Deal maths'!AA293&gt;AsAt)*('Deal maths'!Y293&gt;0)*('Deal maths'!Z293&lt;=AsAt)</f>
        <v/>
      </c>
      <c r="C293" s="91">
        <f>IF('Deal maths'!V293="","",IF('Deal maths'!AC293="","Maturity",'Deal maths'!AC293))</f>
        <v/>
      </c>
      <c r="D293" s="108">
        <f>IF(OR(C293="EIP",C293="Annuity"),IF('Deal maths'!AD293="Annual",12,IF('Deal maths'!AD293="Quarterly",3,6)),0)</f>
        <v/>
      </c>
      <c r="E293" s="109">
        <f>IFERROR(IF(D293=0,0,IF('Deal maths'!AE293&gt;0,IF('Deal maths'!AE293&gt;'Deal maths'!AA293,'Deal maths'!AA293,'Deal maths'!AE293),IF(IF(DAY('Deal maths'!AA293+1)=1,EOMONTH('Deal maths'!AA293,-(INT(((YEAR('Deal maths'!AA293)-YEAR(IF('Deal maths'!Z293&gt;0,'Deal maths'!Z293,DATE(1990,1,1))))*12+MONTH('Deal maths'!AA293)-MONTH(IF('Deal maths'!Z293&gt;0,'Deal maths'!Z293,DATE(1990,1,1))))/D293))*D293),EDATE('Deal maths'!AA293,-(INT(((YEAR('Deal maths'!AA293)-YEAR(IF('Deal maths'!Z293&gt;0,'Deal maths'!Z293,DATE(1990,1,1))))*12+MONTH('Deal maths'!AA293)-MONTH(IF('Deal maths'!Z293&gt;0,'Deal maths'!Z293,DATE(1990,1,1))))/D293))*D293))&gt;IF('Deal maths'!Z293&gt;0,'Deal maths'!Z293,DATE(1990,1,1)),IF(DAY('Deal maths'!AA293+1)=1,EOMONTH('Deal maths'!AA293,-(INT(((YEAR('Deal maths'!AA293)-YEAR(IF('Deal maths'!Z293&gt;0,'Deal maths'!Z293,DATE(1990,1,1))))*12+MONTH('Deal maths'!AA293)-MONTH(IF('Deal maths'!Z293&gt;0,'Deal maths'!Z293,DATE(1990,1,1))))/D293))*D293),EDATE('Deal maths'!AA293,-(INT(((YEAR('Deal maths'!AA293)-YEAR(IF('Deal maths'!Z293&gt;0,'Deal maths'!Z293,DATE(1990,1,1))))*12+MONTH('Deal maths'!AA293)-MONTH(IF('Deal maths'!Z293&gt;0,'Deal maths'!Z293,DATE(1990,1,1))))/D293))*D293)),IF(DAY('Deal maths'!AA293+1)=1,EOMONTH('Deal maths'!AA293,-(INT(((YEAR('Deal maths'!AA293)-YEAR(IF('Deal maths'!Z293&gt;0,'Deal maths'!Z293,DATE(1990,1,1))))*12+MONTH('Deal maths'!AA293)-MONTH(IF('Deal maths'!Z293&gt;0,'Deal maths'!Z293,DATE(1990,1,1))))/D293)-1)*D293),EDATE('Deal maths'!AA293,-(INT(((YEAR('Deal maths'!AA293)-YEAR(IF('Deal maths'!Z293&gt;0,'Deal maths'!Z293,DATE(1990,1,1))))*12+MONTH('Deal maths'!AA293)-MONTH(IF('Deal maths'!Z293&gt;0,'Deal maths'!Z293,DATE(1990,1,1))))/D293)-1)*D293))))),0)</f>
        <v/>
      </c>
      <c r="F293" s="110">
        <f>IF(D293=0,0,'Deal maths'!AB293*D293/12)</f>
        <v/>
      </c>
      <c r="G293" s="108">
        <f>N293+O293</f>
        <v/>
      </c>
      <c r="H293" s="108">
        <f>IFERROR(IF(OR(D293=0,AsAt&lt;E293),0,MIN(N293,INT(((YEAR(AsAt)-YEAR(E293))*12+MONTH(AsAt)-MONTH(E293)-(DAY(AsAt)&lt;MIN(R293,DAY(EOMONTH(AsAt,0)))))/D293)+1)+O293*(AsAt&gt;='Deal maths'!AA293)),0)</f>
        <v/>
      </c>
      <c r="I293" s="108">
        <f>G293-H293</f>
        <v/>
      </c>
      <c r="J293" s="111">
        <f>IF(AND(C293="EIP",I293&gt;0),'Deal maths'!Y293/I293,0)</f>
        <v/>
      </c>
      <c r="K293" s="111">
        <f>IF(AND(C293="Annuity",I293&gt;0),IF(F293&gt;0,'Deal maths'!Y293*F293/(1-(1+F293)^-I293),'Deal maths'!Y293/I293),0)</f>
        <v/>
      </c>
      <c r="L293" s="111">
        <f>IF('Deal maths'!Y293="",0,'Deal maths'!Y293)</f>
        <v/>
      </c>
      <c r="M293" s="112">
        <f>F293+(F293=0)</f>
        <v/>
      </c>
      <c r="N293" s="108">
        <f>IFERROR(IF(D293=0,0,INT(((YEAR('Deal maths'!AA293)-YEAR(E293))*12+MONTH('Deal maths'!AA293)-MONTH(E293)-(DAY('Deal maths'!AA293)&lt;MIN(R293,DAY(EOMONTH('Deal maths'!AA293,0)))))/D293)+1),0)</f>
        <v/>
      </c>
      <c r="O293" s="108">
        <f>IFERROR(IF(D293=0,0,IF(IF(DAY(E293+1)=1,EOMONTH(E293,(N293-1)*D293),EDATE(E293,(N293-1)*D293))='Deal maths'!AA293,0,1)),0)</f>
        <v/>
      </c>
      <c r="P293" s="113">
        <f>IF(B293=0,0,IFERROR(IF(C293="EIP",((I293-O293)*((IF(DAY(E293+1)=1,EOMONTH(E293,H293*D293),EDATE(E293,H293*D293))-AsAt)/365.25+(IF(DAY(E293+1)=1,EOMONTH(E293,(N293-1)*D293),EDATE(E293,(N293-1)*D293))-AsAt)/365.25)/2+O293*('Deal maths'!AA293-AsAt)/365.25)/I293,IF(C293="Annuity",IF(F293&gt;0,((K293-L293*F293)*((IF(DAY(E293+1)=1,EOMONTH(E293,H293*D293),EDATE(E293,H293*D293))-AsAt)/365.25*((1+F293)^(I293-O293)-1)/F293+IF((I293-O293)&gt;1,((IF(DAY(E293+1)=1,EOMONTH(E293,(N293-1)*D293),EDATE(E293,(N293-1)*D293))-AsAt)/365.25-(IF(DAY(E293+1)=1,EOMONTH(E293,H293*D293),EDATE(E293,H293*D293))-AsAt)/365.25)/((I293-O293)-1),0)*(1+F293)*(1-(I293-O293)*(1+F293)^((I293-O293)-1)+((I293-O293)-1)*(1+F293)^(I293-O293))/F293^2)+O293*(K293-L293*F293)*(1+F293)^(I293-1)*('Deal maths'!AA293-AsAt)/365.25)/L293,((I293-O293)*((IF(DAY(E293+1)=1,EOMONTH(E293,H293*D293),EDATE(E293,H293*D293))-AsAt)/365.25+(IF(DAY(E293+1)=1,EOMONTH(E293,(N293-1)*D293),EDATE(E293,(N293-1)*D293))-AsAt)/365.25)/2+O293*('Deal maths'!AA293-AsAt)/365.25)/I293),(S293-AsAt)/365.25)),0))</f>
        <v/>
      </c>
      <c r="Q293" s="109">
        <f>IF(B293=1,'Deal maths'!AA293+ROW()/1000000,"")</f>
        <v/>
      </c>
      <c r="R293" s="108">
        <f>IF(D293=0,0,IF(DAY(E293+1)=1,31,DAY(E293)))</f>
        <v/>
      </c>
      <c r="S293" s="109">
        <f>IF(AND('Deal maths'!V293="LOBO",'Deal maths'!AG293&gt;AsAt,'Deal maths'!AG293&lt;'Deal maths'!AA293),'Deal maths'!AG293,'Deal maths'!AA293)</f>
        <v/>
      </c>
      <c r="T293" s="108">
        <f>('Deal maths'!AA293&gt;AsAt)*('Deal maths'!Y293&gt;0)</f>
        <v/>
      </c>
    </row>
    <row r="294">
      <c r="A294" s="91">
        <f>IF('Deal maths'!V294="","",'Deal maths'!W294)</f>
        <v/>
      </c>
      <c r="B294" s="108">
        <f>('Deal maths'!AA294&gt;AsAt)*('Deal maths'!Y294&gt;0)*('Deal maths'!Z294&lt;=AsAt)</f>
        <v/>
      </c>
      <c r="C294" s="91">
        <f>IF('Deal maths'!V294="","",IF('Deal maths'!AC294="","Maturity",'Deal maths'!AC294))</f>
        <v/>
      </c>
      <c r="D294" s="108">
        <f>IF(OR(C294="EIP",C294="Annuity"),IF('Deal maths'!AD294="Annual",12,IF('Deal maths'!AD294="Quarterly",3,6)),0)</f>
        <v/>
      </c>
      <c r="E294" s="109">
        <f>IFERROR(IF(D294=0,0,IF('Deal maths'!AE294&gt;0,IF('Deal maths'!AE294&gt;'Deal maths'!AA294,'Deal maths'!AA294,'Deal maths'!AE294),IF(IF(DAY('Deal maths'!AA294+1)=1,EOMONTH('Deal maths'!AA294,-(INT(((YEAR('Deal maths'!AA294)-YEAR(IF('Deal maths'!Z294&gt;0,'Deal maths'!Z294,DATE(1990,1,1))))*12+MONTH('Deal maths'!AA294)-MONTH(IF('Deal maths'!Z294&gt;0,'Deal maths'!Z294,DATE(1990,1,1))))/D294))*D294),EDATE('Deal maths'!AA294,-(INT(((YEAR('Deal maths'!AA294)-YEAR(IF('Deal maths'!Z294&gt;0,'Deal maths'!Z294,DATE(1990,1,1))))*12+MONTH('Deal maths'!AA294)-MONTH(IF('Deal maths'!Z294&gt;0,'Deal maths'!Z294,DATE(1990,1,1))))/D294))*D294))&gt;IF('Deal maths'!Z294&gt;0,'Deal maths'!Z294,DATE(1990,1,1)),IF(DAY('Deal maths'!AA294+1)=1,EOMONTH('Deal maths'!AA294,-(INT(((YEAR('Deal maths'!AA294)-YEAR(IF('Deal maths'!Z294&gt;0,'Deal maths'!Z294,DATE(1990,1,1))))*12+MONTH('Deal maths'!AA294)-MONTH(IF('Deal maths'!Z294&gt;0,'Deal maths'!Z294,DATE(1990,1,1))))/D294))*D294),EDATE('Deal maths'!AA294,-(INT(((YEAR('Deal maths'!AA294)-YEAR(IF('Deal maths'!Z294&gt;0,'Deal maths'!Z294,DATE(1990,1,1))))*12+MONTH('Deal maths'!AA294)-MONTH(IF('Deal maths'!Z294&gt;0,'Deal maths'!Z294,DATE(1990,1,1))))/D294))*D294)),IF(DAY('Deal maths'!AA294+1)=1,EOMONTH('Deal maths'!AA294,-(INT(((YEAR('Deal maths'!AA294)-YEAR(IF('Deal maths'!Z294&gt;0,'Deal maths'!Z294,DATE(1990,1,1))))*12+MONTH('Deal maths'!AA294)-MONTH(IF('Deal maths'!Z294&gt;0,'Deal maths'!Z294,DATE(1990,1,1))))/D294)-1)*D294),EDATE('Deal maths'!AA294,-(INT(((YEAR('Deal maths'!AA294)-YEAR(IF('Deal maths'!Z294&gt;0,'Deal maths'!Z294,DATE(1990,1,1))))*12+MONTH('Deal maths'!AA294)-MONTH(IF('Deal maths'!Z294&gt;0,'Deal maths'!Z294,DATE(1990,1,1))))/D294)-1)*D294))))),0)</f>
        <v/>
      </c>
      <c r="F294" s="110">
        <f>IF(D294=0,0,'Deal maths'!AB294*D294/12)</f>
        <v/>
      </c>
      <c r="G294" s="108">
        <f>N294+O294</f>
        <v/>
      </c>
      <c r="H294" s="108">
        <f>IFERROR(IF(OR(D294=0,AsAt&lt;E294),0,MIN(N294,INT(((YEAR(AsAt)-YEAR(E294))*12+MONTH(AsAt)-MONTH(E294)-(DAY(AsAt)&lt;MIN(R294,DAY(EOMONTH(AsAt,0)))))/D294)+1)+O294*(AsAt&gt;='Deal maths'!AA294)),0)</f>
        <v/>
      </c>
      <c r="I294" s="108">
        <f>G294-H294</f>
        <v/>
      </c>
      <c r="J294" s="111">
        <f>IF(AND(C294="EIP",I294&gt;0),'Deal maths'!Y294/I294,0)</f>
        <v/>
      </c>
      <c r="K294" s="111">
        <f>IF(AND(C294="Annuity",I294&gt;0),IF(F294&gt;0,'Deal maths'!Y294*F294/(1-(1+F294)^-I294),'Deal maths'!Y294/I294),0)</f>
        <v/>
      </c>
      <c r="L294" s="111">
        <f>IF('Deal maths'!Y294="",0,'Deal maths'!Y294)</f>
        <v/>
      </c>
      <c r="M294" s="112">
        <f>F294+(F294=0)</f>
        <v/>
      </c>
      <c r="N294" s="108">
        <f>IFERROR(IF(D294=0,0,INT(((YEAR('Deal maths'!AA294)-YEAR(E294))*12+MONTH('Deal maths'!AA294)-MONTH(E294)-(DAY('Deal maths'!AA294)&lt;MIN(R294,DAY(EOMONTH('Deal maths'!AA294,0)))))/D294)+1),0)</f>
        <v/>
      </c>
      <c r="O294" s="108">
        <f>IFERROR(IF(D294=0,0,IF(IF(DAY(E294+1)=1,EOMONTH(E294,(N294-1)*D294),EDATE(E294,(N294-1)*D294))='Deal maths'!AA294,0,1)),0)</f>
        <v/>
      </c>
      <c r="P294" s="113">
        <f>IF(B294=0,0,IFERROR(IF(C294="EIP",((I294-O294)*((IF(DAY(E294+1)=1,EOMONTH(E294,H294*D294),EDATE(E294,H294*D294))-AsAt)/365.25+(IF(DAY(E294+1)=1,EOMONTH(E294,(N294-1)*D294),EDATE(E294,(N294-1)*D294))-AsAt)/365.25)/2+O294*('Deal maths'!AA294-AsAt)/365.25)/I294,IF(C294="Annuity",IF(F294&gt;0,((K294-L294*F294)*((IF(DAY(E294+1)=1,EOMONTH(E294,H294*D294),EDATE(E294,H294*D294))-AsAt)/365.25*((1+F294)^(I294-O294)-1)/F294+IF((I294-O294)&gt;1,((IF(DAY(E294+1)=1,EOMONTH(E294,(N294-1)*D294),EDATE(E294,(N294-1)*D294))-AsAt)/365.25-(IF(DAY(E294+1)=1,EOMONTH(E294,H294*D294),EDATE(E294,H294*D294))-AsAt)/365.25)/((I294-O294)-1),0)*(1+F294)*(1-(I294-O294)*(1+F294)^((I294-O294)-1)+((I294-O294)-1)*(1+F294)^(I294-O294))/F294^2)+O294*(K294-L294*F294)*(1+F294)^(I294-1)*('Deal maths'!AA294-AsAt)/365.25)/L294,((I294-O294)*((IF(DAY(E294+1)=1,EOMONTH(E294,H294*D294),EDATE(E294,H294*D294))-AsAt)/365.25+(IF(DAY(E294+1)=1,EOMONTH(E294,(N294-1)*D294),EDATE(E294,(N294-1)*D294))-AsAt)/365.25)/2+O294*('Deal maths'!AA294-AsAt)/365.25)/I294),(S294-AsAt)/365.25)),0))</f>
        <v/>
      </c>
      <c r="Q294" s="109">
        <f>IF(B294=1,'Deal maths'!AA294+ROW()/1000000,"")</f>
        <v/>
      </c>
      <c r="R294" s="108">
        <f>IF(D294=0,0,IF(DAY(E294+1)=1,31,DAY(E294)))</f>
        <v/>
      </c>
      <c r="S294" s="109">
        <f>IF(AND('Deal maths'!V294="LOBO",'Deal maths'!AG294&gt;AsAt,'Deal maths'!AG294&lt;'Deal maths'!AA294),'Deal maths'!AG294,'Deal maths'!AA294)</f>
        <v/>
      </c>
      <c r="T294" s="108">
        <f>('Deal maths'!AA294&gt;AsAt)*('Deal maths'!Y294&gt;0)</f>
        <v/>
      </c>
    </row>
    <row r="295">
      <c r="A295" s="91">
        <f>IF('Deal maths'!V295="","",'Deal maths'!W295)</f>
        <v/>
      </c>
      <c r="B295" s="108">
        <f>('Deal maths'!AA295&gt;AsAt)*('Deal maths'!Y295&gt;0)*('Deal maths'!Z295&lt;=AsAt)</f>
        <v/>
      </c>
      <c r="C295" s="91">
        <f>IF('Deal maths'!V295="","",IF('Deal maths'!AC295="","Maturity",'Deal maths'!AC295))</f>
        <v/>
      </c>
      <c r="D295" s="108">
        <f>IF(OR(C295="EIP",C295="Annuity"),IF('Deal maths'!AD295="Annual",12,IF('Deal maths'!AD295="Quarterly",3,6)),0)</f>
        <v/>
      </c>
      <c r="E295" s="109">
        <f>IFERROR(IF(D295=0,0,IF('Deal maths'!AE295&gt;0,IF('Deal maths'!AE295&gt;'Deal maths'!AA295,'Deal maths'!AA295,'Deal maths'!AE295),IF(IF(DAY('Deal maths'!AA295+1)=1,EOMONTH('Deal maths'!AA295,-(INT(((YEAR('Deal maths'!AA295)-YEAR(IF('Deal maths'!Z295&gt;0,'Deal maths'!Z295,DATE(1990,1,1))))*12+MONTH('Deal maths'!AA295)-MONTH(IF('Deal maths'!Z295&gt;0,'Deal maths'!Z295,DATE(1990,1,1))))/D295))*D295),EDATE('Deal maths'!AA295,-(INT(((YEAR('Deal maths'!AA295)-YEAR(IF('Deal maths'!Z295&gt;0,'Deal maths'!Z295,DATE(1990,1,1))))*12+MONTH('Deal maths'!AA295)-MONTH(IF('Deal maths'!Z295&gt;0,'Deal maths'!Z295,DATE(1990,1,1))))/D295))*D295))&gt;IF('Deal maths'!Z295&gt;0,'Deal maths'!Z295,DATE(1990,1,1)),IF(DAY('Deal maths'!AA295+1)=1,EOMONTH('Deal maths'!AA295,-(INT(((YEAR('Deal maths'!AA295)-YEAR(IF('Deal maths'!Z295&gt;0,'Deal maths'!Z295,DATE(1990,1,1))))*12+MONTH('Deal maths'!AA295)-MONTH(IF('Deal maths'!Z295&gt;0,'Deal maths'!Z295,DATE(1990,1,1))))/D295))*D295),EDATE('Deal maths'!AA295,-(INT(((YEAR('Deal maths'!AA295)-YEAR(IF('Deal maths'!Z295&gt;0,'Deal maths'!Z295,DATE(1990,1,1))))*12+MONTH('Deal maths'!AA295)-MONTH(IF('Deal maths'!Z295&gt;0,'Deal maths'!Z295,DATE(1990,1,1))))/D295))*D295)),IF(DAY('Deal maths'!AA295+1)=1,EOMONTH('Deal maths'!AA295,-(INT(((YEAR('Deal maths'!AA295)-YEAR(IF('Deal maths'!Z295&gt;0,'Deal maths'!Z295,DATE(1990,1,1))))*12+MONTH('Deal maths'!AA295)-MONTH(IF('Deal maths'!Z295&gt;0,'Deal maths'!Z295,DATE(1990,1,1))))/D295)-1)*D295),EDATE('Deal maths'!AA295,-(INT(((YEAR('Deal maths'!AA295)-YEAR(IF('Deal maths'!Z295&gt;0,'Deal maths'!Z295,DATE(1990,1,1))))*12+MONTH('Deal maths'!AA295)-MONTH(IF('Deal maths'!Z295&gt;0,'Deal maths'!Z295,DATE(1990,1,1))))/D295)-1)*D295))))),0)</f>
        <v/>
      </c>
      <c r="F295" s="110">
        <f>IF(D295=0,0,'Deal maths'!AB295*D295/12)</f>
        <v/>
      </c>
      <c r="G295" s="108">
        <f>N295+O295</f>
        <v/>
      </c>
      <c r="H295" s="108">
        <f>IFERROR(IF(OR(D295=0,AsAt&lt;E295),0,MIN(N295,INT(((YEAR(AsAt)-YEAR(E295))*12+MONTH(AsAt)-MONTH(E295)-(DAY(AsAt)&lt;MIN(R295,DAY(EOMONTH(AsAt,0)))))/D295)+1)+O295*(AsAt&gt;='Deal maths'!AA295)),0)</f>
        <v/>
      </c>
      <c r="I295" s="108">
        <f>G295-H295</f>
        <v/>
      </c>
      <c r="J295" s="111">
        <f>IF(AND(C295="EIP",I295&gt;0),'Deal maths'!Y295/I295,0)</f>
        <v/>
      </c>
      <c r="K295" s="111">
        <f>IF(AND(C295="Annuity",I295&gt;0),IF(F295&gt;0,'Deal maths'!Y295*F295/(1-(1+F295)^-I295),'Deal maths'!Y295/I295),0)</f>
        <v/>
      </c>
      <c r="L295" s="111">
        <f>IF('Deal maths'!Y295="",0,'Deal maths'!Y295)</f>
        <v/>
      </c>
      <c r="M295" s="112">
        <f>F295+(F295=0)</f>
        <v/>
      </c>
      <c r="N295" s="108">
        <f>IFERROR(IF(D295=0,0,INT(((YEAR('Deal maths'!AA295)-YEAR(E295))*12+MONTH('Deal maths'!AA295)-MONTH(E295)-(DAY('Deal maths'!AA295)&lt;MIN(R295,DAY(EOMONTH('Deal maths'!AA295,0)))))/D295)+1),0)</f>
        <v/>
      </c>
      <c r="O295" s="108">
        <f>IFERROR(IF(D295=0,0,IF(IF(DAY(E295+1)=1,EOMONTH(E295,(N295-1)*D295),EDATE(E295,(N295-1)*D295))='Deal maths'!AA295,0,1)),0)</f>
        <v/>
      </c>
      <c r="P295" s="113">
        <f>IF(B295=0,0,IFERROR(IF(C295="EIP",((I295-O295)*((IF(DAY(E295+1)=1,EOMONTH(E295,H295*D295),EDATE(E295,H295*D295))-AsAt)/365.25+(IF(DAY(E295+1)=1,EOMONTH(E295,(N295-1)*D295),EDATE(E295,(N295-1)*D295))-AsAt)/365.25)/2+O295*('Deal maths'!AA295-AsAt)/365.25)/I295,IF(C295="Annuity",IF(F295&gt;0,((K295-L295*F295)*((IF(DAY(E295+1)=1,EOMONTH(E295,H295*D295),EDATE(E295,H295*D295))-AsAt)/365.25*((1+F295)^(I295-O295)-1)/F295+IF((I295-O295)&gt;1,((IF(DAY(E295+1)=1,EOMONTH(E295,(N295-1)*D295),EDATE(E295,(N295-1)*D295))-AsAt)/365.25-(IF(DAY(E295+1)=1,EOMONTH(E295,H295*D295),EDATE(E295,H295*D295))-AsAt)/365.25)/((I295-O295)-1),0)*(1+F295)*(1-(I295-O295)*(1+F295)^((I295-O295)-1)+((I295-O295)-1)*(1+F295)^(I295-O295))/F295^2)+O295*(K295-L295*F295)*(1+F295)^(I295-1)*('Deal maths'!AA295-AsAt)/365.25)/L295,((I295-O295)*((IF(DAY(E295+1)=1,EOMONTH(E295,H295*D295),EDATE(E295,H295*D295))-AsAt)/365.25+(IF(DAY(E295+1)=1,EOMONTH(E295,(N295-1)*D295),EDATE(E295,(N295-1)*D295))-AsAt)/365.25)/2+O295*('Deal maths'!AA295-AsAt)/365.25)/I295),(S295-AsAt)/365.25)),0))</f>
        <v/>
      </c>
      <c r="Q295" s="109">
        <f>IF(B295=1,'Deal maths'!AA295+ROW()/1000000,"")</f>
        <v/>
      </c>
      <c r="R295" s="108">
        <f>IF(D295=0,0,IF(DAY(E295+1)=1,31,DAY(E295)))</f>
        <v/>
      </c>
      <c r="S295" s="109">
        <f>IF(AND('Deal maths'!V295="LOBO",'Deal maths'!AG295&gt;AsAt,'Deal maths'!AG295&lt;'Deal maths'!AA295),'Deal maths'!AG295,'Deal maths'!AA295)</f>
        <v/>
      </c>
      <c r="T295" s="108">
        <f>('Deal maths'!AA295&gt;AsAt)*('Deal maths'!Y295&gt;0)</f>
        <v/>
      </c>
    </row>
    <row r="296">
      <c r="A296" s="91">
        <f>IF('Deal maths'!V296="","",'Deal maths'!W296)</f>
        <v/>
      </c>
      <c r="B296" s="108">
        <f>('Deal maths'!AA296&gt;AsAt)*('Deal maths'!Y296&gt;0)*('Deal maths'!Z296&lt;=AsAt)</f>
        <v/>
      </c>
      <c r="C296" s="91">
        <f>IF('Deal maths'!V296="","",IF('Deal maths'!AC296="","Maturity",'Deal maths'!AC296))</f>
        <v/>
      </c>
      <c r="D296" s="108">
        <f>IF(OR(C296="EIP",C296="Annuity"),IF('Deal maths'!AD296="Annual",12,IF('Deal maths'!AD296="Quarterly",3,6)),0)</f>
        <v/>
      </c>
      <c r="E296" s="109">
        <f>IFERROR(IF(D296=0,0,IF('Deal maths'!AE296&gt;0,IF('Deal maths'!AE296&gt;'Deal maths'!AA296,'Deal maths'!AA296,'Deal maths'!AE296),IF(IF(DAY('Deal maths'!AA296+1)=1,EOMONTH('Deal maths'!AA296,-(INT(((YEAR('Deal maths'!AA296)-YEAR(IF('Deal maths'!Z296&gt;0,'Deal maths'!Z296,DATE(1990,1,1))))*12+MONTH('Deal maths'!AA296)-MONTH(IF('Deal maths'!Z296&gt;0,'Deal maths'!Z296,DATE(1990,1,1))))/D296))*D296),EDATE('Deal maths'!AA296,-(INT(((YEAR('Deal maths'!AA296)-YEAR(IF('Deal maths'!Z296&gt;0,'Deal maths'!Z296,DATE(1990,1,1))))*12+MONTH('Deal maths'!AA296)-MONTH(IF('Deal maths'!Z296&gt;0,'Deal maths'!Z296,DATE(1990,1,1))))/D296))*D296))&gt;IF('Deal maths'!Z296&gt;0,'Deal maths'!Z296,DATE(1990,1,1)),IF(DAY('Deal maths'!AA296+1)=1,EOMONTH('Deal maths'!AA296,-(INT(((YEAR('Deal maths'!AA296)-YEAR(IF('Deal maths'!Z296&gt;0,'Deal maths'!Z296,DATE(1990,1,1))))*12+MONTH('Deal maths'!AA296)-MONTH(IF('Deal maths'!Z296&gt;0,'Deal maths'!Z296,DATE(1990,1,1))))/D296))*D296),EDATE('Deal maths'!AA296,-(INT(((YEAR('Deal maths'!AA296)-YEAR(IF('Deal maths'!Z296&gt;0,'Deal maths'!Z296,DATE(1990,1,1))))*12+MONTH('Deal maths'!AA296)-MONTH(IF('Deal maths'!Z296&gt;0,'Deal maths'!Z296,DATE(1990,1,1))))/D296))*D296)),IF(DAY('Deal maths'!AA296+1)=1,EOMONTH('Deal maths'!AA296,-(INT(((YEAR('Deal maths'!AA296)-YEAR(IF('Deal maths'!Z296&gt;0,'Deal maths'!Z296,DATE(1990,1,1))))*12+MONTH('Deal maths'!AA296)-MONTH(IF('Deal maths'!Z296&gt;0,'Deal maths'!Z296,DATE(1990,1,1))))/D296)-1)*D296),EDATE('Deal maths'!AA296,-(INT(((YEAR('Deal maths'!AA296)-YEAR(IF('Deal maths'!Z296&gt;0,'Deal maths'!Z296,DATE(1990,1,1))))*12+MONTH('Deal maths'!AA296)-MONTH(IF('Deal maths'!Z296&gt;0,'Deal maths'!Z296,DATE(1990,1,1))))/D296)-1)*D296))))),0)</f>
        <v/>
      </c>
      <c r="F296" s="110">
        <f>IF(D296=0,0,'Deal maths'!AB296*D296/12)</f>
        <v/>
      </c>
      <c r="G296" s="108">
        <f>N296+O296</f>
        <v/>
      </c>
      <c r="H296" s="108">
        <f>IFERROR(IF(OR(D296=0,AsAt&lt;E296),0,MIN(N296,INT(((YEAR(AsAt)-YEAR(E296))*12+MONTH(AsAt)-MONTH(E296)-(DAY(AsAt)&lt;MIN(R296,DAY(EOMONTH(AsAt,0)))))/D296)+1)+O296*(AsAt&gt;='Deal maths'!AA296)),0)</f>
        <v/>
      </c>
      <c r="I296" s="108">
        <f>G296-H296</f>
        <v/>
      </c>
      <c r="J296" s="111">
        <f>IF(AND(C296="EIP",I296&gt;0),'Deal maths'!Y296/I296,0)</f>
        <v/>
      </c>
      <c r="K296" s="111">
        <f>IF(AND(C296="Annuity",I296&gt;0),IF(F296&gt;0,'Deal maths'!Y296*F296/(1-(1+F296)^-I296),'Deal maths'!Y296/I296),0)</f>
        <v/>
      </c>
      <c r="L296" s="111">
        <f>IF('Deal maths'!Y296="",0,'Deal maths'!Y296)</f>
        <v/>
      </c>
      <c r="M296" s="112">
        <f>F296+(F296=0)</f>
        <v/>
      </c>
      <c r="N296" s="108">
        <f>IFERROR(IF(D296=0,0,INT(((YEAR('Deal maths'!AA296)-YEAR(E296))*12+MONTH('Deal maths'!AA296)-MONTH(E296)-(DAY('Deal maths'!AA296)&lt;MIN(R296,DAY(EOMONTH('Deal maths'!AA296,0)))))/D296)+1),0)</f>
        <v/>
      </c>
      <c r="O296" s="108">
        <f>IFERROR(IF(D296=0,0,IF(IF(DAY(E296+1)=1,EOMONTH(E296,(N296-1)*D296),EDATE(E296,(N296-1)*D296))='Deal maths'!AA296,0,1)),0)</f>
        <v/>
      </c>
      <c r="P296" s="113">
        <f>IF(B296=0,0,IFERROR(IF(C296="EIP",((I296-O296)*((IF(DAY(E296+1)=1,EOMONTH(E296,H296*D296),EDATE(E296,H296*D296))-AsAt)/365.25+(IF(DAY(E296+1)=1,EOMONTH(E296,(N296-1)*D296),EDATE(E296,(N296-1)*D296))-AsAt)/365.25)/2+O296*('Deal maths'!AA296-AsAt)/365.25)/I296,IF(C296="Annuity",IF(F296&gt;0,((K296-L296*F296)*((IF(DAY(E296+1)=1,EOMONTH(E296,H296*D296),EDATE(E296,H296*D296))-AsAt)/365.25*((1+F296)^(I296-O296)-1)/F296+IF((I296-O296)&gt;1,((IF(DAY(E296+1)=1,EOMONTH(E296,(N296-1)*D296),EDATE(E296,(N296-1)*D296))-AsAt)/365.25-(IF(DAY(E296+1)=1,EOMONTH(E296,H296*D296),EDATE(E296,H296*D296))-AsAt)/365.25)/((I296-O296)-1),0)*(1+F296)*(1-(I296-O296)*(1+F296)^((I296-O296)-1)+((I296-O296)-1)*(1+F296)^(I296-O296))/F296^2)+O296*(K296-L296*F296)*(1+F296)^(I296-1)*('Deal maths'!AA296-AsAt)/365.25)/L296,((I296-O296)*((IF(DAY(E296+1)=1,EOMONTH(E296,H296*D296),EDATE(E296,H296*D296))-AsAt)/365.25+(IF(DAY(E296+1)=1,EOMONTH(E296,(N296-1)*D296),EDATE(E296,(N296-1)*D296))-AsAt)/365.25)/2+O296*('Deal maths'!AA296-AsAt)/365.25)/I296),(S296-AsAt)/365.25)),0))</f>
        <v/>
      </c>
      <c r="Q296" s="109">
        <f>IF(B296=1,'Deal maths'!AA296+ROW()/1000000,"")</f>
        <v/>
      </c>
      <c r="R296" s="108">
        <f>IF(D296=0,0,IF(DAY(E296+1)=1,31,DAY(E296)))</f>
        <v/>
      </c>
      <c r="S296" s="109">
        <f>IF(AND('Deal maths'!V296="LOBO",'Deal maths'!AG296&gt;AsAt,'Deal maths'!AG296&lt;'Deal maths'!AA296),'Deal maths'!AG296,'Deal maths'!AA296)</f>
        <v/>
      </c>
      <c r="T296" s="108">
        <f>('Deal maths'!AA296&gt;AsAt)*('Deal maths'!Y296&gt;0)</f>
        <v/>
      </c>
    </row>
    <row r="297">
      <c r="A297" s="91">
        <f>IF('Deal maths'!V297="","",'Deal maths'!W297)</f>
        <v/>
      </c>
      <c r="B297" s="108">
        <f>('Deal maths'!AA297&gt;AsAt)*('Deal maths'!Y297&gt;0)*('Deal maths'!Z297&lt;=AsAt)</f>
        <v/>
      </c>
      <c r="C297" s="91">
        <f>IF('Deal maths'!V297="","",IF('Deal maths'!AC297="","Maturity",'Deal maths'!AC297))</f>
        <v/>
      </c>
      <c r="D297" s="108">
        <f>IF(OR(C297="EIP",C297="Annuity"),IF('Deal maths'!AD297="Annual",12,IF('Deal maths'!AD297="Quarterly",3,6)),0)</f>
        <v/>
      </c>
      <c r="E297" s="109">
        <f>IFERROR(IF(D297=0,0,IF('Deal maths'!AE297&gt;0,IF('Deal maths'!AE297&gt;'Deal maths'!AA297,'Deal maths'!AA297,'Deal maths'!AE297),IF(IF(DAY('Deal maths'!AA297+1)=1,EOMONTH('Deal maths'!AA297,-(INT(((YEAR('Deal maths'!AA297)-YEAR(IF('Deal maths'!Z297&gt;0,'Deal maths'!Z297,DATE(1990,1,1))))*12+MONTH('Deal maths'!AA297)-MONTH(IF('Deal maths'!Z297&gt;0,'Deal maths'!Z297,DATE(1990,1,1))))/D297))*D297),EDATE('Deal maths'!AA297,-(INT(((YEAR('Deal maths'!AA297)-YEAR(IF('Deal maths'!Z297&gt;0,'Deal maths'!Z297,DATE(1990,1,1))))*12+MONTH('Deal maths'!AA297)-MONTH(IF('Deal maths'!Z297&gt;0,'Deal maths'!Z297,DATE(1990,1,1))))/D297))*D297))&gt;IF('Deal maths'!Z297&gt;0,'Deal maths'!Z297,DATE(1990,1,1)),IF(DAY('Deal maths'!AA297+1)=1,EOMONTH('Deal maths'!AA297,-(INT(((YEAR('Deal maths'!AA297)-YEAR(IF('Deal maths'!Z297&gt;0,'Deal maths'!Z297,DATE(1990,1,1))))*12+MONTH('Deal maths'!AA297)-MONTH(IF('Deal maths'!Z297&gt;0,'Deal maths'!Z297,DATE(1990,1,1))))/D297))*D297),EDATE('Deal maths'!AA297,-(INT(((YEAR('Deal maths'!AA297)-YEAR(IF('Deal maths'!Z297&gt;0,'Deal maths'!Z297,DATE(1990,1,1))))*12+MONTH('Deal maths'!AA297)-MONTH(IF('Deal maths'!Z297&gt;0,'Deal maths'!Z297,DATE(1990,1,1))))/D297))*D297)),IF(DAY('Deal maths'!AA297+1)=1,EOMONTH('Deal maths'!AA297,-(INT(((YEAR('Deal maths'!AA297)-YEAR(IF('Deal maths'!Z297&gt;0,'Deal maths'!Z297,DATE(1990,1,1))))*12+MONTH('Deal maths'!AA297)-MONTH(IF('Deal maths'!Z297&gt;0,'Deal maths'!Z297,DATE(1990,1,1))))/D297)-1)*D297),EDATE('Deal maths'!AA297,-(INT(((YEAR('Deal maths'!AA297)-YEAR(IF('Deal maths'!Z297&gt;0,'Deal maths'!Z297,DATE(1990,1,1))))*12+MONTH('Deal maths'!AA297)-MONTH(IF('Deal maths'!Z297&gt;0,'Deal maths'!Z297,DATE(1990,1,1))))/D297)-1)*D297))))),0)</f>
        <v/>
      </c>
      <c r="F297" s="110">
        <f>IF(D297=0,0,'Deal maths'!AB297*D297/12)</f>
        <v/>
      </c>
      <c r="G297" s="108">
        <f>N297+O297</f>
        <v/>
      </c>
      <c r="H297" s="108">
        <f>IFERROR(IF(OR(D297=0,AsAt&lt;E297),0,MIN(N297,INT(((YEAR(AsAt)-YEAR(E297))*12+MONTH(AsAt)-MONTH(E297)-(DAY(AsAt)&lt;MIN(R297,DAY(EOMONTH(AsAt,0)))))/D297)+1)+O297*(AsAt&gt;='Deal maths'!AA297)),0)</f>
        <v/>
      </c>
      <c r="I297" s="108">
        <f>G297-H297</f>
        <v/>
      </c>
      <c r="J297" s="111">
        <f>IF(AND(C297="EIP",I297&gt;0),'Deal maths'!Y297/I297,0)</f>
        <v/>
      </c>
      <c r="K297" s="111">
        <f>IF(AND(C297="Annuity",I297&gt;0),IF(F297&gt;0,'Deal maths'!Y297*F297/(1-(1+F297)^-I297),'Deal maths'!Y297/I297),0)</f>
        <v/>
      </c>
      <c r="L297" s="111">
        <f>IF('Deal maths'!Y297="",0,'Deal maths'!Y297)</f>
        <v/>
      </c>
      <c r="M297" s="112">
        <f>F297+(F297=0)</f>
        <v/>
      </c>
      <c r="N297" s="108">
        <f>IFERROR(IF(D297=0,0,INT(((YEAR('Deal maths'!AA297)-YEAR(E297))*12+MONTH('Deal maths'!AA297)-MONTH(E297)-(DAY('Deal maths'!AA297)&lt;MIN(R297,DAY(EOMONTH('Deal maths'!AA297,0)))))/D297)+1),0)</f>
        <v/>
      </c>
      <c r="O297" s="108">
        <f>IFERROR(IF(D297=0,0,IF(IF(DAY(E297+1)=1,EOMONTH(E297,(N297-1)*D297),EDATE(E297,(N297-1)*D297))='Deal maths'!AA297,0,1)),0)</f>
        <v/>
      </c>
      <c r="P297" s="113">
        <f>IF(B297=0,0,IFERROR(IF(C297="EIP",((I297-O297)*((IF(DAY(E297+1)=1,EOMONTH(E297,H297*D297),EDATE(E297,H297*D297))-AsAt)/365.25+(IF(DAY(E297+1)=1,EOMONTH(E297,(N297-1)*D297),EDATE(E297,(N297-1)*D297))-AsAt)/365.25)/2+O297*('Deal maths'!AA297-AsAt)/365.25)/I297,IF(C297="Annuity",IF(F297&gt;0,((K297-L297*F297)*((IF(DAY(E297+1)=1,EOMONTH(E297,H297*D297),EDATE(E297,H297*D297))-AsAt)/365.25*((1+F297)^(I297-O297)-1)/F297+IF((I297-O297)&gt;1,((IF(DAY(E297+1)=1,EOMONTH(E297,(N297-1)*D297),EDATE(E297,(N297-1)*D297))-AsAt)/365.25-(IF(DAY(E297+1)=1,EOMONTH(E297,H297*D297),EDATE(E297,H297*D297))-AsAt)/365.25)/((I297-O297)-1),0)*(1+F297)*(1-(I297-O297)*(1+F297)^((I297-O297)-1)+((I297-O297)-1)*(1+F297)^(I297-O297))/F297^2)+O297*(K297-L297*F297)*(1+F297)^(I297-1)*('Deal maths'!AA297-AsAt)/365.25)/L297,((I297-O297)*((IF(DAY(E297+1)=1,EOMONTH(E297,H297*D297),EDATE(E297,H297*D297))-AsAt)/365.25+(IF(DAY(E297+1)=1,EOMONTH(E297,(N297-1)*D297),EDATE(E297,(N297-1)*D297))-AsAt)/365.25)/2+O297*('Deal maths'!AA297-AsAt)/365.25)/I297),(S297-AsAt)/365.25)),0))</f>
        <v/>
      </c>
      <c r="Q297" s="109">
        <f>IF(B297=1,'Deal maths'!AA297+ROW()/1000000,"")</f>
        <v/>
      </c>
      <c r="R297" s="108">
        <f>IF(D297=0,0,IF(DAY(E297+1)=1,31,DAY(E297)))</f>
        <v/>
      </c>
      <c r="S297" s="109">
        <f>IF(AND('Deal maths'!V297="LOBO",'Deal maths'!AG297&gt;AsAt,'Deal maths'!AG297&lt;'Deal maths'!AA297),'Deal maths'!AG297,'Deal maths'!AA297)</f>
        <v/>
      </c>
      <c r="T297" s="108">
        <f>('Deal maths'!AA297&gt;AsAt)*('Deal maths'!Y297&gt;0)</f>
        <v/>
      </c>
    </row>
    <row r="298">
      <c r="A298" s="91">
        <f>IF('Deal maths'!V298="","",'Deal maths'!W298)</f>
        <v/>
      </c>
      <c r="B298" s="108">
        <f>('Deal maths'!AA298&gt;AsAt)*('Deal maths'!Y298&gt;0)*('Deal maths'!Z298&lt;=AsAt)</f>
        <v/>
      </c>
      <c r="C298" s="91">
        <f>IF('Deal maths'!V298="","",IF('Deal maths'!AC298="","Maturity",'Deal maths'!AC298))</f>
        <v/>
      </c>
      <c r="D298" s="108">
        <f>IF(OR(C298="EIP",C298="Annuity"),IF('Deal maths'!AD298="Annual",12,IF('Deal maths'!AD298="Quarterly",3,6)),0)</f>
        <v/>
      </c>
      <c r="E298" s="109">
        <f>IFERROR(IF(D298=0,0,IF('Deal maths'!AE298&gt;0,IF('Deal maths'!AE298&gt;'Deal maths'!AA298,'Deal maths'!AA298,'Deal maths'!AE298),IF(IF(DAY('Deal maths'!AA298+1)=1,EOMONTH('Deal maths'!AA298,-(INT(((YEAR('Deal maths'!AA298)-YEAR(IF('Deal maths'!Z298&gt;0,'Deal maths'!Z298,DATE(1990,1,1))))*12+MONTH('Deal maths'!AA298)-MONTH(IF('Deal maths'!Z298&gt;0,'Deal maths'!Z298,DATE(1990,1,1))))/D298))*D298),EDATE('Deal maths'!AA298,-(INT(((YEAR('Deal maths'!AA298)-YEAR(IF('Deal maths'!Z298&gt;0,'Deal maths'!Z298,DATE(1990,1,1))))*12+MONTH('Deal maths'!AA298)-MONTH(IF('Deal maths'!Z298&gt;0,'Deal maths'!Z298,DATE(1990,1,1))))/D298))*D298))&gt;IF('Deal maths'!Z298&gt;0,'Deal maths'!Z298,DATE(1990,1,1)),IF(DAY('Deal maths'!AA298+1)=1,EOMONTH('Deal maths'!AA298,-(INT(((YEAR('Deal maths'!AA298)-YEAR(IF('Deal maths'!Z298&gt;0,'Deal maths'!Z298,DATE(1990,1,1))))*12+MONTH('Deal maths'!AA298)-MONTH(IF('Deal maths'!Z298&gt;0,'Deal maths'!Z298,DATE(1990,1,1))))/D298))*D298),EDATE('Deal maths'!AA298,-(INT(((YEAR('Deal maths'!AA298)-YEAR(IF('Deal maths'!Z298&gt;0,'Deal maths'!Z298,DATE(1990,1,1))))*12+MONTH('Deal maths'!AA298)-MONTH(IF('Deal maths'!Z298&gt;0,'Deal maths'!Z298,DATE(1990,1,1))))/D298))*D298)),IF(DAY('Deal maths'!AA298+1)=1,EOMONTH('Deal maths'!AA298,-(INT(((YEAR('Deal maths'!AA298)-YEAR(IF('Deal maths'!Z298&gt;0,'Deal maths'!Z298,DATE(1990,1,1))))*12+MONTH('Deal maths'!AA298)-MONTH(IF('Deal maths'!Z298&gt;0,'Deal maths'!Z298,DATE(1990,1,1))))/D298)-1)*D298),EDATE('Deal maths'!AA298,-(INT(((YEAR('Deal maths'!AA298)-YEAR(IF('Deal maths'!Z298&gt;0,'Deal maths'!Z298,DATE(1990,1,1))))*12+MONTH('Deal maths'!AA298)-MONTH(IF('Deal maths'!Z298&gt;0,'Deal maths'!Z298,DATE(1990,1,1))))/D298)-1)*D298))))),0)</f>
        <v/>
      </c>
      <c r="F298" s="110">
        <f>IF(D298=0,0,'Deal maths'!AB298*D298/12)</f>
        <v/>
      </c>
      <c r="G298" s="108">
        <f>N298+O298</f>
        <v/>
      </c>
      <c r="H298" s="108">
        <f>IFERROR(IF(OR(D298=0,AsAt&lt;E298),0,MIN(N298,INT(((YEAR(AsAt)-YEAR(E298))*12+MONTH(AsAt)-MONTH(E298)-(DAY(AsAt)&lt;MIN(R298,DAY(EOMONTH(AsAt,0)))))/D298)+1)+O298*(AsAt&gt;='Deal maths'!AA298)),0)</f>
        <v/>
      </c>
      <c r="I298" s="108">
        <f>G298-H298</f>
        <v/>
      </c>
      <c r="J298" s="111">
        <f>IF(AND(C298="EIP",I298&gt;0),'Deal maths'!Y298/I298,0)</f>
        <v/>
      </c>
      <c r="K298" s="111">
        <f>IF(AND(C298="Annuity",I298&gt;0),IF(F298&gt;0,'Deal maths'!Y298*F298/(1-(1+F298)^-I298),'Deal maths'!Y298/I298),0)</f>
        <v/>
      </c>
      <c r="L298" s="111">
        <f>IF('Deal maths'!Y298="",0,'Deal maths'!Y298)</f>
        <v/>
      </c>
      <c r="M298" s="112">
        <f>F298+(F298=0)</f>
        <v/>
      </c>
      <c r="N298" s="108">
        <f>IFERROR(IF(D298=0,0,INT(((YEAR('Deal maths'!AA298)-YEAR(E298))*12+MONTH('Deal maths'!AA298)-MONTH(E298)-(DAY('Deal maths'!AA298)&lt;MIN(R298,DAY(EOMONTH('Deal maths'!AA298,0)))))/D298)+1),0)</f>
        <v/>
      </c>
      <c r="O298" s="108">
        <f>IFERROR(IF(D298=0,0,IF(IF(DAY(E298+1)=1,EOMONTH(E298,(N298-1)*D298),EDATE(E298,(N298-1)*D298))='Deal maths'!AA298,0,1)),0)</f>
        <v/>
      </c>
      <c r="P298" s="113">
        <f>IF(B298=0,0,IFERROR(IF(C298="EIP",((I298-O298)*((IF(DAY(E298+1)=1,EOMONTH(E298,H298*D298),EDATE(E298,H298*D298))-AsAt)/365.25+(IF(DAY(E298+1)=1,EOMONTH(E298,(N298-1)*D298),EDATE(E298,(N298-1)*D298))-AsAt)/365.25)/2+O298*('Deal maths'!AA298-AsAt)/365.25)/I298,IF(C298="Annuity",IF(F298&gt;0,((K298-L298*F298)*((IF(DAY(E298+1)=1,EOMONTH(E298,H298*D298),EDATE(E298,H298*D298))-AsAt)/365.25*((1+F298)^(I298-O298)-1)/F298+IF((I298-O298)&gt;1,((IF(DAY(E298+1)=1,EOMONTH(E298,(N298-1)*D298),EDATE(E298,(N298-1)*D298))-AsAt)/365.25-(IF(DAY(E298+1)=1,EOMONTH(E298,H298*D298),EDATE(E298,H298*D298))-AsAt)/365.25)/((I298-O298)-1),0)*(1+F298)*(1-(I298-O298)*(1+F298)^((I298-O298)-1)+((I298-O298)-1)*(1+F298)^(I298-O298))/F298^2)+O298*(K298-L298*F298)*(1+F298)^(I298-1)*('Deal maths'!AA298-AsAt)/365.25)/L298,((I298-O298)*((IF(DAY(E298+1)=1,EOMONTH(E298,H298*D298),EDATE(E298,H298*D298))-AsAt)/365.25+(IF(DAY(E298+1)=1,EOMONTH(E298,(N298-1)*D298),EDATE(E298,(N298-1)*D298))-AsAt)/365.25)/2+O298*('Deal maths'!AA298-AsAt)/365.25)/I298),(S298-AsAt)/365.25)),0))</f>
        <v/>
      </c>
      <c r="Q298" s="109">
        <f>IF(B298=1,'Deal maths'!AA298+ROW()/1000000,"")</f>
        <v/>
      </c>
      <c r="R298" s="108">
        <f>IF(D298=0,0,IF(DAY(E298+1)=1,31,DAY(E298)))</f>
        <v/>
      </c>
      <c r="S298" s="109">
        <f>IF(AND('Deal maths'!V298="LOBO",'Deal maths'!AG298&gt;AsAt,'Deal maths'!AG298&lt;'Deal maths'!AA298),'Deal maths'!AG298,'Deal maths'!AA298)</f>
        <v/>
      </c>
      <c r="T298" s="108">
        <f>('Deal maths'!AA298&gt;AsAt)*('Deal maths'!Y298&gt;0)</f>
        <v/>
      </c>
    </row>
    <row r="299">
      <c r="A299" s="91">
        <f>IF('Deal maths'!V299="","",'Deal maths'!W299)</f>
        <v/>
      </c>
      <c r="B299" s="108">
        <f>('Deal maths'!AA299&gt;AsAt)*('Deal maths'!Y299&gt;0)*('Deal maths'!Z299&lt;=AsAt)</f>
        <v/>
      </c>
      <c r="C299" s="91">
        <f>IF('Deal maths'!V299="","",IF('Deal maths'!AC299="","Maturity",'Deal maths'!AC299))</f>
        <v/>
      </c>
      <c r="D299" s="108">
        <f>IF(OR(C299="EIP",C299="Annuity"),IF('Deal maths'!AD299="Annual",12,IF('Deal maths'!AD299="Quarterly",3,6)),0)</f>
        <v/>
      </c>
      <c r="E299" s="109">
        <f>IFERROR(IF(D299=0,0,IF('Deal maths'!AE299&gt;0,IF('Deal maths'!AE299&gt;'Deal maths'!AA299,'Deal maths'!AA299,'Deal maths'!AE299),IF(IF(DAY('Deal maths'!AA299+1)=1,EOMONTH('Deal maths'!AA299,-(INT(((YEAR('Deal maths'!AA299)-YEAR(IF('Deal maths'!Z299&gt;0,'Deal maths'!Z299,DATE(1990,1,1))))*12+MONTH('Deal maths'!AA299)-MONTH(IF('Deal maths'!Z299&gt;0,'Deal maths'!Z299,DATE(1990,1,1))))/D299))*D299),EDATE('Deal maths'!AA299,-(INT(((YEAR('Deal maths'!AA299)-YEAR(IF('Deal maths'!Z299&gt;0,'Deal maths'!Z299,DATE(1990,1,1))))*12+MONTH('Deal maths'!AA299)-MONTH(IF('Deal maths'!Z299&gt;0,'Deal maths'!Z299,DATE(1990,1,1))))/D299))*D299))&gt;IF('Deal maths'!Z299&gt;0,'Deal maths'!Z299,DATE(1990,1,1)),IF(DAY('Deal maths'!AA299+1)=1,EOMONTH('Deal maths'!AA299,-(INT(((YEAR('Deal maths'!AA299)-YEAR(IF('Deal maths'!Z299&gt;0,'Deal maths'!Z299,DATE(1990,1,1))))*12+MONTH('Deal maths'!AA299)-MONTH(IF('Deal maths'!Z299&gt;0,'Deal maths'!Z299,DATE(1990,1,1))))/D299))*D299),EDATE('Deal maths'!AA299,-(INT(((YEAR('Deal maths'!AA299)-YEAR(IF('Deal maths'!Z299&gt;0,'Deal maths'!Z299,DATE(1990,1,1))))*12+MONTH('Deal maths'!AA299)-MONTH(IF('Deal maths'!Z299&gt;0,'Deal maths'!Z299,DATE(1990,1,1))))/D299))*D299)),IF(DAY('Deal maths'!AA299+1)=1,EOMONTH('Deal maths'!AA299,-(INT(((YEAR('Deal maths'!AA299)-YEAR(IF('Deal maths'!Z299&gt;0,'Deal maths'!Z299,DATE(1990,1,1))))*12+MONTH('Deal maths'!AA299)-MONTH(IF('Deal maths'!Z299&gt;0,'Deal maths'!Z299,DATE(1990,1,1))))/D299)-1)*D299),EDATE('Deal maths'!AA299,-(INT(((YEAR('Deal maths'!AA299)-YEAR(IF('Deal maths'!Z299&gt;0,'Deal maths'!Z299,DATE(1990,1,1))))*12+MONTH('Deal maths'!AA299)-MONTH(IF('Deal maths'!Z299&gt;0,'Deal maths'!Z299,DATE(1990,1,1))))/D299)-1)*D299))))),0)</f>
        <v/>
      </c>
      <c r="F299" s="110">
        <f>IF(D299=0,0,'Deal maths'!AB299*D299/12)</f>
        <v/>
      </c>
      <c r="G299" s="108">
        <f>N299+O299</f>
        <v/>
      </c>
      <c r="H299" s="108">
        <f>IFERROR(IF(OR(D299=0,AsAt&lt;E299),0,MIN(N299,INT(((YEAR(AsAt)-YEAR(E299))*12+MONTH(AsAt)-MONTH(E299)-(DAY(AsAt)&lt;MIN(R299,DAY(EOMONTH(AsAt,0)))))/D299)+1)+O299*(AsAt&gt;='Deal maths'!AA299)),0)</f>
        <v/>
      </c>
      <c r="I299" s="108">
        <f>G299-H299</f>
        <v/>
      </c>
      <c r="J299" s="111">
        <f>IF(AND(C299="EIP",I299&gt;0),'Deal maths'!Y299/I299,0)</f>
        <v/>
      </c>
      <c r="K299" s="111">
        <f>IF(AND(C299="Annuity",I299&gt;0),IF(F299&gt;0,'Deal maths'!Y299*F299/(1-(1+F299)^-I299),'Deal maths'!Y299/I299),0)</f>
        <v/>
      </c>
      <c r="L299" s="111">
        <f>IF('Deal maths'!Y299="",0,'Deal maths'!Y299)</f>
        <v/>
      </c>
      <c r="M299" s="112">
        <f>F299+(F299=0)</f>
        <v/>
      </c>
      <c r="N299" s="108">
        <f>IFERROR(IF(D299=0,0,INT(((YEAR('Deal maths'!AA299)-YEAR(E299))*12+MONTH('Deal maths'!AA299)-MONTH(E299)-(DAY('Deal maths'!AA299)&lt;MIN(R299,DAY(EOMONTH('Deal maths'!AA299,0)))))/D299)+1),0)</f>
        <v/>
      </c>
      <c r="O299" s="108">
        <f>IFERROR(IF(D299=0,0,IF(IF(DAY(E299+1)=1,EOMONTH(E299,(N299-1)*D299),EDATE(E299,(N299-1)*D299))='Deal maths'!AA299,0,1)),0)</f>
        <v/>
      </c>
      <c r="P299" s="113">
        <f>IF(B299=0,0,IFERROR(IF(C299="EIP",((I299-O299)*((IF(DAY(E299+1)=1,EOMONTH(E299,H299*D299),EDATE(E299,H299*D299))-AsAt)/365.25+(IF(DAY(E299+1)=1,EOMONTH(E299,(N299-1)*D299),EDATE(E299,(N299-1)*D299))-AsAt)/365.25)/2+O299*('Deal maths'!AA299-AsAt)/365.25)/I299,IF(C299="Annuity",IF(F299&gt;0,((K299-L299*F299)*((IF(DAY(E299+1)=1,EOMONTH(E299,H299*D299),EDATE(E299,H299*D299))-AsAt)/365.25*((1+F299)^(I299-O299)-1)/F299+IF((I299-O299)&gt;1,((IF(DAY(E299+1)=1,EOMONTH(E299,(N299-1)*D299),EDATE(E299,(N299-1)*D299))-AsAt)/365.25-(IF(DAY(E299+1)=1,EOMONTH(E299,H299*D299),EDATE(E299,H299*D299))-AsAt)/365.25)/((I299-O299)-1),0)*(1+F299)*(1-(I299-O299)*(1+F299)^((I299-O299)-1)+((I299-O299)-1)*(1+F299)^(I299-O299))/F299^2)+O299*(K299-L299*F299)*(1+F299)^(I299-1)*('Deal maths'!AA299-AsAt)/365.25)/L299,((I299-O299)*((IF(DAY(E299+1)=1,EOMONTH(E299,H299*D299),EDATE(E299,H299*D299))-AsAt)/365.25+(IF(DAY(E299+1)=1,EOMONTH(E299,(N299-1)*D299),EDATE(E299,(N299-1)*D299))-AsAt)/365.25)/2+O299*('Deal maths'!AA299-AsAt)/365.25)/I299),(S299-AsAt)/365.25)),0))</f>
        <v/>
      </c>
      <c r="Q299" s="109">
        <f>IF(B299=1,'Deal maths'!AA299+ROW()/1000000,"")</f>
        <v/>
      </c>
      <c r="R299" s="108">
        <f>IF(D299=0,0,IF(DAY(E299+1)=1,31,DAY(E299)))</f>
        <v/>
      </c>
      <c r="S299" s="109">
        <f>IF(AND('Deal maths'!V299="LOBO",'Deal maths'!AG299&gt;AsAt,'Deal maths'!AG299&lt;'Deal maths'!AA299),'Deal maths'!AG299,'Deal maths'!AA299)</f>
        <v/>
      </c>
      <c r="T299" s="108">
        <f>('Deal maths'!AA299&gt;AsAt)*('Deal maths'!Y299&gt;0)</f>
        <v/>
      </c>
    </row>
    <row r="300">
      <c r="A300" s="91">
        <f>IF('Deal maths'!V300="","",'Deal maths'!W300)</f>
        <v/>
      </c>
      <c r="B300" s="108">
        <f>('Deal maths'!AA300&gt;AsAt)*('Deal maths'!Y300&gt;0)*('Deal maths'!Z300&lt;=AsAt)</f>
        <v/>
      </c>
      <c r="C300" s="91">
        <f>IF('Deal maths'!V300="","",IF('Deal maths'!AC300="","Maturity",'Deal maths'!AC300))</f>
        <v/>
      </c>
      <c r="D300" s="108">
        <f>IF(OR(C300="EIP",C300="Annuity"),IF('Deal maths'!AD300="Annual",12,IF('Deal maths'!AD300="Quarterly",3,6)),0)</f>
        <v/>
      </c>
      <c r="E300" s="109">
        <f>IFERROR(IF(D300=0,0,IF('Deal maths'!AE300&gt;0,IF('Deal maths'!AE300&gt;'Deal maths'!AA300,'Deal maths'!AA300,'Deal maths'!AE300),IF(IF(DAY('Deal maths'!AA300+1)=1,EOMONTH('Deal maths'!AA300,-(INT(((YEAR('Deal maths'!AA300)-YEAR(IF('Deal maths'!Z300&gt;0,'Deal maths'!Z300,DATE(1990,1,1))))*12+MONTH('Deal maths'!AA300)-MONTH(IF('Deal maths'!Z300&gt;0,'Deal maths'!Z300,DATE(1990,1,1))))/D300))*D300),EDATE('Deal maths'!AA300,-(INT(((YEAR('Deal maths'!AA300)-YEAR(IF('Deal maths'!Z300&gt;0,'Deal maths'!Z300,DATE(1990,1,1))))*12+MONTH('Deal maths'!AA300)-MONTH(IF('Deal maths'!Z300&gt;0,'Deal maths'!Z300,DATE(1990,1,1))))/D300))*D300))&gt;IF('Deal maths'!Z300&gt;0,'Deal maths'!Z300,DATE(1990,1,1)),IF(DAY('Deal maths'!AA300+1)=1,EOMONTH('Deal maths'!AA300,-(INT(((YEAR('Deal maths'!AA300)-YEAR(IF('Deal maths'!Z300&gt;0,'Deal maths'!Z300,DATE(1990,1,1))))*12+MONTH('Deal maths'!AA300)-MONTH(IF('Deal maths'!Z300&gt;0,'Deal maths'!Z300,DATE(1990,1,1))))/D300))*D300),EDATE('Deal maths'!AA300,-(INT(((YEAR('Deal maths'!AA300)-YEAR(IF('Deal maths'!Z300&gt;0,'Deal maths'!Z300,DATE(1990,1,1))))*12+MONTH('Deal maths'!AA300)-MONTH(IF('Deal maths'!Z300&gt;0,'Deal maths'!Z300,DATE(1990,1,1))))/D300))*D300)),IF(DAY('Deal maths'!AA300+1)=1,EOMONTH('Deal maths'!AA300,-(INT(((YEAR('Deal maths'!AA300)-YEAR(IF('Deal maths'!Z300&gt;0,'Deal maths'!Z300,DATE(1990,1,1))))*12+MONTH('Deal maths'!AA300)-MONTH(IF('Deal maths'!Z300&gt;0,'Deal maths'!Z300,DATE(1990,1,1))))/D300)-1)*D300),EDATE('Deal maths'!AA300,-(INT(((YEAR('Deal maths'!AA300)-YEAR(IF('Deal maths'!Z300&gt;0,'Deal maths'!Z300,DATE(1990,1,1))))*12+MONTH('Deal maths'!AA300)-MONTH(IF('Deal maths'!Z300&gt;0,'Deal maths'!Z300,DATE(1990,1,1))))/D300)-1)*D300))))),0)</f>
        <v/>
      </c>
      <c r="F300" s="110">
        <f>IF(D300=0,0,'Deal maths'!AB300*D300/12)</f>
        <v/>
      </c>
      <c r="G300" s="108">
        <f>N300+O300</f>
        <v/>
      </c>
      <c r="H300" s="108">
        <f>IFERROR(IF(OR(D300=0,AsAt&lt;E300),0,MIN(N300,INT(((YEAR(AsAt)-YEAR(E300))*12+MONTH(AsAt)-MONTH(E300)-(DAY(AsAt)&lt;MIN(R300,DAY(EOMONTH(AsAt,0)))))/D300)+1)+O300*(AsAt&gt;='Deal maths'!AA300)),0)</f>
        <v/>
      </c>
      <c r="I300" s="108">
        <f>G300-H300</f>
        <v/>
      </c>
      <c r="J300" s="111">
        <f>IF(AND(C300="EIP",I300&gt;0),'Deal maths'!Y300/I300,0)</f>
        <v/>
      </c>
      <c r="K300" s="111">
        <f>IF(AND(C300="Annuity",I300&gt;0),IF(F300&gt;0,'Deal maths'!Y300*F300/(1-(1+F300)^-I300),'Deal maths'!Y300/I300),0)</f>
        <v/>
      </c>
      <c r="L300" s="111">
        <f>IF('Deal maths'!Y300="",0,'Deal maths'!Y300)</f>
        <v/>
      </c>
      <c r="M300" s="112">
        <f>F300+(F300=0)</f>
        <v/>
      </c>
      <c r="N300" s="108">
        <f>IFERROR(IF(D300=0,0,INT(((YEAR('Deal maths'!AA300)-YEAR(E300))*12+MONTH('Deal maths'!AA300)-MONTH(E300)-(DAY('Deal maths'!AA300)&lt;MIN(R300,DAY(EOMONTH('Deal maths'!AA300,0)))))/D300)+1),0)</f>
        <v/>
      </c>
      <c r="O300" s="108">
        <f>IFERROR(IF(D300=0,0,IF(IF(DAY(E300+1)=1,EOMONTH(E300,(N300-1)*D300),EDATE(E300,(N300-1)*D300))='Deal maths'!AA300,0,1)),0)</f>
        <v/>
      </c>
      <c r="P300" s="113">
        <f>IF(B300=0,0,IFERROR(IF(C300="EIP",((I300-O300)*((IF(DAY(E300+1)=1,EOMONTH(E300,H300*D300),EDATE(E300,H300*D300))-AsAt)/365.25+(IF(DAY(E300+1)=1,EOMONTH(E300,(N300-1)*D300),EDATE(E300,(N300-1)*D300))-AsAt)/365.25)/2+O300*('Deal maths'!AA300-AsAt)/365.25)/I300,IF(C300="Annuity",IF(F300&gt;0,((K300-L300*F300)*((IF(DAY(E300+1)=1,EOMONTH(E300,H300*D300),EDATE(E300,H300*D300))-AsAt)/365.25*((1+F300)^(I300-O300)-1)/F300+IF((I300-O300)&gt;1,((IF(DAY(E300+1)=1,EOMONTH(E300,(N300-1)*D300),EDATE(E300,(N300-1)*D300))-AsAt)/365.25-(IF(DAY(E300+1)=1,EOMONTH(E300,H300*D300),EDATE(E300,H300*D300))-AsAt)/365.25)/((I300-O300)-1),0)*(1+F300)*(1-(I300-O300)*(1+F300)^((I300-O300)-1)+((I300-O300)-1)*(1+F300)^(I300-O300))/F300^2)+O300*(K300-L300*F300)*(1+F300)^(I300-1)*('Deal maths'!AA300-AsAt)/365.25)/L300,((I300-O300)*((IF(DAY(E300+1)=1,EOMONTH(E300,H300*D300),EDATE(E300,H300*D300))-AsAt)/365.25+(IF(DAY(E300+1)=1,EOMONTH(E300,(N300-1)*D300),EDATE(E300,(N300-1)*D300))-AsAt)/365.25)/2+O300*('Deal maths'!AA300-AsAt)/365.25)/I300),(S300-AsAt)/365.25)),0))</f>
        <v/>
      </c>
      <c r="Q300" s="109">
        <f>IF(B300=1,'Deal maths'!AA300+ROW()/1000000,"")</f>
        <v/>
      </c>
      <c r="R300" s="108">
        <f>IF(D300=0,0,IF(DAY(E300+1)=1,31,DAY(E300)))</f>
        <v/>
      </c>
      <c r="S300" s="109">
        <f>IF(AND('Deal maths'!V300="LOBO",'Deal maths'!AG300&gt;AsAt,'Deal maths'!AG300&lt;'Deal maths'!AA300),'Deal maths'!AG300,'Deal maths'!AA300)</f>
        <v/>
      </c>
      <c r="T300" s="108">
        <f>('Deal maths'!AA300&gt;AsAt)*('Deal maths'!Y300&gt;0)</f>
        <v/>
      </c>
    </row>
    <row r="301">
      <c r="A301" s="91">
        <f>IF('Deal maths'!V301="","",'Deal maths'!W301)</f>
        <v/>
      </c>
      <c r="B301" s="108">
        <f>('Deal maths'!AA301&gt;AsAt)*('Deal maths'!Y301&gt;0)*('Deal maths'!Z301&lt;=AsAt)</f>
        <v/>
      </c>
      <c r="C301" s="91">
        <f>IF('Deal maths'!V301="","",IF('Deal maths'!AC301="","Maturity",'Deal maths'!AC301))</f>
        <v/>
      </c>
      <c r="D301" s="108">
        <f>IF(OR(C301="EIP",C301="Annuity"),IF('Deal maths'!AD301="Annual",12,IF('Deal maths'!AD301="Quarterly",3,6)),0)</f>
        <v/>
      </c>
      <c r="E301" s="109">
        <f>IFERROR(IF(D301=0,0,IF('Deal maths'!AE301&gt;0,IF('Deal maths'!AE301&gt;'Deal maths'!AA301,'Deal maths'!AA301,'Deal maths'!AE301),IF(IF(DAY('Deal maths'!AA301+1)=1,EOMONTH('Deal maths'!AA301,-(INT(((YEAR('Deal maths'!AA301)-YEAR(IF('Deal maths'!Z301&gt;0,'Deal maths'!Z301,DATE(1990,1,1))))*12+MONTH('Deal maths'!AA301)-MONTH(IF('Deal maths'!Z301&gt;0,'Deal maths'!Z301,DATE(1990,1,1))))/D301))*D301),EDATE('Deal maths'!AA301,-(INT(((YEAR('Deal maths'!AA301)-YEAR(IF('Deal maths'!Z301&gt;0,'Deal maths'!Z301,DATE(1990,1,1))))*12+MONTH('Deal maths'!AA301)-MONTH(IF('Deal maths'!Z301&gt;0,'Deal maths'!Z301,DATE(1990,1,1))))/D301))*D301))&gt;IF('Deal maths'!Z301&gt;0,'Deal maths'!Z301,DATE(1990,1,1)),IF(DAY('Deal maths'!AA301+1)=1,EOMONTH('Deal maths'!AA301,-(INT(((YEAR('Deal maths'!AA301)-YEAR(IF('Deal maths'!Z301&gt;0,'Deal maths'!Z301,DATE(1990,1,1))))*12+MONTH('Deal maths'!AA301)-MONTH(IF('Deal maths'!Z301&gt;0,'Deal maths'!Z301,DATE(1990,1,1))))/D301))*D301),EDATE('Deal maths'!AA301,-(INT(((YEAR('Deal maths'!AA301)-YEAR(IF('Deal maths'!Z301&gt;0,'Deal maths'!Z301,DATE(1990,1,1))))*12+MONTH('Deal maths'!AA301)-MONTH(IF('Deal maths'!Z301&gt;0,'Deal maths'!Z301,DATE(1990,1,1))))/D301))*D301)),IF(DAY('Deal maths'!AA301+1)=1,EOMONTH('Deal maths'!AA301,-(INT(((YEAR('Deal maths'!AA301)-YEAR(IF('Deal maths'!Z301&gt;0,'Deal maths'!Z301,DATE(1990,1,1))))*12+MONTH('Deal maths'!AA301)-MONTH(IF('Deal maths'!Z301&gt;0,'Deal maths'!Z301,DATE(1990,1,1))))/D301)-1)*D301),EDATE('Deal maths'!AA301,-(INT(((YEAR('Deal maths'!AA301)-YEAR(IF('Deal maths'!Z301&gt;0,'Deal maths'!Z301,DATE(1990,1,1))))*12+MONTH('Deal maths'!AA301)-MONTH(IF('Deal maths'!Z301&gt;0,'Deal maths'!Z301,DATE(1990,1,1))))/D301)-1)*D301))))),0)</f>
        <v/>
      </c>
      <c r="F301" s="110">
        <f>IF(D301=0,0,'Deal maths'!AB301*D301/12)</f>
        <v/>
      </c>
      <c r="G301" s="108">
        <f>N301+O301</f>
        <v/>
      </c>
      <c r="H301" s="108">
        <f>IFERROR(IF(OR(D301=0,AsAt&lt;E301),0,MIN(N301,INT(((YEAR(AsAt)-YEAR(E301))*12+MONTH(AsAt)-MONTH(E301)-(DAY(AsAt)&lt;MIN(R301,DAY(EOMONTH(AsAt,0)))))/D301)+1)+O301*(AsAt&gt;='Deal maths'!AA301)),0)</f>
        <v/>
      </c>
      <c r="I301" s="108">
        <f>G301-H301</f>
        <v/>
      </c>
      <c r="J301" s="111">
        <f>IF(AND(C301="EIP",I301&gt;0),'Deal maths'!Y301/I301,0)</f>
        <v/>
      </c>
      <c r="K301" s="111">
        <f>IF(AND(C301="Annuity",I301&gt;0),IF(F301&gt;0,'Deal maths'!Y301*F301/(1-(1+F301)^-I301),'Deal maths'!Y301/I301),0)</f>
        <v/>
      </c>
      <c r="L301" s="111">
        <f>IF('Deal maths'!Y301="",0,'Deal maths'!Y301)</f>
        <v/>
      </c>
      <c r="M301" s="112">
        <f>F301+(F301=0)</f>
        <v/>
      </c>
      <c r="N301" s="108">
        <f>IFERROR(IF(D301=0,0,INT(((YEAR('Deal maths'!AA301)-YEAR(E301))*12+MONTH('Deal maths'!AA301)-MONTH(E301)-(DAY('Deal maths'!AA301)&lt;MIN(R301,DAY(EOMONTH('Deal maths'!AA301,0)))))/D301)+1),0)</f>
        <v/>
      </c>
      <c r="O301" s="108">
        <f>IFERROR(IF(D301=0,0,IF(IF(DAY(E301+1)=1,EOMONTH(E301,(N301-1)*D301),EDATE(E301,(N301-1)*D301))='Deal maths'!AA301,0,1)),0)</f>
        <v/>
      </c>
      <c r="P301" s="113">
        <f>IF(B301=0,0,IFERROR(IF(C301="EIP",((I301-O301)*((IF(DAY(E301+1)=1,EOMONTH(E301,H301*D301),EDATE(E301,H301*D301))-AsAt)/365.25+(IF(DAY(E301+1)=1,EOMONTH(E301,(N301-1)*D301),EDATE(E301,(N301-1)*D301))-AsAt)/365.25)/2+O301*('Deal maths'!AA301-AsAt)/365.25)/I301,IF(C301="Annuity",IF(F301&gt;0,((K301-L301*F301)*((IF(DAY(E301+1)=1,EOMONTH(E301,H301*D301),EDATE(E301,H301*D301))-AsAt)/365.25*((1+F301)^(I301-O301)-1)/F301+IF((I301-O301)&gt;1,((IF(DAY(E301+1)=1,EOMONTH(E301,(N301-1)*D301),EDATE(E301,(N301-1)*D301))-AsAt)/365.25-(IF(DAY(E301+1)=1,EOMONTH(E301,H301*D301),EDATE(E301,H301*D301))-AsAt)/365.25)/((I301-O301)-1),0)*(1+F301)*(1-(I301-O301)*(1+F301)^((I301-O301)-1)+((I301-O301)-1)*(1+F301)^(I301-O301))/F301^2)+O301*(K301-L301*F301)*(1+F301)^(I301-1)*('Deal maths'!AA301-AsAt)/365.25)/L301,((I301-O301)*((IF(DAY(E301+1)=1,EOMONTH(E301,H301*D301),EDATE(E301,H301*D301))-AsAt)/365.25+(IF(DAY(E301+1)=1,EOMONTH(E301,(N301-1)*D301),EDATE(E301,(N301-1)*D301))-AsAt)/365.25)/2+O301*('Deal maths'!AA301-AsAt)/365.25)/I301),(S301-AsAt)/365.25)),0))</f>
        <v/>
      </c>
      <c r="Q301" s="109">
        <f>IF(B301=1,'Deal maths'!AA301+ROW()/1000000,"")</f>
        <v/>
      </c>
      <c r="R301" s="108">
        <f>IF(D301=0,0,IF(DAY(E301+1)=1,31,DAY(E301)))</f>
        <v/>
      </c>
      <c r="S301" s="109">
        <f>IF(AND('Deal maths'!V301="LOBO",'Deal maths'!AG301&gt;AsAt,'Deal maths'!AG301&lt;'Deal maths'!AA301),'Deal maths'!AG301,'Deal maths'!AA301)</f>
        <v/>
      </c>
      <c r="T301" s="108">
        <f>('Deal maths'!AA301&gt;AsAt)*('Deal maths'!Y301&gt;0)</f>
        <v/>
      </c>
    </row>
    <row r="302">
      <c r="A302" s="91">
        <f>IF('Deal maths'!V302="","",'Deal maths'!W302)</f>
        <v/>
      </c>
      <c r="B302" s="108">
        <f>('Deal maths'!AA302&gt;AsAt)*('Deal maths'!Y302&gt;0)*('Deal maths'!Z302&lt;=AsAt)</f>
        <v/>
      </c>
      <c r="C302" s="91">
        <f>IF('Deal maths'!V302="","",IF('Deal maths'!AC302="","Maturity",'Deal maths'!AC302))</f>
        <v/>
      </c>
      <c r="D302" s="108">
        <f>IF(OR(C302="EIP",C302="Annuity"),IF('Deal maths'!AD302="Annual",12,IF('Deal maths'!AD302="Quarterly",3,6)),0)</f>
        <v/>
      </c>
      <c r="E302" s="109">
        <f>IFERROR(IF(D302=0,0,IF('Deal maths'!AE302&gt;0,IF('Deal maths'!AE302&gt;'Deal maths'!AA302,'Deal maths'!AA302,'Deal maths'!AE302),IF(IF(DAY('Deal maths'!AA302+1)=1,EOMONTH('Deal maths'!AA302,-(INT(((YEAR('Deal maths'!AA302)-YEAR(IF('Deal maths'!Z302&gt;0,'Deal maths'!Z302,DATE(1990,1,1))))*12+MONTH('Deal maths'!AA302)-MONTH(IF('Deal maths'!Z302&gt;0,'Deal maths'!Z302,DATE(1990,1,1))))/D302))*D302),EDATE('Deal maths'!AA302,-(INT(((YEAR('Deal maths'!AA302)-YEAR(IF('Deal maths'!Z302&gt;0,'Deal maths'!Z302,DATE(1990,1,1))))*12+MONTH('Deal maths'!AA302)-MONTH(IF('Deal maths'!Z302&gt;0,'Deal maths'!Z302,DATE(1990,1,1))))/D302))*D302))&gt;IF('Deal maths'!Z302&gt;0,'Deal maths'!Z302,DATE(1990,1,1)),IF(DAY('Deal maths'!AA302+1)=1,EOMONTH('Deal maths'!AA302,-(INT(((YEAR('Deal maths'!AA302)-YEAR(IF('Deal maths'!Z302&gt;0,'Deal maths'!Z302,DATE(1990,1,1))))*12+MONTH('Deal maths'!AA302)-MONTH(IF('Deal maths'!Z302&gt;0,'Deal maths'!Z302,DATE(1990,1,1))))/D302))*D302),EDATE('Deal maths'!AA302,-(INT(((YEAR('Deal maths'!AA302)-YEAR(IF('Deal maths'!Z302&gt;0,'Deal maths'!Z302,DATE(1990,1,1))))*12+MONTH('Deal maths'!AA302)-MONTH(IF('Deal maths'!Z302&gt;0,'Deal maths'!Z302,DATE(1990,1,1))))/D302))*D302)),IF(DAY('Deal maths'!AA302+1)=1,EOMONTH('Deal maths'!AA302,-(INT(((YEAR('Deal maths'!AA302)-YEAR(IF('Deal maths'!Z302&gt;0,'Deal maths'!Z302,DATE(1990,1,1))))*12+MONTH('Deal maths'!AA302)-MONTH(IF('Deal maths'!Z302&gt;0,'Deal maths'!Z302,DATE(1990,1,1))))/D302)-1)*D302),EDATE('Deal maths'!AA302,-(INT(((YEAR('Deal maths'!AA302)-YEAR(IF('Deal maths'!Z302&gt;0,'Deal maths'!Z302,DATE(1990,1,1))))*12+MONTH('Deal maths'!AA302)-MONTH(IF('Deal maths'!Z302&gt;0,'Deal maths'!Z302,DATE(1990,1,1))))/D302)-1)*D302))))),0)</f>
        <v/>
      </c>
      <c r="F302" s="110">
        <f>IF(D302=0,0,'Deal maths'!AB302*D302/12)</f>
        <v/>
      </c>
      <c r="G302" s="108">
        <f>N302+O302</f>
        <v/>
      </c>
      <c r="H302" s="108">
        <f>IFERROR(IF(OR(D302=0,AsAt&lt;E302),0,MIN(N302,INT(((YEAR(AsAt)-YEAR(E302))*12+MONTH(AsAt)-MONTH(E302)-(DAY(AsAt)&lt;MIN(R302,DAY(EOMONTH(AsAt,0)))))/D302)+1)+O302*(AsAt&gt;='Deal maths'!AA302)),0)</f>
        <v/>
      </c>
      <c r="I302" s="108">
        <f>G302-H302</f>
        <v/>
      </c>
      <c r="J302" s="111">
        <f>IF(AND(C302="EIP",I302&gt;0),'Deal maths'!Y302/I302,0)</f>
        <v/>
      </c>
      <c r="K302" s="111">
        <f>IF(AND(C302="Annuity",I302&gt;0),IF(F302&gt;0,'Deal maths'!Y302*F302/(1-(1+F302)^-I302),'Deal maths'!Y302/I302),0)</f>
        <v/>
      </c>
      <c r="L302" s="111">
        <f>IF('Deal maths'!Y302="",0,'Deal maths'!Y302)</f>
        <v/>
      </c>
      <c r="M302" s="112">
        <f>F302+(F302=0)</f>
        <v/>
      </c>
      <c r="N302" s="108">
        <f>IFERROR(IF(D302=0,0,INT(((YEAR('Deal maths'!AA302)-YEAR(E302))*12+MONTH('Deal maths'!AA302)-MONTH(E302)-(DAY('Deal maths'!AA302)&lt;MIN(R302,DAY(EOMONTH('Deal maths'!AA302,0)))))/D302)+1),0)</f>
        <v/>
      </c>
      <c r="O302" s="108">
        <f>IFERROR(IF(D302=0,0,IF(IF(DAY(E302+1)=1,EOMONTH(E302,(N302-1)*D302),EDATE(E302,(N302-1)*D302))='Deal maths'!AA302,0,1)),0)</f>
        <v/>
      </c>
      <c r="P302" s="113">
        <f>IF(B302=0,0,IFERROR(IF(C302="EIP",((I302-O302)*((IF(DAY(E302+1)=1,EOMONTH(E302,H302*D302),EDATE(E302,H302*D302))-AsAt)/365.25+(IF(DAY(E302+1)=1,EOMONTH(E302,(N302-1)*D302),EDATE(E302,(N302-1)*D302))-AsAt)/365.25)/2+O302*('Deal maths'!AA302-AsAt)/365.25)/I302,IF(C302="Annuity",IF(F302&gt;0,((K302-L302*F302)*((IF(DAY(E302+1)=1,EOMONTH(E302,H302*D302),EDATE(E302,H302*D302))-AsAt)/365.25*((1+F302)^(I302-O302)-1)/F302+IF((I302-O302)&gt;1,((IF(DAY(E302+1)=1,EOMONTH(E302,(N302-1)*D302),EDATE(E302,(N302-1)*D302))-AsAt)/365.25-(IF(DAY(E302+1)=1,EOMONTH(E302,H302*D302),EDATE(E302,H302*D302))-AsAt)/365.25)/((I302-O302)-1),0)*(1+F302)*(1-(I302-O302)*(1+F302)^((I302-O302)-1)+((I302-O302)-1)*(1+F302)^(I302-O302))/F302^2)+O302*(K302-L302*F302)*(1+F302)^(I302-1)*('Deal maths'!AA302-AsAt)/365.25)/L302,((I302-O302)*((IF(DAY(E302+1)=1,EOMONTH(E302,H302*D302),EDATE(E302,H302*D302))-AsAt)/365.25+(IF(DAY(E302+1)=1,EOMONTH(E302,(N302-1)*D302),EDATE(E302,(N302-1)*D302))-AsAt)/365.25)/2+O302*('Deal maths'!AA302-AsAt)/365.25)/I302),(S302-AsAt)/365.25)),0))</f>
        <v/>
      </c>
      <c r="Q302" s="109">
        <f>IF(B302=1,'Deal maths'!AA302+ROW()/1000000,"")</f>
        <v/>
      </c>
      <c r="R302" s="108">
        <f>IF(D302=0,0,IF(DAY(E302+1)=1,31,DAY(E302)))</f>
        <v/>
      </c>
      <c r="S302" s="109">
        <f>IF(AND('Deal maths'!V302="LOBO",'Deal maths'!AG302&gt;AsAt,'Deal maths'!AG302&lt;'Deal maths'!AA302),'Deal maths'!AG302,'Deal maths'!AA302)</f>
        <v/>
      </c>
      <c r="T302" s="108">
        <f>('Deal maths'!AA302&gt;AsAt)*('Deal maths'!Y302&gt;0)</f>
        <v/>
      </c>
    </row>
    <row r="303">
      <c r="A303" s="91">
        <f>IF('Deal maths'!V303="","",'Deal maths'!W303)</f>
        <v/>
      </c>
      <c r="B303" s="108">
        <f>('Deal maths'!AA303&gt;AsAt)*('Deal maths'!Y303&gt;0)*('Deal maths'!Z303&lt;=AsAt)</f>
        <v/>
      </c>
      <c r="C303" s="91">
        <f>IF('Deal maths'!V303="","",IF('Deal maths'!AC303="","Maturity",'Deal maths'!AC303))</f>
        <v/>
      </c>
      <c r="D303" s="108">
        <f>IF(OR(C303="EIP",C303="Annuity"),IF('Deal maths'!AD303="Annual",12,IF('Deal maths'!AD303="Quarterly",3,6)),0)</f>
        <v/>
      </c>
      <c r="E303" s="109">
        <f>IFERROR(IF(D303=0,0,IF('Deal maths'!AE303&gt;0,IF('Deal maths'!AE303&gt;'Deal maths'!AA303,'Deal maths'!AA303,'Deal maths'!AE303),IF(IF(DAY('Deal maths'!AA303+1)=1,EOMONTH('Deal maths'!AA303,-(INT(((YEAR('Deal maths'!AA303)-YEAR(IF('Deal maths'!Z303&gt;0,'Deal maths'!Z303,DATE(1990,1,1))))*12+MONTH('Deal maths'!AA303)-MONTH(IF('Deal maths'!Z303&gt;0,'Deal maths'!Z303,DATE(1990,1,1))))/D303))*D303),EDATE('Deal maths'!AA303,-(INT(((YEAR('Deal maths'!AA303)-YEAR(IF('Deal maths'!Z303&gt;0,'Deal maths'!Z303,DATE(1990,1,1))))*12+MONTH('Deal maths'!AA303)-MONTH(IF('Deal maths'!Z303&gt;0,'Deal maths'!Z303,DATE(1990,1,1))))/D303))*D303))&gt;IF('Deal maths'!Z303&gt;0,'Deal maths'!Z303,DATE(1990,1,1)),IF(DAY('Deal maths'!AA303+1)=1,EOMONTH('Deal maths'!AA303,-(INT(((YEAR('Deal maths'!AA303)-YEAR(IF('Deal maths'!Z303&gt;0,'Deal maths'!Z303,DATE(1990,1,1))))*12+MONTH('Deal maths'!AA303)-MONTH(IF('Deal maths'!Z303&gt;0,'Deal maths'!Z303,DATE(1990,1,1))))/D303))*D303),EDATE('Deal maths'!AA303,-(INT(((YEAR('Deal maths'!AA303)-YEAR(IF('Deal maths'!Z303&gt;0,'Deal maths'!Z303,DATE(1990,1,1))))*12+MONTH('Deal maths'!AA303)-MONTH(IF('Deal maths'!Z303&gt;0,'Deal maths'!Z303,DATE(1990,1,1))))/D303))*D303)),IF(DAY('Deal maths'!AA303+1)=1,EOMONTH('Deal maths'!AA303,-(INT(((YEAR('Deal maths'!AA303)-YEAR(IF('Deal maths'!Z303&gt;0,'Deal maths'!Z303,DATE(1990,1,1))))*12+MONTH('Deal maths'!AA303)-MONTH(IF('Deal maths'!Z303&gt;0,'Deal maths'!Z303,DATE(1990,1,1))))/D303)-1)*D303),EDATE('Deal maths'!AA303,-(INT(((YEAR('Deal maths'!AA303)-YEAR(IF('Deal maths'!Z303&gt;0,'Deal maths'!Z303,DATE(1990,1,1))))*12+MONTH('Deal maths'!AA303)-MONTH(IF('Deal maths'!Z303&gt;0,'Deal maths'!Z303,DATE(1990,1,1))))/D303)-1)*D303))))),0)</f>
        <v/>
      </c>
      <c r="F303" s="110">
        <f>IF(D303=0,0,'Deal maths'!AB303*D303/12)</f>
        <v/>
      </c>
      <c r="G303" s="108">
        <f>N303+O303</f>
        <v/>
      </c>
      <c r="H303" s="108">
        <f>IFERROR(IF(OR(D303=0,AsAt&lt;E303),0,MIN(N303,INT(((YEAR(AsAt)-YEAR(E303))*12+MONTH(AsAt)-MONTH(E303)-(DAY(AsAt)&lt;MIN(R303,DAY(EOMONTH(AsAt,0)))))/D303)+1)+O303*(AsAt&gt;='Deal maths'!AA303)),0)</f>
        <v/>
      </c>
      <c r="I303" s="108">
        <f>G303-H303</f>
        <v/>
      </c>
      <c r="J303" s="111">
        <f>IF(AND(C303="EIP",I303&gt;0),'Deal maths'!Y303/I303,0)</f>
        <v/>
      </c>
      <c r="K303" s="111">
        <f>IF(AND(C303="Annuity",I303&gt;0),IF(F303&gt;0,'Deal maths'!Y303*F303/(1-(1+F303)^-I303),'Deal maths'!Y303/I303),0)</f>
        <v/>
      </c>
      <c r="L303" s="111">
        <f>IF('Deal maths'!Y303="",0,'Deal maths'!Y303)</f>
        <v/>
      </c>
      <c r="M303" s="112">
        <f>F303+(F303=0)</f>
        <v/>
      </c>
      <c r="N303" s="108">
        <f>IFERROR(IF(D303=0,0,INT(((YEAR('Deal maths'!AA303)-YEAR(E303))*12+MONTH('Deal maths'!AA303)-MONTH(E303)-(DAY('Deal maths'!AA303)&lt;MIN(R303,DAY(EOMONTH('Deal maths'!AA303,0)))))/D303)+1),0)</f>
        <v/>
      </c>
      <c r="O303" s="108">
        <f>IFERROR(IF(D303=0,0,IF(IF(DAY(E303+1)=1,EOMONTH(E303,(N303-1)*D303),EDATE(E303,(N303-1)*D303))='Deal maths'!AA303,0,1)),0)</f>
        <v/>
      </c>
      <c r="P303" s="113">
        <f>IF(B303=0,0,IFERROR(IF(C303="EIP",((I303-O303)*((IF(DAY(E303+1)=1,EOMONTH(E303,H303*D303),EDATE(E303,H303*D303))-AsAt)/365.25+(IF(DAY(E303+1)=1,EOMONTH(E303,(N303-1)*D303),EDATE(E303,(N303-1)*D303))-AsAt)/365.25)/2+O303*('Deal maths'!AA303-AsAt)/365.25)/I303,IF(C303="Annuity",IF(F303&gt;0,((K303-L303*F303)*((IF(DAY(E303+1)=1,EOMONTH(E303,H303*D303),EDATE(E303,H303*D303))-AsAt)/365.25*((1+F303)^(I303-O303)-1)/F303+IF((I303-O303)&gt;1,((IF(DAY(E303+1)=1,EOMONTH(E303,(N303-1)*D303),EDATE(E303,(N303-1)*D303))-AsAt)/365.25-(IF(DAY(E303+1)=1,EOMONTH(E303,H303*D303),EDATE(E303,H303*D303))-AsAt)/365.25)/((I303-O303)-1),0)*(1+F303)*(1-(I303-O303)*(1+F303)^((I303-O303)-1)+((I303-O303)-1)*(1+F303)^(I303-O303))/F303^2)+O303*(K303-L303*F303)*(1+F303)^(I303-1)*('Deal maths'!AA303-AsAt)/365.25)/L303,((I303-O303)*((IF(DAY(E303+1)=1,EOMONTH(E303,H303*D303),EDATE(E303,H303*D303))-AsAt)/365.25+(IF(DAY(E303+1)=1,EOMONTH(E303,(N303-1)*D303),EDATE(E303,(N303-1)*D303))-AsAt)/365.25)/2+O303*('Deal maths'!AA303-AsAt)/365.25)/I303),(S303-AsAt)/365.25)),0))</f>
        <v/>
      </c>
      <c r="Q303" s="109">
        <f>IF(B303=1,'Deal maths'!AA303+ROW()/1000000,"")</f>
        <v/>
      </c>
      <c r="R303" s="108">
        <f>IF(D303=0,0,IF(DAY(E303+1)=1,31,DAY(E303)))</f>
        <v/>
      </c>
      <c r="S303" s="109">
        <f>IF(AND('Deal maths'!V303="LOBO",'Deal maths'!AG303&gt;AsAt,'Deal maths'!AG303&lt;'Deal maths'!AA303),'Deal maths'!AG303,'Deal maths'!AA303)</f>
        <v/>
      </c>
      <c r="T303" s="108">
        <f>('Deal maths'!AA303&gt;AsAt)*('Deal maths'!Y303&gt;0)</f>
        <v/>
      </c>
    </row>
    <row r="304">
      <c r="A304" s="91">
        <f>IF('Deal maths'!V304="","",'Deal maths'!W304)</f>
        <v/>
      </c>
      <c r="B304" s="108">
        <f>('Deal maths'!AA304&gt;AsAt)*('Deal maths'!Y304&gt;0)*('Deal maths'!Z304&lt;=AsAt)</f>
        <v/>
      </c>
      <c r="C304" s="91">
        <f>IF('Deal maths'!V304="","",IF('Deal maths'!AC304="","Maturity",'Deal maths'!AC304))</f>
        <v/>
      </c>
      <c r="D304" s="108">
        <f>IF(OR(C304="EIP",C304="Annuity"),IF('Deal maths'!AD304="Annual",12,IF('Deal maths'!AD304="Quarterly",3,6)),0)</f>
        <v/>
      </c>
      <c r="E304" s="109">
        <f>IFERROR(IF(D304=0,0,IF('Deal maths'!AE304&gt;0,IF('Deal maths'!AE304&gt;'Deal maths'!AA304,'Deal maths'!AA304,'Deal maths'!AE304),IF(IF(DAY('Deal maths'!AA304+1)=1,EOMONTH('Deal maths'!AA304,-(INT(((YEAR('Deal maths'!AA304)-YEAR(IF('Deal maths'!Z304&gt;0,'Deal maths'!Z304,DATE(1990,1,1))))*12+MONTH('Deal maths'!AA304)-MONTH(IF('Deal maths'!Z304&gt;0,'Deal maths'!Z304,DATE(1990,1,1))))/D304))*D304),EDATE('Deal maths'!AA304,-(INT(((YEAR('Deal maths'!AA304)-YEAR(IF('Deal maths'!Z304&gt;0,'Deal maths'!Z304,DATE(1990,1,1))))*12+MONTH('Deal maths'!AA304)-MONTH(IF('Deal maths'!Z304&gt;0,'Deal maths'!Z304,DATE(1990,1,1))))/D304))*D304))&gt;IF('Deal maths'!Z304&gt;0,'Deal maths'!Z304,DATE(1990,1,1)),IF(DAY('Deal maths'!AA304+1)=1,EOMONTH('Deal maths'!AA304,-(INT(((YEAR('Deal maths'!AA304)-YEAR(IF('Deal maths'!Z304&gt;0,'Deal maths'!Z304,DATE(1990,1,1))))*12+MONTH('Deal maths'!AA304)-MONTH(IF('Deal maths'!Z304&gt;0,'Deal maths'!Z304,DATE(1990,1,1))))/D304))*D304),EDATE('Deal maths'!AA304,-(INT(((YEAR('Deal maths'!AA304)-YEAR(IF('Deal maths'!Z304&gt;0,'Deal maths'!Z304,DATE(1990,1,1))))*12+MONTH('Deal maths'!AA304)-MONTH(IF('Deal maths'!Z304&gt;0,'Deal maths'!Z304,DATE(1990,1,1))))/D304))*D304)),IF(DAY('Deal maths'!AA304+1)=1,EOMONTH('Deal maths'!AA304,-(INT(((YEAR('Deal maths'!AA304)-YEAR(IF('Deal maths'!Z304&gt;0,'Deal maths'!Z304,DATE(1990,1,1))))*12+MONTH('Deal maths'!AA304)-MONTH(IF('Deal maths'!Z304&gt;0,'Deal maths'!Z304,DATE(1990,1,1))))/D304)-1)*D304),EDATE('Deal maths'!AA304,-(INT(((YEAR('Deal maths'!AA304)-YEAR(IF('Deal maths'!Z304&gt;0,'Deal maths'!Z304,DATE(1990,1,1))))*12+MONTH('Deal maths'!AA304)-MONTH(IF('Deal maths'!Z304&gt;0,'Deal maths'!Z304,DATE(1990,1,1))))/D304)-1)*D304))))),0)</f>
        <v/>
      </c>
      <c r="F304" s="110">
        <f>IF(D304=0,0,'Deal maths'!AB304*D304/12)</f>
        <v/>
      </c>
      <c r="G304" s="108">
        <f>N304+O304</f>
        <v/>
      </c>
      <c r="H304" s="108">
        <f>IFERROR(IF(OR(D304=0,AsAt&lt;E304),0,MIN(N304,INT(((YEAR(AsAt)-YEAR(E304))*12+MONTH(AsAt)-MONTH(E304)-(DAY(AsAt)&lt;MIN(R304,DAY(EOMONTH(AsAt,0)))))/D304)+1)+O304*(AsAt&gt;='Deal maths'!AA304)),0)</f>
        <v/>
      </c>
      <c r="I304" s="108">
        <f>G304-H304</f>
        <v/>
      </c>
      <c r="J304" s="111">
        <f>IF(AND(C304="EIP",I304&gt;0),'Deal maths'!Y304/I304,0)</f>
        <v/>
      </c>
      <c r="K304" s="111">
        <f>IF(AND(C304="Annuity",I304&gt;0),IF(F304&gt;0,'Deal maths'!Y304*F304/(1-(1+F304)^-I304),'Deal maths'!Y304/I304),0)</f>
        <v/>
      </c>
      <c r="L304" s="111">
        <f>IF('Deal maths'!Y304="",0,'Deal maths'!Y304)</f>
        <v/>
      </c>
      <c r="M304" s="112">
        <f>F304+(F304=0)</f>
        <v/>
      </c>
      <c r="N304" s="108">
        <f>IFERROR(IF(D304=0,0,INT(((YEAR('Deal maths'!AA304)-YEAR(E304))*12+MONTH('Deal maths'!AA304)-MONTH(E304)-(DAY('Deal maths'!AA304)&lt;MIN(R304,DAY(EOMONTH('Deal maths'!AA304,0)))))/D304)+1),0)</f>
        <v/>
      </c>
      <c r="O304" s="108">
        <f>IFERROR(IF(D304=0,0,IF(IF(DAY(E304+1)=1,EOMONTH(E304,(N304-1)*D304),EDATE(E304,(N304-1)*D304))='Deal maths'!AA304,0,1)),0)</f>
        <v/>
      </c>
      <c r="P304" s="113">
        <f>IF(B304=0,0,IFERROR(IF(C304="EIP",((I304-O304)*((IF(DAY(E304+1)=1,EOMONTH(E304,H304*D304),EDATE(E304,H304*D304))-AsAt)/365.25+(IF(DAY(E304+1)=1,EOMONTH(E304,(N304-1)*D304),EDATE(E304,(N304-1)*D304))-AsAt)/365.25)/2+O304*('Deal maths'!AA304-AsAt)/365.25)/I304,IF(C304="Annuity",IF(F304&gt;0,((K304-L304*F304)*((IF(DAY(E304+1)=1,EOMONTH(E304,H304*D304),EDATE(E304,H304*D304))-AsAt)/365.25*((1+F304)^(I304-O304)-1)/F304+IF((I304-O304)&gt;1,((IF(DAY(E304+1)=1,EOMONTH(E304,(N304-1)*D304),EDATE(E304,(N304-1)*D304))-AsAt)/365.25-(IF(DAY(E304+1)=1,EOMONTH(E304,H304*D304),EDATE(E304,H304*D304))-AsAt)/365.25)/((I304-O304)-1),0)*(1+F304)*(1-(I304-O304)*(1+F304)^((I304-O304)-1)+((I304-O304)-1)*(1+F304)^(I304-O304))/F304^2)+O304*(K304-L304*F304)*(1+F304)^(I304-1)*('Deal maths'!AA304-AsAt)/365.25)/L304,((I304-O304)*((IF(DAY(E304+1)=1,EOMONTH(E304,H304*D304),EDATE(E304,H304*D304))-AsAt)/365.25+(IF(DAY(E304+1)=1,EOMONTH(E304,(N304-1)*D304),EDATE(E304,(N304-1)*D304))-AsAt)/365.25)/2+O304*('Deal maths'!AA304-AsAt)/365.25)/I304),(S304-AsAt)/365.25)),0))</f>
        <v/>
      </c>
      <c r="Q304" s="109">
        <f>IF(B304=1,'Deal maths'!AA304+ROW()/1000000,"")</f>
        <v/>
      </c>
      <c r="R304" s="108">
        <f>IF(D304=0,0,IF(DAY(E304+1)=1,31,DAY(E304)))</f>
        <v/>
      </c>
      <c r="S304" s="109">
        <f>IF(AND('Deal maths'!V304="LOBO",'Deal maths'!AG304&gt;AsAt,'Deal maths'!AG304&lt;'Deal maths'!AA304),'Deal maths'!AG304,'Deal maths'!AA304)</f>
        <v/>
      </c>
      <c r="T304" s="108">
        <f>('Deal maths'!AA304&gt;AsAt)*('Deal maths'!Y304&gt;0)</f>
        <v/>
      </c>
    </row>
    <row r="305">
      <c r="A305" s="91">
        <f>IF('Deal maths'!V305="","",'Deal maths'!W305)</f>
        <v/>
      </c>
      <c r="B305" s="108">
        <f>('Deal maths'!AA305&gt;AsAt)*('Deal maths'!Y305&gt;0)*('Deal maths'!Z305&lt;=AsAt)</f>
        <v/>
      </c>
      <c r="C305" s="91">
        <f>IF('Deal maths'!V305="","",IF('Deal maths'!AC305="","Maturity",'Deal maths'!AC305))</f>
        <v/>
      </c>
      <c r="D305" s="108">
        <f>IF(OR(C305="EIP",C305="Annuity"),IF('Deal maths'!AD305="Annual",12,IF('Deal maths'!AD305="Quarterly",3,6)),0)</f>
        <v/>
      </c>
      <c r="E305" s="109">
        <f>IFERROR(IF(D305=0,0,IF('Deal maths'!AE305&gt;0,IF('Deal maths'!AE305&gt;'Deal maths'!AA305,'Deal maths'!AA305,'Deal maths'!AE305),IF(IF(DAY('Deal maths'!AA305+1)=1,EOMONTH('Deal maths'!AA305,-(INT(((YEAR('Deal maths'!AA305)-YEAR(IF('Deal maths'!Z305&gt;0,'Deal maths'!Z305,DATE(1990,1,1))))*12+MONTH('Deal maths'!AA305)-MONTH(IF('Deal maths'!Z305&gt;0,'Deal maths'!Z305,DATE(1990,1,1))))/D305))*D305),EDATE('Deal maths'!AA305,-(INT(((YEAR('Deal maths'!AA305)-YEAR(IF('Deal maths'!Z305&gt;0,'Deal maths'!Z305,DATE(1990,1,1))))*12+MONTH('Deal maths'!AA305)-MONTH(IF('Deal maths'!Z305&gt;0,'Deal maths'!Z305,DATE(1990,1,1))))/D305))*D305))&gt;IF('Deal maths'!Z305&gt;0,'Deal maths'!Z305,DATE(1990,1,1)),IF(DAY('Deal maths'!AA305+1)=1,EOMONTH('Deal maths'!AA305,-(INT(((YEAR('Deal maths'!AA305)-YEAR(IF('Deal maths'!Z305&gt;0,'Deal maths'!Z305,DATE(1990,1,1))))*12+MONTH('Deal maths'!AA305)-MONTH(IF('Deal maths'!Z305&gt;0,'Deal maths'!Z305,DATE(1990,1,1))))/D305))*D305),EDATE('Deal maths'!AA305,-(INT(((YEAR('Deal maths'!AA305)-YEAR(IF('Deal maths'!Z305&gt;0,'Deal maths'!Z305,DATE(1990,1,1))))*12+MONTH('Deal maths'!AA305)-MONTH(IF('Deal maths'!Z305&gt;0,'Deal maths'!Z305,DATE(1990,1,1))))/D305))*D305)),IF(DAY('Deal maths'!AA305+1)=1,EOMONTH('Deal maths'!AA305,-(INT(((YEAR('Deal maths'!AA305)-YEAR(IF('Deal maths'!Z305&gt;0,'Deal maths'!Z305,DATE(1990,1,1))))*12+MONTH('Deal maths'!AA305)-MONTH(IF('Deal maths'!Z305&gt;0,'Deal maths'!Z305,DATE(1990,1,1))))/D305)-1)*D305),EDATE('Deal maths'!AA305,-(INT(((YEAR('Deal maths'!AA305)-YEAR(IF('Deal maths'!Z305&gt;0,'Deal maths'!Z305,DATE(1990,1,1))))*12+MONTH('Deal maths'!AA305)-MONTH(IF('Deal maths'!Z305&gt;0,'Deal maths'!Z305,DATE(1990,1,1))))/D305)-1)*D305))))),0)</f>
        <v/>
      </c>
      <c r="F305" s="110">
        <f>IF(D305=0,0,'Deal maths'!AB305*D305/12)</f>
        <v/>
      </c>
      <c r="G305" s="108">
        <f>N305+O305</f>
        <v/>
      </c>
      <c r="H305" s="108">
        <f>IFERROR(IF(OR(D305=0,AsAt&lt;E305),0,MIN(N305,INT(((YEAR(AsAt)-YEAR(E305))*12+MONTH(AsAt)-MONTH(E305)-(DAY(AsAt)&lt;MIN(R305,DAY(EOMONTH(AsAt,0)))))/D305)+1)+O305*(AsAt&gt;='Deal maths'!AA305)),0)</f>
        <v/>
      </c>
      <c r="I305" s="108">
        <f>G305-H305</f>
        <v/>
      </c>
      <c r="J305" s="111">
        <f>IF(AND(C305="EIP",I305&gt;0),'Deal maths'!Y305/I305,0)</f>
        <v/>
      </c>
      <c r="K305" s="111">
        <f>IF(AND(C305="Annuity",I305&gt;0),IF(F305&gt;0,'Deal maths'!Y305*F305/(1-(1+F305)^-I305),'Deal maths'!Y305/I305),0)</f>
        <v/>
      </c>
      <c r="L305" s="111">
        <f>IF('Deal maths'!Y305="",0,'Deal maths'!Y305)</f>
        <v/>
      </c>
      <c r="M305" s="112">
        <f>F305+(F305=0)</f>
        <v/>
      </c>
      <c r="N305" s="108">
        <f>IFERROR(IF(D305=0,0,INT(((YEAR('Deal maths'!AA305)-YEAR(E305))*12+MONTH('Deal maths'!AA305)-MONTH(E305)-(DAY('Deal maths'!AA305)&lt;MIN(R305,DAY(EOMONTH('Deal maths'!AA305,0)))))/D305)+1),0)</f>
        <v/>
      </c>
      <c r="O305" s="108">
        <f>IFERROR(IF(D305=0,0,IF(IF(DAY(E305+1)=1,EOMONTH(E305,(N305-1)*D305),EDATE(E305,(N305-1)*D305))='Deal maths'!AA305,0,1)),0)</f>
        <v/>
      </c>
      <c r="P305" s="113">
        <f>IF(B305=0,0,IFERROR(IF(C305="EIP",((I305-O305)*((IF(DAY(E305+1)=1,EOMONTH(E305,H305*D305),EDATE(E305,H305*D305))-AsAt)/365.25+(IF(DAY(E305+1)=1,EOMONTH(E305,(N305-1)*D305),EDATE(E305,(N305-1)*D305))-AsAt)/365.25)/2+O305*('Deal maths'!AA305-AsAt)/365.25)/I305,IF(C305="Annuity",IF(F305&gt;0,((K305-L305*F305)*((IF(DAY(E305+1)=1,EOMONTH(E305,H305*D305),EDATE(E305,H305*D305))-AsAt)/365.25*((1+F305)^(I305-O305)-1)/F305+IF((I305-O305)&gt;1,((IF(DAY(E305+1)=1,EOMONTH(E305,(N305-1)*D305),EDATE(E305,(N305-1)*D305))-AsAt)/365.25-(IF(DAY(E305+1)=1,EOMONTH(E305,H305*D305),EDATE(E305,H305*D305))-AsAt)/365.25)/((I305-O305)-1),0)*(1+F305)*(1-(I305-O305)*(1+F305)^((I305-O305)-1)+((I305-O305)-1)*(1+F305)^(I305-O305))/F305^2)+O305*(K305-L305*F305)*(1+F305)^(I305-1)*('Deal maths'!AA305-AsAt)/365.25)/L305,((I305-O305)*((IF(DAY(E305+1)=1,EOMONTH(E305,H305*D305),EDATE(E305,H305*D305))-AsAt)/365.25+(IF(DAY(E305+1)=1,EOMONTH(E305,(N305-1)*D305),EDATE(E305,(N305-1)*D305))-AsAt)/365.25)/2+O305*('Deal maths'!AA305-AsAt)/365.25)/I305),(S305-AsAt)/365.25)),0))</f>
        <v/>
      </c>
      <c r="Q305" s="109">
        <f>IF(B305=1,'Deal maths'!AA305+ROW()/1000000,"")</f>
        <v/>
      </c>
      <c r="R305" s="108">
        <f>IF(D305=0,0,IF(DAY(E305+1)=1,31,DAY(E305)))</f>
        <v/>
      </c>
      <c r="S305" s="109">
        <f>IF(AND('Deal maths'!V305="LOBO",'Deal maths'!AG305&gt;AsAt,'Deal maths'!AG305&lt;'Deal maths'!AA305),'Deal maths'!AG305,'Deal maths'!AA305)</f>
        <v/>
      </c>
      <c r="T305" s="108">
        <f>('Deal maths'!AA305&gt;AsAt)*('Deal maths'!Y305&gt;0)</f>
        <v/>
      </c>
    </row>
    <row r="306">
      <c r="A306" s="91">
        <f>IF('Deal maths'!V306="","",'Deal maths'!W306)</f>
        <v/>
      </c>
      <c r="B306" s="108">
        <f>('Deal maths'!AA306&gt;AsAt)*('Deal maths'!Y306&gt;0)*('Deal maths'!Z306&lt;=AsAt)</f>
        <v/>
      </c>
      <c r="C306" s="91">
        <f>IF('Deal maths'!V306="","",IF('Deal maths'!AC306="","Maturity",'Deal maths'!AC306))</f>
        <v/>
      </c>
      <c r="D306" s="108">
        <f>IF(OR(C306="EIP",C306="Annuity"),IF('Deal maths'!AD306="Annual",12,IF('Deal maths'!AD306="Quarterly",3,6)),0)</f>
        <v/>
      </c>
      <c r="E306" s="109">
        <f>IFERROR(IF(D306=0,0,IF('Deal maths'!AE306&gt;0,IF('Deal maths'!AE306&gt;'Deal maths'!AA306,'Deal maths'!AA306,'Deal maths'!AE306),IF(IF(DAY('Deal maths'!AA306+1)=1,EOMONTH('Deal maths'!AA306,-(INT(((YEAR('Deal maths'!AA306)-YEAR(IF('Deal maths'!Z306&gt;0,'Deal maths'!Z306,DATE(1990,1,1))))*12+MONTH('Deal maths'!AA306)-MONTH(IF('Deal maths'!Z306&gt;0,'Deal maths'!Z306,DATE(1990,1,1))))/D306))*D306),EDATE('Deal maths'!AA306,-(INT(((YEAR('Deal maths'!AA306)-YEAR(IF('Deal maths'!Z306&gt;0,'Deal maths'!Z306,DATE(1990,1,1))))*12+MONTH('Deal maths'!AA306)-MONTH(IF('Deal maths'!Z306&gt;0,'Deal maths'!Z306,DATE(1990,1,1))))/D306))*D306))&gt;IF('Deal maths'!Z306&gt;0,'Deal maths'!Z306,DATE(1990,1,1)),IF(DAY('Deal maths'!AA306+1)=1,EOMONTH('Deal maths'!AA306,-(INT(((YEAR('Deal maths'!AA306)-YEAR(IF('Deal maths'!Z306&gt;0,'Deal maths'!Z306,DATE(1990,1,1))))*12+MONTH('Deal maths'!AA306)-MONTH(IF('Deal maths'!Z306&gt;0,'Deal maths'!Z306,DATE(1990,1,1))))/D306))*D306),EDATE('Deal maths'!AA306,-(INT(((YEAR('Deal maths'!AA306)-YEAR(IF('Deal maths'!Z306&gt;0,'Deal maths'!Z306,DATE(1990,1,1))))*12+MONTH('Deal maths'!AA306)-MONTH(IF('Deal maths'!Z306&gt;0,'Deal maths'!Z306,DATE(1990,1,1))))/D306))*D306)),IF(DAY('Deal maths'!AA306+1)=1,EOMONTH('Deal maths'!AA306,-(INT(((YEAR('Deal maths'!AA306)-YEAR(IF('Deal maths'!Z306&gt;0,'Deal maths'!Z306,DATE(1990,1,1))))*12+MONTH('Deal maths'!AA306)-MONTH(IF('Deal maths'!Z306&gt;0,'Deal maths'!Z306,DATE(1990,1,1))))/D306)-1)*D306),EDATE('Deal maths'!AA306,-(INT(((YEAR('Deal maths'!AA306)-YEAR(IF('Deal maths'!Z306&gt;0,'Deal maths'!Z306,DATE(1990,1,1))))*12+MONTH('Deal maths'!AA306)-MONTH(IF('Deal maths'!Z306&gt;0,'Deal maths'!Z306,DATE(1990,1,1))))/D306)-1)*D306))))),0)</f>
        <v/>
      </c>
      <c r="F306" s="110">
        <f>IF(D306=0,0,'Deal maths'!AB306*D306/12)</f>
        <v/>
      </c>
      <c r="G306" s="108">
        <f>N306+O306</f>
        <v/>
      </c>
      <c r="H306" s="108">
        <f>IFERROR(IF(OR(D306=0,AsAt&lt;E306),0,MIN(N306,INT(((YEAR(AsAt)-YEAR(E306))*12+MONTH(AsAt)-MONTH(E306)-(DAY(AsAt)&lt;MIN(R306,DAY(EOMONTH(AsAt,0)))))/D306)+1)+O306*(AsAt&gt;='Deal maths'!AA306)),0)</f>
        <v/>
      </c>
      <c r="I306" s="108">
        <f>G306-H306</f>
        <v/>
      </c>
      <c r="J306" s="111">
        <f>IF(AND(C306="EIP",I306&gt;0),'Deal maths'!Y306/I306,0)</f>
        <v/>
      </c>
      <c r="K306" s="111">
        <f>IF(AND(C306="Annuity",I306&gt;0),IF(F306&gt;0,'Deal maths'!Y306*F306/(1-(1+F306)^-I306),'Deal maths'!Y306/I306),0)</f>
        <v/>
      </c>
      <c r="L306" s="111">
        <f>IF('Deal maths'!Y306="",0,'Deal maths'!Y306)</f>
        <v/>
      </c>
      <c r="M306" s="112">
        <f>F306+(F306=0)</f>
        <v/>
      </c>
      <c r="N306" s="108">
        <f>IFERROR(IF(D306=0,0,INT(((YEAR('Deal maths'!AA306)-YEAR(E306))*12+MONTH('Deal maths'!AA306)-MONTH(E306)-(DAY('Deal maths'!AA306)&lt;MIN(R306,DAY(EOMONTH('Deal maths'!AA306,0)))))/D306)+1),0)</f>
        <v/>
      </c>
      <c r="O306" s="108">
        <f>IFERROR(IF(D306=0,0,IF(IF(DAY(E306+1)=1,EOMONTH(E306,(N306-1)*D306),EDATE(E306,(N306-1)*D306))='Deal maths'!AA306,0,1)),0)</f>
        <v/>
      </c>
      <c r="P306" s="113">
        <f>IF(B306=0,0,IFERROR(IF(C306="EIP",((I306-O306)*((IF(DAY(E306+1)=1,EOMONTH(E306,H306*D306),EDATE(E306,H306*D306))-AsAt)/365.25+(IF(DAY(E306+1)=1,EOMONTH(E306,(N306-1)*D306),EDATE(E306,(N306-1)*D306))-AsAt)/365.25)/2+O306*('Deal maths'!AA306-AsAt)/365.25)/I306,IF(C306="Annuity",IF(F306&gt;0,((K306-L306*F306)*((IF(DAY(E306+1)=1,EOMONTH(E306,H306*D306),EDATE(E306,H306*D306))-AsAt)/365.25*((1+F306)^(I306-O306)-1)/F306+IF((I306-O306)&gt;1,((IF(DAY(E306+1)=1,EOMONTH(E306,(N306-1)*D306),EDATE(E306,(N306-1)*D306))-AsAt)/365.25-(IF(DAY(E306+1)=1,EOMONTH(E306,H306*D306),EDATE(E306,H306*D306))-AsAt)/365.25)/((I306-O306)-1),0)*(1+F306)*(1-(I306-O306)*(1+F306)^((I306-O306)-1)+((I306-O306)-1)*(1+F306)^(I306-O306))/F306^2)+O306*(K306-L306*F306)*(1+F306)^(I306-1)*('Deal maths'!AA306-AsAt)/365.25)/L306,((I306-O306)*((IF(DAY(E306+1)=1,EOMONTH(E306,H306*D306),EDATE(E306,H306*D306))-AsAt)/365.25+(IF(DAY(E306+1)=1,EOMONTH(E306,(N306-1)*D306),EDATE(E306,(N306-1)*D306))-AsAt)/365.25)/2+O306*('Deal maths'!AA306-AsAt)/365.25)/I306),(S306-AsAt)/365.25)),0))</f>
        <v/>
      </c>
      <c r="Q306" s="109">
        <f>IF(B306=1,'Deal maths'!AA306+ROW()/1000000,"")</f>
        <v/>
      </c>
      <c r="R306" s="108">
        <f>IF(D306=0,0,IF(DAY(E306+1)=1,31,DAY(E306)))</f>
        <v/>
      </c>
      <c r="S306" s="109">
        <f>IF(AND('Deal maths'!V306="LOBO",'Deal maths'!AG306&gt;AsAt,'Deal maths'!AG306&lt;'Deal maths'!AA306),'Deal maths'!AG306,'Deal maths'!AA306)</f>
        <v/>
      </c>
      <c r="T306" s="108">
        <f>('Deal maths'!AA306&gt;AsAt)*('Deal maths'!Y306&gt;0)</f>
        <v/>
      </c>
    </row>
    <row r="307">
      <c r="A307" s="91">
        <f>IF('Deal maths'!V307="","",'Deal maths'!W307)</f>
        <v/>
      </c>
      <c r="B307" s="108">
        <f>('Deal maths'!AA307&gt;AsAt)*('Deal maths'!Y307&gt;0)*('Deal maths'!Z307&lt;=AsAt)</f>
        <v/>
      </c>
      <c r="C307" s="91">
        <f>IF('Deal maths'!V307="","",IF('Deal maths'!AC307="","Maturity",'Deal maths'!AC307))</f>
        <v/>
      </c>
      <c r="D307" s="108">
        <f>IF(OR(C307="EIP",C307="Annuity"),IF('Deal maths'!AD307="Annual",12,IF('Deal maths'!AD307="Quarterly",3,6)),0)</f>
        <v/>
      </c>
      <c r="E307" s="109">
        <f>IFERROR(IF(D307=0,0,IF('Deal maths'!AE307&gt;0,IF('Deal maths'!AE307&gt;'Deal maths'!AA307,'Deal maths'!AA307,'Deal maths'!AE307),IF(IF(DAY('Deal maths'!AA307+1)=1,EOMONTH('Deal maths'!AA307,-(INT(((YEAR('Deal maths'!AA307)-YEAR(IF('Deal maths'!Z307&gt;0,'Deal maths'!Z307,DATE(1990,1,1))))*12+MONTH('Deal maths'!AA307)-MONTH(IF('Deal maths'!Z307&gt;0,'Deal maths'!Z307,DATE(1990,1,1))))/D307))*D307),EDATE('Deal maths'!AA307,-(INT(((YEAR('Deal maths'!AA307)-YEAR(IF('Deal maths'!Z307&gt;0,'Deal maths'!Z307,DATE(1990,1,1))))*12+MONTH('Deal maths'!AA307)-MONTH(IF('Deal maths'!Z307&gt;0,'Deal maths'!Z307,DATE(1990,1,1))))/D307))*D307))&gt;IF('Deal maths'!Z307&gt;0,'Deal maths'!Z307,DATE(1990,1,1)),IF(DAY('Deal maths'!AA307+1)=1,EOMONTH('Deal maths'!AA307,-(INT(((YEAR('Deal maths'!AA307)-YEAR(IF('Deal maths'!Z307&gt;0,'Deal maths'!Z307,DATE(1990,1,1))))*12+MONTH('Deal maths'!AA307)-MONTH(IF('Deal maths'!Z307&gt;0,'Deal maths'!Z307,DATE(1990,1,1))))/D307))*D307),EDATE('Deal maths'!AA307,-(INT(((YEAR('Deal maths'!AA307)-YEAR(IF('Deal maths'!Z307&gt;0,'Deal maths'!Z307,DATE(1990,1,1))))*12+MONTH('Deal maths'!AA307)-MONTH(IF('Deal maths'!Z307&gt;0,'Deal maths'!Z307,DATE(1990,1,1))))/D307))*D307)),IF(DAY('Deal maths'!AA307+1)=1,EOMONTH('Deal maths'!AA307,-(INT(((YEAR('Deal maths'!AA307)-YEAR(IF('Deal maths'!Z307&gt;0,'Deal maths'!Z307,DATE(1990,1,1))))*12+MONTH('Deal maths'!AA307)-MONTH(IF('Deal maths'!Z307&gt;0,'Deal maths'!Z307,DATE(1990,1,1))))/D307)-1)*D307),EDATE('Deal maths'!AA307,-(INT(((YEAR('Deal maths'!AA307)-YEAR(IF('Deal maths'!Z307&gt;0,'Deal maths'!Z307,DATE(1990,1,1))))*12+MONTH('Deal maths'!AA307)-MONTH(IF('Deal maths'!Z307&gt;0,'Deal maths'!Z307,DATE(1990,1,1))))/D307)-1)*D307))))),0)</f>
        <v/>
      </c>
      <c r="F307" s="110">
        <f>IF(D307=0,0,'Deal maths'!AB307*D307/12)</f>
        <v/>
      </c>
      <c r="G307" s="108">
        <f>N307+O307</f>
        <v/>
      </c>
      <c r="H307" s="108">
        <f>IFERROR(IF(OR(D307=0,AsAt&lt;E307),0,MIN(N307,INT(((YEAR(AsAt)-YEAR(E307))*12+MONTH(AsAt)-MONTH(E307)-(DAY(AsAt)&lt;MIN(R307,DAY(EOMONTH(AsAt,0)))))/D307)+1)+O307*(AsAt&gt;='Deal maths'!AA307)),0)</f>
        <v/>
      </c>
      <c r="I307" s="108">
        <f>G307-H307</f>
        <v/>
      </c>
      <c r="J307" s="111">
        <f>IF(AND(C307="EIP",I307&gt;0),'Deal maths'!Y307/I307,0)</f>
        <v/>
      </c>
      <c r="K307" s="111">
        <f>IF(AND(C307="Annuity",I307&gt;0),IF(F307&gt;0,'Deal maths'!Y307*F307/(1-(1+F307)^-I307),'Deal maths'!Y307/I307),0)</f>
        <v/>
      </c>
      <c r="L307" s="111">
        <f>IF('Deal maths'!Y307="",0,'Deal maths'!Y307)</f>
        <v/>
      </c>
      <c r="M307" s="112">
        <f>F307+(F307=0)</f>
        <v/>
      </c>
      <c r="N307" s="108">
        <f>IFERROR(IF(D307=0,0,INT(((YEAR('Deal maths'!AA307)-YEAR(E307))*12+MONTH('Deal maths'!AA307)-MONTH(E307)-(DAY('Deal maths'!AA307)&lt;MIN(R307,DAY(EOMONTH('Deal maths'!AA307,0)))))/D307)+1),0)</f>
        <v/>
      </c>
      <c r="O307" s="108">
        <f>IFERROR(IF(D307=0,0,IF(IF(DAY(E307+1)=1,EOMONTH(E307,(N307-1)*D307),EDATE(E307,(N307-1)*D307))='Deal maths'!AA307,0,1)),0)</f>
        <v/>
      </c>
      <c r="P307" s="113">
        <f>IF(B307=0,0,IFERROR(IF(C307="EIP",((I307-O307)*((IF(DAY(E307+1)=1,EOMONTH(E307,H307*D307),EDATE(E307,H307*D307))-AsAt)/365.25+(IF(DAY(E307+1)=1,EOMONTH(E307,(N307-1)*D307),EDATE(E307,(N307-1)*D307))-AsAt)/365.25)/2+O307*('Deal maths'!AA307-AsAt)/365.25)/I307,IF(C307="Annuity",IF(F307&gt;0,((K307-L307*F307)*((IF(DAY(E307+1)=1,EOMONTH(E307,H307*D307),EDATE(E307,H307*D307))-AsAt)/365.25*((1+F307)^(I307-O307)-1)/F307+IF((I307-O307)&gt;1,((IF(DAY(E307+1)=1,EOMONTH(E307,(N307-1)*D307),EDATE(E307,(N307-1)*D307))-AsAt)/365.25-(IF(DAY(E307+1)=1,EOMONTH(E307,H307*D307),EDATE(E307,H307*D307))-AsAt)/365.25)/((I307-O307)-1),0)*(1+F307)*(1-(I307-O307)*(1+F307)^((I307-O307)-1)+((I307-O307)-1)*(1+F307)^(I307-O307))/F307^2)+O307*(K307-L307*F307)*(1+F307)^(I307-1)*('Deal maths'!AA307-AsAt)/365.25)/L307,((I307-O307)*((IF(DAY(E307+1)=1,EOMONTH(E307,H307*D307),EDATE(E307,H307*D307))-AsAt)/365.25+(IF(DAY(E307+1)=1,EOMONTH(E307,(N307-1)*D307),EDATE(E307,(N307-1)*D307))-AsAt)/365.25)/2+O307*('Deal maths'!AA307-AsAt)/365.25)/I307),(S307-AsAt)/365.25)),0))</f>
        <v/>
      </c>
      <c r="Q307" s="109">
        <f>IF(B307=1,'Deal maths'!AA307+ROW()/1000000,"")</f>
        <v/>
      </c>
      <c r="R307" s="108">
        <f>IF(D307=0,0,IF(DAY(E307+1)=1,31,DAY(E307)))</f>
        <v/>
      </c>
      <c r="S307" s="109">
        <f>IF(AND('Deal maths'!V307="LOBO",'Deal maths'!AG307&gt;AsAt,'Deal maths'!AG307&lt;'Deal maths'!AA307),'Deal maths'!AG307,'Deal maths'!AA307)</f>
        <v/>
      </c>
      <c r="T307" s="108">
        <f>('Deal maths'!AA307&gt;AsAt)*('Deal maths'!Y307&gt;0)</f>
        <v/>
      </c>
    </row>
    <row r="308">
      <c r="A308" s="91">
        <f>IF('Deal maths'!V308="","",'Deal maths'!W308)</f>
        <v/>
      </c>
      <c r="B308" s="108">
        <f>('Deal maths'!AA308&gt;AsAt)*('Deal maths'!Y308&gt;0)*('Deal maths'!Z308&lt;=AsAt)</f>
        <v/>
      </c>
      <c r="C308" s="91">
        <f>IF('Deal maths'!V308="","",IF('Deal maths'!AC308="","Maturity",'Deal maths'!AC308))</f>
        <v/>
      </c>
      <c r="D308" s="108">
        <f>IF(OR(C308="EIP",C308="Annuity"),IF('Deal maths'!AD308="Annual",12,IF('Deal maths'!AD308="Quarterly",3,6)),0)</f>
        <v/>
      </c>
      <c r="E308" s="109">
        <f>IFERROR(IF(D308=0,0,IF('Deal maths'!AE308&gt;0,IF('Deal maths'!AE308&gt;'Deal maths'!AA308,'Deal maths'!AA308,'Deal maths'!AE308),IF(IF(DAY('Deal maths'!AA308+1)=1,EOMONTH('Deal maths'!AA308,-(INT(((YEAR('Deal maths'!AA308)-YEAR(IF('Deal maths'!Z308&gt;0,'Deal maths'!Z308,DATE(1990,1,1))))*12+MONTH('Deal maths'!AA308)-MONTH(IF('Deal maths'!Z308&gt;0,'Deal maths'!Z308,DATE(1990,1,1))))/D308))*D308),EDATE('Deal maths'!AA308,-(INT(((YEAR('Deal maths'!AA308)-YEAR(IF('Deal maths'!Z308&gt;0,'Deal maths'!Z308,DATE(1990,1,1))))*12+MONTH('Deal maths'!AA308)-MONTH(IF('Deal maths'!Z308&gt;0,'Deal maths'!Z308,DATE(1990,1,1))))/D308))*D308))&gt;IF('Deal maths'!Z308&gt;0,'Deal maths'!Z308,DATE(1990,1,1)),IF(DAY('Deal maths'!AA308+1)=1,EOMONTH('Deal maths'!AA308,-(INT(((YEAR('Deal maths'!AA308)-YEAR(IF('Deal maths'!Z308&gt;0,'Deal maths'!Z308,DATE(1990,1,1))))*12+MONTH('Deal maths'!AA308)-MONTH(IF('Deal maths'!Z308&gt;0,'Deal maths'!Z308,DATE(1990,1,1))))/D308))*D308),EDATE('Deal maths'!AA308,-(INT(((YEAR('Deal maths'!AA308)-YEAR(IF('Deal maths'!Z308&gt;0,'Deal maths'!Z308,DATE(1990,1,1))))*12+MONTH('Deal maths'!AA308)-MONTH(IF('Deal maths'!Z308&gt;0,'Deal maths'!Z308,DATE(1990,1,1))))/D308))*D308)),IF(DAY('Deal maths'!AA308+1)=1,EOMONTH('Deal maths'!AA308,-(INT(((YEAR('Deal maths'!AA308)-YEAR(IF('Deal maths'!Z308&gt;0,'Deal maths'!Z308,DATE(1990,1,1))))*12+MONTH('Deal maths'!AA308)-MONTH(IF('Deal maths'!Z308&gt;0,'Deal maths'!Z308,DATE(1990,1,1))))/D308)-1)*D308),EDATE('Deal maths'!AA308,-(INT(((YEAR('Deal maths'!AA308)-YEAR(IF('Deal maths'!Z308&gt;0,'Deal maths'!Z308,DATE(1990,1,1))))*12+MONTH('Deal maths'!AA308)-MONTH(IF('Deal maths'!Z308&gt;0,'Deal maths'!Z308,DATE(1990,1,1))))/D308)-1)*D308))))),0)</f>
        <v/>
      </c>
      <c r="F308" s="110">
        <f>IF(D308=0,0,'Deal maths'!AB308*D308/12)</f>
        <v/>
      </c>
      <c r="G308" s="108">
        <f>N308+O308</f>
        <v/>
      </c>
      <c r="H308" s="108">
        <f>IFERROR(IF(OR(D308=0,AsAt&lt;E308),0,MIN(N308,INT(((YEAR(AsAt)-YEAR(E308))*12+MONTH(AsAt)-MONTH(E308)-(DAY(AsAt)&lt;MIN(R308,DAY(EOMONTH(AsAt,0)))))/D308)+1)+O308*(AsAt&gt;='Deal maths'!AA308)),0)</f>
        <v/>
      </c>
      <c r="I308" s="108">
        <f>G308-H308</f>
        <v/>
      </c>
      <c r="J308" s="111">
        <f>IF(AND(C308="EIP",I308&gt;0),'Deal maths'!Y308/I308,0)</f>
        <v/>
      </c>
      <c r="K308" s="111">
        <f>IF(AND(C308="Annuity",I308&gt;0),IF(F308&gt;0,'Deal maths'!Y308*F308/(1-(1+F308)^-I308),'Deal maths'!Y308/I308),0)</f>
        <v/>
      </c>
      <c r="L308" s="111">
        <f>IF('Deal maths'!Y308="",0,'Deal maths'!Y308)</f>
        <v/>
      </c>
      <c r="M308" s="112">
        <f>F308+(F308=0)</f>
        <v/>
      </c>
      <c r="N308" s="108">
        <f>IFERROR(IF(D308=0,0,INT(((YEAR('Deal maths'!AA308)-YEAR(E308))*12+MONTH('Deal maths'!AA308)-MONTH(E308)-(DAY('Deal maths'!AA308)&lt;MIN(R308,DAY(EOMONTH('Deal maths'!AA308,0)))))/D308)+1),0)</f>
        <v/>
      </c>
      <c r="O308" s="108">
        <f>IFERROR(IF(D308=0,0,IF(IF(DAY(E308+1)=1,EOMONTH(E308,(N308-1)*D308),EDATE(E308,(N308-1)*D308))='Deal maths'!AA308,0,1)),0)</f>
        <v/>
      </c>
      <c r="P308" s="113">
        <f>IF(B308=0,0,IFERROR(IF(C308="EIP",((I308-O308)*((IF(DAY(E308+1)=1,EOMONTH(E308,H308*D308),EDATE(E308,H308*D308))-AsAt)/365.25+(IF(DAY(E308+1)=1,EOMONTH(E308,(N308-1)*D308),EDATE(E308,(N308-1)*D308))-AsAt)/365.25)/2+O308*('Deal maths'!AA308-AsAt)/365.25)/I308,IF(C308="Annuity",IF(F308&gt;0,((K308-L308*F308)*((IF(DAY(E308+1)=1,EOMONTH(E308,H308*D308),EDATE(E308,H308*D308))-AsAt)/365.25*((1+F308)^(I308-O308)-1)/F308+IF((I308-O308)&gt;1,((IF(DAY(E308+1)=1,EOMONTH(E308,(N308-1)*D308),EDATE(E308,(N308-1)*D308))-AsAt)/365.25-(IF(DAY(E308+1)=1,EOMONTH(E308,H308*D308),EDATE(E308,H308*D308))-AsAt)/365.25)/((I308-O308)-1),0)*(1+F308)*(1-(I308-O308)*(1+F308)^((I308-O308)-1)+((I308-O308)-1)*(1+F308)^(I308-O308))/F308^2)+O308*(K308-L308*F308)*(1+F308)^(I308-1)*('Deal maths'!AA308-AsAt)/365.25)/L308,((I308-O308)*((IF(DAY(E308+1)=1,EOMONTH(E308,H308*D308),EDATE(E308,H308*D308))-AsAt)/365.25+(IF(DAY(E308+1)=1,EOMONTH(E308,(N308-1)*D308),EDATE(E308,(N308-1)*D308))-AsAt)/365.25)/2+O308*('Deal maths'!AA308-AsAt)/365.25)/I308),(S308-AsAt)/365.25)),0))</f>
        <v/>
      </c>
      <c r="Q308" s="109">
        <f>IF(B308=1,'Deal maths'!AA308+ROW()/1000000,"")</f>
        <v/>
      </c>
      <c r="R308" s="108">
        <f>IF(D308=0,0,IF(DAY(E308+1)=1,31,DAY(E308)))</f>
        <v/>
      </c>
      <c r="S308" s="109">
        <f>IF(AND('Deal maths'!V308="LOBO",'Deal maths'!AG308&gt;AsAt,'Deal maths'!AG308&lt;'Deal maths'!AA308),'Deal maths'!AG308,'Deal maths'!AA308)</f>
        <v/>
      </c>
      <c r="T308" s="108">
        <f>('Deal maths'!AA308&gt;AsAt)*('Deal maths'!Y308&gt;0)</f>
        <v/>
      </c>
    </row>
    <row r="309">
      <c r="A309" s="91">
        <f>IF('Deal maths'!V309="","",'Deal maths'!W309)</f>
        <v/>
      </c>
      <c r="B309" s="108">
        <f>('Deal maths'!AA309&gt;AsAt)*('Deal maths'!Y309&gt;0)*('Deal maths'!Z309&lt;=AsAt)</f>
        <v/>
      </c>
      <c r="C309" s="91">
        <f>IF('Deal maths'!V309="","",IF('Deal maths'!AC309="","Maturity",'Deal maths'!AC309))</f>
        <v/>
      </c>
      <c r="D309" s="108">
        <f>IF(OR(C309="EIP",C309="Annuity"),IF('Deal maths'!AD309="Annual",12,IF('Deal maths'!AD309="Quarterly",3,6)),0)</f>
        <v/>
      </c>
      <c r="E309" s="109">
        <f>IFERROR(IF(D309=0,0,IF('Deal maths'!AE309&gt;0,IF('Deal maths'!AE309&gt;'Deal maths'!AA309,'Deal maths'!AA309,'Deal maths'!AE309),IF(IF(DAY('Deal maths'!AA309+1)=1,EOMONTH('Deal maths'!AA309,-(INT(((YEAR('Deal maths'!AA309)-YEAR(IF('Deal maths'!Z309&gt;0,'Deal maths'!Z309,DATE(1990,1,1))))*12+MONTH('Deal maths'!AA309)-MONTH(IF('Deal maths'!Z309&gt;0,'Deal maths'!Z309,DATE(1990,1,1))))/D309))*D309),EDATE('Deal maths'!AA309,-(INT(((YEAR('Deal maths'!AA309)-YEAR(IF('Deal maths'!Z309&gt;0,'Deal maths'!Z309,DATE(1990,1,1))))*12+MONTH('Deal maths'!AA309)-MONTH(IF('Deal maths'!Z309&gt;0,'Deal maths'!Z309,DATE(1990,1,1))))/D309))*D309))&gt;IF('Deal maths'!Z309&gt;0,'Deal maths'!Z309,DATE(1990,1,1)),IF(DAY('Deal maths'!AA309+1)=1,EOMONTH('Deal maths'!AA309,-(INT(((YEAR('Deal maths'!AA309)-YEAR(IF('Deal maths'!Z309&gt;0,'Deal maths'!Z309,DATE(1990,1,1))))*12+MONTH('Deal maths'!AA309)-MONTH(IF('Deal maths'!Z309&gt;0,'Deal maths'!Z309,DATE(1990,1,1))))/D309))*D309),EDATE('Deal maths'!AA309,-(INT(((YEAR('Deal maths'!AA309)-YEAR(IF('Deal maths'!Z309&gt;0,'Deal maths'!Z309,DATE(1990,1,1))))*12+MONTH('Deal maths'!AA309)-MONTH(IF('Deal maths'!Z309&gt;0,'Deal maths'!Z309,DATE(1990,1,1))))/D309))*D309)),IF(DAY('Deal maths'!AA309+1)=1,EOMONTH('Deal maths'!AA309,-(INT(((YEAR('Deal maths'!AA309)-YEAR(IF('Deal maths'!Z309&gt;0,'Deal maths'!Z309,DATE(1990,1,1))))*12+MONTH('Deal maths'!AA309)-MONTH(IF('Deal maths'!Z309&gt;0,'Deal maths'!Z309,DATE(1990,1,1))))/D309)-1)*D309),EDATE('Deal maths'!AA309,-(INT(((YEAR('Deal maths'!AA309)-YEAR(IF('Deal maths'!Z309&gt;0,'Deal maths'!Z309,DATE(1990,1,1))))*12+MONTH('Deal maths'!AA309)-MONTH(IF('Deal maths'!Z309&gt;0,'Deal maths'!Z309,DATE(1990,1,1))))/D309)-1)*D309))))),0)</f>
        <v/>
      </c>
      <c r="F309" s="110">
        <f>IF(D309=0,0,'Deal maths'!AB309*D309/12)</f>
        <v/>
      </c>
      <c r="G309" s="108">
        <f>N309+O309</f>
        <v/>
      </c>
      <c r="H309" s="108">
        <f>IFERROR(IF(OR(D309=0,AsAt&lt;E309),0,MIN(N309,INT(((YEAR(AsAt)-YEAR(E309))*12+MONTH(AsAt)-MONTH(E309)-(DAY(AsAt)&lt;MIN(R309,DAY(EOMONTH(AsAt,0)))))/D309)+1)+O309*(AsAt&gt;='Deal maths'!AA309)),0)</f>
        <v/>
      </c>
      <c r="I309" s="108">
        <f>G309-H309</f>
        <v/>
      </c>
      <c r="J309" s="111">
        <f>IF(AND(C309="EIP",I309&gt;0),'Deal maths'!Y309/I309,0)</f>
        <v/>
      </c>
      <c r="K309" s="111">
        <f>IF(AND(C309="Annuity",I309&gt;0),IF(F309&gt;0,'Deal maths'!Y309*F309/(1-(1+F309)^-I309),'Deal maths'!Y309/I309),0)</f>
        <v/>
      </c>
      <c r="L309" s="111">
        <f>IF('Deal maths'!Y309="",0,'Deal maths'!Y309)</f>
        <v/>
      </c>
      <c r="M309" s="112">
        <f>F309+(F309=0)</f>
        <v/>
      </c>
      <c r="N309" s="108">
        <f>IFERROR(IF(D309=0,0,INT(((YEAR('Deal maths'!AA309)-YEAR(E309))*12+MONTH('Deal maths'!AA309)-MONTH(E309)-(DAY('Deal maths'!AA309)&lt;MIN(R309,DAY(EOMONTH('Deal maths'!AA309,0)))))/D309)+1),0)</f>
        <v/>
      </c>
      <c r="O309" s="108">
        <f>IFERROR(IF(D309=0,0,IF(IF(DAY(E309+1)=1,EOMONTH(E309,(N309-1)*D309),EDATE(E309,(N309-1)*D309))='Deal maths'!AA309,0,1)),0)</f>
        <v/>
      </c>
      <c r="P309" s="113">
        <f>IF(B309=0,0,IFERROR(IF(C309="EIP",((I309-O309)*((IF(DAY(E309+1)=1,EOMONTH(E309,H309*D309),EDATE(E309,H309*D309))-AsAt)/365.25+(IF(DAY(E309+1)=1,EOMONTH(E309,(N309-1)*D309),EDATE(E309,(N309-1)*D309))-AsAt)/365.25)/2+O309*('Deal maths'!AA309-AsAt)/365.25)/I309,IF(C309="Annuity",IF(F309&gt;0,((K309-L309*F309)*((IF(DAY(E309+1)=1,EOMONTH(E309,H309*D309),EDATE(E309,H309*D309))-AsAt)/365.25*((1+F309)^(I309-O309)-1)/F309+IF((I309-O309)&gt;1,((IF(DAY(E309+1)=1,EOMONTH(E309,(N309-1)*D309),EDATE(E309,(N309-1)*D309))-AsAt)/365.25-(IF(DAY(E309+1)=1,EOMONTH(E309,H309*D309),EDATE(E309,H309*D309))-AsAt)/365.25)/((I309-O309)-1),0)*(1+F309)*(1-(I309-O309)*(1+F309)^((I309-O309)-1)+((I309-O309)-1)*(1+F309)^(I309-O309))/F309^2)+O309*(K309-L309*F309)*(1+F309)^(I309-1)*('Deal maths'!AA309-AsAt)/365.25)/L309,((I309-O309)*((IF(DAY(E309+1)=1,EOMONTH(E309,H309*D309),EDATE(E309,H309*D309))-AsAt)/365.25+(IF(DAY(E309+1)=1,EOMONTH(E309,(N309-1)*D309),EDATE(E309,(N309-1)*D309))-AsAt)/365.25)/2+O309*('Deal maths'!AA309-AsAt)/365.25)/I309),(S309-AsAt)/365.25)),0))</f>
        <v/>
      </c>
      <c r="Q309" s="109">
        <f>IF(B309=1,'Deal maths'!AA309+ROW()/1000000,"")</f>
        <v/>
      </c>
      <c r="R309" s="108">
        <f>IF(D309=0,0,IF(DAY(E309+1)=1,31,DAY(E309)))</f>
        <v/>
      </c>
      <c r="S309" s="109">
        <f>IF(AND('Deal maths'!V309="LOBO",'Deal maths'!AG309&gt;AsAt,'Deal maths'!AG309&lt;'Deal maths'!AA309),'Deal maths'!AG309,'Deal maths'!AA309)</f>
        <v/>
      </c>
      <c r="T309" s="108">
        <f>('Deal maths'!AA309&gt;AsAt)*('Deal maths'!Y309&gt;0)</f>
        <v/>
      </c>
    </row>
    <row r="310">
      <c r="A310" s="91">
        <f>IF('Deal maths'!V310="","",'Deal maths'!W310)</f>
        <v/>
      </c>
      <c r="B310" s="108">
        <f>('Deal maths'!AA310&gt;AsAt)*('Deal maths'!Y310&gt;0)*('Deal maths'!Z310&lt;=AsAt)</f>
        <v/>
      </c>
      <c r="C310" s="91">
        <f>IF('Deal maths'!V310="","",IF('Deal maths'!AC310="","Maturity",'Deal maths'!AC310))</f>
        <v/>
      </c>
      <c r="D310" s="108">
        <f>IF(OR(C310="EIP",C310="Annuity"),IF('Deal maths'!AD310="Annual",12,IF('Deal maths'!AD310="Quarterly",3,6)),0)</f>
        <v/>
      </c>
      <c r="E310" s="109">
        <f>IFERROR(IF(D310=0,0,IF('Deal maths'!AE310&gt;0,IF('Deal maths'!AE310&gt;'Deal maths'!AA310,'Deal maths'!AA310,'Deal maths'!AE310),IF(IF(DAY('Deal maths'!AA310+1)=1,EOMONTH('Deal maths'!AA310,-(INT(((YEAR('Deal maths'!AA310)-YEAR(IF('Deal maths'!Z310&gt;0,'Deal maths'!Z310,DATE(1990,1,1))))*12+MONTH('Deal maths'!AA310)-MONTH(IF('Deal maths'!Z310&gt;0,'Deal maths'!Z310,DATE(1990,1,1))))/D310))*D310),EDATE('Deal maths'!AA310,-(INT(((YEAR('Deal maths'!AA310)-YEAR(IF('Deal maths'!Z310&gt;0,'Deal maths'!Z310,DATE(1990,1,1))))*12+MONTH('Deal maths'!AA310)-MONTH(IF('Deal maths'!Z310&gt;0,'Deal maths'!Z310,DATE(1990,1,1))))/D310))*D310))&gt;IF('Deal maths'!Z310&gt;0,'Deal maths'!Z310,DATE(1990,1,1)),IF(DAY('Deal maths'!AA310+1)=1,EOMONTH('Deal maths'!AA310,-(INT(((YEAR('Deal maths'!AA310)-YEAR(IF('Deal maths'!Z310&gt;0,'Deal maths'!Z310,DATE(1990,1,1))))*12+MONTH('Deal maths'!AA310)-MONTH(IF('Deal maths'!Z310&gt;0,'Deal maths'!Z310,DATE(1990,1,1))))/D310))*D310),EDATE('Deal maths'!AA310,-(INT(((YEAR('Deal maths'!AA310)-YEAR(IF('Deal maths'!Z310&gt;0,'Deal maths'!Z310,DATE(1990,1,1))))*12+MONTH('Deal maths'!AA310)-MONTH(IF('Deal maths'!Z310&gt;0,'Deal maths'!Z310,DATE(1990,1,1))))/D310))*D310)),IF(DAY('Deal maths'!AA310+1)=1,EOMONTH('Deal maths'!AA310,-(INT(((YEAR('Deal maths'!AA310)-YEAR(IF('Deal maths'!Z310&gt;0,'Deal maths'!Z310,DATE(1990,1,1))))*12+MONTH('Deal maths'!AA310)-MONTH(IF('Deal maths'!Z310&gt;0,'Deal maths'!Z310,DATE(1990,1,1))))/D310)-1)*D310),EDATE('Deal maths'!AA310,-(INT(((YEAR('Deal maths'!AA310)-YEAR(IF('Deal maths'!Z310&gt;0,'Deal maths'!Z310,DATE(1990,1,1))))*12+MONTH('Deal maths'!AA310)-MONTH(IF('Deal maths'!Z310&gt;0,'Deal maths'!Z310,DATE(1990,1,1))))/D310)-1)*D310))))),0)</f>
        <v/>
      </c>
      <c r="F310" s="110">
        <f>IF(D310=0,0,'Deal maths'!AB310*D310/12)</f>
        <v/>
      </c>
      <c r="G310" s="108">
        <f>N310+O310</f>
        <v/>
      </c>
      <c r="H310" s="108">
        <f>IFERROR(IF(OR(D310=0,AsAt&lt;E310),0,MIN(N310,INT(((YEAR(AsAt)-YEAR(E310))*12+MONTH(AsAt)-MONTH(E310)-(DAY(AsAt)&lt;MIN(R310,DAY(EOMONTH(AsAt,0)))))/D310)+1)+O310*(AsAt&gt;='Deal maths'!AA310)),0)</f>
        <v/>
      </c>
      <c r="I310" s="108">
        <f>G310-H310</f>
        <v/>
      </c>
      <c r="J310" s="111">
        <f>IF(AND(C310="EIP",I310&gt;0),'Deal maths'!Y310/I310,0)</f>
        <v/>
      </c>
      <c r="K310" s="111">
        <f>IF(AND(C310="Annuity",I310&gt;0),IF(F310&gt;0,'Deal maths'!Y310*F310/(1-(1+F310)^-I310),'Deal maths'!Y310/I310),0)</f>
        <v/>
      </c>
      <c r="L310" s="111">
        <f>IF('Deal maths'!Y310="",0,'Deal maths'!Y310)</f>
        <v/>
      </c>
      <c r="M310" s="112">
        <f>F310+(F310=0)</f>
        <v/>
      </c>
      <c r="N310" s="108">
        <f>IFERROR(IF(D310=0,0,INT(((YEAR('Deal maths'!AA310)-YEAR(E310))*12+MONTH('Deal maths'!AA310)-MONTH(E310)-(DAY('Deal maths'!AA310)&lt;MIN(R310,DAY(EOMONTH('Deal maths'!AA310,0)))))/D310)+1),0)</f>
        <v/>
      </c>
      <c r="O310" s="108">
        <f>IFERROR(IF(D310=0,0,IF(IF(DAY(E310+1)=1,EOMONTH(E310,(N310-1)*D310),EDATE(E310,(N310-1)*D310))='Deal maths'!AA310,0,1)),0)</f>
        <v/>
      </c>
      <c r="P310" s="113">
        <f>IF(B310=0,0,IFERROR(IF(C310="EIP",((I310-O310)*((IF(DAY(E310+1)=1,EOMONTH(E310,H310*D310),EDATE(E310,H310*D310))-AsAt)/365.25+(IF(DAY(E310+1)=1,EOMONTH(E310,(N310-1)*D310),EDATE(E310,(N310-1)*D310))-AsAt)/365.25)/2+O310*('Deal maths'!AA310-AsAt)/365.25)/I310,IF(C310="Annuity",IF(F310&gt;0,((K310-L310*F310)*((IF(DAY(E310+1)=1,EOMONTH(E310,H310*D310),EDATE(E310,H310*D310))-AsAt)/365.25*((1+F310)^(I310-O310)-1)/F310+IF((I310-O310)&gt;1,((IF(DAY(E310+1)=1,EOMONTH(E310,(N310-1)*D310),EDATE(E310,(N310-1)*D310))-AsAt)/365.25-(IF(DAY(E310+1)=1,EOMONTH(E310,H310*D310),EDATE(E310,H310*D310))-AsAt)/365.25)/((I310-O310)-1),0)*(1+F310)*(1-(I310-O310)*(1+F310)^((I310-O310)-1)+((I310-O310)-1)*(1+F310)^(I310-O310))/F310^2)+O310*(K310-L310*F310)*(1+F310)^(I310-1)*('Deal maths'!AA310-AsAt)/365.25)/L310,((I310-O310)*((IF(DAY(E310+1)=1,EOMONTH(E310,H310*D310),EDATE(E310,H310*D310))-AsAt)/365.25+(IF(DAY(E310+1)=1,EOMONTH(E310,(N310-1)*D310),EDATE(E310,(N310-1)*D310))-AsAt)/365.25)/2+O310*('Deal maths'!AA310-AsAt)/365.25)/I310),(S310-AsAt)/365.25)),0))</f>
        <v/>
      </c>
      <c r="Q310" s="109">
        <f>IF(B310=1,'Deal maths'!AA310+ROW()/1000000,"")</f>
        <v/>
      </c>
      <c r="R310" s="108">
        <f>IF(D310=0,0,IF(DAY(E310+1)=1,31,DAY(E310)))</f>
        <v/>
      </c>
      <c r="S310" s="109">
        <f>IF(AND('Deal maths'!V310="LOBO",'Deal maths'!AG310&gt;AsAt,'Deal maths'!AG310&lt;'Deal maths'!AA310),'Deal maths'!AG310,'Deal maths'!AA310)</f>
        <v/>
      </c>
      <c r="T310" s="108">
        <f>('Deal maths'!AA310&gt;AsAt)*('Deal maths'!Y310&gt;0)</f>
        <v/>
      </c>
    </row>
    <row r="311">
      <c r="A311" s="91">
        <f>IF('Deal maths'!V311="","",'Deal maths'!W311)</f>
        <v/>
      </c>
      <c r="B311" s="108">
        <f>('Deal maths'!AA311&gt;AsAt)*('Deal maths'!Y311&gt;0)*('Deal maths'!Z311&lt;=AsAt)</f>
        <v/>
      </c>
      <c r="C311" s="91">
        <f>IF('Deal maths'!V311="","",IF('Deal maths'!AC311="","Maturity",'Deal maths'!AC311))</f>
        <v/>
      </c>
      <c r="D311" s="108">
        <f>IF(OR(C311="EIP",C311="Annuity"),IF('Deal maths'!AD311="Annual",12,IF('Deal maths'!AD311="Quarterly",3,6)),0)</f>
        <v/>
      </c>
      <c r="E311" s="109">
        <f>IFERROR(IF(D311=0,0,IF('Deal maths'!AE311&gt;0,IF('Deal maths'!AE311&gt;'Deal maths'!AA311,'Deal maths'!AA311,'Deal maths'!AE311),IF(IF(DAY('Deal maths'!AA311+1)=1,EOMONTH('Deal maths'!AA311,-(INT(((YEAR('Deal maths'!AA311)-YEAR(IF('Deal maths'!Z311&gt;0,'Deal maths'!Z311,DATE(1990,1,1))))*12+MONTH('Deal maths'!AA311)-MONTH(IF('Deal maths'!Z311&gt;0,'Deal maths'!Z311,DATE(1990,1,1))))/D311))*D311),EDATE('Deal maths'!AA311,-(INT(((YEAR('Deal maths'!AA311)-YEAR(IF('Deal maths'!Z311&gt;0,'Deal maths'!Z311,DATE(1990,1,1))))*12+MONTH('Deal maths'!AA311)-MONTH(IF('Deal maths'!Z311&gt;0,'Deal maths'!Z311,DATE(1990,1,1))))/D311))*D311))&gt;IF('Deal maths'!Z311&gt;0,'Deal maths'!Z311,DATE(1990,1,1)),IF(DAY('Deal maths'!AA311+1)=1,EOMONTH('Deal maths'!AA311,-(INT(((YEAR('Deal maths'!AA311)-YEAR(IF('Deal maths'!Z311&gt;0,'Deal maths'!Z311,DATE(1990,1,1))))*12+MONTH('Deal maths'!AA311)-MONTH(IF('Deal maths'!Z311&gt;0,'Deal maths'!Z311,DATE(1990,1,1))))/D311))*D311),EDATE('Deal maths'!AA311,-(INT(((YEAR('Deal maths'!AA311)-YEAR(IF('Deal maths'!Z311&gt;0,'Deal maths'!Z311,DATE(1990,1,1))))*12+MONTH('Deal maths'!AA311)-MONTH(IF('Deal maths'!Z311&gt;0,'Deal maths'!Z311,DATE(1990,1,1))))/D311))*D311)),IF(DAY('Deal maths'!AA311+1)=1,EOMONTH('Deal maths'!AA311,-(INT(((YEAR('Deal maths'!AA311)-YEAR(IF('Deal maths'!Z311&gt;0,'Deal maths'!Z311,DATE(1990,1,1))))*12+MONTH('Deal maths'!AA311)-MONTH(IF('Deal maths'!Z311&gt;0,'Deal maths'!Z311,DATE(1990,1,1))))/D311)-1)*D311),EDATE('Deal maths'!AA311,-(INT(((YEAR('Deal maths'!AA311)-YEAR(IF('Deal maths'!Z311&gt;0,'Deal maths'!Z311,DATE(1990,1,1))))*12+MONTH('Deal maths'!AA311)-MONTH(IF('Deal maths'!Z311&gt;0,'Deal maths'!Z311,DATE(1990,1,1))))/D311)-1)*D311))))),0)</f>
        <v/>
      </c>
      <c r="F311" s="110">
        <f>IF(D311=0,0,'Deal maths'!AB311*D311/12)</f>
        <v/>
      </c>
      <c r="G311" s="108">
        <f>N311+O311</f>
        <v/>
      </c>
      <c r="H311" s="108">
        <f>IFERROR(IF(OR(D311=0,AsAt&lt;E311),0,MIN(N311,INT(((YEAR(AsAt)-YEAR(E311))*12+MONTH(AsAt)-MONTH(E311)-(DAY(AsAt)&lt;MIN(R311,DAY(EOMONTH(AsAt,0)))))/D311)+1)+O311*(AsAt&gt;='Deal maths'!AA311)),0)</f>
        <v/>
      </c>
      <c r="I311" s="108">
        <f>G311-H311</f>
        <v/>
      </c>
      <c r="J311" s="111">
        <f>IF(AND(C311="EIP",I311&gt;0),'Deal maths'!Y311/I311,0)</f>
        <v/>
      </c>
      <c r="K311" s="111">
        <f>IF(AND(C311="Annuity",I311&gt;0),IF(F311&gt;0,'Deal maths'!Y311*F311/(1-(1+F311)^-I311),'Deal maths'!Y311/I311),0)</f>
        <v/>
      </c>
      <c r="L311" s="111">
        <f>IF('Deal maths'!Y311="",0,'Deal maths'!Y311)</f>
        <v/>
      </c>
      <c r="M311" s="112">
        <f>F311+(F311=0)</f>
        <v/>
      </c>
      <c r="N311" s="108">
        <f>IFERROR(IF(D311=0,0,INT(((YEAR('Deal maths'!AA311)-YEAR(E311))*12+MONTH('Deal maths'!AA311)-MONTH(E311)-(DAY('Deal maths'!AA311)&lt;MIN(R311,DAY(EOMONTH('Deal maths'!AA311,0)))))/D311)+1),0)</f>
        <v/>
      </c>
      <c r="O311" s="108">
        <f>IFERROR(IF(D311=0,0,IF(IF(DAY(E311+1)=1,EOMONTH(E311,(N311-1)*D311),EDATE(E311,(N311-1)*D311))='Deal maths'!AA311,0,1)),0)</f>
        <v/>
      </c>
      <c r="P311" s="113">
        <f>IF(B311=0,0,IFERROR(IF(C311="EIP",((I311-O311)*((IF(DAY(E311+1)=1,EOMONTH(E311,H311*D311),EDATE(E311,H311*D311))-AsAt)/365.25+(IF(DAY(E311+1)=1,EOMONTH(E311,(N311-1)*D311),EDATE(E311,(N311-1)*D311))-AsAt)/365.25)/2+O311*('Deal maths'!AA311-AsAt)/365.25)/I311,IF(C311="Annuity",IF(F311&gt;0,((K311-L311*F311)*((IF(DAY(E311+1)=1,EOMONTH(E311,H311*D311),EDATE(E311,H311*D311))-AsAt)/365.25*((1+F311)^(I311-O311)-1)/F311+IF((I311-O311)&gt;1,((IF(DAY(E311+1)=1,EOMONTH(E311,(N311-1)*D311),EDATE(E311,(N311-1)*D311))-AsAt)/365.25-(IF(DAY(E311+1)=1,EOMONTH(E311,H311*D311),EDATE(E311,H311*D311))-AsAt)/365.25)/((I311-O311)-1),0)*(1+F311)*(1-(I311-O311)*(1+F311)^((I311-O311)-1)+((I311-O311)-1)*(1+F311)^(I311-O311))/F311^2)+O311*(K311-L311*F311)*(1+F311)^(I311-1)*('Deal maths'!AA311-AsAt)/365.25)/L311,((I311-O311)*((IF(DAY(E311+1)=1,EOMONTH(E311,H311*D311),EDATE(E311,H311*D311))-AsAt)/365.25+(IF(DAY(E311+1)=1,EOMONTH(E311,(N311-1)*D311),EDATE(E311,(N311-1)*D311))-AsAt)/365.25)/2+O311*('Deal maths'!AA311-AsAt)/365.25)/I311),(S311-AsAt)/365.25)),0))</f>
        <v/>
      </c>
      <c r="Q311" s="109">
        <f>IF(B311=1,'Deal maths'!AA311+ROW()/1000000,"")</f>
        <v/>
      </c>
      <c r="R311" s="108">
        <f>IF(D311=0,0,IF(DAY(E311+1)=1,31,DAY(E311)))</f>
        <v/>
      </c>
      <c r="S311" s="109">
        <f>IF(AND('Deal maths'!V311="LOBO",'Deal maths'!AG311&gt;AsAt,'Deal maths'!AG311&lt;'Deal maths'!AA311),'Deal maths'!AG311,'Deal maths'!AA311)</f>
        <v/>
      </c>
      <c r="T311" s="108">
        <f>('Deal maths'!AA311&gt;AsAt)*('Deal maths'!Y311&gt;0)</f>
        <v/>
      </c>
    </row>
    <row r="312">
      <c r="A312" s="91">
        <f>IF('Deal maths'!V312="","",'Deal maths'!W312)</f>
        <v/>
      </c>
      <c r="B312" s="108">
        <f>('Deal maths'!AA312&gt;AsAt)*('Deal maths'!Y312&gt;0)*('Deal maths'!Z312&lt;=AsAt)</f>
        <v/>
      </c>
      <c r="C312" s="91">
        <f>IF('Deal maths'!V312="","",IF('Deal maths'!AC312="","Maturity",'Deal maths'!AC312))</f>
        <v/>
      </c>
      <c r="D312" s="108">
        <f>IF(OR(C312="EIP",C312="Annuity"),IF('Deal maths'!AD312="Annual",12,IF('Deal maths'!AD312="Quarterly",3,6)),0)</f>
        <v/>
      </c>
      <c r="E312" s="109">
        <f>IFERROR(IF(D312=0,0,IF('Deal maths'!AE312&gt;0,IF('Deal maths'!AE312&gt;'Deal maths'!AA312,'Deal maths'!AA312,'Deal maths'!AE312),IF(IF(DAY('Deal maths'!AA312+1)=1,EOMONTH('Deal maths'!AA312,-(INT(((YEAR('Deal maths'!AA312)-YEAR(IF('Deal maths'!Z312&gt;0,'Deal maths'!Z312,DATE(1990,1,1))))*12+MONTH('Deal maths'!AA312)-MONTH(IF('Deal maths'!Z312&gt;0,'Deal maths'!Z312,DATE(1990,1,1))))/D312))*D312),EDATE('Deal maths'!AA312,-(INT(((YEAR('Deal maths'!AA312)-YEAR(IF('Deal maths'!Z312&gt;0,'Deal maths'!Z312,DATE(1990,1,1))))*12+MONTH('Deal maths'!AA312)-MONTH(IF('Deal maths'!Z312&gt;0,'Deal maths'!Z312,DATE(1990,1,1))))/D312))*D312))&gt;IF('Deal maths'!Z312&gt;0,'Deal maths'!Z312,DATE(1990,1,1)),IF(DAY('Deal maths'!AA312+1)=1,EOMONTH('Deal maths'!AA312,-(INT(((YEAR('Deal maths'!AA312)-YEAR(IF('Deal maths'!Z312&gt;0,'Deal maths'!Z312,DATE(1990,1,1))))*12+MONTH('Deal maths'!AA312)-MONTH(IF('Deal maths'!Z312&gt;0,'Deal maths'!Z312,DATE(1990,1,1))))/D312))*D312),EDATE('Deal maths'!AA312,-(INT(((YEAR('Deal maths'!AA312)-YEAR(IF('Deal maths'!Z312&gt;0,'Deal maths'!Z312,DATE(1990,1,1))))*12+MONTH('Deal maths'!AA312)-MONTH(IF('Deal maths'!Z312&gt;0,'Deal maths'!Z312,DATE(1990,1,1))))/D312))*D312)),IF(DAY('Deal maths'!AA312+1)=1,EOMONTH('Deal maths'!AA312,-(INT(((YEAR('Deal maths'!AA312)-YEAR(IF('Deal maths'!Z312&gt;0,'Deal maths'!Z312,DATE(1990,1,1))))*12+MONTH('Deal maths'!AA312)-MONTH(IF('Deal maths'!Z312&gt;0,'Deal maths'!Z312,DATE(1990,1,1))))/D312)-1)*D312),EDATE('Deal maths'!AA312,-(INT(((YEAR('Deal maths'!AA312)-YEAR(IF('Deal maths'!Z312&gt;0,'Deal maths'!Z312,DATE(1990,1,1))))*12+MONTH('Deal maths'!AA312)-MONTH(IF('Deal maths'!Z312&gt;0,'Deal maths'!Z312,DATE(1990,1,1))))/D312)-1)*D312))))),0)</f>
        <v/>
      </c>
      <c r="F312" s="110">
        <f>IF(D312=0,0,'Deal maths'!AB312*D312/12)</f>
        <v/>
      </c>
      <c r="G312" s="108">
        <f>N312+O312</f>
        <v/>
      </c>
      <c r="H312" s="108">
        <f>IFERROR(IF(OR(D312=0,AsAt&lt;E312),0,MIN(N312,INT(((YEAR(AsAt)-YEAR(E312))*12+MONTH(AsAt)-MONTH(E312)-(DAY(AsAt)&lt;MIN(R312,DAY(EOMONTH(AsAt,0)))))/D312)+1)+O312*(AsAt&gt;='Deal maths'!AA312)),0)</f>
        <v/>
      </c>
      <c r="I312" s="108">
        <f>G312-H312</f>
        <v/>
      </c>
      <c r="J312" s="111">
        <f>IF(AND(C312="EIP",I312&gt;0),'Deal maths'!Y312/I312,0)</f>
        <v/>
      </c>
      <c r="K312" s="111">
        <f>IF(AND(C312="Annuity",I312&gt;0),IF(F312&gt;0,'Deal maths'!Y312*F312/(1-(1+F312)^-I312),'Deal maths'!Y312/I312),0)</f>
        <v/>
      </c>
      <c r="L312" s="111">
        <f>IF('Deal maths'!Y312="",0,'Deal maths'!Y312)</f>
        <v/>
      </c>
      <c r="M312" s="112">
        <f>F312+(F312=0)</f>
        <v/>
      </c>
      <c r="N312" s="108">
        <f>IFERROR(IF(D312=0,0,INT(((YEAR('Deal maths'!AA312)-YEAR(E312))*12+MONTH('Deal maths'!AA312)-MONTH(E312)-(DAY('Deal maths'!AA312)&lt;MIN(R312,DAY(EOMONTH('Deal maths'!AA312,0)))))/D312)+1),0)</f>
        <v/>
      </c>
      <c r="O312" s="108">
        <f>IFERROR(IF(D312=0,0,IF(IF(DAY(E312+1)=1,EOMONTH(E312,(N312-1)*D312),EDATE(E312,(N312-1)*D312))='Deal maths'!AA312,0,1)),0)</f>
        <v/>
      </c>
      <c r="P312" s="113">
        <f>IF(B312=0,0,IFERROR(IF(C312="EIP",((I312-O312)*((IF(DAY(E312+1)=1,EOMONTH(E312,H312*D312),EDATE(E312,H312*D312))-AsAt)/365.25+(IF(DAY(E312+1)=1,EOMONTH(E312,(N312-1)*D312),EDATE(E312,(N312-1)*D312))-AsAt)/365.25)/2+O312*('Deal maths'!AA312-AsAt)/365.25)/I312,IF(C312="Annuity",IF(F312&gt;0,((K312-L312*F312)*((IF(DAY(E312+1)=1,EOMONTH(E312,H312*D312),EDATE(E312,H312*D312))-AsAt)/365.25*((1+F312)^(I312-O312)-1)/F312+IF((I312-O312)&gt;1,((IF(DAY(E312+1)=1,EOMONTH(E312,(N312-1)*D312),EDATE(E312,(N312-1)*D312))-AsAt)/365.25-(IF(DAY(E312+1)=1,EOMONTH(E312,H312*D312),EDATE(E312,H312*D312))-AsAt)/365.25)/((I312-O312)-1),0)*(1+F312)*(1-(I312-O312)*(1+F312)^((I312-O312)-1)+((I312-O312)-1)*(1+F312)^(I312-O312))/F312^2)+O312*(K312-L312*F312)*(1+F312)^(I312-1)*('Deal maths'!AA312-AsAt)/365.25)/L312,((I312-O312)*((IF(DAY(E312+1)=1,EOMONTH(E312,H312*D312),EDATE(E312,H312*D312))-AsAt)/365.25+(IF(DAY(E312+1)=1,EOMONTH(E312,(N312-1)*D312),EDATE(E312,(N312-1)*D312))-AsAt)/365.25)/2+O312*('Deal maths'!AA312-AsAt)/365.25)/I312),(S312-AsAt)/365.25)),0))</f>
        <v/>
      </c>
      <c r="Q312" s="109">
        <f>IF(B312=1,'Deal maths'!AA312+ROW()/1000000,"")</f>
        <v/>
      </c>
      <c r="R312" s="108">
        <f>IF(D312=0,0,IF(DAY(E312+1)=1,31,DAY(E312)))</f>
        <v/>
      </c>
      <c r="S312" s="109">
        <f>IF(AND('Deal maths'!V312="LOBO",'Deal maths'!AG312&gt;AsAt,'Deal maths'!AG312&lt;'Deal maths'!AA312),'Deal maths'!AG312,'Deal maths'!AA312)</f>
        <v/>
      </c>
      <c r="T312" s="108">
        <f>('Deal maths'!AA312&gt;AsAt)*('Deal maths'!Y312&gt;0)</f>
        <v/>
      </c>
    </row>
    <row r="313">
      <c r="A313" s="91">
        <f>IF('Deal maths'!V313="","",'Deal maths'!W313)</f>
        <v/>
      </c>
      <c r="B313" s="108">
        <f>('Deal maths'!AA313&gt;AsAt)*('Deal maths'!Y313&gt;0)*('Deal maths'!Z313&lt;=AsAt)</f>
        <v/>
      </c>
      <c r="C313" s="91">
        <f>IF('Deal maths'!V313="","",IF('Deal maths'!AC313="","Maturity",'Deal maths'!AC313))</f>
        <v/>
      </c>
      <c r="D313" s="108">
        <f>IF(OR(C313="EIP",C313="Annuity"),IF('Deal maths'!AD313="Annual",12,IF('Deal maths'!AD313="Quarterly",3,6)),0)</f>
        <v/>
      </c>
      <c r="E313" s="109">
        <f>IFERROR(IF(D313=0,0,IF('Deal maths'!AE313&gt;0,IF('Deal maths'!AE313&gt;'Deal maths'!AA313,'Deal maths'!AA313,'Deal maths'!AE313),IF(IF(DAY('Deal maths'!AA313+1)=1,EOMONTH('Deal maths'!AA313,-(INT(((YEAR('Deal maths'!AA313)-YEAR(IF('Deal maths'!Z313&gt;0,'Deal maths'!Z313,DATE(1990,1,1))))*12+MONTH('Deal maths'!AA313)-MONTH(IF('Deal maths'!Z313&gt;0,'Deal maths'!Z313,DATE(1990,1,1))))/D313))*D313),EDATE('Deal maths'!AA313,-(INT(((YEAR('Deal maths'!AA313)-YEAR(IF('Deal maths'!Z313&gt;0,'Deal maths'!Z313,DATE(1990,1,1))))*12+MONTH('Deal maths'!AA313)-MONTH(IF('Deal maths'!Z313&gt;0,'Deal maths'!Z313,DATE(1990,1,1))))/D313))*D313))&gt;IF('Deal maths'!Z313&gt;0,'Deal maths'!Z313,DATE(1990,1,1)),IF(DAY('Deal maths'!AA313+1)=1,EOMONTH('Deal maths'!AA313,-(INT(((YEAR('Deal maths'!AA313)-YEAR(IF('Deal maths'!Z313&gt;0,'Deal maths'!Z313,DATE(1990,1,1))))*12+MONTH('Deal maths'!AA313)-MONTH(IF('Deal maths'!Z313&gt;0,'Deal maths'!Z313,DATE(1990,1,1))))/D313))*D313),EDATE('Deal maths'!AA313,-(INT(((YEAR('Deal maths'!AA313)-YEAR(IF('Deal maths'!Z313&gt;0,'Deal maths'!Z313,DATE(1990,1,1))))*12+MONTH('Deal maths'!AA313)-MONTH(IF('Deal maths'!Z313&gt;0,'Deal maths'!Z313,DATE(1990,1,1))))/D313))*D313)),IF(DAY('Deal maths'!AA313+1)=1,EOMONTH('Deal maths'!AA313,-(INT(((YEAR('Deal maths'!AA313)-YEAR(IF('Deal maths'!Z313&gt;0,'Deal maths'!Z313,DATE(1990,1,1))))*12+MONTH('Deal maths'!AA313)-MONTH(IF('Deal maths'!Z313&gt;0,'Deal maths'!Z313,DATE(1990,1,1))))/D313)-1)*D313),EDATE('Deal maths'!AA313,-(INT(((YEAR('Deal maths'!AA313)-YEAR(IF('Deal maths'!Z313&gt;0,'Deal maths'!Z313,DATE(1990,1,1))))*12+MONTH('Deal maths'!AA313)-MONTH(IF('Deal maths'!Z313&gt;0,'Deal maths'!Z313,DATE(1990,1,1))))/D313)-1)*D313))))),0)</f>
        <v/>
      </c>
      <c r="F313" s="110">
        <f>IF(D313=0,0,'Deal maths'!AB313*D313/12)</f>
        <v/>
      </c>
      <c r="G313" s="108">
        <f>N313+O313</f>
        <v/>
      </c>
      <c r="H313" s="108">
        <f>IFERROR(IF(OR(D313=0,AsAt&lt;E313),0,MIN(N313,INT(((YEAR(AsAt)-YEAR(E313))*12+MONTH(AsAt)-MONTH(E313)-(DAY(AsAt)&lt;MIN(R313,DAY(EOMONTH(AsAt,0)))))/D313)+1)+O313*(AsAt&gt;='Deal maths'!AA313)),0)</f>
        <v/>
      </c>
      <c r="I313" s="108">
        <f>G313-H313</f>
        <v/>
      </c>
      <c r="J313" s="111">
        <f>IF(AND(C313="EIP",I313&gt;0),'Deal maths'!Y313/I313,0)</f>
        <v/>
      </c>
      <c r="K313" s="111">
        <f>IF(AND(C313="Annuity",I313&gt;0),IF(F313&gt;0,'Deal maths'!Y313*F313/(1-(1+F313)^-I313),'Deal maths'!Y313/I313),0)</f>
        <v/>
      </c>
      <c r="L313" s="111">
        <f>IF('Deal maths'!Y313="",0,'Deal maths'!Y313)</f>
        <v/>
      </c>
      <c r="M313" s="112">
        <f>F313+(F313=0)</f>
        <v/>
      </c>
      <c r="N313" s="108">
        <f>IFERROR(IF(D313=0,0,INT(((YEAR('Deal maths'!AA313)-YEAR(E313))*12+MONTH('Deal maths'!AA313)-MONTH(E313)-(DAY('Deal maths'!AA313)&lt;MIN(R313,DAY(EOMONTH('Deal maths'!AA313,0)))))/D313)+1),0)</f>
        <v/>
      </c>
      <c r="O313" s="108">
        <f>IFERROR(IF(D313=0,0,IF(IF(DAY(E313+1)=1,EOMONTH(E313,(N313-1)*D313),EDATE(E313,(N313-1)*D313))='Deal maths'!AA313,0,1)),0)</f>
        <v/>
      </c>
      <c r="P313" s="113">
        <f>IF(B313=0,0,IFERROR(IF(C313="EIP",((I313-O313)*((IF(DAY(E313+1)=1,EOMONTH(E313,H313*D313),EDATE(E313,H313*D313))-AsAt)/365.25+(IF(DAY(E313+1)=1,EOMONTH(E313,(N313-1)*D313),EDATE(E313,(N313-1)*D313))-AsAt)/365.25)/2+O313*('Deal maths'!AA313-AsAt)/365.25)/I313,IF(C313="Annuity",IF(F313&gt;0,((K313-L313*F313)*((IF(DAY(E313+1)=1,EOMONTH(E313,H313*D313),EDATE(E313,H313*D313))-AsAt)/365.25*((1+F313)^(I313-O313)-1)/F313+IF((I313-O313)&gt;1,((IF(DAY(E313+1)=1,EOMONTH(E313,(N313-1)*D313),EDATE(E313,(N313-1)*D313))-AsAt)/365.25-(IF(DAY(E313+1)=1,EOMONTH(E313,H313*D313),EDATE(E313,H313*D313))-AsAt)/365.25)/((I313-O313)-1),0)*(1+F313)*(1-(I313-O313)*(1+F313)^((I313-O313)-1)+((I313-O313)-1)*(1+F313)^(I313-O313))/F313^2)+O313*(K313-L313*F313)*(1+F313)^(I313-1)*('Deal maths'!AA313-AsAt)/365.25)/L313,((I313-O313)*((IF(DAY(E313+1)=1,EOMONTH(E313,H313*D313),EDATE(E313,H313*D313))-AsAt)/365.25+(IF(DAY(E313+1)=1,EOMONTH(E313,(N313-1)*D313),EDATE(E313,(N313-1)*D313))-AsAt)/365.25)/2+O313*('Deal maths'!AA313-AsAt)/365.25)/I313),(S313-AsAt)/365.25)),0))</f>
        <v/>
      </c>
      <c r="Q313" s="109">
        <f>IF(B313=1,'Deal maths'!AA313+ROW()/1000000,"")</f>
        <v/>
      </c>
      <c r="R313" s="108">
        <f>IF(D313=0,0,IF(DAY(E313+1)=1,31,DAY(E313)))</f>
        <v/>
      </c>
      <c r="S313" s="109">
        <f>IF(AND('Deal maths'!V313="LOBO",'Deal maths'!AG313&gt;AsAt,'Deal maths'!AG313&lt;'Deal maths'!AA313),'Deal maths'!AG313,'Deal maths'!AA313)</f>
        <v/>
      </c>
      <c r="T313" s="108">
        <f>('Deal maths'!AA313&gt;AsAt)*('Deal maths'!Y313&gt;0)</f>
        <v/>
      </c>
    </row>
    <row r="314">
      <c r="A314" s="91">
        <f>IF('Deal maths'!V314="","",'Deal maths'!W314)</f>
        <v/>
      </c>
      <c r="B314" s="108">
        <f>('Deal maths'!AA314&gt;AsAt)*('Deal maths'!Y314&gt;0)*('Deal maths'!Z314&lt;=AsAt)</f>
        <v/>
      </c>
      <c r="C314" s="91">
        <f>IF('Deal maths'!V314="","",IF('Deal maths'!AC314="","Maturity",'Deal maths'!AC314))</f>
        <v/>
      </c>
      <c r="D314" s="108">
        <f>IF(OR(C314="EIP",C314="Annuity"),IF('Deal maths'!AD314="Annual",12,IF('Deal maths'!AD314="Quarterly",3,6)),0)</f>
        <v/>
      </c>
      <c r="E314" s="109">
        <f>IFERROR(IF(D314=0,0,IF('Deal maths'!AE314&gt;0,IF('Deal maths'!AE314&gt;'Deal maths'!AA314,'Deal maths'!AA314,'Deal maths'!AE314),IF(IF(DAY('Deal maths'!AA314+1)=1,EOMONTH('Deal maths'!AA314,-(INT(((YEAR('Deal maths'!AA314)-YEAR(IF('Deal maths'!Z314&gt;0,'Deal maths'!Z314,DATE(1990,1,1))))*12+MONTH('Deal maths'!AA314)-MONTH(IF('Deal maths'!Z314&gt;0,'Deal maths'!Z314,DATE(1990,1,1))))/D314))*D314),EDATE('Deal maths'!AA314,-(INT(((YEAR('Deal maths'!AA314)-YEAR(IF('Deal maths'!Z314&gt;0,'Deal maths'!Z314,DATE(1990,1,1))))*12+MONTH('Deal maths'!AA314)-MONTH(IF('Deal maths'!Z314&gt;0,'Deal maths'!Z314,DATE(1990,1,1))))/D314))*D314))&gt;IF('Deal maths'!Z314&gt;0,'Deal maths'!Z314,DATE(1990,1,1)),IF(DAY('Deal maths'!AA314+1)=1,EOMONTH('Deal maths'!AA314,-(INT(((YEAR('Deal maths'!AA314)-YEAR(IF('Deal maths'!Z314&gt;0,'Deal maths'!Z314,DATE(1990,1,1))))*12+MONTH('Deal maths'!AA314)-MONTH(IF('Deal maths'!Z314&gt;0,'Deal maths'!Z314,DATE(1990,1,1))))/D314))*D314),EDATE('Deal maths'!AA314,-(INT(((YEAR('Deal maths'!AA314)-YEAR(IF('Deal maths'!Z314&gt;0,'Deal maths'!Z314,DATE(1990,1,1))))*12+MONTH('Deal maths'!AA314)-MONTH(IF('Deal maths'!Z314&gt;0,'Deal maths'!Z314,DATE(1990,1,1))))/D314))*D314)),IF(DAY('Deal maths'!AA314+1)=1,EOMONTH('Deal maths'!AA314,-(INT(((YEAR('Deal maths'!AA314)-YEAR(IF('Deal maths'!Z314&gt;0,'Deal maths'!Z314,DATE(1990,1,1))))*12+MONTH('Deal maths'!AA314)-MONTH(IF('Deal maths'!Z314&gt;0,'Deal maths'!Z314,DATE(1990,1,1))))/D314)-1)*D314),EDATE('Deal maths'!AA314,-(INT(((YEAR('Deal maths'!AA314)-YEAR(IF('Deal maths'!Z314&gt;0,'Deal maths'!Z314,DATE(1990,1,1))))*12+MONTH('Deal maths'!AA314)-MONTH(IF('Deal maths'!Z314&gt;0,'Deal maths'!Z314,DATE(1990,1,1))))/D314)-1)*D314))))),0)</f>
        <v/>
      </c>
      <c r="F314" s="110">
        <f>IF(D314=0,0,'Deal maths'!AB314*D314/12)</f>
        <v/>
      </c>
      <c r="G314" s="108">
        <f>N314+O314</f>
        <v/>
      </c>
      <c r="H314" s="108">
        <f>IFERROR(IF(OR(D314=0,AsAt&lt;E314),0,MIN(N314,INT(((YEAR(AsAt)-YEAR(E314))*12+MONTH(AsAt)-MONTH(E314)-(DAY(AsAt)&lt;MIN(R314,DAY(EOMONTH(AsAt,0)))))/D314)+1)+O314*(AsAt&gt;='Deal maths'!AA314)),0)</f>
        <v/>
      </c>
      <c r="I314" s="108">
        <f>G314-H314</f>
        <v/>
      </c>
      <c r="J314" s="111">
        <f>IF(AND(C314="EIP",I314&gt;0),'Deal maths'!Y314/I314,0)</f>
        <v/>
      </c>
      <c r="K314" s="111">
        <f>IF(AND(C314="Annuity",I314&gt;0),IF(F314&gt;0,'Deal maths'!Y314*F314/(1-(1+F314)^-I314),'Deal maths'!Y314/I314),0)</f>
        <v/>
      </c>
      <c r="L314" s="111">
        <f>IF('Deal maths'!Y314="",0,'Deal maths'!Y314)</f>
        <v/>
      </c>
      <c r="M314" s="112">
        <f>F314+(F314=0)</f>
        <v/>
      </c>
      <c r="N314" s="108">
        <f>IFERROR(IF(D314=0,0,INT(((YEAR('Deal maths'!AA314)-YEAR(E314))*12+MONTH('Deal maths'!AA314)-MONTH(E314)-(DAY('Deal maths'!AA314)&lt;MIN(R314,DAY(EOMONTH('Deal maths'!AA314,0)))))/D314)+1),0)</f>
        <v/>
      </c>
      <c r="O314" s="108">
        <f>IFERROR(IF(D314=0,0,IF(IF(DAY(E314+1)=1,EOMONTH(E314,(N314-1)*D314),EDATE(E314,(N314-1)*D314))='Deal maths'!AA314,0,1)),0)</f>
        <v/>
      </c>
      <c r="P314" s="113">
        <f>IF(B314=0,0,IFERROR(IF(C314="EIP",((I314-O314)*((IF(DAY(E314+1)=1,EOMONTH(E314,H314*D314),EDATE(E314,H314*D314))-AsAt)/365.25+(IF(DAY(E314+1)=1,EOMONTH(E314,(N314-1)*D314),EDATE(E314,(N314-1)*D314))-AsAt)/365.25)/2+O314*('Deal maths'!AA314-AsAt)/365.25)/I314,IF(C314="Annuity",IF(F314&gt;0,((K314-L314*F314)*((IF(DAY(E314+1)=1,EOMONTH(E314,H314*D314),EDATE(E314,H314*D314))-AsAt)/365.25*((1+F314)^(I314-O314)-1)/F314+IF((I314-O314)&gt;1,((IF(DAY(E314+1)=1,EOMONTH(E314,(N314-1)*D314),EDATE(E314,(N314-1)*D314))-AsAt)/365.25-(IF(DAY(E314+1)=1,EOMONTH(E314,H314*D314),EDATE(E314,H314*D314))-AsAt)/365.25)/((I314-O314)-1),0)*(1+F314)*(1-(I314-O314)*(1+F314)^((I314-O314)-1)+((I314-O314)-1)*(1+F314)^(I314-O314))/F314^2)+O314*(K314-L314*F314)*(1+F314)^(I314-1)*('Deal maths'!AA314-AsAt)/365.25)/L314,((I314-O314)*((IF(DAY(E314+1)=1,EOMONTH(E314,H314*D314),EDATE(E314,H314*D314))-AsAt)/365.25+(IF(DAY(E314+1)=1,EOMONTH(E314,(N314-1)*D314),EDATE(E314,(N314-1)*D314))-AsAt)/365.25)/2+O314*('Deal maths'!AA314-AsAt)/365.25)/I314),(S314-AsAt)/365.25)),0))</f>
        <v/>
      </c>
      <c r="Q314" s="109">
        <f>IF(B314=1,'Deal maths'!AA314+ROW()/1000000,"")</f>
        <v/>
      </c>
      <c r="R314" s="108">
        <f>IF(D314=0,0,IF(DAY(E314+1)=1,31,DAY(E314)))</f>
        <v/>
      </c>
      <c r="S314" s="109">
        <f>IF(AND('Deal maths'!V314="LOBO",'Deal maths'!AG314&gt;AsAt,'Deal maths'!AG314&lt;'Deal maths'!AA314),'Deal maths'!AG314,'Deal maths'!AA314)</f>
        <v/>
      </c>
      <c r="T314" s="108">
        <f>('Deal maths'!AA314&gt;AsAt)*('Deal maths'!Y314&gt;0)</f>
        <v/>
      </c>
    </row>
    <row r="315">
      <c r="A315" s="91">
        <f>IF('Deal maths'!V315="","",'Deal maths'!W315)</f>
        <v/>
      </c>
      <c r="B315" s="108">
        <f>('Deal maths'!AA315&gt;AsAt)*('Deal maths'!Y315&gt;0)*('Deal maths'!Z315&lt;=AsAt)</f>
        <v/>
      </c>
      <c r="C315" s="91">
        <f>IF('Deal maths'!V315="","",IF('Deal maths'!AC315="","Maturity",'Deal maths'!AC315))</f>
        <v/>
      </c>
      <c r="D315" s="108">
        <f>IF(OR(C315="EIP",C315="Annuity"),IF('Deal maths'!AD315="Annual",12,IF('Deal maths'!AD315="Quarterly",3,6)),0)</f>
        <v/>
      </c>
      <c r="E315" s="109">
        <f>IFERROR(IF(D315=0,0,IF('Deal maths'!AE315&gt;0,IF('Deal maths'!AE315&gt;'Deal maths'!AA315,'Deal maths'!AA315,'Deal maths'!AE315),IF(IF(DAY('Deal maths'!AA315+1)=1,EOMONTH('Deal maths'!AA315,-(INT(((YEAR('Deal maths'!AA315)-YEAR(IF('Deal maths'!Z315&gt;0,'Deal maths'!Z315,DATE(1990,1,1))))*12+MONTH('Deal maths'!AA315)-MONTH(IF('Deal maths'!Z315&gt;0,'Deal maths'!Z315,DATE(1990,1,1))))/D315))*D315),EDATE('Deal maths'!AA315,-(INT(((YEAR('Deal maths'!AA315)-YEAR(IF('Deal maths'!Z315&gt;0,'Deal maths'!Z315,DATE(1990,1,1))))*12+MONTH('Deal maths'!AA315)-MONTH(IF('Deal maths'!Z315&gt;0,'Deal maths'!Z315,DATE(1990,1,1))))/D315))*D315))&gt;IF('Deal maths'!Z315&gt;0,'Deal maths'!Z315,DATE(1990,1,1)),IF(DAY('Deal maths'!AA315+1)=1,EOMONTH('Deal maths'!AA315,-(INT(((YEAR('Deal maths'!AA315)-YEAR(IF('Deal maths'!Z315&gt;0,'Deal maths'!Z315,DATE(1990,1,1))))*12+MONTH('Deal maths'!AA315)-MONTH(IF('Deal maths'!Z315&gt;0,'Deal maths'!Z315,DATE(1990,1,1))))/D315))*D315),EDATE('Deal maths'!AA315,-(INT(((YEAR('Deal maths'!AA315)-YEAR(IF('Deal maths'!Z315&gt;0,'Deal maths'!Z315,DATE(1990,1,1))))*12+MONTH('Deal maths'!AA315)-MONTH(IF('Deal maths'!Z315&gt;0,'Deal maths'!Z315,DATE(1990,1,1))))/D315))*D315)),IF(DAY('Deal maths'!AA315+1)=1,EOMONTH('Deal maths'!AA315,-(INT(((YEAR('Deal maths'!AA315)-YEAR(IF('Deal maths'!Z315&gt;0,'Deal maths'!Z315,DATE(1990,1,1))))*12+MONTH('Deal maths'!AA315)-MONTH(IF('Deal maths'!Z315&gt;0,'Deal maths'!Z315,DATE(1990,1,1))))/D315)-1)*D315),EDATE('Deal maths'!AA315,-(INT(((YEAR('Deal maths'!AA315)-YEAR(IF('Deal maths'!Z315&gt;0,'Deal maths'!Z315,DATE(1990,1,1))))*12+MONTH('Deal maths'!AA315)-MONTH(IF('Deal maths'!Z315&gt;0,'Deal maths'!Z315,DATE(1990,1,1))))/D315)-1)*D315))))),0)</f>
        <v/>
      </c>
      <c r="F315" s="110">
        <f>IF(D315=0,0,'Deal maths'!AB315*D315/12)</f>
        <v/>
      </c>
      <c r="G315" s="108">
        <f>N315+O315</f>
        <v/>
      </c>
      <c r="H315" s="108">
        <f>IFERROR(IF(OR(D315=0,AsAt&lt;E315),0,MIN(N315,INT(((YEAR(AsAt)-YEAR(E315))*12+MONTH(AsAt)-MONTH(E315)-(DAY(AsAt)&lt;MIN(R315,DAY(EOMONTH(AsAt,0)))))/D315)+1)+O315*(AsAt&gt;='Deal maths'!AA315)),0)</f>
        <v/>
      </c>
      <c r="I315" s="108">
        <f>G315-H315</f>
        <v/>
      </c>
      <c r="J315" s="111">
        <f>IF(AND(C315="EIP",I315&gt;0),'Deal maths'!Y315/I315,0)</f>
        <v/>
      </c>
      <c r="K315" s="111">
        <f>IF(AND(C315="Annuity",I315&gt;0),IF(F315&gt;0,'Deal maths'!Y315*F315/(1-(1+F315)^-I315),'Deal maths'!Y315/I315),0)</f>
        <v/>
      </c>
      <c r="L315" s="111">
        <f>IF('Deal maths'!Y315="",0,'Deal maths'!Y315)</f>
        <v/>
      </c>
      <c r="M315" s="112">
        <f>F315+(F315=0)</f>
        <v/>
      </c>
      <c r="N315" s="108">
        <f>IFERROR(IF(D315=0,0,INT(((YEAR('Deal maths'!AA315)-YEAR(E315))*12+MONTH('Deal maths'!AA315)-MONTH(E315)-(DAY('Deal maths'!AA315)&lt;MIN(R315,DAY(EOMONTH('Deal maths'!AA315,0)))))/D315)+1),0)</f>
        <v/>
      </c>
      <c r="O315" s="108">
        <f>IFERROR(IF(D315=0,0,IF(IF(DAY(E315+1)=1,EOMONTH(E315,(N315-1)*D315),EDATE(E315,(N315-1)*D315))='Deal maths'!AA315,0,1)),0)</f>
        <v/>
      </c>
      <c r="P315" s="113">
        <f>IF(B315=0,0,IFERROR(IF(C315="EIP",((I315-O315)*((IF(DAY(E315+1)=1,EOMONTH(E315,H315*D315),EDATE(E315,H315*D315))-AsAt)/365.25+(IF(DAY(E315+1)=1,EOMONTH(E315,(N315-1)*D315),EDATE(E315,(N315-1)*D315))-AsAt)/365.25)/2+O315*('Deal maths'!AA315-AsAt)/365.25)/I315,IF(C315="Annuity",IF(F315&gt;0,((K315-L315*F315)*((IF(DAY(E315+1)=1,EOMONTH(E315,H315*D315),EDATE(E315,H315*D315))-AsAt)/365.25*((1+F315)^(I315-O315)-1)/F315+IF((I315-O315)&gt;1,((IF(DAY(E315+1)=1,EOMONTH(E315,(N315-1)*D315),EDATE(E315,(N315-1)*D315))-AsAt)/365.25-(IF(DAY(E315+1)=1,EOMONTH(E315,H315*D315),EDATE(E315,H315*D315))-AsAt)/365.25)/((I315-O315)-1),0)*(1+F315)*(1-(I315-O315)*(1+F315)^((I315-O315)-1)+((I315-O315)-1)*(1+F315)^(I315-O315))/F315^2)+O315*(K315-L315*F315)*(1+F315)^(I315-1)*('Deal maths'!AA315-AsAt)/365.25)/L315,((I315-O315)*((IF(DAY(E315+1)=1,EOMONTH(E315,H315*D315),EDATE(E315,H315*D315))-AsAt)/365.25+(IF(DAY(E315+1)=1,EOMONTH(E315,(N315-1)*D315),EDATE(E315,(N315-1)*D315))-AsAt)/365.25)/2+O315*('Deal maths'!AA315-AsAt)/365.25)/I315),(S315-AsAt)/365.25)),0))</f>
        <v/>
      </c>
      <c r="Q315" s="109">
        <f>IF(B315=1,'Deal maths'!AA315+ROW()/1000000,"")</f>
        <v/>
      </c>
      <c r="R315" s="108">
        <f>IF(D315=0,0,IF(DAY(E315+1)=1,31,DAY(E315)))</f>
        <v/>
      </c>
      <c r="S315" s="109">
        <f>IF(AND('Deal maths'!V315="LOBO",'Deal maths'!AG315&gt;AsAt,'Deal maths'!AG315&lt;'Deal maths'!AA315),'Deal maths'!AG315,'Deal maths'!AA315)</f>
        <v/>
      </c>
      <c r="T315" s="108">
        <f>('Deal maths'!AA315&gt;AsAt)*('Deal maths'!Y315&gt;0)</f>
        <v/>
      </c>
    </row>
    <row r="316">
      <c r="A316" s="91">
        <f>IF('Deal maths'!V316="","",'Deal maths'!W316)</f>
        <v/>
      </c>
      <c r="B316" s="108">
        <f>('Deal maths'!AA316&gt;AsAt)*('Deal maths'!Y316&gt;0)*('Deal maths'!Z316&lt;=AsAt)</f>
        <v/>
      </c>
      <c r="C316" s="91">
        <f>IF('Deal maths'!V316="","",IF('Deal maths'!AC316="","Maturity",'Deal maths'!AC316))</f>
        <v/>
      </c>
      <c r="D316" s="108">
        <f>IF(OR(C316="EIP",C316="Annuity"),IF('Deal maths'!AD316="Annual",12,IF('Deal maths'!AD316="Quarterly",3,6)),0)</f>
        <v/>
      </c>
      <c r="E316" s="109">
        <f>IFERROR(IF(D316=0,0,IF('Deal maths'!AE316&gt;0,IF('Deal maths'!AE316&gt;'Deal maths'!AA316,'Deal maths'!AA316,'Deal maths'!AE316),IF(IF(DAY('Deal maths'!AA316+1)=1,EOMONTH('Deal maths'!AA316,-(INT(((YEAR('Deal maths'!AA316)-YEAR(IF('Deal maths'!Z316&gt;0,'Deal maths'!Z316,DATE(1990,1,1))))*12+MONTH('Deal maths'!AA316)-MONTH(IF('Deal maths'!Z316&gt;0,'Deal maths'!Z316,DATE(1990,1,1))))/D316))*D316),EDATE('Deal maths'!AA316,-(INT(((YEAR('Deal maths'!AA316)-YEAR(IF('Deal maths'!Z316&gt;0,'Deal maths'!Z316,DATE(1990,1,1))))*12+MONTH('Deal maths'!AA316)-MONTH(IF('Deal maths'!Z316&gt;0,'Deal maths'!Z316,DATE(1990,1,1))))/D316))*D316))&gt;IF('Deal maths'!Z316&gt;0,'Deal maths'!Z316,DATE(1990,1,1)),IF(DAY('Deal maths'!AA316+1)=1,EOMONTH('Deal maths'!AA316,-(INT(((YEAR('Deal maths'!AA316)-YEAR(IF('Deal maths'!Z316&gt;0,'Deal maths'!Z316,DATE(1990,1,1))))*12+MONTH('Deal maths'!AA316)-MONTH(IF('Deal maths'!Z316&gt;0,'Deal maths'!Z316,DATE(1990,1,1))))/D316))*D316),EDATE('Deal maths'!AA316,-(INT(((YEAR('Deal maths'!AA316)-YEAR(IF('Deal maths'!Z316&gt;0,'Deal maths'!Z316,DATE(1990,1,1))))*12+MONTH('Deal maths'!AA316)-MONTH(IF('Deal maths'!Z316&gt;0,'Deal maths'!Z316,DATE(1990,1,1))))/D316))*D316)),IF(DAY('Deal maths'!AA316+1)=1,EOMONTH('Deal maths'!AA316,-(INT(((YEAR('Deal maths'!AA316)-YEAR(IF('Deal maths'!Z316&gt;0,'Deal maths'!Z316,DATE(1990,1,1))))*12+MONTH('Deal maths'!AA316)-MONTH(IF('Deal maths'!Z316&gt;0,'Deal maths'!Z316,DATE(1990,1,1))))/D316)-1)*D316),EDATE('Deal maths'!AA316,-(INT(((YEAR('Deal maths'!AA316)-YEAR(IF('Deal maths'!Z316&gt;0,'Deal maths'!Z316,DATE(1990,1,1))))*12+MONTH('Deal maths'!AA316)-MONTH(IF('Deal maths'!Z316&gt;0,'Deal maths'!Z316,DATE(1990,1,1))))/D316)-1)*D316))))),0)</f>
        <v/>
      </c>
      <c r="F316" s="110">
        <f>IF(D316=0,0,'Deal maths'!AB316*D316/12)</f>
        <v/>
      </c>
      <c r="G316" s="108">
        <f>N316+O316</f>
        <v/>
      </c>
      <c r="H316" s="108">
        <f>IFERROR(IF(OR(D316=0,AsAt&lt;E316),0,MIN(N316,INT(((YEAR(AsAt)-YEAR(E316))*12+MONTH(AsAt)-MONTH(E316)-(DAY(AsAt)&lt;MIN(R316,DAY(EOMONTH(AsAt,0)))))/D316)+1)+O316*(AsAt&gt;='Deal maths'!AA316)),0)</f>
        <v/>
      </c>
      <c r="I316" s="108">
        <f>G316-H316</f>
        <v/>
      </c>
      <c r="J316" s="111">
        <f>IF(AND(C316="EIP",I316&gt;0),'Deal maths'!Y316/I316,0)</f>
        <v/>
      </c>
      <c r="K316" s="111">
        <f>IF(AND(C316="Annuity",I316&gt;0),IF(F316&gt;0,'Deal maths'!Y316*F316/(1-(1+F316)^-I316),'Deal maths'!Y316/I316),0)</f>
        <v/>
      </c>
      <c r="L316" s="111">
        <f>IF('Deal maths'!Y316="",0,'Deal maths'!Y316)</f>
        <v/>
      </c>
      <c r="M316" s="112">
        <f>F316+(F316=0)</f>
        <v/>
      </c>
      <c r="N316" s="108">
        <f>IFERROR(IF(D316=0,0,INT(((YEAR('Deal maths'!AA316)-YEAR(E316))*12+MONTH('Deal maths'!AA316)-MONTH(E316)-(DAY('Deal maths'!AA316)&lt;MIN(R316,DAY(EOMONTH('Deal maths'!AA316,0)))))/D316)+1),0)</f>
        <v/>
      </c>
      <c r="O316" s="108">
        <f>IFERROR(IF(D316=0,0,IF(IF(DAY(E316+1)=1,EOMONTH(E316,(N316-1)*D316),EDATE(E316,(N316-1)*D316))='Deal maths'!AA316,0,1)),0)</f>
        <v/>
      </c>
      <c r="P316" s="113">
        <f>IF(B316=0,0,IFERROR(IF(C316="EIP",((I316-O316)*((IF(DAY(E316+1)=1,EOMONTH(E316,H316*D316),EDATE(E316,H316*D316))-AsAt)/365.25+(IF(DAY(E316+1)=1,EOMONTH(E316,(N316-1)*D316),EDATE(E316,(N316-1)*D316))-AsAt)/365.25)/2+O316*('Deal maths'!AA316-AsAt)/365.25)/I316,IF(C316="Annuity",IF(F316&gt;0,((K316-L316*F316)*((IF(DAY(E316+1)=1,EOMONTH(E316,H316*D316),EDATE(E316,H316*D316))-AsAt)/365.25*((1+F316)^(I316-O316)-1)/F316+IF((I316-O316)&gt;1,((IF(DAY(E316+1)=1,EOMONTH(E316,(N316-1)*D316),EDATE(E316,(N316-1)*D316))-AsAt)/365.25-(IF(DAY(E316+1)=1,EOMONTH(E316,H316*D316),EDATE(E316,H316*D316))-AsAt)/365.25)/((I316-O316)-1),0)*(1+F316)*(1-(I316-O316)*(1+F316)^((I316-O316)-1)+((I316-O316)-1)*(1+F316)^(I316-O316))/F316^2)+O316*(K316-L316*F316)*(1+F316)^(I316-1)*('Deal maths'!AA316-AsAt)/365.25)/L316,((I316-O316)*((IF(DAY(E316+1)=1,EOMONTH(E316,H316*D316),EDATE(E316,H316*D316))-AsAt)/365.25+(IF(DAY(E316+1)=1,EOMONTH(E316,(N316-1)*D316),EDATE(E316,(N316-1)*D316))-AsAt)/365.25)/2+O316*('Deal maths'!AA316-AsAt)/365.25)/I316),(S316-AsAt)/365.25)),0))</f>
        <v/>
      </c>
      <c r="Q316" s="109">
        <f>IF(B316=1,'Deal maths'!AA316+ROW()/1000000,"")</f>
        <v/>
      </c>
      <c r="R316" s="108">
        <f>IF(D316=0,0,IF(DAY(E316+1)=1,31,DAY(E316)))</f>
        <v/>
      </c>
      <c r="S316" s="109">
        <f>IF(AND('Deal maths'!V316="LOBO",'Deal maths'!AG316&gt;AsAt,'Deal maths'!AG316&lt;'Deal maths'!AA316),'Deal maths'!AG316,'Deal maths'!AA316)</f>
        <v/>
      </c>
      <c r="T316" s="108">
        <f>('Deal maths'!AA316&gt;AsAt)*('Deal maths'!Y316&gt;0)</f>
        <v/>
      </c>
    </row>
    <row r="317">
      <c r="A317" s="91">
        <f>IF('Deal maths'!V317="","",'Deal maths'!W317)</f>
        <v/>
      </c>
      <c r="B317" s="108">
        <f>('Deal maths'!AA317&gt;AsAt)*('Deal maths'!Y317&gt;0)*('Deal maths'!Z317&lt;=AsAt)</f>
        <v/>
      </c>
      <c r="C317" s="91">
        <f>IF('Deal maths'!V317="","",IF('Deal maths'!AC317="","Maturity",'Deal maths'!AC317))</f>
        <v/>
      </c>
      <c r="D317" s="108">
        <f>IF(OR(C317="EIP",C317="Annuity"),IF('Deal maths'!AD317="Annual",12,IF('Deal maths'!AD317="Quarterly",3,6)),0)</f>
        <v/>
      </c>
      <c r="E317" s="109">
        <f>IFERROR(IF(D317=0,0,IF('Deal maths'!AE317&gt;0,IF('Deal maths'!AE317&gt;'Deal maths'!AA317,'Deal maths'!AA317,'Deal maths'!AE317),IF(IF(DAY('Deal maths'!AA317+1)=1,EOMONTH('Deal maths'!AA317,-(INT(((YEAR('Deal maths'!AA317)-YEAR(IF('Deal maths'!Z317&gt;0,'Deal maths'!Z317,DATE(1990,1,1))))*12+MONTH('Deal maths'!AA317)-MONTH(IF('Deal maths'!Z317&gt;0,'Deal maths'!Z317,DATE(1990,1,1))))/D317))*D317),EDATE('Deal maths'!AA317,-(INT(((YEAR('Deal maths'!AA317)-YEAR(IF('Deal maths'!Z317&gt;0,'Deal maths'!Z317,DATE(1990,1,1))))*12+MONTH('Deal maths'!AA317)-MONTH(IF('Deal maths'!Z317&gt;0,'Deal maths'!Z317,DATE(1990,1,1))))/D317))*D317))&gt;IF('Deal maths'!Z317&gt;0,'Deal maths'!Z317,DATE(1990,1,1)),IF(DAY('Deal maths'!AA317+1)=1,EOMONTH('Deal maths'!AA317,-(INT(((YEAR('Deal maths'!AA317)-YEAR(IF('Deal maths'!Z317&gt;0,'Deal maths'!Z317,DATE(1990,1,1))))*12+MONTH('Deal maths'!AA317)-MONTH(IF('Deal maths'!Z317&gt;0,'Deal maths'!Z317,DATE(1990,1,1))))/D317))*D317),EDATE('Deal maths'!AA317,-(INT(((YEAR('Deal maths'!AA317)-YEAR(IF('Deal maths'!Z317&gt;0,'Deal maths'!Z317,DATE(1990,1,1))))*12+MONTH('Deal maths'!AA317)-MONTH(IF('Deal maths'!Z317&gt;0,'Deal maths'!Z317,DATE(1990,1,1))))/D317))*D317)),IF(DAY('Deal maths'!AA317+1)=1,EOMONTH('Deal maths'!AA317,-(INT(((YEAR('Deal maths'!AA317)-YEAR(IF('Deal maths'!Z317&gt;0,'Deal maths'!Z317,DATE(1990,1,1))))*12+MONTH('Deal maths'!AA317)-MONTH(IF('Deal maths'!Z317&gt;0,'Deal maths'!Z317,DATE(1990,1,1))))/D317)-1)*D317),EDATE('Deal maths'!AA317,-(INT(((YEAR('Deal maths'!AA317)-YEAR(IF('Deal maths'!Z317&gt;0,'Deal maths'!Z317,DATE(1990,1,1))))*12+MONTH('Deal maths'!AA317)-MONTH(IF('Deal maths'!Z317&gt;0,'Deal maths'!Z317,DATE(1990,1,1))))/D317)-1)*D317))))),0)</f>
        <v/>
      </c>
      <c r="F317" s="110">
        <f>IF(D317=0,0,'Deal maths'!AB317*D317/12)</f>
        <v/>
      </c>
      <c r="G317" s="108">
        <f>N317+O317</f>
        <v/>
      </c>
      <c r="H317" s="108">
        <f>IFERROR(IF(OR(D317=0,AsAt&lt;E317),0,MIN(N317,INT(((YEAR(AsAt)-YEAR(E317))*12+MONTH(AsAt)-MONTH(E317)-(DAY(AsAt)&lt;MIN(R317,DAY(EOMONTH(AsAt,0)))))/D317)+1)+O317*(AsAt&gt;='Deal maths'!AA317)),0)</f>
        <v/>
      </c>
      <c r="I317" s="108">
        <f>G317-H317</f>
        <v/>
      </c>
      <c r="J317" s="111">
        <f>IF(AND(C317="EIP",I317&gt;0),'Deal maths'!Y317/I317,0)</f>
        <v/>
      </c>
      <c r="K317" s="111">
        <f>IF(AND(C317="Annuity",I317&gt;0),IF(F317&gt;0,'Deal maths'!Y317*F317/(1-(1+F317)^-I317),'Deal maths'!Y317/I317),0)</f>
        <v/>
      </c>
      <c r="L317" s="111">
        <f>IF('Deal maths'!Y317="",0,'Deal maths'!Y317)</f>
        <v/>
      </c>
      <c r="M317" s="112">
        <f>F317+(F317=0)</f>
        <v/>
      </c>
      <c r="N317" s="108">
        <f>IFERROR(IF(D317=0,0,INT(((YEAR('Deal maths'!AA317)-YEAR(E317))*12+MONTH('Deal maths'!AA317)-MONTH(E317)-(DAY('Deal maths'!AA317)&lt;MIN(R317,DAY(EOMONTH('Deal maths'!AA317,0)))))/D317)+1),0)</f>
        <v/>
      </c>
      <c r="O317" s="108">
        <f>IFERROR(IF(D317=0,0,IF(IF(DAY(E317+1)=1,EOMONTH(E317,(N317-1)*D317),EDATE(E317,(N317-1)*D317))='Deal maths'!AA317,0,1)),0)</f>
        <v/>
      </c>
      <c r="P317" s="113">
        <f>IF(B317=0,0,IFERROR(IF(C317="EIP",((I317-O317)*((IF(DAY(E317+1)=1,EOMONTH(E317,H317*D317),EDATE(E317,H317*D317))-AsAt)/365.25+(IF(DAY(E317+1)=1,EOMONTH(E317,(N317-1)*D317),EDATE(E317,(N317-1)*D317))-AsAt)/365.25)/2+O317*('Deal maths'!AA317-AsAt)/365.25)/I317,IF(C317="Annuity",IF(F317&gt;0,((K317-L317*F317)*((IF(DAY(E317+1)=1,EOMONTH(E317,H317*D317),EDATE(E317,H317*D317))-AsAt)/365.25*((1+F317)^(I317-O317)-1)/F317+IF((I317-O317)&gt;1,((IF(DAY(E317+1)=1,EOMONTH(E317,(N317-1)*D317),EDATE(E317,(N317-1)*D317))-AsAt)/365.25-(IF(DAY(E317+1)=1,EOMONTH(E317,H317*D317),EDATE(E317,H317*D317))-AsAt)/365.25)/((I317-O317)-1),0)*(1+F317)*(1-(I317-O317)*(1+F317)^((I317-O317)-1)+((I317-O317)-1)*(1+F317)^(I317-O317))/F317^2)+O317*(K317-L317*F317)*(1+F317)^(I317-1)*('Deal maths'!AA317-AsAt)/365.25)/L317,((I317-O317)*((IF(DAY(E317+1)=1,EOMONTH(E317,H317*D317),EDATE(E317,H317*D317))-AsAt)/365.25+(IF(DAY(E317+1)=1,EOMONTH(E317,(N317-1)*D317),EDATE(E317,(N317-1)*D317))-AsAt)/365.25)/2+O317*('Deal maths'!AA317-AsAt)/365.25)/I317),(S317-AsAt)/365.25)),0))</f>
        <v/>
      </c>
      <c r="Q317" s="109">
        <f>IF(B317=1,'Deal maths'!AA317+ROW()/1000000,"")</f>
        <v/>
      </c>
      <c r="R317" s="108">
        <f>IF(D317=0,0,IF(DAY(E317+1)=1,31,DAY(E317)))</f>
        <v/>
      </c>
      <c r="S317" s="109">
        <f>IF(AND('Deal maths'!V317="LOBO",'Deal maths'!AG317&gt;AsAt,'Deal maths'!AG317&lt;'Deal maths'!AA317),'Deal maths'!AG317,'Deal maths'!AA317)</f>
        <v/>
      </c>
      <c r="T317" s="108">
        <f>('Deal maths'!AA317&gt;AsAt)*('Deal maths'!Y317&gt;0)</f>
        <v/>
      </c>
    </row>
    <row r="318">
      <c r="A318" s="91">
        <f>IF('Deal maths'!V318="","",'Deal maths'!W318)</f>
        <v/>
      </c>
      <c r="B318" s="108">
        <f>('Deal maths'!AA318&gt;AsAt)*('Deal maths'!Y318&gt;0)*('Deal maths'!Z318&lt;=AsAt)</f>
        <v/>
      </c>
      <c r="C318" s="91">
        <f>IF('Deal maths'!V318="","",IF('Deal maths'!AC318="","Maturity",'Deal maths'!AC318))</f>
        <v/>
      </c>
      <c r="D318" s="108">
        <f>IF(OR(C318="EIP",C318="Annuity"),IF('Deal maths'!AD318="Annual",12,IF('Deal maths'!AD318="Quarterly",3,6)),0)</f>
        <v/>
      </c>
      <c r="E318" s="109">
        <f>IFERROR(IF(D318=0,0,IF('Deal maths'!AE318&gt;0,IF('Deal maths'!AE318&gt;'Deal maths'!AA318,'Deal maths'!AA318,'Deal maths'!AE318),IF(IF(DAY('Deal maths'!AA318+1)=1,EOMONTH('Deal maths'!AA318,-(INT(((YEAR('Deal maths'!AA318)-YEAR(IF('Deal maths'!Z318&gt;0,'Deal maths'!Z318,DATE(1990,1,1))))*12+MONTH('Deal maths'!AA318)-MONTH(IF('Deal maths'!Z318&gt;0,'Deal maths'!Z318,DATE(1990,1,1))))/D318))*D318),EDATE('Deal maths'!AA318,-(INT(((YEAR('Deal maths'!AA318)-YEAR(IF('Deal maths'!Z318&gt;0,'Deal maths'!Z318,DATE(1990,1,1))))*12+MONTH('Deal maths'!AA318)-MONTH(IF('Deal maths'!Z318&gt;0,'Deal maths'!Z318,DATE(1990,1,1))))/D318))*D318))&gt;IF('Deal maths'!Z318&gt;0,'Deal maths'!Z318,DATE(1990,1,1)),IF(DAY('Deal maths'!AA318+1)=1,EOMONTH('Deal maths'!AA318,-(INT(((YEAR('Deal maths'!AA318)-YEAR(IF('Deal maths'!Z318&gt;0,'Deal maths'!Z318,DATE(1990,1,1))))*12+MONTH('Deal maths'!AA318)-MONTH(IF('Deal maths'!Z318&gt;0,'Deal maths'!Z318,DATE(1990,1,1))))/D318))*D318),EDATE('Deal maths'!AA318,-(INT(((YEAR('Deal maths'!AA318)-YEAR(IF('Deal maths'!Z318&gt;0,'Deal maths'!Z318,DATE(1990,1,1))))*12+MONTH('Deal maths'!AA318)-MONTH(IF('Deal maths'!Z318&gt;0,'Deal maths'!Z318,DATE(1990,1,1))))/D318))*D318)),IF(DAY('Deal maths'!AA318+1)=1,EOMONTH('Deal maths'!AA318,-(INT(((YEAR('Deal maths'!AA318)-YEAR(IF('Deal maths'!Z318&gt;0,'Deal maths'!Z318,DATE(1990,1,1))))*12+MONTH('Deal maths'!AA318)-MONTH(IF('Deal maths'!Z318&gt;0,'Deal maths'!Z318,DATE(1990,1,1))))/D318)-1)*D318),EDATE('Deal maths'!AA318,-(INT(((YEAR('Deal maths'!AA318)-YEAR(IF('Deal maths'!Z318&gt;0,'Deal maths'!Z318,DATE(1990,1,1))))*12+MONTH('Deal maths'!AA318)-MONTH(IF('Deal maths'!Z318&gt;0,'Deal maths'!Z318,DATE(1990,1,1))))/D318)-1)*D318))))),0)</f>
        <v/>
      </c>
      <c r="F318" s="110">
        <f>IF(D318=0,0,'Deal maths'!AB318*D318/12)</f>
        <v/>
      </c>
      <c r="G318" s="108">
        <f>N318+O318</f>
        <v/>
      </c>
      <c r="H318" s="108">
        <f>IFERROR(IF(OR(D318=0,AsAt&lt;E318),0,MIN(N318,INT(((YEAR(AsAt)-YEAR(E318))*12+MONTH(AsAt)-MONTH(E318)-(DAY(AsAt)&lt;MIN(R318,DAY(EOMONTH(AsAt,0)))))/D318)+1)+O318*(AsAt&gt;='Deal maths'!AA318)),0)</f>
        <v/>
      </c>
      <c r="I318" s="108">
        <f>G318-H318</f>
        <v/>
      </c>
      <c r="J318" s="111">
        <f>IF(AND(C318="EIP",I318&gt;0),'Deal maths'!Y318/I318,0)</f>
        <v/>
      </c>
      <c r="K318" s="111">
        <f>IF(AND(C318="Annuity",I318&gt;0),IF(F318&gt;0,'Deal maths'!Y318*F318/(1-(1+F318)^-I318),'Deal maths'!Y318/I318),0)</f>
        <v/>
      </c>
      <c r="L318" s="111">
        <f>IF('Deal maths'!Y318="",0,'Deal maths'!Y318)</f>
        <v/>
      </c>
      <c r="M318" s="112">
        <f>F318+(F318=0)</f>
        <v/>
      </c>
      <c r="N318" s="108">
        <f>IFERROR(IF(D318=0,0,INT(((YEAR('Deal maths'!AA318)-YEAR(E318))*12+MONTH('Deal maths'!AA318)-MONTH(E318)-(DAY('Deal maths'!AA318)&lt;MIN(R318,DAY(EOMONTH('Deal maths'!AA318,0)))))/D318)+1),0)</f>
        <v/>
      </c>
      <c r="O318" s="108">
        <f>IFERROR(IF(D318=0,0,IF(IF(DAY(E318+1)=1,EOMONTH(E318,(N318-1)*D318),EDATE(E318,(N318-1)*D318))='Deal maths'!AA318,0,1)),0)</f>
        <v/>
      </c>
      <c r="P318" s="113">
        <f>IF(B318=0,0,IFERROR(IF(C318="EIP",((I318-O318)*((IF(DAY(E318+1)=1,EOMONTH(E318,H318*D318),EDATE(E318,H318*D318))-AsAt)/365.25+(IF(DAY(E318+1)=1,EOMONTH(E318,(N318-1)*D318),EDATE(E318,(N318-1)*D318))-AsAt)/365.25)/2+O318*('Deal maths'!AA318-AsAt)/365.25)/I318,IF(C318="Annuity",IF(F318&gt;0,((K318-L318*F318)*((IF(DAY(E318+1)=1,EOMONTH(E318,H318*D318),EDATE(E318,H318*D318))-AsAt)/365.25*((1+F318)^(I318-O318)-1)/F318+IF((I318-O318)&gt;1,((IF(DAY(E318+1)=1,EOMONTH(E318,(N318-1)*D318),EDATE(E318,(N318-1)*D318))-AsAt)/365.25-(IF(DAY(E318+1)=1,EOMONTH(E318,H318*D318),EDATE(E318,H318*D318))-AsAt)/365.25)/((I318-O318)-1),0)*(1+F318)*(1-(I318-O318)*(1+F318)^((I318-O318)-1)+((I318-O318)-1)*(1+F318)^(I318-O318))/F318^2)+O318*(K318-L318*F318)*(1+F318)^(I318-1)*('Deal maths'!AA318-AsAt)/365.25)/L318,((I318-O318)*((IF(DAY(E318+1)=1,EOMONTH(E318,H318*D318),EDATE(E318,H318*D318))-AsAt)/365.25+(IF(DAY(E318+1)=1,EOMONTH(E318,(N318-1)*D318),EDATE(E318,(N318-1)*D318))-AsAt)/365.25)/2+O318*('Deal maths'!AA318-AsAt)/365.25)/I318),(S318-AsAt)/365.25)),0))</f>
        <v/>
      </c>
      <c r="Q318" s="109">
        <f>IF(B318=1,'Deal maths'!AA318+ROW()/1000000,"")</f>
        <v/>
      </c>
      <c r="R318" s="108">
        <f>IF(D318=0,0,IF(DAY(E318+1)=1,31,DAY(E318)))</f>
        <v/>
      </c>
      <c r="S318" s="109">
        <f>IF(AND('Deal maths'!V318="LOBO",'Deal maths'!AG318&gt;AsAt,'Deal maths'!AG318&lt;'Deal maths'!AA318),'Deal maths'!AG318,'Deal maths'!AA318)</f>
        <v/>
      </c>
      <c r="T318" s="108">
        <f>('Deal maths'!AA318&gt;AsAt)*('Deal maths'!Y318&gt;0)</f>
        <v/>
      </c>
    </row>
    <row r="319">
      <c r="A319" s="91">
        <f>IF('Deal maths'!V319="","",'Deal maths'!W319)</f>
        <v/>
      </c>
      <c r="B319" s="108">
        <f>('Deal maths'!AA319&gt;AsAt)*('Deal maths'!Y319&gt;0)*('Deal maths'!Z319&lt;=AsAt)</f>
        <v/>
      </c>
      <c r="C319" s="91">
        <f>IF('Deal maths'!V319="","",IF('Deal maths'!AC319="","Maturity",'Deal maths'!AC319))</f>
        <v/>
      </c>
      <c r="D319" s="108">
        <f>IF(OR(C319="EIP",C319="Annuity"),IF('Deal maths'!AD319="Annual",12,IF('Deal maths'!AD319="Quarterly",3,6)),0)</f>
        <v/>
      </c>
      <c r="E319" s="109">
        <f>IFERROR(IF(D319=0,0,IF('Deal maths'!AE319&gt;0,IF('Deal maths'!AE319&gt;'Deal maths'!AA319,'Deal maths'!AA319,'Deal maths'!AE319),IF(IF(DAY('Deal maths'!AA319+1)=1,EOMONTH('Deal maths'!AA319,-(INT(((YEAR('Deal maths'!AA319)-YEAR(IF('Deal maths'!Z319&gt;0,'Deal maths'!Z319,DATE(1990,1,1))))*12+MONTH('Deal maths'!AA319)-MONTH(IF('Deal maths'!Z319&gt;0,'Deal maths'!Z319,DATE(1990,1,1))))/D319))*D319),EDATE('Deal maths'!AA319,-(INT(((YEAR('Deal maths'!AA319)-YEAR(IF('Deal maths'!Z319&gt;0,'Deal maths'!Z319,DATE(1990,1,1))))*12+MONTH('Deal maths'!AA319)-MONTH(IF('Deal maths'!Z319&gt;0,'Deal maths'!Z319,DATE(1990,1,1))))/D319))*D319))&gt;IF('Deal maths'!Z319&gt;0,'Deal maths'!Z319,DATE(1990,1,1)),IF(DAY('Deal maths'!AA319+1)=1,EOMONTH('Deal maths'!AA319,-(INT(((YEAR('Deal maths'!AA319)-YEAR(IF('Deal maths'!Z319&gt;0,'Deal maths'!Z319,DATE(1990,1,1))))*12+MONTH('Deal maths'!AA319)-MONTH(IF('Deal maths'!Z319&gt;0,'Deal maths'!Z319,DATE(1990,1,1))))/D319))*D319),EDATE('Deal maths'!AA319,-(INT(((YEAR('Deal maths'!AA319)-YEAR(IF('Deal maths'!Z319&gt;0,'Deal maths'!Z319,DATE(1990,1,1))))*12+MONTH('Deal maths'!AA319)-MONTH(IF('Deal maths'!Z319&gt;0,'Deal maths'!Z319,DATE(1990,1,1))))/D319))*D319)),IF(DAY('Deal maths'!AA319+1)=1,EOMONTH('Deal maths'!AA319,-(INT(((YEAR('Deal maths'!AA319)-YEAR(IF('Deal maths'!Z319&gt;0,'Deal maths'!Z319,DATE(1990,1,1))))*12+MONTH('Deal maths'!AA319)-MONTH(IF('Deal maths'!Z319&gt;0,'Deal maths'!Z319,DATE(1990,1,1))))/D319)-1)*D319),EDATE('Deal maths'!AA319,-(INT(((YEAR('Deal maths'!AA319)-YEAR(IF('Deal maths'!Z319&gt;0,'Deal maths'!Z319,DATE(1990,1,1))))*12+MONTH('Deal maths'!AA319)-MONTH(IF('Deal maths'!Z319&gt;0,'Deal maths'!Z319,DATE(1990,1,1))))/D319)-1)*D319))))),0)</f>
        <v/>
      </c>
      <c r="F319" s="110">
        <f>IF(D319=0,0,'Deal maths'!AB319*D319/12)</f>
        <v/>
      </c>
      <c r="G319" s="108">
        <f>N319+O319</f>
        <v/>
      </c>
      <c r="H319" s="108">
        <f>IFERROR(IF(OR(D319=0,AsAt&lt;E319),0,MIN(N319,INT(((YEAR(AsAt)-YEAR(E319))*12+MONTH(AsAt)-MONTH(E319)-(DAY(AsAt)&lt;MIN(R319,DAY(EOMONTH(AsAt,0)))))/D319)+1)+O319*(AsAt&gt;='Deal maths'!AA319)),0)</f>
        <v/>
      </c>
      <c r="I319" s="108">
        <f>G319-H319</f>
        <v/>
      </c>
      <c r="J319" s="111">
        <f>IF(AND(C319="EIP",I319&gt;0),'Deal maths'!Y319/I319,0)</f>
        <v/>
      </c>
      <c r="K319" s="111">
        <f>IF(AND(C319="Annuity",I319&gt;0),IF(F319&gt;0,'Deal maths'!Y319*F319/(1-(1+F319)^-I319),'Deal maths'!Y319/I319),0)</f>
        <v/>
      </c>
      <c r="L319" s="111">
        <f>IF('Deal maths'!Y319="",0,'Deal maths'!Y319)</f>
        <v/>
      </c>
      <c r="M319" s="112">
        <f>F319+(F319=0)</f>
        <v/>
      </c>
      <c r="N319" s="108">
        <f>IFERROR(IF(D319=0,0,INT(((YEAR('Deal maths'!AA319)-YEAR(E319))*12+MONTH('Deal maths'!AA319)-MONTH(E319)-(DAY('Deal maths'!AA319)&lt;MIN(R319,DAY(EOMONTH('Deal maths'!AA319,0)))))/D319)+1),0)</f>
        <v/>
      </c>
      <c r="O319" s="108">
        <f>IFERROR(IF(D319=0,0,IF(IF(DAY(E319+1)=1,EOMONTH(E319,(N319-1)*D319),EDATE(E319,(N319-1)*D319))='Deal maths'!AA319,0,1)),0)</f>
        <v/>
      </c>
      <c r="P319" s="113">
        <f>IF(B319=0,0,IFERROR(IF(C319="EIP",((I319-O319)*((IF(DAY(E319+1)=1,EOMONTH(E319,H319*D319),EDATE(E319,H319*D319))-AsAt)/365.25+(IF(DAY(E319+1)=1,EOMONTH(E319,(N319-1)*D319),EDATE(E319,(N319-1)*D319))-AsAt)/365.25)/2+O319*('Deal maths'!AA319-AsAt)/365.25)/I319,IF(C319="Annuity",IF(F319&gt;0,((K319-L319*F319)*((IF(DAY(E319+1)=1,EOMONTH(E319,H319*D319),EDATE(E319,H319*D319))-AsAt)/365.25*((1+F319)^(I319-O319)-1)/F319+IF((I319-O319)&gt;1,((IF(DAY(E319+1)=1,EOMONTH(E319,(N319-1)*D319),EDATE(E319,(N319-1)*D319))-AsAt)/365.25-(IF(DAY(E319+1)=1,EOMONTH(E319,H319*D319),EDATE(E319,H319*D319))-AsAt)/365.25)/((I319-O319)-1),0)*(1+F319)*(1-(I319-O319)*(1+F319)^((I319-O319)-1)+((I319-O319)-1)*(1+F319)^(I319-O319))/F319^2)+O319*(K319-L319*F319)*(1+F319)^(I319-1)*('Deal maths'!AA319-AsAt)/365.25)/L319,((I319-O319)*((IF(DAY(E319+1)=1,EOMONTH(E319,H319*D319),EDATE(E319,H319*D319))-AsAt)/365.25+(IF(DAY(E319+1)=1,EOMONTH(E319,(N319-1)*D319),EDATE(E319,(N319-1)*D319))-AsAt)/365.25)/2+O319*('Deal maths'!AA319-AsAt)/365.25)/I319),(S319-AsAt)/365.25)),0))</f>
        <v/>
      </c>
      <c r="Q319" s="109">
        <f>IF(B319=1,'Deal maths'!AA319+ROW()/1000000,"")</f>
        <v/>
      </c>
      <c r="R319" s="108">
        <f>IF(D319=0,0,IF(DAY(E319+1)=1,31,DAY(E319)))</f>
        <v/>
      </c>
      <c r="S319" s="109">
        <f>IF(AND('Deal maths'!V319="LOBO",'Deal maths'!AG319&gt;AsAt,'Deal maths'!AG319&lt;'Deal maths'!AA319),'Deal maths'!AG319,'Deal maths'!AA319)</f>
        <v/>
      </c>
      <c r="T319" s="108">
        <f>('Deal maths'!AA319&gt;AsAt)*('Deal maths'!Y319&gt;0)</f>
        <v/>
      </c>
    </row>
    <row r="320">
      <c r="A320" s="91">
        <f>IF('Deal maths'!V320="","",'Deal maths'!W320)</f>
        <v/>
      </c>
      <c r="B320" s="108">
        <f>('Deal maths'!AA320&gt;AsAt)*('Deal maths'!Y320&gt;0)*('Deal maths'!Z320&lt;=AsAt)</f>
        <v/>
      </c>
      <c r="C320" s="91">
        <f>IF('Deal maths'!V320="","",IF('Deal maths'!AC320="","Maturity",'Deal maths'!AC320))</f>
        <v/>
      </c>
      <c r="D320" s="108">
        <f>IF(OR(C320="EIP",C320="Annuity"),IF('Deal maths'!AD320="Annual",12,IF('Deal maths'!AD320="Quarterly",3,6)),0)</f>
        <v/>
      </c>
      <c r="E320" s="109">
        <f>IFERROR(IF(D320=0,0,IF('Deal maths'!AE320&gt;0,IF('Deal maths'!AE320&gt;'Deal maths'!AA320,'Deal maths'!AA320,'Deal maths'!AE320),IF(IF(DAY('Deal maths'!AA320+1)=1,EOMONTH('Deal maths'!AA320,-(INT(((YEAR('Deal maths'!AA320)-YEAR(IF('Deal maths'!Z320&gt;0,'Deal maths'!Z320,DATE(1990,1,1))))*12+MONTH('Deal maths'!AA320)-MONTH(IF('Deal maths'!Z320&gt;0,'Deal maths'!Z320,DATE(1990,1,1))))/D320))*D320),EDATE('Deal maths'!AA320,-(INT(((YEAR('Deal maths'!AA320)-YEAR(IF('Deal maths'!Z320&gt;0,'Deal maths'!Z320,DATE(1990,1,1))))*12+MONTH('Deal maths'!AA320)-MONTH(IF('Deal maths'!Z320&gt;0,'Deal maths'!Z320,DATE(1990,1,1))))/D320))*D320))&gt;IF('Deal maths'!Z320&gt;0,'Deal maths'!Z320,DATE(1990,1,1)),IF(DAY('Deal maths'!AA320+1)=1,EOMONTH('Deal maths'!AA320,-(INT(((YEAR('Deal maths'!AA320)-YEAR(IF('Deal maths'!Z320&gt;0,'Deal maths'!Z320,DATE(1990,1,1))))*12+MONTH('Deal maths'!AA320)-MONTH(IF('Deal maths'!Z320&gt;0,'Deal maths'!Z320,DATE(1990,1,1))))/D320))*D320),EDATE('Deal maths'!AA320,-(INT(((YEAR('Deal maths'!AA320)-YEAR(IF('Deal maths'!Z320&gt;0,'Deal maths'!Z320,DATE(1990,1,1))))*12+MONTH('Deal maths'!AA320)-MONTH(IF('Deal maths'!Z320&gt;0,'Deal maths'!Z320,DATE(1990,1,1))))/D320))*D320)),IF(DAY('Deal maths'!AA320+1)=1,EOMONTH('Deal maths'!AA320,-(INT(((YEAR('Deal maths'!AA320)-YEAR(IF('Deal maths'!Z320&gt;0,'Deal maths'!Z320,DATE(1990,1,1))))*12+MONTH('Deal maths'!AA320)-MONTH(IF('Deal maths'!Z320&gt;0,'Deal maths'!Z320,DATE(1990,1,1))))/D320)-1)*D320),EDATE('Deal maths'!AA320,-(INT(((YEAR('Deal maths'!AA320)-YEAR(IF('Deal maths'!Z320&gt;0,'Deal maths'!Z320,DATE(1990,1,1))))*12+MONTH('Deal maths'!AA320)-MONTH(IF('Deal maths'!Z320&gt;0,'Deal maths'!Z320,DATE(1990,1,1))))/D320)-1)*D320))))),0)</f>
        <v/>
      </c>
      <c r="F320" s="110">
        <f>IF(D320=0,0,'Deal maths'!AB320*D320/12)</f>
        <v/>
      </c>
      <c r="G320" s="108">
        <f>N320+O320</f>
        <v/>
      </c>
      <c r="H320" s="108">
        <f>IFERROR(IF(OR(D320=0,AsAt&lt;E320),0,MIN(N320,INT(((YEAR(AsAt)-YEAR(E320))*12+MONTH(AsAt)-MONTH(E320)-(DAY(AsAt)&lt;MIN(R320,DAY(EOMONTH(AsAt,0)))))/D320)+1)+O320*(AsAt&gt;='Deal maths'!AA320)),0)</f>
        <v/>
      </c>
      <c r="I320" s="108">
        <f>G320-H320</f>
        <v/>
      </c>
      <c r="J320" s="111">
        <f>IF(AND(C320="EIP",I320&gt;0),'Deal maths'!Y320/I320,0)</f>
        <v/>
      </c>
      <c r="K320" s="111">
        <f>IF(AND(C320="Annuity",I320&gt;0),IF(F320&gt;0,'Deal maths'!Y320*F320/(1-(1+F320)^-I320),'Deal maths'!Y320/I320),0)</f>
        <v/>
      </c>
      <c r="L320" s="111">
        <f>IF('Deal maths'!Y320="",0,'Deal maths'!Y320)</f>
        <v/>
      </c>
      <c r="M320" s="112">
        <f>F320+(F320=0)</f>
        <v/>
      </c>
      <c r="N320" s="108">
        <f>IFERROR(IF(D320=0,0,INT(((YEAR('Deal maths'!AA320)-YEAR(E320))*12+MONTH('Deal maths'!AA320)-MONTH(E320)-(DAY('Deal maths'!AA320)&lt;MIN(R320,DAY(EOMONTH('Deal maths'!AA320,0)))))/D320)+1),0)</f>
        <v/>
      </c>
      <c r="O320" s="108">
        <f>IFERROR(IF(D320=0,0,IF(IF(DAY(E320+1)=1,EOMONTH(E320,(N320-1)*D320),EDATE(E320,(N320-1)*D320))='Deal maths'!AA320,0,1)),0)</f>
        <v/>
      </c>
      <c r="P320" s="113">
        <f>IF(B320=0,0,IFERROR(IF(C320="EIP",((I320-O320)*((IF(DAY(E320+1)=1,EOMONTH(E320,H320*D320),EDATE(E320,H320*D320))-AsAt)/365.25+(IF(DAY(E320+1)=1,EOMONTH(E320,(N320-1)*D320),EDATE(E320,(N320-1)*D320))-AsAt)/365.25)/2+O320*('Deal maths'!AA320-AsAt)/365.25)/I320,IF(C320="Annuity",IF(F320&gt;0,((K320-L320*F320)*((IF(DAY(E320+1)=1,EOMONTH(E320,H320*D320),EDATE(E320,H320*D320))-AsAt)/365.25*((1+F320)^(I320-O320)-1)/F320+IF((I320-O320)&gt;1,((IF(DAY(E320+1)=1,EOMONTH(E320,(N320-1)*D320),EDATE(E320,(N320-1)*D320))-AsAt)/365.25-(IF(DAY(E320+1)=1,EOMONTH(E320,H320*D320),EDATE(E320,H320*D320))-AsAt)/365.25)/((I320-O320)-1),0)*(1+F320)*(1-(I320-O320)*(1+F320)^((I320-O320)-1)+((I320-O320)-1)*(1+F320)^(I320-O320))/F320^2)+O320*(K320-L320*F320)*(1+F320)^(I320-1)*('Deal maths'!AA320-AsAt)/365.25)/L320,((I320-O320)*((IF(DAY(E320+1)=1,EOMONTH(E320,H320*D320),EDATE(E320,H320*D320))-AsAt)/365.25+(IF(DAY(E320+1)=1,EOMONTH(E320,(N320-1)*D320),EDATE(E320,(N320-1)*D320))-AsAt)/365.25)/2+O320*('Deal maths'!AA320-AsAt)/365.25)/I320),(S320-AsAt)/365.25)),0))</f>
        <v/>
      </c>
      <c r="Q320" s="109">
        <f>IF(B320=1,'Deal maths'!AA320+ROW()/1000000,"")</f>
        <v/>
      </c>
      <c r="R320" s="108">
        <f>IF(D320=0,0,IF(DAY(E320+1)=1,31,DAY(E320)))</f>
        <v/>
      </c>
      <c r="S320" s="109">
        <f>IF(AND('Deal maths'!V320="LOBO",'Deal maths'!AG320&gt;AsAt,'Deal maths'!AG320&lt;'Deal maths'!AA320),'Deal maths'!AG320,'Deal maths'!AA320)</f>
        <v/>
      </c>
      <c r="T320" s="108">
        <f>('Deal maths'!AA320&gt;AsAt)*('Deal maths'!Y320&gt;0)</f>
        <v/>
      </c>
    </row>
    <row r="321">
      <c r="A321" s="91">
        <f>IF('Deal maths'!V321="","",'Deal maths'!W321)</f>
        <v/>
      </c>
      <c r="B321" s="108">
        <f>('Deal maths'!AA321&gt;AsAt)*('Deal maths'!Y321&gt;0)*('Deal maths'!Z321&lt;=AsAt)</f>
        <v/>
      </c>
      <c r="C321" s="91">
        <f>IF('Deal maths'!V321="","",IF('Deal maths'!AC321="","Maturity",'Deal maths'!AC321))</f>
        <v/>
      </c>
      <c r="D321" s="108">
        <f>IF(OR(C321="EIP",C321="Annuity"),IF('Deal maths'!AD321="Annual",12,IF('Deal maths'!AD321="Quarterly",3,6)),0)</f>
        <v/>
      </c>
      <c r="E321" s="109">
        <f>IFERROR(IF(D321=0,0,IF('Deal maths'!AE321&gt;0,IF('Deal maths'!AE321&gt;'Deal maths'!AA321,'Deal maths'!AA321,'Deal maths'!AE321),IF(IF(DAY('Deal maths'!AA321+1)=1,EOMONTH('Deal maths'!AA321,-(INT(((YEAR('Deal maths'!AA321)-YEAR(IF('Deal maths'!Z321&gt;0,'Deal maths'!Z321,DATE(1990,1,1))))*12+MONTH('Deal maths'!AA321)-MONTH(IF('Deal maths'!Z321&gt;0,'Deal maths'!Z321,DATE(1990,1,1))))/D321))*D321),EDATE('Deal maths'!AA321,-(INT(((YEAR('Deal maths'!AA321)-YEAR(IF('Deal maths'!Z321&gt;0,'Deal maths'!Z321,DATE(1990,1,1))))*12+MONTH('Deal maths'!AA321)-MONTH(IF('Deal maths'!Z321&gt;0,'Deal maths'!Z321,DATE(1990,1,1))))/D321))*D321))&gt;IF('Deal maths'!Z321&gt;0,'Deal maths'!Z321,DATE(1990,1,1)),IF(DAY('Deal maths'!AA321+1)=1,EOMONTH('Deal maths'!AA321,-(INT(((YEAR('Deal maths'!AA321)-YEAR(IF('Deal maths'!Z321&gt;0,'Deal maths'!Z321,DATE(1990,1,1))))*12+MONTH('Deal maths'!AA321)-MONTH(IF('Deal maths'!Z321&gt;0,'Deal maths'!Z321,DATE(1990,1,1))))/D321))*D321),EDATE('Deal maths'!AA321,-(INT(((YEAR('Deal maths'!AA321)-YEAR(IF('Deal maths'!Z321&gt;0,'Deal maths'!Z321,DATE(1990,1,1))))*12+MONTH('Deal maths'!AA321)-MONTH(IF('Deal maths'!Z321&gt;0,'Deal maths'!Z321,DATE(1990,1,1))))/D321))*D321)),IF(DAY('Deal maths'!AA321+1)=1,EOMONTH('Deal maths'!AA321,-(INT(((YEAR('Deal maths'!AA321)-YEAR(IF('Deal maths'!Z321&gt;0,'Deal maths'!Z321,DATE(1990,1,1))))*12+MONTH('Deal maths'!AA321)-MONTH(IF('Deal maths'!Z321&gt;0,'Deal maths'!Z321,DATE(1990,1,1))))/D321)-1)*D321),EDATE('Deal maths'!AA321,-(INT(((YEAR('Deal maths'!AA321)-YEAR(IF('Deal maths'!Z321&gt;0,'Deal maths'!Z321,DATE(1990,1,1))))*12+MONTH('Deal maths'!AA321)-MONTH(IF('Deal maths'!Z321&gt;0,'Deal maths'!Z321,DATE(1990,1,1))))/D321)-1)*D321))))),0)</f>
        <v/>
      </c>
      <c r="F321" s="110">
        <f>IF(D321=0,0,'Deal maths'!AB321*D321/12)</f>
        <v/>
      </c>
      <c r="G321" s="108">
        <f>N321+O321</f>
        <v/>
      </c>
      <c r="H321" s="108">
        <f>IFERROR(IF(OR(D321=0,AsAt&lt;E321),0,MIN(N321,INT(((YEAR(AsAt)-YEAR(E321))*12+MONTH(AsAt)-MONTH(E321)-(DAY(AsAt)&lt;MIN(R321,DAY(EOMONTH(AsAt,0)))))/D321)+1)+O321*(AsAt&gt;='Deal maths'!AA321)),0)</f>
        <v/>
      </c>
      <c r="I321" s="108">
        <f>G321-H321</f>
        <v/>
      </c>
      <c r="J321" s="111">
        <f>IF(AND(C321="EIP",I321&gt;0),'Deal maths'!Y321/I321,0)</f>
        <v/>
      </c>
      <c r="K321" s="111">
        <f>IF(AND(C321="Annuity",I321&gt;0),IF(F321&gt;0,'Deal maths'!Y321*F321/(1-(1+F321)^-I321),'Deal maths'!Y321/I321),0)</f>
        <v/>
      </c>
      <c r="L321" s="111">
        <f>IF('Deal maths'!Y321="",0,'Deal maths'!Y321)</f>
        <v/>
      </c>
      <c r="M321" s="112">
        <f>F321+(F321=0)</f>
        <v/>
      </c>
      <c r="N321" s="108">
        <f>IFERROR(IF(D321=0,0,INT(((YEAR('Deal maths'!AA321)-YEAR(E321))*12+MONTH('Deal maths'!AA321)-MONTH(E321)-(DAY('Deal maths'!AA321)&lt;MIN(R321,DAY(EOMONTH('Deal maths'!AA321,0)))))/D321)+1),0)</f>
        <v/>
      </c>
      <c r="O321" s="108">
        <f>IFERROR(IF(D321=0,0,IF(IF(DAY(E321+1)=1,EOMONTH(E321,(N321-1)*D321),EDATE(E321,(N321-1)*D321))='Deal maths'!AA321,0,1)),0)</f>
        <v/>
      </c>
      <c r="P321" s="113">
        <f>IF(B321=0,0,IFERROR(IF(C321="EIP",((I321-O321)*((IF(DAY(E321+1)=1,EOMONTH(E321,H321*D321),EDATE(E321,H321*D321))-AsAt)/365.25+(IF(DAY(E321+1)=1,EOMONTH(E321,(N321-1)*D321),EDATE(E321,(N321-1)*D321))-AsAt)/365.25)/2+O321*('Deal maths'!AA321-AsAt)/365.25)/I321,IF(C321="Annuity",IF(F321&gt;0,((K321-L321*F321)*((IF(DAY(E321+1)=1,EOMONTH(E321,H321*D321),EDATE(E321,H321*D321))-AsAt)/365.25*((1+F321)^(I321-O321)-1)/F321+IF((I321-O321)&gt;1,((IF(DAY(E321+1)=1,EOMONTH(E321,(N321-1)*D321),EDATE(E321,(N321-1)*D321))-AsAt)/365.25-(IF(DAY(E321+1)=1,EOMONTH(E321,H321*D321),EDATE(E321,H321*D321))-AsAt)/365.25)/((I321-O321)-1),0)*(1+F321)*(1-(I321-O321)*(1+F321)^((I321-O321)-1)+((I321-O321)-1)*(1+F321)^(I321-O321))/F321^2)+O321*(K321-L321*F321)*(1+F321)^(I321-1)*('Deal maths'!AA321-AsAt)/365.25)/L321,((I321-O321)*((IF(DAY(E321+1)=1,EOMONTH(E321,H321*D321),EDATE(E321,H321*D321))-AsAt)/365.25+(IF(DAY(E321+1)=1,EOMONTH(E321,(N321-1)*D321),EDATE(E321,(N321-1)*D321))-AsAt)/365.25)/2+O321*('Deal maths'!AA321-AsAt)/365.25)/I321),(S321-AsAt)/365.25)),0))</f>
        <v/>
      </c>
      <c r="Q321" s="109">
        <f>IF(B321=1,'Deal maths'!AA321+ROW()/1000000,"")</f>
        <v/>
      </c>
      <c r="R321" s="108">
        <f>IF(D321=0,0,IF(DAY(E321+1)=1,31,DAY(E321)))</f>
        <v/>
      </c>
      <c r="S321" s="109">
        <f>IF(AND('Deal maths'!V321="LOBO",'Deal maths'!AG321&gt;AsAt,'Deal maths'!AG321&lt;'Deal maths'!AA321),'Deal maths'!AG321,'Deal maths'!AA321)</f>
        <v/>
      </c>
      <c r="T321" s="108">
        <f>('Deal maths'!AA321&gt;AsAt)*('Deal maths'!Y321&gt;0)</f>
        <v/>
      </c>
    </row>
    <row r="322">
      <c r="A322" s="91">
        <f>IF('Deal maths'!V322="","",'Deal maths'!W322)</f>
        <v/>
      </c>
      <c r="B322" s="108">
        <f>('Deal maths'!AA322&gt;AsAt)*('Deal maths'!Y322&gt;0)*('Deal maths'!Z322&lt;=AsAt)</f>
        <v/>
      </c>
      <c r="C322" s="91">
        <f>IF('Deal maths'!V322="","",IF('Deal maths'!AC322="","Maturity",'Deal maths'!AC322))</f>
        <v/>
      </c>
      <c r="D322" s="108">
        <f>IF(OR(C322="EIP",C322="Annuity"),IF('Deal maths'!AD322="Annual",12,IF('Deal maths'!AD322="Quarterly",3,6)),0)</f>
        <v/>
      </c>
      <c r="E322" s="109">
        <f>IFERROR(IF(D322=0,0,IF('Deal maths'!AE322&gt;0,IF('Deal maths'!AE322&gt;'Deal maths'!AA322,'Deal maths'!AA322,'Deal maths'!AE322),IF(IF(DAY('Deal maths'!AA322+1)=1,EOMONTH('Deal maths'!AA322,-(INT(((YEAR('Deal maths'!AA322)-YEAR(IF('Deal maths'!Z322&gt;0,'Deal maths'!Z322,DATE(1990,1,1))))*12+MONTH('Deal maths'!AA322)-MONTH(IF('Deal maths'!Z322&gt;0,'Deal maths'!Z322,DATE(1990,1,1))))/D322))*D322),EDATE('Deal maths'!AA322,-(INT(((YEAR('Deal maths'!AA322)-YEAR(IF('Deal maths'!Z322&gt;0,'Deal maths'!Z322,DATE(1990,1,1))))*12+MONTH('Deal maths'!AA322)-MONTH(IF('Deal maths'!Z322&gt;0,'Deal maths'!Z322,DATE(1990,1,1))))/D322))*D322))&gt;IF('Deal maths'!Z322&gt;0,'Deal maths'!Z322,DATE(1990,1,1)),IF(DAY('Deal maths'!AA322+1)=1,EOMONTH('Deal maths'!AA322,-(INT(((YEAR('Deal maths'!AA322)-YEAR(IF('Deal maths'!Z322&gt;0,'Deal maths'!Z322,DATE(1990,1,1))))*12+MONTH('Deal maths'!AA322)-MONTH(IF('Deal maths'!Z322&gt;0,'Deal maths'!Z322,DATE(1990,1,1))))/D322))*D322),EDATE('Deal maths'!AA322,-(INT(((YEAR('Deal maths'!AA322)-YEAR(IF('Deal maths'!Z322&gt;0,'Deal maths'!Z322,DATE(1990,1,1))))*12+MONTH('Deal maths'!AA322)-MONTH(IF('Deal maths'!Z322&gt;0,'Deal maths'!Z322,DATE(1990,1,1))))/D322))*D322)),IF(DAY('Deal maths'!AA322+1)=1,EOMONTH('Deal maths'!AA322,-(INT(((YEAR('Deal maths'!AA322)-YEAR(IF('Deal maths'!Z322&gt;0,'Deal maths'!Z322,DATE(1990,1,1))))*12+MONTH('Deal maths'!AA322)-MONTH(IF('Deal maths'!Z322&gt;0,'Deal maths'!Z322,DATE(1990,1,1))))/D322)-1)*D322),EDATE('Deal maths'!AA322,-(INT(((YEAR('Deal maths'!AA322)-YEAR(IF('Deal maths'!Z322&gt;0,'Deal maths'!Z322,DATE(1990,1,1))))*12+MONTH('Deal maths'!AA322)-MONTH(IF('Deal maths'!Z322&gt;0,'Deal maths'!Z322,DATE(1990,1,1))))/D322)-1)*D322))))),0)</f>
        <v/>
      </c>
      <c r="F322" s="110">
        <f>IF(D322=0,0,'Deal maths'!AB322*D322/12)</f>
        <v/>
      </c>
      <c r="G322" s="108">
        <f>N322+O322</f>
        <v/>
      </c>
      <c r="H322" s="108">
        <f>IFERROR(IF(OR(D322=0,AsAt&lt;E322),0,MIN(N322,INT(((YEAR(AsAt)-YEAR(E322))*12+MONTH(AsAt)-MONTH(E322)-(DAY(AsAt)&lt;MIN(R322,DAY(EOMONTH(AsAt,0)))))/D322)+1)+O322*(AsAt&gt;='Deal maths'!AA322)),0)</f>
        <v/>
      </c>
      <c r="I322" s="108">
        <f>G322-H322</f>
        <v/>
      </c>
      <c r="J322" s="111">
        <f>IF(AND(C322="EIP",I322&gt;0),'Deal maths'!Y322/I322,0)</f>
        <v/>
      </c>
      <c r="K322" s="111">
        <f>IF(AND(C322="Annuity",I322&gt;0),IF(F322&gt;0,'Deal maths'!Y322*F322/(1-(1+F322)^-I322),'Deal maths'!Y322/I322),0)</f>
        <v/>
      </c>
      <c r="L322" s="111">
        <f>IF('Deal maths'!Y322="",0,'Deal maths'!Y322)</f>
        <v/>
      </c>
      <c r="M322" s="112">
        <f>F322+(F322=0)</f>
        <v/>
      </c>
      <c r="N322" s="108">
        <f>IFERROR(IF(D322=0,0,INT(((YEAR('Deal maths'!AA322)-YEAR(E322))*12+MONTH('Deal maths'!AA322)-MONTH(E322)-(DAY('Deal maths'!AA322)&lt;MIN(R322,DAY(EOMONTH('Deal maths'!AA322,0)))))/D322)+1),0)</f>
        <v/>
      </c>
      <c r="O322" s="108">
        <f>IFERROR(IF(D322=0,0,IF(IF(DAY(E322+1)=1,EOMONTH(E322,(N322-1)*D322),EDATE(E322,(N322-1)*D322))='Deal maths'!AA322,0,1)),0)</f>
        <v/>
      </c>
      <c r="P322" s="113">
        <f>IF(B322=0,0,IFERROR(IF(C322="EIP",((I322-O322)*((IF(DAY(E322+1)=1,EOMONTH(E322,H322*D322),EDATE(E322,H322*D322))-AsAt)/365.25+(IF(DAY(E322+1)=1,EOMONTH(E322,(N322-1)*D322),EDATE(E322,(N322-1)*D322))-AsAt)/365.25)/2+O322*('Deal maths'!AA322-AsAt)/365.25)/I322,IF(C322="Annuity",IF(F322&gt;0,((K322-L322*F322)*((IF(DAY(E322+1)=1,EOMONTH(E322,H322*D322),EDATE(E322,H322*D322))-AsAt)/365.25*((1+F322)^(I322-O322)-1)/F322+IF((I322-O322)&gt;1,((IF(DAY(E322+1)=1,EOMONTH(E322,(N322-1)*D322),EDATE(E322,(N322-1)*D322))-AsAt)/365.25-(IF(DAY(E322+1)=1,EOMONTH(E322,H322*D322),EDATE(E322,H322*D322))-AsAt)/365.25)/((I322-O322)-1),0)*(1+F322)*(1-(I322-O322)*(1+F322)^((I322-O322)-1)+((I322-O322)-1)*(1+F322)^(I322-O322))/F322^2)+O322*(K322-L322*F322)*(1+F322)^(I322-1)*('Deal maths'!AA322-AsAt)/365.25)/L322,((I322-O322)*((IF(DAY(E322+1)=1,EOMONTH(E322,H322*D322),EDATE(E322,H322*D322))-AsAt)/365.25+(IF(DAY(E322+1)=1,EOMONTH(E322,(N322-1)*D322),EDATE(E322,(N322-1)*D322))-AsAt)/365.25)/2+O322*('Deal maths'!AA322-AsAt)/365.25)/I322),(S322-AsAt)/365.25)),0))</f>
        <v/>
      </c>
      <c r="Q322" s="109">
        <f>IF(B322=1,'Deal maths'!AA322+ROW()/1000000,"")</f>
        <v/>
      </c>
      <c r="R322" s="108">
        <f>IF(D322=0,0,IF(DAY(E322+1)=1,31,DAY(E322)))</f>
        <v/>
      </c>
      <c r="S322" s="109">
        <f>IF(AND('Deal maths'!V322="LOBO",'Deal maths'!AG322&gt;AsAt,'Deal maths'!AG322&lt;'Deal maths'!AA322),'Deal maths'!AG322,'Deal maths'!AA322)</f>
        <v/>
      </c>
      <c r="T322" s="108">
        <f>('Deal maths'!AA322&gt;AsAt)*('Deal maths'!Y322&gt;0)</f>
        <v/>
      </c>
    </row>
    <row r="323">
      <c r="A323" s="91">
        <f>IF('Deal maths'!V323="","",'Deal maths'!W323)</f>
        <v/>
      </c>
      <c r="B323" s="108">
        <f>('Deal maths'!AA323&gt;AsAt)*('Deal maths'!Y323&gt;0)*('Deal maths'!Z323&lt;=AsAt)</f>
        <v/>
      </c>
      <c r="C323" s="91">
        <f>IF('Deal maths'!V323="","",IF('Deal maths'!AC323="","Maturity",'Deal maths'!AC323))</f>
        <v/>
      </c>
      <c r="D323" s="108">
        <f>IF(OR(C323="EIP",C323="Annuity"),IF('Deal maths'!AD323="Annual",12,IF('Deal maths'!AD323="Quarterly",3,6)),0)</f>
        <v/>
      </c>
      <c r="E323" s="109">
        <f>IFERROR(IF(D323=0,0,IF('Deal maths'!AE323&gt;0,IF('Deal maths'!AE323&gt;'Deal maths'!AA323,'Deal maths'!AA323,'Deal maths'!AE323),IF(IF(DAY('Deal maths'!AA323+1)=1,EOMONTH('Deal maths'!AA323,-(INT(((YEAR('Deal maths'!AA323)-YEAR(IF('Deal maths'!Z323&gt;0,'Deal maths'!Z323,DATE(1990,1,1))))*12+MONTH('Deal maths'!AA323)-MONTH(IF('Deal maths'!Z323&gt;0,'Deal maths'!Z323,DATE(1990,1,1))))/D323))*D323),EDATE('Deal maths'!AA323,-(INT(((YEAR('Deal maths'!AA323)-YEAR(IF('Deal maths'!Z323&gt;0,'Deal maths'!Z323,DATE(1990,1,1))))*12+MONTH('Deal maths'!AA323)-MONTH(IF('Deal maths'!Z323&gt;0,'Deal maths'!Z323,DATE(1990,1,1))))/D323))*D323))&gt;IF('Deal maths'!Z323&gt;0,'Deal maths'!Z323,DATE(1990,1,1)),IF(DAY('Deal maths'!AA323+1)=1,EOMONTH('Deal maths'!AA323,-(INT(((YEAR('Deal maths'!AA323)-YEAR(IF('Deal maths'!Z323&gt;0,'Deal maths'!Z323,DATE(1990,1,1))))*12+MONTH('Deal maths'!AA323)-MONTH(IF('Deal maths'!Z323&gt;0,'Deal maths'!Z323,DATE(1990,1,1))))/D323))*D323),EDATE('Deal maths'!AA323,-(INT(((YEAR('Deal maths'!AA323)-YEAR(IF('Deal maths'!Z323&gt;0,'Deal maths'!Z323,DATE(1990,1,1))))*12+MONTH('Deal maths'!AA323)-MONTH(IF('Deal maths'!Z323&gt;0,'Deal maths'!Z323,DATE(1990,1,1))))/D323))*D323)),IF(DAY('Deal maths'!AA323+1)=1,EOMONTH('Deal maths'!AA323,-(INT(((YEAR('Deal maths'!AA323)-YEAR(IF('Deal maths'!Z323&gt;0,'Deal maths'!Z323,DATE(1990,1,1))))*12+MONTH('Deal maths'!AA323)-MONTH(IF('Deal maths'!Z323&gt;0,'Deal maths'!Z323,DATE(1990,1,1))))/D323)-1)*D323),EDATE('Deal maths'!AA323,-(INT(((YEAR('Deal maths'!AA323)-YEAR(IF('Deal maths'!Z323&gt;0,'Deal maths'!Z323,DATE(1990,1,1))))*12+MONTH('Deal maths'!AA323)-MONTH(IF('Deal maths'!Z323&gt;0,'Deal maths'!Z323,DATE(1990,1,1))))/D323)-1)*D323))))),0)</f>
        <v/>
      </c>
      <c r="F323" s="110">
        <f>IF(D323=0,0,'Deal maths'!AB323*D323/12)</f>
        <v/>
      </c>
      <c r="G323" s="108">
        <f>N323+O323</f>
        <v/>
      </c>
      <c r="H323" s="108">
        <f>IFERROR(IF(OR(D323=0,AsAt&lt;E323),0,MIN(N323,INT(((YEAR(AsAt)-YEAR(E323))*12+MONTH(AsAt)-MONTH(E323)-(DAY(AsAt)&lt;MIN(R323,DAY(EOMONTH(AsAt,0)))))/D323)+1)+O323*(AsAt&gt;='Deal maths'!AA323)),0)</f>
        <v/>
      </c>
      <c r="I323" s="108">
        <f>G323-H323</f>
        <v/>
      </c>
      <c r="J323" s="111">
        <f>IF(AND(C323="EIP",I323&gt;0),'Deal maths'!Y323/I323,0)</f>
        <v/>
      </c>
      <c r="K323" s="111">
        <f>IF(AND(C323="Annuity",I323&gt;0),IF(F323&gt;0,'Deal maths'!Y323*F323/(1-(1+F323)^-I323),'Deal maths'!Y323/I323),0)</f>
        <v/>
      </c>
      <c r="L323" s="111">
        <f>IF('Deal maths'!Y323="",0,'Deal maths'!Y323)</f>
        <v/>
      </c>
      <c r="M323" s="112">
        <f>F323+(F323=0)</f>
        <v/>
      </c>
      <c r="N323" s="108">
        <f>IFERROR(IF(D323=0,0,INT(((YEAR('Deal maths'!AA323)-YEAR(E323))*12+MONTH('Deal maths'!AA323)-MONTH(E323)-(DAY('Deal maths'!AA323)&lt;MIN(R323,DAY(EOMONTH('Deal maths'!AA323,0)))))/D323)+1),0)</f>
        <v/>
      </c>
      <c r="O323" s="108">
        <f>IFERROR(IF(D323=0,0,IF(IF(DAY(E323+1)=1,EOMONTH(E323,(N323-1)*D323),EDATE(E323,(N323-1)*D323))='Deal maths'!AA323,0,1)),0)</f>
        <v/>
      </c>
      <c r="P323" s="113">
        <f>IF(B323=0,0,IFERROR(IF(C323="EIP",((I323-O323)*((IF(DAY(E323+1)=1,EOMONTH(E323,H323*D323),EDATE(E323,H323*D323))-AsAt)/365.25+(IF(DAY(E323+1)=1,EOMONTH(E323,(N323-1)*D323),EDATE(E323,(N323-1)*D323))-AsAt)/365.25)/2+O323*('Deal maths'!AA323-AsAt)/365.25)/I323,IF(C323="Annuity",IF(F323&gt;0,((K323-L323*F323)*((IF(DAY(E323+1)=1,EOMONTH(E323,H323*D323),EDATE(E323,H323*D323))-AsAt)/365.25*((1+F323)^(I323-O323)-1)/F323+IF((I323-O323)&gt;1,((IF(DAY(E323+1)=1,EOMONTH(E323,(N323-1)*D323),EDATE(E323,(N323-1)*D323))-AsAt)/365.25-(IF(DAY(E323+1)=1,EOMONTH(E323,H323*D323),EDATE(E323,H323*D323))-AsAt)/365.25)/((I323-O323)-1),0)*(1+F323)*(1-(I323-O323)*(1+F323)^((I323-O323)-1)+((I323-O323)-1)*(1+F323)^(I323-O323))/F323^2)+O323*(K323-L323*F323)*(1+F323)^(I323-1)*('Deal maths'!AA323-AsAt)/365.25)/L323,((I323-O323)*((IF(DAY(E323+1)=1,EOMONTH(E323,H323*D323),EDATE(E323,H323*D323))-AsAt)/365.25+(IF(DAY(E323+1)=1,EOMONTH(E323,(N323-1)*D323),EDATE(E323,(N323-1)*D323))-AsAt)/365.25)/2+O323*('Deal maths'!AA323-AsAt)/365.25)/I323),(S323-AsAt)/365.25)),0))</f>
        <v/>
      </c>
      <c r="Q323" s="109">
        <f>IF(B323=1,'Deal maths'!AA323+ROW()/1000000,"")</f>
        <v/>
      </c>
      <c r="R323" s="108">
        <f>IF(D323=0,0,IF(DAY(E323+1)=1,31,DAY(E323)))</f>
        <v/>
      </c>
      <c r="S323" s="109">
        <f>IF(AND('Deal maths'!V323="LOBO",'Deal maths'!AG323&gt;AsAt,'Deal maths'!AG323&lt;'Deal maths'!AA323),'Deal maths'!AG323,'Deal maths'!AA323)</f>
        <v/>
      </c>
      <c r="T323" s="108">
        <f>('Deal maths'!AA323&gt;AsAt)*('Deal maths'!Y323&gt;0)</f>
        <v/>
      </c>
    </row>
    <row r="324">
      <c r="A324" s="91">
        <f>IF('Deal maths'!V324="","",'Deal maths'!W324)</f>
        <v/>
      </c>
      <c r="B324" s="108">
        <f>('Deal maths'!AA324&gt;AsAt)*('Deal maths'!Y324&gt;0)*('Deal maths'!Z324&lt;=AsAt)</f>
        <v/>
      </c>
      <c r="C324" s="91">
        <f>IF('Deal maths'!V324="","",IF('Deal maths'!AC324="","Maturity",'Deal maths'!AC324))</f>
        <v/>
      </c>
      <c r="D324" s="108">
        <f>IF(OR(C324="EIP",C324="Annuity"),IF('Deal maths'!AD324="Annual",12,IF('Deal maths'!AD324="Quarterly",3,6)),0)</f>
        <v/>
      </c>
      <c r="E324" s="109">
        <f>IFERROR(IF(D324=0,0,IF('Deal maths'!AE324&gt;0,IF('Deal maths'!AE324&gt;'Deal maths'!AA324,'Deal maths'!AA324,'Deal maths'!AE324),IF(IF(DAY('Deal maths'!AA324+1)=1,EOMONTH('Deal maths'!AA324,-(INT(((YEAR('Deal maths'!AA324)-YEAR(IF('Deal maths'!Z324&gt;0,'Deal maths'!Z324,DATE(1990,1,1))))*12+MONTH('Deal maths'!AA324)-MONTH(IF('Deal maths'!Z324&gt;0,'Deal maths'!Z324,DATE(1990,1,1))))/D324))*D324),EDATE('Deal maths'!AA324,-(INT(((YEAR('Deal maths'!AA324)-YEAR(IF('Deal maths'!Z324&gt;0,'Deal maths'!Z324,DATE(1990,1,1))))*12+MONTH('Deal maths'!AA324)-MONTH(IF('Deal maths'!Z324&gt;0,'Deal maths'!Z324,DATE(1990,1,1))))/D324))*D324))&gt;IF('Deal maths'!Z324&gt;0,'Deal maths'!Z324,DATE(1990,1,1)),IF(DAY('Deal maths'!AA324+1)=1,EOMONTH('Deal maths'!AA324,-(INT(((YEAR('Deal maths'!AA324)-YEAR(IF('Deal maths'!Z324&gt;0,'Deal maths'!Z324,DATE(1990,1,1))))*12+MONTH('Deal maths'!AA324)-MONTH(IF('Deal maths'!Z324&gt;0,'Deal maths'!Z324,DATE(1990,1,1))))/D324))*D324),EDATE('Deal maths'!AA324,-(INT(((YEAR('Deal maths'!AA324)-YEAR(IF('Deal maths'!Z324&gt;0,'Deal maths'!Z324,DATE(1990,1,1))))*12+MONTH('Deal maths'!AA324)-MONTH(IF('Deal maths'!Z324&gt;0,'Deal maths'!Z324,DATE(1990,1,1))))/D324))*D324)),IF(DAY('Deal maths'!AA324+1)=1,EOMONTH('Deal maths'!AA324,-(INT(((YEAR('Deal maths'!AA324)-YEAR(IF('Deal maths'!Z324&gt;0,'Deal maths'!Z324,DATE(1990,1,1))))*12+MONTH('Deal maths'!AA324)-MONTH(IF('Deal maths'!Z324&gt;0,'Deal maths'!Z324,DATE(1990,1,1))))/D324)-1)*D324),EDATE('Deal maths'!AA324,-(INT(((YEAR('Deal maths'!AA324)-YEAR(IF('Deal maths'!Z324&gt;0,'Deal maths'!Z324,DATE(1990,1,1))))*12+MONTH('Deal maths'!AA324)-MONTH(IF('Deal maths'!Z324&gt;0,'Deal maths'!Z324,DATE(1990,1,1))))/D324)-1)*D324))))),0)</f>
        <v/>
      </c>
      <c r="F324" s="110">
        <f>IF(D324=0,0,'Deal maths'!AB324*D324/12)</f>
        <v/>
      </c>
      <c r="G324" s="108">
        <f>N324+O324</f>
        <v/>
      </c>
      <c r="H324" s="108">
        <f>IFERROR(IF(OR(D324=0,AsAt&lt;E324),0,MIN(N324,INT(((YEAR(AsAt)-YEAR(E324))*12+MONTH(AsAt)-MONTH(E324)-(DAY(AsAt)&lt;MIN(R324,DAY(EOMONTH(AsAt,0)))))/D324)+1)+O324*(AsAt&gt;='Deal maths'!AA324)),0)</f>
        <v/>
      </c>
      <c r="I324" s="108">
        <f>G324-H324</f>
        <v/>
      </c>
      <c r="J324" s="111">
        <f>IF(AND(C324="EIP",I324&gt;0),'Deal maths'!Y324/I324,0)</f>
        <v/>
      </c>
      <c r="K324" s="111">
        <f>IF(AND(C324="Annuity",I324&gt;0),IF(F324&gt;0,'Deal maths'!Y324*F324/(1-(1+F324)^-I324),'Deal maths'!Y324/I324),0)</f>
        <v/>
      </c>
      <c r="L324" s="111">
        <f>IF('Deal maths'!Y324="",0,'Deal maths'!Y324)</f>
        <v/>
      </c>
      <c r="M324" s="112">
        <f>F324+(F324=0)</f>
        <v/>
      </c>
      <c r="N324" s="108">
        <f>IFERROR(IF(D324=0,0,INT(((YEAR('Deal maths'!AA324)-YEAR(E324))*12+MONTH('Deal maths'!AA324)-MONTH(E324)-(DAY('Deal maths'!AA324)&lt;MIN(R324,DAY(EOMONTH('Deal maths'!AA324,0)))))/D324)+1),0)</f>
        <v/>
      </c>
      <c r="O324" s="108">
        <f>IFERROR(IF(D324=0,0,IF(IF(DAY(E324+1)=1,EOMONTH(E324,(N324-1)*D324),EDATE(E324,(N324-1)*D324))='Deal maths'!AA324,0,1)),0)</f>
        <v/>
      </c>
      <c r="P324" s="113">
        <f>IF(B324=0,0,IFERROR(IF(C324="EIP",((I324-O324)*((IF(DAY(E324+1)=1,EOMONTH(E324,H324*D324),EDATE(E324,H324*D324))-AsAt)/365.25+(IF(DAY(E324+1)=1,EOMONTH(E324,(N324-1)*D324),EDATE(E324,(N324-1)*D324))-AsAt)/365.25)/2+O324*('Deal maths'!AA324-AsAt)/365.25)/I324,IF(C324="Annuity",IF(F324&gt;0,((K324-L324*F324)*((IF(DAY(E324+1)=1,EOMONTH(E324,H324*D324),EDATE(E324,H324*D324))-AsAt)/365.25*((1+F324)^(I324-O324)-1)/F324+IF((I324-O324)&gt;1,((IF(DAY(E324+1)=1,EOMONTH(E324,(N324-1)*D324),EDATE(E324,(N324-1)*D324))-AsAt)/365.25-(IF(DAY(E324+1)=1,EOMONTH(E324,H324*D324),EDATE(E324,H324*D324))-AsAt)/365.25)/((I324-O324)-1),0)*(1+F324)*(1-(I324-O324)*(1+F324)^((I324-O324)-1)+((I324-O324)-1)*(1+F324)^(I324-O324))/F324^2)+O324*(K324-L324*F324)*(1+F324)^(I324-1)*('Deal maths'!AA324-AsAt)/365.25)/L324,((I324-O324)*((IF(DAY(E324+1)=1,EOMONTH(E324,H324*D324),EDATE(E324,H324*D324))-AsAt)/365.25+(IF(DAY(E324+1)=1,EOMONTH(E324,(N324-1)*D324),EDATE(E324,(N324-1)*D324))-AsAt)/365.25)/2+O324*('Deal maths'!AA324-AsAt)/365.25)/I324),(S324-AsAt)/365.25)),0))</f>
        <v/>
      </c>
      <c r="Q324" s="109">
        <f>IF(B324=1,'Deal maths'!AA324+ROW()/1000000,"")</f>
        <v/>
      </c>
      <c r="R324" s="108">
        <f>IF(D324=0,0,IF(DAY(E324+1)=1,31,DAY(E324)))</f>
        <v/>
      </c>
      <c r="S324" s="109">
        <f>IF(AND('Deal maths'!V324="LOBO",'Deal maths'!AG324&gt;AsAt,'Deal maths'!AG324&lt;'Deal maths'!AA324),'Deal maths'!AG324,'Deal maths'!AA324)</f>
        <v/>
      </c>
      <c r="T324" s="108">
        <f>('Deal maths'!AA324&gt;AsAt)*('Deal maths'!Y324&gt;0)</f>
        <v/>
      </c>
    </row>
    <row r="325">
      <c r="A325" s="91">
        <f>IF('Deal maths'!V325="","",'Deal maths'!W325)</f>
        <v/>
      </c>
      <c r="B325" s="108">
        <f>('Deal maths'!AA325&gt;AsAt)*('Deal maths'!Y325&gt;0)*('Deal maths'!Z325&lt;=AsAt)</f>
        <v/>
      </c>
      <c r="C325" s="91">
        <f>IF('Deal maths'!V325="","",IF('Deal maths'!AC325="","Maturity",'Deal maths'!AC325))</f>
        <v/>
      </c>
      <c r="D325" s="108">
        <f>IF(OR(C325="EIP",C325="Annuity"),IF('Deal maths'!AD325="Annual",12,IF('Deal maths'!AD325="Quarterly",3,6)),0)</f>
        <v/>
      </c>
      <c r="E325" s="109">
        <f>IFERROR(IF(D325=0,0,IF('Deal maths'!AE325&gt;0,IF('Deal maths'!AE325&gt;'Deal maths'!AA325,'Deal maths'!AA325,'Deal maths'!AE325),IF(IF(DAY('Deal maths'!AA325+1)=1,EOMONTH('Deal maths'!AA325,-(INT(((YEAR('Deal maths'!AA325)-YEAR(IF('Deal maths'!Z325&gt;0,'Deal maths'!Z325,DATE(1990,1,1))))*12+MONTH('Deal maths'!AA325)-MONTH(IF('Deal maths'!Z325&gt;0,'Deal maths'!Z325,DATE(1990,1,1))))/D325))*D325),EDATE('Deal maths'!AA325,-(INT(((YEAR('Deal maths'!AA325)-YEAR(IF('Deal maths'!Z325&gt;0,'Deal maths'!Z325,DATE(1990,1,1))))*12+MONTH('Deal maths'!AA325)-MONTH(IF('Deal maths'!Z325&gt;0,'Deal maths'!Z325,DATE(1990,1,1))))/D325))*D325))&gt;IF('Deal maths'!Z325&gt;0,'Deal maths'!Z325,DATE(1990,1,1)),IF(DAY('Deal maths'!AA325+1)=1,EOMONTH('Deal maths'!AA325,-(INT(((YEAR('Deal maths'!AA325)-YEAR(IF('Deal maths'!Z325&gt;0,'Deal maths'!Z325,DATE(1990,1,1))))*12+MONTH('Deal maths'!AA325)-MONTH(IF('Deal maths'!Z325&gt;0,'Deal maths'!Z325,DATE(1990,1,1))))/D325))*D325),EDATE('Deal maths'!AA325,-(INT(((YEAR('Deal maths'!AA325)-YEAR(IF('Deal maths'!Z325&gt;0,'Deal maths'!Z325,DATE(1990,1,1))))*12+MONTH('Deal maths'!AA325)-MONTH(IF('Deal maths'!Z325&gt;0,'Deal maths'!Z325,DATE(1990,1,1))))/D325))*D325)),IF(DAY('Deal maths'!AA325+1)=1,EOMONTH('Deal maths'!AA325,-(INT(((YEAR('Deal maths'!AA325)-YEAR(IF('Deal maths'!Z325&gt;0,'Deal maths'!Z325,DATE(1990,1,1))))*12+MONTH('Deal maths'!AA325)-MONTH(IF('Deal maths'!Z325&gt;0,'Deal maths'!Z325,DATE(1990,1,1))))/D325)-1)*D325),EDATE('Deal maths'!AA325,-(INT(((YEAR('Deal maths'!AA325)-YEAR(IF('Deal maths'!Z325&gt;0,'Deal maths'!Z325,DATE(1990,1,1))))*12+MONTH('Deal maths'!AA325)-MONTH(IF('Deal maths'!Z325&gt;0,'Deal maths'!Z325,DATE(1990,1,1))))/D325)-1)*D325))))),0)</f>
        <v/>
      </c>
      <c r="F325" s="110">
        <f>IF(D325=0,0,'Deal maths'!AB325*D325/12)</f>
        <v/>
      </c>
      <c r="G325" s="108">
        <f>N325+O325</f>
        <v/>
      </c>
      <c r="H325" s="108">
        <f>IFERROR(IF(OR(D325=0,AsAt&lt;E325),0,MIN(N325,INT(((YEAR(AsAt)-YEAR(E325))*12+MONTH(AsAt)-MONTH(E325)-(DAY(AsAt)&lt;MIN(R325,DAY(EOMONTH(AsAt,0)))))/D325)+1)+O325*(AsAt&gt;='Deal maths'!AA325)),0)</f>
        <v/>
      </c>
      <c r="I325" s="108">
        <f>G325-H325</f>
        <v/>
      </c>
      <c r="J325" s="111">
        <f>IF(AND(C325="EIP",I325&gt;0),'Deal maths'!Y325/I325,0)</f>
        <v/>
      </c>
      <c r="K325" s="111">
        <f>IF(AND(C325="Annuity",I325&gt;0),IF(F325&gt;0,'Deal maths'!Y325*F325/(1-(1+F325)^-I325),'Deal maths'!Y325/I325),0)</f>
        <v/>
      </c>
      <c r="L325" s="111">
        <f>IF('Deal maths'!Y325="",0,'Deal maths'!Y325)</f>
        <v/>
      </c>
      <c r="M325" s="112">
        <f>F325+(F325=0)</f>
        <v/>
      </c>
      <c r="N325" s="108">
        <f>IFERROR(IF(D325=0,0,INT(((YEAR('Deal maths'!AA325)-YEAR(E325))*12+MONTH('Deal maths'!AA325)-MONTH(E325)-(DAY('Deal maths'!AA325)&lt;MIN(R325,DAY(EOMONTH('Deal maths'!AA325,0)))))/D325)+1),0)</f>
        <v/>
      </c>
      <c r="O325" s="108">
        <f>IFERROR(IF(D325=0,0,IF(IF(DAY(E325+1)=1,EOMONTH(E325,(N325-1)*D325),EDATE(E325,(N325-1)*D325))='Deal maths'!AA325,0,1)),0)</f>
        <v/>
      </c>
      <c r="P325" s="113">
        <f>IF(B325=0,0,IFERROR(IF(C325="EIP",((I325-O325)*((IF(DAY(E325+1)=1,EOMONTH(E325,H325*D325),EDATE(E325,H325*D325))-AsAt)/365.25+(IF(DAY(E325+1)=1,EOMONTH(E325,(N325-1)*D325),EDATE(E325,(N325-1)*D325))-AsAt)/365.25)/2+O325*('Deal maths'!AA325-AsAt)/365.25)/I325,IF(C325="Annuity",IF(F325&gt;0,((K325-L325*F325)*((IF(DAY(E325+1)=1,EOMONTH(E325,H325*D325),EDATE(E325,H325*D325))-AsAt)/365.25*((1+F325)^(I325-O325)-1)/F325+IF((I325-O325)&gt;1,((IF(DAY(E325+1)=1,EOMONTH(E325,(N325-1)*D325),EDATE(E325,(N325-1)*D325))-AsAt)/365.25-(IF(DAY(E325+1)=1,EOMONTH(E325,H325*D325),EDATE(E325,H325*D325))-AsAt)/365.25)/((I325-O325)-1),0)*(1+F325)*(1-(I325-O325)*(1+F325)^((I325-O325)-1)+((I325-O325)-1)*(1+F325)^(I325-O325))/F325^2)+O325*(K325-L325*F325)*(1+F325)^(I325-1)*('Deal maths'!AA325-AsAt)/365.25)/L325,((I325-O325)*((IF(DAY(E325+1)=1,EOMONTH(E325,H325*D325),EDATE(E325,H325*D325))-AsAt)/365.25+(IF(DAY(E325+1)=1,EOMONTH(E325,(N325-1)*D325),EDATE(E325,(N325-1)*D325))-AsAt)/365.25)/2+O325*('Deal maths'!AA325-AsAt)/365.25)/I325),(S325-AsAt)/365.25)),0))</f>
        <v/>
      </c>
      <c r="Q325" s="109">
        <f>IF(B325=1,'Deal maths'!AA325+ROW()/1000000,"")</f>
        <v/>
      </c>
      <c r="R325" s="108">
        <f>IF(D325=0,0,IF(DAY(E325+1)=1,31,DAY(E325)))</f>
        <v/>
      </c>
      <c r="S325" s="109">
        <f>IF(AND('Deal maths'!V325="LOBO",'Deal maths'!AG325&gt;AsAt,'Deal maths'!AG325&lt;'Deal maths'!AA325),'Deal maths'!AG325,'Deal maths'!AA325)</f>
        <v/>
      </c>
      <c r="T325" s="108">
        <f>('Deal maths'!AA325&gt;AsAt)*('Deal maths'!Y325&gt;0)</f>
        <v/>
      </c>
    </row>
    <row r="326">
      <c r="A326" s="91">
        <f>IF('Deal maths'!V326="","",'Deal maths'!W326)</f>
        <v/>
      </c>
      <c r="B326" s="108">
        <f>('Deal maths'!AA326&gt;AsAt)*('Deal maths'!Y326&gt;0)*('Deal maths'!Z326&lt;=AsAt)</f>
        <v/>
      </c>
      <c r="C326" s="91">
        <f>IF('Deal maths'!V326="","",IF('Deal maths'!AC326="","Maturity",'Deal maths'!AC326))</f>
        <v/>
      </c>
      <c r="D326" s="108">
        <f>IF(OR(C326="EIP",C326="Annuity"),IF('Deal maths'!AD326="Annual",12,IF('Deal maths'!AD326="Quarterly",3,6)),0)</f>
        <v/>
      </c>
      <c r="E326" s="109">
        <f>IFERROR(IF(D326=0,0,IF('Deal maths'!AE326&gt;0,IF('Deal maths'!AE326&gt;'Deal maths'!AA326,'Deal maths'!AA326,'Deal maths'!AE326),IF(IF(DAY('Deal maths'!AA326+1)=1,EOMONTH('Deal maths'!AA326,-(INT(((YEAR('Deal maths'!AA326)-YEAR(IF('Deal maths'!Z326&gt;0,'Deal maths'!Z326,DATE(1990,1,1))))*12+MONTH('Deal maths'!AA326)-MONTH(IF('Deal maths'!Z326&gt;0,'Deal maths'!Z326,DATE(1990,1,1))))/D326))*D326),EDATE('Deal maths'!AA326,-(INT(((YEAR('Deal maths'!AA326)-YEAR(IF('Deal maths'!Z326&gt;0,'Deal maths'!Z326,DATE(1990,1,1))))*12+MONTH('Deal maths'!AA326)-MONTH(IF('Deal maths'!Z326&gt;0,'Deal maths'!Z326,DATE(1990,1,1))))/D326))*D326))&gt;IF('Deal maths'!Z326&gt;0,'Deal maths'!Z326,DATE(1990,1,1)),IF(DAY('Deal maths'!AA326+1)=1,EOMONTH('Deal maths'!AA326,-(INT(((YEAR('Deal maths'!AA326)-YEAR(IF('Deal maths'!Z326&gt;0,'Deal maths'!Z326,DATE(1990,1,1))))*12+MONTH('Deal maths'!AA326)-MONTH(IF('Deal maths'!Z326&gt;0,'Deal maths'!Z326,DATE(1990,1,1))))/D326))*D326),EDATE('Deal maths'!AA326,-(INT(((YEAR('Deal maths'!AA326)-YEAR(IF('Deal maths'!Z326&gt;0,'Deal maths'!Z326,DATE(1990,1,1))))*12+MONTH('Deal maths'!AA326)-MONTH(IF('Deal maths'!Z326&gt;0,'Deal maths'!Z326,DATE(1990,1,1))))/D326))*D326)),IF(DAY('Deal maths'!AA326+1)=1,EOMONTH('Deal maths'!AA326,-(INT(((YEAR('Deal maths'!AA326)-YEAR(IF('Deal maths'!Z326&gt;0,'Deal maths'!Z326,DATE(1990,1,1))))*12+MONTH('Deal maths'!AA326)-MONTH(IF('Deal maths'!Z326&gt;0,'Deal maths'!Z326,DATE(1990,1,1))))/D326)-1)*D326),EDATE('Deal maths'!AA326,-(INT(((YEAR('Deal maths'!AA326)-YEAR(IF('Deal maths'!Z326&gt;0,'Deal maths'!Z326,DATE(1990,1,1))))*12+MONTH('Deal maths'!AA326)-MONTH(IF('Deal maths'!Z326&gt;0,'Deal maths'!Z326,DATE(1990,1,1))))/D326)-1)*D326))))),0)</f>
        <v/>
      </c>
      <c r="F326" s="110">
        <f>IF(D326=0,0,'Deal maths'!AB326*D326/12)</f>
        <v/>
      </c>
      <c r="G326" s="108">
        <f>N326+O326</f>
        <v/>
      </c>
      <c r="H326" s="108">
        <f>IFERROR(IF(OR(D326=0,AsAt&lt;E326),0,MIN(N326,INT(((YEAR(AsAt)-YEAR(E326))*12+MONTH(AsAt)-MONTH(E326)-(DAY(AsAt)&lt;MIN(R326,DAY(EOMONTH(AsAt,0)))))/D326)+1)+O326*(AsAt&gt;='Deal maths'!AA326)),0)</f>
        <v/>
      </c>
      <c r="I326" s="108">
        <f>G326-H326</f>
        <v/>
      </c>
      <c r="J326" s="111">
        <f>IF(AND(C326="EIP",I326&gt;0),'Deal maths'!Y326/I326,0)</f>
        <v/>
      </c>
      <c r="K326" s="111">
        <f>IF(AND(C326="Annuity",I326&gt;0),IF(F326&gt;0,'Deal maths'!Y326*F326/(1-(1+F326)^-I326),'Deal maths'!Y326/I326),0)</f>
        <v/>
      </c>
      <c r="L326" s="111">
        <f>IF('Deal maths'!Y326="",0,'Deal maths'!Y326)</f>
        <v/>
      </c>
      <c r="M326" s="112">
        <f>F326+(F326=0)</f>
        <v/>
      </c>
      <c r="N326" s="108">
        <f>IFERROR(IF(D326=0,0,INT(((YEAR('Deal maths'!AA326)-YEAR(E326))*12+MONTH('Deal maths'!AA326)-MONTH(E326)-(DAY('Deal maths'!AA326)&lt;MIN(R326,DAY(EOMONTH('Deal maths'!AA326,0)))))/D326)+1),0)</f>
        <v/>
      </c>
      <c r="O326" s="108">
        <f>IFERROR(IF(D326=0,0,IF(IF(DAY(E326+1)=1,EOMONTH(E326,(N326-1)*D326),EDATE(E326,(N326-1)*D326))='Deal maths'!AA326,0,1)),0)</f>
        <v/>
      </c>
      <c r="P326" s="113">
        <f>IF(B326=0,0,IFERROR(IF(C326="EIP",((I326-O326)*((IF(DAY(E326+1)=1,EOMONTH(E326,H326*D326),EDATE(E326,H326*D326))-AsAt)/365.25+(IF(DAY(E326+1)=1,EOMONTH(E326,(N326-1)*D326),EDATE(E326,(N326-1)*D326))-AsAt)/365.25)/2+O326*('Deal maths'!AA326-AsAt)/365.25)/I326,IF(C326="Annuity",IF(F326&gt;0,((K326-L326*F326)*((IF(DAY(E326+1)=1,EOMONTH(E326,H326*D326),EDATE(E326,H326*D326))-AsAt)/365.25*((1+F326)^(I326-O326)-1)/F326+IF((I326-O326)&gt;1,((IF(DAY(E326+1)=1,EOMONTH(E326,(N326-1)*D326),EDATE(E326,(N326-1)*D326))-AsAt)/365.25-(IF(DAY(E326+1)=1,EOMONTH(E326,H326*D326),EDATE(E326,H326*D326))-AsAt)/365.25)/((I326-O326)-1),0)*(1+F326)*(1-(I326-O326)*(1+F326)^((I326-O326)-1)+((I326-O326)-1)*(1+F326)^(I326-O326))/F326^2)+O326*(K326-L326*F326)*(1+F326)^(I326-1)*('Deal maths'!AA326-AsAt)/365.25)/L326,((I326-O326)*((IF(DAY(E326+1)=1,EOMONTH(E326,H326*D326),EDATE(E326,H326*D326))-AsAt)/365.25+(IF(DAY(E326+1)=1,EOMONTH(E326,(N326-1)*D326),EDATE(E326,(N326-1)*D326))-AsAt)/365.25)/2+O326*('Deal maths'!AA326-AsAt)/365.25)/I326),(S326-AsAt)/365.25)),0))</f>
        <v/>
      </c>
      <c r="Q326" s="109">
        <f>IF(B326=1,'Deal maths'!AA326+ROW()/1000000,"")</f>
        <v/>
      </c>
      <c r="R326" s="108">
        <f>IF(D326=0,0,IF(DAY(E326+1)=1,31,DAY(E326)))</f>
        <v/>
      </c>
      <c r="S326" s="109">
        <f>IF(AND('Deal maths'!V326="LOBO",'Deal maths'!AG326&gt;AsAt,'Deal maths'!AG326&lt;'Deal maths'!AA326),'Deal maths'!AG326,'Deal maths'!AA326)</f>
        <v/>
      </c>
      <c r="T326" s="108">
        <f>('Deal maths'!AA326&gt;AsAt)*('Deal maths'!Y326&gt;0)</f>
        <v/>
      </c>
    </row>
    <row r="327">
      <c r="A327" s="91">
        <f>IF('Deal maths'!V327="","",'Deal maths'!W327)</f>
        <v/>
      </c>
      <c r="B327" s="108">
        <f>('Deal maths'!AA327&gt;AsAt)*('Deal maths'!Y327&gt;0)*('Deal maths'!Z327&lt;=AsAt)</f>
        <v/>
      </c>
      <c r="C327" s="91">
        <f>IF('Deal maths'!V327="","",IF('Deal maths'!AC327="","Maturity",'Deal maths'!AC327))</f>
        <v/>
      </c>
      <c r="D327" s="108">
        <f>IF(OR(C327="EIP",C327="Annuity"),IF('Deal maths'!AD327="Annual",12,IF('Deal maths'!AD327="Quarterly",3,6)),0)</f>
        <v/>
      </c>
      <c r="E327" s="109">
        <f>IFERROR(IF(D327=0,0,IF('Deal maths'!AE327&gt;0,IF('Deal maths'!AE327&gt;'Deal maths'!AA327,'Deal maths'!AA327,'Deal maths'!AE327),IF(IF(DAY('Deal maths'!AA327+1)=1,EOMONTH('Deal maths'!AA327,-(INT(((YEAR('Deal maths'!AA327)-YEAR(IF('Deal maths'!Z327&gt;0,'Deal maths'!Z327,DATE(1990,1,1))))*12+MONTH('Deal maths'!AA327)-MONTH(IF('Deal maths'!Z327&gt;0,'Deal maths'!Z327,DATE(1990,1,1))))/D327))*D327),EDATE('Deal maths'!AA327,-(INT(((YEAR('Deal maths'!AA327)-YEAR(IF('Deal maths'!Z327&gt;0,'Deal maths'!Z327,DATE(1990,1,1))))*12+MONTH('Deal maths'!AA327)-MONTH(IF('Deal maths'!Z327&gt;0,'Deal maths'!Z327,DATE(1990,1,1))))/D327))*D327))&gt;IF('Deal maths'!Z327&gt;0,'Deal maths'!Z327,DATE(1990,1,1)),IF(DAY('Deal maths'!AA327+1)=1,EOMONTH('Deal maths'!AA327,-(INT(((YEAR('Deal maths'!AA327)-YEAR(IF('Deal maths'!Z327&gt;0,'Deal maths'!Z327,DATE(1990,1,1))))*12+MONTH('Deal maths'!AA327)-MONTH(IF('Deal maths'!Z327&gt;0,'Deal maths'!Z327,DATE(1990,1,1))))/D327))*D327),EDATE('Deal maths'!AA327,-(INT(((YEAR('Deal maths'!AA327)-YEAR(IF('Deal maths'!Z327&gt;0,'Deal maths'!Z327,DATE(1990,1,1))))*12+MONTH('Deal maths'!AA327)-MONTH(IF('Deal maths'!Z327&gt;0,'Deal maths'!Z327,DATE(1990,1,1))))/D327))*D327)),IF(DAY('Deal maths'!AA327+1)=1,EOMONTH('Deal maths'!AA327,-(INT(((YEAR('Deal maths'!AA327)-YEAR(IF('Deal maths'!Z327&gt;0,'Deal maths'!Z327,DATE(1990,1,1))))*12+MONTH('Deal maths'!AA327)-MONTH(IF('Deal maths'!Z327&gt;0,'Deal maths'!Z327,DATE(1990,1,1))))/D327)-1)*D327),EDATE('Deal maths'!AA327,-(INT(((YEAR('Deal maths'!AA327)-YEAR(IF('Deal maths'!Z327&gt;0,'Deal maths'!Z327,DATE(1990,1,1))))*12+MONTH('Deal maths'!AA327)-MONTH(IF('Deal maths'!Z327&gt;0,'Deal maths'!Z327,DATE(1990,1,1))))/D327)-1)*D327))))),0)</f>
        <v/>
      </c>
      <c r="F327" s="110">
        <f>IF(D327=0,0,'Deal maths'!AB327*D327/12)</f>
        <v/>
      </c>
      <c r="G327" s="108">
        <f>N327+O327</f>
        <v/>
      </c>
      <c r="H327" s="108">
        <f>IFERROR(IF(OR(D327=0,AsAt&lt;E327),0,MIN(N327,INT(((YEAR(AsAt)-YEAR(E327))*12+MONTH(AsAt)-MONTH(E327)-(DAY(AsAt)&lt;MIN(R327,DAY(EOMONTH(AsAt,0)))))/D327)+1)+O327*(AsAt&gt;='Deal maths'!AA327)),0)</f>
        <v/>
      </c>
      <c r="I327" s="108">
        <f>G327-H327</f>
        <v/>
      </c>
      <c r="J327" s="111">
        <f>IF(AND(C327="EIP",I327&gt;0),'Deal maths'!Y327/I327,0)</f>
        <v/>
      </c>
      <c r="K327" s="111">
        <f>IF(AND(C327="Annuity",I327&gt;0),IF(F327&gt;0,'Deal maths'!Y327*F327/(1-(1+F327)^-I327),'Deal maths'!Y327/I327),0)</f>
        <v/>
      </c>
      <c r="L327" s="111">
        <f>IF('Deal maths'!Y327="",0,'Deal maths'!Y327)</f>
        <v/>
      </c>
      <c r="M327" s="112">
        <f>F327+(F327=0)</f>
        <v/>
      </c>
      <c r="N327" s="108">
        <f>IFERROR(IF(D327=0,0,INT(((YEAR('Deal maths'!AA327)-YEAR(E327))*12+MONTH('Deal maths'!AA327)-MONTH(E327)-(DAY('Deal maths'!AA327)&lt;MIN(R327,DAY(EOMONTH('Deal maths'!AA327,0)))))/D327)+1),0)</f>
        <v/>
      </c>
      <c r="O327" s="108">
        <f>IFERROR(IF(D327=0,0,IF(IF(DAY(E327+1)=1,EOMONTH(E327,(N327-1)*D327),EDATE(E327,(N327-1)*D327))='Deal maths'!AA327,0,1)),0)</f>
        <v/>
      </c>
      <c r="P327" s="113">
        <f>IF(B327=0,0,IFERROR(IF(C327="EIP",((I327-O327)*((IF(DAY(E327+1)=1,EOMONTH(E327,H327*D327),EDATE(E327,H327*D327))-AsAt)/365.25+(IF(DAY(E327+1)=1,EOMONTH(E327,(N327-1)*D327),EDATE(E327,(N327-1)*D327))-AsAt)/365.25)/2+O327*('Deal maths'!AA327-AsAt)/365.25)/I327,IF(C327="Annuity",IF(F327&gt;0,((K327-L327*F327)*((IF(DAY(E327+1)=1,EOMONTH(E327,H327*D327),EDATE(E327,H327*D327))-AsAt)/365.25*((1+F327)^(I327-O327)-1)/F327+IF((I327-O327)&gt;1,((IF(DAY(E327+1)=1,EOMONTH(E327,(N327-1)*D327),EDATE(E327,(N327-1)*D327))-AsAt)/365.25-(IF(DAY(E327+1)=1,EOMONTH(E327,H327*D327),EDATE(E327,H327*D327))-AsAt)/365.25)/((I327-O327)-1),0)*(1+F327)*(1-(I327-O327)*(1+F327)^((I327-O327)-1)+((I327-O327)-1)*(1+F327)^(I327-O327))/F327^2)+O327*(K327-L327*F327)*(1+F327)^(I327-1)*('Deal maths'!AA327-AsAt)/365.25)/L327,((I327-O327)*((IF(DAY(E327+1)=1,EOMONTH(E327,H327*D327),EDATE(E327,H327*D327))-AsAt)/365.25+(IF(DAY(E327+1)=1,EOMONTH(E327,(N327-1)*D327),EDATE(E327,(N327-1)*D327))-AsAt)/365.25)/2+O327*('Deal maths'!AA327-AsAt)/365.25)/I327),(S327-AsAt)/365.25)),0))</f>
        <v/>
      </c>
      <c r="Q327" s="109">
        <f>IF(B327=1,'Deal maths'!AA327+ROW()/1000000,"")</f>
        <v/>
      </c>
      <c r="R327" s="108">
        <f>IF(D327=0,0,IF(DAY(E327+1)=1,31,DAY(E327)))</f>
        <v/>
      </c>
      <c r="S327" s="109">
        <f>IF(AND('Deal maths'!V327="LOBO",'Deal maths'!AG327&gt;AsAt,'Deal maths'!AG327&lt;'Deal maths'!AA327),'Deal maths'!AG327,'Deal maths'!AA327)</f>
        <v/>
      </c>
      <c r="T327" s="108">
        <f>('Deal maths'!AA327&gt;AsAt)*('Deal maths'!Y327&gt;0)</f>
        <v/>
      </c>
    </row>
    <row r="328">
      <c r="A328" s="91">
        <f>IF('Deal maths'!V328="","",'Deal maths'!W328)</f>
        <v/>
      </c>
      <c r="B328" s="108">
        <f>('Deal maths'!AA328&gt;AsAt)*('Deal maths'!Y328&gt;0)*('Deal maths'!Z328&lt;=AsAt)</f>
        <v/>
      </c>
      <c r="C328" s="91">
        <f>IF('Deal maths'!V328="","",IF('Deal maths'!AC328="","Maturity",'Deal maths'!AC328))</f>
        <v/>
      </c>
      <c r="D328" s="108">
        <f>IF(OR(C328="EIP",C328="Annuity"),IF('Deal maths'!AD328="Annual",12,IF('Deal maths'!AD328="Quarterly",3,6)),0)</f>
        <v/>
      </c>
      <c r="E328" s="109">
        <f>IFERROR(IF(D328=0,0,IF('Deal maths'!AE328&gt;0,IF('Deal maths'!AE328&gt;'Deal maths'!AA328,'Deal maths'!AA328,'Deal maths'!AE328),IF(IF(DAY('Deal maths'!AA328+1)=1,EOMONTH('Deal maths'!AA328,-(INT(((YEAR('Deal maths'!AA328)-YEAR(IF('Deal maths'!Z328&gt;0,'Deal maths'!Z328,DATE(1990,1,1))))*12+MONTH('Deal maths'!AA328)-MONTH(IF('Deal maths'!Z328&gt;0,'Deal maths'!Z328,DATE(1990,1,1))))/D328))*D328),EDATE('Deal maths'!AA328,-(INT(((YEAR('Deal maths'!AA328)-YEAR(IF('Deal maths'!Z328&gt;0,'Deal maths'!Z328,DATE(1990,1,1))))*12+MONTH('Deal maths'!AA328)-MONTH(IF('Deal maths'!Z328&gt;0,'Deal maths'!Z328,DATE(1990,1,1))))/D328))*D328))&gt;IF('Deal maths'!Z328&gt;0,'Deal maths'!Z328,DATE(1990,1,1)),IF(DAY('Deal maths'!AA328+1)=1,EOMONTH('Deal maths'!AA328,-(INT(((YEAR('Deal maths'!AA328)-YEAR(IF('Deal maths'!Z328&gt;0,'Deal maths'!Z328,DATE(1990,1,1))))*12+MONTH('Deal maths'!AA328)-MONTH(IF('Deal maths'!Z328&gt;0,'Deal maths'!Z328,DATE(1990,1,1))))/D328))*D328),EDATE('Deal maths'!AA328,-(INT(((YEAR('Deal maths'!AA328)-YEAR(IF('Deal maths'!Z328&gt;0,'Deal maths'!Z328,DATE(1990,1,1))))*12+MONTH('Deal maths'!AA328)-MONTH(IF('Deal maths'!Z328&gt;0,'Deal maths'!Z328,DATE(1990,1,1))))/D328))*D328)),IF(DAY('Deal maths'!AA328+1)=1,EOMONTH('Deal maths'!AA328,-(INT(((YEAR('Deal maths'!AA328)-YEAR(IF('Deal maths'!Z328&gt;0,'Deal maths'!Z328,DATE(1990,1,1))))*12+MONTH('Deal maths'!AA328)-MONTH(IF('Deal maths'!Z328&gt;0,'Deal maths'!Z328,DATE(1990,1,1))))/D328)-1)*D328),EDATE('Deal maths'!AA328,-(INT(((YEAR('Deal maths'!AA328)-YEAR(IF('Deal maths'!Z328&gt;0,'Deal maths'!Z328,DATE(1990,1,1))))*12+MONTH('Deal maths'!AA328)-MONTH(IF('Deal maths'!Z328&gt;0,'Deal maths'!Z328,DATE(1990,1,1))))/D328)-1)*D328))))),0)</f>
        <v/>
      </c>
      <c r="F328" s="110">
        <f>IF(D328=0,0,'Deal maths'!AB328*D328/12)</f>
        <v/>
      </c>
      <c r="G328" s="108">
        <f>N328+O328</f>
        <v/>
      </c>
      <c r="H328" s="108">
        <f>IFERROR(IF(OR(D328=0,AsAt&lt;E328),0,MIN(N328,INT(((YEAR(AsAt)-YEAR(E328))*12+MONTH(AsAt)-MONTH(E328)-(DAY(AsAt)&lt;MIN(R328,DAY(EOMONTH(AsAt,0)))))/D328)+1)+O328*(AsAt&gt;='Deal maths'!AA328)),0)</f>
        <v/>
      </c>
      <c r="I328" s="108">
        <f>G328-H328</f>
        <v/>
      </c>
      <c r="J328" s="111">
        <f>IF(AND(C328="EIP",I328&gt;0),'Deal maths'!Y328/I328,0)</f>
        <v/>
      </c>
      <c r="K328" s="111">
        <f>IF(AND(C328="Annuity",I328&gt;0),IF(F328&gt;0,'Deal maths'!Y328*F328/(1-(1+F328)^-I328),'Deal maths'!Y328/I328),0)</f>
        <v/>
      </c>
      <c r="L328" s="111">
        <f>IF('Deal maths'!Y328="",0,'Deal maths'!Y328)</f>
        <v/>
      </c>
      <c r="M328" s="112">
        <f>F328+(F328=0)</f>
        <v/>
      </c>
      <c r="N328" s="108">
        <f>IFERROR(IF(D328=0,0,INT(((YEAR('Deal maths'!AA328)-YEAR(E328))*12+MONTH('Deal maths'!AA328)-MONTH(E328)-(DAY('Deal maths'!AA328)&lt;MIN(R328,DAY(EOMONTH('Deal maths'!AA328,0)))))/D328)+1),0)</f>
        <v/>
      </c>
      <c r="O328" s="108">
        <f>IFERROR(IF(D328=0,0,IF(IF(DAY(E328+1)=1,EOMONTH(E328,(N328-1)*D328),EDATE(E328,(N328-1)*D328))='Deal maths'!AA328,0,1)),0)</f>
        <v/>
      </c>
      <c r="P328" s="113">
        <f>IF(B328=0,0,IFERROR(IF(C328="EIP",((I328-O328)*((IF(DAY(E328+1)=1,EOMONTH(E328,H328*D328),EDATE(E328,H328*D328))-AsAt)/365.25+(IF(DAY(E328+1)=1,EOMONTH(E328,(N328-1)*D328),EDATE(E328,(N328-1)*D328))-AsAt)/365.25)/2+O328*('Deal maths'!AA328-AsAt)/365.25)/I328,IF(C328="Annuity",IF(F328&gt;0,((K328-L328*F328)*((IF(DAY(E328+1)=1,EOMONTH(E328,H328*D328),EDATE(E328,H328*D328))-AsAt)/365.25*((1+F328)^(I328-O328)-1)/F328+IF((I328-O328)&gt;1,((IF(DAY(E328+1)=1,EOMONTH(E328,(N328-1)*D328),EDATE(E328,(N328-1)*D328))-AsAt)/365.25-(IF(DAY(E328+1)=1,EOMONTH(E328,H328*D328),EDATE(E328,H328*D328))-AsAt)/365.25)/((I328-O328)-1),0)*(1+F328)*(1-(I328-O328)*(1+F328)^((I328-O328)-1)+((I328-O328)-1)*(1+F328)^(I328-O328))/F328^2)+O328*(K328-L328*F328)*(1+F328)^(I328-1)*('Deal maths'!AA328-AsAt)/365.25)/L328,((I328-O328)*((IF(DAY(E328+1)=1,EOMONTH(E328,H328*D328),EDATE(E328,H328*D328))-AsAt)/365.25+(IF(DAY(E328+1)=1,EOMONTH(E328,(N328-1)*D328),EDATE(E328,(N328-1)*D328))-AsAt)/365.25)/2+O328*('Deal maths'!AA328-AsAt)/365.25)/I328),(S328-AsAt)/365.25)),0))</f>
        <v/>
      </c>
      <c r="Q328" s="109">
        <f>IF(B328=1,'Deal maths'!AA328+ROW()/1000000,"")</f>
        <v/>
      </c>
      <c r="R328" s="108">
        <f>IF(D328=0,0,IF(DAY(E328+1)=1,31,DAY(E328)))</f>
        <v/>
      </c>
      <c r="S328" s="109">
        <f>IF(AND('Deal maths'!V328="LOBO",'Deal maths'!AG328&gt;AsAt,'Deal maths'!AG328&lt;'Deal maths'!AA328),'Deal maths'!AG328,'Deal maths'!AA328)</f>
        <v/>
      </c>
      <c r="T328" s="108">
        <f>('Deal maths'!AA328&gt;AsAt)*('Deal maths'!Y328&gt;0)</f>
        <v/>
      </c>
    </row>
    <row r="329">
      <c r="A329" s="91">
        <f>IF('Deal maths'!V329="","",'Deal maths'!W329)</f>
        <v/>
      </c>
      <c r="B329" s="108">
        <f>('Deal maths'!AA329&gt;AsAt)*('Deal maths'!Y329&gt;0)*('Deal maths'!Z329&lt;=AsAt)</f>
        <v/>
      </c>
      <c r="C329" s="91">
        <f>IF('Deal maths'!V329="","",IF('Deal maths'!AC329="","Maturity",'Deal maths'!AC329))</f>
        <v/>
      </c>
      <c r="D329" s="108">
        <f>IF(OR(C329="EIP",C329="Annuity"),IF('Deal maths'!AD329="Annual",12,IF('Deal maths'!AD329="Quarterly",3,6)),0)</f>
        <v/>
      </c>
      <c r="E329" s="109">
        <f>IFERROR(IF(D329=0,0,IF('Deal maths'!AE329&gt;0,IF('Deal maths'!AE329&gt;'Deal maths'!AA329,'Deal maths'!AA329,'Deal maths'!AE329),IF(IF(DAY('Deal maths'!AA329+1)=1,EOMONTH('Deal maths'!AA329,-(INT(((YEAR('Deal maths'!AA329)-YEAR(IF('Deal maths'!Z329&gt;0,'Deal maths'!Z329,DATE(1990,1,1))))*12+MONTH('Deal maths'!AA329)-MONTH(IF('Deal maths'!Z329&gt;0,'Deal maths'!Z329,DATE(1990,1,1))))/D329))*D329),EDATE('Deal maths'!AA329,-(INT(((YEAR('Deal maths'!AA329)-YEAR(IF('Deal maths'!Z329&gt;0,'Deal maths'!Z329,DATE(1990,1,1))))*12+MONTH('Deal maths'!AA329)-MONTH(IF('Deal maths'!Z329&gt;0,'Deal maths'!Z329,DATE(1990,1,1))))/D329))*D329))&gt;IF('Deal maths'!Z329&gt;0,'Deal maths'!Z329,DATE(1990,1,1)),IF(DAY('Deal maths'!AA329+1)=1,EOMONTH('Deal maths'!AA329,-(INT(((YEAR('Deal maths'!AA329)-YEAR(IF('Deal maths'!Z329&gt;0,'Deal maths'!Z329,DATE(1990,1,1))))*12+MONTH('Deal maths'!AA329)-MONTH(IF('Deal maths'!Z329&gt;0,'Deal maths'!Z329,DATE(1990,1,1))))/D329))*D329),EDATE('Deal maths'!AA329,-(INT(((YEAR('Deal maths'!AA329)-YEAR(IF('Deal maths'!Z329&gt;0,'Deal maths'!Z329,DATE(1990,1,1))))*12+MONTH('Deal maths'!AA329)-MONTH(IF('Deal maths'!Z329&gt;0,'Deal maths'!Z329,DATE(1990,1,1))))/D329))*D329)),IF(DAY('Deal maths'!AA329+1)=1,EOMONTH('Deal maths'!AA329,-(INT(((YEAR('Deal maths'!AA329)-YEAR(IF('Deal maths'!Z329&gt;0,'Deal maths'!Z329,DATE(1990,1,1))))*12+MONTH('Deal maths'!AA329)-MONTH(IF('Deal maths'!Z329&gt;0,'Deal maths'!Z329,DATE(1990,1,1))))/D329)-1)*D329),EDATE('Deal maths'!AA329,-(INT(((YEAR('Deal maths'!AA329)-YEAR(IF('Deal maths'!Z329&gt;0,'Deal maths'!Z329,DATE(1990,1,1))))*12+MONTH('Deal maths'!AA329)-MONTH(IF('Deal maths'!Z329&gt;0,'Deal maths'!Z329,DATE(1990,1,1))))/D329)-1)*D329))))),0)</f>
        <v/>
      </c>
      <c r="F329" s="110">
        <f>IF(D329=0,0,'Deal maths'!AB329*D329/12)</f>
        <v/>
      </c>
      <c r="G329" s="108">
        <f>N329+O329</f>
        <v/>
      </c>
      <c r="H329" s="108">
        <f>IFERROR(IF(OR(D329=0,AsAt&lt;E329),0,MIN(N329,INT(((YEAR(AsAt)-YEAR(E329))*12+MONTH(AsAt)-MONTH(E329)-(DAY(AsAt)&lt;MIN(R329,DAY(EOMONTH(AsAt,0)))))/D329)+1)+O329*(AsAt&gt;='Deal maths'!AA329)),0)</f>
        <v/>
      </c>
      <c r="I329" s="108">
        <f>G329-H329</f>
        <v/>
      </c>
      <c r="J329" s="111">
        <f>IF(AND(C329="EIP",I329&gt;0),'Deal maths'!Y329/I329,0)</f>
        <v/>
      </c>
      <c r="K329" s="111">
        <f>IF(AND(C329="Annuity",I329&gt;0),IF(F329&gt;0,'Deal maths'!Y329*F329/(1-(1+F329)^-I329),'Deal maths'!Y329/I329),0)</f>
        <v/>
      </c>
      <c r="L329" s="111">
        <f>IF('Deal maths'!Y329="",0,'Deal maths'!Y329)</f>
        <v/>
      </c>
      <c r="M329" s="112">
        <f>F329+(F329=0)</f>
        <v/>
      </c>
      <c r="N329" s="108">
        <f>IFERROR(IF(D329=0,0,INT(((YEAR('Deal maths'!AA329)-YEAR(E329))*12+MONTH('Deal maths'!AA329)-MONTH(E329)-(DAY('Deal maths'!AA329)&lt;MIN(R329,DAY(EOMONTH('Deal maths'!AA329,0)))))/D329)+1),0)</f>
        <v/>
      </c>
      <c r="O329" s="108">
        <f>IFERROR(IF(D329=0,0,IF(IF(DAY(E329+1)=1,EOMONTH(E329,(N329-1)*D329),EDATE(E329,(N329-1)*D329))='Deal maths'!AA329,0,1)),0)</f>
        <v/>
      </c>
      <c r="P329" s="113">
        <f>IF(B329=0,0,IFERROR(IF(C329="EIP",((I329-O329)*((IF(DAY(E329+1)=1,EOMONTH(E329,H329*D329),EDATE(E329,H329*D329))-AsAt)/365.25+(IF(DAY(E329+1)=1,EOMONTH(E329,(N329-1)*D329),EDATE(E329,(N329-1)*D329))-AsAt)/365.25)/2+O329*('Deal maths'!AA329-AsAt)/365.25)/I329,IF(C329="Annuity",IF(F329&gt;0,((K329-L329*F329)*((IF(DAY(E329+1)=1,EOMONTH(E329,H329*D329),EDATE(E329,H329*D329))-AsAt)/365.25*((1+F329)^(I329-O329)-1)/F329+IF((I329-O329)&gt;1,((IF(DAY(E329+1)=1,EOMONTH(E329,(N329-1)*D329),EDATE(E329,(N329-1)*D329))-AsAt)/365.25-(IF(DAY(E329+1)=1,EOMONTH(E329,H329*D329),EDATE(E329,H329*D329))-AsAt)/365.25)/((I329-O329)-1),0)*(1+F329)*(1-(I329-O329)*(1+F329)^((I329-O329)-1)+((I329-O329)-1)*(1+F329)^(I329-O329))/F329^2)+O329*(K329-L329*F329)*(1+F329)^(I329-1)*('Deal maths'!AA329-AsAt)/365.25)/L329,((I329-O329)*((IF(DAY(E329+1)=1,EOMONTH(E329,H329*D329),EDATE(E329,H329*D329))-AsAt)/365.25+(IF(DAY(E329+1)=1,EOMONTH(E329,(N329-1)*D329),EDATE(E329,(N329-1)*D329))-AsAt)/365.25)/2+O329*('Deal maths'!AA329-AsAt)/365.25)/I329),(S329-AsAt)/365.25)),0))</f>
        <v/>
      </c>
      <c r="Q329" s="109">
        <f>IF(B329=1,'Deal maths'!AA329+ROW()/1000000,"")</f>
        <v/>
      </c>
      <c r="R329" s="108">
        <f>IF(D329=0,0,IF(DAY(E329+1)=1,31,DAY(E329)))</f>
        <v/>
      </c>
      <c r="S329" s="109">
        <f>IF(AND('Deal maths'!V329="LOBO",'Deal maths'!AG329&gt;AsAt,'Deal maths'!AG329&lt;'Deal maths'!AA329),'Deal maths'!AG329,'Deal maths'!AA329)</f>
        <v/>
      </c>
      <c r="T329" s="108">
        <f>('Deal maths'!AA329&gt;AsAt)*('Deal maths'!Y329&gt;0)</f>
        <v/>
      </c>
    </row>
    <row r="330">
      <c r="A330" s="91">
        <f>IF('Deal maths'!V330="","",'Deal maths'!W330)</f>
        <v/>
      </c>
      <c r="B330" s="108">
        <f>('Deal maths'!AA330&gt;AsAt)*('Deal maths'!Y330&gt;0)*('Deal maths'!Z330&lt;=AsAt)</f>
        <v/>
      </c>
      <c r="C330" s="91">
        <f>IF('Deal maths'!V330="","",IF('Deal maths'!AC330="","Maturity",'Deal maths'!AC330))</f>
        <v/>
      </c>
      <c r="D330" s="108">
        <f>IF(OR(C330="EIP",C330="Annuity"),IF('Deal maths'!AD330="Annual",12,IF('Deal maths'!AD330="Quarterly",3,6)),0)</f>
        <v/>
      </c>
      <c r="E330" s="109">
        <f>IFERROR(IF(D330=0,0,IF('Deal maths'!AE330&gt;0,IF('Deal maths'!AE330&gt;'Deal maths'!AA330,'Deal maths'!AA330,'Deal maths'!AE330),IF(IF(DAY('Deal maths'!AA330+1)=1,EOMONTH('Deal maths'!AA330,-(INT(((YEAR('Deal maths'!AA330)-YEAR(IF('Deal maths'!Z330&gt;0,'Deal maths'!Z330,DATE(1990,1,1))))*12+MONTH('Deal maths'!AA330)-MONTH(IF('Deal maths'!Z330&gt;0,'Deal maths'!Z330,DATE(1990,1,1))))/D330))*D330),EDATE('Deal maths'!AA330,-(INT(((YEAR('Deal maths'!AA330)-YEAR(IF('Deal maths'!Z330&gt;0,'Deal maths'!Z330,DATE(1990,1,1))))*12+MONTH('Deal maths'!AA330)-MONTH(IF('Deal maths'!Z330&gt;0,'Deal maths'!Z330,DATE(1990,1,1))))/D330))*D330))&gt;IF('Deal maths'!Z330&gt;0,'Deal maths'!Z330,DATE(1990,1,1)),IF(DAY('Deal maths'!AA330+1)=1,EOMONTH('Deal maths'!AA330,-(INT(((YEAR('Deal maths'!AA330)-YEAR(IF('Deal maths'!Z330&gt;0,'Deal maths'!Z330,DATE(1990,1,1))))*12+MONTH('Deal maths'!AA330)-MONTH(IF('Deal maths'!Z330&gt;0,'Deal maths'!Z330,DATE(1990,1,1))))/D330))*D330),EDATE('Deal maths'!AA330,-(INT(((YEAR('Deal maths'!AA330)-YEAR(IF('Deal maths'!Z330&gt;0,'Deal maths'!Z330,DATE(1990,1,1))))*12+MONTH('Deal maths'!AA330)-MONTH(IF('Deal maths'!Z330&gt;0,'Deal maths'!Z330,DATE(1990,1,1))))/D330))*D330)),IF(DAY('Deal maths'!AA330+1)=1,EOMONTH('Deal maths'!AA330,-(INT(((YEAR('Deal maths'!AA330)-YEAR(IF('Deal maths'!Z330&gt;0,'Deal maths'!Z330,DATE(1990,1,1))))*12+MONTH('Deal maths'!AA330)-MONTH(IF('Deal maths'!Z330&gt;0,'Deal maths'!Z330,DATE(1990,1,1))))/D330)-1)*D330),EDATE('Deal maths'!AA330,-(INT(((YEAR('Deal maths'!AA330)-YEAR(IF('Deal maths'!Z330&gt;0,'Deal maths'!Z330,DATE(1990,1,1))))*12+MONTH('Deal maths'!AA330)-MONTH(IF('Deal maths'!Z330&gt;0,'Deal maths'!Z330,DATE(1990,1,1))))/D330)-1)*D330))))),0)</f>
        <v/>
      </c>
      <c r="F330" s="110">
        <f>IF(D330=0,0,'Deal maths'!AB330*D330/12)</f>
        <v/>
      </c>
      <c r="G330" s="108">
        <f>N330+O330</f>
        <v/>
      </c>
      <c r="H330" s="108">
        <f>IFERROR(IF(OR(D330=0,AsAt&lt;E330),0,MIN(N330,INT(((YEAR(AsAt)-YEAR(E330))*12+MONTH(AsAt)-MONTH(E330)-(DAY(AsAt)&lt;MIN(R330,DAY(EOMONTH(AsAt,0)))))/D330)+1)+O330*(AsAt&gt;='Deal maths'!AA330)),0)</f>
        <v/>
      </c>
      <c r="I330" s="108">
        <f>G330-H330</f>
        <v/>
      </c>
      <c r="J330" s="111">
        <f>IF(AND(C330="EIP",I330&gt;0),'Deal maths'!Y330/I330,0)</f>
        <v/>
      </c>
      <c r="K330" s="111">
        <f>IF(AND(C330="Annuity",I330&gt;0),IF(F330&gt;0,'Deal maths'!Y330*F330/(1-(1+F330)^-I330),'Deal maths'!Y330/I330),0)</f>
        <v/>
      </c>
      <c r="L330" s="111">
        <f>IF('Deal maths'!Y330="",0,'Deal maths'!Y330)</f>
        <v/>
      </c>
      <c r="M330" s="112">
        <f>F330+(F330=0)</f>
        <v/>
      </c>
      <c r="N330" s="108">
        <f>IFERROR(IF(D330=0,0,INT(((YEAR('Deal maths'!AA330)-YEAR(E330))*12+MONTH('Deal maths'!AA330)-MONTH(E330)-(DAY('Deal maths'!AA330)&lt;MIN(R330,DAY(EOMONTH('Deal maths'!AA330,0)))))/D330)+1),0)</f>
        <v/>
      </c>
      <c r="O330" s="108">
        <f>IFERROR(IF(D330=0,0,IF(IF(DAY(E330+1)=1,EOMONTH(E330,(N330-1)*D330),EDATE(E330,(N330-1)*D330))='Deal maths'!AA330,0,1)),0)</f>
        <v/>
      </c>
      <c r="P330" s="113">
        <f>IF(B330=0,0,IFERROR(IF(C330="EIP",((I330-O330)*((IF(DAY(E330+1)=1,EOMONTH(E330,H330*D330),EDATE(E330,H330*D330))-AsAt)/365.25+(IF(DAY(E330+1)=1,EOMONTH(E330,(N330-1)*D330),EDATE(E330,(N330-1)*D330))-AsAt)/365.25)/2+O330*('Deal maths'!AA330-AsAt)/365.25)/I330,IF(C330="Annuity",IF(F330&gt;0,((K330-L330*F330)*((IF(DAY(E330+1)=1,EOMONTH(E330,H330*D330),EDATE(E330,H330*D330))-AsAt)/365.25*((1+F330)^(I330-O330)-1)/F330+IF((I330-O330)&gt;1,((IF(DAY(E330+1)=1,EOMONTH(E330,(N330-1)*D330),EDATE(E330,(N330-1)*D330))-AsAt)/365.25-(IF(DAY(E330+1)=1,EOMONTH(E330,H330*D330),EDATE(E330,H330*D330))-AsAt)/365.25)/((I330-O330)-1),0)*(1+F330)*(1-(I330-O330)*(1+F330)^((I330-O330)-1)+((I330-O330)-1)*(1+F330)^(I330-O330))/F330^2)+O330*(K330-L330*F330)*(1+F330)^(I330-1)*('Deal maths'!AA330-AsAt)/365.25)/L330,((I330-O330)*((IF(DAY(E330+1)=1,EOMONTH(E330,H330*D330),EDATE(E330,H330*D330))-AsAt)/365.25+(IF(DAY(E330+1)=1,EOMONTH(E330,(N330-1)*D330),EDATE(E330,(N330-1)*D330))-AsAt)/365.25)/2+O330*('Deal maths'!AA330-AsAt)/365.25)/I330),(S330-AsAt)/365.25)),0))</f>
        <v/>
      </c>
      <c r="Q330" s="109">
        <f>IF(B330=1,'Deal maths'!AA330+ROW()/1000000,"")</f>
        <v/>
      </c>
      <c r="R330" s="108">
        <f>IF(D330=0,0,IF(DAY(E330+1)=1,31,DAY(E330)))</f>
        <v/>
      </c>
      <c r="S330" s="109">
        <f>IF(AND('Deal maths'!V330="LOBO",'Deal maths'!AG330&gt;AsAt,'Deal maths'!AG330&lt;'Deal maths'!AA330),'Deal maths'!AG330,'Deal maths'!AA330)</f>
        <v/>
      </c>
      <c r="T330" s="108">
        <f>('Deal maths'!AA330&gt;AsAt)*('Deal maths'!Y330&gt;0)</f>
        <v/>
      </c>
    </row>
    <row r="331">
      <c r="A331" s="91">
        <f>IF('Deal maths'!V331="","",'Deal maths'!W331)</f>
        <v/>
      </c>
      <c r="B331" s="108">
        <f>('Deal maths'!AA331&gt;AsAt)*('Deal maths'!Y331&gt;0)*('Deal maths'!Z331&lt;=AsAt)</f>
        <v/>
      </c>
      <c r="C331" s="91">
        <f>IF('Deal maths'!V331="","",IF('Deal maths'!AC331="","Maturity",'Deal maths'!AC331))</f>
        <v/>
      </c>
      <c r="D331" s="108">
        <f>IF(OR(C331="EIP",C331="Annuity"),IF('Deal maths'!AD331="Annual",12,IF('Deal maths'!AD331="Quarterly",3,6)),0)</f>
        <v/>
      </c>
      <c r="E331" s="109">
        <f>IFERROR(IF(D331=0,0,IF('Deal maths'!AE331&gt;0,IF('Deal maths'!AE331&gt;'Deal maths'!AA331,'Deal maths'!AA331,'Deal maths'!AE331),IF(IF(DAY('Deal maths'!AA331+1)=1,EOMONTH('Deal maths'!AA331,-(INT(((YEAR('Deal maths'!AA331)-YEAR(IF('Deal maths'!Z331&gt;0,'Deal maths'!Z331,DATE(1990,1,1))))*12+MONTH('Deal maths'!AA331)-MONTH(IF('Deal maths'!Z331&gt;0,'Deal maths'!Z331,DATE(1990,1,1))))/D331))*D331),EDATE('Deal maths'!AA331,-(INT(((YEAR('Deal maths'!AA331)-YEAR(IF('Deal maths'!Z331&gt;0,'Deal maths'!Z331,DATE(1990,1,1))))*12+MONTH('Deal maths'!AA331)-MONTH(IF('Deal maths'!Z331&gt;0,'Deal maths'!Z331,DATE(1990,1,1))))/D331))*D331))&gt;IF('Deal maths'!Z331&gt;0,'Deal maths'!Z331,DATE(1990,1,1)),IF(DAY('Deal maths'!AA331+1)=1,EOMONTH('Deal maths'!AA331,-(INT(((YEAR('Deal maths'!AA331)-YEAR(IF('Deal maths'!Z331&gt;0,'Deal maths'!Z331,DATE(1990,1,1))))*12+MONTH('Deal maths'!AA331)-MONTH(IF('Deal maths'!Z331&gt;0,'Deal maths'!Z331,DATE(1990,1,1))))/D331))*D331),EDATE('Deal maths'!AA331,-(INT(((YEAR('Deal maths'!AA331)-YEAR(IF('Deal maths'!Z331&gt;0,'Deal maths'!Z331,DATE(1990,1,1))))*12+MONTH('Deal maths'!AA331)-MONTH(IF('Deal maths'!Z331&gt;0,'Deal maths'!Z331,DATE(1990,1,1))))/D331))*D331)),IF(DAY('Deal maths'!AA331+1)=1,EOMONTH('Deal maths'!AA331,-(INT(((YEAR('Deal maths'!AA331)-YEAR(IF('Deal maths'!Z331&gt;0,'Deal maths'!Z331,DATE(1990,1,1))))*12+MONTH('Deal maths'!AA331)-MONTH(IF('Deal maths'!Z331&gt;0,'Deal maths'!Z331,DATE(1990,1,1))))/D331)-1)*D331),EDATE('Deal maths'!AA331,-(INT(((YEAR('Deal maths'!AA331)-YEAR(IF('Deal maths'!Z331&gt;0,'Deal maths'!Z331,DATE(1990,1,1))))*12+MONTH('Deal maths'!AA331)-MONTH(IF('Deal maths'!Z331&gt;0,'Deal maths'!Z331,DATE(1990,1,1))))/D331)-1)*D331))))),0)</f>
        <v/>
      </c>
      <c r="F331" s="110">
        <f>IF(D331=0,0,'Deal maths'!AB331*D331/12)</f>
        <v/>
      </c>
      <c r="G331" s="108">
        <f>N331+O331</f>
        <v/>
      </c>
      <c r="H331" s="108">
        <f>IFERROR(IF(OR(D331=0,AsAt&lt;E331),0,MIN(N331,INT(((YEAR(AsAt)-YEAR(E331))*12+MONTH(AsAt)-MONTH(E331)-(DAY(AsAt)&lt;MIN(R331,DAY(EOMONTH(AsAt,0)))))/D331)+1)+O331*(AsAt&gt;='Deal maths'!AA331)),0)</f>
        <v/>
      </c>
      <c r="I331" s="108">
        <f>G331-H331</f>
        <v/>
      </c>
      <c r="J331" s="111">
        <f>IF(AND(C331="EIP",I331&gt;0),'Deal maths'!Y331/I331,0)</f>
        <v/>
      </c>
      <c r="K331" s="111">
        <f>IF(AND(C331="Annuity",I331&gt;0),IF(F331&gt;0,'Deal maths'!Y331*F331/(1-(1+F331)^-I331),'Deal maths'!Y331/I331),0)</f>
        <v/>
      </c>
      <c r="L331" s="111">
        <f>IF('Deal maths'!Y331="",0,'Deal maths'!Y331)</f>
        <v/>
      </c>
      <c r="M331" s="112">
        <f>F331+(F331=0)</f>
        <v/>
      </c>
      <c r="N331" s="108">
        <f>IFERROR(IF(D331=0,0,INT(((YEAR('Deal maths'!AA331)-YEAR(E331))*12+MONTH('Deal maths'!AA331)-MONTH(E331)-(DAY('Deal maths'!AA331)&lt;MIN(R331,DAY(EOMONTH('Deal maths'!AA331,0)))))/D331)+1),0)</f>
        <v/>
      </c>
      <c r="O331" s="108">
        <f>IFERROR(IF(D331=0,0,IF(IF(DAY(E331+1)=1,EOMONTH(E331,(N331-1)*D331),EDATE(E331,(N331-1)*D331))='Deal maths'!AA331,0,1)),0)</f>
        <v/>
      </c>
      <c r="P331" s="113">
        <f>IF(B331=0,0,IFERROR(IF(C331="EIP",((I331-O331)*((IF(DAY(E331+1)=1,EOMONTH(E331,H331*D331),EDATE(E331,H331*D331))-AsAt)/365.25+(IF(DAY(E331+1)=1,EOMONTH(E331,(N331-1)*D331),EDATE(E331,(N331-1)*D331))-AsAt)/365.25)/2+O331*('Deal maths'!AA331-AsAt)/365.25)/I331,IF(C331="Annuity",IF(F331&gt;0,((K331-L331*F331)*((IF(DAY(E331+1)=1,EOMONTH(E331,H331*D331),EDATE(E331,H331*D331))-AsAt)/365.25*((1+F331)^(I331-O331)-1)/F331+IF((I331-O331)&gt;1,((IF(DAY(E331+1)=1,EOMONTH(E331,(N331-1)*D331),EDATE(E331,(N331-1)*D331))-AsAt)/365.25-(IF(DAY(E331+1)=1,EOMONTH(E331,H331*D331),EDATE(E331,H331*D331))-AsAt)/365.25)/((I331-O331)-1),0)*(1+F331)*(1-(I331-O331)*(1+F331)^((I331-O331)-1)+((I331-O331)-1)*(1+F331)^(I331-O331))/F331^2)+O331*(K331-L331*F331)*(1+F331)^(I331-1)*('Deal maths'!AA331-AsAt)/365.25)/L331,((I331-O331)*((IF(DAY(E331+1)=1,EOMONTH(E331,H331*D331),EDATE(E331,H331*D331))-AsAt)/365.25+(IF(DAY(E331+1)=1,EOMONTH(E331,(N331-1)*D331),EDATE(E331,(N331-1)*D331))-AsAt)/365.25)/2+O331*('Deal maths'!AA331-AsAt)/365.25)/I331),(S331-AsAt)/365.25)),0))</f>
        <v/>
      </c>
      <c r="Q331" s="109">
        <f>IF(B331=1,'Deal maths'!AA331+ROW()/1000000,"")</f>
        <v/>
      </c>
      <c r="R331" s="108">
        <f>IF(D331=0,0,IF(DAY(E331+1)=1,31,DAY(E331)))</f>
        <v/>
      </c>
      <c r="S331" s="109">
        <f>IF(AND('Deal maths'!V331="LOBO",'Deal maths'!AG331&gt;AsAt,'Deal maths'!AG331&lt;'Deal maths'!AA331),'Deal maths'!AG331,'Deal maths'!AA331)</f>
        <v/>
      </c>
      <c r="T331" s="108">
        <f>('Deal maths'!AA331&gt;AsAt)*('Deal maths'!Y331&gt;0)</f>
        <v/>
      </c>
    </row>
    <row r="332">
      <c r="A332" s="91">
        <f>IF('Deal maths'!V332="","",'Deal maths'!W332)</f>
        <v/>
      </c>
      <c r="B332" s="108">
        <f>('Deal maths'!AA332&gt;AsAt)*('Deal maths'!Y332&gt;0)*('Deal maths'!Z332&lt;=AsAt)</f>
        <v/>
      </c>
      <c r="C332" s="91">
        <f>IF('Deal maths'!V332="","",IF('Deal maths'!AC332="","Maturity",'Deal maths'!AC332))</f>
        <v/>
      </c>
      <c r="D332" s="108">
        <f>IF(OR(C332="EIP",C332="Annuity"),IF('Deal maths'!AD332="Annual",12,IF('Deal maths'!AD332="Quarterly",3,6)),0)</f>
        <v/>
      </c>
      <c r="E332" s="109">
        <f>IFERROR(IF(D332=0,0,IF('Deal maths'!AE332&gt;0,IF('Deal maths'!AE332&gt;'Deal maths'!AA332,'Deal maths'!AA332,'Deal maths'!AE332),IF(IF(DAY('Deal maths'!AA332+1)=1,EOMONTH('Deal maths'!AA332,-(INT(((YEAR('Deal maths'!AA332)-YEAR(IF('Deal maths'!Z332&gt;0,'Deal maths'!Z332,DATE(1990,1,1))))*12+MONTH('Deal maths'!AA332)-MONTH(IF('Deal maths'!Z332&gt;0,'Deal maths'!Z332,DATE(1990,1,1))))/D332))*D332),EDATE('Deal maths'!AA332,-(INT(((YEAR('Deal maths'!AA332)-YEAR(IF('Deal maths'!Z332&gt;0,'Deal maths'!Z332,DATE(1990,1,1))))*12+MONTH('Deal maths'!AA332)-MONTH(IF('Deal maths'!Z332&gt;0,'Deal maths'!Z332,DATE(1990,1,1))))/D332))*D332))&gt;IF('Deal maths'!Z332&gt;0,'Deal maths'!Z332,DATE(1990,1,1)),IF(DAY('Deal maths'!AA332+1)=1,EOMONTH('Deal maths'!AA332,-(INT(((YEAR('Deal maths'!AA332)-YEAR(IF('Deal maths'!Z332&gt;0,'Deal maths'!Z332,DATE(1990,1,1))))*12+MONTH('Deal maths'!AA332)-MONTH(IF('Deal maths'!Z332&gt;0,'Deal maths'!Z332,DATE(1990,1,1))))/D332))*D332),EDATE('Deal maths'!AA332,-(INT(((YEAR('Deal maths'!AA332)-YEAR(IF('Deal maths'!Z332&gt;0,'Deal maths'!Z332,DATE(1990,1,1))))*12+MONTH('Deal maths'!AA332)-MONTH(IF('Deal maths'!Z332&gt;0,'Deal maths'!Z332,DATE(1990,1,1))))/D332))*D332)),IF(DAY('Deal maths'!AA332+1)=1,EOMONTH('Deal maths'!AA332,-(INT(((YEAR('Deal maths'!AA332)-YEAR(IF('Deal maths'!Z332&gt;0,'Deal maths'!Z332,DATE(1990,1,1))))*12+MONTH('Deal maths'!AA332)-MONTH(IF('Deal maths'!Z332&gt;0,'Deal maths'!Z332,DATE(1990,1,1))))/D332)-1)*D332),EDATE('Deal maths'!AA332,-(INT(((YEAR('Deal maths'!AA332)-YEAR(IF('Deal maths'!Z332&gt;0,'Deal maths'!Z332,DATE(1990,1,1))))*12+MONTH('Deal maths'!AA332)-MONTH(IF('Deal maths'!Z332&gt;0,'Deal maths'!Z332,DATE(1990,1,1))))/D332)-1)*D332))))),0)</f>
        <v/>
      </c>
      <c r="F332" s="110">
        <f>IF(D332=0,0,'Deal maths'!AB332*D332/12)</f>
        <v/>
      </c>
      <c r="G332" s="108">
        <f>N332+O332</f>
        <v/>
      </c>
      <c r="H332" s="108">
        <f>IFERROR(IF(OR(D332=0,AsAt&lt;E332),0,MIN(N332,INT(((YEAR(AsAt)-YEAR(E332))*12+MONTH(AsAt)-MONTH(E332)-(DAY(AsAt)&lt;MIN(R332,DAY(EOMONTH(AsAt,0)))))/D332)+1)+O332*(AsAt&gt;='Deal maths'!AA332)),0)</f>
        <v/>
      </c>
      <c r="I332" s="108">
        <f>G332-H332</f>
        <v/>
      </c>
      <c r="J332" s="111">
        <f>IF(AND(C332="EIP",I332&gt;0),'Deal maths'!Y332/I332,0)</f>
        <v/>
      </c>
      <c r="K332" s="111">
        <f>IF(AND(C332="Annuity",I332&gt;0),IF(F332&gt;0,'Deal maths'!Y332*F332/(1-(1+F332)^-I332),'Deal maths'!Y332/I332),0)</f>
        <v/>
      </c>
      <c r="L332" s="111">
        <f>IF('Deal maths'!Y332="",0,'Deal maths'!Y332)</f>
        <v/>
      </c>
      <c r="M332" s="112">
        <f>F332+(F332=0)</f>
        <v/>
      </c>
      <c r="N332" s="108">
        <f>IFERROR(IF(D332=0,0,INT(((YEAR('Deal maths'!AA332)-YEAR(E332))*12+MONTH('Deal maths'!AA332)-MONTH(E332)-(DAY('Deal maths'!AA332)&lt;MIN(R332,DAY(EOMONTH('Deal maths'!AA332,0)))))/D332)+1),0)</f>
        <v/>
      </c>
      <c r="O332" s="108">
        <f>IFERROR(IF(D332=0,0,IF(IF(DAY(E332+1)=1,EOMONTH(E332,(N332-1)*D332),EDATE(E332,(N332-1)*D332))='Deal maths'!AA332,0,1)),0)</f>
        <v/>
      </c>
      <c r="P332" s="113">
        <f>IF(B332=0,0,IFERROR(IF(C332="EIP",((I332-O332)*((IF(DAY(E332+1)=1,EOMONTH(E332,H332*D332),EDATE(E332,H332*D332))-AsAt)/365.25+(IF(DAY(E332+1)=1,EOMONTH(E332,(N332-1)*D332),EDATE(E332,(N332-1)*D332))-AsAt)/365.25)/2+O332*('Deal maths'!AA332-AsAt)/365.25)/I332,IF(C332="Annuity",IF(F332&gt;0,((K332-L332*F332)*((IF(DAY(E332+1)=1,EOMONTH(E332,H332*D332),EDATE(E332,H332*D332))-AsAt)/365.25*((1+F332)^(I332-O332)-1)/F332+IF((I332-O332)&gt;1,((IF(DAY(E332+1)=1,EOMONTH(E332,(N332-1)*D332),EDATE(E332,(N332-1)*D332))-AsAt)/365.25-(IF(DAY(E332+1)=1,EOMONTH(E332,H332*D332),EDATE(E332,H332*D332))-AsAt)/365.25)/((I332-O332)-1),0)*(1+F332)*(1-(I332-O332)*(1+F332)^((I332-O332)-1)+((I332-O332)-1)*(1+F332)^(I332-O332))/F332^2)+O332*(K332-L332*F332)*(1+F332)^(I332-1)*('Deal maths'!AA332-AsAt)/365.25)/L332,((I332-O332)*((IF(DAY(E332+1)=1,EOMONTH(E332,H332*D332),EDATE(E332,H332*D332))-AsAt)/365.25+(IF(DAY(E332+1)=1,EOMONTH(E332,(N332-1)*D332),EDATE(E332,(N332-1)*D332))-AsAt)/365.25)/2+O332*('Deal maths'!AA332-AsAt)/365.25)/I332),(S332-AsAt)/365.25)),0))</f>
        <v/>
      </c>
      <c r="Q332" s="109">
        <f>IF(B332=1,'Deal maths'!AA332+ROW()/1000000,"")</f>
        <v/>
      </c>
      <c r="R332" s="108">
        <f>IF(D332=0,0,IF(DAY(E332+1)=1,31,DAY(E332)))</f>
        <v/>
      </c>
      <c r="S332" s="109">
        <f>IF(AND('Deal maths'!V332="LOBO",'Deal maths'!AG332&gt;AsAt,'Deal maths'!AG332&lt;'Deal maths'!AA332),'Deal maths'!AG332,'Deal maths'!AA332)</f>
        <v/>
      </c>
      <c r="T332" s="108">
        <f>('Deal maths'!AA332&gt;AsAt)*('Deal maths'!Y332&gt;0)</f>
        <v/>
      </c>
    </row>
    <row r="333">
      <c r="A333" s="91">
        <f>IF('Deal maths'!V333="","",'Deal maths'!W333)</f>
        <v/>
      </c>
      <c r="B333" s="108">
        <f>('Deal maths'!AA333&gt;AsAt)*('Deal maths'!Y333&gt;0)*('Deal maths'!Z333&lt;=AsAt)</f>
        <v/>
      </c>
      <c r="C333" s="91">
        <f>IF('Deal maths'!V333="","",IF('Deal maths'!AC333="","Maturity",'Deal maths'!AC333))</f>
        <v/>
      </c>
      <c r="D333" s="108">
        <f>IF(OR(C333="EIP",C333="Annuity"),IF('Deal maths'!AD333="Annual",12,IF('Deal maths'!AD333="Quarterly",3,6)),0)</f>
        <v/>
      </c>
      <c r="E333" s="109">
        <f>IFERROR(IF(D333=0,0,IF('Deal maths'!AE333&gt;0,IF('Deal maths'!AE333&gt;'Deal maths'!AA333,'Deal maths'!AA333,'Deal maths'!AE333),IF(IF(DAY('Deal maths'!AA333+1)=1,EOMONTH('Deal maths'!AA333,-(INT(((YEAR('Deal maths'!AA333)-YEAR(IF('Deal maths'!Z333&gt;0,'Deal maths'!Z333,DATE(1990,1,1))))*12+MONTH('Deal maths'!AA333)-MONTH(IF('Deal maths'!Z333&gt;0,'Deal maths'!Z333,DATE(1990,1,1))))/D333))*D333),EDATE('Deal maths'!AA333,-(INT(((YEAR('Deal maths'!AA333)-YEAR(IF('Deal maths'!Z333&gt;0,'Deal maths'!Z333,DATE(1990,1,1))))*12+MONTH('Deal maths'!AA333)-MONTH(IF('Deal maths'!Z333&gt;0,'Deal maths'!Z333,DATE(1990,1,1))))/D333))*D333))&gt;IF('Deal maths'!Z333&gt;0,'Deal maths'!Z333,DATE(1990,1,1)),IF(DAY('Deal maths'!AA333+1)=1,EOMONTH('Deal maths'!AA333,-(INT(((YEAR('Deal maths'!AA333)-YEAR(IF('Deal maths'!Z333&gt;0,'Deal maths'!Z333,DATE(1990,1,1))))*12+MONTH('Deal maths'!AA333)-MONTH(IF('Deal maths'!Z333&gt;0,'Deal maths'!Z333,DATE(1990,1,1))))/D333))*D333),EDATE('Deal maths'!AA333,-(INT(((YEAR('Deal maths'!AA333)-YEAR(IF('Deal maths'!Z333&gt;0,'Deal maths'!Z333,DATE(1990,1,1))))*12+MONTH('Deal maths'!AA333)-MONTH(IF('Deal maths'!Z333&gt;0,'Deal maths'!Z333,DATE(1990,1,1))))/D333))*D333)),IF(DAY('Deal maths'!AA333+1)=1,EOMONTH('Deal maths'!AA333,-(INT(((YEAR('Deal maths'!AA333)-YEAR(IF('Deal maths'!Z333&gt;0,'Deal maths'!Z333,DATE(1990,1,1))))*12+MONTH('Deal maths'!AA333)-MONTH(IF('Deal maths'!Z333&gt;0,'Deal maths'!Z333,DATE(1990,1,1))))/D333)-1)*D333),EDATE('Deal maths'!AA333,-(INT(((YEAR('Deal maths'!AA333)-YEAR(IF('Deal maths'!Z333&gt;0,'Deal maths'!Z333,DATE(1990,1,1))))*12+MONTH('Deal maths'!AA333)-MONTH(IF('Deal maths'!Z333&gt;0,'Deal maths'!Z333,DATE(1990,1,1))))/D333)-1)*D333))))),0)</f>
        <v/>
      </c>
      <c r="F333" s="110">
        <f>IF(D333=0,0,'Deal maths'!AB333*D333/12)</f>
        <v/>
      </c>
      <c r="G333" s="108">
        <f>N333+O333</f>
        <v/>
      </c>
      <c r="H333" s="108">
        <f>IFERROR(IF(OR(D333=0,AsAt&lt;E333),0,MIN(N333,INT(((YEAR(AsAt)-YEAR(E333))*12+MONTH(AsAt)-MONTH(E333)-(DAY(AsAt)&lt;MIN(R333,DAY(EOMONTH(AsAt,0)))))/D333)+1)+O333*(AsAt&gt;='Deal maths'!AA333)),0)</f>
        <v/>
      </c>
      <c r="I333" s="108">
        <f>G333-H333</f>
        <v/>
      </c>
      <c r="J333" s="111">
        <f>IF(AND(C333="EIP",I333&gt;0),'Deal maths'!Y333/I333,0)</f>
        <v/>
      </c>
      <c r="K333" s="111">
        <f>IF(AND(C333="Annuity",I333&gt;0),IF(F333&gt;0,'Deal maths'!Y333*F333/(1-(1+F333)^-I333),'Deal maths'!Y333/I333),0)</f>
        <v/>
      </c>
      <c r="L333" s="111">
        <f>IF('Deal maths'!Y333="",0,'Deal maths'!Y333)</f>
        <v/>
      </c>
      <c r="M333" s="112">
        <f>F333+(F333=0)</f>
        <v/>
      </c>
      <c r="N333" s="108">
        <f>IFERROR(IF(D333=0,0,INT(((YEAR('Deal maths'!AA333)-YEAR(E333))*12+MONTH('Deal maths'!AA333)-MONTH(E333)-(DAY('Deal maths'!AA333)&lt;MIN(R333,DAY(EOMONTH('Deal maths'!AA333,0)))))/D333)+1),0)</f>
        <v/>
      </c>
      <c r="O333" s="108">
        <f>IFERROR(IF(D333=0,0,IF(IF(DAY(E333+1)=1,EOMONTH(E333,(N333-1)*D333),EDATE(E333,(N333-1)*D333))='Deal maths'!AA333,0,1)),0)</f>
        <v/>
      </c>
      <c r="P333" s="113">
        <f>IF(B333=0,0,IFERROR(IF(C333="EIP",((I333-O333)*((IF(DAY(E333+1)=1,EOMONTH(E333,H333*D333),EDATE(E333,H333*D333))-AsAt)/365.25+(IF(DAY(E333+1)=1,EOMONTH(E333,(N333-1)*D333),EDATE(E333,(N333-1)*D333))-AsAt)/365.25)/2+O333*('Deal maths'!AA333-AsAt)/365.25)/I333,IF(C333="Annuity",IF(F333&gt;0,((K333-L333*F333)*((IF(DAY(E333+1)=1,EOMONTH(E333,H333*D333),EDATE(E333,H333*D333))-AsAt)/365.25*((1+F333)^(I333-O333)-1)/F333+IF((I333-O333)&gt;1,((IF(DAY(E333+1)=1,EOMONTH(E333,(N333-1)*D333),EDATE(E333,(N333-1)*D333))-AsAt)/365.25-(IF(DAY(E333+1)=1,EOMONTH(E333,H333*D333),EDATE(E333,H333*D333))-AsAt)/365.25)/((I333-O333)-1),0)*(1+F333)*(1-(I333-O333)*(1+F333)^((I333-O333)-1)+((I333-O333)-1)*(1+F333)^(I333-O333))/F333^2)+O333*(K333-L333*F333)*(1+F333)^(I333-1)*('Deal maths'!AA333-AsAt)/365.25)/L333,((I333-O333)*((IF(DAY(E333+1)=1,EOMONTH(E333,H333*D333),EDATE(E333,H333*D333))-AsAt)/365.25+(IF(DAY(E333+1)=1,EOMONTH(E333,(N333-1)*D333),EDATE(E333,(N333-1)*D333))-AsAt)/365.25)/2+O333*('Deal maths'!AA333-AsAt)/365.25)/I333),(S333-AsAt)/365.25)),0))</f>
        <v/>
      </c>
      <c r="Q333" s="109">
        <f>IF(B333=1,'Deal maths'!AA333+ROW()/1000000,"")</f>
        <v/>
      </c>
      <c r="R333" s="108">
        <f>IF(D333=0,0,IF(DAY(E333+1)=1,31,DAY(E333)))</f>
        <v/>
      </c>
      <c r="S333" s="109">
        <f>IF(AND('Deal maths'!V333="LOBO",'Deal maths'!AG333&gt;AsAt,'Deal maths'!AG333&lt;'Deal maths'!AA333),'Deal maths'!AG333,'Deal maths'!AA333)</f>
        <v/>
      </c>
      <c r="T333" s="108">
        <f>('Deal maths'!AA333&gt;AsAt)*('Deal maths'!Y333&gt;0)</f>
        <v/>
      </c>
    </row>
    <row r="334">
      <c r="A334" s="91">
        <f>IF('Deal maths'!V334="","",'Deal maths'!W334)</f>
        <v/>
      </c>
      <c r="B334" s="108">
        <f>('Deal maths'!AA334&gt;AsAt)*('Deal maths'!Y334&gt;0)*('Deal maths'!Z334&lt;=AsAt)</f>
        <v/>
      </c>
      <c r="C334" s="91">
        <f>IF('Deal maths'!V334="","",IF('Deal maths'!AC334="","Maturity",'Deal maths'!AC334))</f>
        <v/>
      </c>
      <c r="D334" s="108">
        <f>IF(OR(C334="EIP",C334="Annuity"),IF('Deal maths'!AD334="Annual",12,IF('Deal maths'!AD334="Quarterly",3,6)),0)</f>
        <v/>
      </c>
      <c r="E334" s="109">
        <f>IFERROR(IF(D334=0,0,IF('Deal maths'!AE334&gt;0,IF('Deal maths'!AE334&gt;'Deal maths'!AA334,'Deal maths'!AA334,'Deal maths'!AE334),IF(IF(DAY('Deal maths'!AA334+1)=1,EOMONTH('Deal maths'!AA334,-(INT(((YEAR('Deal maths'!AA334)-YEAR(IF('Deal maths'!Z334&gt;0,'Deal maths'!Z334,DATE(1990,1,1))))*12+MONTH('Deal maths'!AA334)-MONTH(IF('Deal maths'!Z334&gt;0,'Deal maths'!Z334,DATE(1990,1,1))))/D334))*D334),EDATE('Deal maths'!AA334,-(INT(((YEAR('Deal maths'!AA334)-YEAR(IF('Deal maths'!Z334&gt;0,'Deal maths'!Z334,DATE(1990,1,1))))*12+MONTH('Deal maths'!AA334)-MONTH(IF('Deal maths'!Z334&gt;0,'Deal maths'!Z334,DATE(1990,1,1))))/D334))*D334))&gt;IF('Deal maths'!Z334&gt;0,'Deal maths'!Z334,DATE(1990,1,1)),IF(DAY('Deal maths'!AA334+1)=1,EOMONTH('Deal maths'!AA334,-(INT(((YEAR('Deal maths'!AA334)-YEAR(IF('Deal maths'!Z334&gt;0,'Deal maths'!Z334,DATE(1990,1,1))))*12+MONTH('Deal maths'!AA334)-MONTH(IF('Deal maths'!Z334&gt;0,'Deal maths'!Z334,DATE(1990,1,1))))/D334))*D334),EDATE('Deal maths'!AA334,-(INT(((YEAR('Deal maths'!AA334)-YEAR(IF('Deal maths'!Z334&gt;0,'Deal maths'!Z334,DATE(1990,1,1))))*12+MONTH('Deal maths'!AA334)-MONTH(IF('Deal maths'!Z334&gt;0,'Deal maths'!Z334,DATE(1990,1,1))))/D334))*D334)),IF(DAY('Deal maths'!AA334+1)=1,EOMONTH('Deal maths'!AA334,-(INT(((YEAR('Deal maths'!AA334)-YEAR(IF('Deal maths'!Z334&gt;0,'Deal maths'!Z334,DATE(1990,1,1))))*12+MONTH('Deal maths'!AA334)-MONTH(IF('Deal maths'!Z334&gt;0,'Deal maths'!Z334,DATE(1990,1,1))))/D334)-1)*D334),EDATE('Deal maths'!AA334,-(INT(((YEAR('Deal maths'!AA334)-YEAR(IF('Deal maths'!Z334&gt;0,'Deal maths'!Z334,DATE(1990,1,1))))*12+MONTH('Deal maths'!AA334)-MONTH(IF('Deal maths'!Z334&gt;0,'Deal maths'!Z334,DATE(1990,1,1))))/D334)-1)*D334))))),0)</f>
        <v/>
      </c>
      <c r="F334" s="110">
        <f>IF(D334=0,0,'Deal maths'!AB334*D334/12)</f>
        <v/>
      </c>
      <c r="G334" s="108">
        <f>N334+O334</f>
        <v/>
      </c>
      <c r="H334" s="108">
        <f>IFERROR(IF(OR(D334=0,AsAt&lt;E334),0,MIN(N334,INT(((YEAR(AsAt)-YEAR(E334))*12+MONTH(AsAt)-MONTH(E334)-(DAY(AsAt)&lt;MIN(R334,DAY(EOMONTH(AsAt,0)))))/D334)+1)+O334*(AsAt&gt;='Deal maths'!AA334)),0)</f>
        <v/>
      </c>
      <c r="I334" s="108">
        <f>G334-H334</f>
        <v/>
      </c>
      <c r="J334" s="111">
        <f>IF(AND(C334="EIP",I334&gt;0),'Deal maths'!Y334/I334,0)</f>
        <v/>
      </c>
      <c r="K334" s="111">
        <f>IF(AND(C334="Annuity",I334&gt;0),IF(F334&gt;0,'Deal maths'!Y334*F334/(1-(1+F334)^-I334),'Deal maths'!Y334/I334),0)</f>
        <v/>
      </c>
      <c r="L334" s="111">
        <f>IF('Deal maths'!Y334="",0,'Deal maths'!Y334)</f>
        <v/>
      </c>
      <c r="M334" s="112">
        <f>F334+(F334=0)</f>
        <v/>
      </c>
      <c r="N334" s="108">
        <f>IFERROR(IF(D334=0,0,INT(((YEAR('Deal maths'!AA334)-YEAR(E334))*12+MONTH('Deal maths'!AA334)-MONTH(E334)-(DAY('Deal maths'!AA334)&lt;MIN(R334,DAY(EOMONTH('Deal maths'!AA334,0)))))/D334)+1),0)</f>
        <v/>
      </c>
      <c r="O334" s="108">
        <f>IFERROR(IF(D334=0,0,IF(IF(DAY(E334+1)=1,EOMONTH(E334,(N334-1)*D334),EDATE(E334,(N334-1)*D334))='Deal maths'!AA334,0,1)),0)</f>
        <v/>
      </c>
      <c r="P334" s="113">
        <f>IF(B334=0,0,IFERROR(IF(C334="EIP",((I334-O334)*((IF(DAY(E334+1)=1,EOMONTH(E334,H334*D334),EDATE(E334,H334*D334))-AsAt)/365.25+(IF(DAY(E334+1)=1,EOMONTH(E334,(N334-1)*D334),EDATE(E334,(N334-1)*D334))-AsAt)/365.25)/2+O334*('Deal maths'!AA334-AsAt)/365.25)/I334,IF(C334="Annuity",IF(F334&gt;0,((K334-L334*F334)*((IF(DAY(E334+1)=1,EOMONTH(E334,H334*D334),EDATE(E334,H334*D334))-AsAt)/365.25*((1+F334)^(I334-O334)-1)/F334+IF((I334-O334)&gt;1,((IF(DAY(E334+1)=1,EOMONTH(E334,(N334-1)*D334),EDATE(E334,(N334-1)*D334))-AsAt)/365.25-(IF(DAY(E334+1)=1,EOMONTH(E334,H334*D334),EDATE(E334,H334*D334))-AsAt)/365.25)/((I334-O334)-1),0)*(1+F334)*(1-(I334-O334)*(1+F334)^((I334-O334)-1)+((I334-O334)-1)*(1+F334)^(I334-O334))/F334^2)+O334*(K334-L334*F334)*(1+F334)^(I334-1)*('Deal maths'!AA334-AsAt)/365.25)/L334,((I334-O334)*((IF(DAY(E334+1)=1,EOMONTH(E334,H334*D334),EDATE(E334,H334*D334))-AsAt)/365.25+(IF(DAY(E334+1)=1,EOMONTH(E334,(N334-1)*D334),EDATE(E334,(N334-1)*D334))-AsAt)/365.25)/2+O334*('Deal maths'!AA334-AsAt)/365.25)/I334),(S334-AsAt)/365.25)),0))</f>
        <v/>
      </c>
      <c r="Q334" s="109">
        <f>IF(B334=1,'Deal maths'!AA334+ROW()/1000000,"")</f>
        <v/>
      </c>
      <c r="R334" s="108">
        <f>IF(D334=0,0,IF(DAY(E334+1)=1,31,DAY(E334)))</f>
        <v/>
      </c>
      <c r="S334" s="109">
        <f>IF(AND('Deal maths'!V334="LOBO",'Deal maths'!AG334&gt;AsAt,'Deal maths'!AG334&lt;'Deal maths'!AA334),'Deal maths'!AG334,'Deal maths'!AA334)</f>
        <v/>
      </c>
      <c r="T334" s="108">
        <f>('Deal maths'!AA334&gt;AsAt)*('Deal maths'!Y334&gt;0)</f>
        <v/>
      </c>
    </row>
    <row r="335">
      <c r="A335" s="91">
        <f>IF('Deal maths'!V335="","",'Deal maths'!W335)</f>
        <v/>
      </c>
      <c r="B335" s="108">
        <f>('Deal maths'!AA335&gt;AsAt)*('Deal maths'!Y335&gt;0)*('Deal maths'!Z335&lt;=AsAt)</f>
        <v/>
      </c>
      <c r="C335" s="91">
        <f>IF('Deal maths'!V335="","",IF('Deal maths'!AC335="","Maturity",'Deal maths'!AC335))</f>
        <v/>
      </c>
      <c r="D335" s="108">
        <f>IF(OR(C335="EIP",C335="Annuity"),IF('Deal maths'!AD335="Annual",12,IF('Deal maths'!AD335="Quarterly",3,6)),0)</f>
        <v/>
      </c>
      <c r="E335" s="109">
        <f>IFERROR(IF(D335=0,0,IF('Deal maths'!AE335&gt;0,IF('Deal maths'!AE335&gt;'Deal maths'!AA335,'Deal maths'!AA335,'Deal maths'!AE335),IF(IF(DAY('Deal maths'!AA335+1)=1,EOMONTH('Deal maths'!AA335,-(INT(((YEAR('Deal maths'!AA335)-YEAR(IF('Deal maths'!Z335&gt;0,'Deal maths'!Z335,DATE(1990,1,1))))*12+MONTH('Deal maths'!AA335)-MONTH(IF('Deal maths'!Z335&gt;0,'Deal maths'!Z335,DATE(1990,1,1))))/D335))*D335),EDATE('Deal maths'!AA335,-(INT(((YEAR('Deal maths'!AA335)-YEAR(IF('Deal maths'!Z335&gt;0,'Deal maths'!Z335,DATE(1990,1,1))))*12+MONTH('Deal maths'!AA335)-MONTH(IF('Deal maths'!Z335&gt;0,'Deal maths'!Z335,DATE(1990,1,1))))/D335))*D335))&gt;IF('Deal maths'!Z335&gt;0,'Deal maths'!Z335,DATE(1990,1,1)),IF(DAY('Deal maths'!AA335+1)=1,EOMONTH('Deal maths'!AA335,-(INT(((YEAR('Deal maths'!AA335)-YEAR(IF('Deal maths'!Z335&gt;0,'Deal maths'!Z335,DATE(1990,1,1))))*12+MONTH('Deal maths'!AA335)-MONTH(IF('Deal maths'!Z335&gt;0,'Deal maths'!Z335,DATE(1990,1,1))))/D335))*D335),EDATE('Deal maths'!AA335,-(INT(((YEAR('Deal maths'!AA335)-YEAR(IF('Deal maths'!Z335&gt;0,'Deal maths'!Z335,DATE(1990,1,1))))*12+MONTH('Deal maths'!AA335)-MONTH(IF('Deal maths'!Z335&gt;0,'Deal maths'!Z335,DATE(1990,1,1))))/D335))*D335)),IF(DAY('Deal maths'!AA335+1)=1,EOMONTH('Deal maths'!AA335,-(INT(((YEAR('Deal maths'!AA335)-YEAR(IF('Deal maths'!Z335&gt;0,'Deal maths'!Z335,DATE(1990,1,1))))*12+MONTH('Deal maths'!AA335)-MONTH(IF('Deal maths'!Z335&gt;0,'Deal maths'!Z335,DATE(1990,1,1))))/D335)-1)*D335),EDATE('Deal maths'!AA335,-(INT(((YEAR('Deal maths'!AA335)-YEAR(IF('Deal maths'!Z335&gt;0,'Deal maths'!Z335,DATE(1990,1,1))))*12+MONTH('Deal maths'!AA335)-MONTH(IF('Deal maths'!Z335&gt;0,'Deal maths'!Z335,DATE(1990,1,1))))/D335)-1)*D335))))),0)</f>
        <v/>
      </c>
      <c r="F335" s="110">
        <f>IF(D335=0,0,'Deal maths'!AB335*D335/12)</f>
        <v/>
      </c>
      <c r="G335" s="108">
        <f>N335+O335</f>
        <v/>
      </c>
      <c r="H335" s="108">
        <f>IFERROR(IF(OR(D335=0,AsAt&lt;E335),0,MIN(N335,INT(((YEAR(AsAt)-YEAR(E335))*12+MONTH(AsAt)-MONTH(E335)-(DAY(AsAt)&lt;MIN(R335,DAY(EOMONTH(AsAt,0)))))/D335)+1)+O335*(AsAt&gt;='Deal maths'!AA335)),0)</f>
        <v/>
      </c>
      <c r="I335" s="108">
        <f>G335-H335</f>
        <v/>
      </c>
      <c r="J335" s="111">
        <f>IF(AND(C335="EIP",I335&gt;0),'Deal maths'!Y335/I335,0)</f>
        <v/>
      </c>
      <c r="K335" s="111">
        <f>IF(AND(C335="Annuity",I335&gt;0),IF(F335&gt;0,'Deal maths'!Y335*F335/(1-(1+F335)^-I335),'Deal maths'!Y335/I335),0)</f>
        <v/>
      </c>
      <c r="L335" s="111">
        <f>IF('Deal maths'!Y335="",0,'Deal maths'!Y335)</f>
        <v/>
      </c>
      <c r="M335" s="112">
        <f>F335+(F335=0)</f>
        <v/>
      </c>
      <c r="N335" s="108">
        <f>IFERROR(IF(D335=0,0,INT(((YEAR('Deal maths'!AA335)-YEAR(E335))*12+MONTH('Deal maths'!AA335)-MONTH(E335)-(DAY('Deal maths'!AA335)&lt;MIN(R335,DAY(EOMONTH('Deal maths'!AA335,0)))))/D335)+1),0)</f>
        <v/>
      </c>
      <c r="O335" s="108">
        <f>IFERROR(IF(D335=0,0,IF(IF(DAY(E335+1)=1,EOMONTH(E335,(N335-1)*D335),EDATE(E335,(N335-1)*D335))='Deal maths'!AA335,0,1)),0)</f>
        <v/>
      </c>
      <c r="P335" s="113">
        <f>IF(B335=0,0,IFERROR(IF(C335="EIP",((I335-O335)*((IF(DAY(E335+1)=1,EOMONTH(E335,H335*D335),EDATE(E335,H335*D335))-AsAt)/365.25+(IF(DAY(E335+1)=1,EOMONTH(E335,(N335-1)*D335),EDATE(E335,(N335-1)*D335))-AsAt)/365.25)/2+O335*('Deal maths'!AA335-AsAt)/365.25)/I335,IF(C335="Annuity",IF(F335&gt;0,((K335-L335*F335)*((IF(DAY(E335+1)=1,EOMONTH(E335,H335*D335),EDATE(E335,H335*D335))-AsAt)/365.25*((1+F335)^(I335-O335)-1)/F335+IF((I335-O335)&gt;1,((IF(DAY(E335+1)=1,EOMONTH(E335,(N335-1)*D335),EDATE(E335,(N335-1)*D335))-AsAt)/365.25-(IF(DAY(E335+1)=1,EOMONTH(E335,H335*D335),EDATE(E335,H335*D335))-AsAt)/365.25)/((I335-O335)-1),0)*(1+F335)*(1-(I335-O335)*(1+F335)^((I335-O335)-1)+((I335-O335)-1)*(1+F335)^(I335-O335))/F335^2)+O335*(K335-L335*F335)*(1+F335)^(I335-1)*('Deal maths'!AA335-AsAt)/365.25)/L335,((I335-O335)*((IF(DAY(E335+1)=1,EOMONTH(E335,H335*D335),EDATE(E335,H335*D335))-AsAt)/365.25+(IF(DAY(E335+1)=1,EOMONTH(E335,(N335-1)*D335),EDATE(E335,(N335-1)*D335))-AsAt)/365.25)/2+O335*('Deal maths'!AA335-AsAt)/365.25)/I335),(S335-AsAt)/365.25)),0))</f>
        <v/>
      </c>
      <c r="Q335" s="109">
        <f>IF(B335=1,'Deal maths'!AA335+ROW()/1000000,"")</f>
        <v/>
      </c>
      <c r="R335" s="108">
        <f>IF(D335=0,0,IF(DAY(E335+1)=1,31,DAY(E335)))</f>
        <v/>
      </c>
      <c r="S335" s="109">
        <f>IF(AND('Deal maths'!V335="LOBO",'Deal maths'!AG335&gt;AsAt,'Deal maths'!AG335&lt;'Deal maths'!AA335),'Deal maths'!AG335,'Deal maths'!AA335)</f>
        <v/>
      </c>
      <c r="T335" s="108">
        <f>('Deal maths'!AA335&gt;AsAt)*('Deal maths'!Y335&gt;0)</f>
        <v/>
      </c>
    </row>
    <row r="336">
      <c r="A336" s="91">
        <f>IF('Deal maths'!V336="","",'Deal maths'!W336)</f>
        <v/>
      </c>
      <c r="B336" s="108">
        <f>('Deal maths'!AA336&gt;AsAt)*('Deal maths'!Y336&gt;0)*('Deal maths'!Z336&lt;=AsAt)</f>
        <v/>
      </c>
      <c r="C336" s="91">
        <f>IF('Deal maths'!V336="","",IF('Deal maths'!AC336="","Maturity",'Deal maths'!AC336))</f>
        <v/>
      </c>
      <c r="D336" s="108">
        <f>IF(OR(C336="EIP",C336="Annuity"),IF('Deal maths'!AD336="Annual",12,IF('Deal maths'!AD336="Quarterly",3,6)),0)</f>
        <v/>
      </c>
      <c r="E336" s="109">
        <f>IFERROR(IF(D336=0,0,IF('Deal maths'!AE336&gt;0,IF('Deal maths'!AE336&gt;'Deal maths'!AA336,'Deal maths'!AA336,'Deal maths'!AE336),IF(IF(DAY('Deal maths'!AA336+1)=1,EOMONTH('Deal maths'!AA336,-(INT(((YEAR('Deal maths'!AA336)-YEAR(IF('Deal maths'!Z336&gt;0,'Deal maths'!Z336,DATE(1990,1,1))))*12+MONTH('Deal maths'!AA336)-MONTH(IF('Deal maths'!Z336&gt;0,'Deal maths'!Z336,DATE(1990,1,1))))/D336))*D336),EDATE('Deal maths'!AA336,-(INT(((YEAR('Deal maths'!AA336)-YEAR(IF('Deal maths'!Z336&gt;0,'Deal maths'!Z336,DATE(1990,1,1))))*12+MONTH('Deal maths'!AA336)-MONTH(IF('Deal maths'!Z336&gt;0,'Deal maths'!Z336,DATE(1990,1,1))))/D336))*D336))&gt;IF('Deal maths'!Z336&gt;0,'Deal maths'!Z336,DATE(1990,1,1)),IF(DAY('Deal maths'!AA336+1)=1,EOMONTH('Deal maths'!AA336,-(INT(((YEAR('Deal maths'!AA336)-YEAR(IF('Deal maths'!Z336&gt;0,'Deal maths'!Z336,DATE(1990,1,1))))*12+MONTH('Deal maths'!AA336)-MONTH(IF('Deal maths'!Z336&gt;0,'Deal maths'!Z336,DATE(1990,1,1))))/D336))*D336),EDATE('Deal maths'!AA336,-(INT(((YEAR('Deal maths'!AA336)-YEAR(IF('Deal maths'!Z336&gt;0,'Deal maths'!Z336,DATE(1990,1,1))))*12+MONTH('Deal maths'!AA336)-MONTH(IF('Deal maths'!Z336&gt;0,'Deal maths'!Z336,DATE(1990,1,1))))/D336))*D336)),IF(DAY('Deal maths'!AA336+1)=1,EOMONTH('Deal maths'!AA336,-(INT(((YEAR('Deal maths'!AA336)-YEAR(IF('Deal maths'!Z336&gt;0,'Deal maths'!Z336,DATE(1990,1,1))))*12+MONTH('Deal maths'!AA336)-MONTH(IF('Deal maths'!Z336&gt;0,'Deal maths'!Z336,DATE(1990,1,1))))/D336)-1)*D336),EDATE('Deal maths'!AA336,-(INT(((YEAR('Deal maths'!AA336)-YEAR(IF('Deal maths'!Z336&gt;0,'Deal maths'!Z336,DATE(1990,1,1))))*12+MONTH('Deal maths'!AA336)-MONTH(IF('Deal maths'!Z336&gt;0,'Deal maths'!Z336,DATE(1990,1,1))))/D336)-1)*D336))))),0)</f>
        <v/>
      </c>
      <c r="F336" s="110">
        <f>IF(D336=0,0,'Deal maths'!AB336*D336/12)</f>
        <v/>
      </c>
      <c r="G336" s="108">
        <f>N336+O336</f>
        <v/>
      </c>
      <c r="H336" s="108">
        <f>IFERROR(IF(OR(D336=0,AsAt&lt;E336),0,MIN(N336,INT(((YEAR(AsAt)-YEAR(E336))*12+MONTH(AsAt)-MONTH(E336)-(DAY(AsAt)&lt;MIN(R336,DAY(EOMONTH(AsAt,0)))))/D336)+1)+O336*(AsAt&gt;='Deal maths'!AA336)),0)</f>
        <v/>
      </c>
      <c r="I336" s="108">
        <f>G336-H336</f>
        <v/>
      </c>
      <c r="J336" s="111">
        <f>IF(AND(C336="EIP",I336&gt;0),'Deal maths'!Y336/I336,0)</f>
        <v/>
      </c>
      <c r="K336" s="111">
        <f>IF(AND(C336="Annuity",I336&gt;0),IF(F336&gt;0,'Deal maths'!Y336*F336/(1-(1+F336)^-I336),'Deal maths'!Y336/I336),0)</f>
        <v/>
      </c>
      <c r="L336" s="111">
        <f>IF('Deal maths'!Y336="",0,'Deal maths'!Y336)</f>
        <v/>
      </c>
      <c r="M336" s="112">
        <f>F336+(F336=0)</f>
        <v/>
      </c>
      <c r="N336" s="108">
        <f>IFERROR(IF(D336=0,0,INT(((YEAR('Deal maths'!AA336)-YEAR(E336))*12+MONTH('Deal maths'!AA336)-MONTH(E336)-(DAY('Deal maths'!AA336)&lt;MIN(R336,DAY(EOMONTH('Deal maths'!AA336,0)))))/D336)+1),0)</f>
        <v/>
      </c>
      <c r="O336" s="108">
        <f>IFERROR(IF(D336=0,0,IF(IF(DAY(E336+1)=1,EOMONTH(E336,(N336-1)*D336),EDATE(E336,(N336-1)*D336))='Deal maths'!AA336,0,1)),0)</f>
        <v/>
      </c>
      <c r="P336" s="113">
        <f>IF(B336=0,0,IFERROR(IF(C336="EIP",((I336-O336)*((IF(DAY(E336+1)=1,EOMONTH(E336,H336*D336),EDATE(E336,H336*D336))-AsAt)/365.25+(IF(DAY(E336+1)=1,EOMONTH(E336,(N336-1)*D336),EDATE(E336,(N336-1)*D336))-AsAt)/365.25)/2+O336*('Deal maths'!AA336-AsAt)/365.25)/I336,IF(C336="Annuity",IF(F336&gt;0,((K336-L336*F336)*((IF(DAY(E336+1)=1,EOMONTH(E336,H336*D336),EDATE(E336,H336*D336))-AsAt)/365.25*((1+F336)^(I336-O336)-1)/F336+IF((I336-O336)&gt;1,((IF(DAY(E336+1)=1,EOMONTH(E336,(N336-1)*D336),EDATE(E336,(N336-1)*D336))-AsAt)/365.25-(IF(DAY(E336+1)=1,EOMONTH(E336,H336*D336),EDATE(E336,H336*D336))-AsAt)/365.25)/((I336-O336)-1),0)*(1+F336)*(1-(I336-O336)*(1+F336)^((I336-O336)-1)+((I336-O336)-1)*(1+F336)^(I336-O336))/F336^2)+O336*(K336-L336*F336)*(1+F336)^(I336-1)*('Deal maths'!AA336-AsAt)/365.25)/L336,((I336-O336)*((IF(DAY(E336+1)=1,EOMONTH(E336,H336*D336),EDATE(E336,H336*D336))-AsAt)/365.25+(IF(DAY(E336+1)=1,EOMONTH(E336,(N336-1)*D336),EDATE(E336,(N336-1)*D336))-AsAt)/365.25)/2+O336*('Deal maths'!AA336-AsAt)/365.25)/I336),(S336-AsAt)/365.25)),0))</f>
        <v/>
      </c>
      <c r="Q336" s="109">
        <f>IF(B336=1,'Deal maths'!AA336+ROW()/1000000,"")</f>
        <v/>
      </c>
      <c r="R336" s="108">
        <f>IF(D336=0,0,IF(DAY(E336+1)=1,31,DAY(E336)))</f>
        <v/>
      </c>
      <c r="S336" s="109">
        <f>IF(AND('Deal maths'!V336="LOBO",'Deal maths'!AG336&gt;AsAt,'Deal maths'!AG336&lt;'Deal maths'!AA336),'Deal maths'!AG336,'Deal maths'!AA336)</f>
        <v/>
      </c>
      <c r="T336" s="108">
        <f>('Deal maths'!AA336&gt;AsAt)*('Deal maths'!Y336&gt;0)</f>
        <v/>
      </c>
    </row>
    <row r="337">
      <c r="A337" s="91">
        <f>IF('Deal maths'!V337="","",'Deal maths'!W337)</f>
        <v/>
      </c>
      <c r="B337" s="108">
        <f>('Deal maths'!AA337&gt;AsAt)*('Deal maths'!Y337&gt;0)*('Deal maths'!Z337&lt;=AsAt)</f>
        <v/>
      </c>
      <c r="C337" s="91">
        <f>IF('Deal maths'!V337="","",IF('Deal maths'!AC337="","Maturity",'Deal maths'!AC337))</f>
        <v/>
      </c>
      <c r="D337" s="108">
        <f>IF(OR(C337="EIP",C337="Annuity"),IF('Deal maths'!AD337="Annual",12,IF('Deal maths'!AD337="Quarterly",3,6)),0)</f>
        <v/>
      </c>
      <c r="E337" s="109">
        <f>IFERROR(IF(D337=0,0,IF('Deal maths'!AE337&gt;0,IF('Deal maths'!AE337&gt;'Deal maths'!AA337,'Deal maths'!AA337,'Deal maths'!AE337),IF(IF(DAY('Deal maths'!AA337+1)=1,EOMONTH('Deal maths'!AA337,-(INT(((YEAR('Deal maths'!AA337)-YEAR(IF('Deal maths'!Z337&gt;0,'Deal maths'!Z337,DATE(1990,1,1))))*12+MONTH('Deal maths'!AA337)-MONTH(IF('Deal maths'!Z337&gt;0,'Deal maths'!Z337,DATE(1990,1,1))))/D337))*D337),EDATE('Deal maths'!AA337,-(INT(((YEAR('Deal maths'!AA337)-YEAR(IF('Deal maths'!Z337&gt;0,'Deal maths'!Z337,DATE(1990,1,1))))*12+MONTH('Deal maths'!AA337)-MONTH(IF('Deal maths'!Z337&gt;0,'Deal maths'!Z337,DATE(1990,1,1))))/D337))*D337))&gt;IF('Deal maths'!Z337&gt;0,'Deal maths'!Z337,DATE(1990,1,1)),IF(DAY('Deal maths'!AA337+1)=1,EOMONTH('Deal maths'!AA337,-(INT(((YEAR('Deal maths'!AA337)-YEAR(IF('Deal maths'!Z337&gt;0,'Deal maths'!Z337,DATE(1990,1,1))))*12+MONTH('Deal maths'!AA337)-MONTH(IF('Deal maths'!Z337&gt;0,'Deal maths'!Z337,DATE(1990,1,1))))/D337))*D337),EDATE('Deal maths'!AA337,-(INT(((YEAR('Deal maths'!AA337)-YEAR(IF('Deal maths'!Z337&gt;0,'Deal maths'!Z337,DATE(1990,1,1))))*12+MONTH('Deal maths'!AA337)-MONTH(IF('Deal maths'!Z337&gt;0,'Deal maths'!Z337,DATE(1990,1,1))))/D337))*D337)),IF(DAY('Deal maths'!AA337+1)=1,EOMONTH('Deal maths'!AA337,-(INT(((YEAR('Deal maths'!AA337)-YEAR(IF('Deal maths'!Z337&gt;0,'Deal maths'!Z337,DATE(1990,1,1))))*12+MONTH('Deal maths'!AA337)-MONTH(IF('Deal maths'!Z337&gt;0,'Deal maths'!Z337,DATE(1990,1,1))))/D337)-1)*D337),EDATE('Deal maths'!AA337,-(INT(((YEAR('Deal maths'!AA337)-YEAR(IF('Deal maths'!Z337&gt;0,'Deal maths'!Z337,DATE(1990,1,1))))*12+MONTH('Deal maths'!AA337)-MONTH(IF('Deal maths'!Z337&gt;0,'Deal maths'!Z337,DATE(1990,1,1))))/D337)-1)*D337))))),0)</f>
        <v/>
      </c>
      <c r="F337" s="110">
        <f>IF(D337=0,0,'Deal maths'!AB337*D337/12)</f>
        <v/>
      </c>
      <c r="G337" s="108">
        <f>N337+O337</f>
        <v/>
      </c>
      <c r="H337" s="108">
        <f>IFERROR(IF(OR(D337=0,AsAt&lt;E337),0,MIN(N337,INT(((YEAR(AsAt)-YEAR(E337))*12+MONTH(AsAt)-MONTH(E337)-(DAY(AsAt)&lt;MIN(R337,DAY(EOMONTH(AsAt,0)))))/D337)+1)+O337*(AsAt&gt;='Deal maths'!AA337)),0)</f>
        <v/>
      </c>
      <c r="I337" s="108">
        <f>G337-H337</f>
        <v/>
      </c>
      <c r="J337" s="111">
        <f>IF(AND(C337="EIP",I337&gt;0),'Deal maths'!Y337/I337,0)</f>
        <v/>
      </c>
      <c r="K337" s="111">
        <f>IF(AND(C337="Annuity",I337&gt;0),IF(F337&gt;0,'Deal maths'!Y337*F337/(1-(1+F337)^-I337),'Deal maths'!Y337/I337),0)</f>
        <v/>
      </c>
      <c r="L337" s="111">
        <f>IF('Deal maths'!Y337="",0,'Deal maths'!Y337)</f>
        <v/>
      </c>
      <c r="M337" s="112">
        <f>F337+(F337=0)</f>
        <v/>
      </c>
      <c r="N337" s="108">
        <f>IFERROR(IF(D337=0,0,INT(((YEAR('Deal maths'!AA337)-YEAR(E337))*12+MONTH('Deal maths'!AA337)-MONTH(E337)-(DAY('Deal maths'!AA337)&lt;MIN(R337,DAY(EOMONTH('Deal maths'!AA337,0)))))/D337)+1),0)</f>
        <v/>
      </c>
      <c r="O337" s="108">
        <f>IFERROR(IF(D337=0,0,IF(IF(DAY(E337+1)=1,EOMONTH(E337,(N337-1)*D337),EDATE(E337,(N337-1)*D337))='Deal maths'!AA337,0,1)),0)</f>
        <v/>
      </c>
      <c r="P337" s="113">
        <f>IF(B337=0,0,IFERROR(IF(C337="EIP",((I337-O337)*((IF(DAY(E337+1)=1,EOMONTH(E337,H337*D337),EDATE(E337,H337*D337))-AsAt)/365.25+(IF(DAY(E337+1)=1,EOMONTH(E337,(N337-1)*D337),EDATE(E337,(N337-1)*D337))-AsAt)/365.25)/2+O337*('Deal maths'!AA337-AsAt)/365.25)/I337,IF(C337="Annuity",IF(F337&gt;0,((K337-L337*F337)*((IF(DAY(E337+1)=1,EOMONTH(E337,H337*D337),EDATE(E337,H337*D337))-AsAt)/365.25*((1+F337)^(I337-O337)-1)/F337+IF((I337-O337)&gt;1,((IF(DAY(E337+1)=1,EOMONTH(E337,(N337-1)*D337),EDATE(E337,(N337-1)*D337))-AsAt)/365.25-(IF(DAY(E337+1)=1,EOMONTH(E337,H337*D337),EDATE(E337,H337*D337))-AsAt)/365.25)/((I337-O337)-1),0)*(1+F337)*(1-(I337-O337)*(1+F337)^((I337-O337)-1)+((I337-O337)-1)*(1+F337)^(I337-O337))/F337^2)+O337*(K337-L337*F337)*(1+F337)^(I337-1)*('Deal maths'!AA337-AsAt)/365.25)/L337,((I337-O337)*((IF(DAY(E337+1)=1,EOMONTH(E337,H337*D337),EDATE(E337,H337*D337))-AsAt)/365.25+(IF(DAY(E337+1)=1,EOMONTH(E337,(N337-1)*D337),EDATE(E337,(N337-1)*D337))-AsAt)/365.25)/2+O337*('Deal maths'!AA337-AsAt)/365.25)/I337),(S337-AsAt)/365.25)),0))</f>
        <v/>
      </c>
      <c r="Q337" s="109">
        <f>IF(B337=1,'Deal maths'!AA337+ROW()/1000000,"")</f>
        <v/>
      </c>
      <c r="R337" s="108">
        <f>IF(D337=0,0,IF(DAY(E337+1)=1,31,DAY(E337)))</f>
        <v/>
      </c>
      <c r="S337" s="109">
        <f>IF(AND('Deal maths'!V337="LOBO",'Deal maths'!AG337&gt;AsAt,'Deal maths'!AG337&lt;'Deal maths'!AA337),'Deal maths'!AG337,'Deal maths'!AA337)</f>
        <v/>
      </c>
      <c r="T337" s="108">
        <f>('Deal maths'!AA337&gt;AsAt)*('Deal maths'!Y337&gt;0)</f>
        <v/>
      </c>
    </row>
    <row r="338">
      <c r="A338" s="91">
        <f>IF('Deal maths'!V338="","",'Deal maths'!W338)</f>
        <v/>
      </c>
      <c r="B338" s="108">
        <f>('Deal maths'!AA338&gt;AsAt)*('Deal maths'!Y338&gt;0)*('Deal maths'!Z338&lt;=AsAt)</f>
        <v/>
      </c>
      <c r="C338" s="91">
        <f>IF('Deal maths'!V338="","",IF('Deal maths'!AC338="","Maturity",'Deal maths'!AC338))</f>
        <v/>
      </c>
      <c r="D338" s="108">
        <f>IF(OR(C338="EIP",C338="Annuity"),IF('Deal maths'!AD338="Annual",12,IF('Deal maths'!AD338="Quarterly",3,6)),0)</f>
        <v/>
      </c>
      <c r="E338" s="109">
        <f>IFERROR(IF(D338=0,0,IF('Deal maths'!AE338&gt;0,IF('Deal maths'!AE338&gt;'Deal maths'!AA338,'Deal maths'!AA338,'Deal maths'!AE338),IF(IF(DAY('Deal maths'!AA338+1)=1,EOMONTH('Deal maths'!AA338,-(INT(((YEAR('Deal maths'!AA338)-YEAR(IF('Deal maths'!Z338&gt;0,'Deal maths'!Z338,DATE(1990,1,1))))*12+MONTH('Deal maths'!AA338)-MONTH(IF('Deal maths'!Z338&gt;0,'Deal maths'!Z338,DATE(1990,1,1))))/D338))*D338),EDATE('Deal maths'!AA338,-(INT(((YEAR('Deal maths'!AA338)-YEAR(IF('Deal maths'!Z338&gt;0,'Deal maths'!Z338,DATE(1990,1,1))))*12+MONTH('Deal maths'!AA338)-MONTH(IF('Deal maths'!Z338&gt;0,'Deal maths'!Z338,DATE(1990,1,1))))/D338))*D338))&gt;IF('Deal maths'!Z338&gt;0,'Deal maths'!Z338,DATE(1990,1,1)),IF(DAY('Deal maths'!AA338+1)=1,EOMONTH('Deal maths'!AA338,-(INT(((YEAR('Deal maths'!AA338)-YEAR(IF('Deal maths'!Z338&gt;0,'Deal maths'!Z338,DATE(1990,1,1))))*12+MONTH('Deal maths'!AA338)-MONTH(IF('Deal maths'!Z338&gt;0,'Deal maths'!Z338,DATE(1990,1,1))))/D338))*D338),EDATE('Deal maths'!AA338,-(INT(((YEAR('Deal maths'!AA338)-YEAR(IF('Deal maths'!Z338&gt;0,'Deal maths'!Z338,DATE(1990,1,1))))*12+MONTH('Deal maths'!AA338)-MONTH(IF('Deal maths'!Z338&gt;0,'Deal maths'!Z338,DATE(1990,1,1))))/D338))*D338)),IF(DAY('Deal maths'!AA338+1)=1,EOMONTH('Deal maths'!AA338,-(INT(((YEAR('Deal maths'!AA338)-YEAR(IF('Deal maths'!Z338&gt;0,'Deal maths'!Z338,DATE(1990,1,1))))*12+MONTH('Deal maths'!AA338)-MONTH(IF('Deal maths'!Z338&gt;0,'Deal maths'!Z338,DATE(1990,1,1))))/D338)-1)*D338),EDATE('Deal maths'!AA338,-(INT(((YEAR('Deal maths'!AA338)-YEAR(IF('Deal maths'!Z338&gt;0,'Deal maths'!Z338,DATE(1990,1,1))))*12+MONTH('Deal maths'!AA338)-MONTH(IF('Deal maths'!Z338&gt;0,'Deal maths'!Z338,DATE(1990,1,1))))/D338)-1)*D338))))),0)</f>
        <v/>
      </c>
      <c r="F338" s="110">
        <f>IF(D338=0,0,'Deal maths'!AB338*D338/12)</f>
        <v/>
      </c>
      <c r="G338" s="108">
        <f>N338+O338</f>
        <v/>
      </c>
      <c r="H338" s="108">
        <f>IFERROR(IF(OR(D338=0,AsAt&lt;E338),0,MIN(N338,INT(((YEAR(AsAt)-YEAR(E338))*12+MONTH(AsAt)-MONTH(E338)-(DAY(AsAt)&lt;MIN(R338,DAY(EOMONTH(AsAt,0)))))/D338)+1)+O338*(AsAt&gt;='Deal maths'!AA338)),0)</f>
        <v/>
      </c>
      <c r="I338" s="108">
        <f>G338-H338</f>
        <v/>
      </c>
      <c r="J338" s="111">
        <f>IF(AND(C338="EIP",I338&gt;0),'Deal maths'!Y338/I338,0)</f>
        <v/>
      </c>
      <c r="K338" s="111">
        <f>IF(AND(C338="Annuity",I338&gt;0),IF(F338&gt;0,'Deal maths'!Y338*F338/(1-(1+F338)^-I338),'Deal maths'!Y338/I338),0)</f>
        <v/>
      </c>
      <c r="L338" s="111">
        <f>IF('Deal maths'!Y338="",0,'Deal maths'!Y338)</f>
        <v/>
      </c>
      <c r="M338" s="112">
        <f>F338+(F338=0)</f>
        <v/>
      </c>
      <c r="N338" s="108">
        <f>IFERROR(IF(D338=0,0,INT(((YEAR('Deal maths'!AA338)-YEAR(E338))*12+MONTH('Deal maths'!AA338)-MONTH(E338)-(DAY('Deal maths'!AA338)&lt;MIN(R338,DAY(EOMONTH('Deal maths'!AA338,0)))))/D338)+1),0)</f>
        <v/>
      </c>
      <c r="O338" s="108">
        <f>IFERROR(IF(D338=0,0,IF(IF(DAY(E338+1)=1,EOMONTH(E338,(N338-1)*D338),EDATE(E338,(N338-1)*D338))='Deal maths'!AA338,0,1)),0)</f>
        <v/>
      </c>
      <c r="P338" s="113">
        <f>IF(B338=0,0,IFERROR(IF(C338="EIP",((I338-O338)*((IF(DAY(E338+1)=1,EOMONTH(E338,H338*D338),EDATE(E338,H338*D338))-AsAt)/365.25+(IF(DAY(E338+1)=1,EOMONTH(E338,(N338-1)*D338),EDATE(E338,(N338-1)*D338))-AsAt)/365.25)/2+O338*('Deal maths'!AA338-AsAt)/365.25)/I338,IF(C338="Annuity",IF(F338&gt;0,((K338-L338*F338)*((IF(DAY(E338+1)=1,EOMONTH(E338,H338*D338),EDATE(E338,H338*D338))-AsAt)/365.25*((1+F338)^(I338-O338)-1)/F338+IF((I338-O338)&gt;1,((IF(DAY(E338+1)=1,EOMONTH(E338,(N338-1)*D338),EDATE(E338,(N338-1)*D338))-AsAt)/365.25-(IF(DAY(E338+1)=1,EOMONTH(E338,H338*D338),EDATE(E338,H338*D338))-AsAt)/365.25)/((I338-O338)-1),0)*(1+F338)*(1-(I338-O338)*(1+F338)^((I338-O338)-1)+((I338-O338)-1)*(1+F338)^(I338-O338))/F338^2)+O338*(K338-L338*F338)*(1+F338)^(I338-1)*('Deal maths'!AA338-AsAt)/365.25)/L338,((I338-O338)*((IF(DAY(E338+1)=1,EOMONTH(E338,H338*D338),EDATE(E338,H338*D338))-AsAt)/365.25+(IF(DAY(E338+1)=1,EOMONTH(E338,(N338-1)*D338),EDATE(E338,(N338-1)*D338))-AsAt)/365.25)/2+O338*('Deal maths'!AA338-AsAt)/365.25)/I338),(S338-AsAt)/365.25)),0))</f>
        <v/>
      </c>
      <c r="Q338" s="109">
        <f>IF(B338=1,'Deal maths'!AA338+ROW()/1000000,"")</f>
        <v/>
      </c>
      <c r="R338" s="108">
        <f>IF(D338=0,0,IF(DAY(E338+1)=1,31,DAY(E338)))</f>
        <v/>
      </c>
      <c r="S338" s="109">
        <f>IF(AND('Deal maths'!V338="LOBO",'Deal maths'!AG338&gt;AsAt,'Deal maths'!AG338&lt;'Deal maths'!AA338),'Deal maths'!AG338,'Deal maths'!AA338)</f>
        <v/>
      </c>
      <c r="T338" s="108">
        <f>('Deal maths'!AA338&gt;AsAt)*('Deal maths'!Y338&gt;0)</f>
        <v/>
      </c>
    </row>
    <row r="339">
      <c r="A339" s="91">
        <f>IF('Deal maths'!V339="","",'Deal maths'!W339)</f>
        <v/>
      </c>
      <c r="B339" s="108">
        <f>('Deal maths'!AA339&gt;AsAt)*('Deal maths'!Y339&gt;0)*('Deal maths'!Z339&lt;=AsAt)</f>
        <v/>
      </c>
      <c r="C339" s="91">
        <f>IF('Deal maths'!V339="","",IF('Deal maths'!AC339="","Maturity",'Deal maths'!AC339))</f>
        <v/>
      </c>
      <c r="D339" s="108">
        <f>IF(OR(C339="EIP",C339="Annuity"),IF('Deal maths'!AD339="Annual",12,IF('Deal maths'!AD339="Quarterly",3,6)),0)</f>
        <v/>
      </c>
      <c r="E339" s="109">
        <f>IFERROR(IF(D339=0,0,IF('Deal maths'!AE339&gt;0,IF('Deal maths'!AE339&gt;'Deal maths'!AA339,'Deal maths'!AA339,'Deal maths'!AE339),IF(IF(DAY('Deal maths'!AA339+1)=1,EOMONTH('Deal maths'!AA339,-(INT(((YEAR('Deal maths'!AA339)-YEAR(IF('Deal maths'!Z339&gt;0,'Deal maths'!Z339,DATE(1990,1,1))))*12+MONTH('Deal maths'!AA339)-MONTH(IF('Deal maths'!Z339&gt;0,'Deal maths'!Z339,DATE(1990,1,1))))/D339))*D339),EDATE('Deal maths'!AA339,-(INT(((YEAR('Deal maths'!AA339)-YEAR(IF('Deal maths'!Z339&gt;0,'Deal maths'!Z339,DATE(1990,1,1))))*12+MONTH('Deal maths'!AA339)-MONTH(IF('Deal maths'!Z339&gt;0,'Deal maths'!Z339,DATE(1990,1,1))))/D339))*D339))&gt;IF('Deal maths'!Z339&gt;0,'Deal maths'!Z339,DATE(1990,1,1)),IF(DAY('Deal maths'!AA339+1)=1,EOMONTH('Deal maths'!AA339,-(INT(((YEAR('Deal maths'!AA339)-YEAR(IF('Deal maths'!Z339&gt;0,'Deal maths'!Z339,DATE(1990,1,1))))*12+MONTH('Deal maths'!AA339)-MONTH(IF('Deal maths'!Z339&gt;0,'Deal maths'!Z339,DATE(1990,1,1))))/D339))*D339),EDATE('Deal maths'!AA339,-(INT(((YEAR('Deal maths'!AA339)-YEAR(IF('Deal maths'!Z339&gt;0,'Deal maths'!Z339,DATE(1990,1,1))))*12+MONTH('Deal maths'!AA339)-MONTH(IF('Deal maths'!Z339&gt;0,'Deal maths'!Z339,DATE(1990,1,1))))/D339))*D339)),IF(DAY('Deal maths'!AA339+1)=1,EOMONTH('Deal maths'!AA339,-(INT(((YEAR('Deal maths'!AA339)-YEAR(IF('Deal maths'!Z339&gt;0,'Deal maths'!Z339,DATE(1990,1,1))))*12+MONTH('Deal maths'!AA339)-MONTH(IF('Deal maths'!Z339&gt;0,'Deal maths'!Z339,DATE(1990,1,1))))/D339)-1)*D339),EDATE('Deal maths'!AA339,-(INT(((YEAR('Deal maths'!AA339)-YEAR(IF('Deal maths'!Z339&gt;0,'Deal maths'!Z339,DATE(1990,1,1))))*12+MONTH('Deal maths'!AA339)-MONTH(IF('Deal maths'!Z339&gt;0,'Deal maths'!Z339,DATE(1990,1,1))))/D339)-1)*D339))))),0)</f>
        <v/>
      </c>
      <c r="F339" s="110">
        <f>IF(D339=0,0,'Deal maths'!AB339*D339/12)</f>
        <v/>
      </c>
      <c r="G339" s="108">
        <f>N339+O339</f>
        <v/>
      </c>
      <c r="H339" s="108">
        <f>IFERROR(IF(OR(D339=0,AsAt&lt;E339),0,MIN(N339,INT(((YEAR(AsAt)-YEAR(E339))*12+MONTH(AsAt)-MONTH(E339)-(DAY(AsAt)&lt;MIN(R339,DAY(EOMONTH(AsAt,0)))))/D339)+1)+O339*(AsAt&gt;='Deal maths'!AA339)),0)</f>
        <v/>
      </c>
      <c r="I339" s="108">
        <f>G339-H339</f>
        <v/>
      </c>
      <c r="J339" s="111">
        <f>IF(AND(C339="EIP",I339&gt;0),'Deal maths'!Y339/I339,0)</f>
        <v/>
      </c>
      <c r="K339" s="111">
        <f>IF(AND(C339="Annuity",I339&gt;0),IF(F339&gt;0,'Deal maths'!Y339*F339/(1-(1+F339)^-I339),'Deal maths'!Y339/I339),0)</f>
        <v/>
      </c>
      <c r="L339" s="111">
        <f>IF('Deal maths'!Y339="",0,'Deal maths'!Y339)</f>
        <v/>
      </c>
      <c r="M339" s="112">
        <f>F339+(F339=0)</f>
        <v/>
      </c>
      <c r="N339" s="108">
        <f>IFERROR(IF(D339=0,0,INT(((YEAR('Deal maths'!AA339)-YEAR(E339))*12+MONTH('Deal maths'!AA339)-MONTH(E339)-(DAY('Deal maths'!AA339)&lt;MIN(R339,DAY(EOMONTH('Deal maths'!AA339,0)))))/D339)+1),0)</f>
        <v/>
      </c>
      <c r="O339" s="108">
        <f>IFERROR(IF(D339=0,0,IF(IF(DAY(E339+1)=1,EOMONTH(E339,(N339-1)*D339),EDATE(E339,(N339-1)*D339))='Deal maths'!AA339,0,1)),0)</f>
        <v/>
      </c>
      <c r="P339" s="113">
        <f>IF(B339=0,0,IFERROR(IF(C339="EIP",((I339-O339)*((IF(DAY(E339+1)=1,EOMONTH(E339,H339*D339),EDATE(E339,H339*D339))-AsAt)/365.25+(IF(DAY(E339+1)=1,EOMONTH(E339,(N339-1)*D339),EDATE(E339,(N339-1)*D339))-AsAt)/365.25)/2+O339*('Deal maths'!AA339-AsAt)/365.25)/I339,IF(C339="Annuity",IF(F339&gt;0,((K339-L339*F339)*((IF(DAY(E339+1)=1,EOMONTH(E339,H339*D339),EDATE(E339,H339*D339))-AsAt)/365.25*((1+F339)^(I339-O339)-1)/F339+IF((I339-O339)&gt;1,((IF(DAY(E339+1)=1,EOMONTH(E339,(N339-1)*D339),EDATE(E339,(N339-1)*D339))-AsAt)/365.25-(IF(DAY(E339+1)=1,EOMONTH(E339,H339*D339),EDATE(E339,H339*D339))-AsAt)/365.25)/((I339-O339)-1),0)*(1+F339)*(1-(I339-O339)*(1+F339)^((I339-O339)-1)+((I339-O339)-1)*(1+F339)^(I339-O339))/F339^2)+O339*(K339-L339*F339)*(1+F339)^(I339-1)*('Deal maths'!AA339-AsAt)/365.25)/L339,((I339-O339)*((IF(DAY(E339+1)=1,EOMONTH(E339,H339*D339),EDATE(E339,H339*D339))-AsAt)/365.25+(IF(DAY(E339+1)=1,EOMONTH(E339,(N339-1)*D339),EDATE(E339,(N339-1)*D339))-AsAt)/365.25)/2+O339*('Deal maths'!AA339-AsAt)/365.25)/I339),(S339-AsAt)/365.25)),0))</f>
        <v/>
      </c>
      <c r="Q339" s="109">
        <f>IF(B339=1,'Deal maths'!AA339+ROW()/1000000,"")</f>
        <v/>
      </c>
      <c r="R339" s="108">
        <f>IF(D339=0,0,IF(DAY(E339+1)=1,31,DAY(E339)))</f>
        <v/>
      </c>
      <c r="S339" s="109">
        <f>IF(AND('Deal maths'!V339="LOBO",'Deal maths'!AG339&gt;AsAt,'Deal maths'!AG339&lt;'Deal maths'!AA339),'Deal maths'!AG339,'Deal maths'!AA339)</f>
        <v/>
      </c>
      <c r="T339" s="108">
        <f>('Deal maths'!AA339&gt;AsAt)*('Deal maths'!Y339&gt;0)</f>
        <v/>
      </c>
    </row>
    <row r="340">
      <c r="A340" s="91">
        <f>IF('Deal maths'!V340="","",'Deal maths'!W340)</f>
        <v/>
      </c>
      <c r="B340" s="108">
        <f>('Deal maths'!AA340&gt;AsAt)*('Deal maths'!Y340&gt;0)*('Deal maths'!Z340&lt;=AsAt)</f>
        <v/>
      </c>
      <c r="C340" s="91">
        <f>IF('Deal maths'!V340="","",IF('Deal maths'!AC340="","Maturity",'Deal maths'!AC340))</f>
        <v/>
      </c>
      <c r="D340" s="108">
        <f>IF(OR(C340="EIP",C340="Annuity"),IF('Deal maths'!AD340="Annual",12,IF('Deal maths'!AD340="Quarterly",3,6)),0)</f>
        <v/>
      </c>
      <c r="E340" s="109">
        <f>IFERROR(IF(D340=0,0,IF('Deal maths'!AE340&gt;0,IF('Deal maths'!AE340&gt;'Deal maths'!AA340,'Deal maths'!AA340,'Deal maths'!AE340),IF(IF(DAY('Deal maths'!AA340+1)=1,EOMONTH('Deal maths'!AA340,-(INT(((YEAR('Deal maths'!AA340)-YEAR(IF('Deal maths'!Z340&gt;0,'Deal maths'!Z340,DATE(1990,1,1))))*12+MONTH('Deal maths'!AA340)-MONTH(IF('Deal maths'!Z340&gt;0,'Deal maths'!Z340,DATE(1990,1,1))))/D340))*D340),EDATE('Deal maths'!AA340,-(INT(((YEAR('Deal maths'!AA340)-YEAR(IF('Deal maths'!Z340&gt;0,'Deal maths'!Z340,DATE(1990,1,1))))*12+MONTH('Deal maths'!AA340)-MONTH(IF('Deal maths'!Z340&gt;0,'Deal maths'!Z340,DATE(1990,1,1))))/D340))*D340))&gt;IF('Deal maths'!Z340&gt;0,'Deal maths'!Z340,DATE(1990,1,1)),IF(DAY('Deal maths'!AA340+1)=1,EOMONTH('Deal maths'!AA340,-(INT(((YEAR('Deal maths'!AA340)-YEAR(IF('Deal maths'!Z340&gt;0,'Deal maths'!Z340,DATE(1990,1,1))))*12+MONTH('Deal maths'!AA340)-MONTH(IF('Deal maths'!Z340&gt;0,'Deal maths'!Z340,DATE(1990,1,1))))/D340))*D340),EDATE('Deal maths'!AA340,-(INT(((YEAR('Deal maths'!AA340)-YEAR(IF('Deal maths'!Z340&gt;0,'Deal maths'!Z340,DATE(1990,1,1))))*12+MONTH('Deal maths'!AA340)-MONTH(IF('Deal maths'!Z340&gt;0,'Deal maths'!Z340,DATE(1990,1,1))))/D340))*D340)),IF(DAY('Deal maths'!AA340+1)=1,EOMONTH('Deal maths'!AA340,-(INT(((YEAR('Deal maths'!AA340)-YEAR(IF('Deal maths'!Z340&gt;0,'Deal maths'!Z340,DATE(1990,1,1))))*12+MONTH('Deal maths'!AA340)-MONTH(IF('Deal maths'!Z340&gt;0,'Deal maths'!Z340,DATE(1990,1,1))))/D340)-1)*D340),EDATE('Deal maths'!AA340,-(INT(((YEAR('Deal maths'!AA340)-YEAR(IF('Deal maths'!Z340&gt;0,'Deal maths'!Z340,DATE(1990,1,1))))*12+MONTH('Deal maths'!AA340)-MONTH(IF('Deal maths'!Z340&gt;0,'Deal maths'!Z340,DATE(1990,1,1))))/D340)-1)*D340))))),0)</f>
        <v/>
      </c>
      <c r="F340" s="110">
        <f>IF(D340=0,0,'Deal maths'!AB340*D340/12)</f>
        <v/>
      </c>
      <c r="G340" s="108">
        <f>N340+O340</f>
        <v/>
      </c>
      <c r="H340" s="108">
        <f>IFERROR(IF(OR(D340=0,AsAt&lt;E340),0,MIN(N340,INT(((YEAR(AsAt)-YEAR(E340))*12+MONTH(AsAt)-MONTH(E340)-(DAY(AsAt)&lt;MIN(R340,DAY(EOMONTH(AsAt,0)))))/D340)+1)+O340*(AsAt&gt;='Deal maths'!AA340)),0)</f>
        <v/>
      </c>
      <c r="I340" s="108">
        <f>G340-H340</f>
        <v/>
      </c>
      <c r="J340" s="111">
        <f>IF(AND(C340="EIP",I340&gt;0),'Deal maths'!Y340/I340,0)</f>
        <v/>
      </c>
      <c r="K340" s="111">
        <f>IF(AND(C340="Annuity",I340&gt;0),IF(F340&gt;0,'Deal maths'!Y340*F340/(1-(1+F340)^-I340),'Deal maths'!Y340/I340),0)</f>
        <v/>
      </c>
      <c r="L340" s="111">
        <f>IF('Deal maths'!Y340="",0,'Deal maths'!Y340)</f>
        <v/>
      </c>
      <c r="M340" s="112">
        <f>F340+(F340=0)</f>
        <v/>
      </c>
      <c r="N340" s="108">
        <f>IFERROR(IF(D340=0,0,INT(((YEAR('Deal maths'!AA340)-YEAR(E340))*12+MONTH('Deal maths'!AA340)-MONTH(E340)-(DAY('Deal maths'!AA340)&lt;MIN(R340,DAY(EOMONTH('Deal maths'!AA340,0)))))/D340)+1),0)</f>
        <v/>
      </c>
      <c r="O340" s="108">
        <f>IFERROR(IF(D340=0,0,IF(IF(DAY(E340+1)=1,EOMONTH(E340,(N340-1)*D340),EDATE(E340,(N340-1)*D340))='Deal maths'!AA340,0,1)),0)</f>
        <v/>
      </c>
      <c r="P340" s="113">
        <f>IF(B340=0,0,IFERROR(IF(C340="EIP",((I340-O340)*((IF(DAY(E340+1)=1,EOMONTH(E340,H340*D340),EDATE(E340,H340*D340))-AsAt)/365.25+(IF(DAY(E340+1)=1,EOMONTH(E340,(N340-1)*D340),EDATE(E340,(N340-1)*D340))-AsAt)/365.25)/2+O340*('Deal maths'!AA340-AsAt)/365.25)/I340,IF(C340="Annuity",IF(F340&gt;0,((K340-L340*F340)*((IF(DAY(E340+1)=1,EOMONTH(E340,H340*D340),EDATE(E340,H340*D340))-AsAt)/365.25*((1+F340)^(I340-O340)-1)/F340+IF((I340-O340)&gt;1,((IF(DAY(E340+1)=1,EOMONTH(E340,(N340-1)*D340),EDATE(E340,(N340-1)*D340))-AsAt)/365.25-(IF(DAY(E340+1)=1,EOMONTH(E340,H340*D340),EDATE(E340,H340*D340))-AsAt)/365.25)/((I340-O340)-1),0)*(1+F340)*(1-(I340-O340)*(1+F340)^((I340-O340)-1)+((I340-O340)-1)*(1+F340)^(I340-O340))/F340^2)+O340*(K340-L340*F340)*(1+F340)^(I340-1)*('Deal maths'!AA340-AsAt)/365.25)/L340,((I340-O340)*((IF(DAY(E340+1)=1,EOMONTH(E340,H340*D340),EDATE(E340,H340*D340))-AsAt)/365.25+(IF(DAY(E340+1)=1,EOMONTH(E340,(N340-1)*D340),EDATE(E340,(N340-1)*D340))-AsAt)/365.25)/2+O340*('Deal maths'!AA340-AsAt)/365.25)/I340),(S340-AsAt)/365.25)),0))</f>
        <v/>
      </c>
      <c r="Q340" s="109">
        <f>IF(B340=1,'Deal maths'!AA340+ROW()/1000000,"")</f>
        <v/>
      </c>
      <c r="R340" s="108">
        <f>IF(D340=0,0,IF(DAY(E340+1)=1,31,DAY(E340)))</f>
        <v/>
      </c>
      <c r="S340" s="109">
        <f>IF(AND('Deal maths'!V340="LOBO",'Deal maths'!AG340&gt;AsAt,'Deal maths'!AG340&lt;'Deal maths'!AA340),'Deal maths'!AG340,'Deal maths'!AA340)</f>
        <v/>
      </c>
      <c r="T340" s="108">
        <f>('Deal maths'!AA340&gt;AsAt)*('Deal maths'!Y340&gt;0)</f>
        <v/>
      </c>
    </row>
    <row r="341">
      <c r="A341" s="91">
        <f>IF('Deal maths'!V341="","",'Deal maths'!W341)</f>
        <v/>
      </c>
      <c r="B341" s="108">
        <f>('Deal maths'!AA341&gt;AsAt)*('Deal maths'!Y341&gt;0)*('Deal maths'!Z341&lt;=AsAt)</f>
        <v/>
      </c>
      <c r="C341" s="91">
        <f>IF('Deal maths'!V341="","",IF('Deal maths'!AC341="","Maturity",'Deal maths'!AC341))</f>
        <v/>
      </c>
      <c r="D341" s="108">
        <f>IF(OR(C341="EIP",C341="Annuity"),IF('Deal maths'!AD341="Annual",12,IF('Deal maths'!AD341="Quarterly",3,6)),0)</f>
        <v/>
      </c>
      <c r="E341" s="109">
        <f>IFERROR(IF(D341=0,0,IF('Deal maths'!AE341&gt;0,IF('Deal maths'!AE341&gt;'Deal maths'!AA341,'Deal maths'!AA341,'Deal maths'!AE341),IF(IF(DAY('Deal maths'!AA341+1)=1,EOMONTH('Deal maths'!AA341,-(INT(((YEAR('Deal maths'!AA341)-YEAR(IF('Deal maths'!Z341&gt;0,'Deal maths'!Z341,DATE(1990,1,1))))*12+MONTH('Deal maths'!AA341)-MONTH(IF('Deal maths'!Z341&gt;0,'Deal maths'!Z341,DATE(1990,1,1))))/D341))*D341),EDATE('Deal maths'!AA341,-(INT(((YEAR('Deal maths'!AA341)-YEAR(IF('Deal maths'!Z341&gt;0,'Deal maths'!Z341,DATE(1990,1,1))))*12+MONTH('Deal maths'!AA341)-MONTH(IF('Deal maths'!Z341&gt;0,'Deal maths'!Z341,DATE(1990,1,1))))/D341))*D341))&gt;IF('Deal maths'!Z341&gt;0,'Deal maths'!Z341,DATE(1990,1,1)),IF(DAY('Deal maths'!AA341+1)=1,EOMONTH('Deal maths'!AA341,-(INT(((YEAR('Deal maths'!AA341)-YEAR(IF('Deal maths'!Z341&gt;0,'Deal maths'!Z341,DATE(1990,1,1))))*12+MONTH('Deal maths'!AA341)-MONTH(IF('Deal maths'!Z341&gt;0,'Deal maths'!Z341,DATE(1990,1,1))))/D341))*D341),EDATE('Deal maths'!AA341,-(INT(((YEAR('Deal maths'!AA341)-YEAR(IF('Deal maths'!Z341&gt;0,'Deal maths'!Z341,DATE(1990,1,1))))*12+MONTH('Deal maths'!AA341)-MONTH(IF('Deal maths'!Z341&gt;0,'Deal maths'!Z341,DATE(1990,1,1))))/D341))*D341)),IF(DAY('Deal maths'!AA341+1)=1,EOMONTH('Deal maths'!AA341,-(INT(((YEAR('Deal maths'!AA341)-YEAR(IF('Deal maths'!Z341&gt;0,'Deal maths'!Z341,DATE(1990,1,1))))*12+MONTH('Deal maths'!AA341)-MONTH(IF('Deal maths'!Z341&gt;0,'Deal maths'!Z341,DATE(1990,1,1))))/D341)-1)*D341),EDATE('Deal maths'!AA341,-(INT(((YEAR('Deal maths'!AA341)-YEAR(IF('Deal maths'!Z341&gt;0,'Deal maths'!Z341,DATE(1990,1,1))))*12+MONTH('Deal maths'!AA341)-MONTH(IF('Deal maths'!Z341&gt;0,'Deal maths'!Z341,DATE(1990,1,1))))/D341)-1)*D341))))),0)</f>
        <v/>
      </c>
      <c r="F341" s="110">
        <f>IF(D341=0,0,'Deal maths'!AB341*D341/12)</f>
        <v/>
      </c>
      <c r="G341" s="108">
        <f>N341+O341</f>
        <v/>
      </c>
      <c r="H341" s="108">
        <f>IFERROR(IF(OR(D341=0,AsAt&lt;E341),0,MIN(N341,INT(((YEAR(AsAt)-YEAR(E341))*12+MONTH(AsAt)-MONTH(E341)-(DAY(AsAt)&lt;MIN(R341,DAY(EOMONTH(AsAt,0)))))/D341)+1)+O341*(AsAt&gt;='Deal maths'!AA341)),0)</f>
        <v/>
      </c>
      <c r="I341" s="108">
        <f>G341-H341</f>
        <v/>
      </c>
      <c r="J341" s="111">
        <f>IF(AND(C341="EIP",I341&gt;0),'Deal maths'!Y341/I341,0)</f>
        <v/>
      </c>
      <c r="K341" s="111">
        <f>IF(AND(C341="Annuity",I341&gt;0),IF(F341&gt;0,'Deal maths'!Y341*F341/(1-(1+F341)^-I341),'Deal maths'!Y341/I341),0)</f>
        <v/>
      </c>
      <c r="L341" s="111">
        <f>IF('Deal maths'!Y341="",0,'Deal maths'!Y341)</f>
        <v/>
      </c>
      <c r="M341" s="112">
        <f>F341+(F341=0)</f>
        <v/>
      </c>
      <c r="N341" s="108">
        <f>IFERROR(IF(D341=0,0,INT(((YEAR('Deal maths'!AA341)-YEAR(E341))*12+MONTH('Deal maths'!AA341)-MONTH(E341)-(DAY('Deal maths'!AA341)&lt;MIN(R341,DAY(EOMONTH('Deal maths'!AA341,0)))))/D341)+1),0)</f>
        <v/>
      </c>
      <c r="O341" s="108">
        <f>IFERROR(IF(D341=0,0,IF(IF(DAY(E341+1)=1,EOMONTH(E341,(N341-1)*D341),EDATE(E341,(N341-1)*D341))='Deal maths'!AA341,0,1)),0)</f>
        <v/>
      </c>
      <c r="P341" s="113">
        <f>IF(B341=0,0,IFERROR(IF(C341="EIP",((I341-O341)*((IF(DAY(E341+1)=1,EOMONTH(E341,H341*D341),EDATE(E341,H341*D341))-AsAt)/365.25+(IF(DAY(E341+1)=1,EOMONTH(E341,(N341-1)*D341),EDATE(E341,(N341-1)*D341))-AsAt)/365.25)/2+O341*('Deal maths'!AA341-AsAt)/365.25)/I341,IF(C341="Annuity",IF(F341&gt;0,((K341-L341*F341)*((IF(DAY(E341+1)=1,EOMONTH(E341,H341*D341),EDATE(E341,H341*D341))-AsAt)/365.25*((1+F341)^(I341-O341)-1)/F341+IF((I341-O341)&gt;1,((IF(DAY(E341+1)=1,EOMONTH(E341,(N341-1)*D341),EDATE(E341,(N341-1)*D341))-AsAt)/365.25-(IF(DAY(E341+1)=1,EOMONTH(E341,H341*D341),EDATE(E341,H341*D341))-AsAt)/365.25)/((I341-O341)-1),0)*(1+F341)*(1-(I341-O341)*(1+F341)^((I341-O341)-1)+((I341-O341)-1)*(1+F341)^(I341-O341))/F341^2)+O341*(K341-L341*F341)*(1+F341)^(I341-1)*('Deal maths'!AA341-AsAt)/365.25)/L341,((I341-O341)*((IF(DAY(E341+1)=1,EOMONTH(E341,H341*D341),EDATE(E341,H341*D341))-AsAt)/365.25+(IF(DAY(E341+1)=1,EOMONTH(E341,(N341-1)*D341),EDATE(E341,(N341-1)*D341))-AsAt)/365.25)/2+O341*('Deal maths'!AA341-AsAt)/365.25)/I341),(S341-AsAt)/365.25)),0))</f>
        <v/>
      </c>
      <c r="Q341" s="109">
        <f>IF(B341=1,'Deal maths'!AA341+ROW()/1000000,"")</f>
        <v/>
      </c>
      <c r="R341" s="108">
        <f>IF(D341=0,0,IF(DAY(E341+1)=1,31,DAY(E341)))</f>
        <v/>
      </c>
      <c r="S341" s="109">
        <f>IF(AND('Deal maths'!V341="LOBO",'Deal maths'!AG341&gt;AsAt,'Deal maths'!AG341&lt;'Deal maths'!AA341),'Deal maths'!AG341,'Deal maths'!AA341)</f>
        <v/>
      </c>
      <c r="T341" s="108">
        <f>('Deal maths'!AA341&gt;AsAt)*('Deal maths'!Y341&gt;0)</f>
        <v/>
      </c>
    </row>
    <row r="342">
      <c r="A342" s="91">
        <f>IF('Deal maths'!V342="","",'Deal maths'!W342)</f>
        <v/>
      </c>
      <c r="B342" s="108">
        <f>('Deal maths'!AA342&gt;AsAt)*('Deal maths'!Y342&gt;0)*('Deal maths'!Z342&lt;=AsAt)</f>
        <v/>
      </c>
      <c r="C342" s="91">
        <f>IF('Deal maths'!V342="","",IF('Deal maths'!AC342="","Maturity",'Deal maths'!AC342))</f>
        <v/>
      </c>
      <c r="D342" s="108">
        <f>IF(OR(C342="EIP",C342="Annuity"),IF('Deal maths'!AD342="Annual",12,IF('Deal maths'!AD342="Quarterly",3,6)),0)</f>
        <v/>
      </c>
      <c r="E342" s="109">
        <f>IFERROR(IF(D342=0,0,IF('Deal maths'!AE342&gt;0,IF('Deal maths'!AE342&gt;'Deal maths'!AA342,'Deal maths'!AA342,'Deal maths'!AE342),IF(IF(DAY('Deal maths'!AA342+1)=1,EOMONTH('Deal maths'!AA342,-(INT(((YEAR('Deal maths'!AA342)-YEAR(IF('Deal maths'!Z342&gt;0,'Deal maths'!Z342,DATE(1990,1,1))))*12+MONTH('Deal maths'!AA342)-MONTH(IF('Deal maths'!Z342&gt;0,'Deal maths'!Z342,DATE(1990,1,1))))/D342))*D342),EDATE('Deal maths'!AA342,-(INT(((YEAR('Deal maths'!AA342)-YEAR(IF('Deal maths'!Z342&gt;0,'Deal maths'!Z342,DATE(1990,1,1))))*12+MONTH('Deal maths'!AA342)-MONTH(IF('Deal maths'!Z342&gt;0,'Deal maths'!Z342,DATE(1990,1,1))))/D342))*D342))&gt;IF('Deal maths'!Z342&gt;0,'Deal maths'!Z342,DATE(1990,1,1)),IF(DAY('Deal maths'!AA342+1)=1,EOMONTH('Deal maths'!AA342,-(INT(((YEAR('Deal maths'!AA342)-YEAR(IF('Deal maths'!Z342&gt;0,'Deal maths'!Z342,DATE(1990,1,1))))*12+MONTH('Deal maths'!AA342)-MONTH(IF('Deal maths'!Z342&gt;0,'Deal maths'!Z342,DATE(1990,1,1))))/D342))*D342),EDATE('Deal maths'!AA342,-(INT(((YEAR('Deal maths'!AA342)-YEAR(IF('Deal maths'!Z342&gt;0,'Deal maths'!Z342,DATE(1990,1,1))))*12+MONTH('Deal maths'!AA342)-MONTH(IF('Deal maths'!Z342&gt;0,'Deal maths'!Z342,DATE(1990,1,1))))/D342))*D342)),IF(DAY('Deal maths'!AA342+1)=1,EOMONTH('Deal maths'!AA342,-(INT(((YEAR('Deal maths'!AA342)-YEAR(IF('Deal maths'!Z342&gt;0,'Deal maths'!Z342,DATE(1990,1,1))))*12+MONTH('Deal maths'!AA342)-MONTH(IF('Deal maths'!Z342&gt;0,'Deal maths'!Z342,DATE(1990,1,1))))/D342)-1)*D342),EDATE('Deal maths'!AA342,-(INT(((YEAR('Deal maths'!AA342)-YEAR(IF('Deal maths'!Z342&gt;0,'Deal maths'!Z342,DATE(1990,1,1))))*12+MONTH('Deal maths'!AA342)-MONTH(IF('Deal maths'!Z342&gt;0,'Deal maths'!Z342,DATE(1990,1,1))))/D342)-1)*D342))))),0)</f>
        <v/>
      </c>
      <c r="F342" s="110">
        <f>IF(D342=0,0,'Deal maths'!AB342*D342/12)</f>
        <v/>
      </c>
      <c r="G342" s="108">
        <f>N342+O342</f>
        <v/>
      </c>
      <c r="H342" s="108">
        <f>IFERROR(IF(OR(D342=0,AsAt&lt;E342),0,MIN(N342,INT(((YEAR(AsAt)-YEAR(E342))*12+MONTH(AsAt)-MONTH(E342)-(DAY(AsAt)&lt;MIN(R342,DAY(EOMONTH(AsAt,0)))))/D342)+1)+O342*(AsAt&gt;='Deal maths'!AA342)),0)</f>
        <v/>
      </c>
      <c r="I342" s="108">
        <f>G342-H342</f>
        <v/>
      </c>
      <c r="J342" s="111">
        <f>IF(AND(C342="EIP",I342&gt;0),'Deal maths'!Y342/I342,0)</f>
        <v/>
      </c>
      <c r="K342" s="111">
        <f>IF(AND(C342="Annuity",I342&gt;0),IF(F342&gt;0,'Deal maths'!Y342*F342/(1-(1+F342)^-I342),'Deal maths'!Y342/I342),0)</f>
        <v/>
      </c>
      <c r="L342" s="111">
        <f>IF('Deal maths'!Y342="",0,'Deal maths'!Y342)</f>
        <v/>
      </c>
      <c r="M342" s="112">
        <f>F342+(F342=0)</f>
        <v/>
      </c>
      <c r="N342" s="108">
        <f>IFERROR(IF(D342=0,0,INT(((YEAR('Deal maths'!AA342)-YEAR(E342))*12+MONTH('Deal maths'!AA342)-MONTH(E342)-(DAY('Deal maths'!AA342)&lt;MIN(R342,DAY(EOMONTH('Deal maths'!AA342,0)))))/D342)+1),0)</f>
        <v/>
      </c>
      <c r="O342" s="108">
        <f>IFERROR(IF(D342=0,0,IF(IF(DAY(E342+1)=1,EOMONTH(E342,(N342-1)*D342),EDATE(E342,(N342-1)*D342))='Deal maths'!AA342,0,1)),0)</f>
        <v/>
      </c>
      <c r="P342" s="113">
        <f>IF(B342=0,0,IFERROR(IF(C342="EIP",((I342-O342)*((IF(DAY(E342+1)=1,EOMONTH(E342,H342*D342),EDATE(E342,H342*D342))-AsAt)/365.25+(IF(DAY(E342+1)=1,EOMONTH(E342,(N342-1)*D342),EDATE(E342,(N342-1)*D342))-AsAt)/365.25)/2+O342*('Deal maths'!AA342-AsAt)/365.25)/I342,IF(C342="Annuity",IF(F342&gt;0,((K342-L342*F342)*((IF(DAY(E342+1)=1,EOMONTH(E342,H342*D342),EDATE(E342,H342*D342))-AsAt)/365.25*((1+F342)^(I342-O342)-1)/F342+IF((I342-O342)&gt;1,((IF(DAY(E342+1)=1,EOMONTH(E342,(N342-1)*D342),EDATE(E342,(N342-1)*D342))-AsAt)/365.25-(IF(DAY(E342+1)=1,EOMONTH(E342,H342*D342),EDATE(E342,H342*D342))-AsAt)/365.25)/((I342-O342)-1),0)*(1+F342)*(1-(I342-O342)*(1+F342)^((I342-O342)-1)+((I342-O342)-1)*(1+F342)^(I342-O342))/F342^2)+O342*(K342-L342*F342)*(1+F342)^(I342-1)*('Deal maths'!AA342-AsAt)/365.25)/L342,((I342-O342)*((IF(DAY(E342+1)=1,EOMONTH(E342,H342*D342),EDATE(E342,H342*D342))-AsAt)/365.25+(IF(DAY(E342+1)=1,EOMONTH(E342,(N342-1)*D342),EDATE(E342,(N342-1)*D342))-AsAt)/365.25)/2+O342*('Deal maths'!AA342-AsAt)/365.25)/I342),(S342-AsAt)/365.25)),0))</f>
        <v/>
      </c>
      <c r="Q342" s="109">
        <f>IF(B342=1,'Deal maths'!AA342+ROW()/1000000,"")</f>
        <v/>
      </c>
      <c r="R342" s="108">
        <f>IF(D342=0,0,IF(DAY(E342+1)=1,31,DAY(E342)))</f>
        <v/>
      </c>
      <c r="S342" s="109">
        <f>IF(AND('Deal maths'!V342="LOBO",'Deal maths'!AG342&gt;AsAt,'Deal maths'!AG342&lt;'Deal maths'!AA342),'Deal maths'!AG342,'Deal maths'!AA342)</f>
        <v/>
      </c>
      <c r="T342" s="108">
        <f>('Deal maths'!AA342&gt;AsAt)*('Deal maths'!Y342&gt;0)</f>
        <v/>
      </c>
    </row>
    <row r="343">
      <c r="A343" s="91">
        <f>IF('Deal maths'!V343="","",'Deal maths'!W343)</f>
        <v/>
      </c>
      <c r="B343" s="108">
        <f>('Deal maths'!AA343&gt;AsAt)*('Deal maths'!Y343&gt;0)*('Deal maths'!Z343&lt;=AsAt)</f>
        <v/>
      </c>
      <c r="C343" s="91">
        <f>IF('Deal maths'!V343="","",IF('Deal maths'!AC343="","Maturity",'Deal maths'!AC343))</f>
        <v/>
      </c>
      <c r="D343" s="108">
        <f>IF(OR(C343="EIP",C343="Annuity"),IF('Deal maths'!AD343="Annual",12,IF('Deal maths'!AD343="Quarterly",3,6)),0)</f>
        <v/>
      </c>
      <c r="E343" s="109">
        <f>IFERROR(IF(D343=0,0,IF('Deal maths'!AE343&gt;0,IF('Deal maths'!AE343&gt;'Deal maths'!AA343,'Deal maths'!AA343,'Deal maths'!AE343),IF(IF(DAY('Deal maths'!AA343+1)=1,EOMONTH('Deal maths'!AA343,-(INT(((YEAR('Deal maths'!AA343)-YEAR(IF('Deal maths'!Z343&gt;0,'Deal maths'!Z343,DATE(1990,1,1))))*12+MONTH('Deal maths'!AA343)-MONTH(IF('Deal maths'!Z343&gt;0,'Deal maths'!Z343,DATE(1990,1,1))))/D343))*D343),EDATE('Deal maths'!AA343,-(INT(((YEAR('Deal maths'!AA343)-YEAR(IF('Deal maths'!Z343&gt;0,'Deal maths'!Z343,DATE(1990,1,1))))*12+MONTH('Deal maths'!AA343)-MONTH(IF('Deal maths'!Z343&gt;0,'Deal maths'!Z343,DATE(1990,1,1))))/D343))*D343))&gt;IF('Deal maths'!Z343&gt;0,'Deal maths'!Z343,DATE(1990,1,1)),IF(DAY('Deal maths'!AA343+1)=1,EOMONTH('Deal maths'!AA343,-(INT(((YEAR('Deal maths'!AA343)-YEAR(IF('Deal maths'!Z343&gt;0,'Deal maths'!Z343,DATE(1990,1,1))))*12+MONTH('Deal maths'!AA343)-MONTH(IF('Deal maths'!Z343&gt;0,'Deal maths'!Z343,DATE(1990,1,1))))/D343))*D343),EDATE('Deal maths'!AA343,-(INT(((YEAR('Deal maths'!AA343)-YEAR(IF('Deal maths'!Z343&gt;0,'Deal maths'!Z343,DATE(1990,1,1))))*12+MONTH('Deal maths'!AA343)-MONTH(IF('Deal maths'!Z343&gt;0,'Deal maths'!Z343,DATE(1990,1,1))))/D343))*D343)),IF(DAY('Deal maths'!AA343+1)=1,EOMONTH('Deal maths'!AA343,-(INT(((YEAR('Deal maths'!AA343)-YEAR(IF('Deal maths'!Z343&gt;0,'Deal maths'!Z343,DATE(1990,1,1))))*12+MONTH('Deal maths'!AA343)-MONTH(IF('Deal maths'!Z343&gt;0,'Deal maths'!Z343,DATE(1990,1,1))))/D343)-1)*D343),EDATE('Deal maths'!AA343,-(INT(((YEAR('Deal maths'!AA343)-YEAR(IF('Deal maths'!Z343&gt;0,'Deal maths'!Z343,DATE(1990,1,1))))*12+MONTH('Deal maths'!AA343)-MONTH(IF('Deal maths'!Z343&gt;0,'Deal maths'!Z343,DATE(1990,1,1))))/D343)-1)*D343))))),0)</f>
        <v/>
      </c>
      <c r="F343" s="110">
        <f>IF(D343=0,0,'Deal maths'!AB343*D343/12)</f>
        <v/>
      </c>
      <c r="G343" s="108">
        <f>N343+O343</f>
        <v/>
      </c>
      <c r="H343" s="108">
        <f>IFERROR(IF(OR(D343=0,AsAt&lt;E343),0,MIN(N343,INT(((YEAR(AsAt)-YEAR(E343))*12+MONTH(AsAt)-MONTH(E343)-(DAY(AsAt)&lt;MIN(R343,DAY(EOMONTH(AsAt,0)))))/D343)+1)+O343*(AsAt&gt;='Deal maths'!AA343)),0)</f>
        <v/>
      </c>
      <c r="I343" s="108">
        <f>G343-H343</f>
        <v/>
      </c>
      <c r="J343" s="111">
        <f>IF(AND(C343="EIP",I343&gt;0),'Deal maths'!Y343/I343,0)</f>
        <v/>
      </c>
      <c r="K343" s="111">
        <f>IF(AND(C343="Annuity",I343&gt;0),IF(F343&gt;0,'Deal maths'!Y343*F343/(1-(1+F343)^-I343),'Deal maths'!Y343/I343),0)</f>
        <v/>
      </c>
      <c r="L343" s="111">
        <f>IF('Deal maths'!Y343="",0,'Deal maths'!Y343)</f>
        <v/>
      </c>
      <c r="M343" s="112">
        <f>F343+(F343=0)</f>
        <v/>
      </c>
      <c r="N343" s="108">
        <f>IFERROR(IF(D343=0,0,INT(((YEAR('Deal maths'!AA343)-YEAR(E343))*12+MONTH('Deal maths'!AA343)-MONTH(E343)-(DAY('Deal maths'!AA343)&lt;MIN(R343,DAY(EOMONTH('Deal maths'!AA343,0)))))/D343)+1),0)</f>
        <v/>
      </c>
      <c r="O343" s="108">
        <f>IFERROR(IF(D343=0,0,IF(IF(DAY(E343+1)=1,EOMONTH(E343,(N343-1)*D343),EDATE(E343,(N343-1)*D343))='Deal maths'!AA343,0,1)),0)</f>
        <v/>
      </c>
      <c r="P343" s="113">
        <f>IF(B343=0,0,IFERROR(IF(C343="EIP",((I343-O343)*((IF(DAY(E343+1)=1,EOMONTH(E343,H343*D343),EDATE(E343,H343*D343))-AsAt)/365.25+(IF(DAY(E343+1)=1,EOMONTH(E343,(N343-1)*D343),EDATE(E343,(N343-1)*D343))-AsAt)/365.25)/2+O343*('Deal maths'!AA343-AsAt)/365.25)/I343,IF(C343="Annuity",IF(F343&gt;0,((K343-L343*F343)*((IF(DAY(E343+1)=1,EOMONTH(E343,H343*D343),EDATE(E343,H343*D343))-AsAt)/365.25*((1+F343)^(I343-O343)-1)/F343+IF((I343-O343)&gt;1,((IF(DAY(E343+1)=1,EOMONTH(E343,(N343-1)*D343),EDATE(E343,(N343-1)*D343))-AsAt)/365.25-(IF(DAY(E343+1)=1,EOMONTH(E343,H343*D343),EDATE(E343,H343*D343))-AsAt)/365.25)/((I343-O343)-1),0)*(1+F343)*(1-(I343-O343)*(1+F343)^((I343-O343)-1)+((I343-O343)-1)*(1+F343)^(I343-O343))/F343^2)+O343*(K343-L343*F343)*(1+F343)^(I343-1)*('Deal maths'!AA343-AsAt)/365.25)/L343,((I343-O343)*((IF(DAY(E343+1)=1,EOMONTH(E343,H343*D343),EDATE(E343,H343*D343))-AsAt)/365.25+(IF(DAY(E343+1)=1,EOMONTH(E343,(N343-1)*D343),EDATE(E343,(N343-1)*D343))-AsAt)/365.25)/2+O343*('Deal maths'!AA343-AsAt)/365.25)/I343),(S343-AsAt)/365.25)),0))</f>
        <v/>
      </c>
      <c r="Q343" s="109">
        <f>IF(B343=1,'Deal maths'!AA343+ROW()/1000000,"")</f>
        <v/>
      </c>
      <c r="R343" s="108">
        <f>IF(D343=0,0,IF(DAY(E343+1)=1,31,DAY(E343)))</f>
        <v/>
      </c>
      <c r="S343" s="109">
        <f>IF(AND('Deal maths'!V343="LOBO",'Deal maths'!AG343&gt;AsAt,'Deal maths'!AG343&lt;'Deal maths'!AA343),'Deal maths'!AG343,'Deal maths'!AA343)</f>
        <v/>
      </c>
      <c r="T343" s="108">
        <f>('Deal maths'!AA343&gt;AsAt)*('Deal maths'!Y343&gt;0)</f>
        <v/>
      </c>
    </row>
    <row r="344">
      <c r="A344" s="91">
        <f>IF('Deal maths'!V344="","",'Deal maths'!W344)</f>
        <v/>
      </c>
      <c r="B344" s="108">
        <f>('Deal maths'!AA344&gt;AsAt)*('Deal maths'!Y344&gt;0)*('Deal maths'!Z344&lt;=AsAt)</f>
        <v/>
      </c>
      <c r="C344" s="91">
        <f>IF('Deal maths'!V344="","",IF('Deal maths'!AC344="","Maturity",'Deal maths'!AC344))</f>
        <v/>
      </c>
      <c r="D344" s="108">
        <f>IF(OR(C344="EIP",C344="Annuity"),IF('Deal maths'!AD344="Annual",12,IF('Deal maths'!AD344="Quarterly",3,6)),0)</f>
        <v/>
      </c>
      <c r="E344" s="109">
        <f>IFERROR(IF(D344=0,0,IF('Deal maths'!AE344&gt;0,IF('Deal maths'!AE344&gt;'Deal maths'!AA344,'Deal maths'!AA344,'Deal maths'!AE344),IF(IF(DAY('Deal maths'!AA344+1)=1,EOMONTH('Deal maths'!AA344,-(INT(((YEAR('Deal maths'!AA344)-YEAR(IF('Deal maths'!Z344&gt;0,'Deal maths'!Z344,DATE(1990,1,1))))*12+MONTH('Deal maths'!AA344)-MONTH(IF('Deal maths'!Z344&gt;0,'Deal maths'!Z344,DATE(1990,1,1))))/D344))*D344),EDATE('Deal maths'!AA344,-(INT(((YEAR('Deal maths'!AA344)-YEAR(IF('Deal maths'!Z344&gt;0,'Deal maths'!Z344,DATE(1990,1,1))))*12+MONTH('Deal maths'!AA344)-MONTH(IF('Deal maths'!Z344&gt;0,'Deal maths'!Z344,DATE(1990,1,1))))/D344))*D344))&gt;IF('Deal maths'!Z344&gt;0,'Deal maths'!Z344,DATE(1990,1,1)),IF(DAY('Deal maths'!AA344+1)=1,EOMONTH('Deal maths'!AA344,-(INT(((YEAR('Deal maths'!AA344)-YEAR(IF('Deal maths'!Z344&gt;0,'Deal maths'!Z344,DATE(1990,1,1))))*12+MONTH('Deal maths'!AA344)-MONTH(IF('Deal maths'!Z344&gt;0,'Deal maths'!Z344,DATE(1990,1,1))))/D344))*D344),EDATE('Deal maths'!AA344,-(INT(((YEAR('Deal maths'!AA344)-YEAR(IF('Deal maths'!Z344&gt;0,'Deal maths'!Z344,DATE(1990,1,1))))*12+MONTH('Deal maths'!AA344)-MONTH(IF('Deal maths'!Z344&gt;0,'Deal maths'!Z344,DATE(1990,1,1))))/D344))*D344)),IF(DAY('Deal maths'!AA344+1)=1,EOMONTH('Deal maths'!AA344,-(INT(((YEAR('Deal maths'!AA344)-YEAR(IF('Deal maths'!Z344&gt;0,'Deal maths'!Z344,DATE(1990,1,1))))*12+MONTH('Deal maths'!AA344)-MONTH(IF('Deal maths'!Z344&gt;0,'Deal maths'!Z344,DATE(1990,1,1))))/D344)-1)*D344),EDATE('Deal maths'!AA344,-(INT(((YEAR('Deal maths'!AA344)-YEAR(IF('Deal maths'!Z344&gt;0,'Deal maths'!Z344,DATE(1990,1,1))))*12+MONTH('Deal maths'!AA344)-MONTH(IF('Deal maths'!Z344&gt;0,'Deal maths'!Z344,DATE(1990,1,1))))/D344)-1)*D344))))),0)</f>
        <v/>
      </c>
      <c r="F344" s="110">
        <f>IF(D344=0,0,'Deal maths'!AB344*D344/12)</f>
        <v/>
      </c>
      <c r="G344" s="108">
        <f>N344+O344</f>
        <v/>
      </c>
      <c r="H344" s="108">
        <f>IFERROR(IF(OR(D344=0,AsAt&lt;E344),0,MIN(N344,INT(((YEAR(AsAt)-YEAR(E344))*12+MONTH(AsAt)-MONTH(E344)-(DAY(AsAt)&lt;MIN(R344,DAY(EOMONTH(AsAt,0)))))/D344)+1)+O344*(AsAt&gt;='Deal maths'!AA344)),0)</f>
        <v/>
      </c>
      <c r="I344" s="108">
        <f>G344-H344</f>
        <v/>
      </c>
      <c r="J344" s="111">
        <f>IF(AND(C344="EIP",I344&gt;0),'Deal maths'!Y344/I344,0)</f>
        <v/>
      </c>
      <c r="K344" s="111">
        <f>IF(AND(C344="Annuity",I344&gt;0),IF(F344&gt;0,'Deal maths'!Y344*F344/(1-(1+F344)^-I344),'Deal maths'!Y344/I344),0)</f>
        <v/>
      </c>
      <c r="L344" s="111">
        <f>IF('Deal maths'!Y344="",0,'Deal maths'!Y344)</f>
        <v/>
      </c>
      <c r="M344" s="112">
        <f>F344+(F344=0)</f>
        <v/>
      </c>
      <c r="N344" s="108">
        <f>IFERROR(IF(D344=0,0,INT(((YEAR('Deal maths'!AA344)-YEAR(E344))*12+MONTH('Deal maths'!AA344)-MONTH(E344)-(DAY('Deal maths'!AA344)&lt;MIN(R344,DAY(EOMONTH('Deal maths'!AA344,0)))))/D344)+1),0)</f>
        <v/>
      </c>
      <c r="O344" s="108">
        <f>IFERROR(IF(D344=0,0,IF(IF(DAY(E344+1)=1,EOMONTH(E344,(N344-1)*D344),EDATE(E344,(N344-1)*D344))='Deal maths'!AA344,0,1)),0)</f>
        <v/>
      </c>
      <c r="P344" s="113">
        <f>IF(B344=0,0,IFERROR(IF(C344="EIP",((I344-O344)*((IF(DAY(E344+1)=1,EOMONTH(E344,H344*D344),EDATE(E344,H344*D344))-AsAt)/365.25+(IF(DAY(E344+1)=1,EOMONTH(E344,(N344-1)*D344),EDATE(E344,(N344-1)*D344))-AsAt)/365.25)/2+O344*('Deal maths'!AA344-AsAt)/365.25)/I344,IF(C344="Annuity",IF(F344&gt;0,((K344-L344*F344)*((IF(DAY(E344+1)=1,EOMONTH(E344,H344*D344),EDATE(E344,H344*D344))-AsAt)/365.25*((1+F344)^(I344-O344)-1)/F344+IF((I344-O344)&gt;1,((IF(DAY(E344+1)=1,EOMONTH(E344,(N344-1)*D344),EDATE(E344,(N344-1)*D344))-AsAt)/365.25-(IF(DAY(E344+1)=1,EOMONTH(E344,H344*D344),EDATE(E344,H344*D344))-AsAt)/365.25)/((I344-O344)-1),0)*(1+F344)*(1-(I344-O344)*(1+F344)^((I344-O344)-1)+((I344-O344)-1)*(1+F344)^(I344-O344))/F344^2)+O344*(K344-L344*F344)*(1+F344)^(I344-1)*('Deal maths'!AA344-AsAt)/365.25)/L344,((I344-O344)*((IF(DAY(E344+1)=1,EOMONTH(E344,H344*D344),EDATE(E344,H344*D344))-AsAt)/365.25+(IF(DAY(E344+1)=1,EOMONTH(E344,(N344-1)*D344),EDATE(E344,(N344-1)*D344))-AsAt)/365.25)/2+O344*('Deal maths'!AA344-AsAt)/365.25)/I344),(S344-AsAt)/365.25)),0))</f>
        <v/>
      </c>
      <c r="Q344" s="109">
        <f>IF(B344=1,'Deal maths'!AA344+ROW()/1000000,"")</f>
        <v/>
      </c>
      <c r="R344" s="108">
        <f>IF(D344=0,0,IF(DAY(E344+1)=1,31,DAY(E344)))</f>
        <v/>
      </c>
      <c r="S344" s="109">
        <f>IF(AND('Deal maths'!V344="LOBO",'Deal maths'!AG344&gt;AsAt,'Deal maths'!AG344&lt;'Deal maths'!AA344),'Deal maths'!AG344,'Deal maths'!AA344)</f>
        <v/>
      </c>
      <c r="T344" s="108">
        <f>('Deal maths'!AA344&gt;AsAt)*('Deal maths'!Y344&gt;0)</f>
        <v/>
      </c>
    </row>
    <row r="345">
      <c r="A345" s="91">
        <f>IF('Deal maths'!V345="","",'Deal maths'!W345)</f>
        <v/>
      </c>
      <c r="B345" s="108">
        <f>('Deal maths'!AA345&gt;AsAt)*('Deal maths'!Y345&gt;0)*('Deal maths'!Z345&lt;=AsAt)</f>
        <v/>
      </c>
      <c r="C345" s="91">
        <f>IF('Deal maths'!V345="","",IF('Deal maths'!AC345="","Maturity",'Deal maths'!AC345))</f>
        <v/>
      </c>
      <c r="D345" s="108">
        <f>IF(OR(C345="EIP",C345="Annuity"),IF('Deal maths'!AD345="Annual",12,IF('Deal maths'!AD345="Quarterly",3,6)),0)</f>
        <v/>
      </c>
      <c r="E345" s="109">
        <f>IFERROR(IF(D345=0,0,IF('Deal maths'!AE345&gt;0,IF('Deal maths'!AE345&gt;'Deal maths'!AA345,'Deal maths'!AA345,'Deal maths'!AE345),IF(IF(DAY('Deal maths'!AA345+1)=1,EOMONTH('Deal maths'!AA345,-(INT(((YEAR('Deal maths'!AA345)-YEAR(IF('Deal maths'!Z345&gt;0,'Deal maths'!Z345,DATE(1990,1,1))))*12+MONTH('Deal maths'!AA345)-MONTH(IF('Deal maths'!Z345&gt;0,'Deal maths'!Z345,DATE(1990,1,1))))/D345))*D345),EDATE('Deal maths'!AA345,-(INT(((YEAR('Deal maths'!AA345)-YEAR(IF('Deal maths'!Z345&gt;0,'Deal maths'!Z345,DATE(1990,1,1))))*12+MONTH('Deal maths'!AA345)-MONTH(IF('Deal maths'!Z345&gt;0,'Deal maths'!Z345,DATE(1990,1,1))))/D345))*D345))&gt;IF('Deal maths'!Z345&gt;0,'Deal maths'!Z345,DATE(1990,1,1)),IF(DAY('Deal maths'!AA345+1)=1,EOMONTH('Deal maths'!AA345,-(INT(((YEAR('Deal maths'!AA345)-YEAR(IF('Deal maths'!Z345&gt;0,'Deal maths'!Z345,DATE(1990,1,1))))*12+MONTH('Deal maths'!AA345)-MONTH(IF('Deal maths'!Z345&gt;0,'Deal maths'!Z345,DATE(1990,1,1))))/D345))*D345),EDATE('Deal maths'!AA345,-(INT(((YEAR('Deal maths'!AA345)-YEAR(IF('Deal maths'!Z345&gt;0,'Deal maths'!Z345,DATE(1990,1,1))))*12+MONTH('Deal maths'!AA345)-MONTH(IF('Deal maths'!Z345&gt;0,'Deal maths'!Z345,DATE(1990,1,1))))/D345))*D345)),IF(DAY('Deal maths'!AA345+1)=1,EOMONTH('Deal maths'!AA345,-(INT(((YEAR('Deal maths'!AA345)-YEAR(IF('Deal maths'!Z345&gt;0,'Deal maths'!Z345,DATE(1990,1,1))))*12+MONTH('Deal maths'!AA345)-MONTH(IF('Deal maths'!Z345&gt;0,'Deal maths'!Z345,DATE(1990,1,1))))/D345)-1)*D345),EDATE('Deal maths'!AA345,-(INT(((YEAR('Deal maths'!AA345)-YEAR(IF('Deal maths'!Z345&gt;0,'Deal maths'!Z345,DATE(1990,1,1))))*12+MONTH('Deal maths'!AA345)-MONTH(IF('Deal maths'!Z345&gt;0,'Deal maths'!Z345,DATE(1990,1,1))))/D345)-1)*D345))))),0)</f>
        <v/>
      </c>
      <c r="F345" s="110">
        <f>IF(D345=0,0,'Deal maths'!AB345*D345/12)</f>
        <v/>
      </c>
      <c r="G345" s="108">
        <f>N345+O345</f>
        <v/>
      </c>
      <c r="H345" s="108">
        <f>IFERROR(IF(OR(D345=0,AsAt&lt;E345),0,MIN(N345,INT(((YEAR(AsAt)-YEAR(E345))*12+MONTH(AsAt)-MONTH(E345)-(DAY(AsAt)&lt;MIN(R345,DAY(EOMONTH(AsAt,0)))))/D345)+1)+O345*(AsAt&gt;='Deal maths'!AA345)),0)</f>
        <v/>
      </c>
      <c r="I345" s="108">
        <f>G345-H345</f>
        <v/>
      </c>
      <c r="J345" s="111">
        <f>IF(AND(C345="EIP",I345&gt;0),'Deal maths'!Y345/I345,0)</f>
        <v/>
      </c>
      <c r="K345" s="111">
        <f>IF(AND(C345="Annuity",I345&gt;0),IF(F345&gt;0,'Deal maths'!Y345*F345/(1-(1+F345)^-I345),'Deal maths'!Y345/I345),0)</f>
        <v/>
      </c>
      <c r="L345" s="111">
        <f>IF('Deal maths'!Y345="",0,'Deal maths'!Y345)</f>
        <v/>
      </c>
      <c r="M345" s="112">
        <f>F345+(F345=0)</f>
        <v/>
      </c>
      <c r="N345" s="108">
        <f>IFERROR(IF(D345=0,0,INT(((YEAR('Deal maths'!AA345)-YEAR(E345))*12+MONTH('Deal maths'!AA345)-MONTH(E345)-(DAY('Deal maths'!AA345)&lt;MIN(R345,DAY(EOMONTH('Deal maths'!AA345,0)))))/D345)+1),0)</f>
        <v/>
      </c>
      <c r="O345" s="108">
        <f>IFERROR(IF(D345=0,0,IF(IF(DAY(E345+1)=1,EOMONTH(E345,(N345-1)*D345),EDATE(E345,(N345-1)*D345))='Deal maths'!AA345,0,1)),0)</f>
        <v/>
      </c>
      <c r="P345" s="113">
        <f>IF(B345=0,0,IFERROR(IF(C345="EIP",((I345-O345)*((IF(DAY(E345+1)=1,EOMONTH(E345,H345*D345),EDATE(E345,H345*D345))-AsAt)/365.25+(IF(DAY(E345+1)=1,EOMONTH(E345,(N345-1)*D345),EDATE(E345,(N345-1)*D345))-AsAt)/365.25)/2+O345*('Deal maths'!AA345-AsAt)/365.25)/I345,IF(C345="Annuity",IF(F345&gt;0,((K345-L345*F345)*((IF(DAY(E345+1)=1,EOMONTH(E345,H345*D345),EDATE(E345,H345*D345))-AsAt)/365.25*((1+F345)^(I345-O345)-1)/F345+IF((I345-O345)&gt;1,((IF(DAY(E345+1)=1,EOMONTH(E345,(N345-1)*D345),EDATE(E345,(N345-1)*D345))-AsAt)/365.25-(IF(DAY(E345+1)=1,EOMONTH(E345,H345*D345),EDATE(E345,H345*D345))-AsAt)/365.25)/((I345-O345)-1),0)*(1+F345)*(1-(I345-O345)*(1+F345)^((I345-O345)-1)+((I345-O345)-1)*(1+F345)^(I345-O345))/F345^2)+O345*(K345-L345*F345)*(1+F345)^(I345-1)*('Deal maths'!AA345-AsAt)/365.25)/L345,((I345-O345)*((IF(DAY(E345+1)=1,EOMONTH(E345,H345*D345),EDATE(E345,H345*D345))-AsAt)/365.25+(IF(DAY(E345+1)=1,EOMONTH(E345,(N345-1)*D345),EDATE(E345,(N345-1)*D345))-AsAt)/365.25)/2+O345*('Deal maths'!AA345-AsAt)/365.25)/I345),(S345-AsAt)/365.25)),0))</f>
        <v/>
      </c>
      <c r="Q345" s="109">
        <f>IF(B345=1,'Deal maths'!AA345+ROW()/1000000,"")</f>
        <v/>
      </c>
      <c r="R345" s="108">
        <f>IF(D345=0,0,IF(DAY(E345+1)=1,31,DAY(E345)))</f>
        <v/>
      </c>
      <c r="S345" s="109">
        <f>IF(AND('Deal maths'!V345="LOBO",'Deal maths'!AG345&gt;AsAt,'Deal maths'!AG345&lt;'Deal maths'!AA345),'Deal maths'!AG345,'Deal maths'!AA345)</f>
        <v/>
      </c>
      <c r="T345" s="108">
        <f>('Deal maths'!AA345&gt;AsAt)*('Deal maths'!Y345&gt;0)</f>
        <v/>
      </c>
    </row>
    <row r="346">
      <c r="A346" s="91">
        <f>IF('Deal maths'!V346="","",'Deal maths'!W346)</f>
        <v/>
      </c>
      <c r="B346" s="108">
        <f>('Deal maths'!AA346&gt;AsAt)*('Deal maths'!Y346&gt;0)*('Deal maths'!Z346&lt;=AsAt)</f>
        <v/>
      </c>
      <c r="C346" s="91">
        <f>IF('Deal maths'!V346="","",IF('Deal maths'!AC346="","Maturity",'Deal maths'!AC346))</f>
        <v/>
      </c>
      <c r="D346" s="108">
        <f>IF(OR(C346="EIP",C346="Annuity"),IF('Deal maths'!AD346="Annual",12,IF('Deal maths'!AD346="Quarterly",3,6)),0)</f>
        <v/>
      </c>
      <c r="E346" s="109">
        <f>IFERROR(IF(D346=0,0,IF('Deal maths'!AE346&gt;0,IF('Deal maths'!AE346&gt;'Deal maths'!AA346,'Deal maths'!AA346,'Deal maths'!AE346),IF(IF(DAY('Deal maths'!AA346+1)=1,EOMONTH('Deal maths'!AA346,-(INT(((YEAR('Deal maths'!AA346)-YEAR(IF('Deal maths'!Z346&gt;0,'Deal maths'!Z346,DATE(1990,1,1))))*12+MONTH('Deal maths'!AA346)-MONTH(IF('Deal maths'!Z346&gt;0,'Deal maths'!Z346,DATE(1990,1,1))))/D346))*D346),EDATE('Deal maths'!AA346,-(INT(((YEAR('Deal maths'!AA346)-YEAR(IF('Deal maths'!Z346&gt;0,'Deal maths'!Z346,DATE(1990,1,1))))*12+MONTH('Deal maths'!AA346)-MONTH(IF('Deal maths'!Z346&gt;0,'Deal maths'!Z346,DATE(1990,1,1))))/D346))*D346))&gt;IF('Deal maths'!Z346&gt;0,'Deal maths'!Z346,DATE(1990,1,1)),IF(DAY('Deal maths'!AA346+1)=1,EOMONTH('Deal maths'!AA346,-(INT(((YEAR('Deal maths'!AA346)-YEAR(IF('Deal maths'!Z346&gt;0,'Deal maths'!Z346,DATE(1990,1,1))))*12+MONTH('Deal maths'!AA346)-MONTH(IF('Deal maths'!Z346&gt;0,'Deal maths'!Z346,DATE(1990,1,1))))/D346))*D346),EDATE('Deal maths'!AA346,-(INT(((YEAR('Deal maths'!AA346)-YEAR(IF('Deal maths'!Z346&gt;0,'Deal maths'!Z346,DATE(1990,1,1))))*12+MONTH('Deal maths'!AA346)-MONTH(IF('Deal maths'!Z346&gt;0,'Deal maths'!Z346,DATE(1990,1,1))))/D346))*D346)),IF(DAY('Deal maths'!AA346+1)=1,EOMONTH('Deal maths'!AA346,-(INT(((YEAR('Deal maths'!AA346)-YEAR(IF('Deal maths'!Z346&gt;0,'Deal maths'!Z346,DATE(1990,1,1))))*12+MONTH('Deal maths'!AA346)-MONTH(IF('Deal maths'!Z346&gt;0,'Deal maths'!Z346,DATE(1990,1,1))))/D346)-1)*D346),EDATE('Deal maths'!AA346,-(INT(((YEAR('Deal maths'!AA346)-YEAR(IF('Deal maths'!Z346&gt;0,'Deal maths'!Z346,DATE(1990,1,1))))*12+MONTH('Deal maths'!AA346)-MONTH(IF('Deal maths'!Z346&gt;0,'Deal maths'!Z346,DATE(1990,1,1))))/D346)-1)*D346))))),0)</f>
        <v/>
      </c>
      <c r="F346" s="110">
        <f>IF(D346=0,0,'Deal maths'!AB346*D346/12)</f>
        <v/>
      </c>
      <c r="G346" s="108">
        <f>N346+O346</f>
        <v/>
      </c>
      <c r="H346" s="108">
        <f>IFERROR(IF(OR(D346=0,AsAt&lt;E346),0,MIN(N346,INT(((YEAR(AsAt)-YEAR(E346))*12+MONTH(AsAt)-MONTH(E346)-(DAY(AsAt)&lt;MIN(R346,DAY(EOMONTH(AsAt,0)))))/D346)+1)+O346*(AsAt&gt;='Deal maths'!AA346)),0)</f>
        <v/>
      </c>
      <c r="I346" s="108">
        <f>G346-H346</f>
        <v/>
      </c>
      <c r="J346" s="111">
        <f>IF(AND(C346="EIP",I346&gt;0),'Deal maths'!Y346/I346,0)</f>
        <v/>
      </c>
      <c r="K346" s="111">
        <f>IF(AND(C346="Annuity",I346&gt;0),IF(F346&gt;0,'Deal maths'!Y346*F346/(1-(1+F346)^-I346),'Deal maths'!Y346/I346),0)</f>
        <v/>
      </c>
      <c r="L346" s="111">
        <f>IF('Deal maths'!Y346="",0,'Deal maths'!Y346)</f>
        <v/>
      </c>
      <c r="M346" s="112">
        <f>F346+(F346=0)</f>
        <v/>
      </c>
      <c r="N346" s="108">
        <f>IFERROR(IF(D346=0,0,INT(((YEAR('Deal maths'!AA346)-YEAR(E346))*12+MONTH('Deal maths'!AA346)-MONTH(E346)-(DAY('Deal maths'!AA346)&lt;MIN(R346,DAY(EOMONTH('Deal maths'!AA346,0)))))/D346)+1),0)</f>
        <v/>
      </c>
      <c r="O346" s="108">
        <f>IFERROR(IF(D346=0,0,IF(IF(DAY(E346+1)=1,EOMONTH(E346,(N346-1)*D346),EDATE(E346,(N346-1)*D346))='Deal maths'!AA346,0,1)),0)</f>
        <v/>
      </c>
      <c r="P346" s="113">
        <f>IF(B346=0,0,IFERROR(IF(C346="EIP",((I346-O346)*((IF(DAY(E346+1)=1,EOMONTH(E346,H346*D346),EDATE(E346,H346*D346))-AsAt)/365.25+(IF(DAY(E346+1)=1,EOMONTH(E346,(N346-1)*D346),EDATE(E346,(N346-1)*D346))-AsAt)/365.25)/2+O346*('Deal maths'!AA346-AsAt)/365.25)/I346,IF(C346="Annuity",IF(F346&gt;0,((K346-L346*F346)*((IF(DAY(E346+1)=1,EOMONTH(E346,H346*D346),EDATE(E346,H346*D346))-AsAt)/365.25*((1+F346)^(I346-O346)-1)/F346+IF((I346-O346)&gt;1,((IF(DAY(E346+1)=1,EOMONTH(E346,(N346-1)*D346),EDATE(E346,(N346-1)*D346))-AsAt)/365.25-(IF(DAY(E346+1)=1,EOMONTH(E346,H346*D346),EDATE(E346,H346*D346))-AsAt)/365.25)/((I346-O346)-1),0)*(1+F346)*(1-(I346-O346)*(1+F346)^((I346-O346)-1)+((I346-O346)-1)*(1+F346)^(I346-O346))/F346^2)+O346*(K346-L346*F346)*(1+F346)^(I346-1)*('Deal maths'!AA346-AsAt)/365.25)/L346,((I346-O346)*((IF(DAY(E346+1)=1,EOMONTH(E346,H346*D346),EDATE(E346,H346*D346))-AsAt)/365.25+(IF(DAY(E346+1)=1,EOMONTH(E346,(N346-1)*D346),EDATE(E346,(N346-1)*D346))-AsAt)/365.25)/2+O346*('Deal maths'!AA346-AsAt)/365.25)/I346),(S346-AsAt)/365.25)),0))</f>
        <v/>
      </c>
      <c r="Q346" s="109">
        <f>IF(B346=1,'Deal maths'!AA346+ROW()/1000000,"")</f>
        <v/>
      </c>
      <c r="R346" s="108">
        <f>IF(D346=0,0,IF(DAY(E346+1)=1,31,DAY(E346)))</f>
        <v/>
      </c>
      <c r="S346" s="109">
        <f>IF(AND('Deal maths'!V346="LOBO",'Deal maths'!AG346&gt;AsAt,'Deal maths'!AG346&lt;'Deal maths'!AA346),'Deal maths'!AG346,'Deal maths'!AA346)</f>
        <v/>
      </c>
      <c r="T346" s="108">
        <f>('Deal maths'!AA346&gt;AsAt)*('Deal maths'!Y346&gt;0)</f>
        <v/>
      </c>
    </row>
    <row r="347">
      <c r="A347" s="91">
        <f>IF('Deal maths'!V347="","",'Deal maths'!W347)</f>
        <v/>
      </c>
      <c r="B347" s="108">
        <f>('Deal maths'!AA347&gt;AsAt)*('Deal maths'!Y347&gt;0)*('Deal maths'!Z347&lt;=AsAt)</f>
        <v/>
      </c>
      <c r="C347" s="91">
        <f>IF('Deal maths'!V347="","",IF('Deal maths'!AC347="","Maturity",'Deal maths'!AC347))</f>
        <v/>
      </c>
      <c r="D347" s="108">
        <f>IF(OR(C347="EIP",C347="Annuity"),IF('Deal maths'!AD347="Annual",12,IF('Deal maths'!AD347="Quarterly",3,6)),0)</f>
        <v/>
      </c>
      <c r="E347" s="109">
        <f>IFERROR(IF(D347=0,0,IF('Deal maths'!AE347&gt;0,IF('Deal maths'!AE347&gt;'Deal maths'!AA347,'Deal maths'!AA347,'Deal maths'!AE347),IF(IF(DAY('Deal maths'!AA347+1)=1,EOMONTH('Deal maths'!AA347,-(INT(((YEAR('Deal maths'!AA347)-YEAR(IF('Deal maths'!Z347&gt;0,'Deal maths'!Z347,DATE(1990,1,1))))*12+MONTH('Deal maths'!AA347)-MONTH(IF('Deal maths'!Z347&gt;0,'Deal maths'!Z347,DATE(1990,1,1))))/D347))*D347),EDATE('Deal maths'!AA347,-(INT(((YEAR('Deal maths'!AA347)-YEAR(IF('Deal maths'!Z347&gt;0,'Deal maths'!Z347,DATE(1990,1,1))))*12+MONTH('Deal maths'!AA347)-MONTH(IF('Deal maths'!Z347&gt;0,'Deal maths'!Z347,DATE(1990,1,1))))/D347))*D347))&gt;IF('Deal maths'!Z347&gt;0,'Deal maths'!Z347,DATE(1990,1,1)),IF(DAY('Deal maths'!AA347+1)=1,EOMONTH('Deal maths'!AA347,-(INT(((YEAR('Deal maths'!AA347)-YEAR(IF('Deal maths'!Z347&gt;0,'Deal maths'!Z347,DATE(1990,1,1))))*12+MONTH('Deal maths'!AA347)-MONTH(IF('Deal maths'!Z347&gt;0,'Deal maths'!Z347,DATE(1990,1,1))))/D347))*D347),EDATE('Deal maths'!AA347,-(INT(((YEAR('Deal maths'!AA347)-YEAR(IF('Deal maths'!Z347&gt;0,'Deal maths'!Z347,DATE(1990,1,1))))*12+MONTH('Deal maths'!AA347)-MONTH(IF('Deal maths'!Z347&gt;0,'Deal maths'!Z347,DATE(1990,1,1))))/D347))*D347)),IF(DAY('Deal maths'!AA347+1)=1,EOMONTH('Deal maths'!AA347,-(INT(((YEAR('Deal maths'!AA347)-YEAR(IF('Deal maths'!Z347&gt;0,'Deal maths'!Z347,DATE(1990,1,1))))*12+MONTH('Deal maths'!AA347)-MONTH(IF('Deal maths'!Z347&gt;0,'Deal maths'!Z347,DATE(1990,1,1))))/D347)-1)*D347),EDATE('Deal maths'!AA347,-(INT(((YEAR('Deal maths'!AA347)-YEAR(IF('Deal maths'!Z347&gt;0,'Deal maths'!Z347,DATE(1990,1,1))))*12+MONTH('Deal maths'!AA347)-MONTH(IF('Deal maths'!Z347&gt;0,'Deal maths'!Z347,DATE(1990,1,1))))/D347)-1)*D347))))),0)</f>
        <v/>
      </c>
      <c r="F347" s="110">
        <f>IF(D347=0,0,'Deal maths'!AB347*D347/12)</f>
        <v/>
      </c>
      <c r="G347" s="108">
        <f>N347+O347</f>
        <v/>
      </c>
      <c r="H347" s="108">
        <f>IFERROR(IF(OR(D347=0,AsAt&lt;E347),0,MIN(N347,INT(((YEAR(AsAt)-YEAR(E347))*12+MONTH(AsAt)-MONTH(E347)-(DAY(AsAt)&lt;MIN(R347,DAY(EOMONTH(AsAt,0)))))/D347)+1)+O347*(AsAt&gt;='Deal maths'!AA347)),0)</f>
        <v/>
      </c>
      <c r="I347" s="108">
        <f>G347-H347</f>
        <v/>
      </c>
      <c r="J347" s="111">
        <f>IF(AND(C347="EIP",I347&gt;0),'Deal maths'!Y347/I347,0)</f>
        <v/>
      </c>
      <c r="K347" s="111">
        <f>IF(AND(C347="Annuity",I347&gt;0),IF(F347&gt;0,'Deal maths'!Y347*F347/(1-(1+F347)^-I347),'Deal maths'!Y347/I347),0)</f>
        <v/>
      </c>
      <c r="L347" s="111">
        <f>IF('Deal maths'!Y347="",0,'Deal maths'!Y347)</f>
        <v/>
      </c>
      <c r="M347" s="112">
        <f>F347+(F347=0)</f>
        <v/>
      </c>
      <c r="N347" s="108">
        <f>IFERROR(IF(D347=0,0,INT(((YEAR('Deal maths'!AA347)-YEAR(E347))*12+MONTH('Deal maths'!AA347)-MONTH(E347)-(DAY('Deal maths'!AA347)&lt;MIN(R347,DAY(EOMONTH('Deal maths'!AA347,0)))))/D347)+1),0)</f>
        <v/>
      </c>
      <c r="O347" s="108">
        <f>IFERROR(IF(D347=0,0,IF(IF(DAY(E347+1)=1,EOMONTH(E347,(N347-1)*D347),EDATE(E347,(N347-1)*D347))='Deal maths'!AA347,0,1)),0)</f>
        <v/>
      </c>
      <c r="P347" s="113">
        <f>IF(B347=0,0,IFERROR(IF(C347="EIP",((I347-O347)*((IF(DAY(E347+1)=1,EOMONTH(E347,H347*D347),EDATE(E347,H347*D347))-AsAt)/365.25+(IF(DAY(E347+1)=1,EOMONTH(E347,(N347-1)*D347),EDATE(E347,(N347-1)*D347))-AsAt)/365.25)/2+O347*('Deal maths'!AA347-AsAt)/365.25)/I347,IF(C347="Annuity",IF(F347&gt;0,((K347-L347*F347)*((IF(DAY(E347+1)=1,EOMONTH(E347,H347*D347),EDATE(E347,H347*D347))-AsAt)/365.25*((1+F347)^(I347-O347)-1)/F347+IF((I347-O347)&gt;1,((IF(DAY(E347+1)=1,EOMONTH(E347,(N347-1)*D347),EDATE(E347,(N347-1)*D347))-AsAt)/365.25-(IF(DAY(E347+1)=1,EOMONTH(E347,H347*D347),EDATE(E347,H347*D347))-AsAt)/365.25)/((I347-O347)-1),0)*(1+F347)*(1-(I347-O347)*(1+F347)^((I347-O347)-1)+((I347-O347)-1)*(1+F347)^(I347-O347))/F347^2)+O347*(K347-L347*F347)*(1+F347)^(I347-1)*('Deal maths'!AA347-AsAt)/365.25)/L347,((I347-O347)*((IF(DAY(E347+1)=1,EOMONTH(E347,H347*D347),EDATE(E347,H347*D347))-AsAt)/365.25+(IF(DAY(E347+1)=1,EOMONTH(E347,(N347-1)*D347),EDATE(E347,(N347-1)*D347))-AsAt)/365.25)/2+O347*('Deal maths'!AA347-AsAt)/365.25)/I347),(S347-AsAt)/365.25)),0))</f>
        <v/>
      </c>
      <c r="Q347" s="109">
        <f>IF(B347=1,'Deal maths'!AA347+ROW()/1000000,"")</f>
        <v/>
      </c>
      <c r="R347" s="108">
        <f>IF(D347=0,0,IF(DAY(E347+1)=1,31,DAY(E347)))</f>
        <v/>
      </c>
      <c r="S347" s="109">
        <f>IF(AND('Deal maths'!V347="LOBO",'Deal maths'!AG347&gt;AsAt,'Deal maths'!AG347&lt;'Deal maths'!AA347),'Deal maths'!AG347,'Deal maths'!AA347)</f>
        <v/>
      </c>
      <c r="T347" s="108">
        <f>('Deal maths'!AA347&gt;AsAt)*('Deal maths'!Y347&gt;0)</f>
        <v/>
      </c>
    </row>
    <row r="348">
      <c r="A348" s="91">
        <f>IF('Deal maths'!V348="","",'Deal maths'!W348)</f>
        <v/>
      </c>
      <c r="B348" s="108">
        <f>('Deal maths'!AA348&gt;AsAt)*('Deal maths'!Y348&gt;0)*('Deal maths'!Z348&lt;=AsAt)</f>
        <v/>
      </c>
      <c r="C348" s="91">
        <f>IF('Deal maths'!V348="","",IF('Deal maths'!AC348="","Maturity",'Deal maths'!AC348))</f>
        <v/>
      </c>
      <c r="D348" s="108">
        <f>IF(OR(C348="EIP",C348="Annuity"),IF('Deal maths'!AD348="Annual",12,IF('Deal maths'!AD348="Quarterly",3,6)),0)</f>
        <v/>
      </c>
      <c r="E348" s="109">
        <f>IFERROR(IF(D348=0,0,IF('Deal maths'!AE348&gt;0,IF('Deal maths'!AE348&gt;'Deal maths'!AA348,'Deal maths'!AA348,'Deal maths'!AE348),IF(IF(DAY('Deal maths'!AA348+1)=1,EOMONTH('Deal maths'!AA348,-(INT(((YEAR('Deal maths'!AA348)-YEAR(IF('Deal maths'!Z348&gt;0,'Deal maths'!Z348,DATE(1990,1,1))))*12+MONTH('Deal maths'!AA348)-MONTH(IF('Deal maths'!Z348&gt;0,'Deal maths'!Z348,DATE(1990,1,1))))/D348))*D348),EDATE('Deal maths'!AA348,-(INT(((YEAR('Deal maths'!AA348)-YEAR(IF('Deal maths'!Z348&gt;0,'Deal maths'!Z348,DATE(1990,1,1))))*12+MONTH('Deal maths'!AA348)-MONTH(IF('Deal maths'!Z348&gt;0,'Deal maths'!Z348,DATE(1990,1,1))))/D348))*D348))&gt;IF('Deal maths'!Z348&gt;0,'Deal maths'!Z348,DATE(1990,1,1)),IF(DAY('Deal maths'!AA348+1)=1,EOMONTH('Deal maths'!AA348,-(INT(((YEAR('Deal maths'!AA348)-YEAR(IF('Deal maths'!Z348&gt;0,'Deal maths'!Z348,DATE(1990,1,1))))*12+MONTH('Deal maths'!AA348)-MONTH(IF('Deal maths'!Z348&gt;0,'Deal maths'!Z348,DATE(1990,1,1))))/D348))*D348),EDATE('Deal maths'!AA348,-(INT(((YEAR('Deal maths'!AA348)-YEAR(IF('Deal maths'!Z348&gt;0,'Deal maths'!Z348,DATE(1990,1,1))))*12+MONTH('Deal maths'!AA348)-MONTH(IF('Deal maths'!Z348&gt;0,'Deal maths'!Z348,DATE(1990,1,1))))/D348))*D348)),IF(DAY('Deal maths'!AA348+1)=1,EOMONTH('Deal maths'!AA348,-(INT(((YEAR('Deal maths'!AA348)-YEAR(IF('Deal maths'!Z348&gt;0,'Deal maths'!Z348,DATE(1990,1,1))))*12+MONTH('Deal maths'!AA348)-MONTH(IF('Deal maths'!Z348&gt;0,'Deal maths'!Z348,DATE(1990,1,1))))/D348)-1)*D348),EDATE('Deal maths'!AA348,-(INT(((YEAR('Deal maths'!AA348)-YEAR(IF('Deal maths'!Z348&gt;0,'Deal maths'!Z348,DATE(1990,1,1))))*12+MONTH('Deal maths'!AA348)-MONTH(IF('Deal maths'!Z348&gt;0,'Deal maths'!Z348,DATE(1990,1,1))))/D348)-1)*D348))))),0)</f>
        <v/>
      </c>
      <c r="F348" s="110">
        <f>IF(D348=0,0,'Deal maths'!AB348*D348/12)</f>
        <v/>
      </c>
      <c r="G348" s="108">
        <f>N348+O348</f>
        <v/>
      </c>
      <c r="H348" s="108">
        <f>IFERROR(IF(OR(D348=0,AsAt&lt;E348),0,MIN(N348,INT(((YEAR(AsAt)-YEAR(E348))*12+MONTH(AsAt)-MONTH(E348)-(DAY(AsAt)&lt;MIN(R348,DAY(EOMONTH(AsAt,0)))))/D348)+1)+O348*(AsAt&gt;='Deal maths'!AA348)),0)</f>
        <v/>
      </c>
      <c r="I348" s="108">
        <f>G348-H348</f>
        <v/>
      </c>
      <c r="J348" s="111">
        <f>IF(AND(C348="EIP",I348&gt;0),'Deal maths'!Y348/I348,0)</f>
        <v/>
      </c>
      <c r="K348" s="111">
        <f>IF(AND(C348="Annuity",I348&gt;0),IF(F348&gt;0,'Deal maths'!Y348*F348/(1-(1+F348)^-I348),'Deal maths'!Y348/I348),0)</f>
        <v/>
      </c>
      <c r="L348" s="111">
        <f>IF('Deal maths'!Y348="",0,'Deal maths'!Y348)</f>
        <v/>
      </c>
      <c r="M348" s="112">
        <f>F348+(F348=0)</f>
        <v/>
      </c>
      <c r="N348" s="108">
        <f>IFERROR(IF(D348=0,0,INT(((YEAR('Deal maths'!AA348)-YEAR(E348))*12+MONTH('Deal maths'!AA348)-MONTH(E348)-(DAY('Deal maths'!AA348)&lt;MIN(R348,DAY(EOMONTH('Deal maths'!AA348,0)))))/D348)+1),0)</f>
        <v/>
      </c>
      <c r="O348" s="108">
        <f>IFERROR(IF(D348=0,0,IF(IF(DAY(E348+1)=1,EOMONTH(E348,(N348-1)*D348),EDATE(E348,(N348-1)*D348))='Deal maths'!AA348,0,1)),0)</f>
        <v/>
      </c>
      <c r="P348" s="113">
        <f>IF(B348=0,0,IFERROR(IF(C348="EIP",((I348-O348)*((IF(DAY(E348+1)=1,EOMONTH(E348,H348*D348),EDATE(E348,H348*D348))-AsAt)/365.25+(IF(DAY(E348+1)=1,EOMONTH(E348,(N348-1)*D348),EDATE(E348,(N348-1)*D348))-AsAt)/365.25)/2+O348*('Deal maths'!AA348-AsAt)/365.25)/I348,IF(C348="Annuity",IF(F348&gt;0,((K348-L348*F348)*((IF(DAY(E348+1)=1,EOMONTH(E348,H348*D348),EDATE(E348,H348*D348))-AsAt)/365.25*((1+F348)^(I348-O348)-1)/F348+IF((I348-O348)&gt;1,((IF(DAY(E348+1)=1,EOMONTH(E348,(N348-1)*D348),EDATE(E348,(N348-1)*D348))-AsAt)/365.25-(IF(DAY(E348+1)=1,EOMONTH(E348,H348*D348),EDATE(E348,H348*D348))-AsAt)/365.25)/((I348-O348)-1),0)*(1+F348)*(1-(I348-O348)*(1+F348)^((I348-O348)-1)+((I348-O348)-1)*(1+F348)^(I348-O348))/F348^2)+O348*(K348-L348*F348)*(1+F348)^(I348-1)*('Deal maths'!AA348-AsAt)/365.25)/L348,((I348-O348)*((IF(DAY(E348+1)=1,EOMONTH(E348,H348*D348),EDATE(E348,H348*D348))-AsAt)/365.25+(IF(DAY(E348+1)=1,EOMONTH(E348,(N348-1)*D348),EDATE(E348,(N348-1)*D348))-AsAt)/365.25)/2+O348*('Deal maths'!AA348-AsAt)/365.25)/I348),(S348-AsAt)/365.25)),0))</f>
        <v/>
      </c>
      <c r="Q348" s="109">
        <f>IF(B348=1,'Deal maths'!AA348+ROW()/1000000,"")</f>
        <v/>
      </c>
      <c r="R348" s="108">
        <f>IF(D348=0,0,IF(DAY(E348+1)=1,31,DAY(E348)))</f>
        <v/>
      </c>
      <c r="S348" s="109">
        <f>IF(AND('Deal maths'!V348="LOBO",'Deal maths'!AG348&gt;AsAt,'Deal maths'!AG348&lt;'Deal maths'!AA348),'Deal maths'!AG348,'Deal maths'!AA348)</f>
        <v/>
      </c>
      <c r="T348" s="108">
        <f>('Deal maths'!AA348&gt;AsAt)*('Deal maths'!Y348&gt;0)</f>
        <v/>
      </c>
    </row>
    <row r="349">
      <c r="A349" s="91">
        <f>IF('Deal maths'!V349="","",'Deal maths'!W349)</f>
        <v/>
      </c>
      <c r="B349" s="108">
        <f>('Deal maths'!AA349&gt;AsAt)*('Deal maths'!Y349&gt;0)*('Deal maths'!Z349&lt;=AsAt)</f>
        <v/>
      </c>
      <c r="C349" s="91">
        <f>IF('Deal maths'!V349="","",IF('Deal maths'!AC349="","Maturity",'Deal maths'!AC349))</f>
        <v/>
      </c>
      <c r="D349" s="108">
        <f>IF(OR(C349="EIP",C349="Annuity"),IF('Deal maths'!AD349="Annual",12,IF('Deal maths'!AD349="Quarterly",3,6)),0)</f>
        <v/>
      </c>
      <c r="E349" s="109">
        <f>IFERROR(IF(D349=0,0,IF('Deal maths'!AE349&gt;0,IF('Deal maths'!AE349&gt;'Deal maths'!AA349,'Deal maths'!AA349,'Deal maths'!AE349),IF(IF(DAY('Deal maths'!AA349+1)=1,EOMONTH('Deal maths'!AA349,-(INT(((YEAR('Deal maths'!AA349)-YEAR(IF('Deal maths'!Z349&gt;0,'Deal maths'!Z349,DATE(1990,1,1))))*12+MONTH('Deal maths'!AA349)-MONTH(IF('Deal maths'!Z349&gt;0,'Deal maths'!Z349,DATE(1990,1,1))))/D349))*D349),EDATE('Deal maths'!AA349,-(INT(((YEAR('Deal maths'!AA349)-YEAR(IF('Deal maths'!Z349&gt;0,'Deal maths'!Z349,DATE(1990,1,1))))*12+MONTH('Deal maths'!AA349)-MONTH(IF('Deal maths'!Z349&gt;0,'Deal maths'!Z349,DATE(1990,1,1))))/D349))*D349))&gt;IF('Deal maths'!Z349&gt;0,'Deal maths'!Z349,DATE(1990,1,1)),IF(DAY('Deal maths'!AA349+1)=1,EOMONTH('Deal maths'!AA349,-(INT(((YEAR('Deal maths'!AA349)-YEAR(IF('Deal maths'!Z349&gt;0,'Deal maths'!Z349,DATE(1990,1,1))))*12+MONTH('Deal maths'!AA349)-MONTH(IF('Deal maths'!Z349&gt;0,'Deal maths'!Z349,DATE(1990,1,1))))/D349))*D349),EDATE('Deal maths'!AA349,-(INT(((YEAR('Deal maths'!AA349)-YEAR(IF('Deal maths'!Z349&gt;0,'Deal maths'!Z349,DATE(1990,1,1))))*12+MONTH('Deal maths'!AA349)-MONTH(IF('Deal maths'!Z349&gt;0,'Deal maths'!Z349,DATE(1990,1,1))))/D349))*D349)),IF(DAY('Deal maths'!AA349+1)=1,EOMONTH('Deal maths'!AA349,-(INT(((YEAR('Deal maths'!AA349)-YEAR(IF('Deal maths'!Z349&gt;0,'Deal maths'!Z349,DATE(1990,1,1))))*12+MONTH('Deal maths'!AA349)-MONTH(IF('Deal maths'!Z349&gt;0,'Deal maths'!Z349,DATE(1990,1,1))))/D349)-1)*D349),EDATE('Deal maths'!AA349,-(INT(((YEAR('Deal maths'!AA349)-YEAR(IF('Deal maths'!Z349&gt;0,'Deal maths'!Z349,DATE(1990,1,1))))*12+MONTH('Deal maths'!AA349)-MONTH(IF('Deal maths'!Z349&gt;0,'Deal maths'!Z349,DATE(1990,1,1))))/D349)-1)*D349))))),0)</f>
        <v/>
      </c>
      <c r="F349" s="110">
        <f>IF(D349=0,0,'Deal maths'!AB349*D349/12)</f>
        <v/>
      </c>
      <c r="G349" s="108">
        <f>N349+O349</f>
        <v/>
      </c>
      <c r="H349" s="108">
        <f>IFERROR(IF(OR(D349=0,AsAt&lt;E349),0,MIN(N349,INT(((YEAR(AsAt)-YEAR(E349))*12+MONTH(AsAt)-MONTH(E349)-(DAY(AsAt)&lt;MIN(R349,DAY(EOMONTH(AsAt,0)))))/D349)+1)+O349*(AsAt&gt;='Deal maths'!AA349)),0)</f>
        <v/>
      </c>
      <c r="I349" s="108">
        <f>G349-H349</f>
        <v/>
      </c>
      <c r="J349" s="111">
        <f>IF(AND(C349="EIP",I349&gt;0),'Deal maths'!Y349/I349,0)</f>
        <v/>
      </c>
      <c r="K349" s="111">
        <f>IF(AND(C349="Annuity",I349&gt;0),IF(F349&gt;0,'Deal maths'!Y349*F349/(1-(1+F349)^-I349),'Deal maths'!Y349/I349),0)</f>
        <v/>
      </c>
      <c r="L349" s="111">
        <f>IF('Deal maths'!Y349="",0,'Deal maths'!Y349)</f>
        <v/>
      </c>
      <c r="M349" s="112">
        <f>F349+(F349=0)</f>
        <v/>
      </c>
      <c r="N349" s="108">
        <f>IFERROR(IF(D349=0,0,INT(((YEAR('Deal maths'!AA349)-YEAR(E349))*12+MONTH('Deal maths'!AA349)-MONTH(E349)-(DAY('Deal maths'!AA349)&lt;MIN(R349,DAY(EOMONTH('Deal maths'!AA349,0)))))/D349)+1),0)</f>
        <v/>
      </c>
      <c r="O349" s="108">
        <f>IFERROR(IF(D349=0,0,IF(IF(DAY(E349+1)=1,EOMONTH(E349,(N349-1)*D349),EDATE(E349,(N349-1)*D349))='Deal maths'!AA349,0,1)),0)</f>
        <v/>
      </c>
      <c r="P349" s="113">
        <f>IF(B349=0,0,IFERROR(IF(C349="EIP",((I349-O349)*((IF(DAY(E349+1)=1,EOMONTH(E349,H349*D349),EDATE(E349,H349*D349))-AsAt)/365.25+(IF(DAY(E349+1)=1,EOMONTH(E349,(N349-1)*D349),EDATE(E349,(N349-1)*D349))-AsAt)/365.25)/2+O349*('Deal maths'!AA349-AsAt)/365.25)/I349,IF(C349="Annuity",IF(F349&gt;0,((K349-L349*F349)*((IF(DAY(E349+1)=1,EOMONTH(E349,H349*D349),EDATE(E349,H349*D349))-AsAt)/365.25*((1+F349)^(I349-O349)-1)/F349+IF((I349-O349)&gt;1,((IF(DAY(E349+1)=1,EOMONTH(E349,(N349-1)*D349),EDATE(E349,(N349-1)*D349))-AsAt)/365.25-(IF(DAY(E349+1)=1,EOMONTH(E349,H349*D349),EDATE(E349,H349*D349))-AsAt)/365.25)/((I349-O349)-1),0)*(1+F349)*(1-(I349-O349)*(1+F349)^((I349-O349)-1)+((I349-O349)-1)*(1+F349)^(I349-O349))/F349^2)+O349*(K349-L349*F349)*(1+F349)^(I349-1)*('Deal maths'!AA349-AsAt)/365.25)/L349,((I349-O349)*((IF(DAY(E349+1)=1,EOMONTH(E349,H349*D349),EDATE(E349,H349*D349))-AsAt)/365.25+(IF(DAY(E349+1)=1,EOMONTH(E349,(N349-1)*D349),EDATE(E349,(N349-1)*D349))-AsAt)/365.25)/2+O349*('Deal maths'!AA349-AsAt)/365.25)/I349),(S349-AsAt)/365.25)),0))</f>
        <v/>
      </c>
      <c r="Q349" s="109">
        <f>IF(B349=1,'Deal maths'!AA349+ROW()/1000000,"")</f>
        <v/>
      </c>
      <c r="R349" s="108">
        <f>IF(D349=0,0,IF(DAY(E349+1)=1,31,DAY(E349)))</f>
        <v/>
      </c>
      <c r="S349" s="109">
        <f>IF(AND('Deal maths'!V349="LOBO",'Deal maths'!AG349&gt;AsAt,'Deal maths'!AG349&lt;'Deal maths'!AA349),'Deal maths'!AG349,'Deal maths'!AA349)</f>
        <v/>
      </c>
      <c r="T349" s="108">
        <f>('Deal maths'!AA349&gt;AsAt)*('Deal maths'!Y349&gt;0)</f>
        <v/>
      </c>
    </row>
    <row r="350">
      <c r="A350" s="91">
        <f>IF('Deal maths'!V350="","",'Deal maths'!W350)</f>
        <v/>
      </c>
      <c r="B350" s="108">
        <f>('Deal maths'!AA350&gt;AsAt)*('Deal maths'!Y350&gt;0)*('Deal maths'!Z350&lt;=AsAt)</f>
        <v/>
      </c>
      <c r="C350" s="91">
        <f>IF('Deal maths'!V350="","",IF('Deal maths'!AC350="","Maturity",'Deal maths'!AC350))</f>
        <v/>
      </c>
      <c r="D350" s="108">
        <f>IF(OR(C350="EIP",C350="Annuity"),IF('Deal maths'!AD350="Annual",12,IF('Deal maths'!AD350="Quarterly",3,6)),0)</f>
        <v/>
      </c>
      <c r="E350" s="109">
        <f>IFERROR(IF(D350=0,0,IF('Deal maths'!AE350&gt;0,IF('Deal maths'!AE350&gt;'Deal maths'!AA350,'Deal maths'!AA350,'Deal maths'!AE350),IF(IF(DAY('Deal maths'!AA350+1)=1,EOMONTH('Deal maths'!AA350,-(INT(((YEAR('Deal maths'!AA350)-YEAR(IF('Deal maths'!Z350&gt;0,'Deal maths'!Z350,DATE(1990,1,1))))*12+MONTH('Deal maths'!AA350)-MONTH(IF('Deal maths'!Z350&gt;0,'Deal maths'!Z350,DATE(1990,1,1))))/D350))*D350),EDATE('Deal maths'!AA350,-(INT(((YEAR('Deal maths'!AA350)-YEAR(IF('Deal maths'!Z350&gt;0,'Deal maths'!Z350,DATE(1990,1,1))))*12+MONTH('Deal maths'!AA350)-MONTH(IF('Deal maths'!Z350&gt;0,'Deal maths'!Z350,DATE(1990,1,1))))/D350))*D350))&gt;IF('Deal maths'!Z350&gt;0,'Deal maths'!Z350,DATE(1990,1,1)),IF(DAY('Deal maths'!AA350+1)=1,EOMONTH('Deal maths'!AA350,-(INT(((YEAR('Deal maths'!AA350)-YEAR(IF('Deal maths'!Z350&gt;0,'Deal maths'!Z350,DATE(1990,1,1))))*12+MONTH('Deal maths'!AA350)-MONTH(IF('Deal maths'!Z350&gt;0,'Deal maths'!Z350,DATE(1990,1,1))))/D350))*D350),EDATE('Deal maths'!AA350,-(INT(((YEAR('Deal maths'!AA350)-YEAR(IF('Deal maths'!Z350&gt;0,'Deal maths'!Z350,DATE(1990,1,1))))*12+MONTH('Deal maths'!AA350)-MONTH(IF('Deal maths'!Z350&gt;0,'Deal maths'!Z350,DATE(1990,1,1))))/D350))*D350)),IF(DAY('Deal maths'!AA350+1)=1,EOMONTH('Deal maths'!AA350,-(INT(((YEAR('Deal maths'!AA350)-YEAR(IF('Deal maths'!Z350&gt;0,'Deal maths'!Z350,DATE(1990,1,1))))*12+MONTH('Deal maths'!AA350)-MONTH(IF('Deal maths'!Z350&gt;0,'Deal maths'!Z350,DATE(1990,1,1))))/D350)-1)*D350),EDATE('Deal maths'!AA350,-(INT(((YEAR('Deal maths'!AA350)-YEAR(IF('Deal maths'!Z350&gt;0,'Deal maths'!Z350,DATE(1990,1,1))))*12+MONTH('Deal maths'!AA350)-MONTH(IF('Deal maths'!Z350&gt;0,'Deal maths'!Z350,DATE(1990,1,1))))/D350)-1)*D350))))),0)</f>
        <v/>
      </c>
      <c r="F350" s="110">
        <f>IF(D350=0,0,'Deal maths'!AB350*D350/12)</f>
        <v/>
      </c>
      <c r="G350" s="108">
        <f>N350+O350</f>
        <v/>
      </c>
      <c r="H350" s="108">
        <f>IFERROR(IF(OR(D350=0,AsAt&lt;E350),0,MIN(N350,INT(((YEAR(AsAt)-YEAR(E350))*12+MONTH(AsAt)-MONTH(E350)-(DAY(AsAt)&lt;MIN(R350,DAY(EOMONTH(AsAt,0)))))/D350)+1)+O350*(AsAt&gt;='Deal maths'!AA350)),0)</f>
        <v/>
      </c>
      <c r="I350" s="108">
        <f>G350-H350</f>
        <v/>
      </c>
      <c r="J350" s="111">
        <f>IF(AND(C350="EIP",I350&gt;0),'Deal maths'!Y350/I350,0)</f>
        <v/>
      </c>
      <c r="K350" s="111">
        <f>IF(AND(C350="Annuity",I350&gt;0),IF(F350&gt;0,'Deal maths'!Y350*F350/(1-(1+F350)^-I350),'Deal maths'!Y350/I350),0)</f>
        <v/>
      </c>
      <c r="L350" s="111">
        <f>IF('Deal maths'!Y350="",0,'Deal maths'!Y350)</f>
        <v/>
      </c>
      <c r="M350" s="112">
        <f>F350+(F350=0)</f>
        <v/>
      </c>
      <c r="N350" s="108">
        <f>IFERROR(IF(D350=0,0,INT(((YEAR('Deal maths'!AA350)-YEAR(E350))*12+MONTH('Deal maths'!AA350)-MONTH(E350)-(DAY('Deal maths'!AA350)&lt;MIN(R350,DAY(EOMONTH('Deal maths'!AA350,0)))))/D350)+1),0)</f>
        <v/>
      </c>
      <c r="O350" s="108">
        <f>IFERROR(IF(D350=0,0,IF(IF(DAY(E350+1)=1,EOMONTH(E350,(N350-1)*D350),EDATE(E350,(N350-1)*D350))='Deal maths'!AA350,0,1)),0)</f>
        <v/>
      </c>
      <c r="P350" s="113">
        <f>IF(B350=0,0,IFERROR(IF(C350="EIP",((I350-O350)*((IF(DAY(E350+1)=1,EOMONTH(E350,H350*D350),EDATE(E350,H350*D350))-AsAt)/365.25+(IF(DAY(E350+1)=1,EOMONTH(E350,(N350-1)*D350),EDATE(E350,(N350-1)*D350))-AsAt)/365.25)/2+O350*('Deal maths'!AA350-AsAt)/365.25)/I350,IF(C350="Annuity",IF(F350&gt;0,((K350-L350*F350)*((IF(DAY(E350+1)=1,EOMONTH(E350,H350*D350),EDATE(E350,H350*D350))-AsAt)/365.25*((1+F350)^(I350-O350)-1)/F350+IF((I350-O350)&gt;1,((IF(DAY(E350+1)=1,EOMONTH(E350,(N350-1)*D350),EDATE(E350,(N350-1)*D350))-AsAt)/365.25-(IF(DAY(E350+1)=1,EOMONTH(E350,H350*D350),EDATE(E350,H350*D350))-AsAt)/365.25)/((I350-O350)-1),0)*(1+F350)*(1-(I350-O350)*(1+F350)^((I350-O350)-1)+((I350-O350)-1)*(1+F350)^(I350-O350))/F350^2)+O350*(K350-L350*F350)*(1+F350)^(I350-1)*('Deal maths'!AA350-AsAt)/365.25)/L350,((I350-O350)*((IF(DAY(E350+1)=1,EOMONTH(E350,H350*D350),EDATE(E350,H350*D350))-AsAt)/365.25+(IF(DAY(E350+1)=1,EOMONTH(E350,(N350-1)*D350),EDATE(E350,(N350-1)*D350))-AsAt)/365.25)/2+O350*('Deal maths'!AA350-AsAt)/365.25)/I350),(S350-AsAt)/365.25)),0))</f>
        <v/>
      </c>
      <c r="Q350" s="109">
        <f>IF(B350=1,'Deal maths'!AA350+ROW()/1000000,"")</f>
        <v/>
      </c>
      <c r="R350" s="108">
        <f>IF(D350=0,0,IF(DAY(E350+1)=1,31,DAY(E350)))</f>
        <v/>
      </c>
      <c r="S350" s="109">
        <f>IF(AND('Deal maths'!V350="LOBO",'Deal maths'!AG350&gt;AsAt,'Deal maths'!AG350&lt;'Deal maths'!AA350),'Deal maths'!AG350,'Deal maths'!AA350)</f>
        <v/>
      </c>
      <c r="T350" s="108">
        <f>('Deal maths'!AA350&gt;AsAt)*('Deal maths'!Y350&gt;0)</f>
        <v/>
      </c>
    </row>
    <row r="351">
      <c r="A351" s="91">
        <f>IF('Deal maths'!V351="","",'Deal maths'!W351)</f>
        <v/>
      </c>
      <c r="B351" s="108">
        <f>('Deal maths'!AA351&gt;AsAt)*('Deal maths'!Y351&gt;0)*('Deal maths'!Z351&lt;=AsAt)</f>
        <v/>
      </c>
      <c r="C351" s="91">
        <f>IF('Deal maths'!V351="","",IF('Deal maths'!AC351="","Maturity",'Deal maths'!AC351))</f>
        <v/>
      </c>
      <c r="D351" s="108">
        <f>IF(OR(C351="EIP",C351="Annuity"),IF('Deal maths'!AD351="Annual",12,IF('Deal maths'!AD351="Quarterly",3,6)),0)</f>
        <v/>
      </c>
      <c r="E351" s="109">
        <f>IFERROR(IF(D351=0,0,IF('Deal maths'!AE351&gt;0,IF('Deal maths'!AE351&gt;'Deal maths'!AA351,'Deal maths'!AA351,'Deal maths'!AE351),IF(IF(DAY('Deal maths'!AA351+1)=1,EOMONTH('Deal maths'!AA351,-(INT(((YEAR('Deal maths'!AA351)-YEAR(IF('Deal maths'!Z351&gt;0,'Deal maths'!Z351,DATE(1990,1,1))))*12+MONTH('Deal maths'!AA351)-MONTH(IF('Deal maths'!Z351&gt;0,'Deal maths'!Z351,DATE(1990,1,1))))/D351))*D351),EDATE('Deal maths'!AA351,-(INT(((YEAR('Deal maths'!AA351)-YEAR(IF('Deal maths'!Z351&gt;0,'Deal maths'!Z351,DATE(1990,1,1))))*12+MONTH('Deal maths'!AA351)-MONTH(IF('Deal maths'!Z351&gt;0,'Deal maths'!Z351,DATE(1990,1,1))))/D351))*D351))&gt;IF('Deal maths'!Z351&gt;0,'Deal maths'!Z351,DATE(1990,1,1)),IF(DAY('Deal maths'!AA351+1)=1,EOMONTH('Deal maths'!AA351,-(INT(((YEAR('Deal maths'!AA351)-YEAR(IF('Deal maths'!Z351&gt;0,'Deal maths'!Z351,DATE(1990,1,1))))*12+MONTH('Deal maths'!AA351)-MONTH(IF('Deal maths'!Z351&gt;0,'Deal maths'!Z351,DATE(1990,1,1))))/D351))*D351),EDATE('Deal maths'!AA351,-(INT(((YEAR('Deal maths'!AA351)-YEAR(IF('Deal maths'!Z351&gt;0,'Deal maths'!Z351,DATE(1990,1,1))))*12+MONTH('Deal maths'!AA351)-MONTH(IF('Deal maths'!Z351&gt;0,'Deal maths'!Z351,DATE(1990,1,1))))/D351))*D351)),IF(DAY('Deal maths'!AA351+1)=1,EOMONTH('Deal maths'!AA351,-(INT(((YEAR('Deal maths'!AA351)-YEAR(IF('Deal maths'!Z351&gt;0,'Deal maths'!Z351,DATE(1990,1,1))))*12+MONTH('Deal maths'!AA351)-MONTH(IF('Deal maths'!Z351&gt;0,'Deal maths'!Z351,DATE(1990,1,1))))/D351)-1)*D351),EDATE('Deal maths'!AA351,-(INT(((YEAR('Deal maths'!AA351)-YEAR(IF('Deal maths'!Z351&gt;0,'Deal maths'!Z351,DATE(1990,1,1))))*12+MONTH('Deal maths'!AA351)-MONTH(IF('Deal maths'!Z351&gt;0,'Deal maths'!Z351,DATE(1990,1,1))))/D351)-1)*D351))))),0)</f>
        <v/>
      </c>
      <c r="F351" s="110">
        <f>IF(D351=0,0,'Deal maths'!AB351*D351/12)</f>
        <v/>
      </c>
      <c r="G351" s="108">
        <f>N351+O351</f>
        <v/>
      </c>
      <c r="H351" s="108">
        <f>IFERROR(IF(OR(D351=0,AsAt&lt;E351),0,MIN(N351,INT(((YEAR(AsAt)-YEAR(E351))*12+MONTH(AsAt)-MONTH(E351)-(DAY(AsAt)&lt;MIN(R351,DAY(EOMONTH(AsAt,0)))))/D351)+1)+O351*(AsAt&gt;='Deal maths'!AA351)),0)</f>
        <v/>
      </c>
      <c r="I351" s="108">
        <f>G351-H351</f>
        <v/>
      </c>
      <c r="J351" s="111">
        <f>IF(AND(C351="EIP",I351&gt;0),'Deal maths'!Y351/I351,0)</f>
        <v/>
      </c>
      <c r="K351" s="111">
        <f>IF(AND(C351="Annuity",I351&gt;0),IF(F351&gt;0,'Deal maths'!Y351*F351/(1-(1+F351)^-I351),'Deal maths'!Y351/I351),0)</f>
        <v/>
      </c>
      <c r="L351" s="111">
        <f>IF('Deal maths'!Y351="",0,'Deal maths'!Y351)</f>
        <v/>
      </c>
      <c r="M351" s="112">
        <f>F351+(F351=0)</f>
        <v/>
      </c>
      <c r="N351" s="108">
        <f>IFERROR(IF(D351=0,0,INT(((YEAR('Deal maths'!AA351)-YEAR(E351))*12+MONTH('Deal maths'!AA351)-MONTH(E351)-(DAY('Deal maths'!AA351)&lt;MIN(R351,DAY(EOMONTH('Deal maths'!AA351,0)))))/D351)+1),0)</f>
        <v/>
      </c>
      <c r="O351" s="108">
        <f>IFERROR(IF(D351=0,0,IF(IF(DAY(E351+1)=1,EOMONTH(E351,(N351-1)*D351),EDATE(E351,(N351-1)*D351))='Deal maths'!AA351,0,1)),0)</f>
        <v/>
      </c>
      <c r="P351" s="113">
        <f>IF(B351=0,0,IFERROR(IF(C351="EIP",((I351-O351)*((IF(DAY(E351+1)=1,EOMONTH(E351,H351*D351),EDATE(E351,H351*D351))-AsAt)/365.25+(IF(DAY(E351+1)=1,EOMONTH(E351,(N351-1)*D351),EDATE(E351,(N351-1)*D351))-AsAt)/365.25)/2+O351*('Deal maths'!AA351-AsAt)/365.25)/I351,IF(C351="Annuity",IF(F351&gt;0,((K351-L351*F351)*((IF(DAY(E351+1)=1,EOMONTH(E351,H351*D351),EDATE(E351,H351*D351))-AsAt)/365.25*((1+F351)^(I351-O351)-1)/F351+IF((I351-O351)&gt;1,((IF(DAY(E351+1)=1,EOMONTH(E351,(N351-1)*D351),EDATE(E351,(N351-1)*D351))-AsAt)/365.25-(IF(DAY(E351+1)=1,EOMONTH(E351,H351*D351),EDATE(E351,H351*D351))-AsAt)/365.25)/((I351-O351)-1),0)*(1+F351)*(1-(I351-O351)*(1+F351)^((I351-O351)-1)+((I351-O351)-1)*(1+F351)^(I351-O351))/F351^2)+O351*(K351-L351*F351)*(1+F351)^(I351-1)*('Deal maths'!AA351-AsAt)/365.25)/L351,((I351-O351)*((IF(DAY(E351+1)=1,EOMONTH(E351,H351*D351),EDATE(E351,H351*D351))-AsAt)/365.25+(IF(DAY(E351+1)=1,EOMONTH(E351,(N351-1)*D351),EDATE(E351,(N351-1)*D351))-AsAt)/365.25)/2+O351*('Deal maths'!AA351-AsAt)/365.25)/I351),(S351-AsAt)/365.25)),0))</f>
        <v/>
      </c>
      <c r="Q351" s="109">
        <f>IF(B351=1,'Deal maths'!AA351+ROW()/1000000,"")</f>
        <v/>
      </c>
      <c r="R351" s="108">
        <f>IF(D351=0,0,IF(DAY(E351+1)=1,31,DAY(E351)))</f>
        <v/>
      </c>
      <c r="S351" s="109">
        <f>IF(AND('Deal maths'!V351="LOBO",'Deal maths'!AG351&gt;AsAt,'Deal maths'!AG351&lt;'Deal maths'!AA351),'Deal maths'!AG351,'Deal maths'!AA351)</f>
        <v/>
      </c>
      <c r="T351" s="108">
        <f>('Deal maths'!AA351&gt;AsAt)*('Deal maths'!Y351&gt;0)</f>
        <v/>
      </c>
    </row>
    <row r="352">
      <c r="A352" s="91">
        <f>IF('Deal maths'!V352="","",'Deal maths'!W352)</f>
        <v/>
      </c>
      <c r="B352" s="108">
        <f>('Deal maths'!AA352&gt;AsAt)*('Deal maths'!Y352&gt;0)*('Deal maths'!Z352&lt;=AsAt)</f>
        <v/>
      </c>
      <c r="C352" s="91">
        <f>IF('Deal maths'!V352="","",IF('Deal maths'!AC352="","Maturity",'Deal maths'!AC352))</f>
        <v/>
      </c>
      <c r="D352" s="108">
        <f>IF(OR(C352="EIP",C352="Annuity"),IF('Deal maths'!AD352="Annual",12,IF('Deal maths'!AD352="Quarterly",3,6)),0)</f>
        <v/>
      </c>
      <c r="E352" s="109">
        <f>IFERROR(IF(D352=0,0,IF('Deal maths'!AE352&gt;0,IF('Deal maths'!AE352&gt;'Deal maths'!AA352,'Deal maths'!AA352,'Deal maths'!AE352),IF(IF(DAY('Deal maths'!AA352+1)=1,EOMONTH('Deal maths'!AA352,-(INT(((YEAR('Deal maths'!AA352)-YEAR(IF('Deal maths'!Z352&gt;0,'Deal maths'!Z352,DATE(1990,1,1))))*12+MONTH('Deal maths'!AA352)-MONTH(IF('Deal maths'!Z352&gt;0,'Deal maths'!Z352,DATE(1990,1,1))))/D352))*D352),EDATE('Deal maths'!AA352,-(INT(((YEAR('Deal maths'!AA352)-YEAR(IF('Deal maths'!Z352&gt;0,'Deal maths'!Z352,DATE(1990,1,1))))*12+MONTH('Deal maths'!AA352)-MONTH(IF('Deal maths'!Z352&gt;0,'Deal maths'!Z352,DATE(1990,1,1))))/D352))*D352))&gt;IF('Deal maths'!Z352&gt;0,'Deal maths'!Z352,DATE(1990,1,1)),IF(DAY('Deal maths'!AA352+1)=1,EOMONTH('Deal maths'!AA352,-(INT(((YEAR('Deal maths'!AA352)-YEAR(IF('Deal maths'!Z352&gt;0,'Deal maths'!Z352,DATE(1990,1,1))))*12+MONTH('Deal maths'!AA352)-MONTH(IF('Deal maths'!Z352&gt;0,'Deal maths'!Z352,DATE(1990,1,1))))/D352))*D352),EDATE('Deal maths'!AA352,-(INT(((YEAR('Deal maths'!AA352)-YEAR(IF('Deal maths'!Z352&gt;0,'Deal maths'!Z352,DATE(1990,1,1))))*12+MONTH('Deal maths'!AA352)-MONTH(IF('Deal maths'!Z352&gt;0,'Deal maths'!Z352,DATE(1990,1,1))))/D352))*D352)),IF(DAY('Deal maths'!AA352+1)=1,EOMONTH('Deal maths'!AA352,-(INT(((YEAR('Deal maths'!AA352)-YEAR(IF('Deal maths'!Z352&gt;0,'Deal maths'!Z352,DATE(1990,1,1))))*12+MONTH('Deal maths'!AA352)-MONTH(IF('Deal maths'!Z352&gt;0,'Deal maths'!Z352,DATE(1990,1,1))))/D352)-1)*D352),EDATE('Deal maths'!AA352,-(INT(((YEAR('Deal maths'!AA352)-YEAR(IF('Deal maths'!Z352&gt;0,'Deal maths'!Z352,DATE(1990,1,1))))*12+MONTH('Deal maths'!AA352)-MONTH(IF('Deal maths'!Z352&gt;0,'Deal maths'!Z352,DATE(1990,1,1))))/D352)-1)*D352))))),0)</f>
        <v/>
      </c>
      <c r="F352" s="110">
        <f>IF(D352=0,0,'Deal maths'!AB352*D352/12)</f>
        <v/>
      </c>
      <c r="G352" s="108">
        <f>N352+O352</f>
        <v/>
      </c>
      <c r="H352" s="108">
        <f>IFERROR(IF(OR(D352=0,AsAt&lt;E352),0,MIN(N352,INT(((YEAR(AsAt)-YEAR(E352))*12+MONTH(AsAt)-MONTH(E352)-(DAY(AsAt)&lt;MIN(R352,DAY(EOMONTH(AsAt,0)))))/D352)+1)+O352*(AsAt&gt;='Deal maths'!AA352)),0)</f>
        <v/>
      </c>
      <c r="I352" s="108">
        <f>G352-H352</f>
        <v/>
      </c>
      <c r="J352" s="111">
        <f>IF(AND(C352="EIP",I352&gt;0),'Deal maths'!Y352/I352,0)</f>
        <v/>
      </c>
      <c r="K352" s="111">
        <f>IF(AND(C352="Annuity",I352&gt;0),IF(F352&gt;0,'Deal maths'!Y352*F352/(1-(1+F352)^-I352),'Deal maths'!Y352/I352),0)</f>
        <v/>
      </c>
      <c r="L352" s="111">
        <f>IF('Deal maths'!Y352="",0,'Deal maths'!Y352)</f>
        <v/>
      </c>
      <c r="M352" s="112">
        <f>F352+(F352=0)</f>
        <v/>
      </c>
      <c r="N352" s="108">
        <f>IFERROR(IF(D352=0,0,INT(((YEAR('Deal maths'!AA352)-YEAR(E352))*12+MONTH('Deal maths'!AA352)-MONTH(E352)-(DAY('Deal maths'!AA352)&lt;MIN(R352,DAY(EOMONTH('Deal maths'!AA352,0)))))/D352)+1),0)</f>
        <v/>
      </c>
      <c r="O352" s="108">
        <f>IFERROR(IF(D352=0,0,IF(IF(DAY(E352+1)=1,EOMONTH(E352,(N352-1)*D352),EDATE(E352,(N352-1)*D352))='Deal maths'!AA352,0,1)),0)</f>
        <v/>
      </c>
      <c r="P352" s="113">
        <f>IF(B352=0,0,IFERROR(IF(C352="EIP",((I352-O352)*((IF(DAY(E352+1)=1,EOMONTH(E352,H352*D352),EDATE(E352,H352*D352))-AsAt)/365.25+(IF(DAY(E352+1)=1,EOMONTH(E352,(N352-1)*D352),EDATE(E352,(N352-1)*D352))-AsAt)/365.25)/2+O352*('Deal maths'!AA352-AsAt)/365.25)/I352,IF(C352="Annuity",IF(F352&gt;0,((K352-L352*F352)*((IF(DAY(E352+1)=1,EOMONTH(E352,H352*D352),EDATE(E352,H352*D352))-AsAt)/365.25*((1+F352)^(I352-O352)-1)/F352+IF((I352-O352)&gt;1,((IF(DAY(E352+1)=1,EOMONTH(E352,(N352-1)*D352),EDATE(E352,(N352-1)*D352))-AsAt)/365.25-(IF(DAY(E352+1)=1,EOMONTH(E352,H352*D352),EDATE(E352,H352*D352))-AsAt)/365.25)/((I352-O352)-1),0)*(1+F352)*(1-(I352-O352)*(1+F352)^((I352-O352)-1)+((I352-O352)-1)*(1+F352)^(I352-O352))/F352^2)+O352*(K352-L352*F352)*(1+F352)^(I352-1)*('Deal maths'!AA352-AsAt)/365.25)/L352,((I352-O352)*((IF(DAY(E352+1)=1,EOMONTH(E352,H352*D352),EDATE(E352,H352*D352))-AsAt)/365.25+(IF(DAY(E352+1)=1,EOMONTH(E352,(N352-1)*D352),EDATE(E352,(N352-1)*D352))-AsAt)/365.25)/2+O352*('Deal maths'!AA352-AsAt)/365.25)/I352),(S352-AsAt)/365.25)),0))</f>
        <v/>
      </c>
      <c r="Q352" s="109">
        <f>IF(B352=1,'Deal maths'!AA352+ROW()/1000000,"")</f>
        <v/>
      </c>
      <c r="R352" s="108">
        <f>IF(D352=0,0,IF(DAY(E352+1)=1,31,DAY(E352)))</f>
        <v/>
      </c>
      <c r="S352" s="109">
        <f>IF(AND('Deal maths'!V352="LOBO",'Deal maths'!AG352&gt;AsAt,'Deal maths'!AG352&lt;'Deal maths'!AA352),'Deal maths'!AG352,'Deal maths'!AA352)</f>
        <v/>
      </c>
      <c r="T352" s="108">
        <f>('Deal maths'!AA352&gt;AsAt)*('Deal maths'!Y352&gt;0)</f>
        <v/>
      </c>
    </row>
    <row r="353">
      <c r="A353" s="91">
        <f>IF('Deal maths'!V353="","",'Deal maths'!W353)</f>
        <v/>
      </c>
      <c r="B353" s="108">
        <f>('Deal maths'!AA353&gt;AsAt)*('Deal maths'!Y353&gt;0)*('Deal maths'!Z353&lt;=AsAt)</f>
        <v/>
      </c>
      <c r="C353" s="91">
        <f>IF('Deal maths'!V353="","",IF('Deal maths'!AC353="","Maturity",'Deal maths'!AC353))</f>
        <v/>
      </c>
      <c r="D353" s="108">
        <f>IF(OR(C353="EIP",C353="Annuity"),IF('Deal maths'!AD353="Annual",12,IF('Deal maths'!AD353="Quarterly",3,6)),0)</f>
        <v/>
      </c>
      <c r="E353" s="109">
        <f>IFERROR(IF(D353=0,0,IF('Deal maths'!AE353&gt;0,IF('Deal maths'!AE353&gt;'Deal maths'!AA353,'Deal maths'!AA353,'Deal maths'!AE353),IF(IF(DAY('Deal maths'!AA353+1)=1,EOMONTH('Deal maths'!AA353,-(INT(((YEAR('Deal maths'!AA353)-YEAR(IF('Deal maths'!Z353&gt;0,'Deal maths'!Z353,DATE(1990,1,1))))*12+MONTH('Deal maths'!AA353)-MONTH(IF('Deal maths'!Z353&gt;0,'Deal maths'!Z353,DATE(1990,1,1))))/D353))*D353),EDATE('Deal maths'!AA353,-(INT(((YEAR('Deal maths'!AA353)-YEAR(IF('Deal maths'!Z353&gt;0,'Deal maths'!Z353,DATE(1990,1,1))))*12+MONTH('Deal maths'!AA353)-MONTH(IF('Deal maths'!Z353&gt;0,'Deal maths'!Z353,DATE(1990,1,1))))/D353))*D353))&gt;IF('Deal maths'!Z353&gt;0,'Deal maths'!Z353,DATE(1990,1,1)),IF(DAY('Deal maths'!AA353+1)=1,EOMONTH('Deal maths'!AA353,-(INT(((YEAR('Deal maths'!AA353)-YEAR(IF('Deal maths'!Z353&gt;0,'Deal maths'!Z353,DATE(1990,1,1))))*12+MONTH('Deal maths'!AA353)-MONTH(IF('Deal maths'!Z353&gt;0,'Deal maths'!Z353,DATE(1990,1,1))))/D353))*D353),EDATE('Deal maths'!AA353,-(INT(((YEAR('Deal maths'!AA353)-YEAR(IF('Deal maths'!Z353&gt;0,'Deal maths'!Z353,DATE(1990,1,1))))*12+MONTH('Deal maths'!AA353)-MONTH(IF('Deal maths'!Z353&gt;0,'Deal maths'!Z353,DATE(1990,1,1))))/D353))*D353)),IF(DAY('Deal maths'!AA353+1)=1,EOMONTH('Deal maths'!AA353,-(INT(((YEAR('Deal maths'!AA353)-YEAR(IF('Deal maths'!Z353&gt;0,'Deal maths'!Z353,DATE(1990,1,1))))*12+MONTH('Deal maths'!AA353)-MONTH(IF('Deal maths'!Z353&gt;0,'Deal maths'!Z353,DATE(1990,1,1))))/D353)-1)*D353),EDATE('Deal maths'!AA353,-(INT(((YEAR('Deal maths'!AA353)-YEAR(IF('Deal maths'!Z353&gt;0,'Deal maths'!Z353,DATE(1990,1,1))))*12+MONTH('Deal maths'!AA353)-MONTH(IF('Deal maths'!Z353&gt;0,'Deal maths'!Z353,DATE(1990,1,1))))/D353)-1)*D353))))),0)</f>
        <v/>
      </c>
      <c r="F353" s="110">
        <f>IF(D353=0,0,'Deal maths'!AB353*D353/12)</f>
        <v/>
      </c>
      <c r="G353" s="108">
        <f>N353+O353</f>
        <v/>
      </c>
      <c r="H353" s="108">
        <f>IFERROR(IF(OR(D353=0,AsAt&lt;E353),0,MIN(N353,INT(((YEAR(AsAt)-YEAR(E353))*12+MONTH(AsAt)-MONTH(E353)-(DAY(AsAt)&lt;MIN(R353,DAY(EOMONTH(AsAt,0)))))/D353)+1)+O353*(AsAt&gt;='Deal maths'!AA353)),0)</f>
        <v/>
      </c>
      <c r="I353" s="108">
        <f>G353-H353</f>
        <v/>
      </c>
      <c r="J353" s="111">
        <f>IF(AND(C353="EIP",I353&gt;0),'Deal maths'!Y353/I353,0)</f>
        <v/>
      </c>
      <c r="K353" s="111">
        <f>IF(AND(C353="Annuity",I353&gt;0),IF(F353&gt;0,'Deal maths'!Y353*F353/(1-(1+F353)^-I353),'Deal maths'!Y353/I353),0)</f>
        <v/>
      </c>
      <c r="L353" s="111">
        <f>IF('Deal maths'!Y353="",0,'Deal maths'!Y353)</f>
        <v/>
      </c>
      <c r="M353" s="112">
        <f>F353+(F353=0)</f>
        <v/>
      </c>
      <c r="N353" s="108">
        <f>IFERROR(IF(D353=0,0,INT(((YEAR('Deal maths'!AA353)-YEAR(E353))*12+MONTH('Deal maths'!AA353)-MONTH(E353)-(DAY('Deal maths'!AA353)&lt;MIN(R353,DAY(EOMONTH('Deal maths'!AA353,0)))))/D353)+1),0)</f>
        <v/>
      </c>
      <c r="O353" s="108">
        <f>IFERROR(IF(D353=0,0,IF(IF(DAY(E353+1)=1,EOMONTH(E353,(N353-1)*D353),EDATE(E353,(N353-1)*D353))='Deal maths'!AA353,0,1)),0)</f>
        <v/>
      </c>
      <c r="P353" s="113">
        <f>IF(B353=0,0,IFERROR(IF(C353="EIP",((I353-O353)*((IF(DAY(E353+1)=1,EOMONTH(E353,H353*D353),EDATE(E353,H353*D353))-AsAt)/365.25+(IF(DAY(E353+1)=1,EOMONTH(E353,(N353-1)*D353),EDATE(E353,(N353-1)*D353))-AsAt)/365.25)/2+O353*('Deal maths'!AA353-AsAt)/365.25)/I353,IF(C353="Annuity",IF(F353&gt;0,((K353-L353*F353)*((IF(DAY(E353+1)=1,EOMONTH(E353,H353*D353),EDATE(E353,H353*D353))-AsAt)/365.25*((1+F353)^(I353-O353)-1)/F353+IF((I353-O353)&gt;1,((IF(DAY(E353+1)=1,EOMONTH(E353,(N353-1)*D353),EDATE(E353,(N353-1)*D353))-AsAt)/365.25-(IF(DAY(E353+1)=1,EOMONTH(E353,H353*D353),EDATE(E353,H353*D353))-AsAt)/365.25)/((I353-O353)-1),0)*(1+F353)*(1-(I353-O353)*(1+F353)^((I353-O353)-1)+((I353-O353)-1)*(1+F353)^(I353-O353))/F353^2)+O353*(K353-L353*F353)*(1+F353)^(I353-1)*('Deal maths'!AA353-AsAt)/365.25)/L353,((I353-O353)*((IF(DAY(E353+1)=1,EOMONTH(E353,H353*D353),EDATE(E353,H353*D353))-AsAt)/365.25+(IF(DAY(E353+1)=1,EOMONTH(E353,(N353-1)*D353),EDATE(E353,(N353-1)*D353))-AsAt)/365.25)/2+O353*('Deal maths'!AA353-AsAt)/365.25)/I353),(S353-AsAt)/365.25)),0))</f>
        <v/>
      </c>
      <c r="Q353" s="109">
        <f>IF(B353=1,'Deal maths'!AA353+ROW()/1000000,"")</f>
        <v/>
      </c>
      <c r="R353" s="108">
        <f>IF(D353=0,0,IF(DAY(E353+1)=1,31,DAY(E353)))</f>
        <v/>
      </c>
      <c r="S353" s="109">
        <f>IF(AND('Deal maths'!V353="LOBO",'Deal maths'!AG353&gt;AsAt,'Deal maths'!AG353&lt;'Deal maths'!AA353),'Deal maths'!AG353,'Deal maths'!AA353)</f>
        <v/>
      </c>
      <c r="T353" s="108">
        <f>('Deal maths'!AA353&gt;AsAt)*('Deal maths'!Y353&gt;0)</f>
        <v/>
      </c>
    </row>
    <row r="354">
      <c r="A354" s="91">
        <f>IF('Deal maths'!V354="","",'Deal maths'!W354)</f>
        <v/>
      </c>
      <c r="B354" s="108">
        <f>('Deal maths'!AA354&gt;AsAt)*('Deal maths'!Y354&gt;0)*('Deal maths'!Z354&lt;=AsAt)</f>
        <v/>
      </c>
      <c r="C354" s="91">
        <f>IF('Deal maths'!V354="","",IF('Deal maths'!AC354="","Maturity",'Deal maths'!AC354))</f>
        <v/>
      </c>
      <c r="D354" s="108">
        <f>IF(OR(C354="EIP",C354="Annuity"),IF('Deal maths'!AD354="Annual",12,IF('Deal maths'!AD354="Quarterly",3,6)),0)</f>
        <v/>
      </c>
      <c r="E354" s="109">
        <f>IFERROR(IF(D354=0,0,IF('Deal maths'!AE354&gt;0,IF('Deal maths'!AE354&gt;'Deal maths'!AA354,'Deal maths'!AA354,'Deal maths'!AE354),IF(IF(DAY('Deal maths'!AA354+1)=1,EOMONTH('Deal maths'!AA354,-(INT(((YEAR('Deal maths'!AA354)-YEAR(IF('Deal maths'!Z354&gt;0,'Deal maths'!Z354,DATE(1990,1,1))))*12+MONTH('Deal maths'!AA354)-MONTH(IF('Deal maths'!Z354&gt;0,'Deal maths'!Z354,DATE(1990,1,1))))/D354))*D354),EDATE('Deal maths'!AA354,-(INT(((YEAR('Deal maths'!AA354)-YEAR(IF('Deal maths'!Z354&gt;0,'Deal maths'!Z354,DATE(1990,1,1))))*12+MONTH('Deal maths'!AA354)-MONTH(IF('Deal maths'!Z354&gt;0,'Deal maths'!Z354,DATE(1990,1,1))))/D354))*D354))&gt;IF('Deal maths'!Z354&gt;0,'Deal maths'!Z354,DATE(1990,1,1)),IF(DAY('Deal maths'!AA354+1)=1,EOMONTH('Deal maths'!AA354,-(INT(((YEAR('Deal maths'!AA354)-YEAR(IF('Deal maths'!Z354&gt;0,'Deal maths'!Z354,DATE(1990,1,1))))*12+MONTH('Deal maths'!AA354)-MONTH(IF('Deal maths'!Z354&gt;0,'Deal maths'!Z354,DATE(1990,1,1))))/D354))*D354),EDATE('Deal maths'!AA354,-(INT(((YEAR('Deal maths'!AA354)-YEAR(IF('Deal maths'!Z354&gt;0,'Deal maths'!Z354,DATE(1990,1,1))))*12+MONTH('Deal maths'!AA354)-MONTH(IF('Deal maths'!Z354&gt;0,'Deal maths'!Z354,DATE(1990,1,1))))/D354))*D354)),IF(DAY('Deal maths'!AA354+1)=1,EOMONTH('Deal maths'!AA354,-(INT(((YEAR('Deal maths'!AA354)-YEAR(IF('Deal maths'!Z354&gt;0,'Deal maths'!Z354,DATE(1990,1,1))))*12+MONTH('Deal maths'!AA354)-MONTH(IF('Deal maths'!Z354&gt;0,'Deal maths'!Z354,DATE(1990,1,1))))/D354)-1)*D354),EDATE('Deal maths'!AA354,-(INT(((YEAR('Deal maths'!AA354)-YEAR(IF('Deal maths'!Z354&gt;0,'Deal maths'!Z354,DATE(1990,1,1))))*12+MONTH('Deal maths'!AA354)-MONTH(IF('Deal maths'!Z354&gt;0,'Deal maths'!Z354,DATE(1990,1,1))))/D354)-1)*D354))))),0)</f>
        <v/>
      </c>
      <c r="F354" s="110">
        <f>IF(D354=0,0,'Deal maths'!AB354*D354/12)</f>
        <v/>
      </c>
      <c r="G354" s="108">
        <f>N354+O354</f>
        <v/>
      </c>
      <c r="H354" s="108">
        <f>IFERROR(IF(OR(D354=0,AsAt&lt;E354),0,MIN(N354,INT(((YEAR(AsAt)-YEAR(E354))*12+MONTH(AsAt)-MONTH(E354)-(DAY(AsAt)&lt;MIN(R354,DAY(EOMONTH(AsAt,0)))))/D354)+1)+O354*(AsAt&gt;='Deal maths'!AA354)),0)</f>
        <v/>
      </c>
      <c r="I354" s="108">
        <f>G354-H354</f>
        <v/>
      </c>
      <c r="J354" s="111">
        <f>IF(AND(C354="EIP",I354&gt;0),'Deal maths'!Y354/I354,0)</f>
        <v/>
      </c>
      <c r="K354" s="111">
        <f>IF(AND(C354="Annuity",I354&gt;0),IF(F354&gt;0,'Deal maths'!Y354*F354/(1-(1+F354)^-I354),'Deal maths'!Y354/I354),0)</f>
        <v/>
      </c>
      <c r="L354" s="111">
        <f>IF('Deal maths'!Y354="",0,'Deal maths'!Y354)</f>
        <v/>
      </c>
      <c r="M354" s="112">
        <f>F354+(F354=0)</f>
        <v/>
      </c>
      <c r="N354" s="108">
        <f>IFERROR(IF(D354=0,0,INT(((YEAR('Deal maths'!AA354)-YEAR(E354))*12+MONTH('Deal maths'!AA354)-MONTH(E354)-(DAY('Deal maths'!AA354)&lt;MIN(R354,DAY(EOMONTH('Deal maths'!AA354,0)))))/D354)+1),0)</f>
        <v/>
      </c>
      <c r="O354" s="108">
        <f>IFERROR(IF(D354=0,0,IF(IF(DAY(E354+1)=1,EOMONTH(E354,(N354-1)*D354),EDATE(E354,(N354-1)*D354))='Deal maths'!AA354,0,1)),0)</f>
        <v/>
      </c>
      <c r="P354" s="113">
        <f>IF(B354=0,0,IFERROR(IF(C354="EIP",((I354-O354)*((IF(DAY(E354+1)=1,EOMONTH(E354,H354*D354),EDATE(E354,H354*D354))-AsAt)/365.25+(IF(DAY(E354+1)=1,EOMONTH(E354,(N354-1)*D354),EDATE(E354,(N354-1)*D354))-AsAt)/365.25)/2+O354*('Deal maths'!AA354-AsAt)/365.25)/I354,IF(C354="Annuity",IF(F354&gt;0,((K354-L354*F354)*((IF(DAY(E354+1)=1,EOMONTH(E354,H354*D354),EDATE(E354,H354*D354))-AsAt)/365.25*((1+F354)^(I354-O354)-1)/F354+IF((I354-O354)&gt;1,((IF(DAY(E354+1)=1,EOMONTH(E354,(N354-1)*D354),EDATE(E354,(N354-1)*D354))-AsAt)/365.25-(IF(DAY(E354+1)=1,EOMONTH(E354,H354*D354),EDATE(E354,H354*D354))-AsAt)/365.25)/((I354-O354)-1),0)*(1+F354)*(1-(I354-O354)*(1+F354)^((I354-O354)-1)+((I354-O354)-1)*(1+F354)^(I354-O354))/F354^2)+O354*(K354-L354*F354)*(1+F354)^(I354-1)*('Deal maths'!AA354-AsAt)/365.25)/L354,((I354-O354)*((IF(DAY(E354+1)=1,EOMONTH(E354,H354*D354),EDATE(E354,H354*D354))-AsAt)/365.25+(IF(DAY(E354+1)=1,EOMONTH(E354,(N354-1)*D354),EDATE(E354,(N354-1)*D354))-AsAt)/365.25)/2+O354*('Deal maths'!AA354-AsAt)/365.25)/I354),(S354-AsAt)/365.25)),0))</f>
        <v/>
      </c>
      <c r="Q354" s="109">
        <f>IF(B354=1,'Deal maths'!AA354+ROW()/1000000,"")</f>
        <v/>
      </c>
      <c r="R354" s="108">
        <f>IF(D354=0,0,IF(DAY(E354+1)=1,31,DAY(E354)))</f>
        <v/>
      </c>
      <c r="S354" s="109">
        <f>IF(AND('Deal maths'!V354="LOBO",'Deal maths'!AG354&gt;AsAt,'Deal maths'!AG354&lt;'Deal maths'!AA354),'Deal maths'!AG354,'Deal maths'!AA354)</f>
        <v/>
      </c>
      <c r="T354" s="108">
        <f>('Deal maths'!AA354&gt;AsAt)*('Deal maths'!Y354&gt;0)</f>
        <v/>
      </c>
    </row>
    <row r="355">
      <c r="A355" s="91">
        <f>IF('Deal maths'!V355="","",'Deal maths'!W355)</f>
        <v/>
      </c>
      <c r="B355" s="108">
        <f>('Deal maths'!AA355&gt;AsAt)*('Deal maths'!Y355&gt;0)*('Deal maths'!Z355&lt;=AsAt)</f>
        <v/>
      </c>
      <c r="C355" s="91">
        <f>IF('Deal maths'!V355="","",IF('Deal maths'!AC355="","Maturity",'Deal maths'!AC355))</f>
        <v/>
      </c>
      <c r="D355" s="108">
        <f>IF(OR(C355="EIP",C355="Annuity"),IF('Deal maths'!AD355="Annual",12,IF('Deal maths'!AD355="Quarterly",3,6)),0)</f>
        <v/>
      </c>
      <c r="E355" s="109">
        <f>IFERROR(IF(D355=0,0,IF('Deal maths'!AE355&gt;0,IF('Deal maths'!AE355&gt;'Deal maths'!AA355,'Deal maths'!AA355,'Deal maths'!AE355),IF(IF(DAY('Deal maths'!AA355+1)=1,EOMONTH('Deal maths'!AA355,-(INT(((YEAR('Deal maths'!AA355)-YEAR(IF('Deal maths'!Z355&gt;0,'Deal maths'!Z355,DATE(1990,1,1))))*12+MONTH('Deal maths'!AA355)-MONTH(IF('Deal maths'!Z355&gt;0,'Deal maths'!Z355,DATE(1990,1,1))))/D355))*D355),EDATE('Deal maths'!AA355,-(INT(((YEAR('Deal maths'!AA355)-YEAR(IF('Deal maths'!Z355&gt;0,'Deal maths'!Z355,DATE(1990,1,1))))*12+MONTH('Deal maths'!AA355)-MONTH(IF('Deal maths'!Z355&gt;0,'Deal maths'!Z355,DATE(1990,1,1))))/D355))*D355))&gt;IF('Deal maths'!Z355&gt;0,'Deal maths'!Z355,DATE(1990,1,1)),IF(DAY('Deal maths'!AA355+1)=1,EOMONTH('Deal maths'!AA355,-(INT(((YEAR('Deal maths'!AA355)-YEAR(IF('Deal maths'!Z355&gt;0,'Deal maths'!Z355,DATE(1990,1,1))))*12+MONTH('Deal maths'!AA355)-MONTH(IF('Deal maths'!Z355&gt;0,'Deal maths'!Z355,DATE(1990,1,1))))/D355))*D355),EDATE('Deal maths'!AA355,-(INT(((YEAR('Deal maths'!AA355)-YEAR(IF('Deal maths'!Z355&gt;0,'Deal maths'!Z355,DATE(1990,1,1))))*12+MONTH('Deal maths'!AA355)-MONTH(IF('Deal maths'!Z355&gt;0,'Deal maths'!Z355,DATE(1990,1,1))))/D355))*D355)),IF(DAY('Deal maths'!AA355+1)=1,EOMONTH('Deal maths'!AA355,-(INT(((YEAR('Deal maths'!AA355)-YEAR(IF('Deal maths'!Z355&gt;0,'Deal maths'!Z355,DATE(1990,1,1))))*12+MONTH('Deal maths'!AA355)-MONTH(IF('Deal maths'!Z355&gt;0,'Deal maths'!Z355,DATE(1990,1,1))))/D355)-1)*D355),EDATE('Deal maths'!AA355,-(INT(((YEAR('Deal maths'!AA355)-YEAR(IF('Deal maths'!Z355&gt;0,'Deal maths'!Z355,DATE(1990,1,1))))*12+MONTH('Deal maths'!AA355)-MONTH(IF('Deal maths'!Z355&gt;0,'Deal maths'!Z355,DATE(1990,1,1))))/D355)-1)*D355))))),0)</f>
        <v/>
      </c>
      <c r="F355" s="110">
        <f>IF(D355=0,0,'Deal maths'!AB355*D355/12)</f>
        <v/>
      </c>
      <c r="G355" s="108">
        <f>N355+O355</f>
        <v/>
      </c>
      <c r="H355" s="108">
        <f>IFERROR(IF(OR(D355=0,AsAt&lt;E355),0,MIN(N355,INT(((YEAR(AsAt)-YEAR(E355))*12+MONTH(AsAt)-MONTH(E355)-(DAY(AsAt)&lt;MIN(R355,DAY(EOMONTH(AsAt,0)))))/D355)+1)+O355*(AsAt&gt;='Deal maths'!AA355)),0)</f>
        <v/>
      </c>
      <c r="I355" s="108">
        <f>G355-H355</f>
        <v/>
      </c>
      <c r="J355" s="111">
        <f>IF(AND(C355="EIP",I355&gt;0),'Deal maths'!Y355/I355,0)</f>
        <v/>
      </c>
      <c r="K355" s="111">
        <f>IF(AND(C355="Annuity",I355&gt;0),IF(F355&gt;0,'Deal maths'!Y355*F355/(1-(1+F355)^-I355),'Deal maths'!Y355/I355),0)</f>
        <v/>
      </c>
      <c r="L355" s="111">
        <f>IF('Deal maths'!Y355="",0,'Deal maths'!Y355)</f>
        <v/>
      </c>
      <c r="M355" s="112">
        <f>F355+(F355=0)</f>
        <v/>
      </c>
      <c r="N355" s="108">
        <f>IFERROR(IF(D355=0,0,INT(((YEAR('Deal maths'!AA355)-YEAR(E355))*12+MONTH('Deal maths'!AA355)-MONTH(E355)-(DAY('Deal maths'!AA355)&lt;MIN(R355,DAY(EOMONTH('Deal maths'!AA355,0)))))/D355)+1),0)</f>
        <v/>
      </c>
      <c r="O355" s="108">
        <f>IFERROR(IF(D355=0,0,IF(IF(DAY(E355+1)=1,EOMONTH(E355,(N355-1)*D355),EDATE(E355,(N355-1)*D355))='Deal maths'!AA355,0,1)),0)</f>
        <v/>
      </c>
      <c r="P355" s="113">
        <f>IF(B355=0,0,IFERROR(IF(C355="EIP",((I355-O355)*((IF(DAY(E355+1)=1,EOMONTH(E355,H355*D355),EDATE(E355,H355*D355))-AsAt)/365.25+(IF(DAY(E355+1)=1,EOMONTH(E355,(N355-1)*D355),EDATE(E355,(N355-1)*D355))-AsAt)/365.25)/2+O355*('Deal maths'!AA355-AsAt)/365.25)/I355,IF(C355="Annuity",IF(F355&gt;0,((K355-L355*F355)*((IF(DAY(E355+1)=1,EOMONTH(E355,H355*D355),EDATE(E355,H355*D355))-AsAt)/365.25*((1+F355)^(I355-O355)-1)/F355+IF((I355-O355)&gt;1,((IF(DAY(E355+1)=1,EOMONTH(E355,(N355-1)*D355),EDATE(E355,(N355-1)*D355))-AsAt)/365.25-(IF(DAY(E355+1)=1,EOMONTH(E355,H355*D355),EDATE(E355,H355*D355))-AsAt)/365.25)/((I355-O355)-1),0)*(1+F355)*(1-(I355-O355)*(1+F355)^((I355-O355)-1)+((I355-O355)-1)*(1+F355)^(I355-O355))/F355^2)+O355*(K355-L355*F355)*(1+F355)^(I355-1)*('Deal maths'!AA355-AsAt)/365.25)/L355,((I355-O355)*((IF(DAY(E355+1)=1,EOMONTH(E355,H355*D355),EDATE(E355,H355*D355))-AsAt)/365.25+(IF(DAY(E355+1)=1,EOMONTH(E355,(N355-1)*D355),EDATE(E355,(N355-1)*D355))-AsAt)/365.25)/2+O355*('Deal maths'!AA355-AsAt)/365.25)/I355),(S355-AsAt)/365.25)),0))</f>
        <v/>
      </c>
      <c r="Q355" s="109">
        <f>IF(B355=1,'Deal maths'!AA355+ROW()/1000000,"")</f>
        <v/>
      </c>
      <c r="R355" s="108">
        <f>IF(D355=0,0,IF(DAY(E355+1)=1,31,DAY(E355)))</f>
        <v/>
      </c>
      <c r="S355" s="109">
        <f>IF(AND('Deal maths'!V355="LOBO",'Deal maths'!AG355&gt;AsAt,'Deal maths'!AG355&lt;'Deal maths'!AA355),'Deal maths'!AG355,'Deal maths'!AA355)</f>
        <v/>
      </c>
      <c r="T355" s="108">
        <f>('Deal maths'!AA355&gt;AsAt)*('Deal maths'!Y355&gt;0)</f>
        <v/>
      </c>
    </row>
    <row r="356">
      <c r="A356" s="91">
        <f>IF('Deal maths'!V356="","",'Deal maths'!W356)</f>
        <v/>
      </c>
      <c r="B356" s="108">
        <f>('Deal maths'!AA356&gt;AsAt)*('Deal maths'!Y356&gt;0)*('Deal maths'!Z356&lt;=AsAt)</f>
        <v/>
      </c>
      <c r="C356" s="91">
        <f>IF('Deal maths'!V356="","",IF('Deal maths'!AC356="","Maturity",'Deal maths'!AC356))</f>
        <v/>
      </c>
      <c r="D356" s="108">
        <f>IF(OR(C356="EIP",C356="Annuity"),IF('Deal maths'!AD356="Annual",12,IF('Deal maths'!AD356="Quarterly",3,6)),0)</f>
        <v/>
      </c>
      <c r="E356" s="109">
        <f>IFERROR(IF(D356=0,0,IF('Deal maths'!AE356&gt;0,IF('Deal maths'!AE356&gt;'Deal maths'!AA356,'Deal maths'!AA356,'Deal maths'!AE356),IF(IF(DAY('Deal maths'!AA356+1)=1,EOMONTH('Deal maths'!AA356,-(INT(((YEAR('Deal maths'!AA356)-YEAR(IF('Deal maths'!Z356&gt;0,'Deal maths'!Z356,DATE(1990,1,1))))*12+MONTH('Deal maths'!AA356)-MONTH(IF('Deal maths'!Z356&gt;0,'Deal maths'!Z356,DATE(1990,1,1))))/D356))*D356),EDATE('Deal maths'!AA356,-(INT(((YEAR('Deal maths'!AA356)-YEAR(IF('Deal maths'!Z356&gt;0,'Deal maths'!Z356,DATE(1990,1,1))))*12+MONTH('Deal maths'!AA356)-MONTH(IF('Deal maths'!Z356&gt;0,'Deal maths'!Z356,DATE(1990,1,1))))/D356))*D356))&gt;IF('Deal maths'!Z356&gt;0,'Deal maths'!Z356,DATE(1990,1,1)),IF(DAY('Deal maths'!AA356+1)=1,EOMONTH('Deal maths'!AA356,-(INT(((YEAR('Deal maths'!AA356)-YEAR(IF('Deal maths'!Z356&gt;0,'Deal maths'!Z356,DATE(1990,1,1))))*12+MONTH('Deal maths'!AA356)-MONTH(IF('Deal maths'!Z356&gt;0,'Deal maths'!Z356,DATE(1990,1,1))))/D356))*D356),EDATE('Deal maths'!AA356,-(INT(((YEAR('Deal maths'!AA356)-YEAR(IF('Deal maths'!Z356&gt;0,'Deal maths'!Z356,DATE(1990,1,1))))*12+MONTH('Deal maths'!AA356)-MONTH(IF('Deal maths'!Z356&gt;0,'Deal maths'!Z356,DATE(1990,1,1))))/D356))*D356)),IF(DAY('Deal maths'!AA356+1)=1,EOMONTH('Deal maths'!AA356,-(INT(((YEAR('Deal maths'!AA356)-YEAR(IF('Deal maths'!Z356&gt;0,'Deal maths'!Z356,DATE(1990,1,1))))*12+MONTH('Deal maths'!AA356)-MONTH(IF('Deal maths'!Z356&gt;0,'Deal maths'!Z356,DATE(1990,1,1))))/D356)-1)*D356),EDATE('Deal maths'!AA356,-(INT(((YEAR('Deal maths'!AA356)-YEAR(IF('Deal maths'!Z356&gt;0,'Deal maths'!Z356,DATE(1990,1,1))))*12+MONTH('Deal maths'!AA356)-MONTH(IF('Deal maths'!Z356&gt;0,'Deal maths'!Z356,DATE(1990,1,1))))/D356)-1)*D356))))),0)</f>
        <v/>
      </c>
      <c r="F356" s="110">
        <f>IF(D356=0,0,'Deal maths'!AB356*D356/12)</f>
        <v/>
      </c>
      <c r="G356" s="108">
        <f>N356+O356</f>
        <v/>
      </c>
      <c r="H356" s="108">
        <f>IFERROR(IF(OR(D356=0,AsAt&lt;E356),0,MIN(N356,INT(((YEAR(AsAt)-YEAR(E356))*12+MONTH(AsAt)-MONTH(E356)-(DAY(AsAt)&lt;MIN(R356,DAY(EOMONTH(AsAt,0)))))/D356)+1)+O356*(AsAt&gt;='Deal maths'!AA356)),0)</f>
        <v/>
      </c>
      <c r="I356" s="108">
        <f>G356-H356</f>
        <v/>
      </c>
      <c r="J356" s="111">
        <f>IF(AND(C356="EIP",I356&gt;0),'Deal maths'!Y356/I356,0)</f>
        <v/>
      </c>
      <c r="K356" s="111">
        <f>IF(AND(C356="Annuity",I356&gt;0),IF(F356&gt;0,'Deal maths'!Y356*F356/(1-(1+F356)^-I356),'Deal maths'!Y356/I356),0)</f>
        <v/>
      </c>
      <c r="L356" s="111">
        <f>IF('Deal maths'!Y356="",0,'Deal maths'!Y356)</f>
        <v/>
      </c>
      <c r="M356" s="112">
        <f>F356+(F356=0)</f>
        <v/>
      </c>
      <c r="N356" s="108">
        <f>IFERROR(IF(D356=0,0,INT(((YEAR('Deal maths'!AA356)-YEAR(E356))*12+MONTH('Deal maths'!AA356)-MONTH(E356)-(DAY('Deal maths'!AA356)&lt;MIN(R356,DAY(EOMONTH('Deal maths'!AA356,0)))))/D356)+1),0)</f>
        <v/>
      </c>
      <c r="O356" s="108">
        <f>IFERROR(IF(D356=0,0,IF(IF(DAY(E356+1)=1,EOMONTH(E356,(N356-1)*D356),EDATE(E356,(N356-1)*D356))='Deal maths'!AA356,0,1)),0)</f>
        <v/>
      </c>
      <c r="P356" s="113">
        <f>IF(B356=0,0,IFERROR(IF(C356="EIP",((I356-O356)*((IF(DAY(E356+1)=1,EOMONTH(E356,H356*D356),EDATE(E356,H356*D356))-AsAt)/365.25+(IF(DAY(E356+1)=1,EOMONTH(E356,(N356-1)*D356),EDATE(E356,(N356-1)*D356))-AsAt)/365.25)/2+O356*('Deal maths'!AA356-AsAt)/365.25)/I356,IF(C356="Annuity",IF(F356&gt;0,((K356-L356*F356)*((IF(DAY(E356+1)=1,EOMONTH(E356,H356*D356),EDATE(E356,H356*D356))-AsAt)/365.25*((1+F356)^(I356-O356)-1)/F356+IF((I356-O356)&gt;1,((IF(DAY(E356+1)=1,EOMONTH(E356,(N356-1)*D356),EDATE(E356,(N356-1)*D356))-AsAt)/365.25-(IF(DAY(E356+1)=1,EOMONTH(E356,H356*D356),EDATE(E356,H356*D356))-AsAt)/365.25)/((I356-O356)-1),0)*(1+F356)*(1-(I356-O356)*(1+F356)^((I356-O356)-1)+((I356-O356)-1)*(1+F356)^(I356-O356))/F356^2)+O356*(K356-L356*F356)*(1+F356)^(I356-1)*('Deal maths'!AA356-AsAt)/365.25)/L356,((I356-O356)*((IF(DAY(E356+1)=1,EOMONTH(E356,H356*D356),EDATE(E356,H356*D356))-AsAt)/365.25+(IF(DAY(E356+1)=1,EOMONTH(E356,(N356-1)*D356),EDATE(E356,(N356-1)*D356))-AsAt)/365.25)/2+O356*('Deal maths'!AA356-AsAt)/365.25)/I356),(S356-AsAt)/365.25)),0))</f>
        <v/>
      </c>
      <c r="Q356" s="109">
        <f>IF(B356=1,'Deal maths'!AA356+ROW()/1000000,"")</f>
        <v/>
      </c>
      <c r="R356" s="108">
        <f>IF(D356=0,0,IF(DAY(E356+1)=1,31,DAY(E356)))</f>
        <v/>
      </c>
      <c r="S356" s="109">
        <f>IF(AND('Deal maths'!V356="LOBO",'Deal maths'!AG356&gt;AsAt,'Deal maths'!AG356&lt;'Deal maths'!AA356),'Deal maths'!AG356,'Deal maths'!AA356)</f>
        <v/>
      </c>
      <c r="T356" s="108">
        <f>('Deal maths'!AA356&gt;AsAt)*('Deal maths'!Y356&gt;0)</f>
        <v/>
      </c>
    </row>
    <row r="357">
      <c r="A357" s="91">
        <f>IF('Deal maths'!V357="","",'Deal maths'!W357)</f>
        <v/>
      </c>
      <c r="B357" s="108">
        <f>('Deal maths'!AA357&gt;AsAt)*('Deal maths'!Y357&gt;0)*('Deal maths'!Z357&lt;=AsAt)</f>
        <v/>
      </c>
      <c r="C357" s="91">
        <f>IF('Deal maths'!V357="","",IF('Deal maths'!AC357="","Maturity",'Deal maths'!AC357))</f>
        <v/>
      </c>
      <c r="D357" s="108">
        <f>IF(OR(C357="EIP",C357="Annuity"),IF('Deal maths'!AD357="Annual",12,IF('Deal maths'!AD357="Quarterly",3,6)),0)</f>
        <v/>
      </c>
      <c r="E357" s="109">
        <f>IFERROR(IF(D357=0,0,IF('Deal maths'!AE357&gt;0,IF('Deal maths'!AE357&gt;'Deal maths'!AA357,'Deal maths'!AA357,'Deal maths'!AE357),IF(IF(DAY('Deal maths'!AA357+1)=1,EOMONTH('Deal maths'!AA357,-(INT(((YEAR('Deal maths'!AA357)-YEAR(IF('Deal maths'!Z357&gt;0,'Deal maths'!Z357,DATE(1990,1,1))))*12+MONTH('Deal maths'!AA357)-MONTH(IF('Deal maths'!Z357&gt;0,'Deal maths'!Z357,DATE(1990,1,1))))/D357))*D357),EDATE('Deal maths'!AA357,-(INT(((YEAR('Deal maths'!AA357)-YEAR(IF('Deal maths'!Z357&gt;0,'Deal maths'!Z357,DATE(1990,1,1))))*12+MONTH('Deal maths'!AA357)-MONTH(IF('Deal maths'!Z357&gt;0,'Deal maths'!Z357,DATE(1990,1,1))))/D357))*D357))&gt;IF('Deal maths'!Z357&gt;0,'Deal maths'!Z357,DATE(1990,1,1)),IF(DAY('Deal maths'!AA357+1)=1,EOMONTH('Deal maths'!AA357,-(INT(((YEAR('Deal maths'!AA357)-YEAR(IF('Deal maths'!Z357&gt;0,'Deal maths'!Z357,DATE(1990,1,1))))*12+MONTH('Deal maths'!AA357)-MONTH(IF('Deal maths'!Z357&gt;0,'Deal maths'!Z357,DATE(1990,1,1))))/D357))*D357),EDATE('Deal maths'!AA357,-(INT(((YEAR('Deal maths'!AA357)-YEAR(IF('Deal maths'!Z357&gt;0,'Deal maths'!Z357,DATE(1990,1,1))))*12+MONTH('Deal maths'!AA357)-MONTH(IF('Deal maths'!Z357&gt;0,'Deal maths'!Z357,DATE(1990,1,1))))/D357))*D357)),IF(DAY('Deal maths'!AA357+1)=1,EOMONTH('Deal maths'!AA357,-(INT(((YEAR('Deal maths'!AA357)-YEAR(IF('Deal maths'!Z357&gt;0,'Deal maths'!Z357,DATE(1990,1,1))))*12+MONTH('Deal maths'!AA357)-MONTH(IF('Deal maths'!Z357&gt;0,'Deal maths'!Z357,DATE(1990,1,1))))/D357)-1)*D357),EDATE('Deal maths'!AA357,-(INT(((YEAR('Deal maths'!AA357)-YEAR(IF('Deal maths'!Z357&gt;0,'Deal maths'!Z357,DATE(1990,1,1))))*12+MONTH('Deal maths'!AA357)-MONTH(IF('Deal maths'!Z357&gt;0,'Deal maths'!Z357,DATE(1990,1,1))))/D357)-1)*D357))))),0)</f>
        <v/>
      </c>
      <c r="F357" s="110">
        <f>IF(D357=0,0,'Deal maths'!AB357*D357/12)</f>
        <v/>
      </c>
      <c r="G357" s="108">
        <f>N357+O357</f>
        <v/>
      </c>
      <c r="H357" s="108">
        <f>IFERROR(IF(OR(D357=0,AsAt&lt;E357),0,MIN(N357,INT(((YEAR(AsAt)-YEAR(E357))*12+MONTH(AsAt)-MONTH(E357)-(DAY(AsAt)&lt;MIN(R357,DAY(EOMONTH(AsAt,0)))))/D357)+1)+O357*(AsAt&gt;='Deal maths'!AA357)),0)</f>
        <v/>
      </c>
      <c r="I357" s="108">
        <f>G357-H357</f>
        <v/>
      </c>
      <c r="J357" s="111">
        <f>IF(AND(C357="EIP",I357&gt;0),'Deal maths'!Y357/I357,0)</f>
        <v/>
      </c>
      <c r="K357" s="111">
        <f>IF(AND(C357="Annuity",I357&gt;0),IF(F357&gt;0,'Deal maths'!Y357*F357/(1-(1+F357)^-I357),'Deal maths'!Y357/I357),0)</f>
        <v/>
      </c>
      <c r="L357" s="111">
        <f>IF('Deal maths'!Y357="",0,'Deal maths'!Y357)</f>
        <v/>
      </c>
      <c r="M357" s="112">
        <f>F357+(F357=0)</f>
        <v/>
      </c>
      <c r="N357" s="108">
        <f>IFERROR(IF(D357=0,0,INT(((YEAR('Deal maths'!AA357)-YEAR(E357))*12+MONTH('Deal maths'!AA357)-MONTH(E357)-(DAY('Deal maths'!AA357)&lt;MIN(R357,DAY(EOMONTH('Deal maths'!AA357,0)))))/D357)+1),0)</f>
        <v/>
      </c>
      <c r="O357" s="108">
        <f>IFERROR(IF(D357=0,0,IF(IF(DAY(E357+1)=1,EOMONTH(E357,(N357-1)*D357),EDATE(E357,(N357-1)*D357))='Deal maths'!AA357,0,1)),0)</f>
        <v/>
      </c>
      <c r="P357" s="113">
        <f>IF(B357=0,0,IFERROR(IF(C357="EIP",((I357-O357)*((IF(DAY(E357+1)=1,EOMONTH(E357,H357*D357),EDATE(E357,H357*D357))-AsAt)/365.25+(IF(DAY(E357+1)=1,EOMONTH(E357,(N357-1)*D357),EDATE(E357,(N357-1)*D357))-AsAt)/365.25)/2+O357*('Deal maths'!AA357-AsAt)/365.25)/I357,IF(C357="Annuity",IF(F357&gt;0,((K357-L357*F357)*((IF(DAY(E357+1)=1,EOMONTH(E357,H357*D357),EDATE(E357,H357*D357))-AsAt)/365.25*((1+F357)^(I357-O357)-1)/F357+IF((I357-O357)&gt;1,((IF(DAY(E357+1)=1,EOMONTH(E357,(N357-1)*D357),EDATE(E357,(N357-1)*D357))-AsAt)/365.25-(IF(DAY(E357+1)=1,EOMONTH(E357,H357*D357),EDATE(E357,H357*D357))-AsAt)/365.25)/((I357-O357)-1),0)*(1+F357)*(1-(I357-O357)*(1+F357)^((I357-O357)-1)+((I357-O357)-1)*(1+F357)^(I357-O357))/F357^2)+O357*(K357-L357*F357)*(1+F357)^(I357-1)*('Deal maths'!AA357-AsAt)/365.25)/L357,((I357-O357)*((IF(DAY(E357+1)=1,EOMONTH(E357,H357*D357),EDATE(E357,H357*D357))-AsAt)/365.25+(IF(DAY(E357+1)=1,EOMONTH(E357,(N357-1)*D357),EDATE(E357,(N357-1)*D357))-AsAt)/365.25)/2+O357*('Deal maths'!AA357-AsAt)/365.25)/I357),(S357-AsAt)/365.25)),0))</f>
        <v/>
      </c>
      <c r="Q357" s="109">
        <f>IF(B357=1,'Deal maths'!AA357+ROW()/1000000,"")</f>
        <v/>
      </c>
      <c r="R357" s="108">
        <f>IF(D357=0,0,IF(DAY(E357+1)=1,31,DAY(E357)))</f>
        <v/>
      </c>
      <c r="S357" s="109">
        <f>IF(AND('Deal maths'!V357="LOBO",'Deal maths'!AG357&gt;AsAt,'Deal maths'!AG357&lt;'Deal maths'!AA357),'Deal maths'!AG357,'Deal maths'!AA357)</f>
        <v/>
      </c>
      <c r="T357" s="108">
        <f>('Deal maths'!AA357&gt;AsAt)*('Deal maths'!Y357&gt;0)</f>
        <v/>
      </c>
    </row>
    <row r="358">
      <c r="A358" s="91">
        <f>IF('Deal maths'!V358="","",'Deal maths'!W358)</f>
        <v/>
      </c>
      <c r="B358" s="108">
        <f>('Deal maths'!AA358&gt;AsAt)*('Deal maths'!Y358&gt;0)*('Deal maths'!Z358&lt;=AsAt)</f>
        <v/>
      </c>
      <c r="C358" s="91">
        <f>IF('Deal maths'!V358="","",IF('Deal maths'!AC358="","Maturity",'Deal maths'!AC358))</f>
        <v/>
      </c>
      <c r="D358" s="108">
        <f>IF(OR(C358="EIP",C358="Annuity"),IF('Deal maths'!AD358="Annual",12,IF('Deal maths'!AD358="Quarterly",3,6)),0)</f>
        <v/>
      </c>
      <c r="E358" s="109">
        <f>IFERROR(IF(D358=0,0,IF('Deal maths'!AE358&gt;0,IF('Deal maths'!AE358&gt;'Deal maths'!AA358,'Deal maths'!AA358,'Deal maths'!AE358),IF(IF(DAY('Deal maths'!AA358+1)=1,EOMONTH('Deal maths'!AA358,-(INT(((YEAR('Deal maths'!AA358)-YEAR(IF('Deal maths'!Z358&gt;0,'Deal maths'!Z358,DATE(1990,1,1))))*12+MONTH('Deal maths'!AA358)-MONTH(IF('Deal maths'!Z358&gt;0,'Deal maths'!Z358,DATE(1990,1,1))))/D358))*D358),EDATE('Deal maths'!AA358,-(INT(((YEAR('Deal maths'!AA358)-YEAR(IF('Deal maths'!Z358&gt;0,'Deal maths'!Z358,DATE(1990,1,1))))*12+MONTH('Deal maths'!AA358)-MONTH(IF('Deal maths'!Z358&gt;0,'Deal maths'!Z358,DATE(1990,1,1))))/D358))*D358))&gt;IF('Deal maths'!Z358&gt;0,'Deal maths'!Z358,DATE(1990,1,1)),IF(DAY('Deal maths'!AA358+1)=1,EOMONTH('Deal maths'!AA358,-(INT(((YEAR('Deal maths'!AA358)-YEAR(IF('Deal maths'!Z358&gt;0,'Deal maths'!Z358,DATE(1990,1,1))))*12+MONTH('Deal maths'!AA358)-MONTH(IF('Deal maths'!Z358&gt;0,'Deal maths'!Z358,DATE(1990,1,1))))/D358))*D358),EDATE('Deal maths'!AA358,-(INT(((YEAR('Deal maths'!AA358)-YEAR(IF('Deal maths'!Z358&gt;0,'Deal maths'!Z358,DATE(1990,1,1))))*12+MONTH('Deal maths'!AA358)-MONTH(IF('Deal maths'!Z358&gt;0,'Deal maths'!Z358,DATE(1990,1,1))))/D358))*D358)),IF(DAY('Deal maths'!AA358+1)=1,EOMONTH('Deal maths'!AA358,-(INT(((YEAR('Deal maths'!AA358)-YEAR(IF('Deal maths'!Z358&gt;0,'Deal maths'!Z358,DATE(1990,1,1))))*12+MONTH('Deal maths'!AA358)-MONTH(IF('Deal maths'!Z358&gt;0,'Deal maths'!Z358,DATE(1990,1,1))))/D358)-1)*D358),EDATE('Deal maths'!AA358,-(INT(((YEAR('Deal maths'!AA358)-YEAR(IF('Deal maths'!Z358&gt;0,'Deal maths'!Z358,DATE(1990,1,1))))*12+MONTH('Deal maths'!AA358)-MONTH(IF('Deal maths'!Z358&gt;0,'Deal maths'!Z358,DATE(1990,1,1))))/D358)-1)*D358))))),0)</f>
        <v/>
      </c>
      <c r="F358" s="110">
        <f>IF(D358=0,0,'Deal maths'!AB358*D358/12)</f>
        <v/>
      </c>
      <c r="G358" s="108">
        <f>N358+O358</f>
        <v/>
      </c>
      <c r="H358" s="108">
        <f>IFERROR(IF(OR(D358=0,AsAt&lt;E358),0,MIN(N358,INT(((YEAR(AsAt)-YEAR(E358))*12+MONTH(AsAt)-MONTH(E358)-(DAY(AsAt)&lt;MIN(R358,DAY(EOMONTH(AsAt,0)))))/D358)+1)+O358*(AsAt&gt;='Deal maths'!AA358)),0)</f>
        <v/>
      </c>
      <c r="I358" s="108">
        <f>G358-H358</f>
        <v/>
      </c>
      <c r="J358" s="111">
        <f>IF(AND(C358="EIP",I358&gt;0),'Deal maths'!Y358/I358,0)</f>
        <v/>
      </c>
      <c r="K358" s="111">
        <f>IF(AND(C358="Annuity",I358&gt;0),IF(F358&gt;0,'Deal maths'!Y358*F358/(1-(1+F358)^-I358),'Deal maths'!Y358/I358),0)</f>
        <v/>
      </c>
      <c r="L358" s="111">
        <f>IF('Deal maths'!Y358="",0,'Deal maths'!Y358)</f>
        <v/>
      </c>
      <c r="M358" s="112">
        <f>F358+(F358=0)</f>
        <v/>
      </c>
      <c r="N358" s="108">
        <f>IFERROR(IF(D358=0,0,INT(((YEAR('Deal maths'!AA358)-YEAR(E358))*12+MONTH('Deal maths'!AA358)-MONTH(E358)-(DAY('Deal maths'!AA358)&lt;MIN(R358,DAY(EOMONTH('Deal maths'!AA358,0)))))/D358)+1),0)</f>
        <v/>
      </c>
      <c r="O358" s="108">
        <f>IFERROR(IF(D358=0,0,IF(IF(DAY(E358+1)=1,EOMONTH(E358,(N358-1)*D358),EDATE(E358,(N358-1)*D358))='Deal maths'!AA358,0,1)),0)</f>
        <v/>
      </c>
      <c r="P358" s="113">
        <f>IF(B358=0,0,IFERROR(IF(C358="EIP",((I358-O358)*((IF(DAY(E358+1)=1,EOMONTH(E358,H358*D358),EDATE(E358,H358*D358))-AsAt)/365.25+(IF(DAY(E358+1)=1,EOMONTH(E358,(N358-1)*D358),EDATE(E358,(N358-1)*D358))-AsAt)/365.25)/2+O358*('Deal maths'!AA358-AsAt)/365.25)/I358,IF(C358="Annuity",IF(F358&gt;0,((K358-L358*F358)*((IF(DAY(E358+1)=1,EOMONTH(E358,H358*D358),EDATE(E358,H358*D358))-AsAt)/365.25*((1+F358)^(I358-O358)-1)/F358+IF((I358-O358)&gt;1,((IF(DAY(E358+1)=1,EOMONTH(E358,(N358-1)*D358),EDATE(E358,(N358-1)*D358))-AsAt)/365.25-(IF(DAY(E358+1)=1,EOMONTH(E358,H358*D358),EDATE(E358,H358*D358))-AsAt)/365.25)/((I358-O358)-1),0)*(1+F358)*(1-(I358-O358)*(1+F358)^((I358-O358)-1)+((I358-O358)-1)*(1+F358)^(I358-O358))/F358^2)+O358*(K358-L358*F358)*(1+F358)^(I358-1)*('Deal maths'!AA358-AsAt)/365.25)/L358,((I358-O358)*((IF(DAY(E358+1)=1,EOMONTH(E358,H358*D358),EDATE(E358,H358*D358))-AsAt)/365.25+(IF(DAY(E358+1)=1,EOMONTH(E358,(N358-1)*D358),EDATE(E358,(N358-1)*D358))-AsAt)/365.25)/2+O358*('Deal maths'!AA358-AsAt)/365.25)/I358),(S358-AsAt)/365.25)),0))</f>
        <v/>
      </c>
      <c r="Q358" s="109">
        <f>IF(B358=1,'Deal maths'!AA358+ROW()/1000000,"")</f>
        <v/>
      </c>
      <c r="R358" s="108">
        <f>IF(D358=0,0,IF(DAY(E358+1)=1,31,DAY(E358)))</f>
        <v/>
      </c>
      <c r="S358" s="109">
        <f>IF(AND('Deal maths'!V358="LOBO",'Deal maths'!AG358&gt;AsAt,'Deal maths'!AG358&lt;'Deal maths'!AA358),'Deal maths'!AG358,'Deal maths'!AA358)</f>
        <v/>
      </c>
      <c r="T358" s="108">
        <f>('Deal maths'!AA358&gt;AsAt)*('Deal maths'!Y358&gt;0)</f>
        <v/>
      </c>
    </row>
    <row r="359">
      <c r="A359" s="91">
        <f>IF('Deal maths'!V359="","",'Deal maths'!W359)</f>
        <v/>
      </c>
      <c r="B359" s="108">
        <f>('Deal maths'!AA359&gt;AsAt)*('Deal maths'!Y359&gt;0)*('Deal maths'!Z359&lt;=AsAt)</f>
        <v/>
      </c>
      <c r="C359" s="91">
        <f>IF('Deal maths'!V359="","",IF('Deal maths'!AC359="","Maturity",'Deal maths'!AC359))</f>
        <v/>
      </c>
      <c r="D359" s="108">
        <f>IF(OR(C359="EIP",C359="Annuity"),IF('Deal maths'!AD359="Annual",12,IF('Deal maths'!AD359="Quarterly",3,6)),0)</f>
        <v/>
      </c>
      <c r="E359" s="109">
        <f>IFERROR(IF(D359=0,0,IF('Deal maths'!AE359&gt;0,IF('Deal maths'!AE359&gt;'Deal maths'!AA359,'Deal maths'!AA359,'Deal maths'!AE359),IF(IF(DAY('Deal maths'!AA359+1)=1,EOMONTH('Deal maths'!AA359,-(INT(((YEAR('Deal maths'!AA359)-YEAR(IF('Deal maths'!Z359&gt;0,'Deal maths'!Z359,DATE(1990,1,1))))*12+MONTH('Deal maths'!AA359)-MONTH(IF('Deal maths'!Z359&gt;0,'Deal maths'!Z359,DATE(1990,1,1))))/D359))*D359),EDATE('Deal maths'!AA359,-(INT(((YEAR('Deal maths'!AA359)-YEAR(IF('Deal maths'!Z359&gt;0,'Deal maths'!Z359,DATE(1990,1,1))))*12+MONTH('Deal maths'!AA359)-MONTH(IF('Deal maths'!Z359&gt;0,'Deal maths'!Z359,DATE(1990,1,1))))/D359))*D359))&gt;IF('Deal maths'!Z359&gt;0,'Deal maths'!Z359,DATE(1990,1,1)),IF(DAY('Deal maths'!AA359+1)=1,EOMONTH('Deal maths'!AA359,-(INT(((YEAR('Deal maths'!AA359)-YEAR(IF('Deal maths'!Z359&gt;0,'Deal maths'!Z359,DATE(1990,1,1))))*12+MONTH('Deal maths'!AA359)-MONTH(IF('Deal maths'!Z359&gt;0,'Deal maths'!Z359,DATE(1990,1,1))))/D359))*D359),EDATE('Deal maths'!AA359,-(INT(((YEAR('Deal maths'!AA359)-YEAR(IF('Deal maths'!Z359&gt;0,'Deal maths'!Z359,DATE(1990,1,1))))*12+MONTH('Deal maths'!AA359)-MONTH(IF('Deal maths'!Z359&gt;0,'Deal maths'!Z359,DATE(1990,1,1))))/D359))*D359)),IF(DAY('Deal maths'!AA359+1)=1,EOMONTH('Deal maths'!AA359,-(INT(((YEAR('Deal maths'!AA359)-YEAR(IF('Deal maths'!Z359&gt;0,'Deal maths'!Z359,DATE(1990,1,1))))*12+MONTH('Deal maths'!AA359)-MONTH(IF('Deal maths'!Z359&gt;0,'Deal maths'!Z359,DATE(1990,1,1))))/D359)-1)*D359),EDATE('Deal maths'!AA359,-(INT(((YEAR('Deal maths'!AA359)-YEAR(IF('Deal maths'!Z359&gt;0,'Deal maths'!Z359,DATE(1990,1,1))))*12+MONTH('Deal maths'!AA359)-MONTH(IF('Deal maths'!Z359&gt;0,'Deal maths'!Z359,DATE(1990,1,1))))/D359)-1)*D359))))),0)</f>
        <v/>
      </c>
      <c r="F359" s="110">
        <f>IF(D359=0,0,'Deal maths'!AB359*D359/12)</f>
        <v/>
      </c>
      <c r="G359" s="108">
        <f>N359+O359</f>
        <v/>
      </c>
      <c r="H359" s="108">
        <f>IFERROR(IF(OR(D359=0,AsAt&lt;E359),0,MIN(N359,INT(((YEAR(AsAt)-YEAR(E359))*12+MONTH(AsAt)-MONTH(E359)-(DAY(AsAt)&lt;MIN(R359,DAY(EOMONTH(AsAt,0)))))/D359)+1)+O359*(AsAt&gt;='Deal maths'!AA359)),0)</f>
        <v/>
      </c>
      <c r="I359" s="108">
        <f>G359-H359</f>
        <v/>
      </c>
      <c r="J359" s="111">
        <f>IF(AND(C359="EIP",I359&gt;0),'Deal maths'!Y359/I359,0)</f>
        <v/>
      </c>
      <c r="K359" s="111">
        <f>IF(AND(C359="Annuity",I359&gt;0),IF(F359&gt;0,'Deal maths'!Y359*F359/(1-(1+F359)^-I359),'Deal maths'!Y359/I359),0)</f>
        <v/>
      </c>
      <c r="L359" s="111">
        <f>IF('Deal maths'!Y359="",0,'Deal maths'!Y359)</f>
        <v/>
      </c>
      <c r="M359" s="112">
        <f>F359+(F359=0)</f>
        <v/>
      </c>
      <c r="N359" s="108">
        <f>IFERROR(IF(D359=0,0,INT(((YEAR('Deal maths'!AA359)-YEAR(E359))*12+MONTH('Deal maths'!AA359)-MONTH(E359)-(DAY('Deal maths'!AA359)&lt;MIN(R359,DAY(EOMONTH('Deal maths'!AA359,0)))))/D359)+1),0)</f>
        <v/>
      </c>
      <c r="O359" s="108">
        <f>IFERROR(IF(D359=0,0,IF(IF(DAY(E359+1)=1,EOMONTH(E359,(N359-1)*D359),EDATE(E359,(N359-1)*D359))='Deal maths'!AA359,0,1)),0)</f>
        <v/>
      </c>
      <c r="P359" s="113">
        <f>IF(B359=0,0,IFERROR(IF(C359="EIP",((I359-O359)*((IF(DAY(E359+1)=1,EOMONTH(E359,H359*D359),EDATE(E359,H359*D359))-AsAt)/365.25+(IF(DAY(E359+1)=1,EOMONTH(E359,(N359-1)*D359),EDATE(E359,(N359-1)*D359))-AsAt)/365.25)/2+O359*('Deal maths'!AA359-AsAt)/365.25)/I359,IF(C359="Annuity",IF(F359&gt;0,((K359-L359*F359)*((IF(DAY(E359+1)=1,EOMONTH(E359,H359*D359),EDATE(E359,H359*D359))-AsAt)/365.25*((1+F359)^(I359-O359)-1)/F359+IF((I359-O359)&gt;1,((IF(DAY(E359+1)=1,EOMONTH(E359,(N359-1)*D359),EDATE(E359,(N359-1)*D359))-AsAt)/365.25-(IF(DAY(E359+1)=1,EOMONTH(E359,H359*D359),EDATE(E359,H359*D359))-AsAt)/365.25)/((I359-O359)-1),0)*(1+F359)*(1-(I359-O359)*(1+F359)^((I359-O359)-1)+((I359-O359)-1)*(1+F359)^(I359-O359))/F359^2)+O359*(K359-L359*F359)*(1+F359)^(I359-1)*('Deal maths'!AA359-AsAt)/365.25)/L359,((I359-O359)*((IF(DAY(E359+1)=1,EOMONTH(E359,H359*D359),EDATE(E359,H359*D359))-AsAt)/365.25+(IF(DAY(E359+1)=1,EOMONTH(E359,(N359-1)*D359),EDATE(E359,(N359-1)*D359))-AsAt)/365.25)/2+O359*('Deal maths'!AA359-AsAt)/365.25)/I359),(S359-AsAt)/365.25)),0))</f>
        <v/>
      </c>
      <c r="Q359" s="109">
        <f>IF(B359=1,'Deal maths'!AA359+ROW()/1000000,"")</f>
        <v/>
      </c>
      <c r="R359" s="108">
        <f>IF(D359=0,0,IF(DAY(E359+1)=1,31,DAY(E359)))</f>
        <v/>
      </c>
      <c r="S359" s="109">
        <f>IF(AND('Deal maths'!V359="LOBO",'Deal maths'!AG359&gt;AsAt,'Deal maths'!AG359&lt;'Deal maths'!AA359),'Deal maths'!AG359,'Deal maths'!AA359)</f>
        <v/>
      </c>
      <c r="T359" s="108">
        <f>('Deal maths'!AA359&gt;AsAt)*('Deal maths'!Y359&gt;0)</f>
        <v/>
      </c>
    </row>
    <row r="360">
      <c r="A360" s="91">
        <f>IF('Deal maths'!V360="","",'Deal maths'!W360)</f>
        <v/>
      </c>
      <c r="B360" s="108">
        <f>('Deal maths'!AA360&gt;AsAt)*('Deal maths'!Y360&gt;0)*('Deal maths'!Z360&lt;=AsAt)</f>
        <v/>
      </c>
      <c r="C360" s="91">
        <f>IF('Deal maths'!V360="","",IF('Deal maths'!AC360="","Maturity",'Deal maths'!AC360))</f>
        <v/>
      </c>
      <c r="D360" s="108">
        <f>IF(OR(C360="EIP",C360="Annuity"),IF('Deal maths'!AD360="Annual",12,IF('Deal maths'!AD360="Quarterly",3,6)),0)</f>
        <v/>
      </c>
      <c r="E360" s="109">
        <f>IFERROR(IF(D360=0,0,IF('Deal maths'!AE360&gt;0,IF('Deal maths'!AE360&gt;'Deal maths'!AA360,'Deal maths'!AA360,'Deal maths'!AE360),IF(IF(DAY('Deal maths'!AA360+1)=1,EOMONTH('Deal maths'!AA360,-(INT(((YEAR('Deal maths'!AA360)-YEAR(IF('Deal maths'!Z360&gt;0,'Deal maths'!Z360,DATE(1990,1,1))))*12+MONTH('Deal maths'!AA360)-MONTH(IF('Deal maths'!Z360&gt;0,'Deal maths'!Z360,DATE(1990,1,1))))/D360))*D360),EDATE('Deal maths'!AA360,-(INT(((YEAR('Deal maths'!AA360)-YEAR(IF('Deal maths'!Z360&gt;0,'Deal maths'!Z360,DATE(1990,1,1))))*12+MONTH('Deal maths'!AA360)-MONTH(IF('Deal maths'!Z360&gt;0,'Deal maths'!Z360,DATE(1990,1,1))))/D360))*D360))&gt;IF('Deal maths'!Z360&gt;0,'Deal maths'!Z360,DATE(1990,1,1)),IF(DAY('Deal maths'!AA360+1)=1,EOMONTH('Deal maths'!AA360,-(INT(((YEAR('Deal maths'!AA360)-YEAR(IF('Deal maths'!Z360&gt;0,'Deal maths'!Z360,DATE(1990,1,1))))*12+MONTH('Deal maths'!AA360)-MONTH(IF('Deal maths'!Z360&gt;0,'Deal maths'!Z360,DATE(1990,1,1))))/D360))*D360),EDATE('Deal maths'!AA360,-(INT(((YEAR('Deal maths'!AA360)-YEAR(IF('Deal maths'!Z360&gt;0,'Deal maths'!Z360,DATE(1990,1,1))))*12+MONTH('Deal maths'!AA360)-MONTH(IF('Deal maths'!Z360&gt;0,'Deal maths'!Z360,DATE(1990,1,1))))/D360))*D360)),IF(DAY('Deal maths'!AA360+1)=1,EOMONTH('Deal maths'!AA360,-(INT(((YEAR('Deal maths'!AA360)-YEAR(IF('Deal maths'!Z360&gt;0,'Deal maths'!Z360,DATE(1990,1,1))))*12+MONTH('Deal maths'!AA360)-MONTH(IF('Deal maths'!Z360&gt;0,'Deal maths'!Z360,DATE(1990,1,1))))/D360)-1)*D360),EDATE('Deal maths'!AA360,-(INT(((YEAR('Deal maths'!AA360)-YEAR(IF('Deal maths'!Z360&gt;0,'Deal maths'!Z360,DATE(1990,1,1))))*12+MONTH('Deal maths'!AA360)-MONTH(IF('Deal maths'!Z360&gt;0,'Deal maths'!Z360,DATE(1990,1,1))))/D360)-1)*D360))))),0)</f>
        <v/>
      </c>
      <c r="F360" s="110">
        <f>IF(D360=0,0,'Deal maths'!AB360*D360/12)</f>
        <v/>
      </c>
      <c r="G360" s="108">
        <f>N360+O360</f>
        <v/>
      </c>
      <c r="H360" s="108">
        <f>IFERROR(IF(OR(D360=0,AsAt&lt;E360),0,MIN(N360,INT(((YEAR(AsAt)-YEAR(E360))*12+MONTH(AsAt)-MONTH(E360)-(DAY(AsAt)&lt;MIN(R360,DAY(EOMONTH(AsAt,0)))))/D360)+1)+O360*(AsAt&gt;='Deal maths'!AA360)),0)</f>
        <v/>
      </c>
      <c r="I360" s="108">
        <f>G360-H360</f>
        <v/>
      </c>
      <c r="J360" s="111">
        <f>IF(AND(C360="EIP",I360&gt;0),'Deal maths'!Y360/I360,0)</f>
        <v/>
      </c>
      <c r="K360" s="111">
        <f>IF(AND(C360="Annuity",I360&gt;0),IF(F360&gt;0,'Deal maths'!Y360*F360/(1-(1+F360)^-I360),'Deal maths'!Y360/I360),0)</f>
        <v/>
      </c>
      <c r="L360" s="111">
        <f>IF('Deal maths'!Y360="",0,'Deal maths'!Y360)</f>
        <v/>
      </c>
      <c r="M360" s="112">
        <f>F360+(F360=0)</f>
        <v/>
      </c>
      <c r="N360" s="108">
        <f>IFERROR(IF(D360=0,0,INT(((YEAR('Deal maths'!AA360)-YEAR(E360))*12+MONTH('Deal maths'!AA360)-MONTH(E360)-(DAY('Deal maths'!AA360)&lt;MIN(R360,DAY(EOMONTH('Deal maths'!AA360,0)))))/D360)+1),0)</f>
        <v/>
      </c>
      <c r="O360" s="108">
        <f>IFERROR(IF(D360=0,0,IF(IF(DAY(E360+1)=1,EOMONTH(E360,(N360-1)*D360),EDATE(E360,(N360-1)*D360))='Deal maths'!AA360,0,1)),0)</f>
        <v/>
      </c>
      <c r="P360" s="113">
        <f>IF(B360=0,0,IFERROR(IF(C360="EIP",((I360-O360)*((IF(DAY(E360+1)=1,EOMONTH(E360,H360*D360),EDATE(E360,H360*D360))-AsAt)/365.25+(IF(DAY(E360+1)=1,EOMONTH(E360,(N360-1)*D360),EDATE(E360,(N360-1)*D360))-AsAt)/365.25)/2+O360*('Deal maths'!AA360-AsAt)/365.25)/I360,IF(C360="Annuity",IF(F360&gt;0,((K360-L360*F360)*((IF(DAY(E360+1)=1,EOMONTH(E360,H360*D360),EDATE(E360,H360*D360))-AsAt)/365.25*((1+F360)^(I360-O360)-1)/F360+IF((I360-O360)&gt;1,((IF(DAY(E360+1)=1,EOMONTH(E360,(N360-1)*D360),EDATE(E360,(N360-1)*D360))-AsAt)/365.25-(IF(DAY(E360+1)=1,EOMONTH(E360,H360*D360),EDATE(E360,H360*D360))-AsAt)/365.25)/((I360-O360)-1),0)*(1+F360)*(1-(I360-O360)*(1+F360)^((I360-O360)-1)+((I360-O360)-1)*(1+F360)^(I360-O360))/F360^2)+O360*(K360-L360*F360)*(1+F360)^(I360-1)*('Deal maths'!AA360-AsAt)/365.25)/L360,((I360-O360)*((IF(DAY(E360+1)=1,EOMONTH(E360,H360*D360),EDATE(E360,H360*D360))-AsAt)/365.25+(IF(DAY(E360+1)=1,EOMONTH(E360,(N360-1)*D360),EDATE(E360,(N360-1)*D360))-AsAt)/365.25)/2+O360*('Deal maths'!AA360-AsAt)/365.25)/I360),(S360-AsAt)/365.25)),0))</f>
        <v/>
      </c>
      <c r="Q360" s="109">
        <f>IF(B360=1,'Deal maths'!AA360+ROW()/1000000,"")</f>
        <v/>
      </c>
      <c r="R360" s="108">
        <f>IF(D360=0,0,IF(DAY(E360+1)=1,31,DAY(E360)))</f>
        <v/>
      </c>
      <c r="S360" s="109">
        <f>IF(AND('Deal maths'!V360="LOBO",'Deal maths'!AG360&gt;AsAt,'Deal maths'!AG360&lt;'Deal maths'!AA360),'Deal maths'!AG360,'Deal maths'!AA360)</f>
        <v/>
      </c>
      <c r="T360" s="108">
        <f>('Deal maths'!AA360&gt;AsAt)*('Deal maths'!Y360&gt;0)</f>
        <v/>
      </c>
    </row>
    <row r="361">
      <c r="A361" s="91">
        <f>IF('Deal maths'!V361="","",'Deal maths'!W361)</f>
        <v/>
      </c>
      <c r="B361" s="108">
        <f>('Deal maths'!AA361&gt;AsAt)*('Deal maths'!Y361&gt;0)*('Deal maths'!Z361&lt;=AsAt)</f>
        <v/>
      </c>
      <c r="C361" s="91">
        <f>IF('Deal maths'!V361="","",IF('Deal maths'!AC361="","Maturity",'Deal maths'!AC361))</f>
        <v/>
      </c>
      <c r="D361" s="108">
        <f>IF(OR(C361="EIP",C361="Annuity"),IF('Deal maths'!AD361="Annual",12,IF('Deal maths'!AD361="Quarterly",3,6)),0)</f>
        <v/>
      </c>
      <c r="E361" s="109">
        <f>IFERROR(IF(D361=0,0,IF('Deal maths'!AE361&gt;0,IF('Deal maths'!AE361&gt;'Deal maths'!AA361,'Deal maths'!AA361,'Deal maths'!AE361),IF(IF(DAY('Deal maths'!AA361+1)=1,EOMONTH('Deal maths'!AA361,-(INT(((YEAR('Deal maths'!AA361)-YEAR(IF('Deal maths'!Z361&gt;0,'Deal maths'!Z361,DATE(1990,1,1))))*12+MONTH('Deal maths'!AA361)-MONTH(IF('Deal maths'!Z361&gt;0,'Deal maths'!Z361,DATE(1990,1,1))))/D361))*D361),EDATE('Deal maths'!AA361,-(INT(((YEAR('Deal maths'!AA361)-YEAR(IF('Deal maths'!Z361&gt;0,'Deal maths'!Z361,DATE(1990,1,1))))*12+MONTH('Deal maths'!AA361)-MONTH(IF('Deal maths'!Z361&gt;0,'Deal maths'!Z361,DATE(1990,1,1))))/D361))*D361))&gt;IF('Deal maths'!Z361&gt;0,'Deal maths'!Z361,DATE(1990,1,1)),IF(DAY('Deal maths'!AA361+1)=1,EOMONTH('Deal maths'!AA361,-(INT(((YEAR('Deal maths'!AA361)-YEAR(IF('Deal maths'!Z361&gt;0,'Deal maths'!Z361,DATE(1990,1,1))))*12+MONTH('Deal maths'!AA361)-MONTH(IF('Deal maths'!Z361&gt;0,'Deal maths'!Z361,DATE(1990,1,1))))/D361))*D361),EDATE('Deal maths'!AA361,-(INT(((YEAR('Deal maths'!AA361)-YEAR(IF('Deal maths'!Z361&gt;0,'Deal maths'!Z361,DATE(1990,1,1))))*12+MONTH('Deal maths'!AA361)-MONTH(IF('Deal maths'!Z361&gt;0,'Deal maths'!Z361,DATE(1990,1,1))))/D361))*D361)),IF(DAY('Deal maths'!AA361+1)=1,EOMONTH('Deal maths'!AA361,-(INT(((YEAR('Deal maths'!AA361)-YEAR(IF('Deal maths'!Z361&gt;0,'Deal maths'!Z361,DATE(1990,1,1))))*12+MONTH('Deal maths'!AA361)-MONTH(IF('Deal maths'!Z361&gt;0,'Deal maths'!Z361,DATE(1990,1,1))))/D361)-1)*D361),EDATE('Deal maths'!AA361,-(INT(((YEAR('Deal maths'!AA361)-YEAR(IF('Deal maths'!Z361&gt;0,'Deal maths'!Z361,DATE(1990,1,1))))*12+MONTH('Deal maths'!AA361)-MONTH(IF('Deal maths'!Z361&gt;0,'Deal maths'!Z361,DATE(1990,1,1))))/D361)-1)*D361))))),0)</f>
        <v/>
      </c>
      <c r="F361" s="110">
        <f>IF(D361=0,0,'Deal maths'!AB361*D361/12)</f>
        <v/>
      </c>
      <c r="G361" s="108">
        <f>N361+O361</f>
        <v/>
      </c>
      <c r="H361" s="108">
        <f>IFERROR(IF(OR(D361=0,AsAt&lt;E361),0,MIN(N361,INT(((YEAR(AsAt)-YEAR(E361))*12+MONTH(AsAt)-MONTH(E361)-(DAY(AsAt)&lt;MIN(R361,DAY(EOMONTH(AsAt,0)))))/D361)+1)+O361*(AsAt&gt;='Deal maths'!AA361)),0)</f>
        <v/>
      </c>
      <c r="I361" s="108">
        <f>G361-H361</f>
        <v/>
      </c>
      <c r="J361" s="111">
        <f>IF(AND(C361="EIP",I361&gt;0),'Deal maths'!Y361/I361,0)</f>
        <v/>
      </c>
      <c r="K361" s="111">
        <f>IF(AND(C361="Annuity",I361&gt;0),IF(F361&gt;0,'Deal maths'!Y361*F361/(1-(1+F361)^-I361),'Deal maths'!Y361/I361),0)</f>
        <v/>
      </c>
      <c r="L361" s="111">
        <f>IF('Deal maths'!Y361="",0,'Deal maths'!Y361)</f>
        <v/>
      </c>
      <c r="M361" s="112">
        <f>F361+(F361=0)</f>
        <v/>
      </c>
      <c r="N361" s="108">
        <f>IFERROR(IF(D361=0,0,INT(((YEAR('Deal maths'!AA361)-YEAR(E361))*12+MONTH('Deal maths'!AA361)-MONTH(E361)-(DAY('Deal maths'!AA361)&lt;MIN(R361,DAY(EOMONTH('Deal maths'!AA361,0)))))/D361)+1),0)</f>
        <v/>
      </c>
      <c r="O361" s="108">
        <f>IFERROR(IF(D361=0,0,IF(IF(DAY(E361+1)=1,EOMONTH(E361,(N361-1)*D361),EDATE(E361,(N361-1)*D361))='Deal maths'!AA361,0,1)),0)</f>
        <v/>
      </c>
      <c r="P361" s="113">
        <f>IF(B361=0,0,IFERROR(IF(C361="EIP",((I361-O361)*((IF(DAY(E361+1)=1,EOMONTH(E361,H361*D361),EDATE(E361,H361*D361))-AsAt)/365.25+(IF(DAY(E361+1)=1,EOMONTH(E361,(N361-1)*D361),EDATE(E361,(N361-1)*D361))-AsAt)/365.25)/2+O361*('Deal maths'!AA361-AsAt)/365.25)/I361,IF(C361="Annuity",IF(F361&gt;0,((K361-L361*F361)*((IF(DAY(E361+1)=1,EOMONTH(E361,H361*D361),EDATE(E361,H361*D361))-AsAt)/365.25*((1+F361)^(I361-O361)-1)/F361+IF((I361-O361)&gt;1,((IF(DAY(E361+1)=1,EOMONTH(E361,(N361-1)*D361),EDATE(E361,(N361-1)*D361))-AsAt)/365.25-(IF(DAY(E361+1)=1,EOMONTH(E361,H361*D361),EDATE(E361,H361*D361))-AsAt)/365.25)/((I361-O361)-1),0)*(1+F361)*(1-(I361-O361)*(1+F361)^((I361-O361)-1)+((I361-O361)-1)*(1+F361)^(I361-O361))/F361^2)+O361*(K361-L361*F361)*(1+F361)^(I361-1)*('Deal maths'!AA361-AsAt)/365.25)/L361,((I361-O361)*((IF(DAY(E361+1)=1,EOMONTH(E361,H361*D361),EDATE(E361,H361*D361))-AsAt)/365.25+(IF(DAY(E361+1)=1,EOMONTH(E361,(N361-1)*D361),EDATE(E361,(N361-1)*D361))-AsAt)/365.25)/2+O361*('Deal maths'!AA361-AsAt)/365.25)/I361),(S361-AsAt)/365.25)),0))</f>
        <v/>
      </c>
      <c r="Q361" s="109">
        <f>IF(B361=1,'Deal maths'!AA361+ROW()/1000000,"")</f>
        <v/>
      </c>
      <c r="R361" s="108">
        <f>IF(D361=0,0,IF(DAY(E361+1)=1,31,DAY(E361)))</f>
        <v/>
      </c>
      <c r="S361" s="109">
        <f>IF(AND('Deal maths'!V361="LOBO",'Deal maths'!AG361&gt;AsAt,'Deal maths'!AG361&lt;'Deal maths'!AA361),'Deal maths'!AG361,'Deal maths'!AA361)</f>
        <v/>
      </c>
      <c r="T361" s="108">
        <f>('Deal maths'!AA361&gt;AsAt)*('Deal maths'!Y361&gt;0)</f>
        <v/>
      </c>
    </row>
    <row r="362">
      <c r="A362" s="91">
        <f>IF('Deal maths'!V362="","",'Deal maths'!W362)</f>
        <v/>
      </c>
      <c r="B362" s="108">
        <f>('Deal maths'!AA362&gt;AsAt)*('Deal maths'!Y362&gt;0)*('Deal maths'!Z362&lt;=AsAt)</f>
        <v/>
      </c>
      <c r="C362" s="91">
        <f>IF('Deal maths'!V362="","",IF('Deal maths'!AC362="","Maturity",'Deal maths'!AC362))</f>
        <v/>
      </c>
      <c r="D362" s="108">
        <f>IF(OR(C362="EIP",C362="Annuity"),IF('Deal maths'!AD362="Annual",12,IF('Deal maths'!AD362="Quarterly",3,6)),0)</f>
        <v/>
      </c>
      <c r="E362" s="109">
        <f>IFERROR(IF(D362=0,0,IF('Deal maths'!AE362&gt;0,IF('Deal maths'!AE362&gt;'Deal maths'!AA362,'Deal maths'!AA362,'Deal maths'!AE362),IF(IF(DAY('Deal maths'!AA362+1)=1,EOMONTH('Deal maths'!AA362,-(INT(((YEAR('Deal maths'!AA362)-YEAR(IF('Deal maths'!Z362&gt;0,'Deal maths'!Z362,DATE(1990,1,1))))*12+MONTH('Deal maths'!AA362)-MONTH(IF('Deal maths'!Z362&gt;0,'Deal maths'!Z362,DATE(1990,1,1))))/D362))*D362),EDATE('Deal maths'!AA362,-(INT(((YEAR('Deal maths'!AA362)-YEAR(IF('Deal maths'!Z362&gt;0,'Deal maths'!Z362,DATE(1990,1,1))))*12+MONTH('Deal maths'!AA362)-MONTH(IF('Deal maths'!Z362&gt;0,'Deal maths'!Z362,DATE(1990,1,1))))/D362))*D362))&gt;IF('Deal maths'!Z362&gt;0,'Deal maths'!Z362,DATE(1990,1,1)),IF(DAY('Deal maths'!AA362+1)=1,EOMONTH('Deal maths'!AA362,-(INT(((YEAR('Deal maths'!AA362)-YEAR(IF('Deal maths'!Z362&gt;0,'Deal maths'!Z362,DATE(1990,1,1))))*12+MONTH('Deal maths'!AA362)-MONTH(IF('Deal maths'!Z362&gt;0,'Deal maths'!Z362,DATE(1990,1,1))))/D362))*D362),EDATE('Deal maths'!AA362,-(INT(((YEAR('Deal maths'!AA362)-YEAR(IF('Deal maths'!Z362&gt;0,'Deal maths'!Z362,DATE(1990,1,1))))*12+MONTH('Deal maths'!AA362)-MONTH(IF('Deal maths'!Z362&gt;0,'Deal maths'!Z362,DATE(1990,1,1))))/D362))*D362)),IF(DAY('Deal maths'!AA362+1)=1,EOMONTH('Deal maths'!AA362,-(INT(((YEAR('Deal maths'!AA362)-YEAR(IF('Deal maths'!Z362&gt;0,'Deal maths'!Z362,DATE(1990,1,1))))*12+MONTH('Deal maths'!AA362)-MONTH(IF('Deal maths'!Z362&gt;0,'Deal maths'!Z362,DATE(1990,1,1))))/D362)-1)*D362),EDATE('Deal maths'!AA362,-(INT(((YEAR('Deal maths'!AA362)-YEAR(IF('Deal maths'!Z362&gt;0,'Deal maths'!Z362,DATE(1990,1,1))))*12+MONTH('Deal maths'!AA362)-MONTH(IF('Deal maths'!Z362&gt;0,'Deal maths'!Z362,DATE(1990,1,1))))/D362)-1)*D362))))),0)</f>
        <v/>
      </c>
      <c r="F362" s="110">
        <f>IF(D362=0,0,'Deal maths'!AB362*D362/12)</f>
        <v/>
      </c>
      <c r="G362" s="108">
        <f>N362+O362</f>
        <v/>
      </c>
      <c r="H362" s="108">
        <f>IFERROR(IF(OR(D362=0,AsAt&lt;E362),0,MIN(N362,INT(((YEAR(AsAt)-YEAR(E362))*12+MONTH(AsAt)-MONTH(E362)-(DAY(AsAt)&lt;MIN(R362,DAY(EOMONTH(AsAt,0)))))/D362)+1)+O362*(AsAt&gt;='Deal maths'!AA362)),0)</f>
        <v/>
      </c>
      <c r="I362" s="108">
        <f>G362-H362</f>
        <v/>
      </c>
      <c r="J362" s="111">
        <f>IF(AND(C362="EIP",I362&gt;0),'Deal maths'!Y362/I362,0)</f>
        <v/>
      </c>
      <c r="K362" s="111">
        <f>IF(AND(C362="Annuity",I362&gt;0),IF(F362&gt;0,'Deal maths'!Y362*F362/(1-(1+F362)^-I362),'Deal maths'!Y362/I362),0)</f>
        <v/>
      </c>
      <c r="L362" s="111">
        <f>IF('Deal maths'!Y362="",0,'Deal maths'!Y362)</f>
        <v/>
      </c>
      <c r="M362" s="112">
        <f>F362+(F362=0)</f>
        <v/>
      </c>
      <c r="N362" s="108">
        <f>IFERROR(IF(D362=0,0,INT(((YEAR('Deal maths'!AA362)-YEAR(E362))*12+MONTH('Deal maths'!AA362)-MONTH(E362)-(DAY('Deal maths'!AA362)&lt;MIN(R362,DAY(EOMONTH('Deal maths'!AA362,0)))))/D362)+1),0)</f>
        <v/>
      </c>
      <c r="O362" s="108">
        <f>IFERROR(IF(D362=0,0,IF(IF(DAY(E362+1)=1,EOMONTH(E362,(N362-1)*D362),EDATE(E362,(N362-1)*D362))='Deal maths'!AA362,0,1)),0)</f>
        <v/>
      </c>
      <c r="P362" s="113">
        <f>IF(B362=0,0,IFERROR(IF(C362="EIP",((I362-O362)*((IF(DAY(E362+1)=1,EOMONTH(E362,H362*D362),EDATE(E362,H362*D362))-AsAt)/365.25+(IF(DAY(E362+1)=1,EOMONTH(E362,(N362-1)*D362),EDATE(E362,(N362-1)*D362))-AsAt)/365.25)/2+O362*('Deal maths'!AA362-AsAt)/365.25)/I362,IF(C362="Annuity",IF(F362&gt;0,((K362-L362*F362)*((IF(DAY(E362+1)=1,EOMONTH(E362,H362*D362),EDATE(E362,H362*D362))-AsAt)/365.25*((1+F362)^(I362-O362)-1)/F362+IF((I362-O362)&gt;1,((IF(DAY(E362+1)=1,EOMONTH(E362,(N362-1)*D362),EDATE(E362,(N362-1)*D362))-AsAt)/365.25-(IF(DAY(E362+1)=1,EOMONTH(E362,H362*D362),EDATE(E362,H362*D362))-AsAt)/365.25)/((I362-O362)-1),0)*(1+F362)*(1-(I362-O362)*(1+F362)^((I362-O362)-1)+((I362-O362)-1)*(1+F362)^(I362-O362))/F362^2)+O362*(K362-L362*F362)*(1+F362)^(I362-1)*('Deal maths'!AA362-AsAt)/365.25)/L362,((I362-O362)*((IF(DAY(E362+1)=1,EOMONTH(E362,H362*D362),EDATE(E362,H362*D362))-AsAt)/365.25+(IF(DAY(E362+1)=1,EOMONTH(E362,(N362-1)*D362),EDATE(E362,(N362-1)*D362))-AsAt)/365.25)/2+O362*('Deal maths'!AA362-AsAt)/365.25)/I362),(S362-AsAt)/365.25)),0))</f>
        <v/>
      </c>
      <c r="Q362" s="109">
        <f>IF(B362=1,'Deal maths'!AA362+ROW()/1000000,"")</f>
        <v/>
      </c>
      <c r="R362" s="108">
        <f>IF(D362=0,0,IF(DAY(E362+1)=1,31,DAY(E362)))</f>
        <v/>
      </c>
      <c r="S362" s="109">
        <f>IF(AND('Deal maths'!V362="LOBO",'Deal maths'!AG362&gt;AsAt,'Deal maths'!AG362&lt;'Deal maths'!AA362),'Deal maths'!AG362,'Deal maths'!AA362)</f>
        <v/>
      </c>
      <c r="T362" s="108">
        <f>('Deal maths'!AA362&gt;AsAt)*('Deal maths'!Y362&gt;0)</f>
        <v/>
      </c>
    </row>
    <row r="363">
      <c r="A363" s="91">
        <f>IF('Deal maths'!V363="","",'Deal maths'!W363)</f>
        <v/>
      </c>
      <c r="B363" s="108">
        <f>('Deal maths'!AA363&gt;AsAt)*('Deal maths'!Y363&gt;0)*('Deal maths'!Z363&lt;=AsAt)</f>
        <v/>
      </c>
      <c r="C363" s="91">
        <f>IF('Deal maths'!V363="","",IF('Deal maths'!AC363="","Maturity",'Deal maths'!AC363))</f>
        <v/>
      </c>
      <c r="D363" s="108">
        <f>IF(OR(C363="EIP",C363="Annuity"),IF('Deal maths'!AD363="Annual",12,IF('Deal maths'!AD363="Quarterly",3,6)),0)</f>
        <v/>
      </c>
      <c r="E363" s="109">
        <f>IFERROR(IF(D363=0,0,IF('Deal maths'!AE363&gt;0,IF('Deal maths'!AE363&gt;'Deal maths'!AA363,'Deal maths'!AA363,'Deal maths'!AE363),IF(IF(DAY('Deal maths'!AA363+1)=1,EOMONTH('Deal maths'!AA363,-(INT(((YEAR('Deal maths'!AA363)-YEAR(IF('Deal maths'!Z363&gt;0,'Deal maths'!Z363,DATE(1990,1,1))))*12+MONTH('Deal maths'!AA363)-MONTH(IF('Deal maths'!Z363&gt;0,'Deal maths'!Z363,DATE(1990,1,1))))/D363))*D363),EDATE('Deal maths'!AA363,-(INT(((YEAR('Deal maths'!AA363)-YEAR(IF('Deal maths'!Z363&gt;0,'Deal maths'!Z363,DATE(1990,1,1))))*12+MONTH('Deal maths'!AA363)-MONTH(IF('Deal maths'!Z363&gt;0,'Deal maths'!Z363,DATE(1990,1,1))))/D363))*D363))&gt;IF('Deal maths'!Z363&gt;0,'Deal maths'!Z363,DATE(1990,1,1)),IF(DAY('Deal maths'!AA363+1)=1,EOMONTH('Deal maths'!AA363,-(INT(((YEAR('Deal maths'!AA363)-YEAR(IF('Deal maths'!Z363&gt;0,'Deal maths'!Z363,DATE(1990,1,1))))*12+MONTH('Deal maths'!AA363)-MONTH(IF('Deal maths'!Z363&gt;0,'Deal maths'!Z363,DATE(1990,1,1))))/D363))*D363),EDATE('Deal maths'!AA363,-(INT(((YEAR('Deal maths'!AA363)-YEAR(IF('Deal maths'!Z363&gt;0,'Deal maths'!Z363,DATE(1990,1,1))))*12+MONTH('Deal maths'!AA363)-MONTH(IF('Deal maths'!Z363&gt;0,'Deal maths'!Z363,DATE(1990,1,1))))/D363))*D363)),IF(DAY('Deal maths'!AA363+1)=1,EOMONTH('Deal maths'!AA363,-(INT(((YEAR('Deal maths'!AA363)-YEAR(IF('Deal maths'!Z363&gt;0,'Deal maths'!Z363,DATE(1990,1,1))))*12+MONTH('Deal maths'!AA363)-MONTH(IF('Deal maths'!Z363&gt;0,'Deal maths'!Z363,DATE(1990,1,1))))/D363)-1)*D363),EDATE('Deal maths'!AA363,-(INT(((YEAR('Deal maths'!AA363)-YEAR(IF('Deal maths'!Z363&gt;0,'Deal maths'!Z363,DATE(1990,1,1))))*12+MONTH('Deal maths'!AA363)-MONTH(IF('Deal maths'!Z363&gt;0,'Deal maths'!Z363,DATE(1990,1,1))))/D363)-1)*D363))))),0)</f>
        <v/>
      </c>
      <c r="F363" s="110">
        <f>IF(D363=0,0,'Deal maths'!AB363*D363/12)</f>
        <v/>
      </c>
      <c r="G363" s="108">
        <f>N363+O363</f>
        <v/>
      </c>
      <c r="H363" s="108">
        <f>IFERROR(IF(OR(D363=0,AsAt&lt;E363),0,MIN(N363,INT(((YEAR(AsAt)-YEAR(E363))*12+MONTH(AsAt)-MONTH(E363)-(DAY(AsAt)&lt;MIN(R363,DAY(EOMONTH(AsAt,0)))))/D363)+1)+O363*(AsAt&gt;='Deal maths'!AA363)),0)</f>
        <v/>
      </c>
      <c r="I363" s="108">
        <f>G363-H363</f>
        <v/>
      </c>
      <c r="J363" s="111">
        <f>IF(AND(C363="EIP",I363&gt;0),'Deal maths'!Y363/I363,0)</f>
        <v/>
      </c>
      <c r="K363" s="111">
        <f>IF(AND(C363="Annuity",I363&gt;0),IF(F363&gt;0,'Deal maths'!Y363*F363/(1-(1+F363)^-I363),'Deal maths'!Y363/I363),0)</f>
        <v/>
      </c>
      <c r="L363" s="111">
        <f>IF('Deal maths'!Y363="",0,'Deal maths'!Y363)</f>
        <v/>
      </c>
      <c r="M363" s="112">
        <f>F363+(F363=0)</f>
        <v/>
      </c>
      <c r="N363" s="108">
        <f>IFERROR(IF(D363=0,0,INT(((YEAR('Deal maths'!AA363)-YEAR(E363))*12+MONTH('Deal maths'!AA363)-MONTH(E363)-(DAY('Deal maths'!AA363)&lt;MIN(R363,DAY(EOMONTH('Deal maths'!AA363,0)))))/D363)+1),0)</f>
        <v/>
      </c>
      <c r="O363" s="108">
        <f>IFERROR(IF(D363=0,0,IF(IF(DAY(E363+1)=1,EOMONTH(E363,(N363-1)*D363),EDATE(E363,(N363-1)*D363))='Deal maths'!AA363,0,1)),0)</f>
        <v/>
      </c>
      <c r="P363" s="113">
        <f>IF(B363=0,0,IFERROR(IF(C363="EIP",((I363-O363)*((IF(DAY(E363+1)=1,EOMONTH(E363,H363*D363),EDATE(E363,H363*D363))-AsAt)/365.25+(IF(DAY(E363+1)=1,EOMONTH(E363,(N363-1)*D363),EDATE(E363,(N363-1)*D363))-AsAt)/365.25)/2+O363*('Deal maths'!AA363-AsAt)/365.25)/I363,IF(C363="Annuity",IF(F363&gt;0,((K363-L363*F363)*((IF(DAY(E363+1)=1,EOMONTH(E363,H363*D363),EDATE(E363,H363*D363))-AsAt)/365.25*((1+F363)^(I363-O363)-1)/F363+IF((I363-O363)&gt;1,((IF(DAY(E363+1)=1,EOMONTH(E363,(N363-1)*D363),EDATE(E363,(N363-1)*D363))-AsAt)/365.25-(IF(DAY(E363+1)=1,EOMONTH(E363,H363*D363),EDATE(E363,H363*D363))-AsAt)/365.25)/((I363-O363)-1),0)*(1+F363)*(1-(I363-O363)*(1+F363)^((I363-O363)-1)+((I363-O363)-1)*(1+F363)^(I363-O363))/F363^2)+O363*(K363-L363*F363)*(1+F363)^(I363-1)*('Deal maths'!AA363-AsAt)/365.25)/L363,((I363-O363)*((IF(DAY(E363+1)=1,EOMONTH(E363,H363*D363),EDATE(E363,H363*D363))-AsAt)/365.25+(IF(DAY(E363+1)=1,EOMONTH(E363,(N363-1)*D363),EDATE(E363,(N363-1)*D363))-AsAt)/365.25)/2+O363*('Deal maths'!AA363-AsAt)/365.25)/I363),(S363-AsAt)/365.25)),0))</f>
        <v/>
      </c>
      <c r="Q363" s="109">
        <f>IF(B363=1,'Deal maths'!AA363+ROW()/1000000,"")</f>
        <v/>
      </c>
      <c r="R363" s="108">
        <f>IF(D363=0,0,IF(DAY(E363+1)=1,31,DAY(E363)))</f>
        <v/>
      </c>
      <c r="S363" s="109">
        <f>IF(AND('Deal maths'!V363="LOBO",'Deal maths'!AG363&gt;AsAt,'Deal maths'!AG363&lt;'Deal maths'!AA363),'Deal maths'!AG363,'Deal maths'!AA363)</f>
        <v/>
      </c>
      <c r="T363" s="108">
        <f>('Deal maths'!AA363&gt;AsAt)*('Deal maths'!Y363&gt;0)</f>
        <v/>
      </c>
    </row>
    <row r="364">
      <c r="A364" s="91">
        <f>IF('Deal maths'!V364="","",'Deal maths'!W364)</f>
        <v/>
      </c>
      <c r="B364" s="108">
        <f>('Deal maths'!AA364&gt;AsAt)*('Deal maths'!Y364&gt;0)*('Deal maths'!Z364&lt;=AsAt)</f>
        <v/>
      </c>
      <c r="C364" s="91">
        <f>IF('Deal maths'!V364="","",IF('Deal maths'!AC364="","Maturity",'Deal maths'!AC364))</f>
        <v/>
      </c>
      <c r="D364" s="108">
        <f>IF(OR(C364="EIP",C364="Annuity"),IF('Deal maths'!AD364="Annual",12,IF('Deal maths'!AD364="Quarterly",3,6)),0)</f>
        <v/>
      </c>
      <c r="E364" s="109">
        <f>IFERROR(IF(D364=0,0,IF('Deal maths'!AE364&gt;0,IF('Deal maths'!AE364&gt;'Deal maths'!AA364,'Deal maths'!AA364,'Deal maths'!AE364),IF(IF(DAY('Deal maths'!AA364+1)=1,EOMONTH('Deal maths'!AA364,-(INT(((YEAR('Deal maths'!AA364)-YEAR(IF('Deal maths'!Z364&gt;0,'Deal maths'!Z364,DATE(1990,1,1))))*12+MONTH('Deal maths'!AA364)-MONTH(IF('Deal maths'!Z364&gt;0,'Deal maths'!Z364,DATE(1990,1,1))))/D364))*D364),EDATE('Deal maths'!AA364,-(INT(((YEAR('Deal maths'!AA364)-YEAR(IF('Deal maths'!Z364&gt;0,'Deal maths'!Z364,DATE(1990,1,1))))*12+MONTH('Deal maths'!AA364)-MONTH(IF('Deal maths'!Z364&gt;0,'Deal maths'!Z364,DATE(1990,1,1))))/D364))*D364))&gt;IF('Deal maths'!Z364&gt;0,'Deal maths'!Z364,DATE(1990,1,1)),IF(DAY('Deal maths'!AA364+1)=1,EOMONTH('Deal maths'!AA364,-(INT(((YEAR('Deal maths'!AA364)-YEAR(IF('Deal maths'!Z364&gt;0,'Deal maths'!Z364,DATE(1990,1,1))))*12+MONTH('Deal maths'!AA364)-MONTH(IF('Deal maths'!Z364&gt;0,'Deal maths'!Z364,DATE(1990,1,1))))/D364))*D364),EDATE('Deal maths'!AA364,-(INT(((YEAR('Deal maths'!AA364)-YEAR(IF('Deal maths'!Z364&gt;0,'Deal maths'!Z364,DATE(1990,1,1))))*12+MONTH('Deal maths'!AA364)-MONTH(IF('Deal maths'!Z364&gt;0,'Deal maths'!Z364,DATE(1990,1,1))))/D364))*D364)),IF(DAY('Deal maths'!AA364+1)=1,EOMONTH('Deal maths'!AA364,-(INT(((YEAR('Deal maths'!AA364)-YEAR(IF('Deal maths'!Z364&gt;0,'Deal maths'!Z364,DATE(1990,1,1))))*12+MONTH('Deal maths'!AA364)-MONTH(IF('Deal maths'!Z364&gt;0,'Deal maths'!Z364,DATE(1990,1,1))))/D364)-1)*D364),EDATE('Deal maths'!AA364,-(INT(((YEAR('Deal maths'!AA364)-YEAR(IF('Deal maths'!Z364&gt;0,'Deal maths'!Z364,DATE(1990,1,1))))*12+MONTH('Deal maths'!AA364)-MONTH(IF('Deal maths'!Z364&gt;0,'Deal maths'!Z364,DATE(1990,1,1))))/D364)-1)*D364))))),0)</f>
        <v/>
      </c>
      <c r="F364" s="110">
        <f>IF(D364=0,0,'Deal maths'!AB364*D364/12)</f>
        <v/>
      </c>
      <c r="G364" s="108">
        <f>N364+O364</f>
        <v/>
      </c>
      <c r="H364" s="108">
        <f>IFERROR(IF(OR(D364=0,AsAt&lt;E364),0,MIN(N364,INT(((YEAR(AsAt)-YEAR(E364))*12+MONTH(AsAt)-MONTH(E364)-(DAY(AsAt)&lt;MIN(R364,DAY(EOMONTH(AsAt,0)))))/D364)+1)+O364*(AsAt&gt;='Deal maths'!AA364)),0)</f>
        <v/>
      </c>
      <c r="I364" s="108">
        <f>G364-H364</f>
        <v/>
      </c>
      <c r="J364" s="111">
        <f>IF(AND(C364="EIP",I364&gt;0),'Deal maths'!Y364/I364,0)</f>
        <v/>
      </c>
      <c r="K364" s="111">
        <f>IF(AND(C364="Annuity",I364&gt;0),IF(F364&gt;0,'Deal maths'!Y364*F364/(1-(1+F364)^-I364),'Deal maths'!Y364/I364),0)</f>
        <v/>
      </c>
      <c r="L364" s="111">
        <f>IF('Deal maths'!Y364="",0,'Deal maths'!Y364)</f>
        <v/>
      </c>
      <c r="M364" s="112">
        <f>F364+(F364=0)</f>
        <v/>
      </c>
      <c r="N364" s="108">
        <f>IFERROR(IF(D364=0,0,INT(((YEAR('Deal maths'!AA364)-YEAR(E364))*12+MONTH('Deal maths'!AA364)-MONTH(E364)-(DAY('Deal maths'!AA364)&lt;MIN(R364,DAY(EOMONTH('Deal maths'!AA364,0)))))/D364)+1),0)</f>
        <v/>
      </c>
      <c r="O364" s="108">
        <f>IFERROR(IF(D364=0,0,IF(IF(DAY(E364+1)=1,EOMONTH(E364,(N364-1)*D364),EDATE(E364,(N364-1)*D364))='Deal maths'!AA364,0,1)),0)</f>
        <v/>
      </c>
      <c r="P364" s="113">
        <f>IF(B364=0,0,IFERROR(IF(C364="EIP",((I364-O364)*((IF(DAY(E364+1)=1,EOMONTH(E364,H364*D364),EDATE(E364,H364*D364))-AsAt)/365.25+(IF(DAY(E364+1)=1,EOMONTH(E364,(N364-1)*D364),EDATE(E364,(N364-1)*D364))-AsAt)/365.25)/2+O364*('Deal maths'!AA364-AsAt)/365.25)/I364,IF(C364="Annuity",IF(F364&gt;0,((K364-L364*F364)*((IF(DAY(E364+1)=1,EOMONTH(E364,H364*D364),EDATE(E364,H364*D364))-AsAt)/365.25*((1+F364)^(I364-O364)-1)/F364+IF((I364-O364)&gt;1,((IF(DAY(E364+1)=1,EOMONTH(E364,(N364-1)*D364),EDATE(E364,(N364-1)*D364))-AsAt)/365.25-(IF(DAY(E364+1)=1,EOMONTH(E364,H364*D364),EDATE(E364,H364*D364))-AsAt)/365.25)/((I364-O364)-1),0)*(1+F364)*(1-(I364-O364)*(1+F364)^((I364-O364)-1)+((I364-O364)-1)*(1+F364)^(I364-O364))/F364^2)+O364*(K364-L364*F364)*(1+F364)^(I364-1)*('Deal maths'!AA364-AsAt)/365.25)/L364,((I364-O364)*((IF(DAY(E364+1)=1,EOMONTH(E364,H364*D364),EDATE(E364,H364*D364))-AsAt)/365.25+(IF(DAY(E364+1)=1,EOMONTH(E364,(N364-1)*D364),EDATE(E364,(N364-1)*D364))-AsAt)/365.25)/2+O364*('Deal maths'!AA364-AsAt)/365.25)/I364),(S364-AsAt)/365.25)),0))</f>
        <v/>
      </c>
      <c r="Q364" s="109">
        <f>IF(B364=1,'Deal maths'!AA364+ROW()/1000000,"")</f>
        <v/>
      </c>
      <c r="R364" s="108">
        <f>IF(D364=0,0,IF(DAY(E364+1)=1,31,DAY(E364)))</f>
        <v/>
      </c>
      <c r="S364" s="109">
        <f>IF(AND('Deal maths'!V364="LOBO",'Deal maths'!AG364&gt;AsAt,'Deal maths'!AG364&lt;'Deal maths'!AA364),'Deal maths'!AG364,'Deal maths'!AA364)</f>
        <v/>
      </c>
      <c r="T364" s="108">
        <f>('Deal maths'!AA364&gt;AsAt)*('Deal maths'!Y364&gt;0)</f>
        <v/>
      </c>
    </row>
    <row r="365">
      <c r="A365" s="91">
        <f>IF('Deal maths'!V365="","",'Deal maths'!W365)</f>
        <v/>
      </c>
      <c r="B365" s="108">
        <f>('Deal maths'!AA365&gt;AsAt)*('Deal maths'!Y365&gt;0)*('Deal maths'!Z365&lt;=AsAt)</f>
        <v/>
      </c>
      <c r="C365" s="91">
        <f>IF('Deal maths'!V365="","",IF('Deal maths'!AC365="","Maturity",'Deal maths'!AC365))</f>
        <v/>
      </c>
      <c r="D365" s="108">
        <f>IF(OR(C365="EIP",C365="Annuity"),IF('Deal maths'!AD365="Annual",12,IF('Deal maths'!AD365="Quarterly",3,6)),0)</f>
        <v/>
      </c>
      <c r="E365" s="109">
        <f>IFERROR(IF(D365=0,0,IF('Deal maths'!AE365&gt;0,IF('Deal maths'!AE365&gt;'Deal maths'!AA365,'Deal maths'!AA365,'Deal maths'!AE365),IF(IF(DAY('Deal maths'!AA365+1)=1,EOMONTH('Deal maths'!AA365,-(INT(((YEAR('Deal maths'!AA365)-YEAR(IF('Deal maths'!Z365&gt;0,'Deal maths'!Z365,DATE(1990,1,1))))*12+MONTH('Deal maths'!AA365)-MONTH(IF('Deal maths'!Z365&gt;0,'Deal maths'!Z365,DATE(1990,1,1))))/D365))*D365),EDATE('Deal maths'!AA365,-(INT(((YEAR('Deal maths'!AA365)-YEAR(IF('Deal maths'!Z365&gt;0,'Deal maths'!Z365,DATE(1990,1,1))))*12+MONTH('Deal maths'!AA365)-MONTH(IF('Deal maths'!Z365&gt;0,'Deal maths'!Z365,DATE(1990,1,1))))/D365))*D365))&gt;IF('Deal maths'!Z365&gt;0,'Deal maths'!Z365,DATE(1990,1,1)),IF(DAY('Deal maths'!AA365+1)=1,EOMONTH('Deal maths'!AA365,-(INT(((YEAR('Deal maths'!AA365)-YEAR(IF('Deal maths'!Z365&gt;0,'Deal maths'!Z365,DATE(1990,1,1))))*12+MONTH('Deal maths'!AA365)-MONTH(IF('Deal maths'!Z365&gt;0,'Deal maths'!Z365,DATE(1990,1,1))))/D365))*D365),EDATE('Deal maths'!AA365,-(INT(((YEAR('Deal maths'!AA365)-YEAR(IF('Deal maths'!Z365&gt;0,'Deal maths'!Z365,DATE(1990,1,1))))*12+MONTH('Deal maths'!AA365)-MONTH(IF('Deal maths'!Z365&gt;0,'Deal maths'!Z365,DATE(1990,1,1))))/D365))*D365)),IF(DAY('Deal maths'!AA365+1)=1,EOMONTH('Deal maths'!AA365,-(INT(((YEAR('Deal maths'!AA365)-YEAR(IF('Deal maths'!Z365&gt;0,'Deal maths'!Z365,DATE(1990,1,1))))*12+MONTH('Deal maths'!AA365)-MONTH(IF('Deal maths'!Z365&gt;0,'Deal maths'!Z365,DATE(1990,1,1))))/D365)-1)*D365),EDATE('Deal maths'!AA365,-(INT(((YEAR('Deal maths'!AA365)-YEAR(IF('Deal maths'!Z365&gt;0,'Deal maths'!Z365,DATE(1990,1,1))))*12+MONTH('Deal maths'!AA365)-MONTH(IF('Deal maths'!Z365&gt;0,'Deal maths'!Z365,DATE(1990,1,1))))/D365)-1)*D365))))),0)</f>
        <v/>
      </c>
      <c r="F365" s="110">
        <f>IF(D365=0,0,'Deal maths'!AB365*D365/12)</f>
        <v/>
      </c>
      <c r="G365" s="108">
        <f>N365+O365</f>
        <v/>
      </c>
      <c r="H365" s="108">
        <f>IFERROR(IF(OR(D365=0,AsAt&lt;E365),0,MIN(N365,INT(((YEAR(AsAt)-YEAR(E365))*12+MONTH(AsAt)-MONTH(E365)-(DAY(AsAt)&lt;MIN(R365,DAY(EOMONTH(AsAt,0)))))/D365)+1)+O365*(AsAt&gt;='Deal maths'!AA365)),0)</f>
        <v/>
      </c>
      <c r="I365" s="108">
        <f>G365-H365</f>
        <v/>
      </c>
      <c r="J365" s="111">
        <f>IF(AND(C365="EIP",I365&gt;0),'Deal maths'!Y365/I365,0)</f>
        <v/>
      </c>
      <c r="K365" s="111">
        <f>IF(AND(C365="Annuity",I365&gt;0),IF(F365&gt;0,'Deal maths'!Y365*F365/(1-(1+F365)^-I365),'Deal maths'!Y365/I365),0)</f>
        <v/>
      </c>
      <c r="L365" s="111">
        <f>IF('Deal maths'!Y365="",0,'Deal maths'!Y365)</f>
        <v/>
      </c>
      <c r="M365" s="112">
        <f>F365+(F365=0)</f>
        <v/>
      </c>
      <c r="N365" s="108">
        <f>IFERROR(IF(D365=0,0,INT(((YEAR('Deal maths'!AA365)-YEAR(E365))*12+MONTH('Deal maths'!AA365)-MONTH(E365)-(DAY('Deal maths'!AA365)&lt;MIN(R365,DAY(EOMONTH('Deal maths'!AA365,0)))))/D365)+1),0)</f>
        <v/>
      </c>
      <c r="O365" s="108">
        <f>IFERROR(IF(D365=0,0,IF(IF(DAY(E365+1)=1,EOMONTH(E365,(N365-1)*D365),EDATE(E365,(N365-1)*D365))='Deal maths'!AA365,0,1)),0)</f>
        <v/>
      </c>
      <c r="P365" s="113">
        <f>IF(B365=0,0,IFERROR(IF(C365="EIP",((I365-O365)*((IF(DAY(E365+1)=1,EOMONTH(E365,H365*D365),EDATE(E365,H365*D365))-AsAt)/365.25+(IF(DAY(E365+1)=1,EOMONTH(E365,(N365-1)*D365),EDATE(E365,(N365-1)*D365))-AsAt)/365.25)/2+O365*('Deal maths'!AA365-AsAt)/365.25)/I365,IF(C365="Annuity",IF(F365&gt;0,((K365-L365*F365)*((IF(DAY(E365+1)=1,EOMONTH(E365,H365*D365),EDATE(E365,H365*D365))-AsAt)/365.25*((1+F365)^(I365-O365)-1)/F365+IF((I365-O365)&gt;1,((IF(DAY(E365+1)=1,EOMONTH(E365,(N365-1)*D365),EDATE(E365,(N365-1)*D365))-AsAt)/365.25-(IF(DAY(E365+1)=1,EOMONTH(E365,H365*D365),EDATE(E365,H365*D365))-AsAt)/365.25)/((I365-O365)-1),0)*(1+F365)*(1-(I365-O365)*(1+F365)^((I365-O365)-1)+((I365-O365)-1)*(1+F365)^(I365-O365))/F365^2)+O365*(K365-L365*F365)*(1+F365)^(I365-1)*('Deal maths'!AA365-AsAt)/365.25)/L365,((I365-O365)*((IF(DAY(E365+1)=1,EOMONTH(E365,H365*D365),EDATE(E365,H365*D365))-AsAt)/365.25+(IF(DAY(E365+1)=1,EOMONTH(E365,(N365-1)*D365),EDATE(E365,(N365-1)*D365))-AsAt)/365.25)/2+O365*('Deal maths'!AA365-AsAt)/365.25)/I365),(S365-AsAt)/365.25)),0))</f>
        <v/>
      </c>
      <c r="Q365" s="109">
        <f>IF(B365=1,'Deal maths'!AA365+ROW()/1000000,"")</f>
        <v/>
      </c>
      <c r="R365" s="108">
        <f>IF(D365=0,0,IF(DAY(E365+1)=1,31,DAY(E365)))</f>
        <v/>
      </c>
      <c r="S365" s="109">
        <f>IF(AND('Deal maths'!V365="LOBO",'Deal maths'!AG365&gt;AsAt,'Deal maths'!AG365&lt;'Deal maths'!AA365),'Deal maths'!AG365,'Deal maths'!AA365)</f>
        <v/>
      </c>
      <c r="T365" s="108">
        <f>('Deal maths'!AA365&gt;AsAt)*('Deal maths'!Y365&gt;0)</f>
        <v/>
      </c>
    </row>
    <row r="366">
      <c r="A366" s="91">
        <f>IF('Deal maths'!V366="","",'Deal maths'!W366)</f>
        <v/>
      </c>
      <c r="B366" s="108">
        <f>('Deal maths'!AA366&gt;AsAt)*('Deal maths'!Y366&gt;0)*('Deal maths'!Z366&lt;=AsAt)</f>
        <v/>
      </c>
      <c r="C366" s="91">
        <f>IF('Deal maths'!V366="","",IF('Deal maths'!AC366="","Maturity",'Deal maths'!AC366))</f>
        <v/>
      </c>
      <c r="D366" s="108">
        <f>IF(OR(C366="EIP",C366="Annuity"),IF('Deal maths'!AD366="Annual",12,IF('Deal maths'!AD366="Quarterly",3,6)),0)</f>
        <v/>
      </c>
      <c r="E366" s="109">
        <f>IFERROR(IF(D366=0,0,IF('Deal maths'!AE366&gt;0,IF('Deal maths'!AE366&gt;'Deal maths'!AA366,'Deal maths'!AA366,'Deal maths'!AE366),IF(IF(DAY('Deal maths'!AA366+1)=1,EOMONTH('Deal maths'!AA366,-(INT(((YEAR('Deal maths'!AA366)-YEAR(IF('Deal maths'!Z366&gt;0,'Deal maths'!Z366,DATE(1990,1,1))))*12+MONTH('Deal maths'!AA366)-MONTH(IF('Deal maths'!Z366&gt;0,'Deal maths'!Z366,DATE(1990,1,1))))/D366))*D366),EDATE('Deal maths'!AA366,-(INT(((YEAR('Deal maths'!AA366)-YEAR(IF('Deal maths'!Z366&gt;0,'Deal maths'!Z366,DATE(1990,1,1))))*12+MONTH('Deal maths'!AA366)-MONTH(IF('Deal maths'!Z366&gt;0,'Deal maths'!Z366,DATE(1990,1,1))))/D366))*D366))&gt;IF('Deal maths'!Z366&gt;0,'Deal maths'!Z366,DATE(1990,1,1)),IF(DAY('Deal maths'!AA366+1)=1,EOMONTH('Deal maths'!AA366,-(INT(((YEAR('Deal maths'!AA366)-YEAR(IF('Deal maths'!Z366&gt;0,'Deal maths'!Z366,DATE(1990,1,1))))*12+MONTH('Deal maths'!AA366)-MONTH(IF('Deal maths'!Z366&gt;0,'Deal maths'!Z366,DATE(1990,1,1))))/D366))*D366),EDATE('Deal maths'!AA366,-(INT(((YEAR('Deal maths'!AA366)-YEAR(IF('Deal maths'!Z366&gt;0,'Deal maths'!Z366,DATE(1990,1,1))))*12+MONTH('Deal maths'!AA366)-MONTH(IF('Deal maths'!Z366&gt;0,'Deal maths'!Z366,DATE(1990,1,1))))/D366))*D366)),IF(DAY('Deal maths'!AA366+1)=1,EOMONTH('Deal maths'!AA366,-(INT(((YEAR('Deal maths'!AA366)-YEAR(IF('Deal maths'!Z366&gt;0,'Deal maths'!Z366,DATE(1990,1,1))))*12+MONTH('Deal maths'!AA366)-MONTH(IF('Deal maths'!Z366&gt;0,'Deal maths'!Z366,DATE(1990,1,1))))/D366)-1)*D366),EDATE('Deal maths'!AA366,-(INT(((YEAR('Deal maths'!AA366)-YEAR(IF('Deal maths'!Z366&gt;0,'Deal maths'!Z366,DATE(1990,1,1))))*12+MONTH('Deal maths'!AA366)-MONTH(IF('Deal maths'!Z366&gt;0,'Deal maths'!Z366,DATE(1990,1,1))))/D366)-1)*D366))))),0)</f>
        <v/>
      </c>
      <c r="F366" s="110">
        <f>IF(D366=0,0,'Deal maths'!AB366*D366/12)</f>
        <v/>
      </c>
      <c r="G366" s="108">
        <f>N366+O366</f>
        <v/>
      </c>
      <c r="H366" s="108">
        <f>IFERROR(IF(OR(D366=0,AsAt&lt;E366),0,MIN(N366,INT(((YEAR(AsAt)-YEAR(E366))*12+MONTH(AsAt)-MONTH(E366)-(DAY(AsAt)&lt;MIN(R366,DAY(EOMONTH(AsAt,0)))))/D366)+1)+O366*(AsAt&gt;='Deal maths'!AA366)),0)</f>
        <v/>
      </c>
      <c r="I366" s="108">
        <f>G366-H366</f>
        <v/>
      </c>
      <c r="J366" s="111">
        <f>IF(AND(C366="EIP",I366&gt;0),'Deal maths'!Y366/I366,0)</f>
        <v/>
      </c>
      <c r="K366" s="111">
        <f>IF(AND(C366="Annuity",I366&gt;0),IF(F366&gt;0,'Deal maths'!Y366*F366/(1-(1+F366)^-I366),'Deal maths'!Y366/I366),0)</f>
        <v/>
      </c>
      <c r="L366" s="111">
        <f>IF('Deal maths'!Y366="",0,'Deal maths'!Y366)</f>
        <v/>
      </c>
      <c r="M366" s="112">
        <f>F366+(F366=0)</f>
        <v/>
      </c>
      <c r="N366" s="108">
        <f>IFERROR(IF(D366=0,0,INT(((YEAR('Deal maths'!AA366)-YEAR(E366))*12+MONTH('Deal maths'!AA366)-MONTH(E366)-(DAY('Deal maths'!AA366)&lt;MIN(R366,DAY(EOMONTH('Deal maths'!AA366,0)))))/D366)+1),0)</f>
        <v/>
      </c>
      <c r="O366" s="108">
        <f>IFERROR(IF(D366=0,0,IF(IF(DAY(E366+1)=1,EOMONTH(E366,(N366-1)*D366),EDATE(E366,(N366-1)*D366))='Deal maths'!AA366,0,1)),0)</f>
        <v/>
      </c>
      <c r="P366" s="113">
        <f>IF(B366=0,0,IFERROR(IF(C366="EIP",((I366-O366)*((IF(DAY(E366+1)=1,EOMONTH(E366,H366*D366),EDATE(E366,H366*D366))-AsAt)/365.25+(IF(DAY(E366+1)=1,EOMONTH(E366,(N366-1)*D366),EDATE(E366,(N366-1)*D366))-AsAt)/365.25)/2+O366*('Deal maths'!AA366-AsAt)/365.25)/I366,IF(C366="Annuity",IF(F366&gt;0,((K366-L366*F366)*((IF(DAY(E366+1)=1,EOMONTH(E366,H366*D366),EDATE(E366,H366*D366))-AsAt)/365.25*((1+F366)^(I366-O366)-1)/F366+IF((I366-O366)&gt;1,((IF(DAY(E366+1)=1,EOMONTH(E366,(N366-1)*D366),EDATE(E366,(N366-1)*D366))-AsAt)/365.25-(IF(DAY(E366+1)=1,EOMONTH(E366,H366*D366),EDATE(E366,H366*D366))-AsAt)/365.25)/((I366-O366)-1),0)*(1+F366)*(1-(I366-O366)*(1+F366)^((I366-O366)-1)+((I366-O366)-1)*(1+F366)^(I366-O366))/F366^2)+O366*(K366-L366*F366)*(1+F366)^(I366-1)*('Deal maths'!AA366-AsAt)/365.25)/L366,((I366-O366)*((IF(DAY(E366+1)=1,EOMONTH(E366,H366*D366),EDATE(E366,H366*D366))-AsAt)/365.25+(IF(DAY(E366+1)=1,EOMONTH(E366,(N366-1)*D366),EDATE(E366,(N366-1)*D366))-AsAt)/365.25)/2+O366*('Deal maths'!AA366-AsAt)/365.25)/I366),(S366-AsAt)/365.25)),0))</f>
        <v/>
      </c>
      <c r="Q366" s="109">
        <f>IF(B366=1,'Deal maths'!AA366+ROW()/1000000,"")</f>
        <v/>
      </c>
      <c r="R366" s="108">
        <f>IF(D366=0,0,IF(DAY(E366+1)=1,31,DAY(E366)))</f>
        <v/>
      </c>
      <c r="S366" s="109">
        <f>IF(AND('Deal maths'!V366="LOBO",'Deal maths'!AG366&gt;AsAt,'Deal maths'!AG366&lt;'Deal maths'!AA366),'Deal maths'!AG366,'Deal maths'!AA366)</f>
        <v/>
      </c>
      <c r="T366" s="108">
        <f>('Deal maths'!AA366&gt;AsAt)*('Deal maths'!Y366&gt;0)</f>
        <v/>
      </c>
    </row>
    <row r="367">
      <c r="A367" s="91">
        <f>IF('Deal maths'!V367="","",'Deal maths'!W367)</f>
        <v/>
      </c>
      <c r="B367" s="108">
        <f>('Deal maths'!AA367&gt;AsAt)*('Deal maths'!Y367&gt;0)*('Deal maths'!Z367&lt;=AsAt)</f>
        <v/>
      </c>
      <c r="C367" s="91">
        <f>IF('Deal maths'!V367="","",IF('Deal maths'!AC367="","Maturity",'Deal maths'!AC367))</f>
        <v/>
      </c>
      <c r="D367" s="108">
        <f>IF(OR(C367="EIP",C367="Annuity"),IF('Deal maths'!AD367="Annual",12,IF('Deal maths'!AD367="Quarterly",3,6)),0)</f>
        <v/>
      </c>
      <c r="E367" s="109">
        <f>IFERROR(IF(D367=0,0,IF('Deal maths'!AE367&gt;0,IF('Deal maths'!AE367&gt;'Deal maths'!AA367,'Deal maths'!AA367,'Deal maths'!AE367),IF(IF(DAY('Deal maths'!AA367+1)=1,EOMONTH('Deal maths'!AA367,-(INT(((YEAR('Deal maths'!AA367)-YEAR(IF('Deal maths'!Z367&gt;0,'Deal maths'!Z367,DATE(1990,1,1))))*12+MONTH('Deal maths'!AA367)-MONTH(IF('Deal maths'!Z367&gt;0,'Deal maths'!Z367,DATE(1990,1,1))))/D367))*D367),EDATE('Deal maths'!AA367,-(INT(((YEAR('Deal maths'!AA367)-YEAR(IF('Deal maths'!Z367&gt;0,'Deal maths'!Z367,DATE(1990,1,1))))*12+MONTH('Deal maths'!AA367)-MONTH(IF('Deal maths'!Z367&gt;0,'Deal maths'!Z367,DATE(1990,1,1))))/D367))*D367))&gt;IF('Deal maths'!Z367&gt;0,'Deal maths'!Z367,DATE(1990,1,1)),IF(DAY('Deal maths'!AA367+1)=1,EOMONTH('Deal maths'!AA367,-(INT(((YEAR('Deal maths'!AA367)-YEAR(IF('Deal maths'!Z367&gt;0,'Deal maths'!Z367,DATE(1990,1,1))))*12+MONTH('Deal maths'!AA367)-MONTH(IF('Deal maths'!Z367&gt;0,'Deal maths'!Z367,DATE(1990,1,1))))/D367))*D367),EDATE('Deal maths'!AA367,-(INT(((YEAR('Deal maths'!AA367)-YEAR(IF('Deal maths'!Z367&gt;0,'Deal maths'!Z367,DATE(1990,1,1))))*12+MONTH('Deal maths'!AA367)-MONTH(IF('Deal maths'!Z367&gt;0,'Deal maths'!Z367,DATE(1990,1,1))))/D367))*D367)),IF(DAY('Deal maths'!AA367+1)=1,EOMONTH('Deal maths'!AA367,-(INT(((YEAR('Deal maths'!AA367)-YEAR(IF('Deal maths'!Z367&gt;0,'Deal maths'!Z367,DATE(1990,1,1))))*12+MONTH('Deal maths'!AA367)-MONTH(IF('Deal maths'!Z367&gt;0,'Deal maths'!Z367,DATE(1990,1,1))))/D367)-1)*D367),EDATE('Deal maths'!AA367,-(INT(((YEAR('Deal maths'!AA367)-YEAR(IF('Deal maths'!Z367&gt;0,'Deal maths'!Z367,DATE(1990,1,1))))*12+MONTH('Deal maths'!AA367)-MONTH(IF('Deal maths'!Z367&gt;0,'Deal maths'!Z367,DATE(1990,1,1))))/D367)-1)*D367))))),0)</f>
        <v/>
      </c>
      <c r="F367" s="110">
        <f>IF(D367=0,0,'Deal maths'!AB367*D367/12)</f>
        <v/>
      </c>
      <c r="G367" s="108">
        <f>N367+O367</f>
        <v/>
      </c>
      <c r="H367" s="108">
        <f>IFERROR(IF(OR(D367=0,AsAt&lt;E367),0,MIN(N367,INT(((YEAR(AsAt)-YEAR(E367))*12+MONTH(AsAt)-MONTH(E367)-(DAY(AsAt)&lt;MIN(R367,DAY(EOMONTH(AsAt,0)))))/D367)+1)+O367*(AsAt&gt;='Deal maths'!AA367)),0)</f>
        <v/>
      </c>
      <c r="I367" s="108">
        <f>G367-H367</f>
        <v/>
      </c>
      <c r="J367" s="111">
        <f>IF(AND(C367="EIP",I367&gt;0),'Deal maths'!Y367/I367,0)</f>
        <v/>
      </c>
      <c r="K367" s="111">
        <f>IF(AND(C367="Annuity",I367&gt;0),IF(F367&gt;0,'Deal maths'!Y367*F367/(1-(1+F367)^-I367),'Deal maths'!Y367/I367),0)</f>
        <v/>
      </c>
      <c r="L367" s="111">
        <f>IF('Deal maths'!Y367="",0,'Deal maths'!Y367)</f>
        <v/>
      </c>
      <c r="M367" s="112">
        <f>F367+(F367=0)</f>
        <v/>
      </c>
      <c r="N367" s="108">
        <f>IFERROR(IF(D367=0,0,INT(((YEAR('Deal maths'!AA367)-YEAR(E367))*12+MONTH('Deal maths'!AA367)-MONTH(E367)-(DAY('Deal maths'!AA367)&lt;MIN(R367,DAY(EOMONTH('Deal maths'!AA367,0)))))/D367)+1),0)</f>
        <v/>
      </c>
      <c r="O367" s="108">
        <f>IFERROR(IF(D367=0,0,IF(IF(DAY(E367+1)=1,EOMONTH(E367,(N367-1)*D367),EDATE(E367,(N367-1)*D367))='Deal maths'!AA367,0,1)),0)</f>
        <v/>
      </c>
      <c r="P367" s="113">
        <f>IF(B367=0,0,IFERROR(IF(C367="EIP",((I367-O367)*((IF(DAY(E367+1)=1,EOMONTH(E367,H367*D367),EDATE(E367,H367*D367))-AsAt)/365.25+(IF(DAY(E367+1)=1,EOMONTH(E367,(N367-1)*D367),EDATE(E367,(N367-1)*D367))-AsAt)/365.25)/2+O367*('Deal maths'!AA367-AsAt)/365.25)/I367,IF(C367="Annuity",IF(F367&gt;0,((K367-L367*F367)*((IF(DAY(E367+1)=1,EOMONTH(E367,H367*D367),EDATE(E367,H367*D367))-AsAt)/365.25*((1+F367)^(I367-O367)-1)/F367+IF((I367-O367)&gt;1,((IF(DAY(E367+1)=1,EOMONTH(E367,(N367-1)*D367),EDATE(E367,(N367-1)*D367))-AsAt)/365.25-(IF(DAY(E367+1)=1,EOMONTH(E367,H367*D367),EDATE(E367,H367*D367))-AsAt)/365.25)/((I367-O367)-1),0)*(1+F367)*(1-(I367-O367)*(1+F367)^((I367-O367)-1)+((I367-O367)-1)*(1+F367)^(I367-O367))/F367^2)+O367*(K367-L367*F367)*(1+F367)^(I367-1)*('Deal maths'!AA367-AsAt)/365.25)/L367,((I367-O367)*((IF(DAY(E367+1)=1,EOMONTH(E367,H367*D367),EDATE(E367,H367*D367))-AsAt)/365.25+(IF(DAY(E367+1)=1,EOMONTH(E367,(N367-1)*D367),EDATE(E367,(N367-1)*D367))-AsAt)/365.25)/2+O367*('Deal maths'!AA367-AsAt)/365.25)/I367),(S367-AsAt)/365.25)),0))</f>
        <v/>
      </c>
      <c r="Q367" s="109">
        <f>IF(B367=1,'Deal maths'!AA367+ROW()/1000000,"")</f>
        <v/>
      </c>
      <c r="R367" s="108">
        <f>IF(D367=0,0,IF(DAY(E367+1)=1,31,DAY(E367)))</f>
        <v/>
      </c>
      <c r="S367" s="109">
        <f>IF(AND('Deal maths'!V367="LOBO",'Deal maths'!AG367&gt;AsAt,'Deal maths'!AG367&lt;'Deal maths'!AA367),'Deal maths'!AG367,'Deal maths'!AA367)</f>
        <v/>
      </c>
      <c r="T367" s="108">
        <f>('Deal maths'!AA367&gt;AsAt)*('Deal maths'!Y367&gt;0)</f>
        <v/>
      </c>
    </row>
    <row r="368">
      <c r="A368" s="91">
        <f>IF('Deal maths'!V368="","",'Deal maths'!W368)</f>
        <v/>
      </c>
      <c r="B368" s="108">
        <f>('Deal maths'!AA368&gt;AsAt)*('Deal maths'!Y368&gt;0)*('Deal maths'!Z368&lt;=AsAt)</f>
        <v/>
      </c>
      <c r="C368" s="91">
        <f>IF('Deal maths'!V368="","",IF('Deal maths'!AC368="","Maturity",'Deal maths'!AC368))</f>
        <v/>
      </c>
      <c r="D368" s="108">
        <f>IF(OR(C368="EIP",C368="Annuity"),IF('Deal maths'!AD368="Annual",12,IF('Deal maths'!AD368="Quarterly",3,6)),0)</f>
        <v/>
      </c>
      <c r="E368" s="109">
        <f>IFERROR(IF(D368=0,0,IF('Deal maths'!AE368&gt;0,IF('Deal maths'!AE368&gt;'Deal maths'!AA368,'Deal maths'!AA368,'Deal maths'!AE368),IF(IF(DAY('Deal maths'!AA368+1)=1,EOMONTH('Deal maths'!AA368,-(INT(((YEAR('Deal maths'!AA368)-YEAR(IF('Deal maths'!Z368&gt;0,'Deal maths'!Z368,DATE(1990,1,1))))*12+MONTH('Deal maths'!AA368)-MONTH(IF('Deal maths'!Z368&gt;0,'Deal maths'!Z368,DATE(1990,1,1))))/D368))*D368),EDATE('Deal maths'!AA368,-(INT(((YEAR('Deal maths'!AA368)-YEAR(IF('Deal maths'!Z368&gt;0,'Deal maths'!Z368,DATE(1990,1,1))))*12+MONTH('Deal maths'!AA368)-MONTH(IF('Deal maths'!Z368&gt;0,'Deal maths'!Z368,DATE(1990,1,1))))/D368))*D368))&gt;IF('Deal maths'!Z368&gt;0,'Deal maths'!Z368,DATE(1990,1,1)),IF(DAY('Deal maths'!AA368+1)=1,EOMONTH('Deal maths'!AA368,-(INT(((YEAR('Deal maths'!AA368)-YEAR(IF('Deal maths'!Z368&gt;0,'Deal maths'!Z368,DATE(1990,1,1))))*12+MONTH('Deal maths'!AA368)-MONTH(IF('Deal maths'!Z368&gt;0,'Deal maths'!Z368,DATE(1990,1,1))))/D368))*D368),EDATE('Deal maths'!AA368,-(INT(((YEAR('Deal maths'!AA368)-YEAR(IF('Deal maths'!Z368&gt;0,'Deal maths'!Z368,DATE(1990,1,1))))*12+MONTH('Deal maths'!AA368)-MONTH(IF('Deal maths'!Z368&gt;0,'Deal maths'!Z368,DATE(1990,1,1))))/D368))*D368)),IF(DAY('Deal maths'!AA368+1)=1,EOMONTH('Deal maths'!AA368,-(INT(((YEAR('Deal maths'!AA368)-YEAR(IF('Deal maths'!Z368&gt;0,'Deal maths'!Z368,DATE(1990,1,1))))*12+MONTH('Deal maths'!AA368)-MONTH(IF('Deal maths'!Z368&gt;0,'Deal maths'!Z368,DATE(1990,1,1))))/D368)-1)*D368),EDATE('Deal maths'!AA368,-(INT(((YEAR('Deal maths'!AA368)-YEAR(IF('Deal maths'!Z368&gt;0,'Deal maths'!Z368,DATE(1990,1,1))))*12+MONTH('Deal maths'!AA368)-MONTH(IF('Deal maths'!Z368&gt;0,'Deal maths'!Z368,DATE(1990,1,1))))/D368)-1)*D368))))),0)</f>
        <v/>
      </c>
      <c r="F368" s="110">
        <f>IF(D368=0,0,'Deal maths'!AB368*D368/12)</f>
        <v/>
      </c>
      <c r="G368" s="108">
        <f>N368+O368</f>
        <v/>
      </c>
      <c r="H368" s="108">
        <f>IFERROR(IF(OR(D368=0,AsAt&lt;E368),0,MIN(N368,INT(((YEAR(AsAt)-YEAR(E368))*12+MONTH(AsAt)-MONTH(E368)-(DAY(AsAt)&lt;MIN(R368,DAY(EOMONTH(AsAt,0)))))/D368)+1)+O368*(AsAt&gt;='Deal maths'!AA368)),0)</f>
        <v/>
      </c>
      <c r="I368" s="108">
        <f>G368-H368</f>
        <v/>
      </c>
      <c r="J368" s="111">
        <f>IF(AND(C368="EIP",I368&gt;0),'Deal maths'!Y368/I368,0)</f>
        <v/>
      </c>
      <c r="K368" s="111">
        <f>IF(AND(C368="Annuity",I368&gt;0),IF(F368&gt;0,'Deal maths'!Y368*F368/(1-(1+F368)^-I368),'Deal maths'!Y368/I368),0)</f>
        <v/>
      </c>
      <c r="L368" s="111">
        <f>IF('Deal maths'!Y368="",0,'Deal maths'!Y368)</f>
        <v/>
      </c>
      <c r="M368" s="112">
        <f>F368+(F368=0)</f>
        <v/>
      </c>
      <c r="N368" s="108">
        <f>IFERROR(IF(D368=0,0,INT(((YEAR('Deal maths'!AA368)-YEAR(E368))*12+MONTH('Deal maths'!AA368)-MONTH(E368)-(DAY('Deal maths'!AA368)&lt;MIN(R368,DAY(EOMONTH('Deal maths'!AA368,0)))))/D368)+1),0)</f>
        <v/>
      </c>
      <c r="O368" s="108">
        <f>IFERROR(IF(D368=0,0,IF(IF(DAY(E368+1)=1,EOMONTH(E368,(N368-1)*D368),EDATE(E368,(N368-1)*D368))='Deal maths'!AA368,0,1)),0)</f>
        <v/>
      </c>
      <c r="P368" s="113">
        <f>IF(B368=0,0,IFERROR(IF(C368="EIP",((I368-O368)*((IF(DAY(E368+1)=1,EOMONTH(E368,H368*D368),EDATE(E368,H368*D368))-AsAt)/365.25+(IF(DAY(E368+1)=1,EOMONTH(E368,(N368-1)*D368),EDATE(E368,(N368-1)*D368))-AsAt)/365.25)/2+O368*('Deal maths'!AA368-AsAt)/365.25)/I368,IF(C368="Annuity",IF(F368&gt;0,((K368-L368*F368)*((IF(DAY(E368+1)=1,EOMONTH(E368,H368*D368),EDATE(E368,H368*D368))-AsAt)/365.25*((1+F368)^(I368-O368)-1)/F368+IF((I368-O368)&gt;1,((IF(DAY(E368+1)=1,EOMONTH(E368,(N368-1)*D368),EDATE(E368,(N368-1)*D368))-AsAt)/365.25-(IF(DAY(E368+1)=1,EOMONTH(E368,H368*D368),EDATE(E368,H368*D368))-AsAt)/365.25)/((I368-O368)-1),0)*(1+F368)*(1-(I368-O368)*(1+F368)^((I368-O368)-1)+((I368-O368)-1)*(1+F368)^(I368-O368))/F368^2)+O368*(K368-L368*F368)*(1+F368)^(I368-1)*('Deal maths'!AA368-AsAt)/365.25)/L368,((I368-O368)*((IF(DAY(E368+1)=1,EOMONTH(E368,H368*D368),EDATE(E368,H368*D368))-AsAt)/365.25+(IF(DAY(E368+1)=1,EOMONTH(E368,(N368-1)*D368),EDATE(E368,(N368-1)*D368))-AsAt)/365.25)/2+O368*('Deal maths'!AA368-AsAt)/365.25)/I368),(S368-AsAt)/365.25)),0))</f>
        <v/>
      </c>
      <c r="Q368" s="109">
        <f>IF(B368=1,'Deal maths'!AA368+ROW()/1000000,"")</f>
        <v/>
      </c>
      <c r="R368" s="108">
        <f>IF(D368=0,0,IF(DAY(E368+1)=1,31,DAY(E368)))</f>
        <v/>
      </c>
      <c r="S368" s="109">
        <f>IF(AND('Deal maths'!V368="LOBO",'Deal maths'!AG368&gt;AsAt,'Deal maths'!AG368&lt;'Deal maths'!AA368),'Deal maths'!AG368,'Deal maths'!AA368)</f>
        <v/>
      </c>
      <c r="T368" s="108">
        <f>('Deal maths'!AA368&gt;AsAt)*('Deal maths'!Y368&gt;0)</f>
        <v/>
      </c>
    </row>
    <row r="369">
      <c r="A369" s="91">
        <f>IF('Deal maths'!V369="","",'Deal maths'!W369)</f>
        <v/>
      </c>
      <c r="B369" s="108">
        <f>('Deal maths'!AA369&gt;AsAt)*('Deal maths'!Y369&gt;0)*('Deal maths'!Z369&lt;=AsAt)</f>
        <v/>
      </c>
      <c r="C369" s="91">
        <f>IF('Deal maths'!V369="","",IF('Deal maths'!AC369="","Maturity",'Deal maths'!AC369))</f>
        <v/>
      </c>
      <c r="D369" s="108">
        <f>IF(OR(C369="EIP",C369="Annuity"),IF('Deal maths'!AD369="Annual",12,IF('Deal maths'!AD369="Quarterly",3,6)),0)</f>
        <v/>
      </c>
      <c r="E369" s="109">
        <f>IFERROR(IF(D369=0,0,IF('Deal maths'!AE369&gt;0,IF('Deal maths'!AE369&gt;'Deal maths'!AA369,'Deal maths'!AA369,'Deal maths'!AE369),IF(IF(DAY('Deal maths'!AA369+1)=1,EOMONTH('Deal maths'!AA369,-(INT(((YEAR('Deal maths'!AA369)-YEAR(IF('Deal maths'!Z369&gt;0,'Deal maths'!Z369,DATE(1990,1,1))))*12+MONTH('Deal maths'!AA369)-MONTH(IF('Deal maths'!Z369&gt;0,'Deal maths'!Z369,DATE(1990,1,1))))/D369))*D369),EDATE('Deal maths'!AA369,-(INT(((YEAR('Deal maths'!AA369)-YEAR(IF('Deal maths'!Z369&gt;0,'Deal maths'!Z369,DATE(1990,1,1))))*12+MONTH('Deal maths'!AA369)-MONTH(IF('Deal maths'!Z369&gt;0,'Deal maths'!Z369,DATE(1990,1,1))))/D369))*D369))&gt;IF('Deal maths'!Z369&gt;0,'Deal maths'!Z369,DATE(1990,1,1)),IF(DAY('Deal maths'!AA369+1)=1,EOMONTH('Deal maths'!AA369,-(INT(((YEAR('Deal maths'!AA369)-YEAR(IF('Deal maths'!Z369&gt;0,'Deal maths'!Z369,DATE(1990,1,1))))*12+MONTH('Deal maths'!AA369)-MONTH(IF('Deal maths'!Z369&gt;0,'Deal maths'!Z369,DATE(1990,1,1))))/D369))*D369),EDATE('Deal maths'!AA369,-(INT(((YEAR('Deal maths'!AA369)-YEAR(IF('Deal maths'!Z369&gt;0,'Deal maths'!Z369,DATE(1990,1,1))))*12+MONTH('Deal maths'!AA369)-MONTH(IF('Deal maths'!Z369&gt;0,'Deal maths'!Z369,DATE(1990,1,1))))/D369))*D369)),IF(DAY('Deal maths'!AA369+1)=1,EOMONTH('Deal maths'!AA369,-(INT(((YEAR('Deal maths'!AA369)-YEAR(IF('Deal maths'!Z369&gt;0,'Deal maths'!Z369,DATE(1990,1,1))))*12+MONTH('Deal maths'!AA369)-MONTH(IF('Deal maths'!Z369&gt;0,'Deal maths'!Z369,DATE(1990,1,1))))/D369)-1)*D369),EDATE('Deal maths'!AA369,-(INT(((YEAR('Deal maths'!AA369)-YEAR(IF('Deal maths'!Z369&gt;0,'Deal maths'!Z369,DATE(1990,1,1))))*12+MONTH('Deal maths'!AA369)-MONTH(IF('Deal maths'!Z369&gt;0,'Deal maths'!Z369,DATE(1990,1,1))))/D369)-1)*D369))))),0)</f>
        <v/>
      </c>
      <c r="F369" s="110">
        <f>IF(D369=0,0,'Deal maths'!AB369*D369/12)</f>
        <v/>
      </c>
      <c r="G369" s="108">
        <f>N369+O369</f>
        <v/>
      </c>
      <c r="H369" s="108">
        <f>IFERROR(IF(OR(D369=0,AsAt&lt;E369),0,MIN(N369,INT(((YEAR(AsAt)-YEAR(E369))*12+MONTH(AsAt)-MONTH(E369)-(DAY(AsAt)&lt;MIN(R369,DAY(EOMONTH(AsAt,0)))))/D369)+1)+O369*(AsAt&gt;='Deal maths'!AA369)),0)</f>
        <v/>
      </c>
      <c r="I369" s="108">
        <f>G369-H369</f>
        <v/>
      </c>
      <c r="J369" s="111">
        <f>IF(AND(C369="EIP",I369&gt;0),'Deal maths'!Y369/I369,0)</f>
        <v/>
      </c>
      <c r="K369" s="111">
        <f>IF(AND(C369="Annuity",I369&gt;0),IF(F369&gt;0,'Deal maths'!Y369*F369/(1-(1+F369)^-I369),'Deal maths'!Y369/I369),0)</f>
        <v/>
      </c>
      <c r="L369" s="111">
        <f>IF('Deal maths'!Y369="",0,'Deal maths'!Y369)</f>
        <v/>
      </c>
      <c r="M369" s="112">
        <f>F369+(F369=0)</f>
        <v/>
      </c>
      <c r="N369" s="108">
        <f>IFERROR(IF(D369=0,0,INT(((YEAR('Deal maths'!AA369)-YEAR(E369))*12+MONTH('Deal maths'!AA369)-MONTH(E369)-(DAY('Deal maths'!AA369)&lt;MIN(R369,DAY(EOMONTH('Deal maths'!AA369,0)))))/D369)+1),0)</f>
        <v/>
      </c>
      <c r="O369" s="108">
        <f>IFERROR(IF(D369=0,0,IF(IF(DAY(E369+1)=1,EOMONTH(E369,(N369-1)*D369),EDATE(E369,(N369-1)*D369))='Deal maths'!AA369,0,1)),0)</f>
        <v/>
      </c>
      <c r="P369" s="113">
        <f>IF(B369=0,0,IFERROR(IF(C369="EIP",((I369-O369)*((IF(DAY(E369+1)=1,EOMONTH(E369,H369*D369),EDATE(E369,H369*D369))-AsAt)/365.25+(IF(DAY(E369+1)=1,EOMONTH(E369,(N369-1)*D369),EDATE(E369,(N369-1)*D369))-AsAt)/365.25)/2+O369*('Deal maths'!AA369-AsAt)/365.25)/I369,IF(C369="Annuity",IF(F369&gt;0,((K369-L369*F369)*((IF(DAY(E369+1)=1,EOMONTH(E369,H369*D369),EDATE(E369,H369*D369))-AsAt)/365.25*((1+F369)^(I369-O369)-1)/F369+IF((I369-O369)&gt;1,((IF(DAY(E369+1)=1,EOMONTH(E369,(N369-1)*D369),EDATE(E369,(N369-1)*D369))-AsAt)/365.25-(IF(DAY(E369+1)=1,EOMONTH(E369,H369*D369),EDATE(E369,H369*D369))-AsAt)/365.25)/((I369-O369)-1),0)*(1+F369)*(1-(I369-O369)*(1+F369)^((I369-O369)-1)+((I369-O369)-1)*(1+F369)^(I369-O369))/F369^2)+O369*(K369-L369*F369)*(1+F369)^(I369-1)*('Deal maths'!AA369-AsAt)/365.25)/L369,((I369-O369)*((IF(DAY(E369+1)=1,EOMONTH(E369,H369*D369),EDATE(E369,H369*D369))-AsAt)/365.25+(IF(DAY(E369+1)=1,EOMONTH(E369,(N369-1)*D369),EDATE(E369,(N369-1)*D369))-AsAt)/365.25)/2+O369*('Deal maths'!AA369-AsAt)/365.25)/I369),(S369-AsAt)/365.25)),0))</f>
        <v/>
      </c>
      <c r="Q369" s="109">
        <f>IF(B369=1,'Deal maths'!AA369+ROW()/1000000,"")</f>
        <v/>
      </c>
      <c r="R369" s="108">
        <f>IF(D369=0,0,IF(DAY(E369+1)=1,31,DAY(E369)))</f>
        <v/>
      </c>
      <c r="S369" s="109">
        <f>IF(AND('Deal maths'!V369="LOBO",'Deal maths'!AG369&gt;AsAt,'Deal maths'!AG369&lt;'Deal maths'!AA369),'Deal maths'!AG369,'Deal maths'!AA369)</f>
        <v/>
      </c>
      <c r="T369" s="108">
        <f>('Deal maths'!AA369&gt;AsAt)*('Deal maths'!Y369&gt;0)</f>
        <v/>
      </c>
    </row>
    <row r="370">
      <c r="A370" s="91">
        <f>IF('Deal maths'!V370="","",'Deal maths'!W370)</f>
        <v/>
      </c>
      <c r="B370" s="108">
        <f>('Deal maths'!AA370&gt;AsAt)*('Deal maths'!Y370&gt;0)*('Deal maths'!Z370&lt;=AsAt)</f>
        <v/>
      </c>
      <c r="C370" s="91">
        <f>IF('Deal maths'!V370="","",IF('Deal maths'!AC370="","Maturity",'Deal maths'!AC370))</f>
        <v/>
      </c>
      <c r="D370" s="108">
        <f>IF(OR(C370="EIP",C370="Annuity"),IF('Deal maths'!AD370="Annual",12,IF('Deal maths'!AD370="Quarterly",3,6)),0)</f>
        <v/>
      </c>
      <c r="E370" s="109">
        <f>IFERROR(IF(D370=0,0,IF('Deal maths'!AE370&gt;0,IF('Deal maths'!AE370&gt;'Deal maths'!AA370,'Deal maths'!AA370,'Deal maths'!AE370),IF(IF(DAY('Deal maths'!AA370+1)=1,EOMONTH('Deal maths'!AA370,-(INT(((YEAR('Deal maths'!AA370)-YEAR(IF('Deal maths'!Z370&gt;0,'Deal maths'!Z370,DATE(1990,1,1))))*12+MONTH('Deal maths'!AA370)-MONTH(IF('Deal maths'!Z370&gt;0,'Deal maths'!Z370,DATE(1990,1,1))))/D370))*D370),EDATE('Deal maths'!AA370,-(INT(((YEAR('Deal maths'!AA370)-YEAR(IF('Deal maths'!Z370&gt;0,'Deal maths'!Z370,DATE(1990,1,1))))*12+MONTH('Deal maths'!AA370)-MONTH(IF('Deal maths'!Z370&gt;0,'Deal maths'!Z370,DATE(1990,1,1))))/D370))*D370))&gt;IF('Deal maths'!Z370&gt;0,'Deal maths'!Z370,DATE(1990,1,1)),IF(DAY('Deal maths'!AA370+1)=1,EOMONTH('Deal maths'!AA370,-(INT(((YEAR('Deal maths'!AA370)-YEAR(IF('Deal maths'!Z370&gt;0,'Deal maths'!Z370,DATE(1990,1,1))))*12+MONTH('Deal maths'!AA370)-MONTH(IF('Deal maths'!Z370&gt;0,'Deal maths'!Z370,DATE(1990,1,1))))/D370))*D370),EDATE('Deal maths'!AA370,-(INT(((YEAR('Deal maths'!AA370)-YEAR(IF('Deal maths'!Z370&gt;0,'Deal maths'!Z370,DATE(1990,1,1))))*12+MONTH('Deal maths'!AA370)-MONTH(IF('Deal maths'!Z370&gt;0,'Deal maths'!Z370,DATE(1990,1,1))))/D370))*D370)),IF(DAY('Deal maths'!AA370+1)=1,EOMONTH('Deal maths'!AA370,-(INT(((YEAR('Deal maths'!AA370)-YEAR(IF('Deal maths'!Z370&gt;0,'Deal maths'!Z370,DATE(1990,1,1))))*12+MONTH('Deal maths'!AA370)-MONTH(IF('Deal maths'!Z370&gt;0,'Deal maths'!Z370,DATE(1990,1,1))))/D370)-1)*D370),EDATE('Deal maths'!AA370,-(INT(((YEAR('Deal maths'!AA370)-YEAR(IF('Deal maths'!Z370&gt;0,'Deal maths'!Z370,DATE(1990,1,1))))*12+MONTH('Deal maths'!AA370)-MONTH(IF('Deal maths'!Z370&gt;0,'Deal maths'!Z370,DATE(1990,1,1))))/D370)-1)*D370))))),0)</f>
        <v/>
      </c>
      <c r="F370" s="110">
        <f>IF(D370=0,0,'Deal maths'!AB370*D370/12)</f>
        <v/>
      </c>
      <c r="G370" s="108">
        <f>N370+O370</f>
        <v/>
      </c>
      <c r="H370" s="108">
        <f>IFERROR(IF(OR(D370=0,AsAt&lt;E370),0,MIN(N370,INT(((YEAR(AsAt)-YEAR(E370))*12+MONTH(AsAt)-MONTH(E370)-(DAY(AsAt)&lt;MIN(R370,DAY(EOMONTH(AsAt,0)))))/D370)+1)+O370*(AsAt&gt;='Deal maths'!AA370)),0)</f>
        <v/>
      </c>
      <c r="I370" s="108">
        <f>G370-H370</f>
        <v/>
      </c>
      <c r="J370" s="111">
        <f>IF(AND(C370="EIP",I370&gt;0),'Deal maths'!Y370/I370,0)</f>
        <v/>
      </c>
      <c r="K370" s="111">
        <f>IF(AND(C370="Annuity",I370&gt;0),IF(F370&gt;0,'Deal maths'!Y370*F370/(1-(1+F370)^-I370),'Deal maths'!Y370/I370),0)</f>
        <v/>
      </c>
      <c r="L370" s="111">
        <f>IF('Deal maths'!Y370="",0,'Deal maths'!Y370)</f>
        <v/>
      </c>
      <c r="M370" s="112">
        <f>F370+(F370=0)</f>
        <v/>
      </c>
      <c r="N370" s="108">
        <f>IFERROR(IF(D370=0,0,INT(((YEAR('Deal maths'!AA370)-YEAR(E370))*12+MONTH('Deal maths'!AA370)-MONTH(E370)-(DAY('Deal maths'!AA370)&lt;MIN(R370,DAY(EOMONTH('Deal maths'!AA370,0)))))/D370)+1),0)</f>
        <v/>
      </c>
      <c r="O370" s="108">
        <f>IFERROR(IF(D370=0,0,IF(IF(DAY(E370+1)=1,EOMONTH(E370,(N370-1)*D370),EDATE(E370,(N370-1)*D370))='Deal maths'!AA370,0,1)),0)</f>
        <v/>
      </c>
      <c r="P370" s="113">
        <f>IF(B370=0,0,IFERROR(IF(C370="EIP",((I370-O370)*((IF(DAY(E370+1)=1,EOMONTH(E370,H370*D370),EDATE(E370,H370*D370))-AsAt)/365.25+(IF(DAY(E370+1)=1,EOMONTH(E370,(N370-1)*D370),EDATE(E370,(N370-1)*D370))-AsAt)/365.25)/2+O370*('Deal maths'!AA370-AsAt)/365.25)/I370,IF(C370="Annuity",IF(F370&gt;0,((K370-L370*F370)*((IF(DAY(E370+1)=1,EOMONTH(E370,H370*D370),EDATE(E370,H370*D370))-AsAt)/365.25*((1+F370)^(I370-O370)-1)/F370+IF((I370-O370)&gt;1,((IF(DAY(E370+1)=1,EOMONTH(E370,(N370-1)*D370),EDATE(E370,(N370-1)*D370))-AsAt)/365.25-(IF(DAY(E370+1)=1,EOMONTH(E370,H370*D370),EDATE(E370,H370*D370))-AsAt)/365.25)/((I370-O370)-1),0)*(1+F370)*(1-(I370-O370)*(1+F370)^((I370-O370)-1)+((I370-O370)-1)*(1+F370)^(I370-O370))/F370^2)+O370*(K370-L370*F370)*(1+F370)^(I370-1)*('Deal maths'!AA370-AsAt)/365.25)/L370,((I370-O370)*((IF(DAY(E370+1)=1,EOMONTH(E370,H370*D370),EDATE(E370,H370*D370))-AsAt)/365.25+(IF(DAY(E370+1)=1,EOMONTH(E370,(N370-1)*D370),EDATE(E370,(N370-1)*D370))-AsAt)/365.25)/2+O370*('Deal maths'!AA370-AsAt)/365.25)/I370),(S370-AsAt)/365.25)),0))</f>
        <v/>
      </c>
      <c r="Q370" s="109">
        <f>IF(B370=1,'Deal maths'!AA370+ROW()/1000000,"")</f>
        <v/>
      </c>
      <c r="R370" s="108">
        <f>IF(D370=0,0,IF(DAY(E370+1)=1,31,DAY(E370)))</f>
        <v/>
      </c>
      <c r="S370" s="109">
        <f>IF(AND('Deal maths'!V370="LOBO",'Deal maths'!AG370&gt;AsAt,'Deal maths'!AG370&lt;'Deal maths'!AA370),'Deal maths'!AG370,'Deal maths'!AA370)</f>
        <v/>
      </c>
      <c r="T370" s="108">
        <f>('Deal maths'!AA370&gt;AsAt)*('Deal maths'!Y370&gt;0)</f>
        <v/>
      </c>
    </row>
    <row r="371">
      <c r="A371" s="91">
        <f>IF('Deal maths'!V371="","",'Deal maths'!W371)</f>
        <v/>
      </c>
      <c r="B371" s="108">
        <f>('Deal maths'!AA371&gt;AsAt)*('Deal maths'!Y371&gt;0)*('Deal maths'!Z371&lt;=AsAt)</f>
        <v/>
      </c>
      <c r="C371" s="91">
        <f>IF('Deal maths'!V371="","",IF('Deal maths'!AC371="","Maturity",'Deal maths'!AC371))</f>
        <v/>
      </c>
      <c r="D371" s="108">
        <f>IF(OR(C371="EIP",C371="Annuity"),IF('Deal maths'!AD371="Annual",12,IF('Deal maths'!AD371="Quarterly",3,6)),0)</f>
        <v/>
      </c>
      <c r="E371" s="109">
        <f>IFERROR(IF(D371=0,0,IF('Deal maths'!AE371&gt;0,IF('Deal maths'!AE371&gt;'Deal maths'!AA371,'Deal maths'!AA371,'Deal maths'!AE371),IF(IF(DAY('Deal maths'!AA371+1)=1,EOMONTH('Deal maths'!AA371,-(INT(((YEAR('Deal maths'!AA371)-YEAR(IF('Deal maths'!Z371&gt;0,'Deal maths'!Z371,DATE(1990,1,1))))*12+MONTH('Deal maths'!AA371)-MONTH(IF('Deal maths'!Z371&gt;0,'Deal maths'!Z371,DATE(1990,1,1))))/D371))*D371),EDATE('Deal maths'!AA371,-(INT(((YEAR('Deal maths'!AA371)-YEAR(IF('Deal maths'!Z371&gt;0,'Deal maths'!Z371,DATE(1990,1,1))))*12+MONTH('Deal maths'!AA371)-MONTH(IF('Deal maths'!Z371&gt;0,'Deal maths'!Z371,DATE(1990,1,1))))/D371))*D371))&gt;IF('Deal maths'!Z371&gt;0,'Deal maths'!Z371,DATE(1990,1,1)),IF(DAY('Deal maths'!AA371+1)=1,EOMONTH('Deal maths'!AA371,-(INT(((YEAR('Deal maths'!AA371)-YEAR(IF('Deal maths'!Z371&gt;0,'Deal maths'!Z371,DATE(1990,1,1))))*12+MONTH('Deal maths'!AA371)-MONTH(IF('Deal maths'!Z371&gt;0,'Deal maths'!Z371,DATE(1990,1,1))))/D371))*D371),EDATE('Deal maths'!AA371,-(INT(((YEAR('Deal maths'!AA371)-YEAR(IF('Deal maths'!Z371&gt;0,'Deal maths'!Z371,DATE(1990,1,1))))*12+MONTH('Deal maths'!AA371)-MONTH(IF('Deal maths'!Z371&gt;0,'Deal maths'!Z371,DATE(1990,1,1))))/D371))*D371)),IF(DAY('Deal maths'!AA371+1)=1,EOMONTH('Deal maths'!AA371,-(INT(((YEAR('Deal maths'!AA371)-YEAR(IF('Deal maths'!Z371&gt;0,'Deal maths'!Z371,DATE(1990,1,1))))*12+MONTH('Deal maths'!AA371)-MONTH(IF('Deal maths'!Z371&gt;0,'Deal maths'!Z371,DATE(1990,1,1))))/D371)-1)*D371),EDATE('Deal maths'!AA371,-(INT(((YEAR('Deal maths'!AA371)-YEAR(IF('Deal maths'!Z371&gt;0,'Deal maths'!Z371,DATE(1990,1,1))))*12+MONTH('Deal maths'!AA371)-MONTH(IF('Deal maths'!Z371&gt;0,'Deal maths'!Z371,DATE(1990,1,1))))/D371)-1)*D371))))),0)</f>
        <v/>
      </c>
      <c r="F371" s="110">
        <f>IF(D371=0,0,'Deal maths'!AB371*D371/12)</f>
        <v/>
      </c>
      <c r="G371" s="108">
        <f>N371+O371</f>
        <v/>
      </c>
      <c r="H371" s="108">
        <f>IFERROR(IF(OR(D371=0,AsAt&lt;E371),0,MIN(N371,INT(((YEAR(AsAt)-YEAR(E371))*12+MONTH(AsAt)-MONTH(E371)-(DAY(AsAt)&lt;MIN(R371,DAY(EOMONTH(AsAt,0)))))/D371)+1)+O371*(AsAt&gt;='Deal maths'!AA371)),0)</f>
        <v/>
      </c>
      <c r="I371" s="108">
        <f>G371-H371</f>
        <v/>
      </c>
      <c r="J371" s="111">
        <f>IF(AND(C371="EIP",I371&gt;0),'Deal maths'!Y371/I371,0)</f>
        <v/>
      </c>
      <c r="K371" s="111">
        <f>IF(AND(C371="Annuity",I371&gt;0),IF(F371&gt;0,'Deal maths'!Y371*F371/(1-(1+F371)^-I371),'Deal maths'!Y371/I371),0)</f>
        <v/>
      </c>
      <c r="L371" s="111">
        <f>IF('Deal maths'!Y371="",0,'Deal maths'!Y371)</f>
        <v/>
      </c>
      <c r="M371" s="112">
        <f>F371+(F371=0)</f>
        <v/>
      </c>
      <c r="N371" s="108">
        <f>IFERROR(IF(D371=0,0,INT(((YEAR('Deal maths'!AA371)-YEAR(E371))*12+MONTH('Deal maths'!AA371)-MONTH(E371)-(DAY('Deal maths'!AA371)&lt;MIN(R371,DAY(EOMONTH('Deal maths'!AA371,0)))))/D371)+1),0)</f>
        <v/>
      </c>
      <c r="O371" s="108">
        <f>IFERROR(IF(D371=0,0,IF(IF(DAY(E371+1)=1,EOMONTH(E371,(N371-1)*D371),EDATE(E371,(N371-1)*D371))='Deal maths'!AA371,0,1)),0)</f>
        <v/>
      </c>
      <c r="P371" s="113">
        <f>IF(B371=0,0,IFERROR(IF(C371="EIP",((I371-O371)*((IF(DAY(E371+1)=1,EOMONTH(E371,H371*D371),EDATE(E371,H371*D371))-AsAt)/365.25+(IF(DAY(E371+1)=1,EOMONTH(E371,(N371-1)*D371),EDATE(E371,(N371-1)*D371))-AsAt)/365.25)/2+O371*('Deal maths'!AA371-AsAt)/365.25)/I371,IF(C371="Annuity",IF(F371&gt;0,((K371-L371*F371)*((IF(DAY(E371+1)=1,EOMONTH(E371,H371*D371),EDATE(E371,H371*D371))-AsAt)/365.25*((1+F371)^(I371-O371)-1)/F371+IF((I371-O371)&gt;1,((IF(DAY(E371+1)=1,EOMONTH(E371,(N371-1)*D371),EDATE(E371,(N371-1)*D371))-AsAt)/365.25-(IF(DAY(E371+1)=1,EOMONTH(E371,H371*D371),EDATE(E371,H371*D371))-AsAt)/365.25)/((I371-O371)-1),0)*(1+F371)*(1-(I371-O371)*(1+F371)^((I371-O371)-1)+((I371-O371)-1)*(1+F371)^(I371-O371))/F371^2)+O371*(K371-L371*F371)*(1+F371)^(I371-1)*('Deal maths'!AA371-AsAt)/365.25)/L371,((I371-O371)*((IF(DAY(E371+1)=1,EOMONTH(E371,H371*D371),EDATE(E371,H371*D371))-AsAt)/365.25+(IF(DAY(E371+1)=1,EOMONTH(E371,(N371-1)*D371),EDATE(E371,(N371-1)*D371))-AsAt)/365.25)/2+O371*('Deal maths'!AA371-AsAt)/365.25)/I371),(S371-AsAt)/365.25)),0))</f>
        <v/>
      </c>
      <c r="Q371" s="109">
        <f>IF(B371=1,'Deal maths'!AA371+ROW()/1000000,"")</f>
        <v/>
      </c>
      <c r="R371" s="108">
        <f>IF(D371=0,0,IF(DAY(E371+1)=1,31,DAY(E371)))</f>
        <v/>
      </c>
      <c r="S371" s="109">
        <f>IF(AND('Deal maths'!V371="LOBO",'Deal maths'!AG371&gt;AsAt,'Deal maths'!AG371&lt;'Deal maths'!AA371),'Deal maths'!AG371,'Deal maths'!AA371)</f>
        <v/>
      </c>
      <c r="T371" s="108">
        <f>('Deal maths'!AA371&gt;AsAt)*('Deal maths'!Y371&gt;0)</f>
        <v/>
      </c>
    </row>
    <row r="372">
      <c r="A372" s="91">
        <f>IF('Deal maths'!V372="","",'Deal maths'!W372)</f>
        <v/>
      </c>
      <c r="B372" s="108">
        <f>('Deal maths'!AA372&gt;AsAt)*('Deal maths'!Y372&gt;0)*('Deal maths'!Z372&lt;=AsAt)</f>
        <v/>
      </c>
      <c r="C372" s="91">
        <f>IF('Deal maths'!V372="","",IF('Deal maths'!AC372="","Maturity",'Deal maths'!AC372))</f>
        <v/>
      </c>
      <c r="D372" s="108">
        <f>IF(OR(C372="EIP",C372="Annuity"),IF('Deal maths'!AD372="Annual",12,IF('Deal maths'!AD372="Quarterly",3,6)),0)</f>
        <v/>
      </c>
      <c r="E372" s="109">
        <f>IFERROR(IF(D372=0,0,IF('Deal maths'!AE372&gt;0,IF('Deal maths'!AE372&gt;'Deal maths'!AA372,'Deal maths'!AA372,'Deal maths'!AE372),IF(IF(DAY('Deal maths'!AA372+1)=1,EOMONTH('Deal maths'!AA372,-(INT(((YEAR('Deal maths'!AA372)-YEAR(IF('Deal maths'!Z372&gt;0,'Deal maths'!Z372,DATE(1990,1,1))))*12+MONTH('Deal maths'!AA372)-MONTH(IF('Deal maths'!Z372&gt;0,'Deal maths'!Z372,DATE(1990,1,1))))/D372))*D372),EDATE('Deal maths'!AA372,-(INT(((YEAR('Deal maths'!AA372)-YEAR(IF('Deal maths'!Z372&gt;0,'Deal maths'!Z372,DATE(1990,1,1))))*12+MONTH('Deal maths'!AA372)-MONTH(IF('Deal maths'!Z372&gt;0,'Deal maths'!Z372,DATE(1990,1,1))))/D372))*D372))&gt;IF('Deal maths'!Z372&gt;0,'Deal maths'!Z372,DATE(1990,1,1)),IF(DAY('Deal maths'!AA372+1)=1,EOMONTH('Deal maths'!AA372,-(INT(((YEAR('Deal maths'!AA372)-YEAR(IF('Deal maths'!Z372&gt;0,'Deal maths'!Z372,DATE(1990,1,1))))*12+MONTH('Deal maths'!AA372)-MONTH(IF('Deal maths'!Z372&gt;0,'Deal maths'!Z372,DATE(1990,1,1))))/D372))*D372),EDATE('Deal maths'!AA372,-(INT(((YEAR('Deal maths'!AA372)-YEAR(IF('Deal maths'!Z372&gt;0,'Deal maths'!Z372,DATE(1990,1,1))))*12+MONTH('Deal maths'!AA372)-MONTH(IF('Deal maths'!Z372&gt;0,'Deal maths'!Z372,DATE(1990,1,1))))/D372))*D372)),IF(DAY('Deal maths'!AA372+1)=1,EOMONTH('Deal maths'!AA372,-(INT(((YEAR('Deal maths'!AA372)-YEAR(IF('Deal maths'!Z372&gt;0,'Deal maths'!Z372,DATE(1990,1,1))))*12+MONTH('Deal maths'!AA372)-MONTH(IF('Deal maths'!Z372&gt;0,'Deal maths'!Z372,DATE(1990,1,1))))/D372)-1)*D372),EDATE('Deal maths'!AA372,-(INT(((YEAR('Deal maths'!AA372)-YEAR(IF('Deal maths'!Z372&gt;0,'Deal maths'!Z372,DATE(1990,1,1))))*12+MONTH('Deal maths'!AA372)-MONTH(IF('Deal maths'!Z372&gt;0,'Deal maths'!Z372,DATE(1990,1,1))))/D372)-1)*D372))))),0)</f>
        <v/>
      </c>
      <c r="F372" s="110">
        <f>IF(D372=0,0,'Deal maths'!AB372*D372/12)</f>
        <v/>
      </c>
      <c r="G372" s="108">
        <f>N372+O372</f>
        <v/>
      </c>
      <c r="H372" s="108">
        <f>IFERROR(IF(OR(D372=0,AsAt&lt;E372),0,MIN(N372,INT(((YEAR(AsAt)-YEAR(E372))*12+MONTH(AsAt)-MONTH(E372)-(DAY(AsAt)&lt;MIN(R372,DAY(EOMONTH(AsAt,0)))))/D372)+1)+O372*(AsAt&gt;='Deal maths'!AA372)),0)</f>
        <v/>
      </c>
      <c r="I372" s="108">
        <f>G372-H372</f>
        <v/>
      </c>
      <c r="J372" s="111">
        <f>IF(AND(C372="EIP",I372&gt;0),'Deal maths'!Y372/I372,0)</f>
        <v/>
      </c>
      <c r="K372" s="111">
        <f>IF(AND(C372="Annuity",I372&gt;0),IF(F372&gt;0,'Deal maths'!Y372*F372/(1-(1+F372)^-I372),'Deal maths'!Y372/I372),0)</f>
        <v/>
      </c>
      <c r="L372" s="111">
        <f>IF('Deal maths'!Y372="",0,'Deal maths'!Y372)</f>
        <v/>
      </c>
      <c r="M372" s="112">
        <f>F372+(F372=0)</f>
        <v/>
      </c>
      <c r="N372" s="108">
        <f>IFERROR(IF(D372=0,0,INT(((YEAR('Deal maths'!AA372)-YEAR(E372))*12+MONTH('Deal maths'!AA372)-MONTH(E372)-(DAY('Deal maths'!AA372)&lt;MIN(R372,DAY(EOMONTH('Deal maths'!AA372,0)))))/D372)+1),0)</f>
        <v/>
      </c>
      <c r="O372" s="108">
        <f>IFERROR(IF(D372=0,0,IF(IF(DAY(E372+1)=1,EOMONTH(E372,(N372-1)*D372),EDATE(E372,(N372-1)*D372))='Deal maths'!AA372,0,1)),0)</f>
        <v/>
      </c>
      <c r="P372" s="113">
        <f>IF(B372=0,0,IFERROR(IF(C372="EIP",((I372-O372)*((IF(DAY(E372+1)=1,EOMONTH(E372,H372*D372),EDATE(E372,H372*D372))-AsAt)/365.25+(IF(DAY(E372+1)=1,EOMONTH(E372,(N372-1)*D372),EDATE(E372,(N372-1)*D372))-AsAt)/365.25)/2+O372*('Deal maths'!AA372-AsAt)/365.25)/I372,IF(C372="Annuity",IF(F372&gt;0,((K372-L372*F372)*((IF(DAY(E372+1)=1,EOMONTH(E372,H372*D372),EDATE(E372,H372*D372))-AsAt)/365.25*((1+F372)^(I372-O372)-1)/F372+IF((I372-O372)&gt;1,((IF(DAY(E372+1)=1,EOMONTH(E372,(N372-1)*D372),EDATE(E372,(N372-1)*D372))-AsAt)/365.25-(IF(DAY(E372+1)=1,EOMONTH(E372,H372*D372),EDATE(E372,H372*D372))-AsAt)/365.25)/((I372-O372)-1),0)*(1+F372)*(1-(I372-O372)*(1+F372)^((I372-O372)-1)+((I372-O372)-1)*(1+F372)^(I372-O372))/F372^2)+O372*(K372-L372*F372)*(1+F372)^(I372-1)*('Deal maths'!AA372-AsAt)/365.25)/L372,((I372-O372)*((IF(DAY(E372+1)=1,EOMONTH(E372,H372*D372),EDATE(E372,H372*D372))-AsAt)/365.25+(IF(DAY(E372+1)=1,EOMONTH(E372,(N372-1)*D372),EDATE(E372,(N372-1)*D372))-AsAt)/365.25)/2+O372*('Deal maths'!AA372-AsAt)/365.25)/I372),(S372-AsAt)/365.25)),0))</f>
        <v/>
      </c>
      <c r="Q372" s="109">
        <f>IF(B372=1,'Deal maths'!AA372+ROW()/1000000,"")</f>
        <v/>
      </c>
      <c r="R372" s="108">
        <f>IF(D372=0,0,IF(DAY(E372+1)=1,31,DAY(E372)))</f>
        <v/>
      </c>
      <c r="S372" s="109">
        <f>IF(AND('Deal maths'!V372="LOBO",'Deal maths'!AG372&gt;AsAt,'Deal maths'!AG372&lt;'Deal maths'!AA372),'Deal maths'!AG372,'Deal maths'!AA372)</f>
        <v/>
      </c>
      <c r="T372" s="108">
        <f>('Deal maths'!AA372&gt;AsAt)*('Deal maths'!Y372&gt;0)</f>
        <v/>
      </c>
    </row>
    <row r="373">
      <c r="A373" s="91">
        <f>IF('Deal maths'!V373="","",'Deal maths'!W373)</f>
        <v/>
      </c>
      <c r="B373" s="108">
        <f>('Deal maths'!AA373&gt;AsAt)*('Deal maths'!Y373&gt;0)*('Deal maths'!Z373&lt;=AsAt)</f>
        <v/>
      </c>
      <c r="C373" s="91">
        <f>IF('Deal maths'!V373="","",IF('Deal maths'!AC373="","Maturity",'Deal maths'!AC373))</f>
        <v/>
      </c>
      <c r="D373" s="108">
        <f>IF(OR(C373="EIP",C373="Annuity"),IF('Deal maths'!AD373="Annual",12,IF('Deal maths'!AD373="Quarterly",3,6)),0)</f>
        <v/>
      </c>
      <c r="E373" s="109">
        <f>IFERROR(IF(D373=0,0,IF('Deal maths'!AE373&gt;0,IF('Deal maths'!AE373&gt;'Deal maths'!AA373,'Deal maths'!AA373,'Deal maths'!AE373),IF(IF(DAY('Deal maths'!AA373+1)=1,EOMONTH('Deal maths'!AA373,-(INT(((YEAR('Deal maths'!AA373)-YEAR(IF('Deal maths'!Z373&gt;0,'Deal maths'!Z373,DATE(1990,1,1))))*12+MONTH('Deal maths'!AA373)-MONTH(IF('Deal maths'!Z373&gt;0,'Deal maths'!Z373,DATE(1990,1,1))))/D373))*D373),EDATE('Deal maths'!AA373,-(INT(((YEAR('Deal maths'!AA373)-YEAR(IF('Deal maths'!Z373&gt;0,'Deal maths'!Z373,DATE(1990,1,1))))*12+MONTH('Deal maths'!AA373)-MONTH(IF('Deal maths'!Z373&gt;0,'Deal maths'!Z373,DATE(1990,1,1))))/D373))*D373))&gt;IF('Deal maths'!Z373&gt;0,'Deal maths'!Z373,DATE(1990,1,1)),IF(DAY('Deal maths'!AA373+1)=1,EOMONTH('Deal maths'!AA373,-(INT(((YEAR('Deal maths'!AA373)-YEAR(IF('Deal maths'!Z373&gt;0,'Deal maths'!Z373,DATE(1990,1,1))))*12+MONTH('Deal maths'!AA373)-MONTH(IF('Deal maths'!Z373&gt;0,'Deal maths'!Z373,DATE(1990,1,1))))/D373))*D373),EDATE('Deal maths'!AA373,-(INT(((YEAR('Deal maths'!AA373)-YEAR(IF('Deal maths'!Z373&gt;0,'Deal maths'!Z373,DATE(1990,1,1))))*12+MONTH('Deal maths'!AA373)-MONTH(IF('Deal maths'!Z373&gt;0,'Deal maths'!Z373,DATE(1990,1,1))))/D373))*D373)),IF(DAY('Deal maths'!AA373+1)=1,EOMONTH('Deal maths'!AA373,-(INT(((YEAR('Deal maths'!AA373)-YEAR(IF('Deal maths'!Z373&gt;0,'Deal maths'!Z373,DATE(1990,1,1))))*12+MONTH('Deal maths'!AA373)-MONTH(IF('Deal maths'!Z373&gt;0,'Deal maths'!Z373,DATE(1990,1,1))))/D373)-1)*D373),EDATE('Deal maths'!AA373,-(INT(((YEAR('Deal maths'!AA373)-YEAR(IF('Deal maths'!Z373&gt;0,'Deal maths'!Z373,DATE(1990,1,1))))*12+MONTH('Deal maths'!AA373)-MONTH(IF('Deal maths'!Z373&gt;0,'Deal maths'!Z373,DATE(1990,1,1))))/D373)-1)*D373))))),0)</f>
        <v/>
      </c>
      <c r="F373" s="110">
        <f>IF(D373=0,0,'Deal maths'!AB373*D373/12)</f>
        <v/>
      </c>
      <c r="G373" s="108">
        <f>N373+O373</f>
        <v/>
      </c>
      <c r="H373" s="108">
        <f>IFERROR(IF(OR(D373=0,AsAt&lt;E373),0,MIN(N373,INT(((YEAR(AsAt)-YEAR(E373))*12+MONTH(AsAt)-MONTH(E373)-(DAY(AsAt)&lt;MIN(R373,DAY(EOMONTH(AsAt,0)))))/D373)+1)+O373*(AsAt&gt;='Deal maths'!AA373)),0)</f>
        <v/>
      </c>
      <c r="I373" s="108">
        <f>G373-H373</f>
        <v/>
      </c>
      <c r="J373" s="111">
        <f>IF(AND(C373="EIP",I373&gt;0),'Deal maths'!Y373/I373,0)</f>
        <v/>
      </c>
      <c r="K373" s="111">
        <f>IF(AND(C373="Annuity",I373&gt;0),IF(F373&gt;0,'Deal maths'!Y373*F373/(1-(1+F373)^-I373),'Deal maths'!Y373/I373),0)</f>
        <v/>
      </c>
      <c r="L373" s="111">
        <f>IF('Deal maths'!Y373="",0,'Deal maths'!Y373)</f>
        <v/>
      </c>
      <c r="M373" s="112">
        <f>F373+(F373=0)</f>
        <v/>
      </c>
      <c r="N373" s="108">
        <f>IFERROR(IF(D373=0,0,INT(((YEAR('Deal maths'!AA373)-YEAR(E373))*12+MONTH('Deal maths'!AA373)-MONTH(E373)-(DAY('Deal maths'!AA373)&lt;MIN(R373,DAY(EOMONTH('Deal maths'!AA373,0)))))/D373)+1),0)</f>
        <v/>
      </c>
      <c r="O373" s="108">
        <f>IFERROR(IF(D373=0,0,IF(IF(DAY(E373+1)=1,EOMONTH(E373,(N373-1)*D373),EDATE(E373,(N373-1)*D373))='Deal maths'!AA373,0,1)),0)</f>
        <v/>
      </c>
      <c r="P373" s="113">
        <f>IF(B373=0,0,IFERROR(IF(C373="EIP",((I373-O373)*((IF(DAY(E373+1)=1,EOMONTH(E373,H373*D373),EDATE(E373,H373*D373))-AsAt)/365.25+(IF(DAY(E373+1)=1,EOMONTH(E373,(N373-1)*D373),EDATE(E373,(N373-1)*D373))-AsAt)/365.25)/2+O373*('Deal maths'!AA373-AsAt)/365.25)/I373,IF(C373="Annuity",IF(F373&gt;0,((K373-L373*F373)*((IF(DAY(E373+1)=1,EOMONTH(E373,H373*D373),EDATE(E373,H373*D373))-AsAt)/365.25*((1+F373)^(I373-O373)-1)/F373+IF((I373-O373)&gt;1,((IF(DAY(E373+1)=1,EOMONTH(E373,(N373-1)*D373),EDATE(E373,(N373-1)*D373))-AsAt)/365.25-(IF(DAY(E373+1)=1,EOMONTH(E373,H373*D373),EDATE(E373,H373*D373))-AsAt)/365.25)/((I373-O373)-1),0)*(1+F373)*(1-(I373-O373)*(1+F373)^((I373-O373)-1)+((I373-O373)-1)*(1+F373)^(I373-O373))/F373^2)+O373*(K373-L373*F373)*(1+F373)^(I373-1)*('Deal maths'!AA373-AsAt)/365.25)/L373,((I373-O373)*((IF(DAY(E373+1)=1,EOMONTH(E373,H373*D373),EDATE(E373,H373*D373))-AsAt)/365.25+(IF(DAY(E373+1)=1,EOMONTH(E373,(N373-1)*D373),EDATE(E373,(N373-1)*D373))-AsAt)/365.25)/2+O373*('Deal maths'!AA373-AsAt)/365.25)/I373),(S373-AsAt)/365.25)),0))</f>
        <v/>
      </c>
      <c r="Q373" s="109">
        <f>IF(B373=1,'Deal maths'!AA373+ROW()/1000000,"")</f>
        <v/>
      </c>
      <c r="R373" s="108">
        <f>IF(D373=0,0,IF(DAY(E373+1)=1,31,DAY(E373)))</f>
        <v/>
      </c>
      <c r="S373" s="109">
        <f>IF(AND('Deal maths'!V373="LOBO",'Deal maths'!AG373&gt;AsAt,'Deal maths'!AG373&lt;'Deal maths'!AA373),'Deal maths'!AG373,'Deal maths'!AA373)</f>
        <v/>
      </c>
      <c r="T373" s="108">
        <f>('Deal maths'!AA373&gt;AsAt)*('Deal maths'!Y373&gt;0)</f>
        <v/>
      </c>
    </row>
    <row r="374">
      <c r="A374" s="91">
        <f>IF('Deal maths'!V374="","",'Deal maths'!W374)</f>
        <v/>
      </c>
      <c r="B374" s="108">
        <f>('Deal maths'!AA374&gt;AsAt)*('Deal maths'!Y374&gt;0)*('Deal maths'!Z374&lt;=AsAt)</f>
        <v/>
      </c>
      <c r="C374" s="91">
        <f>IF('Deal maths'!V374="","",IF('Deal maths'!AC374="","Maturity",'Deal maths'!AC374))</f>
        <v/>
      </c>
      <c r="D374" s="108">
        <f>IF(OR(C374="EIP",C374="Annuity"),IF('Deal maths'!AD374="Annual",12,IF('Deal maths'!AD374="Quarterly",3,6)),0)</f>
        <v/>
      </c>
      <c r="E374" s="109">
        <f>IFERROR(IF(D374=0,0,IF('Deal maths'!AE374&gt;0,IF('Deal maths'!AE374&gt;'Deal maths'!AA374,'Deal maths'!AA374,'Deal maths'!AE374),IF(IF(DAY('Deal maths'!AA374+1)=1,EOMONTH('Deal maths'!AA374,-(INT(((YEAR('Deal maths'!AA374)-YEAR(IF('Deal maths'!Z374&gt;0,'Deal maths'!Z374,DATE(1990,1,1))))*12+MONTH('Deal maths'!AA374)-MONTH(IF('Deal maths'!Z374&gt;0,'Deal maths'!Z374,DATE(1990,1,1))))/D374))*D374),EDATE('Deal maths'!AA374,-(INT(((YEAR('Deal maths'!AA374)-YEAR(IF('Deal maths'!Z374&gt;0,'Deal maths'!Z374,DATE(1990,1,1))))*12+MONTH('Deal maths'!AA374)-MONTH(IF('Deal maths'!Z374&gt;0,'Deal maths'!Z374,DATE(1990,1,1))))/D374))*D374))&gt;IF('Deal maths'!Z374&gt;0,'Deal maths'!Z374,DATE(1990,1,1)),IF(DAY('Deal maths'!AA374+1)=1,EOMONTH('Deal maths'!AA374,-(INT(((YEAR('Deal maths'!AA374)-YEAR(IF('Deal maths'!Z374&gt;0,'Deal maths'!Z374,DATE(1990,1,1))))*12+MONTH('Deal maths'!AA374)-MONTH(IF('Deal maths'!Z374&gt;0,'Deal maths'!Z374,DATE(1990,1,1))))/D374))*D374),EDATE('Deal maths'!AA374,-(INT(((YEAR('Deal maths'!AA374)-YEAR(IF('Deal maths'!Z374&gt;0,'Deal maths'!Z374,DATE(1990,1,1))))*12+MONTH('Deal maths'!AA374)-MONTH(IF('Deal maths'!Z374&gt;0,'Deal maths'!Z374,DATE(1990,1,1))))/D374))*D374)),IF(DAY('Deal maths'!AA374+1)=1,EOMONTH('Deal maths'!AA374,-(INT(((YEAR('Deal maths'!AA374)-YEAR(IF('Deal maths'!Z374&gt;0,'Deal maths'!Z374,DATE(1990,1,1))))*12+MONTH('Deal maths'!AA374)-MONTH(IF('Deal maths'!Z374&gt;0,'Deal maths'!Z374,DATE(1990,1,1))))/D374)-1)*D374),EDATE('Deal maths'!AA374,-(INT(((YEAR('Deal maths'!AA374)-YEAR(IF('Deal maths'!Z374&gt;0,'Deal maths'!Z374,DATE(1990,1,1))))*12+MONTH('Deal maths'!AA374)-MONTH(IF('Deal maths'!Z374&gt;0,'Deal maths'!Z374,DATE(1990,1,1))))/D374)-1)*D374))))),0)</f>
        <v/>
      </c>
      <c r="F374" s="110">
        <f>IF(D374=0,0,'Deal maths'!AB374*D374/12)</f>
        <v/>
      </c>
      <c r="G374" s="108">
        <f>N374+O374</f>
        <v/>
      </c>
      <c r="H374" s="108">
        <f>IFERROR(IF(OR(D374=0,AsAt&lt;E374),0,MIN(N374,INT(((YEAR(AsAt)-YEAR(E374))*12+MONTH(AsAt)-MONTH(E374)-(DAY(AsAt)&lt;MIN(R374,DAY(EOMONTH(AsAt,0)))))/D374)+1)+O374*(AsAt&gt;='Deal maths'!AA374)),0)</f>
        <v/>
      </c>
      <c r="I374" s="108">
        <f>G374-H374</f>
        <v/>
      </c>
      <c r="J374" s="111">
        <f>IF(AND(C374="EIP",I374&gt;0),'Deal maths'!Y374/I374,0)</f>
        <v/>
      </c>
      <c r="K374" s="111">
        <f>IF(AND(C374="Annuity",I374&gt;0),IF(F374&gt;0,'Deal maths'!Y374*F374/(1-(1+F374)^-I374),'Deal maths'!Y374/I374),0)</f>
        <v/>
      </c>
      <c r="L374" s="111">
        <f>IF('Deal maths'!Y374="",0,'Deal maths'!Y374)</f>
        <v/>
      </c>
      <c r="M374" s="112">
        <f>F374+(F374=0)</f>
        <v/>
      </c>
      <c r="N374" s="108">
        <f>IFERROR(IF(D374=0,0,INT(((YEAR('Deal maths'!AA374)-YEAR(E374))*12+MONTH('Deal maths'!AA374)-MONTH(E374)-(DAY('Deal maths'!AA374)&lt;MIN(R374,DAY(EOMONTH('Deal maths'!AA374,0)))))/D374)+1),0)</f>
        <v/>
      </c>
      <c r="O374" s="108">
        <f>IFERROR(IF(D374=0,0,IF(IF(DAY(E374+1)=1,EOMONTH(E374,(N374-1)*D374),EDATE(E374,(N374-1)*D374))='Deal maths'!AA374,0,1)),0)</f>
        <v/>
      </c>
      <c r="P374" s="113">
        <f>IF(B374=0,0,IFERROR(IF(C374="EIP",((I374-O374)*((IF(DAY(E374+1)=1,EOMONTH(E374,H374*D374),EDATE(E374,H374*D374))-AsAt)/365.25+(IF(DAY(E374+1)=1,EOMONTH(E374,(N374-1)*D374),EDATE(E374,(N374-1)*D374))-AsAt)/365.25)/2+O374*('Deal maths'!AA374-AsAt)/365.25)/I374,IF(C374="Annuity",IF(F374&gt;0,((K374-L374*F374)*((IF(DAY(E374+1)=1,EOMONTH(E374,H374*D374),EDATE(E374,H374*D374))-AsAt)/365.25*((1+F374)^(I374-O374)-1)/F374+IF((I374-O374)&gt;1,((IF(DAY(E374+1)=1,EOMONTH(E374,(N374-1)*D374),EDATE(E374,(N374-1)*D374))-AsAt)/365.25-(IF(DAY(E374+1)=1,EOMONTH(E374,H374*D374),EDATE(E374,H374*D374))-AsAt)/365.25)/((I374-O374)-1),0)*(1+F374)*(1-(I374-O374)*(1+F374)^((I374-O374)-1)+((I374-O374)-1)*(1+F374)^(I374-O374))/F374^2)+O374*(K374-L374*F374)*(1+F374)^(I374-1)*('Deal maths'!AA374-AsAt)/365.25)/L374,((I374-O374)*((IF(DAY(E374+1)=1,EOMONTH(E374,H374*D374),EDATE(E374,H374*D374))-AsAt)/365.25+(IF(DAY(E374+1)=1,EOMONTH(E374,(N374-1)*D374),EDATE(E374,(N374-1)*D374))-AsAt)/365.25)/2+O374*('Deal maths'!AA374-AsAt)/365.25)/I374),(S374-AsAt)/365.25)),0))</f>
        <v/>
      </c>
      <c r="Q374" s="109">
        <f>IF(B374=1,'Deal maths'!AA374+ROW()/1000000,"")</f>
        <v/>
      </c>
      <c r="R374" s="108">
        <f>IF(D374=0,0,IF(DAY(E374+1)=1,31,DAY(E374)))</f>
        <v/>
      </c>
      <c r="S374" s="109">
        <f>IF(AND('Deal maths'!V374="LOBO",'Deal maths'!AG374&gt;AsAt,'Deal maths'!AG374&lt;'Deal maths'!AA374),'Deal maths'!AG374,'Deal maths'!AA374)</f>
        <v/>
      </c>
      <c r="T374" s="108">
        <f>('Deal maths'!AA374&gt;AsAt)*('Deal maths'!Y374&gt;0)</f>
        <v/>
      </c>
    </row>
    <row r="375">
      <c r="A375" s="91">
        <f>IF('Deal maths'!V375="","",'Deal maths'!W375)</f>
        <v/>
      </c>
      <c r="B375" s="108">
        <f>('Deal maths'!AA375&gt;AsAt)*('Deal maths'!Y375&gt;0)*('Deal maths'!Z375&lt;=AsAt)</f>
        <v/>
      </c>
      <c r="C375" s="91">
        <f>IF('Deal maths'!V375="","",IF('Deal maths'!AC375="","Maturity",'Deal maths'!AC375))</f>
        <v/>
      </c>
      <c r="D375" s="108">
        <f>IF(OR(C375="EIP",C375="Annuity"),IF('Deal maths'!AD375="Annual",12,IF('Deal maths'!AD375="Quarterly",3,6)),0)</f>
        <v/>
      </c>
      <c r="E375" s="109">
        <f>IFERROR(IF(D375=0,0,IF('Deal maths'!AE375&gt;0,IF('Deal maths'!AE375&gt;'Deal maths'!AA375,'Deal maths'!AA375,'Deal maths'!AE375),IF(IF(DAY('Deal maths'!AA375+1)=1,EOMONTH('Deal maths'!AA375,-(INT(((YEAR('Deal maths'!AA375)-YEAR(IF('Deal maths'!Z375&gt;0,'Deal maths'!Z375,DATE(1990,1,1))))*12+MONTH('Deal maths'!AA375)-MONTH(IF('Deal maths'!Z375&gt;0,'Deal maths'!Z375,DATE(1990,1,1))))/D375))*D375),EDATE('Deal maths'!AA375,-(INT(((YEAR('Deal maths'!AA375)-YEAR(IF('Deal maths'!Z375&gt;0,'Deal maths'!Z375,DATE(1990,1,1))))*12+MONTH('Deal maths'!AA375)-MONTH(IF('Deal maths'!Z375&gt;0,'Deal maths'!Z375,DATE(1990,1,1))))/D375))*D375))&gt;IF('Deal maths'!Z375&gt;0,'Deal maths'!Z375,DATE(1990,1,1)),IF(DAY('Deal maths'!AA375+1)=1,EOMONTH('Deal maths'!AA375,-(INT(((YEAR('Deal maths'!AA375)-YEAR(IF('Deal maths'!Z375&gt;0,'Deal maths'!Z375,DATE(1990,1,1))))*12+MONTH('Deal maths'!AA375)-MONTH(IF('Deal maths'!Z375&gt;0,'Deal maths'!Z375,DATE(1990,1,1))))/D375))*D375),EDATE('Deal maths'!AA375,-(INT(((YEAR('Deal maths'!AA375)-YEAR(IF('Deal maths'!Z375&gt;0,'Deal maths'!Z375,DATE(1990,1,1))))*12+MONTH('Deal maths'!AA375)-MONTH(IF('Deal maths'!Z375&gt;0,'Deal maths'!Z375,DATE(1990,1,1))))/D375))*D375)),IF(DAY('Deal maths'!AA375+1)=1,EOMONTH('Deal maths'!AA375,-(INT(((YEAR('Deal maths'!AA375)-YEAR(IF('Deal maths'!Z375&gt;0,'Deal maths'!Z375,DATE(1990,1,1))))*12+MONTH('Deal maths'!AA375)-MONTH(IF('Deal maths'!Z375&gt;0,'Deal maths'!Z375,DATE(1990,1,1))))/D375)-1)*D375),EDATE('Deal maths'!AA375,-(INT(((YEAR('Deal maths'!AA375)-YEAR(IF('Deal maths'!Z375&gt;0,'Deal maths'!Z375,DATE(1990,1,1))))*12+MONTH('Deal maths'!AA375)-MONTH(IF('Deal maths'!Z375&gt;0,'Deal maths'!Z375,DATE(1990,1,1))))/D375)-1)*D375))))),0)</f>
        <v/>
      </c>
      <c r="F375" s="110">
        <f>IF(D375=0,0,'Deal maths'!AB375*D375/12)</f>
        <v/>
      </c>
      <c r="G375" s="108">
        <f>N375+O375</f>
        <v/>
      </c>
      <c r="H375" s="108">
        <f>IFERROR(IF(OR(D375=0,AsAt&lt;E375),0,MIN(N375,INT(((YEAR(AsAt)-YEAR(E375))*12+MONTH(AsAt)-MONTH(E375)-(DAY(AsAt)&lt;MIN(R375,DAY(EOMONTH(AsAt,0)))))/D375)+1)+O375*(AsAt&gt;='Deal maths'!AA375)),0)</f>
        <v/>
      </c>
      <c r="I375" s="108">
        <f>G375-H375</f>
        <v/>
      </c>
      <c r="J375" s="111">
        <f>IF(AND(C375="EIP",I375&gt;0),'Deal maths'!Y375/I375,0)</f>
        <v/>
      </c>
      <c r="K375" s="111">
        <f>IF(AND(C375="Annuity",I375&gt;0),IF(F375&gt;0,'Deal maths'!Y375*F375/(1-(1+F375)^-I375),'Deal maths'!Y375/I375),0)</f>
        <v/>
      </c>
      <c r="L375" s="111">
        <f>IF('Deal maths'!Y375="",0,'Deal maths'!Y375)</f>
        <v/>
      </c>
      <c r="M375" s="112">
        <f>F375+(F375=0)</f>
        <v/>
      </c>
      <c r="N375" s="108">
        <f>IFERROR(IF(D375=0,0,INT(((YEAR('Deal maths'!AA375)-YEAR(E375))*12+MONTH('Deal maths'!AA375)-MONTH(E375)-(DAY('Deal maths'!AA375)&lt;MIN(R375,DAY(EOMONTH('Deal maths'!AA375,0)))))/D375)+1),0)</f>
        <v/>
      </c>
      <c r="O375" s="108">
        <f>IFERROR(IF(D375=0,0,IF(IF(DAY(E375+1)=1,EOMONTH(E375,(N375-1)*D375),EDATE(E375,(N375-1)*D375))='Deal maths'!AA375,0,1)),0)</f>
        <v/>
      </c>
      <c r="P375" s="113">
        <f>IF(B375=0,0,IFERROR(IF(C375="EIP",((I375-O375)*((IF(DAY(E375+1)=1,EOMONTH(E375,H375*D375),EDATE(E375,H375*D375))-AsAt)/365.25+(IF(DAY(E375+1)=1,EOMONTH(E375,(N375-1)*D375),EDATE(E375,(N375-1)*D375))-AsAt)/365.25)/2+O375*('Deal maths'!AA375-AsAt)/365.25)/I375,IF(C375="Annuity",IF(F375&gt;0,((K375-L375*F375)*((IF(DAY(E375+1)=1,EOMONTH(E375,H375*D375),EDATE(E375,H375*D375))-AsAt)/365.25*((1+F375)^(I375-O375)-1)/F375+IF((I375-O375)&gt;1,((IF(DAY(E375+1)=1,EOMONTH(E375,(N375-1)*D375),EDATE(E375,(N375-1)*D375))-AsAt)/365.25-(IF(DAY(E375+1)=1,EOMONTH(E375,H375*D375),EDATE(E375,H375*D375))-AsAt)/365.25)/((I375-O375)-1),0)*(1+F375)*(1-(I375-O375)*(1+F375)^((I375-O375)-1)+((I375-O375)-1)*(1+F375)^(I375-O375))/F375^2)+O375*(K375-L375*F375)*(1+F375)^(I375-1)*('Deal maths'!AA375-AsAt)/365.25)/L375,((I375-O375)*((IF(DAY(E375+1)=1,EOMONTH(E375,H375*D375),EDATE(E375,H375*D375))-AsAt)/365.25+(IF(DAY(E375+1)=1,EOMONTH(E375,(N375-1)*D375),EDATE(E375,(N375-1)*D375))-AsAt)/365.25)/2+O375*('Deal maths'!AA375-AsAt)/365.25)/I375),(S375-AsAt)/365.25)),0))</f>
        <v/>
      </c>
      <c r="Q375" s="109">
        <f>IF(B375=1,'Deal maths'!AA375+ROW()/1000000,"")</f>
        <v/>
      </c>
      <c r="R375" s="108">
        <f>IF(D375=0,0,IF(DAY(E375+1)=1,31,DAY(E375)))</f>
        <v/>
      </c>
      <c r="S375" s="109">
        <f>IF(AND('Deal maths'!V375="LOBO",'Deal maths'!AG375&gt;AsAt,'Deal maths'!AG375&lt;'Deal maths'!AA375),'Deal maths'!AG375,'Deal maths'!AA375)</f>
        <v/>
      </c>
      <c r="T375" s="108">
        <f>('Deal maths'!AA375&gt;AsAt)*('Deal maths'!Y375&gt;0)</f>
        <v/>
      </c>
    </row>
    <row r="376">
      <c r="A376" s="91">
        <f>IF('Deal maths'!V376="","",'Deal maths'!W376)</f>
        <v/>
      </c>
      <c r="B376" s="108">
        <f>('Deal maths'!AA376&gt;AsAt)*('Deal maths'!Y376&gt;0)*('Deal maths'!Z376&lt;=AsAt)</f>
        <v/>
      </c>
      <c r="C376" s="91">
        <f>IF('Deal maths'!V376="","",IF('Deal maths'!AC376="","Maturity",'Deal maths'!AC376))</f>
        <v/>
      </c>
      <c r="D376" s="108">
        <f>IF(OR(C376="EIP",C376="Annuity"),IF('Deal maths'!AD376="Annual",12,IF('Deal maths'!AD376="Quarterly",3,6)),0)</f>
        <v/>
      </c>
      <c r="E376" s="109">
        <f>IFERROR(IF(D376=0,0,IF('Deal maths'!AE376&gt;0,IF('Deal maths'!AE376&gt;'Deal maths'!AA376,'Deal maths'!AA376,'Deal maths'!AE376),IF(IF(DAY('Deal maths'!AA376+1)=1,EOMONTH('Deal maths'!AA376,-(INT(((YEAR('Deal maths'!AA376)-YEAR(IF('Deal maths'!Z376&gt;0,'Deal maths'!Z376,DATE(1990,1,1))))*12+MONTH('Deal maths'!AA376)-MONTH(IF('Deal maths'!Z376&gt;0,'Deal maths'!Z376,DATE(1990,1,1))))/D376))*D376),EDATE('Deal maths'!AA376,-(INT(((YEAR('Deal maths'!AA376)-YEAR(IF('Deal maths'!Z376&gt;0,'Deal maths'!Z376,DATE(1990,1,1))))*12+MONTH('Deal maths'!AA376)-MONTH(IF('Deal maths'!Z376&gt;0,'Deal maths'!Z376,DATE(1990,1,1))))/D376))*D376))&gt;IF('Deal maths'!Z376&gt;0,'Deal maths'!Z376,DATE(1990,1,1)),IF(DAY('Deal maths'!AA376+1)=1,EOMONTH('Deal maths'!AA376,-(INT(((YEAR('Deal maths'!AA376)-YEAR(IF('Deal maths'!Z376&gt;0,'Deal maths'!Z376,DATE(1990,1,1))))*12+MONTH('Deal maths'!AA376)-MONTH(IF('Deal maths'!Z376&gt;0,'Deal maths'!Z376,DATE(1990,1,1))))/D376))*D376),EDATE('Deal maths'!AA376,-(INT(((YEAR('Deal maths'!AA376)-YEAR(IF('Deal maths'!Z376&gt;0,'Deal maths'!Z376,DATE(1990,1,1))))*12+MONTH('Deal maths'!AA376)-MONTH(IF('Deal maths'!Z376&gt;0,'Deal maths'!Z376,DATE(1990,1,1))))/D376))*D376)),IF(DAY('Deal maths'!AA376+1)=1,EOMONTH('Deal maths'!AA376,-(INT(((YEAR('Deal maths'!AA376)-YEAR(IF('Deal maths'!Z376&gt;0,'Deal maths'!Z376,DATE(1990,1,1))))*12+MONTH('Deal maths'!AA376)-MONTH(IF('Deal maths'!Z376&gt;0,'Deal maths'!Z376,DATE(1990,1,1))))/D376)-1)*D376),EDATE('Deal maths'!AA376,-(INT(((YEAR('Deal maths'!AA376)-YEAR(IF('Deal maths'!Z376&gt;0,'Deal maths'!Z376,DATE(1990,1,1))))*12+MONTH('Deal maths'!AA376)-MONTH(IF('Deal maths'!Z376&gt;0,'Deal maths'!Z376,DATE(1990,1,1))))/D376)-1)*D376))))),0)</f>
        <v/>
      </c>
      <c r="F376" s="110">
        <f>IF(D376=0,0,'Deal maths'!AB376*D376/12)</f>
        <v/>
      </c>
      <c r="G376" s="108">
        <f>N376+O376</f>
        <v/>
      </c>
      <c r="H376" s="108">
        <f>IFERROR(IF(OR(D376=0,AsAt&lt;E376),0,MIN(N376,INT(((YEAR(AsAt)-YEAR(E376))*12+MONTH(AsAt)-MONTH(E376)-(DAY(AsAt)&lt;MIN(R376,DAY(EOMONTH(AsAt,0)))))/D376)+1)+O376*(AsAt&gt;='Deal maths'!AA376)),0)</f>
        <v/>
      </c>
      <c r="I376" s="108">
        <f>G376-H376</f>
        <v/>
      </c>
      <c r="J376" s="111">
        <f>IF(AND(C376="EIP",I376&gt;0),'Deal maths'!Y376/I376,0)</f>
        <v/>
      </c>
      <c r="K376" s="111">
        <f>IF(AND(C376="Annuity",I376&gt;0),IF(F376&gt;0,'Deal maths'!Y376*F376/(1-(1+F376)^-I376),'Deal maths'!Y376/I376),0)</f>
        <v/>
      </c>
      <c r="L376" s="111">
        <f>IF('Deal maths'!Y376="",0,'Deal maths'!Y376)</f>
        <v/>
      </c>
      <c r="M376" s="112">
        <f>F376+(F376=0)</f>
        <v/>
      </c>
      <c r="N376" s="108">
        <f>IFERROR(IF(D376=0,0,INT(((YEAR('Deal maths'!AA376)-YEAR(E376))*12+MONTH('Deal maths'!AA376)-MONTH(E376)-(DAY('Deal maths'!AA376)&lt;MIN(R376,DAY(EOMONTH('Deal maths'!AA376,0)))))/D376)+1),0)</f>
        <v/>
      </c>
      <c r="O376" s="108">
        <f>IFERROR(IF(D376=0,0,IF(IF(DAY(E376+1)=1,EOMONTH(E376,(N376-1)*D376),EDATE(E376,(N376-1)*D376))='Deal maths'!AA376,0,1)),0)</f>
        <v/>
      </c>
      <c r="P376" s="113">
        <f>IF(B376=0,0,IFERROR(IF(C376="EIP",((I376-O376)*((IF(DAY(E376+1)=1,EOMONTH(E376,H376*D376),EDATE(E376,H376*D376))-AsAt)/365.25+(IF(DAY(E376+1)=1,EOMONTH(E376,(N376-1)*D376),EDATE(E376,(N376-1)*D376))-AsAt)/365.25)/2+O376*('Deal maths'!AA376-AsAt)/365.25)/I376,IF(C376="Annuity",IF(F376&gt;0,((K376-L376*F376)*((IF(DAY(E376+1)=1,EOMONTH(E376,H376*D376),EDATE(E376,H376*D376))-AsAt)/365.25*((1+F376)^(I376-O376)-1)/F376+IF((I376-O376)&gt;1,((IF(DAY(E376+1)=1,EOMONTH(E376,(N376-1)*D376),EDATE(E376,(N376-1)*D376))-AsAt)/365.25-(IF(DAY(E376+1)=1,EOMONTH(E376,H376*D376),EDATE(E376,H376*D376))-AsAt)/365.25)/((I376-O376)-1),0)*(1+F376)*(1-(I376-O376)*(1+F376)^((I376-O376)-1)+((I376-O376)-1)*(1+F376)^(I376-O376))/F376^2)+O376*(K376-L376*F376)*(1+F376)^(I376-1)*('Deal maths'!AA376-AsAt)/365.25)/L376,((I376-O376)*((IF(DAY(E376+1)=1,EOMONTH(E376,H376*D376),EDATE(E376,H376*D376))-AsAt)/365.25+(IF(DAY(E376+1)=1,EOMONTH(E376,(N376-1)*D376),EDATE(E376,(N376-1)*D376))-AsAt)/365.25)/2+O376*('Deal maths'!AA376-AsAt)/365.25)/I376),(S376-AsAt)/365.25)),0))</f>
        <v/>
      </c>
      <c r="Q376" s="109">
        <f>IF(B376=1,'Deal maths'!AA376+ROW()/1000000,"")</f>
        <v/>
      </c>
      <c r="R376" s="108">
        <f>IF(D376=0,0,IF(DAY(E376+1)=1,31,DAY(E376)))</f>
        <v/>
      </c>
      <c r="S376" s="109">
        <f>IF(AND('Deal maths'!V376="LOBO",'Deal maths'!AG376&gt;AsAt,'Deal maths'!AG376&lt;'Deal maths'!AA376),'Deal maths'!AG376,'Deal maths'!AA376)</f>
        <v/>
      </c>
      <c r="T376" s="108">
        <f>('Deal maths'!AA376&gt;AsAt)*('Deal maths'!Y376&gt;0)</f>
        <v/>
      </c>
    </row>
    <row r="377">
      <c r="A377" s="91">
        <f>IF('Deal maths'!V377="","",'Deal maths'!W377)</f>
        <v/>
      </c>
      <c r="B377" s="108">
        <f>('Deal maths'!AA377&gt;AsAt)*('Deal maths'!Y377&gt;0)*('Deal maths'!Z377&lt;=AsAt)</f>
        <v/>
      </c>
      <c r="C377" s="91">
        <f>IF('Deal maths'!V377="","",IF('Deal maths'!AC377="","Maturity",'Deal maths'!AC377))</f>
        <v/>
      </c>
      <c r="D377" s="108">
        <f>IF(OR(C377="EIP",C377="Annuity"),IF('Deal maths'!AD377="Annual",12,IF('Deal maths'!AD377="Quarterly",3,6)),0)</f>
        <v/>
      </c>
      <c r="E377" s="109">
        <f>IFERROR(IF(D377=0,0,IF('Deal maths'!AE377&gt;0,IF('Deal maths'!AE377&gt;'Deal maths'!AA377,'Deal maths'!AA377,'Deal maths'!AE377),IF(IF(DAY('Deal maths'!AA377+1)=1,EOMONTH('Deal maths'!AA377,-(INT(((YEAR('Deal maths'!AA377)-YEAR(IF('Deal maths'!Z377&gt;0,'Deal maths'!Z377,DATE(1990,1,1))))*12+MONTH('Deal maths'!AA377)-MONTH(IF('Deal maths'!Z377&gt;0,'Deal maths'!Z377,DATE(1990,1,1))))/D377))*D377),EDATE('Deal maths'!AA377,-(INT(((YEAR('Deal maths'!AA377)-YEAR(IF('Deal maths'!Z377&gt;0,'Deal maths'!Z377,DATE(1990,1,1))))*12+MONTH('Deal maths'!AA377)-MONTH(IF('Deal maths'!Z377&gt;0,'Deal maths'!Z377,DATE(1990,1,1))))/D377))*D377))&gt;IF('Deal maths'!Z377&gt;0,'Deal maths'!Z377,DATE(1990,1,1)),IF(DAY('Deal maths'!AA377+1)=1,EOMONTH('Deal maths'!AA377,-(INT(((YEAR('Deal maths'!AA377)-YEAR(IF('Deal maths'!Z377&gt;0,'Deal maths'!Z377,DATE(1990,1,1))))*12+MONTH('Deal maths'!AA377)-MONTH(IF('Deal maths'!Z377&gt;0,'Deal maths'!Z377,DATE(1990,1,1))))/D377))*D377),EDATE('Deal maths'!AA377,-(INT(((YEAR('Deal maths'!AA377)-YEAR(IF('Deal maths'!Z377&gt;0,'Deal maths'!Z377,DATE(1990,1,1))))*12+MONTH('Deal maths'!AA377)-MONTH(IF('Deal maths'!Z377&gt;0,'Deal maths'!Z377,DATE(1990,1,1))))/D377))*D377)),IF(DAY('Deal maths'!AA377+1)=1,EOMONTH('Deal maths'!AA377,-(INT(((YEAR('Deal maths'!AA377)-YEAR(IF('Deal maths'!Z377&gt;0,'Deal maths'!Z377,DATE(1990,1,1))))*12+MONTH('Deal maths'!AA377)-MONTH(IF('Deal maths'!Z377&gt;0,'Deal maths'!Z377,DATE(1990,1,1))))/D377)-1)*D377),EDATE('Deal maths'!AA377,-(INT(((YEAR('Deal maths'!AA377)-YEAR(IF('Deal maths'!Z377&gt;0,'Deal maths'!Z377,DATE(1990,1,1))))*12+MONTH('Deal maths'!AA377)-MONTH(IF('Deal maths'!Z377&gt;0,'Deal maths'!Z377,DATE(1990,1,1))))/D377)-1)*D377))))),0)</f>
        <v/>
      </c>
      <c r="F377" s="110">
        <f>IF(D377=0,0,'Deal maths'!AB377*D377/12)</f>
        <v/>
      </c>
      <c r="G377" s="108">
        <f>N377+O377</f>
        <v/>
      </c>
      <c r="H377" s="108">
        <f>IFERROR(IF(OR(D377=0,AsAt&lt;E377),0,MIN(N377,INT(((YEAR(AsAt)-YEAR(E377))*12+MONTH(AsAt)-MONTH(E377)-(DAY(AsAt)&lt;MIN(R377,DAY(EOMONTH(AsAt,0)))))/D377)+1)+O377*(AsAt&gt;='Deal maths'!AA377)),0)</f>
        <v/>
      </c>
      <c r="I377" s="108">
        <f>G377-H377</f>
        <v/>
      </c>
      <c r="J377" s="111">
        <f>IF(AND(C377="EIP",I377&gt;0),'Deal maths'!Y377/I377,0)</f>
        <v/>
      </c>
      <c r="K377" s="111">
        <f>IF(AND(C377="Annuity",I377&gt;0),IF(F377&gt;0,'Deal maths'!Y377*F377/(1-(1+F377)^-I377),'Deal maths'!Y377/I377),0)</f>
        <v/>
      </c>
      <c r="L377" s="111">
        <f>IF('Deal maths'!Y377="",0,'Deal maths'!Y377)</f>
        <v/>
      </c>
      <c r="M377" s="112">
        <f>F377+(F377=0)</f>
        <v/>
      </c>
      <c r="N377" s="108">
        <f>IFERROR(IF(D377=0,0,INT(((YEAR('Deal maths'!AA377)-YEAR(E377))*12+MONTH('Deal maths'!AA377)-MONTH(E377)-(DAY('Deal maths'!AA377)&lt;MIN(R377,DAY(EOMONTH('Deal maths'!AA377,0)))))/D377)+1),0)</f>
        <v/>
      </c>
      <c r="O377" s="108">
        <f>IFERROR(IF(D377=0,0,IF(IF(DAY(E377+1)=1,EOMONTH(E377,(N377-1)*D377),EDATE(E377,(N377-1)*D377))='Deal maths'!AA377,0,1)),0)</f>
        <v/>
      </c>
      <c r="P377" s="113">
        <f>IF(B377=0,0,IFERROR(IF(C377="EIP",((I377-O377)*((IF(DAY(E377+1)=1,EOMONTH(E377,H377*D377),EDATE(E377,H377*D377))-AsAt)/365.25+(IF(DAY(E377+1)=1,EOMONTH(E377,(N377-1)*D377),EDATE(E377,(N377-1)*D377))-AsAt)/365.25)/2+O377*('Deal maths'!AA377-AsAt)/365.25)/I377,IF(C377="Annuity",IF(F377&gt;0,((K377-L377*F377)*((IF(DAY(E377+1)=1,EOMONTH(E377,H377*D377),EDATE(E377,H377*D377))-AsAt)/365.25*((1+F377)^(I377-O377)-1)/F377+IF((I377-O377)&gt;1,((IF(DAY(E377+1)=1,EOMONTH(E377,(N377-1)*D377),EDATE(E377,(N377-1)*D377))-AsAt)/365.25-(IF(DAY(E377+1)=1,EOMONTH(E377,H377*D377),EDATE(E377,H377*D377))-AsAt)/365.25)/((I377-O377)-1),0)*(1+F377)*(1-(I377-O377)*(1+F377)^((I377-O377)-1)+((I377-O377)-1)*(1+F377)^(I377-O377))/F377^2)+O377*(K377-L377*F377)*(1+F377)^(I377-1)*('Deal maths'!AA377-AsAt)/365.25)/L377,((I377-O377)*((IF(DAY(E377+1)=1,EOMONTH(E377,H377*D377),EDATE(E377,H377*D377))-AsAt)/365.25+(IF(DAY(E377+1)=1,EOMONTH(E377,(N377-1)*D377),EDATE(E377,(N377-1)*D377))-AsAt)/365.25)/2+O377*('Deal maths'!AA377-AsAt)/365.25)/I377),(S377-AsAt)/365.25)),0))</f>
        <v/>
      </c>
      <c r="Q377" s="109">
        <f>IF(B377=1,'Deal maths'!AA377+ROW()/1000000,"")</f>
        <v/>
      </c>
      <c r="R377" s="108">
        <f>IF(D377=0,0,IF(DAY(E377+1)=1,31,DAY(E377)))</f>
        <v/>
      </c>
      <c r="S377" s="109">
        <f>IF(AND('Deal maths'!V377="LOBO",'Deal maths'!AG377&gt;AsAt,'Deal maths'!AG377&lt;'Deal maths'!AA377),'Deal maths'!AG377,'Deal maths'!AA377)</f>
        <v/>
      </c>
      <c r="T377" s="108">
        <f>('Deal maths'!AA377&gt;AsAt)*('Deal maths'!Y377&gt;0)</f>
        <v/>
      </c>
    </row>
    <row r="378">
      <c r="A378" s="91">
        <f>IF('Deal maths'!V378="","",'Deal maths'!W378)</f>
        <v/>
      </c>
      <c r="B378" s="108">
        <f>('Deal maths'!AA378&gt;AsAt)*('Deal maths'!Y378&gt;0)*('Deal maths'!Z378&lt;=AsAt)</f>
        <v/>
      </c>
      <c r="C378" s="91">
        <f>IF('Deal maths'!V378="","",IF('Deal maths'!AC378="","Maturity",'Deal maths'!AC378))</f>
        <v/>
      </c>
      <c r="D378" s="108">
        <f>IF(OR(C378="EIP",C378="Annuity"),IF('Deal maths'!AD378="Annual",12,IF('Deal maths'!AD378="Quarterly",3,6)),0)</f>
        <v/>
      </c>
      <c r="E378" s="109">
        <f>IFERROR(IF(D378=0,0,IF('Deal maths'!AE378&gt;0,IF('Deal maths'!AE378&gt;'Deal maths'!AA378,'Deal maths'!AA378,'Deal maths'!AE378),IF(IF(DAY('Deal maths'!AA378+1)=1,EOMONTH('Deal maths'!AA378,-(INT(((YEAR('Deal maths'!AA378)-YEAR(IF('Deal maths'!Z378&gt;0,'Deal maths'!Z378,DATE(1990,1,1))))*12+MONTH('Deal maths'!AA378)-MONTH(IF('Deal maths'!Z378&gt;0,'Deal maths'!Z378,DATE(1990,1,1))))/D378))*D378),EDATE('Deal maths'!AA378,-(INT(((YEAR('Deal maths'!AA378)-YEAR(IF('Deal maths'!Z378&gt;0,'Deal maths'!Z378,DATE(1990,1,1))))*12+MONTH('Deal maths'!AA378)-MONTH(IF('Deal maths'!Z378&gt;0,'Deal maths'!Z378,DATE(1990,1,1))))/D378))*D378))&gt;IF('Deal maths'!Z378&gt;0,'Deal maths'!Z378,DATE(1990,1,1)),IF(DAY('Deal maths'!AA378+1)=1,EOMONTH('Deal maths'!AA378,-(INT(((YEAR('Deal maths'!AA378)-YEAR(IF('Deal maths'!Z378&gt;0,'Deal maths'!Z378,DATE(1990,1,1))))*12+MONTH('Deal maths'!AA378)-MONTH(IF('Deal maths'!Z378&gt;0,'Deal maths'!Z378,DATE(1990,1,1))))/D378))*D378),EDATE('Deal maths'!AA378,-(INT(((YEAR('Deal maths'!AA378)-YEAR(IF('Deal maths'!Z378&gt;0,'Deal maths'!Z378,DATE(1990,1,1))))*12+MONTH('Deal maths'!AA378)-MONTH(IF('Deal maths'!Z378&gt;0,'Deal maths'!Z378,DATE(1990,1,1))))/D378))*D378)),IF(DAY('Deal maths'!AA378+1)=1,EOMONTH('Deal maths'!AA378,-(INT(((YEAR('Deal maths'!AA378)-YEAR(IF('Deal maths'!Z378&gt;0,'Deal maths'!Z378,DATE(1990,1,1))))*12+MONTH('Deal maths'!AA378)-MONTH(IF('Deal maths'!Z378&gt;0,'Deal maths'!Z378,DATE(1990,1,1))))/D378)-1)*D378),EDATE('Deal maths'!AA378,-(INT(((YEAR('Deal maths'!AA378)-YEAR(IF('Deal maths'!Z378&gt;0,'Deal maths'!Z378,DATE(1990,1,1))))*12+MONTH('Deal maths'!AA378)-MONTH(IF('Deal maths'!Z378&gt;0,'Deal maths'!Z378,DATE(1990,1,1))))/D378)-1)*D378))))),0)</f>
        <v/>
      </c>
      <c r="F378" s="110">
        <f>IF(D378=0,0,'Deal maths'!AB378*D378/12)</f>
        <v/>
      </c>
      <c r="G378" s="108">
        <f>N378+O378</f>
        <v/>
      </c>
      <c r="H378" s="108">
        <f>IFERROR(IF(OR(D378=0,AsAt&lt;E378),0,MIN(N378,INT(((YEAR(AsAt)-YEAR(E378))*12+MONTH(AsAt)-MONTH(E378)-(DAY(AsAt)&lt;MIN(R378,DAY(EOMONTH(AsAt,0)))))/D378)+1)+O378*(AsAt&gt;='Deal maths'!AA378)),0)</f>
        <v/>
      </c>
      <c r="I378" s="108">
        <f>G378-H378</f>
        <v/>
      </c>
      <c r="J378" s="111">
        <f>IF(AND(C378="EIP",I378&gt;0),'Deal maths'!Y378/I378,0)</f>
        <v/>
      </c>
      <c r="K378" s="111">
        <f>IF(AND(C378="Annuity",I378&gt;0),IF(F378&gt;0,'Deal maths'!Y378*F378/(1-(1+F378)^-I378),'Deal maths'!Y378/I378),0)</f>
        <v/>
      </c>
      <c r="L378" s="111">
        <f>IF('Deal maths'!Y378="",0,'Deal maths'!Y378)</f>
        <v/>
      </c>
      <c r="M378" s="112">
        <f>F378+(F378=0)</f>
        <v/>
      </c>
      <c r="N378" s="108">
        <f>IFERROR(IF(D378=0,0,INT(((YEAR('Deal maths'!AA378)-YEAR(E378))*12+MONTH('Deal maths'!AA378)-MONTH(E378)-(DAY('Deal maths'!AA378)&lt;MIN(R378,DAY(EOMONTH('Deal maths'!AA378,0)))))/D378)+1),0)</f>
        <v/>
      </c>
      <c r="O378" s="108">
        <f>IFERROR(IF(D378=0,0,IF(IF(DAY(E378+1)=1,EOMONTH(E378,(N378-1)*D378),EDATE(E378,(N378-1)*D378))='Deal maths'!AA378,0,1)),0)</f>
        <v/>
      </c>
      <c r="P378" s="113">
        <f>IF(B378=0,0,IFERROR(IF(C378="EIP",((I378-O378)*((IF(DAY(E378+1)=1,EOMONTH(E378,H378*D378),EDATE(E378,H378*D378))-AsAt)/365.25+(IF(DAY(E378+1)=1,EOMONTH(E378,(N378-1)*D378),EDATE(E378,(N378-1)*D378))-AsAt)/365.25)/2+O378*('Deal maths'!AA378-AsAt)/365.25)/I378,IF(C378="Annuity",IF(F378&gt;0,((K378-L378*F378)*((IF(DAY(E378+1)=1,EOMONTH(E378,H378*D378),EDATE(E378,H378*D378))-AsAt)/365.25*((1+F378)^(I378-O378)-1)/F378+IF((I378-O378)&gt;1,((IF(DAY(E378+1)=1,EOMONTH(E378,(N378-1)*D378),EDATE(E378,(N378-1)*D378))-AsAt)/365.25-(IF(DAY(E378+1)=1,EOMONTH(E378,H378*D378),EDATE(E378,H378*D378))-AsAt)/365.25)/((I378-O378)-1),0)*(1+F378)*(1-(I378-O378)*(1+F378)^((I378-O378)-1)+((I378-O378)-1)*(1+F378)^(I378-O378))/F378^2)+O378*(K378-L378*F378)*(1+F378)^(I378-1)*('Deal maths'!AA378-AsAt)/365.25)/L378,((I378-O378)*((IF(DAY(E378+1)=1,EOMONTH(E378,H378*D378),EDATE(E378,H378*D378))-AsAt)/365.25+(IF(DAY(E378+1)=1,EOMONTH(E378,(N378-1)*D378),EDATE(E378,(N378-1)*D378))-AsAt)/365.25)/2+O378*('Deal maths'!AA378-AsAt)/365.25)/I378),(S378-AsAt)/365.25)),0))</f>
        <v/>
      </c>
      <c r="Q378" s="109">
        <f>IF(B378=1,'Deal maths'!AA378+ROW()/1000000,"")</f>
        <v/>
      </c>
      <c r="R378" s="108">
        <f>IF(D378=0,0,IF(DAY(E378+1)=1,31,DAY(E378)))</f>
        <v/>
      </c>
      <c r="S378" s="109">
        <f>IF(AND('Deal maths'!V378="LOBO",'Deal maths'!AG378&gt;AsAt,'Deal maths'!AG378&lt;'Deal maths'!AA378),'Deal maths'!AG378,'Deal maths'!AA378)</f>
        <v/>
      </c>
      <c r="T378" s="108">
        <f>('Deal maths'!AA378&gt;AsAt)*('Deal maths'!Y378&gt;0)</f>
        <v/>
      </c>
    </row>
    <row r="379">
      <c r="A379" s="91">
        <f>IF('Deal maths'!V379="","",'Deal maths'!W379)</f>
        <v/>
      </c>
      <c r="B379" s="108">
        <f>('Deal maths'!AA379&gt;AsAt)*('Deal maths'!Y379&gt;0)*('Deal maths'!Z379&lt;=AsAt)</f>
        <v/>
      </c>
      <c r="C379" s="91">
        <f>IF('Deal maths'!V379="","",IF('Deal maths'!AC379="","Maturity",'Deal maths'!AC379))</f>
        <v/>
      </c>
      <c r="D379" s="108">
        <f>IF(OR(C379="EIP",C379="Annuity"),IF('Deal maths'!AD379="Annual",12,IF('Deal maths'!AD379="Quarterly",3,6)),0)</f>
        <v/>
      </c>
      <c r="E379" s="109">
        <f>IFERROR(IF(D379=0,0,IF('Deal maths'!AE379&gt;0,IF('Deal maths'!AE379&gt;'Deal maths'!AA379,'Deal maths'!AA379,'Deal maths'!AE379),IF(IF(DAY('Deal maths'!AA379+1)=1,EOMONTH('Deal maths'!AA379,-(INT(((YEAR('Deal maths'!AA379)-YEAR(IF('Deal maths'!Z379&gt;0,'Deal maths'!Z379,DATE(1990,1,1))))*12+MONTH('Deal maths'!AA379)-MONTH(IF('Deal maths'!Z379&gt;0,'Deal maths'!Z379,DATE(1990,1,1))))/D379))*D379),EDATE('Deal maths'!AA379,-(INT(((YEAR('Deal maths'!AA379)-YEAR(IF('Deal maths'!Z379&gt;0,'Deal maths'!Z379,DATE(1990,1,1))))*12+MONTH('Deal maths'!AA379)-MONTH(IF('Deal maths'!Z379&gt;0,'Deal maths'!Z379,DATE(1990,1,1))))/D379))*D379))&gt;IF('Deal maths'!Z379&gt;0,'Deal maths'!Z379,DATE(1990,1,1)),IF(DAY('Deal maths'!AA379+1)=1,EOMONTH('Deal maths'!AA379,-(INT(((YEAR('Deal maths'!AA379)-YEAR(IF('Deal maths'!Z379&gt;0,'Deal maths'!Z379,DATE(1990,1,1))))*12+MONTH('Deal maths'!AA379)-MONTH(IF('Deal maths'!Z379&gt;0,'Deal maths'!Z379,DATE(1990,1,1))))/D379))*D379),EDATE('Deal maths'!AA379,-(INT(((YEAR('Deal maths'!AA379)-YEAR(IF('Deal maths'!Z379&gt;0,'Deal maths'!Z379,DATE(1990,1,1))))*12+MONTH('Deal maths'!AA379)-MONTH(IF('Deal maths'!Z379&gt;0,'Deal maths'!Z379,DATE(1990,1,1))))/D379))*D379)),IF(DAY('Deal maths'!AA379+1)=1,EOMONTH('Deal maths'!AA379,-(INT(((YEAR('Deal maths'!AA379)-YEAR(IF('Deal maths'!Z379&gt;0,'Deal maths'!Z379,DATE(1990,1,1))))*12+MONTH('Deal maths'!AA379)-MONTH(IF('Deal maths'!Z379&gt;0,'Deal maths'!Z379,DATE(1990,1,1))))/D379)-1)*D379),EDATE('Deal maths'!AA379,-(INT(((YEAR('Deal maths'!AA379)-YEAR(IF('Deal maths'!Z379&gt;0,'Deal maths'!Z379,DATE(1990,1,1))))*12+MONTH('Deal maths'!AA379)-MONTH(IF('Deal maths'!Z379&gt;0,'Deal maths'!Z379,DATE(1990,1,1))))/D379)-1)*D379))))),0)</f>
        <v/>
      </c>
      <c r="F379" s="110">
        <f>IF(D379=0,0,'Deal maths'!AB379*D379/12)</f>
        <v/>
      </c>
      <c r="G379" s="108">
        <f>N379+O379</f>
        <v/>
      </c>
      <c r="H379" s="108">
        <f>IFERROR(IF(OR(D379=0,AsAt&lt;E379),0,MIN(N379,INT(((YEAR(AsAt)-YEAR(E379))*12+MONTH(AsAt)-MONTH(E379)-(DAY(AsAt)&lt;MIN(R379,DAY(EOMONTH(AsAt,0)))))/D379)+1)+O379*(AsAt&gt;='Deal maths'!AA379)),0)</f>
        <v/>
      </c>
      <c r="I379" s="108">
        <f>G379-H379</f>
        <v/>
      </c>
      <c r="J379" s="111">
        <f>IF(AND(C379="EIP",I379&gt;0),'Deal maths'!Y379/I379,0)</f>
        <v/>
      </c>
      <c r="K379" s="111">
        <f>IF(AND(C379="Annuity",I379&gt;0),IF(F379&gt;0,'Deal maths'!Y379*F379/(1-(1+F379)^-I379),'Deal maths'!Y379/I379),0)</f>
        <v/>
      </c>
      <c r="L379" s="111">
        <f>IF('Deal maths'!Y379="",0,'Deal maths'!Y379)</f>
        <v/>
      </c>
      <c r="M379" s="112">
        <f>F379+(F379=0)</f>
        <v/>
      </c>
      <c r="N379" s="108">
        <f>IFERROR(IF(D379=0,0,INT(((YEAR('Deal maths'!AA379)-YEAR(E379))*12+MONTH('Deal maths'!AA379)-MONTH(E379)-(DAY('Deal maths'!AA379)&lt;MIN(R379,DAY(EOMONTH('Deal maths'!AA379,0)))))/D379)+1),0)</f>
        <v/>
      </c>
      <c r="O379" s="108">
        <f>IFERROR(IF(D379=0,0,IF(IF(DAY(E379+1)=1,EOMONTH(E379,(N379-1)*D379),EDATE(E379,(N379-1)*D379))='Deal maths'!AA379,0,1)),0)</f>
        <v/>
      </c>
      <c r="P379" s="113">
        <f>IF(B379=0,0,IFERROR(IF(C379="EIP",((I379-O379)*((IF(DAY(E379+1)=1,EOMONTH(E379,H379*D379),EDATE(E379,H379*D379))-AsAt)/365.25+(IF(DAY(E379+1)=1,EOMONTH(E379,(N379-1)*D379),EDATE(E379,(N379-1)*D379))-AsAt)/365.25)/2+O379*('Deal maths'!AA379-AsAt)/365.25)/I379,IF(C379="Annuity",IF(F379&gt;0,((K379-L379*F379)*((IF(DAY(E379+1)=1,EOMONTH(E379,H379*D379),EDATE(E379,H379*D379))-AsAt)/365.25*((1+F379)^(I379-O379)-1)/F379+IF((I379-O379)&gt;1,((IF(DAY(E379+1)=1,EOMONTH(E379,(N379-1)*D379),EDATE(E379,(N379-1)*D379))-AsAt)/365.25-(IF(DAY(E379+1)=1,EOMONTH(E379,H379*D379),EDATE(E379,H379*D379))-AsAt)/365.25)/((I379-O379)-1),0)*(1+F379)*(1-(I379-O379)*(1+F379)^((I379-O379)-1)+((I379-O379)-1)*(1+F379)^(I379-O379))/F379^2)+O379*(K379-L379*F379)*(1+F379)^(I379-1)*('Deal maths'!AA379-AsAt)/365.25)/L379,((I379-O379)*((IF(DAY(E379+1)=1,EOMONTH(E379,H379*D379),EDATE(E379,H379*D379))-AsAt)/365.25+(IF(DAY(E379+1)=1,EOMONTH(E379,(N379-1)*D379),EDATE(E379,(N379-1)*D379))-AsAt)/365.25)/2+O379*('Deal maths'!AA379-AsAt)/365.25)/I379),(S379-AsAt)/365.25)),0))</f>
        <v/>
      </c>
      <c r="Q379" s="109">
        <f>IF(B379=1,'Deal maths'!AA379+ROW()/1000000,"")</f>
        <v/>
      </c>
      <c r="R379" s="108">
        <f>IF(D379=0,0,IF(DAY(E379+1)=1,31,DAY(E379)))</f>
        <v/>
      </c>
      <c r="S379" s="109">
        <f>IF(AND('Deal maths'!V379="LOBO",'Deal maths'!AG379&gt;AsAt,'Deal maths'!AG379&lt;'Deal maths'!AA379),'Deal maths'!AG379,'Deal maths'!AA379)</f>
        <v/>
      </c>
      <c r="T379" s="108">
        <f>('Deal maths'!AA379&gt;AsAt)*('Deal maths'!Y379&gt;0)</f>
        <v/>
      </c>
    </row>
    <row r="380">
      <c r="A380" s="91">
        <f>IF('Deal maths'!V380="","",'Deal maths'!W380)</f>
        <v/>
      </c>
      <c r="B380" s="108">
        <f>('Deal maths'!AA380&gt;AsAt)*('Deal maths'!Y380&gt;0)*('Deal maths'!Z380&lt;=AsAt)</f>
        <v/>
      </c>
      <c r="C380" s="91">
        <f>IF('Deal maths'!V380="","",IF('Deal maths'!AC380="","Maturity",'Deal maths'!AC380))</f>
        <v/>
      </c>
      <c r="D380" s="108">
        <f>IF(OR(C380="EIP",C380="Annuity"),IF('Deal maths'!AD380="Annual",12,IF('Deal maths'!AD380="Quarterly",3,6)),0)</f>
        <v/>
      </c>
      <c r="E380" s="109">
        <f>IFERROR(IF(D380=0,0,IF('Deal maths'!AE380&gt;0,IF('Deal maths'!AE380&gt;'Deal maths'!AA380,'Deal maths'!AA380,'Deal maths'!AE380),IF(IF(DAY('Deal maths'!AA380+1)=1,EOMONTH('Deal maths'!AA380,-(INT(((YEAR('Deal maths'!AA380)-YEAR(IF('Deal maths'!Z380&gt;0,'Deal maths'!Z380,DATE(1990,1,1))))*12+MONTH('Deal maths'!AA380)-MONTH(IF('Deal maths'!Z380&gt;0,'Deal maths'!Z380,DATE(1990,1,1))))/D380))*D380),EDATE('Deal maths'!AA380,-(INT(((YEAR('Deal maths'!AA380)-YEAR(IF('Deal maths'!Z380&gt;0,'Deal maths'!Z380,DATE(1990,1,1))))*12+MONTH('Deal maths'!AA380)-MONTH(IF('Deal maths'!Z380&gt;0,'Deal maths'!Z380,DATE(1990,1,1))))/D380))*D380))&gt;IF('Deal maths'!Z380&gt;0,'Deal maths'!Z380,DATE(1990,1,1)),IF(DAY('Deal maths'!AA380+1)=1,EOMONTH('Deal maths'!AA380,-(INT(((YEAR('Deal maths'!AA380)-YEAR(IF('Deal maths'!Z380&gt;0,'Deal maths'!Z380,DATE(1990,1,1))))*12+MONTH('Deal maths'!AA380)-MONTH(IF('Deal maths'!Z380&gt;0,'Deal maths'!Z380,DATE(1990,1,1))))/D380))*D380),EDATE('Deal maths'!AA380,-(INT(((YEAR('Deal maths'!AA380)-YEAR(IF('Deal maths'!Z380&gt;0,'Deal maths'!Z380,DATE(1990,1,1))))*12+MONTH('Deal maths'!AA380)-MONTH(IF('Deal maths'!Z380&gt;0,'Deal maths'!Z380,DATE(1990,1,1))))/D380))*D380)),IF(DAY('Deal maths'!AA380+1)=1,EOMONTH('Deal maths'!AA380,-(INT(((YEAR('Deal maths'!AA380)-YEAR(IF('Deal maths'!Z380&gt;0,'Deal maths'!Z380,DATE(1990,1,1))))*12+MONTH('Deal maths'!AA380)-MONTH(IF('Deal maths'!Z380&gt;0,'Deal maths'!Z380,DATE(1990,1,1))))/D380)-1)*D380),EDATE('Deal maths'!AA380,-(INT(((YEAR('Deal maths'!AA380)-YEAR(IF('Deal maths'!Z380&gt;0,'Deal maths'!Z380,DATE(1990,1,1))))*12+MONTH('Deal maths'!AA380)-MONTH(IF('Deal maths'!Z380&gt;0,'Deal maths'!Z380,DATE(1990,1,1))))/D380)-1)*D380))))),0)</f>
        <v/>
      </c>
      <c r="F380" s="110">
        <f>IF(D380=0,0,'Deal maths'!AB380*D380/12)</f>
        <v/>
      </c>
      <c r="G380" s="108">
        <f>N380+O380</f>
        <v/>
      </c>
      <c r="H380" s="108">
        <f>IFERROR(IF(OR(D380=0,AsAt&lt;E380),0,MIN(N380,INT(((YEAR(AsAt)-YEAR(E380))*12+MONTH(AsAt)-MONTH(E380)-(DAY(AsAt)&lt;MIN(R380,DAY(EOMONTH(AsAt,0)))))/D380)+1)+O380*(AsAt&gt;='Deal maths'!AA380)),0)</f>
        <v/>
      </c>
      <c r="I380" s="108">
        <f>G380-H380</f>
        <v/>
      </c>
      <c r="J380" s="111">
        <f>IF(AND(C380="EIP",I380&gt;0),'Deal maths'!Y380/I380,0)</f>
        <v/>
      </c>
      <c r="K380" s="111">
        <f>IF(AND(C380="Annuity",I380&gt;0),IF(F380&gt;0,'Deal maths'!Y380*F380/(1-(1+F380)^-I380),'Deal maths'!Y380/I380),0)</f>
        <v/>
      </c>
      <c r="L380" s="111">
        <f>IF('Deal maths'!Y380="",0,'Deal maths'!Y380)</f>
        <v/>
      </c>
      <c r="M380" s="112">
        <f>F380+(F380=0)</f>
        <v/>
      </c>
      <c r="N380" s="108">
        <f>IFERROR(IF(D380=0,0,INT(((YEAR('Deal maths'!AA380)-YEAR(E380))*12+MONTH('Deal maths'!AA380)-MONTH(E380)-(DAY('Deal maths'!AA380)&lt;MIN(R380,DAY(EOMONTH('Deal maths'!AA380,0)))))/D380)+1),0)</f>
        <v/>
      </c>
      <c r="O380" s="108">
        <f>IFERROR(IF(D380=0,0,IF(IF(DAY(E380+1)=1,EOMONTH(E380,(N380-1)*D380),EDATE(E380,(N380-1)*D380))='Deal maths'!AA380,0,1)),0)</f>
        <v/>
      </c>
      <c r="P380" s="113">
        <f>IF(B380=0,0,IFERROR(IF(C380="EIP",((I380-O380)*((IF(DAY(E380+1)=1,EOMONTH(E380,H380*D380),EDATE(E380,H380*D380))-AsAt)/365.25+(IF(DAY(E380+1)=1,EOMONTH(E380,(N380-1)*D380),EDATE(E380,(N380-1)*D380))-AsAt)/365.25)/2+O380*('Deal maths'!AA380-AsAt)/365.25)/I380,IF(C380="Annuity",IF(F380&gt;0,((K380-L380*F380)*((IF(DAY(E380+1)=1,EOMONTH(E380,H380*D380),EDATE(E380,H380*D380))-AsAt)/365.25*((1+F380)^(I380-O380)-1)/F380+IF((I380-O380)&gt;1,((IF(DAY(E380+1)=1,EOMONTH(E380,(N380-1)*D380),EDATE(E380,(N380-1)*D380))-AsAt)/365.25-(IF(DAY(E380+1)=1,EOMONTH(E380,H380*D380),EDATE(E380,H380*D380))-AsAt)/365.25)/((I380-O380)-1),0)*(1+F380)*(1-(I380-O380)*(1+F380)^((I380-O380)-1)+((I380-O380)-1)*(1+F380)^(I380-O380))/F380^2)+O380*(K380-L380*F380)*(1+F380)^(I380-1)*('Deal maths'!AA380-AsAt)/365.25)/L380,((I380-O380)*((IF(DAY(E380+1)=1,EOMONTH(E380,H380*D380),EDATE(E380,H380*D380))-AsAt)/365.25+(IF(DAY(E380+1)=1,EOMONTH(E380,(N380-1)*D380),EDATE(E380,(N380-1)*D380))-AsAt)/365.25)/2+O380*('Deal maths'!AA380-AsAt)/365.25)/I380),(S380-AsAt)/365.25)),0))</f>
        <v/>
      </c>
      <c r="Q380" s="109">
        <f>IF(B380=1,'Deal maths'!AA380+ROW()/1000000,"")</f>
        <v/>
      </c>
      <c r="R380" s="108">
        <f>IF(D380=0,0,IF(DAY(E380+1)=1,31,DAY(E380)))</f>
        <v/>
      </c>
      <c r="S380" s="109">
        <f>IF(AND('Deal maths'!V380="LOBO",'Deal maths'!AG380&gt;AsAt,'Deal maths'!AG380&lt;'Deal maths'!AA380),'Deal maths'!AG380,'Deal maths'!AA380)</f>
        <v/>
      </c>
      <c r="T380" s="108">
        <f>('Deal maths'!AA380&gt;AsAt)*('Deal maths'!Y380&gt;0)</f>
        <v/>
      </c>
    </row>
    <row r="381">
      <c r="A381" s="91">
        <f>IF('Deal maths'!V381="","",'Deal maths'!W381)</f>
        <v/>
      </c>
      <c r="B381" s="108">
        <f>('Deal maths'!AA381&gt;AsAt)*('Deal maths'!Y381&gt;0)*('Deal maths'!Z381&lt;=AsAt)</f>
        <v/>
      </c>
      <c r="C381" s="91">
        <f>IF('Deal maths'!V381="","",IF('Deal maths'!AC381="","Maturity",'Deal maths'!AC381))</f>
        <v/>
      </c>
      <c r="D381" s="108">
        <f>IF(OR(C381="EIP",C381="Annuity"),IF('Deal maths'!AD381="Annual",12,IF('Deal maths'!AD381="Quarterly",3,6)),0)</f>
        <v/>
      </c>
      <c r="E381" s="109">
        <f>IFERROR(IF(D381=0,0,IF('Deal maths'!AE381&gt;0,IF('Deal maths'!AE381&gt;'Deal maths'!AA381,'Deal maths'!AA381,'Deal maths'!AE381),IF(IF(DAY('Deal maths'!AA381+1)=1,EOMONTH('Deal maths'!AA381,-(INT(((YEAR('Deal maths'!AA381)-YEAR(IF('Deal maths'!Z381&gt;0,'Deal maths'!Z381,DATE(1990,1,1))))*12+MONTH('Deal maths'!AA381)-MONTH(IF('Deal maths'!Z381&gt;0,'Deal maths'!Z381,DATE(1990,1,1))))/D381))*D381),EDATE('Deal maths'!AA381,-(INT(((YEAR('Deal maths'!AA381)-YEAR(IF('Deal maths'!Z381&gt;0,'Deal maths'!Z381,DATE(1990,1,1))))*12+MONTH('Deal maths'!AA381)-MONTH(IF('Deal maths'!Z381&gt;0,'Deal maths'!Z381,DATE(1990,1,1))))/D381))*D381))&gt;IF('Deal maths'!Z381&gt;0,'Deal maths'!Z381,DATE(1990,1,1)),IF(DAY('Deal maths'!AA381+1)=1,EOMONTH('Deal maths'!AA381,-(INT(((YEAR('Deal maths'!AA381)-YEAR(IF('Deal maths'!Z381&gt;0,'Deal maths'!Z381,DATE(1990,1,1))))*12+MONTH('Deal maths'!AA381)-MONTH(IF('Deal maths'!Z381&gt;0,'Deal maths'!Z381,DATE(1990,1,1))))/D381))*D381),EDATE('Deal maths'!AA381,-(INT(((YEAR('Deal maths'!AA381)-YEAR(IF('Deal maths'!Z381&gt;0,'Deal maths'!Z381,DATE(1990,1,1))))*12+MONTH('Deal maths'!AA381)-MONTH(IF('Deal maths'!Z381&gt;0,'Deal maths'!Z381,DATE(1990,1,1))))/D381))*D381)),IF(DAY('Deal maths'!AA381+1)=1,EOMONTH('Deal maths'!AA381,-(INT(((YEAR('Deal maths'!AA381)-YEAR(IF('Deal maths'!Z381&gt;0,'Deal maths'!Z381,DATE(1990,1,1))))*12+MONTH('Deal maths'!AA381)-MONTH(IF('Deal maths'!Z381&gt;0,'Deal maths'!Z381,DATE(1990,1,1))))/D381)-1)*D381),EDATE('Deal maths'!AA381,-(INT(((YEAR('Deal maths'!AA381)-YEAR(IF('Deal maths'!Z381&gt;0,'Deal maths'!Z381,DATE(1990,1,1))))*12+MONTH('Deal maths'!AA381)-MONTH(IF('Deal maths'!Z381&gt;0,'Deal maths'!Z381,DATE(1990,1,1))))/D381)-1)*D381))))),0)</f>
        <v/>
      </c>
      <c r="F381" s="110">
        <f>IF(D381=0,0,'Deal maths'!AB381*D381/12)</f>
        <v/>
      </c>
      <c r="G381" s="108">
        <f>N381+O381</f>
        <v/>
      </c>
      <c r="H381" s="108">
        <f>IFERROR(IF(OR(D381=0,AsAt&lt;E381),0,MIN(N381,INT(((YEAR(AsAt)-YEAR(E381))*12+MONTH(AsAt)-MONTH(E381)-(DAY(AsAt)&lt;MIN(R381,DAY(EOMONTH(AsAt,0)))))/D381)+1)+O381*(AsAt&gt;='Deal maths'!AA381)),0)</f>
        <v/>
      </c>
      <c r="I381" s="108">
        <f>G381-H381</f>
        <v/>
      </c>
      <c r="J381" s="111">
        <f>IF(AND(C381="EIP",I381&gt;0),'Deal maths'!Y381/I381,0)</f>
        <v/>
      </c>
      <c r="K381" s="111">
        <f>IF(AND(C381="Annuity",I381&gt;0),IF(F381&gt;0,'Deal maths'!Y381*F381/(1-(1+F381)^-I381),'Deal maths'!Y381/I381),0)</f>
        <v/>
      </c>
      <c r="L381" s="111">
        <f>IF('Deal maths'!Y381="",0,'Deal maths'!Y381)</f>
        <v/>
      </c>
      <c r="M381" s="112">
        <f>F381+(F381=0)</f>
        <v/>
      </c>
      <c r="N381" s="108">
        <f>IFERROR(IF(D381=0,0,INT(((YEAR('Deal maths'!AA381)-YEAR(E381))*12+MONTH('Deal maths'!AA381)-MONTH(E381)-(DAY('Deal maths'!AA381)&lt;MIN(R381,DAY(EOMONTH('Deal maths'!AA381,0)))))/D381)+1),0)</f>
        <v/>
      </c>
      <c r="O381" s="108">
        <f>IFERROR(IF(D381=0,0,IF(IF(DAY(E381+1)=1,EOMONTH(E381,(N381-1)*D381),EDATE(E381,(N381-1)*D381))='Deal maths'!AA381,0,1)),0)</f>
        <v/>
      </c>
      <c r="P381" s="113">
        <f>IF(B381=0,0,IFERROR(IF(C381="EIP",((I381-O381)*((IF(DAY(E381+1)=1,EOMONTH(E381,H381*D381),EDATE(E381,H381*D381))-AsAt)/365.25+(IF(DAY(E381+1)=1,EOMONTH(E381,(N381-1)*D381),EDATE(E381,(N381-1)*D381))-AsAt)/365.25)/2+O381*('Deal maths'!AA381-AsAt)/365.25)/I381,IF(C381="Annuity",IF(F381&gt;0,((K381-L381*F381)*((IF(DAY(E381+1)=1,EOMONTH(E381,H381*D381),EDATE(E381,H381*D381))-AsAt)/365.25*((1+F381)^(I381-O381)-1)/F381+IF((I381-O381)&gt;1,((IF(DAY(E381+1)=1,EOMONTH(E381,(N381-1)*D381),EDATE(E381,(N381-1)*D381))-AsAt)/365.25-(IF(DAY(E381+1)=1,EOMONTH(E381,H381*D381),EDATE(E381,H381*D381))-AsAt)/365.25)/((I381-O381)-1),0)*(1+F381)*(1-(I381-O381)*(1+F381)^((I381-O381)-1)+((I381-O381)-1)*(1+F381)^(I381-O381))/F381^2)+O381*(K381-L381*F381)*(1+F381)^(I381-1)*('Deal maths'!AA381-AsAt)/365.25)/L381,((I381-O381)*((IF(DAY(E381+1)=1,EOMONTH(E381,H381*D381),EDATE(E381,H381*D381))-AsAt)/365.25+(IF(DAY(E381+1)=1,EOMONTH(E381,(N381-1)*D381),EDATE(E381,(N381-1)*D381))-AsAt)/365.25)/2+O381*('Deal maths'!AA381-AsAt)/365.25)/I381),(S381-AsAt)/365.25)),0))</f>
        <v/>
      </c>
      <c r="Q381" s="109">
        <f>IF(B381=1,'Deal maths'!AA381+ROW()/1000000,"")</f>
        <v/>
      </c>
      <c r="R381" s="108">
        <f>IF(D381=0,0,IF(DAY(E381+1)=1,31,DAY(E381)))</f>
        <v/>
      </c>
      <c r="S381" s="109">
        <f>IF(AND('Deal maths'!V381="LOBO",'Deal maths'!AG381&gt;AsAt,'Deal maths'!AG381&lt;'Deal maths'!AA381),'Deal maths'!AG381,'Deal maths'!AA381)</f>
        <v/>
      </c>
      <c r="T381" s="108">
        <f>('Deal maths'!AA381&gt;AsAt)*('Deal maths'!Y381&gt;0)</f>
        <v/>
      </c>
    </row>
    <row r="382">
      <c r="A382" s="91">
        <f>IF('Deal maths'!V382="","",'Deal maths'!W382)</f>
        <v/>
      </c>
      <c r="B382" s="108">
        <f>('Deal maths'!AA382&gt;AsAt)*('Deal maths'!Y382&gt;0)*('Deal maths'!Z382&lt;=AsAt)</f>
        <v/>
      </c>
      <c r="C382" s="91">
        <f>IF('Deal maths'!V382="","",IF('Deal maths'!AC382="","Maturity",'Deal maths'!AC382))</f>
        <v/>
      </c>
      <c r="D382" s="108">
        <f>IF(OR(C382="EIP",C382="Annuity"),IF('Deal maths'!AD382="Annual",12,IF('Deal maths'!AD382="Quarterly",3,6)),0)</f>
        <v/>
      </c>
      <c r="E382" s="109">
        <f>IFERROR(IF(D382=0,0,IF('Deal maths'!AE382&gt;0,IF('Deal maths'!AE382&gt;'Deal maths'!AA382,'Deal maths'!AA382,'Deal maths'!AE382),IF(IF(DAY('Deal maths'!AA382+1)=1,EOMONTH('Deal maths'!AA382,-(INT(((YEAR('Deal maths'!AA382)-YEAR(IF('Deal maths'!Z382&gt;0,'Deal maths'!Z382,DATE(1990,1,1))))*12+MONTH('Deal maths'!AA382)-MONTH(IF('Deal maths'!Z382&gt;0,'Deal maths'!Z382,DATE(1990,1,1))))/D382))*D382),EDATE('Deal maths'!AA382,-(INT(((YEAR('Deal maths'!AA382)-YEAR(IF('Deal maths'!Z382&gt;0,'Deal maths'!Z382,DATE(1990,1,1))))*12+MONTH('Deal maths'!AA382)-MONTH(IF('Deal maths'!Z382&gt;0,'Deal maths'!Z382,DATE(1990,1,1))))/D382))*D382))&gt;IF('Deal maths'!Z382&gt;0,'Deal maths'!Z382,DATE(1990,1,1)),IF(DAY('Deal maths'!AA382+1)=1,EOMONTH('Deal maths'!AA382,-(INT(((YEAR('Deal maths'!AA382)-YEAR(IF('Deal maths'!Z382&gt;0,'Deal maths'!Z382,DATE(1990,1,1))))*12+MONTH('Deal maths'!AA382)-MONTH(IF('Deal maths'!Z382&gt;0,'Deal maths'!Z382,DATE(1990,1,1))))/D382))*D382),EDATE('Deal maths'!AA382,-(INT(((YEAR('Deal maths'!AA382)-YEAR(IF('Deal maths'!Z382&gt;0,'Deal maths'!Z382,DATE(1990,1,1))))*12+MONTH('Deal maths'!AA382)-MONTH(IF('Deal maths'!Z382&gt;0,'Deal maths'!Z382,DATE(1990,1,1))))/D382))*D382)),IF(DAY('Deal maths'!AA382+1)=1,EOMONTH('Deal maths'!AA382,-(INT(((YEAR('Deal maths'!AA382)-YEAR(IF('Deal maths'!Z382&gt;0,'Deal maths'!Z382,DATE(1990,1,1))))*12+MONTH('Deal maths'!AA382)-MONTH(IF('Deal maths'!Z382&gt;0,'Deal maths'!Z382,DATE(1990,1,1))))/D382)-1)*D382),EDATE('Deal maths'!AA382,-(INT(((YEAR('Deal maths'!AA382)-YEAR(IF('Deal maths'!Z382&gt;0,'Deal maths'!Z382,DATE(1990,1,1))))*12+MONTH('Deal maths'!AA382)-MONTH(IF('Deal maths'!Z382&gt;0,'Deal maths'!Z382,DATE(1990,1,1))))/D382)-1)*D382))))),0)</f>
        <v/>
      </c>
      <c r="F382" s="110">
        <f>IF(D382=0,0,'Deal maths'!AB382*D382/12)</f>
        <v/>
      </c>
      <c r="G382" s="108">
        <f>N382+O382</f>
        <v/>
      </c>
      <c r="H382" s="108">
        <f>IFERROR(IF(OR(D382=0,AsAt&lt;E382),0,MIN(N382,INT(((YEAR(AsAt)-YEAR(E382))*12+MONTH(AsAt)-MONTH(E382)-(DAY(AsAt)&lt;MIN(R382,DAY(EOMONTH(AsAt,0)))))/D382)+1)+O382*(AsAt&gt;='Deal maths'!AA382)),0)</f>
        <v/>
      </c>
      <c r="I382" s="108">
        <f>G382-H382</f>
        <v/>
      </c>
      <c r="J382" s="111">
        <f>IF(AND(C382="EIP",I382&gt;0),'Deal maths'!Y382/I382,0)</f>
        <v/>
      </c>
      <c r="K382" s="111">
        <f>IF(AND(C382="Annuity",I382&gt;0),IF(F382&gt;0,'Deal maths'!Y382*F382/(1-(1+F382)^-I382),'Deal maths'!Y382/I382),0)</f>
        <v/>
      </c>
      <c r="L382" s="111">
        <f>IF('Deal maths'!Y382="",0,'Deal maths'!Y382)</f>
        <v/>
      </c>
      <c r="M382" s="112">
        <f>F382+(F382=0)</f>
        <v/>
      </c>
      <c r="N382" s="108">
        <f>IFERROR(IF(D382=0,0,INT(((YEAR('Deal maths'!AA382)-YEAR(E382))*12+MONTH('Deal maths'!AA382)-MONTH(E382)-(DAY('Deal maths'!AA382)&lt;MIN(R382,DAY(EOMONTH('Deal maths'!AA382,0)))))/D382)+1),0)</f>
        <v/>
      </c>
      <c r="O382" s="108">
        <f>IFERROR(IF(D382=0,0,IF(IF(DAY(E382+1)=1,EOMONTH(E382,(N382-1)*D382),EDATE(E382,(N382-1)*D382))='Deal maths'!AA382,0,1)),0)</f>
        <v/>
      </c>
      <c r="P382" s="113">
        <f>IF(B382=0,0,IFERROR(IF(C382="EIP",((I382-O382)*((IF(DAY(E382+1)=1,EOMONTH(E382,H382*D382),EDATE(E382,H382*D382))-AsAt)/365.25+(IF(DAY(E382+1)=1,EOMONTH(E382,(N382-1)*D382),EDATE(E382,(N382-1)*D382))-AsAt)/365.25)/2+O382*('Deal maths'!AA382-AsAt)/365.25)/I382,IF(C382="Annuity",IF(F382&gt;0,((K382-L382*F382)*((IF(DAY(E382+1)=1,EOMONTH(E382,H382*D382),EDATE(E382,H382*D382))-AsAt)/365.25*((1+F382)^(I382-O382)-1)/F382+IF((I382-O382)&gt;1,((IF(DAY(E382+1)=1,EOMONTH(E382,(N382-1)*D382),EDATE(E382,(N382-1)*D382))-AsAt)/365.25-(IF(DAY(E382+1)=1,EOMONTH(E382,H382*D382),EDATE(E382,H382*D382))-AsAt)/365.25)/((I382-O382)-1),0)*(1+F382)*(1-(I382-O382)*(1+F382)^((I382-O382)-1)+((I382-O382)-1)*(1+F382)^(I382-O382))/F382^2)+O382*(K382-L382*F382)*(1+F382)^(I382-1)*('Deal maths'!AA382-AsAt)/365.25)/L382,((I382-O382)*((IF(DAY(E382+1)=1,EOMONTH(E382,H382*D382),EDATE(E382,H382*D382))-AsAt)/365.25+(IF(DAY(E382+1)=1,EOMONTH(E382,(N382-1)*D382),EDATE(E382,(N382-1)*D382))-AsAt)/365.25)/2+O382*('Deal maths'!AA382-AsAt)/365.25)/I382),(S382-AsAt)/365.25)),0))</f>
        <v/>
      </c>
      <c r="Q382" s="109">
        <f>IF(B382=1,'Deal maths'!AA382+ROW()/1000000,"")</f>
        <v/>
      </c>
      <c r="R382" s="108">
        <f>IF(D382=0,0,IF(DAY(E382+1)=1,31,DAY(E382)))</f>
        <v/>
      </c>
      <c r="S382" s="109">
        <f>IF(AND('Deal maths'!V382="LOBO",'Deal maths'!AG382&gt;AsAt,'Deal maths'!AG382&lt;'Deal maths'!AA382),'Deal maths'!AG382,'Deal maths'!AA382)</f>
        <v/>
      </c>
      <c r="T382" s="108">
        <f>('Deal maths'!AA382&gt;AsAt)*('Deal maths'!Y382&gt;0)</f>
        <v/>
      </c>
    </row>
    <row r="383">
      <c r="A383" s="91">
        <f>IF('Deal maths'!V383="","",'Deal maths'!W383)</f>
        <v/>
      </c>
      <c r="B383" s="108">
        <f>('Deal maths'!AA383&gt;AsAt)*('Deal maths'!Y383&gt;0)*('Deal maths'!Z383&lt;=AsAt)</f>
        <v/>
      </c>
      <c r="C383" s="91">
        <f>IF('Deal maths'!V383="","",IF('Deal maths'!AC383="","Maturity",'Deal maths'!AC383))</f>
        <v/>
      </c>
      <c r="D383" s="108">
        <f>IF(OR(C383="EIP",C383="Annuity"),IF('Deal maths'!AD383="Annual",12,IF('Deal maths'!AD383="Quarterly",3,6)),0)</f>
        <v/>
      </c>
      <c r="E383" s="109">
        <f>IFERROR(IF(D383=0,0,IF('Deal maths'!AE383&gt;0,IF('Deal maths'!AE383&gt;'Deal maths'!AA383,'Deal maths'!AA383,'Deal maths'!AE383),IF(IF(DAY('Deal maths'!AA383+1)=1,EOMONTH('Deal maths'!AA383,-(INT(((YEAR('Deal maths'!AA383)-YEAR(IF('Deal maths'!Z383&gt;0,'Deal maths'!Z383,DATE(1990,1,1))))*12+MONTH('Deal maths'!AA383)-MONTH(IF('Deal maths'!Z383&gt;0,'Deal maths'!Z383,DATE(1990,1,1))))/D383))*D383),EDATE('Deal maths'!AA383,-(INT(((YEAR('Deal maths'!AA383)-YEAR(IF('Deal maths'!Z383&gt;0,'Deal maths'!Z383,DATE(1990,1,1))))*12+MONTH('Deal maths'!AA383)-MONTH(IF('Deal maths'!Z383&gt;0,'Deal maths'!Z383,DATE(1990,1,1))))/D383))*D383))&gt;IF('Deal maths'!Z383&gt;0,'Deal maths'!Z383,DATE(1990,1,1)),IF(DAY('Deal maths'!AA383+1)=1,EOMONTH('Deal maths'!AA383,-(INT(((YEAR('Deal maths'!AA383)-YEAR(IF('Deal maths'!Z383&gt;0,'Deal maths'!Z383,DATE(1990,1,1))))*12+MONTH('Deal maths'!AA383)-MONTH(IF('Deal maths'!Z383&gt;0,'Deal maths'!Z383,DATE(1990,1,1))))/D383))*D383),EDATE('Deal maths'!AA383,-(INT(((YEAR('Deal maths'!AA383)-YEAR(IF('Deal maths'!Z383&gt;0,'Deal maths'!Z383,DATE(1990,1,1))))*12+MONTH('Deal maths'!AA383)-MONTH(IF('Deal maths'!Z383&gt;0,'Deal maths'!Z383,DATE(1990,1,1))))/D383))*D383)),IF(DAY('Deal maths'!AA383+1)=1,EOMONTH('Deal maths'!AA383,-(INT(((YEAR('Deal maths'!AA383)-YEAR(IF('Deal maths'!Z383&gt;0,'Deal maths'!Z383,DATE(1990,1,1))))*12+MONTH('Deal maths'!AA383)-MONTH(IF('Deal maths'!Z383&gt;0,'Deal maths'!Z383,DATE(1990,1,1))))/D383)-1)*D383),EDATE('Deal maths'!AA383,-(INT(((YEAR('Deal maths'!AA383)-YEAR(IF('Deal maths'!Z383&gt;0,'Deal maths'!Z383,DATE(1990,1,1))))*12+MONTH('Deal maths'!AA383)-MONTH(IF('Deal maths'!Z383&gt;0,'Deal maths'!Z383,DATE(1990,1,1))))/D383)-1)*D383))))),0)</f>
        <v/>
      </c>
      <c r="F383" s="110">
        <f>IF(D383=0,0,'Deal maths'!AB383*D383/12)</f>
        <v/>
      </c>
      <c r="G383" s="108">
        <f>N383+O383</f>
        <v/>
      </c>
      <c r="H383" s="108">
        <f>IFERROR(IF(OR(D383=0,AsAt&lt;E383),0,MIN(N383,INT(((YEAR(AsAt)-YEAR(E383))*12+MONTH(AsAt)-MONTH(E383)-(DAY(AsAt)&lt;MIN(R383,DAY(EOMONTH(AsAt,0)))))/D383)+1)+O383*(AsAt&gt;='Deal maths'!AA383)),0)</f>
        <v/>
      </c>
      <c r="I383" s="108">
        <f>G383-H383</f>
        <v/>
      </c>
      <c r="J383" s="111">
        <f>IF(AND(C383="EIP",I383&gt;0),'Deal maths'!Y383/I383,0)</f>
        <v/>
      </c>
      <c r="K383" s="111">
        <f>IF(AND(C383="Annuity",I383&gt;0),IF(F383&gt;0,'Deal maths'!Y383*F383/(1-(1+F383)^-I383),'Deal maths'!Y383/I383),0)</f>
        <v/>
      </c>
      <c r="L383" s="111">
        <f>IF('Deal maths'!Y383="",0,'Deal maths'!Y383)</f>
        <v/>
      </c>
      <c r="M383" s="112">
        <f>F383+(F383=0)</f>
        <v/>
      </c>
      <c r="N383" s="108">
        <f>IFERROR(IF(D383=0,0,INT(((YEAR('Deal maths'!AA383)-YEAR(E383))*12+MONTH('Deal maths'!AA383)-MONTH(E383)-(DAY('Deal maths'!AA383)&lt;MIN(R383,DAY(EOMONTH('Deal maths'!AA383,0)))))/D383)+1),0)</f>
        <v/>
      </c>
      <c r="O383" s="108">
        <f>IFERROR(IF(D383=0,0,IF(IF(DAY(E383+1)=1,EOMONTH(E383,(N383-1)*D383),EDATE(E383,(N383-1)*D383))='Deal maths'!AA383,0,1)),0)</f>
        <v/>
      </c>
      <c r="P383" s="113">
        <f>IF(B383=0,0,IFERROR(IF(C383="EIP",((I383-O383)*((IF(DAY(E383+1)=1,EOMONTH(E383,H383*D383),EDATE(E383,H383*D383))-AsAt)/365.25+(IF(DAY(E383+1)=1,EOMONTH(E383,(N383-1)*D383),EDATE(E383,(N383-1)*D383))-AsAt)/365.25)/2+O383*('Deal maths'!AA383-AsAt)/365.25)/I383,IF(C383="Annuity",IF(F383&gt;0,((K383-L383*F383)*((IF(DAY(E383+1)=1,EOMONTH(E383,H383*D383),EDATE(E383,H383*D383))-AsAt)/365.25*((1+F383)^(I383-O383)-1)/F383+IF((I383-O383)&gt;1,((IF(DAY(E383+1)=1,EOMONTH(E383,(N383-1)*D383),EDATE(E383,(N383-1)*D383))-AsAt)/365.25-(IF(DAY(E383+1)=1,EOMONTH(E383,H383*D383),EDATE(E383,H383*D383))-AsAt)/365.25)/((I383-O383)-1),0)*(1+F383)*(1-(I383-O383)*(1+F383)^((I383-O383)-1)+((I383-O383)-1)*(1+F383)^(I383-O383))/F383^2)+O383*(K383-L383*F383)*(1+F383)^(I383-1)*('Deal maths'!AA383-AsAt)/365.25)/L383,((I383-O383)*((IF(DAY(E383+1)=1,EOMONTH(E383,H383*D383),EDATE(E383,H383*D383))-AsAt)/365.25+(IF(DAY(E383+1)=1,EOMONTH(E383,(N383-1)*D383),EDATE(E383,(N383-1)*D383))-AsAt)/365.25)/2+O383*('Deal maths'!AA383-AsAt)/365.25)/I383),(S383-AsAt)/365.25)),0))</f>
        <v/>
      </c>
      <c r="Q383" s="109">
        <f>IF(B383=1,'Deal maths'!AA383+ROW()/1000000,"")</f>
        <v/>
      </c>
      <c r="R383" s="108">
        <f>IF(D383=0,0,IF(DAY(E383+1)=1,31,DAY(E383)))</f>
        <v/>
      </c>
      <c r="S383" s="109">
        <f>IF(AND('Deal maths'!V383="LOBO",'Deal maths'!AG383&gt;AsAt,'Deal maths'!AG383&lt;'Deal maths'!AA383),'Deal maths'!AG383,'Deal maths'!AA383)</f>
        <v/>
      </c>
      <c r="T383" s="108">
        <f>('Deal maths'!AA383&gt;AsAt)*('Deal maths'!Y383&gt;0)</f>
        <v/>
      </c>
    </row>
    <row r="384">
      <c r="A384" s="91">
        <f>IF('Deal maths'!V384="","",'Deal maths'!W384)</f>
        <v/>
      </c>
      <c r="B384" s="108">
        <f>('Deal maths'!AA384&gt;AsAt)*('Deal maths'!Y384&gt;0)*('Deal maths'!Z384&lt;=AsAt)</f>
        <v/>
      </c>
      <c r="C384" s="91">
        <f>IF('Deal maths'!V384="","",IF('Deal maths'!AC384="","Maturity",'Deal maths'!AC384))</f>
        <v/>
      </c>
      <c r="D384" s="108">
        <f>IF(OR(C384="EIP",C384="Annuity"),IF('Deal maths'!AD384="Annual",12,IF('Deal maths'!AD384="Quarterly",3,6)),0)</f>
        <v/>
      </c>
      <c r="E384" s="109">
        <f>IFERROR(IF(D384=0,0,IF('Deal maths'!AE384&gt;0,IF('Deal maths'!AE384&gt;'Deal maths'!AA384,'Deal maths'!AA384,'Deal maths'!AE384),IF(IF(DAY('Deal maths'!AA384+1)=1,EOMONTH('Deal maths'!AA384,-(INT(((YEAR('Deal maths'!AA384)-YEAR(IF('Deal maths'!Z384&gt;0,'Deal maths'!Z384,DATE(1990,1,1))))*12+MONTH('Deal maths'!AA384)-MONTH(IF('Deal maths'!Z384&gt;0,'Deal maths'!Z384,DATE(1990,1,1))))/D384))*D384),EDATE('Deal maths'!AA384,-(INT(((YEAR('Deal maths'!AA384)-YEAR(IF('Deal maths'!Z384&gt;0,'Deal maths'!Z384,DATE(1990,1,1))))*12+MONTH('Deal maths'!AA384)-MONTH(IF('Deal maths'!Z384&gt;0,'Deal maths'!Z384,DATE(1990,1,1))))/D384))*D384))&gt;IF('Deal maths'!Z384&gt;0,'Deal maths'!Z384,DATE(1990,1,1)),IF(DAY('Deal maths'!AA384+1)=1,EOMONTH('Deal maths'!AA384,-(INT(((YEAR('Deal maths'!AA384)-YEAR(IF('Deal maths'!Z384&gt;0,'Deal maths'!Z384,DATE(1990,1,1))))*12+MONTH('Deal maths'!AA384)-MONTH(IF('Deal maths'!Z384&gt;0,'Deal maths'!Z384,DATE(1990,1,1))))/D384))*D384),EDATE('Deal maths'!AA384,-(INT(((YEAR('Deal maths'!AA384)-YEAR(IF('Deal maths'!Z384&gt;0,'Deal maths'!Z384,DATE(1990,1,1))))*12+MONTH('Deal maths'!AA384)-MONTH(IF('Deal maths'!Z384&gt;0,'Deal maths'!Z384,DATE(1990,1,1))))/D384))*D384)),IF(DAY('Deal maths'!AA384+1)=1,EOMONTH('Deal maths'!AA384,-(INT(((YEAR('Deal maths'!AA384)-YEAR(IF('Deal maths'!Z384&gt;0,'Deal maths'!Z384,DATE(1990,1,1))))*12+MONTH('Deal maths'!AA384)-MONTH(IF('Deal maths'!Z384&gt;0,'Deal maths'!Z384,DATE(1990,1,1))))/D384)-1)*D384),EDATE('Deal maths'!AA384,-(INT(((YEAR('Deal maths'!AA384)-YEAR(IF('Deal maths'!Z384&gt;0,'Deal maths'!Z384,DATE(1990,1,1))))*12+MONTH('Deal maths'!AA384)-MONTH(IF('Deal maths'!Z384&gt;0,'Deal maths'!Z384,DATE(1990,1,1))))/D384)-1)*D384))))),0)</f>
        <v/>
      </c>
      <c r="F384" s="110">
        <f>IF(D384=0,0,'Deal maths'!AB384*D384/12)</f>
        <v/>
      </c>
      <c r="G384" s="108">
        <f>N384+O384</f>
        <v/>
      </c>
      <c r="H384" s="108">
        <f>IFERROR(IF(OR(D384=0,AsAt&lt;E384),0,MIN(N384,INT(((YEAR(AsAt)-YEAR(E384))*12+MONTH(AsAt)-MONTH(E384)-(DAY(AsAt)&lt;MIN(R384,DAY(EOMONTH(AsAt,0)))))/D384)+1)+O384*(AsAt&gt;='Deal maths'!AA384)),0)</f>
        <v/>
      </c>
      <c r="I384" s="108">
        <f>G384-H384</f>
        <v/>
      </c>
      <c r="J384" s="111">
        <f>IF(AND(C384="EIP",I384&gt;0),'Deal maths'!Y384/I384,0)</f>
        <v/>
      </c>
      <c r="K384" s="111">
        <f>IF(AND(C384="Annuity",I384&gt;0),IF(F384&gt;0,'Deal maths'!Y384*F384/(1-(1+F384)^-I384),'Deal maths'!Y384/I384),0)</f>
        <v/>
      </c>
      <c r="L384" s="111">
        <f>IF('Deal maths'!Y384="",0,'Deal maths'!Y384)</f>
        <v/>
      </c>
      <c r="M384" s="112">
        <f>F384+(F384=0)</f>
        <v/>
      </c>
      <c r="N384" s="108">
        <f>IFERROR(IF(D384=0,0,INT(((YEAR('Deal maths'!AA384)-YEAR(E384))*12+MONTH('Deal maths'!AA384)-MONTH(E384)-(DAY('Deal maths'!AA384)&lt;MIN(R384,DAY(EOMONTH('Deal maths'!AA384,0)))))/D384)+1),0)</f>
        <v/>
      </c>
      <c r="O384" s="108">
        <f>IFERROR(IF(D384=0,0,IF(IF(DAY(E384+1)=1,EOMONTH(E384,(N384-1)*D384),EDATE(E384,(N384-1)*D384))='Deal maths'!AA384,0,1)),0)</f>
        <v/>
      </c>
      <c r="P384" s="113">
        <f>IF(B384=0,0,IFERROR(IF(C384="EIP",((I384-O384)*((IF(DAY(E384+1)=1,EOMONTH(E384,H384*D384),EDATE(E384,H384*D384))-AsAt)/365.25+(IF(DAY(E384+1)=1,EOMONTH(E384,(N384-1)*D384),EDATE(E384,(N384-1)*D384))-AsAt)/365.25)/2+O384*('Deal maths'!AA384-AsAt)/365.25)/I384,IF(C384="Annuity",IF(F384&gt;0,((K384-L384*F384)*((IF(DAY(E384+1)=1,EOMONTH(E384,H384*D384),EDATE(E384,H384*D384))-AsAt)/365.25*((1+F384)^(I384-O384)-1)/F384+IF((I384-O384)&gt;1,((IF(DAY(E384+1)=1,EOMONTH(E384,(N384-1)*D384),EDATE(E384,(N384-1)*D384))-AsAt)/365.25-(IF(DAY(E384+1)=1,EOMONTH(E384,H384*D384),EDATE(E384,H384*D384))-AsAt)/365.25)/((I384-O384)-1),0)*(1+F384)*(1-(I384-O384)*(1+F384)^((I384-O384)-1)+((I384-O384)-1)*(1+F384)^(I384-O384))/F384^2)+O384*(K384-L384*F384)*(1+F384)^(I384-1)*('Deal maths'!AA384-AsAt)/365.25)/L384,((I384-O384)*((IF(DAY(E384+1)=1,EOMONTH(E384,H384*D384),EDATE(E384,H384*D384))-AsAt)/365.25+(IF(DAY(E384+1)=1,EOMONTH(E384,(N384-1)*D384),EDATE(E384,(N384-1)*D384))-AsAt)/365.25)/2+O384*('Deal maths'!AA384-AsAt)/365.25)/I384),(S384-AsAt)/365.25)),0))</f>
        <v/>
      </c>
      <c r="Q384" s="109">
        <f>IF(B384=1,'Deal maths'!AA384+ROW()/1000000,"")</f>
        <v/>
      </c>
      <c r="R384" s="108">
        <f>IF(D384=0,0,IF(DAY(E384+1)=1,31,DAY(E384)))</f>
        <v/>
      </c>
      <c r="S384" s="109">
        <f>IF(AND('Deal maths'!V384="LOBO",'Deal maths'!AG384&gt;AsAt,'Deal maths'!AG384&lt;'Deal maths'!AA384),'Deal maths'!AG384,'Deal maths'!AA384)</f>
        <v/>
      </c>
      <c r="T384" s="108">
        <f>('Deal maths'!AA384&gt;AsAt)*('Deal maths'!Y384&gt;0)</f>
        <v/>
      </c>
    </row>
    <row r="385">
      <c r="A385" s="91">
        <f>IF('Deal maths'!V385="","",'Deal maths'!W385)</f>
        <v/>
      </c>
      <c r="B385" s="108">
        <f>('Deal maths'!AA385&gt;AsAt)*('Deal maths'!Y385&gt;0)*('Deal maths'!Z385&lt;=AsAt)</f>
        <v/>
      </c>
      <c r="C385" s="91">
        <f>IF('Deal maths'!V385="","",IF('Deal maths'!AC385="","Maturity",'Deal maths'!AC385))</f>
        <v/>
      </c>
      <c r="D385" s="108">
        <f>IF(OR(C385="EIP",C385="Annuity"),IF('Deal maths'!AD385="Annual",12,IF('Deal maths'!AD385="Quarterly",3,6)),0)</f>
        <v/>
      </c>
      <c r="E385" s="109">
        <f>IFERROR(IF(D385=0,0,IF('Deal maths'!AE385&gt;0,IF('Deal maths'!AE385&gt;'Deal maths'!AA385,'Deal maths'!AA385,'Deal maths'!AE385),IF(IF(DAY('Deal maths'!AA385+1)=1,EOMONTH('Deal maths'!AA385,-(INT(((YEAR('Deal maths'!AA385)-YEAR(IF('Deal maths'!Z385&gt;0,'Deal maths'!Z385,DATE(1990,1,1))))*12+MONTH('Deal maths'!AA385)-MONTH(IF('Deal maths'!Z385&gt;0,'Deal maths'!Z385,DATE(1990,1,1))))/D385))*D385),EDATE('Deal maths'!AA385,-(INT(((YEAR('Deal maths'!AA385)-YEAR(IF('Deal maths'!Z385&gt;0,'Deal maths'!Z385,DATE(1990,1,1))))*12+MONTH('Deal maths'!AA385)-MONTH(IF('Deal maths'!Z385&gt;0,'Deal maths'!Z385,DATE(1990,1,1))))/D385))*D385))&gt;IF('Deal maths'!Z385&gt;0,'Deal maths'!Z385,DATE(1990,1,1)),IF(DAY('Deal maths'!AA385+1)=1,EOMONTH('Deal maths'!AA385,-(INT(((YEAR('Deal maths'!AA385)-YEAR(IF('Deal maths'!Z385&gt;0,'Deal maths'!Z385,DATE(1990,1,1))))*12+MONTH('Deal maths'!AA385)-MONTH(IF('Deal maths'!Z385&gt;0,'Deal maths'!Z385,DATE(1990,1,1))))/D385))*D385),EDATE('Deal maths'!AA385,-(INT(((YEAR('Deal maths'!AA385)-YEAR(IF('Deal maths'!Z385&gt;0,'Deal maths'!Z385,DATE(1990,1,1))))*12+MONTH('Deal maths'!AA385)-MONTH(IF('Deal maths'!Z385&gt;0,'Deal maths'!Z385,DATE(1990,1,1))))/D385))*D385)),IF(DAY('Deal maths'!AA385+1)=1,EOMONTH('Deal maths'!AA385,-(INT(((YEAR('Deal maths'!AA385)-YEAR(IF('Deal maths'!Z385&gt;0,'Deal maths'!Z385,DATE(1990,1,1))))*12+MONTH('Deal maths'!AA385)-MONTH(IF('Deal maths'!Z385&gt;0,'Deal maths'!Z385,DATE(1990,1,1))))/D385)-1)*D385),EDATE('Deal maths'!AA385,-(INT(((YEAR('Deal maths'!AA385)-YEAR(IF('Deal maths'!Z385&gt;0,'Deal maths'!Z385,DATE(1990,1,1))))*12+MONTH('Deal maths'!AA385)-MONTH(IF('Deal maths'!Z385&gt;0,'Deal maths'!Z385,DATE(1990,1,1))))/D385)-1)*D385))))),0)</f>
        <v/>
      </c>
      <c r="F385" s="110">
        <f>IF(D385=0,0,'Deal maths'!AB385*D385/12)</f>
        <v/>
      </c>
      <c r="G385" s="108">
        <f>N385+O385</f>
        <v/>
      </c>
      <c r="H385" s="108">
        <f>IFERROR(IF(OR(D385=0,AsAt&lt;E385),0,MIN(N385,INT(((YEAR(AsAt)-YEAR(E385))*12+MONTH(AsAt)-MONTH(E385)-(DAY(AsAt)&lt;MIN(R385,DAY(EOMONTH(AsAt,0)))))/D385)+1)+O385*(AsAt&gt;='Deal maths'!AA385)),0)</f>
        <v/>
      </c>
      <c r="I385" s="108">
        <f>G385-H385</f>
        <v/>
      </c>
      <c r="J385" s="111">
        <f>IF(AND(C385="EIP",I385&gt;0),'Deal maths'!Y385/I385,0)</f>
        <v/>
      </c>
      <c r="K385" s="111">
        <f>IF(AND(C385="Annuity",I385&gt;0),IF(F385&gt;0,'Deal maths'!Y385*F385/(1-(1+F385)^-I385),'Deal maths'!Y385/I385),0)</f>
        <v/>
      </c>
      <c r="L385" s="111">
        <f>IF('Deal maths'!Y385="",0,'Deal maths'!Y385)</f>
        <v/>
      </c>
      <c r="M385" s="112">
        <f>F385+(F385=0)</f>
        <v/>
      </c>
      <c r="N385" s="108">
        <f>IFERROR(IF(D385=0,0,INT(((YEAR('Deal maths'!AA385)-YEAR(E385))*12+MONTH('Deal maths'!AA385)-MONTH(E385)-(DAY('Deal maths'!AA385)&lt;MIN(R385,DAY(EOMONTH('Deal maths'!AA385,0)))))/D385)+1),0)</f>
        <v/>
      </c>
      <c r="O385" s="108">
        <f>IFERROR(IF(D385=0,0,IF(IF(DAY(E385+1)=1,EOMONTH(E385,(N385-1)*D385),EDATE(E385,(N385-1)*D385))='Deal maths'!AA385,0,1)),0)</f>
        <v/>
      </c>
      <c r="P385" s="113">
        <f>IF(B385=0,0,IFERROR(IF(C385="EIP",((I385-O385)*((IF(DAY(E385+1)=1,EOMONTH(E385,H385*D385),EDATE(E385,H385*D385))-AsAt)/365.25+(IF(DAY(E385+1)=1,EOMONTH(E385,(N385-1)*D385),EDATE(E385,(N385-1)*D385))-AsAt)/365.25)/2+O385*('Deal maths'!AA385-AsAt)/365.25)/I385,IF(C385="Annuity",IF(F385&gt;0,((K385-L385*F385)*((IF(DAY(E385+1)=1,EOMONTH(E385,H385*D385),EDATE(E385,H385*D385))-AsAt)/365.25*((1+F385)^(I385-O385)-1)/F385+IF((I385-O385)&gt;1,((IF(DAY(E385+1)=1,EOMONTH(E385,(N385-1)*D385),EDATE(E385,(N385-1)*D385))-AsAt)/365.25-(IF(DAY(E385+1)=1,EOMONTH(E385,H385*D385),EDATE(E385,H385*D385))-AsAt)/365.25)/((I385-O385)-1),0)*(1+F385)*(1-(I385-O385)*(1+F385)^((I385-O385)-1)+((I385-O385)-1)*(1+F385)^(I385-O385))/F385^2)+O385*(K385-L385*F385)*(1+F385)^(I385-1)*('Deal maths'!AA385-AsAt)/365.25)/L385,((I385-O385)*((IF(DAY(E385+1)=1,EOMONTH(E385,H385*D385),EDATE(E385,H385*D385))-AsAt)/365.25+(IF(DAY(E385+1)=1,EOMONTH(E385,(N385-1)*D385),EDATE(E385,(N385-1)*D385))-AsAt)/365.25)/2+O385*('Deal maths'!AA385-AsAt)/365.25)/I385),(S385-AsAt)/365.25)),0))</f>
        <v/>
      </c>
      <c r="Q385" s="109">
        <f>IF(B385=1,'Deal maths'!AA385+ROW()/1000000,"")</f>
        <v/>
      </c>
      <c r="R385" s="108">
        <f>IF(D385=0,0,IF(DAY(E385+1)=1,31,DAY(E385)))</f>
        <v/>
      </c>
      <c r="S385" s="109">
        <f>IF(AND('Deal maths'!V385="LOBO",'Deal maths'!AG385&gt;AsAt,'Deal maths'!AG385&lt;'Deal maths'!AA385),'Deal maths'!AG385,'Deal maths'!AA385)</f>
        <v/>
      </c>
      <c r="T385" s="108">
        <f>('Deal maths'!AA385&gt;AsAt)*('Deal maths'!Y385&gt;0)</f>
        <v/>
      </c>
    </row>
    <row r="386">
      <c r="A386" s="91">
        <f>IF('Deal maths'!V386="","",'Deal maths'!W386)</f>
        <v/>
      </c>
      <c r="B386" s="108">
        <f>('Deal maths'!AA386&gt;AsAt)*('Deal maths'!Y386&gt;0)*('Deal maths'!Z386&lt;=AsAt)</f>
        <v/>
      </c>
      <c r="C386" s="91">
        <f>IF('Deal maths'!V386="","",IF('Deal maths'!AC386="","Maturity",'Deal maths'!AC386))</f>
        <v/>
      </c>
      <c r="D386" s="108">
        <f>IF(OR(C386="EIP",C386="Annuity"),IF('Deal maths'!AD386="Annual",12,IF('Deal maths'!AD386="Quarterly",3,6)),0)</f>
        <v/>
      </c>
      <c r="E386" s="109">
        <f>IFERROR(IF(D386=0,0,IF('Deal maths'!AE386&gt;0,IF('Deal maths'!AE386&gt;'Deal maths'!AA386,'Deal maths'!AA386,'Deal maths'!AE386),IF(IF(DAY('Deal maths'!AA386+1)=1,EOMONTH('Deal maths'!AA386,-(INT(((YEAR('Deal maths'!AA386)-YEAR(IF('Deal maths'!Z386&gt;0,'Deal maths'!Z386,DATE(1990,1,1))))*12+MONTH('Deal maths'!AA386)-MONTH(IF('Deal maths'!Z386&gt;0,'Deal maths'!Z386,DATE(1990,1,1))))/D386))*D386),EDATE('Deal maths'!AA386,-(INT(((YEAR('Deal maths'!AA386)-YEAR(IF('Deal maths'!Z386&gt;0,'Deal maths'!Z386,DATE(1990,1,1))))*12+MONTH('Deal maths'!AA386)-MONTH(IF('Deal maths'!Z386&gt;0,'Deal maths'!Z386,DATE(1990,1,1))))/D386))*D386))&gt;IF('Deal maths'!Z386&gt;0,'Deal maths'!Z386,DATE(1990,1,1)),IF(DAY('Deal maths'!AA386+1)=1,EOMONTH('Deal maths'!AA386,-(INT(((YEAR('Deal maths'!AA386)-YEAR(IF('Deal maths'!Z386&gt;0,'Deal maths'!Z386,DATE(1990,1,1))))*12+MONTH('Deal maths'!AA386)-MONTH(IF('Deal maths'!Z386&gt;0,'Deal maths'!Z386,DATE(1990,1,1))))/D386))*D386),EDATE('Deal maths'!AA386,-(INT(((YEAR('Deal maths'!AA386)-YEAR(IF('Deal maths'!Z386&gt;0,'Deal maths'!Z386,DATE(1990,1,1))))*12+MONTH('Deal maths'!AA386)-MONTH(IF('Deal maths'!Z386&gt;0,'Deal maths'!Z386,DATE(1990,1,1))))/D386))*D386)),IF(DAY('Deal maths'!AA386+1)=1,EOMONTH('Deal maths'!AA386,-(INT(((YEAR('Deal maths'!AA386)-YEAR(IF('Deal maths'!Z386&gt;0,'Deal maths'!Z386,DATE(1990,1,1))))*12+MONTH('Deal maths'!AA386)-MONTH(IF('Deal maths'!Z386&gt;0,'Deal maths'!Z386,DATE(1990,1,1))))/D386)-1)*D386),EDATE('Deal maths'!AA386,-(INT(((YEAR('Deal maths'!AA386)-YEAR(IF('Deal maths'!Z386&gt;0,'Deal maths'!Z386,DATE(1990,1,1))))*12+MONTH('Deal maths'!AA386)-MONTH(IF('Deal maths'!Z386&gt;0,'Deal maths'!Z386,DATE(1990,1,1))))/D386)-1)*D386))))),0)</f>
        <v/>
      </c>
      <c r="F386" s="110">
        <f>IF(D386=0,0,'Deal maths'!AB386*D386/12)</f>
        <v/>
      </c>
      <c r="G386" s="108">
        <f>N386+O386</f>
        <v/>
      </c>
      <c r="H386" s="108">
        <f>IFERROR(IF(OR(D386=0,AsAt&lt;E386),0,MIN(N386,INT(((YEAR(AsAt)-YEAR(E386))*12+MONTH(AsAt)-MONTH(E386)-(DAY(AsAt)&lt;MIN(R386,DAY(EOMONTH(AsAt,0)))))/D386)+1)+O386*(AsAt&gt;='Deal maths'!AA386)),0)</f>
        <v/>
      </c>
      <c r="I386" s="108">
        <f>G386-H386</f>
        <v/>
      </c>
      <c r="J386" s="111">
        <f>IF(AND(C386="EIP",I386&gt;0),'Deal maths'!Y386/I386,0)</f>
        <v/>
      </c>
      <c r="K386" s="111">
        <f>IF(AND(C386="Annuity",I386&gt;0),IF(F386&gt;0,'Deal maths'!Y386*F386/(1-(1+F386)^-I386),'Deal maths'!Y386/I386),0)</f>
        <v/>
      </c>
      <c r="L386" s="111">
        <f>IF('Deal maths'!Y386="",0,'Deal maths'!Y386)</f>
        <v/>
      </c>
      <c r="M386" s="112">
        <f>F386+(F386=0)</f>
        <v/>
      </c>
      <c r="N386" s="108">
        <f>IFERROR(IF(D386=0,0,INT(((YEAR('Deal maths'!AA386)-YEAR(E386))*12+MONTH('Deal maths'!AA386)-MONTH(E386)-(DAY('Deal maths'!AA386)&lt;MIN(R386,DAY(EOMONTH('Deal maths'!AA386,0)))))/D386)+1),0)</f>
        <v/>
      </c>
      <c r="O386" s="108">
        <f>IFERROR(IF(D386=0,0,IF(IF(DAY(E386+1)=1,EOMONTH(E386,(N386-1)*D386),EDATE(E386,(N386-1)*D386))='Deal maths'!AA386,0,1)),0)</f>
        <v/>
      </c>
      <c r="P386" s="113">
        <f>IF(B386=0,0,IFERROR(IF(C386="EIP",((I386-O386)*((IF(DAY(E386+1)=1,EOMONTH(E386,H386*D386),EDATE(E386,H386*D386))-AsAt)/365.25+(IF(DAY(E386+1)=1,EOMONTH(E386,(N386-1)*D386),EDATE(E386,(N386-1)*D386))-AsAt)/365.25)/2+O386*('Deal maths'!AA386-AsAt)/365.25)/I386,IF(C386="Annuity",IF(F386&gt;0,((K386-L386*F386)*((IF(DAY(E386+1)=1,EOMONTH(E386,H386*D386),EDATE(E386,H386*D386))-AsAt)/365.25*((1+F386)^(I386-O386)-1)/F386+IF((I386-O386)&gt;1,((IF(DAY(E386+1)=1,EOMONTH(E386,(N386-1)*D386),EDATE(E386,(N386-1)*D386))-AsAt)/365.25-(IF(DAY(E386+1)=1,EOMONTH(E386,H386*D386),EDATE(E386,H386*D386))-AsAt)/365.25)/((I386-O386)-1),0)*(1+F386)*(1-(I386-O386)*(1+F386)^((I386-O386)-1)+((I386-O386)-1)*(1+F386)^(I386-O386))/F386^2)+O386*(K386-L386*F386)*(1+F386)^(I386-1)*('Deal maths'!AA386-AsAt)/365.25)/L386,((I386-O386)*((IF(DAY(E386+1)=1,EOMONTH(E386,H386*D386),EDATE(E386,H386*D386))-AsAt)/365.25+(IF(DAY(E386+1)=1,EOMONTH(E386,(N386-1)*D386),EDATE(E386,(N386-1)*D386))-AsAt)/365.25)/2+O386*('Deal maths'!AA386-AsAt)/365.25)/I386),(S386-AsAt)/365.25)),0))</f>
        <v/>
      </c>
      <c r="Q386" s="109">
        <f>IF(B386=1,'Deal maths'!AA386+ROW()/1000000,"")</f>
        <v/>
      </c>
      <c r="R386" s="108">
        <f>IF(D386=0,0,IF(DAY(E386+1)=1,31,DAY(E386)))</f>
        <v/>
      </c>
      <c r="S386" s="109">
        <f>IF(AND('Deal maths'!V386="LOBO",'Deal maths'!AG386&gt;AsAt,'Deal maths'!AG386&lt;'Deal maths'!AA386),'Deal maths'!AG386,'Deal maths'!AA386)</f>
        <v/>
      </c>
      <c r="T386" s="108">
        <f>('Deal maths'!AA386&gt;AsAt)*('Deal maths'!Y386&gt;0)</f>
        <v/>
      </c>
    </row>
    <row r="387">
      <c r="A387" s="91">
        <f>IF('Deal maths'!V387="","",'Deal maths'!W387)</f>
        <v/>
      </c>
      <c r="B387" s="108">
        <f>('Deal maths'!AA387&gt;AsAt)*('Deal maths'!Y387&gt;0)*('Deal maths'!Z387&lt;=AsAt)</f>
        <v/>
      </c>
      <c r="C387" s="91">
        <f>IF('Deal maths'!V387="","",IF('Deal maths'!AC387="","Maturity",'Deal maths'!AC387))</f>
        <v/>
      </c>
      <c r="D387" s="108">
        <f>IF(OR(C387="EIP",C387="Annuity"),IF('Deal maths'!AD387="Annual",12,IF('Deal maths'!AD387="Quarterly",3,6)),0)</f>
        <v/>
      </c>
      <c r="E387" s="109">
        <f>IFERROR(IF(D387=0,0,IF('Deal maths'!AE387&gt;0,IF('Deal maths'!AE387&gt;'Deal maths'!AA387,'Deal maths'!AA387,'Deal maths'!AE387),IF(IF(DAY('Deal maths'!AA387+1)=1,EOMONTH('Deal maths'!AA387,-(INT(((YEAR('Deal maths'!AA387)-YEAR(IF('Deal maths'!Z387&gt;0,'Deal maths'!Z387,DATE(1990,1,1))))*12+MONTH('Deal maths'!AA387)-MONTH(IF('Deal maths'!Z387&gt;0,'Deal maths'!Z387,DATE(1990,1,1))))/D387))*D387),EDATE('Deal maths'!AA387,-(INT(((YEAR('Deal maths'!AA387)-YEAR(IF('Deal maths'!Z387&gt;0,'Deal maths'!Z387,DATE(1990,1,1))))*12+MONTH('Deal maths'!AA387)-MONTH(IF('Deal maths'!Z387&gt;0,'Deal maths'!Z387,DATE(1990,1,1))))/D387))*D387))&gt;IF('Deal maths'!Z387&gt;0,'Deal maths'!Z387,DATE(1990,1,1)),IF(DAY('Deal maths'!AA387+1)=1,EOMONTH('Deal maths'!AA387,-(INT(((YEAR('Deal maths'!AA387)-YEAR(IF('Deal maths'!Z387&gt;0,'Deal maths'!Z387,DATE(1990,1,1))))*12+MONTH('Deal maths'!AA387)-MONTH(IF('Deal maths'!Z387&gt;0,'Deal maths'!Z387,DATE(1990,1,1))))/D387))*D387),EDATE('Deal maths'!AA387,-(INT(((YEAR('Deal maths'!AA387)-YEAR(IF('Deal maths'!Z387&gt;0,'Deal maths'!Z387,DATE(1990,1,1))))*12+MONTH('Deal maths'!AA387)-MONTH(IF('Deal maths'!Z387&gt;0,'Deal maths'!Z387,DATE(1990,1,1))))/D387))*D387)),IF(DAY('Deal maths'!AA387+1)=1,EOMONTH('Deal maths'!AA387,-(INT(((YEAR('Deal maths'!AA387)-YEAR(IF('Deal maths'!Z387&gt;0,'Deal maths'!Z387,DATE(1990,1,1))))*12+MONTH('Deal maths'!AA387)-MONTH(IF('Deal maths'!Z387&gt;0,'Deal maths'!Z387,DATE(1990,1,1))))/D387)-1)*D387),EDATE('Deal maths'!AA387,-(INT(((YEAR('Deal maths'!AA387)-YEAR(IF('Deal maths'!Z387&gt;0,'Deal maths'!Z387,DATE(1990,1,1))))*12+MONTH('Deal maths'!AA387)-MONTH(IF('Deal maths'!Z387&gt;0,'Deal maths'!Z387,DATE(1990,1,1))))/D387)-1)*D387))))),0)</f>
        <v/>
      </c>
      <c r="F387" s="110">
        <f>IF(D387=0,0,'Deal maths'!AB387*D387/12)</f>
        <v/>
      </c>
      <c r="G387" s="108">
        <f>N387+O387</f>
        <v/>
      </c>
      <c r="H387" s="108">
        <f>IFERROR(IF(OR(D387=0,AsAt&lt;E387),0,MIN(N387,INT(((YEAR(AsAt)-YEAR(E387))*12+MONTH(AsAt)-MONTH(E387)-(DAY(AsAt)&lt;MIN(R387,DAY(EOMONTH(AsAt,0)))))/D387)+1)+O387*(AsAt&gt;='Deal maths'!AA387)),0)</f>
        <v/>
      </c>
      <c r="I387" s="108">
        <f>G387-H387</f>
        <v/>
      </c>
      <c r="J387" s="111">
        <f>IF(AND(C387="EIP",I387&gt;0),'Deal maths'!Y387/I387,0)</f>
        <v/>
      </c>
      <c r="K387" s="111">
        <f>IF(AND(C387="Annuity",I387&gt;0),IF(F387&gt;0,'Deal maths'!Y387*F387/(1-(1+F387)^-I387),'Deal maths'!Y387/I387),0)</f>
        <v/>
      </c>
      <c r="L387" s="111">
        <f>IF('Deal maths'!Y387="",0,'Deal maths'!Y387)</f>
        <v/>
      </c>
      <c r="M387" s="112">
        <f>F387+(F387=0)</f>
        <v/>
      </c>
      <c r="N387" s="108">
        <f>IFERROR(IF(D387=0,0,INT(((YEAR('Deal maths'!AA387)-YEAR(E387))*12+MONTH('Deal maths'!AA387)-MONTH(E387)-(DAY('Deal maths'!AA387)&lt;MIN(R387,DAY(EOMONTH('Deal maths'!AA387,0)))))/D387)+1),0)</f>
        <v/>
      </c>
      <c r="O387" s="108">
        <f>IFERROR(IF(D387=0,0,IF(IF(DAY(E387+1)=1,EOMONTH(E387,(N387-1)*D387),EDATE(E387,(N387-1)*D387))='Deal maths'!AA387,0,1)),0)</f>
        <v/>
      </c>
      <c r="P387" s="113">
        <f>IF(B387=0,0,IFERROR(IF(C387="EIP",((I387-O387)*((IF(DAY(E387+1)=1,EOMONTH(E387,H387*D387),EDATE(E387,H387*D387))-AsAt)/365.25+(IF(DAY(E387+1)=1,EOMONTH(E387,(N387-1)*D387),EDATE(E387,(N387-1)*D387))-AsAt)/365.25)/2+O387*('Deal maths'!AA387-AsAt)/365.25)/I387,IF(C387="Annuity",IF(F387&gt;0,((K387-L387*F387)*((IF(DAY(E387+1)=1,EOMONTH(E387,H387*D387),EDATE(E387,H387*D387))-AsAt)/365.25*((1+F387)^(I387-O387)-1)/F387+IF((I387-O387)&gt;1,((IF(DAY(E387+1)=1,EOMONTH(E387,(N387-1)*D387),EDATE(E387,(N387-1)*D387))-AsAt)/365.25-(IF(DAY(E387+1)=1,EOMONTH(E387,H387*D387),EDATE(E387,H387*D387))-AsAt)/365.25)/((I387-O387)-1),0)*(1+F387)*(1-(I387-O387)*(1+F387)^((I387-O387)-1)+((I387-O387)-1)*(1+F387)^(I387-O387))/F387^2)+O387*(K387-L387*F387)*(1+F387)^(I387-1)*('Deal maths'!AA387-AsAt)/365.25)/L387,((I387-O387)*((IF(DAY(E387+1)=1,EOMONTH(E387,H387*D387),EDATE(E387,H387*D387))-AsAt)/365.25+(IF(DAY(E387+1)=1,EOMONTH(E387,(N387-1)*D387),EDATE(E387,(N387-1)*D387))-AsAt)/365.25)/2+O387*('Deal maths'!AA387-AsAt)/365.25)/I387),(S387-AsAt)/365.25)),0))</f>
        <v/>
      </c>
      <c r="Q387" s="109">
        <f>IF(B387=1,'Deal maths'!AA387+ROW()/1000000,"")</f>
        <v/>
      </c>
      <c r="R387" s="108">
        <f>IF(D387=0,0,IF(DAY(E387+1)=1,31,DAY(E387)))</f>
        <v/>
      </c>
      <c r="S387" s="109">
        <f>IF(AND('Deal maths'!V387="LOBO",'Deal maths'!AG387&gt;AsAt,'Deal maths'!AG387&lt;'Deal maths'!AA387),'Deal maths'!AG387,'Deal maths'!AA387)</f>
        <v/>
      </c>
      <c r="T387" s="108">
        <f>('Deal maths'!AA387&gt;AsAt)*('Deal maths'!Y387&gt;0)</f>
        <v/>
      </c>
    </row>
    <row r="388">
      <c r="A388" s="91">
        <f>IF('Deal maths'!V388="","",'Deal maths'!W388)</f>
        <v/>
      </c>
      <c r="B388" s="108">
        <f>('Deal maths'!AA388&gt;AsAt)*('Deal maths'!Y388&gt;0)*('Deal maths'!Z388&lt;=AsAt)</f>
        <v/>
      </c>
      <c r="C388" s="91">
        <f>IF('Deal maths'!V388="","",IF('Deal maths'!AC388="","Maturity",'Deal maths'!AC388))</f>
        <v/>
      </c>
      <c r="D388" s="108">
        <f>IF(OR(C388="EIP",C388="Annuity"),IF('Deal maths'!AD388="Annual",12,IF('Deal maths'!AD388="Quarterly",3,6)),0)</f>
        <v/>
      </c>
      <c r="E388" s="109">
        <f>IFERROR(IF(D388=0,0,IF('Deal maths'!AE388&gt;0,IF('Deal maths'!AE388&gt;'Deal maths'!AA388,'Deal maths'!AA388,'Deal maths'!AE388),IF(IF(DAY('Deal maths'!AA388+1)=1,EOMONTH('Deal maths'!AA388,-(INT(((YEAR('Deal maths'!AA388)-YEAR(IF('Deal maths'!Z388&gt;0,'Deal maths'!Z388,DATE(1990,1,1))))*12+MONTH('Deal maths'!AA388)-MONTH(IF('Deal maths'!Z388&gt;0,'Deal maths'!Z388,DATE(1990,1,1))))/D388))*D388),EDATE('Deal maths'!AA388,-(INT(((YEAR('Deal maths'!AA388)-YEAR(IF('Deal maths'!Z388&gt;0,'Deal maths'!Z388,DATE(1990,1,1))))*12+MONTH('Deal maths'!AA388)-MONTH(IF('Deal maths'!Z388&gt;0,'Deal maths'!Z388,DATE(1990,1,1))))/D388))*D388))&gt;IF('Deal maths'!Z388&gt;0,'Deal maths'!Z388,DATE(1990,1,1)),IF(DAY('Deal maths'!AA388+1)=1,EOMONTH('Deal maths'!AA388,-(INT(((YEAR('Deal maths'!AA388)-YEAR(IF('Deal maths'!Z388&gt;0,'Deal maths'!Z388,DATE(1990,1,1))))*12+MONTH('Deal maths'!AA388)-MONTH(IF('Deal maths'!Z388&gt;0,'Deal maths'!Z388,DATE(1990,1,1))))/D388))*D388),EDATE('Deal maths'!AA388,-(INT(((YEAR('Deal maths'!AA388)-YEAR(IF('Deal maths'!Z388&gt;0,'Deal maths'!Z388,DATE(1990,1,1))))*12+MONTH('Deal maths'!AA388)-MONTH(IF('Deal maths'!Z388&gt;0,'Deal maths'!Z388,DATE(1990,1,1))))/D388))*D388)),IF(DAY('Deal maths'!AA388+1)=1,EOMONTH('Deal maths'!AA388,-(INT(((YEAR('Deal maths'!AA388)-YEAR(IF('Deal maths'!Z388&gt;0,'Deal maths'!Z388,DATE(1990,1,1))))*12+MONTH('Deal maths'!AA388)-MONTH(IF('Deal maths'!Z388&gt;0,'Deal maths'!Z388,DATE(1990,1,1))))/D388)-1)*D388),EDATE('Deal maths'!AA388,-(INT(((YEAR('Deal maths'!AA388)-YEAR(IF('Deal maths'!Z388&gt;0,'Deal maths'!Z388,DATE(1990,1,1))))*12+MONTH('Deal maths'!AA388)-MONTH(IF('Deal maths'!Z388&gt;0,'Deal maths'!Z388,DATE(1990,1,1))))/D388)-1)*D388))))),0)</f>
        <v/>
      </c>
      <c r="F388" s="110">
        <f>IF(D388=0,0,'Deal maths'!AB388*D388/12)</f>
        <v/>
      </c>
      <c r="G388" s="108">
        <f>N388+O388</f>
        <v/>
      </c>
      <c r="H388" s="108">
        <f>IFERROR(IF(OR(D388=0,AsAt&lt;E388),0,MIN(N388,INT(((YEAR(AsAt)-YEAR(E388))*12+MONTH(AsAt)-MONTH(E388)-(DAY(AsAt)&lt;MIN(R388,DAY(EOMONTH(AsAt,0)))))/D388)+1)+O388*(AsAt&gt;='Deal maths'!AA388)),0)</f>
        <v/>
      </c>
      <c r="I388" s="108">
        <f>G388-H388</f>
        <v/>
      </c>
      <c r="J388" s="111">
        <f>IF(AND(C388="EIP",I388&gt;0),'Deal maths'!Y388/I388,0)</f>
        <v/>
      </c>
      <c r="K388" s="111">
        <f>IF(AND(C388="Annuity",I388&gt;0),IF(F388&gt;0,'Deal maths'!Y388*F388/(1-(1+F388)^-I388),'Deal maths'!Y388/I388),0)</f>
        <v/>
      </c>
      <c r="L388" s="111">
        <f>IF('Deal maths'!Y388="",0,'Deal maths'!Y388)</f>
        <v/>
      </c>
      <c r="M388" s="112">
        <f>F388+(F388=0)</f>
        <v/>
      </c>
      <c r="N388" s="108">
        <f>IFERROR(IF(D388=0,0,INT(((YEAR('Deal maths'!AA388)-YEAR(E388))*12+MONTH('Deal maths'!AA388)-MONTH(E388)-(DAY('Deal maths'!AA388)&lt;MIN(R388,DAY(EOMONTH('Deal maths'!AA388,0)))))/D388)+1),0)</f>
        <v/>
      </c>
      <c r="O388" s="108">
        <f>IFERROR(IF(D388=0,0,IF(IF(DAY(E388+1)=1,EOMONTH(E388,(N388-1)*D388),EDATE(E388,(N388-1)*D388))='Deal maths'!AA388,0,1)),0)</f>
        <v/>
      </c>
      <c r="P388" s="113">
        <f>IF(B388=0,0,IFERROR(IF(C388="EIP",((I388-O388)*((IF(DAY(E388+1)=1,EOMONTH(E388,H388*D388),EDATE(E388,H388*D388))-AsAt)/365.25+(IF(DAY(E388+1)=1,EOMONTH(E388,(N388-1)*D388),EDATE(E388,(N388-1)*D388))-AsAt)/365.25)/2+O388*('Deal maths'!AA388-AsAt)/365.25)/I388,IF(C388="Annuity",IF(F388&gt;0,((K388-L388*F388)*((IF(DAY(E388+1)=1,EOMONTH(E388,H388*D388),EDATE(E388,H388*D388))-AsAt)/365.25*((1+F388)^(I388-O388)-1)/F388+IF((I388-O388)&gt;1,((IF(DAY(E388+1)=1,EOMONTH(E388,(N388-1)*D388),EDATE(E388,(N388-1)*D388))-AsAt)/365.25-(IF(DAY(E388+1)=1,EOMONTH(E388,H388*D388),EDATE(E388,H388*D388))-AsAt)/365.25)/((I388-O388)-1),0)*(1+F388)*(1-(I388-O388)*(1+F388)^((I388-O388)-1)+((I388-O388)-1)*(1+F388)^(I388-O388))/F388^2)+O388*(K388-L388*F388)*(1+F388)^(I388-1)*('Deal maths'!AA388-AsAt)/365.25)/L388,((I388-O388)*((IF(DAY(E388+1)=1,EOMONTH(E388,H388*D388),EDATE(E388,H388*D388))-AsAt)/365.25+(IF(DAY(E388+1)=1,EOMONTH(E388,(N388-1)*D388),EDATE(E388,(N388-1)*D388))-AsAt)/365.25)/2+O388*('Deal maths'!AA388-AsAt)/365.25)/I388),(S388-AsAt)/365.25)),0))</f>
        <v/>
      </c>
      <c r="Q388" s="109">
        <f>IF(B388=1,'Deal maths'!AA388+ROW()/1000000,"")</f>
        <v/>
      </c>
      <c r="R388" s="108">
        <f>IF(D388=0,0,IF(DAY(E388+1)=1,31,DAY(E388)))</f>
        <v/>
      </c>
      <c r="S388" s="109">
        <f>IF(AND('Deal maths'!V388="LOBO",'Deal maths'!AG388&gt;AsAt,'Deal maths'!AG388&lt;'Deal maths'!AA388),'Deal maths'!AG388,'Deal maths'!AA388)</f>
        <v/>
      </c>
      <c r="T388" s="108">
        <f>('Deal maths'!AA388&gt;AsAt)*('Deal maths'!Y388&gt;0)</f>
        <v/>
      </c>
    </row>
    <row r="389">
      <c r="A389" s="91">
        <f>IF('Deal maths'!V389="","",'Deal maths'!W389)</f>
        <v/>
      </c>
      <c r="B389" s="108">
        <f>('Deal maths'!AA389&gt;AsAt)*('Deal maths'!Y389&gt;0)*('Deal maths'!Z389&lt;=AsAt)</f>
        <v/>
      </c>
      <c r="C389" s="91">
        <f>IF('Deal maths'!V389="","",IF('Deal maths'!AC389="","Maturity",'Deal maths'!AC389))</f>
        <v/>
      </c>
      <c r="D389" s="108">
        <f>IF(OR(C389="EIP",C389="Annuity"),IF('Deal maths'!AD389="Annual",12,IF('Deal maths'!AD389="Quarterly",3,6)),0)</f>
        <v/>
      </c>
      <c r="E389" s="109">
        <f>IFERROR(IF(D389=0,0,IF('Deal maths'!AE389&gt;0,IF('Deal maths'!AE389&gt;'Deal maths'!AA389,'Deal maths'!AA389,'Deal maths'!AE389),IF(IF(DAY('Deal maths'!AA389+1)=1,EOMONTH('Deal maths'!AA389,-(INT(((YEAR('Deal maths'!AA389)-YEAR(IF('Deal maths'!Z389&gt;0,'Deal maths'!Z389,DATE(1990,1,1))))*12+MONTH('Deal maths'!AA389)-MONTH(IF('Deal maths'!Z389&gt;0,'Deal maths'!Z389,DATE(1990,1,1))))/D389))*D389),EDATE('Deal maths'!AA389,-(INT(((YEAR('Deal maths'!AA389)-YEAR(IF('Deal maths'!Z389&gt;0,'Deal maths'!Z389,DATE(1990,1,1))))*12+MONTH('Deal maths'!AA389)-MONTH(IF('Deal maths'!Z389&gt;0,'Deal maths'!Z389,DATE(1990,1,1))))/D389))*D389))&gt;IF('Deal maths'!Z389&gt;0,'Deal maths'!Z389,DATE(1990,1,1)),IF(DAY('Deal maths'!AA389+1)=1,EOMONTH('Deal maths'!AA389,-(INT(((YEAR('Deal maths'!AA389)-YEAR(IF('Deal maths'!Z389&gt;0,'Deal maths'!Z389,DATE(1990,1,1))))*12+MONTH('Deal maths'!AA389)-MONTH(IF('Deal maths'!Z389&gt;0,'Deal maths'!Z389,DATE(1990,1,1))))/D389))*D389),EDATE('Deal maths'!AA389,-(INT(((YEAR('Deal maths'!AA389)-YEAR(IF('Deal maths'!Z389&gt;0,'Deal maths'!Z389,DATE(1990,1,1))))*12+MONTH('Deal maths'!AA389)-MONTH(IF('Deal maths'!Z389&gt;0,'Deal maths'!Z389,DATE(1990,1,1))))/D389))*D389)),IF(DAY('Deal maths'!AA389+1)=1,EOMONTH('Deal maths'!AA389,-(INT(((YEAR('Deal maths'!AA389)-YEAR(IF('Deal maths'!Z389&gt;0,'Deal maths'!Z389,DATE(1990,1,1))))*12+MONTH('Deal maths'!AA389)-MONTH(IF('Deal maths'!Z389&gt;0,'Deal maths'!Z389,DATE(1990,1,1))))/D389)-1)*D389),EDATE('Deal maths'!AA389,-(INT(((YEAR('Deal maths'!AA389)-YEAR(IF('Deal maths'!Z389&gt;0,'Deal maths'!Z389,DATE(1990,1,1))))*12+MONTH('Deal maths'!AA389)-MONTH(IF('Deal maths'!Z389&gt;0,'Deal maths'!Z389,DATE(1990,1,1))))/D389)-1)*D389))))),0)</f>
        <v/>
      </c>
      <c r="F389" s="110">
        <f>IF(D389=0,0,'Deal maths'!AB389*D389/12)</f>
        <v/>
      </c>
      <c r="G389" s="108">
        <f>N389+O389</f>
        <v/>
      </c>
      <c r="H389" s="108">
        <f>IFERROR(IF(OR(D389=0,AsAt&lt;E389),0,MIN(N389,INT(((YEAR(AsAt)-YEAR(E389))*12+MONTH(AsAt)-MONTH(E389)-(DAY(AsAt)&lt;MIN(R389,DAY(EOMONTH(AsAt,0)))))/D389)+1)+O389*(AsAt&gt;='Deal maths'!AA389)),0)</f>
        <v/>
      </c>
      <c r="I389" s="108">
        <f>G389-H389</f>
        <v/>
      </c>
      <c r="J389" s="111">
        <f>IF(AND(C389="EIP",I389&gt;0),'Deal maths'!Y389/I389,0)</f>
        <v/>
      </c>
      <c r="K389" s="111">
        <f>IF(AND(C389="Annuity",I389&gt;0),IF(F389&gt;0,'Deal maths'!Y389*F389/(1-(1+F389)^-I389),'Deal maths'!Y389/I389),0)</f>
        <v/>
      </c>
      <c r="L389" s="111">
        <f>IF('Deal maths'!Y389="",0,'Deal maths'!Y389)</f>
        <v/>
      </c>
      <c r="M389" s="112">
        <f>F389+(F389=0)</f>
        <v/>
      </c>
      <c r="N389" s="108">
        <f>IFERROR(IF(D389=0,0,INT(((YEAR('Deal maths'!AA389)-YEAR(E389))*12+MONTH('Deal maths'!AA389)-MONTH(E389)-(DAY('Deal maths'!AA389)&lt;MIN(R389,DAY(EOMONTH('Deal maths'!AA389,0)))))/D389)+1),0)</f>
        <v/>
      </c>
      <c r="O389" s="108">
        <f>IFERROR(IF(D389=0,0,IF(IF(DAY(E389+1)=1,EOMONTH(E389,(N389-1)*D389),EDATE(E389,(N389-1)*D389))='Deal maths'!AA389,0,1)),0)</f>
        <v/>
      </c>
      <c r="P389" s="113">
        <f>IF(B389=0,0,IFERROR(IF(C389="EIP",((I389-O389)*((IF(DAY(E389+1)=1,EOMONTH(E389,H389*D389),EDATE(E389,H389*D389))-AsAt)/365.25+(IF(DAY(E389+1)=1,EOMONTH(E389,(N389-1)*D389),EDATE(E389,(N389-1)*D389))-AsAt)/365.25)/2+O389*('Deal maths'!AA389-AsAt)/365.25)/I389,IF(C389="Annuity",IF(F389&gt;0,((K389-L389*F389)*((IF(DAY(E389+1)=1,EOMONTH(E389,H389*D389),EDATE(E389,H389*D389))-AsAt)/365.25*((1+F389)^(I389-O389)-1)/F389+IF((I389-O389)&gt;1,((IF(DAY(E389+1)=1,EOMONTH(E389,(N389-1)*D389),EDATE(E389,(N389-1)*D389))-AsAt)/365.25-(IF(DAY(E389+1)=1,EOMONTH(E389,H389*D389),EDATE(E389,H389*D389))-AsAt)/365.25)/((I389-O389)-1),0)*(1+F389)*(1-(I389-O389)*(1+F389)^((I389-O389)-1)+((I389-O389)-1)*(1+F389)^(I389-O389))/F389^2)+O389*(K389-L389*F389)*(1+F389)^(I389-1)*('Deal maths'!AA389-AsAt)/365.25)/L389,((I389-O389)*((IF(DAY(E389+1)=1,EOMONTH(E389,H389*D389),EDATE(E389,H389*D389))-AsAt)/365.25+(IF(DAY(E389+1)=1,EOMONTH(E389,(N389-1)*D389),EDATE(E389,(N389-1)*D389))-AsAt)/365.25)/2+O389*('Deal maths'!AA389-AsAt)/365.25)/I389),(S389-AsAt)/365.25)),0))</f>
        <v/>
      </c>
      <c r="Q389" s="109">
        <f>IF(B389=1,'Deal maths'!AA389+ROW()/1000000,"")</f>
        <v/>
      </c>
      <c r="R389" s="108">
        <f>IF(D389=0,0,IF(DAY(E389+1)=1,31,DAY(E389)))</f>
        <v/>
      </c>
      <c r="S389" s="109">
        <f>IF(AND('Deal maths'!V389="LOBO",'Deal maths'!AG389&gt;AsAt,'Deal maths'!AG389&lt;'Deal maths'!AA389),'Deal maths'!AG389,'Deal maths'!AA389)</f>
        <v/>
      </c>
      <c r="T389" s="108">
        <f>('Deal maths'!AA389&gt;AsAt)*('Deal maths'!Y389&gt;0)</f>
        <v/>
      </c>
    </row>
    <row r="390">
      <c r="A390" s="91">
        <f>IF('Deal maths'!V390="","",'Deal maths'!W390)</f>
        <v/>
      </c>
      <c r="B390" s="108">
        <f>('Deal maths'!AA390&gt;AsAt)*('Deal maths'!Y390&gt;0)*('Deal maths'!Z390&lt;=AsAt)</f>
        <v/>
      </c>
      <c r="C390" s="91">
        <f>IF('Deal maths'!V390="","",IF('Deal maths'!AC390="","Maturity",'Deal maths'!AC390))</f>
        <v/>
      </c>
      <c r="D390" s="108">
        <f>IF(OR(C390="EIP",C390="Annuity"),IF('Deal maths'!AD390="Annual",12,IF('Deal maths'!AD390="Quarterly",3,6)),0)</f>
        <v/>
      </c>
      <c r="E390" s="109">
        <f>IFERROR(IF(D390=0,0,IF('Deal maths'!AE390&gt;0,IF('Deal maths'!AE390&gt;'Deal maths'!AA390,'Deal maths'!AA390,'Deal maths'!AE390),IF(IF(DAY('Deal maths'!AA390+1)=1,EOMONTH('Deal maths'!AA390,-(INT(((YEAR('Deal maths'!AA390)-YEAR(IF('Deal maths'!Z390&gt;0,'Deal maths'!Z390,DATE(1990,1,1))))*12+MONTH('Deal maths'!AA390)-MONTH(IF('Deal maths'!Z390&gt;0,'Deal maths'!Z390,DATE(1990,1,1))))/D390))*D390),EDATE('Deal maths'!AA390,-(INT(((YEAR('Deal maths'!AA390)-YEAR(IF('Deal maths'!Z390&gt;0,'Deal maths'!Z390,DATE(1990,1,1))))*12+MONTH('Deal maths'!AA390)-MONTH(IF('Deal maths'!Z390&gt;0,'Deal maths'!Z390,DATE(1990,1,1))))/D390))*D390))&gt;IF('Deal maths'!Z390&gt;0,'Deal maths'!Z390,DATE(1990,1,1)),IF(DAY('Deal maths'!AA390+1)=1,EOMONTH('Deal maths'!AA390,-(INT(((YEAR('Deal maths'!AA390)-YEAR(IF('Deal maths'!Z390&gt;0,'Deal maths'!Z390,DATE(1990,1,1))))*12+MONTH('Deal maths'!AA390)-MONTH(IF('Deal maths'!Z390&gt;0,'Deal maths'!Z390,DATE(1990,1,1))))/D390))*D390),EDATE('Deal maths'!AA390,-(INT(((YEAR('Deal maths'!AA390)-YEAR(IF('Deal maths'!Z390&gt;0,'Deal maths'!Z390,DATE(1990,1,1))))*12+MONTH('Deal maths'!AA390)-MONTH(IF('Deal maths'!Z390&gt;0,'Deal maths'!Z390,DATE(1990,1,1))))/D390))*D390)),IF(DAY('Deal maths'!AA390+1)=1,EOMONTH('Deal maths'!AA390,-(INT(((YEAR('Deal maths'!AA390)-YEAR(IF('Deal maths'!Z390&gt;0,'Deal maths'!Z390,DATE(1990,1,1))))*12+MONTH('Deal maths'!AA390)-MONTH(IF('Deal maths'!Z390&gt;0,'Deal maths'!Z390,DATE(1990,1,1))))/D390)-1)*D390),EDATE('Deal maths'!AA390,-(INT(((YEAR('Deal maths'!AA390)-YEAR(IF('Deal maths'!Z390&gt;0,'Deal maths'!Z390,DATE(1990,1,1))))*12+MONTH('Deal maths'!AA390)-MONTH(IF('Deal maths'!Z390&gt;0,'Deal maths'!Z390,DATE(1990,1,1))))/D390)-1)*D390))))),0)</f>
        <v/>
      </c>
      <c r="F390" s="110">
        <f>IF(D390=0,0,'Deal maths'!AB390*D390/12)</f>
        <v/>
      </c>
      <c r="G390" s="108">
        <f>N390+O390</f>
        <v/>
      </c>
      <c r="H390" s="108">
        <f>IFERROR(IF(OR(D390=0,AsAt&lt;E390),0,MIN(N390,INT(((YEAR(AsAt)-YEAR(E390))*12+MONTH(AsAt)-MONTH(E390)-(DAY(AsAt)&lt;MIN(R390,DAY(EOMONTH(AsAt,0)))))/D390)+1)+O390*(AsAt&gt;='Deal maths'!AA390)),0)</f>
        <v/>
      </c>
      <c r="I390" s="108">
        <f>G390-H390</f>
        <v/>
      </c>
      <c r="J390" s="111">
        <f>IF(AND(C390="EIP",I390&gt;0),'Deal maths'!Y390/I390,0)</f>
        <v/>
      </c>
      <c r="K390" s="111">
        <f>IF(AND(C390="Annuity",I390&gt;0),IF(F390&gt;0,'Deal maths'!Y390*F390/(1-(1+F390)^-I390),'Deal maths'!Y390/I390),0)</f>
        <v/>
      </c>
      <c r="L390" s="111">
        <f>IF('Deal maths'!Y390="",0,'Deal maths'!Y390)</f>
        <v/>
      </c>
      <c r="M390" s="112">
        <f>F390+(F390=0)</f>
        <v/>
      </c>
      <c r="N390" s="108">
        <f>IFERROR(IF(D390=0,0,INT(((YEAR('Deal maths'!AA390)-YEAR(E390))*12+MONTH('Deal maths'!AA390)-MONTH(E390)-(DAY('Deal maths'!AA390)&lt;MIN(R390,DAY(EOMONTH('Deal maths'!AA390,0)))))/D390)+1),0)</f>
        <v/>
      </c>
      <c r="O390" s="108">
        <f>IFERROR(IF(D390=0,0,IF(IF(DAY(E390+1)=1,EOMONTH(E390,(N390-1)*D390),EDATE(E390,(N390-1)*D390))='Deal maths'!AA390,0,1)),0)</f>
        <v/>
      </c>
      <c r="P390" s="113">
        <f>IF(B390=0,0,IFERROR(IF(C390="EIP",((I390-O390)*((IF(DAY(E390+1)=1,EOMONTH(E390,H390*D390),EDATE(E390,H390*D390))-AsAt)/365.25+(IF(DAY(E390+1)=1,EOMONTH(E390,(N390-1)*D390),EDATE(E390,(N390-1)*D390))-AsAt)/365.25)/2+O390*('Deal maths'!AA390-AsAt)/365.25)/I390,IF(C390="Annuity",IF(F390&gt;0,((K390-L390*F390)*((IF(DAY(E390+1)=1,EOMONTH(E390,H390*D390),EDATE(E390,H390*D390))-AsAt)/365.25*((1+F390)^(I390-O390)-1)/F390+IF((I390-O390)&gt;1,((IF(DAY(E390+1)=1,EOMONTH(E390,(N390-1)*D390),EDATE(E390,(N390-1)*D390))-AsAt)/365.25-(IF(DAY(E390+1)=1,EOMONTH(E390,H390*D390),EDATE(E390,H390*D390))-AsAt)/365.25)/((I390-O390)-1),0)*(1+F390)*(1-(I390-O390)*(1+F390)^((I390-O390)-1)+((I390-O390)-1)*(1+F390)^(I390-O390))/F390^2)+O390*(K390-L390*F390)*(1+F390)^(I390-1)*('Deal maths'!AA390-AsAt)/365.25)/L390,((I390-O390)*((IF(DAY(E390+1)=1,EOMONTH(E390,H390*D390),EDATE(E390,H390*D390))-AsAt)/365.25+(IF(DAY(E390+1)=1,EOMONTH(E390,(N390-1)*D390),EDATE(E390,(N390-1)*D390))-AsAt)/365.25)/2+O390*('Deal maths'!AA390-AsAt)/365.25)/I390),(S390-AsAt)/365.25)),0))</f>
        <v/>
      </c>
      <c r="Q390" s="109">
        <f>IF(B390=1,'Deal maths'!AA390+ROW()/1000000,"")</f>
        <v/>
      </c>
      <c r="R390" s="108">
        <f>IF(D390=0,0,IF(DAY(E390+1)=1,31,DAY(E390)))</f>
        <v/>
      </c>
      <c r="S390" s="109">
        <f>IF(AND('Deal maths'!V390="LOBO",'Deal maths'!AG390&gt;AsAt,'Deal maths'!AG390&lt;'Deal maths'!AA390),'Deal maths'!AG390,'Deal maths'!AA390)</f>
        <v/>
      </c>
      <c r="T390" s="108">
        <f>('Deal maths'!AA390&gt;AsAt)*('Deal maths'!Y390&gt;0)</f>
        <v/>
      </c>
    </row>
    <row r="391">
      <c r="A391" s="91">
        <f>IF('Deal maths'!V391="","",'Deal maths'!W391)</f>
        <v/>
      </c>
      <c r="B391" s="108">
        <f>('Deal maths'!AA391&gt;AsAt)*('Deal maths'!Y391&gt;0)*('Deal maths'!Z391&lt;=AsAt)</f>
        <v/>
      </c>
      <c r="C391" s="91">
        <f>IF('Deal maths'!V391="","",IF('Deal maths'!AC391="","Maturity",'Deal maths'!AC391))</f>
        <v/>
      </c>
      <c r="D391" s="108">
        <f>IF(OR(C391="EIP",C391="Annuity"),IF('Deal maths'!AD391="Annual",12,IF('Deal maths'!AD391="Quarterly",3,6)),0)</f>
        <v/>
      </c>
      <c r="E391" s="109">
        <f>IFERROR(IF(D391=0,0,IF('Deal maths'!AE391&gt;0,IF('Deal maths'!AE391&gt;'Deal maths'!AA391,'Deal maths'!AA391,'Deal maths'!AE391),IF(IF(DAY('Deal maths'!AA391+1)=1,EOMONTH('Deal maths'!AA391,-(INT(((YEAR('Deal maths'!AA391)-YEAR(IF('Deal maths'!Z391&gt;0,'Deal maths'!Z391,DATE(1990,1,1))))*12+MONTH('Deal maths'!AA391)-MONTH(IF('Deal maths'!Z391&gt;0,'Deal maths'!Z391,DATE(1990,1,1))))/D391))*D391),EDATE('Deal maths'!AA391,-(INT(((YEAR('Deal maths'!AA391)-YEAR(IF('Deal maths'!Z391&gt;0,'Deal maths'!Z391,DATE(1990,1,1))))*12+MONTH('Deal maths'!AA391)-MONTH(IF('Deal maths'!Z391&gt;0,'Deal maths'!Z391,DATE(1990,1,1))))/D391))*D391))&gt;IF('Deal maths'!Z391&gt;0,'Deal maths'!Z391,DATE(1990,1,1)),IF(DAY('Deal maths'!AA391+1)=1,EOMONTH('Deal maths'!AA391,-(INT(((YEAR('Deal maths'!AA391)-YEAR(IF('Deal maths'!Z391&gt;0,'Deal maths'!Z391,DATE(1990,1,1))))*12+MONTH('Deal maths'!AA391)-MONTH(IF('Deal maths'!Z391&gt;0,'Deal maths'!Z391,DATE(1990,1,1))))/D391))*D391),EDATE('Deal maths'!AA391,-(INT(((YEAR('Deal maths'!AA391)-YEAR(IF('Deal maths'!Z391&gt;0,'Deal maths'!Z391,DATE(1990,1,1))))*12+MONTH('Deal maths'!AA391)-MONTH(IF('Deal maths'!Z391&gt;0,'Deal maths'!Z391,DATE(1990,1,1))))/D391))*D391)),IF(DAY('Deal maths'!AA391+1)=1,EOMONTH('Deal maths'!AA391,-(INT(((YEAR('Deal maths'!AA391)-YEAR(IF('Deal maths'!Z391&gt;0,'Deal maths'!Z391,DATE(1990,1,1))))*12+MONTH('Deal maths'!AA391)-MONTH(IF('Deal maths'!Z391&gt;0,'Deal maths'!Z391,DATE(1990,1,1))))/D391)-1)*D391),EDATE('Deal maths'!AA391,-(INT(((YEAR('Deal maths'!AA391)-YEAR(IF('Deal maths'!Z391&gt;0,'Deal maths'!Z391,DATE(1990,1,1))))*12+MONTH('Deal maths'!AA391)-MONTH(IF('Deal maths'!Z391&gt;0,'Deal maths'!Z391,DATE(1990,1,1))))/D391)-1)*D391))))),0)</f>
        <v/>
      </c>
      <c r="F391" s="110">
        <f>IF(D391=0,0,'Deal maths'!AB391*D391/12)</f>
        <v/>
      </c>
      <c r="G391" s="108">
        <f>N391+O391</f>
        <v/>
      </c>
      <c r="H391" s="108">
        <f>IFERROR(IF(OR(D391=0,AsAt&lt;E391),0,MIN(N391,INT(((YEAR(AsAt)-YEAR(E391))*12+MONTH(AsAt)-MONTH(E391)-(DAY(AsAt)&lt;MIN(R391,DAY(EOMONTH(AsAt,0)))))/D391)+1)+O391*(AsAt&gt;='Deal maths'!AA391)),0)</f>
        <v/>
      </c>
      <c r="I391" s="108">
        <f>G391-H391</f>
        <v/>
      </c>
      <c r="J391" s="111">
        <f>IF(AND(C391="EIP",I391&gt;0),'Deal maths'!Y391/I391,0)</f>
        <v/>
      </c>
      <c r="K391" s="111">
        <f>IF(AND(C391="Annuity",I391&gt;0),IF(F391&gt;0,'Deal maths'!Y391*F391/(1-(1+F391)^-I391),'Deal maths'!Y391/I391),0)</f>
        <v/>
      </c>
      <c r="L391" s="111">
        <f>IF('Deal maths'!Y391="",0,'Deal maths'!Y391)</f>
        <v/>
      </c>
      <c r="M391" s="112">
        <f>F391+(F391=0)</f>
        <v/>
      </c>
      <c r="N391" s="108">
        <f>IFERROR(IF(D391=0,0,INT(((YEAR('Deal maths'!AA391)-YEAR(E391))*12+MONTH('Deal maths'!AA391)-MONTH(E391)-(DAY('Deal maths'!AA391)&lt;MIN(R391,DAY(EOMONTH('Deal maths'!AA391,0)))))/D391)+1),0)</f>
        <v/>
      </c>
      <c r="O391" s="108">
        <f>IFERROR(IF(D391=0,0,IF(IF(DAY(E391+1)=1,EOMONTH(E391,(N391-1)*D391),EDATE(E391,(N391-1)*D391))='Deal maths'!AA391,0,1)),0)</f>
        <v/>
      </c>
      <c r="P391" s="113">
        <f>IF(B391=0,0,IFERROR(IF(C391="EIP",((I391-O391)*((IF(DAY(E391+1)=1,EOMONTH(E391,H391*D391),EDATE(E391,H391*D391))-AsAt)/365.25+(IF(DAY(E391+1)=1,EOMONTH(E391,(N391-1)*D391),EDATE(E391,(N391-1)*D391))-AsAt)/365.25)/2+O391*('Deal maths'!AA391-AsAt)/365.25)/I391,IF(C391="Annuity",IF(F391&gt;0,((K391-L391*F391)*((IF(DAY(E391+1)=1,EOMONTH(E391,H391*D391),EDATE(E391,H391*D391))-AsAt)/365.25*((1+F391)^(I391-O391)-1)/F391+IF((I391-O391)&gt;1,((IF(DAY(E391+1)=1,EOMONTH(E391,(N391-1)*D391),EDATE(E391,(N391-1)*D391))-AsAt)/365.25-(IF(DAY(E391+1)=1,EOMONTH(E391,H391*D391),EDATE(E391,H391*D391))-AsAt)/365.25)/((I391-O391)-1),0)*(1+F391)*(1-(I391-O391)*(1+F391)^((I391-O391)-1)+((I391-O391)-1)*(1+F391)^(I391-O391))/F391^2)+O391*(K391-L391*F391)*(1+F391)^(I391-1)*('Deal maths'!AA391-AsAt)/365.25)/L391,((I391-O391)*((IF(DAY(E391+1)=1,EOMONTH(E391,H391*D391),EDATE(E391,H391*D391))-AsAt)/365.25+(IF(DAY(E391+1)=1,EOMONTH(E391,(N391-1)*D391),EDATE(E391,(N391-1)*D391))-AsAt)/365.25)/2+O391*('Deal maths'!AA391-AsAt)/365.25)/I391),(S391-AsAt)/365.25)),0))</f>
        <v/>
      </c>
      <c r="Q391" s="109">
        <f>IF(B391=1,'Deal maths'!AA391+ROW()/1000000,"")</f>
        <v/>
      </c>
      <c r="R391" s="108">
        <f>IF(D391=0,0,IF(DAY(E391+1)=1,31,DAY(E391)))</f>
        <v/>
      </c>
      <c r="S391" s="109">
        <f>IF(AND('Deal maths'!V391="LOBO",'Deal maths'!AG391&gt;AsAt,'Deal maths'!AG391&lt;'Deal maths'!AA391),'Deal maths'!AG391,'Deal maths'!AA391)</f>
        <v/>
      </c>
      <c r="T391" s="108">
        <f>('Deal maths'!AA391&gt;AsAt)*('Deal maths'!Y391&gt;0)</f>
        <v/>
      </c>
    </row>
    <row r="392">
      <c r="A392" s="91">
        <f>IF('Deal maths'!V392="","",'Deal maths'!W392)</f>
        <v/>
      </c>
      <c r="B392" s="108">
        <f>('Deal maths'!AA392&gt;AsAt)*('Deal maths'!Y392&gt;0)*('Deal maths'!Z392&lt;=AsAt)</f>
        <v/>
      </c>
      <c r="C392" s="91">
        <f>IF('Deal maths'!V392="","",IF('Deal maths'!AC392="","Maturity",'Deal maths'!AC392))</f>
        <v/>
      </c>
      <c r="D392" s="108">
        <f>IF(OR(C392="EIP",C392="Annuity"),IF('Deal maths'!AD392="Annual",12,IF('Deal maths'!AD392="Quarterly",3,6)),0)</f>
        <v/>
      </c>
      <c r="E392" s="109">
        <f>IFERROR(IF(D392=0,0,IF('Deal maths'!AE392&gt;0,IF('Deal maths'!AE392&gt;'Deal maths'!AA392,'Deal maths'!AA392,'Deal maths'!AE392),IF(IF(DAY('Deal maths'!AA392+1)=1,EOMONTH('Deal maths'!AA392,-(INT(((YEAR('Deal maths'!AA392)-YEAR(IF('Deal maths'!Z392&gt;0,'Deal maths'!Z392,DATE(1990,1,1))))*12+MONTH('Deal maths'!AA392)-MONTH(IF('Deal maths'!Z392&gt;0,'Deal maths'!Z392,DATE(1990,1,1))))/D392))*D392),EDATE('Deal maths'!AA392,-(INT(((YEAR('Deal maths'!AA392)-YEAR(IF('Deal maths'!Z392&gt;0,'Deal maths'!Z392,DATE(1990,1,1))))*12+MONTH('Deal maths'!AA392)-MONTH(IF('Deal maths'!Z392&gt;0,'Deal maths'!Z392,DATE(1990,1,1))))/D392))*D392))&gt;IF('Deal maths'!Z392&gt;0,'Deal maths'!Z392,DATE(1990,1,1)),IF(DAY('Deal maths'!AA392+1)=1,EOMONTH('Deal maths'!AA392,-(INT(((YEAR('Deal maths'!AA392)-YEAR(IF('Deal maths'!Z392&gt;0,'Deal maths'!Z392,DATE(1990,1,1))))*12+MONTH('Deal maths'!AA392)-MONTH(IF('Deal maths'!Z392&gt;0,'Deal maths'!Z392,DATE(1990,1,1))))/D392))*D392),EDATE('Deal maths'!AA392,-(INT(((YEAR('Deal maths'!AA392)-YEAR(IF('Deal maths'!Z392&gt;0,'Deal maths'!Z392,DATE(1990,1,1))))*12+MONTH('Deal maths'!AA392)-MONTH(IF('Deal maths'!Z392&gt;0,'Deal maths'!Z392,DATE(1990,1,1))))/D392))*D392)),IF(DAY('Deal maths'!AA392+1)=1,EOMONTH('Deal maths'!AA392,-(INT(((YEAR('Deal maths'!AA392)-YEAR(IF('Deal maths'!Z392&gt;0,'Deal maths'!Z392,DATE(1990,1,1))))*12+MONTH('Deal maths'!AA392)-MONTH(IF('Deal maths'!Z392&gt;0,'Deal maths'!Z392,DATE(1990,1,1))))/D392)-1)*D392),EDATE('Deal maths'!AA392,-(INT(((YEAR('Deal maths'!AA392)-YEAR(IF('Deal maths'!Z392&gt;0,'Deal maths'!Z392,DATE(1990,1,1))))*12+MONTH('Deal maths'!AA392)-MONTH(IF('Deal maths'!Z392&gt;0,'Deal maths'!Z392,DATE(1990,1,1))))/D392)-1)*D392))))),0)</f>
        <v/>
      </c>
      <c r="F392" s="110">
        <f>IF(D392=0,0,'Deal maths'!AB392*D392/12)</f>
        <v/>
      </c>
      <c r="G392" s="108">
        <f>N392+O392</f>
        <v/>
      </c>
      <c r="H392" s="108">
        <f>IFERROR(IF(OR(D392=0,AsAt&lt;E392),0,MIN(N392,INT(((YEAR(AsAt)-YEAR(E392))*12+MONTH(AsAt)-MONTH(E392)-(DAY(AsAt)&lt;MIN(R392,DAY(EOMONTH(AsAt,0)))))/D392)+1)+O392*(AsAt&gt;='Deal maths'!AA392)),0)</f>
        <v/>
      </c>
      <c r="I392" s="108">
        <f>G392-H392</f>
        <v/>
      </c>
      <c r="J392" s="111">
        <f>IF(AND(C392="EIP",I392&gt;0),'Deal maths'!Y392/I392,0)</f>
        <v/>
      </c>
      <c r="K392" s="111">
        <f>IF(AND(C392="Annuity",I392&gt;0),IF(F392&gt;0,'Deal maths'!Y392*F392/(1-(1+F392)^-I392),'Deal maths'!Y392/I392),0)</f>
        <v/>
      </c>
      <c r="L392" s="111">
        <f>IF('Deal maths'!Y392="",0,'Deal maths'!Y392)</f>
        <v/>
      </c>
      <c r="M392" s="112">
        <f>F392+(F392=0)</f>
        <v/>
      </c>
      <c r="N392" s="108">
        <f>IFERROR(IF(D392=0,0,INT(((YEAR('Deal maths'!AA392)-YEAR(E392))*12+MONTH('Deal maths'!AA392)-MONTH(E392)-(DAY('Deal maths'!AA392)&lt;MIN(R392,DAY(EOMONTH('Deal maths'!AA392,0)))))/D392)+1),0)</f>
        <v/>
      </c>
      <c r="O392" s="108">
        <f>IFERROR(IF(D392=0,0,IF(IF(DAY(E392+1)=1,EOMONTH(E392,(N392-1)*D392),EDATE(E392,(N392-1)*D392))='Deal maths'!AA392,0,1)),0)</f>
        <v/>
      </c>
      <c r="P392" s="113">
        <f>IF(B392=0,0,IFERROR(IF(C392="EIP",((I392-O392)*((IF(DAY(E392+1)=1,EOMONTH(E392,H392*D392),EDATE(E392,H392*D392))-AsAt)/365.25+(IF(DAY(E392+1)=1,EOMONTH(E392,(N392-1)*D392),EDATE(E392,(N392-1)*D392))-AsAt)/365.25)/2+O392*('Deal maths'!AA392-AsAt)/365.25)/I392,IF(C392="Annuity",IF(F392&gt;0,((K392-L392*F392)*((IF(DAY(E392+1)=1,EOMONTH(E392,H392*D392),EDATE(E392,H392*D392))-AsAt)/365.25*((1+F392)^(I392-O392)-1)/F392+IF((I392-O392)&gt;1,((IF(DAY(E392+1)=1,EOMONTH(E392,(N392-1)*D392),EDATE(E392,(N392-1)*D392))-AsAt)/365.25-(IF(DAY(E392+1)=1,EOMONTH(E392,H392*D392),EDATE(E392,H392*D392))-AsAt)/365.25)/((I392-O392)-1),0)*(1+F392)*(1-(I392-O392)*(1+F392)^((I392-O392)-1)+((I392-O392)-1)*(1+F392)^(I392-O392))/F392^2)+O392*(K392-L392*F392)*(1+F392)^(I392-1)*('Deal maths'!AA392-AsAt)/365.25)/L392,((I392-O392)*((IF(DAY(E392+1)=1,EOMONTH(E392,H392*D392),EDATE(E392,H392*D392))-AsAt)/365.25+(IF(DAY(E392+1)=1,EOMONTH(E392,(N392-1)*D392),EDATE(E392,(N392-1)*D392))-AsAt)/365.25)/2+O392*('Deal maths'!AA392-AsAt)/365.25)/I392),(S392-AsAt)/365.25)),0))</f>
        <v/>
      </c>
      <c r="Q392" s="109">
        <f>IF(B392=1,'Deal maths'!AA392+ROW()/1000000,"")</f>
        <v/>
      </c>
      <c r="R392" s="108">
        <f>IF(D392=0,0,IF(DAY(E392+1)=1,31,DAY(E392)))</f>
        <v/>
      </c>
      <c r="S392" s="109">
        <f>IF(AND('Deal maths'!V392="LOBO",'Deal maths'!AG392&gt;AsAt,'Deal maths'!AG392&lt;'Deal maths'!AA392),'Deal maths'!AG392,'Deal maths'!AA392)</f>
        <v/>
      </c>
      <c r="T392" s="108">
        <f>('Deal maths'!AA392&gt;AsAt)*('Deal maths'!Y392&gt;0)</f>
        <v/>
      </c>
    </row>
    <row r="393">
      <c r="A393" s="91">
        <f>IF('Deal maths'!V393="","",'Deal maths'!W393)</f>
        <v/>
      </c>
      <c r="B393" s="108">
        <f>('Deal maths'!AA393&gt;AsAt)*('Deal maths'!Y393&gt;0)*('Deal maths'!Z393&lt;=AsAt)</f>
        <v/>
      </c>
      <c r="C393" s="91">
        <f>IF('Deal maths'!V393="","",IF('Deal maths'!AC393="","Maturity",'Deal maths'!AC393))</f>
        <v/>
      </c>
      <c r="D393" s="108">
        <f>IF(OR(C393="EIP",C393="Annuity"),IF('Deal maths'!AD393="Annual",12,IF('Deal maths'!AD393="Quarterly",3,6)),0)</f>
        <v/>
      </c>
      <c r="E393" s="109">
        <f>IFERROR(IF(D393=0,0,IF('Deal maths'!AE393&gt;0,IF('Deal maths'!AE393&gt;'Deal maths'!AA393,'Deal maths'!AA393,'Deal maths'!AE393),IF(IF(DAY('Deal maths'!AA393+1)=1,EOMONTH('Deal maths'!AA393,-(INT(((YEAR('Deal maths'!AA393)-YEAR(IF('Deal maths'!Z393&gt;0,'Deal maths'!Z393,DATE(1990,1,1))))*12+MONTH('Deal maths'!AA393)-MONTH(IF('Deal maths'!Z393&gt;0,'Deal maths'!Z393,DATE(1990,1,1))))/D393))*D393),EDATE('Deal maths'!AA393,-(INT(((YEAR('Deal maths'!AA393)-YEAR(IF('Deal maths'!Z393&gt;0,'Deal maths'!Z393,DATE(1990,1,1))))*12+MONTH('Deal maths'!AA393)-MONTH(IF('Deal maths'!Z393&gt;0,'Deal maths'!Z393,DATE(1990,1,1))))/D393))*D393))&gt;IF('Deal maths'!Z393&gt;0,'Deal maths'!Z393,DATE(1990,1,1)),IF(DAY('Deal maths'!AA393+1)=1,EOMONTH('Deal maths'!AA393,-(INT(((YEAR('Deal maths'!AA393)-YEAR(IF('Deal maths'!Z393&gt;0,'Deal maths'!Z393,DATE(1990,1,1))))*12+MONTH('Deal maths'!AA393)-MONTH(IF('Deal maths'!Z393&gt;0,'Deal maths'!Z393,DATE(1990,1,1))))/D393))*D393),EDATE('Deal maths'!AA393,-(INT(((YEAR('Deal maths'!AA393)-YEAR(IF('Deal maths'!Z393&gt;0,'Deal maths'!Z393,DATE(1990,1,1))))*12+MONTH('Deal maths'!AA393)-MONTH(IF('Deal maths'!Z393&gt;0,'Deal maths'!Z393,DATE(1990,1,1))))/D393))*D393)),IF(DAY('Deal maths'!AA393+1)=1,EOMONTH('Deal maths'!AA393,-(INT(((YEAR('Deal maths'!AA393)-YEAR(IF('Deal maths'!Z393&gt;0,'Deal maths'!Z393,DATE(1990,1,1))))*12+MONTH('Deal maths'!AA393)-MONTH(IF('Deal maths'!Z393&gt;0,'Deal maths'!Z393,DATE(1990,1,1))))/D393)-1)*D393),EDATE('Deal maths'!AA393,-(INT(((YEAR('Deal maths'!AA393)-YEAR(IF('Deal maths'!Z393&gt;0,'Deal maths'!Z393,DATE(1990,1,1))))*12+MONTH('Deal maths'!AA393)-MONTH(IF('Deal maths'!Z393&gt;0,'Deal maths'!Z393,DATE(1990,1,1))))/D393)-1)*D393))))),0)</f>
        <v/>
      </c>
      <c r="F393" s="110">
        <f>IF(D393=0,0,'Deal maths'!AB393*D393/12)</f>
        <v/>
      </c>
      <c r="G393" s="108">
        <f>N393+O393</f>
        <v/>
      </c>
      <c r="H393" s="108">
        <f>IFERROR(IF(OR(D393=0,AsAt&lt;E393),0,MIN(N393,INT(((YEAR(AsAt)-YEAR(E393))*12+MONTH(AsAt)-MONTH(E393)-(DAY(AsAt)&lt;MIN(R393,DAY(EOMONTH(AsAt,0)))))/D393)+1)+O393*(AsAt&gt;='Deal maths'!AA393)),0)</f>
        <v/>
      </c>
      <c r="I393" s="108">
        <f>G393-H393</f>
        <v/>
      </c>
      <c r="J393" s="111">
        <f>IF(AND(C393="EIP",I393&gt;0),'Deal maths'!Y393/I393,0)</f>
        <v/>
      </c>
      <c r="K393" s="111">
        <f>IF(AND(C393="Annuity",I393&gt;0),IF(F393&gt;0,'Deal maths'!Y393*F393/(1-(1+F393)^-I393),'Deal maths'!Y393/I393),0)</f>
        <v/>
      </c>
      <c r="L393" s="111">
        <f>IF('Deal maths'!Y393="",0,'Deal maths'!Y393)</f>
        <v/>
      </c>
      <c r="M393" s="112">
        <f>F393+(F393=0)</f>
        <v/>
      </c>
      <c r="N393" s="108">
        <f>IFERROR(IF(D393=0,0,INT(((YEAR('Deal maths'!AA393)-YEAR(E393))*12+MONTH('Deal maths'!AA393)-MONTH(E393)-(DAY('Deal maths'!AA393)&lt;MIN(R393,DAY(EOMONTH('Deal maths'!AA393,0)))))/D393)+1),0)</f>
        <v/>
      </c>
      <c r="O393" s="108">
        <f>IFERROR(IF(D393=0,0,IF(IF(DAY(E393+1)=1,EOMONTH(E393,(N393-1)*D393),EDATE(E393,(N393-1)*D393))='Deal maths'!AA393,0,1)),0)</f>
        <v/>
      </c>
      <c r="P393" s="113">
        <f>IF(B393=0,0,IFERROR(IF(C393="EIP",((I393-O393)*((IF(DAY(E393+1)=1,EOMONTH(E393,H393*D393),EDATE(E393,H393*D393))-AsAt)/365.25+(IF(DAY(E393+1)=1,EOMONTH(E393,(N393-1)*D393),EDATE(E393,(N393-1)*D393))-AsAt)/365.25)/2+O393*('Deal maths'!AA393-AsAt)/365.25)/I393,IF(C393="Annuity",IF(F393&gt;0,((K393-L393*F393)*((IF(DAY(E393+1)=1,EOMONTH(E393,H393*D393),EDATE(E393,H393*D393))-AsAt)/365.25*((1+F393)^(I393-O393)-1)/F393+IF((I393-O393)&gt;1,((IF(DAY(E393+1)=1,EOMONTH(E393,(N393-1)*D393),EDATE(E393,(N393-1)*D393))-AsAt)/365.25-(IF(DAY(E393+1)=1,EOMONTH(E393,H393*D393),EDATE(E393,H393*D393))-AsAt)/365.25)/((I393-O393)-1),0)*(1+F393)*(1-(I393-O393)*(1+F393)^((I393-O393)-1)+((I393-O393)-1)*(1+F393)^(I393-O393))/F393^2)+O393*(K393-L393*F393)*(1+F393)^(I393-1)*('Deal maths'!AA393-AsAt)/365.25)/L393,((I393-O393)*((IF(DAY(E393+1)=1,EOMONTH(E393,H393*D393),EDATE(E393,H393*D393))-AsAt)/365.25+(IF(DAY(E393+1)=1,EOMONTH(E393,(N393-1)*D393),EDATE(E393,(N393-1)*D393))-AsAt)/365.25)/2+O393*('Deal maths'!AA393-AsAt)/365.25)/I393),(S393-AsAt)/365.25)),0))</f>
        <v/>
      </c>
      <c r="Q393" s="109">
        <f>IF(B393=1,'Deal maths'!AA393+ROW()/1000000,"")</f>
        <v/>
      </c>
      <c r="R393" s="108">
        <f>IF(D393=0,0,IF(DAY(E393+1)=1,31,DAY(E393)))</f>
        <v/>
      </c>
      <c r="S393" s="109">
        <f>IF(AND('Deal maths'!V393="LOBO",'Deal maths'!AG393&gt;AsAt,'Deal maths'!AG393&lt;'Deal maths'!AA393),'Deal maths'!AG393,'Deal maths'!AA393)</f>
        <v/>
      </c>
      <c r="T393" s="108">
        <f>('Deal maths'!AA393&gt;AsAt)*('Deal maths'!Y393&gt;0)</f>
        <v/>
      </c>
    </row>
    <row r="394">
      <c r="A394" s="91">
        <f>IF('Deal maths'!V394="","",'Deal maths'!W394)</f>
        <v/>
      </c>
      <c r="B394" s="108">
        <f>('Deal maths'!AA394&gt;AsAt)*('Deal maths'!Y394&gt;0)*('Deal maths'!Z394&lt;=AsAt)</f>
        <v/>
      </c>
      <c r="C394" s="91">
        <f>IF('Deal maths'!V394="","",IF('Deal maths'!AC394="","Maturity",'Deal maths'!AC394))</f>
        <v/>
      </c>
      <c r="D394" s="108">
        <f>IF(OR(C394="EIP",C394="Annuity"),IF('Deal maths'!AD394="Annual",12,IF('Deal maths'!AD394="Quarterly",3,6)),0)</f>
        <v/>
      </c>
      <c r="E394" s="109">
        <f>IFERROR(IF(D394=0,0,IF('Deal maths'!AE394&gt;0,IF('Deal maths'!AE394&gt;'Deal maths'!AA394,'Deal maths'!AA394,'Deal maths'!AE394),IF(IF(DAY('Deal maths'!AA394+1)=1,EOMONTH('Deal maths'!AA394,-(INT(((YEAR('Deal maths'!AA394)-YEAR(IF('Deal maths'!Z394&gt;0,'Deal maths'!Z394,DATE(1990,1,1))))*12+MONTH('Deal maths'!AA394)-MONTH(IF('Deal maths'!Z394&gt;0,'Deal maths'!Z394,DATE(1990,1,1))))/D394))*D394),EDATE('Deal maths'!AA394,-(INT(((YEAR('Deal maths'!AA394)-YEAR(IF('Deal maths'!Z394&gt;0,'Deal maths'!Z394,DATE(1990,1,1))))*12+MONTH('Deal maths'!AA394)-MONTH(IF('Deal maths'!Z394&gt;0,'Deal maths'!Z394,DATE(1990,1,1))))/D394))*D394))&gt;IF('Deal maths'!Z394&gt;0,'Deal maths'!Z394,DATE(1990,1,1)),IF(DAY('Deal maths'!AA394+1)=1,EOMONTH('Deal maths'!AA394,-(INT(((YEAR('Deal maths'!AA394)-YEAR(IF('Deal maths'!Z394&gt;0,'Deal maths'!Z394,DATE(1990,1,1))))*12+MONTH('Deal maths'!AA394)-MONTH(IF('Deal maths'!Z394&gt;0,'Deal maths'!Z394,DATE(1990,1,1))))/D394))*D394),EDATE('Deal maths'!AA394,-(INT(((YEAR('Deal maths'!AA394)-YEAR(IF('Deal maths'!Z394&gt;0,'Deal maths'!Z394,DATE(1990,1,1))))*12+MONTH('Deal maths'!AA394)-MONTH(IF('Deal maths'!Z394&gt;0,'Deal maths'!Z394,DATE(1990,1,1))))/D394))*D394)),IF(DAY('Deal maths'!AA394+1)=1,EOMONTH('Deal maths'!AA394,-(INT(((YEAR('Deal maths'!AA394)-YEAR(IF('Deal maths'!Z394&gt;0,'Deal maths'!Z394,DATE(1990,1,1))))*12+MONTH('Deal maths'!AA394)-MONTH(IF('Deal maths'!Z394&gt;0,'Deal maths'!Z394,DATE(1990,1,1))))/D394)-1)*D394),EDATE('Deal maths'!AA394,-(INT(((YEAR('Deal maths'!AA394)-YEAR(IF('Deal maths'!Z394&gt;0,'Deal maths'!Z394,DATE(1990,1,1))))*12+MONTH('Deal maths'!AA394)-MONTH(IF('Deal maths'!Z394&gt;0,'Deal maths'!Z394,DATE(1990,1,1))))/D394)-1)*D394))))),0)</f>
        <v/>
      </c>
      <c r="F394" s="110">
        <f>IF(D394=0,0,'Deal maths'!AB394*D394/12)</f>
        <v/>
      </c>
      <c r="G394" s="108">
        <f>N394+O394</f>
        <v/>
      </c>
      <c r="H394" s="108">
        <f>IFERROR(IF(OR(D394=0,AsAt&lt;E394),0,MIN(N394,INT(((YEAR(AsAt)-YEAR(E394))*12+MONTH(AsAt)-MONTH(E394)-(DAY(AsAt)&lt;MIN(R394,DAY(EOMONTH(AsAt,0)))))/D394)+1)+O394*(AsAt&gt;='Deal maths'!AA394)),0)</f>
        <v/>
      </c>
      <c r="I394" s="108">
        <f>G394-H394</f>
        <v/>
      </c>
      <c r="J394" s="111">
        <f>IF(AND(C394="EIP",I394&gt;0),'Deal maths'!Y394/I394,0)</f>
        <v/>
      </c>
      <c r="K394" s="111">
        <f>IF(AND(C394="Annuity",I394&gt;0),IF(F394&gt;0,'Deal maths'!Y394*F394/(1-(1+F394)^-I394),'Deal maths'!Y394/I394),0)</f>
        <v/>
      </c>
      <c r="L394" s="111">
        <f>IF('Deal maths'!Y394="",0,'Deal maths'!Y394)</f>
        <v/>
      </c>
      <c r="M394" s="112">
        <f>F394+(F394=0)</f>
        <v/>
      </c>
      <c r="N394" s="108">
        <f>IFERROR(IF(D394=0,0,INT(((YEAR('Deal maths'!AA394)-YEAR(E394))*12+MONTH('Deal maths'!AA394)-MONTH(E394)-(DAY('Deal maths'!AA394)&lt;MIN(R394,DAY(EOMONTH('Deal maths'!AA394,0)))))/D394)+1),0)</f>
        <v/>
      </c>
      <c r="O394" s="108">
        <f>IFERROR(IF(D394=0,0,IF(IF(DAY(E394+1)=1,EOMONTH(E394,(N394-1)*D394),EDATE(E394,(N394-1)*D394))='Deal maths'!AA394,0,1)),0)</f>
        <v/>
      </c>
      <c r="P394" s="113">
        <f>IF(B394=0,0,IFERROR(IF(C394="EIP",((I394-O394)*((IF(DAY(E394+1)=1,EOMONTH(E394,H394*D394),EDATE(E394,H394*D394))-AsAt)/365.25+(IF(DAY(E394+1)=1,EOMONTH(E394,(N394-1)*D394),EDATE(E394,(N394-1)*D394))-AsAt)/365.25)/2+O394*('Deal maths'!AA394-AsAt)/365.25)/I394,IF(C394="Annuity",IF(F394&gt;0,((K394-L394*F394)*((IF(DAY(E394+1)=1,EOMONTH(E394,H394*D394),EDATE(E394,H394*D394))-AsAt)/365.25*((1+F394)^(I394-O394)-1)/F394+IF((I394-O394)&gt;1,((IF(DAY(E394+1)=1,EOMONTH(E394,(N394-1)*D394),EDATE(E394,(N394-1)*D394))-AsAt)/365.25-(IF(DAY(E394+1)=1,EOMONTH(E394,H394*D394),EDATE(E394,H394*D394))-AsAt)/365.25)/((I394-O394)-1),0)*(1+F394)*(1-(I394-O394)*(1+F394)^((I394-O394)-1)+((I394-O394)-1)*(1+F394)^(I394-O394))/F394^2)+O394*(K394-L394*F394)*(1+F394)^(I394-1)*('Deal maths'!AA394-AsAt)/365.25)/L394,((I394-O394)*((IF(DAY(E394+1)=1,EOMONTH(E394,H394*D394),EDATE(E394,H394*D394))-AsAt)/365.25+(IF(DAY(E394+1)=1,EOMONTH(E394,(N394-1)*D394),EDATE(E394,(N394-1)*D394))-AsAt)/365.25)/2+O394*('Deal maths'!AA394-AsAt)/365.25)/I394),(S394-AsAt)/365.25)),0))</f>
        <v/>
      </c>
      <c r="Q394" s="109">
        <f>IF(B394=1,'Deal maths'!AA394+ROW()/1000000,"")</f>
        <v/>
      </c>
      <c r="R394" s="108">
        <f>IF(D394=0,0,IF(DAY(E394+1)=1,31,DAY(E394)))</f>
        <v/>
      </c>
      <c r="S394" s="109">
        <f>IF(AND('Deal maths'!V394="LOBO",'Deal maths'!AG394&gt;AsAt,'Deal maths'!AG394&lt;'Deal maths'!AA394),'Deal maths'!AG394,'Deal maths'!AA394)</f>
        <v/>
      </c>
      <c r="T394" s="108">
        <f>('Deal maths'!AA394&gt;AsAt)*('Deal maths'!Y394&gt;0)</f>
        <v/>
      </c>
    </row>
    <row r="395">
      <c r="A395" s="91">
        <f>IF('Deal maths'!V395="","",'Deal maths'!W395)</f>
        <v/>
      </c>
      <c r="B395" s="108">
        <f>('Deal maths'!AA395&gt;AsAt)*('Deal maths'!Y395&gt;0)*('Deal maths'!Z395&lt;=AsAt)</f>
        <v/>
      </c>
      <c r="C395" s="91">
        <f>IF('Deal maths'!V395="","",IF('Deal maths'!AC395="","Maturity",'Deal maths'!AC395))</f>
        <v/>
      </c>
      <c r="D395" s="108">
        <f>IF(OR(C395="EIP",C395="Annuity"),IF('Deal maths'!AD395="Annual",12,IF('Deal maths'!AD395="Quarterly",3,6)),0)</f>
        <v/>
      </c>
      <c r="E395" s="109">
        <f>IFERROR(IF(D395=0,0,IF('Deal maths'!AE395&gt;0,IF('Deal maths'!AE395&gt;'Deal maths'!AA395,'Deal maths'!AA395,'Deal maths'!AE395),IF(IF(DAY('Deal maths'!AA395+1)=1,EOMONTH('Deal maths'!AA395,-(INT(((YEAR('Deal maths'!AA395)-YEAR(IF('Deal maths'!Z395&gt;0,'Deal maths'!Z395,DATE(1990,1,1))))*12+MONTH('Deal maths'!AA395)-MONTH(IF('Deal maths'!Z395&gt;0,'Deal maths'!Z395,DATE(1990,1,1))))/D395))*D395),EDATE('Deal maths'!AA395,-(INT(((YEAR('Deal maths'!AA395)-YEAR(IF('Deal maths'!Z395&gt;0,'Deal maths'!Z395,DATE(1990,1,1))))*12+MONTH('Deal maths'!AA395)-MONTH(IF('Deal maths'!Z395&gt;0,'Deal maths'!Z395,DATE(1990,1,1))))/D395))*D395))&gt;IF('Deal maths'!Z395&gt;0,'Deal maths'!Z395,DATE(1990,1,1)),IF(DAY('Deal maths'!AA395+1)=1,EOMONTH('Deal maths'!AA395,-(INT(((YEAR('Deal maths'!AA395)-YEAR(IF('Deal maths'!Z395&gt;0,'Deal maths'!Z395,DATE(1990,1,1))))*12+MONTH('Deal maths'!AA395)-MONTH(IF('Deal maths'!Z395&gt;0,'Deal maths'!Z395,DATE(1990,1,1))))/D395))*D395),EDATE('Deal maths'!AA395,-(INT(((YEAR('Deal maths'!AA395)-YEAR(IF('Deal maths'!Z395&gt;0,'Deal maths'!Z395,DATE(1990,1,1))))*12+MONTH('Deal maths'!AA395)-MONTH(IF('Deal maths'!Z395&gt;0,'Deal maths'!Z395,DATE(1990,1,1))))/D395))*D395)),IF(DAY('Deal maths'!AA395+1)=1,EOMONTH('Deal maths'!AA395,-(INT(((YEAR('Deal maths'!AA395)-YEAR(IF('Deal maths'!Z395&gt;0,'Deal maths'!Z395,DATE(1990,1,1))))*12+MONTH('Deal maths'!AA395)-MONTH(IF('Deal maths'!Z395&gt;0,'Deal maths'!Z395,DATE(1990,1,1))))/D395)-1)*D395),EDATE('Deal maths'!AA395,-(INT(((YEAR('Deal maths'!AA395)-YEAR(IF('Deal maths'!Z395&gt;0,'Deal maths'!Z395,DATE(1990,1,1))))*12+MONTH('Deal maths'!AA395)-MONTH(IF('Deal maths'!Z395&gt;0,'Deal maths'!Z395,DATE(1990,1,1))))/D395)-1)*D395))))),0)</f>
        <v/>
      </c>
      <c r="F395" s="110">
        <f>IF(D395=0,0,'Deal maths'!AB395*D395/12)</f>
        <v/>
      </c>
      <c r="G395" s="108">
        <f>N395+O395</f>
        <v/>
      </c>
      <c r="H395" s="108">
        <f>IFERROR(IF(OR(D395=0,AsAt&lt;E395),0,MIN(N395,INT(((YEAR(AsAt)-YEAR(E395))*12+MONTH(AsAt)-MONTH(E395)-(DAY(AsAt)&lt;MIN(R395,DAY(EOMONTH(AsAt,0)))))/D395)+1)+O395*(AsAt&gt;='Deal maths'!AA395)),0)</f>
        <v/>
      </c>
      <c r="I395" s="108">
        <f>G395-H395</f>
        <v/>
      </c>
      <c r="J395" s="111">
        <f>IF(AND(C395="EIP",I395&gt;0),'Deal maths'!Y395/I395,0)</f>
        <v/>
      </c>
      <c r="K395" s="111">
        <f>IF(AND(C395="Annuity",I395&gt;0),IF(F395&gt;0,'Deal maths'!Y395*F395/(1-(1+F395)^-I395),'Deal maths'!Y395/I395),0)</f>
        <v/>
      </c>
      <c r="L395" s="111">
        <f>IF('Deal maths'!Y395="",0,'Deal maths'!Y395)</f>
        <v/>
      </c>
      <c r="M395" s="112">
        <f>F395+(F395=0)</f>
        <v/>
      </c>
      <c r="N395" s="108">
        <f>IFERROR(IF(D395=0,0,INT(((YEAR('Deal maths'!AA395)-YEAR(E395))*12+MONTH('Deal maths'!AA395)-MONTH(E395)-(DAY('Deal maths'!AA395)&lt;MIN(R395,DAY(EOMONTH('Deal maths'!AA395,0)))))/D395)+1),0)</f>
        <v/>
      </c>
      <c r="O395" s="108">
        <f>IFERROR(IF(D395=0,0,IF(IF(DAY(E395+1)=1,EOMONTH(E395,(N395-1)*D395),EDATE(E395,(N395-1)*D395))='Deal maths'!AA395,0,1)),0)</f>
        <v/>
      </c>
      <c r="P395" s="113">
        <f>IF(B395=0,0,IFERROR(IF(C395="EIP",((I395-O395)*((IF(DAY(E395+1)=1,EOMONTH(E395,H395*D395),EDATE(E395,H395*D395))-AsAt)/365.25+(IF(DAY(E395+1)=1,EOMONTH(E395,(N395-1)*D395),EDATE(E395,(N395-1)*D395))-AsAt)/365.25)/2+O395*('Deal maths'!AA395-AsAt)/365.25)/I395,IF(C395="Annuity",IF(F395&gt;0,((K395-L395*F395)*((IF(DAY(E395+1)=1,EOMONTH(E395,H395*D395),EDATE(E395,H395*D395))-AsAt)/365.25*((1+F395)^(I395-O395)-1)/F395+IF((I395-O395)&gt;1,((IF(DAY(E395+1)=1,EOMONTH(E395,(N395-1)*D395),EDATE(E395,(N395-1)*D395))-AsAt)/365.25-(IF(DAY(E395+1)=1,EOMONTH(E395,H395*D395),EDATE(E395,H395*D395))-AsAt)/365.25)/((I395-O395)-1),0)*(1+F395)*(1-(I395-O395)*(1+F395)^((I395-O395)-1)+((I395-O395)-1)*(1+F395)^(I395-O395))/F395^2)+O395*(K395-L395*F395)*(1+F395)^(I395-1)*('Deal maths'!AA395-AsAt)/365.25)/L395,((I395-O395)*((IF(DAY(E395+1)=1,EOMONTH(E395,H395*D395),EDATE(E395,H395*D395))-AsAt)/365.25+(IF(DAY(E395+1)=1,EOMONTH(E395,(N395-1)*D395),EDATE(E395,(N395-1)*D395))-AsAt)/365.25)/2+O395*('Deal maths'!AA395-AsAt)/365.25)/I395),(S395-AsAt)/365.25)),0))</f>
        <v/>
      </c>
      <c r="Q395" s="109">
        <f>IF(B395=1,'Deal maths'!AA395+ROW()/1000000,"")</f>
        <v/>
      </c>
      <c r="R395" s="108">
        <f>IF(D395=0,0,IF(DAY(E395+1)=1,31,DAY(E395)))</f>
        <v/>
      </c>
      <c r="S395" s="109">
        <f>IF(AND('Deal maths'!V395="LOBO",'Deal maths'!AG395&gt;AsAt,'Deal maths'!AG395&lt;'Deal maths'!AA395),'Deal maths'!AG395,'Deal maths'!AA395)</f>
        <v/>
      </c>
      <c r="T395" s="108">
        <f>('Deal maths'!AA395&gt;AsAt)*('Deal maths'!Y395&gt;0)</f>
        <v/>
      </c>
    </row>
    <row r="396">
      <c r="A396" s="91">
        <f>IF('Deal maths'!V396="","",'Deal maths'!W396)</f>
        <v/>
      </c>
      <c r="B396" s="108">
        <f>('Deal maths'!AA396&gt;AsAt)*('Deal maths'!Y396&gt;0)*('Deal maths'!Z396&lt;=AsAt)</f>
        <v/>
      </c>
      <c r="C396" s="91">
        <f>IF('Deal maths'!V396="","",IF('Deal maths'!AC396="","Maturity",'Deal maths'!AC396))</f>
        <v/>
      </c>
      <c r="D396" s="108">
        <f>IF(OR(C396="EIP",C396="Annuity"),IF('Deal maths'!AD396="Annual",12,IF('Deal maths'!AD396="Quarterly",3,6)),0)</f>
        <v/>
      </c>
      <c r="E396" s="109">
        <f>IFERROR(IF(D396=0,0,IF('Deal maths'!AE396&gt;0,IF('Deal maths'!AE396&gt;'Deal maths'!AA396,'Deal maths'!AA396,'Deal maths'!AE396),IF(IF(DAY('Deal maths'!AA396+1)=1,EOMONTH('Deal maths'!AA396,-(INT(((YEAR('Deal maths'!AA396)-YEAR(IF('Deal maths'!Z396&gt;0,'Deal maths'!Z396,DATE(1990,1,1))))*12+MONTH('Deal maths'!AA396)-MONTH(IF('Deal maths'!Z396&gt;0,'Deal maths'!Z396,DATE(1990,1,1))))/D396))*D396),EDATE('Deal maths'!AA396,-(INT(((YEAR('Deal maths'!AA396)-YEAR(IF('Deal maths'!Z396&gt;0,'Deal maths'!Z396,DATE(1990,1,1))))*12+MONTH('Deal maths'!AA396)-MONTH(IF('Deal maths'!Z396&gt;0,'Deal maths'!Z396,DATE(1990,1,1))))/D396))*D396))&gt;IF('Deal maths'!Z396&gt;0,'Deal maths'!Z396,DATE(1990,1,1)),IF(DAY('Deal maths'!AA396+1)=1,EOMONTH('Deal maths'!AA396,-(INT(((YEAR('Deal maths'!AA396)-YEAR(IF('Deal maths'!Z396&gt;0,'Deal maths'!Z396,DATE(1990,1,1))))*12+MONTH('Deal maths'!AA396)-MONTH(IF('Deal maths'!Z396&gt;0,'Deal maths'!Z396,DATE(1990,1,1))))/D396))*D396),EDATE('Deal maths'!AA396,-(INT(((YEAR('Deal maths'!AA396)-YEAR(IF('Deal maths'!Z396&gt;0,'Deal maths'!Z396,DATE(1990,1,1))))*12+MONTH('Deal maths'!AA396)-MONTH(IF('Deal maths'!Z396&gt;0,'Deal maths'!Z396,DATE(1990,1,1))))/D396))*D396)),IF(DAY('Deal maths'!AA396+1)=1,EOMONTH('Deal maths'!AA396,-(INT(((YEAR('Deal maths'!AA396)-YEAR(IF('Deal maths'!Z396&gt;0,'Deal maths'!Z396,DATE(1990,1,1))))*12+MONTH('Deal maths'!AA396)-MONTH(IF('Deal maths'!Z396&gt;0,'Deal maths'!Z396,DATE(1990,1,1))))/D396)-1)*D396),EDATE('Deal maths'!AA396,-(INT(((YEAR('Deal maths'!AA396)-YEAR(IF('Deal maths'!Z396&gt;0,'Deal maths'!Z396,DATE(1990,1,1))))*12+MONTH('Deal maths'!AA396)-MONTH(IF('Deal maths'!Z396&gt;0,'Deal maths'!Z396,DATE(1990,1,1))))/D396)-1)*D396))))),0)</f>
        <v/>
      </c>
      <c r="F396" s="110">
        <f>IF(D396=0,0,'Deal maths'!AB396*D396/12)</f>
        <v/>
      </c>
      <c r="G396" s="108">
        <f>N396+O396</f>
        <v/>
      </c>
      <c r="H396" s="108">
        <f>IFERROR(IF(OR(D396=0,AsAt&lt;E396),0,MIN(N396,INT(((YEAR(AsAt)-YEAR(E396))*12+MONTH(AsAt)-MONTH(E396)-(DAY(AsAt)&lt;MIN(R396,DAY(EOMONTH(AsAt,0)))))/D396)+1)+O396*(AsAt&gt;='Deal maths'!AA396)),0)</f>
        <v/>
      </c>
      <c r="I396" s="108">
        <f>G396-H396</f>
        <v/>
      </c>
      <c r="J396" s="111">
        <f>IF(AND(C396="EIP",I396&gt;0),'Deal maths'!Y396/I396,0)</f>
        <v/>
      </c>
      <c r="K396" s="111">
        <f>IF(AND(C396="Annuity",I396&gt;0),IF(F396&gt;0,'Deal maths'!Y396*F396/(1-(1+F396)^-I396),'Deal maths'!Y396/I396),0)</f>
        <v/>
      </c>
      <c r="L396" s="111">
        <f>IF('Deal maths'!Y396="",0,'Deal maths'!Y396)</f>
        <v/>
      </c>
      <c r="M396" s="112">
        <f>F396+(F396=0)</f>
        <v/>
      </c>
      <c r="N396" s="108">
        <f>IFERROR(IF(D396=0,0,INT(((YEAR('Deal maths'!AA396)-YEAR(E396))*12+MONTH('Deal maths'!AA396)-MONTH(E396)-(DAY('Deal maths'!AA396)&lt;MIN(R396,DAY(EOMONTH('Deal maths'!AA396,0)))))/D396)+1),0)</f>
        <v/>
      </c>
      <c r="O396" s="108">
        <f>IFERROR(IF(D396=0,0,IF(IF(DAY(E396+1)=1,EOMONTH(E396,(N396-1)*D396),EDATE(E396,(N396-1)*D396))='Deal maths'!AA396,0,1)),0)</f>
        <v/>
      </c>
      <c r="P396" s="113">
        <f>IF(B396=0,0,IFERROR(IF(C396="EIP",((I396-O396)*((IF(DAY(E396+1)=1,EOMONTH(E396,H396*D396),EDATE(E396,H396*D396))-AsAt)/365.25+(IF(DAY(E396+1)=1,EOMONTH(E396,(N396-1)*D396),EDATE(E396,(N396-1)*D396))-AsAt)/365.25)/2+O396*('Deal maths'!AA396-AsAt)/365.25)/I396,IF(C396="Annuity",IF(F396&gt;0,((K396-L396*F396)*((IF(DAY(E396+1)=1,EOMONTH(E396,H396*D396),EDATE(E396,H396*D396))-AsAt)/365.25*((1+F396)^(I396-O396)-1)/F396+IF((I396-O396)&gt;1,((IF(DAY(E396+1)=1,EOMONTH(E396,(N396-1)*D396),EDATE(E396,(N396-1)*D396))-AsAt)/365.25-(IF(DAY(E396+1)=1,EOMONTH(E396,H396*D396),EDATE(E396,H396*D396))-AsAt)/365.25)/((I396-O396)-1),0)*(1+F396)*(1-(I396-O396)*(1+F396)^((I396-O396)-1)+((I396-O396)-1)*(1+F396)^(I396-O396))/F396^2)+O396*(K396-L396*F396)*(1+F396)^(I396-1)*('Deal maths'!AA396-AsAt)/365.25)/L396,((I396-O396)*((IF(DAY(E396+1)=1,EOMONTH(E396,H396*D396),EDATE(E396,H396*D396))-AsAt)/365.25+(IF(DAY(E396+1)=1,EOMONTH(E396,(N396-1)*D396),EDATE(E396,(N396-1)*D396))-AsAt)/365.25)/2+O396*('Deal maths'!AA396-AsAt)/365.25)/I396),(S396-AsAt)/365.25)),0))</f>
        <v/>
      </c>
      <c r="Q396" s="109">
        <f>IF(B396=1,'Deal maths'!AA396+ROW()/1000000,"")</f>
        <v/>
      </c>
      <c r="R396" s="108">
        <f>IF(D396=0,0,IF(DAY(E396+1)=1,31,DAY(E396)))</f>
        <v/>
      </c>
      <c r="S396" s="109">
        <f>IF(AND('Deal maths'!V396="LOBO",'Deal maths'!AG396&gt;AsAt,'Deal maths'!AG396&lt;'Deal maths'!AA396),'Deal maths'!AG396,'Deal maths'!AA396)</f>
        <v/>
      </c>
      <c r="T396" s="108">
        <f>('Deal maths'!AA396&gt;AsAt)*('Deal maths'!Y396&gt;0)</f>
        <v/>
      </c>
    </row>
    <row r="397">
      <c r="A397" s="91">
        <f>IF('Deal maths'!V397="","",'Deal maths'!W397)</f>
        <v/>
      </c>
      <c r="B397" s="108">
        <f>('Deal maths'!AA397&gt;AsAt)*('Deal maths'!Y397&gt;0)*('Deal maths'!Z397&lt;=AsAt)</f>
        <v/>
      </c>
      <c r="C397" s="91">
        <f>IF('Deal maths'!V397="","",IF('Deal maths'!AC397="","Maturity",'Deal maths'!AC397))</f>
        <v/>
      </c>
      <c r="D397" s="108">
        <f>IF(OR(C397="EIP",C397="Annuity"),IF('Deal maths'!AD397="Annual",12,IF('Deal maths'!AD397="Quarterly",3,6)),0)</f>
        <v/>
      </c>
      <c r="E397" s="109">
        <f>IFERROR(IF(D397=0,0,IF('Deal maths'!AE397&gt;0,IF('Deal maths'!AE397&gt;'Deal maths'!AA397,'Deal maths'!AA397,'Deal maths'!AE397),IF(IF(DAY('Deal maths'!AA397+1)=1,EOMONTH('Deal maths'!AA397,-(INT(((YEAR('Deal maths'!AA397)-YEAR(IF('Deal maths'!Z397&gt;0,'Deal maths'!Z397,DATE(1990,1,1))))*12+MONTH('Deal maths'!AA397)-MONTH(IF('Deal maths'!Z397&gt;0,'Deal maths'!Z397,DATE(1990,1,1))))/D397))*D397),EDATE('Deal maths'!AA397,-(INT(((YEAR('Deal maths'!AA397)-YEAR(IF('Deal maths'!Z397&gt;0,'Deal maths'!Z397,DATE(1990,1,1))))*12+MONTH('Deal maths'!AA397)-MONTH(IF('Deal maths'!Z397&gt;0,'Deal maths'!Z397,DATE(1990,1,1))))/D397))*D397))&gt;IF('Deal maths'!Z397&gt;0,'Deal maths'!Z397,DATE(1990,1,1)),IF(DAY('Deal maths'!AA397+1)=1,EOMONTH('Deal maths'!AA397,-(INT(((YEAR('Deal maths'!AA397)-YEAR(IF('Deal maths'!Z397&gt;0,'Deal maths'!Z397,DATE(1990,1,1))))*12+MONTH('Deal maths'!AA397)-MONTH(IF('Deal maths'!Z397&gt;0,'Deal maths'!Z397,DATE(1990,1,1))))/D397))*D397),EDATE('Deal maths'!AA397,-(INT(((YEAR('Deal maths'!AA397)-YEAR(IF('Deal maths'!Z397&gt;0,'Deal maths'!Z397,DATE(1990,1,1))))*12+MONTH('Deal maths'!AA397)-MONTH(IF('Deal maths'!Z397&gt;0,'Deal maths'!Z397,DATE(1990,1,1))))/D397))*D397)),IF(DAY('Deal maths'!AA397+1)=1,EOMONTH('Deal maths'!AA397,-(INT(((YEAR('Deal maths'!AA397)-YEAR(IF('Deal maths'!Z397&gt;0,'Deal maths'!Z397,DATE(1990,1,1))))*12+MONTH('Deal maths'!AA397)-MONTH(IF('Deal maths'!Z397&gt;0,'Deal maths'!Z397,DATE(1990,1,1))))/D397)-1)*D397),EDATE('Deal maths'!AA397,-(INT(((YEAR('Deal maths'!AA397)-YEAR(IF('Deal maths'!Z397&gt;0,'Deal maths'!Z397,DATE(1990,1,1))))*12+MONTH('Deal maths'!AA397)-MONTH(IF('Deal maths'!Z397&gt;0,'Deal maths'!Z397,DATE(1990,1,1))))/D397)-1)*D397))))),0)</f>
        <v/>
      </c>
      <c r="F397" s="110">
        <f>IF(D397=0,0,'Deal maths'!AB397*D397/12)</f>
        <v/>
      </c>
      <c r="G397" s="108">
        <f>N397+O397</f>
        <v/>
      </c>
      <c r="H397" s="108">
        <f>IFERROR(IF(OR(D397=0,AsAt&lt;E397),0,MIN(N397,INT(((YEAR(AsAt)-YEAR(E397))*12+MONTH(AsAt)-MONTH(E397)-(DAY(AsAt)&lt;MIN(R397,DAY(EOMONTH(AsAt,0)))))/D397)+1)+O397*(AsAt&gt;='Deal maths'!AA397)),0)</f>
        <v/>
      </c>
      <c r="I397" s="108">
        <f>G397-H397</f>
        <v/>
      </c>
      <c r="J397" s="111">
        <f>IF(AND(C397="EIP",I397&gt;0),'Deal maths'!Y397/I397,0)</f>
        <v/>
      </c>
      <c r="K397" s="111">
        <f>IF(AND(C397="Annuity",I397&gt;0),IF(F397&gt;0,'Deal maths'!Y397*F397/(1-(1+F397)^-I397),'Deal maths'!Y397/I397),0)</f>
        <v/>
      </c>
      <c r="L397" s="111">
        <f>IF('Deal maths'!Y397="",0,'Deal maths'!Y397)</f>
        <v/>
      </c>
      <c r="M397" s="112">
        <f>F397+(F397=0)</f>
        <v/>
      </c>
      <c r="N397" s="108">
        <f>IFERROR(IF(D397=0,0,INT(((YEAR('Deal maths'!AA397)-YEAR(E397))*12+MONTH('Deal maths'!AA397)-MONTH(E397)-(DAY('Deal maths'!AA397)&lt;MIN(R397,DAY(EOMONTH('Deal maths'!AA397,0)))))/D397)+1),0)</f>
        <v/>
      </c>
      <c r="O397" s="108">
        <f>IFERROR(IF(D397=0,0,IF(IF(DAY(E397+1)=1,EOMONTH(E397,(N397-1)*D397),EDATE(E397,(N397-1)*D397))='Deal maths'!AA397,0,1)),0)</f>
        <v/>
      </c>
      <c r="P397" s="113">
        <f>IF(B397=0,0,IFERROR(IF(C397="EIP",((I397-O397)*((IF(DAY(E397+1)=1,EOMONTH(E397,H397*D397),EDATE(E397,H397*D397))-AsAt)/365.25+(IF(DAY(E397+1)=1,EOMONTH(E397,(N397-1)*D397),EDATE(E397,(N397-1)*D397))-AsAt)/365.25)/2+O397*('Deal maths'!AA397-AsAt)/365.25)/I397,IF(C397="Annuity",IF(F397&gt;0,((K397-L397*F397)*((IF(DAY(E397+1)=1,EOMONTH(E397,H397*D397),EDATE(E397,H397*D397))-AsAt)/365.25*((1+F397)^(I397-O397)-1)/F397+IF((I397-O397)&gt;1,((IF(DAY(E397+1)=1,EOMONTH(E397,(N397-1)*D397),EDATE(E397,(N397-1)*D397))-AsAt)/365.25-(IF(DAY(E397+1)=1,EOMONTH(E397,H397*D397),EDATE(E397,H397*D397))-AsAt)/365.25)/((I397-O397)-1),0)*(1+F397)*(1-(I397-O397)*(1+F397)^((I397-O397)-1)+((I397-O397)-1)*(1+F397)^(I397-O397))/F397^2)+O397*(K397-L397*F397)*(1+F397)^(I397-1)*('Deal maths'!AA397-AsAt)/365.25)/L397,((I397-O397)*((IF(DAY(E397+1)=1,EOMONTH(E397,H397*D397),EDATE(E397,H397*D397))-AsAt)/365.25+(IF(DAY(E397+1)=1,EOMONTH(E397,(N397-1)*D397),EDATE(E397,(N397-1)*D397))-AsAt)/365.25)/2+O397*('Deal maths'!AA397-AsAt)/365.25)/I397),(S397-AsAt)/365.25)),0))</f>
        <v/>
      </c>
      <c r="Q397" s="109">
        <f>IF(B397=1,'Deal maths'!AA397+ROW()/1000000,"")</f>
        <v/>
      </c>
      <c r="R397" s="108">
        <f>IF(D397=0,0,IF(DAY(E397+1)=1,31,DAY(E397)))</f>
        <v/>
      </c>
      <c r="S397" s="109">
        <f>IF(AND('Deal maths'!V397="LOBO",'Deal maths'!AG397&gt;AsAt,'Deal maths'!AG397&lt;'Deal maths'!AA397),'Deal maths'!AG397,'Deal maths'!AA397)</f>
        <v/>
      </c>
      <c r="T397" s="108">
        <f>('Deal maths'!AA397&gt;AsAt)*('Deal maths'!Y397&gt;0)</f>
        <v/>
      </c>
    </row>
    <row r="398">
      <c r="A398" s="91">
        <f>IF('Deal maths'!V398="","",'Deal maths'!W398)</f>
        <v/>
      </c>
      <c r="B398" s="108">
        <f>('Deal maths'!AA398&gt;AsAt)*('Deal maths'!Y398&gt;0)*('Deal maths'!Z398&lt;=AsAt)</f>
        <v/>
      </c>
      <c r="C398" s="91">
        <f>IF('Deal maths'!V398="","",IF('Deal maths'!AC398="","Maturity",'Deal maths'!AC398))</f>
        <v/>
      </c>
      <c r="D398" s="108">
        <f>IF(OR(C398="EIP",C398="Annuity"),IF('Deal maths'!AD398="Annual",12,IF('Deal maths'!AD398="Quarterly",3,6)),0)</f>
        <v/>
      </c>
      <c r="E398" s="109">
        <f>IFERROR(IF(D398=0,0,IF('Deal maths'!AE398&gt;0,IF('Deal maths'!AE398&gt;'Deal maths'!AA398,'Deal maths'!AA398,'Deal maths'!AE398),IF(IF(DAY('Deal maths'!AA398+1)=1,EOMONTH('Deal maths'!AA398,-(INT(((YEAR('Deal maths'!AA398)-YEAR(IF('Deal maths'!Z398&gt;0,'Deal maths'!Z398,DATE(1990,1,1))))*12+MONTH('Deal maths'!AA398)-MONTH(IF('Deal maths'!Z398&gt;0,'Deal maths'!Z398,DATE(1990,1,1))))/D398))*D398),EDATE('Deal maths'!AA398,-(INT(((YEAR('Deal maths'!AA398)-YEAR(IF('Deal maths'!Z398&gt;0,'Deal maths'!Z398,DATE(1990,1,1))))*12+MONTH('Deal maths'!AA398)-MONTH(IF('Deal maths'!Z398&gt;0,'Deal maths'!Z398,DATE(1990,1,1))))/D398))*D398))&gt;IF('Deal maths'!Z398&gt;0,'Deal maths'!Z398,DATE(1990,1,1)),IF(DAY('Deal maths'!AA398+1)=1,EOMONTH('Deal maths'!AA398,-(INT(((YEAR('Deal maths'!AA398)-YEAR(IF('Deal maths'!Z398&gt;0,'Deal maths'!Z398,DATE(1990,1,1))))*12+MONTH('Deal maths'!AA398)-MONTH(IF('Deal maths'!Z398&gt;0,'Deal maths'!Z398,DATE(1990,1,1))))/D398))*D398),EDATE('Deal maths'!AA398,-(INT(((YEAR('Deal maths'!AA398)-YEAR(IF('Deal maths'!Z398&gt;0,'Deal maths'!Z398,DATE(1990,1,1))))*12+MONTH('Deal maths'!AA398)-MONTH(IF('Deal maths'!Z398&gt;0,'Deal maths'!Z398,DATE(1990,1,1))))/D398))*D398)),IF(DAY('Deal maths'!AA398+1)=1,EOMONTH('Deal maths'!AA398,-(INT(((YEAR('Deal maths'!AA398)-YEAR(IF('Deal maths'!Z398&gt;0,'Deal maths'!Z398,DATE(1990,1,1))))*12+MONTH('Deal maths'!AA398)-MONTH(IF('Deal maths'!Z398&gt;0,'Deal maths'!Z398,DATE(1990,1,1))))/D398)-1)*D398),EDATE('Deal maths'!AA398,-(INT(((YEAR('Deal maths'!AA398)-YEAR(IF('Deal maths'!Z398&gt;0,'Deal maths'!Z398,DATE(1990,1,1))))*12+MONTH('Deal maths'!AA398)-MONTH(IF('Deal maths'!Z398&gt;0,'Deal maths'!Z398,DATE(1990,1,1))))/D398)-1)*D398))))),0)</f>
        <v/>
      </c>
      <c r="F398" s="110">
        <f>IF(D398=0,0,'Deal maths'!AB398*D398/12)</f>
        <v/>
      </c>
      <c r="G398" s="108">
        <f>N398+O398</f>
        <v/>
      </c>
      <c r="H398" s="108">
        <f>IFERROR(IF(OR(D398=0,AsAt&lt;E398),0,MIN(N398,INT(((YEAR(AsAt)-YEAR(E398))*12+MONTH(AsAt)-MONTH(E398)-(DAY(AsAt)&lt;MIN(R398,DAY(EOMONTH(AsAt,0)))))/D398)+1)+O398*(AsAt&gt;='Deal maths'!AA398)),0)</f>
        <v/>
      </c>
      <c r="I398" s="108">
        <f>G398-H398</f>
        <v/>
      </c>
      <c r="J398" s="111">
        <f>IF(AND(C398="EIP",I398&gt;0),'Deal maths'!Y398/I398,0)</f>
        <v/>
      </c>
      <c r="K398" s="111">
        <f>IF(AND(C398="Annuity",I398&gt;0),IF(F398&gt;0,'Deal maths'!Y398*F398/(1-(1+F398)^-I398),'Deal maths'!Y398/I398),0)</f>
        <v/>
      </c>
      <c r="L398" s="111">
        <f>IF('Deal maths'!Y398="",0,'Deal maths'!Y398)</f>
        <v/>
      </c>
      <c r="M398" s="112">
        <f>F398+(F398=0)</f>
        <v/>
      </c>
      <c r="N398" s="108">
        <f>IFERROR(IF(D398=0,0,INT(((YEAR('Deal maths'!AA398)-YEAR(E398))*12+MONTH('Deal maths'!AA398)-MONTH(E398)-(DAY('Deal maths'!AA398)&lt;MIN(R398,DAY(EOMONTH('Deal maths'!AA398,0)))))/D398)+1),0)</f>
        <v/>
      </c>
      <c r="O398" s="108">
        <f>IFERROR(IF(D398=0,0,IF(IF(DAY(E398+1)=1,EOMONTH(E398,(N398-1)*D398),EDATE(E398,(N398-1)*D398))='Deal maths'!AA398,0,1)),0)</f>
        <v/>
      </c>
      <c r="P398" s="113">
        <f>IF(B398=0,0,IFERROR(IF(C398="EIP",((I398-O398)*((IF(DAY(E398+1)=1,EOMONTH(E398,H398*D398),EDATE(E398,H398*D398))-AsAt)/365.25+(IF(DAY(E398+1)=1,EOMONTH(E398,(N398-1)*D398),EDATE(E398,(N398-1)*D398))-AsAt)/365.25)/2+O398*('Deal maths'!AA398-AsAt)/365.25)/I398,IF(C398="Annuity",IF(F398&gt;0,((K398-L398*F398)*((IF(DAY(E398+1)=1,EOMONTH(E398,H398*D398),EDATE(E398,H398*D398))-AsAt)/365.25*((1+F398)^(I398-O398)-1)/F398+IF((I398-O398)&gt;1,((IF(DAY(E398+1)=1,EOMONTH(E398,(N398-1)*D398),EDATE(E398,(N398-1)*D398))-AsAt)/365.25-(IF(DAY(E398+1)=1,EOMONTH(E398,H398*D398),EDATE(E398,H398*D398))-AsAt)/365.25)/((I398-O398)-1),0)*(1+F398)*(1-(I398-O398)*(1+F398)^((I398-O398)-1)+((I398-O398)-1)*(1+F398)^(I398-O398))/F398^2)+O398*(K398-L398*F398)*(1+F398)^(I398-1)*('Deal maths'!AA398-AsAt)/365.25)/L398,((I398-O398)*((IF(DAY(E398+1)=1,EOMONTH(E398,H398*D398),EDATE(E398,H398*D398))-AsAt)/365.25+(IF(DAY(E398+1)=1,EOMONTH(E398,(N398-1)*D398),EDATE(E398,(N398-1)*D398))-AsAt)/365.25)/2+O398*('Deal maths'!AA398-AsAt)/365.25)/I398),(S398-AsAt)/365.25)),0))</f>
        <v/>
      </c>
      <c r="Q398" s="109">
        <f>IF(B398=1,'Deal maths'!AA398+ROW()/1000000,"")</f>
        <v/>
      </c>
      <c r="R398" s="108">
        <f>IF(D398=0,0,IF(DAY(E398+1)=1,31,DAY(E398)))</f>
        <v/>
      </c>
      <c r="S398" s="109">
        <f>IF(AND('Deal maths'!V398="LOBO",'Deal maths'!AG398&gt;AsAt,'Deal maths'!AG398&lt;'Deal maths'!AA398),'Deal maths'!AG398,'Deal maths'!AA398)</f>
        <v/>
      </c>
      <c r="T398" s="108">
        <f>('Deal maths'!AA398&gt;AsAt)*('Deal maths'!Y398&gt;0)</f>
        <v/>
      </c>
    </row>
    <row r="399">
      <c r="A399" s="91">
        <f>IF('Deal maths'!V399="","",'Deal maths'!W399)</f>
        <v/>
      </c>
      <c r="B399" s="108">
        <f>('Deal maths'!AA399&gt;AsAt)*('Deal maths'!Y399&gt;0)*('Deal maths'!Z399&lt;=AsAt)</f>
        <v/>
      </c>
      <c r="C399" s="91">
        <f>IF('Deal maths'!V399="","",IF('Deal maths'!AC399="","Maturity",'Deal maths'!AC399))</f>
        <v/>
      </c>
      <c r="D399" s="108">
        <f>IF(OR(C399="EIP",C399="Annuity"),IF('Deal maths'!AD399="Annual",12,IF('Deal maths'!AD399="Quarterly",3,6)),0)</f>
        <v/>
      </c>
      <c r="E399" s="109">
        <f>IFERROR(IF(D399=0,0,IF('Deal maths'!AE399&gt;0,IF('Deal maths'!AE399&gt;'Deal maths'!AA399,'Deal maths'!AA399,'Deal maths'!AE399),IF(IF(DAY('Deal maths'!AA399+1)=1,EOMONTH('Deal maths'!AA399,-(INT(((YEAR('Deal maths'!AA399)-YEAR(IF('Deal maths'!Z399&gt;0,'Deal maths'!Z399,DATE(1990,1,1))))*12+MONTH('Deal maths'!AA399)-MONTH(IF('Deal maths'!Z399&gt;0,'Deal maths'!Z399,DATE(1990,1,1))))/D399))*D399),EDATE('Deal maths'!AA399,-(INT(((YEAR('Deal maths'!AA399)-YEAR(IF('Deal maths'!Z399&gt;0,'Deal maths'!Z399,DATE(1990,1,1))))*12+MONTH('Deal maths'!AA399)-MONTH(IF('Deal maths'!Z399&gt;0,'Deal maths'!Z399,DATE(1990,1,1))))/D399))*D399))&gt;IF('Deal maths'!Z399&gt;0,'Deal maths'!Z399,DATE(1990,1,1)),IF(DAY('Deal maths'!AA399+1)=1,EOMONTH('Deal maths'!AA399,-(INT(((YEAR('Deal maths'!AA399)-YEAR(IF('Deal maths'!Z399&gt;0,'Deal maths'!Z399,DATE(1990,1,1))))*12+MONTH('Deal maths'!AA399)-MONTH(IF('Deal maths'!Z399&gt;0,'Deal maths'!Z399,DATE(1990,1,1))))/D399))*D399),EDATE('Deal maths'!AA399,-(INT(((YEAR('Deal maths'!AA399)-YEAR(IF('Deal maths'!Z399&gt;0,'Deal maths'!Z399,DATE(1990,1,1))))*12+MONTH('Deal maths'!AA399)-MONTH(IF('Deal maths'!Z399&gt;0,'Deal maths'!Z399,DATE(1990,1,1))))/D399))*D399)),IF(DAY('Deal maths'!AA399+1)=1,EOMONTH('Deal maths'!AA399,-(INT(((YEAR('Deal maths'!AA399)-YEAR(IF('Deal maths'!Z399&gt;0,'Deal maths'!Z399,DATE(1990,1,1))))*12+MONTH('Deal maths'!AA399)-MONTH(IF('Deal maths'!Z399&gt;0,'Deal maths'!Z399,DATE(1990,1,1))))/D399)-1)*D399),EDATE('Deal maths'!AA399,-(INT(((YEAR('Deal maths'!AA399)-YEAR(IF('Deal maths'!Z399&gt;0,'Deal maths'!Z399,DATE(1990,1,1))))*12+MONTH('Deal maths'!AA399)-MONTH(IF('Deal maths'!Z399&gt;0,'Deal maths'!Z399,DATE(1990,1,1))))/D399)-1)*D399))))),0)</f>
        <v/>
      </c>
      <c r="F399" s="110">
        <f>IF(D399=0,0,'Deal maths'!AB399*D399/12)</f>
        <v/>
      </c>
      <c r="G399" s="108">
        <f>N399+O399</f>
        <v/>
      </c>
      <c r="H399" s="108">
        <f>IFERROR(IF(OR(D399=0,AsAt&lt;E399),0,MIN(N399,INT(((YEAR(AsAt)-YEAR(E399))*12+MONTH(AsAt)-MONTH(E399)-(DAY(AsAt)&lt;MIN(R399,DAY(EOMONTH(AsAt,0)))))/D399)+1)+O399*(AsAt&gt;='Deal maths'!AA399)),0)</f>
        <v/>
      </c>
      <c r="I399" s="108">
        <f>G399-H399</f>
        <v/>
      </c>
      <c r="J399" s="111">
        <f>IF(AND(C399="EIP",I399&gt;0),'Deal maths'!Y399/I399,0)</f>
        <v/>
      </c>
      <c r="K399" s="111">
        <f>IF(AND(C399="Annuity",I399&gt;0),IF(F399&gt;0,'Deal maths'!Y399*F399/(1-(1+F399)^-I399),'Deal maths'!Y399/I399),0)</f>
        <v/>
      </c>
      <c r="L399" s="111">
        <f>IF('Deal maths'!Y399="",0,'Deal maths'!Y399)</f>
        <v/>
      </c>
      <c r="M399" s="112">
        <f>F399+(F399=0)</f>
        <v/>
      </c>
      <c r="N399" s="108">
        <f>IFERROR(IF(D399=0,0,INT(((YEAR('Deal maths'!AA399)-YEAR(E399))*12+MONTH('Deal maths'!AA399)-MONTH(E399)-(DAY('Deal maths'!AA399)&lt;MIN(R399,DAY(EOMONTH('Deal maths'!AA399,0)))))/D399)+1),0)</f>
        <v/>
      </c>
      <c r="O399" s="108">
        <f>IFERROR(IF(D399=0,0,IF(IF(DAY(E399+1)=1,EOMONTH(E399,(N399-1)*D399),EDATE(E399,(N399-1)*D399))='Deal maths'!AA399,0,1)),0)</f>
        <v/>
      </c>
      <c r="P399" s="113">
        <f>IF(B399=0,0,IFERROR(IF(C399="EIP",((I399-O399)*((IF(DAY(E399+1)=1,EOMONTH(E399,H399*D399),EDATE(E399,H399*D399))-AsAt)/365.25+(IF(DAY(E399+1)=1,EOMONTH(E399,(N399-1)*D399),EDATE(E399,(N399-1)*D399))-AsAt)/365.25)/2+O399*('Deal maths'!AA399-AsAt)/365.25)/I399,IF(C399="Annuity",IF(F399&gt;0,((K399-L399*F399)*((IF(DAY(E399+1)=1,EOMONTH(E399,H399*D399),EDATE(E399,H399*D399))-AsAt)/365.25*((1+F399)^(I399-O399)-1)/F399+IF((I399-O399)&gt;1,((IF(DAY(E399+1)=1,EOMONTH(E399,(N399-1)*D399),EDATE(E399,(N399-1)*D399))-AsAt)/365.25-(IF(DAY(E399+1)=1,EOMONTH(E399,H399*D399),EDATE(E399,H399*D399))-AsAt)/365.25)/((I399-O399)-1),0)*(1+F399)*(1-(I399-O399)*(1+F399)^((I399-O399)-1)+((I399-O399)-1)*(1+F399)^(I399-O399))/F399^2)+O399*(K399-L399*F399)*(1+F399)^(I399-1)*('Deal maths'!AA399-AsAt)/365.25)/L399,((I399-O399)*((IF(DAY(E399+1)=1,EOMONTH(E399,H399*D399),EDATE(E399,H399*D399))-AsAt)/365.25+(IF(DAY(E399+1)=1,EOMONTH(E399,(N399-1)*D399),EDATE(E399,(N399-1)*D399))-AsAt)/365.25)/2+O399*('Deal maths'!AA399-AsAt)/365.25)/I399),(S399-AsAt)/365.25)),0))</f>
        <v/>
      </c>
      <c r="Q399" s="109">
        <f>IF(B399=1,'Deal maths'!AA399+ROW()/1000000,"")</f>
        <v/>
      </c>
      <c r="R399" s="108">
        <f>IF(D399=0,0,IF(DAY(E399+1)=1,31,DAY(E399)))</f>
        <v/>
      </c>
      <c r="S399" s="109">
        <f>IF(AND('Deal maths'!V399="LOBO",'Deal maths'!AG399&gt;AsAt,'Deal maths'!AG399&lt;'Deal maths'!AA399),'Deal maths'!AG399,'Deal maths'!AA399)</f>
        <v/>
      </c>
      <c r="T399" s="108">
        <f>('Deal maths'!AA399&gt;AsAt)*('Deal maths'!Y399&gt;0)</f>
        <v/>
      </c>
    </row>
    <row r="400">
      <c r="A400" s="91">
        <f>IF('Deal maths'!V400="","",'Deal maths'!W400)</f>
        <v/>
      </c>
      <c r="B400" s="108">
        <f>('Deal maths'!AA400&gt;AsAt)*('Deal maths'!Y400&gt;0)*('Deal maths'!Z400&lt;=AsAt)</f>
        <v/>
      </c>
      <c r="C400" s="91">
        <f>IF('Deal maths'!V400="","",IF('Deal maths'!AC400="","Maturity",'Deal maths'!AC400))</f>
        <v/>
      </c>
      <c r="D400" s="108">
        <f>IF(OR(C400="EIP",C400="Annuity"),IF('Deal maths'!AD400="Annual",12,IF('Deal maths'!AD400="Quarterly",3,6)),0)</f>
        <v/>
      </c>
      <c r="E400" s="109">
        <f>IFERROR(IF(D400=0,0,IF('Deal maths'!AE400&gt;0,IF('Deal maths'!AE400&gt;'Deal maths'!AA400,'Deal maths'!AA400,'Deal maths'!AE400),IF(IF(DAY('Deal maths'!AA400+1)=1,EOMONTH('Deal maths'!AA400,-(INT(((YEAR('Deal maths'!AA400)-YEAR(IF('Deal maths'!Z400&gt;0,'Deal maths'!Z400,DATE(1990,1,1))))*12+MONTH('Deal maths'!AA400)-MONTH(IF('Deal maths'!Z400&gt;0,'Deal maths'!Z400,DATE(1990,1,1))))/D400))*D400),EDATE('Deal maths'!AA400,-(INT(((YEAR('Deal maths'!AA400)-YEAR(IF('Deal maths'!Z400&gt;0,'Deal maths'!Z400,DATE(1990,1,1))))*12+MONTH('Deal maths'!AA400)-MONTH(IF('Deal maths'!Z400&gt;0,'Deal maths'!Z400,DATE(1990,1,1))))/D400))*D400))&gt;IF('Deal maths'!Z400&gt;0,'Deal maths'!Z400,DATE(1990,1,1)),IF(DAY('Deal maths'!AA400+1)=1,EOMONTH('Deal maths'!AA400,-(INT(((YEAR('Deal maths'!AA400)-YEAR(IF('Deal maths'!Z400&gt;0,'Deal maths'!Z400,DATE(1990,1,1))))*12+MONTH('Deal maths'!AA400)-MONTH(IF('Deal maths'!Z400&gt;0,'Deal maths'!Z400,DATE(1990,1,1))))/D400))*D400),EDATE('Deal maths'!AA400,-(INT(((YEAR('Deal maths'!AA400)-YEAR(IF('Deal maths'!Z400&gt;0,'Deal maths'!Z400,DATE(1990,1,1))))*12+MONTH('Deal maths'!AA400)-MONTH(IF('Deal maths'!Z400&gt;0,'Deal maths'!Z400,DATE(1990,1,1))))/D400))*D400)),IF(DAY('Deal maths'!AA400+1)=1,EOMONTH('Deal maths'!AA400,-(INT(((YEAR('Deal maths'!AA400)-YEAR(IF('Deal maths'!Z400&gt;0,'Deal maths'!Z400,DATE(1990,1,1))))*12+MONTH('Deal maths'!AA400)-MONTH(IF('Deal maths'!Z400&gt;0,'Deal maths'!Z400,DATE(1990,1,1))))/D400)-1)*D400),EDATE('Deal maths'!AA400,-(INT(((YEAR('Deal maths'!AA400)-YEAR(IF('Deal maths'!Z400&gt;0,'Deal maths'!Z400,DATE(1990,1,1))))*12+MONTH('Deal maths'!AA400)-MONTH(IF('Deal maths'!Z400&gt;0,'Deal maths'!Z400,DATE(1990,1,1))))/D400)-1)*D400))))),0)</f>
        <v/>
      </c>
      <c r="F400" s="110">
        <f>IF(D400=0,0,'Deal maths'!AB400*D400/12)</f>
        <v/>
      </c>
      <c r="G400" s="108">
        <f>N400+O400</f>
        <v/>
      </c>
      <c r="H400" s="108">
        <f>IFERROR(IF(OR(D400=0,AsAt&lt;E400),0,MIN(N400,INT(((YEAR(AsAt)-YEAR(E400))*12+MONTH(AsAt)-MONTH(E400)-(DAY(AsAt)&lt;MIN(R400,DAY(EOMONTH(AsAt,0)))))/D400)+1)+O400*(AsAt&gt;='Deal maths'!AA400)),0)</f>
        <v/>
      </c>
      <c r="I400" s="108">
        <f>G400-H400</f>
        <v/>
      </c>
      <c r="J400" s="111">
        <f>IF(AND(C400="EIP",I400&gt;0),'Deal maths'!Y400/I400,0)</f>
        <v/>
      </c>
      <c r="K400" s="111">
        <f>IF(AND(C400="Annuity",I400&gt;0),IF(F400&gt;0,'Deal maths'!Y400*F400/(1-(1+F400)^-I400),'Deal maths'!Y400/I400),0)</f>
        <v/>
      </c>
      <c r="L400" s="111">
        <f>IF('Deal maths'!Y400="",0,'Deal maths'!Y400)</f>
        <v/>
      </c>
      <c r="M400" s="112">
        <f>F400+(F400=0)</f>
        <v/>
      </c>
      <c r="N400" s="108">
        <f>IFERROR(IF(D400=0,0,INT(((YEAR('Deal maths'!AA400)-YEAR(E400))*12+MONTH('Deal maths'!AA400)-MONTH(E400)-(DAY('Deal maths'!AA400)&lt;MIN(R400,DAY(EOMONTH('Deal maths'!AA400,0)))))/D400)+1),0)</f>
        <v/>
      </c>
      <c r="O400" s="108">
        <f>IFERROR(IF(D400=0,0,IF(IF(DAY(E400+1)=1,EOMONTH(E400,(N400-1)*D400),EDATE(E400,(N400-1)*D400))='Deal maths'!AA400,0,1)),0)</f>
        <v/>
      </c>
      <c r="P400" s="113">
        <f>IF(B400=0,0,IFERROR(IF(C400="EIP",((I400-O400)*((IF(DAY(E400+1)=1,EOMONTH(E400,H400*D400),EDATE(E400,H400*D400))-AsAt)/365.25+(IF(DAY(E400+1)=1,EOMONTH(E400,(N400-1)*D400),EDATE(E400,(N400-1)*D400))-AsAt)/365.25)/2+O400*('Deal maths'!AA400-AsAt)/365.25)/I400,IF(C400="Annuity",IF(F400&gt;0,((K400-L400*F400)*((IF(DAY(E400+1)=1,EOMONTH(E400,H400*D400),EDATE(E400,H400*D400))-AsAt)/365.25*((1+F400)^(I400-O400)-1)/F400+IF((I400-O400)&gt;1,((IF(DAY(E400+1)=1,EOMONTH(E400,(N400-1)*D400),EDATE(E400,(N400-1)*D400))-AsAt)/365.25-(IF(DAY(E400+1)=1,EOMONTH(E400,H400*D400),EDATE(E400,H400*D400))-AsAt)/365.25)/((I400-O400)-1),0)*(1+F400)*(1-(I400-O400)*(1+F400)^((I400-O400)-1)+((I400-O400)-1)*(1+F400)^(I400-O400))/F400^2)+O400*(K400-L400*F400)*(1+F400)^(I400-1)*('Deal maths'!AA400-AsAt)/365.25)/L400,((I400-O400)*((IF(DAY(E400+1)=1,EOMONTH(E400,H400*D400),EDATE(E400,H400*D400))-AsAt)/365.25+(IF(DAY(E400+1)=1,EOMONTH(E400,(N400-1)*D400),EDATE(E400,(N400-1)*D400))-AsAt)/365.25)/2+O400*('Deal maths'!AA400-AsAt)/365.25)/I400),(S400-AsAt)/365.25)),0))</f>
        <v/>
      </c>
      <c r="Q400" s="109">
        <f>IF(B400=1,'Deal maths'!AA400+ROW()/1000000,"")</f>
        <v/>
      </c>
      <c r="R400" s="108">
        <f>IF(D400=0,0,IF(DAY(E400+1)=1,31,DAY(E400)))</f>
        <v/>
      </c>
      <c r="S400" s="109">
        <f>IF(AND('Deal maths'!V400="LOBO",'Deal maths'!AG400&gt;AsAt,'Deal maths'!AG400&lt;'Deal maths'!AA400),'Deal maths'!AG400,'Deal maths'!AA400)</f>
        <v/>
      </c>
      <c r="T400" s="108">
        <f>('Deal maths'!AA400&gt;AsAt)*('Deal maths'!Y400&gt;0)</f>
        <v/>
      </c>
    </row>
    <row r="401">
      <c r="A401" s="91">
        <f>IF('Deal maths'!V401="","",'Deal maths'!W401)</f>
        <v/>
      </c>
      <c r="B401" s="108">
        <f>('Deal maths'!AA401&gt;AsAt)*('Deal maths'!Y401&gt;0)*('Deal maths'!Z401&lt;=AsAt)</f>
        <v/>
      </c>
      <c r="C401" s="91">
        <f>IF('Deal maths'!V401="","",IF('Deal maths'!AC401="","Maturity",'Deal maths'!AC401))</f>
        <v/>
      </c>
      <c r="D401" s="108">
        <f>IF(OR(C401="EIP",C401="Annuity"),IF('Deal maths'!AD401="Annual",12,IF('Deal maths'!AD401="Quarterly",3,6)),0)</f>
        <v/>
      </c>
      <c r="E401" s="109">
        <f>IFERROR(IF(D401=0,0,IF('Deal maths'!AE401&gt;0,IF('Deal maths'!AE401&gt;'Deal maths'!AA401,'Deal maths'!AA401,'Deal maths'!AE401),IF(IF(DAY('Deal maths'!AA401+1)=1,EOMONTH('Deal maths'!AA401,-(INT(((YEAR('Deal maths'!AA401)-YEAR(IF('Deal maths'!Z401&gt;0,'Deal maths'!Z401,DATE(1990,1,1))))*12+MONTH('Deal maths'!AA401)-MONTH(IF('Deal maths'!Z401&gt;0,'Deal maths'!Z401,DATE(1990,1,1))))/D401))*D401),EDATE('Deal maths'!AA401,-(INT(((YEAR('Deal maths'!AA401)-YEAR(IF('Deal maths'!Z401&gt;0,'Deal maths'!Z401,DATE(1990,1,1))))*12+MONTH('Deal maths'!AA401)-MONTH(IF('Deal maths'!Z401&gt;0,'Deal maths'!Z401,DATE(1990,1,1))))/D401))*D401))&gt;IF('Deal maths'!Z401&gt;0,'Deal maths'!Z401,DATE(1990,1,1)),IF(DAY('Deal maths'!AA401+1)=1,EOMONTH('Deal maths'!AA401,-(INT(((YEAR('Deal maths'!AA401)-YEAR(IF('Deal maths'!Z401&gt;0,'Deal maths'!Z401,DATE(1990,1,1))))*12+MONTH('Deal maths'!AA401)-MONTH(IF('Deal maths'!Z401&gt;0,'Deal maths'!Z401,DATE(1990,1,1))))/D401))*D401),EDATE('Deal maths'!AA401,-(INT(((YEAR('Deal maths'!AA401)-YEAR(IF('Deal maths'!Z401&gt;0,'Deal maths'!Z401,DATE(1990,1,1))))*12+MONTH('Deal maths'!AA401)-MONTH(IF('Deal maths'!Z401&gt;0,'Deal maths'!Z401,DATE(1990,1,1))))/D401))*D401)),IF(DAY('Deal maths'!AA401+1)=1,EOMONTH('Deal maths'!AA401,-(INT(((YEAR('Deal maths'!AA401)-YEAR(IF('Deal maths'!Z401&gt;0,'Deal maths'!Z401,DATE(1990,1,1))))*12+MONTH('Deal maths'!AA401)-MONTH(IF('Deal maths'!Z401&gt;0,'Deal maths'!Z401,DATE(1990,1,1))))/D401)-1)*D401),EDATE('Deal maths'!AA401,-(INT(((YEAR('Deal maths'!AA401)-YEAR(IF('Deal maths'!Z401&gt;0,'Deal maths'!Z401,DATE(1990,1,1))))*12+MONTH('Deal maths'!AA401)-MONTH(IF('Deal maths'!Z401&gt;0,'Deal maths'!Z401,DATE(1990,1,1))))/D401)-1)*D401))))),0)</f>
        <v/>
      </c>
      <c r="F401" s="110">
        <f>IF(D401=0,0,'Deal maths'!AB401*D401/12)</f>
        <v/>
      </c>
      <c r="G401" s="108">
        <f>N401+O401</f>
        <v/>
      </c>
      <c r="H401" s="108">
        <f>IFERROR(IF(OR(D401=0,AsAt&lt;E401),0,MIN(N401,INT(((YEAR(AsAt)-YEAR(E401))*12+MONTH(AsAt)-MONTH(E401)-(DAY(AsAt)&lt;MIN(R401,DAY(EOMONTH(AsAt,0)))))/D401)+1)+O401*(AsAt&gt;='Deal maths'!AA401)),0)</f>
        <v/>
      </c>
      <c r="I401" s="108">
        <f>G401-H401</f>
        <v/>
      </c>
      <c r="J401" s="111">
        <f>IF(AND(C401="EIP",I401&gt;0),'Deal maths'!Y401/I401,0)</f>
        <v/>
      </c>
      <c r="K401" s="111">
        <f>IF(AND(C401="Annuity",I401&gt;0),IF(F401&gt;0,'Deal maths'!Y401*F401/(1-(1+F401)^-I401),'Deal maths'!Y401/I401),0)</f>
        <v/>
      </c>
      <c r="L401" s="111">
        <f>IF('Deal maths'!Y401="",0,'Deal maths'!Y401)</f>
        <v/>
      </c>
      <c r="M401" s="112">
        <f>F401+(F401=0)</f>
        <v/>
      </c>
      <c r="N401" s="108">
        <f>IFERROR(IF(D401=0,0,INT(((YEAR('Deal maths'!AA401)-YEAR(E401))*12+MONTH('Deal maths'!AA401)-MONTH(E401)-(DAY('Deal maths'!AA401)&lt;MIN(R401,DAY(EOMONTH('Deal maths'!AA401,0)))))/D401)+1),0)</f>
        <v/>
      </c>
      <c r="O401" s="108">
        <f>IFERROR(IF(D401=0,0,IF(IF(DAY(E401+1)=1,EOMONTH(E401,(N401-1)*D401),EDATE(E401,(N401-1)*D401))='Deal maths'!AA401,0,1)),0)</f>
        <v/>
      </c>
      <c r="P401" s="113">
        <f>IF(B401=0,0,IFERROR(IF(C401="EIP",((I401-O401)*((IF(DAY(E401+1)=1,EOMONTH(E401,H401*D401),EDATE(E401,H401*D401))-AsAt)/365.25+(IF(DAY(E401+1)=1,EOMONTH(E401,(N401-1)*D401),EDATE(E401,(N401-1)*D401))-AsAt)/365.25)/2+O401*('Deal maths'!AA401-AsAt)/365.25)/I401,IF(C401="Annuity",IF(F401&gt;0,((K401-L401*F401)*((IF(DAY(E401+1)=1,EOMONTH(E401,H401*D401),EDATE(E401,H401*D401))-AsAt)/365.25*((1+F401)^(I401-O401)-1)/F401+IF((I401-O401)&gt;1,((IF(DAY(E401+1)=1,EOMONTH(E401,(N401-1)*D401),EDATE(E401,(N401-1)*D401))-AsAt)/365.25-(IF(DAY(E401+1)=1,EOMONTH(E401,H401*D401),EDATE(E401,H401*D401))-AsAt)/365.25)/((I401-O401)-1),0)*(1+F401)*(1-(I401-O401)*(1+F401)^((I401-O401)-1)+((I401-O401)-1)*(1+F401)^(I401-O401))/F401^2)+O401*(K401-L401*F401)*(1+F401)^(I401-1)*('Deal maths'!AA401-AsAt)/365.25)/L401,((I401-O401)*((IF(DAY(E401+1)=1,EOMONTH(E401,H401*D401),EDATE(E401,H401*D401))-AsAt)/365.25+(IF(DAY(E401+1)=1,EOMONTH(E401,(N401-1)*D401),EDATE(E401,(N401-1)*D401))-AsAt)/365.25)/2+O401*('Deal maths'!AA401-AsAt)/365.25)/I401),(S401-AsAt)/365.25)),0))</f>
        <v/>
      </c>
      <c r="Q401" s="109">
        <f>IF(B401=1,'Deal maths'!AA401+ROW()/1000000,"")</f>
        <v/>
      </c>
      <c r="R401" s="108">
        <f>IF(D401=0,0,IF(DAY(E401+1)=1,31,DAY(E401)))</f>
        <v/>
      </c>
      <c r="S401" s="109">
        <f>IF(AND('Deal maths'!V401="LOBO",'Deal maths'!AG401&gt;AsAt,'Deal maths'!AG401&lt;'Deal maths'!AA401),'Deal maths'!AG401,'Deal maths'!AA401)</f>
        <v/>
      </c>
      <c r="T401" s="108">
        <f>('Deal maths'!AA401&gt;AsAt)*('Deal maths'!Y401&gt;0)</f>
        <v/>
      </c>
    </row>
    <row r="402">
      <c r="A402" s="91">
        <f>IF('Deal maths'!V402="","",'Deal maths'!W402)</f>
        <v/>
      </c>
      <c r="B402" s="108">
        <f>('Deal maths'!AA402&gt;AsAt)*('Deal maths'!Y402&gt;0)*('Deal maths'!Z402&lt;=AsAt)</f>
        <v/>
      </c>
      <c r="C402" s="91">
        <f>IF('Deal maths'!V402="","",IF('Deal maths'!AC402="","Maturity",'Deal maths'!AC402))</f>
        <v/>
      </c>
      <c r="D402" s="108">
        <f>IF(OR(C402="EIP",C402="Annuity"),IF('Deal maths'!AD402="Annual",12,IF('Deal maths'!AD402="Quarterly",3,6)),0)</f>
        <v/>
      </c>
      <c r="E402" s="109">
        <f>IFERROR(IF(D402=0,0,IF('Deal maths'!AE402&gt;0,IF('Deal maths'!AE402&gt;'Deal maths'!AA402,'Deal maths'!AA402,'Deal maths'!AE402),IF(IF(DAY('Deal maths'!AA402+1)=1,EOMONTH('Deal maths'!AA402,-(INT(((YEAR('Deal maths'!AA402)-YEAR(IF('Deal maths'!Z402&gt;0,'Deal maths'!Z402,DATE(1990,1,1))))*12+MONTH('Deal maths'!AA402)-MONTH(IF('Deal maths'!Z402&gt;0,'Deal maths'!Z402,DATE(1990,1,1))))/D402))*D402),EDATE('Deal maths'!AA402,-(INT(((YEAR('Deal maths'!AA402)-YEAR(IF('Deal maths'!Z402&gt;0,'Deal maths'!Z402,DATE(1990,1,1))))*12+MONTH('Deal maths'!AA402)-MONTH(IF('Deal maths'!Z402&gt;0,'Deal maths'!Z402,DATE(1990,1,1))))/D402))*D402))&gt;IF('Deal maths'!Z402&gt;0,'Deal maths'!Z402,DATE(1990,1,1)),IF(DAY('Deal maths'!AA402+1)=1,EOMONTH('Deal maths'!AA402,-(INT(((YEAR('Deal maths'!AA402)-YEAR(IF('Deal maths'!Z402&gt;0,'Deal maths'!Z402,DATE(1990,1,1))))*12+MONTH('Deal maths'!AA402)-MONTH(IF('Deal maths'!Z402&gt;0,'Deal maths'!Z402,DATE(1990,1,1))))/D402))*D402),EDATE('Deal maths'!AA402,-(INT(((YEAR('Deal maths'!AA402)-YEAR(IF('Deal maths'!Z402&gt;0,'Deal maths'!Z402,DATE(1990,1,1))))*12+MONTH('Deal maths'!AA402)-MONTH(IF('Deal maths'!Z402&gt;0,'Deal maths'!Z402,DATE(1990,1,1))))/D402))*D402)),IF(DAY('Deal maths'!AA402+1)=1,EOMONTH('Deal maths'!AA402,-(INT(((YEAR('Deal maths'!AA402)-YEAR(IF('Deal maths'!Z402&gt;0,'Deal maths'!Z402,DATE(1990,1,1))))*12+MONTH('Deal maths'!AA402)-MONTH(IF('Deal maths'!Z402&gt;0,'Deal maths'!Z402,DATE(1990,1,1))))/D402)-1)*D402),EDATE('Deal maths'!AA402,-(INT(((YEAR('Deal maths'!AA402)-YEAR(IF('Deal maths'!Z402&gt;0,'Deal maths'!Z402,DATE(1990,1,1))))*12+MONTH('Deal maths'!AA402)-MONTH(IF('Deal maths'!Z402&gt;0,'Deal maths'!Z402,DATE(1990,1,1))))/D402)-1)*D402))))),0)</f>
        <v/>
      </c>
      <c r="F402" s="110">
        <f>IF(D402=0,0,'Deal maths'!AB402*D402/12)</f>
        <v/>
      </c>
      <c r="G402" s="108">
        <f>N402+O402</f>
        <v/>
      </c>
      <c r="H402" s="108">
        <f>IFERROR(IF(OR(D402=0,AsAt&lt;E402),0,MIN(N402,INT(((YEAR(AsAt)-YEAR(E402))*12+MONTH(AsAt)-MONTH(E402)-(DAY(AsAt)&lt;MIN(R402,DAY(EOMONTH(AsAt,0)))))/D402)+1)+O402*(AsAt&gt;='Deal maths'!AA402)),0)</f>
        <v/>
      </c>
      <c r="I402" s="108">
        <f>G402-H402</f>
        <v/>
      </c>
      <c r="J402" s="111">
        <f>IF(AND(C402="EIP",I402&gt;0),'Deal maths'!Y402/I402,0)</f>
        <v/>
      </c>
      <c r="K402" s="111">
        <f>IF(AND(C402="Annuity",I402&gt;0),IF(F402&gt;0,'Deal maths'!Y402*F402/(1-(1+F402)^-I402),'Deal maths'!Y402/I402),0)</f>
        <v/>
      </c>
      <c r="L402" s="111">
        <f>IF('Deal maths'!Y402="",0,'Deal maths'!Y402)</f>
        <v/>
      </c>
      <c r="M402" s="112">
        <f>F402+(F402=0)</f>
        <v/>
      </c>
      <c r="N402" s="108">
        <f>IFERROR(IF(D402=0,0,INT(((YEAR('Deal maths'!AA402)-YEAR(E402))*12+MONTH('Deal maths'!AA402)-MONTH(E402)-(DAY('Deal maths'!AA402)&lt;MIN(R402,DAY(EOMONTH('Deal maths'!AA402,0)))))/D402)+1),0)</f>
        <v/>
      </c>
      <c r="O402" s="108">
        <f>IFERROR(IF(D402=0,0,IF(IF(DAY(E402+1)=1,EOMONTH(E402,(N402-1)*D402),EDATE(E402,(N402-1)*D402))='Deal maths'!AA402,0,1)),0)</f>
        <v/>
      </c>
      <c r="P402" s="113">
        <f>IF(B402=0,0,IFERROR(IF(C402="EIP",((I402-O402)*((IF(DAY(E402+1)=1,EOMONTH(E402,H402*D402),EDATE(E402,H402*D402))-AsAt)/365.25+(IF(DAY(E402+1)=1,EOMONTH(E402,(N402-1)*D402),EDATE(E402,(N402-1)*D402))-AsAt)/365.25)/2+O402*('Deal maths'!AA402-AsAt)/365.25)/I402,IF(C402="Annuity",IF(F402&gt;0,((K402-L402*F402)*((IF(DAY(E402+1)=1,EOMONTH(E402,H402*D402),EDATE(E402,H402*D402))-AsAt)/365.25*((1+F402)^(I402-O402)-1)/F402+IF((I402-O402)&gt;1,((IF(DAY(E402+1)=1,EOMONTH(E402,(N402-1)*D402),EDATE(E402,(N402-1)*D402))-AsAt)/365.25-(IF(DAY(E402+1)=1,EOMONTH(E402,H402*D402),EDATE(E402,H402*D402))-AsAt)/365.25)/((I402-O402)-1),0)*(1+F402)*(1-(I402-O402)*(1+F402)^((I402-O402)-1)+((I402-O402)-1)*(1+F402)^(I402-O402))/F402^2)+O402*(K402-L402*F402)*(1+F402)^(I402-1)*('Deal maths'!AA402-AsAt)/365.25)/L402,((I402-O402)*((IF(DAY(E402+1)=1,EOMONTH(E402,H402*D402),EDATE(E402,H402*D402))-AsAt)/365.25+(IF(DAY(E402+1)=1,EOMONTH(E402,(N402-1)*D402),EDATE(E402,(N402-1)*D402))-AsAt)/365.25)/2+O402*('Deal maths'!AA402-AsAt)/365.25)/I402),(S402-AsAt)/365.25)),0))</f>
        <v/>
      </c>
      <c r="Q402" s="109">
        <f>IF(B402=1,'Deal maths'!AA402+ROW()/1000000,"")</f>
        <v/>
      </c>
      <c r="R402" s="108">
        <f>IF(D402=0,0,IF(DAY(E402+1)=1,31,DAY(E402)))</f>
        <v/>
      </c>
      <c r="S402" s="109">
        <f>IF(AND('Deal maths'!V402="LOBO",'Deal maths'!AG402&gt;AsAt,'Deal maths'!AG402&lt;'Deal maths'!AA402),'Deal maths'!AG402,'Deal maths'!AA402)</f>
        <v/>
      </c>
      <c r="T402" s="108">
        <f>('Deal maths'!AA402&gt;AsAt)*('Deal maths'!Y402&gt;0)</f>
        <v/>
      </c>
    </row>
    <row r="403">
      <c r="A403" s="91">
        <f>IF('Deal maths'!V403="","",'Deal maths'!W403)</f>
        <v/>
      </c>
      <c r="B403" s="108">
        <f>('Deal maths'!AA403&gt;AsAt)*('Deal maths'!Y403&gt;0)*('Deal maths'!Z403&lt;=AsAt)</f>
        <v/>
      </c>
      <c r="C403" s="91">
        <f>IF('Deal maths'!V403="","",IF('Deal maths'!AC403="","Maturity",'Deal maths'!AC403))</f>
        <v/>
      </c>
      <c r="D403" s="108">
        <f>IF(OR(C403="EIP",C403="Annuity"),IF('Deal maths'!AD403="Annual",12,IF('Deal maths'!AD403="Quarterly",3,6)),0)</f>
        <v/>
      </c>
      <c r="E403" s="109">
        <f>IFERROR(IF(D403=0,0,IF('Deal maths'!AE403&gt;0,IF('Deal maths'!AE403&gt;'Deal maths'!AA403,'Deal maths'!AA403,'Deal maths'!AE403),IF(IF(DAY('Deal maths'!AA403+1)=1,EOMONTH('Deal maths'!AA403,-(INT(((YEAR('Deal maths'!AA403)-YEAR(IF('Deal maths'!Z403&gt;0,'Deal maths'!Z403,DATE(1990,1,1))))*12+MONTH('Deal maths'!AA403)-MONTH(IF('Deal maths'!Z403&gt;0,'Deal maths'!Z403,DATE(1990,1,1))))/D403))*D403),EDATE('Deal maths'!AA403,-(INT(((YEAR('Deal maths'!AA403)-YEAR(IF('Deal maths'!Z403&gt;0,'Deal maths'!Z403,DATE(1990,1,1))))*12+MONTH('Deal maths'!AA403)-MONTH(IF('Deal maths'!Z403&gt;0,'Deal maths'!Z403,DATE(1990,1,1))))/D403))*D403))&gt;IF('Deal maths'!Z403&gt;0,'Deal maths'!Z403,DATE(1990,1,1)),IF(DAY('Deal maths'!AA403+1)=1,EOMONTH('Deal maths'!AA403,-(INT(((YEAR('Deal maths'!AA403)-YEAR(IF('Deal maths'!Z403&gt;0,'Deal maths'!Z403,DATE(1990,1,1))))*12+MONTH('Deal maths'!AA403)-MONTH(IF('Deal maths'!Z403&gt;0,'Deal maths'!Z403,DATE(1990,1,1))))/D403))*D403),EDATE('Deal maths'!AA403,-(INT(((YEAR('Deal maths'!AA403)-YEAR(IF('Deal maths'!Z403&gt;0,'Deal maths'!Z403,DATE(1990,1,1))))*12+MONTH('Deal maths'!AA403)-MONTH(IF('Deal maths'!Z403&gt;0,'Deal maths'!Z403,DATE(1990,1,1))))/D403))*D403)),IF(DAY('Deal maths'!AA403+1)=1,EOMONTH('Deal maths'!AA403,-(INT(((YEAR('Deal maths'!AA403)-YEAR(IF('Deal maths'!Z403&gt;0,'Deal maths'!Z403,DATE(1990,1,1))))*12+MONTH('Deal maths'!AA403)-MONTH(IF('Deal maths'!Z403&gt;0,'Deal maths'!Z403,DATE(1990,1,1))))/D403)-1)*D403),EDATE('Deal maths'!AA403,-(INT(((YEAR('Deal maths'!AA403)-YEAR(IF('Deal maths'!Z403&gt;0,'Deal maths'!Z403,DATE(1990,1,1))))*12+MONTH('Deal maths'!AA403)-MONTH(IF('Deal maths'!Z403&gt;0,'Deal maths'!Z403,DATE(1990,1,1))))/D403)-1)*D403))))),0)</f>
        <v/>
      </c>
      <c r="F403" s="110">
        <f>IF(D403=0,0,'Deal maths'!AB403*D403/12)</f>
        <v/>
      </c>
      <c r="G403" s="108">
        <f>N403+O403</f>
        <v/>
      </c>
      <c r="H403" s="108">
        <f>IFERROR(IF(OR(D403=0,AsAt&lt;E403),0,MIN(N403,INT(((YEAR(AsAt)-YEAR(E403))*12+MONTH(AsAt)-MONTH(E403)-(DAY(AsAt)&lt;MIN(R403,DAY(EOMONTH(AsAt,0)))))/D403)+1)+O403*(AsAt&gt;='Deal maths'!AA403)),0)</f>
        <v/>
      </c>
      <c r="I403" s="108">
        <f>G403-H403</f>
        <v/>
      </c>
      <c r="J403" s="111">
        <f>IF(AND(C403="EIP",I403&gt;0),'Deal maths'!Y403/I403,0)</f>
        <v/>
      </c>
      <c r="K403" s="111">
        <f>IF(AND(C403="Annuity",I403&gt;0),IF(F403&gt;0,'Deal maths'!Y403*F403/(1-(1+F403)^-I403),'Deal maths'!Y403/I403),0)</f>
        <v/>
      </c>
      <c r="L403" s="111">
        <f>IF('Deal maths'!Y403="",0,'Deal maths'!Y403)</f>
        <v/>
      </c>
      <c r="M403" s="112">
        <f>F403+(F403=0)</f>
        <v/>
      </c>
      <c r="N403" s="108">
        <f>IFERROR(IF(D403=0,0,INT(((YEAR('Deal maths'!AA403)-YEAR(E403))*12+MONTH('Deal maths'!AA403)-MONTH(E403)-(DAY('Deal maths'!AA403)&lt;MIN(R403,DAY(EOMONTH('Deal maths'!AA403,0)))))/D403)+1),0)</f>
        <v/>
      </c>
      <c r="O403" s="108">
        <f>IFERROR(IF(D403=0,0,IF(IF(DAY(E403+1)=1,EOMONTH(E403,(N403-1)*D403),EDATE(E403,(N403-1)*D403))='Deal maths'!AA403,0,1)),0)</f>
        <v/>
      </c>
      <c r="P403" s="113">
        <f>IF(B403=0,0,IFERROR(IF(C403="EIP",((I403-O403)*((IF(DAY(E403+1)=1,EOMONTH(E403,H403*D403),EDATE(E403,H403*D403))-AsAt)/365.25+(IF(DAY(E403+1)=1,EOMONTH(E403,(N403-1)*D403),EDATE(E403,(N403-1)*D403))-AsAt)/365.25)/2+O403*('Deal maths'!AA403-AsAt)/365.25)/I403,IF(C403="Annuity",IF(F403&gt;0,((K403-L403*F403)*((IF(DAY(E403+1)=1,EOMONTH(E403,H403*D403),EDATE(E403,H403*D403))-AsAt)/365.25*((1+F403)^(I403-O403)-1)/F403+IF((I403-O403)&gt;1,((IF(DAY(E403+1)=1,EOMONTH(E403,(N403-1)*D403),EDATE(E403,(N403-1)*D403))-AsAt)/365.25-(IF(DAY(E403+1)=1,EOMONTH(E403,H403*D403),EDATE(E403,H403*D403))-AsAt)/365.25)/((I403-O403)-1),0)*(1+F403)*(1-(I403-O403)*(1+F403)^((I403-O403)-1)+((I403-O403)-1)*(1+F403)^(I403-O403))/F403^2)+O403*(K403-L403*F403)*(1+F403)^(I403-1)*('Deal maths'!AA403-AsAt)/365.25)/L403,((I403-O403)*((IF(DAY(E403+1)=1,EOMONTH(E403,H403*D403),EDATE(E403,H403*D403))-AsAt)/365.25+(IF(DAY(E403+1)=1,EOMONTH(E403,(N403-1)*D403),EDATE(E403,(N403-1)*D403))-AsAt)/365.25)/2+O403*('Deal maths'!AA403-AsAt)/365.25)/I403),(S403-AsAt)/365.25)),0))</f>
        <v/>
      </c>
      <c r="Q403" s="109">
        <f>IF(B403=1,'Deal maths'!AA403+ROW()/1000000,"")</f>
        <v/>
      </c>
      <c r="R403" s="108">
        <f>IF(D403=0,0,IF(DAY(E403+1)=1,31,DAY(E403)))</f>
        <v/>
      </c>
      <c r="S403" s="109">
        <f>IF(AND('Deal maths'!V403="LOBO",'Deal maths'!AG403&gt;AsAt,'Deal maths'!AG403&lt;'Deal maths'!AA403),'Deal maths'!AG403,'Deal maths'!AA403)</f>
        <v/>
      </c>
      <c r="T403" s="108">
        <f>('Deal maths'!AA403&gt;AsAt)*('Deal maths'!Y403&gt;0)</f>
        <v/>
      </c>
    </row>
    <row r="404">
      <c r="A404" s="91">
        <f>IF('Deal maths'!V404="","",'Deal maths'!W404)</f>
        <v/>
      </c>
      <c r="B404" s="108">
        <f>('Deal maths'!AA404&gt;AsAt)*('Deal maths'!Y404&gt;0)*('Deal maths'!Z404&lt;=AsAt)</f>
        <v/>
      </c>
      <c r="C404" s="91">
        <f>IF('Deal maths'!V404="","",IF('Deal maths'!AC404="","Maturity",'Deal maths'!AC404))</f>
        <v/>
      </c>
      <c r="D404" s="108">
        <f>IF(OR(C404="EIP",C404="Annuity"),IF('Deal maths'!AD404="Annual",12,IF('Deal maths'!AD404="Quarterly",3,6)),0)</f>
        <v/>
      </c>
      <c r="E404" s="109">
        <f>IFERROR(IF(D404=0,0,IF('Deal maths'!AE404&gt;0,IF('Deal maths'!AE404&gt;'Deal maths'!AA404,'Deal maths'!AA404,'Deal maths'!AE404),IF(IF(DAY('Deal maths'!AA404+1)=1,EOMONTH('Deal maths'!AA404,-(INT(((YEAR('Deal maths'!AA404)-YEAR(IF('Deal maths'!Z404&gt;0,'Deal maths'!Z404,DATE(1990,1,1))))*12+MONTH('Deal maths'!AA404)-MONTH(IF('Deal maths'!Z404&gt;0,'Deal maths'!Z404,DATE(1990,1,1))))/D404))*D404),EDATE('Deal maths'!AA404,-(INT(((YEAR('Deal maths'!AA404)-YEAR(IF('Deal maths'!Z404&gt;0,'Deal maths'!Z404,DATE(1990,1,1))))*12+MONTH('Deal maths'!AA404)-MONTH(IF('Deal maths'!Z404&gt;0,'Deal maths'!Z404,DATE(1990,1,1))))/D404))*D404))&gt;IF('Deal maths'!Z404&gt;0,'Deal maths'!Z404,DATE(1990,1,1)),IF(DAY('Deal maths'!AA404+1)=1,EOMONTH('Deal maths'!AA404,-(INT(((YEAR('Deal maths'!AA404)-YEAR(IF('Deal maths'!Z404&gt;0,'Deal maths'!Z404,DATE(1990,1,1))))*12+MONTH('Deal maths'!AA404)-MONTH(IF('Deal maths'!Z404&gt;0,'Deal maths'!Z404,DATE(1990,1,1))))/D404))*D404),EDATE('Deal maths'!AA404,-(INT(((YEAR('Deal maths'!AA404)-YEAR(IF('Deal maths'!Z404&gt;0,'Deal maths'!Z404,DATE(1990,1,1))))*12+MONTH('Deal maths'!AA404)-MONTH(IF('Deal maths'!Z404&gt;0,'Deal maths'!Z404,DATE(1990,1,1))))/D404))*D404)),IF(DAY('Deal maths'!AA404+1)=1,EOMONTH('Deal maths'!AA404,-(INT(((YEAR('Deal maths'!AA404)-YEAR(IF('Deal maths'!Z404&gt;0,'Deal maths'!Z404,DATE(1990,1,1))))*12+MONTH('Deal maths'!AA404)-MONTH(IF('Deal maths'!Z404&gt;0,'Deal maths'!Z404,DATE(1990,1,1))))/D404)-1)*D404),EDATE('Deal maths'!AA404,-(INT(((YEAR('Deal maths'!AA404)-YEAR(IF('Deal maths'!Z404&gt;0,'Deal maths'!Z404,DATE(1990,1,1))))*12+MONTH('Deal maths'!AA404)-MONTH(IF('Deal maths'!Z404&gt;0,'Deal maths'!Z404,DATE(1990,1,1))))/D404)-1)*D404))))),0)</f>
        <v/>
      </c>
      <c r="F404" s="110">
        <f>IF(D404=0,0,'Deal maths'!AB404*D404/12)</f>
        <v/>
      </c>
      <c r="G404" s="108">
        <f>N404+O404</f>
        <v/>
      </c>
      <c r="H404" s="108">
        <f>IFERROR(IF(OR(D404=0,AsAt&lt;E404),0,MIN(N404,INT(((YEAR(AsAt)-YEAR(E404))*12+MONTH(AsAt)-MONTH(E404)-(DAY(AsAt)&lt;MIN(R404,DAY(EOMONTH(AsAt,0)))))/D404)+1)+O404*(AsAt&gt;='Deal maths'!AA404)),0)</f>
        <v/>
      </c>
      <c r="I404" s="108">
        <f>G404-H404</f>
        <v/>
      </c>
      <c r="J404" s="111">
        <f>IF(AND(C404="EIP",I404&gt;0),'Deal maths'!Y404/I404,0)</f>
        <v/>
      </c>
      <c r="K404" s="111">
        <f>IF(AND(C404="Annuity",I404&gt;0),IF(F404&gt;0,'Deal maths'!Y404*F404/(1-(1+F404)^-I404),'Deal maths'!Y404/I404),0)</f>
        <v/>
      </c>
      <c r="L404" s="111">
        <f>IF('Deal maths'!Y404="",0,'Deal maths'!Y404)</f>
        <v/>
      </c>
      <c r="M404" s="112">
        <f>F404+(F404=0)</f>
        <v/>
      </c>
      <c r="N404" s="108">
        <f>IFERROR(IF(D404=0,0,INT(((YEAR('Deal maths'!AA404)-YEAR(E404))*12+MONTH('Deal maths'!AA404)-MONTH(E404)-(DAY('Deal maths'!AA404)&lt;MIN(R404,DAY(EOMONTH('Deal maths'!AA404,0)))))/D404)+1),0)</f>
        <v/>
      </c>
      <c r="O404" s="108">
        <f>IFERROR(IF(D404=0,0,IF(IF(DAY(E404+1)=1,EOMONTH(E404,(N404-1)*D404),EDATE(E404,(N404-1)*D404))='Deal maths'!AA404,0,1)),0)</f>
        <v/>
      </c>
      <c r="P404" s="113">
        <f>IF(B404=0,0,IFERROR(IF(C404="EIP",((I404-O404)*((IF(DAY(E404+1)=1,EOMONTH(E404,H404*D404),EDATE(E404,H404*D404))-AsAt)/365.25+(IF(DAY(E404+1)=1,EOMONTH(E404,(N404-1)*D404),EDATE(E404,(N404-1)*D404))-AsAt)/365.25)/2+O404*('Deal maths'!AA404-AsAt)/365.25)/I404,IF(C404="Annuity",IF(F404&gt;0,((K404-L404*F404)*((IF(DAY(E404+1)=1,EOMONTH(E404,H404*D404),EDATE(E404,H404*D404))-AsAt)/365.25*((1+F404)^(I404-O404)-1)/F404+IF((I404-O404)&gt;1,((IF(DAY(E404+1)=1,EOMONTH(E404,(N404-1)*D404),EDATE(E404,(N404-1)*D404))-AsAt)/365.25-(IF(DAY(E404+1)=1,EOMONTH(E404,H404*D404),EDATE(E404,H404*D404))-AsAt)/365.25)/((I404-O404)-1),0)*(1+F404)*(1-(I404-O404)*(1+F404)^((I404-O404)-1)+((I404-O404)-1)*(1+F404)^(I404-O404))/F404^2)+O404*(K404-L404*F404)*(1+F404)^(I404-1)*('Deal maths'!AA404-AsAt)/365.25)/L404,((I404-O404)*((IF(DAY(E404+1)=1,EOMONTH(E404,H404*D404),EDATE(E404,H404*D404))-AsAt)/365.25+(IF(DAY(E404+1)=1,EOMONTH(E404,(N404-1)*D404),EDATE(E404,(N404-1)*D404))-AsAt)/365.25)/2+O404*('Deal maths'!AA404-AsAt)/365.25)/I404),(S404-AsAt)/365.25)),0))</f>
        <v/>
      </c>
      <c r="Q404" s="109">
        <f>IF(B404=1,'Deal maths'!AA404+ROW()/1000000,"")</f>
        <v/>
      </c>
      <c r="R404" s="108">
        <f>IF(D404=0,0,IF(DAY(E404+1)=1,31,DAY(E404)))</f>
        <v/>
      </c>
      <c r="S404" s="109">
        <f>IF(AND('Deal maths'!V404="LOBO",'Deal maths'!AG404&gt;AsAt,'Deal maths'!AG404&lt;'Deal maths'!AA404),'Deal maths'!AG404,'Deal maths'!AA404)</f>
        <v/>
      </c>
      <c r="T404" s="108">
        <f>('Deal maths'!AA404&gt;AsAt)*('Deal maths'!Y404&gt;0)</f>
        <v/>
      </c>
    </row>
    <row r="405">
      <c r="A405" s="91">
        <f>IF('Deal maths'!V405="","",'Deal maths'!W405)</f>
        <v/>
      </c>
      <c r="B405" s="108">
        <f>('Deal maths'!AA405&gt;AsAt)*('Deal maths'!Y405&gt;0)*('Deal maths'!Z405&lt;=AsAt)</f>
        <v/>
      </c>
      <c r="C405" s="91">
        <f>IF('Deal maths'!V405="","",IF('Deal maths'!AC405="","Maturity",'Deal maths'!AC405))</f>
        <v/>
      </c>
      <c r="D405" s="108">
        <f>IF(OR(C405="EIP",C405="Annuity"),IF('Deal maths'!AD405="Annual",12,IF('Deal maths'!AD405="Quarterly",3,6)),0)</f>
        <v/>
      </c>
      <c r="E405" s="109">
        <f>IFERROR(IF(D405=0,0,IF('Deal maths'!AE405&gt;0,IF('Deal maths'!AE405&gt;'Deal maths'!AA405,'Deal maths'!AA405,'Deal maths'!AE405),IF(IF(DAY('Deal maths'!AA405+1)=1,EOMONTH('Deal maths'!AA405,-(INT(((YEAR('Deal maths'!AA405)-YEAR(IF('Deal maths'!Z405&gt;0,'Deal maths'!Z405,DATE(1990,1,1))))*12+MONTH('Deal maths'!AA405)-MONTH(IF('Deal maths'!Z405&gt;0,'Deal maths'!Z405,DATE(1990,1,1))))/D405))*D405),EDATE('Deal maths'!AA405,-(INT(((YEAR('Deal maths'!AA405)-YEAR(IF('Deal maths'!Z405&gt;0,'Deal maths'!Z405,DATE(1990,1,1))))*12+MONTH('Deal maths'!AA405)-MONTH(IF('Deal maths'!Z405&gt;0,'Deal maths'!Z405,DATE(1990,1,1))))/D405))*D405))&gt;IF('Deal maths'!Z405&gt;0,'Deal maths'!Z405,DATE(1990,1,1)),IF(DAY('Deal maths'!AA405+1)=1,EOMONTH('Deal maths'!AA405,-(INT(((YEAR('Deal maths'!AA405)-YEAR(IF('Deal maths'!Z405&gt;0,'Deal maths'!Z405,DATE(1990,1,1))))*12+MONTH('Deal maths'!AA405)-MONTH(IF('Deal maths'!Z405&gt;0,'Deal maths'!Z405,DATE(1990,1,1))))/D405))*D405),EDATE('Deal maths'!AA405,-(INT(((YEAR('Deal maths'!AA405)-YEAR(IF('Deal maths'!Z405&gt;0,'Deal maths'!Z405,DATE(1990,1,1))))*12+MONTH('Deal maths'!AA405)-MONTH(IF('Deal maths'!Z405&gt;0,'Deal maths'!Z405,DATE(1990,1,1))))/D405))*D405)),IF(DAY('Deal maths'!AA405+1)=1,EOMONTH('Deal maths'!AA405,-(INT(((YEAR('Deal maths'!AA405)-YEAR(IF('Deal maths'!Z405&gt;0,'Deal maths'!Z405,DATE(1990,1,1))))*12+MONTH('Deal maths'!AA405)-MONTH(IF('Deal maths'!Z405&gt;0,'Deal maths'!Z405,DATE(1990,1,1))))/D405)-1)*D405),EDATE('Deal maths'!AA405,-(INT(((YEAR('Deal maths'!AA405)-YEAR(IF('Deal maths'!Z405&gt;0,'Deal maths'!Z405,DATE(1990,1,1))))*12+MONTH('Deal maths'!AA405)-MONTH(IF('Deal maths'!Z405&gt;0,'Deal maths'!Z405,DATE(1990,1,1))))/D405)-1)*D405))))),0)</f>
        <v/>
      </c>
      <c r="F405" s="110">
        <f>IF(D405=0,0,'Deal maths'!AB405*D405/12)</f>
        <v/>
      </c>
      <c r="G405" s="108">
        <f>N405+O405</f>
        <v/>
      </c>
      <c r="H405" s="108">
        <f>IFERROR(IF(OR(D405=0,AsAt&lt;E405),0,MIN(N405,INT(((YEAR(AsAt)-YEAR(E405))*12+MONTH(AsAt)-MONTH(E405)-(DAY(AsAt)&lt;MIN(R405,DAY(EOMONTH(AsAt,0)))))/D405)+1)+O405*(AsAt&gt;='Deal maths'!AA405)),0)</f>
        <v/>
      </c>
      <c r="I405" s="108">
        <f>G405-H405</f>
        <v/>
      </c>
      <c r="J405" s="111">
        <f>IF(AND(C405="EIP",I405&gt;0),'Deal maths'!Y405/I405,0)</f>
        <v/>
      </c>
      <c r="K405" s="111">
        <f>IF(AND(C405="Annuity",I405&gt;0),IF(F405&gt;0,'Deal maths'!Y405*F405/(1-(1+F405)^-I405),'Deal maths'!Y405/I405),0)</f>
        <v/>
      </c>
      <c r="L405" s="111">
        <f>IF('Deal maths'!Y405="",0,'Deal maths'!Y405)</f>
        <v/>
      </c>
      <c r="M405" s="112">
        <f>F405+(F405=0)</f>
        <v/>
      </c>
      <c r="N405" s="108">
        <f>IFERROR(IF(D405=0,0,INT(((YEAR('Deal maths'!AA405)-YEAR(E405))*12+MONTH('Deal maths'!AA405)-MONTH(E405)-(DAY('Deal maths'!AA405)&lt;MIN(R405,DAY(EOMONTH('Deal maths'!AA405,0)))))/D405)+1),0)</f>
        <v/>
      </c>
      <c r="O405" s="108">
        <f>IFERROR(IF(D405=0,0,IF(IF(DAY(E405+1)=1,EOMONTH(E405,(N405-1)*D405),EDATE(E405,(N405-1)*D405))='Deal maths'!AA405,0,1)),0)</f>
        <v/>
      </c>
      <c r="P405" s="113">
        <f>IF(B405=0,0,IFERROR(IF(C405="EIP",((I405-O405)*((IF(DAY(E405+1)=1,EOMONTH(E405,H405*D405),EDATE(E405,H405*D405))-AsAt)/365.25+(IF(DAY(E405+1)=1,EOMONTH(E405,(N405-1)*D405),EDATE(E405,(N405-1)*D405))-AsAt)/365.25)/2+O405*('Deal maths'!AA405-AsAt)/365.25)/I405,IF(C405="Annuity",IF(F405&gt;0,((K405-L405*F405)*((IF(DAY(E405+1)=1,EOMONTH(E405,H405*D405),EDATE(E405,H405*D405))-AsAt)/365.25*((1+F405)^(I405-O405)-1)/F405+IF((I405-O405)&gt;1,((IF(DAY(E405+1)=1,EOMONTH(E405,(N405-1)*D405),EDATE(E405,(N405-1)*D405))-AsAt)/365.25-(IF(DAY(E405+1)=1,EOMONTH(E405,H405*D405),EDATE(E405,H405*D405))-AsAt)/365.25)/((I405-O405)-1),0)*(1+F405)*(1-(I405-O405)*(1+F405)^((I405-O405)-1)+((I405-O405)-1)*(1+F405)^(I405-O405))/F405^2)+O405*(K405-L405*F405)*(1+F405)^(I405-1)*('Deal maths'!AA405-AsAt)/365.25)/L405,((I405-O405)*((IF(DAY(E405+1)=1,EOMONTH(E405,H405*D405),EDATE(E405,H405*D405))-AsAt)/365.25+(IF(DAY(E405+1)=1,EOMONTH(E405,(N405-1)*D405),EDATE(E405,(N405-1)*D405))-AsAt)/365.25)/2+O405*('Deal maths'!AA405-AsAt)/365.25)/I405),(S405-AsAt)/365.25)),0))</f>
        <v/>
      </c>
      <c r="Q405" s="109">
        <f>IF(B405=1,'Deal maths'!AA405+ROW()/1000000,"")</f>
        <v/>
      </c>
      <c r="R405" s="108">
        <f>IF(D405=0,0,IF(DAY(E405+1)=1,31,DAY(E405)))</f>
        <v/>
      </c>
      <c r="S405" s="109">
        <f>IF(AND('Deal maths'!V405="LOBO",'Deal maths'!AG405&gt;AsAt,'Deal maths'!AG405&lt;'Deal maths'!AA405),'Deal maths'!AG405,'Deal maths'!AA405)</f>
        <v/>
      </c>
      <c r="T405" s="108">
        <f>('Deal maths'!AA405&gt;AsAt)*('Deal maths'!Y405&gt;0)</f>
        <v/>
      </c>
    </row>
    <row r="406">
      <c r="A406" s="91">
        <f>IF('Deal maths'!V406="","",'Deal maths'!W406)</f>
        <v/>
      </c>
      <c r="B406" s="108">
        <f>('Deal maths'!AA406&gt;AsAt)*('Deal maths'!Y406&gt;0)*('Deal maths'!Z406&lt;=AsAt)</f>
        <v/>
      </c>
      <c r="C406" s="91">
        <f>IF('Deal maths'!V406="","",IF('Deal maths'!AC406="","Maturity",'Deal maths'!AC406))</f>
        <v/>
      </c>
      <c r="D406" s="108">
        <f>IF(OR(C406="EIP",C406="Annuity"),IF('Deal maths'!AD406="Annual",12,IF('Deal maths'!AD406="Quarterly",3,6)),0)</f>
        <v/>
      </c>
      <c r="E406" s="109">
        <f>IFERROR(IF(D406=0,0,IF('Deal maths'!AE406&gt;0,IF('Deal maths'!AE406&gt;'Deal maths'!AA406,'Deal maths'!AA406,'Deal maths'!AE406),IF(IF(DAY('Deal maths'!AA406+1)=1,EOMONTH('Deal maths'!AA406,-(INT(((YEAR('Deal maths'!AA406)-YEAR(IF('Deal maths'!Z406&gt;0,'Deal maths'!Z406,DATE(1990,1,1))))*12+MONTH('Deal maths'!AA406)-MONTH(IF('Deal maths'!Z406&gt;0,'Deal maths'!Z406,DATE(1990,1,1))))/D406))*D406),EDATE('Deal maths'!AA406,-(INT(((YEAR('Deal maths'!AA406)-YEAR(IF('Deal maths'!Z406&gt;0,'Deal maths'!Z406,DATE(1990,1,1))))*12+MONTH('Deal maths'!AA406)-MONTH(IF('Deal maths'!Z406&gt;0,'Deal maths'!Z406,DATE(1990,1,1))))/D406))*D406))&gt;IF('Deal maths'!Z406&gt;0,'Deal maths'!Z406,DATE(1990,1,1)),IF(DAY('Deal maths'!AA406+1)=1,EOMONTH('Deal maths'!AA406,-(INT(((YEAR('Deal maths'!AA406)-YEAR(IF('Deal maths'!Z406&gt;0,'Deal maths'!Z406,DATE(1990,1,1))))*12+MONTH('Deal maths'!AA406)-MONTH(IF('Deal maths'!Z406&gt;0,'Deal maths'!Z406,DATE(1990,1,1))))/D406))*D406),EDATE('Deal maths'!AA406,-(INT(((YEAR('Deal maths'!AA406)-YEAR(IF('Deal maths'!Z406&gt;0,'Deal maths'!Z406,DATE(1990,1,1))))*12+MONTH('Deal maths'!AA406)-MONTH(IF('Deal maths'!Z406&gt;0,'Deal maths'!Z406,DATE(1990,1,1))))/D406))*D406)),IF(DAY('Deal maths'!AA406+1)=1,EOMONTH('Deal maths'!AA406,-(INT(((YEAR('Deal maths'!AA406)-YEAR(IF('Deal maths'!Z406&gt;0,'Deal maths'!Z406,DATE(1990,1,1))))*12+MONTH('Deal maths'!AA406)-MONTH(IF('Deal maths'!Z406&gt;0,'Deal maths'!Z406,DATE(1990,1,1))))/D406)-1)*D406),EDATE('Deal maths'!AA406,-(INT(((YEAR('Deal maths'!AA406)-YEAR(IF('Deal maths'!Z406&gt;0,'Deal maths'!Z406,DATE(1990,1,1))))*12+MONTH('Deal maths'!AA406)-MONTH(IF('Deal maths'!Z406&gt;0,'Deal maths'!Z406,DATE(1990,1,1))))/D406)-1)*D406))))),0)</f>
        <v/>
      </c>
      <c r="F406" s="110">
        <f>IF(D406=0,0,'Deal maths'!AB406*D406/12)</f>
        <v/>
      </c>
      <c r="G406" s="108">
        <f>N406+O406</f>
        <v/>
      </c>
      <c r="H406" s="108">
        <f>IFERROR(IF(OR(D406=0,AsAt&lt;E406),0,MIN(N406,INT(((YEAR(AsAt)-YEAR(E406))*12+MONTH(AsAt)-MONTH(E406)-(DAY(AsAt)&lt;MIN(R406,DAY(EOMONTH(AsAt,0)))))/D406)+1)+O406*(AsAt&gt;='Deal maths'!AA406)),0)</f>
        <v/>
      </c>
      <c r="I406" s="108">
        <f>G406-H406</f>
        <v/>
      </c>
      <c r="J406" s="111">
        <f>IF(AND(C406="EIP",I406&gt;0),'Deal maths'!Y406/I406,0)</f>
        <v/>
      </c>
      <c r="K406" s="111">
        <f>IF(AND(C406="Annuity",I406&gt;0),IF(F406&gt;0,'Deal maths'!Y406*F406/(1-(1+F406)^-I406),'Deal maths'!Y406/I406),0)</f>
        <v/>
      </c>
      <c r="L406" s="111">
        <f>IF('Deal maths'!Y406="",0,'Deal maths'!Y406)</f>
        <v/>
      </c>
      <c r="M406" s="112">
        <f>F406+(F406=0)</f>
        <v/>
      </c>
      <c r="N406" s="108">
        <f>IFERROR(IF(D406=0,0,INT(((YEAR('Deal maths'!AA406)-YEAR(E406))*12+MONTH('Deal maths'!AA406)-MONTH(E406)-(DAY('Deal maths'!AA406)&lt;MIN(R406,DAY(EOMONTH('Deal maths'!AA406,0)))))/D406)+1),0)</f>
        <v/>
      </c>
      <c r="O406" s="108">
        <f>IFERROR(IF(D406=0,0,IF(IF(DAY(E406+1)=1,EOMONTH(E406,(N406-1)*D406),EDATE(E406,(N406-1)*D406))='Deal maths'!AA406,0,1)),0)</f>
        <v/>
      </c>
      <c r="P406" s="113">
        <f>IF(B406=0,0,IFERROR(IF(C406="EIP",((I406-O406)*((IF(DAY(E406+1)=1,EOMONTH(E406,H406*D406),EDATE(E406,H406*D406))-AsAt)/365.25+(IF(DAY(E406+1)=1,EOMONTH(E406,(N406-1)*D406),EDATE(E406,(N406-1)*D406))-AsAt)/365.25)/2+O406*('Deal maths'!AA406-AsAt)/365.25)/I406,IF(C406="Annuity",IF(F406&gt;0,((K406-L406*F406)*((IF(DAY(E406+1)=1,EOMONTH(E406,H406*D406),EDATE(E406,H406*D406))-AsAt)/365.25*((1+F406)^(I406-O406)-1)/F406+IF((I406-O406)&gt;1,((IF(DAY(E406+1)=1,EOMONTH(E406,(N406-1)*D406),EDATE(E406,(N406-1)*D406))-AsAt)/365.25-(IF(DAY(E406+1)=1,EOMONTH(E406,H406*D406),EDATE(E406,H406*D406))-AsAt)/365.25)/((I406-O406)-1),0)*(1+F406)*(1-(I406-O406)*(1+F406)^((I406-O406)-1)+((I406-O406)-1)*(1+F406)^(I406-O406))/F406^2)+O406*(K406-L406*F406)*(1+F406)^(I406-1)*('Deal maths'!AA406-AsAt)/365.25)/L406,((I406-O406)*((IF(DAY(E406+1)=1,EOMONTH(E406,H406*D406),EDATE(E406,H406*D406))-AsAt)/365.25+(IF(DAY(E406+1)=1,EOMONTH(E406,(N406-1)*D406),EDATE(E406,(N406-1)*D406))-AsAt)/365.25)/2+O406*('Deal maths'!AA406-AsAt)/365.25)/I406),(S406-AsAt)/365.25)),0))</f>
        <v/>
      </c>
      <c r="Q406" s="109">
        <f>IF(B406=1,'Deal maths'!AA406+ROW()/1000000,"")</f>
        <v/>
      </c>
      <c r="R406" s="108">
        <f>IF(D406=0,0,IF(DAY(E406+1)=1,31,DAY(E406)))</f>
        <v/>
      </c>
      <c r="S406" s="109">
        <f>IF(AND('Deal maths'!V406="LOBO",'Deal maths'!AG406&gt;AsAt,'Deal maths'!AG406&lt;'Deal maths'!AA406),'Deal maths'!AG406,'Deal maths'!AA406)</f>
        <v/>
      </c>
      <c r="T406" s="108">
        <f>('Deal maths'!AA406&gt;AsAt)*('Deal maths'!Y406&gt;0)</f>
        <v/>
      </c>
    </row>
    <row r="407">
      <c r="A407" s="91">
        <f>IF('Deal maths'!V407="","",'Deal maths'!W407)</f>
        <v/>
      </c>
      <c r="B407" s="108">
        <f>('Deal maths'!AA407&gt;AsAt)*('Deal maths'!Y407&gt;0)*('Deal maths'!Z407&lt;=AsAt)</f>
        <v/>
      </c>
      <c r="C407" s="91">
        <f>IF('Deal maths'!V407="","",IF('Deal maths'!AC407="","Maturity",'Deal maths'!AC407))</f>
        <v/>
      </c>
      <c r="D407" s="108">
        <f>IF(OR(C407="EIP",C407="Annuity"),IF('Deal maths'!AD407="Annual",12,IF('Deal maths'!AD407="Quarterly",3,6)),0)</f>
        <v/>
      </c>
      <c r="E407" s="109">
        <f>IFERROR(IF(D407=0,0,IF('Deal maths'!AE407&gt;0,IF('Deal maths'!AE407&gt;'Deal maths'!AA407,'Deal maths'!AA407,'Deal maths'!AE407),IF(IF(DAY('Deal maths'!AA407+1)=1,EOMONTH('Deal maths'!AA407,-(INT(((YEAR('Deal maths'!AA407)-YEAR(IF('Deal maths'!Z407&gt;0,'Deal maths'!Z407,DATE(1990,1,1))))*12+MONTH('Deal maths'!AA407)-MONTH(IF('Deal maths'!Z407&gt;0,'Deal maths'!Z407,DATE(1990,1,1))))/D407))*D407),EDATE('Deal maths'!AA407,-(INT(((YEAR('Deal maths'!AA407)-YEAR(IF('Deal maths'!Z407&gt;0,'Deal maths'!Z407,DATE(1990,1,1))))*12+MONTH('Deal maths'!AA407)-MONTH(IF('Deal maths'!Z407&gt;0,'Deal maths'!Z407,DATE(1990,1,1))))/D407))*D407))&gt;IF('Deal maths'!Z407&gt;0,'Deal maths'!Z407,DATE(1990,1,1)),IF(DAY('Deal maths'!AA407+1)=1,EOMONTH('Deal maths'!AA407,-(INT(((YEAR('Deal maths'!AA407)-YEAR(IF('Deal maths'!Z407&gt;0,'Deal maths'!Z407,DATE(1990,1,1))))*12+MONTH('Deal maths'!AA407)-MONTH(IF('Deal maths'!Z407&gt;0,'Deal maths'!Z407,DATE(1990,1,1))))/D407))*D407),EDATE('Deal maths'!AA407,-(INT(((YEAR('Deal maths'!AA407)-YEAR(IF('Deal maths'!Z407&gt;0,'Deal maths'!Z407,DATE(1990,1,1))))*12+MONTH('Deal maths'!AA407)-MONTH(IF('Deal maths'!Z407&gt;0,'Deal maths'!Z407,DATE(1990,1,1))))/D407))*D407)),IF(DAY('Deal maths'!AA407+1)=1,EOMONTH('Deal maths'!AA407,-(INT(((YEAR('Deal maths'!AA407)-YEAR(IF('Deal maths'!Z407&gt;0,'Deal maths'!Z407,DATE(1990,1,1))))*12+MONTH('Deal maths'!AA407)-MONTH(IF('Deal maths'!Z407&gt;0,'Deal maths'!Z407,DATE(1990,1,1))))/D407)-1)*D407),EDATE('Deal maths'!AA407,-(INT(((YEAR('Deal maths'!AA407)-YEAR(IF('Deal maths'!Z407&gt;0,'Deal maths'!Z407,DATE(1990,1,1))))*12+MONTH('Deal maths'!AA407)-MONTH(IF('Deal maths'!Z407&gt;0,'Deal maths'!Z407,DATE(1990,1,1))))/D407)-1)*D407))))),0)</f>
        <v/>
      </c>
      <c r="F407" s="110">
        <f>IF(D407=0,0,'Deal maths'!AB407*D407/12)</f>
        <v/>
      </c>
      <c r="G407" s="108">
        <f>N407+O407</f>
        <v/>
      </c>
      <c r="H407" s="108">
        <f>IFERROR(IF(OR(D407=0,AsAt&lt;E407),0,MIN(N407,INT(((YEAR(AsAt)-YEAR(E407))*12+MONTH(AsAt)-MONTH(E407)-(DAY(AsAt)&lt;MIN(R407,DAY(EOMONTH(AsAt,0)))))/D407)+1)+O407*(AsAt&gt;='Deal maths'!AA407)),0)</f>
        <v/>
      </c>
      <c r="I407" s="108">
        <f>G407-H407</f>
        <v/>
      </c>
      <c r="J407" s="111">
        <f>IF(AND(C407="EIP",I407&gt;0),'Deal maths'!Y407/I407,0)</f>
        <v/>
      </c>
      <c r="K407" s="111">
        <f>IF(AND(C407="Annuity",I407&gt;0),IF(F407&gt;0,'Deal maths'!Y407*F407/(1-(1+F407)^-I407),'Deal maths'!Y407/I407),0)</f>
        <v/>
      </c>
      <c r="L407" s="111">
        <f>IF('Deal maths'!Y407="",0,'Deal maths'!Y407)</f>
        <v/>
      </c>
      <c r="M407" s="112">
        <f>F407+(F407=0)</f>
        <v/>
      </c>
      <c r="N407" s="108">
        <f>IFERROR(IF(D407=0,0,INT(((YEAR('Deal maths'!AA407)-YEAR(E407))*12+MONTH('Deal maths'!AA407)-MONTH(E407)-(DAY('Deal maths'!AA407)&lt;MIN(R407,DAY(EOMONTH('Deal maths'!AA407,0)))))/D407)+1),0)</f>
        <v/>
      </c>
      <c r="O407" s="108">
        <f>IFERROR(IF(D407=0,0,IF(IF(DAY(E407+1)=1,EOMONTH(E407,(N407-1)*D407),EDATE(E407,(N407-1)*D407))='Deal maths'!AA407,0,1)),0)</f>
        <v/>
      </c>
      <c r="P407" s="113">
        <f>IF(B407=0,0,IFERROR(IF(C407="EIP",((I407-O407)*((IF(DAY(E407+1)=1,EOMONTH(E407,H407*D407),EDATE(E407,H407*D407))-AsAt)/365.25+(IF(DAY(E407+1)=1,EOMONTH(E407,(N407-1)*D407),EDATE(E407,(N407-1)*D407))-AsAt)/365.25)/2+O407*('Deal maths'!AA407-AsAt)/365.25)/I407,IF(C407="Annuity",IF(F407&gt;0,((K407-L407*F407)*((IF(DAY(E407+1)=1,EOMONTH(E407,H407*D407),EDATE(E407,H407*D407))-AsAt)/365.25*((1+F407)^(I407-O407)-1)/F407+IF((I407-O407)&gt;1,((IF(DAY(E407+1)=1,EOMONTH(E407,(N407-1)*D407),EDATE(E407,(N407-1)*D407))-AsAt)/365.25-(IF(DAY(E407+1)=1,EOMONTH(E407,H407*D407),EDATE(E407,H407*D407))-AsAt)/365.25)/((I407-O407)-1),0)*(1+F407)*(1-(I407-O407)*(1+F407)^((I407-O407)-1)+((I407-O407)-1)*(1+F407)^(I407-O407))/F407^2)+O407*(K407-L407*F407)*(1+F407)^(I407-1)*('Deal maths'!AA407-AsAt)/365.25)/L407,((I407-O407)*((IF(DAY(E407+1)=1,EOMONTH(E407,H407*D407),EDATE(E407,H407*D407))-AsAt)/365.25+(IF(DAY(E407+1)=1,EOMONTH(E407,(N407-1)*D407),EDATE(E407,(N407-1)*D407))-AsAt)/365.25)/2+O407*('Deal maths'!AA407-AsAt)/365.25)/I407),(S407-AsAt)/365.25)),0))</f>
        <v/>
      </c>
      <c r="Q407" s="109">
        <f>IF(B407=1,'Deal maths'!AA407+ROW()/1000000,"")</f>
        <v/>
      </c>
      <c r="R407" s="108">
        <f>IF(D407=0,0,IF(DAY(E407+1)=1,31,DAY(E407)))</f>
        <v/>
      </c>
      <c r="S407" s="109">
        <f>IF(AND('Deal maths'!V407="LOBO",'Deal maths'!AG407&gt;AsAt,'Deal maths'!AG407&lt;'Deal maths'!AA407),'Deal maths'!AG407,'Deal maths'!AA407)</f>
        <v/>
      </c>
      <c r="T407" s="108">
        <f>('Deal maths'!AA407&gt;AsAt)*('Deal maths'!Y407&gt;0)</f>
        <v/>
      </c>
    </row>
    <row r="408">
      <c r="A408" s="91">
        <f>IF('Deal maths'!V408="","",'Deal maths'!W408)</f>
        <v/>
      </c>
      <c r="B408" s="108">
        <f>('Deal maths'!AA408&gt;AsAt)*('Deal maths'!Y408&gt;0)*('Deal maths'!Z408&lt;=AsAt)</f>
        <v/>
      </c>
      <c r="C408" s="91">
        <f>IF('Deal maths'!V408="","",IF('Deal maths'!AC408="","Maturity",'Deal maths'!AC408))</f>
        <v/>
      </c>
      <c r="D408" s="108">
        <f>IF(OR(C408="EIP",C408="Annuity"),IF('Deal maths'!AD408="Annual",12,IF('Deal maths'!AD408="Quarterly",3,6)),0)</f>
        <v/>
      </c>
      <c r="E408" s="109">
        <f>IFERROR(IF(D408=0,0,IF('Deal maths'!AE408&gt;0,IF('Deal maths'!AE408&gt;'Deal maths'!AA408,'Deal maths'!AA408,'Deal maths'!AE408),IF(IF(DAY('Deal maths'!AA408+1)=1,EOMONTH('Deal maths'!AA408,-(INT(((YEAR('Deal maths'!AA408)-YEAR(IF('Deal maths'!Z408&gt;0,'Deal maths'!Z408,DATE(1990,1,1))))*12+MONTH('Deal maths'!AA408)-MONTH(IF('Deal maths'!Z408&gt;0,'Deal maths'!Z408,DATE(1990,1,1))))/D408))*D408),EDATE('Deal maths'!AA408,-(INT(((YEAR('Deal maths'!AA408)-YEAR(IF('Deal maths'!Z408&gt;0,'Deal maths'!Z408,DATE(1990,1,1))))*12+MONTH('Deal maths'!AA408)-MONTH(IF('Deal maths'!Z408&gt;0,'Deal maths'!Z408,DATE(1990,1,1))))/D408))*D408))&gt;IF('Deal maths'!Z408&gt;0,'Deal maths'!Z408,DATE(1990,1,1)),IF(DAY('Deal maths'!AA408+1)=1,EOMONTH('Deal maths'!AA408,-(INT(((YEAR('Deal maths'!AA408)-YEAR(IF('Deal maths'!Z408&gt;0,'Deal maths'!Z408,DATE(1990,1,1))))*12+MONTH('Deal maths'!AA408)-MONTH(IF('Deal maths'!Z408&gt;0,'Deal maths'!Z408,DATE(1990,1,1))))/D408))*D408),EDATE('Deal maths'!AA408,-(INT(((YEAR('Deal maths'!AA408)-YEAR(IF('Deal maths'!Z408&gt;0,'Deal maths'!Z408,DATE(1990,1,1))))*12+MONTH('Deal maths'!AA408)-MONTH(IF('Deal maths'!Z408&gt;0,'Deal maths'!Z408,DATE(1990,1,1))))/D408))*D408)),IF(DAY('Deal maths'!AA408+1)=1,EOMONTH('Deal maths'!AA408,-(INT(((YEAR('Deal maths'!AA408)-YEAR(IF('Deal maths'!Z408&gt;0,'Deal maths'!Z408,DATE(1990,1,1))))*12+MONTH('Deal maths'!AA408)-MONTH(IF('Deal maths'!Z408&gt;0,'Deal maths'!Z408,DATE(1990,1,1))))/D408)-1)*D408),EDATE('Deal maths'!AA408,-(INT(((YEAR('Deal maths'!AA408)-YEAR(IF('Deal maths'!Z408&gt;0,'Deal maths'!Z408,DATE(1990,1,1))))*12+MONTH('Deal maths'!AA408)-MONTH(IF('Deal maths'!Z408&gt;0,'Deal maths'!Z408,DATE(1990,1,1))))/D408)-1)*D408))))),0)</f>
        <v/>
      </c>
      <c r="F408" s="110">
        <f>IF(D408=0,0,'Deal maths'!AB408*D408/12)</f>
        <v/>
      </c>
      <c r="G408" s="108">
        <f>N408+O408</f>
        <v/>
      </c>
      <c r="H408" s="108">
        <f>IFERROR(IF(OR(D408=0,AsAt&lt;E408),0,MIN(N408,INT(((YEAR(AsAt)-YEAR(E408))*12+MONTH(AsAt)-MONTH(E408)-(DAY(AsAt)&lt;MIN(R408,DAY(EOMONTH(AsAt,0)))))/D408)+1)+O408*(AsAt&gt;='Deal maths'!AA408)),0)</f>
        <v/>
      </c>
      <c r="I408" s="108">
        <f>G408-H408</f>
        <v/>
      </c>
      <c r="J408" s="111">
        <f>IF(AND(C408="EIP",I408&gt;0),'Deal maths'!Y408/I408,0)</f>
        <v/>
      </c>
      <c r="K408" s="111">
        <f>IF(AND(C408="Annuity",I408&gt;0),IF(F408&gt;0,'Deal maths'!Y408*F408/(1-(1+F408)^-I408),'Deal maths'!Y408/I408),0)</f>
        <v/>
      </c>
      <c r="L408" s="111">
        <f>IF('Deal maths'!Y408="",0,'Deal maths'!Y408)</f>
        <v/>
      </c>
      <c r="M408" s="112">
        <f>F408+(F408=0)</f>
        <v/>
      </c>
      <c r="N408" s="108">
        <f>IFERROR(IF(D408=0,0,INT(((YEAR('Deal maths'!AA408)-YEAR(E408))*12+MONTH('Deal maths'!AA408)-MONTH(E408)-(DAY('Deal maths'!AA408)&lt;MIN(R408,DAY(EOMONTH('Deal maths'!AA408,0)))))/D408)+1),0)</f>
        <v/>
      </c>
      <c r="O408" s="108">
        <f>IFERROR(IF(D408=0,0,IF(IF(DAY(E408+1)=1,EOMONTH(E408,(N408-1)*D408),EDATE(E408,(N408-1)*D408))='Deal maths'!AA408,0,1)),0)</f>
        <v/>
      </c>
      <c r="P408" s="113">
        <f>IF(B408=0,0,IFERROR(IF(C408="EIP",((I408-O408)*((IF(DAY(E408+1)=1,EOMONTH(E408,H408*D408),EDATE(E408,H408*D408))-AsAt)/365.25+(IF(DAY(E408+1)=1,EOMONTH(E408,(N408-1)*D408),EDATE(E408,(N408-1)*D408))-AsAt)/365.25)/2+O408*('Deal maths'!AA408-AsAt)/365.25)/I408,IF(C408="Annuity",IF(F408&gt;0,((K408-L408*F408)*((IF(DAY(E408+1)=1,EOMONTH(E408,H408*D408),EDATE(E408,H408*D408))-AsAt)/365.25*((1+F408)^(I408-O408)-1)/F408+IF((I408-O408)&gt;1,((IF(DAY(E408+1)=1,EOMONTH(E408,(N408-1)*D408),EDATE(E408,(N408-1)*D408))-AsAt)/365.25-(IF(DAY(E408+1)=1,EOMONTH(E408,H408*D408),EDATE(E408,H408*D408))-AsAt)/365.25)/((I408-O408)-1),0)*(1+F408)*(1-(I408-O408)*(1+F408)^((I408-O408)-1)+((I408-O408)-1)*(1+F408)^(I408-O408))/F408^2)+O408*(K408-L408*F408)*(1+F408)^(I408-1)*('Deal maths'!AA408-AsAt)/365.25)/L408,((I408-O408)*((IF(DAY(E408+1)=1,EOMONTH(E408,H408*D408),EDATE(E408,H408*D408))-AsAt)/365.25+(IF(DAY(E408+1)=1,EOMONTH(E408,(N408-1)*D408),EDATE(E408,(N408-1)*D408))-AsAt)/365.25)/2+O408*('Deal maths'!AA408-AsAt)/365.25)/I408),(S408-AsAt)/365.25)),0))</f>
        <v/>
      </c>
      <c r="Q408" s="109">
        <f>IF(B408=1,'Deal maths'!AA408+ROW()/1000000,"")</f>
        <v/>
      </c>
      <c r="R408" s="108">
        <f>IF(D408=0,0,IF(DAY(E408+1)=1,31,DAY(E408)))</f>
        <v/>
      </c>
      <c r="S408" s="109">
        <f>IF(AND('Deal maths'!V408="LOBO",'Deal maths'!AG408&gt;AsAt,'Deal maths'!AG408&lt;'Deal maths'!AA408),'Deal maths'!AG408,'Deal maths'!AA408)</f>
        <v/>
      </c>
      <c r="T408" s="108">
        <f>('Deal maths'!AA408&gt;AsAt)*('Deal maths'!Y408&gt;0)</f>
        <v/>
      </c>
    </row>
    <row r="409">
      <c r="A409" s="91">
        <f>IF('Deal maths'!V409="","",'Deal maths'!W409)</f>
        <v/>
      </c>
      <c r="B409" s="108">
        <f>('Deal maths'!AA409&gt;AsAt)*('Deal maths'!Y409&gt;0)*('Deal maths'!Z409&lt;=AsAt)</f>
        <v/>
      </c>
      <c r="C409" s="91">
        <f>IF('Deal maths'!V409="","",IF('Deal maths'!AC409="","Maturity",'Deal maths'!AC409))</f>
        <v/>
      </c>
      <c r="D409" s="108">
        <f>IF(OR(C409="EIP",C409="Annuity"),IF('Deal maths'!AD409="Annual",12,IF('Deal maths'!AD409="Quarterly",3,6)),0)</f>
        <v/>
      </c>
      <c r="E409" s="109">
        <f>IFERROR(IF(D409=0,0,IF('Deal maths'!AE409&gt;0,IF('Deal maths'!AE409&gt;'Deal maths'!AA409,'Deal maths'!AA409,'Deal maths'!AE409),IF(IF(DAY('Deal maths'!AA409+1)=1,EOMONTH('Deal maths'!AA409,-(INT(((YEAR('Deal maths'!AA409)-YEAR(IF('Deal maths'!Z409&gt;0,'Deal maths'!Z409,DATE(1990,1,1))))*12+MONTH('Deal maths'!AA409)-MONTH(IF('Deal maths'!Z409&gt;0,'Deal maths'!Z409,DATE(1990,1,1))))/D409))*D409),EDATE('Deal maths'!AA409,-(INT(((YEAR('Deal maths'!AA409)-YEAR(IF('Deal maths'!Z409&gt;0,'Deal maths'!Z409,DATE(1990,1,1))))*12+MONTH('Deal maths'!AA409)-MONTH(IF('Deal maths'!Z409&gt;0,'Deal maths'!Z409,DATE(1990,1,1))))/D409))*D409))&gt;IF('Deal maths'!Z409&gt;0,'Deal maths'!Z409,DATE(1990,1,1)),IF(DAY('Deal maths'!AA409+1)=1,EOMONTH('Deal maths'!AA409,-(INT(((YEAR('Deal maths'!AA409)-YEAR(IF('Deal maths'!Z409&gt;0,'Deal maths'!Z409,DATE(1990,1,1))))*12+MONTH('Deal maths'!AA409)-MONTH(IF('Deal maths'!Z409&gt;0,'Deal maths'!Z409,DATE(1990,1,1))))/D409))*D409),EDATE('Deal maths'!AA409,-(INT(((YEAR('Deal maths'!AA409)-YEAR(IF('Deal maths'!Z409&gt;0,'Deal maths'!Z409,DATE(1990,1,1))))*12+MONTH('Deal maths'!AA409)-MONTH(IF('Deal maths'!Z409&gt;0,'Deal maths'!Z409,DATE(1990,1,1))))/D409))*D409)),IF(DAY('Deal maths'!AA409+1)=1,EOMONTH('Deal maths'!AA409,-(INT(((YEAR('Deal maths'!AA409)-YEAR(IF('Deal maths'!Z409&gt;0,'Deal maths'!Z409,DATE(1990,1,1))))*12+MONTH('Deal maths'!AA409)-MONTH(IF('Deal maths'!Z409&gt;0,'Deal maths'!Z409,DATE(1990,1,1))))/D409)-1)*D409),EDATE('Deal maths'!AA409,-(INT(((YEAR('Deal maths'!AA409)-YEAR(IF('Deal maths'!Z409&gt;0,'Deal maths'!Z409,DATE(1990,1,1))))*12+MONTH('Deal maths'!AA409)-MONTH(IF('Deal maths'!Z409&gt;0,'Deal maths'!Z409,DATE(1990,1,1))))/D409)-1)*D409))))),0)</f>
        <v/>
      </c>
      <c r="F409" s="110">
        <f>IF(D409=0,0,'Deal maths'!AB409*D409/12)</f>
        <v/>
      </c>
      <c r="G409" s="108">
        <f>N409+O409</f>
        <v/>
      </c>
      <c r="H409" s="108">
        <f>IFERROR(IF(OR(D409=0,AsAt&lt;E409),0,MIN(N409,INT(((YEAR(AsAt)-YEAR(E409))*12+MONTH(AsAt)-MONTH(E409)-(DAY(AsAt)&lt;MIN(R409,DAY(EOMONTH(AsAt,0)))))/D409)+1)+O409*(AsAt&gt;='Deal maths'!AA409)),0)</f>
        <v/>
      </c>
      <c r="I409" s="108">
        <f>G409-H409</f>
        <v/>
      </c>
      <c r="J409" s="111">
        <f>IF(AND(C409="EIP",I409&gt;0),'Deal maths'!Y409/I409,0)</f>
        <v/>
      </c>
      <c r="K409" s="111">
        <f>IF(AND(C409="Annuity",I409&gt;0),IF(F409&gt;0,'Deal maths'!Y409*F409/(1-(1+F409)^-I409),'Deal maths'!Y409/I409),0)</f>
        <v/>
      </c>
      <c r="L409" s="111">
        <f>IF('Deal maths'!Y409="",0,'Deal maths'!Y409)</f>
        <v/>
      </c>
      <c r="M409" s="112">
        <f>F409+(F409=0)</f>
        <v/>
      </c>
      <c r="N409" s="108">
        <f>IFERROR(IF(D409=0,0,INT(((YEAR('Deal maths'!AA409)-YEAR(E409))*12+MONTH('Deal maths'!AA409)-MONTH(E409)-(DAY('Deal maths'!AA409)&lt;MIN(R409,DAY(EOMONTH('Deal maths'!AA409,0)))))/D409)+1),0)</f>
        <v/>
      </c>
      <c r="O409" s="108">
        <f>IFERROR(IF(D409=0,0,IF(IF(DAY(E409+1)=1,EOMONTH(E409,(N409-1)*D409),EDATE(E409,(N409-1)*D409))='Deal maths'!AA409,0,1)),0)</f>
        <v/>
      </c>
      <c r="P409" s="113">
        <f>IF(B409=0,0,IFERROR(IF(C409="EIP",((I409-O409)*((IF(DAY(E409+1)=1,EOMONTH(E409,H409*D409),EDATE(E409,H409*D409))-AsAt)/365.25+(IF(DAY(E409+1)=1,EOMONTH(E409,(N409-1)*D409),EDATE(E409,(N409-1)*D409))-AsAt)/365.25)/2+O409*('Deal maths'!AA409-AsAt)/365.25)/I409,IF(C409="Annuity",IF(F409&gt;0,((K409-L409*F409)*((IF(DAY(E409+1)=1,EOMONTH(E409,H409*D409),EDATE(E409,H409*D409))-AsAt)/365.25*((1+F409)^(I409-O409)-1)/F409+IF((I409-O409)&gt;1,((IF(DAY(E409+1)=1,EOMONTH(E409,(N409-1)*D409),EDATE(E409,(N409-1)*D409))-AsAt)/365.25-(IF(DAY(E409+1)=1,EOMONTH(E409,H409*D409),EDATE(E409,H409*D409))-AsAt)/365.25)/((I409-O409)-1),0)*(1+F409)*(1-(I409-O409)*(1+F409)^((I409-O409)-1)+((I409-O409)-1)*(1+F409)^(I409-O409))/F409^2)+O409*(K409-L409*F409)*(1+F409)^(I409-1)*('Deal maths'!AA409-AsAt)/365.25)/L409,((I409-O409)*((IF(DAY(E409+1)=1,EOMONTH(E409,H409*D409),EDATE(E409,H409*D409))-AsAt)/365.25+(IF(DAY(E409+1)=1,EOMONTH(E409,(N409-1)*D409),EDATE(E409,(N409-1)*D409))-AsAt)/365.25)/2+O409*('Deal maths'!AA409-AsAt)/365.25)/I409),(S409-AsAt)/365.25)),0))</f>
        <v/>
      </c>
      <c r="Q409" s="109">
        <f>IF(B409=1,'Deal maths'!AA409+ROW()/1000000,"")</f>
        <v/>
      </c>
      <c r="R409" s="108">
        <f>IF(D409=0,0,IF(DAY(E409+1)=1,31,DAY(E409)))</f>
        <v/>
      </c>
      <c r="S409" s="109">
        <f>IF(AND('Deal maths'!V409="LOBO",'Deal maths'!AG409&gt;AsAt,'Deal maths'!AG409&lt;'Deal maths'!AA409),'Deal maths'!AG409,'Deal maths'!AA409)</f>
        <v/>
      </c>
      <c r="T409" s="108">
        <f>('Deal maths'!AA409&gt;AsAt)*('Deal maths'!Y409&gt;0)</f>
        <v/>
      </c>
    </row>
    <row r="410">
      <c r="A410" s="91">
        <f>IF('Deal maths'!V410="","",'Deal maths'!W410)</f>
        <v/>
      </c>
      <c r="B410" s="108">
        <f>('Deal maths'!AA410&gt;AsAt)*('Deal maths'!Y410&gt;0)*('Deal maths'!Z410&lt;=AsAt)</f>
        <v/>
      </c>
      <c r="C410" s="91">
        <f>IF('Deal maths'!V410="","",IF('Deal maths'!AC410="","Maturity",'Deal maths'!AC410))</f>
        <v/>
      </c>
      <c r="D410" s="108">
        <f>IF(OR(C410="EIP",C410="Annuity"),IF('Deal maths'!AD410="Annual",12,IF('Deal maths'!AD410="Quarterly",3,6)),0)</f>
        <v/>
      </c>
      <c r="E410" s="109">
        <f>IFERROR(IF(D410=0,0,IF('Deal maths'!AE410&gt;0,IF('Deal maths'!AE410&gt;'Deal maths'!AA410,'Deal maths'!AA410,'Deal maths'!AE410),IF(IF(DAY('Deal maths'!AA410+1)=1,EOMONTH('Deal maths'!AA410,-(INT(((YEAR('Deal maths'!AA410)-YEAR(IF('Deal maths'!Z410&gt;0,'Deal maths'!Z410,DATE(1990,1,1))))*12+MONTH('Deal maths'!AA410)-MONTH(IF('Deal maths'!Z410&gt;0,'Deal maths'!Z410,DATE(1990,1,1))))/D410))*D410),EDATE('Deal maths'!AA410,-(INT(((YEAR('Deal maths'!AA410)-YEAR(IF('Deal maths'!Z410&gt;0,'Deal maths'!Z410,DATE(1990,1,1))))*12+MONTH('Deal maths'!AA410)-MONTH(IF('Deal maths'!Z410&gt;0,'Deal maths'!Z410,DATE(1990,1,1))))/D410))*D410))&gt;IF('Deal maths'!Z410&gt;0,'Deal maths'!Z410,DATE(1990,1,1)),IF(DAY('Deal maths'!AA410+1)=1,EOMONTH('Deal maths'!AA410,-(INT(((YEAR('Deal maths'!AA410)-YEAR(IF('Deal maths'!Z410&gt;0,'Deal maths'!Z410,DATE(1990,1,1))))*12+MONTH('Deal maths'!AA410)-MONTH(IF('Deal maths'!Z410&gt;0,'Deal maths'!Z410,DATE(1990,1,1))))/D410))*D410),EDATE('Deal maths'!AA410,-(INT(((YEAR('Deal maths'!AA410)-YEAR(IF('Deal maths'!Z410&gt;0,'Deal maths'!Z410,DATE(1990,1,1))))*12+MONTH('Deal maths'!AA410)-MONTH(IF('Deal maths'!Z410&gt;0,'Deal maths'!Z410,DATE(1990,1,1))))/D410))*D410)),IF(DAY('Deal maths'!AA410+1)=1,EOMONTH('Deal maths'!AA410,-(INT(((YEAR('Deal maths'!AA410)-YEAR(IF('Deal maths'!Z410&gt;0,'Deal maths'!Z410,DATE(1990,1,1))))*12+MONTH('Deal maths'!AA410)-MONTH(IF('Deal maths'!Z410&gt;0,'Deal maths'!Z410,DATE(1990,1,1))))/D410)-1)*D410),EDATE('Deal maths'!AA410,-(INT(((YEAR('Deal maths'!AA410)-YEAR(IF('Deal maths'!Z410&gt;0,'Deal maths'!Z410,DATE(1990,1,1))))*12+MONTH('Deal maths'!AA410)-MONTH(IF('Deal maths'!Z410&gt;0,'Deal maths'!Z410,DATE(1990,1,1))))/D410)-1)*D410))))),0)</f>
        <v/>
      </c>
      <c r="F410" s="110">
        <f>IF(D410=0,0,'Deal maths'!AB410*D410/12)</f>
        <v/>
      </c>
      <c r="G410" s="108">
        <f>N410+O410</f>
        <v/>
      </c>
      <c r="H410" s="108">
        <f>IFERROR(IF(OR(D410=0,AsAt&lt;E410),0,MIN(N410,INT(((YEAR(AsAt)-YEAR(E410))*12+MONTH(AsAt)-MONTH(E410)-(DAY(AsAt)&lt;MIN(R410,DAY(EOMONTH(AsAt,0)))))/D410)+1)+O410*(AsAt&gt;='Deal maths'!AA410)),0)</f>
        <v/>
      </c>
      <c r="I410" s="108">
        <f>G410-H410</f>
        <v/>
      </c>
      <c r="J410" s="111">
        <f>IF(AND(C410="EIP",I410&gt;0),'Deal maths'!Y410/I410,0)</f>
        <v/>
      </c>
      <c r="K410" s="111">
        <f>IF(AND(C410="Annuity",I410&gt;0),IF(F410&gt;0,'Deal maths'!Y410*F410/(1-(1+F410)^-I410),'Deal maths'!Y410/I410),0)</f>
        <v/>
      </c>
      <c r="L410" s="111">
        <f>IF('Deal maths'!Y410="",0,'Deal maths'!Y410)</f>
        <v/>
      </c>
      <c r="M410" s="112">
        <f>F410+(F410=0)</f>
        <v/>
      </c>
      <c r="N410" s="108">
        <f>IFERROR(IF(D410=0,0,INT(((YEAR('Deal maths'!AA410)-YEAR(E410))*12+MONTH('Deal maths'!AA410)-MONTH(E410)-(DAY('Deal maths'!AA410)&lt;MIN(R410,DAY(EOMONTH('Deal maths'!AA410,0)))))/D410)+1),0)</f>
        <v/>
      </c>
      <c r="O410" s="108">
        <f>IFERROR(IF(D410=0,0,IF(IF(DAY(E410+1)=1,EOMONTH(E410,(N410-1)*D410),EDATE(E410,(N410-1)*D410))='Deal maths'!AA410,0,1)),0)</f>
        <v/>
      </c>
      <c r="P410" s="113">
        <f>IF(B410=0,0,IFERROR(IF(C410="EIP",((I410-O410)*((IF(DAY(E410+1)=1,EOMONTH(E410,H410*D410),EDATE(E410,H410*D410))-AsAt)/365.25+(IF(DAY(E410+1)=1,EOMONTH(E410,(N410-1)*D410),EDATE(E410,(N410-1)*D410))-AsAt)/365.25)/2+O410*('Deal maths'!AA410-AsAt)/365.25)/I410,IF(C410="Annuity",IF(F410&gt;0,((K410-L410*F410)*((IF(DAY(E410+1)=1,EOMONTH(E410,H410*D410),EDATE(E410,H410*D410))-AsAt)/365.25*((1+F410)^(I410-O410)-1)/F410+IF((I410-O410)&gt;1,((IF(DAY(E410+1)=1,EOMONTH(E410,(N410-1)*D410),EDATE(E410,(N410-1)*D410))-AsAt)/365.25-(IF(DAY(E410+1)=1,EOMONTH(E410,H410*D410),EDATE(E410,H410*D410))-AsAt)/365.25)/((I410-O410)-1),0)*(1+F410)*(1-(I410-O410)*(1+F410)^((I410-O410)-1)+((I410-O410)-1)*(1+F410)^(I410-O410))/F410^2)+O410*(K410-L410*F410)*(1+F410)^(I410-1)*('Deal maths'!AA410-AsAt)/365.25)/L410,((I410-O410)*((IF(DAY(E410+1)=1,EOMONTH(E410,H410*D410),EDATE(E410,H410*D410))-AsAt)/365.25+(IF(DAY(E410+1)=1,EOMONTH(E410,(N410-1)*D410),EDATE(E410,(N410-1)*D410))-AsAt)/365.25)/2+O410*('Deal maths'!AA410-AsAt)/365.25)/I410),(S410-AsAt)/365.25)),0))</f>
        <v/>
      </c>
      <c r="Q410" s="109">
        <f>IF(B410=1,'Deal maths'!AA410+ROW()/1000000,"")</f>
        <v/>
      </c>
      <c r="R410" s="108">
        <f>IF(D410=0,0,IF(DAY(E410+1)=1,31,DAY(E410)))</f>
        <v/>
      </c>
      <c r="S410" s="109">
        <f>IF(AND('Deal maths'!V410="LOBO",'Deal maths'!AG410&gt;AsAt,'Deal maths'!AG410&lt;'Deal maths'!AA410),'Deal maths'!AG410,'Deal maths'!AA410)</f>
        <v/>
      </c>
      <c r="T410" s="108">
        <f>('Deal maths'!AA410&gt;AsAt)*('Deal maths'!Y410&gt;0)</f>
        <v/>
      </c>
    </row>
    <row r="411">
      <c r="A411" s="91">
        <f>IF('Deal maths'!V411="","",'Deal maths'!W411)</f>
        <v/>
      </c>
      <c r="B411" s="108">
        <f>('Deal maths'!AA411&gt;AsAt)*('Deal maths'!Y411&gt;0)*('Deal maths'!Z411&lt;=AsAt)</f>
        <v/>
      </c>
      <c r="C411" s="91">
        <f>IF('Deal maths'!V411="","",IF('Deal maths'!AC411="","Maturity",'Deal maths'!AC411))</f>
        <v/>
      </c>
      <c r="D411" s="108">
        <f>IF(OR(C411="EIP",C411="Annuity"),IF('Deal maths'!AD411="Annual",12,IF('Deal maths'!AD411="Quarterly",3,6)),0)</f>
        <v/>
      </c>
      <c r="E411" s="109">
        <f>IFERROR(IF(D411=0,0,IF('Deal maths'!AE411&gt;0,IF('Deal maths'!AE411&gt;'Deal maths'!AA411,'Deal maths'!AA411,'Deal maths'!AE411),IF(IF(DAY('Deal maths'!AA411+1)=1,EOMONTH('Deal maths'!AA411,-(INT(((YEAR('Deal maths'!AA411)-YEAR(IF('Deal maths'!Z411&gt;0,'Deal maths'!Z411,DATE(1990,1,1))))*12+MONTH('Deal maths'!AA411)-MONTH(IF('Deal maths'!Z411&gt;0,'Deal maths'!Z411,DATE(1990,1,1))))/D411))*D411),EDATE('Deal maths'!AA411,-(INT(((YEAR('Deal maths'!AA411)-YEAR(IF('Deal maths'!Z411&gt;0,'Deal maths'!Z411,DATE(1990,1,1))))*12+MONTH('Deal maths'!AA411)-MONTH(IF('Deal maths'!Z411&gt;0,'Deal maths'!Z411,DATE(1990,1,1))))/D411))*D411))&gt;IF('Deal maths'!Z411&gt;0,'Deal maths'!Z411,DATE(1990,1,1)),IF(DAY('Deal maths'!AA411+1)=1,EOMONTH('Deal maths'!AA411,-(INT(((YEAR('Deal maths'!AA411)-YEAR(IF('Deal maths'!Z411&gt;0,'Deal maths'!Z411,DATE(1990,1,1))))*12+MONTH('Deal maths'!AA411)-MONTH(IF('Deal maths'!Z411&gt;0,'Deal maths'!Z411,DATE(1990,1,1))))/D411))*D411),EDATE('Deal maths'!AA411,-(INT(((YEAR('Deal maths'!AA411)-YEAR(IF('Deal maths'!Z411&gt;0,'Deal maths'!Z411,DATE(1990,1,1))))*12+MONTH('Deal maths'!AA411)-MONTH(IF('Deal maths'!Z411&gt;0,'Deal maths'!Z411,DATE(1990,1,1))))/D411))*D411)),IF(DAY('Deal maths'!AA411+1)=1,EOMONTH('Deal maths'!AA411,-(INT(((YEAR('Deal maths'!AA411)-YEAR(IF('Deal maths'!Z411&gt;0,'Deal maths'!Z411,DATE(1990,1,1))))*12+MONTH('Deal maths'!AA411)-MONTH(IF('Deal maths'!Z411&gt;0,'Deal maths'!Z411,DATE(1990,1,1))))/D411)-1)*D411),EDATE('Deal maths'!AA411,-(INT(((YEAR('Deal maths'!AA411)-YEAR(IF('Deal maths'!Z411&gt;0,'Deal maths'!Z411,DATE(1990,1,1))))*12+MONTH('Deal maths'!AA411)-MONTH(IF('Deal maths'!Z411&gt;0,'Deal maths'!Z411,DATE(1990,1,1))))/D411)-1)*D411))))),0)</f>
        <v/>
      </c>
      <c r="F411" s="110">
        <f>IF(D411=0,0,'Deal maths'!AB411*D411/12)</f>
        <v/>
      </c>
      <c r="G411" s="108">
        <f>N411+O411</f>
        <v/>
      </c>
      <c r="H411" s="108">
        <f>IFERROR(IF(OR(D411=0,AsAt&lt;E411),0,MIN(N411,INT(((YEAR(AsAt)-YEAR(E411))*12+MONTH(AsAt)-MONTH(E411)-(DAY(AsAt)&lt;MIN(R411,DAY(EOMONTH(AsAt,0)))))/D411)+1)+O411*(AsAt&gt;='Deal maths'!AA411)),0)</f>
        <v/>
      </c>
      <c r="I411" s="108">
        <f>G411-H411</f>
        <v/>
      </c>
      <c r="J411" s="111">
        <f>IF(AND(C411="EIP",I411&gt;0),'Deal maths'!Y411/I411,0)</f>
        <v/>
      </c>
      <c r="K411" s="111">
        <f>IF(AND(C411="Annuity",I411&gt;0),IF(F411&gt;0,'Deal maths'!Y411*F411/(1-(1+F411)^-I411),'Deal maths'!Y411/I411),0)</f>
        <v/>
      </c>
      <c r="L411" s="111">
        <f>IF('Deal maths'!Y411="",0,'Deal maths'!Y411)</f>
        <v/>
      </c>
      <c r="M411" s="112">
        <f>F411+(F411=0)</f>
        <v/>
      </c>
      <c r="N411" s="108">
        <f>IFERROR(IF(D411=0,0,INT(((YEAR('Deal maths'!AA411)-YEAR(E411))*12+MONTH('Deal maths'!AA411)-MONTH(E411)-(DAY('Deal maths'!AA411)&lt;MIN(R411,DAY(EOMONTH('Deal maths'!AA411,0)))))/D411)+1),0)</f>
        <v/>
      </c>
      <c r="O411" s="108">
        <f>IFERROR(IF(D411=0,0,IF(IF(DAY(E411+1)=1,EOMONTH(E411,(N411-1)*D411),EDATE(E411,(N411-1)*D411))='Deal maths'!AA411,0,1)),0)</f>
        <v/>
      </c>
      <c r="P411" s="113">
        <f>IF(B411=0,0,IFERROR(IF(C411="EIP",((I411-O411)*((IF(DAY(E411+1)=1,EOMONTH(E411,H411*D411),EDATE(E411,H411*D411))-AsAt)/365.25+(IF(DAY(E411+1)=1,EOMONTH(E411,(N411-1)*D411),EDATE(E411,(N411-1)*D411))-AsAt)/365.25)/2+O411*('Deal maths'!AA411-AsAt)/365.25)/I411,IF(C411="Annuity",IF(F411&gt;0,((K411-L411*F411)*((IF(DAY(E411+1)=1,EOMONTH(E411,H411*D411),EDATE(E411,H411*D411))-AsAt)/365.25*((1+F411)^(I411-O411)-1)/F411+IF((I411-O411)&gt;1,((IF(DAY(E411+1)=1,EOMONTH(E411,(N411-1)*D411),EDATE(E411,(N411-1)*D411))-AsAt)/365.25-(IF(DAY(E411+1)=1,EOMONTH(E411,H411*D411),EDATE(E411,H411*D411))-AsAt)/365.25)/((I411-O411)-1),0)*(1+F411)*(1-(I411-O411)*(1+F411)^((I411-O411)-1)+((I411-O411)-1)*(1+F411)^(I411-O411))/F411^2)+O411*(K411-L411*F411)*(1+F411)^(I411-1)*('Deal maths'!AA411-AsAt)/365.25)/L411,((I411-O411)*((IF(DAY(E411+1)=1,EOMONTH(E411,H411*D411),EDATE(E411,H411*D411))-AsAt)/365.25+(IF(DAY(E411+1)=1,EOMONTH(E411,(N411-1)*D411),EDATE(E411,(N411-1)*D411))-AsAt)/365.25)/2+O411*('Deal maths'!AA411-AsAt)/365.25)/I411),(S411-AsAt)/365.25)),0))</f>
        <v/>
      </c>
      <c r="Q411" s="109">
        <f>IF(B411=1,'Deal maths'!AA411+ROW()/1000000,"")</f>
        <v/>
      </c>
      <c r="R411" s="108">
        <f>IF(D411=0,0,IF(DAY(E411+1)=1,31,DAY(E411)))</f>
        <v/>
      </c>
      <c r="S411" s="109">
        <f>IF(AND('Deal maths'!V411="LOBO",'Deal maths'!AG411&gt;AsAt,'Deal maths'!AG411&lt;'Deal maths'!AA411),'Deal maths'!AG411,'Deal maths'!AA411)</f>
        <v/>
      </c>
      <c r="T411" s="108">
        <f>('Deal maths'!AA411&gt;AsAt)*('Deal maths'!Y411&gt;0)</f>
        <v/>
      </c>
    </row>
    <row r="412">
      <c r="A412" s="91">
        <f>IF('Deal maths'!V412="","",'Deal maths'!W412)</f>
        <v/>
      </c>
      <c r="B412" s="108">
        <f>('Deal maths'!AA412&gt;AsAt)*('Deal maths'!Y412&gt;0)*('Deal maths'!Z412&lt;=AsAt)</f>
        <v/>
      </c>
      <c r="C412" s="91">
        <f>IF('Deal maths'!V412="","",IF('Deal maths'!AC412="","Maturity",'Deal maths'!AC412))</f>
        <v/>
      </c>
      <c r="D412" s="108">
        <f>IF(OR(C412="EIP",C412="Annuity"),IF('Deal maths'!AD412="Annual",12,IF('Deal maths'!AD412="Quarterly",3,6)),0)</f>
        <v/>
      </c>
      <c r="E412" s="109">
        <f>IFERROR(IF(D412=0,0,IF('Deal maths'!AE412&gt;0,IF('Deal maths'!AE412&gt;'Deal maths'!AA412,'Deal maths'!AA412,'Deal maths'!AE412),IF(IF(DAY('Deal maths'!AA412+1)=1,EOMONTH('Deal maths'!AA412,-(INT(((YEAR('Deal maths'!AA412)-YEAR(IF('Deal maths'!Z412&gt;0,'Deal maths'!Z412,DATE(1990,1,1))))*12+MONTH('Deal maths'!AA412)-MONTH(IF('Deal maths'!Z412&gt;0,'Deal maths'!Z412,DATE(1990,1,1))))/D412))*D412),EDATE('Deal maths'!AA412,-(INT(((YEAR('Deal maths'!AA412)-YEAR(IF('Deal maths'!Z412&gt;0,'Deal maths'!Z412,DATE(1990,1,1))))*12+MONTH('Deal maths'!AA412)-MONTH(IF('Deal maths'!Z412&gt;0,'Deal maths'!Z412,DATE(1990,1,1))))/D412))*D412))&gt;IF('Deal maths'!Z412&gt;0,'Deal maths'!Z412,DATE(1990,1,1)),IF(DAY('Deal maths'!AA412+1)=1,EOMONTH('Deal maths'!AA412,-(INT(((YEAR('Deal maths'!AA412)-YEAR(IF('Deal maths'!Z412&gt;0,'Deal maths'!Z412,DATE(1990,1,1))))*12+MONTH('Deal maths'!AA412)-MONTH(IF('Deal maths'!Z412&gt;0,'Deal maths'!Z412,DATE(1990,1,1))))/D412))*D412),EDATE('Deal maths'!AA412,-(INT(((YEAR('Deal maths'!AA412)-YEAR(IF('Deal maths'!Z412&gt;0,'Deal maths'!Z412,DATE(1990,1,1))))*12+MONTH('Deal maths'!AA412)-MONTH(IF('Deal maths'!Z412&gt;0,'Deal maths'!Z412,DATE(1990,1,1))))/D412))*D412)),IF(DAY('Deal maths'!AA412+1)=1,EOMONTH('Deal maths'!AA412,-(INT(((YEAR('Deal maths'!AA412)-YEAR(IF('Deal maths'!Z412&gt;0,'Deal maths'!Z412,DATE(1990,1,1))))*12+MONTH('Deal maths'!AA412)-MONTH(IF('Deal maths'!Z412&gt;0,'Deal maths'!Z412,DATE(1990,1,1))))/D412)-1)*D412),EDATE('Deal maths'!AA412,-(INT(((YEAR('Deal maths'!AA412)-YEAR(IF('Deal maths'!Z412&gt;0,'Deal maths'!Z412,DATE(1990,1,1))))*12+MONTH('Deal maths'!AA412)-MONTH(IF('Deal maths'!Z412&gt;0,'Deal maths'!Z412,DATE(1990,1,1))))/D412)-1)*D412))))),0)</f>
        <v/>
      </c>
      <c r="F412" s="110">
        <f>IF(D412=0,0,'Deal maths'!AB412*D412/12)</f>
        <v/>
      </c>
      <c r="G412" s="108">
        <f>N412+O412</f>
        <v/>
      </c>
      <c r="H412" s="108">
        <f>IFERROR(IF(OR(D412=0,AsAt&lt;E412),0,MIN(N412,INT(((YEAR(AsAt)-YEAR(E412))*12+MONTH(AsAt)-MONTH(E412)-(DAY(AsAt)&lt;MIN(R412,DAY(EOMONTH(AsAt,0)))))/D412)+1)+O412*(AsAt&gt;='Deal maths'!AA412)),0)</f>
        <v/>
      </c>
      <c r="I412" s="108">
        <f>G412-H412</f>
        <v/>
      </c>
      <c r="J412" s="111">
        <f>IF(AND(C412="EIP",I412&gt;0),'Deal maths'!Y412/I412,0)</f>
        <v/>
      </c>
      <c r="K412" s="111">
        <f>IF(AND(C412="Annuity",I412&gt;0),IF(F412&gt;0,'Deal maths'!Y412*F412/(1-(1+F412)^-I412),'Deal maths'!Y412/I412),0)</f>
        <v/>
      </c>
      <c r="L412" s="111">
        <f>IF('Deal maths'!Y412="",0,'Deal maths'!Y412)</f>
        <v/>
      </c>
      <c r="M412" s="112">
        <f>F412+(F412=0)</f>
        <v/>
      </c>
      <c r="N412" s="108">
        <f>IFERROR(IF(D412=0,0,INT(((YEAR('Deal maths'!AA412)-YEAR(E412))*12+MONTH('Deal maths'!AA412)-MONTH(E412)-(DAY('Deal maths'!AA412)&lt;MIN(R412,DAY(EOMONTH('Deal maths'!AA412,0)))))/D412)+1),0)</f>
        <v/>
      </c>
      <c r="O412" s="108">
        <f>IFERROR(IF(D412=0,0,IF(IF(DAY(E412+1)=1,EOMONTH(E412,(N412-1)*D412),EDATE(E412,(N412-1)*D412))='Deal maths'!AA412,0,1)),0)</f>
        <v/>
      </c>
      <c r="P412" s="113">
        <f>IF(B412=0,0,IFERROR(IF(C412="EIP",((I412-O412)*((IF(DAY(E412+1)=1,EOMONTH(E412,H412*D412),EDATE(E412,H412*D412))-AsAt)/365.25+(IF(DAY(E412+1)=1,EOMONTH(E412,(N412-1)*D412),EDATE(E412,(N412-1)*D412))-AsAt)/365.25)/2+O412*('Deal maths'!AA412-AsAt)/365.25)/I412,IF(C412="Annuity",IF(F412&gt;0,((K412-L412*F412)*((IF(DAY(E412+1)=1,EOMONTH(E412,H412*D412),EDATE(E412,H412*D412))-AsAt)/365.25*((1+F412)^(I412-O412)-1)/F412+IF((I412-O412)&gt;1,((IF(DAY(E412+1)=1,EOMONTH(E412,(N412-1)*D412),EDATE(E412,(N412-1)*D412))-AsAt)/365.25-(IF(DAY(E412+1)=1,EOMONTH(E412,H412*D412),EDATE(E412,H412*D412))-AsAt)/365.25)/((I412-O412)-1),0)*(1+F412)*(1-(I412-O412)*(1+F412)^((I412-O412)-1)+((I412-O412)-1)*(1+F412)^(I412-O412))/F412^2)+O412*(K412-L412*F412)*(1+F412)^(I412-1)*('Deal maths'!AA412-AsAt)/365.25)/L412,((I412-O412)*((IF(DAY(E412+1)=1,EOMONTH(E412,H412*D412),EDATE(E412,H412*D412))-AsAt)/365.25+(IF(DAY(E412+1)=1,EOMONTH(E412,(N412-1)*D412),EDATE(E412,(N412-1)*D412))-AsAt)/365.25)/2+O412*('Deal maths'!AA412-AsAt)/365.25)/I412),(S412-AsAt)/365.25)),0))</f>
        <v/>
      </c>
      <c r="Q412" s="109">
        <f>IF(B412=1,'Deal maths'!AA412+ROW()/1000000,"")</f>
        <v/>
      </c>
      <c r="R412" s="108">
        <f>IF(D412=0,0,IF(DAY(E412+1)=1,31,DAY(E412)))</f>
        <v/>
      </c>
      <c r="S412" s="109">
        <f>IF(AND('Deal maths'!V412="LOBO",'Deal maths'!AG412&gt;AsAt,'Deal maths'!AG412&lt;'Deal maths'!AA412),'Deal maths'!AG412,'Deal maths'!AA412)</f>
        <v/>
      </c>
      <c r="T412" s="108">
        <f>('Deal maths'!AA412&gt;AsAt)*('Deal maths'!Y412&gt;0)</f>
        <v/>
      </c>
    </row>
    <row r="413">
      <c r="A413" s="91">
        <f>IF('Deal maths'!V413="","",'Deal maths'!W413)</f>
        <v/>
      </c>
      <c r="B413" s="108">
        <f>('Deal maths'!AA413&gt;AsAt)*('Deal maths'!Y413&gt;0)*('Deal maths'!Z413&lt;=AsAt)</f>
        <v/>
      </c>
      <c r="C413" s="91">
        <f>IF('Deal maths'!V413="","",IF('Deal maths'!AC413="","Maturity",'Deal maths'!AC413))</f>
        <v/>
      </c>
      <c r="D413" s="108">
        <f>IF(OR(C413="EIP",C413="Annuity"),IF('Deal maths'!AD413="Annual",12,IF('Deal maths'!AD413="Quarterly",3,6)),0)</f>
        <v/>
      </c>
      <c r="E413" s="109">
        <f>IFERROR(IF(D413=0,0,IF('Deal maths'!AE413&gt;0,IF('Deal maths'!AE413&gt;'Deal maths'!AA413,'Deal maths'!AA413,'Deal maths'!AE413),IF(IF(DAY('Deal maths'!AA413+1)=1,EOMONTH('Deal maths'!AA413,-(INT(((YEAR('Deal maths'!AA413)-YEAR(IF('Deal maths'!Z413&gt;0,'Deal maths'!Z413,DATE(1990,1,1))))*12+MONTH('Deal maths'!AA413)-MONTH(IF('Deal maths'!Z413&gt;0,'Deal maths'!Z413,DATE(1990,1,1))))/D413))*D413),EDATE('Deal maths'!AA413,-(INT(((YEAR('Deal maths'!AA413)-YEAR(IF('Deal maths'!Z413&gt;0,'Deal maths'!Z413,DATE(1990,1,1))))*12+MONTH('Deal maths'!AA413)-MONTH(IF('Deal maths'!Z413&gt;0,'Deal maths'!Z413,DATE(1990,1,1))))/D413))*D413))&gt;IF('Deal maths'!Z413&gt;0,'Deal maths'!Z413,DATE(1990,1,1)),IF(DAY('Deal maths'!AA413+1)=1,EOMONTH('Deal maths'!AA413,-(INT(((YEAR('Deal maths'!AA413)-YEAR(IF('Deal maths'!Z413&gt;0,'Deal maths'!Z413,DATE(1990,1,1))))*12+MONTH('Deal maths'!AA413)-MONTH(IF('Deal maths'!Z413&gt;0,'Deal maths'!Z413,DATE(1990,1,1))))/D413))*D413),EDATE('Deal maths'!AA413,-(INT(((YEAR('Deal maths'!AA413)-YEAR(IF('Deal maths'!Z413&gt;0,'Deal maths'!Z413,DATE(1990,1,1))))*12+MONTH('Deal maths'!AA413)-MONTH(IF('Deal maths'!Z413&gt;0,'Deal maths'!Z413,DATE(1990,1,1))))/D413))*D413)),IF(DAY('Deal maths'!AA413+1)=1,EOMONTH('Deal maths'!AA413,-(INT(((YEAR('Deal maths'!AA413)-YEAR(IF('Deal maths'!Z413&gt;0,'Deal maths'!Z413,DATE(1990,1,1))))*12+MONTH('Deal maths'!AA413)-MONTH(IF('Deal maths'!Z413&gt;0,'Deal maths'!Z413,DATE(1990,1,1))))/D413)-1)*D413),EDATE('Deal maths'!AA413,-(INT(((YEAR('Deal maths'!AA413)-YEAR(IF('Deal maths'!Z413&gt;0,'Deal maths'!Z413,DATE(1990,1,1))))*12+MONTH('Deal maths'!AA413)-MONTH(IF('Deal maths'!Z413&gt;0,'Deal maths'!Z413,DATE(1990,1,1))))/D413)-1)*D413))))),0)</f>
        <v/>
      </c>
      <c r="F413" s="110">
        <f>IF(D413=0,0,'Deal maths'!AB413*D413/12)</f>
        <v/>
      </c>
      <c r="G413" s="108">
        <f>N413+O413</f>
        <v/>
      </c>
      <c r="H413" s="108">
        <f>IFERROR(IF(OR(D413=0,AsAt&lt;E413),0,MIN(N413,INT(((YEAR(AsAt)-YEAR(E413))*12+MONTH(AsAt)-MONTH(E413)-(DAY(AsAt)&lt;MIN(R413,DAY(EOMONTH(AsAt,0)))))/D413)+1)+O413*(AsAt&gt;='Deal maths'!AA413)),0)</f>
        <v/>
      </c>
      <c r="I413" s="108">
        <f>G413-H413</f>
        <v/>
      </c>
      <c r="J413" s="111">
        <f>IF(AND(C413="EIP",I413&gt;0),'Deal maths'!Y413/I413,0)</f>
        <v/>
      </c>
      <c r="K413" s="111">
        <f>IF(AND(C413="Annuity",I413&gt;0),IF(F413&gt;0,'Deal maths'!Y413*F413/(1-(1+F413)^-I413),'Deal maths'!Y413/I413),0)</f>
        <v/>
      </c>
      <c r="L413" s="111">
        <f>IF('Deal maths'!Y413="",0,'Deal maths'!Y413)</f>
        <v/>
      </c>
      <c r="M413" s="112">
        <f>F413+(F413=0)</f>
        <v/>
      </c>
      <c r="N413" s="108">
        <f>IFERROR(IF(D413=0,0,INT(((YEAR('Deal maths'!AA413)-YEAR(E413))*12+MONTH('Deal maths'!AA413)-MONTH(E413)-(DAY('Deal maths'!AA413)&lt;MIN(R413,DAY(EOMONTH('Deal maths'!AA413,0)))))/D413)+1),0)</f>
        <v/>
      </c>
      <c r="O413" s="108">
        <f>IFERROR(IF(D413=0,0,IF(IF(DAY(E413+1)=1,EOMONTH(E413,(N413-1)*D413),EDATE(E413,(N413-1)*D413))='Deal maths'!AA413,0,1)),0)</f>
        <v/>
      </c>
      <c r="P413" s="113">
        <f>IF(B413=0,0,IFERROR(IF(C413="EIP",((I413-O413)*((IF(DAY(E413+1)=1,EOMONTH(E413,H413*D413),EDATE(E413,H413*D413))-AsAt)/365.25+(IF(DAY(E413+1)=1,EOMONTH(E413,(N413-1)*D413),EDATE(E413,(N413-1)*D413))-AsAt)/365.25)/2+O413*('Deal maths'!AA413-AsAt)/365.25)/I413,IF(C413="Annuity",IF(F413&gt;0,((K413-L413*F413)*((IF(DAY(E413+1)=1,EOMONTH(E413,H413*D413),EDATE(E413,H413*D413))-AsAt)/365.25*((1+F413)^(I413-O413)-1)/F413+IF((I413-O413)&gt;1,((IF(DAY(E413+1)=1,EOMONTH(E413,(N413-1)*D413),EDATE(E413,(N413-1)*D413))-AsAt)/365.25-(IF(DAY(E413+1)=1,EOMONTH(E413,H413*D413),EDATE(E413,H413*D413))-AsAt)/365.25)/((I413-O413)-1),0)*(1+F413)*(1-(I413-O413)*(1+F413)^((I413-O413)-1)+((I413-O413)-1)*(1+F413)^(I413-O413))/F413^2)+O413*(K413-L413*F413)*(1+F413)^(I413-1)*('Deal maths'!AA413-AsAt)/365.25)/L413,((I413-O413)*((IF(DAY(E413+1)=1,EOMONTH(E413,H413*D413),EDATE(E413,H413*D413))-AsAt)/365.25+(IF(DAY(E413+1)=1,EOMONTH(E413,(N413-1)*D413),EDATE(E413,(N413-1)*D413))-AsAt)/365.25)/2+O413*('Deal maths'!AA413-AsAt)/365.25)/I413),(S413-AsAt)/365.25)),0))</f>
        <v/>
      </c>
      <c r="Q413" s="109">
        <f>IF(B413=1,'Deal maths'!AA413+ROW()/1000000,"")</f>
        <v/>
      </c>
      <c r="R413" s="108">
        <f>IF(D413=0,0,IF(DAY(E413+1)=1,31,DAY(E413)))</f>
        <v/>
      </c>
      <c r="S413" s="109">
        <f>IF(AND('Deal maths'!V413="LOBO",'Deal maths'!AG413&gt;AsAt,'Deal maths'!AG413&lt;'Deal maths'!AA413),'Deal maths'!AG413,'Deal maths'!AA413)</f>
        <v/>
      </c>
      <c r="T413" s="108">
        <f>('Deal maths'!AA413&gt;AsAt)*('Deal maths'!Y413&gt;0)</f>
        <v/>
      </c>
    </row>
    <row r="414">
      <c r="A414" s="91">
        <f>IF('Deal maths'!V414="","",'Deal maths'!W414)</f>
        <v/>
      </c>
      <c r="B414" s="108">
        <f>('Deal maths'!AA414&gt;AsAt)*('Deal maths'!Y414&gt;0)*('Deal maths'!Z414&lt;=AsAt)</f>
        <v/>
      </c>
      <c r="C414" s="91">
        <f>IF('Deal maths'!V414="","",IF('Deal maths'!AC414="","Maturity",'Deal maths'!AC414))</f>
        <v/>
      </c>
      <c r="D414" s="108">
        <f>IF(OR(C414="EIP",C414="Annuity"),IF('Deal maths'!AD414="Annual",12,IF('Deal maths'!AD414="Quarterly",3,6)),0)</f>
        <v/>
      </c>
      <c r="E414" s="109">
        <f>IFERROR(IF(D414=0,0,IF('Deal maths'!AE414&gt;0,IF('Deal maths'!AE414&gt;'Deal maths'!AA414,'Deal maths'!AA414,'Deal maths'!AE414),IF(IF(DAY('Deal maths'!AA414+1)=1,EOMONTH('Deal maths'!AA414,-(INT(((YEAR('Deal maths'!AA414)-YEAR(IF('Deal maths'!Z414&gt;0,'Deal maths'!Z414,DATE(1990,1,1))))*12+MONTH('Deal maths'!AA414)-MONTH(IF('Deal maths'!Z414&gt;0,'Deal maths'!Z414,DATE(1990,1,1))))/D414))*D414),EDATE('Deal maths'!AA414,-(INT(((YEAR('Deal maths'!AA414)-YEAR(IF('Deal maths'!Z414&gt;0,'Deal maths'!Z414,DATE(1990,1,1))))*12+MONTH('Deal maths'!AA414)-MONTH(IF('Deal maths'!Z414&gt;0,'Deal maths'!Z414,DATE(1990,1,1))))/D414))*D414))&gt;IF('Deal maths'!Z414&gt;0,'Deal maths'!Z414,DATE(1990,1,1)),IF(DAY('Deal maths'!AA414+1)=1,EOMONTH('Deal maths'!AA414,-(INT(((YEAR('Deal maths'!AA414)-YEAR(IF('Deal maths'!Z414&gt;0,'Deal maths'!Z414,DATE(1990,1,1))))*12+MONTH('Deal maths'!AA414)-MONTH(IF('Deal maths'!Z414&gt;0,'Deal maths'!Z414,DATE(1990,1,1))))/D414))*D414),EDATE('Deal maths'!AA414,-(INT(((YEAR('Deal maths'!AA414)-YEAR(IF('Deal maths'!Z414&gt;0,'Deal maths'!Z414,DATE(1990,1,1))))*12+MONTH('Deal maths'!AA414)-MONTH(IF('Deal maths'!Z414&gt;0,'Deal maths'!Z414,DATE(1990,1,1))))/D414))*D414)),IF(DAY('Deal maths'!AA414+1)=1,EOMONTH('Deal maths'!AA414,-(INT(((YEAR('Deal maths'!AA414)-YEAR(IF('Deal maths'!Z414&gt;0,'Deal maths'!Z414,DATE(1990,1,1))))*12+MONTH('Deal maths'!AA414)-MONTH(IF('Deal maths'!Z414&gt;0,'Deal maths'!Z414,DATE(1990,1,1))))/D414)-1)*D414),EDATE('Deal maths'!AA414,-(INT(((YEAR('Deal maths'!AA414)-YEAR(IF('Deal maths'!Z414&gt;0,'Deal maths'!Z414,DATE(1990,1,1))))*12+MONTH('Deal maths'!AA414)-MONTH(IF('Deal maths'!Z414&gt;0,'Deal maths'!Z414,DATE(1990,1,1))))/D414)-1)*D414))))),0)</f>
        <v/>
      </c>
      <c r="F414" s="110">
        <f>IF(D414=0,0,'Deal maths'!AB414*D414/12)</f>
        <v/>
      </c>
      <c r="G414" s="108">
        <f>N414+O414</f>
        <v/>
      </c>
      <c r="H414" s="108">
        <f>IFERROR(IF(OR(D414=0,AsAt&lt;E414),0,MIN(N414,INT(((YEAR(AsAt)-YEAR(E414))*12+MONTH(AsAt)-MONTH(E414)-(DAY(AsAt)&lt;MIN(R414,DAY(EOMONTH(AsAt,0)))))/D414)+1)+O414*(AsAt&gt;='Deal maths'!AA414)),0)</f>
        <v/>
      </c>
      <c r="I414" s="108">
        <f>G414-H414</f>
        <v/>
      </c>
      <c r="J414" s="111">
        <f>IF(AND(C414="EIP",I414&gt;0),'Deal maths'!Y414/I414,0)</f>
        <v/>
      </c>
      <c r="K414" s="111">
        <f>IF(AND(C414="Annuity",I414&gt;0),IF(F414&gt;0,'Deal maths'!Y414*F414/(1-(1+F414)^-I414),'Deal maths'!Y414/I414),0)</f>
        <v/>
      </c>
      <c r="L414" s="111">
        <f>IF('Deal maths'!Y414="",0,'Deal maths'!Y414)</f>
        <v/>
      </c>
      <c r="M414" s="112">
        <f>F414+(F414=0)</f>
        <v/>
      </c>
      <c r="N414" s="108">
        <f>IFERROR(IF(D414=0,0,INT(((YEAR('Deal maths'!AA414)-YEAR(E414))*12+MONTH('Deal maths'!AA414)-MONTH(E414)-(DAY('Deal maths'!AA414)&lt;MIN(R414,DAY(EOMONTH('Deal maths'!AA414,0)))))/D414)+1),0)</f>
        <v/>
      </c>
      <c r="O414" s="108">
        <f>IFERROR(IF(D414=0,0,IF(IF(DAY(E414+1)=1,EOMONTH(E414,(N414-1)*D414),EDATE(E414,(N414-1)*D414))='Deal maths'!AA414,0,1)),0)</f>
        <v/>
      </c>
      <c r="P414" s="113">
        <f>IF(B414=0,0,IFERROR(IF(C414="EIP",((I414-O414)*((IF(DAY(E414+1)=1,EOMONTH(E414,H414*D414),EDATE(E414,H414*D414))-AsAt)/365.25+(IF(DAY(E414+1)=1,EOMONTH(E414,(N414-1)*D414),EDATE(E414,(N414-1)*D414))-AsAt)/365.25)/2+O414*('Deal maths'!AA414-AsAt)/365.25)/I414,IF(C414="Annuity",IF(F414&gt;0,((K414-L414*F414)*((IF(DAY(E414+1)=1,EOMONTH(E414,H414*D414),EDATE(E414,H414*D414))-AsAt)/365.25*((1+F414)^(I414-O414)-1)/F414+IF((I414-O414)&gt;1,((IF(DAY(E414+1)=1,EOMONTH(E414,(N414-1)*D414),EDATE(E414,(N414-1)*D414))-AsAt)/365.25-(IF(DAY(E414+1)=1,EOMONTH(E414,H414*D414),EDATE(E414,H414*D414))-AsAt)/365.25)/((I414-O414)-1),0)*(1+F414)*(1-(I414-O414)*(1+F414)^((I414-O414)-1)+((I414-O414)-1)*(1+F414)^(I414-O414))/F414^2)+O414*(K414-L414*F414)*(1+F414)^(I414-1)*('Deal maths'!AA414-AsAt)/365.25)/L414,((I414-O414)*((IF(DAY(E414+1)=1,EOMONTH(E414,H414*D414),EDATE(E414,H414*D414))-AsAt)/365.25+(IF(DAY(E414+1)=1,EOMONTH(E414,(N414-1)*D414),EDATE(E414,(N414-1)*D414))-AsAt)/365.25)/2+O414*('Deal maths'!AA414-AsAt)/365.25)/I414),(S414-AsAt)/365.25)),0))</f>
        <v/>
      </c>
      <c r="Q414" s="109">
        <f>IF(B414=1,'Deal maths'!AA414+ROW()/1000000,"")</f>
        <v/>
      </c>
      <c r="R414" s="108">
        <f>IF(D414=0,0,IF(DAY(E414+1)=1,31,DAY(E414)))</f>
        <v/>
      </c>
      <c r="S414" s="109">
        <f>IF(AND('Deal maths'!V414="LOBO",'Deal maths'!AG414&gt;AsAt,'Deal maths'!AG414&lt;'Deal maths'!AA414),'Deal maths'!AG414,'Deal maths'!AA414)</f>
        <v/>
      </c>
      <c r="T414" s="108">
        <f>('Deal maths'!AA414&gt;AsAt)*('Deal maths'!Y414&gt;0)</f>
        <v/>
      </c>
    </row>
    <row r="415">
      <c r="A415" s="91">
        <f>IF('Deal maths'!V415="","",'Deal maths'!W415)</f>
        <v/>
      </c>
      <c r="B415" s="108">
        <f>('Deal maths'!AA415&gt;AsAt)*('Deal maths'!Y415&gt;0)*('Deal maths'!Z415&lt;=AsAt)</f>
        <v/>
      </c>
      <c r="C415" s="91">
        <f>IF('Deal maths'!V415="","",IF('Deal maths'!AC415="","Maturity",'Deal maths'!AC415))</f>
        <v/>
      </c>
      <c r="D415" s="108">
        <f>IF(OR(C415="EIP",C415="Annuity"),IF('Deal maths'!AD415="Annual",12,IF('Deal maths'!AD415="Quarterly",3,6)),0)</f>
        <v/>
      </c>
      <c r="E415" s="109">
        <f>IFERROR(IF(D415=0,0,IF('Deal maths'!AE415&gt;0,IF('Deal maths'!AE415&gt;'Deal maths'!AA415,'Deal maths'!AA415,'Deal maths'!AE415),IF(IF(DAY('Deal maths'!AA415+1)=1,EOMONTH('Deal maths'!AA415,-(INT(((YEAR('Deal maths'!AA415)-YEAR(IF('Deal maths'!Z415&gt;0,'Deal maths'!Z415,DATE(1990,1,1))))*12+MONTH('Deal maths'!AA415)-MONTH(IF('Deal maths'!Z415&gt;0,'Deal maths'!Z415,DATE(1990,1,1))))/D415))*D415),EDATE('Deal maths'!AA415,-(INT(((YEAR('Deal maths'!AA415)-YEAR(IF('Deal maths'!Z415&gt;0,'Deal maths'!Z415,DATE(1990,1,1))))*12+MONTH('Deal maths'!AA415)-MONTH(IF('Deal maths'!Z415&gt;0,'Deal maths'!Z415,DATE(1990,1,1))))/D415))*D415))&gt;IF('Deal maths'!Z415&gt;0,'Deal maths'!Z415,DATE(1990,1,1)),IF(DAY('Deal maths'!AA415+1)=1,EOMONTH('Deal maths'!AA415,-(INT(((YEAR('Deal maths'!AA415)-YEAR(IF('Deal maths'!Z415&gt;0,'Deal maths'!Z415,DATE(1990,1,1))))*12+MONTH('Deal maths'!AA415)-MONTH(IF('Deal maths'!Z415&gt;0,'Deal maths'!Z415,DATE(1990,1,1))))/D415))*D415),EDATE('Deal maths'!AA415,-(INT(((YEAR('Deal maths'!AA415)-YEAR(IF('Deal maths'!Z415&gt;0,'Deal maths'!Z415,DATE(1990,1,1))))*12+MONTH('Deal maths'!AA415)-MONTH(IF('Deal maths'!Z415&gt;0,'Deal maths'!Z415,DATE(1990,1,1))))/D415))*D415)),IF(DAY('Deal maths'!AA415+1)=1,EOMONTH('Deal maths'!AA415,-(INT(((YEAR('Deal maths'!AA415)-YEAR(IF('Deal maths'!Z415&gt;0,'Deal maths'!Z415,DATE(1990,1,1))))*12+MONTH('Deal maths'!AA415)-MONTH(IF('Deal maths'!Z415&gt;0,'Deal maths'!Z415,DATE(1990,1,1))))/D415)-1)*D415),EDATE('Deal maths'!AA415,-(INT(((YEAR('Deal maths'!AA415)-YEAR(IF('Deal maths'!Z415&gt;0,'Deal maths'!Z415,DATE(1990,1,1))))*12+MONTH('Deal maths'!AA415)-MONTH(IF('Deal maths'!Z415&gt;0,'Deal maths'!Z415,DATE(1990,1,1))))/D415)-1)*D415))))),0)</f>
        <v/>
      </c>
      <c r="F415" s="110">
        <f>IF(D415=0,0,'Deal maths'!AB415*D415/12)</f>
        <v/>
      </c>
      <c r="G415" s="108">
        <f>N415+O415</f>
        <v/>
      </c>
      <c r="H415" s="108">
        <f>IFERROR(IF(OR(D415=0,AsAt&lt;E415),0,MIN(N415,INT(((YEAR(AsAt)-YEAR(E415))*12+MONTH(AsAt)-MONTH(E415)-(DAY(AsAt)&lt;MIN(R415,DAY(EOMONTH(AsAt,0)))))/D415)+1)+O415*(AsAt&gt;='Deal maths'!AA415)),0)</f>
        <v/>
      </c>
      <c r="I415" s="108">
        <f>G415-H415</f>
        <v/>
      </c>
      <c r="J415" s="111">
        <f>IF(AND(C415="EIP",I415&gt;0),'Deal maths'!Y415/I415,0)</f>
        <v/>
      </c>
      <c r="K415" s="111">
        <f>IF(AND(C415="Annuity",I415&gt;0),IF(F415&gt;0,'Deal maths'!Y415*F415/(1-(1+F415)^-I415),'Deal maths'!Y415/I415),0)</f>
        <v/>
      </c>
      <c r="L415" s="111">
        <f>IF('Deal maths'!Y415="",0,'Deal maths'!Y415)</f>
        <v/>
      </c>
      <c r="M415" s="112">
        <f>F415+(F415=0)</f>
        <v/>
      </c>
      <c r="N415" s="108">
        <f>IFERROR(IF(D415=0,0,INT(((YEAR('Deal maths'!AA415)-YEAR(E415))*12+MONTH('Deal maths'!AA415)-MONTH(E415)-(DAY('Deal maths'!AA415)&lt;MIN(R415,DAY(EOMONTH('Deal maths'!AA415,0)))))/D415)+1),0)</f>
        <v/>
      </c>
      <c r="O415" s="108">
        <f>IFERROR(IF(D415=0,0,IF(IF(DAY(E415+1)=1,EOMONTH(E415,(N415-1)*D415),EDATE(E415,(N415-1)*D415))='Deal maths'!AA415,0,1)),0)</f>
        <v/>
      </c>
      <c r="P415" s="113">
        <f>IF(B415=0,0,IFERROR(IF(C415="EIP",((I415-O415)*((IF(DAY(E415+1)=1,EOMONTH(E415,H415*D415),EDATE(E415,H415*D415))-AsAt)/365.25+(IF(DAY(E415+1)=1,EOMONTH(E415,(N415-1)*D415),EDATE(E415,(N415-1)*D415))-AsAt)/365.25)/2+O415*('Deal maths'!AA415-AsAt)/365.25)/I415,IF(C415="Annuity",IF(F415&gt;0,((K415-L415*F415)*((IF(DAY(E415+1)=1,EOMONTH(E415,H415*D415),EDATE(E415,H415*D415))-AsAt)/365.25*((1+F415)^(I415-O415)-1)/F415+IF((I415-O415)&gt;1,((IF(DAY(E415+1)=1,EOMONTH(E415,(N415-1)*D415),EDATE(E415,(N415-1)*D415))-AsAt)/365.25-(IF(DAY(E415+1)=1,EOMONTH(E415,H415*D415),EDATE(E415,H415*D415))-AsAt)/365.25)/((I415-O415)-1),0)*(1+F415)*(1-(I415-O415)*(1+F415)^((I415-O415)-1)+((I415-O415)-1)*(1+F415)^(I415-O415))/F415^2)+O415*(K415-L415*F415)*(1+F415)^(I415-1)*('Deal maths'!AA415-AsAt)/365.25)/L415,((I415-O415)*((IF(DAY(E415+1)=1,EOMONTH(E415,H415*D415),EDATE(E415,H415*D415))-AsAt)/365.25+(IF(DAY(E415+1)=1,EOMONTH(E415,(N415-1)*D415),EDATE(E415,(N415-1)*D415))-AsAt)/365.25)/2+O415*('Deal maths'!AA415-AsAt)/365.25)/I415),(S415-AsAt)/365.25)),0))</f>
        <v/>
      </c>
      <c r="Q415" s="109">
        <f>IF(B415=1,'Deal maths'!AA415+ROW()/1000000,"")</f>
        <v/>
      </c>
      <c r="R415" s="108">
        <f>IF(D415=0,0,IF(DAY(E415+1)=1,31,DAY(E415)))</f>
        <v/>
      </c>
      <c r="S415" s="109">
        <f>IF(AND('Deal maths'!V415="LOBO",'Deal maths'!AG415&gt;AsAt,'Deal maths'!AG415&lt;'Deal maths'!AA415),'Deal maths'!AG415,'Deal maths'!AA415)</f>
        <v/>
      </c>
      <c r="T415" s="108">
        <f>('Deal maths'!AA415&gt;AsAt)*('Deal maths'!Y415&gt;0)</f>
        <v/>
      </c>
    </row>
    <row r="416">
      <c r="A416" s="91">
        <f>IF('Deal maths'!V416="","",'Deal maths'!W416)</f>
        <v/>
      </c>
      <c r="B416" s="108">
        <f>('Deal maths'!AA416&gt;AsAt)*('Deal maths'!Y416&gt;0)*('Deal maths'!Z416&lt;=AsAt)</f>
        <v/>
      </c>
      <c r="C416" s="91">
        <f>IF('Deal maths'!V416="","",IF('Deal maths'!AC416="","Maturity",'Deal maths'!AC416))</f>
        <v/>
      </c>
      <c r="D416" s="108">
        <f>IF(OR(C416="EIP",C416="Annuity"),IF('Deal maths'!AD416="Annual",12,IF('Deal maths'!AD416="Quarterly",3,6)),0)</f>
        <v/>
      </c>
      <c r="E416" s="109">
        <f>IFERROR(IF(D416=0,0,IF('Deal maths'!AE416&gt;0,IF('Deal maths'!AE416&gt;'Deal maths'!AA416,'Deal maths'!AA416,'Deal maths'!AE416),IF(IF(DAY('Deal maths'!AA416+1)=1,EOMONTH('Deal maths'!AA416,-(INT(((YEAR('Deal maths'!AA416)-YEAR(IF('Deal maths'!Z416&gt;0,'Deal maths'!Z416,DATE(1990,1,1))))*12+MONTH('Deal maths'!AA416)-MONTH(IF('Deal maths'!Z416&gt;0,'Deal maths'!Z416,DATE(1990,1,1))))/D416))*D416),EDATE('Deal maths'!AA416,-(INT(((YEAR('Deal maths'!AA416)-YEAR(IF('Deal maths'!Z416&gt;0,'Deal maths'!Z416,DATE(1990,1,1))))*12+MONTH('Deal maths'!AA416)-MONTH(IF('Deal maths'!Z416&gt;0,'Deal maths'!Z416,DATE(1990,1,1))))/D416))*D416))&gt;IF('Deal maths'!Z416&gt;0,'Deal maths'!Z416,DATE(1990,1,1)),IF(DAY('Deal maths'!AA416+1)=1,EOMONTH('Deal maths'!AA416,-(INT(((YEAR('Deal maths'!AA416)-YEAR(IF('Deal maths'!Z416&gt;0,'Deal maths'!Z416,DATE(1990,1,1))))*12+MONTH('Deal maths'!AA416)-MONTH(IF('Deal maths'!Z416&gt;0,'Deal maths'!Z416,DATE(1990,1,1))))/D416))*D416),EDATE('Deal maths'!AA416,-(INT(((YEAR('Deal maths'!AA416)-YEAR(IF('Deal maths'!Z416&gt;0,'Deal maths'!Z416,DATE(1990,1,1))))*12+MONTH('Deal maths'!AA416)-MONTH(IF('Deal maths'!Z416&gt;0,'Deal maths'!Z416,DATE(1990,1,1))))/D416))*D416)),IF(DAY('Deal maths'!AA416+1)=1,EOMONTH('Deal maths'!AA416,-(INT(((YEAR('Deal maths'!AA416)-YEAR(IF('Deal maths'!Z416&gt;0,'Deal maths'!Z416,DATE(1990,1,1))))*12+MONTH('Deal maths'!AA416)-MONTH(IF('Deal maths'!Z416&gt;0,'Deal maths'!Z416,DATE(1990,1,1))))/D416)-1)*D416),EDATE('Deal maths'!AA416,-(INT(((YEAR('Deal maths'!AA416)-YEAR(IF('Deal maths'!Z416&gt;0,'Deal maths'!Z416,DATE(1990,1,1))))*12+MONTH('Deal maths'!AA416)-MONTH(IF('Deal maths'!Z416&gt;0,'Deal maths'!Z416,DATE(1990,1,1))))/D416)-1)*D416))))),0)</f>
        <v/>
      </c>
      <c r="F416" s="110">
        <f>IF(D416=0,0,'Deal maths'!AB416*D416/12)</f>
        <v/>
      </c>
      <c r="G416" s="108">
        <f>N416+O416</f>
        <v/>
      </c>
      <c r="H416" s="108">
        <f>IFERROR(IF(OR(D416=0,AsAt&lt;E416),0,MIN(N416,INT(((YEAR(AsAt)-YEAR(E416))*12+MONTH(AsAt)-MONTH(E416)-(DAY(AsAt)&lt;MIN(R416,DAY(EOMONTH(AsAt,0)))))/D416)+1)+O416*(AsAt&gt;='Deal maths'!AA416)),0)</f>
        <v/>
      </c>
      <c r="I416" s="108">
        <f>G416-H416</f>
        <v/>
      </c>
      <c r="J416" s="111">
        <f>IF(AND(C416="EIP",I416&gt;0),'Deal maths'!Y416/I416,0)</f>
        <v/>
      </c>
      <c r="K416" s="111">
        <f>IF(AND(C416="Annuity",I416&gt;0),IF(F416&gt;0,'Deal maths'!Y416*F416/(1-(1+F416)^-I416),'Deal maths'!Y416/I416),0)</f>
        <v/>
      </c>
      <c r="L416" s="111">
        <f>IF('Deal maths'!Y416="",0,'Deal maths'!Y416)</f>
        <v/>
      </c>
      <c r="M416" s="112">
        <f>F416+(F416=0)</f>
        <v/>
      </c>
      <c r="N416" s="108">
        <f>IFERROR(IF(D416=0,0,INT(((YEAR('Deal maths'!AA416)-YEAR(E416))*12+MONTH('Deal maths'!AA416)-MONTH(E416)-(DAY('Deal maths'!AA416)&lt;MIN(R416,DAY(EOMONTH('Deal maths'!AA416,0)))))/D416)+1),0)</f>
        <v/>
      </c>
      <c r="O416" s="108">
        <f>IFERROR(IF(D416=0,0,IF(IF(DAY(E416+1)=1,EOMONTH(E416,(N416-1)*D416),EDATE(E416,(N416-1)*D416))='Deal maths'!AA416,0,1)),0)</f>
        <v/>
      </c>
      <c r="P416" s="113">
        <f>IF(B416=0,0,IFERROR(IF(C416="EIP",((I416-O416)*((IF(DAY(E416+1)=1,EOMONTH(E416,H416*D416),EDATE(E416,H416*D416))-AsAt)/365.25+(IF(DAY(E416+1)=1,EOMONTH(E416,(N416-1)*D416),EDATE(E416,(N416-1)*D416))-AsAt)/365.25)/2+O416*('Deal maths'!AA416-AsAt)/365.25)/I416,IF(C416="Annuity",IF(F416&gt;0,((K416-L416*F416)*((IF(DAY(E416+1)=1,EOMONTH(E416,H416*D416),EDATE(E416,H416*D416))-AsAt)/365.25*((1+F416)^(I416-O416)-1)/F416+IF((I416-O416)&gt;1,((IF(DAY(E416+1)=1,EOMONTH(E416,(N416-1)*D416),EDATE(E416,(N416-1)*D416))-AsAt)/365.25-(IF(DAY(E416+1)=1,EOMONTH(E416,H416*D416),EDATE(E416,H416*D416))-AsAt)/365.25)/((I416-O416)-1),0)*(1+F416)*(1-(I416-O416)*(1+F416)^((I416-O416)-1)+((I416-O416)-1)*(1+F416)^(I416-O416))/F416^2)+O416*(K416-L416*F416)*(1+F416)^(I416-1)*('Deal maths'!AA416-AsAt)/365.25)/L416,((I416-O416)*((IF(DAY(E416+1)=1,EOMONTH(E416,H416*D416),EDATE(E416,H416*D416))-AsAt)/365.25+(IF(DAY(E416+1)=1,EOMONTH(E416,(N416-1)*D416),EDATE(E416,(N416-1)*D416))-AsAt)/365.25)/2+O416*('Deal maths'!AA416-AsAt)/365.25)/I416),(S416-AsAt)/365.25)),0))</f>
        <v/>
      </c>
      <c r="Q416" s="109">
        <f>IF(B416=1,'Deal maths'!AA416+ROW()/1000000,"")</f>
        <v/>
      </c>
      <c r="R416" s="108">
        <f>IF(D416=0,0,IF(DAY(E416+1)=1,31,DAY(E416)))</f>
        <v/>
      </c>
      <c r="S416" s="109">
        <f>IF(AND('Deal maths'!V416="LOBO",'Deal maths'!AG416&gt;AsAt,'Deal maths'!AG416&lt;'Deal maths'!AA416),'Deal maths'!AG416,'Deal maths'!AA416)</f>
        <v/>
      </c>
      <c r="T416" s="108">
        <f>('Deal maths'!AA416&gt;AsAt)*('Deal maths'!Y416&gt;0)</f>
        <v/>
      </c>
    </row>
    <row r="417">
      <c r="A417" s="91">
        <f>IF('Deal maths'!V417="","",'Deal maths'!W417)</f>
        <v/>
      </c>
      <c r="B417" s="108">
        <f>('Deal maths'!AA417&gt;AsAt)*('Deal maths'!Y417&gt;0)*('Deal maths'!Z417&lt;=AsAt)</f>
        <v/>
      </c>
      <c r="C417" s="91">
        <f>IF('Deal maths'!V417="","",IF('Deal maths'!AC417="","Maturity",'Deal maths'!AC417))</f>
        <v/>
      </c>
      <c r="D417" s="108">
        <f>IF(OR(C417="EIP",C417="Annuity"),IF('Deal maths'!AD417="Annual",12,IF('Deal maths'!AD417="Quarterly",3,6)),0)</f>
        <v/>
      </c>
      <c r="E417" s="109">
        <f>IFERROR(IF(D417=0,0,IF('Deal maths'!AE417&gt;0,IF('Deal maths'!AE417&gt;'Deal maths'!AA417,'Deal maths'!AA417,'Deal maths'!AE417),IF(IF(DAY('Deal maths'!AA417+1)=1,EOMONTH('Deal maths'!AA417,-(INT(((YEAR('Deal maths'!AA417)-YEAR(IF('Deal maths'!Z417&gt;0,'Deal maths'!Z417,DATE(1990,1,1))))*12+MONTH('Deal maths'!AA417)-MONTH(IF('Deal maths'!Z417&gt;0,'Deal maths'!Z417,DATE(1990,1,1))))/D417))*D417),EDATE('Deal maths'!AA417,-(INT(((YEAR('Deal maths'!AA417)-YEAR(IF('Deal maths'!Z417&gt;0,'Deal maths'!Z417,DATE(1990,1,1))))*12+MONTH('Deal maths'!AA417)-MONTH(IF('Deal maths'!Z417&gt;0,'Deal maths'!Z417,DATE(1990,1,1))))/D417))*D417))&gt;IF('Deal maths'!Z417&gt;0,'Deal maths'!Z417,DATE(1990,1,1)),IF(DAY('Deal maths'!AA417+1)=1,EOMONTH('Deal maths'!AA417,-(INT(((YEAR('Deal maths'!AA417)-YEAR(IF('Deal maths'!Z417&gt;0,'Deal maths'!Z417,DATE(1990,1,1))))*12+MONTH('Deal maths'!AA417)-MONTH(IF('Deal maths'!Z417&gt;0,'Deal maths'!Z417,DATE(1990,1,1))))/D417))*D417),EDATE('Deal maths'!AA417,-(INT(((YEAR('Deal maths'!AA417)-YEAR(IF('Deal maths'!Z417&gt;0,'Deal maths'!Z417,DATE(1990,1,1))))*12+MONTH('Deal maths'!AA417)-MONTH(IF('Deal maths'!Z417&gt;0,'Deal maths'!Z417,DATE(1990,1,1))))/D417))*D417)),IF(DAY('Deal maths'!AA417+1)=1,EOMONTH('Deal maths'!AA417,-(INT(((YEAR('Deal maths'!AA417)-YEAR(IF('Deal maths'!Z417&gt;0,'Deal maths'!Z417,DATE(1990,1,1))))*12+MONTH('Deal maths'!AA417)-MONTH(IF('Deal maths'!Z417&gt;0,'Deal maths'!Z417,DATE(1990,1,1))))/D417)-1)*D417),EDATE('Deal maths'!AA417,-(INT(((YEAR('Deal maths'!AA417)-YEAR(IF('Deal maths'!Z417&gt;0,'Deal maths'!Z417,DATE(1990,1,1))))*12+MONTH('Deal maths'!AA417)-MONTH(IF('Deal maths'!Z417&gt;0,'Deal maths'!Z417,DATE(1990,1,1))))/D417)-1)*D417))))),0)</f>
        <v/>
      </c>
      <c r="F417" s="110">
        <f>IF(D417=0,0,'Deal maths'!AB417*D417/12)</f>
        <v/>
      </c>
      <c r="G417" s="108">
        <f>N417+O417</f>
        <v/>
      </c>
      <c r="H417" s="108">
        <f>IFERROR(IF(OR(D417=0,AsAt&lt;E417),0,MIN(N417,INT(((YEAR(AsAt)-YEAR(E417))*12+MONTH(AsAt)-MONTH(E417)-(DAY(AsAt)&lt;MIN(R417,DAY(EOMONTH(AsAt,0)))))/D417)+1)+O417*(AsAt&gt;='Deal maths'!AA417)),0)</f>
        <v/>
      </c>
      <c r="I417" s="108">
        <f>G417-H417</f>
        <v/>
      </c>
      <c r="J417" s="111">
        <f>IF(AND(C417="EIP",I417&gt;0),'Deal maths'!Y417/I417,0)</f>
        <v/>
      </c>
      <c r="K417" s="111">
        <f>IF(AND(C417="Annuity",I417&gt;0),IF(F417&gt;0,'Deal maths'!Y417*F417/(1-(1+F417)^-I417),'Deal maths'!Y417/I417),0)</f>
        <v/>
      </c>
      <c r="L417" s="111">
        <f>IF('Deal maths'!Y417="",0,'Deal maths'!Y417)</f>
        <v/>
      </c>
      <c r="M417" s="112">
        <f>F417+(F417=0)</f>
        <v/>
      </c>
      <c r="N417" s="108">
        <f>IFERROR(IF(D417=0,0,INT(((YEAR('Deal maths'!AA417)-YEAR(E417))*12+MONTH('Deal maths'!AA417)-MONTH(E417)-(DAY('Deal maths'!AA417)&lt;MIN(R417,DAY(EOMONTH('Deal maths'!AA417,0)))))/D417)+1),0)</f>
        <v/>
      </c>
      <c r="O417" s="108">
        <f>IFERROR(IF(D417=0,0,IF(IF(DAY(E417+1)=1,EOMONTH(E417,(N417-1)*D417),EDATE(E417,(N417-1)*D417))='Deal maths'!AA417,0,1)),0)</f>
        <v/>
      </c>
      <c r="P417" s="113">
        <f>IF(B417=0,0,IFERROR(IF(C417="EIP",((I417-O417)*((IF(DAY(E417+1)=1,EOMONTH(E417,H417*D417),EDATE(E417,H417*D417))-AsAt)/365.25+(IF(DAY(E417+1)=1,EOMONTH(E417,(N417-1)*D417),EDATE(E417,(N417-1)*D417))-AsAt)/365.25)/2+O417*('Deal maths'!AA417-AsAt)/365.25)/I417,IF(C417="Annuity",IF(F417&gt;0,((K417-L417*F417)*((IF(DAY(E417+1)=1,EOMONTH(E417,H417*D417),EDATE(E417,H417*D417))-AsAt)/365.25*((1+F417)^(I417-O417)-1)/F417+IF((I417-O417)&gt;1,((IF(DAY(E417+1)=1,EOMONTH(E417,(N417-1)*D417),EDATE(E417,(N417-1)*D417))-AsAt)/365.25-(IF(DAY(E417+1)=1,EOMONTH(E417,H417*D417),EDATE(E417,H417*D417))-AsAt)/365.25)/((I417-O417)-1),0)*(1+F417)*(1-(I417-O417)*(1+F417)^((I417-O417)-1)+((I417-O417)-1)*(1+F417)^(I417-O417))/F417^2)+O417*(K417-L417*F417)*(1+F417)^(I417-1)*('Deal maths'!AA417-AsAt)/365.25)/L417,((I417-O417)*((IF(DAY(E417+1)=1,EOMONTH(E417,H417*D417),EDATE(E417,H417*D417))-AsAt)/365.25+(IF(DAY(E417+1)=1,EOMONTH(E417,(N417-1)*D417),EDATE(E417,(N417-1)*D417))-AsAt)/365.25)/2+O417*('Deal maths'!AA417-AsAt)/365.25)/I417),(S417-AsAt)/365.25)),0))</f>
        <v/>
      </c>
      <c r="Q417" s="109">
        <f>IF(B417=1,'Deal maths'!AA417+ROW()/1000000,"")</f>
        <v/>
      </c>
      <c r="R417" s="108">
        <f>IF(D417=0,0,IF(DAY(E417+1)=1,31,DAY(E417)))</f>
        <v/>
      </c>
      <c r="S417" s="109">
        <f>IF(AND('Deal maths'!V417="LOBO",'Deal maths'!AG417&gt;AsAt,'Deal maths'!AG417&lt;'Deal maths'!AA417),'Deal maths'!AG417,'Deal maths'!AA417)</f>
        <v/>
      </c>
      <c r="T417" s="108">
        <f>('Deal maths'!AA417&gt;AsAt)*('Deal maths'!Y417&gt;0)</f>
        <v/>
      </c>
    </row>
    <row r="418">
      <c r="A418" s="91">
        <f>IF('Deal maths'!V418="","",'Deal maths'!W418)</f>
        <v/>
      </c>
      <c r="B418" s="108">
        <f>('Deal maths'!AA418&gt;AsAt)*('Deal maths'!Y418&gt;0)*('Deal maths'!Z418&lt;=AsAt)</f>
        <v/>
      </c>
      <c r="C418" s="91">
        <f>IF('Deal maths'!V418="","",IF('Deal maths'!AC418="","Maturity",'Deal maths'!AC418))</f>
        <v/>
      </c>
      <c r="D418" s="108">
        <f>IF(OR(C418="EIP",C418="Annuity"),IF('Deal maths'!AD418="Annual",12,IF('Deal maths'!AD418="Quarterly",3,6)),0)</f>
        <v/>
      </c>
      <c r="E418" s="109">
        <f>IFERROR(IF(D418=0,0,IF('Deal maths'!AE418&gt;0,IF('Deal maths'!AE418&gt;'Deal maths'!AA418,'Deal maths'!AA418,'Deal maths'!AE418),IF(IF(DAY('Deal maths'!AA418+1)=1,EOMONTH('Deal maths'!AA418,-(INT(((YEAR('Deal maths'!AA418)-YEAR(IF('Deal maths'!Z418&gt;0,'Deal maths'!Z418,DATE(1990,1,1))))*12+MONTH('Deal maths'!AA418)-MONTH(IF('Deal maths'!Z418&gt;0,'Deal maths'!Z418,DATE(1990,1,1))))/D418))*D418),EDATE('Deal maths'!AA418,-(INT(((YEAR('Deal maths'!AA418)-YEAR(IF('Deal maths'!Z418&gt;0,'Deal maths'!Z418,DATE(1990,1,1))))*12+MONTH('Deal maths'!AA418)-MONTH(IF('Deal maths'!Z418&gt;0,'Deal maths'!Z418,DATE(1990,1,1))))/D418))*D418))&gt;IF('Deal maths'!Z418&gt;0,'Deal maths'!Z418,DATE(1990,1,1)),IF(DAY('Deal maths'!AA418+1)=1,EOMONTH('Deal maths'!AA418,-(INT(((YEAR('Deal maths'!AA418)-YEAR(IF('Deal maths'!Z418&gt;0,'Deal maths'!Z418,DATE(1990,1,1))))*12+MONTH('Deal maths'!AA418)-MONTH(IF('Deal maths'!Z418&gt;0,'Deal maths'!Z418,DATE(1990,1,1))))/D418))*D418),EDATE('Deal maths'!AA418,-(INT(((YEAR('Deal maths'!AA418)-YEAR(IF('Deal maths'!Z418&gt;0,'Deal maths'!Z418,DATE(1990,1,1))))*12+MONTH('Deal maths'!AA418)-MONTH(IF('Deal maths'!Z418&gt;0,'Deal maths'!Z418,DATE(1990,1,1))))/D418))*D418)),IF(DAY('Deal maths'!AA418+1)=1,EOMONTH('Deal maths'!AA418,-(INT(((YEAR('Deal maths'!AA418)-YEAR(IF('Deal maths'!Z418&gt;0,'Deal maths'!Z418,DATE(1990,1,1))))*12+MONTH('Deal maths'!AA418)-MONTH(IF('Deal maths'!Z418&gt;0,'Deal maths'!Z418,DATE(1990,1,1))))/D418)-1)*D418),EDATE('Deal maths'!AA418,-(INT(((YEAR('Deal maths'!AA418)-YEAR(IF('Deal maths'!Z418&gt;0,'Deal maths'!Z418,DATE(1990,1,1))))*12+MONTH('Deal maths'!AA418)-MONTH(IF('Deal maths'!Z418&gt;0,'Deal maths'!Z418,DATE(1990,1,1))))/D418)-1)*D418))))),0)</f>
        <v/>
      </c>
      <c r="F418" s="110">
        <f>IF(D418=0,0,'Deal maths'!AB418*D418/12)</f>
        <v/>
      </c>
      <c r="G418" s="108">
        <f>N418+O418</f>
        <v/>
      </c>
      <c r="H418" s="108">
        <f>IFERROR(IF(OR(D418=0,AsAt&lt;E418),0,MIN(N418,INT(((YEAR(AsAt)-YEAR(E418))*12+MONTH(AsAt)-MONTH(E418)-(DAY(AsAt)&lt;MIN(R418,DAY(EOMONTH(AsAt,0)))))/D418)+1)+O418*(AsAt&gt;='Deal maths'!AA418)),0)</f>
        <v/>
      </c>
      <c r="I418" s="108">
        <f>G418-H418</f>
        <v/>
      </c>
      <c r="J418" s="111">
        <f>IF(AND(C418="EIP",I418&gt;0),'Deal maths'!Y418/I418,0)</f>
        <v/>
      </c>
      <c r="K418" s="111">
        <f>IF(AND(C418="Annuity",I418&gt;0),IF(F418&gt;0,'Deal maths'!Y418*F418/(1-(1+F418)^-I418),'Deal maths'!Y418/I418),0)</f>
        <v/>
      </c>
      <c r="L418" s="111">
        <f>IF('Deal maths'!Y418="",0,'Deal maths'!Y418)</f>
        <v/>
      </c>
      <c r="M418" s="112">
        <f>F418+(F418=0)</f>
        <v/>
      </c>
      <c r="N418" s="108">
        <f>IFERROR(IF(D418=0,0,INT(((YEAR('Deal maths'!AA418)-YEAR(E418))*12+MONTH('Deal maths'!AA418)-MONTH(E418)-(DAY('Deal maths'!AA418)&lt;MIN(R418,DAY(EOMONTH('Deal maths'!AA418,0)))))/D418)+1),0)</f>
        <v/>
      </c>
      <c r="O418" s="108">
        <f>IFERROR(IF(D418=0,0,IF(IF(DAY(E418+1)=1,EOMONTH(E418,(N418-1)*D418),EDATE(E418,(N418-1)*D418))='Deal maths'!AA418,0,1)),0)</f>
        <v/>
      </c>
      <c r="P418" s="113">
        <f>IF(B418=0,0,IFERROR(IF(C418="EIP",((I418-O418)*((IF(DAY(E418+1)=1,EOMONTH(E418,H418*D418),EDATE(E418,H418*D418))-AsAt)/365.25+(IF(DAY(E418+1)=1,EOMONTH(E418,(N418-1)*D418),EDATE(E418,(N418-1)*D418))-AsAt)/365.25)/2+O418*('Deal maths'!AA418-AsAt)/365.25)/I418,IF(C418="Annuity",IF(F418&gt;0,((K418-L418*F418)*((IF(DAY(E418+1)=1,EOMONTH(E418,H418*D418),EDATE(E418,H418*D418))-AsAt)/365.25*((1+F418)^(I418-O418)-1)/F418+IF((I418-O418)&gt;1,((IF(DAY(E418+1)=1,EOMONTH(E418,(N418-1)*D418),EDATE(E418,(N418-1)*D418))-AsAt)/365.25-(IF(DAY(E418+1)=1,EOMONTH(E418,H418*D418),EDATE(E418,H418*D418))-AsAt)/365.25)/((I418-O418)-1),0)*(1+F418)*(1-(I418-O418)*(1+F418)^((I418-O418)-1)+((I418-O418)-1)*(1+F418)^(I418-O418))/F418^2)+O418*(K418-L418*F418)*(1+F418)^(I418-1)*('Deal maths'!AA418-AsAt)/365.25)/L418,((I418-O418)*((IF(DAY(E418+1)=1,EOMONTH(E418,H418*D418),EDATE(E418,H418*D418))-AsAt)/365.25+(IF(DAY(E418+1)=1,EOMONTH(E418,(N418-1)*D418),EDATE(E418,(N418-1)*D418))-AsAt)/365.25)/2+O418*('Deal maths'!AA418-AsAt)/365.25)/I418),(S418-AsAt)/365.25)),0))</f>
        <v/>
      </c>
      <c r="Q418" s="109">
        <f>IF(B418=1,'Deal maths'!AA418+ROW()/1000000,"")</f>
        <v/>
      </c>
      <c r="R418" s="108">
        <f>IF(D418=0,0,IF(DAY(E418+1)=1,31,DAY(E418)))</f>
        <v/>
      </c>
      <c r="S418" s="109">
        <f>IF(AND('Deal maths'!V418="LOBO",'Deal maths'!AG418&gt;AsAt,'Deal maths'!AG418&lt;'Deal maths'!AA418),'Deal maths'!AG418,'Deal maths'!AA418)</f>
        <v/>
      </c>
      <c r="T418" s="108">
        <f>('Deal maths'!AA418&gt;AsAt)*('Deal maths'!Y418&gt;0)</f>
        <v/>
      </c>
    </row>
    <row r="419">
      <c r="A419" s="91">
        <f>IF('Deal maths'!V419="","",'Deal maths'!W419)</f>
        <v/>
      </c>
      <c r="B419" s="108">
        <f>('Deal maths'!AA419&gt;AsAt)*('Deal maths'!Y419&gt;0)*('Deal maths'!Z419&lt;=AsAt)</f>
        <v/>
      </c>
      <c r="C419" s="91">
        <f>IF('Deal maths'!V419="","",IF('Deal maths'!AC419="","Maturity",'Deal maths'!AC419))</f>
        <v/>
      </c>
      <c r="D419" s="108">
        <f>IF(OR(C419="EIP",C419="Annuity"),IF('Deal maths'!AD419="Annual",12,IF('Deal maths'!AD419="Quarterly",3,6)),0)</f>
        <v/>
      </c>
      <c r="E419" s="109">
        <f>IFERROR(IF(D419=0,0,IF('Deal maths'!AE419&gt;0,IF('Deal maths'!AE419&gt;'Deal maths'!AA419,'Deal maths'!AA419,'Deal maths'!AE419),IF(IF(DAY('Deal maths'!AA419+1)=1,EOMONTH('Deal maths'!AA419,-(INT(((YEAR('Deal maths'!AA419)-YEAR(IF('Deal maths'!Z419&gt;0,'Deal maths'!Z419,DATE(1990,1,1))))*12+MONTH('Deal maths'!AA419)-MONTH(IF('Deal maths'!Z419&gt;0,'Deal maths'!Z419,DATE(1990,1,1))))/D419))*D419),EDATE('Deal maths'!AA419,-(INT(((YEAR('Deal maths'!AA419)-YEAR(IF('Deal maths'!Z419&gt;0,'Deal maths'!Z419,DATE(1990,1,1))))*12+MONTH('Deal maths'!AA419)-MONTH(IF('Deal maths'!Z419&gt;0,'Deal maths'!Z419,DATE(1990,1,1))))/D419))*D419))&gt;IF('Deal maths'!Z419&gt;0,'Deal maths'!Z419,DATE(1990,1,1)),IF(DAY('Deal maths'!AA419+1)=1,EOMONTH('Deal maths'!AA419,-(INT(((YEAR('Deal maths'!AA419)-YEAR(IF('Deal maths'!Z419&gt;0,'Deal maths'!Z419,DATE(1990,1,1))))*12+MONTH('Deal maths'!AA419)-MONTH(IF('Deal maths'!Z419&gt;0,'Deal maths'!Z419,DATE(1990,1,1))))/D419))*D419),EDATE('Deal maths'!AA419,-(INT(((YEAR('Deal maths'!AA419)-YEAR(IF('Deal maths'!Z419&gt;0,'Deal maths'!Z419,DATE(1990,1,1))))*12+MONTH('Deal maths'!AA419)-MONTH(IF('Deal maths'!Z419&gt;0,'Deal maths'!Z419,DATE(1990,1,1))))/D419))*D419)),IF(DAY('Deal maths'!AA419+1)=1,EOMONTH('Deal maths'!AA419,-(INT(((YEAR('Deal maths'!AA419)-YEAR(IF('Deal maths'!Z419&gt;0,'Deal maths'!Z419,DATE(1990,1,1))))*12+MONTH('Deal maths'!AA419)-MONTH(IF('Deal maths'!Z419&gt;0,'Deal maths'!Z419,DATE(1990,1,1))))/D419)-1)*D419),EDATE('Deal maths'!AA419,-(INT(((YEAR('Deal maths'!AA419)-YEAR(IF('Deal maths'!Z419&gt;0,'Deal maths'!Z419,DATE(1990,1,1))))*12+MONTH('Deal maths'!AA419)-MONTH(IF('Deal maths'!Z419&gt;0,'Deal maths'!Z419,DATE(1990,1,1))))/D419)-1)*D419))))),0)</f>
        <v/>
      </c>
      <c r="F419" s="110">
        <f>IF(D419=0,0,'Deal maths'!AB419*D419/12)</f>
        <v/>
      </c>
      <c r="G419" s="108">
        <f>N419+O419</f>
        <v/>
      </c>
      <c r="H419" s="108">
        <f>IFERROR(IF(OR(D419=0,AsAt&lt;E419),0,MIN(N419,INT(((YEAR(AsAt)-YEAR(E419))*12+MONTH(AsAt)-MONTH(E419)-(DAY(AsAt)&lt;MIN(R419,DAY(EOMONTH(AsAt,0)))))/D419)+1)+O419*(AsAt&gt;='Deal maths'!AA419)),0)</f>
        <v/>
      </c>
      <c r="I419" s="108">
        <f>G419-H419</f>
        <v/>
      </c>
      <c r="J419" s="111">
        <f>IF(AND(C419="EIP",I419&gt;0),'Deal maths'!Y419/I419,0)</f>
        <v/>
      </c>
      <c r="K419" s="111">
        <f>IF(AND(C419="Annuity",I419&gt;0),IF(F419&gt;0,'Deal maths'!Y419*F419/(1-(1+F419)^-I419),'Deal maths'!Y419/I419),0)</f>
        <v/>
      </c>
      <c r="L419" s="111">
        <f>IF('Deal maths'!Y419="",0,'Deal maths'!Y419)</f>
        <v/>
      </c>
      <c r="M419" s="112">
        <f>F419+(F419=0)</f>
        <v/>
      </c>
      <c r="N419" s="108">
        <f>IFERROR(IF(D419=0,0,INT(((YEAR('Deal maths'!AA419)-YEAR(E419))*12+MONTH('Deal maths'!AA419)-MONTH(E419)-(DAY('Deal maths'!AA419)&lt;MIN(R419,DAY(EOMONTH('Deal maths'!AA419,0)))))/D419)+1),0)</f>
        <v/>
      </c>
      <c r="O419" s="108">
        <f>IFERROR(IF(D419=0,0,IF(IF(DAY(E419+1)=1,EOMONTH(E419,(N419-1)*D419),EDATE(E419,(N419-1)*D419))='Deal maths'!AA419,0,1)),0)</f>
        <v/>
      </c>
      <c r="P419" s="113">
        <f>IF(B419=0,0,IFERROR(IF(C419="EIP",((I419-O419)*((IF(DAY(E419+1)=1,EOMONTH(E419,H419*D419),EDATE(E419,H419*D419))-AsAt)/365.25+(IF(DAY(E419+1)=1,EOMONTH(E419,(N419-1)*D419),EDATE(E419,(N419-1)*D419))-AsAt)/365.25)/2+O419*('Deal maths'!AA419-AsAt)/365.25)/I419,IF(C419="Annuity",IF(F419&gt;0,((K419-L419*F419)*((IF(DAY(E419+1)=1,EOMONTH(E419,H419*D419),EDATE(E419,H419*D419))-AsAt)/365.25*((1+F419)^(I419-O419)-1)/F419+IF((I419-O419)&gt;1,((IF(DAY(E419+1)=1,EOMONTH(E419,(N419-1)*D419),EDATE(E419,(N419-1)*D419))-AsAt)/365.25-(IF(DAY(E419+1)=1,EOMONTH(E419,H419*D419),EDATE(E419,H419*D419))-AsAt)/365.25)/((I419-O419)-1),0)*(1+F419)*(1-(I419-O419)*(1+F419)^((I419-O419)-1)+((I419-O419)-1)*(1+F419)^(I419-O419))/F419^2)+O419*(K419-L419*F419)*(1+F419)^(I419-1)*('Deal maths'!AA419-AsAt)/365.25)/L419,((I419-O419)*((IF(DAY(E419+1)=1,EOMONTH(E419,H419*D419),EDATE(E419,H419*D419))-AsAt)/365.25+(IF(DAY(E419+1)=1,EOMONTH(E419,(N419-1)*D419),EDATE(E419,(N419-1)*D419))-AsAt)/365.25)/2+O419*('Deal maths'!AA419-AsAt)/365.25)/I419),(S419-AsAt)/365.25)),0))</f>
        <v/>
      </c>
      <c r="Q419" s="109">
        <f>IF(B419=1,'Deal maths'!AA419+ROW()/1000000,"")</f>
        <v/>
      </c>
      <c r="R419" s="108">
        <f>IF(D419=0,0,IF(DAY(E419+1)=1,31,DAY(E419)))</f>
        <v/>
      </c>
      <c r="S419" s="109">
        <f>IF(AND('Deal maths'!V419="LOBO",'Deal maths'!AG419&gt;AsAt,'Deal maths'!AG419&lt;'Deal maths'!AA419),'Deal maths'!AG419,'Deal maths'!AA419)</f>
        <v/>
      </c>
      <c r="T419" s="108">
        <f>('Deal maths'!AA419&gt;AsAt)*('Deal maths'!Y419&gt;0)</f>
        <v/>
      </c>
    </row>
    <row r="420">
      <c r="A420" s="91">
        <f>IF('Deal maths'!V420="","",'Deal maths'!W420)</f>
        <v/>
      </c>
      <c r="B420" s="108">
        <f>('Deal maths'!AA420&gt;AsAt)*('Deal maths'!Y420&gt;0)*('Deal maths'!Z420&lt;=AsAt)</f>
        <v/>
      </c>
      <c r="C420" s="91">
        <f>IF('Deal maths'!V420="","",IF('Deal maths'!AC420="","Maturity",'Deal maths'!AC420))</f>
        <v/>
      </c>
      <c r="D420" s="108">
        <f>IF(OR(C420="EIP",C420="Annuity"),IF('Deal maths'!AD420="Annual",12,IF('Deal maths'!AD420="Quarterly",3,6)),0)</f>
        <v/>
      </c>
      <c r="E420" s="109">
        <f>IFERROR(IF(D420=0,0,IF('Deal maths'!AE420&gt;0,IF('Deal maths'!AE420&gt;'Deal maths'!AA420,'Deal maths'!AA420,'Deal maths'!AE420),IF(IF(DAY('Deal maths'!AA420+1)=1,EOMONTH('Deal maths'!AA420,-(INT(((YEAR('Deal maths'!AA420)-YEAR(IF('Deal maths'!Z420&gt;0,'Deal maths'!Z420,DATE(1990,1,1))))*12+MONTH('Deal maths'!AA420)-MONTH(IF('Deal maths'!Z420&gt;0,'Deal maths'!Z420,DATE(1990,1,1))))/D420))*D420),EDATE('Deal maths'!AA420,-(INT(((YEAR('Deal maths'!AA420)-YEAR(IF('Deal maths'!Z420&gt;0,'Deal maths'!Z420,DATE(1990,1,1))))*12+MONTH('Deal maths'!AA420)-MONTH(IF('Deal maths'!Z420&gt;0,'Deal maths'!Z420,DATE(1990,1,1))))/D420))*D420))&gt;IF('Deal maths'!Z420&gt;0,'Deal maths'!Z420,DATE(1990,1,1)),IF(DAY('Deal maths'!AA420+1)=1,EOMONTH('Deal maths'!AA420,-(INT(((YEAR('Deal maths'!AA420)-YEAR(IF('Deal maths'!Z420&gt;0,'Deal maths'!Z420,DATE(1990,1,1))))*12+MONTH('Deal maths'!AA420)-MONTH(IF('Deal maths'!Z420&gt;0,'Deal maths'!Z420,DATE(1990,1,1))))/D420))*D420),EDATE('Deal maths'!AA420,-(INT(((YEAR('Deal maths'!AA420)-YEAR(IF('Deal maths'!Z420&gt;0,'Deal maths'!Z420,DATE(1990,1,1))))*12+MONTH('Deal maths'!AA420)-MONTH(IF('Deal maths'!Z420&gt;0,'Deal maths'!Z420,DATE(1990,1,1))))/D420))*D420)),IF(DAY('Deal maths'!AA420+1)=1,EOMONTH('Deal maths'!AA420,-(INT(((YEAR('Deal maths'!AA420)-YEAR(IF('Deal maths'!Z420&gt;0,'Deal maths'!Z420,DATE(1990,1,1))))*12+MONTH('Deal maths'!AA420)-MONTH(IF('Deal maths'!Z420&gt;0,'Deal maths'!Z420,DATE(1990,1,1))))/D420)-1)*D420),EDATE('Deal maths'!AA420,-(INT(((YEAR('Deal maths'!AA420)-YEAR(IF('Deal maths'!Z420&gt;0,'Deal maths'!Z420,DATE(1990,1,1))))*12+MONTH('Deal maths'!AA420)-MONTH(IF('Deal maths'!Z420&gt;0,'Deal maths'!Z420,DATE(1990,1,1))))/D420)-1)*D420))))),0)</f>
        <v/>
      </c>
      <c r="F420" s="110">
        <f>IF(D420=0,0,'Deal maths'!AB420*D420/12)</f>
        <v/>
      </c>
      <c r="G420" s="108">
        <f>N420+O420</f>
        <v/>
      </c>
      <c r="H420" s="108">
        <f>IFERROR(IF(OR(D420=0,AsAt&lt;E420),0,MIN(N420,INT(((YEAR(AsAt)-YEAR(E420))*12+MONTH(AsAt)-MONTH(E420)-(DAY(AsAt)&lt;MIN(R420,DAY(EOMONTH(AsAt,0)))))/D420)+1)+O420*(AsAt&gt;='Deal maths'!AA420)),0)</f>
        <v/>
      </c>
      <c r="I420" s="108">
        <f>G420-H420</f>
        <v/>
      </c>
      <c r="J420" s="111">
        <f>IF(AND(C420="EIP",I420&gt;0),'Deal maths'!Y420/I420,0)</f>
        <v/>
      </c>
      <c r="K420" s="111">
        <f>IF(AND(C420="Annuity",I420&gt;0),IF(F420&gt;0,'Deal maths'!Y420*F420/(1-(1+F420)^-I420),'Deal maths'!Y420/I420),0)</f>
        <v/>
      </c>
      <c r="L420" s="111">
        <f>IF('Deal maths'!Y420="",0,'Deal maths'!Y420)</f>
        <v/>
      </c>
      <c r="M420" s="112">
        <f>F420+(F420=0)</f>
        <v/>
      </c>
      <c r="N420" s="108">
        <f>IFERROR(IF(D420=0,0,INT(((YEAR('Deal maths'!AA420)-YEAR(E420))*12+MONTH('Deal maths'!AA420)-MONTH(E420)-(DAY('Deal maths'!AA420)&lt;MIN(R420,DAY(EOMONTH('Deal maths'!AA420,0)))))/D420)+1),0)</f>
        <v/>
      </c>
      <c r="O420" s="108">
        <f>IFERROR(IF(D420=0,0,IF(IF(DAY(E420+1)=1,EOMONTH(E420,(N420-1)*D420),EDATE(E420,(N420-1)*D420))='Deal maths'!AA420,0,1)),0)</f>
        <v/>
      </c>
      <c r="P420" s="113">
        <f>IF(B420=0,0,IFERROR(IF(C420="EIP",((I420-O420)*((IF(DAY(E420+1)=1,EOMONTH(E420,H420*D420),EDATE(E420,H420*D420))-AsAt)/365.25+(IF(DAY(E420+1)=1,EOMONTH(E420,(N420-1)*D420),EDATE(E420,(N420-1)*D420))-AsAt)/365.25)/2+O420*('Deal maths'!AA420-AsAt)/365.25)/I420,IF(C420="Annuity",IF(F420&gt;0,((K420-L420*F420)*((IF(DAY(E420+1)=1,EOMONTH(E420,H420*D420),EDATE(E420,H420*D420))-AsAt)/365.25*((1+F420)^(I420-O420)-1)/F420+IF((I420-O420)&gt;1,((IF(DAY(E420+1)=1,EOMONTH(E420,(N420-1)*D420),EDATE(E420,(N420-1)*D420))-AsAt)/365.25-(IF(DAY(E420+1)=1,EOMONTH(E420,H420*D420),EDATE(E420,H420*D420))-AsAt)/365.25)/((I420-O420)-1),0)*(1+F420)*(1-(I420-O420)*(1+F420)^((I420-O420)-1)+((I420-O420)-1)*(1+F420)^(I420-O420))/F420^2)+O420*(K420-L420*F420)*(1+F420)^(I420-1)*('Deal maths'!AA420-AsAt)/365.25)/L420,((I420-O420)*((IF(DAY(E420+1)=1,EOMONTH(E420,H420*D420),EDATE(E420,H420*D420))-AsAt)/365.25+(IF(DAY(E420+1)=1,EOMONTH(E420,(N420-1)*D420),EDATE(E420,(N420-1)*D420))-AsAt)/365.25)/2+O420*('Deal maths'!AA420-AsAt)/365.25)/I420),(S420-AsAt)/365.25)),0))</f>
        <v/>
      </c>
      <c r="Q420" s="109">
        <f>IF(B420=1,'Deal maths'!AA420+ROW()/1000000,"")</f>
        <v/>
      </c>
      <c r="R420" s="108">
        <f>IF(D420=0,0,IF(DAY(E420+1)=1,31,DAY(E420)))</f>
        <v/>
      </c>
      <c r="S420" s="109">
        <f>IF(AND('Deal maths'!V420="LOBO",'Deal maths'!AG420&gt;AsAt,'Deal maths'!AG420&lt;'Deal maths'!AA420),'Deal maths'!AG420,'Deal maths'!AA420)</f>
        <v/>
      </c>
      <c r="T420" s="108">
        <f>('Deal maths'!AA420&gt;AsAt)*('Deal maths'!Y420&gt;0)</f>
        <v/>
      </c>
    </row>
    <row r="421">
      <c r="A421" s="91">
        <f>IF('Deal maths'!V421="","",'Deal maths'!W421)</f>
        <v/>
      </c>
      <c r="B421" s="108">
        <f>('Deal maths'!AA421&gt;AsAt)*('Deal maths'!Y421&gt;0)*('Deal maths'!Z421&lt;=AsAt)</f>
        <v/>
      </c>
      <c r="C421" s="91">
        <f>IF('Deal maths'!V421="","",IF('Deal maths'!AC421="","Maturity",'Deal maths'!AC421))</f>
        <v/>
      </c>
      <c r="D421" s="108">
        <f>IF(OR(C421="EIP",C421="Annuity"),IF('Deal maths'!AD421="Annual",12,IF('Deal maths'!AD421="Quarterly",3,6)),0)</f>
        <v/>
      </c>
      <c r="E421" s="109">
        <f>IFERROR(IF(D421=0,0,IF('Deal maths'!AE421&gt;0,IF('Deal maths'!AE421&gt;'Deal maths'!AA421,'Deal maths'!AA421,'Deal maths'!AE421),IF(IF(DAY('Deal maths'!AA421+1)=1,EOMONTH('Deal maths'!AA421,-(INT(((YEAR('Deal maths'!AA421)-YEAR(IF('Deal maths'!Z421&gt;0,'Deal maths'!Z421,DATE(1990,1,1))))*12+MONTH('Deal maths'!AA421)-MONTH(IF('Deal maths'!Z421&gt;0,'Deal maths'!Z421,DATE(1990,1,1))))/D421))*D421),EDATE('Deal maths'!AA421,-(INT(((YEAR('Deal maths'!AA421)-YEAR(IF('Deal maths'!Z421&gt;0,'Deal maths'!Z421,DATE(1990,1,1))))*12+MONTH('Deal maths'!AA421)-MONTH(IF('Deal maths'!Z421&gt;0,'Deal maths'!Z421,DATE(1990,1,1))))/D421))*D421))&gt;IF('Deal maths'!Z421&gt;0,'Deal maths'!Z421,DATE(1990,1,1)),IF(DAY('Deal maths'!AA421+1)=1,EOMONTH('Deal maths'!AA421,-(INT(((YEAR('Deal maths'!AA421)-YEAR(IF('Deal maths'!Z421&gt;0,'Deal maths'!Z421,DATE(1990,1,1))))*12+MONTH('Deal maths'!AA421)-MONTH(IF('Deal maths'!Z421&gt;0,'Deal maths'!Z421,DATE(1990,1,1))))/D421))*D421),EDATE('Deal maths'!AA421,-(INT(((YEAR('Deal maths'!AA421)-YEAR(IF('Deal maths'!Z421&gt;0,'Deal maths'!Z421,DATE(1990,1,1))))*12+MONTH('Deal maths'!AA421)-MONTH(IF('Deal maths'!Z421&gt;0,'Deal maths'!Z421,DATE(1990,1,1))))/D421))*D421)),IF(DAY('Deal maths'!AA421+1)=1,EOMONTH('Deal maths'!AA421,-(INT(((YEAR('Deal maths'!AA421)-YEAR(IF('Deal maths'!Z421&gt;0,'Deal maths'!Z421,DATE(1990,1,1))))*12+MONTH('Deal maths'!AA421)-MONTH(IF('Deal maths'!Z421&gt;0,'Deal maths'!Z421,DATE(1990,1,1))))/D421)-1)*D421),EDATE('Deal maths'!AA421,-(INT(((YEAR('Deal maths'!AA421)-YEAR(IF('Deal maths'!Z421&gt;0,'Deal maths'!Z421,DATE(1990,1,1))))*12+MONTH('Deal maths'!AA421)-MONTH(IF('Deal maths'!Z421&gt;0,'Deal maths'!Z421,DATE(1990,1,1))))/D421)-1)*D421))))),0)</f>
        <v/>
      </c>
      <c r="F421" s="110">
        <f>IF(D421=0,0,'Deal maths'!AB421*D421/12)</f>
        <v/>
      </c>
      <c r="G421" s="108">
        <f>N421+O421</f>
        <v/>
      </c>
      <c r="H421" s="108">
        <f>IFERROR(IF(OR(D421=0,AsAt&lt;E421),0,MIN(N421,INT(((YEAR(AsAt)-YEAR(E421))*12+MONTH(AsAt)-MONTH(E421)-(DAY(AsAt)&lt;MIN(R421,DAY(EOMONTH(AsAt,0)))))/D421)+1)+O421*(AsAt&gt;='Deal maths'!AA421)),0)</f>
        <v/>
      </c>
      <c r="I421" s="108">
        <f>G421-H421</f>
        <v/>
      </c>
      <c r="J421" s="111">
        <f>IF(AND(C421="EIP",I421&gt;0),'Deal maths'!Y421/I421,0)</f>
        <v/>
      </c>
      <c r="K421" s="111">
        <f>IF(AND(C421="Annuity",I421&gt;0),IF(F421&gt;0,'Deal maths'!Y421*F421/(1-(1+F421)^-I421),'Deal maths'!Y421/I421),0)</f>
        <v/>
      </c>
      <c r="L421" s="111">
        <f>IF('Deal maths'!Y421="",0,'Deal maths'!Y421)</f>
        <v/>
      </c>
      <c r="M421" s="112">
        <f>F421+(F421=0)</f>
        <v/>
      </c>
      <c r="N421" s="108">
        <f>IFERROR(IF(D421=0,0,INT(((YEAR('Deal maths'!AA421)-YEAR(E421))*12+MONTH('Deal maths'!AA421)-MONTH(E421)-(DAY('Deal maths'!AA421)&lt;MIN(R421,DAY(EOMONTH('Deal maths'!AA421,0)))))/D421)+1),0)</f>
        <v/>
      </c>
      <c r="O421" s="108">
        <f>IFERROR(IF(D421=0,0,IF(IF(DAY(E421+1)=1,EOMONTH(E421,(N421-1)*D421),EDATE(E421,(N421-1)*D421))='Deal maths'!AA421,0,1)),0)</f>
        <v/>
      </c>
      <c r="P421" s="113">
        <f>IF(B421=0,0,IFERROR(IF(C421="EIP",((I421-O421)*((IF(DAY(E421+1)=1,EOMONTH(E421,H421*D421),EDATE(E421,H421*D421))-AsAt)/365.25+(IF(DAY(E421+1)=1,EOMONTH(E421,(N421-1)*D421),EDATE(E421,(N421-1)*D421))-AsAt)/365.25)/2+O421*('Deal maths'!AA421-AsAt)/365.25)/I421,IF(C421="Annuity",IF(F421&gt;0,((K421-L421*F421)*((IF(DAY(E421+1)=1,EOMONTH(E421,H421*D421),EDATE(E421,H421*D421))-AsAt)/365.25*((1+F421)^(I421-O421)-1)/F421+IF((I421-O421)&gt;1,((IF(DAY(E421+1)=1,EOMONTH(E421,(N421-1)*D421),EDATE(E421,(N421-1)*D421))-AsAt)/365.25-(IF(DAY(E421+1)=1,EOMONTH(E421,H421*D421),EDATE(E421,H421*D421))-AsAt)/365.25)/((I421-O421)-1),0)*(1+F421)*(1-(I421-O421)*(1+F421)^((I421-O421)-1)+((I421-O421)-1)*(1+F421)^(I421-O421))/F421^2)+O421*(K421-L421*F421)*(1+F421)^(I421-1)*('Deal maths'!AA421-AsAt)/365.25)/L421,((I421-O421)*((IF(DAY(E421+1)=1,EOMONTH(E421,H421*D421),EDATE(E421,H421*D421))-AsAt)/365.25+(IF(DAY(E421+1)=1,EOMONTH(E421,(N421-1)*D421),EDATE(E421,(N421-1)*D421))-AsAt)/365.25)/2+O421*('Deal maths'!AA421-AsAt)/365.25)/I421),(S421-AsAt)/365.25)),0))</f>
        <v/>
      </c>
      <c r="Q421" s="109">
        <f>IF(B421=1,'Deal maths'!AA421+ROW()/1000000,"")</f>
        <v/>
      </c>
      <c r="R421" s="108">
        <f>IF(D421=0,0,IF(DAY(E421+1)=1,31,DAY(E421)))</f>
        <v/>
      </c>
      <c r="S421" s="109">
        <f>IF(AND('Deal maths'!V421="LOBO",'Deal maths'!AG421&gt;AsAt,'Deal maths'!AG421&lt;'Deal maths'!AA421),'Deal maths'!AG421,'Deal maths'!AA421)</f>
        <v/>
      </c>
      <c r="T421" s="108">
        <f>('Deal maths'!AA421&gt;AsAt)*('Deal maths'!Y421&gt;0)</f>
        <v/>
      </c>
    </row>
    <row r="422">
      <c r="A422" s="91">
        <f>IF('Deal maths'!V422="","",'Deal maths'!W422)</f>
        <v/>
      </c>
      <c r="B422" s="108">
        <f>('Deal maths'!AA422&gt;AsAt)*('Deal maths'!Y422&gt;0)*('Deal maths'!Z422&lt;=AsAt)</f>
        <v/>
      </c>
      <c r="C422" s="91">
        <f>IF('Deal maths'!V422="","",IF('Deal maths'!AC422="","Maturity",'Deal maths'!AC422))</f>
        <v/>
      </c>
      <c r="D422" s="108">
        <f>IF(OR(C422="EIP",C422="Annuity"),IF('Deal maths'!AD422="Annual",12,IF('Deal maths'!AD422="Quarterly",3,6)),0)</f>
        <v/>
      </c>
      <c r="E422" s="109">
        <f>IFERROR(IF(D422=0,0,IF('Deal maths'!AE422&gt;0,IF('Deal maths'!AE422&gt;'Deal maths'!AA422,'Deal maths'!AA422,'Deal maths'!AE422),IF(IF(DAY('Deal maths'!AA422+1)=1,EOMONTH('Deal maths'!AA422,-(INT(((YEAR('Deal maths'!AA422)-YEAR(IF('Deal maths'!Z422&gt;0,'Deal maths'!Z422,DATE(1990,1,1))))*12+MONTH('Deal maths'!AA422)-MONTH(IF('Deal maths'!Z422&gt;0,'Deal maths'!Z422,DATE(1990,1,1))))/D422))*D422),EDATE('Deal maths'!AA422,-(INT(((YEAR('Deal maths'!AA422)-YEAR(IF('Deal maths'!Z422&gt;0,'Deal maths'!Z422,DATE(1990,1,1))))*12+MONTH('Deal maths'!AA422)-MONTH(IF('Deal maths'!Z422&gt;0,'Deal maths'!Z422,DATE(1990,1,1))))/D422))*D422))&gt;IF('Deal maths'!Z422&gt;0,'Deal maths'!Z422,DATE(1990,1,1)),IF(DAY('Deal maths'!AA422+1)=1,EOMONTH('Deal maths'!AA422,-(INT(((YEAR('Deal maths'!AA422)-YEAR(IF('Deal maths'!Z422&gt;0,'Deal maths'!Z422,DATE(1990,1,1))))*12+MONTH('Deal maths'!AA422)-MONTH(IF('Deal maths'!Z422&gt;0,'Deal maths'!Z422,DATE(1990,1,1))))/D422))*D422),EDATE('Deal maths'!AA422,-(INT(((YEAR('Deal maths'!AA422)-YEAR(IF('Deal maths'!Z422&gt;0,'Deal maths'!Z422,DATE(1990,1,1))))*12+MONTH('Deal maths'!AA422)-MONTH(IF('Deal maths'!Z422&gt;0,'Deal maths'!Z422,DATE(1990,1,1))))/D422))*D422)),IF(DAY('Deal maths'!AA422+1)=1,EOMONTH('Deal maths'!AA422,-(INT(((YEAR('Deal maths'!AA422)-YEAR(IF('Deal maths'!Z422&gt;0,'Deal maths'!Z422,DATE(1990,1,1))))*12+MONTH('Deal maths'!AA422)-MONTH(IF('Deal maths'!Z422&gt;0,'Deal maths'!Z422,DATE(1990,1,1))))/D422)-1)*D422),EDATE('Deal maths'!AA422,-(INT(((YEAR('Deal maths'!AA422)-YEAR(IF('Deal maths'!Z422&gt;0,'Deal maths'!Z422,DATE(1990,1,1))))*12+MONTH('Deal maths'!AA422)-MONTH(IF('Deal maths'!Z422&gt;0,'Deal maths'!Z422,DATE(1990,1,1))))/D422)-1)*D422))))),0)</f>
        <v/>
      </c>
      <c r="F422" s="110">
        <f>IF(D422=0,0,'Deal maths'!AB422*D422/12)</f>
        <v/>
      </c>
      <c r="G422" s="108">
        <f>N422+O422</f>
        <v/>
      </c>
      <c r="H422" s="108">
        <f>IFERROR(IF(OR(D422=0,AsAt&lt;E422),0,MIN(N422,INT(((YEAR(AsAt)-YEAR(E422))*12+MONTH(AsAt)-MONTH(E422)-(DAY(AsAt)&lt;MIN(R422,DAY(EOMONTH(AsAt,0)))))/D422)+1)+O422*(AsAt&gt;='Deal maths'!AA422)),0)</f>
        <v/>
      </c>
      <c r="I422" s="108">
        <f>G422-H422</f>
        <v/>
      </c>
      <c r="J422" s="111">
        <f>IF(AND(C422="EIP",I422&gt;0),'Deal maths'!Y422/I422,0)</f>
        <v/>
      </c>
      <c r="K422" s="111">
        <f>IF(AND(C422="Annuity",I422&gt;0),IF(F422&gt;0,'Deal maths'!Y422*F422/(1-(1+F422)^-I422),'Deal maths'!Y422/I422),0)</f>
        <v/>
      </c>
      <c r="L422" s="111">
        <f>IF('Deal maths'!Y422="",0,'Deal maths'!Y422)</f>
        <v/>
      </c>
      <c r="M422" s="112">
        <f>F422+(F422=0)</f>
        <v/>
      </c>
      <c r="N422" s="108">
        <f>IFERROR(IF(D422=0,0,INT(((YEAR('Deal maths'!AA422)-YEAR(E422))*12+MONTH('Deal maths'!AA422)-MONTH(E422)-(DAY('Deal maths'!AA422)&lt;MIN(R422,DAY(EOMONTH('Deal maths'!AA422,0)))))/D422)+1),0)</f>
        <v/>
      </c>
      <c r="O422" s="108">
        <f>IFERROR(IF(D422=0,0,IF(IF(DAY(E422+1)=1,EOMONTH(E422,(N422-1)*D422),EDATE(E422,(N422-1)*D422))='Deal maths'!AA422,0,1)),0)</f>
        <v/>
      </c>
      <c r="P422" s="113">
        <f>IF(B422=0,0,IFERROR(IF(C422="EIP",((I422-O422)*((IF(DAY(E422+1)=1,EOMONTH(E422,H422*D422),EDATE(E422,H422*D422))-AsAt)/365.25+(IF(DAY(E422+1)=1,EOMONTH(E422,(N422-1)*D422),EDATE(E422,(N422-1)*D422))-AsAt)/365.25)/2+O422*('Deal maths'!AA422-AsAt)/365.25)/I422,IF(C422="Annuity",IF(F422&gt;0,((K422-L422*F422)*((IF(DAY(E422+1)=1,EOMONTH(E422,H422*D422),EDATE(E422,H422*D422))-AsAt)/365.25*((1+F422)^(I422-O422)-1)/F422+IF((I422-O422)&gt;1,((IF(DAY(E422+1)=1,EOMONTH(E422,(N422-1)*D422),EDATE(E422,(N422-1)*D422))-AsAt)/365.25-(IF(DAY(E422+1)=1,EOMONTH(E422,H422*D422),EDATE(E422,H422*D422))-AsAt)/365.25)/((I422-O422)-1),0)*(1+F422)*(1-(I422-O422)*(1+F422)^((I422-O422)-1)+((I422-O422)-1)*(1+F422)^(I422-O422))/F422^2)+O422*(K422-L422*F422)*(1+F422)^(I422-1)*('Deal maths'!AA422-AsAt)/365.25)/L422,((I422-O422)*((IF(DAY(E422+1)=1,EOMONTH(E422,H422*D422),EDATE(E422,H422*D422))-AsAt)/365.25+(IF(DAY(E422+1)=1,EOMONTH(E422,(N422-1)*D422),EDATE(E422,(N422-1)*D422))-AsAt)/365.25)/2+O422*('Deal maths'!AA422-AsAt)/365.25)/I422),(S422-AsAt)/365.25)),0))</f>
        <v/>
      </c>
      <c r="Q422" s="109">
        <f>IF(B422=1,'Deal maths'!AA422+ROW()/1000000,"")</f>
        <v/>
      </c>
      <c r="R422" s="108">
        <f>IF(D422=0,0,IF(DAY(E422+1)=1,31,DAY(E422)))</f>
        <v/>
      </c>
      <c r="S422" s="109">
        <f>IF(AND('Deal maths'!V422="LOBO",'Deal maths'!AG422&gt;AsAt,'Deal maths'!AG422&lt;'Deal maths'!AA422),'Deal maths'!AG422,'Deal maths'!AA422)</f>
        <v/>
      </c>
      <c r="T422" s="108">
        <f>('Deal maths'!AA422&gt;AsAt)*('Deal maths'!Y422&gt;0)</f>
        <v/>
      </c>
    </row>
    <row r="423">
      <c r="A423" s="91">
        <f>IF('Deal maths'!V423="","",'Deal maths'!W423)</f>
        <v/>
      </c>
      <c r="B423" s="108">
        <f>('Deal maths'!AA423&gt;AsAt)*('Deal maths'!Y423&gt;0)*('Deal maths'!Z423&lt;=AsAt)</f>
        <v/>
      </c>
      <c r="C423" s="91">
        <f>IF('Deal maths'!V423="","",IF('Deal maths'!AC423="","Maturity",'Deal maths'!AC423))</f>
        <v/>
      </c>
      <c r="D423" s="108">
        <f>IF(OR(C423="EIP",C423="Annuity"),IF('Deal maths'!AD423="Annual",12,IF('Deal maths'!AD423="Quarterly",3,6)),0)</f>
        <v/>
      </c>
      <c r="E423" s="109">
        <f>IFERROR(IF(D423=0,0,IF('Deal maths'!AE423&gt;0,IF('Deal maths'!AE423&gt;'Deal maths'!AA423,'Deal maths'!AA423,'Deal maths'!AE423),IF(IF(DAY('Deal maths'!AA423+1)=1,EOMONTH('Deal maths'!AA423,-(INT(((YEAR('Deal maths'!AA423)-YEAR(IF('Deal maths'!Z423&gt;0,'Deal maths'!Z423,DATE(1990,1,1))))*12+MONTH('Deal maths'!AA423)-MONTH(IF('Deal maths'!Z423&gt;0,'Deal maths'!Z423,DATE(1990,1,1))))/D423))*D423),EDATE('Deal maths'!AA423,-(INT(((YEAR('Deal maths'!AA423)-YEAR(IF('Deal maths'!Z423&gt;0,'Deal maths'!Z423,DATE(1990,1,1))))*12+MONTH('Deal maths'!AA423)-MONTH(IF('Deal maths'!Z423&gt;0,'Deal maths'!Z423,DATE(1990,1,1))))/D423))*D423))&gt;IF('Deal maths'!Z423&gt;0,'Deal maths'!Z423,DATE(1990,1,1)),IF(DAY('Deal maths'!AA423+1)=1,EOMONTH('Deal maths'!AA423,-(INT(((YEAR('Deal maths'!AA423)-YEAR(IF('Deal maths'!Z423&gt;0,'Deal maths'!Z423,DATE(1990,1,1))))*12+MONTH('Deal maths'!AA423)-MONTH(IF('Deal maths'!Z423&gt;0,'Deal maths'!Z423,DATE(1990,1,1))))/D423))*D423),EDATE('Deal maths'!AA423,-(INT(((YEAR('Deal maths'!AA423)-YEAR(IF('Deal maths'!Z423&gt;0,'Deal maths'!Z423,DATE(1990,1,1))))*12+MONTH('Deal maths'!AA423)-MONTH(IF('Deal maths'!Z423&gt;0,'Deal maths'!Z423,DATE(1990,1,1))))/D423))*D423)),IF(DAY('Deal maths'!AA423+1)=1,EOMONTH('Deal maths'!AA423,-(INT(((YEAR('Deal maths'!AA423)-YEAR(IF('Deal maths'!Z423&gt;0,'Deal maths'!Z423,DATE(1990,1,1))))*12+MONTH('Deal maths'!AA423)-MONTH(IF('Deal maths'!Z423&gt;0,'Deal maths'!Z423,DATE(1990,1,1))))/D423)-1)*D423),EDATE('Deal maths'!AA423,-(INT(((YEAR('Deal maths'!AA423)-YEAR(IF('Deal maths'!Z423&gt;0,'Deal maths'!Z423,DATE(1990,1,1))))*12+MONTH('Deal maths'!AA423)-MONTH(IF('Deal maths'!Z423&gt;0,'Deal maths'!Z423,DATE(1990,1,1))))/D423)-1)*D423))))),0)</f>
        <v/>
      </c>
      <c r="F423" s="110">
        <f>IF(D423=0,0,'Deal maths'!AB423*D423/12)</f>
        <v/>
      </c>
      <c r="G423" s="108">
        <f>N423+O423</f>
        <v/>
      </c>
      <c r="H423" s="108">
        <f>IFERROR(IF(OR(D423=0,AsAt&lt;E423),0,MIN(N423,INT(((YEAR(AsAt)-YEAR(E423))*12+MONTH(AsAt)-MONTH(E423)-(DAY(AsAt)&lt;MIN(R423,DAY(EOMONTH(AsAt,0)))))/D423)+1)+O423*(AsAt&gt;='Deal maths'!AA423)),0)</f>
        <v/>
      </c>
      <c r="I423" s="108">
        <f>G423-H423</f>
        <v/>
      </c>
      <c r="J423" s="111">
        <f>IF(AND(C423="EIP",I423&gt;0),'Deal maths'!Y423/I423,0)</f>
        <v/>
      </c>
      <c r="K423" s="111">
        <f>IF(AND(C423="Annuity",I423&gt;0),IF(F423&gt;0,'Deal maths'!Y423*F423/(1-(1+F423)^-I423),'Deal maths'!Y423/I423),0)</f>
        <v/>
      </c>
      <c r="L423" s="111">
        <f>IF('Deal maths'!Y423="",0,'Deal maths'!Y423)</f>
        <v/>
      </c>
      <c r="M423" s="112">
        <f>F423+(F423=0)</f>
        <v/>
      </c>
      <c r="N423" s="108">
        <f>IFERROR(IF(D423=0,0,INT(((YEAR('Deal maths'!AA423)-YEAR(E423))*12+MONTH('Deal maths'!AA423)-MONTH(E423)-(DAY('Deal maths'!AA423)&lt;MIN(R423,DAY(EOMONTH('Deal maths'!AA423,0)))))/D423)+1),0)</f>
        <v/>
      </c>
      <c r="O423" s="108">
        <f>IFERROR(IF(D423=0,0,IF(IF(DAY(E423+1)=1,EOMONTH(E423,(N423-1)*D423),EDATE(E423,(N423-1)*D423))='Deal maths'!AA423,0,1)),0)</f>
        <v/>
      </c>
      <c r="P423" s="113">
        <f>IF(B423=0,0,IFERROR(IF(C423="EIP",((I423-O423)*((IF(DAY(E423+1)=1,EOMONTH(E423,H423*D423),EDATE(E423,H423*D423))-AsAt)/365.25+(IF(DAY(E423+1)=1,EOMONTH(E423,(N423-1)*D423),EDATE(E423,(N423-1)*D423))-AsAt)/365.25)/2+O423*('Deal maths'!AA423-AsAt)/365.25)/I423,IF(C423="Annuity",IF(F423&gt;0,((K423-L423*F423)*((IF(DAY(E423+1)=1,EOMONTH(E423,H423*D423),EDATE(E423,H423*D423))-AsAt)/365.25*((1+F423)^(I423-O423)-1)/F423+IF((I423-O423)&gt;1,((IF(DAY(E423+1)=1,EOMONTH(E423,(N423-1)*D423),EDATE(E423,(N423-1)*D423))-AsAt)/365.25-(IF(DAY(E423+1)=1,EOMONTH(E423,H423*D423),EDATE(E423,H423*D423))-AsAt)/365.25)/((I423-O423)-1),0)*(1+F423)*(1-(I423-O423)*(1+F423)^((I423-O423)-1)+((I423-O423)-1)*(1+F423)^(I423-O423))/F423^2)+O423*(K423-L423*F423)*(1+F423)^(I423-1)*('Deal maths'!AA423-AsAt)/365.25)/L423,((I423-O423)*((IF(DAY(E423+1)=1,EOMONTH(E423,H423*D423),EDATE(E423,H423*D423))-AsAt)/365.25+(IF(DAY(E423+1)=1,EOMONTH(E423,(N423-1)*D423),EDATE(E423,(N423-1)*D423))-AsAt)/365.25)/2+O423*('Deal maths'!AA423-AsAt)/365.25)/I423),(S423-AsAt)/365.25)),0))</f>
        <v/>
      </c>
      <c r="Q423" s="109">
        <f>IF(B423=1,'Deal maths'!AA423+ROW()/1000000,"")</f>
        <v/>
      </c>
      <c r="R423" s="108">
        <f>IF(D423=0,0,IF(DAY(E423+1)=1,31,DAY(E423)))</f>
        <v/>
      </c>
      <c r="S423" s="109">
        <f>IF(AND('Deal maths'!V423="LOBO",'Deal maths'!AG423&gt;AsAt,'Deal maths'!AG423&lt;'Deal maths'!AA423),'Deal maths'!AG423,'Deal maths'!AA423)</f>
        <v/>
      </c>
      <c r="T423" s="108">
        <f>('Deal maths'!AA423&gt;AsAt)*('Deal maths'!Y423&gt;0)</f>
        <v/>
      </c>
    </row>
    <row r="424">
      <c r="A424" s="91">
        <f>IF('Deal maths'!V424="","",'Deal maths'!W424)</f>
        <v/>
      </c>
      <c r="B424" s="108">
        <f>('Deal maths'!AA424&gt;AsAt)*('Deal maths'!Y424&gt;0)*('Deal maths'!Z424&lt;=AsAt)</f>
        <v/>
      </c>
      <c r="C424" s="91">
        <f>IF('Deal maths'!V424="","",IF('Deal maths'!AC424="","Maturity",'Deal maths'!AC424))</f>
        <v/>
      </c>
      <c r="D424" s="108">
        <f>IF(OR(C424="EIP",C424="Annuity"),IF('Deal maths'!AD424="Annual",12,IF('Deal maths'!AD424="Quarterly",3,6)),0)</f>
        <v/>
      </c>
      <c r="E424" s="109">
        <f>IFERROR(IF(D424=0,0,IF('Deal maths'!AE424&gt;0,IF('Deal maths'!AE424&gt;'Deal maths'!AA424,'Deal maths'!AA424,'Deal maths'!AE424),IF(IF(DAY('Deal maths'!AA424+1)=1,EOMONTH('Deal maths'!AA424,-(INT(((YEAR('Deal maths'!AA424)-YEAR(IF('Deal maths'!Z424&gt;0,'Deal maths'!Z424,DATE(1990,1,1))))*12+MONTH('Deal maths'!AA424)-MONTH(IF('Deal maths'!Z424&gt;0,'Deal maths'!Z424,DATE(1990,1,1))))/D424))*D424),EDATE('Deal maths'!AA424,-(INT(((YEAR('Deal maths'!AA424)-YEAR(IF('Deal maths'!Z424&gt;0,'Deal maths'!Z424,DATE(1990,1,1))))*12+MONTH('Deal maths'!AA424)-MONTH(IF('Deal maths'!Z424&gt;0,'Deal maths'!Z424,DATE(1990,1,1))))/D424))*D424))&gt;IF('Deal maths'!Z424&gt;0,'Deal maths'!Z424,DATE(1990,1,1)),IF(DAY('Deal maths'!AA424+1)=1,EOMONTH('Deal maths'!AA424,-(INT(((YEAR('Deal maths'!AA424)-YEAR(IF('Deal maths'!Z424&gt;0,'Deal maths'!Z424,DATE(1990,1,1))))*12+MONTH('Deal maths'!AA424)-MONTH(IF('Deal maths'!Z424&gt;0,'Deal maths'!Z424,DATE(1990,1,1))))/D424))*D424),EDATE('Deal maths'!AA424,-(INT(((YEAR('Deal maths'!AA424)-YEAR(IF('Deal maths'!Z424&gt;0,'Deal maths'!Z424,DATE(1990,1,1))))*12+MONTH('Deal maths'!AA424)-MONTH(IF('Deal maths'!Z424&gt;0,'Deal maths'!Z424,DATE(1990,1,1))))/D424))*D424)),IF(DAY('Deal maths'!AA424+1)=1,EOMONTH('Deal maths'!AA424,-(INT(((YEAR('Deal maths'!AA424)-YEAR(IF('Deal maths'!Z424&gt;0,'Deal maths'!Z424,DATE(1990,1,1))))*12+MONTH('Deal maths'!AA424)-MONTH(IF('Deal maths'!Z424&gt;0,'Deal maths'!Z424,DATE(1990,1,1))))/D424)-1)*D424),EDATE('Deal maths'!AA424,-(INT(((YEAR('Deal maths'!AA424)-YEAR(IF('Deal maths'!Z424&gt;0,'Deal maths'!Z424,DATE(1990,1,1))))*12+MONTH('Deal maths'!AA424)-MONTH(IF('Deal maths'!Z424&gt;0,'Deal maths'!Z424,DATE(1990,1,1))))/D424)-1)*D424))))),0)</f>
        <v/>
      </c>
      <c r="F424" s="110">
        <f>IF(D424=0,0,'Deal maths'!AB424*D424/12)</f>
        <v/>
      </c>
      <c r="G424" s="108">
        <f>N424+O424</f>
        <v/>
      </c>
      <c r="H424" s="108">
        <f>IFERROR(IF(OR(D424=0,AsAt&lt;E424),0,MIN(N424,INT(((YEAR(AsAt)-YEAR(E424))*12+MONTH(AsAt)-MONTH(E424)-(DAY(AsAt)&lt;MIN(R424,DAY(EOMONTH(AsAt,0)))))/D424)+1)+O424*(AsAt&gt;='Deal maths'!AA424)),0)</f>
        <v/>
      </c>
      <c r="I424" s="108">
        <f>G424-H424</f>
        <v/>
      </c>
      <c r="J424" s="111">
        <f>IF(AND(C424="EIP",I424&gt;0),'Deal maths'!Y424/I424,0)</f>
        <v/>
      </c>
      <c r="K424" s="111">
        <f>IF(AND(C424="Annuity",I424&gt;0),IF(F424&gt;0,'Deal maths'!Y424*F424/(1-(1+F424)^-I424),'Deal maths'!Y424/I424),0)</f>
        <v/>
      </c>
      <c r="L424" s="111">
        <f>IF('Deal maths'!Y424="",0,'Deal maths'!Y424)</f>
        <v/>
      </c>
      <c r="M424" s="112">
        <f>F424+(F424=0)</f>
        <v/>
      </c>
      <c r="N424" s="108">
        <f>IFERROR(IF(D424=0,0,INT(((YEAR('Deal maths'!AA424)-YEAR(E424))*12+MONTH('Deal maths'!AA424)-MONTH(E424)-(DAY('Deal maths'!AA424)&lt;MIN(R424,DAY(EOMONTH('Deal maths'!AA424,0)))))/D424)+1),0)</f>
        <v/>
      </c>
      <c r="O424" s="108">
        <f>IFERROR(IF(D424=0,0,IF(IF(DAY(E424+1)=1,EOMONTH(E424,(N424-1)*D424),EDATE(E424,(N424-1)*D424))='Deal maths'!AA424,0,1)),0)</f>
        <v/>
      </c>
      <c r="P424" s="113">
        <f>IF(B424=0,0,IFERROR(IF(C424="EIP",((I424-O424)*((IF(DAY(E424+1)=1,EOMONTH(E424,H424*D424),EDATE(E424,H424*D424))-AsAt)/365.25+(IF(DAY(E424+1)=1,EOMONTH(E424,(N424-1)*D424),EDATE(E424,(N424-1)*D424))-AsAt)/365.25)/2+O424*('Deal maths'!AA424-AsAt)/365.25)/I424,IF(C424="Annuity",IF(F424&gt;0,((K424-L424*F424)*((IF(DAY(E424+1)=1,EOMONTH(E424,H424*D424),EDATE(E424,H424*D424))-AsAt)/365.25*((1+F424)^(I424-O424)-1)/F424+IF((I424-O424)&gt;1,((IF(DAY(E424+1)=1,EOMONTH(E424,(N424-1)*D424),EDATE(E424,(N424-1)*D424))-AsAt)/365.25-(IF(DAY(E424+1)=1,EOMONTH(E424,H424*D424),EDATE(E424,H424*D424))-AsAt)/365.25)/((I424-O424)-1),0)*(1+F424)*(1-(I424-O424)*(1+F424)^((I424-O424)-1)+((I424-O424)-1)*(1+F424)^(I424-O424))/F424^2)+O424*(K424-L424*F424)*(1+F424)^(I424-1)*('Deal maths'!AA424-AsAt)/365.25)/L424,((I424-O424)*((IF(DAY(E424+1)=1,EOMONTH(E424,H424*D424),EDATE(E424,H424*D424))-AsAt)/365.25+(IF(DAY(E424+1)=1,EOMONTH(E424,(N424-1)*D424),EDATE(E424,(N424-1)*D424))-AsAt)/365.25)/2+O424*('Deal maths'!AA424-AsAt)/365.25)/I424),(S424-AsAt)/365.25)),0))</f>
        <v/>
      </c>
      <c r="Q424" s="109">
        <f>IF(B424=1,'Deal maths'!AA424+ROW()/1000000,"")</f>
        <v/>
      </c>
      <c r="R424" s="108">
        <f>IF(D424=0,0,IF(DAY(E424+1)=1,31,DAY(E424)))</f>
        <v/>
      </c>
      <c r="S424" s="109">
        <f>IF(AND('Deal maths'!V424="LOBO",'Deal maths'!AG424&gt;AsAt,'Deal maths'!AG424&lt;'Deal maths'!AA424),'Deal maths'!AG424,'Deal maths'!AA424)</f>
        <v/>
      </c>
      <c r="T424" s="108">
        <f>('Deal maths'!AA424&gt;AsAt)*('Deal maths'!Y424&gt;0)</f>
        <v/>
      </c>
    </row>
    <row r="425">
      <c r="A425" s="91">
        <f>IF('Deal maths'!V425="","",'Deal maths'!W425)</f>
        <v/>
      </c>
      <c r="B425" s="108">
        <f>('Deal maths'!AA425&gt;AsAt)*('Deal maths'!Y425&gt;0)*('Deal maths'!Z425&lt;=AsAt)</f>
        <v/>
      </c>
      <c r="C425" s="91">
        <f>IF('Deal maths'!V425="","",IF('Deal maths'!AC425="","Maturity",'Deal maths'!AC425))</f>
        <v/>
      </c>
      <c r="D425" s="108">
        <f>IF(OR(C425="EIP",C425="Annuity"),IF('Deal maths'!AD425="Annual",12,IF('Deal maths'!AD425="Quarterly",3,6)),0)</f>
        <v/>
      </c>
      <c r="E425" s="109">
        <f>IFERROR(IF(D425=0,0,IF('Deal maths'!AE425&gt;0,IF('Deal maths'!AE425&gt;'Deal maths'!AA425,'Deal maths'!AA425,'Deal maths'!AE425),IF(IF(DAY('Deal maths'!AA425+1)=1,EOMONTH('Deal maths'!AA425,-(INT(((YEAR('Deal maths'!AA425)-YEAR(IF('Deal maths'!Z425&gt;0,'Deal maths'!Z425,DATE(1990,1,1))))*12+MONTH('Deal maths'!AA425)-MONTH(IF('Deal maths'!Z425&gt;0,'Deal maths'!Z425,DATE(1990,1,1))))/D425))*D425),EDATE('Deal maths'!AA425,-(INT(((YEAR('Deal maths'!AA425)-YEAR(IF('Deal maths'!Z425&gt;0,'Deal maths'!Z425,DATE(1990,1,1))))*12+MONTH('Deal maths'!AA425)-MONTH(IF('Deal maths'!Z425&gt;0,'Deal maths'!Z425,DATE(1990,1,1))))/D425))*D425))&gt;IF('Deal maths'!Z425&gt;0,'Deal maths'!Z425,DATE(1990,1,1)),IF(DAY('Deal maths'!AA425+1)=1,EOMONTH('Deal maths'!AA425,-(INT(((YEAR('Deal maths'!AA425)-YEAR(IF('Deal maths'!Z425&gt;0,'Deal maths'!Z425,DATE(1990,1,1))))*12+MONTH('Deal maths'!AA425)-MONTH(IF('Deal maths'!Z425&gt;0,'Deal maths'!Z425,DATE(1990,1,1))))/D425))*D425),EDATE('Deal maths'!AA425,-(INT(((YEAR('Deal maths'!AA425)-YEAR(IF('Deal maths'!Z425&gt;0,'Deal maths'!Z425,DATE(1990,1,1))))*12+MONTH('Deal maths'!AA425)-MONTH(IF('Deal maths'!Z425&gt;0,'Deal maths'!Z425,DATE(1990,1,1))))/D425))*D425)),IF(DAY('Deal maths'!AA425+1)=1,EOMONTH('Deal maths'!AA425,-(INT(((YEAR('Deal maths'!AA425)-YEAR(IF('Deal maths'!Z425&gt;0,'Deal maths'!Z425,DATE(1990,1,1))))*12+MONTH('Deal maths'!AA425)-MONTH(IF('Deal maths'!Z425&gt;0,'Deal maths'!Z425,DATE(1990,1,1))))/D425)-1)*D425),EDATE('Deal maths'!AA425,-(INT(((YEAR('Deal maths'!AA425)-YEAR(IF('Deal maths'!Z425&gt;0,'Deal maths'!Z425,DATE(1990,1,1))))*12+MONTH('Deal maths'!AA425)-MONTH(IF('Deal maths'!Z425&gt;0,'Deal maths'!Z425,DATE(1990,1,1))))/D425)-1)*D425))))),0)</f>
        <v/>
      </c>
      <c r="F425" s="110">
        <f>IF(D425=0,0,'Deal maths'!AB425*D425/12)</f>
        <v/>
      </c>
      <c r="G425" s="108">
        <f>N425+O425</f>
        <v/>
      </c>
      <c r="H425" s="108">
        <f>IFERROR(IF(OR(D425=0,AsAt&lt;E425),0,MIN(N425,INT(((YEAR(AsAt)-YEAR(E425))*12+MONTH(AsAt)-MONTH(E425)-(DAY(AsAt)&lt;MIN(R425,DAY(EOMONTH(AsAt,0)))))/D425)+1)+O425*(AsAt&gt;='Deal maths'!AA425)),0)</f>
        <v/>
      </c>
      <c r="I425" s="108">
        <f>G425-H425</f>
        <v/>
      </c>
      <c r="J425" s="111">
        <f>IF(AND(C425="EIP",I425&gt;0),'Deal maths'!Y425/I425,0)</f>
        <v/>
      </c>
      <c r="K425" s="111">
        <f>IF(AND(C425="Annuity",I425&gt;0),IF(F425&gt;0,'Deal maths'!Y425*F425/(1-(1+F425)^-I425),'Deal maths'!Y425/I425),0)</f>
        <v/>
      </c>
      <c r="L425" s="111">
        <f>IF('Deal maths'!Y425="",0,'Deal maths'!Y425)</f>
        <v/>
      </c>
      <c r="M425" s="112">
        <f>F425+(F425=0)</f>
        <v/>
      </c>
      <c r="N425" s="108">
        <f>IFERROR(IF(D425=0,0,INT(((YEAR('Deal maths'!AA425)-YEAR(E425))*12+MONTH('Deal maths'!AA425)-MONTH(E425)-(DAY('Deal maths'!AA425)&lt;MIN(R425,DAY(EOMONTH('Deal maths'!AA425,0)))))/D425)+1),0)</f>
        <v/>
      </c>
      <c r="O425" s="108">
        <f>IFERROR(IF(D425=0,0,IF(IF(DAY(E425+1)=1,EOMONTH(E425,(N425-1)*D425),EDATE(E425,(N425-1)*D425))='Deal maths'!AA425,0,1)),0)</f>
        <v/>
      </c>
      <c r="P425" s="113">
        <f>IF(B425=0,0,IFERROR(IF(C425="EIP",((I425-O425)*((IF(DAY(E425+1)=1,EOMONTH(E425,H425*D425),EDATE(E425,H425*D425))-AsAt)/365.25+(IF(DAY(E425+1)=1,EOMONTH(E425,(N425-1)*D425),EDATE(E425,(N425-1)*D425))-AsAt)/365.25)/2+O425*('Deal maths'!AA425-AsAt)/365.25)/I425,IF(C425="Annuity",IF(F425&gt;0,((K425-L425*F425)*((IF(DAY(E425+1)=1,EOMONTH(E425,H425*D425),EDATE(E425,H425*D425))-AsAt)/365.25*((1+F425)^(I425-O425)-1)/F425+IF((I425-O425)&gt;1,((IF(DAY(E425+1)=1,EOMONTH(E425,(N425-1)*D425),EDATE(E425,(N425-1)*D425))-AsAt)/365.25-(IF(DAY(E425+1)=1,EOMONTH(E425,H425*D425),EDATE(E425,H425*D425))-AsAt)/365.25)/((I425-O425)-1),0)*(1+F425)*(1-(I425-O425)*(1+F425)^((I425-O425)-1)+((I425-O425)-1)*(1+F425)^(I425-O425))/F425^2)+O425*(K425-L425*F425)*(1+F425)^(I425-1)*('Deal maths'!AA425-AsAt)/365.25)/L425,((I425-O425)*((IF(DAY(E425+1)=1,EOMONTH(E425,H425*D425),EDATE(E425,H425*D425))-AsAt)/365.25+(IF(DAY(E425+1)=1,EOMONTH(E425,(N425-1)*D425),EDATE(E425,(N425-1)*D425))-AsAt)/365.25)/2+O425*('Deal maths'!AA425-AsAt)/365.25)/I425),(S425-AsAt)/365.25)),0))</f>
        <v/>
      </c>
      <c r="Q425" s="109">
        <f>IF(B425=1,'Deal maths'!AA425+ROW()/1000000,"")</f>
        <v/>
      </c>
      <c r="R425" s="108">
        <f>IF(D425=0,0,IF(DAY(E425+1)=1,31,DAY(E425)))</f>
        <v/>
      </c>
      <c r="S425" s="109">
        <f>IF(AND('Deal maths'!V425="LOBO",'Deal maths'!AG425&gt;AsAt,'Deal maths'!AG425&lt;'Deal maths'!AA425),'Deal maths'!AG425,'Deal maths'!AA425)</f>
        <v/>
      </c>
      <c r="T425" s="108">
        <f>('Deal maths'!AA425&gt;AsAt)*('Deal maths'!Y425&gt;0)</f>
        <v/>
      </c>
    </row>
    <row r="426">
      <c r="A426" s="91">
        <f>IF('Deal maths'!V426="","",'Deal maths'!W426)</f>
        <v/>
      </c>
      <c r="B426" s="108">
        <f>('Deal maths'!AA426&gt;AsAt)*('Deal maths'!Y426&gt;0)*('Deal maths'!Z426&lt;=AsAt)</f>
        <v/>
      </c>
      <c r="C426" s="91">
        <f>IF('Deal maths'!V426="","",IF('Deal maths'!AC426="","Maturity",'Deal maths'!AC426))</f>
        <v/>
      </c>
      <c r="D426" s="108">
        <f>IF(OR(C426="EIP",C426="Annuity"),IF('Deal maths'!AD426="Annual",12,IF('Deal maths'!AD426="Quarterly",3,6)),0)</f>
        <v/>
      </c>
      <c r="E426" s="109">
        <f>IFERROR(IF(D426=0,0,IF('Deal maths'!AE426&gt;0,IF('Deal maths'!AE426&gt;'Deal maths'!AA426,'Deal maths'!AA426,'Deal maths'!AE426),IF(IF(DAY('Deal maths'!AA426+1)=1,EOMONTH('Deal maths'!AA426,-(INT(((YEAR('Deal maths'!AA426)-YEAR(IF('Deal maths'!Z426&gt;0,'Deal maths'!Z426,DATE(1990,1,1))))*12+MONTH('Deal maths'!AA426)-MONTH(IF('Deal maths'!Z426&gt;0,'Deal maths'!Z426,DATE(1990,1,1))))/D426))*D426),EDATE('Deal maths'!AA426,-(INT(((YEAR('Deal maths'!AA426)-YEAR(IF('Deal maths'!Z426&gt;0,'Deal maths'!Z426,DATE(1990,1,1))))*12+MONTH('Deal maths'!AA426)-MONTH(IF('Deal maths'!Z426&gt;0,'Deal maths'!Z426,DATE(1990,1,1))))/D426))*D426))&gt;IF('Deal maths'!Z426&gt;0,'Deal maths'!Z426,DATE(1990,1,1)),IF(DAY('Deal maths'!AA426+1)=1,EOMONTH('Deal maths'!AA426,-(INT(((YEAR('Deal maths'!AA426)-YEAR(IF('Deal maths'!Z426&gt;0,'Deal maths'!Z426,DATE(1990,1,1))))*12+MONTH('Deal maths'!AA426)-MONTH(IF('Deal maths'!Z426&gt;0,'Deal maths'!Z426,DATE(1990,1,1))))/D426))*D426),EDATE('Deal maths'!AA426,-(INT(((YEAR('Deal maths'!AA426)-YEAR(IF('Deal maths'!Z426&gt;0,'Deal maths'!Z426,DATE(1990,1,1))))*12+MONTH('Deal maths'!AA426)-MONTH(IF('Deal maths'!Z426&gt;0,'Deal maths'!Z426,DATE(1990,1,1))))/D426))*D426)),IF(DAY('Deal maths'!AA426+1)=1,EOMONTH('Deal maths'!AA426,-(INT(((YEAR('Deal maths'!AA426)-YEAR(IF('Deal maths'!Z426&gt;0,'Deal maths'!Z426,DATE(1990,1,1))))*12+MONTH('Deal maths'!AA426)-MONTH(IF('Deal maths'!Z426&gt;0,'Deal maths'!Z426,DATE(1990,1,1))))/D426)-1)*D426),EDATE('Deal maths'!AA426,-(INT(((YEAR('Deal maths'!AA426)-YEAR(IF('Deal maths'!Z426&gt;0,'Deal maths'!Z426,DATE(1990,1,1))))*12+MONTH('Deal maths'!AA426)-MONTH(IF('Deal maths'!Z426&gt;0,'Deal maths'!Z426,DATE(1990,1,1))))/D426)-1)*D426))))),0)</f>
        <v/>
      </c>
      <c r="F426" s="110">
        <f>IF(D426=0,0,'Deal maths'!AB426*D426/12)</f>
        <v/>
      </c>
      <c r="G426" s="108">
        <f>N426+O426</f>
        <v/>
      </c>
      <c r="H426" s="108">
        <f>IFERROR(IF(OR(D426=0,AsAt&lt;E426),0,MIN(N426,INT(((YEAR(AsAt)-YEAR(E426))*12+MONTH(AsAt)-MONTH(E426)-(DAY(AsAt)&lt;MIN(R426,DAY(EOMONTH(AsAt,0)))))/D426)+1)+O426*(AsAt&gt;='Deal maths'!AA426)),0)</f>
        <v/>
      </c>
      <c r="I426" s="108">
        <f>G426-H426</f>
        <v/>
      </c>
      <c r="J426" s="111">
        <f>IF(AND(C426="EIP",I426&gt;0),'Deal maths'!Y426/I426,0)</f>
        <v/>
      </c>
      <c r="K426" s="111">
        <f>IF(AND(C426="Annuity",I426&gt;0),IF(F426&gt;0,'Deal maths'!Y426*F426/(1-(1+F426)^-I426),'Deal maths'!Y426/I426),0)</f>
        <v/>
      </c>
      <c r="L426" s="111">
        <f>IF('Deal maths'!Y426="",0,'Deal maths'!Y426)</f>
        <v/>
      </c>
      <c r="M426" s="112">
        <f>F426+(F426=0)</f>
        <v/>
      </c>
      <c r="N426" s="108">
        <f>IFERROR(IF(D426=0,0,INT(((YEAR('Deal maths'!AA426)-YEAR(E426))*12+MONTH('Deal maths'!AA426)-MONTH(E426)-(DAY('Deal maths'!AA426)&lt;MIN(R426,DAY(EOMONTH('Deal maths'!AA426,0)))))/D426)+1),0)</f>
        <v/>
      </c>
      <c r="O426" s="108">
        <f>IFERROR(IF(D426=0,0,IF(IF(DAY(E426+1)=1,EOMONTH(E426,(N426-1)*D426),EDATE(E426,(N426-1)*D426))='Deal maths'!AA426,0,1)),0)</f>
        <v/>
      </c>
      <c r="P426" s="113">
        <f>IF(B426=0,0,IFERROR(IF(C426="EIP",((I426-O426)*((IF(DAY(E426+1)=1,EOMONTH(E426,H426*D426),EDATE(E426,H426*D426))-AsAt)/365.25+(IF(DAY(E426+1)=1,EOMONTH(E426,(N426-1)*D426),EDATE(E426,(N426-1)*D426))-AsAt)/365.25)/2+O426*('Deal maths'!AA426-AsAt)/365.25)/I426,IF(C426="Annuity",IF(F426&gt;0,((K426-L426*F426)*((IF(DAY(E426+1)=1,EOMONTH(E426,H426*D426),EDATE(E426,H426*D426))-AsAt)/365.25*((1+F426)^(I426-O426)-1)/F426+IF((I426-O426)&gt;1,((IF(DAY(E426+1)=1,EOMONTH(E426,(N426-1)*D426),EDATE(E426,(N426-1)*D426))-AsAt)/365.25-(IF(DAY(E426+1)=1,EOMONTH(E426,H426*D426),EDATE(E426,H426*D426))-AsAt)/365.25)/((I426-O426)-1),0)*(1+F426)*(1-(I426-O426)*(1+F426)^((I426-O426)-1)+((I426-O426)-1)*(1+F426)^(I426-O426))/F426^2)+O426*(K426-L426*F426)*(1+F426)^(I426-1)*('Deal maths'!AA426-AsAt)/365.25)/L426,((I426-O426)*((IF(DAY(E426+1)=1,EOMONTH(E426,H426*D426),EDATE(E426,H426*D426))-AsAt)/365.25+(IF(DAY(E426+1)=1,EOMONTH(E426,(N426-1)*D426),EDATE(E426,(N426-1)*D426))-AsAt)/365.25)/2+O426*('Deal maths'!AA426-AsAt)/365.25)/I426),(S426-AsAt)/365.25)),0))</f>
        <v/>
      </c>
      <c r="Q426" s="109">
        <f>IF(B426=1,'Deal maths'!AA426+ROW()/1000000,"")</f>
        <v/>
      </c>
      <c r="R426" s="108">
        <f>IF(D426=0,0,IF(DAY(E426+1)=1,31,DAY(E426)))</f>
        <v/>
      </c>
      <c r="S426" s="109">
        <f>IF(AND('Deal maths'!V426="LOBO",'Deal maths'!AG426&gt;AsAt,'Deal maths'!AG426&lt;'Deal maths'!AA426),'Deal maths'!AG426,'Deal maths'!AA426)</f>
        <v/>
      </c>
      <c r="T426" s="108">
        <f>('Deal maths'!AA426&gt;AsAt)*('Deal maths'!Y426&gt;0)</f>
        <v/>
      </c>
    </row>
    <row r="427">
      <c r="A427" s="91">
        <f>IF('Deal maths'!V427="","",'Deal maths'!W427)</f>
        <v/>
      </c>
      <c r="B427" s="108">
        <f>('Deal maths'!AA427&gt;AsAt)*('Deal maths'!Y427&gt;0)*('Deal maths'!Z427&lt;=AsAt)</f>
        <v/>
      </c>
      <c r="C427" s="91">
        <f>IF('Deal maths'!V427="","",IF('Deal maths'!AC427="","Maturity",'Deal maths'!AC427))</f>
        <v/>
      </c>
      <c r="D427" s="108">
        <f>IF(OR(C427="EIP",C427="Annuity"),IF('Deal maths'!AD427="Annual",12,IF('Deal maths'!AD427="Quarterly",3,6)),0)</f>
        <v/>
      </c>
      <c r="E427" s="109">
        <f>IFERROR(IF(D427=0,0,IF('Deal maths'!AE427&gt;0,IF('Deal maths'!AE427&gt;'Deal maths'!AA427,'Deal maths'!AA427,'Deal maths'!AE427),IF(IF(DAY('Deal maths'!AA427+1)=1,EOMONTH('Deal maths'!AA427,-(INT(((YEAR('Deal maths'!AA427)-YEAR(IF('Deal maths'!Z427&gt;0,'Deal maths'!Z427,DATE(1990,1,1))))*12+MONTH('Deal maths'!AA427)-MONTH(IF('Deal maths'!Z427&gt;0,'Deal maths'!Z427,DATE(1990,1,1))))/D427))*D427),EDATE('Deal maths'!AA427,-(INT(((YEAR('Deal maths'!AA427)-YEAR(IF('Deal maths'!Z427&gt;0,'Deal maths'!Z427,DATE(1990,1,1))))*12+MONTH('Deal maths'!AA427)-MONTH(IF('Deal maths'!Z427&gt;0,'Deal maths'!Z427,DATE(1990,1,1))))/D427))*D427))&gt;IF('Deal maths'!Z427&gt;0,'Deal maths'!Z427,DATE(1990,1,1)),IF(DAY('Deal maths'!AA427+1)=1,EOMONTH('Deal maths'!AA427,-(INT(((YEAR('Deal maths'!AA427)-YEAR(IF('Deal maths'!Z427&gt;0,'Deal maths'!Z427,DATE(1990,1,1))))*12+MONTH('Deal maths'!AA427)-MONTH(IF('Deal maths'!Z427&gt;0,'Deal maths'!Z427,DATE(1990,1,1))))/D427))*D427),EDATE('Deal maths'!AA427,-(INT(((YEAR('Deal maths'!AA427)-YEAR(IF('Deal maths'!Z427&gt;0,'Deal maths'!Z427,DATE(1990,1,1))))*12+MONTH('Deal maths'!AA427)-MONTH(IF('Deal maths'!Z427&gt;0,'Deal maths'!Z427,DATE(1990,1,1))))/D427))*D427)),IF(DAY('Deal maths'!AA427+1)=1,EOMONTH('Deal maths'!AA427,-(INT(((YEAR('Deal maths'!AA427)-YEAR(IF('Deal maths'!Z427&gt;0,'Deal maths'!Z427,DATE(1990,1,1))))*12+MONTH('Deal maths'!AA427)-MONTH(IF('Deal maths'!Z427&gt;0,'Deal maths'!Z427,DATE(1990,1,1))))/D427)-1)*D427),EDATE('Deal maths'!AA427,-(INT(((YEAR('Deal maths'!AA427)-YEAR(IF('Deal maths'!Z427&gt;0,'Deal maths'!Z427,DATE(1990,1,1))))*12+MONTH('Deal maths'!AA427)-MONTH(IF('Deal maths'!Z427&gt;0,'Deal maths'!Z427,DATE(1990,1,1))))/D427)-1)*D427))))),0)</f>
        <v/>
      </c>
      <c r="F427" s="110">
        <f>IF(D427=0,0,'Deal maths'!AB427*D427/12)</f>
        <v/>
      </c>
      <c r="G427" s="108">
        <f>N427+O427</f>
        <v/>
      </c>
      <c r="H427" s="108">
        <f>IFERROR(IF(OR(D427=0,AsAt&lt;E427),0,MIN(N427,INT(((YEAR(AsAt)-YEAR(E427))*12+MONTH(AsAt)-MONTH(E427)-(DAY(AsAt)&lt;MIN(R427,DAY(EOMONTH(AsAt,0)))))/D427)+1)+O427*(AsAt&gt;='Deal maths'!AA427)),0)</f>
        <v/>
      </c>
      <c r="I427" s="108">
        <f>G427-H427</f>
        <v/>
      </c>
      <c r="J427" s="111">
        <f>IF(AND(C427="EIP",I427&gt;0),'Deal maths'!Y427/I427,0)</f>
        <v/>
      </c>
      <c r="K427" s="111">
        <f>IF(AND(C427="Annuity",I427&gt;0),IF(F427&gt;0,'Deal maths'!Y427*F427/(1-(1+F427)^-I427),'Deal maths'!Y427/I427),0)</f>
        <v/>
      </c>
      <c r="L427" s="111">
        <f>IF('Deal maths'!Y427="",0,'Deal maths'!Y427)</f>
        <v/>
      </c>
      <c r="M427" s="112">
        <f>F427+(F427=0)</f>
        <v/>
      </c>
      <c r="N427" s="108">
        <f>IFERROR(IF(D427=0,0,INT(((YEAR('Deal maths'!AA427)-YEAR(E427))*12+MONTH('Deal maths'!AA427)-MONTH(E427)-(DAY('Deal maths'!AA427)&lt;MIN(R427,DAY(EOMONTH('Deal maths'!AA427,0)))))/D427)+1),0)</f>
        <v/>
      </c>
      <c r="O427" s="108">
        <f>IFERROR(IF(D427=0,0,IF(IF(DAY(E427+1)=1,EOMONTH(E427,(N427-1)*D427),EDATE(E427,(N427-1)*D427))='Deal maths'!AA427,0,1)),0)</f>
        <v/>
      </c>
      <c r="P427" s="113">
        <f>IF(B427=0,0,IFERROR(IF(C427="EIP",((I427-O427)*((IF(DAY(E427+1)=1,EOMONTH(E427,H427*D427),EDATE(E427,H427*D427))-AsAt)/365.25+(IF(DAY(E427+1)=1,EOMONTH(E427,(N427-1)*D427),EDATE(E427,(N427-1)*D427))-AsAt)/365.25)/2+O427*('Deal maths'!AA427-AsAt)/365.25)/I427,IF(C427="Annuity",IF(F427&gt;0,((K427-L427*F427)*((IF(DAY(E427+1)=1,EOMONTH(E427,H427*D427),EDATE(E427,H427*D427))-AsAt)/365.25*((1+F427)^(I427-O427)-1)/F427+IF((I427-O427)&gt;1,((IF(DAY(E427+1)=1,EOMONTH(E427,(N427-1)*D427),EDATE(E427,(N427-1)*D427))-AsAt)/365.25-(IF(DAY(E427+1)=1,EOMONTH(E427,H427*D427),EDATE(E427,H427*D427))-AsAt)/365.25)/((I427-O427)-1),0)*(1+F427)*(1-(I427-O427)*(1+F427)^((I427-O427)-1)+((I427-O427)-1)*(1+F427)^(I427-O427))/F427^2)+O427*(K427-L427*F427)*(1+F427)^(I427-1)*('Deal maths'!AA427-AsAt)/365.25)/L427,((I427-O427)*((IF(DAY(E427+1)=1,EOMONTH(E427,H427*D427),EDATE(E427,H427*D427))-AsAt)/365.25+(IF(DAY(E427+1)=1,EOMONTH(E427,(N427-1)*D427),EDATE(E427,(N427-1)*D427))-AsAt)/365.25)/2+O427*('Deal maths'!AA427-AsAt)/365.25)/I427),(S427-AsAt)/365.25)),0))</f>
        <v/>
      </c>
      <c r="Q427" s="109">
        <f>IF(B427=1,'Deal maths'!AA427+ROW()/1000000,"")</f>
        <v/>
      </c>
      <c r="R427" s="108">
        <f>IF(D427=0,0,IF(DAY(E427+1)=1,31,DAY(E427)))</f>
        <v/>
      </c>
      <c r="S427" s="109">
        <f>IF(AND('Deal maths'!V427="LOBO",'Deal maths'!AG427&gt;AsAt,'Deal maths'!AG427&lt;'Deal maths'!AA427),'Deal maths'!AG427,'Deal maths'!AA427)</f>
        <v/>
      </c>
      <c r="T427" s="108">
        <f>('Deal maths'!AA427&gt;AsAt)*('Deal maths'!Y427&gt;0)</f>
        <v/>
      </c>
    </row>
    <row r="428">
      <c r="A428" s="91">
        <f>IF('Deal maths'!V428="","",'Deal maths'!W428)</f>
        <v/>
      </c>
      <c r="B428" s="108">
        <f>('Deal maths'!AA428&gt;AsAt)*('Deal maths'!Y428&gt;0)*('Deal maths'!Z428&lt;=AsAt)</f>
        <v/>
      </c>
      <c r="C428" s="91">
        <f>IF('Deal maths'!V428="","",IF('Deal maths'!AC428="","Maturity",'Deal maths'!AC428))</f>
        <v/>
      </c>
      <c r="D428" s="108">
        <f>IF(OR(C428="EIP",C428="Annuity"),IF('Deal maths'!AD428="Annual",12,IF('Deal maths'!AD428="Quarterly",3,6)),0)</f>
        <v/>
      </c>
      <c r="E428" s="109">
        <f>IFERROR(IF(D428=0,0,IF('Deal maths'!AE428&gt;0,IF('Deal maths'!AE428&gt;'Deal maths'!AA428,'Deal maths'!AA428,'Deal maths'!AE428),IF(IF(DAY('Deal maths'!AA428+1)=1,EOMONTH('Deal maths'!AA428,-(INT(((YEAR('Deal maths'!AA428)-YEAR(IF('Deal maths'!Z428&gt;0,'Deal maths'!Z428,DATE(1990,1,1))))*12+MONTH('Deal maths'!AA428)-MONTH(IF('Deal maths'!Z428&gt;0,'Deal maths'!Z428,DATE(1990,1,1))))/D428))*D428),EDATE('Deal maths'!AA428,-(INT(((YEAR('Deal maths'!AA428)-YEAR(IF('Deal maths'!Z428&gt;0,'Deal maths'!Z428,DATE(1990,1,1))))*12+MONTH('Deal maths'!AA428)-MONTH(IF('Deal maths'!Z428&gt;0,'Deal maths'!Z428,DATE(1990,1,1))))/D428))*D428))&gt;IF('Deal maths'!Z428&gt;0,'Deal maths'!Z428,DATE(1990,1,1)),IF(DAY('Deal maths'!AA428+1)=1,EOMONTH('Deal maths'!AA428,-(INT(((YEAR('Deal maths'!AA428)-YEAR(IF('Deal maths'!Z428&gt;0,'Deal maths'!Z428,DATE(1990,1,1))))*12+MONTH('Deal maths'!AA428)-MONTH(IF('Deal maths'!Z428&gt;0,'Deal maths'!Z428,DATE(1990,1,1))))/D428))*D428),EDATE('Deal maths'!AA428,-(INT(((YEAR('Deal maths'!AA428)-YEAR(IF('Deal maths'!Z428&gt;0,'Deal maths'!Z428,DATE(1990,1,1))))*12+MONTH('Deal maths'!AA428)-MONTH(IF('Deal maths'!Z428&gt;0,'Deal maths'!Z428,DATE(1990,1,1))))/D428))*D428)),IF(DAY('Deal maths'!AA428+1)=1,EOMONTH('Deal maths'!AA428,-(INT(((YEAR('Deal maths'!AA428)-YEAR(IF('Deal maths'!Z428&gt;0,'Deal maths'!Z428,DATE(1990,1,1))))*12+MONTH('Deal maths'!AA428)-MONTH(IF('Deal maths'!Z428&gt;0,'Deal maths'!Z428,DATE(1990,1,1))))/D428)-1)*D428),EDATE('Deal maths'!AA428,-(INT(((YEAR('Deal maths'!AA428)-YEAR(IF('Deal maths'!Z428&gt;0,'Deal maths'!Z428,DATE(1990,1,1))))*12+MONTH('Deal maths'!AA428)-MONTH(IF('Deal maths'!Z428&gt;0,'Deal maths'!Z428,DATE(1990,1,1))))/D428)-1)*D428))))),0)</f>
        <v/>
      </c>
      <c r="F428" s="110">
        <f>IF(D428=0,0,'Deal maths'!AB428*D428/12)</f>
        <v/>
      </c>
      <c r="G428" s="108">
        <f>N428+O428</f>
        <v/>
      </c>
      <c r="H428" s="108">
        <f>IFERROR(IF(OR(D428=0,AsAt&lt;E428),0,MIN(N428,INT(((YEAR(AsAt)-YEAR(E428))*12+MONTH(AsAt)-MONTH(E428)-(DAY(AsAt)&lt;MIN(R428,DAY(EOMONTH(AsAt,0)))))/D428)+1)+O428*(AsAt&gt;='Deal maths'!AA428)),0)</f>
        <v/>
      </c>
      <c r="I428" s="108">
        <f>G428-H428</f>
        <v/>
      </c>
      <c r="J428" s="111">
        <f>IF(AND(C428="EIP",I428&gt;0),'Deal maths'!Y428/I428,0)</f>
        <v/>
      </c>
      <c r="K428" s="111">
        <f>IF(AND(C428="Annuity",I428&gt;0),IF(F428&gt;0,'Deal maths'!Y428*F428/(1-(1+F428)^-I428),'Deal maths'!Y428/I428),0)</f>
        <v/>
      </c>
      <c r="L428" s="111">
        <f>IF('Deal maths'!Y428="",0,'Deal maths'!Y428)</f>
        <v/>
      </c>
      <c r="M428" s="112">
        <f>F428+(F428=0)</f>
        <v/>
      </c>
      <c r="N428" s="108">
        <f>IFERROR(IF(D428=0,0,INT(((YEAR('Deal maths'!AA428)-YEAR(E428))*12+MONTH('Deal maths'!AA428)-MONTH(E428)-(DAY('Deal maths'!AA428)&lt;MIN(R428,DAY(EOMONTH('Deal maths'!AA428,0)))))/D428)+1),0)</f>
        <v/>
      </c>
      <c r="O428" s="108">
        <f>IFERROR(IF(D428=0,0,IF(IF(DAY(E428+1)=1,EOMONTH(E428,(N428-1)*D428),EDATE(E428,(N428-1)*D428))='Deal maths'!AA428,0,1)),0)</f>
        <v/>
      </c>
      <c r="P428" s="113">
        <f>IF(B428=0,0,IFERROR(IF(C428="EIP",((I428-O428)*((IF(DAY(E428+1)=1,EOMONTH(E428,H428*D428),EDATE(E428,H428*D428))-AsAt)/365.25+(IF(DAY(E428+1)=1,EOMONTH(E428,(N428-1)*D428),EDATE(E428,(N428-1)*D428))-AsAt)/365.25)/2+O428*('Deal maths'!AA428-AsAt)/365.25)/I428,IF(C428="Annuity",IF(F428&gt;0,((K428-L428*F428)*((IF(DAY(E428+1)=1,EOMONTH(E428,H428*D428),EDATE(E428,H428*D428))-AsAt)/365.25*((1+F428)^(I428-O428)-1)/F428+IF((I428-O428)&gt;1,((IF(DAY(E428+1)=1,EOMONTH(E428,(N428-1)*D428),EDATE(E428,(N428-1)*D428))-AsAt)/365.25-(IF(DAY(E428+1)=1,EOMONTH(E428,H428*D428),EDATE(E428,H428*D428))-AsAt)/365.25)/((I428-O428)-1),0)*(1+F428)*(1-(I428-O428)*(1+F428)^((I428-O428)-1)+((I428-O428)-1)*(1+F428)^(I428-O428))/F428^2)+O428*(K428-L428*F428)*(1+F428)^(I428-1)*('Deal maths'!AA428-AsAt)/365.25)/L428,((I428-O428)*((IF(DAY(E428+1)=1,EOMONTH(E428,H428*D428),EDATE(E428,H428*D428))-AsAt)/365.25+(IF(DAY(E428+1)=1,EOMONTH(E428,(N428-1)*D428),EDATE(E428,(N428-1)*D428))-AsAt)/365.25)/2+O428*('Deal maths'!AA428-AsAt)/365.25)/I428),(S428-AsAt)/365.25)),0))</f>
        <v/>
      </c>
      <c r="Q428" s="109">
        <f>IF(B428=1,'Deal maths'!AA428+ROW()/1000000,"")</f>
        <v/>
      </c>
      <c r="R428" s="108">
        <f>IF(D428=0,0,IF(DAY(E428+1)=1,31,DAY(E428)))</f>
        <v/>
      </c>
      <c r="S428" s="109">
        <f>IF(AND('Deal maths'!V428="LOBO",'Deal maths'!AG428&gt;AsAt,'Deal maths'!AG428&lt;'Deal maths'!AA428),'Deal maths'!AG428,'Deal maths'!AA428)</f>
        <v/>
      </c>
      <c r="T428" s="108">
        <f>('Deal maths'!AA428&gt;AsAt)*('Deal maths'!Y428&gt;0)</f>
        <v/>
      </c>
    </row>
    <row r="429">
      <c r="A429" s="91">
        <f>IF('Deal maths'!V429="","",'Deal maths'!W429)</f>
        <v/>
      </c>
      <c r="B429" s="108">
        <f>('Deal maths'!AA429&gt;AsAt)*('Deal maths'!Y429&gt;0)*('Deal maths'!Z429&lt;=AsAt)</f>
        <v/>
      </c>
      <c r="C429" s="91">
        <f>IF('Deal maths'!V429="","",IF('Deal maths'!AC429="","Maturity",'Deal maths'!AC429))</f>
        <v/>
      </c>
      <c r="D429" s="108">
        <f>IF(OR(C429="EIP",C429="Annuity"),IF('Deal maths'!AD429="Annual",12,IF('Deal maths'!AD429="Quarterly",3,6)),0)</f>
        <v/>
      </c>
      <c r="E429" s="109">
        <f>IFERROR(IF(D429=0,0,IF('Deal maths'!AE429&gt;0,IF('Deal maths'!AE429&gt;'Deal maths'!AA429,'Deal maths'!AA429,'Deal maths'!AE429),IF(IF(DAY('Deal maths'!AA429+1)=1,EOMONTH('Deal maths'!AA429,-(INT(((YEAR('Deal maths'!AA429)-YEAR(IF('Deal maths'!Z429&gt;0,'Deal maths'!Z429,DATE(1990,1,1))))*12+MONTH('Deal maths'!AA429)-MONTH(IF('Deal maths'!Z429&gt;0,'Deal maths'!Z429,DATE(1990,1,1))))/D429))*D429),EDATE('Deal maths'!AA429,-(INT(((YEAR('Deal maths'!AA429)-YEAR(IF('Deal maths'!Z429&gt;0,'Deal maths'!Z429,DATE(1990,1,1))))*12+MONTH('Deal maths'!AA429)-MONTH(IF('Deal maths'!Z429&gt;0,'Deal maths'!Z429,DATE(1990,1,1))))/D429))*D429))&gt;IF('Deal maths'!Z429&gt;0,'Deal maths'!Z429,DATE(1990,1,1)),IF(DAY('Deal maths'!AA429+1)=1,EOMONTH('Deal maths'!AA429,-(INT(((YEAR('Deal maths'!AA429)-YEAR(IF('Deal maths'!Z429&gt;0,'Deal maths'!Z429,DATE(1990,1,1))))*12+MONTH('Deal maths'!AA429)-MONTH(IF('Deal maths'!Z429&gt;0,'Deal maths'!Z429,DATE(1990,1,1))))/D429))*D429),EDATE('Deal maths'!AA429,-(INT(((YEAR('Deal maths'!AA429)-YEAR(IF('Deal maths'!Z429&gt;0,'Deal maths'!Z429,DATE(1990,1,1))))*12+MONTH('Deal maths'!AA429)-MONTH(IF('Deal maths'!Z429&gt;0,'Deal maths'!Z429,DATE(1990,1,1))))/D429))*D429)),IF(DAY('Deal maths'!AA429+1)=1,EOMONTH('Deal maths'!AA429,-(INT(((YEAR('Deal maths'!AA429)-YEAR(IF('Deal maths'!Z429&gt;0,'Deal maths'!Z429,DATE(1990,1,1))))*12+MONTH('Deal maths'!AA429)-MONTH(IF('Deal maths'!Z429&gt;0,'Deal maths'!Z429,DATE(1990,1,1))))/D429)-1)*D429),EDATE('Deal maths'!AA429,-(INT(((YEAR('Deal maths'!AA429)-YEAR(IF('Deal maths'!Z429&gt;0,'Deal maths'!Z429,DATE(1990,1,1))))*12+MONTH('Deal maths'!AA429)-MONTH(IF('Deal maths'!Z429&gt;0,'Deal maths'!Z429,DATE(1990,1,1))))/D429)-1)*D429))))),0)</f>
        <v/>
      </c>
      <c r="F429" s="110">
        <f>IF(D429=0,0,'Deal maths'!AB429*D429/12)</f>
        <v/>
      </c>
      <c r="G429" s="108">
        <f>N429+O429</f>
        <v/>
      </c>
      <c r="H429" s="108">
        <f>IFERROR(IF(OR(D429=0,AsAt&lt;E429),0,MIN(N429,INT(((YEAR(AsAt)-YEAR(E429))*12+MONTH(AsAt)-MONTH(E429)-(DAY(AsAt)&lt;MIN(R429,DAY(EOMONTH(AsAt,0)))))/D429)+1)+O429*(AsAt&gt;='Deal maths'!AA429)),0)</f>
        <v/>
      </c>
      <c r="I429" s="108">
        <f>G429-H429</f>
        <v/>
      </c>
      <c r="J429" s="111">
        <f>IF(AND(C429="EIP",I429&gt;0),'Deal maths'!Y429/I429,0)</f>
        <v/>
      </c>
      <c r="K429" s="111">
        <f>IF(AND(C429="Annuity",I429&gt;0),IF(F429&gt;0,'Deal maths'!Y429*F429/(1-(1+F429)^-I429),'Deal maths'!Y429/I429),0)</f>
        <v/>
      </c>
      <c r="L429" s="111">
        <f>IF('Deal maths'!Y429="",0,'Deal maths'!Y429)</f>
        <v/>
      </c>
      <c r="M429" s="112">
        <f>F429+(F429=0)</f>
        <v/>
      </c>
      <c r="N429" s="108">
        <f>IFERROR(IF(D429=0,0,INT(((YEAR('Deal maths'!AA429)-YEAR(E429))*12+MONTH('Deal maths'!AA429)-MONTH(E429)-(DAY('Deal maths'!AA429)&lt;MIN(R429,DAY(EOMONTH('Deal maths'!AA429,0)))))/D429)+1),0)</f>
        <v/>
      </c>
      <c r="O429" s="108">
        <f>IFERROR(IF(D429=0,0,IF(IF(DAY(E429+1)=1,EOMONTH(E429,(N429-1)*D429),EDATE(E429,(N429-1)*D429))='Deal maths'!AA429,0,1)),0)</f>
        <v/>
      </c>
      <c r="P429" s="113">
        <f>IF(B429=0,0,IFERROR(IF(C429="EIP",((I429-O429)*((IF(DAY(E429+1)=1,EOMONTH(E429,H429*D429),EDATE(E429,H429*D429))-AsAt)/365.25+(IF(DAY(E429+1)=1,EOMONTH(E429,(N429-1)*D429),EDATE(E429,(N429-1)*D429))-AsAt)/365.25)/2+O429*('Deal maths'!AA429-AsAt)/365.25)/I429,IF(C429="Annuity",IF(F429&gt;0,((K429-L429*F429)*((IF(DAY(E429+1)=1,EOMONTH(E429,H429*D429),EDATE(E429,H429*D429))-AsAt)/365.25*((1+F429)^(I429-O429)-1)/F429+IF((I429-O429)&gt;1,((IF(DAY(E429+1)=1,EOMONTH(E429,(N429-1)*D429),EDATE(E429,(N429-1)*D429))-AsAt)/365.25-(IF(DAY(E429+1)=1,EOMONTH(E429,H429*D429),EDATE(E429,H429*D429))-AsAt)/365.25)/((I429-O429)-1),0)*(1+F429)*(1-(I429-O429)*(1+F429)^((I429-O429)-1)+((I429-O429)-1)*(1+F429)^(I429-O429))/F429^2)+O429*(K429-L429*F429)*(1+F429)^(I429-1)*('Deal maths'!AA429-AsAt)/365.25)/L429,((I429-O429)*((IF(DAY(E429+1)=1,EOMONTH(E429,H429*D429),EDATE(E429,H429*D429))-AsAt)/365.25+(IF(DAY(E429+1)=1,EOMONTH(E429,(N429-1)*D429),EDATE(E429,(N429-1)*D429))-AsAt)/365.25)/2+O429*('Deal maths'!AA429-AsAt)/365.25)/I429),(S429-AsAt)/365.25)),0))</f>
        <v/>
      </c>
      <c r="Q429" s="109">
        <f>IF(B429=1,'Deal maths'!AA429+ROW()/1000000,"")</f>
        <v/>
      </c>
      <c r="R429" s="108">
        <f>IF(D429=0,0,IF(DAY(E429+1)=1,31,DAY(E429)))</f>
        <v/>
      </c>
      <c r="S429" s="109">
        <f>IF(AND('Deal maths'!V429="LOBO",'Deal maths'!AG429&gt;AsAt,'Deal maths'!AG429&lt;'Deal maths'!AA429),'Deal maths'!AG429,'Deal maths'!AA429)</f>
        <v/>
      </c>
      <c r="T429" s="108">
        <f>('Deal maths'!AA429&gt;AsAt)*('Deal maths'!Y429&gt;0)</f>
        <v/>
      </c>
    </row>
    <row r="430">
      <c r="A430" s="91">
        <f>IF('Deal maths'!V430="","",'Deal maths'!W430)</f>
        <v/>
      </c>
      <c r="B430" s="108">
        <f>('Deal maths'!AA430&gt;AsAt)*('Deal maths'!Y430&gt;0)*('Deal maths'!Z430&lt;=AsAt)</f>
        <v/>
      </c>
      <c r="C430" s="91">
        <f>IF('Deal maths'!V430="","",IF('Deal maths'!AC430="","Maturity",'Deal maths'!AC430))</f>
        <v/>
      </c>
      <c r="D430" s="108">
        <f>IF(OR(C430="EIP",C430="Annuity"),IF('Deal maths'!AD430="Annual",12,IF('Deal maths'!AD430="Quarterly",3,6)),0)</f>
        <v/>
      </c>
      <c r="E430" s="109">
        <f>IFERROR(IF(D430=0,0,IF('Deal maths'!AE430&gt;0,IF('Deal maths'!AE430&gt;'Deal maths'!AA430,'Deal maths'!AA430,'Deal maths'!AE430),IF(IF(DAY('Deal maths'!AA430+1)=1,EOMONTH('Deal maths'!AA430,-(INT(((YEAR('Deal maths'!AA430)-YEAR(IF('Deal maths'!Z430&gt;0,'Deal maths'!Z430,DATE(1990,1,1))))*12+MONTH('Deal maths'!AA430)-MONTH(IF('Deal maths'!Z430&gt;0,'Deal maths'!Z430,DATE(1990,1,1))))/D430))*D430),EDATE('Deal maths'!AA430,-(INT(((YEAR('Deal maths'!AA430)-YEAR(IF('Deal maths'!Z430&gt;0,'Deal maths'!Z430,DATE(1990,1,1))))*12+MONTH('Deal maths'!AA430)-MONTH(IF('Deal maths'!Z430&gt;0,'Deal maths'!Z430,DATE(1990,1,1))))/D430))*D430))&gt;IF('Deal maths'!Z430&gt;0,'Deal maths'!Z430,DATE(1990,1,1)),IF(DAY('Deal maths'!AA430+1)=1,EOMONTH('Deal maths'!AA430,-(INT(((YEAR('Deal maths'!AA430)-YEAR(IF('Deal maths'!Z430&gt;0,'Deal maths'!Z430,DATE(1990,1,1))))*12+MONTH('Deal maths'!AA430)-MONTH(IF('Deal maths'!Z430&gt;0,'Deal maths'!Z430,DATE(1990,1,1))))/D430))*D430),EDATE('Deal maths'!AA430,-(INT(((YEAR('Deal maths'!AA430)-YEAR(IF('Deal maths'!Z430&gt;0,'Deal maths'!Z430,DATE(1990,1,1))))*12+MONTH('Deal maths'!AA430)-MONTH(IF('Deal maths'!Z430&gt;0,'Deal maths'!Z430,DATE(1990,1,1))))/D430))*D430)),IF(DAY('Deal maths'!AA430+1)=1,EOMONTH('Deal maths'!AA430,-(INT(((YEAR('Deal maths'!AA430)-YEAR(IF('Deal maths'!Z430&gt;0,'Deal maths'!Z430,DATE(1990,1,1))))*12+MONTH('Deal maths'!AA430)-MONTH(IF('Deal maths'!Z430&gt;0,'Deal maths'!Z430,DATE(1990,1,1))))/D430)-1)*D430),EDATE('Deal maths'!AA430,-(INT(((YEAR('Deal maths'!AA430)-YEAR(IF('Deal maths'!Z430&gt;0,'Deal maths'!Z430,DATE(1990,1,1))))*12+MONTH('Deal maths'!AA430)-MONTH(IF('Deal maths'!Z430&gt;0,'Deal maths'!Z430,DATE(1990,1,1))))/D430)-1)*D430))))),0)</f>
        <v/>
      </c>
      <c r="F430" s="110">
        <f>IF(D430=0,0,'Deal maths'!AB430*D430/12)</f>
        <v/>
      </c>
      <c r="G430" s="108">
        <f>N430+O430</f>
        <v/>
      </c>
      <c r="H430" s="108">
        <f>IFERROR(IF(OR(D430=0,AsAt&lt;E430),0,MIN(N430,INT(((YEAR(AsAt)-YEAR(E430))*12+MONTH(AsAt)-MONTH(E430)-(DAY(AsAt)&lt;MIN(R430,DAY(EOMONTH(AsAt,0)))))/D430)+1)+O430*(AsAt&gt;='Deal maths'!AA430)),0)</f>
        <v/>
      </c>
      <c r="I430" s="108">
        <f>G430-H430</f>
        <v/>
      </c>
      <c r="J430" s="111">
        <f>IF(AND(C430="EIP",I430&gt;0),'Deal maths'!Y430/I430,0)</f>
        <v/>
      </c>
      <c r="K430" s="111">
        <f>IF(AND(C430="Annuity",I430&gt;0),IF(F430&gt;0,'Deal maths'!Y430*F430/(1-(1+F430)^-I430),'Deal maths'!Y430/I430),0)</f>
        <v/>
      </c>
      <c r="L430" s="111">
        <f>IF('Deal maths'!Y430="",0,'Deal maths'!Y430)</f>
        <v/>
      </c>
      <c r="M430" s="112">
        <f>F430+(F430=0)</f>
        <v/>
      </c>
      <c r="N430" s="108">
        <f>IFERROR(IF(D430=0,0,INT(((YEAR('Deal maths'!AA430)-YEAR(E430))*12+MONTH('Deal maths'!AA430)-MONTH(E430)-(DAY('Deal maths'!AA430)&lt;MIN(R430,DAY(EOMONTH('Deal maths'!AA430,0)))))/D430)+1),0)</f>
        <v/>
      </c>
      <c r="O430" s="108">
        <f>IFERROR(IF(D430=0,0,IF(IF(DAY(E430+1)=1,EOMONTH(E430,(N430-1)*D430),EDATE(E430,(N430-1)*D430))='Deal maths'!AA430,0,1)),0)</f>
        <v/>
      </c>
      <c r="P430" s="113">
        <f>IF(B430=0,0,IFERROR(IF(C430="EIP",((I430-O430)*((IF(DAY(E430+1)=1,EOMONTH(E430,H430*D430),EDATE(E430,H430*D430))-AsAt)/365.25+(IF(DAY(E430+1)=1,EOMONTH(E430,(N430-1)*D430),EDATE(E430,(N430-1)*D430))-AsAt)/365.25)/2+O430*('Deal maths'!AA430-AsAt)/365.25)/I430,IF(C430="Annuity",IF(F430&gt;0,((K430-L430*F430)*((IF(DAY(E430+1)=1,EOMONTH(E430,H430*D430),EDATE(E430,H430*D430))-AsAt)/365.25*((1+F430)^(I430-O430)-1)/F430+IF((I430-O430)&gt;1,((IF(DAY(E430+1)=1,EOMONTH(E430,(N430-1)*D430),EDATE(E430,(N430-1)*D430))-AsAt)/365.25-(IF(DAY(E430+1)=1,EOMONTH(E430,H430*D430),EDATE(E430,H430*D430))-AsAt)/365.25)/((I430-O430)-1),0)*(1+F430)*(1-(I430-O430)*(1+F430)^((I430-O430)-1)+((I430-O430)-1)*(1+F430)^(I430-O430))/F430^2)+O430*(K430-L430*F430)*(1+F430)^(I430-1)*('Deal maths'!AA430-AsAt)/365.25)/L430,((I430-O430)*((IF(DAY(E430+1)=1,EOMONTH(E430,H430*D430),EDATE(E430,H430*D430))-AsAt)/365.25+(IF(DAY(E430+1)=1,EOMONTH(E430,(N430-1)*D430),EDATE(E430,(N430-1)*D430))-AsAt)/365.25)/2+O430*('Deal maths'!AA430-AsAt)/365.25)/I430),(S430-AsAt)/365.25)),0))</f>
        <v/>
      </c>
      <c r="Q430" s="109">
        <f>IF(B430=1,'Deal maths'!AA430+ROW()/1000000,"")</f>
        <v/>
      </c>
      <c r="R430" s="108">
        <f>IF(D430=0,0,IF(DAY(E430+1)=1,31,DAY(E430)))</f>
        <v/>
      </c>
      <c r="S430" s="109">
        <f>IF(AND('Deal maths'!V430="LOBO",'Deal maths'!AG430&gt;AsAt,'Deal maths'!AG430&lt;'Deal maths'!AA430),'Deal maths'!AG430,'Deal maths'!AA430)</f>
        <v/>
      </c>
      <c r="T430" s="108">
        <f>('Deal maths'!AA430&gt;AsAt)*('Deal maths'!Y430&gt;0)</f>
        <v/>
      </c>
    </row>
    <row r="431">
      <c r="A431" s="91">
        <f>IF('Deal maths'!V431="","",'Deal maths'!W431)</f>
        <v/>
      </c>
      <c r="B431" s="108">
        <f>('Deal maths'!AA431&gt;AsAt)*('Deal maths'!Y431&gt;0)*('Deal maths'!Z431&lt;=AsAt)</f>
        <v/>
      </c>
      <c r="C431" s="91">
        <f>IF('Deal maths'!V431="","",IF('Deal maths'!AC431="","Maturity",'Deal maths'!AC431))</f>
        <v/>
      </c>
      <c r="D431" s="108">
        <f>IF(OR(C431="EIP",C431="Annuity"),IF('Deal maths'!AD431="Annual",12,IF('Deal maths'!AD431="Quarterly",3,6)),0)</f>
        <v/>
      </c>
      <c r="E431" s="109">
        <f>IFERROR(IF(D431=0,0,IF('Deal maths'!AE431&gt;0,IF('Deal maths'!AE431&gt;'Deal maths'!AA431,'Deal maths'!AA431,'Deal maths'!AE431),IF(IF(DAY('Deal maths'!AA431+1)=1,EOMONTH('Deal maths'!AA431,-(INT(((YEAR('Deal maths'!AA431)-YEAR(IF('Deal maths'!Z431&gt;0,'Deal maths'!Z431,DATE(1990,1,1))))*12+MONTH('Deal maths'!AA431)-MONTH(IF('Deal maths'!Z431&gt;0,'Deal maths'!Z431,DATE(1990,1,1))))/D431))*D431),EDATE('Deal maths'!AA431,-(INT(((YEAR('Deal maths'!AA431)-YEAR(IF('Deal maths'!Z431&gt;0,'Deal maths'!Z431,DATE(1990,1,1))))*12+MONTH('Deal maths'!AA431)-MONTH(IF('Deal maths'!Z431&gt;0,'Deal maths'!Z431,DATE(1990,1,1))))/D431))*D431))&gt;IF('Deal maths'!Z431&gt;0,'Deal maths'!Z431,DATE(1990,1,1)),IF(DAY('Deal maths'!AA431+1)=1,EOMONTH('Deal maths'!AA431,-(INT(((YEAR('Deal maths'!AA431)-YEAR(IF('Deal maths'!Z431&gt;0,'Deal maths'!Z431,DATE(1990,1,1))))*12+MONTH('Deal maths'!AA431)-MONTH(IF('Deal maths'!Z431&gt;0,'Deal maths'!Z431,DATE(1990,1,1))))/D431))*D431),EDATE('Deal maths'!AA431,-(INT(((YEAR('Deal maths'!AA431)-YEAR(IF('Deal maths'!Z431&gt;0,'Deal maths'!Z431,DATE(1990,1,1))))*12+MONTH('Deal maths'!AA431)-MONTH(IF('Deal maths'!Z431&gt;0,'Deal maths'!Z431,DATE(1990,1,1))))/D431))*D431)),IF(DAY('Deal maths'!AA431+1)=1,EOMONTH('Deal maths'!AA431,-(INT(((YEAR('Deal maths'!AA431)-YEAR(IF('Deal maths'!Z431&gt;0,'Deal maths'!Z431,DATE(1990,1,1))))*12+MONTH('Deal maths'!AA431)-MONTH(IF('Deal maths'!Z431&gt;0,'Deal maths'!Z431,DATE(1990,1,1))))/D431)-1)*D431),EDATE('Deal maths'!AA431,-(INT(((YEAR('Deal maths'!AA431)-YEAR(IF('Deal maths'!Z431&gt;0,'Deal maths'!Z431,DATE(1990,1,1))))*12+MONTH('Deal maths'!AA431)-MONTH(IF('Deal maths'!Z431&gt;0,'Deal maths'!Z431,DATE(1990,1,1))))/D431)-1)*D431))))),0)</f>
        <v/>
      </c>
      <c r="F431" s="110">
        <f>IF(D431=0,0,'Deal maths'!AB431*D431/12)</f>
        <v/>
      </c>
      <c r="G431" s="108">
        <f>N431+O431</f>
        <v/>
      </c>
      <c r="H431" s="108">
        <f>IFERROR(IF(OR(D431=0,AsAt&lt;E431),0,MIN(N431,INT(((YEAR(AsAt)-YEAR(E431))*12+MONTH(AsAt)-MONTH(E431)-(DAY(AsAt)&lt;MIN(R431,DAY(EOMONTH(AsAt,0)))))/D431)+1)+O431*(AsAt&gt;='Deal maths'!AA431)),0)</f>
        <v/>
      </c>
      <c r="I431" s="108">
        <f>G431-H431</f>
        <v/>
      </c>
      <c r="J431" s="111">
        <f>IF(AND(C431="EIP",I431&gt;0),'Deal maths'!Y431/I431,0)</f>
        <v/>
      </c>
      <c r="K431" s="111">
        <f>IF(AND(C431="Annuity",I431&gt;0),IF(F431&gt;0,'Deal maths'!Y431*F431/(1-(1+F431)^-I431),'Deal maths'!Y431/I431),0)</f>
        <v/>
      </c>
      <c r="L431" s="111">
        <f>IF('Deal maths'!Y431="",0,'Deal maths'!Y431)</f>
        <v/>
      </c>
      <c r="M431" s="112">
        <f>F431+(F431=0)</f>
        <v/>
      </c>
      <c r="N431" s="108">
        <f>IFERROR(IF(D431=0,0,INT(((YEAR('Deal maths'!AA431)-YEAR(E431))*12+MONTH('Deal maths'!AA431)-MONTH(E431)-(DAY('Deal maths'!AA431)&lt;MIN(R431,DAY(EOMONTH('Deal maths'!AA431,0)))))/D431)+1),0)</f>
        <v/>
      </c>
      <c r="O431" s="108">
        <f>IFERROR(IF(D431=0,0,IF(IF(DAY(E431+1)=1,EOMONTH(E431,(N431-1)*D431),EDATE(E431,(N431-1)*D431))='Deal maths'!AA431,0,1)),0)</f>
        <v/>
      </c>
      <c r="P431" s="113">
        <f>IF(B431=0,0,IFERROR(IF(C431="EIP",((I431-O431)*((IF(DAY(E431+1)=1,EOMONTH(E431,H431*D431),EDATE(E431,H431*D431))-AsAt)/365.25+(IF(DAY(E431+1)=1,EOMONTH(E431,(N431-1)*D431),EDATE(E431,(N431-1)*D431))-AsAt)/365.25)/2+O431*('Deal maths'!AA431-AsAt)/365.25)/I431,IF(C431="Annuity",IF(F431&gt;0,((K431-L431*F431)*((IF(DAY(E431+1)=1,EOMONTH(E431,H431*D431),EDATE(E431,H431*D431))-AsAt)/365.25*((1+F431)^(I431-O431)-1)/F431+IF((I431-O431)&gt;1,((IF(DAY(E431+1)=1,EOMONTH(E431,(N431-1)*D431),EDATE(E431,(N431-1)*D431))-AsAt)/365.25-(IF(DAY(E431+1)=1,EOMONTH(E431,H431*D431),EDATE(E431,H431*D431))-AsAt)/365.25)/((I431-O431)-1),0)*(1+F431)*(1-(I431-O431)*(1+F431)^((I431-O431)-1)+((I431-O431)-1)*(1+F431)^(I431-O431))/F431^2)+O431*(K431-L431*F431)*(1+F431)^(I431-1)*('Deal maths'!AA431-AsAt)/365.25)/L431,((I431-O431)*((IF(DAY(E431+1)=1,EOMONTH(E431,H431*D431),EDATE(E431,H431*D431))-AsAt)/365.25+(IF(DAY(E431+1)=1,EOMONTH(E431,(N431-1)*D431),EDATE(E431,(N431-1)*D431))-AsAt)/365.25)/2+O431*('Deal maths'!AA431-AsAt)/365.25)/I431),(S431-AsAt)/365.25)),0))</f>
        <v/>
      </c>
      <c r="Q431" s="109">
        <f>IF(B431=1,'Deal maths'!AA431+ROW()/1000000,"")</f>
        <v/>
      </c>
      <c r="R431" s="108">
        <f>IF(D431=0,0,IF(DAY(E431+1)=1,31,DAY(E431)))</f>
        <v/>
      </c>
      <c r="S431" s="109">
        <f>IF(AND('Deal maths'!V431="LOBO",'Deal maths'!AG431&gt;AsAt,'Deal maths'!AG431&lt;'Deal maths'!AA431),'Deal maths'!AG431,'Deal maths'!AA431)</f>
        <v/>
      </c>
      <c r="T431" s="108">
        <f>('Deal maths'!AA431&gt;AsAt)*('Deal maths'!Y431&gt;0)</f>
        <v/>
      </c>
    </row>
    <row r="432">
      <c r="A432" s="91">
        <f>IF('Deal maths'!V432="","",'Deal maths'!W432)</f>
        <v/>
      </c>
      <c r="B432" s="108">
        <f>('Deal maths'!AA432&gt;AsAt)*('Deal maths'!Y432&gt;0)*('Deal maths'!Z432&lt;=AsAt)</f>
        <v/>
      </c>
      <c r="C432" s="91">
        <f>IF('Deal maths'!V432="","",IF('Deal maths'!AC432="","Maturity",'Deal maths'!AC432))</f>
        <v/>
      </c>
      <c r="D432" s="108">
        <f>IF(OR(C432="EIP",C432="Annuity"),IF('Deal maths'!AD432="Annual",12,IF('Deal maths'!AD432="Quarterly",3,6)),0)</f>
        <v/>
      </c>
      <c r="E432" s="109">
        <f>IFERROR(IF(D432=0,0,IF('Deal maths'!AE432&gt;0,IF('Deal maths'!AE432&gt;'Deal maths'!AA432,'Deal maths'!AA432,'Deal maths'!AE432),IF(IF(DAY('Deal maths'!AA432+1)=1,EOMONTH('Deal maths'!AA432,-(INT(((YEAR('Deal maths'!AA432)-YEAR(IF('Deal maths'!Z432&gt;0,'Deal maths'!Z432,DATE(1990,1,1))))*12+MONTH('Deal maths'!AA432)-MONTH(IF('Deal maths'!Z432&gt;0,'Deal maths'!Z432,DATE(1990,1,1))))/D432))*D432),EDATE('Deal maths'!AA432,-(INT(((YEAR('Deal maths'!AA432)-YEAR(IF('Deal maths'!Z432&gt;0,'Deal maths'!Z432,DATE(1990,1,1))))*12+MONTH('Deal maths'!AA432)-MONTH(IF('Deal maths'!Z432&gt;0,'Deal maths'!Z432,DATE(1990,1,1))))/D432))*D432))&gt;IF('Deal maths'!Z432&gt;0,'Deal maths'!Z432,DATE(1990,1,1)),IF(DAY('Deal maths'!AA432+1)=1,EOMONTH('Deal maths'!AA432,-(INT(((YEAR('Deal maths'!AA432)-YEAR(IF('Deal maths'!Z432&gt;0,'Deal maths'!Z432,DATE(1990,1,1))))*12+MONTH('Deal maths'!AA432)-MONTH(IF('Deal maths'!Z432&gt;0,'Deal maths'!Z432,DATE(1990,1,1))))/D432))*D432),EDATE('Deal maths'!AA432,-(INT(((YEAR('Deal maths'!AA432)-YEAR(IF('Deal maths'!Z432&gt;0,'Deal maths'!Z432,DATE(1990,1,1))))*12+MONTH('Deal maths'!AA432)-MONTH(IF('Deal maths'!Z432&gt;0,'Deal maths'!Z432,DATE(1990,1,1))))/D432))*D432)),IF(DAY('Deal maths'!AA432+1)=1,EOMONTH('Deal maths'!AA432,-(INT(((YEAR('Deal maths'!AA432)-YEAR(IF('Deal maths'!Z432&gt;0,'Deal maths'!Z432,DATE(1990,1,1))))*12+MONTH('Deal maths'!AA432)-MONTH(IF('Deal maths'!Z432&gt;0,'Deal maths'!Z432,DATE(1990,1,1))))/D432)-1)*D432),EDATE('Deal maths'!AA432,-(INT(((YEAR('Deal maths'!AA432)-YEAR(IF('Deal maths'!Z432&gt;0,'Deal maths'!Z432,DATE(1990,1,1))))*12+MONTH('Deal maths'!AA432)-MONTH(IF('Deal maths'!Z432&gt;0,'Deal maths'!Z432,DATE(1990,1,1))))/D432)-1)*D432))))),0)</f>
        <v/>
      </c>
      <c r="F432" s="110">
        <f>IF(D432=0,0,'Deal maths'!AB432*D432/12)</f>
        <v/>
      </c>
      <c r="G432" s="108">
        <f>N432+O432</f>
        <v/>
      </c>
      <c r="H432" s="108">
        <f>IFERROR(IF(OR(D432=0,AsAt&lt;E432),0,MIN(N432,INT(((YEAR(AsAt)-YEAR(E432))*12+MONTH(AsAt)-MONTH(E432)-(DAY(AsAt)&lt;MIN(R432,DAY(EOMONTH(AsAt,0)))))/D432)+1)+O432*(AsAt&gt;='Deal maths'!AA432)),0)</f>
        <v/>
      </c>
      <c r="I432" s="108">
        <f>G432-H432</f>
        <v/>
      </c>
      <c r="J432" s="111">
        <f>IF(AND(C432="EIP",I432&gt;0),'Deal maths'!Y432/I432,0)</f>
        <v/>
      </c>
      <c r="K432" s="111">
        <f>IF(AND(C432="Annuity",I432&gt;0),IF(F432&gt;0,'Deal maths'!Y432*F432/(1-(1+F432)^-I432),'Deal maths'!Y432/I432),0)</f>
        <v/>
      </c>
      <c r="L432" s="111">
        <f>IF('Deal maths'!Y432="",0,'Deal maths'!Y432)</f>
        <v/>
      </c>
      <c r="M432" s="112">
        <f>F432+(F432=0)</f>
        <v/>
      </c>
      <c r="N432" s="108">
        <f>IFERROR(IF(D432=0,0,INT(((YEAR('Deal maths'!AA432)-YEAR(E432))*12+MONTH('Deal maths'!AA432)-MONTH(E432)-(DAY('Deal maths'!AA432)&lt;MIN(R432,DAY(EOMONTH('Deal maths'!AA432,0)))))/D432)+1),0)</f>
        <v/>
      </c>
      <c r="O432" s="108">
        <f>IFERROR(IF(D432=0,0,IF(IF(DAY(E432+1)=1,EOMONTH(E432,(N432-1)*D432),EDATE(E432,(N432-1)*D432))='Deal maths'!AA432,0,1)),0)</f>
        <v/>
      </c>
      <c r="P432" s="113">
        <f>IF(B432=0,0,IFERROR(IF(C432="EIP",((I432-O432)*((IF(DAY(E432+1)=1,EOMONTH(E432,H432*D432),EDATE(E432,H432*D432))-AsAt)/365.25+(IF(DAY(E432+1)=1,EOMONTH(E432,(N432-1)*D432),EDATE(E432,(N432-1)*D432))-AsAt)/365.25)/2+O432*('Deal maths'!AA432-AsAt)/365.25)/I432,IF(C432="Annuity",IF(F432&gt;0,((K432-L432*F432)*((IF(DAY(E432+1)=1,EOMONTH(E432,H432*D432),EDATE(E432,H432*D432))-AsAt)/365.25*((1+F432)^(I432-O432)-1)/F432+IF((I432-O432)&gt;1,((IF(DAY(E432+1)=1,EOMONTH(E432,(N432-1)*D432),EDATE(E432,(N432-1)*D432))-AsAt)/365.25-(IF(DAY(E432+1)=1,EOMONTH(E432,H432*D432),EDATE(E432,H432*D432))-AsAt)/365.25)/((I432-O432)-1),0)*(1+F432)*(1-(I432-O432)*(1+F432)^((I432-O432)-1)+((I432-O432)-1)*(1+F432)^(I432-O432))/F432^2)+O432*(K432-L432*F432)*(1+F432)^(I432-1)*('Deal maths'!AA432-AsAt)/365.25)/L432,((I432-O432)*((IF(DAY(E432+1)=1,EOMONTH(E432,H432*D432),EDATE(E432,H432*D432))-AsAt)/365.25+(IF(DAY(E432+1)=1,EOMONTH(E432,(N432-1)*D432),EDATE(E432,(N432-1)*D432))-AsAt)/365.25)/2+O432*('Deal maths'!AA432-AsAt)/365.25)/I432),(S432-AsAt)/365.25)),0))</f>
        <v/>
      </c>
      <c r="Q432" s="109">
        <f>IF(B432=1,'Deal maths'!AA432+ROW()/1000000,"")</f>
        <v/>
      </c>
      <c r="R432" s="108">
        <f>IF(D432=0,0,IF(DAY(E432+1)=1,31,DAY(E432)))</f>
        <v/>
      </c>
      <c r="S432" s="109">
        <f>IF(AND('Deal maths'!V432="LOBO",'Deal maths'!AG432&gt;AsAt,'Deal maths'!AG432&lt;'Deal maths'!AA432),'Deal maths'!AG432,'Deal maths'!AA432)</f>
        <v/>
      </c>
      <c r="T432" s="108">
        <f>('Deal maths'!AA432&gt;AsAt)*('Deal maths'!Y432&gt;0)</f>
        <v/>
      </c>
    </row>
    <row r="433">
      <c r="A433" s="91">
        <f>IF('Deal maths'!V433="","",'Deal maths'!W433)</f>
        <v/>
      </c>
      <c r="B433" s="108">
        <f>('Deal maths'!AA433&gt;AsAt)*('Deal maths'!Y433&gt;0)*('Deal maths'!Z433&lt;=AsAt)</f>
        <v/>
      </c>
      <c r="C433" s="91">
        <f>IF('Deal maths'!V433="","",IF('Deal maths'!AC433="","Maturity",'Deal maths'!AC433))</f>
        <v/>
      </c>
      <c r="D433" s="108">
        <f>IF(OR(C433="EIP",C433="Annuity"),IF('Deal maths'!AD433="Annual",12,IF('Deal maths'!AD433="Quarterly",3,6)),0)</f>
        <v/>
      </c>
      <c r="E433" s="109">
        <f>IFERROR(IF(D433=0,0,IF('Deal maths'!AE433&gt;0,IF('Deal maths'!AE433&gt;'Deal maths'!AA433,'Deal maths'!AA433,'Deal maths'!AE433),IF(IF(DAY('Deal maths'!AA433+1)=1,EOMONTH('Deal maths'!AA433,-(INT(((YEAR('Deal maths'!AA433)-YEAR(IF('Deal maths'!Z433&gt;0,'Deal maths'!Z433,DATE(1990,1,1))))*12+MONTH('Deal maths'!AA433)-MONTH(IF('Deal maths'!Z433&gt;0,'Deal maths'!Z433,DATE(1990,1,1))))/D433))*D433),EDATE('Deal maths'!AA433,-(INT(((YEAR('Deal maths'!AA433)-YEAR(IF('Deal maths'!Z433&gt;0,'Deal maths'!Z433,DATE(1990,1,1))))*12+MONTH('Deal maths'!AA433)-MONTH(IF('Deal maths'!Z433&gt;0,'Deal maths'!Z433,DATE(1990,1,1))))/D433))*D433))&gt;IF('Deal maths'!Z433&gt;0,'Deal maths'!Z433,DATE(1990,1,1)),IF(DAY('Deal maths'!AA433+1)=1,EOMONTH('Deal maths'!AA433,-(INT(((YEAR('Deal maths'!AA433)-YEAR(IF('Deal maths'!Z433&gt;0,'Deal maths'!Z433,DATE(1990,1,1))))*12+MONTH('Deal maths'!AA433)-MONTH(IF('Deal maths'!Z433&gt;0,'Deal maths'!Z433,DATE(1990,1,1))))/D433))*D433),EDATE('Deal maths'!AA433,-(INT(((YEAR('Deal maths'!AA433)-YEAR(IF('Deal maths'!Z433&gt;0,'Deal maths'!Z433,DATE(1990,1,1))))*12+MONTH('Deal maths'!AA433)-MONTH(IF('Deal maths'!Z433&gt;0,'Deal maths'!Z433,DATE(1990,1,1))))/D433))*D433)),IF(DAY('Deal maths'!AA433+1)=1,EOMONTH('Deal maths'!AA433,-(INT(((YEAR('Deal maths'!AA433)-YEAR(IF('Deal maths'!Z433&gt;0,'Deal maths'!Z433,DATE(1990,1,1))))*12+MONTH('Deal maths'!AA433)-MONTH(IF('Deal maths'!Z433&gt;0,'Deal maths'!Z433,DATE(1990,1,1))))/D433)-1)*D433),EDATE('Deal maths'!AA433,-(INT(((YEAR('Deal maths'!AA433)-YEAR(IF('Deal maths'!Z433&gt;0,'Deal maths'!Z433,DATE(1990,1,1))))*12+MONTH('Deal maths'!AA433)-MONTH(IF('Deal maths'!Z433&gt;0,'Deal maths'!Z433,DATE(1990,1,1))))/D433)-1)*D433))))),0)</f>
        <v/>
      </c>
      <c r="F433" s="110">
        <f>IF(D433=0,0,'Deal maths'!AB433*D433/12)</f>
        <v/>
      </c>
      <c r="G433" s="108">
        <f>N433+O433</f>
        <v/>
      </c>
      <c r="H433" s="108">
        <f>IFERROR(IF(OR(D433=0,AsAt&lt;E433),0,MIN(N433,INT(((YEAR(AsAt)-YEAR(E433))*12+MONTH(AsAt)-MONTH(E433)-(DAY(AsAt)&lt;MIN(R433,DAY(EOMONTH(AsAt,0)))))/D433)+1)+O433*(AsAt&gt;='Deal maths'!AA433)),0)</f>
        <v/>
      </c>
      <c r="I433" s="108">
        <f>G433-H433</f>
        <v/>
      </c>
      <c r="J433" s="111">
        <f>IF(AND(C433="EIP",I433&gt;0),'Deal maths'!Y433/I433,0)</f>
        <v/>
      </c>
      <c r="K433" s="111">
        <f>IF(AND(C433="Annuity",I433&gt;0),IF(F433&gt;0,'Deal maths'!Y433*F433/(1-(1+F433)^-I433),'Deal maths'!Y433/I433),0)</f>
        <v/>
      </c>
      <c r="L433" s="111">
        <f>IF('Deal maths'!Y433="",0,'Deal maths'!Y433)</f>
        <v/>
      </c>
      <c r="M433" s="112">
        <f>F433+(F433=0)</f>
        <v/>
      </c>
      <c r="N433" s="108">
        <f>IFERROR(IF(D433=0,0,INT(((YEAR('Deal maths'!AA433)-YEAR(E433))*12+MONTH('Deal maths'!AA433)-MONTH(E433)-(DAY('Deal maths'!AA433)&lt;MIN(R433,DAY(EOMONTH('Deal maths'!AA433,0)))))/D433)+1),0)</f>
        <v/>
      </c>
      <c r="O433" s="108">
        <f>IFERROR(IF(D433=0,0,IF(IF(DAY(E433+1)=1,EOMONTH(E433,(N433-1)*D433),EDATE(E433,(N433-1)*D433))='Deal maths'!AA433,0,1)),0)</f>
        <v/>
      </c>
      <c r="P433" s="113">
        <f>IF(B433=0,0,IFERROR(IF(C433="EIP",((I433-O433)*((IF(DAY(E433+1)=1,EOMONTH(E433,H433*D433),EDATE(E433,H433*D433))-AsAt)/365.25+(IF(DAY(E433+1)=1,EOMONTH(E433,(N433-1)*D433),EDATE(E433,(N433-1)*D433))-AsAt)/365.25)/2+O433*('Deal maths'!AA433-AsAt)/365.25)/I433,IF(C433="Annuity",IF(F433&gt;0,((K433-L433*F433)*((IF(DAY(E433+1)=1,EOMONTH(E433,H433*D433),EDATE(E433,H433*D433))-AsAt)/365.25*((1+F433)^(I433-O433)-1)/F433+IF((I433-O433)&gt;1,((IF(DAY(E433+1)=1,EOMONTH(E433,(N433-1)*D433),EDATE(E433,(N433-1)*D433))-AsAt)/365.25-(IF(DAY(E433+1)=1,EOMONTH(E433,H433*D433),EDATE(E433,H433*D433))-AsAt)/365.25)/((I433-O433)-1),0)*(1+F433)*(1-(I433-O433)*(1+F433)^((I433-O433)-1)+((I433-O433)-1)*(1+F433)^(I433-O433))/F433^2)+O433*(K433-L433*F433)*(1+F433)^(I433-1)*('Deal maths'!AA433-AsAt)/365.25)/L433,((I433-O433)*((IF(DAY(E433+1)=1,EOMONTH(E433,H433*D433),EDATE(E433,H433*D433))-AsAt)/365.25+(IF(DAY(E433+1)=1,EOMONTH(E433,(N433-1)*D433),EDATE(E433,(N433-1)*D433))-AsAt)/365.25)/2+O433*('Deal maths'!AA433-AsAt)/365.25)/I433),(S433-AsAt)/365.25)),0))</f>
        <v/>
      </c>
      <c r="Q433" s="109">
        <f>IF(B433=1,'Deal maths'!AA433+ROW()/1000000,"")</f>
        <v/>
      </c>
      <c r="R433" s="108">
        <f>IF(D433=0,0,IF(DAY(E433+1)=1,31,DAY(E433)))</f>
        <v/>
      </c>
      <c r="S433" s="109">
        <f>IF(AND('Deal maths'!V433="LOBO",'Deal maths'!AG433&gt;AsAt,'Deal maths'!AG433&lt;'Deal maths'!AA433),'Deal maths'!AG433,'Deal maths'!AA433)</f>
        <v/>
      </c>
      <c r="T433" s="108">
        <f>('Deal maths'!AA433&gt;AsAt)*('Deal maths'!Y433&gt;0)</f>
        <v/>
      </c>
    </row>
    <row r="434">
      <c r="A434" s="91">
        <f>IF('Deal maths'!V434="","",'Deal maths'!W434)</f>
        <v/>
      </c>
      <c r="B434" s="108">
        <f>('Deal maths'!AA434&gt;AsAt)*('Deal maths'!Y434&gt;0)*('Deal maths'!Z434&lt;=AsAt)</f>
        <v/>
      </c>
      <c r="C434" s="91">
        <f>IF('Deal maths'!V434="","",IF('Deal maths'!AC434="","Maturity",'Deal maths'!AC434))</f>
        <v/>
      </c>
      <c r="D434" s="108">
        <f>IF(OR(C434="EIP",C434="Annuity"),IF('Deal maths'!AD434="Annual",12,IF('Deal maths'!AD434="Quarterly",3,6)),0)</f>
        <v/>
      </c>
      <c r="E434" s="109">
        <f>IFERROR(IF(D434=0,0,IF('Deal maths'!AE434&gt;0,IF('Deal maths'!AE434&gt;'Deal maths'!AA434,'Deal maths'!AA434,'Deal maths'!AE434),IF(IF(DAY('Deal maths'!AA434+1)=1,EOMONTH('Deal maths'!AA434,-(INT(((YEAR('Deal maths'!AA434)-YEAR(IF('Deal maths'!Z434&gt;0,'Deal maths'!Z434,DATE(1990,1,1))))*12+MONTH('Deal maths'!AA434)-MONTH(IF('Deal maths'!Z434&gt;0,'Deal maths'!Z434,DATE(1990,1,1))))/D434))*D434),EDATE('Deal maths'!AA434,-(INT(((YEAR('Deal maths'!AA434)-YEAR(IF('Deal maths'!Z434&gt;0,'Deal maths'!Z434,DATE(1990,1,1))))*12+MONTH('Deal maths'!AA434)-MONTH(IF('Deal maths'!Z434&gt;0,'Deal maths'!Z434,DATE(1990,1,1))))/D434))*D434))&gt;IF('Deal maths'!Z434&gt;0,'Deal maths'!Z434,DATE(1990,1,1)),IF(DAY('Deal maths'!AA434+1)=1,EOMONTH('Deal maths'!AA434,-(INT(((YEAR('Deal maths'!AA434)-YEAR(IF('Deal maths'!Z434&gt;0,'Deal maths'!Z434,DATE(1990,1,1))))*12+MONTH('Deal maths'!AA434)-MONTH(IF('Deal maths'!Z434&gt;0,'Deal maths'!Z434,DATE(1990,1,1))))/D434))*D434),EDATE('Deal maths'!AA434,-(INT(((YEAR('Deal maths'!AA434)-YEAR(IF('Deal maths'!Z434&gt;0,'Deal maths'!Z434,DATE(1990,1,1))))*12+MONTH('Deal maths'!AA434)-MONTH(IF('Deal maths'!Z434&gt;0,'Deal maths'!Z434,DATE(1990,1,1))))/D434))*D434)),IF(DAY('Deal maths'!AA434+1)=1,EOMONTH('Deal maths'!AA434,-(INT(((YEAR('Deal maths'!AA434)-YEAR(IF('Deal maths'!Z434&gt;0,'Deal maths'!Z434,DATE(1990,1,1))))*12+MONTH('Deal maths'!AA434)-MONTH(IF('Deal maths'!Z434&gt;0,'Deal maths'!Z434,DATE(1990,1,1))))/D434)-1)*D434),EDATE('Deal maths'!AA434,-(INT(((YEAR('Deal maths'!AA434)-YEAR(IF('Deal maths'!Z434&gt;0,'Deal maths'!Z434,DATE(1990,1,1))))*12+MONTH('Deal maths'!AA434)-MONTH(IF('Deal maths'!Z434&gt;0,'Deal maths'!Z434,DATE(1990,1,1))))/D434)-1)*D434))))),0)</f>
        <v/>
      </c>
      <c r="F434" s="110">
        <f>IF(D434=0,0,'Deal maths'!AB434*D434/12)</f>
        <v/>
      </c>
      <c r="G434" s="108">
        <f>N434+O434</f>
        <v/>
      </c>
      <c r="H434" s="108">
        <f>IFERROR(IF(OR(D434=0,AsAt&lt;E434),0,MIN(N434,INT(((YEAR(AsAt)-YEAR(E434))*12+MONTH(AsAt)-MONTH(E434)-(DAY(AsAt)&lt;MIN(R434,DAY(EOMONTH(AsAt,0)))))/D434)+1)+O434*(AsAt&gt;='Deal maths'!AA434)),0)</f>
        <v/>
      </c>
      <c r="I434" s="108">
        <f>G434-H434</f>
        <v/>
      </c>
      <c r="J434" s="111">
        <f>IF(AND(C434="EIP",I434&gt;0),'Deal maths'!Y434/I434,0)</f>
        <v/>
      </c>
      <c r="K434" s="111">
        <f>IF(AND(C434="Annuity",I434&gt;0),IF(F434&gt;0,'Deal maths'!Y434*F434/(1-(1+F434)^-I434),'Deal maths'!Y434/I434),0)</f>
        <v/>
      </c>
      <c r="L434" s="111">
        <f>IF('Deal maths'!Y434="",0,'Deal maths'!Y434)</f>
        <v/>
      </c>
      <c r="M434" s="112">
        <f>F434+(F434=0)</f>
        <v/>
      </c>
      <c r="N434" s="108">
        <f>IFERROR(IF(D434=0,0,INT(((YEAR('Deal maths'!AA434)-YEAR(E434))*12+MONTH('Deal maths'!AA434)-MONTH(E434)-(DAY('Deal maths'!AA434)&lt;MIN(R434,DAY(EOMONTH('Deal maths'!AA434,0)))))/D434)+1),0)</f>
        <v/>
      </c>
      <c r="O434" s="108">
        <f>IFERROR(IF(D434=0,0,IF(IF(DAY(E434+1)=1,EOMONTH(E434,(N434-1)*D434),EDATE(E434,(N434-1)*D434))='Deal maths'!AA434,0,1)),0)</f>
        <v/>
      </c>
      <c r="P434" s="113">
        <f>IF(B434=0,0,IFERROR(IF(C434="EIP",((I434-O434)*((IF(DAY(E434+1)=1,EOMONTH(E434,H434*D434),EDATE(E434,H434*D434))-AsAt)/365.25+(IF(DAY(E434+1)=1,EOMONTH(E434,(N434-1)*D434),EDATE(E434,(N434-1)*D434))-AsAt)/365.25)/2+O434*('Deal maths'!AA434-AsAt)/365.25)/I434,IF(C434="Annuity",IF(F434&gt;0,((K434-L434*F434)*((IF(DAY(E434+1)=1,EOMONTH(E434,H434*D434),EDATE(E434,H434*D434))-AsAt)/365.25*((1+F434)^(I434-O434)-1)/F434+IF((I434-O434)&gt;1,((IF(DAY(E434+1)=1,EOMONTH(E434,(N434-1)*D434),EDATE(E434,(N434-1)*D434))-AsAt)/365.25-(IF(DAY(E434+1)=1,EOMONTH(E434,H434*D434),EDATE(E434,H434*D434))-AsAt)/365.25)/((I434-O434)-1),0)*(1+F434)*(1-(I434-O434)*(1+F434)^((I434-O434)-1)+((I434-O434)-1)*(1+F434)^(I434-O434))/F434^2)+O434*(K434-L434*F434)*(1+F434)^(I434-1)*('Deal maths'!AA434-AsAt)/365.25)/L434,((I434-O434)*((IF(DAY(E434+1)=1,EOMONTH(E434,H434*D434),EDATE(E434,H434*D434))-AsAt)/365.25+(IF(DAY(E434+1)=1,EOMONTH(E434,(N434-1)*D434),EDATE(E434,(N434-1)*D434))-AsAt)/365.25)/2+O434*('Deal maths'!AA434-AsAt)/365.25)/I434),(S434-AsAt)/365.25)),0))</f>
        <v/>
      </c>
      <c r="Q434" s="109">
        <f>IF(B434=1,'Deal maths'!AA434+ROW()/1000000,"")</f>
        <v/>
      </c>
      <c r="R434" s="108">
        <f>IF(D434=0,0,IF(DAY(E434+1)=1,31,DAY(E434)))</f>
        <v/>
      </c>
      <c r="S434" s="109">
        <f>IF(AND('Deal maths'!V434="LOBO",'Deal maths'!AG434&gt;AsAt,'Deal maths'!AG434&lt;'Deal maths'!AA434),'Deal maths'!AG434,'Deal maths'!AA434)</f>
        <v/>
      </c>
      <c r="T434" s="108">
        <f>('Deal maths'!AA434&gt;AsAt)*('Deal maths'!Y434&gt;0)</f>
        <v/>
      </c>
    </row>
    <row r="435">
      <c r="A435" s="91">
        <f>IF('Deal maths'!V435="","",'Deal maths'!W435)</f>
        <v/>
      </c>
      <c r="B435" s="108">
        <f>('Deal maths'!AA435&gt;AsAt)*('Deal maths'!Y435&gt;0)*('Deal maths'!Z435&lt;=AsAt)</f>
        <v/>
      </c>
      <c r="C435" s="91">
        <f>IF('Deal maths'!V435="","",IF('Deal maths'!AC435="","Maturity",'Deal maths'!AC435))</f>
        <v/>
      </c>
      <c r="D435" s="108">
        <f>IF(OR(C435="EIP",C435="Annuity"),IF('Deal maths'!AD435="Annual",12,IF('Deal maths'!AD435="Quarterly",3,6)),0)</f>
        <v/>
      </c>
      <c r="E435" s="109">
        <f>IFERROR(IF(D435=0,0,IF('Deal maths'!AE435&gt;0,IF('Deal maths'!AE435&gt;'Deal maths'!AA435,'Deal maths'!AA435,'Deal maths'!AE435),IF(IF(DAY('Deal maths'!AA435+1)=1,EOMONTH('Deal maths'!AA435,-(INT(((YEAR('Deal maths'!AA435)-YEAR(IF('Deal maths'!Z435&gt;0,'Deal maths'!Z435,DATE(1990,1,1))))*12+MONTH('Deal maths'!AA435)-MONTH(IF('Deal maths'!Z435&gt;0,'Deal maths'!Z435,DATE(1990,1,1))))/D435))*D435),EDATE('Deal maths'!AA435,-(INT(((YEAR('Deal maths'!AA435)-YEAR(IF('Deal maths'!Z435&gt;0,'Deal maths'!Z435,DATE(1990,1,1))))*12+MONTH('Deal maths'!AA435)-MONTH(IF('Deal maths'!Z435&gt;0,'Deal maths'!Z435,DATE(1990,1,1))))/D435))*D435))&gt;IF('Deal maths'!Z435&gt;0,'Deal maths'!Z435,DATE(1990,1,1)),IF(DAY('Deal maths'!AA435+1)=1,EOMONTH('Deal maths'!AA435,-(INT(((YEAR('Deal maths'!AA435)-YEAR(IF('Deal maths'!Z435&gt;0,'Deal maths'!Z435,DATE(1990,1,1))))*12+MONTH('Deal maths'!AA435)-MONTH(IF('Deal maths'!Z435&gt;0,'Deal maths'!Z435,DATE(1990,1,1))))/D435))*D435),EDATE('Deal maths'!AA435,-(INT(((YEAR('Deal maths'!AA435)-YEAR(IF('Deal maths'!Z435&gt;0,'Deal maths'!Z435,DATE(1990,1,1))))*12+MONTH('Deal maths'!AA435)-MONTH(IF('Deal maths'!Z435&gt;0,'Deal maths'!Z435,DATE(1990,1,1))))/D435))*D435)),IF(DAY('Deal maths'!AA435+1)=1,EOMONTH('Deal maths'!AA435,-(INT(((YEAR('Deal maths'!AA435)-YEAR(IF('Deal maths'!Z435&gt;0,'Deal maths'!Z435,DATE(1990,1,1))))*12+MONTH('Deal maths'!AA435)-MONTH(IF('Deal maths'!Z435&gt;0,'Deal maths'!Z435,DATE(1990,1,1))))/D435)-1)*D435),EDATE('Deal maths'!AA435,-(INT(((YEAR('Deal maths'!AA435)-YEAR(IF('Deal maths'!Z435&gt;0,'Deal maths'!Z435,DATE(1990,1,1))))*12+MONTH('Deal maths'!AA435)-MONTH(IF('Deal maths'!Z435&gt;0,'Deal maths'!Z435,DATE(1990,1,1))))/D435)-1)*D435))))),0)</f>
        <v/>
      </c>
      <c r="F435" s="110">
        <f>IF(D435=0,0,'Deal maths'!AB435*D435/12)</f>
        <v/>
      </c>
      <c r="G435" s="108">
        <f>N435+O435</f>
        <v/>
      </c>
      <c r="H435" s="108">
        <f>IFERROR(IF(OR(D435=0,AsAt&lt;E435),0,MIN(N435,INT(((YEAR(AsAt)-YEAR(E435))*12+MONTH(AsAt)-MONTH(E435)-(DAY(AsAt)&lt;MIN(R435,DAY(EOMONTH(AsAt,0)))))/D435)+1)+O435*(AsAt&gt;='Deal maths'!AA435)),0)</f>
        <v/>
      </c>
      <c r="I435" s="108">
        <f>G435-H435</f>
        <v/>
      </c>
      <c r="J435" s="111">
        <f>IF(AND(C435="EIP",I435&gt;0),'Deal maths'!Y435/I435,0)</f>
        <v/>
      </c>
      <c r="K435" s="111">
        <f>IF(AND(C435="Annuity",I435&gt;0),IF(F435&gt;0,'Deal maths'!Y435*F435/(1-(1+F435)^-I435),'Deal maths'!Y435/I435),0)</f>
        <v/>
      </c>
      <c r="L435" s="111">
        <f>IF('Deal maths'!Y435="",0,'Deal maths'!Y435)</f>
        <v/>
      </c>
      <c r="M435" s="112">
        <f>F435+(F435=0)</f>
        <v/>
      </c>
      <c r="N435" s="108">
        <f>IFERROR(IF(D435=0,0,INT(((YEAR('Deal maths'!AA435)-YEAR(E435))*12+MONTH('Deal maths'!AA435)-MONTH(E435)-(DAY('Deal maths'!AA435)&lt;MIN(R435,DAY(EOMONTH('Deal maths'!AA435,0)))))/D435)+1),0)</f>
        <v/>
      </c>
      <c r="O435" s="108">
        <f>IFERROR(IF(D435=0,0,IF(IF(DAY(E435+1)=1,EOMONTH(E435,(N435-1)*D435),EDATE(E435,(N435-1)*D435))='Deal maths'!AA435,0,1)),0)</f>
        <v/>
      </c>
      <c r="P435" s="113">
        <f>IF(B435=0,0,IFERROR(IF(C435="EIP",((I435-O435)*((IF(DAY(E435+1)=1,EOMONTH(E435,H435*D435),EDATE(E435,H435*D435))-AsAt)/365.25+(IF(DAY(E435+1)=1,EOMONTH(E435,(N435-1)*D435),EDATE(E435,(N435-1)*D435))-AsAt)/365.25)/2+O435*('Deal maths'!AA435-AsAt)/365.25)/I435,IF(C435="Annuity",IF(F435&gt;0,((K435-L435*F435)*((IF(DAY(E435+1)=1,EOMONTH(E435,H435*D435),EDATE(E435,H435*D435))-AsAt)/365.25*((1+F435)^(I435-O435)-1)/F435+IF((I435-O435)&gt;1,((IF(DAY(E435+1)=1,EOMONTH(E435,(N435-1)*D435),EDATE(E435,(N435-1)*D435))-AsAt)/365.25-(IF(DAY(E435+1)=1,EOMONTH(E435,H435*D435),EDATE(E435,H435*D435))-AsAt)/365.25)/((I435-O435)-1),0)*(1+F435)*(1-(I435-O435)*(1+F435)^((I435-O435)-1)+((I435-O435)-1)*(1+F435)^(I435-O435))/F435^2)+O435*(K435-L435*F435)*(1+F435)^(I435-1)*('Deal maths'!AA435-AsAt)/365.25)/L435,((I435-O435)*((IF(DAY(E435+1)=1,EOMONTH(E435,H435*D435),EDATE(E435,H435*D435))-AsAt)/365.25+(IF(DAY(E435+1)=1,EOMONTH(E435,(N435-1)*D435),EDATE(E435,(N435-1)*D435))-AsAt)/365.25)/2+O435*('Deal maths'!AA435-AsAt)/365.25)/I435),(S435-AsAt)/365.25)),0))</f>
        <v/>
      </c>
      <c r="Q435" s="109">
        <f>IF(B435=1,'Deal maths'!AA435+ROW()/1000000,"")</f>
        <v/>
      </c>
      <c r="R435" s="108">
        <f>IF(D435=0,0,IF(DAY(E435+1)=1,31,DAY(E435)))</f>
        <v/>
      </c>
      <c r="S435" s="109">
        <f>IF(AND('Deal maths'!V435="LOBO",'Deal maths'!AG435&gt;AsAt,'Deal maths'!AG435&lt;'Deal maths'!AA435),'Deal maths'!AG435,'Deal maths'!AA435)</f>
        <v/>
      </c>
      <c r="T435" s="108">
        <f>('Deal maths'!AA435&gt;AsAt)*('Deal maths'!Y435&gt;0)</f>
        <v/>
      </c>
    </row>
    <row r="436">
      <c r="A436" s="91">
        <f>IF('Deal maths'!V436="","",'Deal maths'!W436)</f>
        <v/>
      </c>
      <c r="B436" s="108">
        <f>('Deal maths'!AA436&gt;AsAt)*('Deal maths'!Y436&gt;0)*('Deal maths'!Z436&lt;=AsAt)</f>
        <v/>
      </c>
      <c r="C436" s="91">
        <f>IF('Deal maths'!V436="","",IF('Deal maths'!AC436="","Maturity",'Deal maths'!AC436))</f>
        <v/>
      </c>
      <c r="D436" s="108">
        <f>IF(OR(C436="EIP",C436="Annuity"),IF('Deal maths'!AD436="Annual",12,IF('Deal maths'!AD436="Quarterly",3,6)),0)</f>
        <v/>
      </c>
      <c r="E436" s="109">
        <f>IFERROR(IF(D436=0,0,IF('Deal maths'!AE436&gt;0,IF('Deal maths'!AE436&gt;'Deal maths'!AA436,'Deal maths'!AA436,'Deal maths'!AE436),IF(IF(DAY('Deal maths'!AA436+1)=1,EOMONTH('Deal maths'!AA436,-(INT(((YEAR('Deal maths'!AA436)-YEAR(IF('Deal maths'!Z436&gt;0,'Deal maths'!Z436,DATE(1990,1,1))))*12+MONTH('Deal maths'!AA436)-MONTH(IF('Deal maths'!Z436&gt;0,'Deal maths'!Z436,DATE(1990,1,1))))/D436))*D436),EDATE('Deal maths'!AA436,-(INT(((YEAR('Deal maths'!AA436)-YEAR(IF('Deal maths'!Z436&gt;0,'Deal maths'!Z436,DATE(1990,1,1))))*12+MONTH('Deal maths'!AA436)-MONTH(IF('Deal maths'!Z436&gt;0,'Deal maths'!Z436,DATE(1990,1,1))))/D436))*D436))&gt;IF('Deal maths'!Z436&gt;0,'Deal maths'!Z436,DATE(1990,1,1)),IF(DAY('Deal maths'!AA436+1)=1,EOMONTH('Deal maths'!AA436,-(INT(((YEAR('Deal maths'!AA436)-YEAR(IF('Deal maths'!Z436&gt;0,'Deal maths'!Z436,DATE(1990,1,1))))*12+MONTH('Deal maths'!AA436)-MONTH(IF('Deal maths'!Z436&gt;0,'Deal maths'!Z436,DATE(1990,1,1))))/D436))*D436),EDATE('Deal maths'!AA436,-(INT(((YEAR('Deal maths'!AA436)-YEAR(IF('Deal maths'!Z436&gt;0,'Deal maths'!Z436,DATE(1990,1,1))))*12+MONTH('Deal maths'!AA436)-MONTH(IF('Deal maths'!Z436&gt;0,'Deal maths'!Z436,DATE(1990,1,1))))/D436))*D436)),IF(DAY('Deal maths'!AA436+1)=1,EOMONTH('Deal maths'!AA436,-(INT(((YEAR('Deal maths'!AA436)-YEAR(IF('Deal maths'!Z436&gt;0,'Deal maths'!Z436,DATE(1990,1,1))))*12+MONTH('Deal maths'!AA436)-MONTH(IF('Deal maths'!Z436&gt;0,'Deal maths'!Z436,DATE(1990,1,1))))/D436)-1)*D436),EDATE('Deal maths'!AA436,-(INT(((YEAR('Deal maths'!AA436)-YEAR(IF('Deal maths'!Z436&gt;0,'Deal maths'!Z436,DATE(1990,1,1))))*12+MONTH('Deal maths'!AA436)-MONTH(IF('Deal maths'!Z436&gt;0,'Deal maths'!Z436,DATE(1990,1,1))))/D436)-1)*D436))))),0)</f>
        <v/>
      </c>
      <c r="F436" s="110">
        <f>IF(D436=0,0,'Deal maths'!AB436*D436/12)</f>
        <v/>
      </c>
      <c r="G436" s="108">
        <f>N436+O436</f>
        <v/>
      </c>
      <c r="H436" s="108">
        <f>IFERROR(IF(OR(D436=0,AsAt&lt;E436),0,MIN(N436,INT(((YEAR(AsAt)-YEAR(E436))*12+MONTH(AsAt)-MONTH(E436)-(DAY(AsAt)&lt;MIN(R436,DAY(EOMONTH(AsAt,0)))))/D436)+1)+O436*(AsAt&gt;='Deal maths'!AA436)),0)</f>
        <v/>
      </c>
      <c r="I436" s="108">
        <f>G436-H436</f>
        <v/>
      </c>
      <c r="J436" s="111">
        <f>IF(AND(C436="EIP",I436&gt;0),'Deal maths'!Y436/I436,0)</f>
        <v/>
      </c>
      <c r="K436" s="111">
        <f>IF(AND(C436="Annuity",I436&gt;0),IF(F436&gt;0,'Deal maths'!Y436*F436/(1-(1+F436)^-I436),'Deal maths'!Y436/I436),0)</f>
        <v/>
      </c>
      <c r="L436" s="111">
        <f>IF('Deal maths'!Y436="",0,'Deal maths'!Y436)</f>
        <v/>
      </c>
      <c r="M436" s="112">
        <f>F436+(F436=0)</f>
        <v/>
      </c>
      <c r="N436" s="108">
        <f>IFERROR(IF(D436=0,0,INT(((YEAR('Deal maths'!AA436)-YEAR(E436))*12+MONTH('Deal maths'!AA436)-MONTH(E436)-(DAY('Deal maths'!AA436)&lt;MIN(R436,DAY(EOMONTH('Deal maths'!AA436,0)))))/D436)+1),0)</f>
        <v/>
      </c>
      <c r="O436" s="108">
        <f>IFERROR(IF(D436=0,0,IF(IF(DAY(E436+1)=1,EOMONTH(E436,(N436-1)*D436),EDATE(E436,(N436-1)*D436))='Deal maths'!AA436,0,1)),0)</f>
        <v/>
      </c>
      <c r="P436" s="113">
        <f>IF(B436=0,0,IFERROR(IF(C436="EIP",((I436-O436)*((IF(DAY(E436+1)=1,EOMONTH(E436,H436*D436),EDATE(E436,H436*D436))-AsAt)/365.25+(IF(DAY(E436+1)=1,EOMONTH(E436,(N436-1)*D436),EDATE(E436,(N436-1)*D436))-AsAt)/365.25)/2+O436*('Deal maths'!AA436-AsAt)/365.25)/I436,IF(C436="Annuity",IF(F436&gt;0,((K436-L436*F436)*((IF(DAY(E436+1)=1,EOMONTH(E436,H436*D436),EDATE(E436,H436*D436))-AsAt)/365.25*((1+F436)^(I436-O436)-1)/F436+IF((I436-O436)&gt;1,((IF(DAY(E436+1)=1,EOMONTH(E436,(N436-1)*D436),EDATE(E436,(N436-1)*D436))-AsAt)/365.25-(IF(DAY(E436+1)=1,EOMONTH(E436,H436*D436),EDATE(E436,H436*D436))-AsAt)/365.25)/((I436-O436)-1),0)*(1+F436)*(1-(I436-O436)*(1+F436)^((I436-O436)-1)+((I436-O436)-1)*(1+F436)^(I436-O436))/F436^2)+O436*(K436-L436*F436)*(1+F436)^(I436-1)*('Deal maths'!AA436-AsAt)/365.25)/L436,((I436-O436)*((IF(DAY(E436+1)=1,EOMONTH(E436,H436*D436),EDATE(E436,H436*D436))-AsAt)/365.25+(IF(DAY(E436+1)=1,EOMONTH(E436,(N436-1)*D436),EDATE(E436,(N436-1)*D436))-AsAt)/365.25)/2+O436*('Deal maths'!AA436-AsAt)/365.25)/I436),(S436-AsAt)/365.25)),0))</f>
        <v/>
      </c>
      <c r="Q436" s="109">
        <f>IF(B436=1,'Deal maths'!AA436+ROW()/1000000,"")</f>
        <v/>
      </c>
      <c r="R436" s="108">
        <f>IF(D436=0,0,IF(DAY(E436+1)=1,31,DAY(E436)))</f>
        <v/>
      </c>
      <c r="S436" s="109">
        <f>IF(AND('Deal maths'!V436="LOBO",'Deal maths'!AG436&gt;AsAt,'Deal maths'!AG436&lt;'Deal maths'!AA436),'Deal maths'!AG436,'Deal maths'!AA436)</f>
        <v/>
      </c>
      <c r="T436" s="108">
        <f>('Deal maths'!AA436&gt;AsAt)*('Deal maths'!Y436&gt;0)</f>
        <v/>
      </c>
    </row>
    <row r="437">
      <c r="A437" s="91">
        <f>IF('Deal maths'!V437="","",'Deal maths'!W437)</f>
        <v/>
      </c>
      <c r="B437" s="108">
        <f>('Deal maths'!AA437&gt;AsAt)*('Deal maths'!Y437&gt;0)*('Deal maths'!Z437&lt;=AsAt)</f>
        <v/>
      </c>
      <c r="C437" s="91">
        <f>IF('Deal maths'!V437="","",IF('Deal maths'!AC437="","Maturity",'Deal maths'!AC437))</f>
        <v/>
      </c>
      <c r="D437" s="108">
        <f>IF(OR(C437="EIP",C437="Annuity"),IF('Deal maths'!AD437="Annual",12,IF('Deal maths'!AD437="Quarterly",3,6)),0)</f>
        <v/>
      </c>
      <c r="E437" s="109">
        <f>IFERROR(IF(D437=0,0,IF('Deal maths'!AE437&gt;0,IF('Deal maths'!AE437&gt;'Deal maths'!AA437,'Deal maths'!AA437,'Deal maths'!AE437),IF(IF(DAY('Deal maths'!AA437+1)=1,EOMONTH('Deal maths'!AA437,-(INT(((YEAR('Deal maths'!AA437)-YEAR(IF('Deal maths'!Z437&gt;0,'Deal maths'!Z437,DATE(1990,1,1))))*12+MONTH('Deal maths'!AA437)-MONTH(IF('Deal maths'!Z437&gt;0,'Deal maths'!Z437,DATE(1990,1,1))))/D437))*D437),EDATE('Deal maths'!AA437,-(INT(((YEAR('Deal maths'!AA437)-YEAR(IF('Deal maths'!Z437&gt;0,'Deal maths'!Z437,DATE(1990,1,1))))*12+MONTH('Deal maths'!AA437)-MONTH(IF('Deal maths'!Z437&gt;0,'Deal maths'!Z437,DATE(1990,1,1))))/D437))*D437))&gt;IF('Deal maths'!Z437&gt;0,'Deal maths'!Z437,DATE(1990,1,1)),IF(DAY('Deal maths'!AA437+1)=1,EOMONTH('Deal maths'!AA437,-(INT(((YEAR('Deal maths'!AA437)-YEAR(IF('Deal maths'!Z437&gt;0,'Deal maths'!Z437,DATE(1990,1,1))))*12+MONTH('Deal maths'!AA437)-MONTH(IF('Deal maths'!Z437&gt;0,'Deal maths'!Z437,DATE(1990,1,1))))/D437))*D437),EDATE('Deal maths'!AA437,-(INT(((YEAR('Deal maths'!AA437)-YEAR(IF('Deal maths'!Z437&gt;0,'Deal maths'!Z437,DATE(1990,1,1))))*12+MONTH('Deal maths'!AA437)-MONTH(IF('Deal maths'!Z437&gt;0,'Deal maths'!Z437,DATE(1990,1,1))))/D437))*D437)),IF(DAY('Deal maths'!AA437+1)=1,EOMONTH('Deal maths'!AA437,-(INT(((YEAR('Deal maths'!AA437)-YEAR(IF('Deal maths'!Z437&gt;0,'Deal maths'!Z437,DATE(1990,1,1))))*12+MONTH('Deal maths'!AA437)-MONTH(IF('Deal maths'!Z437&gt;0,'Deal maths'!Z437,DATE(1990,1,1))))/D437)-1)*D437),EDATE('Deal maths'!AA437,-(INT(((YEAR('Deal maths'!AA437)-YEAR(IF('Deal maths'!Z437&gt;0,'Deal maths'!Z437,DATE(1990,1,1))))*12+MONTH('Deal maths'!AA437)-MONTH(IF('Deal maths'!Z437&gt;0,'Deal maths'!Z437,DATE(1990,1,1))))/D437)-1)*D437))))),0)</f>
        <v/>
      </c>
      <c r="F437" s="110">
        <f>IF(D437=0,0,'Deal maths'!AB437*D437/12)</f>
        <v/>
      </c>
      <c r="G437" s="108">
        <f>N437+O437</f>
        <v/>
      </c>
      <c r="H437" s="108">
        <f>IFERROR(IF(OR(D437=0,AsAt&lt;E437),0,MIN(N437,INT(((YEAR(AsAt)-YEAR(E437))*12+MONTH(AsAt)-MONTH(E437)-(DAY(AsAt)&lt;MIN(R437,DAY(EOMONTH(AsAt,0)))))/D437)+1)+O437*(AsAt&gt;='Deal maths'!AA437)),0)</f>
        <v/>
      </c>
      <c r="I437" s="108">
        <f>G437-H437</f>
        <v/>
      </c>
      <c r="J437" s="111">
        <f>IF(AND(C437="EIP",I437&gt;0),'Deal maths'!Y437/I437,0)</f>
        <v/>
      </c>
      <c r="K437" s="111">
        <f>IF(AND(C437="Annuity",I437&gt;0),IF(F437&gt;0,'Deal maths'!Y437*F437/(1-(1+F437)^-I437),'Deal maths'!Y437/I437),0)</f>
        <v/>
      </c>
      <c r="L437" s="111">
        <f>IF('Deal maths'!Y437="",0,'Deal maths'!Y437)</f>
        <v/>
      </c>
      <c r="M437" s="112">
        <f>F437+(F437=0)</f>
        <v/>
      </c>
      <c r="N437" s="108">
        <f>IFERROR(IF(D437=0,0,INT(((YEAR('Deal maths'!AA437)-YEAR(E437))*12+MONTH('Deal maths'!AA437)-MONTH(E437)-(DAY('Deal maths'!AA437)&lt;MIN(R437,DAY(EOMONTH('Deal maths'!AA437,0)))))/D437)+1),0)</f>
        <v/>
      </c>
      <c r="O437" s="108">
        <f>IFERROR(IF(D437=0,0,IF(IF(DAY(E437+1)=1,EOMONTH(E437,(N437-1)*D437),EDATE(E437,(N437-1)*D437))='Deal maths'!AA437,0,1)),0)</f>
        <v/>
      </c>
      <c r="P437" s="113">
        <f>IF(B437=0,0,IFERROR(IF(C437="EIP",((I437-O437)*((IF(DAY(E437+1)=1,EOMONTH(E437,H437*D437),EDATE(E437,H437*D437))-AsAt)/365.25+(IF(DAY(E437+1)=1,EOMONTH(E437,(N437-1)*D437),EDATE(E437,(N437-1)*D437))-AsAt)/365.25)/2+O437*('Deal maths'!AA437-AsAt)/365.25)/I437,IF(C437="Annuity",IF(F437&gt;0,((K437-L437*F437)*((IF(DAY(E437+1)=1,EOMONTH(E437,H437*D437),EDATE(E437,H437*D437))-AsAt)/365.25*((1+F437)^(I437-O437)-1)/F437+IF((I437-O437)&gt;1,((IF(DAY(E437+1)=1,EOMONTH(E437,(N437-1)*D437),EDATE(E437,(N437-1)*D437))-AsAt)/365.25-(IF(DAY(E437+1)=1,EOMONTH(E437,H437*D437),EDATE(E437,H437*D437))-AsAt)/365.25)/((I437-O437)-1),0)*(1+F437)*(1-(I437-O437)*(1+F437)^((I437-O437)-1)+((I437-O437)-1)*(1+F437)^(I437-O437))/F437^2)+O437*(K437-L437*F437)*(1+F437)^(I437-1)*('Deal maths'!AA437-AsAt)/365.25)/L437,((I437-O437)*((IF(DAY(E437+1)=1,EOMONTH(E437,H437*D437),EDATE(E437,H437*D437))-AsAt)/365.25+(IF(DAY(E437+1)=1,EOMONTH(E437,(N437-1)*D437),EDATE(E437,(N437-1)*D437))-AsAt)/365.25)/2+O437*('Deal maths'!AA437-AsAt)/365.25)/I437),(S437-AsAt)/365.25)),0))</f>
        <v/>
      </c>
      <c r="Q437" s="109">
        <f>IF(B437=1,'Deal maths'!AA437+ROW()/1000000,"")</f>
        <v/>
      </c>
      <c r="R437" s="108">
        <f>IF(D437=0,0,IF(DAY(E437+1)=1,31,DAY(E437)))</f>
        <v/>
      </c>
      <c r="S437" s="109">
        <f>IF(AND('Deal maths'!V437="LOBO",'Deal maths'!AG437&gt;AsAt,'Deal maths'!AG437&lt;'Deal maths'!AA437),'Deal maths'!AG437,'Deal maths'!AA437)</f>
        <v/>
      </c>
      <c r="T437" s="108">
        <f>('Deal maths'!AA437&gt;AsAt)*('Deal maths'!Y437&gt;0)</f>
        <v/>
      </c>
    </row>
    <row r="438">
      <c r="A438" s="91">
        <f>IF('Deal maths'!V438="","",'Deal maths'!W438)</f>
        <v/>
      </c>
      <c r="B438" s="108">
        <f>('Deal maths'!AA438&gt;AsAt)*('Deal maths'!Y438&gt;0)*('Deal maths'!Z438&lt;=AsAt)</f>
        <v/>
      </c>
      <c r="C438" s="91">
        <f>IF('Deal maths'!V438="","",IF('Deal maths'!AC438="","Maturity",'Deal maths'!AC438))</f>
        <v/>
      </c>
      <c r="D438" s="108">
        <f>IF(OR(C438="EIP",C438="Annuity"),IF('Deal maths'!AD438="Annual",12,IF('Deal maths'!AD438="Quarterly",3,6)),0)</f>
        <v/>
      </c>
      <c r="E438" s="109">
        <f>IFERROR(IF(D438=0,0,IF('Deal maths'!AE438&gt;0,IF('Deal maths'!AE438&gt;'Deal maths'!AA438,'Deal maths'!AA438,'Deal maths'!AE438),IF(IF(DAY('Deal maths'!AA438+1)=1,EOMONTH('Deal maths'!AA438,-(INT(((YEAR('Deal maths'!AA438)-YEAR(IF('Deal maths'!Z438&gt;0,'Deal maths'!Z438,DATE(1990,1,1))))*12+MONTH('Deal maths'!AA438)-MONTH(IF('Deal maths'!Z438&gt;0,'Deal maths'!Z438,DATE(1990,1,1))))/D438))*D438),EDATE('Deal maths'!AA438,-(INT(((YEAR('Deal maths'!AA438)-YEAR(IF('Deal maths'!Z438&gt;0,'Deal maths'!Z438,DATE(1990,1,1))))*12+MONTH('Deal maths'!AA438)-MONTH(IF('Deal maths'!Z438&gt;0,'Deal maths'!Z438,DATE(1990,1,1))))/D438))*D438))&gt;IF('Deal maths'!Z438&gt;0,'Deal maths'!Z438,DATE(1990,1,1)),IF(DAY('Deal maths'!AA438+1)=1,EOMONTH('Deal maths'!AA438,-(INT(((YEAR('Deal maths'!AA438)-YEAR(IF('Deal maths'!Z438&gt;0,'Deal maths'!Z438,DATE(1990,1,1))))*12+MONTH('Deal maths'!AA438)-MONTH(IF('Deal maths'!Z438&gt;0,'Deal maths'!Z438,DATE(1990,1,1))))/D438))*D438),EDATE('Deal maths'!AA438,-(INT(((YEAR('Deal maths'!AA438)-YEAR(IF('Deal maths'!Z438&gt;0,'Deal maths'!Z438,DATE(1990,1,1))))*12+MONTH('Deal maths'!AA438)-MONTH(IF('Deal maths'!Z438&gt;0,'Deal maths'!Z438,DATE(1990,1,1))))/D438))*D438)),IF(DAY('Deal maths'!AA438+1)=1,EOMONTH('Deal maths'!AA438,-(INT(((YEAR('Deal maths'!AA438)-YEAR(IF('Deal maths'!Z438&gt;0,'Deal maths'!Z438,DATE(1990,1,1))))*12+MONTH('Deal maths'!AA438)-MONTH(IF('Deal maths'!Z438&gt;0,'Deal maths'!Z438,DATE(1990,1,1))))/D438)-1)*D438),EDATE('Deal maths'!AA438,-(INT(((YEAR('Deal maths'!AA438)-YEAR(IF('Deal maths'!Z438&gt;0,'Deal maths'!Z438,DATE(1990,1,1))))*12+MONTH('Deal maths'!AA438)-MONTH(IF('Deal maths'!Z438&gt;0,'Deal maths'!Z438,DATE(1990,1,1))))/D438)-1)*D438))))),0)</f>
        <v/>
      </c>
      <c r="F438" s="110">
        <f>IF(D438=0,0,'Deal maths'!AB438*D438/12)</f>
        <v/>
      </c>
      <c r="G438" s="108">
        <f>N438+O438</f>
        <v/>
      </c>
      <c r="H438" s="108">
        <f>IFERROR(IF(OR(D438=0,AsAt&lt;E438),0,MIN(N438,INT(((YEAR(AsAt)-YEAR(E438))*12+MONTH(AsAt)-MONTH(E438)-(DAY(AsAt)&lt;MIN(R438,DAY(EOMONTH(AsAt,0)))))/D438)+1)+O438*(AsAt&gt;='Deal maths'!AA438)),0)</f>
        <v/>
      </c>
      <c r="I438" s="108">
        <f>G438-H438</f>
        <v/>
      </c>
      <c r="J438" s="111">
        <f>IF(AND(C438="EIP",I438&gt;0),'Deal maths'!Y438/I438,0)</f>
        <v/>
      </c>
      <c r="K438" s="111">
        <f>IF(AND(C438="Annuity",I438&gt;0),IF(F438&gt;0,'Deal maths'!Y438*F438/(1-(1+F438)^-I438),'Deal maths'!Y438/I438),0)</f>
        <v/>
      </c>
      <c r="L438" s="111">
        <f>IF('Deal maths'!Y438="",0,'Deal maths'!Y438)</f>
        <v/>
      </c>
      <c r="M438" s="112">
        <f>F438+(F438=0)</f>
        <v/>
      </c>
      <c r="N438" s="108">
        <f>IFERROR(IF(D438=0,0,INT(((YEAR('Deal maths'!AA438)-YEAR(E438))*12+MONTH('Deal maths'!AA438)-MONTH(E438)-(DAY('Deal maths'!AA438)&lt;MIN(R438,DAY(EOMONTH('Deal maths'!AA438,0)))))/D438)+1),0)</f>
        <v/>
      </c>
      <c r="O438" s="108">
        <f>IFERROR(IF(D438=0,0,IF(IF(DAY(E438+1)=1,EOMONTH(E438,(N438-1)*D438),EDATE(E438,(N438-1)*D438))='Deal maths'!AA438,0,1)),0)</f>
        <v/>
      </c>
      <c r="P438" s="113">
        <f>IF(B438=0,0,IFERROR(IF(C438="EIP",((I438-O438)*((IF(DAY(E438+1)=1,EOMONTH(E438,H438*D438),EDATE(E438,H438*D438))-AsAt)/365.25+(IF(DAY(E438+1)=1,EOMONTH(E438,(N438-1)*D438),EDATE(E438,(N438-1)*D438))-AsAt)/365.25)/2+O438*('Deal maths'!AA438-AsAt)/365.25)/I438,IF(C438="Annuity",IF(F438&gt;0,((K438-L438*F438)*((IF(DAY(E438+1)=1,EOMONTH(E438,H438*D438),EDATE(E438,H438*D438))-AsAt)/365.25*((1+F438)^(I438-O438)-1)/F438+IF((I438-O438)&gt;1,((IF(DAY(E438+1)=1,EOMONTH(E438,(N438-1)*D438),EDATE(E438,(N438-1)*D438))-AsAt)/365.25-(IF(DAY(E438+1)=1,EOMONTH(E438,H438*D438),EDATE(E438,H438*D438))-AsAt)/365.25)/((I438-O438)-1),0)*(1+F438)*(1-(I438-O438)*(1+F438)^((I438-O438)-1)+((I438-O438)-1)*(1+F438)^(I438-O438))/F438^2)+O438*(K438-L438*F438)*(1+F438)^(I438-1)*('Deal maths'!AA438-AsAt)/365.25)/L438,((I438-O438)*((IF(DAY(E438+1)=1,EOMONTH(E438,H438*D438),EDATE(E438,H438*D438))-AsAt)/365.25+(IF(DAY(E438+1)=1,EOMONTH(E438,(N438-1)*D438),EDATE(E438,(N438-1)*D438))-AsAt)/365.25)/2+O438*('Deal maths'!AA438-AsAt)/365.25)/I438),(S438-AsAt)/365.25)),0))</f>
        <v/>
      </c>
      <c r="Q438" s="109">
        <f>IF(B438=1,'Deal maths'!AA438+ROW()/1000000,"")</f>
        <v/>
      </c>
      <c r="R438" s="108">
        <f>IF(D438=0,0,IF(DAY(E438+1)=1,31,DAY(E438)))</f>
        <v/>
      </c>
      <c r="S438" s="109">
        <f>IF(AND('Deal maths'!V438="LOBO",'Deal maths'!AG438&gt;AsAt,'Deal maths'!AG438&lt;'Deal maths'!AA438),'Deal maths'!AG438,'Deal maths'!AA438)</f>
        <v/>
      </c>
      <c r="T438" s="108">
        <f>('Deal maths'!AA438&gt;AsAt)*('Deal maths'!Y438&gt;0)</f>
        <v/>
      </c>
    </row>
    <row r="439">
      <c r="A439" s="91">
        <f>IF('Deal maths'!V439="","",'Deal maths'!W439)</f>
        <v/>
      </c>
      <c r="B439" s="108">
        <f>('Deal maths'!AA439&gt;AsAt)*('Deal maths'!Y439&gt;0)*('Deal maths'!Z439&lt;=AsAt)</f>
        <v/>
      </c>
      <c r="C439" s="91">
        <f>IF('Deal maths'!V439="","",IF('Deal maths'!AC439="","Maturity",'Deal maths'!AC439))</f>
        <v/>
      </c>
      <c r="D439" s="108">
        <f>IF(OR(C439="EIP",C439="Annuity"),IF('Deal maths'!AD439="Annual",12,IF('Deal maths'!AD439="Quarterly",3,6)),0)</f>
        <v/>
      </c>
      <c r="E439" s="109">
        <f>IFERROR(IF(D439=0,0,IF('Deal maths'!AE439&gt;0,IF('Deal maths'!AE439&gt;'Deal maths'!AA439,'Deal maths'!AA439,'Deal maths'!AE439),IF(IF(DAY('Deal maths'!AA439+1)=1,EOMONTH('Deal maths'!AA439,-(INT(((YEAR('Deal maths'!AA439)-YEAR(IF('Deal maths'!Z439&gt;0,'Deal maths'!Z439,DATE(1990,1,1))))*12+MONTH('Deal maths'!AA439)-MONTH(IF('Deal maths'!Z439&gt;0,'Deal maths'!Z439,DATE(1990,1,1))))/D439))*D439),EDATE('Deal maths'!AA439,-(INT(((YEAR('Deal maths'!AA439)-YEAR(IF('Deal maths'!Z439&gt;0,'Deal maths'!Z439,DATE(1990,1,1))))*12+MONTH('Deal maths'!AA439)-MONTH(IF('Deal maths'!Z439&gt;0,'Deal maths'!Z439,DATE(1990,1,1))))/D439))*D439))&gt;IF('Deal maths'!Z439&gt;0,'Deal maths'!Z439,DATE(1990,1,1)),IF(DAY('Deal maths'!AA439+1)=1,EOMONTH('Deal maths'!AA439,-(INT(((YEAR('Deal maths'!AA439)-YEAR(IF('Deal maths'!Z439&gt;0,'Deal maths'!Z439,DATE(1990,1,1))))*12+MONTH('Deal maths'!AA439)-MONTH(IF('Deal maths'!Z439&gt;0,'Deal maths'!Z439,DATE(1990,1,1))))/D439))*D439),EDATE('Deal maths'!AA439,-(INT(((YEAR('Deal maths'!AA439)-YEAR(IF('Deal maths'!Z439&gt;0,'Deal maths'!Z439,DATE(1990,1,1))))*12+MONTH('Deal maths'!AA439)-MONTH(IF('Deal maths'!Z439&gt;0,'Deal maths'!Z439,DATE(1990,1,1))))/D439))*D439)),IF(DAY('Deal maths'!AA439+1)=1,EOMONTH('Deal maths'!AA439,-(INT(((YEAR('Deal maths'!AA439)-YEAR(IF('Deal maths'!Z439&gt;0,'Deal maths'!Z439,DATE(1990,1,1))))*12+MONTH('Deal maths'!AA439)-MONTH(IF('Deal maths'!Z439&gt;0,'Deal maths'!Z439,DATE(1990,1,1))))/D439)-1)*D439),EDATE('Deal maths'!AA439,-(INT(((YEAR('Deal maths'!AA439)-YEAR(IF('Deal maths'!Z439&gt;0,'Deal maths'!Z439,DATE(1990,1,1))))*12+MONTH('Deal maths'!AA439)-MONTH(IF('Deal maths'!Z439&gt;0,'Deal maths'!Z439,DATE(1990,1,1))))/D439)-1)*D439))))),0)</f>
        <v/>
      </c>
      <c r="F439" s="110">
        <f>IF(D439=0,0,'Deal maths'!AB439*D439/12)</f>
        <v/>
      </c>
      <c r="G439" s="108">
        <f>N439+O439</f>
        <v/>
      </c>
      <c r="H439" s="108">
        <f>IFERROR(IF(OR(D439=0,AsAt&lt;E439),0,MIN(N439,INT(((YEAR(AsAt)-YEAR(E439))*12+MONTH(AsAt)-MONTH(E439)-(DAY(AsAt)&lt;MIN(R439,DAY(EOMONTH(AsAt,0)))))/D439)+1)+O439*(AsAt&gt;='Deal maths'!AA439)),0)</f>
        <v/>
      </c>
      <c r="I439" s="108">
        <f>G439-H439</f>
        <v/>
      </c>
      <c r="J439" s="111">
        <f>IF(AND(C439="EIP",I439&gt;0),'Deal maths'!Y439/I439,0)</f>
        <v/>
      </c>
      <c r="K439" s="111">
        <f>IF(AND(C439="Annuity",I439&gt;0),IF(F439&gt;0,'Deal maths'!Y439*F439/(1-(1+F439)^-I439),'Deal maths'!Y439/I439),0)</f>
        <v/>
      </c>
      <c r="L439" s="111">
        <f>IF('Deal maths'!Y439="",0,'Deal maths'!Y439)</f>
        <v/>
      </c>
      <c r="M439" s="112">
        <f>F439+(F439=0)</f>
        <v/>
      </c>
      <c r="N439" s="108">
        <f>IFERROR(IF(D439=0,0,INT(((YEAR('Deal maths'!AA439)-YEAR(E439))*12+MONTH('Deal maths'!AA439)-MONTH(E439)-(DAY('Deal maths'!AA439)&lt;MIN(R439,DAY(EOMONTH('Deal maths'!AA439,0)))))/D439)+1),0)</f>
        <v/>
      </c>
      <c r="O439" s="108">
        <f>IFERROR(IF(D439=0,0,IF(IF(DAY(E439+1)=1,EOMONTH(E439,(N439-1)*D439),EDATE(E439,(N439-1)*D439))='Deal maths'!AA439,0,1)),0)</f>
        <v/>
      </c>
      <c r="P439" s="113">
        <f>IF(B439=0,0,IFERROR(IF(C439="EIP",((I439-O439)*((IF(DAY(E439+1)=1,EOMONTH(E439,H439*D439),EDATE(E439,H439*D439))-AsAt)/365.25+(IF(DAY(E439+1)=1,EOMONTH(E439,(N439-1)*D439),EDATE(E439,(N439-1)*D439))-AsAt)/365.25)/2+O439*('Deal maths'!AA439-AsAt)/365.25)/I439,IF(C439="Annuity",IF(F439&gt;0,((K439-L439*F439)*((IF(DAY(E439+1)=1,EOMONTH(E439,H439*D439),EDATE(E439,H439*D439))-AsAt)/365.25*((1+F439)^(I439-O439)-1)/F439+IF((I439-O439)&gt;1,((IF(DAY(E439+1)=1,EOMONTH(E439,(N439-1)*D439),EDATE(E439,(N439-1)*D439))-AsAt)/365.25-(IF(DAY(E439+1)=1,EOMONTH(E439,H439*D439),EDATE(E439,H439*D439))-AsAt)/365.25)/((I439-O439)-1),0)*(1+F439)*(1-(I439-O439)*(1+F439)^((I439-O439)-1)+((I439-O439)-1)*(1+F439)^(I439-O439))/F439^2)+O439*(K439-L439*F439)*(1+F439)^(I439-1)*('Deal maths'!AA439-AsAt)/365.25)/L439,((I439-O439)*((IF(DAY(E439+1)=1,EOMONTH(E439,H439*D439),EDATE(E439,H439*D439))-AsAt)/365.25+(IF(DAY(E439+1)=1,EOMONTH(E439,(N439-1)*D439),EDATE(E439,(N439-1)*D439))-AsAt)/365.25)/2+O439*('Deal maths'!AA439-AsAt)/365.25)/I439),(S439-AsAt)/365.25)),0))</f>
        <v/>
      </c>
      <c r="Q439" s="109">
        <f>IF(B439=1,'Deal maths'!AA439+ROW()/1000000,"")</f>
        <v/>
      </c>
      <c r="R439" s="108">
        <f>IF(D439=0,0,IF(DAY(E439+1)=1,31,DAY(E439)))</f>
        <v/>
      </c>
      <c r="S439" s="109">
        <f>IF(AND('Deal maths'!V439="LOBO",'Deal maths'!AG439&gt;AsAt,'Deal maths'!AG439&lt;'Deal maths'!AA439),'Deal maths'!AG439,'Deal maths'!AA439)</f>
        <v/>
      </c>
      <c r="T439" s="108">
        <f>('Deal maths'!AA439&gt;AsAt)*('Deal maths'!Y439&gt;0)</f>
        <v/>
      </c>
    </row>
    <row r="440">
      <c r="A440" s="91">
        <f>IF('Deal maths'!V440="","",'Deal maths'!W440)</f>
        <v/>
      </c>
      <c r="B440" s="108">
        <f>('Deal maths'!AA440&gt;AsAt)*('Deal maths'!Y440&gt;0)*('Deal maths'!Z440&lt;=AsAt)</f>
        <v/>
      </c>
      <c r="C440" s="91">
        <f>IF('Deal maths'!V440="","",IF('Deal maths'!AC440="","Maturity",'Deal maths'!AC440))</f>
        <v/>
      </c>
      <c r="D440" s="108">
        <f>IF(OR(C440="EIP",C440="Annuity"),IF('Deal maths'!AD440="Annual",12,IF('Deal maths'!AD440="Quarterly",3,6)),0)</f>
        <v/>
      </c>
      <c r="E440" s="109">
        <f>IFERROR(IF(D440=0,0,IF('Deal maths'!AE440&gt;0,IF('Deal maths'!AE440&gt;'Deal maths'!AA440,'Deal maths'!AA440,'Deal maths'!AE440),IF(IF(DAY('Deal maths'!AA440+1)=1,EOMONTH('Deal maths'!AA440,-(INT(((YEAR('Deal maths'!AA440)-YEAR(IF('Deal maths'!Z440&gt;0,'Deal maths'!Z440,DATE(1990,1,1))))*12+MONTH('Deal maths'!AA440)-MONTH(IF('Deal maths'!Z440&gt;0,'Deal maths'!Z440,DATE(1990,1,1))))/D440))*D440),EDATE('Deal maths'!AA440,-(INT(((YEAR('Deal maths'!AA440)-YEAR(IF('Deal maths'!Z440&gt;0,'Deal maths'!Z440,DATE(1990,1,1))))*12+MONTH('Deal maths'!AA440)-MONTH(IF('Deal maths'!Z440&gt;0,'Deal maths'!Z440,DATE(1990,1,1))))/D440))*D440))&gt;IF('Deal maths'!Z440&gt;0,'Deal maths'!Z440,DATE(1990,1,1)),IF(DAY('Deal maths'!AA440+1)=1,EOMONTH('Deal maths'!AA440,-(INT(((YEAR('Deal maths'!AA440)-YEAR(IF('Deal maths'!Z440&gt;0,'Deal maths'!Z440,DATE(1990,1,1))))*12+MONTH('Deal maths'!AA440)-MONTH(IF('Deal maths'!Z440&gt;0,'Deal maths'!Z440,DATE(1990,1,1))))/D440))*D440),EDATE('Deal maths'!AA440,-(INT(((YEAR('Deal maths'!AA440)-YEAR(IF('Deal maths'!Z440&gt;0,'Deal maths'!Z440,DATE(1990,1,1))))*12+MONTH('Deal maths'!AA440)-MONTH(IF('Deal maths'!Z440&gt;0,'Deal maths'!Z440,DATE(1990,1,1))))/D440))*D440)),IF(DAY('Deal maths'!AA440+1)=1,EOMONTH('Deal maths'!AA440,-(INT(((YEAR('Deal maths'!AA440)-YEAR(IF('Deal maths'!Z440&gt;0,'Deal maths'!Z440,DATE(1990,1,1))))*12+MONTH('Deal maths'!AA440)-MONTH(IF('Deal maths'!Z440&gt;0,'Deal maths'!Z440,DATE(1990,1,1))))/D440)-1)*D440),EDATE('Deal maths'!AA440,-(INT(((YEAR('Deal maths'!AA440)-YEAR(IF('Deal maths'!Z440&gt;0,'Deal maths'!Z440,DATE(1990,1,1))))*12+MONTH('Deal maths'!AA440)-MONTH(IF('Deal maths'!Z440&gt;0,'Deal maths'!Z440,DATE(1990,1,1))))/D440)-1)*D440))))),0)</f>
        <v/>
      </c>
      <c r="F440" s="110">
        <f>IF(D440=0,0,'Deal maths'!AB440*D440/12)</f>
        <v/>
      </c>
      <c r="G440" s="108">
        <f>N440+O440</f>
        <v/>
      </c>
      <c r="H440" s="108">
        <f>IFERROR(IF(OR(D440=0,AsAt&lt;E440),0,MIN(N440,INT(((YEAR(AsAt)-YEAR(E440))*12+MONTH(AsAt)-MONTH(E440)-(DAY(AsAt)&lt;MIN(R440,DAY(EOMONTH(AsAt,0)))))/D440)+1)+O440*(AsAt&gt;='Deal maths'!AA440)),0)</f>
        <v/>
      </c>
      <c r="I440" s="108">
        <f>G440-H440</f>
        <v/>
      </c>
      <c r="J440" s="111">
        <f>IF(AND(C440="EIP",I440&gt;0),'Deal maths'!Y440/I440,0)</f>
        <v/>
      </c>
      <c r="K440" s="111">
        <f>IF(AND(C440="Annuity",I440&gt;0),IF(F440&gt;0,'Deal maths'!Y440*F440/(1-(1+F440)^-I440),'Deal maths'!Y440/I440),0)</f>
        <v/>
      </c>
      <c r="L440" s="111">
        <f>IF('Deal maths'!Y440="",0,'Deal maths'!Y440)</f>
        <v/>
      </c>
      <c r="M440" s="112">
        <f>F440+(F440=0)</f>
        <v/>
      </c>
      <c r="N440" s="108">
        <f>IFERROR(IF(D440=0,0,INT(((YEAR('Deal maths'!AA440)-YEAR(E440))*12+MONTH('Deal maths'!AA440)-MONTH(E440)-(DAY('Deal maths'!AA440)&lt;MIN(R440,DAY(EOMONTH('Deal maths'!AA440,0)))))/D440)+1),0)</f>
        <v/>
      </c>
      <c r="O440" s="108">
        <f>IFERROR(IF(D440=0,0,IF(IF(DAY(E440+1)=1,EOMONTH(E440,(N440-1)*D440),EDATE(E440,(N440-1)*D440))='Deal maths'!AA440,0,1)),0)</f>
        <v/>
      </c>
      <c r="P440" s="113">
        <f>IF(B440=0,0,IFERROR(IF(C440="EIP",((I440-O440)*((IF(DAY(E440+1)=1,EOMONTH(E440,H440*D440),EDATE(E440,H440*D440))-AsAt)/365.25+(IF(DAY(E440+1)=1,EOMONTH(E440,(N440-1)*D440),EDATE(E440,(N440-1)*D440))-AsAt)/365.25)/2+O440*('Deal maths'!AA440-AsAt)/365.25)/I440,IF(C440="Annuity",IF(F440&gt;0,((K440-L440*F440)*((IF(DAY(E440+1)=1,EOMONTH(E440,H440*D440),EDATE(E440,H440*D440))-AsAt)/365.25*((1+F440)^(I440-O440)-1)/F440+IF((I440-O440)&gt;1,((IF(DAY(E440+1)=1,EOMONTH(E440,(N440-1)*D440),EDATE(E440,(N440-1)*D440))-AsAt)/365.25-(IF(DAY(E440+1)=1,EOMONTH(E440,H440*D440),EDATE(E440,H440*D440))-AsAt)/365.25)/((I440-O440)-1),0)*(1+F440)*(1-(I440-O440)*(1+F440)^((I440-O440)-1)+((I440-O440)-1)*(1+F440)^(I440-O440))/F440^2)+O440*(K440-L440*F440)*(1+F440)^(I440-1)*('Deal maths'!AA440-AsAt)/365.25)/L440,((I440-O440)*((IF(DAY(E440+1)=1,EOMONTH(E440,H440*D440),EDATE(E440,H440*D440))-AsAt)/365.25+(IF(DAY(E440+1)=1,EOMONTH(E440,(N440-1)*D440),EDATE(E440,(N440-1)*D440))-AsAt)/365.25)/2+O440*('Deal maths'!AA440-AsAt)/365.25)/I440),(S440-AsAt)/365.25)),0))</f>
        <v/>
      </c>
      <c r="Q440" s="109">
        <f>IF(B440=1,'Deal maths'!AA440+ROW()/1000000,"")</f>
        <v/>
      </c>
      <c r="R440" s="108">
        <f>IF(D440=0,0,IF(DAY(E440+1)=1,31,DAY(E440)))</f>
        <v/>
      </c>
      <c r="S440" s="109">
        <f>IF(AND('Deal maths'!V440="LOBO",'Deal maths'!AG440&gt;AsAt,'Deal maths'!AG440&lt;'Deal maths'!AA440),'Deal maths'!AG440,'Deal maths'!AA440)</f>
        <v/>
      </c>
      <c r="T440" s="108">
        <f>('Deal maths'!AA440&gt;AsAt)*('Deal maths'!Y440&gt;0)</f>
        <v/>
      </c>
    </row>
    <row r="441">
      <c r="A441" s="91">
        <f>IF('Deal maths'!V441="","",'Deal maths'!W441)</f>
        <v/>
      </c>
      <c r="B441" s="108">
        <f>('Deal maths'!AA441&gt;AsAt)*('Deal maths'!Y441&gt;0)*('Deal maths'!Z441&lt;=AsAt)</f>
        <v/>
      </c>
      <c r="C441" s="91">
        <f>IF('Deal maths'!V441="","",IF('Deal maths'!AC441="","Maturity",'Deal maths'!AC441))</f>
        <v/>
      </c>
      <c r="D441" s="108">
        <f>IF(OR(C441="EIP",C441="Annuity"),IF('Deal maths'!AD441="Annual",12,IF('Deal maths'!AD441="Quarterly",3,6)),0)</f>
        <v/>
      </c>
      <c r="E441" s="109">
        <f>IFERROR(IF(D441=0,0,IF('Deal maths'!AE441&gt;0,IF('Deal maths'!AE441&gt;'Deal maths'!AA441,'Deal maths'!AA441,'Deal maths'!AE441),IF(IF(DAY('Deal maths'!AA441+1)=1,EOMONTH('Deal maths'!AA441,-(INT(((YEAR('Deal maths'!AA441)-YEAR(IF('Deal maths'!Z441&gt;0,'Deal maths'!Z441,DATE(1990,1,1))))*12+MONTH('Deal maths'!AA441)-MONTH(IF('Deal maths'!Z441&gt;0,'Deal maths'!Z441,DATE(1990,1,1))))/D441))*D441),EDATE('Deal maths'!AA441,-(INT(((YEAR('Deal maths'!AA441)-YEAR(IF('Deal maths'!Z441&gt;0,'Deal maths'!Z441,DATE(1990,1,1))))*12+MONTH('Deal maths'!AA441)-MONTH(IF('Deal maths'!Z441&gt;0,'Deal maths'!Z441,DATE(1990,1,1))))/D441))*D441))&gt;IF('Deal maths'!Z441&gt;0,'Deal maths'!Z441,DATE(1990,1,1)),IF(DAY('Deal maths'!AA441+1)=1,EOMONTH('Deal maths'!AA441,-(INT(((YEAR('Deal maths'!AA441)-YEAR(IF('Deal maths'!Z441&gt;0,'Deal maths'!Z441,DATE(1990,1,1))))*12+MONTH('Deal maths'!AA441)-MONTH(IF('Deal maths'!Z441&gt;0,'Deal maths'!Z441,DATE(1990,1,1))))/D441))*D441),EDATE('Deal maths'!AA441,-(INT(((YEAR('Deal maths'!AA441)-YEAR(IF('Deal maths'!Z441&gt;0,'Deal maths'!Z441,DATE(1990,1,1))))*12+MONTH('Deal maths'!AA441)-MONTH(IF('Deal maths'!Z441&gt;0,'Deal maths'!Z441,DATE(1990,1,1))))/D441))*D441)),IF(DAY('Deal maths'!AA441+1)=1,EOMONTH('Deal maths'!AA441,-(INT(((YEAR('Deal maths'!AA441)-YEAR(IF('Deal maths'!Z441&gt;0,'Deal maths'!Z441,DATE(1990,1,1))))*12+MONTH('Deal maths'!AA441)-MONTH(IF('Deal maths'!Z441&gt;0,'Deal maths'!Z441,DATE(1990,1,1))))/D441)-1)*D441),EDATE('Deal maths'!AA441,-(INT(((YEAR('Deal maths'!AA441)-YEAR(IF('Deal maths'!Z441&gt;0,'Deal maths'!Z441,DATE(1990,1,1))))*12+MONTH('Deal maths'!AA441)-MONTH(IF('Deal maths'!Z441&gt;0,'Deal maths'!Z441,DATE(1990,1,1))))/D441)-1)*D441))))),0)</f>
        <v/>
      </c>
      <c r="F441" s="110">
        <f>IF(D441=0,0,'Deal maths'!AB441*D441/12)</f>
        <v/>
      </c>
      <c r="G441" s="108">
        <f>N441+O441</f>
        <v/>
      </c>
      <c r="H441" s="108">
        <f>IFERROR(IF(OR(D441=0,AsAt&lt;E441),0,MIN(N441,INT(((YEAR(AsAt)-YEAR(E441))*12+MONTH(AsAt)-MONTH(E441)-(DAY(AsAt)&lt;MIN(R441,DAY(EOMONTH(AsAt,0)))))/D441)+1)+O441*(AsAt&gt;='Deal maths'!AA441)),0)</f>
        <v/>
      </c>
      <c r="I441" s="108">
        <f>G441-H441</f>
        <v/>
      </c>
      <c r="J441" s="111">
        <f>IF(AND(C441="EIP",I441&gt;0),'Deal maths'!Y441/I441,0)</f>
        <v/>
      </c>
      <c r="K441" s="111">
        <f>IF(AND(C441="Annuity",I441&gt;0),IF(F441&gt;0,'Deal maths'!Y441*F441/(1-(1+F441)^-I441),'Deal maths'!Y441/I441),0)</f>
        <v/>
      </c>
      <c r="L441" s="111">
        <f>IF('Deal maths'!Y441="",0,'Deal maths'!Y441)</f>
        <v/>
      </c>
      <c r="M441" s="112">
        <f>F441+(F441=0)</f>
        <v/>
      </c>
      <c r="N441" s="108">
        <f>IFERROR(IF(D441=0,0,INT(((YEAR('Deal maths'!AA441)-YEAR(E441))*12+MONTH('Deal maths'!AA441)-MONTH(E441)-(DAY('Deal maths'!AA441)&lt;MIN(R441,DAY(EOMONTH('Deal maths'!AA441,0)))))/D441)+1),0)</f>
        <v/>
      </c>
      <c r="O441" s="108">
        <f>IFERROR(IF(D441=0,0,IF(IF(DAY(E441+1)=1,EOMONTH(E441,(N441-1)*D441),EDATE(E441,(N441-1)*D441))='Deal maths'!AA441,0,1)),0)</f>
        <v/>
      </c>
      <c r="P441" s="113">
        <f>IF(B441=0,0,IFERROR(IF(C441="EIP",((I441-O441)*((IF(DAY(E441+1)=1,EOMONTH(E441,H441*D441),EDATE(E441,H441*D441))-AsAt)/365.25+(IF(DAY(E441+1)=1,EOMONTH(E441,(N441-1)*D441),EDATE(E441,(N441-1)*D441))-AsAt)/365.25)/2+O441*('Deal maths'!AA441-AsAt)/365.25)/I441,IF(C441="Annuity",IF(F441&gt;0,((K441-L441*F441)*((IF(DAY(E441+1)=1,EOMONTH(E441,H441*D441),EDATE(E441,H441*D441))-AsAt)/365.25*((1+F441)^(I441-O441)-1)/F441+IF((I441-O441)&gt;1,((IF(DAY(E441+1)=1,EOMONTH(E441,(N441-1)*D441),EDATE(E441,(N441-1)*D441))-AsAt)/365.25-(IF(DAY(E441+1)=1,EOMONTH(E441,H441*D441),EDATE(E441,H441*D441))-AsAt)/365.25)/((I441-O441)-1),0)*(1+F441)*(1-(I441-O441)*(1+F441)^((I441-O441)-1)+((I441-O441)-1)*(1+F441)^(I441-O441))/F441^2)+O441*(K441-L441*F441)*(1+F441)^(I441-1)*('Deal maths'!AA441-AsAt)/365.25)/L441,((I441-O441)*((IF(DAY(E441+1)=1,EOMONTH(E441,H441*D441),EDATE(E441,H441*D441))-AsAt)/365.25+(IF(DAY(E441+1)=1,EOMONTH(E441,(N441-1)*D441),EDATE(E441,(N441-1)*D441))-AsAt)/365.25)/2+O441*('Deal maths'!AA441-AsAt)/365.25)/I441),(S441-AsAt)/365.25)),0))</f>
        <v/>
      </c>
      <c r="Q441" s="109">
        <f>IF(B441=1,'Deal maths'!AA441+ROW()/1000000,"")</f>
        <v/>
      </c>
      <c r="R441" s="108">
        <f>IF(D441=0,0,IF(DAY(E441+1)=1,31,DAY(E441)))</f>
        <v/>
      </c>
      <c r="S441" s="109">
        <f>IF(AND('Deal maths'!V441="LOBO",'Deal maths'!AG441&gt;AsAt,'Deal maths'!AG441&lt;'Deal maths'!AA441),'Deal maths'!AG441,'Deal maths'!AA441)</f>
        <v/>
      </c>
      <c r="T441" s="108">
        <f>('Deal maths'!AA441&gt;AsAt)*('Deal maths'!Y441&gt;0)</f>
        <v/>
      </c>
    </row>
    <row r="442">
      <c r="A442" s="91">
        <f>IF('Deal maths'!V442="","",'Deal maths'!W442)</f>
        <v/>
      </c>
      <c r="B442" s="108">
        <f>('Deal maths'!AA442&gt;AsAt)*('Deal maths'!Y442&gt;0)*('Deal maths'!Z442&lt;=AsAt)</f>
        <v/>
      </c>
      <c r="C442" s="91">
        <f>IF('Deal maths'!V442="","",IF('Deal maths'!AC442="","Maturity",'Deal maths'!AC442))</f>
        <v/>
      </c>
      <c r="D442" s="108">
        <f>IF(OR(C442="EIP",C442="Annuity"),IF('Deal maths'!AD442="Annual",12,IF('Deal maths'!AD442="Quarterly",3,6)),0)</f>
        <v/>
      </c>
      <c r="E442" s="109">
        <f>IFERROR(IF(D442=0,0,IF('Deal maths'!AE442&gt;0,IF('Deal maths'!AE442&gt;'Deal maths'!AA442,'Deal maths'!AA442,'Deal maths'!AE442),IF(IF(DAY('Deal maths'!AA442+1)=1,EOMONTH('Deal maths'!AA442,-(INT(((YEAR('Deal maths'!AA442)-YEAR(IF('Deal maths'!Z442&gt;0,'Deal maths'!Z442,DATE(1990,1,1))))*12+MONTH('Deal maths'!AA442)-MONTH(IF('Deal maths'!Z442&gt;0,'Deal maths'!Z442,DATE(1990,1,1))))/D442))*D442),EDATE('Deal maths'!AA442,-(INT(((YEAR('Deal maths'!AA442)-YEAR(IF('Deal maths'!Z442&gt;0,'Deal maths'!Z442,DATE(1990,1,1))))*12+MONTH('Deal maths'!AA442)-MONTH(IF('Deal maths'!Z442&gt;0,'Deal maths'!Z442,DATE(1990,1,1))))/D442))*D442))&gt;IF('Deal maths'!Z442&gt;0,'Deal maths'!Z442,DATE(1990,1,1)),IF(DAY('Deal maths'!AA442+1)=1,EOMONTH('Deal maths'!AA442,-(INT(((YEAR('Deal maths'!AA442)-YEAR(IF('Deal maths'!Z442&gt;0,'Deal maths'!Z442,DATE(1990,1,1))))*12+MONTH('Deal maths'!AA442)-MONTH(IF('Deal maths'!Z442&gt;0,'Deal maths'!Z442,DATE(1990,1,1))))/D442))*D442),EDATE('Deal maths'!AA442,-(INT(((YEAR('Deal maths'!AA442)-YEAR(IF('Deal maths'!Z442&gt;0,'Deal maths'!Z442,DATE(1990,1,1))))*12+MONTH('Deal maths'!AA442)-MONTH(IF('Deal maths'!Z442&gt;0,'Deal maths'!Z442,DATE(1990,1,1))))/D442))*D442)),IF(DAY('Deal maths'!AA442+1)=1,EOMONTH('Deal maths'!AA442,-(INT(((YEAR('Deal maths'!AA442)-YEAR(IF('Deal maths'!Z442&gt;0,'Deal maths'!Z442,DATE(1990,1,1))))*12+MONTH('Deal maths'!AA442)-MONTH(IF('Deal maths'!Z442&gt;0,'Deal maths'!Z442,DATE(1990,1,1))))/D442)-1)*D442),EDATE('Deal maths'!AA442,-(INT(((YEAR('Deal maths'!AA442)-YEAR(IF('Deal maths'!Z442&gt;0,'Deal maths'!Z442,DATE(1990,1,1))))*12+MONTH('Deal maths'!AA442)-MONTH(IF('Deal maths'!Z442&gt;0,'Deal maths'!Z442,DATE(1990,1,1))))/D442)-1)*D442))))),0)</f>
        <v/>
      </c>
      <c r="F442" s="110">
        <f>IF(D442=0,0,'Deal maths'!AB442*D442/12)</f>
        <v/>
      </c>
      <c r="G442" s="108">
        <f>N442+O442</f>
        <v/>
      </c>
      <c r="H442" s="108">
        <f>IFERROR(IF(OR(D442=0,AsAt&lt;E442),0,MIN(N442,INT(((YEAR(AsAt)-YEAR(E442))*12+MONTH(AsAt)-MONTH(E442)-(DAY(AsAt)&lt;MIN(R442,DAY(EOMONTH(AsAt,0)))))/D442)+1)+O442*(AsAt&gt;='Deal maths'!AA442)),0)</f>
        <v/>
      </c>
      <c r="I442" s="108">
        <f>G442-H442</f>
        <v/>
      </c>
      <c r="J442" s="111">
        <f>IF(AND(C442="EIP",I442&gt;0),'Deal maths'!Y442/I442,0)</f>
        <v/>
      </c>
      <c r="K442" s="111">
        <f>IF(AND(C442="Annuity",I442&gt;0),IF(F442&gt;0,'Deal maths'!Y442*F442/(1-(1+F442)^-I442),'Deal maths'!Y442/I442),0)</f>
        <v/>
      </c>
      <c r="L442" s="111">
        <f>IF('Deal maths'!Y442="",0,'Deal maths'!Y442)</f>
        <v/>
      </c>
      <c r="M442" s="112">
        <f>F442+(F442=0)</f>
        <v/>
      </c>
      <c r="N442" s="108">
        <f>IFERROR(IF(D442=0,0,INT(((YEAR('Deal maths'!AA442)-YEAR(E442))*12+MONTH('Deal maths'!AA442)-MONTH(E442)-(DAY('Deal maths'!AA442)&lt;MIN(R442,DAY(EOMONTH('Deal maths'!AA442,0)))))/D442)+1),0)</f>
        <v/>
      </c>
      <c r="O442" s="108">
        <f>IFERROR(IF(D442=0,0,IF(IF(DAY(E442+1)=1,EOMONTH(E442,(N442-1)*D442),EDATE(E442,(N442-1)*D442))='Deal maths'!AA442,0,1)),0)</f>
        <v/>
      </c>
      <c r="P442" s="113">
        <f>IF(B442=0,0,IFERROR(IF(C442="EIP",((I442-O442)*((IF(DAY(E442+1)=1,EOMONTH(E442,H442*D442),EDATE(E442,H442*D442))-AsAt)/365.25+(IF(DAY(E442+1)=1,EOMONTH(E442,(N442-1)*D442),EDATE(E442,(N442-1)*D442))-AsAt)/365.25)/2+O442*('Deal maths'!AA442-AsAt)/365.25)/I442,IF(C442="Annuity",IF(F442&gt;0,((K442-L442*F442)*((IF(DAY(E442+1)=1,EOMONTH(E442,H442*D442),EDATE(E442,H442*D442))-AsAt)/365.25*((1+F442)^(I442-O442)-1)/F442+IF((I442-O442)&gt;1,((IF(DAY(E442+1)=1,EOMONTH(E442,(N442-1)*D442),EDATE(E442,(N442-1)*D442))-AsAt)/365.25-(IF(DAY(E442+1)=1,EOMONTH(E442,H442*D442),EDATE(E442,H442*D442))-AsAt)/365.25)/((I442-O442)-1),0)*(1+F442)*(1-(I442-O442)*(1+F442)^((I442-O442)-1)+((I442-O442)-1)*(1+F442)^(I442-O442))/F442^2)+O442*(K442-L442*F442)*(1+F442)^(I442-1)*('Deal maths'!AA442-AsAt)/365.25)/L442,((I442-O442)*((IF(DAY(E442+1)=1,EOMONTH(E442,H442*D442),EDATE(E442,H442*D442))-AsAt)/365.25+(IF(DAY(E442+1)=1,EOMONTH(E442,(N442-1)*D442),EDATE(E442,(N442-1)*D442))-AsAt)/365.25)/2+O442*('Deal maths'!AA442-AsAt)/365.25)/I442),(S442-AsAt)/365.25)),0))</f>
        <v/>
      </c>
      <c r="Q442" s="109">
        <f>IF(B442=1,'Deal maths'!AA442+ROW()/1000000,"")</f>
        <v/>
      </c>
      <c r="R442" s="108">
        <f>IF(D442=0,0,IF(DAY(E442+1)=1,31,DAY(E442)))</f>
        <v/>
      </c>
      <c r="S442" s="109">
        <f>IF(AND('Deal maths'!V442="LOBO",'Deal maths'!AG442&gt;AsAt,'Deal maths'!AG442&lt;'Deal maths'!AA442),'Deal maths'!AG442,'Deal maths'!AA442)</f>
        <v/>
      </c>
      <c r="T442" s="108">
        <f>('Deal maths'!AA442&gt;AsAt)*('Deal maths'!Y442&gt;0)</f>
        <v/>
      </c>
    </row>
    <row r="443">
      <c r="A443" s="91">
        <f>IF('Deal maths'!V443="","",'Deal maths'!W443)</f>
        <v/>
      </c>
      <c r="B443" s="108">
        <f>('Deal maths'!AA443&gt;AsAt)*('Deal maths'!Y443&gt;0)*('Deal maths'!Z443&lt;=AsAt)</f>
        <v/>
      </c>
      <c r="C443" s="91">
        <f>IF('Deal maths'!V443="","",IF('Deal maths'!AC443="","Maturity",'Deal maths'!AC443))</f>
        <v/>
      </c>
      <c r="D443" s="108">
        <f>IF(OR(C443="EIP",C443="Annuity"),IF('Deal maths'!AD443="Annual",12,IF('Deal maths'!AD443="Quarterly",3,6)),0)</f>
        <v/>
      </c>
      <c r="E443" s="109">
        <f>IFERROR(IF(D443=0,0,IF('Deal maths'!AE443&gt;0,IF('Deal maths'!AE443&gt;'Deal maths'!AA443,'Deal maths'!AA443,'Deal maths'!AE443),IF(IF(DAY('Deal maths'!AA443+1)=1,EOMONTH('Deal maths'!AA443,-(INT(((YEAR('Deal maths'!AA443)-YEAR(IF('Deal maths'!Z443&gt;0,'Deal maths'!Z443,DATE(1990,1,1))))*12+MONTH('Deal maths'!AA443)-MONTH(IF('Deal maths'!Z443&gt;0,'Deal maths'!Z443,DATE(1990,1,1))))/D443))*D443),EDATE('Deal maths'!AA443,-(INT(((YEAR('Deal maths'!AA443)-YEAR(IF('Deal maths'!Z443&gt;0,'Deal maths'!Z443,DATE(1990,1,1))))*12+MONTH('Deal maths'!AA443)-MONTH(IF('Deal maths'!Z443&gt;0,'Deal maths'!Z443,DATE(1990,1,1))))/D443))*D443))&gt;IF('Deal maths'!Z443&gt;0,'Deal maths'!Z443,DATE(1990,1,1)),IF(DAY('Deal maths'!AA443+1)=1,EOMONTH('Deal maths'!AA443,-(INT(((YEAR('Deal maths'!AA443)-YEAR(IF('Deal maths'!Z443&gt;0,'Deal maths'!Z443,DATE(1990,1,1))))*12+MONTH('Deal maths'!AA443)-MONTH(IF('Deal maths'!Z443&gt;0,'Deal maths'!Z443,DATE(1990,1,1))))/D443))*D443),EDATE('Deal maths'!AA443,-(INT(((YEAR('Deal maths'!AA443)-YEAR(IF('Deal maths'!Z443&gt;0,'Deal maths'!Z443,DATE(1990,1,1))))*12+MONTH('Deal maths'!AA443)-MONTH(IF('Deal maths'!Z443&gt;0,'Deal maths'!Z443,DATE(1990,1,1))))/D443))*D443)),IF(DAY('Deal maths'!AA443+1)=1,EOMONTH('Deal maths'!AA443,-(INT(((YEAR('Deal maths'!AA443)-YEAR(IF('Deal maths'!Z443&gt;0,'Deal maths'!Z443,DATE(1990,1,1))))*12+MONTH('Deal maths'!AA443)-MONTH(IF('Deal maths'!Z443&gt;0,'Deal maths'!Z443,DATE(1990,1,1))))/D443)-1)*D443),EDATE('Deal maths'!AA443,-(INT(((YEAR('Deal maths'!AA443)-YEAR(IF('Deal maths'!Z443&gt;0,'Deal maths'!Z443,DATE(1990,1,1))))*12+MONTH('Deal maths'!AA443)-MONTH(IF('Deal maths'!Z443&gt;0,'Deal maths'!Z443,DATE(1990,1,1))))/D443)-1)*D443))))),0)</f>
        <v/>
      </c>
      <c r="F443" s="110">
        <f>IF(D443=0,0,'Deal maths'!AB443*D443/12)</f>
        <v/>
      </c>
      <c r="G443" s="108">
        <f>N443+O443</f>
        <v/>
      </c>
      <c r="H443" s="108">
        <f>IFERROR(IF(OR(D443=0,AsAt&lt;E443),0,MIN(N443,INT(((YEAR(AsAt)-YEAR(E443))*12+MONTH(AsAt)-MONTH(E443)-(DAY(AsAt)&lt;MIN(R443,DAY(EOMONTH(AsAt,0)))))/D443)+1)+O443*(AsAt&gt;='Deal maths'!AA443)),0)</f>
        <v/>
      </c>
      <c r="I443" s="108">
        <f>G443-H443</f>
        <v/>
      </c>
      <c r="J443" s="111">
        <f>IF(AND(C443="EIP",I443&gt;0),'Deal maths'!Y443/I443,0)</f>
        <v/>
      </c>
      <c r="K443" s="111">
        <f>IF(AND(C443="Annuity",I443&gt;0),IF(F443&gt;0,'Deal maths'!Y443*F443/(1-(1+F443)^-I443),'Deal maths'!Y443/I443),0)</f>
        <v/>
      </c>
      <c r="L443" s="111">
        <f>IF('Deal maths'!Y443="",0,'Deal maths'!Y443)</f>
        <v/>
      </c>
      <c r="M443" s="112">
        <f>F443+(F443=0)</f>
        <v/>
      </c>
      <c r="N443" s="108">
        <f>IFERROR(IF(D443=0,0,INT(((YEAR('Deal maths'!AA443)-YEAR(E443))*12+MONTH('Deal maths'!AA443)-MONTH(E443)-(DAY('Deal maths'!AA443)&lt;MIN(R443,DAY(EOMONTH('Deal maths'!AA443,0)))))/D443)+1),0)</f>
        <v/>
      </c>
      <c r="O443" s="108">
        <f>IFERROR(IF(D443=0,0,IF(IF(DAY(E443+1)=1,EOMONTH(E443,(N443-1)*D443),EDATE(E443,(N443-1)*D443))='Deal maths'!AA443,0,1)),0)</f>
        <v/>
      </c>
      <c r="P443" s="113">
        <f>IF(B443=0,0,IFERROR(IF(C443="EIP",((I443-O443)*((IF(DAY(E443+1)=1,EOMONTH(E443,H443*D443),EDATE(E443,H443*D443))-AsAt)/365.25+(IF(DAY(E443+1)=1,EOMONTH(E443,(N443-1)*D443),EDATE(E443,(N443-1)*D443))-AsAt)/365.25)/2+O443*('Deal maths'!AA443-AsAt)/365.25)/I443,IF(C443="Annuity",IF(F443&gt;0,((K443-L443*F443)*((IF(DAY(E443+1)=1,EOMONTH(E443,H443*D443),EDATE(E443,H443*D443))-AsAt)/365.25*((1+F443)^(I443-O443)-1)/F443+IF((I443-O443)&gt;1,((IF(DAY(E443+1)=1,EOMONTH(E443,(N443-1)*D443),EDATE(E443,(N443-1)*D443))-AsAt)/365.25-(IF(DAY(E443+1)=1,EOMONTH(E443,H443*D443),EDATE(E443,H443*D443))-AsAt)/365.25)/((I443-O443)-1),0)*(1+F443)*(1-(I443-O443)*(1+F443)^((I443-O443)-1)+((I443-O443)-1)*(1+F443)^(I443-O443))/F443^2)+O443*(K443-L443*F443)*(1+F443)^(I443-1)*('Deal maths'!AA443-AsAt)/365.25)/L443,((I443-O443)*((IF(DAY(E443+1)=1,EOMONTH(E443,H443*D443),EDATE(E443,H443*D443))-AsAt)/365.25+(IF(DAY(E443+1)=1,EOMONTH(E443,(N443-1)*D443),EDATE(E443,(N443-1)*D443))-AsAt)/365.25)/2+O443*('Deal maths'!AA443-AsAt)/365.25)/I443),(S443-AsAt)/365.25)),0))</f>
        <v/>
      </c>
      <c r="Q443" s="109">
        <f>IF(B443=1,'Deal maths'!AA443+ROW()/1000000,"")</f>
        <v/>
      </c>
      <c r="R443" s="108">
        <f>IF(D443=0,0,IF(DAY(E443+1)=1,31,DAY(E443)))</f>
        <v/>
      </c>
      <c r="S443" s="109">
        <f>IF(AND('Deal maths'!V443="LOBO",'Deal maths'!AG443&gt;AsAt,'Deal maths'!AG443&lt;'Deal maths'!AA443),'Deal maths'!AG443,'Deal maths'!AA443)</f>
        <v/>
      </c>
      <c r="T443" s="108">
        <f>('Deal maths'!AA443&gt;AsAt)*('Deal maths'!Y443&gt;0)</f>
        <v/>
      </c>
    </row>
    <row r="444">
      <c r="A444" s="91">
        <f>IF('Deal maths'!V444="","",'Deal maths'!W444)</f>
        <v/>
      </c>
      <c r="B444" s="108">
        <f>('Deal maths'!AA444&gt;AsAt)*('Deal maths'!Y444&gt;0)*('Deal maths'!Z444&lt;=AsAt)</f>
        <v/>
      </c>
      <c r="C444" s="91">
        <f>IF('Deal maths'!V444="","",IF('Deal maths'!AC444="","Maturity",'Deal maths'!AC444))</f>
        <v/>
      </c>
      <c r="D444" s="108">
        <f>IF(OR(C444="EIP",C444="Annuity"),IF('Deal maths'!AD444="Annual",12,IF('Deal maths'!AD444="Quarterly",3,6)),0)</f>
        <v/>
      </c>
      <c r="E444" s="109">
        <f>IFERROR(IF(D444=0,0,IF('Deal maths'!AE444&gt;0,IF('Deal maths'!AE444&gt;'Deal maths'!AA444,'Deal maths'!AA444,'Deal maths'!AE444),IF(IF(DAY('Deal maths'!AA444+1)=1,EOMONTH('Deal maths'!AA444,-(INT(((YEAR('Deal maths'!AA444)-YEAR(IF('Deal maths'!Z444&gt;0,'Deal maths'!Z444,DATE(1990,1,1))))*12+MONTH('Deal maths'!AA444)-MONTH(IF('Deal maths'!Z444&gt;0,'Deal maths'!Z444,DATE(1990,1,1))))/D444))*D444),EDATE('Deal maths'!AA444,-(INT(((YEAR('Deal maths'!AA444)-YEAR(IF('Deal maths'!Z444&gt;0,'Deal maths'!Z444,DATE(1990,1,1))))*12+MONTH('Deal maths'!AA444)-MONTH(IF('Deal maths'!Z444&gt;0,'Deal maths'!Z444,DATE(1990,1,1))))/D444))*D444))&gt;IF('Deal maths'!Z444&gt;0,'Deal maths'!Z444,DATE(1990,1,1)),IF(DAY('Deal maths'!AA444+1)=1,EOMONTH('Deal maths'!AA444,-(INT(((YEAR('Deal maths'!AA444)-YEAR(IF('Deal maths'!Z444&gt;0,'Deal maths'!Z444,DATE(1990,1,1))))*12+MONTH('Deal maths'!AA444)-MONTH(IF('Deal maths'!Z444&gt;0,'Deal maths'!Z444,DATE(1990,1,1))))/D444))*D444),EDATE('Deal maths'!AA444,-(INT(((YEAR('Deal maths'!AA444)-YEAR(IF('Deal maths'!Z444&gt;0,'Deal maths'!Z444,DATE(1990,1,1))))*12+MONTH('Deal maths'!AA444)-MONTH(IF('Deal maths'!Z444&gt;0,'Deal maths'!Z444,DATE(1990,1,1))))/D444))*D444)),IF(DAY('Deal maths'!AA444+1)=1,EOMONTH('Deal maths'!AA444,-(INT(((YEAR('Deal maths'!AA444)-YEAR(IF('Deal maths'!Z444&gt;0,'Deal maths'!Z444,DATE(1990,1,1))))*12+MONTH('Deal maths'!AA444)-MONTH(IF('Deal maths'!Z444&gt;0,'Deal maths'!Z444,DATE(1990,1,1))))/D444)-1)*D444),EDATE('Deal maths'!AA444,-(INT(((YEAR('Deal maths'!AA444)-YEAR(IF('Deal maths'!Z444&gt;0,'Deal maths'!Z444,DATE(1990,1,1))))*12+MONTH('Deal maths'!AA444)-MONTH(IF('Deal maths'!Z444&gt;0,'Deal maths'!Z444,DATE(1990,1,1))))/D444)-1)*D444))))),0)</f>
        <v/>
      </c>
      <c r="F444" s="110">
        <f>IF(D444=0,0,'Deal maths'!AB444*D444/12)</f>
        <v/>
      </c>
      <c r="G444" s="108">
        <f>N444+O444</f>
        <v/>
      </c>
      <c r="H444" s="108">
        <f>IFERROR(IF(OR(D444=0,AsAt&lt;E444),0,MIN(N444,INT(((YEAR(AsAt)-YEAR(E444))*12+MONTH(AsAt)-MONTH(E444)-(DAY(AsAt)&lt;MIN(R444,DAY(EOMONTH(AsAt,0)))))/D444)+1)+O444*(AsAt&gt;='Deal maths'!AA444)),0)</f>
        <v/>
      </c>
      <c r="I444" s="108">
        <f>G444-H444</f>
        <v/>
      </c>
      <c r="J444" s="111">
        <f>IF(AND(C444="EIP",I444&gt;0),'Deal maths'!Y444/I444,0)</f>
        <v/>
      </c>
      <c r="K444" s="111">
        <f>IF(AND(C444="Annuity",I444&gt;0),IF(F444&gt;0,'Deal maths'!Y444*F444/(1-(1+F444)^-I444),'Deal maths'!Y444/I444),0)</f>
        <v/>
      </c>
      <c r="L444" s="111">
        <f>IF('Deal maths'!Y444="",0,'Deal maths'!Y444)</f>
        <v/>
      </c>
      <c r="M444" s="112">
        <f>F444+(F444=0)</f>
        <v/>
      </c>
      <c r="N444" s="108">
        <f>IFERROR(IF(D444=0,0,INT(((YEAR('Deal maths'!AA444)-YEAR(E444))*12+MONTH('Deal maths'!AA444)-MONTH(E444)-(DAY('Deal maths'!AA444)&lt;MIN(R444,DAY(EOMONTH('Deal maths'!AA444,0)))))/D444)+1),0)</f>
        <v/>
      </c>
      <c r="O444" s="108">
        <f>IFERROR(IF(D444=0,0,IF(IF(DAY(E444+1)=1,EOMONTH(E444,(N444-1)*D444),EDATE(E444,(N444-1)*D444))='Deal maths'!AA444,0,1)),0)</f>
        <v/>
      </c>
      <c r="P444" s="113">
        <f>IF(B444=0,0,IFERROR(IF(C444="EIP",((I444-O444)*((IF(DAY(E444+1)=1,EOMONTH(E444,H444*D444),EDATE(E444,H444*D444))-AsAt)/365.25+(IF(DAY(E444+1)=1,EOMONTH(E444,(N444-1)*D444),EDATE(E444,(N444-1)*D444))-AsAt)/365.25)/2+O444*('Deal maths'!AA444-AsAt)/365.25)/I444,IF(C444="Annuity",IF(F444&gt;0,((K444-L444*F444)*((IF(DAY(E444+1)=1,EOMONTH(E444,H444*D444),EDATE(E444,H444*D444))-AsAt)/365.25*((1+F444)^(I444-O444)-1)/F444+IF((I444-O444)&gt;1,((IF(DAY(E444+1)=1,EOMONTH(E444,(N444-1)*D444),EDATE(E444,(N444-1)*D444))-AsAt)/365.25-(IF(DAY(E444+1)=1,EOMONTH(E444,H444*D444),EDATE(E444,H444*D444))-AsAt)/365.25)/((I444-O444)-1),0)*(1+F444)*(1-(I444-O444)*(1+F444)^((I444-O444)-1)+((I444-O444)-1)*(1+F444)^(I444-O444))/F444^2)+O444*(K444-L444*F444)*(1+F444)^(I444-1)*('Deal maths'!AA444-AsAt)/365.25)/L444,((I444-O444)*((IF(DAY(E444+1)=1,EOMONTH(E444,H444*D444),EDATE(E444,H444*D444))-AsAt)/365.25+(IF(DAY(E444+1)=1,EOMONTH(E444,(N444-1)*D444),EDATE(E444,(N444-1)*D444))-AsAt)/365.25)/2+O444*('Deal maths'!AA444-AsAt)/365.25)/I444),(S444-AsAt)/365.25)),0))</f>
        <v/>
      </c>
      <c r="Q444" s="109">
        <f>IF(B444=1,'Deal maths'!AA444+ROW()/1000000,"")</f>
        <v/>
      </c>
      <c r="R444" s="108">
        <f>IF(D444=0,0,IF(DAY(E444+1)=1,31,DAY(E444)))</f>
        <v/>
      </c>
      <c r="S444" s="109">
        <f>IF(AND('Deal maths'!V444="LOBO",'Deal maths'!AG444&gt;AsAt,'Deal maths'!AG444&lt;'Deal maths'!AA444),'Deal maths'!AG444,'Deal maths'!AA444)</f>
        <v/>
      </c>
      <c r="T444" s="108">
        <f>('Deal maths'!AA444&gt;AsAt)*('Deal maths'!Y444&gt;0)</f>
        <v/>
      </c>
    </row>
    <row r="445">
      <c r="A445" s="91">
        <f>IF('Deal maths'!V445="","",'Deal maths'!W445)</f>
        <v/>
      </c>
      <c r="B445" s="108">
        <f>('Deal maths'!AA445&gt;AsAt)*('Deal maths'!Y445&gt;0)*('Deal maths'!Z445&lt;=AsAt)</f>
        <v/>
      </c>
      <c r="C445" s="91">
        <f>IF('Deal maths'!V445="","",IF('Deal maths'!AC445="","Maturity",'Deal maths'!AC445))</f>
        <v/>
      </c>
      <c r="D445" s="108">
        <f>IF(OR(C445="EIP",C445="Annuity"),IF('Deal maths'!AD445="Annual",12,IF('Deal maths'!AD445="Quarterly",3,6)),0)</f>
        <v/>
      </c>
      <c r="E445" s="109">
        <f>IFERROR(IF(D445=0,0,IF('Deal maths'!AE445&gt;0,IF('Deal maths'!AE445&gt;'Deal maths'!AA445,'Deal maths'!AA445,'Deal maths'!AE445),IF(IF(DAY('Deal maths'!AA445+1)=1,EOMONTH('Deal maths'!AA445,-(INT(((YEAR('Deal maths'!AA445)-YEAR(IF('Deal maths'!Z445&gt;0,'Deal maths'!Z445,DATE(1990,1,1))))*12+MONTH('Deal maths'!AA445)-MONTH(IF('Deal maths'!Z445&gt;0,'Deal maths'!Z445,DATE(1990,1,1))))/D445))*D445),EDATE('Deal maths'!AA445,-(INT(((YEAR('Deal maths'!AA445)-YEAR(IF('Deal maths'!Z445&gt;0,'Deal maths'!Z445,DATE(1990,1,1))))*12+MONTH('Deal maths'!AA445)-MONTH(IF('Deal maths'!Z445&gt;0,'Deal maths'!Z445,DATE(1990,1,1))))/D445))*D445))&gt;IF('Deal maths'!Z445&gt;0,'Deal maths'!Z445,DATE(1990,1,1)),IF(DAY('Deal maths'!AA445+1)=1,EOMONTH('Deal maths'!AA445,-(INT(((YEAR('Deal maths'!AA445)-YEAR(IF('Deal maths'!Z445&gt;0,'Deal maths'!Z445,DATE(1990,1,1))))*12+MONTH('Deal maths'!AA445)-MONTH(IF('Deal maths'!Z445&gt;0,'Deal maths'!Z445,DATE(1990,1,1))))/D445))*D445),EDATE('Deal maths'!AA445,-(INT(((YEAR('Deal maths'!AA445)-YEAR(IF('Deal maths'!Z445&gt;0,'Deal maths'!Z445,DATE(1990,1,1))))*12+MONTH('Deal maths'!AA445)-MONTH(IF('Deal maths'!Z445&gt;0,'Deal maths'!Z445,DATE(1990,1,1))))/D445))*D445)),IF(DAY('Deal maths'!AA445+1)=1,EOMONTH('Deal maths'!AA445,-(INT(((YEAR('Deal maths'!AA445)-YEAR(IF('Deal maths'!Z445&gt;0,'Deal maths'!Z445,DATE(1990,1,1))))*12+MONTH('Deal maths'!AA445)-MONTH(IF('Deal maths'!Z445&gt;0,'Deal maths'!Z445,DATE(1990,1,1))))/D445)-1)*D445),EDATE('Deal maths'!AA445,-(INT(((YEAR('Deal maths'!AA445)-YEAR(IF('Deal maths'!Z445&gt;0,'Deal maths'!Z445,DATE(1990,1,1))))*12+MONTH('Deal maths'!AA445)-MONTH(IF('Deal maths'!Z445&gt;0,'Deal maths'!Z445,DATE(1990,1,1))))/D445)-1)*D445))))),0)</f>
        <v/>
      </c>
      <c r="F445" s="110">
        <f>IF(D445=0,0,'Deal maths'!AB445*D445/12)</f>
        <v/>
      </c>
      <c r="G445" s="108">
        <f>N445+O445</f>
        <v/>
      </c>
      <c r="H445" s="108">
        <f>IFERROR(IF(OR(D445=0,AsAt&lt;E445),0,MIN(N445,INT(((YEAR(AsAt)-YEAR(E445))*12+MONTH(AsAt)-MONTH(E445)-(DAY(AsAt)&lt;MIN(R445,DAY(EOMONTH(AsAt,0)))))/D445)+1)+O445*(AsAt&gt;='Deal maths'!AA445)),0)</f>
        <v/>
      </c>
      <c r="I445" s="108">
        <f>G445-H445</f>
        <v/>
      </c>
      <c r="J445" s="111">
        <f>IF(AND(C445="EIP",I445&gt;0),'Deal maths'!Y445/I445,0)</f>
        <v/>
      </c>
      <c r="K445" s="111">
        <f>IF(AND(C445="Annuity",I445&gt;0),IF(F445&gt;0,'Deal maths'!Y445*F445/(1-(1+F445)^-I445),'Deal maths'!Y445/I445),0)</f>
        <v/>
      </c>
      <c r="L445" s="111">
        <f>IF('Deal maths'!Y445="",0,'Deal maths'!Y445)</f>
        <v/>
      </c>
      <c r="M445" s="112">
        <f>F445+(F445=0)</f>
        <v/>
      </c>
      <c r="N445" s="108">
        <f>IFERROR(IF(D445=0,0,INT(((YEAR('Deal maths'!AA445)-YEAR(E445))*12+MONTH('Deal maths'!AA445)-MONTH(E445)-(DAY('Deal maths'!AA445)&lt;MIN(R445,DAY(EOMONTH('Deal maths'!AA445,0)))))/D445)+1),0)</f>
        <v/>
      </c>
      <c r="O445" s="108">
        <f>IFERROR(IF(D445=0,0,IF(IF(DAY(E445+1)=1,EOMONTH(E445,(N445-1)*D445),EDATE(E445,(N445-1)*D445))='Deal maths'!AA445,0,1)),0)</f>
        <v/>
      </c>
      <c r="P445" s="113">
        <f>IF(B445=0,0,IFERROR(IF(C445="EIP",((I445-O445)*((IF(DAY(E445+1)=1,EOMONTH(E445,H445*D445),EDATE(E445,H445*D445))-AsAt)/365.25+(IF(DAY(E445+1)=1,EOMONTH(E445,(N445-1)*D445),EDATE(E445,(N445-1)*D445))-AsAt)/365.25)/2+O445*('Deal maths'!AA445-AsAt)/365.25)/I445,IF(C445="Annuity",IF(F445&gt;0,((K445-L445*F445)*((IF(DAY(E445+1)=1,EOMONTH(E445,H445*D445),EDATE(E445,H445*D445))-AsAt)/365.25*((1+F445)^(I445-O445)-1)/F445+IF((I445-O445)&gt;1,((IF(DAY(E445+1)=1,EOMONTH(E445,(N445-1)*D445),EDATE(E445,(N445-1)*D445))-AsAt)/365.25-(IF(DAY(E445+1)=1,EOMONTH(E445,H445*D445),EDATE(E445,H445*D445))-AsAt)/365.25)/((I445-O445)-1),0)*(1+F445)*(1-(I445-O445)*(1+F445)^((I445-O445)-1)+((I445-O445)-1)*(1+F445)^(I445-O445))/F445^2)+O445*(K445-L445*F445)*(1+F445)^(I445-1)*('Deal maths'!AA445-AsAt)/365.25)/L445,((I445-O445)*((IF(DAY(E445+1)=1,EOMONTH(E445,H445*D445),EDATE(E445,H445*D445))-AsAt)/365.25+(IF(DAY(E445+1)=1,EOMONTH(E445,(N445-1)*D445),EDATE(E445,(N445-1)*D445))-AsAt)/365.25)/2+O445*('Deal maths'!AA445-AsAt)/365.25)/I445),(S445-AsAt)/365.25)),0))</f>
        <v/>
      </c>
      <c r="Q445" s="109">
        <f>IF(B445=1,'Deal maths'!AA445+ROW()/1000000,"")</f>
        <v/>
      </c>
      <c r="R445" s="108">
        <f>IF(D445=0,0,IF(DAY(E445+1)=1,31,DAY(E445)))</f>
        <v/>
      </c>
      <c r="S445" s="109">
        <f>IF(AND('Deal maths'!V445="LOBO",'Deal maths'!AG445&gt;AsAt,'Deal maths'!AG445&lt;'Deal maths'!AA445),'Deal maths'!AG445,'Deal maths'!AA445)</f>
        <v/>
      </c>
      <c r="T445" s="108">
        <f>('Deal maths'!AA445&gt;AsAt)*('Deal maths'!Y445&gt;0)</f>
        <v/>
      </c>
    </row>
    <row r="446">
      <c r="A446" s="91">
        <f>IF('Deal maths'!V446="","",'Deal maths'!W446)</f>
        <v/>
      </c>
      <c r="B446" s="108">
        <f>('Deal maths'!AA446&gt;AsAt)*('Deal maths'!Y446&gt;0)*('Deal maths'!Z446&lt;=AsAt)</f>
        <v/>
      </c>
      <c r="C446" s="91">
        <f>IF('Deal maths'!V446="","",IF('Deal maths'!AC446="","Maturity",'Deal maths'!AC446))</f>
        <v/>
      </c>
      <c r="D446" s="108">
        <f>IF(OR(C446="EIP",C446="Annuity"),IF('Deal maths'!AD446="Annual",12,IF('Deal maths'!AD446="Quarterly",3,6)),0)</f>
        <v/>
      </c>
      <c r="E446" s="109">
        <f>IFERROR(IF(D446=0,0,IF('Deal maths'!AE446&gt;0,IF('Deal maths'!AE446&gt;'Deal maths'!AA446,'Deal maths'!AA446,'Deal maths'!AE446),IF(IF(DAY('Deal maths'!AA446+1)=1,EOMONTH('Deal maths'!AA446,-(INT(((YEAR('Deal maths'!AA446)-YEAR(IF('Deal maths'!Z446&gt;0,'Deal maths'!Z446,DATE(1990,1,1))))*12+MONTH('Deal maths'!AA446)-MONTH(IF('Deal maths'!Z446&gt;0,'Deal maths'!Z446,DATE(1990,1,1))))/D446))*D446),EDATE('Deal maths'!AA446,-(INT(((YEAR('Deal maths'!AA446)-YEAR(IF('Deal maths'!Z446&gt;0,'Deal maths'!Z446,DATE(1990,1,1))))*12+MONTH('Deal maths'!AA446)-MONTH(IF('Deal maths'!Z446&gt;0,'Deal maths'!Z446,DATE(1990,1,1))))/D446))*D446))&gt;IF('Deal maths'!Z446&gt;0,'Deal maths'!Z446,DATE(1990,1,1)),IF(DAY('Deal maths'!AA446+1)=1,EOMONTH('Deal maths'!AA446,-(INT(((YEAR('Deal maths'!AA446)-YEAR(IF('Deal maths'!Z446&gt;0,'Deal maths'!Z446,DATE(1990,1,1))))*12+MONTH('Deal maths'!AA446)-MONTH(IF('Deal maths'!Z446&gt;0,'Deal maths'!Z446,DATE(1990,1,1))))/D446))*D446),EDATE('Deal maths'!AA446,-(INT(((YEAR('Deal maths'!AA446)-YEAR(IF('Deal maths'!Z446&gt;0,'Deal maths'!Z446,DATE(1990,1,1))))*12+MONTH('Deal maths'!AA446)-MONTH(IF('Deal maths'!Z446&gt;0,'Deal maths'!Z446,DATE(1990,1,1))))/D446))*D446)),IF(DAY('Deal maths'!AA446+1)=1,EOMONTH('Deal maths'!AA446,-(INT(((YEAR('Deal maths'!AA446)-YEAR(IF('Deal maths'!Z446&gt;0,'Deal maths'!Z446,DATE(1990,1,1))))*12+MONTH('Deal maths'!AA446)-MONTH(IF('Deal maths'!Z446&gt;0,'Deal maths'!Z446,DATE(1990,1,1))))/D446)-1)*D446),EDATE('Deal maths'!AA446,-(INT(((YEAR('Deal maths'!AA446)-YEAR(IF('Deal maths'!Z446&gt;0,'Deal maths'!Z446,DATE(1990,1,1))))*12+MONTH('Deal maths'!AA446)-MONTH(IF('Deal maths'!Z446&gt;0,'Deal maths'!Z446,DATE(1990,1,1))))/D446)-1)*D446))))),0)</f>
        <v/>
      </c>
      <c r="F446" s="110">
        <f>IF(D446=0,0,'Deal maths'!AB446*D446/12)</f>
        <v/>
      </c>
      <c r="G446" s="108">
        <f>N446+O446</f>
        <v/>
      </c>
      <c r="H446" s="108">
        <f>IFERROR(IF(OR(D446=0,AsAt&lt;E446),0,MIN(N446,INT(((YEAR(AsAt)-YEAR(E446))*12+MONTH(AsAt)-MONTH(E446)-(DAY(AsAt)&lt;MIN(R446,DAY(EOMONTH(AsAt,0)))))/D446)+1)+O446*(AsAt&gt;='Deal maths'!AA446)),0)</f>
        <v/>
      </c>
      <c r="I446" s="108">
        <f>G446-H446</f>
        <v/>
      </c>
      <c r="J446" s="111">
        <f>IF(AND(C446="EIP",I446&gt;0),'Deal maths'!Y446/I446,0)</f>
        <v/>
      </c>
      <c r="K446" s="111">
        <f>IF(AND(C446="Annuity",I446&gt;0),IF(F446&gt;0,'Deal maths'!Y446*F446/(1-(1+F446)^-I446),'Deal maths'!Y446/I446),0)</f>
        <v/>
      </c>
      <c r="L446" s="111">
        <f>IF('Deal maths'!Y446="",0,'Deal maths'!Y446)</f>
        <v/>
      </c>
      <c r="M446" s="112">
        <f>F446+(F446=0)</f>
        <v/>
      </c>
      <c r="N446" s="108">
        <f>IFERROR(IF(D446=0,0,INT(((YEAR('Deal maths'!AA446)-YEAR(E446))*12+MONTH('Deal maths'!AA446)-MONTH(E446)-(DAY('Deal maths'!AA446)&lt;MIN(R446,DAY(EOMONTH('Deal maths'!AA446,0)))))/D446)+1),0)</f>
        <v/>
      </c>
      <c r="O446" s="108">
        <f>IFERROR(IF(D446=0,0,IF(IF(DAY(E446+1)=1,EOMONTH(E446,(N446-1)*D446),EDATE(E446,(N446-1)*D446))='Deal maths'!AA446,0,1)),0)</f>
        <v/>
      </c>
      <c r="P446" s="113">
        <f>IF(B446=0,0,IFERROR(IF(C446="EIP",((I446-O446)*((IF(DAY(E446+1)=1,EOMONTH(E446,H446*D446),EDATE(E446,H446*D446))-AsAt)/365.25+(IF(DAY(E446+1)=1,EOMONTH(E446,(N446-1)*D446),EDATE(E446,(N446-1)*D446))-AsAt)/365.25)/2+O446*('Deal maths'!AA446-AsAt)/365.25)/I446,IF(C446="Annuity",IF(F446&gt;0,((K446-L446*F446)*((IF(DAY(E446+1)=1,EOMONTH(E446,H446*D446),EDATE(E446,H446*D446))-AsAt)/365.25*((1+F446)^(I446-O446)-1)/F446+IF((I446-O446)&gt;1,((IF(DAY(E446+1)=1,EOMONTH(E446,(N446-1)*D446),EDATE(E446,(N446-1)*D446))-AsAt)/365.25-(IF(DAY(E446+1)=1,EOMONTH(E446,H446*D446),EDATE(E446,H446*D446))-AsAt)/365.25)/((I446-O446)-1),0)*(1+F446)*(1-(I446-O446)*(1+F446)^((I446-O446)-1)+((I446-O446)-1)*(1+F446)^(I446-O446))/F446^2)+O446*(K446-L446*F446)*(1+F446)^(I446-1)*('Deal maths'!AA446-AsAt)/365.25)/L446,((I446-O446)*((IF(DAY(E446+1)=1,EOMONTH(E446,H446*D446),EDATE(E446,H446*D446))-AsAt)/365.25+(IF(DAY(E446+1)=1,EOMONTH(E446,(N446-1)*D446),EDATE(E446,(N446-1)*D446))-AsAt)/365.25)/2+O446*('Deal maths'!AA446-AsAt)/365.25)/I446),(S446-AsAt)/365.25)),0))</f>
        <v/>
      </c>
      <c r="Q446" s="109">
        <f>IF(B446=1,'Deal maths'!AA446+ROW()/1000000,"")</f>
        <v/>
      </c>
      <c r="R446" s="108">
        <f>IF(D446=0,0,IF(DAY(E446+1)=1,31,DAY(E446)))</f>
        <v/>
      </c>
      <c r="S446" s="109">
        <f>IF(AND('Deal maths'!V446="LOBO",'Deal maths'!AG446&gt;AsAt,'Deal maths'!AG446&lt;'Deal maths'!AA446),'Deal maths'!AG446,'Deal maths'!AA446)</f>
        <v/>
      </c>
      <c r="T446" s="108">
        <f>('Deal maths'!AA446&gt;AsAt)*('Deal maths'!Y446&gt;0)</f>
        <v/>
      </c>
    </row>
    <row r="447">
      <c r="A447" s="91">
        <f>IF('Deal maths'!V447="","",'Deal maths'!W447)</f>
        <v/>
      </c>
      <c r="B447" s="108">
        <f>('Deal maths'!AA447&gt;AsAt)*('Deal maths'!Y447&gt;0)*('Deal maths'!Z447&lt;=AsAt)</f>
        <v/>
      </c>
      <c r="C447" s="91">
        <f>IF('Deal maths'!V447="","",IF('Deal maths'!AC447="","Maturity",'Deal maths'!AC447))</f>
        <v/>
      </c>
      <c r="D447" s="108">
        <f>IF(OR(C447="EIP",C447="Annuity"),IF('Deal maths'!AD447="Annual",12,IF('Deal maths'!AD447="Quarterly",3,6)),0)</f>
        <v/>
      </c>
      <c r="E447" s="109">
        <f>IFERROR(IF(D447=0,0,IF('Deal maths'!AE447&gt;0,IF('Deal maths'!AE447&gt;'Deal maths'!AA447,'Deal maths'!AA447,'Deal maths'!AE447),IF(IF(DAY('Deal maths'!AA447+1)=1,EOMONTH('Deal maths'!AA447,-(INT(((YEAR('Deal maths'!AA447)-YEAR(IF('Deal maths'!Z447&gt;0,'Deal maths'!Z447,DATE(1990,1,1))))*12+MONTH('Deal maths'!AA447)-MONTH(IF('Deal maths'!Z447&gt;0,'Deal maths'!Z447,DATE(1990,1,1))))/D447))*D447),EDATE('Deal maths'!AA447,-(INT(((YEAR('Deal maths'!AA447)-YEAR(IF('Deal maths'!Z447&gt;0,'Deal maths'!Z447,DATE(1990,1,1))))*12+MONTH('Deal maths'!AA447)-MONTH(IF('Deal maths'!Z447&gt;0,'Deal maths'!Z447,DATE(1990,1,1))))/D447))*D447))&gt;IF('Deal maths'!Z447&gt;0,'Deal maths'!Z447,DATE(1990,1,1)),IF(DAY('Deal maths'!AA447+1)=1,EOMONTH('Deal maths'!AA447,-(INT(((YEAR('Deal maths'!AA447)-YEAR(IF('Deal maths'!Z447&gt;0,'Deal maths'!Z447,DATE(1990,1,1))))*12+MONTH('Deal maths'!AA447)-MONTH(IF('Deal maths'!Z447&gt;0,'Deal maths'!Z447,DATE(1990,1,1))))/D447))*D447),EDATE('Deal maths'!AA447,-(INT(((YEAR('Deal maths'!AA447)-YEAR(IF('Deal maths'!Z447&gt;0,'Deal maths'!Z447,DATE(1990,1,1))))*12+MONTH('Deal maths'!AA447)-MONTH(IF('Deal maths'!Z447&gt;0,'Deal maths'!Z447,DATE(1990,1,1))))/D447))*D447)),IF(DAY('Deal maths'!AA447+1)=1,EOMONTH('Deal maths'!AA447,-(INT(((YEAR('Deal maths'!AA447)-YEAR(IF('Deal maths'!Z447&gt;0,'Deal maths'!Z447,DATE(1990,1,1))))*12+MONTH('Deal maths'!AA447)-MONTH(IF('Deal maths'!Z447&gt;0,'Deal maths'!Z447,DATE(1990,1,1))))/D447)-1)*D447),EDATE('Deal maths'!AA447,-(INT(((YEAR('Deal maths'!AA447)-YEAR(IF('Deal maths'!Z447&gt;0,'Deal maths'!Z447,DATE(1990,1,1))))*12+MONTH('Deal maths'!AA447)-MONTH(IF('Deal maths'!Z447&gt;0,'Deal maths'!Z447,DATE(1990,1,1))))/D447)-1)*D447))))),0)</f>
        <v/>
      </c>
      <c r="F447" s="110">
        <f>IF(D447=0,0,'Deal maths'!AB447*D447/12)</f>
        <v/>
      </c>
      <c r="G447" s="108">
        <f>N447+O447</f>
        <v/>
      </c>
      <c r="H447" s="108">
        <f>IFERROR(IF(OR(D447=0,AsAt&lt;E447),0,MIN(N447,INT(((YEAR(AsAt)-YEAR(E447))*12+MONTH(AsAt)-MONTH(E447)-(DAY(AsAt)&lt;MIN(R447,DAY(EOMONTH(AsAt,0)))))/D447)+1)+O447*(AsAt&gt;='Deal maths'!AA447)),0)</f>
        <v/>
      </c>
      <c r="I447" s="108">
        <f>G447-H447</f>
        <v/>
      </c>
      <c r="J447" s="111">
        <f>IF(AND(C447="EIP",I447&gt;0),'Deal maths'!Y447/I447,0)</f>
        <v/>
      </c>
      <c r="K447" s="111">
        <f>IF(AND(C447="Annuity",I447&gt;0),IF(F447&gt;0,'Deal maths'!Y447*F447/(1-(1+F447)^-I447),'Deal maths'!Y447/I447),0)</f>
        <v/>
      </c>
      <c r="L447" s="111">
        <f>IF('Deal maths'!Y447="",0,'Deal maths'!Y447)</f>
        <v/>
      </c>
      <c r="M447" s="112">
        <f>F447+(F447=0)</f>
        <v/>
      </c>
      <c r="N447" s="108">
        <f>IFERROR(IF(D447=0,0,INT(((YEAR('Deal maths'!AA447)-YEAR(E447))*12+MONTH('Deal maths'!AA447)-MONTH(E447)-(DAY('Deal maths'!AA447)&lt;MIN(R447,DAY(EOMONTH('Deal maths'!AA447,0)))))/D447)+1),0)</f>
        <v/>
      </c>
      <c r="O447" s="108">
        <f>IFERROR(IF(D447=0,0,IF(IF(DAY(E447+1)=1,EOMONTH(E447,(N447-1)*D447),EDATE(E447,(N447-1)*D447))='Deal maths'!AA447,0,1)),0)</f>
        <v/>
      </c>
      <c r="P447" s="113">
        <f>IF(B447=0,0,IFERROR(IF(C447="EIP",((I447-O447)*((IF(DAY(E447+1)=1,EOMONTH(E447,H447*D447),EDATE(E447,H447*D447))-AsAt)/365.25+(IF(DAY(E447+1)=1,EOMONTH(E447,(N447-1)*D447),EDATE(E447,(N447-1)*D447))-AsAt)/365.25)/2+O447*('Deal maths'!AA447-AsAt)/365.25)/I447,IF(C447="Annuity",IF(F447&gt;0,((K447-L447*F447)*((IF(DAY(E447+1)=1,EOMONTH(E447,H447*D447),EDATE(E447,H447*D447))-AsAt)/365.25*((1+F447)^(I447-O447)-1)/F447+IF((I447-O447)&gt;1,((IF(DAY(E447+1)=1,EOMONTH(E447,(N447-1)*D447),EDATE(E447,(N447-1)*D447))-AsAt)/365.25-(IF(DAY(E447+1)=1,EOMONTH(E447,H447*D447),EDATE(E447,H447*D447))-AsAt)/365.25)/((I447-O447)-1),0)*(1+F447)*(1-(I447-O447)*(1+F447)^((I447-O447)-1)+((I447-O447)-1)*(1+F447)^(I447-O447))/F447^2)+O447*(K447-L447*F447)*(1+F447)^(I447-1)*('Deal maths'!AA447-AsAt)/365.25)/L447,((I447-O447)*((IF(DAY(E447+1)=1,EOMONTH(E447,H447*D447),EDATE(E447,H447*D447))-AsAt)/365.25+(IF(DAY(E447+1)=1,EOMONTH(E447,(N447-1)*D447),EDATE(E447,(N447-1)*D447))-AsAt)/365.25)/2+O447*('Deal maths'!AA447-AsAt)/365.25)/I447),(S447-AsAt)/365.25)),0))</f>
        <v/>
      </c>
      <c r="Q447" s="109">
        <f>IF(B447=1,'Deal maths'!AA447+ROW()/1000000,"")</f>
        <v/>
      </c>
      <c r="R447" s="108">
        <f>IF(D447=0,0,IF(DAY(E447+1)=1,31,DAY(E447)))</f>
        <v/>
      </c>
      <c r="S447" s="109">
        <f>IF(AND('Deal maths'!V447="LOBO",'Deal maths'!AG447&gt;AsAt,'Deal maths'!AG447&lt;'Deal maths'!AA447),'Deal maths'!AG447,'Deal maths'!AA447)</f>
        <v/>
      </c>
      <c r="T447" s="108">
        <f>('Deal maths'!AA447&gt;AsAt)*('Deal maths'!Y447&gt;0)</f>
        <v/>
      </c>
    </row>
    <row r="448">
      <c r="A448" s="91">
        <f>IF('Deal maths'!V448="","",'Deal maths'!W448)</f>
        <v/>
      </c>
      <c r="B448" s="108">
        <f>('Deal maths'!AA448&gt;AsAt)*('Deal maths'!Y448&gt;0)*('Deal maths'!Z448&lt;=AsAt)</f>
        <v/>
      </c>
      <c r="C448" s="91">
        <f>IF('Deal maths'!V448="","",IF('Deal maths'!AC448="","Maturity",'Deal maths'!AC448))</f>
        <v/>
      </c>
      <c r="D448" s="108">
        <f>IF(OR(C448="EIP",C448="Annuity"),IF('Deal maths'!AD448="Annual",12,IF('Deal maths'!AD448="Quarterly",3,6)),0)</f>
        <v/>
      </c>
      <c r="E448" s="109">
        <f>IFERROR(IF(D448=0,0,IF('Deal maths'!AE448&gt;0,IF('Deal maths'!AE448&gt;'Deal maths'!AA448,'Deal maths'!AA448,'Deal maths'!AE448),IF(IF(DAY('Deal maths'!AA448+1)=1,EOMONTH('Deal maths'!AA448,-(INT(((YEAR('Deal maths'!AA448)-YEAR(IF('Deal maths'!Z448&gt;0,'Deal maths'!Z448,DATE(1990,1,1))))*12+MONTH('Deal maths'!AA448)-MONTH(IF('Deal maths'!Z448&gt;0,'Deal maths'!Z448,DATE(1990,1,1))))/D448))*D448),EDATE('Deal maths'!AA448,-(INT(((YEAR('Deal maths'!AA448)-YEAR(IF('Deal maths'!Z448&gt;0,'Deal maths'!Z448,DATE(1990,1,1))))*12+MONTH('Deal maths'!AA448)-MONTH(IF('Deal maths'!Z448&gt;0,'Deal maths'!Z448,DATE(1990,1,1))))/D448))*D448))&gt;IF('Deal maths'!Z448&gt;0,'Deal maths'!Z448,DATE(1990,1,1)),IF(DAY('Deal maths'!AA448+1)=1,EOMONTH('Deal maths'!AA448,-(INT(((YEAR('Deal maths'!AA448)-YEAR(IF('Deal maths'!Z448&gt;0,'Deal maths'!Z448,DATE(1990,1,1))))*12+MONTH('Deal maths'!AA448)-MONTH(IF('Deal maths'!Z448&gt;0,'Deal maths'!Z448,DATE(1990,1,1))))/D448))*D448),EDATE('Deal maths'!AA448,-(INT(((YEAR('Deal maths'!AA448)-YEAR(IF('Deal maths'!Z448&gt;0,'Deal maths'!Z448,DATE(1990,1,1))))*12+MONTH('Deal maths'!AA448)-MONTH(IF('Deal maths'!Z448&gt;0,'Deal maths'!Z448,DATE(1990,1,1))))/D448))*D448)),IF(DAY('Deal maths'!AA448+1)=1,EOMONTH('Deal maths'!AA448,-(INT(((YEAR('Deal maths'!AA448)-YEAR(IF('Deal maths'!Z448&gt;0,'Deal maths'!Z448,DATE(1990,1,1))))*12+MONTH('Deal maths'!AA448)-MONTH(IF('Deal maths'!Z448&gt;0,'Deal maths'!Z448,DATE(1990,1,1))))/D448)-1)*D448),EDATE('Deal maths'!AA448,-(INT(((YEAR('Deal maths'!AA448)-YEAR(IF('Deal maths'!Z448&gt;0,'Deal maths'!Z448,DATE(1990,1,1))))*12+MONTH('Deal maths'!AA448)-MONTH(IF('Deal maths'!Z448&gt;0,'Deal maths'!Z448,DATE(1990,1,1))))/D448)-1)*D448))))),0)</f>
        <v/>
      </c>
      <c r="F448" s="110">
        <f>IF(D448=0,0,'Deal maths'!AB448*D448/12)</f>
        <v/>
      </c>
      <c r="G448" s="108">
        <f>N448+O448</f>
        <v/>
      </c>
      <c r="H448" s="108">
        <f>IFERROR(IF(OR(D448=0,AsAt&lt;E448),0,MIN(N448,INT(((YEAR(AsAt)-YEAR(E448))*12+MONTH(AsAt)-MONTH(E448)-(DAY(AsAt)&lt;MIN(R448,DAY(EOMONTH(AsAt,0)))))/D448)+1)+O448*(AsAt&gt;='Deal maths'!AA448)),0)</f>
        <v/>
      </c>
      <c r="I448" s="108">
        <f>G448-H448</f>
        <v/>
      </c>
      <c r="J448" s="111">
        <f>IF(AND(C448="EIP",I448&gt;0),'Deal maths'!Y448/I448,0)</f>
        <v/>
      </c>
      <c r="K448" s="111">
        <f>IF(AND(C448="Annuity",I448&gt;0),IF(F448&gt;0,'Deal maths'!Y448*F448/(1-(1+F448)^-I448),'Deal maths'!Y448/I448),0)</f>
        <v/>
      </c>
      <c r="L448" s="111">
        <f>IF('Deal maths'!Y448="",0,'Deal maths'!Y448)</f>
        <v/>
      </c>
      <c r="M448" s="112">
        <f>F448+(F448=0)</f>
        <v/>
      </c>
      <c r="N448" s="108">
        <f>IFERROR(IF(D448=0,0,INT(((YEAR('Deal maths'!AA448)-YEAR(E448))*12+MONTH('Deal maths'!AA448)-MONTH(E448)-(DAY('Deal maths'!AA448)&lt;MIN(R448,DAY(EOMONTH('Deal maths'!AA448,0)))))/D448)+1),0)</f>
        <v/>
      </c>
      <c r="O448" s="108">
        <f>IFERROR(IF(D448=0,0,IF(IF(DAY(E448+1)=1,EOMONTH(E448,(N448-1)*D448),EDATE(E448,(N448-1)*D448))='Deal maths'!AA448,0,1)),0)</f>
        <v/>
      </c>
      <c r="P448" s="113">
        <f>IF(B448=0,0,IFERROR(IF(C448="EIP",((I448-O448)*((IF(DAY(E448+1)=1,EOMONTH(E448,H448*D448),EDATE(E448,H448*D448))-AsAt)/365.25+(IF(DAY(E448+1)=1,EOMONTH(E448,(N448-1)*D448),EDATE(E448,(N448-1)*D448))-AsAt)/365.25)/2+O448*('Deal maths'!AA448-AsAt)/365.25)/I448,IF(C448="Annuity",IF(F448&gt;0,((K448-L448*F448)*((IF(DAY(E448+1)=1,EOMONTH(E448,H448*D448),EDATE(E448,H448*D448))-AsAt)/365.25*((1+F448)^(I448-O448)-1)/F448+IF((I448-O448)&gt;1,((IF(DAY(E448+1)=1,EOMONTH(E448,(N448-1)*D448),EDATE(E448,(N448-1)*D448))-AsAt)/365.25-(IF(DAY(E448+1)=1,EOMONTH(E448,H448*D448),EDATE(E448,H448*D448))-AsAt)/365.25)/((I448-O448)-1),0)*(1+F448)*(1-(I448-O448)*(1+F448)^((I448-O448)-1)+((I448-O448)-1)*(1+F448)^(I448-O448))/F448^2)+O448*(K448-L448*F448)*(1+F448)^(I448-1)*('Deal maths'!AA448-AsAt)/365.25)/L448,((I448-O448)*((IF(DAY(E448+1)=1,EOMONTH(E448,H448*D448),EDATE(E448,H448*D448))-AsAt)/365.25+(IF(DAY(E448+1)=1,EOMONTH(E448,(N448-1)*D448),EDATE(E448,(N448-1)*D448))-AsAt)/365.25)/2+O448*('Deal maths'!AA448-AsAt)/365.25)/I448),(S448-AsAt)/365.25)),0))</f>
        <v/>
      </c>
      <c r="Q448" s="109">
        <f>IF(B448=1,'Deal maths'!AA448+ROW()/1000000,"")</f>
        <v/>
      </c>
      <c r="R448" s="108">
        <f>IF(D448=0,0,IF(DAY(E448+1)=1,31,DAY(E448)))</f>
        <v/>
      </c>
      <c r="S448" s="109">
        <f>IF(AND('Deal maths'!V448="LOBO",'Deal maths'!AG448&gt;AsAt,'Deal maths'!AG448&lt;'Deal maths'!AA448),'Deal maths'!AG448,'Deal maths'!AA448)</f>
        <v/>
      </c>
      <c r="T448" s="108">
        <f>('Deal maths'!AA448&gt;AsAt)*('Deal maths'!Y448&gt;0)</f>
        <v/>
      </c>
    </row>
    <row r="449">
      <c r="A449" s="91">
        <f>IF('Deal maths'!V449="","",'Deal maths'!W449)</f>
        <v/>
      </c>
      <c r="B449" s="108">
        <f>('Deal maths'!AA449&gt;AsAt)*('Deal maths'!Y449&gt;0)*('Deal maths'!Z449&lt;=AsAt)</f>
        <v/>
      </c>
      <c r="C449" s="91">
        <f>IF('Deal maths'!V449="","",IF('Deal maths'!AC449="","Maturity",'Deal maths'!AC449))</f>
        <v/>
      </c>
      <c r="D449" s="108">
        <f>IF(OR(C449="EIP",C449="Annuity"),IF('Deal maths'!AD449="Annual",12,IF('Deal maths'!AD449="Quarterly",3,6)),0)</f>
        <v/>
      </c>
      <c r="E449" s="109">
        <f>IFERROR(IF(D449=0,0,IF('Deal maths'!AE449&gt;0,IF('Deal maths'!AE449&gt;'Deal maths'!AA449,'Deal maths'!AA449,'Deal maths'!AE449),IF(IF(DAY('Deal maths'!AA449+1)=1,EOMONTH('Deal maths'!AA449,-(INT(((YEAR('Deal maths'!AA449)-YEAR(IF('Deal maths'!Z449&gt;0,'Deal maths'!Z449,DATE(1990,1,1))))*12+MONTH('Deal maths'!AA449)-MONTH(IF('Deal maths'!Z449&gt;0,'Deal maths'!Z449,DATE(1990,1,1))))/D449))*D449),EDATE('Deal maths'!AA449,-(INT(((YEAR('Deal maths'!AA449)-YEAR(IF('Deal maths'!Z449&gt;0,'Deal maths'!Z449,DATE(1990,1,1))))*12+MONTH('Deal maths'!AA449)-MONTH(IF('Deal maths'!Z449&gt;0,'Deal maths'!Z449,DATE(1990,1,1))))/D449))*D449))&gt;IF('Deal maths'!Z449&gt;0,'Deal maths'!Z449,DATE(1990,1,1)),IF(DAY('Deal maths'!AA449+1)=1,EOMONTH('Deal maths'!AA449,-(INT(((YEAR('Deal maths'!AA449)-YEAR(IF('Deal maths'!Z449&gt;0,'Deal maths'!Z449,DATE(1990,1,1))))*12+MONTH('Deal maths'!AA449)-MONTH(IF('Deal maths'!Z449&gt;0,'Deal maths'!Z449,DATE(1990,1,1))))/D449))*D449),EDATE('Deal maths'!AA449,-(INT(((YEAR('Deal maths'!AA449)-YEAR(IF('Deal maths'!Z449&gt;0,'Deal maths'!Z449,DATE(1990,1,1))))*12+MONTH('Deal maths'!AA449)-MONTH(IF('Deal maths'!Z449&gt;0,'Deal maths'!Z449,DATE(1990,1,1))))/D449))*D449)),IF(DAY('Deal maths'!AA449+1)=1,EOMONTH('Deal maths'!AA449,-(INT(((YEAR('Deal maths'!AA449)-YEAR(IF('Deal maths'!Z449&gt;0,'Deal maths'!Z449,DATE(1990,1,1))))*12+MONTH('Deal maths'!AA449)-MONTH(IF('Deal maths'!Z449&gt;0,'Deal maths'!Z449,DATE(1990,1,1))))/D449)-1)*D449),EDATE('Deal maths'!AA449,-(INT(((YEAR('Deal maths'!AA449)-YEAR(IF('Deal maths'!Z449&gt;0,'Deal maths'!Z449,DATE(1990,1,1))))*12+MONTH('Deal maths'!AA449)-MONTH(IF('Deal maths'!Z449&gt;0,'Deal maths'!Z449,DATE(1990,1,1))))/D449)-1)*D449))))),0)</f>
        <v/>
      </c>
      <c r="F449" s="110">
        <f>IF(D449=0,0,'Deal maths'!AB449*D449/12)</f>
        <v/>
      </c>
      <c r="G449" s="108">
        <f>N449+O449</f>
        <v/>
      </c>
      <c r="H449" s="108">
        <f>IFERROR(IF(OR(D449=0,AsAt&lt;E449),0,MIN(N449,INT(((YEAR(AsAt)-YEAR(E449))*12+MONTH(AsAt)-MONTH(E449)-(DAY(AsAt)&lt;MIN(R449,DAY(EOMONTH(AsAt,0)))))/D449)+1)+O449*(AsAt&gt;='Deal maths'!AA449)),0)</f>
        <v/>
      </c>
      <c r="I449" s="108">
        <f>G449-H449</f>
        <v/>
      </c>
      <c r="J449" s="111">
        <f>IF(AND(C449="EIP",I449&gt;0),'Deal maths'!Y449/I449,0)</f>
        <v/>
      </c>
      <c r="K449" s="111">
        <f>IF(AND(C449="Annuity",I449&gt;0),IF(F449&gt;0,'Deal maths'!Y449*F449/(1-(1+F449)^-I449),'Deal maths'!Y449/I449),0)</f>
        <v/>
      </c>
      <c r="L449" s="111">
        <f>IF('Deal maths'!Y449="",0,'Deal maths'!Y449)</f>
        <v/>
      </c>
      <c r="M449" s="112">
        <f>F449+(F449=0)</f>
        <v/>
      </c>
      <c r="N449" s="108">
        <f>IFERROR(IF(D449=0,0,INT(((YEAR('Deal maths'!AA449)-YEAR(E449))*12+MONTH('Deal maths'!AA449)-MONTH(E449)-(DAY('Deal maths'!AA449)&lt;MIN(R449,DAY(EOMONTH('Deal maths'!AA449,0)))))/D449)+1),0)</f>
        <v/>
      </c>
      <c r="O449" s="108">
        <f>IFERROR(IF(D449=0,0,IF(IF(DAY(E449+1)=1,EOMONTH(E449,(N449-1)*D449),EDATE(E449,(N449-1)*D449))='Deal maths'!AA449,0,1)),0)</f>
        <v/>
      </c>
      <c r="P449" s="113">
        <f>IF(B449=0,0,IFERROR(IF(C449="EIP",((I449-O449)*((IF(DAY(E449+1)=1,EOMONTH(E449,H449*D449),EDATE(E449,H449*D449))-AsAt)/365.25+(IF(DAY(E449+1)=1,EOMONTH(E449,(N449-1)*D449),EDATE(E449,(N449-1)*D449))-AsAt)/365.25)/2+O449*('Deal maths'!AA449-AsAt)/365.25)/I449,IF(C449="Annuity",IF(F449&gt;0,((K449-L449*F449)*((IF(DAY(E449+1)=1,EOMONTH(E449,H449*D449),EDATE(E449,H449*D449))-AsAt)/365.25*((1+F449)^(I449-O449)-1)/F449+IF((I449-O449)&gt;1,((IF(DAY(E449+1)=1,EOMONTH(E449,(N449-1)*D449),EDATE(E449,(N449-1)*D449))-AsAt)/365.25-(IF(DAY(E449+1)=1,EOMONTH(E449,H449*D449),EDATE(E449,H449*D449))-AsAt)/365.25)/((I449-O449)-1),0)*(1+F449)*(1-(I449-O449)*(1+F449)^((I449-O449)-1)+((I449-O449)-1)*(1+F449)^(I449-O449))/F449^2)+O449*(K449-L449*F449)*(1+F449)^(I449-1)*('Deal maths'!AA449-AsAt)/365.25)/L449,((I449-O449)*((IF(DAY(E449+1)=1,EOMONTH(E449,H449*D449),EDATE(E449,H449*D449))-AsAt)/365.25+(IF(DAY(E449+1)=1,EOMONTH(E449,(N449-1)*D449),EDATE(E449,(N449-1)*D449))-AsAt)/365.25)/2+O449*('Deal maths'!AA449-AsAt)/365.25)/I449),(S449-AsAt)/365.25)),0))</f>
        <v/>
      </c>
      <c r="Q449" s="109">
        <f>IF(B449=1,'Deal maths'!AA449+ROW()/1000000,"")</f>
        <v/>
      </c>
      <c r="R449" s="108">
        <f>IF(D449=0,0,IF(DAY(E449+1)=1,31,DAY(E449)))</f>
        <v/>
      </c>
      <c r="S449" s="109">
        <f>IF(AND('Deal maths'!V449="LOBO",'Deal maths'!AG449&gt;AsAt,'Deal maths'!AG449&lt;'Deal maths'!AA449),'Deal maths'!AG449,'Deal maths'!AA449)</f>
        <v/>
      </c>
      <c r="T449" s="108">
        <f>('Deal maths'!AA449&gt;AsAt)*('Deal maths'!Y449&gt;0)</f>
        <v/>
      </c>
    </row>
    <row r="450">
      <c r="A450" s="91">
        <f>IF('Deal maths'!V450="","",'Deal maths'!W450)</f>
        <v/>
      </c>
      <c r="B450" s="108">
        <f>('Deal maths'!AA450&gt;AsAt)*('Deal maths'!Y450&gt;0)*('Deal maths'!Z450&lt;=AsAt)</f>
        <v/>
      </c>
      <c r="C450" s="91">
        <f>IF('Deal maths'!V450="","",IF('Deal maths'!AC450="","Maturity",'Deal maths'!AC450))</f>
        <v/>
      </c>
      <c r="D450" s="108">
        <f>IF(OR(C450="EIP",C450="Annuity"),IF('Deal maths'!AD450="Annual",12,IF('Deal maths'!AD450="Quarterly",3,6)),0)</f>
        <v/>
      </c>
      <c r="E450" s="109">
        <f>IFERROR(IF(D450=0,0,IF('Deal maths'!AE450&gt;0,IF('Deal maths'!AE450&gt;'Deal maths'!AA450,'Deal maths'!AA450,'Deal maths'!AE450),IF(IF(DAY('Deal maths'!AA450+1)=1,EOMONTH('Deal maths'!AA450,-(INT(((YEAR('Deal maths'!AA450)-YEAR(IF('Deal maths'!Z450&gt;0,'Deal maths'!Z450,DATE(1990,1,1))))*12+MONTH('Deal maths'!AA450)-MONTH(IF('Deal maths'!Z450&gt;0,'Deal maths'!Z450,DATE(1990,1,1))))/D450))*D450),EDATE('Deal maths'!AA450,-(INT(((YEAR('Deal maths'!AA450)-YEAR(IF('Deal maths'!Z450&gt;0,'Deal maths'!Z450,DATE(1990,1,1))))*12+MONTH('Deal maths'!AA450)-MONTH(IF('Deal maths'!Z450&gt;0,'Deal maths'!Z450,DATE(1990,1,1))))/D450))*D450))&gt;IF('Deal maths'!Z450&gt;0,'Deal maths'!Z450,DATE(1990,1,1)),IF(DAY('Deal maths'!AA450+1)=1,EOMONTH('Deal maths'!AA450,-(INT(((YEAR('Deal maths'!AA450)-YEAR(IF('Deal maths'!Z450&gt;0,'Deal maths'!Z450,DATE(1990,1,1))))*12+MONTH('Deal maths'!AA450)-MONTH(IF('Deal maths'!Z450&gt;0,'Deal maths'!Z450,DATE(1990,1,1))))/D450))*D450),EDATE('Deal maths'!AA450,-(INT(((YEAR('Deal maths'!AA450)-YEAR(IF('Deal maths'!Z450&gt;0,'Deal maths'!Z450,DATE(1990,1,1))))*12+MONTH('Deal maths'!AA450)-MONTH(IF('Deal maths'!Z450&gt;0,'Deal maths'!Z450,DATE(1990,1,1))))/D450))*D450)),IF(DAY('Deal maths'!AA450+1)=1,EOMONTH('Deal maths'!AA450,-(INT(((YEAR('Deal maths'!AA450)-YEAR(IF('Deal maths'!Z450&gt;0,'Deal maths'!Z450,DATE(1990,1,1))))*12+MONTH('Deal maths'!AA450)-MONTH(IF('Deal maths'!Z450&gt;0,'Deal maths'!Z450,DATE(1990,1,1))))/D450)-1)*D450),EDATE('Deal maths'!AA450,-(INT(((YEAR('Deal maths'!AA450)-YEAR(IF('Deal maths'!Z450&gt;0,'Deal maths'!Z450,DATE(1990,1,1))))*12+MONTH('Deal maths'!AA450)-MONTH(IF('Deal maths'!Z450&gt;0,'Deal maths'!Z450,DATE(1990,1,1))))/D450)-1)*D450))))),0)</f>
        <v/>
      </c>
      <c r="F450" s="110">
        <f>IF(D450=0,0,'Deal maths'!AB450*D450/12)</f>
        <v/>
      </c>
      <c r="G450" s="108">
        <f>N450+O450</f>
        <v/>
      </c>
      <c r="H450" s="108">
        <f>IFERROR(IF(OR(D450=0,AsAt&lt;E450),0,MIN(N450,INT(((YEAR(AsAt)-YEAR(E450))*12+MONTH(AsAt)-MONTH(E450)-(DAY(AsAt)&lt;MIN(R450,DAY(EOMONTH(AsAt,0)))))/D450)+1)+O450*(AsAt&gt;='Deal maths'!AA450)),0)</f>
        <v/>
      </c>
      <c r="I450" s="108">
        <f>G450-H450</f>
        <v/>
      </c>
      <c r="J450" s="111">
        <f>IF(AND(C450="EIP",I450&gt;0),'Deal maths'!Y450/I450,0)</f>
        <v/>
      </c>
      <c r="K450" s="111">
        <f>IF(AND(C450="Annuity",I450&gt;0),IF(F450&gt;0,'Deal maths'!Y450*F450/(1-(1+F450)^-I450),'Deal maths'!Y450/I450),0)</f>
        <v/>
      </c>
      <c r="L450" s="111">
        <f>IF('Deal maths'!Y450="",0,'Deal maths'!Y450)</f>
        <v/>
      </c>
      <c r="M450" s="112">
        <f>F450+(F450=0)</f>
        <v/>
      </c>
      <c r="N450" s="108">
        <f>IFERROR(IF(D450=0,0,INT(((YEAR('Deal maths'!AA450)-YEAR(E450))*12+MONTH('Deal maths'!AA450)-MONTH(E450)-(DAY('Deal maths'!AA450)&lt;MIN(R450,DAY(EOMONTH('Deal maths'!AA450,0)))))/D450)+1),0)</f>
        <v/>
      </c>
      <c r="O450" s="108">
        <f>IFERROR(IF(D450=0,0,IF(IF(DAY(E450+1)=1,EOMONTH(E450,(N450-1)*D450),EDATE(E450,(N450-1)*D450))='Deal maths'!AA450,0,1)),0)</f>
        <v/>
      </c>
      <c r="P450" s="113">
        <f>IF(B450=0,0,IFERROR(IF(C450="EIP",((I450-O450)*((IF(DAY(E450+1)=1,EOMONTH(E450,H450*D450),EDATE(E450,H450*D450))-AsAt)/365.25+(IF(DAY(E450+1)=1,EOMONTH(E450,(N450-1)*D450),EDATE(E450,(N450-1)*D450))-AsAt)/365.25)/2+O450*('Deal maths'!AA450-AsAt)/365.25)/I450,IF(C450="Annuity",IF(F450&gt;0,((K450-L450*F450)*((IF(DAY(E450+1)=1,EOMONTH(E450,H450*D450),EDATE(E450,H450*D450))-AsAt)/365.25*((1+F450)^(I450-O450)-1)/F450+IF((I450-O450)&gt;1,((IF(DAY(E450+1)=1,EOMONTH(E450,(N450-1)*D450),EDATE(E450,(N450-1)*D450))-AsAt)/365.25-(IF(DAY(E450+1)=1,EOMONTH(E450,H450*D450),EDATE(E450,H450*D450))-AsAt)/365.25)/((I450-O450)-1),0)*(1+F450)*(1-(I450-O450)*(1+F450)^((I450-O450)-1)+((I450-O450)-1)*(1+F450)^(I450-O450))/F450^2)+O450*(K450-L450*F450)*(1+F450)^(I450-1)*('Deal maths'!AA450-AsAt)/365.25)/L450,((I450-O450)*((IF(DAY(E450+1)=1,EOMONTH(E450,H450*D450),EDATE(E450,H450*D450))-AsAt)/365.25+(IF(DAY(E450+1)=1,EOMONTH(E450,(N450-1)*D450),EDATE(E450,(N450-1)*D450))-AsAt)/365.25)/2+O450*('Deal maths'!AA450-AsAt)/365.25)/I450),(S450-AsAt)/365.25)),0))</f>
        <v/>
      </c>
      <c r="Q450" s="109">
        <f>IF(B450=1,'Deal maths'!AA450+ROW()/1000000,"")</f>
        <v/>
      </c>
      <c r="R450" s="108">
        <f>IF(D450=0,0,IF(DAY(E450+1)=1,31,DAY(E450)))</f>
        <v/>
      </c>
      <c r="S450" s="109">
        <f>IF(AND('Deal maths'!V450="LOBO",'Deal maths'!AG450&gt;AsAt,'Deal maths'!AG450&lt;'Deal maths'!AA450),'Deal maths'!AG450,'Deal maths'!AA450)</f>
        <v/>
      </c>
      <c r="T450" s="108">
        <f>('Deal maths'!AA450&gt;AsAt)*('Deal maths'!Y450&gt;0)</f>
        <v/>
      </c>
    </row>
    <row r="451">
      <c r="A451" s="91">
        <f>IF('Deal maths'!V451="","",'Deal maths'!W451)</f>
        <v/>
      </c>
      <c r="B451" s="108">
        <f>('Deal maths'!AA451&gt;AsAt)*('Deal maths'!Y451&gt;0)*('Deal maths'!Z451&lt;=AsAt)</f>
        <v/>
      </c>
      <c r="C451" s="91">
        <f>IF('Deal maths'!V451="","",IF('Deal maths'!AC451="","Maturity",'Deal maths'!AC451))</f>
        <v/>
      </c>
      <c r="D451" s="108">
        <f>IF(OR(C451="EIP",C451="Annuity"),IF('Deal maths'!AD451="Annual",12,IF('Deal maths'!AD451="Quarterly",3,6)),0)</f>
        <v/>
      </c>
      <c r="E451" s="109">
        <f>IFERROR(IF(D451=0,0,IF('Deal maths'!AE451&gt;0,IF('Deal maths'!AE451&gt;'Deal maths'!AA451,'Deal maths'!AA451,'Deal maths'!AE451),IF(IF(DAY('Deal maths'!AA451+1)=1,EOMONTH('Deal maths'!AA451,-(INT(((YEAR('Deal maths'!AA451)-YEAR(IF('Deal maths'!Z451&gt;0,'Deal maths'!Z451,DATE(1990,1,1))))*12+MONTH('Deal maths'!AA451)-MONTH(IF('Deal maths'!Z451&gt;0,'Deal maths'!Z451,DATE(1990,1,1))))/D451))*D451),EDATE('Deal maths'!AA451,-(INT(((YEAR('Deal maths'!AA451)-YEAR(IF('Deal maths'!Z451&gt;0,'Deal maths'!Z451,DATE(1990,1,1))))*12+MONTH('Deal maths'!AA451)-MONTH(IF('Deal maths'!Z451&gt;0,'Deal maths'!Z451,DATE(1990,1,1))))/D451))*D451))&gt;IF('Deal maths'!Z451&gt;0,'Deal maths'!Z451,DATE(1990,1,1)),IF(DAY('Deal maths'!AA451+1)=1,EOMONTH('Deal maths'!AA451,-(INT(((YEAR('Deal maths'!AA451)-YEAR(IF('Deal maths'!Z451&gt;0,'Deal maths'!Z451,DATE(1990,1,1))))*12+MONTH('Deal maths'!AA451)-MONTH(IF('Deal maths'!Z451&gt;0,'Deal maths'!Z451,DATE(1990,1,1))))/D451))*D451),EDATE('Deal maths'!AA451,-(INT(((YEAR('Deal maths'!AA451)-YEAR(IF('Deal maths'!Z451&gt;0,'Deal maths'!Z451,DATE(1990,1,1))))*12+MONTH('Deal maths'!AA451)-MONTH(IF('Deal maths'!Z451&gt;0,'Deal maths'!Z451,DATE(1990,1,1))))/D451))*D451)),IF(DAY('Deal maths'!AA451+1)=1,EOMONTH('Deal maths'!AA451,-(INT(((YEAR('Deal maths'!AA451)-YEAR(IF('Deal maths'!Z451&gt;0,'Deal maths'!Z451,DATE(1990,1,1))))*12+MONTH('Deal maths'!AA451)-MONTH(IF('Deal maths'!Z451&gt;0,'Deal maths'!Z451,DATE(1990,1,1))))/D451)-1)*D451),EDATE('Deal maths'!AA451,-(INT(((YEAR('Deal maths'!AA451)-YEAR(IF('Deal maths'!Z451&gt;0,'Deal maths'!Z451,DATE(1990,1,1))))*12+MONTH('Deal maths'!AA451)-MONTH(IF('Deal maths'!Z451&gt;0,'Deal maths'!Z451,DATE(1990,1,1))))/D451)-1)*D451))))),0)</f>
        <v/>
      </c>
      <c r="F451" s="110">
        <f>IF(D451=0,0,'Deal maths'!AB451*D451/12)</f>
        <v/>
      </c>
      <c r="G451" s="108">
        <f>N451+O451</f>
        <v/>
      </c>
      <c r="H451" s="108">
        <f>IFERROR(IF(OR(D451=0,AsAt&lt;E451),0,MIN(N451,INT(((YEAR(AsAt)-YEAR(E451))*12+MONTH(AsAt)-MONTH(E451)-(DAY(AsAt)&lt;MIN(R451,DAY(EOMONTH(AsAt,0)))))/D451)+1)+O451*(AsAt&gt;='Deal maths'!AA451)),0)</f>
        <v/>
      </c>
      <c r="I451" s="108">
        <f>G451-H451</f>
        <v/>
      </c>
      <c r="J451" s="111">
        <f>IF(AND(C451="EIP",I451&gt;0),'Deal maths'!Y451/I451,0)</f>
        <v/>
      </c>
      <c r="K451" s="111">
        <f>IF(AND(C451="Annuity",I451&gt;0),IF(F451&gt;0,'Deal maths'!Y451*F451/(1-(1+F451)^-I451),'Deal maths'!Y451/I451),0)</f>
        <v/>
      </c>
      <c r="L451" s="111">
        <f>IF('Deal maths'!Y451="",0,'Deal maths'!Y451)</f>
        <v/>
      </c>
      <c r="M451" s="112">
        <f>F451+(F451=0)</f>
        <v/>
      </c>
      <c r="N451" s="108">
        <f>IFERROR(IF(D451=0,0,INT(((YEAR('Deal maths'!AA451)-YEAR(E451))*12+MONTH('Deal maths'!AA451)-MONTH(E451)-(DAY('Deal maths'!AA451)&lt;MIN(R451,DAY(EOMONTH('Deal maths'!AA451,0)))))/D451)+1),0)</f>
        <v/>
      </c>
      <c r="O451" s="108">
        <f>IFERROR(IF(D451=0,0,IF(IF(DAY(E451+1)=1,EOMONTH(E451,(N451-1)*D451),EDATE(E451,(N451-1)*D451))='Deal maths'!AA451,0,1)),0)</f>
        <v/>
      </c>
      <c r="P451" s="113">
        <f>IF(B451=0,0,IFERROR(IF(C451="EIP",((I451-O451)*((IF(DAY(E451+1)=1,EOMONTH(E451,H451*D451),EDATE(E451,H451*D451))-AsAt)/365.25+(IF(DAY(E451+1)=1,EOMONTH(E451,(N451-1)*D451),EDATE(E451,(N451-1)*D451))-AsAt)/365.25)/2+O451*('Deal maths'!AA451-AsAt)/365.25)/I451,IF(C451="Annuity",IF(F451&gt;0,((K451-L451*F451)*((IF(DAY(E451+1)=1,EOMONTH(E451,H451*D451),EDATE(E451,H451*D451))-AsAt)/365.25*((1+F451)^(I451-O451)-1)/F451+IF((I451-O451)&gt;1,((IF(DAY(E451+1)=1,EOMONTH(E451,(N451-1)*D451),EDATE(E451,(N451-1)*D451))-AsAt)/365.25-(IF(DAY(E451+1)=1,EOMONTH(E451,H451*D451),EDATE(E451,H451*D451))-AsAt)/365.25)/((I451-O451)-1),0)*(1+F451)*(1-(I451-O451)*(1+F451)^((I451-O451)-1)+((I451-O451)-1)*(1+F451)^(I451-O451))/F451^2)+O451*(K451-L451*F451)*(1+F451)^(I451-1)*('Deal maths'!AA451-AsAt)/365.25)/L451,((I451-O451)*((IF(DAY(E451+1)=1,EOMONTH(E451,H451*D451),EDATE(E451,H451*D451))-AsAt)/365.25+(IF(DAY(E451+1)=1,EOMONTH(E451,(N451-1)*D451),EDATE(E451,(N451-1)*D451))-AsAt)/365.25)/2+O451*('Deal maths'!AA451-AsAt)/365.25)/I451),(S451-AsAt)/365.25)),0))</f>
        <v/>
      </c>
      <c r="Q451" s="109">
        <f>IF(B451=1,'Deal maths'!AA451+ROW()/1000000,"")</f>
        <v/>
      </c>
      <c r="R451" s="108">
        <f>IF(D451=0,0,IF(DAY(E451+1)=1,31,DAY(E451)))</f>
        <v/>
      </c>
      <c r="S451" s="109">
        <f>IF(AND('Deal maths'!V451="LOBO",'Deal maths'!AG451&gt;AsAt,'Deal maths'!AG451&lt;'Deal maths'!AA451),'Deal maths'!AG451,'Deal maths'!AA451)</f>
        <v/>
      </c>
      <c r="T451" s="108">
        <f>('Deal maths'!AA451&gt;AsAt)*('Deal maths'!Y451&gt;0)</f>
        <v/>
      </c>
    </row>
    <row r="452">
      <c r="A452" s="91">
        <f>IF('Deal maths'!V452="","",'Deal maths'!W452)</f>
        <v/>
      </c>
      <c r="B452" s="108">
        <f>('Deal maths'!AA452&gt;AsAt)*('Deal maths'!Y452&gt;0)*('Deal maths'!Z452&lt;=AsAt)</f>
        <v/>
      </c>
      <c r="C452" s="91">
        <f>IF('Deal maths'!V452="","",IF('Deal maths'!AC452="","Maturity",'Deal maths'!AC452))</f>
        <v/>
      </c>
      <c r="D452" s="108">
        <f>IF(OR(C452="EIP",C452="Annuity"),IF('Deal maths'!AD452="Annual",12,IF('Deal maths'!AD452="Quarterly",3,6)),0)</f>
        <v/>
      </c>
      <c r="E452" s="109">
        <f>IFERROR(IF(D452=0,0,IF('Deal maths'!AE452&gt;0,IF('Deal maths'!AE452&gt;'Deal maths'!AA452,'Deal maths'!AA452,'Deal maths'!AE452),IF(IF(DAY('Deal maths'!AA452+1)=1,EOMONTH('Deal maths'!AA452,-(INT(((YEAR('Deal maths'!AA452)-YEAR(IF('Deal maths'!Z452&gt;0,'Deal maths'!Z452,DATE(1990,1,1))))*12+MONTH('Deal maths'!AA452)-MONTH(IF('Deal maths'!Z452&gt;0,'Deal maths'!Z452,DATE(1990,1,1))))/D452))*D452),EDATE('Deal maths'!AA452,-(INT(((YEAR('Deal maths'!AA452)-YEAR(IF('Deal maths'!Z452&gt;0,'Deal maths'!Z452,DATE(1990,1,1))))*12+MONTH('Deal maths'!AA452)-MONTH(IF('Deal maths'!Z452&gt;0,'Deal maths'!Z452,DATE(1990,1,1))))/D452))*D452))&gt;IF('Deal maths'!Z452&gt;0,'Deal maths'!Z452,DATE(1990,1,1)),IF(DAY('Deal maths'!AA452+1)=1,EOMONTH('Deal maths'!AA452,-(INT(((YEAR('Deal maths'!AA452)-YEAR(IF('Deal maths'!Z452&gt;0,'Deal maths'!Z452,DATE(1990,1,1))))*12+MONTH('Deal maths'!AA452)-MONTH(IF('Deal maths'!Z452&gt;0,'Deal maths'!Z452,DATE(1990,1,1))))/D452))*D452),EDATE('Deal maths'!AA452,-(INT(((YEAR('Deal maths'!AA452)-YEAR(IF('Deal maths'!Z452&gt;0,'Deal maths'!Z452,DATE(1990,1,1))))*12+MONTH('Deal maths'!AA452)-MONTH(IF('Deal maths'!Z452&gt;0,'Deal maths'!Z452,DATE(1990,1,1))))/D452))*D452)),IF(DAY('Deal maths'!AA452+1)=1,EOMONTH('Deal maths'!AA452,-(INT(((YEAR('Deal maths'!AA452)-YEAR(IF('Deal maths'!Z452&gt;0,'Deal maths'!Z452,DATE(1990,1,1))))*12+MONTH('Deal maths'!AA452)-MONTH(IF('Deal maths'!Z452&gt;0,'Deal maths'!Z452,DATE(1990,1,1))))/D452)-1)*D452),EDATE('Deal maths'!AA452,-(INT(((YEAR('Deal maths'!AA452)-YEAR(IF('Deal maths'!Z452&gt;0,'Deal maths'!Z452,DATE(1990,1,1))))*12+MONTH('Deal maths'!AA452)-MONTH(IF('Deal maths'!Z452&gt;0,'Deal maths'!Z452,DATE(1990,1,1))))/D452)-1)*D452))))),0)</f>
        <v/>
      </c>
      <c r="F452" s="110">
        <f>IF(D452=0,0,'Deal maths'!AB452*D452/12)</f>
        <v/>
      </c>
      <c r="G452" s="108">
        <f>N452+O452</f>
        <v/>
      </c>
      <c r="H452" s="108">
        <f>IFERROR(IF(OR(D452=0,AsAt&lt;E452),0,MIN(N452,INT(((YEAR(AsAt)-YEAR(E452))*12+MONTH(AsAt)-MONTH(E452)-(DAY(AsAt)&lt;MIN(R452,DAY(EOMONTH(AsAt,0)))))/D452)+1)+O452*(AsAt&gt;='Deal maths'!AA452)),0)</f>
        <v/>
      </c>
      <c r="I452" s="108">
        <f>G452-H452</f>
        <v/>
      </c>
      <c r="J452" s="111">
        <f>IF(AND(C452="EIP",I452&gt;0),'Deal maths'!Y452/I452,0)</f>
        <v/>
      </c>
      <c r="K452" s="111">
        <f>IF(AND(C452="Annuity",I452&gt;0),IF(F452&gt;0,'Deal maths'!Y452*F452/(1-(1+F452)^-I452),'Deal maths'!Y452/I452),0)</f>
        <v/>
      </c>
      <c r="L452" s="111">
        <f>IF('Deal maths'!Y452="",0,'Deal maths'!Y452)</f>
        <v/>
      </c>
      <c r="M452" s="112">
        <f>F452+(F452=0)</f>
        <v/>
      </c>
      <c r="N452" s="108">
        <f>IFERROR(IF(D452=0,0,INT(((YEAR('Deal maths'!AA452)-YEAR(E452))*12+MONTH('Deal maths'!AA452)-MONTH(E452)-(DAY('Deal maths'!AA452)&lt;MIN(R452,DAY(EOMONTH('Deal maths'!AA452,0)))))/D452)+1),0)</f>
        <v/>
      </c>
      <c r="O452" s="108">
        <f>IFERROR(IF(D452=0,0,IF(IF(DAY(E452+1)=1,EOMONTH(E452,(N452-1)*D452),EDATE(E452,(N452-1)*D452))='Deal maths'!AA452,0,1)),0)</f>
        <v/>
      </c>
      <c r="P452" s="113">
        <f>IF(B452=0,0,IFERROR(IF(C452="EIP",((I452-O452)*((IF(DAY(E452+1)=1,EOMONTH(E452,H452*D452),EDATE(E452,H452*D452))-AsAt)/365.25+(IF(DAY(E452+1)=1,EOMONTH(E452,(N452-1)*D452),EDATE(E452,(N452-1)*D452))-AsAt)/365.25)/2+O452*('Deal maths'!AA452-AsAt)/365.25)/I452,IF(C452="Annuity",IF(F452&gt;0,((K452-L452*F452)*((IF(DAY(E452+1)=1,EOMONTH(E452,H452*D452),EDATE(E452,H452*D452))-AsAt)/365.25*((1+F452)^(I452-O452)-1)/F452+IF((I452-O452)&gt;1,((IF(DAY(E452+1)=1,EOMONTH(E452,(N452-1)*D452),EDATE(E452,(N452-1)*D452))-AsAt)/365.25-(IF(DAY(E452+1)=1,EOMONTH(E452,H452*D452),EDATE(E452,H452*D452))-AsAt)/365.25)/((I452-O452)-1),0)*(1+F452)*(1-(I452-O452)*(1+F452)^((I452-O452)-1)+((I452-O452)-1)*(1+F452)^(I452-O452))/F452^2)+O452*(K452-L452*F452)*(1+F452)^(I452-1)*('Deal maths'!AA452-AsAt)/365.25)/L452,((I452-O452)*((IF(DAY(E452+1)=1,EOMONTH(E452,H452*D452),EDATE(E452,H452*D452))-AsAt)/365.25+(IF(DAY(E452+1)=1,EOMONTH(E452,(N452-1)*D452),EDATE(E452,(N452-1)*D452))-AsAt)/365.25)/2+O452*('Deal maths'!AA452-AsAt)/365.25)/I452),(S452-AsAt)/365.25)),0))</f>
        <v/>
      </c>
      <c r="Q452" s="109">
        <f>IF(B452=1,'Deal maths'!AA452+ROW()/1000000,"")</f>
        <v/>
      </c>
      <c r="R452" s="108">
        <f>IF(D452=0,0,IF(DAY(E452+1)=1,31,DAY(E452)))</f>
        <v/>
      </c>
      <c r="S452" s="109">
        <f>IF(AND('Deal maths'!V452="LOBO",'Deal maths'!AG452&gt;AsAt,'Deal maths'!AG452&lt;'Deal maths'!AA452),'Deal maths'!AG452,'Deal maths'!AA452)</f>
        <v/>
      </c>
      <c r="T452" s="108">
        <f>('Deal maths'!AA452&gt;AsAt)*('Deal maths'!Y452&gt;0)</f>
        <v/>
      </c>
    </row>
    <row r="453">
      <c r="A453" s="91">
        <f>IF('Deal maths'!V453="","",'Deal maths'!W453)</f>
        <v/>
      </c>
      <c r="B453" s="108">
        <f>('Deal maths'!AA453&gt;AsAt)*('Deal maths'!Y453&gt;0)*('Deal maths'!Z453&lt;=AsAt)</f>
        <v/>
      </c>
      <c r="C453" s="91">
        <f>IF('Deal maths'!V453="","",IF('Deal maths'!AC453="","Maturity",'Deal maths'!AC453))</f>
        <v/>
      </c>
      <c r="D453" s="108">
        <f>IF(OR(C453="EIP",C453="Annuity"),IF('Deal maths'!AD453="Annual",12,IF('Deal maths'!AD453="Quarterly",3,6)),0)</f>
        <v/>
      </c>
      <c r="E453" s="109">
        <f>IFERROR(IF(D453=0,0,IF('Deal maths'!AE453&gt;0,IF('Deal maths'!AE453&gt;'Deal maths'!AA453,'Deal maths'!AA453,'Deal maths'!AE453),IF(IF(DAY('Deal maths'!AA453+1)=1,EOMONTH('Deal maths'!AA453,-(INT(((YEAR('Deal maths'!AA453)-YEAR(IF('Deal maths'!Z453&gt;0,'Deal maths'!Z453,DATE(1990,1,1))))*12+MONTH('Deal maths'!AA453)-MONTH(IF('Deal maths'!Z453&gt;0,'Deal maths'!Z453,DATE(1990,1,1))))/D453))*D453),EDATE('Deal maths'!AA453,-(INT(((YEAR('Deal maths'!AA453)-YEAR(IF('Deal maths'!Z453&gt;0,'Deal maths'!Z453,DATE(1990,1,1))))*12+MONTH('Deal maths'!AA453)-MONTH(IF('Deal maths'!Z453&gt;0,'Deal maths'!Z453,DATE(1990,1,1))))/D453))*D453))&gt;IF('Deal maths'!Z453&gt;0,'Deal maths'!Z453,DATE(1990,1,1)),IF(DAY('Deal maths'!AA453+1)=1,EOMONTH('Deal maths'!AA453,-(INT(((YEAR('Deal maths'!AA453)-YEAR(IF('Deal maths'!Z453&gt;0,'Deal maths'!Z453,DATE(1990,1,1))))*12+MONTH('Deal maths'!AA453)-MONTH(IF('Deal maths'!Z453&gt;0,'Deal maths'!Z453,DATE(1990,1,1))))/D453))*D453),EDATE('Deal maths'!AA453,-(INT(((YEAR('Deal maths'!AA453)-YEAR(IF('Deal maths'!Z453&gt;0,'Deal maths'!Z453,DATE(1990,1,1))))*12+MONTH('Deal maths'!AA453)-MONTH(IF('Deal maths'!Z453&gt;0,'Deal maths'!Z453,DATE(1990,1,1))))/D453))*D453)),IF(DAY('Deal maths'!AA453+1)=1,EOMONTH('Deal maths'!AA453,-(INT(((YEAR('Deal maths'!AA453)-YEAR(IF('Deal maths'!Z453&gt;0,'Deal maths'!Z453,DATE(1990,1,1))))*12+MONTH('Deal maths'!AA453)-MONTH(IF('Deal maths'!Z453&gt;0,'Deal maths'!Z453,DATE(1990,1,1))))/D453)-1)*D453),EDATE('Deal maths'!AA453,-(INT(((YEAR('Deal maths'!AA453)-YEAR(IF('Deal maths'!Z453&gt;0,'Deal maths'!Z453,DATE(1990,1,1))))*12+MONTH('Deal maths'!AA453)-MONTH(IF('Deal maths'!Z453&gt;0,'Deal maths'!Z453,DATE(1990,1,1))))/D453)-1)*D453))))),0)</f>
        <v/>
      </c>
      <c r="F453" s="110">
        <f>IF(D453=0,0,'Deal maths'!AB453*D453/12)</f>
        <v/>
      </c>
      <c r="G453" s="108">
        <f>N453+O453</f>
        <v/>
      </c>
      <c r="H453" s="108">
        <f>IFERROR(IF(OR(D453=0,AsAt&lt;E453),0,MIN(N453,INT(((YEAR(AsAt)-YEAR(E453))*12+MONTH(AsAt)-MONTH(E453)-(DAY(AsAt)&lt;MIN(R453,DAY(EOMONTH(AsAt,0)))))/D453)+1)+O453*(AsAt&gt;='Deal maths'!AA453)),0)</f>
        <v/>
      </c>
      <c r="I453" s="108">
        <f>G453-H453</f>
        <v/>
      </c>
      <c r="J453" s="111">
        <f>IF(AND(C453="EIP",I453&gt;0),'Deal maths'!Y453/I453,0)</f>
        <v/>
      </c>
      <c r="K453" s="111">
        <f>IF(AND(C453="Annuity",I453&gt;0),IF(F453&gt;0,'Deal maths'!Y453*F453/(1-(1+F453)^-I453),'Deal maths'!Y453/I453),0)</f>
        <v/>
      </c>
      <c r="L453" s="111">
        <f>IF('Deal maths'!Y453="",0,'Deal maths'!Y453)</f>
        <v/>
      </c>
      <c r="M453" s="112">
        <f>F453+(F453=0)</f>
        <v/>
      </c>
      <c r="N453" s="108">
        <f>IFERROR(IF(D453=0,0,INT(((YEAR('Deal maths'!AA453)-YEAR(E453))*12+MONTH('Deal maths'!AA453)-MONTH(E453)-(DAY('Deal maths'!AA453)&lt;MIN(R453,DAY(EOMONTH('Deal maths'!AA453,0)))))/D453)+1),0)</f>
        <v/>
      </c>
      <c r="O453" s="108">
        <f>IFERROR(IF(D453=0,0,IF(IF(DAY(E453+1)=1,EOMONTH(E453,(N453-1)*D453),EDATE(E453,(N453-1)*D453))='Deal maths'!AA453,0,1)),0)</f>
        <v/>
      </c>
      <c r="P453" s="113">
        <f>IF(B453=0,0,IFERROR(IF(C453="EIP",((I453-O453)*((IF(DAY(E453+1)=1,EOMONTH(E453,H453*D453),EDATE(E453,H453*D453))-AsAt)/365.25+(IF(DAY(E453+1)=1,EOMONTH(E453,(N453-1)*D453),EDATE(E453,(N453-1)*D453))-AsAt)/365.25)/2+O453*('Deal maths'!AA453-AsAt)/365.25)/I453,IF(C453="Annuity",IF(F453&gt;0,((K453-L453*F453)*((IF(DAY(E453+1)=1,EOMONTH(E453,H453*D453),EDATE(E453,H453*D453))-AsAt)/365.25*((1+F453)^(I453-O453)-1)/F453+IF((I453-O453)&gt;1,((IF(DAY(E453+1)=1,EOMONTH(E453,(N453-1)*D453),EDATE(E453,(N453-1)*D453))-AsAt)/365.25-(IF(DAY(E453+1)=1,EOMONTH(E453,H453*D453),EDATE(E453,H453*D453))-AsAt)/365.25)/((I453-O453)-1),0)*(1+F453)*(1-(I453-O453)*(1+F453)^((I453-O453)-1)+((I453-O453)-1)*(1+F453)^(I453-O453))/F453^2)+O453*(K453-L453*F453)*(1+F453)^(I453-1)*('Deal maths'!AA453-AsAt)/365.25)/L453,((I453-O453)*((IF(DAY(E453+1)=1,EOMONTH(E453,H453*D453),EDATE(E453,H453*D453))-AsAt)/365.25+(IF(DAY(E453+1)=1,EOMONTH(E453,(N453-1)*D453),EDATE(E453,(N453-1)*D453))-AsAt)/365.25)/2+O453*('Deal maths'!AA453-AsAt)/365.25)/I453),(S453-AsAt)/365.25)),0))</f>
        <v/>
      </c>
      <c r="Q453" s="109">
        <f>IF(B453=1,'Deal maths'!AA453+ROW()/1000000,"")</f>
        <v/>
      </c>
      <c r="R453" s="108">
        <f>IF(D453=0,0,IF(DAY(E453+1)=1,31,DAY(E453)))</f>
        <v/>
      </c>
      <c r="S453" s="109">
        <f>IF(AND('Deal maths'!V453="LOBO",'Deal maths'!AG453&gt;AsAt,'Deal maths'!AG453&lt;'Deal maths'!AA453),'Deal maths'!AG453,'Deal maths'!AA453)</f>
        <v/>
      </c>
      <c r="T453" s="108">
        <f>('Deal maths'!AA453&gt;AsAt)*('Deal maths'!Y453&gt;0)</f>
        <v/>
      </c>
    </row>
    <row r="454">
      <c r="A454" s="91">
        <f>IF('Deal maths'!V454="","",'Deal maths'!W454)</f>
        <v/>
      </c>
      <c r="B454" s="108">
        <f>('Deal maths'!AA454&gt;AsAt)*('Deal maths'!Y454&gt;0)*('Deal maths'!Z454&lt;=AsAt)</f>
        <v/>
      </c>
      <c r="C454" s="91">
        <f>IF('Deal maths'!V454="","",IF('Deal maths'!AC454="","Maturity",'Deal maths'!AC454))</f>
        <v/>
      </c>
      <c r="D454" s="108">
        <f>IF(OR(C454="EIP",C454="Annuity"),IF('Deal maths'!AD454="Annual",12,IF('Deal maths'!AD454="Quarterly",3,6)),0)</f>
        <v/>
      </c>
      <c r="E454" s="109">
        <f>IFERROR(IF(D454=0,0,IF('Deal maths'!AE454&gt;0,IF('Deal maths'!AE454&gt;'Deal maths'!AA454,'Deal maths'!AA454,'Deal maths'!AE454),IF(IF(DAY('Deal maths'!AA454+1)=1,EOMONTH('Deal maths'!AA454,-(INT(((YEAR('Deal maths'!AA454)-YEAR(IF('Deal maths'!Z454&gt;0,'Deal maths'!Z454,DATE(1990,1,1))))*12+MONTH('Deal maths'!AA454)-MONTH(IF('Deal maths'!Z454&gt;0,'Deal maths'!Z454,DATE(1990,1,1))))/D454))*D454),EDATE('Deal maths'!AA454,-(INT(((YEAR('Deal maths'!AA454)-YEAR(IF('Deal maths'!Z454&gt;0,'Deal maths'!Z454,DATE(1990,1,1))))*12+MONTH('Deal maths'!AA454)-MONTH(IF('Deal maths'!Z454&gt;0,'Deal maths'!Z454,DATE(1990,1,1))))/D454))*D454))&gt;IF('Deal maths'!Z454&gt;0,'Deal maths'!Z454,DATE(1990,1,1)),IF(DAY('Deal maths'!AA454+1)=1,EOMONTH('Deal maths'!AA454,-(INT(((YEAR('Deal maths'!AA454)-YEAR(IF('Deal maths'!Z454&gt;0,'Deal maths'!Z454,DATE(1990,1,1))))*12+MONTH('Deal maths'!AA454)-MONTH(IF('Deal maths'!Z454&gt;0,'Deal maths'!Z454,DATE(1990,1,1))))/D454))*D454),EDATE('Deal maths'!AA454,-(INT(((YEAR('Deal maths'!AA454)-YEAR(IF('Deal maths'!Z454&gt;0,'Deal maths'!Z454,DATE(1990,1,1))))*12+MONTH('Deal maths'!AA454)-MONTH(IF('Deal maths'!Z454&gt;0,'Deal maths'!Z454,DATE(1990,1,1))))/D454))*D454)),IF(DAY('Deal maths'!AA454+1)=1,EOMONTH('Deal maths'!AA454,-(INT(((YEAR('Deal maths'!AA454)-YEAR(IF('Deal maths'!Z454&gt;0,'Deal maths'!Z454,DATE(1990,1,1))))*12+MONTH('Deal maths'!AA454)-MONTH(IF('Deal maths'!Z454&gt;0,'Deal maths'!Z454,DATE(1990,1,1))))/D454)-1)*D454),EDATE('Deal maths'!AA454,-(INT(((YEAR('Deal maths'!AA454)-YEAR(IF('Deal maths'!Z454&gt;0,'Deal maths'!Z454,DATE(1990,1,1))))*12+MONTH('Deal maths'!AA454)-MONTH(IF('Deal maths'!Z454&gt;0,'Deal maths'!Z454,DATE(1990,1,1))))/D454)-1)*D454))))),0)</f>
        <v/>
      </c>
      <c r="F454" s="110">
        <f>IF(D454=0,0,'Deal maths'!AB454*D454/12)</f>
        <v/>
      </c>
      <c r="G454" s="108">
        <f>N454+O454</f>
        <v/>
      </c>
      <c r="H454" s="108">
        <f>IFERROR(IF(OR(D454=0,AsAt&lt;E454),0,MIN(N454,INT(((YEAR(AsAt)-YEAR(E454))*12+MONTH(AsAt)-MONTH(E454)-(DAY(AsAt)&lt;MIN(R454,DAY(EOMONTH(AsAt,0)))))/D454)+1)+O454*(AsAt&gt;='Deal maths'!AA454)),0)</f>
        <v/>
      </c>
      <c r="I454" s="108">
        <f>G454-H454</f>
        <v/>
      </c>
      <c r="J454" s="111">
        <f>IF(AND(C454="EIP",I454&gt;0),'Deal maths'!Y454/I454,0)</f>
        <v/>
      </c>
      <c r="K454" s="111">
        <f>IF(AND(C454="Annuity",I454&gt;0),IF(F454&gt;0,'Deal maths'!Y454*F454/(1-(1+F454)^-I454),'Deal maths'!Y454/I454),0)</f>
        <v/>
      </c>
      <c r="L454" s="111">
        <f>IF('Deal maths'!Y454="",0,'Deal maths'!Y454)</f>
        <v/>
      </c>
      <c r="M454" s="112">
        <f>F454+(F454=0)</f>
        <v/>
      </c>
      <c r="N454" s="108">
        <f>IFERROR(IF(D454=0,0,INT(((YEAR('Deal maths'!AA454)-YEAR(E454))*12+MONTH('Deal maths'!AA454)-MONTH(E454)-(DAY('Deal maths'!AA454)&lt;MIN(R454,DAY(EOMONTH('Deal maths'!AA454,0)))))/D454)+1),0)</f>
        <v/>
      </c>
      <c r="O454" s="108">
        <f>IFERROR(IF(D454=0,0,IF(IF(DAY(E454+1)=1,EOMONTH(E454,(N454-1)*D454),EDATE(E454,(N454-1)*D454))='Deal maths'!AA454,0,1)),0)</f>
        <v/>
      </c>
      <c r="P454" s="113">
        <f>IF(B454=0,0,IFERROR(IF(C454="EIP",((I454-O454)*((IF(DAY(E454+1)=1,EOMONTH(E454,H454*D454),EDATE(E454,H454*D454))-AsAt)/365.25+(IF(DAY(E454+1)=1,EOMONTH(E454,(N454-1)*D454),EDATE(E454,(N454-1)*D454))-AsAt)/365.25)/2+O454*('Deal maths'!AA454-AsAt)/365.25)/I454,IF(C454="Annuity",IF(F454&gt;0,((K454-L454*F454)*((IF(DAY(E454+1)=1,EOMONTH(E454,H454*D454),EDATE(E454,H454*D454))-AsAt)/365.25*((1+F454)^(I454-O454)-1)/F454+IF((I454-O454)&gt;1,((IF(DAY(E454+1)=1,EOMONTH(E454,(N454-1)*D454),EDATE(E454,(N454-1)*D454))-AsAt)/365.25-(IF(DAY(E454+1)=1,EOMONTH(E454,H454*D454),EDATE(E454,H454*D454))-AsAt)/365.25)/((I454-O454)-1),0)*(1+F454)*(1-(I454-O454)*(1+F454)^((I454-O454)-1)+((I454-O454)-1)*(1+F454)^(I454-O454))/F454^2)+O454*(K454-L454*F454)*(1+F454)^(I454-1)*('Deal maths'!AA454-AsAt)/365.25)/L454,((I454-O454)*((IF(DAY(E454+1)=1,EOMONTH(E454,H454*D454),EDATE(E454,H454*D454))-AsAt)/365.25+(IF(DAY(E454+1)=1,EOMONTH(E454,(N454-1)*D454),EDATE(E454,(N454-1)*D454))-AsAt)/365.25)/2+O454*('Deal maths'!AA454-AsAt)/365.25)/I454),(S454-AsAt)/365.25)),0))</f>
        <v/>
      </c>
      <c r="Q454" s="109">
        <f>IF(B454=1,'Deal maths'!AA454+ROW()/1000000,"")</f>
        <v/>
      </c>
      <c r="R454" s="108">
        <f>IF(D454=0,0,IF(DAY(E454+1)=1,31,DAY(E454)))</f>
        <v/>
      </c>
      <c r="S454" s="109">
        <f>IF(AND('Deal maths'!V454="LOBO",'Deal maths'!AG454&gt;AsAt,'Deal maths'!AG454&lt;'Deal maths'!AA454),'Deal maths'!AG454,'Deal maths'!AA454)</f>
        <v/>
      </c>
      <c r="T454" s="108">
        <f>('Deal maths'!AA454&gt;AsAt)*('Deal maths'!Y454&gt;0)</f>
        <v/>
      </c>
    </row>
    <row r="455">
      <c r="A455" s="91">
        <f>IF('Deal maths'!V455="","",'Deal maths'!W455)</f>
        <v/>
      </c>
      <c r="B455" s="108">
        <f>('Deal maths'!AA455&gt;AsAt)*('Deal maths'!Y455&gt;0)*('Deal maths'!Z455&lt;=AsAt)</f>
        <v/>
      </c>
      <c r="C455" s="91">
        <f>IF('Deal maths'!V455="","",IF('Deal maths'!AC455="","Maturity",'Deal maths'!AC455))</f>
        <v/>
      </c>
      <c r="D455" s="108">
        <f>IF(OR(C455="EIP",C455="Annuity"),IF('Deal maths'!AD455="Annual",12,IF('Deal maths'!AD455="Quarterly",3,6)),0)</f>
        <v/>
      </c>
      <c r="E455" s="109">
        <f>IFERROR(IF(D455=0,0,IF('Deal maths'!AE455&gt;0,IF('Deal maths'!AE455&gt;'Deal maths'!AA455,'Deal maths'!AA455,'Deal maths'!AE455),IF(IF(DAY('Deal maths'!AA455+1)=1,EOMONTH('Deal maths'!AA455,-(INT(((YEAR('Deal maths'!AA455)-YEAR(IF('Deal maths'!Z455&gt;0,'Deal maths'!Z455,DATE(1990,1,1))))*12+MONTH('Deal maths'!AA455)-MONTH(IF('Deal maths'!Z455&gt;0,'Deal maths'!Z455,DATE(1990,1,1))))/D455))*D455),EDATE('Deal maths'!AA455,-(INT(((YEAR('Deal maths'!AA455)-YEAR(IF('Deal maths'!Z455&gt;0,'Deal maths'!Z455,DATE(1990,1,1))))*12+MONTH('Deal maths'!AA455)-MONTH(IF('Deal maths'!Z455&gt;0,'Deal maths'!Z455,DATE(1990,1,1))))/D455))*D455))&gt;IF('Deal maths'!Z455&gt;0,'Deal maths'!Z455,DATE(1990,1,1)),IF(DAY('Deal maths'!AA455+1)=1,EOMONTH('Deal maths'!AA455,-(INT(((YEAR('Deal maths'!AA455)-YEAR(IF('Deal maths'!Z455&gt;0,'Deal maths'!Z455,DATE(1990,1,1))))*12+MONTH('Deal maths'!AA455)-MONTH(IF('Deal maths'!Z455&gt;0,'Deal maths'!Z455,DATE(1990,1,1))))/D455))*D455),EDATE('Deal maths'!AA455,-(INT(((YEAR('Deal maths'!AA455)-YEAR(IF('Deal maths'!Z455&gt;0,'Deal maths'!Z455,DATE(1990,1,1))))*12+MONTH('Deal maths'!AA455)-MONTH(IF('Deal maths'!Z455&gt;0,'Deal maths'!Z455,DATE(1990,1,1))))/D455))*D455)),IF(DAY('Deal maths'!AA455+1)=1,EOMONTH('Deal maths'!AA455,-(INT(((YEAR('Deal maths'!AA455)-YEAR(IF('Deal maths'!Z455&gt;0,'Deal maths'!Z455,DATE(1990,1,1))))*12+MONTH('Deal maths'!AA455)-MONTH(IF('Deal maths'!Z455&gt;0,'Deal maths'!Z455,DATE(1990,1,1))))/D455)-1)*D455),EDATE('Deal maths'!AA455,-(INT(((YEAR('Deal maths'!AA455)-YEAR(IF('Deal maths'!Z455&gt;0,'Deal maths'!Z455,DATE(1990,1,1))))*12+MONTH('Deal maths'!AA455)-MONTH(IF('Deal maths'!Z455&gt;0,'Deal maths'!Z455,DATE(1990,1,1))))/D455)-1)*D455))))),0)</f>
        <v/>
      </c>
      <c r="F455" s="110">
        <f>IF(D455=0,0,'Deal maths'!AB455*D455/12)</f>
        <v/>
      </c>
      <c r="G455" s="108">
        <f>N455+O455</f>
        <v/>
      </c>
      <c r="H455" s="108">
        <f>IFERROR(IF(OR(D455=0,AsAt&lt;E455),0,MIN(N455,INT(((YEAR(AsAt)-YEAR(E455))*12+MONTH(AsAt)-MONTH(E455)-(DAY(AsAt)&lt;MIN(R455,DAY(EOMONTH(AsAt,0)))))/D455)+1)+O455*(AsAt&gt;='Deal maths'!AA455)),0)</f>
        <v/>
      </c>
      <c r="I455" s="108">
        <f>G455-H455</f>
        <v/>
      </c>
      <c r="J455" s="111">
        <f>IF(AND(C455="EIP",I455&gt;0),'Deal maths'!Y455/I455,0)</f>
        <v/>
      </c>
      <c r="K455" s="111">
        <f>IF(AND(C455="Annuity",I455&gt;0),IF(F455&gt;0,'Deal maths'!Y455*F455/(1-(1+F455)^-I455),'Deal maths'!Y455/I455),0)</f>
        <v/>
      </c>
      <c r="L455" s="111">
        <f>IF('Deal maths'!Y455="",0,'Deal maths'!Y455)</f>
        <v/>
      </c>
      <c r="M455" s="112">
        <f>F455+(F455=0)</f>
        <v/>
      </c>
      <c r="N455" s="108">
        <f>IFERROR(IF(D455=0,0,INT(((YEAR('Deal maths'!AA455)-YEAR(E455))*12+MONTH('Deal maths'!AA455)-MONTH(E455)-(DAY('Deal maths'!AA455)&lt;MIN(R455,DAY(EOMONTH('Deal maths'!AA455,0)))))/D455)+1),0)</f>
        <v/>
      </c>
      <c r="O455" s="108">
        <f>IFERROR(IF(D455=0,0,IF(IF(DAY(E455+1)=1,EOMONTH(E455,(N455-1)*D455),EDATE(E455,(N455-1)*D455))='Deal maths'!AA455,0,1)),0)</f>
        <v/>
      </c>
      <c r="P455" s="113">
        <f>IF(B455=0,0,IFERROR(IF(C455="EIP",((I455-O455)*((IF(DAY(E455+1)=1,EOMONTH(E455,H455*D455),EDATE(E455,H455*D455))-AsAt)/365.25+(IF(DAY(E455+1)=1,EOMONTH(E455,(N455-1)*D455),EDATE(E455,(N455-1)*D455))-AsAt)/365.25)/2+O455*('Deal maths'!AA455-AsAt)/365.25)/I455,IF(C455="Annuity",IF(F455&gt;0,((K455-L455*F455)*((IF(DAY(E455+1)=1,EOMONTH(E455,H455*D455),EDATE(E455,H455*D455))-AsAt)/365.25*((1+F455)^(I455-O455)-1)/F455+IF((I455-O455)&gt;1,((IF(DAY(E455+1)=1,EOMONTH(E455,(N455-1)*D455),EDATE(E455,(N455-1)*D455))-AsAt)/365.25-(IF(DAY(E455+1)=1,EOMONTH(E455,H455*D455),EDATE(E455,H455*D455))-AsAt)/365.25)/((I455-O455)-1),0)*(1+F455)*(1-(I455-O455)*(1+F455)^((I455-O455)-1)+((I455-O455)-1)*(1+F455)^(I455-O455))/F455^2)+O455*(K455-L455*F455)*(1+F455)^(I455-1)*('Deal maths'!AA455-AsAt)/365.25)/L455,((I455-O455)*((IF(DAY(E455+1)=1,EOMONTH(E455,H455*D455),EDATE(E455,H455*D455))-AsAt)/365.25+(IF(DAY(E455+1)=1,EOMONTH(E455,(N455-1)*D455),EDATE(E455,(N455-1)*D455))-AsAt)/365.25)/2+O455*('Deal maths'!AA455-AsAt)/365.25)/I455),(S455-AsAt)/365.25)),0))</f>
        <v/>
      </c>
      <c r="Q455" s="109">
        <f>IF(B455=1,'Deal maths'!AA455+ROW()/1000000,"")</f>
        <v/>
      </c>
      <c r="R455" s="108">
        <f>IF(D455=0,0,IF(DAY(E455+1)=1,31,DAY(E455)))</f>
        <v/>
      </c>
      <c r="S455" s="109">
        <f>IF(AND('Deal maths'!V455="LOBO",'Deal maths'!AG455&gt;AsAt,'Deal maths'!AG455&lt;'Deal maths'!AA455),'Deal maths'!AG455,'Deal maths'!AA455)</f>
        <v/>
      </c>
      <c r="T455" s="108">
        <f>('Deal maths'!AA455&gt;AsAt)*('Deal maths'!Y455&gt;0)</f>
        <v/>
      </c>
    </row>
    <row r="456">
      <c r="A456" s="91">
        <f>IF('Deal maths'!V456="","",'Deal maths'!W456)</f>
        <v/>
      </c>
      <c r="B456" s="108">
        <f>('Deal maths'!AA456&gt;AsAt)*('Deal maths'!Y456&gt;0)*('Deal maths'!Z456&lt;=AsAt)</f>
        <v/>
      </c>
      <c r="C456" s="91">
        <f>IF('Deal maths'!V456="","",IF('Deal maths'!AC456="","Maturity",'Deal maths'!AC456))</f>
        <v/>
      </c>
      <c r="D456" s="108">
        <f>IF(OR(C456="EIP",C456="Annuity"),IF('Deal maths'!AD456="Annual",12,IF('Deal maths'!AD456="Quarterly",3,6)),0)</f>
        <v/>
      </c>
      <c r="E456" s="109">
        <f>IFERROR(IF(D456=0,0,IF('Deal maths'!AE456&gt;0,IF('Deal maths'!AE456&gt;'Deal maths'!AA456,'Deal maths'!AA456,'Deal maths'!AE456),IF(IF(DAY('Deal maths'!AA456+1)=1,EOMONTH('Deal maths'!AA456,-(INT(((YEAR('Deal maths'!AA456)-YEAR(IF('Deal maths'!Z456&gt;0,'Deal maths'!Z456,DATE(1990,1,1))))*12+MONTH('Deal maths'!AA456)-MONTH(IF('Deal maths'!Z456&gt;0,'Deal maths'!Z456,DATE(1990,1,1))))/D456))*D456),EDATE('Deal maths'!AA456,-(INT(((YEAR('Deal maths'!AA456)-YEAR(IF('Deal maths'!Z456&gt;0,'Deal maths'!Z456,DATE(1990,1,1))))*12+MONTH('Deal maths'!AA456)-MONTH(IF('Deal maths'!Z456&gt;0,'Deal maths'!Z456,DATE(1990,1,1))))/D456))*D456))&gt;IF('Deal maths'!Z456&gt;0,'Deal maths'!Z456,DATE(1990,1,1)),IF(DAY('Deal maths'!AA456+1)=1,EOMONTH('Deal maths'!AA456,-(INT(((YEAR('Deal maths'!AA456)-YEAR(IF('Deal maths'!Z456&gt;0,'Deal maths'!Z456,DATE(1990,1,1))))*12+MONTH('Deal maths'!AA456)-MONTH(IF('Deal maths'!Z456&gt;0,'Deal maths'!Z456,DATE(1990,1,1))))/D456))*D456),EDATE('Deal maths'!AA456,-(INT(((YEAR('Deal maths'!AA456)-YEAR(IF('Deal maths'!Z456&gt;0,'Deal maths'!Z456,DATE(1990,1,1))))*12+MONTH('Deal maths'!AA456)-MONTH(IF('Deal maths'!Z456&gt;0,'Deal maths'!Z456,DATE(1990,1,1))))/D456))*D456)),IF(DAY('Deal maths'!AA456+1)=1,EOMONTH('Deal maths'!AA456,-(INT(((YEAR('Deal maths'!AA456)-YEAR(IF('Deal maths'!Z456&gt;0,'Deal maths'!Z456,DATE(1990,1,1))))*12+MONTH('Deal maths'!AA456)-MONTH(IF('Deal maths'!Z456&gt;0,'Deal maths'!Z456,DATE(1990,1,1))))/D456)-1)*D456),EDATE('Deal maths'!AA456,-(INT(((YEAR('Deal maths'!AA456)-YEAR(IF('Deal maths'!Z456&gt;0,'Deal maths'!Z456,DATE(1990,1,1))))*12+MONTH('Deal maths'!AA456)-MONTH(IF('Deal maths'!Z456&gt;0,'Deal maths'!Z456,DATE(1990,1,1))))/D456)-1)*D456))))),0)</f>
        <v/>
      </c>
      <c r="F456" s="110">
        <f>IF(D456=0,0,'Deal maths'!AB456*D456/12)</f>
        <v/>
      </c>
      <c r="G456" s="108">
        <f>N456+O456</f>
        <v/>
      </c>
      <c r="H456" s="108">
        <f>IFERROR(IF(OR(D456=0,AsAt&lt;E456),0,MIN(N456,INT(((YEAR(AsAt)-YEAR(E456))*12+MONTH(AsAt)-MONTH(E456)-(DAY(AsAt)&lt;MIN(R456,DAY(EOMONTH(AsAt,0)))))/D456)+1)+O456*(AsAt&gt;='Deal maths'!AA456)),0)</f>
        <v/>
      </c>
      <c r="I456" s="108">
        <f>G456-H456</f>
        <v/>
      </c>
      <c r="J456" s="111">
        <f>IF(AND(C456="EIP",I456&gt;0),'Deal maths'!Y456/I456,0)</f>
        <v/>
      </c>
      <c r="K456" s="111">
        <f>IF(AND(C456="Annuity",I456&gt;0),IF(F456&gt;0,'Deal maths'!Y456*F456/(1-(1+F456)^-I456),'Deal maths'!Y456/I456),0)</f>
        <v/>
      </c>
      <c r="L456" s="111">
        <f>IF('Deal maths'!Y456="",0,'Deal maths'!Y456)</f>
        <v/>
      </c>
      <c r="M456" s="112">
        <f>F456+(F456=0)</f>
        <v/>
      </c>
      <c r="N456" s="108">
        <f>IFERROR(IF(D456=0,0,INT(((YEAR('Deal maths'!AA456)-YEAR(E456))*12+MONTH('Deal maths'!AA456)-MONTH(E456)-(DAY('Deal maths'!AA456)&lt;MIN(R456,DAY(EOMONTH('Deal maths'!AA456,0)))))/D456)+1),0)</f>
        <v/>
      </c>
      <c r="O456" s="108">
        <f>IFERROR(IF(D456=0,0,IF(IF(DAY(E456+1)=1,EOMONTH(E456,(N456-1)*D456),EDATE(E456,(N456-1)*D456))='Deal maths'!AA456,0,1)),0)</f>
        <v/>
      </c>
      <c r="P456" s="113">
        <f>IF(B456=0,0,IFERROR(IF(C456="EIP",((I456-O456)*((IF(DAY(E456+1)=1,EOMONTH(E456,H456*D456),EDATE(E456,H456*D456))-AsAt)/365.25+(IF(DAY(E456+1)=1,EOMONTH(E456,(N456-1)*D456),EDATE(E456,(N456-1)*D456))-AsAt)/365.25)/2+O456*('Deal maths'!AA456-AsAt)/365.25)/I456,IF(C456="Annuity",IF(F456&gt;0,((K456-L456*F456)*((IF(DAY(E456+1)=1,EOMONTH(E456,H456*D456),EDATE(E456,H456*D456))-AsAt)/365.25*((1+F456)^(I456-O456)-1)/F456+IF((I456-O456)&gt;1,((IF(DAY(E456+1)=1,EOMONTH(E456,(N456-1)*D456),EDATE(E456,(N456-1)*D456))-AsAt)/365.25-(IF(DAY(E456+1)=1,EOMONTH(E456,H456*D456),EDATE(E456,H456*D456))-AsAt)/365.25)/((I456-O456)-1),0)*(1+F456)*(1-(I456-O456)*(1+F456)^((I456-O456)-1)+((I456-O456)-1)*(1+F456)^(I456-O456))/F456^2)+O456*(K456-L456*F456)*(1+F456)^(I456-1)*('Deal maths'!AA456-AsAt)/365.25)/L456,((I456-O456)*((IF(DAY(E456+1)=1,EOMONTH(E456,H456*D456),EDATE(E456,H456*D456))-AsAt)/365.25+(IF(DAY(E456+1)=1,EOMONTH(E456,(N456-1)*D456),EDATE(E456,(N456-1)*D456))-AsAt)/365.25)/2+O456*('Deal maths'!AA456-AsAt)/365.25)/I456),(S456-AsAt)/365.25)),0))</f>
        <v/>
      </c>
      <c r="Q456" s="109">
        <f>IF(B456=1,'Deal maths'!AA456+ROW()/1000000,"")</f>
        <v/>
      </c>
      <c r="R456" s="108">
        <f>IF(D456=0,0,IF(DAY(E456+1)=1,31,DAY(E456)))</f>
        <v/>
      </c>
      <c r="S456" s="109">
        <f>IF(AND('Deal maths'!V456="LOBO",'Deal maths'!AG456&gt;AsAt,'Deal maths'!AG456&lt;'Deal maths'!AA456),'Deal maths'!AG456,'Deal maths'!AA456)</f>
        <v/>
      </c>
      <c r="T456" s="108">
        <f>('Deal maths'!AA456&gt;AsAt)*('Deal maths'!Y456&gt;0)</f>
        <v/>
      </c>
    </row>
    <row r="457">
      <c r="A457" s="91">
        <f>IF('Deal maths'!V457="","",'Deal maths'!W457)</f>
        <v/>
      </c>
      <c r="B457" s="108">
        <f>('Deal maths'!AA457&gt;AsAt)*('Deal maths'!Y457&gt;0)*('Deal maths'!Z457&lt;=AsAt)</f>
        <v/>
      </c>
      <c r="C457" s="91">
        <f>IF('Deal maths'!V457="","",IF('Deal maths'!AC457="","Maturity",'Deal maths'!AC457))</f>
        <v/>
      </c>
      <c r="D457" s="108">
        <f>IF(OR(C457="EIP",C457="Annuity"),IF('Deal maths'!AD457="Annual",12,IF('Deal maths'!AD457="Quarterly",3,6)),0)</f>
        <v/>
      </c>
      <c r="E457" s="109">
        <f>IFERROR(IF(D457=0,0,IF('Deal maths'!AE457&gt;0,IF('Deal maths'!AE457&gt;'Deal maths'!AA457,'Deal maths'!AA457,'Deal maths'!AE457),IF(IF(DAY('Deal maths'!AA457+1)=1,EOMONTH('Deal maths'!AA457,-(INT(((YEAR('Deal maths'!AA457)-YEAR(IF('Deal maths'!Z457&gt;0,'Deal maths'!Z457,DATE(1990,1,1))))*12+MONTH('Deal maths'!AA457)-MONTH(IF('Deal maths'!Z457&gt;0,'Deal maths'!Z457,DATE(1990,1,1))))/D457))*D457),EDATE('Deal maths'!AA457,-(INT(((YEAR('Deal maths'!AA457)-YEAR(IF('Deal maths'!Z457&gt;0,'Deal maths'!Z457,DATE(1990,1,1))))*12+MONTH('Deal maths'!AA457)-MONTH(IF('Deal maths'!Z457&gt;0,'Deal maths'!Z457,DATE(1990,1,1))))/D457))*D457))&gt;IF('Deal maths'!Z457&gt;0,'Deal maths'!Z457,DATE(1990,1,1)),IF(DAY('Deal maths'!AA457+1)=1,EOMONTH('Deal maths'!AA457,-(INT(((YEAR('Deal maths'!AA457)-YEAR(IF('Deal maths'!Z457&gt;0,'Deal maths'!Z457,DATE(1990,1,1))))*12+MONTH('Deal maths'!AA457)-MONTH(IF('Deal maths'!Z457&gt;0,'Deal maths'!Z457,DATE(1990,1,1))))/D457))*D457),EDATE('Deal maths'!AA457,-(INT(((YEAR('Deal maths'!AA457)-YEAR(IF('Deal maths'!Z457&gt;0,'Deal maths'!Z457,DATE(1990,1,1))))*12+MONTH('Deal maths'!AA457)-MONTH(IF('Deal maths'!Z457&gt;0,'Deal maths'!Z457,DATE(1990,1,1))))/D457))*D457)),IF(DAY('Deal maths'!AA457+1)=1,EOMONTH('Deal maths'!AA457,-(INT(((YEAR('Deal maths'!AA457)-YEAR(IF('Deal maths'!Z457&gt;0,'Deal maths'!Z457,DATE(1990,1,1))))*12+MONTH('Deal maths'!AA457)-MONTH(IF('Deal maths'!Z457&gt;0,'Deal maths'!Z457,DATE(1990,1,1))))/D457)-1)*D457),EDATE('Deal maths'!AA457,-(INT(((YEAR('Deal maths'!AA457)-YEAR(IF('Deal maths'!Z457&gt;0,'Deal maths'!Z457,DATE(1990,1,1))))*12+MONTH('Deal maths'!AA457)-MONTH(IF('Deal maths'!Z457&gt;0,'Deal maths'!Z457,DATE(1990,1,1))))/D457)-1)*D457))))),0)</f>
        <v/>
      </c>
      <c r="F457" s="110">
        <f>IF(D457=0,0,'Deal maths'!AB457*D457/12)</f>
        <v/>
      </c>
      <c r="G457" s="108">
        <f>N457+O457</f>
        <v/>
      </c>
      <c r="H457" s="108">
        <f>IFERROR(IF(OR(D457=0,AsAt&lt;E457),0,MIN(N457,INT(((YEAR(AsAt)-YEAR(E457))*12+MONTH(AsAt)-MONTH(E457)-(DAY(AsAt)&lt;MIN(R457,DAY(EOMONTH(AsAt,0)))))/D457)+1)+O457*(AsAt&gt;='Deal maths'!AA457)),0)</f>
        <v/>
      </c>
      <c r="I457" s="108">
        <f>G457-H457</f>
        <v/>
      </c>
      <c r="J457" s="111">
        <f>IF(AND(C457="EIP",I457&gt;0),'Deal maths'!Y457/I457,0)</f>
        <v/>
      </c>
      <c r="K457" s="111">
        <f>IF(AND(C457="Annuity",I457&gt;0),IF(F457&gt;0,'Deal maths'!Y457*F457/(1-(1+F457)^-I457),'Deal maths'!Y457/I457),0)</f>
        <v/>
      </c>
      <c r="L457" s="111">
        <f>IF('Deal maths'!Y457="",0,'Deal maths'!Y457)</f>
        <v/>
      </c>
      <c r="M457" s="112">
        <f>F457+(F457=0)</f>
        <v/>
      </c>
      <c r="N457" s="108">
        <f>IFERROR(IF(D457=0,0,INT(((YEAR('Deal maths'!AA457)-YEAR(E457))*12+MONTH('Deal maths'!AA457)-MONTH(E457)-(DAY('Deal maths'!AA457)&lt;MIN(R457,DAY(EOMONTH('Deal maths'!AA457,0)))))/D457)+1),0)</f>
        <v/>
      </c>
      <c r="O457" s="108">
        <f>IFERROR(IF(D457=0,0,IF(IF(DAY(E457+1)=1,EOMONTH(E457,(N457-1)*D457),EDATE(E457,(N457-1)*D457))='Deal maths'!AA457,0,1)),0)</f>
        <v/>
      </c>
      <c r="P457" s="113">
        <f>IF(B457=0,0,IFERROR(IF(C457="EIP",((I457-O457)*((IF(DAY(E457+1)=1,EOMONTH(E457,H457*D457),EDATE(E457,H457*D457))-AsAt)/365.25+(IF(DAY(E457+1)=1,EOMONTH(E457,(N457-1)*D457),EDATE(E457,(N457-1)*D457))-AsAt)/365.25)/2+O457*('Deal maths'!AA457-AsAt)/365.25)/I457,IF(C457="Annuity",IF(F457&gt;0,((K457-L457*F457)*((IF(DAY(E457+1)=1,EOMONTH(E457,H457*D457),EDATE(E457,H457*D457))-AsAt)/365.25*((1+F457)^(I457-O457)-1)/F457+IF((I457-O457)&gt;1,((IF(DAY(E457+1)=1,EOMONTH(E457,(N457-1)*D457),EDATE(E457,(N457-1)*D457))-AsAt)/365.25-(IF(DAY(E457+1)=1,EOMONTH(E457,H457*D457),EDATE(E457,H457*D457))-AsAt)/365.25)/((I457-O457)-1),0)*(1+F457)*(1-(I457-O457)*(1+F457)^((I457-O457)-1)+((I457-O457)-1)*(1+F457)^(I457-O457))/F457^2)+O457*(K457-L457*F457)*(1+F457)^(I457-1)*('Deal maths'!AA457-AsAt)/365.25)/L457,((I457-O457)*((IF(DAY(E457+1)=1,EOMONTH(E457,H457*D457),EDATE(E457,H457*D457))-AsAt)/365.25+(IF(DAY(E457+1)=1,EOMONTH(E457,(N457-1)*D457),EDATE(E457,(N457-1)*D457))-AsAt)/365.25)/2+O457*('Deal maths'!AA457-AsAt)/365.25)/I457),(S457-AsAt)/365.25)),0))</f>
        <v/>
      </c>
      <c r="Q457" s="109">
        <f>IF(B457=1,'Deal maths'!AA457+ROW()/1000000,"")</f>
        <v/>
      </c>
      <c r="R457" s="108">
        <f>IF(D457=0,0,IF(DAY(E457+1)=1,31,DAY(E457)))</f>
        <v/>
      </c>
      <c r="S457" s="109">
        <f>IF(AND('Deal maths'!V457="LOBO",'Deal maths'!AG457&gt;AsAt,'Deal maths'!AG457&lt;'Deal maths'!AA457),'Deal maths'!AG457,'Deal maths'!AA457)</f>
        <v/>
      </c>
      <c r="T457" s="108">
        <f>('Deal maths'!AA457&gt;AsAt)*('Deal maths'!Y457&gt;0)</f>
        <v/>
      </c>
    </row>
    <row r="458">
      <c r="A458" s="91">
        <f>IF('Deal maths'!V458="","",'Deal maths'!W458)</f>
        <v/>
      </c>
      <c r="B458" s="108">
        <f>('Deal maths'!AA458&gt;AsAt)*('Deal maths'!Y458&gt;0)*('Deal maths'!Z458&lt;=AsAt)</f>
        <v/>
      </c>
      <c r="C458" s="91">
        <f>IF('Deal maths'!V458="","",IF('Deal maths'!AC458="","Maturity",'Deal maths'!AC458))</f>
        <v/>
      </c>
      <c r="D458" s="108">
        <f>IF(OR(C458="EIP",C458="Annuity"),IF('Deal maths'!AD458="Annual",12,IF('Deal maths'!AD458="Quarterly",3,6)),0)</f>
        <v/>
      </c>
      <c r="E458" s="109">
        <f>IFERROR(IF(D458=0,0,IF('Deal maths'!AE458&gt;0,IF('Deal maths'!AE458&gt;'Deal maths'!AA458,'Deal maths'!AA458,'Deal maths'!AE458),IF(IF(DAY('Deal maths'!AA458+1)=1,EOMONTH('Deal maths'!AA458,-(INT(((YEAR('Deal maths'!AA458)-YEAR(IF('Deal maths'!Z458&gt;0,'Deal maths'!Z458,DATE(1990,1,1))))*12+MONTH('Deal maths'!AA458)-MONTH(IF('Deal maths'!Z458&gt;0,'Deal maths'!Z458,DATE(1990,1,1))))/D458))*D458),EDATE('Deal maths'!AA458,-(INT(((YEAR('Deal maths'!AA458)-YEAR(IF('Deal maths'!Z458&gt;0,'Deal maths'!Z458,DATE(1990,1,1))))*12+MONTH('Deal maths'!AA458)-MONTH(IF('Deal maths'!Z458&gt;0,'Deal maths'!Z458,DATE(1990,1,1))))/D458))*D458))&gt;IF('Deal maths'!Z458&gt;0,'Deal maths'!Z458,DATE(1990,1,1)),IF(DAY('Deal maths'!AA458+1)=1,EOMONTH('Deal maths'!AA458,-(INT(((YEAR('Deal maths'!AA458)-YEAR(IF('Deal maths'!Z458&gt;0,'Deal maths'!Z458,DATE(1990,1,1))))*12+MONTH('Deal maths'!AA458)-MONTH(IF('Deal maths'!Z458&gt;0,'Deal maths'!Z458,DATE(1990,1,1))))/D458))*D458),EDATE('Deal maths'!AA458,-(INT(((YEAR('Deal maths'!AA458)-YEAR(IF('Deal maths'!Z458&gt;0,'Deal maths'!Z458,DATE(1990,1,1))))*12+MONTH('Deal maths'!AA458)-MONTH(IF('Deal maths'!Z458&gt;0,'Deal maths'!Z458,DATE(1990,1,1))))/D458))*D458)),IF(DAY('Deal maths'!AA458+1)=1,EOMONTH('Deal maths'!AA458,-(INT(((YEAR('Deal maths'!AA458)-YEAR(IF('Deal maths'!Z458&gt;0,'Deal maths'!Z458,DATE(1990,1,1))))*12+MONTH('Deal maths'!AA458)-MONTH(IF('Deal maths'!Z458&gt;0,'Deal maths'!Z458,DATE(1990,1,1))))/D458)-1)*D458),EDATE('Deal maths'!AA458,-(INT(((YEAR('Deal maths'!AA458)-YEAR(IF('Deal maths'!Z458&gt;0,'Deal maths'!Z458,DATE(1990,1,1))))*12+MONTH('Deal maths'!AA458)-MONTH(IF('Deal maths'!Z458&gt;0,'Deal maths'!Z458,DATE(1990,1,1))))/D458)-1)*D458))))),0)</f>
        <v/>
      </c>
      <c r="F458" s="110">
        <f>IF(D458=0,0,'Deal maths'!AB458*D458/12)</f>
        <v/>
      </c>
      <c r="G458" s="108">
        <f>N458+O458</f>
        <v/>
      </c>
      <c r="H458" s="108">
        <f>IFERROR(IF(OR(D458=0,AsAt&lt;E458),0,MIN(N458,INT(((YEAR(AsAt)-YEAR(E458))*12+MONTH(AsAt)-MONTH(E458)-(DAY(AsAt)&lt;MIN(R458,DAY(EOMONTH(AsAt,0)))))/D458)+1)+O458*(AsAt&gt;='Deal maths'!AA458)),0)</f>
        <v/>
      </c>
      <c r="I458" s="108">
        <f>G458-H458</f>
        <v/>
      </c>
      <c r="J458" s="111">
        <f>IF(AND(C458="EIP",I458&gt;0),'Deal maths'!Y458/I458,0)</f>
        <v/>
      </c>
      <c r="K458" s="111">
        <f>IF(AND(C458="Annuity",I458&gt;0),IF(F458&gt;0,'Deal maths'!Y458*F458/(1-(1+F458)^-I458),'Deal maths'!Y458/I458),0)</f>
        <v/>
      </c>
      <c r="L458" s="111">
        <f>IF('Deal maths'!Y458="",0,'Deal maths'!Y458)</f>
        <v/>
      </c>
      <c r="M458" s="112">
        <f>F458+(F458=0)</f>
        <v/>
      </c>
      <c r="N458" s="108">
        <f>IFERROR(IF(D458=0,0,INT(((YEAR('Deal maths'!AA458)-YEAR(E458))*12+MONTH('Deal maths'!AA458)-MONTH(E458)-(DAY('Deal maths'!AA458)&lt;MIN(R458,DAY(EOMONTH('Deal maths'!AA458,0)))))/D458)+1),0)</f>
        <v/>
      </c>
      <c r="O458" s="108">
        <f>IFERROR(IF(D458=0,0,IF(IF(DAY(E458+1)=1,EOMONTH(E458,(N458-1)*D458),EDATE(E458,(N458-1)*D458))='Deal maths'!AA458,0,1)),0)</f>
        <v/>
      </c>
      <c r="P458" s="113">
        <f>IF(B458=0,0,IFERROR(IF(C458="EIP",((I458-O458)*((IF(DAY(E458+1)=1,EOMONTH(E458,H458*D458),EDATE(E458,H458*D458))-AsAt)/365.25+(IF(DAY(E458+1)=1,EOMONTH(E458,(N458-1)*D458),EDATE(E458,(N458-1)*D458))-AsAt)/365.25)/2+O458*('Deal maths'!AA458-AsAt)/365.25)/I458,IF(C458="Annuity",IF(F458&gt;0,((K458-L458*F458)*((IF(DAY(E458+1)=1,EOMONTH(E458,H458*D458),EDATE(E458,H458*D458))-AsAt)/365.25*((1+F458)^(I458-O458)-1)/F458+IF((I458-O458)&gt;1,((IF(DAY(E458+1)=1,EOMONTH(E458,(N458-1)*D458),EDATE(E458,(N458-1)*D458))-AsAt)/365.25-(IF(DAY(E458+1)=1,EOMONTH(E458,H458*D458),EDATE(E458,H458*D458))-AsAt)/365.25)/((I458-O458)-1),0)*(1+F458)*(1-(I458-O458)*(1+F458)^((I458-O458)-1)+((I458-O458)-1)*(1+F458)^(I458-O458))/F458^2)+O458*(K458-L458*F458)*(1+F458)^(I458-1)*('Deal maths'!AA458-AsAt)/365.25)/L458,((I458-O458)*((IF(DAY(E458+1)=1,EOMONTH(E458,H458*D458),EDATE(E458,H458*D458))-AsAt)/365.25+(IF(DAY(E458+1)=1,EOMONTH(E458,(N458-1)*D458),EDATE(E458,(N458-1)*D458))-AsAt)/365.25)/2+O458*('Deal maths'!AA458-AsAt)/365.25)/I458),(S458-AsAt)/365.25)),0))</f>
        <v/>
      </c>
      <c r="Q458" s="109">
        <f>IF(B458=1,'Deal maths'!AA458+ROW()/1000000,"")</f>
        <v/>
      </c>
      <c r="R458" s="108">
        <f>IF(D458=0,0,IF(DAY(E458+1)=1,31,DAY(E458)))</f>
        <v/>
      </c>
      <c r="S458" s="109">
        <f>IF(AND('Deal maths'!V458="LOBO",'Deal maths'!AG458&gt;AsAt,'Deal maths'!AG458&lt;'Deal maths'!AA458),'Deal maths'!AG458,'Deal maths'!AA458)</f>
        <v/>
      </c>
      <c r="T458" s="108">
        <f>('Deal maths'!AA458&gt;AsAt)*('Deal maths'!Y458&gt;0)</f>
        <v/>
      </c>
    </row>
    <row r="459">
      <c r="A459" s="91">
        <f>IF('Deal maths'!V459="","",'Deal maths'!W459)</f>
        <v/>
      </c>
      <c r="B459" s="108">
        <f>('Deal maths'!AA459&gt;AsAt)*('Deal maths'!Y459&gt;0)*('Deal maths'!Z459&lt;=AsAt)</f>
        <v/>
      </c>
      <c r="C459" s="91">
        <f>IF('Deal maths'!V459="","",IF('Deal maths'!AC459="","Maturity",'Deal maths'!AC459))</f>
        <v/>
      </c>
      <c r="D459" s="108">
        <f>IF(OR(C459="EIP",C459="Annuity"),IF('Deal maths'!AD459="Annual",12,IF('Deal maths'!AD459="Quarterly",3,6)),0)</f>
        <v/>
      </c>
      <c r="E459" s="109">
        <f>IFERROR(IF(D459=0,0,IF('Deal maths'!AE459&gt;0,IF('Deal maths'!AE459&gt;'Deal maths'!AA459,'Deal maths'!AA459,'Deal maths'!AE459),IF(IF(DAY('Deal maths'!AA459+1)=1,EOMONTH('Deal maths'!AA459,-(INT(((YEAR('Deal maths'!AA459)-YEAR(IF('Deal maths'!Z459&gt;0,'Deal maths'!Z459,DATE(1990,1,1))))*12+MONTH('Deal maths'!AA459)-MONTH(IF('Deal maths'!Z459&gt;0,'Deal maths'!Z459,DATE(1990,1,1))))/D459))*D459),EDATE('Deal maths'!AA459,-(INT(((YEAR('Deal maths'!AA459)-YEAR(IF('Deal maths'!Z459&gt;0,'Deal maths'!Z459,DATE(1990,1,1))))*12+MONTH('Deal maths'!AA459)-MONTH(IF('Deal maths'!Z459&gt;0,'Deal maths'!Z459,DATE(1990,1,1))))/D459))*D459))&gt;IF('Deal maths'!Z459&gt;0,'Deal maths'!Z459,DATE(1990,1,1)),IF(DAY('Deal maths'!AA459+1)=1,EOMONTH('Deal maths'!AA459,-(INT(((YEAR('Deal maths'!AA459)-YEAR(IF('Deal maths'!Z459&gt;0,'Deal maths'!Z459,DATE(1990,1,1))))*12+MONTH('Deal maths'!AA459)-MONTH(IF('Deal maths'!Z459&gt;0,'Deal maths'!Z459,DATE(1990,1,1))))/D459))*D459),EDATE('Deal maths'!AA459,-(INT(((YEAR('Deal maths'!AA459)-YEAR(IF('Deal maths'!Z459&gt;0,'Deal maths'!Z459,DATE(1990,1,1))))*12+MONTH('Deal maths'!AA459)-MONTH(IF('Deal maths'!Z459&gt;0,'Deal maths'!Z459,DATE(1990,1,1))))/D459))*D459)),IF(DAY('Deal maths'!AA459+1)=1,EOMONTH('Deal maths'!AA459,-(INT(((YEAR('Deal maths'!AA459)-YEAR(IF('Deal maths'!Z459&gt;0,'Deal maths'!Z459,DATE(1990,1,1))))*12+MONTH('Deal maths'!AA459)-MONTH(IF('Deal maths'!Z459&gt;0,'Deal maths'!Z459,DATE(1990,1,1))))/D459)-1)*D459),EDATE('Deal maths'!AA459,-(INT(((YEAR('Deal maths'!AA459)-YEAR(IF('Deal maths'!Z459&gt;0,'Deal maths'!Z459,DATE(1990,1,1))))*12+MONTH('Deal maths'!AA459)-MONTH(IF('Deal maths'!Z459&gt;0,'Deal maths'!Z459,DATE(1990,1,1))))/D459)-1)*D459))))),0)</f>
        <v/>
      </c>
      <c r="F459" s="110">
        <f>IF(D459=0,0,'Deal maths'!AB459*D459/12)</f>
        <v/>
      </c>
      <c r="G459" s="108">
        <f>N459+O459</f>
        <v/>
      </c>
      <c r="H459" s="108">
        <f>IFERROR(IF(OR(D459=0,AsAt&lt;E459),0,MIN(N459,INT(((YEAR(AsAt)-YEAR(E459))*12+MONTH(AsAt)-MONTH(E459)-(DAY(AsAt)&lt;MIN(R459,DAY(EOMONTH(AsAt,0)))))/D459)+1)+O459*(AsAt&gt;='Deal maths'!AA459)),0)</f>
        <v/>
      </c>
      <c r="I459" s="108">
        <f>G459-H459</f>
        <v/>
      </c>
      <c r="J459" s="111">
        <f>IF(AND(C459="EIP",I459&gt;0),'Deal maths'!Y459/I459,0)</f>
        <v/>
      </c>
      <c r="K459" s="111">
        <f>IF(AND(C459="Annuity",I459&gt;0),IF(F459&gt;0,'Deal maths'!Y459*F459/(1-(1+F459)^-I459),'Deal maths'!Y459/I459),0)</f>
        <v/>
      </c>
      <c r="L459" s="111">
        <f>IF('Deal maths'!Y459="",0,'Deal maths'!Y459)</f>
        <v/>
      </c>
      <c r="M459" s="112">
        <f>F459+(F459=0)</f>
        <v/>
      </c>
      <c r="N459" s="108">
        <f>IFERROR(IF(D459=0,0,INT(((YEAR('Deal maths'!AA459)-YEAR(E459))*12+MONTH('Deal maths'!AA459)-MONTH(E459)-(DAY('Deal maths'!AA459)&lt;MIN(R459,DAY(EOMONTH('Deal maths'!AA459,0)))))/D459)+1),0)</f>
        <v/>
      </c>
      <c r="O459" s="108">
        <f>IFERROR(IF(D459=0,0,IF(IF(DAY(E459+1)=1,EOMONTH(E459,(N459-1)*D459),EDATE(E459,(N459-1)*D459))='Deal maths'!AA459,0,1)),0)</f>
        <v/>
      </c>
      <c r="P459" s="113">
        <f>IF(B459=0,0,IFERROR(IF(C459="EIP",((I459-O459)*((IF(DAY(E459+1)=1,EOMONTH(E459,H459*D459),EDATE(E459,H459*D459))-AsAt)/365.25+(IF(DAY(E459+1)=1,EOMONTH(E459,(N459-1)*D459),EDATE(E459,(N459-1)*D459))-AsAt)/365.25)/2+O459*('Deal maths'!AA459-AsAt)/365.25)/I459,IF(C459="Annuity",IF(F459&gt;0,((K459-L459*F459)*((IF(DAY(E459+1)=1,EOMONTH(E459,H459*D459),EDATE(E459,H459*D459))-AsAt)/365.25*((1+F459)^(I459-O459)-1)/F459+IF((I459-O459)&gt;1,((IF(DAY(E459+1)=1,EOMONTH(E459,(N459-1)*D459),EDATE(E459,(N459-1)*D459))-AsAt)/365.25-(IF(DAY(E459+1)=1,EOMONTH(E459,H459*D459),EDATE(E459,H459*D459))-AsAt)/365.25)/((I459-O459)-1),0)*(1+F459)*(1-(I459-O459)*(1+F459)^((I459-O459)-1)+((I459-O459)-1)*(1+F459)^(I459-O459))/F459^2)+O459*(K459-L459*F459)*(1+F459)^(I459-1)*('Deal maths'!AA459-AsAt)/365.25)/L459,((I459-O459)*((IF(DAY(E459+1)=1,EOMONTH(E459,H459*D459),EDATE(E459,H459*D459))-AsAt)/365.25+(IF(DAY(E459+1)=1,EOMONTH(E459,(N459-1)*D459),EDATE(E459,(N459-1)*D459))-AsAt)/365.25)/2+O459*('Deal maths'!AA459-AsAt)/365.25)/I459),(S459-AsAt)/365.25)),0))</f>
        <v/>
      </c>
      <c r="Q459" s="109">
        <f>IF(B459=1,'Deal maths'!AA459+ROW()/1000000,"")</f>
        <v/>
      </c>
      <c r="R459" s="108">
        <f>IF(D459=0,0,IF(DAY(E459+1)=1,31,DAY(E459)))</f>
        <v/>
      </c>
      <c r="S459" s="109">
        <f>IF(AND('Deal maths'!V459="LOBO",'Deal maths'!AG459&gt;AsAt,'Deal maths'!AG459&lt;'Deal maths'!AA459),'Deal maths'!AG459,'Deal maths'!AA459)</f>
        <v/>
      </c>
      <c r="T459" s="108">
        <f>('Deal maths'!AA459&gt;AsAt)*('Deal maths'!Y459&gt;0)</f>
        <v/>
      </c>
    </row>
    <row r="460">
      <c r="A460" s="91">
        <f>IF('Deal maths'!V460="","",'Deal maths'!W460)</f>
        <v/>
      </c>
      <c r="B460" s="108">
        <f>('Deal maths'!AA460&gt;AsAt)*('Deal maths'!Y460&gt;0)*('Deal maths'!Z460&lt;=AsAt)</f>
        <v/>
      </c>
      <c r="C460" s="91">
        <f>IF('Deal maths'!V460="","",IF('Deal maths'!AC460="","Maturity",'Deal maths'!AC460))</f>
        <v/>
      </c>
      <c r="D460" s="108">
        <f>IF(OR(C460="EIP",C460="Annuity"),IF('Deal maths'!AD460="Annual",12,IF('Deal maths'!AD460="Quarterly",3,6)),0)</f>
        <v/>
      </c>
      <c r="E460" s="109">
        <f>IFERROR(IF(D460=0,0,IF('Deal maths'!AE460&gt;0,IF('Deal maths'!AE460&gt;'Deal maths'!AA460,'Deal maths'!AA460,'Deal maths'!AE460),IF(IF(DAY('Deal maths'!AA460+1)=1,EOMONTH('Deal maths'!AA460,-(INT(((YEAR('Deal maths'!AA460)-YEAR(IF('Deal maths'!Z460&gt;0,'Deal maths'!Z460,DATE(1990,1,1))))*12+MONTH('Deal maths'!AA460)-MONTH(IF('Deal maths'!Z460&gt;0,'Deal maths'!Z460,DATE(1990,1,1))))/D460))*D460),EDATE('Deal maths'!AA460,-(INT(((YEAR('Deal maths'!AA460)-YEAR(IF('Deal maths'!Z460&gt;0,'Deal maths'!Z460,DATE(1990,1,1))))*12+MONTH('Deal maths'!AA460)-MONTH(IF('Deal maths'!Z460&gt;0,'Deal maths'!Z460,DATE(1990,1,1))))/D460))*D460))&gt;IF('Deal maths'!Z460&gt;0,'Deal maths'!Z460,DATE(1990,1,1)),IF(DAY('Deal maths'!AA460+1)=1,EOMONTH('Deal maths'!AA460,-(INT(((YEAR('Deal maths'!AA460)-YEAR(IF('Deal maths'!Z460&gt;0,'Deal maths'!Z460,DATE(1990,1,1))))*12+MONTH('Deal maths'!AA460)-MONTH(IF('Deal maths'!Z460&gt;0,'Deal maths'!Z460,DATE(1990,1,1))))/D460))*D460),EDATE('Deal maths'!AA460,-(INT(((YEAR('Deal maths'!AA460)-YEAR(IF('Deal maths'!Z460&gt;0,'Deal maths'!Z460,DATE(1990,1,1))))*12+MONTH('Deal maths'!AA460)-MONTH(IF('Deal maths'!Z460&gt;0,'Deal maths'!Z460,DATE(1990,1,1))))/D460))*D460)),IF(DAY('Deal maths'!AA460+1)=1,EOMONTH('Deal maths'!AA460,-(INT(((YEAR('Deal maths'!AA460)-YEAR(IF('Deal maths'!Z460&gt;0,'Deal maths'!Z460,DATE(1990,1,1))))*12+MONTH('Deal maths'!AA460)-MONTH(IF('Deal maths'!Z460&gt;0,'Deal maths'!Z460,DATE(1990,1,1))))/D460)-1)*D460),EDATE('Deal maths'!AA460,-(INT(((YEAR('Deal maths'!AA460)-YEAR(IF('Deal maths'!Z460&gt;0,'Deal maths'!Z460,DATE(1990,1,1))))*12+MONTH('Deal maths'!AA460)-MONTH(IF('Deal maths'!Z460&gt;0,'Deal maths'!Z460,DATE(1990,1,1))))/D460)-1)*D460))))),0)</f>
        <v/>
      </c>
      <c r="F460" s="110">
        <f>IF(D460=0,0,'Deal maths'!AB460*D460/12)</f>
        <v/>
      </c>
      <c r="G460" s="108">
        <f>N460+O460</f>
        <v/>
      </c>
      <c r="H460" s="108">
        <f>IFERROR(IF(OR(D460=0,AsAt&lt;E460),0,MIN(N460,INT(((YEAR(AsAt)-YEAR(E460))*12+MONTH(AsAt)-MONTH(E460)-(DAY(AsAt)&lt;MIN(R460,DAY(EOMONTH(AsAt,0)))))/D460)+1)+O460*(AsAt&gt;='Deal maths'!AA460)),0)</f>
        <v/>
      </c>
      <c r="I460" s="108">
        <f>G460-H460</f>
        <v/>
      </c>
      <c r="J460" s="111">
        <f>IF(AND(C460="EIP",I460&gt;0),'Deal maths'!Y460/I460,0)</f>
        <v/>
      </c>
      <c r="K460" s="111">
        <f>IF(AND(C460="Annuity",I460&gt;0),IF(F460&gt;0,'Deal maths'!Y460*F460/(1-(1+F460)^-I460),'Deal maths'!Y460/I460),0)</f>
        <v/>
      </c>
      <c r="L460" s="111">
        <f>IF('Deal maths'!Y460="",0,'Deal maths'!Y460)</f>
        <v/>
      </c>
      <c r="M460" s="112">
        <f>F460+(F460=0)</f>
        <v/>
      </c>
      <c r="N460" s="108">
        <f>IFERROR(IF(D460=0,0,INT(((YEAR('Deal maths'!AA460)-YEAR(E460))*12+MONTH('Deal maths'!AA460)-MONTH(E460)-(DAY('Deal maths'!AA460)&lt;MIN(R460,DAY(EOMONTH('Deal maths'!AA460,0)))))/D460)+1),0)</f>
        <v/>
      </c>
      <c r="O460" s="108">
        <f>IFERROR(IF(D460=0,0,IF(IF(DAY(E460+1)=1,EOMONTH(E460,(N460-1)*D460),EDATE(E460,(N460-1)*D460))='Deal maths'!AA460,0,1)),0)</f>
        <v/>
      </c>
      <c r="P460" s="113">
        <f>IF(B460=0,0,IFERROR(IF(C460="EIP",((I460-O460)*((IF(DAY(E460+1)=1,EOMONTH(E460,H460*D460),EDATE(E460,H460*D460))-AsAt)/365.25+(IF(DAY(E460+1)=1,EOMONTH(E460,(N460-1)*D460),EDATE(E460,(N460-1)*D460))-AsAt)/365.25)/2+O460*('Deal maths'!AA460-AsAt)/365.25)/I460,IF(C460="Annuity",IF(F460&gt;0,((K460-L460*F460)*((IF(DAY(E460+1)=1,EOMONTH(E460,H460*D460),EDATE(E460,H460*D460))-AsAt)/365.25*((1+F460)^(I460-O460)-1)/F460+IF((I460-O460)&gt;1,((IF(DAY(E460+1)=1,EOMONTH(E460,(N460-1)*D460),EDATE(E460,(N460-1)*D460))-AsAt)/365.25-(IF(DAY(E460+1)=1,EOMONTH(E460,H460*D460),EDATE(E460,H460*D460))-AsAt)/365.25)/((I460-O460)-1),0)*(1+F460)*(1-(I460-O460)*(1+F460)^((I460-O460)-1)+((I460-O460)-1)*(1+F460)^(I460-O460))/F460^2)+O460*(K460-L460*F460)*(1+F460)^(I460-1)*('Deal maths'!AA460-AsAt)/365.25)/L460,((I460-O460)*((IF(DAY(E460+1)=1,EOMONTH(E460,H460*D460),EDATE(E460,H460*D460))-AsAt)/365.25+(IF(DAY(E460+1)=1,EOMONTH(E460,(N460-1)*D460),EDATE(E460,(N460-1)*D460))-AsAt)/365.25)/2+O460*('Deal maths'!AA460-AsAt)/365.25)/I460),(S460-AsAt)/365.25)),0))</f>
        <v/>
      </c>
      <c r="Q460" s="109">
        <f>IF(B460=1,'Deal maths'!AA460+ROW()/1000000,"")</f>
        <v/>
      </c>
      <c r="R460" s="108">
        <f>IF(D460=0,0,IF(DAY(E460+1)=1,31,DAY(E460)))</f>
        <v/>
      </c>
      <c r="S460" s="109">
        <f>IF(AND('Deal maths'!V460="LOBO",'Deal maths'!AG460&gt;AsAt,'Deal maths'!AG460&lt;'Deal maths'!AA460),'Deal maths'!AG460,'Deal maths'!AA460)</f>
        <v/>
      </c>
      <c r="T460" s="108">
        <f>('Deal maths'!AA460&gt;AsAt)*('Deal maths'!Y460&gt;0)</f>
        <v/>
      </c>
    </row>
    <row r="461">
      <c r="A461" s="91">
        <f>IF('Deal maths'!V461="","",'Deal maths'!W461)</f>
        <v/>
      </c>
      <c r="B461" s="108">
        <f>('Deal maths'!AA461&gt;AsAt)*('Deal maths'!Y461&gt;0)*('Deal maths'!Z461&lt;=AsAt)</f>
        <v/>
      </c>
      <c r="C461" s="91">
        <f>IF('Deal maths'!V461="","",IF('Deal maths'!AC461="","Maturity",'Deal maths'!AC461))</f>
        <v/>
      </c>
      <c r="D461" s="108">
        <f>IF(OR(C461="EIP",C461="Annuity"),IF('Deal maths'!AD461="Annual",12,IF('Deal maths'!AD461="Quarterly",3,6)),0)</f>
        <v/>
      </c>
      <c r="E461" s="109">
        <f>IFERROR(IF(D461=0,0,IF('Deal maths'!AE461&gt;0,IF('Deal maths'!AE461&gt;'Deal maths'!AA461,'Deal maths'!AA461,'Deal maths'!AE461),IF(IF(DAY('Deal maths'!AA461+1)=1,EOMONTH('Deal maths'!AA461,-(INT(((YEAR('Deal maths'!AA461)-YEAR(IF('Deal maths'!Z461&gt;0,'Deal maths'!Z461,DATE(1990,1,1))))*12+MONTH('Deal maths'!AA461)-MONTH(IF('Deal maths'!Z461&gt;0,'Deal maths'!Z461,DATE(1990,1,1))))/D461))*D461),EDATE('Deal maths'!AA461,-(INT(((YEAR('Deal maths'!AA461)-YEAR(IF('Deal maths'!Z461&gt;0,'Deal maths'!Z461,DATE(1990,1,1))))*12+MONTH('Deal maths'!AA461)-MONTH(IF('Deal maths'!Z461&gt;0,'Deal maths'!Z461,DATE(1990,1,1))))/D461))*D461))&gt;IF('Deal maths'!Z461&gt;0,'Deal maths'!Z461,DATE(1990,1,1)),IF(DAY('Deal maths'!AA461+1)=1,EOMONTH('Deal maths'!AA461,-(INT(((YEAR('Deal maths'!AA461)-YEAR(IF('Deal maths'!Z461&gt;0,'Deal maths'!Z461,DATE(1990,1,1))))*12+MONTH('Deal maths'!AA461)-MONTH(IF('Deal maths'!Z461&gt;0,'Deal maths'!Z461,DATE(1990,1,1))))/D461))*D461),EDATE('Deal maths'!AA461,-(INT(((YEAR('Deal maths'!AA461)-YEAR(IF('Deal maths'!Z461&gt;0,'Deal maths'!Z461,DATE(1990,1,1))))*12+MONTH('Deal maths'!AA461)-MONTH(IF('Deal maths'!Z461&gt;0,'Deal maths'!Z461,DATE(1990,1,1))))/D461))*D461)),IF(DAY('Deal maths'!AA461+1)=1,EOMONTH('Deal maths'!AA461,-(INT(((YEAR('Deal maths'!AA461)-YEAR(IF('Deal maths'!Z461&gt;0,'Deal maths'!Z461,DATE(1990,1,1))))*12+MONTH('Deal maths'!AA461)-MONTH(IF('Deal maths'!Z461&gt;0,'Deal maths'!Z461,DATE(1990,1,1))))/D461)-1)*D461),EDATE('Deal maths'!AA461,-(INT(((YEAR('Deal maths'!AA461)-YEAR(IF('Deal maths'!Z461&gt;0,'Deal maths'!Z461,DATE(1990,1,1))))*12+MONTH('Deal maths'!AA461)-MONTH(IF('Deal maths'!Z461&gt;0,'Deal maths'!Z461,DATE(1990,1,1))))/D461)-1)*D461))))),0)</f>
        <v/>
      </c>
      <c r="F461" s="110">
        <f>IF(D461=0,0,'Deal maths'!AB461*D461/12)</f>
        <v/>
      </c>
      <c r="G461" s="108">
        <f>N461+O461</f>
        <v/>
      </c>
      <c r="H461" s="108">
        <f>IFERROR(IF(OR(D461=0,AsAt&lt;E461),0,MIN(N461,INT(((YEAR(AsAt)-YEAR(E461))*12+MONTH(AsAt)-MONTH(E461)-(DAY(AsAt)&lt;MIN(R461,DAY(EOMONTH(AsAt,0)))))/D461)+1)+O461*(AsAt&gt;='Deal maths'!AA461)),0)</f>
        <v/>
      </c>
      <c r="I461" s="108">
        <f>G461-H461</f>
        <v/>
      </c>
      <c r="J461" s="111">
        <f>IF(AND(C461="EIP",I461&gt;0),'Deal maths'!Y461/I461,0)</f>
        <v/>
      </c>
      <c r="K461" s="111">
        <f>IF(AND(C461="Annuity",I461&gt;0),IF(F461&gt;0,'Deal maths'!Y461*F461/(1-(1+F461)^-I461),'Deal maths'!Y461/I461),0)</f>
        <v/>
      </c>
      <c r="L461" s="111">
        <f>IF('Deal maths'!Y461="",0,'Deal maths'!Y461)</f>
        <v/>
      </c>
      <c r="M461" s="112">
        <f>F461+(F461=0)</f>
        <v/>
      </c>
      <c r="N461" s="108">
        <f>IFERROR(IF(D461=0,0,INT(((YEAR('Deal maths'!AA461)-YEAR(E461))*12+MONTH('Deal maths'!AA461)-MONTH(E461)-(DAY('Deal maths'!AA461)&lt;MIN(R461,DAY(EOMONTH('Deal maths'!AA461,0)))))/D461)+1),0)</f>
        <v/>
      </c>
      <c r="O461" s="108">
        <f>IFERROR(IF(D461=0,0,IF(IF(DAY(E461+1)=1,EOMONTH(E461,(N461-1)*D461),EDATE(E461,(N461-1)*D461))='Deal maths'!AA461,0,1)),0)</f>
        <v/>
      </c>
      <c r="P461" s="113">
        <f>IF(B461=0,0,IFERROR(IF(C461="EIP",((I461-O461)*((IF(DAY(E461+1)=1,EOMONTH(E461,H461*D461),EDATE(E461,H461*D461))-AsAt)/365.25+(IF(DAY(E461+1)=1,EOMONTH(E461,(N461-1)*D461),EDATE(E461,(N461-1)*D461))-AsAt)/365.25)/2+O461*('Deal maths'!AA461-AsAt)/365.25)/I461,IF(C461="Annuity",IF(F461&gt;0,((K461-L461*F461)*((IF(DAY(E461+1)=1,EOMONTH(E461,H461*D461),EDATE(E461,H461*D461))-AsAt)/365.25*((1+F461)^(I461-O461)-1)/F461+IF((I461-O461)&gt;1,((IF(DAY(E461+1)=1,EOMONTH(E461,(N461-1)*D461),EDATE(E461,(N461-1)*D461))-AsAt)/365.25-(IF(DAY(E461+1)=1,EOMONTH(E461,H461*D461),EDATE(E461,H461*D461))-AsAt)/365.25)/((I461-O461)-1),0)*(1+F461)*(1-(I461-O461)*(1+F461)^((I461-O461)-1)+((I461-O461)-1)*(1+F461)^(I461-O461))/F461^2)+O461*(K461-L461*F461)*(1+F461)^(I461-1)*('Deal maths'!AA461-AsAt)/365.25)/L461,((I461-O461)*((IF(DAY(E461+1)=1,EOMONTH(E461,H461*D461),EDATE(E461,H461*D461))-AsAt)/365.25+(IF(DAY(E461+1)=1,EOMONTH(E461,(N461-1)*D461),EDATE(E461,(N461-1)*D461))-AsAt)/365.25)/2+O461*('Deal maths'!AA461-AsAt)/365.25)/I461),(S461-AsAt)/365.25)),0))</f>
        <v/>
      </c>
      <c r="Q461" s="109">
        <f>IF(B461=1,'Deal maths'!AA461+ROW()/1000000,"")</f>
        <v/>
      </c>
      <c r="R461" s="108">
        <f>IF(D461=0,0,IF(DAY(E461+1)=1,31,DAY(E461)))</f>
        <v/>
      </c>
      <c r="S461" s="109">
        <f>IF(AND('Deal maths'!V461="LOBO",'Deal maths'!AG461&gt;AsAt,'Deal maths'!AG461&lt;'Deal maths'!AA461),'Deal maths'!AG461,'Deal maths'!AA461)</f>
        <v/>
      </c>
      <c r="T461" s="108">
        <f>('Deal maths'!AA461&gt;AsAt)*('Deal maths'!Y461&gt;0)</f>
        <v/>
      </c>
    </row>
    <row r="462">
      <c r="A462" s="91">
        <f>IF('Deal maths'!V462="","",'Deal maths'!W462)</f>
        <v/>
      </c>
      <c r="B462" s="108">
        <f>('Deal maths'!AA462&gt;AsAt)*('Deal maths'!Y462&gt;0)*('Deal maths'!Z462&lt;=AsAt)</f>
        <v/>
      </c>
      <c r="C462" s="91">
        <f>IF('Deal maths'!V462="","",IF('Deal maths'!AC462="","Maturity",'Deal maths'!AC462))</f>
        <v/>
      </c>
      <c r="D462" s="108">
        <f>IF(OR(C462="EIP",C462="Annuity"),IF('Deal maths'!AD462="Annual",12,IF('Deal maths'!AD462="Quarterly",3,6)),0)</f>
        <v/>
      </c>
      <c r="E462" s="109">
        <f>IFERROR(IF(D462=0,0,IF('Deal maths'!AE462&gt;0,IF('Deal maths'!AE462&gt;'Deal maths'!AA462,'Deal maths'!AA462,'Deal maths'!AE462),IF(IF(DAY('Deal maths'!AA462+1)=1,EOMONTH('Deal maths'!AA462,-(INT(((YEAR('Deal maths'!AA462)-YEAR(IF('Deal maths'!Z462&gt;0,'Deal maths'!Z462,DATE(1990,1,1))))*12+MONTH('Deal maths'!AA462)-MONTH(IF('Deal maths'!Z462&gt;0,'Deal maths'!Z462,DATE(1990,1,1))))/D462))*D462),EDATE('Deal maths'!AA462,-(INT(((YEAR('Deal maths'!AA462)-YEAR(IF('Deal maths'!Z462&gt;0,'Deal maths'!Z462,DATE(1990,1,1))))*12+MONTH('Deal maths'!AA462)-MONTH(IF('Deal maths'!Z462&gt;0,'Deal maths'!Z462,DATE(1990,1,1))))/D462))*D462))&gt;IF('Deal maths'!Z462&gt;0,'Deal maths'!Z462,DATE(1990,1,1)),IF(DAY('Deal maths'!AA462+1)=1,EOMONTH('Deal maths'!AA462,-(INT(((YEAR('Deal maths'!AA462)-YEAR(IF('Deal maths'!Z462&gt;0,'Deal maths'!Z462,DATE(1990,1,1))))*12+MONTH('Deal maths'!AA462)-MONTH(IF('Deal maths'!Z462&gt;0,'Deal maths'!Z462,DATE(1990,1,1))))/D462))*D462),EDATE('Deal maths'!AA462,-(INT(((YEAR('Deal maths'!AA462)-YEAR(IF('Deal maths'!Z462&gt;0,'Deal maths'!Z462,DATE(1990,1,1))))*12+MONTH('Deal maths'!AA462)-MONTH(IF('Deal maths'!Z462&gt;0,'Deal maths'!Z462,DATE(1990,1,1))))/D462))*D462)),IF(DAY('Deal maths'!AA462+1)=1,EOMONTH('Deal maths'!AA462,-(INT(((YEAR('Deal maths'!AA462)-YEAR(IF('Deal maths'!Z462&gt;0,'Deal maths'!Z462,DATE(1990,1,1))))*12+MONTH('Deal maths'!AA462)-MONTH(IF('Deal maths'!Z462&gt;0,'Deal maths'!Z462,DATE(1990,1,1))))/D462)-1)*D462),EDATE('Deal maths'!AA462,-(INT(((YEAR('Deal maths'!AA462)-YEAR(IF('Deal maths'!Z462&gt;0,'Deal maths'!Z462,DATE(1990,1,1))))*12+MONTH('Deal maths'!AA462)-MONTH(IF('Deal maths'!Z462&gt;0,'Deal maths'!Z462,DATE(1990,1,1))))/D462)-1)*D462))))),0)</f>
        <v/>
      </c>
      <c r="F462" s="110">
        <f>IF(D462=0,0,'Deal maths'!AB462*D462/12)</f>
        <v/>
      </c>
      <c r="G462" s="108">
        <f>N462+O462</f>
        <v/>
      </c>
      <c r="H462" s="108">
        <f>IFERROR(IF(OR(D462=0,AsAt&lt;E462),0,MIN(N462,INT(((YEAR(AsAt)-YEAR(E462))*12+MONTH(AsAt)-MONTH(E462)-(DAY(AsAt)&lt;MIN(R462,DAY(EOMONTH(AsAt,0)))))/D462)+1)+O462*(AsAt&gt;='Deal maths'!AA462)),0)</f>
        <v/>
      </c>
      <c r="I462" s="108">
        <f>G462-H462</f>
        <v/>
      </c>
      <c r="J462" s="111">
        <f>IF(AND(C462="EIP",I462&gt;0),'Deal maths'!Y462/I462,0)</f>
        <v/>
      </c>
      <c r="K462" s="111">
        <f>IF(AND(C462="Annuity",I462&gt;0),IF(F462&gt;0,'Deal maths'!Y462*F462/(1-(1+F462)^-I462),'Deal maths'!Y462/I462),0)</f>
        <v/>
      </c>
      <c r="L462" s="111">
        <f>IF('Deal maths'!Y462="",0,'Deal maths'!Y462)</f>
        <v/>
      </c>
      <c r="M462" s="112">
        <f>F462+(F462=0)</f>
        <v/>
      </c>
      <c r="N462" s="108">
        <f>IFERROR(IF(D462=0,0,INT(((YEAR('Deal maths'!AA462)-YEAR(E462))*12+MONTH('Deal maths'!AA462)-MONTH(E462)-(DAY('Deal maths'!AA462)&lt;MIN(R462,DAY(EOMONTH('Deal maths'!AA462,0)))))/D462)+1),0)</f>
        <v/>
      </c>
      <c r="O462" s="108">
        <f>IFERROR(IF(D462=0,0,IF(IF(DAY(E462+1)=1,EOMONTH(E462,(N462-1)*D462),EDATE(E462,(N462-1)*D462))='Deal maths'!AA462,0,1)),0)</f>
        <v/>
      </c>
      <c r="P462" s="113">
        <f>IF(B462=0,0,IFERROR(IF(C462="EIP",((I462-O462)*((IF(DAY(E462+1)=1,EOMONTH(E462,H462*D462),EDATE(E462,H462*D462))-AsAt)/365.25+(IF(DAY(E462+1)=1,EOMONTH(E462,(N462-1)*D462),EDATE(E462,(N462-1)*D462))-AsAt)/365.25)/2+O462*('Deal maths'!AA462-AsAt)/365.25)/I462,IF(C462="Annuity",IF(F462&gt;0,((K462-L462*F462)*((IF(DAY(E462+1)=1,EOMONTH(E462,H462*D462),EDATE(E462,H462*D462))-AsAt)/365.25*((1+F462)^(I462-O462)-1)/F462+IF((I462-O462)&gt;1,((IF(DAY(E462+1)=1,EOMONTH(E462,(N462-1)*D462),EDATE(E462,(N462-1)*D462))-AsAt)/365.25-(IF(DAY(E462+1)=1,EOMONTH(E462,H462*D462),EDATE(E462,H462*D462))-AsAt)/365.25)/((I462-O462)-1),0)*(1+F462)*(1-(I462-O462)*(1+F462)^((I462-O462)-1)+((I462-O462)-1)*(1+F462)^(I462-O462))/F462^2)+O462*(K462-L462*F462)*(1+F462)^(I462-1)*('Deal maths'!AA462-AsAt)/365.25)/L462,((I462-O462)*((IF(DAY(E462+1)=1,EOMONTH(E462,H462*D462),EDATE(E462,H462*D462))-AsAt)/365.25+(IF(DAY(E462+1)=1,EOMONTH(E462,(N462-1)*D462),EDATE(E462,(N462-1)*D462))-AsAt)/365.25)/2+O462*('Deal maths'!AA462-AsAt)/365.25)/I462),(S462-AsAt)/365.25)),0))</f>
        <v/>
      </c>
      <c r="Q462" s="109">
        <f>IF(B462=1,'Deal maths'!AA462+ROW()/1000000,"")</f>
        <v/>
      </c>
      <c r="R462" s="108">
        <f>IF(D462=0,0,IF(DAY(E462+1)=1,31,DAY(E462)))</f>
        <v/>
      </c>
      <c r="S462" s="109">
        <f>IF(AND('Deal maths'!V462="LOBO",'Deal maths'!AG462&gt;AsAt,'Deal maths'!AG462&lt;'Deal maths'!AA462),'Deal maths'!AG462,'Deal maths'!AA462)</f>
        <v/>
      </c>
      <c r="T462" s="108">
        <f>('Deal maths'!AA462&gt;AsAt)*('Deal maths'!Y462&gt;0)</f>
        <v/>
      </c>
    </row>
    <row r="463">
      <c r="A463" s="91">
        <f>IF('Deal maths'!V463="","",'Deal maths'!W463)</f>
        <v/>
      </c>
      <c r="B463" s="108">
        <f>('Deal maths'!AA463&gt;AsAt)*('Deal maths'!Y463&gt;0)*('Deal maths'!Z463&lt;=AsAt)</f>
        <v/>
      </c>
      <c r="C463" s="91">
        <f>IF('Deal maths'!V463="","",IF('Deal maths'!AC463="","Maturity",'Deal maths'!AC463))</f>
        <v/>
      </c>
      <c r="D463" s="108">
        <f>IF(OR(C463="EIP",C463="Annuity"),IF('Deal maths'!AD463="Annual",12,IF('Deal maths'!AD463="Quarterly",3,6)),0)</f>
        <v/>
      </c>
      <c r="E463" s="109">
        <f>IFERROR(IF(D463=0,0,IF('Deal maths'!AE463&gt;0,IF('Deal maths'!AE463&gt;'Deal maths'!AA463,'Deal maths'!AA463,'Deal maths'!AE463),IF(IF(DAY('Deal maths'!AA463+1)=1,EOMONTH('Deal maths'!AA463,-(INT(((YEAR('Deal maths'!AA463)-YEAR(IF('Deal maths'!Z463&gt;0,'Deal maths'!Z463,DATE(1990,1,1))))*12+MONTH('Deal maths'!AA463)-MONTH(IF('Deal maths'!Z463&gt;0,'Deal maths'!Z463,DATE(1990,1,1))))/D463))*D463),EDATE('Deal maths'!AA463,-(INT(((YEAR('Deal maths'!AA463)-YEAR(IF('Deal maths'!Z463&gt;0,'Deal maths'!Z463,DATE(1990,1,1))))*12+MONTH('Deal maths'!AA463)-MONTH(IF('Deal maths'!Z463&gt;0,'Deal maths'!Z463,DATE(1990,1,1))))/D463))*D463))&gt;IF('Deal maths'!Z463&gt;0,'Deal maths'!Z463,DATE(1990,1,1)),IF(DAY('Deal maths'!AA463+1)=1,EOMONTH('Deal maths'!AA463,-(INT(((YEAR('Deal maths'!AA463)-YEAR(IF('Deal maths'!Z463&gt;0,'Deal maths'!Z463,DATE(1990,1,1))))*12+MONTH('Deal maths'!AA463)-MONTH(IF('Deal maths'!Z463&gt;0,'Deal maths'!Z463,DATE(1990,1,1))))/D463))*D463),EDATE('Deal maths'!AA463,-(INT(((YEAR('Deal maths'!AA463)-YEAR(IF('Deal maths'!Z463&gt;0,'Deal maths'!Z463,DATE(1990,1,1))))*12+MONTH('Deal maths'!AA463)-MONTH(IF('Deal maths'!Z463&gt;0,'Deal maths'!Z463,DATE(1990,1,1))))/D463))*D463)),IF(DAY('Deal maths'!AA463+1)=1,EOMONTH('Deal maths'!AA463,-(INT(((YEAR('Deal maths'!AA463)-YEAR(IF('Deal maths'!Z463&gt;0,'Deal maths'!Z463,DATE(1990,1,1))))*12+MONTH('Deal maths'!AA463)-MONTH(IF('Deal maths'!Z463&gt;0,'Deal maths'!Z463,DATE(1990,1,1))))/D463)-1)*D463),EDATE('Deal maths'!AA463,-(INT(((YEAR('Deal maths'!AA463)-YEAR(IF('Deal maths'!Z463&gt;0,'Deal maths'!Z463,DATE(1990,1,1))))*12+MONTH('Deal maths'!AA463)-MONTH(IF('Deal maths'!Z463&gt;0,'Deal maths'!Z463,DATE(1990,1,1))))/D463)-1)*D463))))),0)</f>
        <v/>
      </c>
      <c r="F463" s="110">
        <f>IF(D463=0,0,'Deal maths'!AB463*D463/12)</f>
        <v/>
      </c>
      <c r="G463" s="108">
        <f>N463+O463</f>
        <v/>
      </c>
      <c r="H463" s="108">
        <f>IFERROR(IF(OR(D463=0,AsAt&lt;E463),0,MIN(N463,INT(((YEAR(AsAt)-YEAR(E463))*12+MONTH(AsAt)-MONTH(E463)-(DAY(AsAt)&lt;MIN(R463,DAY(EOMONTH(AsAt,0)))))/D463)+1)+O463*(AsAt&gt;='Deal maths'!AA463)),0)</f>
        <v/>
      </c>
      <c r="I463" s="108">
        <f>G463-H463</f>
        <v/>
      </c>
      <c r="J463" s="111">
        <f>IF(AND(C463="EIP",I463&gt;0),'Deal maths'!Y463/I463,0)</f>
        <v/>
      </c>
      <c r="K463" s="111">
        <f>IF(AND(C463="Annuity",I463&gt;0),IF(F463&gt;0,'Deal maths'!Y463*F463/(1-(1+F463)^-I463),'Deal maths'!Y463/I463),0)</f>
        <v/>
      </c>
      <c r="L463" s="111">
        <f>IF('Deal maths'!Y463="",0,'Deal maths'!Y463)</f>
        <v/>
      </c>
      <c r="M463" s="112">
        <f>F463+(F463=0)</f>
        <v/>
      </c>
      <c r="N463" s="108">
        <f>IFERROR(IF(D463=0,0,INT(((YEAR('Deal maths'!AA463)-YEAR(E463))*12+MONTH('Deal maths'!AA463)-MONTH(E463)-(DAY('Deal maths'!AA463)&lt;MIN(R463,DAY(EOMONTH('Deal maths'!AA463,0)))))/D463)+1),0)</f>
        <v/>
      </c>
      <c r="O463" s="108">
        <f>IFERROR(IF(D463=0,0,IF(IF(DAY(E463+1)=1,EOMONTH(E463,(N463-1)*D463),EDATE(E463,(N463-1)*D463))='Deal maths'!AA463,0,1)),0)</f>
        <v/>
      </c>
      <c r="P463" s="113">
        <f>IF(B463=0,0,IFERROR(IF(C463="EIP",((I463-O463)*((IF(DAY(E463+1)=1,EOMONTH(E463,H463*D463),EDATE(E463,H463*D463))-AsAt)/365.25+(IF(DAY(E463+1)=1,EOMONTH(E463,(N463-1)*D463),EDATE(E463,(N463-1)*D463))-AsAt)/365.25)/2+O463*('Deal maths'!AA463-AsAt)/365.25)/I463,IF(C463="Annuity",IF(F463&gt;0,((K463-L463*F463)*((IF(DAY(E463+1)=1,EOMONTH(E463,H463*D463),EDATE(E463,H463*D463))-AsAt)/365.25*((1+F463)^(I463-O463)-1)/F463+IF((I463-O463)&gt;1,((IF(DAY(E463+1)=1,EOMONTH(E463,(N463-1)*D463),EDATE(E463,(N463-1)*D463))-AsAt)/365.25-(IF(DAY(E463+1)=1,EOMONTH(E463,H463*D463),EDATE(E463,H463*D463))-AsAt)/365.25)/((I463-O463)-1),0)*(1+F463)*(1-(I463-O463)*(1+F463)^((I463-O463)-1)+((I463-O463)-1)*(1+F463)^(I463-O463))/F463^2)+O463*(K463-L463*F463)*(1+F463)^(I463-1)*('Deal maths'!AA463-AsAt)/365.25)/L463,((I463-O463)*((IF(DAY(E463+1)=1,EOMONTH(E463,H463*D463),EDATE(E463,H463*D463))-AsAt)/365.25+(IF(DAY(E463+1)=1,EOMONTH(E463,(N463-1)*D463),EDATE(E463,(N463-1)*D463))-AsAt)/365.25)/2+O463*('Deal maths'!AA463-AsAt)/365.25)/I463),(S463-AsAt)/365.25)),0))</f>
        <v/>
      </c>
      <c r="Q463" s="109">
        <f>IF(B463=1,'Deal maths'!AA463+ROW()/1000000,"")</f>
        <v/>
      </c>
      <c r="R463" s="108">
        <f>IF(D463=0,0,IF(DAY(E463+1)=1,31,DAY(E463)))</f>
        <v/>
      </c>
      <c r="S463" s="109">
        <f>IF(AND('Deal maths'!V463="LOBO",'Deal maths'!AG463&gt;AsAt,'Deal maths'!AG463&lt;'Deal maths'!AA463),'Deal maths'!AG463,'Deal maths'!AA463)</f>
        <v/>
      </c>
      <c r="T463" s="108">
        <f>('Deal maths'!AA463&gt;AsAt)*('Deal maths'!Y463&gt;0)</f>
        <v/>
      </c>
    </row>
    <row r="464">
      <c r="A464" s="91">
        <f>IF('Deal maths'!V464="","",'Deal maths'!W464)</f>
        <v/>
      </c>
      <c r="B464" s="108">
        <f>('Deal maths'!AA464&gt;AsAt)*('Deal maths'!Y464&gt;0)*('Deal maths'!Z464&lt;=AsAt)</f>
        <v/>
      </c>
      <c r="C464" s="91">
        <f>IF('Deal maths'!V464="","",IF('Deal maths'!AC464="","Maturity",'Deal maths'!AC464))</f>
        <v/>
      </c>
      <c r="D464" s="108">
        <f>IF(OR(C464="EIP",C464="Annuity"),IF('Deal maths'!AD464="Annual",12,IF('Deal maths'!AD464="Quarterly",3,6)),0)</f>
        <v/>
      </c>
      <c r="E464" s="109">
        <f>IFERROR(IF(D464=0,0,IF('Deal maths'!AE464&gt;0,IF('Deal maths'!AE464&gt;'Deal maths'!AA464,'Deal maths'!AA464,'Deal maths'!AE464),IF(IF(DAY('Deal maths'!AA464+1)=1,EOMONTH('Deal maths'!AA464,-(INT(((YEAR('Deal maths'!AA464)-YEAR(IF('Deal maths'!Z464&gt;0,'Deal maths'!Z464,DATE(1990,1,1))))*12+MONTH('Deal maths'!AA464)-MONTH(IF('Deal maths'!Z464&gt;0,'Deal maths'!Z464,DATE(1990,1,1))))/D464))*D464),EDATE('Deal maths'!AA464,-(INT(((YEAR('Deal maths'!AA464)-YEAR(IF('Deal maths'!Z464&gt;0,'Deal maths'!Z464,DATE(1990,1,1))))*12+MONTH('Deal maths'!AA464)-MONTH(IF('Deal maths'!Z464&gt;0,'Deal maths'!Z464,DATE(1990,1,1))))/D464))*D464))&gt;IF('Deal maths'!Z464&gt;0,'Deal maths'!Z464,DATE(1990,1,1)),IF(DAY('Deal maths'!AA464+1)=1,EOMONTH('Deal maths'!AA464,-(INT(((YEAR('Deal maths'!AA464)-YEAR(IF('Deal maths'!Z464&gt;0,'Deal maths'!Z464,DATE(1990,1,1))))*12+MONTH('Deal maths'!AA464)-MONTH(IF('Deal maths'!Z464&gt;0,'Deal maths'!Z464,DATE(1990,1,1))))/D464))*D464),EDATE('Deal maths'!AA464,-(INT(((YEAR('Deal maths'!AA464)-YEAR(IF('Deal maths'!Z464&gt;0,'Deal maths'!Z464,DATE(1990,1,1))))*12+MONTH('Deal maths'!AA464)-MONTH(IF('Deal maths'!Z464&gt;0,'Deal maths'!Z464,DATE(1990,1,1))))/D464))*D464)),IF(DAY('Deal maths'!AA464+1)=1,EOMONTH('Deal maths'!AA464,-(INT(((YEAR('Deal maths'!AA464)-YEAR(IF('Deal maths'!Z464&gt;0,'Deal maths'!Z464,DATE(1990,1,1))))*12+MONTH('Deal maths'!AA464)-MONTH(IF('Deal maths'!Z464&gt;0,'Deal maths'!Z464,DATE(1990,1,1))))/D464)-1)*D464),EDATE('Deal maths'!AA464,-(INT(((YEAR('Deal maths'!AA464)-YEAR(IF('Deal maths'!Z464&gt;0,'Deal maths'!Z464,DATE(1990,1,1))))*12+MONTH('Deal maths'!AA464)-MONTH(IF('Deal maths'!Z464&gt;0,'Deal maths'!Z464,DATE(1990,1,1))))/D464)-1)*D464))))),0)</f>
        <v/>
      </c>
      <c r="F464" s="110">
        <f>IF(D464=0,0,'Deal maths'!AB464*D464/12)</f>
        <v/>
      </c>
      <c r="G464" s="108">
        <f>N464+O464</f>
        <v/>
      </c>
      <c r="H464" s="108">
        <f>IFERROR(IF(OR(D464=0,AsAt&lt;E464),0,MIN(N464,INT(((YEAR(AsAt)-YEAR(E464))*12+MONTH(AsAt)-MONTH(E464)-(DAY(AsAt)&lt;MIN(R464,DAY(EOMONTH(AsAt,0)))))/D464)+1)+O464*(AsAt&gt;='Deal maths'!AA464)),0)</f>
        <v/>
      </c>
      <c r="I464" s="108">
        <f>G464-H464</f>
        <v/>
      </c>
      <c r="J464" s="111">
        <f>IF(AND(C464="EIP",I464&gt;0),'Deal maths'!Y464/I464,0)</f>
        <v/>
      </c>
      <c r="K464" s="111">
        <f>IF(AND(C464="Annuity",I464&gt;0),IF(F464&gt;0,'Deal maths'!Y464*F464/(1-(1+F464)^-I464),'Deal maths'!Y464/I464),0)</f>
        <v/>
      </c>
      <c r="L464" s="111">
        <f>IF('Deal maths'!Y464="",0,'Deal maths'!Y464)</f>
        <v/>
      </c>
      <c r="M464" s="112">
        <f>F464+(F464=0)</f>
        <v/>
      </c>
      <c r="N464" s="108">
        <f>IFERROR(IF(D464=0,0,INT(((YEAR('Deal maths'!AA464)-YEAR(E464))*12+MONTH('Deal maths'!AA464)-MONTH(E464)-(DAY('Deal maths'!AA464)&lt;MIN(R464,DAY(EOMONTH('Deal maths'!AA464,0)))))/D464)+1),0)</f>
        <v/>
      </c>
      <c r="O464" s="108">
        <f>IFERROR(IF(D464=0,0,IF(IF(DAY(E464+1)=1,EOMONTH(E464,(N464-1)*D464),EDATE(E464,(N464-1)*D464))='Deal maths'!AA464,0,1)),0)</f>
        <v/>
      </c>
      <c r="P464" s="113">
        <f>IF(B464=0,0,IFERROR(IF(C464="EIP",((I464-O464)*((IF(DAY(E464+1)=1,EOMONTH(E464,H464*D464),EDATE(E464,H464*D464))-AsAt)/365.25+(IF(DAY(E464+1)=1,EOMONTH(E464,(N464-1)*D464),EDATE(E464,(N464-1)*D464))-AsAt)/365.25)/2+O464*('Deal maths'!AA464-AsAt)/365.25)/I464,IF(C464="Annuity",IF(F464&gt;0,((K464-L464*F464)*((IF(DAY(E464+1)=1,EOMONTH(E464,H464*D464),EDATE(E464,H464*D464))-AsAt)/365.25*((1+F464)^(I464-O464)-1)/F464+IF((I464-O464)&gt;1,((IF(DAY(E464+1)=1,EOMONTH(E464,(N464-1)*D464),EDATE(E464,(N464-1)*D464))-AsAt)/365.25-(IF(DAY(E464+1)=1,EOMONTH(E464,H464*D464),EDATE(E464,H464*D464))-AsAt)/365.25)/((I464-O464)-1),0)*(1+F464)*(1-(I464-O464)*(1+F464)^((I464-O464)-1)+((I464-O464)-1)*(1+F464)^(I464-O464))/F464^2)+O464*(K464-L464*F464)*(1+F464)^(I464-1)*('Deal maths'!AA464-AsAt)/365.25)/L464,((I464-O464)*((IF(DAY(E464+1)=1,EOMONTH(E464,H464*D464),EDATE(E464,H464*D464))-AsAt)/365.25+(IF(DAY(E464+1)=1,EOMONTH(E464,(N464-1)*D464),EDATE(E464,(N464-1)*D464))-AsAt)/365.25)/2+O464*('Deal maths'!AA464-AsAt)/365.25)/I464),(S464-AsAt)/365.25)),0))</f>
        <v/>
      </c>
      <c r="Q464" s="109">
        <f>IF(B464=1,'Deal maths'!AA464+ROW()/1000000,"")</f>
        <v/>
      </c>
      <c r="R464" s="108">
        <f>IF(D464=0,0,IF(DAY(E464+1)=1,31,DAY(E464)))</f>
        <v/>
      </c>
      <c r="S464" s="109">
        <f>IF(AND('Deal maths'!V464="LOBO",'Deal maths'!AG464&gt;AsAt,'Deal maths'!AG464&lt;'Deal maths'!AA464),'Deal maths'!AG464,'Deal maths'!AA464)</f>
        <v/>
      </c>
      <c r="T464" s="108">
        <f>('Deal maths'!AA464&gt;AsAt)*('Deal maths'!Y464&gt;0)</f>
        <v/>
      </c>
    </row>
    <row r="465">
      <c r="A465" s="91">
        <f>IF('Deal maths'!V465="","",'Deal maths'!W465)</f>
        <v/>
      </c>
      <c r="B465" s="108">
        <f>('Deal maths'!AA465&gt;AsAt)*('Deal maths'!Y465&gt;0)*('Deal maths'!Z465&lt;=AsAt)</f>
        <v/>
      </c>
      <c r="C465" s="91">
        <f>IF('Deal maths'!V465="","",IF('Deal maths'!AC465="","Maturity",'Deal maths'!AC465))</f>
        <v/>
      </c>
      <c r="D465" s="108">
        <f>IF(OR(C465="EIP",C465="Annuity"),IF('Deal maths'!AD465="Annual",12,IF('Deal maths'!AD465="Quarterly",3,6)),0)</f>
        <v/>
      </c>
      <c r="E465" s="109">
        <f>IFERROR(IF(D465=0,0,IF('Deal maths'!AE465&gt;0,IF('Deal maths'!AE465&gt;'Deal maths'!AA465,'Deal maths'!AA465,'Deal maths'!AE465),IF(IF(DAY('Deal maths'!AA465+1)=1,EOMONTH('Deal maths'!AA465,-(INT(((YEAR('Deal maths'!AA465)-YEAR(IF('Deal maths'!Z465&gt;0,'Deal maths'!Z465,DATE(1990,1,1))))*12+MONTH('Deal maths'!AA465)-MONTH(IF('Deal maths'!Z465&gt;0,'Deal maths'!Z465,DATE(1990,1,1))))/D465))*D465),EDATE('Deal maths'!AA465,-(INT(((YEAR('Deal maths'!AA465)-YEAR(IF('Deal maths'!Z465&gt;0,'Deal maths'!Z465,DATE(1990,1,1))))*12+MONTH('Deal maths'!AA465)-MONTH(IF('Deal maths'!Z465&gt;0,'Deal maths'!Z465,DATE(1990,1,1))))/D465))*D465))&gt;IF('Deal maths'!Z465&gt;0,'Deal maths'!Z465,DATE(1990,1,1)),IF(DAY('Deal maths'!AA465+1)=1,EOMONTH('Deal maths'!AA465,-(INT(((YEAR('Deal maths'!AA465)-YEAR(IF('Deal maths'!Z465&gt;0,'Deal maths'!Z465,DATE(1990,1,1))))*12+MONTH('Deal maths'!AA465)-MONTH(IF('Deal maths'!Z465&gt;0,'Deal maths'!Z465,DATE(1990,1,1))))/D465))*D465),EDATE('Deal maths'!AA465,-(INT(((YEAR('Deal maths'!AA465)-YEAR(IF('Deal maths'!Z465&gt;0,'Deal maths'!Z465,DATE(1990,1,1))))*12+MONTH('Deal maths'!AA465)-MONTH(IF('Deal maths'!Z465&gt;0,'Deal maths'!Z465,DATE(1990,1,1))))/D465))*D465)),IF(DAY('Deal maths'!AA465+1)=1,EOMONTH('Deal maths'!AA465,-(INT(((YEAR('Deal maths'!AA465)-YEAR(IF('Deal maths'!Z465&gt;0,'Deal maths'!Z465,DATE(1990,1,1))))*12+MONTH('Deal maths'!AA465)-MONTH(IF('Deal maths'!Z465&gt;0,'Deal maths'!Z465,DATE(1990,1,1))))/D465)-1)*D465),EDATE('Deal maths'!AA465,-(INT(((YEAR('Deal maths'!AA465)-YEAR(IF('Deal maths'!Z465&gt;0,'Deal maths'!Z465,DATE(1990,1,1))))*12+MONTH('Deal maths'!AA465)-MONTH(IF('Deal maths'!Z465&gt;0,'Deal maths'!Z465,DATE(1990,1,1))))/D465)-1)*D465))))),0)</f>
        <v/>
      </c>
      <c r="F465" s="110">
        <f>IF(D465=0,0,'Deal maths'!AB465*D465/12)</f>
        <v/>
      </c>
      <c r="G465" s="108">
        <f>N465+O465</f>
        <v/>
      </c>
      <c r="H465" s="108">
        <f>IFERROR(IF(OR(D465=0,AsAt&lt;E465),0,MIN(N465,INT(((YEAR(AsAt)-YEAR(E465))*12+MONTH(AsAt)-MONTH(E465)-(DAY(AsAt)&lt;MIN(R465,DAY(EOMONTH(AsAt,0)))))/D465)+1)+O465*(AsAt&gt;='Deal maths'!AA465)),0)</f>
        <v/>
      </c>
      <c r="I465" s="108">
        <f>G465-H465</f>
        <v/>
      </c>
      <c r="J465" s="111">
        <f>IF(AND(C465="EIP",I465&gt;0),'Deal maths'!Y465/I465,0)</f>
        <v/>
      </c>
      <c r="K465" s="111">
        <f>IF(AND(C465="Annuity",I465&gt;0),IF(F465&gt;0,'Deal maths'!Y465*F465/(1-(1+F465)^-I465),'Deal maths'!Y465/I465),0)</f>
        <v/>
      </c>
      <c r="L465" s="111">
        <f>IF('Deal maths'!Y465="",0,'Deal maths'!Y465)</f>
        <v/>
      </c>
      <c r="M465" s="112">
        <f>F465+(F465=0)</f>
        <v/>
      </c>
      <c r="N465" s="108">
        <f>IFERROR(IF(D465=0,0,INT(((YEAR('Deal maths'!AA465)-YEAR(E465))*12+MONTH('Deal maths'!AA465)-MONTH(E465)-(DAY('Deal maths'!AA465)&lt;MIN(R465,DAY(EOMONTH('Deal maths'!AA465,0)))))/D465)+1),0)</f>
        <v/>
      </c>
      <c r="O465" s="108">
        <f>IFERROR(IF(D465=0,0,IF(IF(DAY(E465+1)=1,EOMONTH(E465,(N465-1)*D465),EDATE(E465,(N465-1)*D465))='Deal maths'!AA465,0,1)),0)</f>
        <v/>
      </c>
      <c r="P465" s="113">
        <f>IF(B465=0,0,IFERROR(IF(C465="EIP",((I465-O465)*((IF(DAY(E465+1)=1,EOMONTH(E465,H465*D465),EDATE(E465,H465*D465))-AsAt)/365.25+(IF(DAY(E465+1)=1,EOMONTH(E465,(N465-1)*D465),EDATE(E465,(N465-1)*D465))-AsAt)/365.25)/2+O465*('Deal maths'!AA465-AsAt)/365.25)/I465,IF(C465="Annuity",IF(F465&gt;0,((K465-L465*F465)*((IF(DAY(E465+1)=1,EOMONTH(E465,H465*D465),EDATE(E465,H465*D465))-AsAt)/365.25*((1+F465)^(I465-O465)-1)/F465+IF((I465-O465)&gt;1,((IF(DAY(E465+1)=1,EOMONTH(E465,(N465-1)*D465),EDATE(E465,(N465-1)*D465))-AsAt)/365.25-(IF(DAY(E465+1)=1,EOMONTH(E465,H465*D465),EDATE(E465,H465*D465))-AsAt)/365.25)/((I465-O465)-1),0)*(1+F465)*(1-(I465-O465)*(1+F465)^((I465-O465)-1)+((I465-O465)-1)*(1+F465)^(I465-O465))/F465^2)+O465*(K465-L465*F465)*(1+F465)^(I465-1)*('Deal maths'!AA465-AsAt)/365.25)/L465,((I465-O465)*((IF(DAY(E465+1)=1,EOMONTH(E465,H465*D465),EDATE(E465,H465*D465))-AsAt)/365.25+(IF(DAY(E465+1)=1,EOMONTH(E465,(N465-1)*D465),EDATE(E465,(N465-1)*D465))-AsAt)/365.25)/2+O465*('Deal maths'!AA465-AsAt)/365.25)/I465),(S465-AsAt)/365.25)),0))</f>
        <v/>
      </c>
      <c r="Q465" s="109">
        <f>IF(B465=1,'Deal maths'!AA465+ROW()/1000000,"")</f>
        <v/>
      </c>
      <c r="R465" s="108">
        <f>IF(D465=0,0,IF(DAY(E465+1)=1,31,DAY(E465)))</f>
        <v/>
      </c>
      <c r="S465" s="109">
        <f>IF(AND('Deal maths'!V465="LOBO",'Deal maths'!AG465&gt;AsAt,'Deal maths'!AG465&lt;'Deal maths'!AA465),'Deal maths'!AG465,'Deal maths'!AA465)</f>
        <v/>
      </c>
      <c r="T465" s="108">
        <f>('Deal maths'!AA465&gt;AsAt)*('Deal maths'!Y465&gt;0)</f>
        <v/>
      </c>
    </row>
    <row r="466">
      <c r="A466" s="91">
        <f>IF('Deal maths'!V466="","",'Deal maths'!W466)</f>
        <v/>
      </c>
      <c r="B466" s="108">
        <f>('Deal maths'!AA466&gt;AsAt)*('Deal maths'!Y466&gt;0)*('Deal maths'!Z466&lt;=AsAt)</f>
        <v/>
      </c>
      <c r="C466" s="91">
        <f>IF('Deal maths'!V466="","",IF('Deal maths'!AC466="","Maturity",'Deal maths'!AC466))</f>
        <v/>
      </c>
      <c r="D466" s="108">
        <f>IF(OR(C466="EIP",C466="Annuity"),IF('Deal maths'!AD466="Annual",12,IF('Deal maths'!AD466="Quarterly",3,6)),0)</f>
        <v/>
      </c>
      <c r="E466" s="109">
        <f>IFERROR(IF(D466=0,0,IF('Deal maths'!AE466&gt;0,IF('Deal maths'!AE466&gt;'Deal maths'!AA466,'Deal maths'!AA466,'Deal maths'!AE466),IF(IF(DAY('Deal maths'!AA466+1)=1,EOMONTH('Deal maths'!AA466,-(INT(((YEAR('Deal maths'!AA466)-YEAR(IF('Deal maths'!Z466&gt;0,'Deal maths'!Z466,DATE(1990,1,1))))*12+MONTH('Deal maths'!AA466)-MONTH(IF('Deal maths'!Z466&gt;0,'Deal maths'!Z466,DATE(1990,1,1))))/D466))*D466),EDATE('Deal maths'!AA466,-(INT(((YEAR('Deal maths'!AA466)-YEAR(IF('Deal maths'!Z466&gt;0,'Deal maths'!Z466,DATE(1990,1,1))))*12+MONTH('Deal maths'!AA466)-MONTH(IF('Deal maths'!Z466&gt;0,'Deal maths'!Z466,DATE(1990,1,1))))/D466))*D466))&gt;IF('Deal maths'!Z466&gt;0,'Deal maths'!Z466,DATE(1990,1,1)),IF(DAY('Deal maths'!AA466+1)=1,EOMONTH('Deal maths'!AA466,-(INT(((YEAR('Deal maths'!AA466)-YEAR(IF('Deal maths'!Z466&gt;0,'Deal maths'!Z466,DATE(1990,1,1))))*12+MONTH('Deal maths'!AA466)-MONTH(IF('Deal maths'!Z466&gt;0,'Deal maths'!Z466,DATE(1990,1,1))))/D466))*D466),EDATE('Deal maths'!AA466,-(INT(((YEAR('Deal maths'!AA466)-YEAR(IF('Deal maths'!Z466&gt;0,'Deal maths'!Z466,DATE(1990,1,1))))*12+MONTH('Deal maths'!AA466)-MONTH(IF('Deal maths'!Z466&gt;0,'Deal maths'!Z466,DATE(1990,1,1))))/D466))*D466)),IF(DAY('Deal maths'!AA466+1)=1,EOMONTH('Deal maths'!AA466,-(INT(((YEAR('Deal maths'!AA466)-YEAR(IF('Deal maths'!Z466&gt;0,'Deal maths'!Z466,DATE(1990,1,1))))*12+MONTH('Deal maths'!AA466)-MONTH(IF('Deal maths'!Z466&gt;0,'Deal maths'!Z466,DATE(1990,1,1))))/D466)-1)*D466),EDATE('Deal maths'!AA466,-(INT(((YEAR('Deal maths'!AA466)-YEAR(IF('Deal maths'!Z466&gt;0,'Deal maths'!Z466,DATE(1990,1,1))))*12+MONTH('Deal maths'!AA466)-MONTH(IF('Deal maths'!Z466&gt;0,'Deal maths'!Z466,DATE(1990,1,1))))/D466)-1)*D466))))),0)</f>
        <v/>
      </c>
      <c r="F466" s="110">
        <f>IF(D466=0,0,'Deal maths'!AB466*D466/12)</f>
        <v/>
      </c>
      <c r="G466" s="108">
        <f>N466+O466</f>
        <v/>
      </c>
      <c r="H466" s="108">
        <f>IFERROR(IF(OR(D466=0,AsAt&lt;E466),0,MIN(N466,INT(((YEAR(AsAt)-YEAR(E466))*12+MONTH(AsAt)-MONTH(E466)-(DAY(AsAt)&lt;MIN(R466,DAY(EOMONTH(AsAt,0)))))/D466)+1)+O466*(AsAt&gt;='Deal maths'!AA466)),0)</f>
        <v/>
      </c>
      <c r="I466" s="108">
        <f>G466-H466</f>
        <v/>
      </c>
      <c r="J466" s="111">
        <f>IF(AND(C466="EIP",I466&gt;0),'Deal maths'!Y466/I466,0)</f>
        <v/>
      </c>
      <c r="K466" s="111">
        <f>IF(AND(C466="Annuity",I466&gt;0),IF(F466&gt;0,'Deal maths'!Y466*F466/(1-(1+F466)^-I466),'Deal maths'!Y466/I466),0)</f>
        <v/>
      </c>
      <c r="L466" s="111">
        <f>IF('Deal maths'!Y466="",0,'Deal maths'!Y466)</f>
        <v/>
      </c>
      <c r="M466" s="112">
        <f>F466+(F466=0)</f>
        <v/>
      </c>
      <c r="N466" s="108">
        <f>IFERROR(IF(D466=0,0,INT(((YEAR('Deal maths'!AA466)-YEAR(E466))*12+MONTH('Deal maths'!AA466)-MONTH(E466)-(DAY('Deal maths'!AA466)&lt;MIN(R466,DAY(EOMONTH('Deal maths'!AA466,0)))))/D466)+1),0)</f>
        <v/>
      </c>
      <c r="O466" s="108">
        <f>IFERROR(IF(D466=0,0,IF(IF(DAY(E466+1)=1,EOMONTH(E466,(N466-1)*D466),EDATE(E466,(N466-1)*D466))='Deal maths'!AA466,0,1)),0)</f>
        <v/>
      </c>
      <c r="P466" s="113">
        <f>IF(B466=0,0,IFERROR(IF(C466="EIP",((I466-O466)*((IF(DAY(E466+1)=1,EOMONTH(E466,H466*D466),EDATE(E466,H466*D466))-AsAt)/365.25+(IF(DAY(E466+1)=1,EOMONTH(E466,(N466-1)*D466),EDATE(E466,(N466-1)*D466))-AsAt)/365.25)/2+O466*('Deal maths'!AA466-AsAt)/365.25)/I466,IF(C466="Annuity",IF(F466&gt;0,((K466-L466*F466)*((IF(DAY(E466+1)=1,EOMONTH(E466,H466*D466),EDATE(E466,H466*D466))-AsAt)/365.25*((1+F466)^(I466-O466)-1)/F466+IF((I466-O466)&gt;1,((IF(DAY(E466+1)=1,EOMONTH(E466,(N466-1)*D466),EDATE(E466,(N466-1)*D466))-AsAt)/365.25-(IF(DAY(E466+1)=1,EOMONTH(E466,H466*D466),EDATE(E466,H466*D466))-AsAt)/365.25)/((I466-O466)-1),0)*(1+F466)*(1-(I466-O466)*(1+F466)^((I466-O466)-1)+((I466-O466)-1)*(1+F466)^(I466-O466))/F466^2)+O466*(K466-L466*F466)*(1+F466)^(I466-1)*('Deal maths'!AA466-AsAt)/365.25)/L466,((I466-O466)*((IF(DAY(E466+1)=1,EOMONTH(E466,H466*D466),EDATE(E466,H466*D466))-AsAt)/365.25+(IF(DAY(E466+1)=1,EOMONTH(E466,(N466-1)*D466),EDATE(E466,(N466-1)*D466))-AsAt)/365.25)/2+O466*('Deal maths'!AA466-AsAt)/365.25)/I466),(S466-AsAt)/365.25)),0))</f>
        <v/>
      </c>
      <c r="Q466" s="109">
        <f>IF(B466=1,'Deal maths'!AA466+ROW()/1000000,"")</f>
        <v/>
      </c>
      <c r="R466" s="108">
        <f>IF(D466=0,0,IF(DAY(E466+1)=1,31,DAY(E466)))</f>
        <v/>
      </c>
      <c r="S466" s="109">
        <f>IF(AND('Deal maths'!V466="LOBO",'Deal maths'!AG466&gt;AsAt,'Deal maths'!AG466&lt;'Deal maths'!AA466),'Deal maths'!AG466,'Deal maths'!AA466)</f>
        <v/>
      </c>
      <c r="T466" s="108">
        <f>('Deal maths'!AA466&gt;AsAt)*('Deal maths'!Y466&gt;0)</f>
        <v/>
      </c>
    </row>
    <row r="467">
      <c r="A467" s="91">
        <f>IF('Deal maths'!V467="","",'Deal maths'!W467)</f>
        <v/>
      </c>
      <c r="B467" s="108">
        <f>('Deal maths'!AA467&gt;AsAt)*('Deal maths'!Y467&gt;0)*('Deal maths'!Z467&lt;=AsAt)</f>
        <v/>
      </c>
      <c r="C467" s="91">
        <f>IF('Deal maths'!V467="","",IF('Deal maths'!AC467="","Maturity",'Deal maths'!AC467))</f>
        <v/>
      </c>
      <c r="D467" s="108">
        <f>IF(OR(C467="EIP",C467="Annuity"),IF('Deal maths'!AD467="Annual",12,IF('Deal maths'!AD467="Quarterly",3,6)),0)</f>
        <v/>
      </c>
      <c r="E467" s="109">
        <f>IFERROR(IF(D467=0,0,IF('Deal maths'!AE467&gt;0,IF('Deal maths'!AE467&gt;'Deal maths'!AA467,'Deal maths'!AA467,'Deal maths'!AE467),IF(IF(DAY('Deal maths'!AA467+1)=1,EOMONTH('Deal maths'!AA467,-(INT(((YEAR('Deal maths'!AA467)-YEAR(IF('Deal maths'!Z467&gt;0,'Deal maths'!Z467,DATE(1990,1,1))))*12+MONTH('Deal maths'!AA467)-MONTH(IF('Deal maths'!Z467&gt;0,'Deal maths'!Z467,DATE(1990,1,1))))/D467))*D467),EDATE('Deal maths'!AA467,-(INT(((YEAR('Deal maths'!AA467)-YEAR(IF('Deal maths'!Z467&gt;0,'Deal maths'!Z467,DATE(1990,1,1))))*12+MONTH('Deal maths'!AA467)-MONTH(IF('Deal maths'!Z467&gt;0,'Deal maths'!Z467,DATE(1990,1,1))))/D467))*D467))&gt;IF('Deal maths'!Z467&gt;0,'Deal maths'!Z467,DATE(1990,1,1)),IF(DAY('Deal maths'!AA467+1)=1,EOMONTH('Deal maths'!AA467,-(INT(((YEAR('Deal maths'!AA467)-YEAR(IF('Deal maths'!Z467&gt;0,'Deal maths'!Z467,DATE(1990,1,1))))*12+MONTH('Deal maths'!AA467)-MONTH(IF('Deal maths'!Z467&gt;0,'Deal maths'!Z467,DATE(1990,1,1))))/D467))*D467),EDATE('Deal maths'!AA467,-(INT(((YEAR('Deal maths'!AA467)-YEAR(IF('Deal maths'!Z467&gt;0,'Deal maths'!Z467,DATE(1990,1,1))))*12+MONTH('Deal maths'!AA467)-MONTH(IF('Deal maths'!Z467&gt;0,'Deal maths'!Z467,DATE(1990,1,1))))/D467))*D467)),IF(DAY('Deal maths'!AA467+1)=1,EOMONTH('Deal maths'!AA467,-(INT(((YEAR('Deal maths'!AA467)-YEAR(IF('Deal maths'!Z467&gt;0,'Deal maths'!Z467,DATE(1990,1,1))))*12+MONTH('Deal maths'!AA467)-MONTH(IF('Deal maths'!Z467&gt;0,'Deal maths'!Z467,DATE(1990,1,1))))/D467)-1)*D467),EDATE('Deal maths'!AA467,-(INT(((YEAR('Deal maths'!AA467)-YEAR(IF('Deal maths'!Z467&gt;0,'Deal maths'!Z467,DATE(1990,1,1))))*12+MONTH('Deal maths'!AA467)-MONTH(IF('Deal maths'!Z467&gt;0,'Deal maths'!Z467,DATE(1990,1,1))))/D467)-1)*D467))))),0)</f>
        <v/>
      </c>
      <c r="F467" s="110">
        <f>IF(D467=0,0,'Deal maths'!AB467*D467/12)</f>
        <v/>
      </c>
      <c r="G467" s="108">
        <f>N467+O467</f>
        <v/>
      </c>
      <c r="H467" s="108">
        <f>IFERROR(IF(OR(D467=0,AsAt&lt;E467),0,MIN(N467,INT(((YEAR(AsAt)-YEAR(E467))*12+MONTH(AsAt)-MONTH(E467)-(DAY(AsAt)&lt;MIN(R467,DAY(EOMONTH(AsAt,0)))))/D467)+1)+O467*(AsAt&gt;='Deal maths'!AA467)),0)</f>
        <v/>
      </c>
      <c r="I467" s="108">
        <f>G467-H467</f>
        <v/>
      </c>
      <c r="J467" s="111">
        <f>IF(AND(C467="EIP",I467&gt;0),'Deal maths'!Y467/I467,0)</f>
        <v/>
      </c>
      <c r="K467" s="111">
        <f>IF(AND(C467="Annuity",I467&gt;0),IF(F467&gt;0,'Deal maths'!Y467*F467/(1-(1+F467)^-I467),'Deal maths'!Y467/I467),0)</f>
        <v/>
      </c>
      <c r="L467" s="111">
        <f>IF('Deal maths'!Y467="",0,'Deal maths'!Y467)</f>
        <v/>
      </c>
      <c r="M467" s="112">
        <f>F467+(F467=0)</f>
        <v/>
      </c>
      <c r="N467" s="108">
        <f>IFERROR(IF(D467=0,0,INT(((YEAR('Deal maths'!AA467)-YEAR(E467))*12+MONTH('Deal maths'!AA467)-MONTH(E467)-(DAY('Deal maths'!AA467)&lt;MIN(R467,DAY(EOMONTH('Deal maths'!AA467,0)))))/D467)+1),0)</f>
        <v/>
      </c>
      <c r="O467" s="108">
        <f>IFERROR(IF(D467=0,0,IF(IF(DAY(E467+1)=1,EOMONTH(E467,(N467-1)*D467),EDATE(E467,(N467-1)*D467))='Deal maths'!AA467,0,1)),0)</f>
        <v/>
      </c>
      <c r="P467" s="113">
        <f>IF(B467=0,0,IFERROR(IF(C467="EIP",((I467-O467)*((IF(DAY(E467+1)=1,EOMONTH(E467,H467*D467),EDATE(E467,H467*D467))-AsAt)/365.25+(IF(DAY(E467+1)=1,EOMONTH(E467,(N467-1)*D467),EDATE(E467,(N467-1)*D467))-AsAt)/365.25)/2+O467*('Deal maths'!AA467-AsAt)/365.25)/I467,IF(C467="Annuity",IF(F467&gt;0,((K467-L467*F467)*((IF(DAY(E467+1)=1,EOMONTH(E467,H467*D467),EDATE(E467,H467*D467))-AsAt)/365.25*((1+F467)^(I467-O467)-1)/F467+IF((I467-O467)&gt;1,((IF(DAY(E467+1)=1,EOMONTH(E467,(N467-1)*D467),EDATE(E467,(N467-1)*D467))-AsAt)/365.25-(IF(DAY(E467+1)=1,EOMONTH(E467,H467*D467),EDATE(E467,H467*D467))-AsAt)/365.25)/((I467-O467)-1),0)*(1+F467)*(1-(I467-O467)*(1+F467)^((I467-O467)-1)+((I467-O467)-1)*(1+F467)^(I467-O467))/F467^2)+O467*(K467-L467*F467)*(1+F467)^(I467-1)*('Deal maths'!AA467-AsAt)/365.25)/L467,((I467-O467)*((IF(DAY(E467+1)=1,EOMONTH(E467,H467*D467),EDATE(E467,H467*D467))-AsAt)/365.25+(IF(DAY(E467+1)=1,EOMONTH(E467,(N467-1)*D467),EDATE(E467,(N467-1)*D467))-AsAt)/365.25)/2+O467*('Deal maths'!AA467-AsAt)/365.25)/I467),(S467-AsAt)/365.25)),0))</f>
        <v/>
      </c>
      <c r="Q467" s="109">
        <f>IF(B467=1,'Deal maths'!AA467+ROW()/1000000,"")</f>
        <v/>
      </c>
      <c r="R467" s="108">
        <f>IF(D467=0,0,IF(DAY(E467+1)=1,31,DAY(E467)))</f>
        <v/>
      </c>
      <c r="S467" s="109">
        <f>IF(AND('Deal maths'!V467="LOBO",'Deal maths'!AG467&gt;AsAt,'Deal maths'!AG467&lt;'Deal maths'!AA467),'Deal maths'!AG467,'Deal maths'!AA467)</f>
        <v/>
      </c>
      <c r="T467" s="108">
        <f>('Deal maths'!AA467&gt;AsAt)*('Deal maths'!Y467&gt;0)</f>
        <v/>
      </c>
    </row>
    <row r="468">
      <c r="A468" s="91">
        <f>IF('Deal maths'!V468="","",'Deal maths'!W468)</f>
        <v/>
      </c>
      <c r="B468" s="108">
        <f>('Deal maths'!AA468&gt;AsAt)*('Deal maths'!Y468&gt;0)*('Deal maths'!Z468&lt;=AsAt)</f>
        <v/>
      </c>
      <c r="C468" s="91">
        <f>IF('Deal maths'!V468="","",IF('Deal maths'!AC468="","Maturity",'Deal maths'!AC468))</f>
        <v/>
      </c>
      <c r="D468" s="108">
        <f>IF(OR(C468="EIP",C468="Annuity"),IF('Deal maths'!AD468="Annual",12,IF('Deal maths'!AD468="Quarterly",3,6)),0)</f>
        <v/>
      </c>
      <c r="E468" s="109">
        <f>IFERROR(IF(D468=0,0,IF('Deal maths'!AE468&gt;0,IF('Deal maths'!AE468&gt;'Deal maths'!AA468,'Deal maths'!AA468,'Deal maths'!AE468),IF(IF(DAY('Deal maths'!AA468+1)=1,EOMONTH('Deal maths'!AA468,-(INT(((YEAR('Deal maths'!AA468)-YEAR(IF('Deal maths'!Z468&gt;0,'Deal maths'!Z468,DATE(1990,1,1))))*12+MONTH('Deal maths'!AA468)-MONTH(IF('Deal maths'!Z468&gt;0,'Deal maths'!Z468,DATE(1990,1,1))))/D468))*D468),EDATE('Deal maths'!AA468,-(INT(((YEAR('Deal maths'!AA468)-YEAR(IF('Deal maths'!Z468&gt;0,'Deal maths'!Z468,DATE(1990,1,1))))*12+MONTH('Deal maths'!AA468)-MONTH(IF('Deal maths'!Z468&gt;0,'Deal maths'!Z468,DATE(1990,1,1))))/D468))*D468))&gt;IF('Deal maths'!Z468&gt;0,'Deal maths'!Z468,DATE(1990,1,1)),IF(DAY('Deal maths'!AA468+1)=1,EOMONTH('Deal maths'!AA468,-(INT(((YEAR('Deal maths'!AA468)-YEAR(IF('Deal maths'!Z468&gt;0,'Deal maths'!Z468,DATE(1990,1,1))))*12+MONTH('Deal maths'!AA468)-MONTH(IF('Deal maths'!Z468&gt;0,'Deal maths'!Z468,DATE(1990,1,1))))/D468))*D468),EDATE('Deal maths'!AA468,-(INT(((YEAR('Deal maths'!AA468)-YEAR(IF('Deal maths'!Z468&gt;0,'Deal maths'!Z468,DATE(1990,1,1))))*12+MONTH('Deal maths'!AA468)-MONTH(IF('Deal maths'!Z468&gt;0,'Deal maths'!Z468,DATE(1990,1,1))))/D468))*D468)),IF(DAY('Deal maths'!AA468+1)=1,EOMONTH('Deal maths'!AA468,-(INT(((YEAR('Deal maths'!AA468)-YEAR(IF('Deal maths'!Z468&gt;0,'Deal maths'!Z468,DATE(1990,1,1))))*12+MONTH('Deal maths'!AA468)-MONTH(IF('Deal maths'!Z468&gt;0,'Deal maths'!Z468,DATE(1990,1,1))))/D468)-1)*D468),EDATE('Deal maths'!AA468,-(INT(((YEAR('Deal maths'!AA468)-YEAR(IF('Deal maths'!Z468&gt;0,'Deal maths'!Z468,DATE(1990,1,1))))*12+MONTH('Deal maths'!AA468)-MONTH(IF('Deal maths'!Z468&gt;0,'Deal maths'!Z468,DATE(1990,1,1))))/D468)-1)*D468))))),0)</f>
        <v/>
      </c>
      <c r="F468" s="110">
        <f>IF(D468=0,0,'Deal maths'!AB468*D468/12)</f>
        <v/>
      </c>
      <c r="G468" s="108">
        <f>N468+O468</f>
        <v/>
      </c>
      <c r="H468" s="108">
        <f>IFERROR(IF(OR(D468=0,AsAt&lt;E468),0,MIN(N468,INT(((YEAR(AsAt)-YEAR(E468))*12+MONTH(AsAt)-MONTH(E468)-(DAY(AsAt)&lt;MIN(R468,DAY(EOMONTH(AsAt,0)))))/D468)+1)+O468*(AsAt&gt;='Deal maths'!AA468)),0)</f>
        <v/>
      </c>
      <c r="I468" s="108">
        <f>G468-H468</f>
        <v/>
      </c>
      <c r="J468" s="111">
        <f>IF(AND(C468="EIP",I468&gt;0),'Deal maths'!Y468/I468,0)</f>
        <v/>
      </c>
      <c r="K468" s="111">
        <f>IF(AND(C468="Annuity",I468&gt;0),IF(F468&gt;0,'Deal maths'!Y468*F468/(1-(1+F468)^-I468),'Deal maths'!Y468/I468),0)</f>
        <v/>
      </c>
      <c r="L468" s="111">
        <f>IF('Deal maths'!Y468="",0,'Deal maths'!Y468)</f>
        <v/>
      </c>
      <c r="M468" s="112">
        <f>F468+(F468=0)</f>
        <v/>
      </c>
      <c r="N468" s="108">
        <f>IFERROR(IF(D468=0,0,INT(((YEAR('Deal maths'!AA468)-YEAR(E468))*12+MONTH('Deal maths'!AA468)-MONTH(E468)-(DAY('Deal maths'!AA468)&lt;MIN(R468,DAY(EOMONTH('Deal maths'!AA468,0)))))/D468)+1),0)</f>
        <v/>
      </c>
      <c r="O468" s="108">
        <f>IFERROR(IF(D468=0,0,IF(IF(DAY(E468+1)=1,EOMONTH(E468,(N468-1)*D468),EDATE(E468,(N468-1)*D468))='Deal maths'!AA468,0,1)),0)</f>
        <v/>
      </c>
      <c r="P468" s="113">
        <f>IF(B468=0,0,IFERROR(IF(C468="EIP",((I468-O468)*((IF(DAY(E468+1)=1,EOMONTH(E468,H468*D468),EDATE(E468,H468*D468))-AsAt)/365.25+(IF(DAY(E468+1)=1,EOMONTH(E468,(N468-1)*D468),EDATE(E468,(N468-1)*D468))-AsAt)/365.25)/2+O468*('Deal maths'!AA468-AsAt)/365.25)/I468,IF(C468="Annuity",IF(F468&gt;0,((K468-L468*F468)*((IF(DAY(E468+1)=1,EOMONTH(E468,H468*D468),EDATE(E468,H468*D468))-AsAt)/365.25*((1+F468)^(I468-O468)-1)/F468+IF((I468-O468)&gt;1,((IF(DAY(E468+1)=1,EOMONTH(E468,(N468-1)*D468),EDATE(E468,(N468-1)*D468))-AsAt)/365.25-(IF(DAY(E468+1)=1,EOMONTH(E468,H468*D468),EDATE(E468,H468*D468))-AsAt)/365.25)/((I468-O468)-1),0)*(1+F468)*(1-(I468-O468)*(1+F468)^((I468-O468)-1)+((I468-O468)-1)*(1+F468)^(I468-O468))/F468^2)+O468*(K468-L468*F468)*(1+F468)^(I468-1)*('Deal maths'!AA468-AsAt)/365.25)/L468,((I468-O468)*((IF(DAY(E468+1)=1,EOMONTH(E468,H468*D468),EDATE(E468,H468*D468))-AsAt)/365.25+(IF(DAY(E468+1)=1,EOMONTH(E468,(N468-1)*D468),EDATE(E468,(N468-1)*D468))-AsAt)/365.25)/2+O468*('Deal maths'!AA468-AsAt)/365.25)/I468),(S468-AsAt)/365.25)),0))</f>
        <v/>
      </c>
      <c r="Q468" s="109">
        <f>IF(B468=1,'Deal maths'!AA468+ROW()/1000000,"")</f>
        <v/>
      </c>
      <c r="R468" s="108">
        <f>IF(D468=0,0,IF(DAY(E468+1)=1,31,DAY(E468)))</f>
        <v/>
      </c>
      <c r="S468" s="109">
        <f>IF(AND('Deal maths'!V468="LOBO",'Deal maths'!AG468&gt;AsAt,'Deal maths'!AG468&lt;'Deal maths'!AA468),'Deal maths'!AG468,'Deal maths'!AA468)</f>
        <v/>
      </c>
      <c r="T468" s="108">
        <f>('Deal maths'!AA468&gt;AsAt)*('Deal maths'!Y468&gt;0)</f>
        <v/>
      </c>
    </row>
    <row r="469">
      <c r="A469" s="91">
        <f>IF('Deal maths'!V469="","",'Deal maths'!W469)</f>
        <v/>
      </c>
      <c r="B469" s="108">
        <f>('Deal maths'!AA469&gt;AsAt)*('Deal maths'!Y469&gt;0)*('Deal maths'!Z469&lt;=AsAt)</f>
        <v/>
      </c>
      <c r="C469" s="91">
        <f>IF('Deal maths'!V469="","",IF('Deal maths'!AC469="","Maturity",'Deal maths'!AC469))</f>
        <v/>
      </c>
      <c r="D469" s="108">
        <f>IF(OR(C469="EIP",C469="Annuity"),IF('Deal maths'!AD469="Annual",12,IF('Deal maths'!AD469="Quarterly",3,6)),0)</f>
        <v/>
      </c>
      <c r="E469" s="109">
        <f>IFERROR(IF(D469=0,0,IF('Deal maths'!AE469&gt;0,IF('Deal maths'!AE469&gt;'Deal maths'!AA469,'Deal maths'!AA469,'Deal maths'!AE469),IF(IF(DAY('Deal maths'!AA469+1)=1,EOMONTH('Deal maths'!AA469,-(INT(((YEAR('Deal maths'!AA469)-YEAR(IF('Deal maths'!Z469&gt;0,'Deal maths'!Z469,DATE(1990,1,1))))*12+MONTH('Deal maths'!AA469)-MONTH(IF('Deal maths'!Z469&gt;0,'Deal maths'!Z469,DATE(1990,1,1))))/D469))*D469),EDATE('Deal maths'!AA469,-(INT(((YEAR('Deal maths'!AA469)-YEAR(IF('Deal maths'!Z469&gt;0,'Deal maths'!Z469,DATE(1990,1,1))))*12+MONTH('Deal maths'!AA469)-MONTH(IF('Deal maths'!Z469&gt;0,'Deal maths'!Z469,DATE(1990,1,1))))/D469))*D469))&gt;IF('Deal maths'!Z469&gt;0,'Deal maths'!Z469,DATE(1990,1,1)),IF(DAY('Deal maths'!AA469+1)=1,EOMONTH('Deal maths'!AA469,-(INT(((YEAR('Deal maths'!AA469)-YEAR(IF('Deal maths'!Z469&gt;0,'Deal maths'!Z469,DATE(1990,1,1))))*12+MONTH('Deal maths'!AA469)-MONTH(IF('Deal maths'!Z469&gt;0,'Deal maths'!Z469,DATE(1990,1,1))))/D469))*D469),EDATE('Deal maths'!AA469,-(INT(((YEAR('Deal maths'!AA469)-YEAR(IF('Deal maths'!Z469&gt;0,'Deal maths'!Z469,DATE(1990,1,1))))*12+MONTH('Deal maths'!AA469)-MONTH(IF('Deal maths'!Z469&gt;0,'Deal maths'!Z469,DATE(1990,1,1))))/D469))*D469)),IF(DAY('Deal maths'!AA469+1)=1,EOMONTH('Deal maths'!AA469,-(INT(((YEAR('Deal maths'!AA469)-YEAR(IF('Deal maths'!Z469&gt;0,'Deal maths'!Z469,DATE(1990,1,1))))*12+MONTH('Deal maths'!AA469)-MONTH(IF('Deal maths'!Z469&gt;0,'Deal maths'!Z469,DATE(1990,1,1))))/D469)-1)*D469),EDATE('Deal maths'!AA469,-(INT(((YEAR('Deal maths'!AA469)-YEAR(IF('Deal maths'!Z469&gt;0,'Deal maths'!Z469,DATE(1990,1,1))))*12+MONTH('Deal maths'!AA469)-MONTH(IF('Deal maths'!Z469&gt;0,'Deal maths'!Z469,DATE(1990,1,1))))/D469)-1)*D469))))),0)</f>
        <v/>
      </c>
      <c r="F469" s="110">
        <f>IF(D469=0,0,'Deal maths'!AB469*D469/12)</f>
        <v/>
      </c>
      <c r="G469" s="108">
        <f>N469+O469</f>
        <v/>
      </c>
      <c r="H469" s="108">
        <f>IFERROR(IF(OR(D469=0,AsAt&lt;E469),0,MIN(N469,INT(((YEAR(AsAt)-YEAR(E469))*12+MONTH(AsAt)-MONTH(E469)-(DAY(AsAt)&lt;MIN(R469,DAY(EOMONTH(AsAt,0)))))/D469)+1)+O469*(AsAt&gt;='Deal maths'!AA469)),0)</f>
        <v/>
      </c>
      <c r="I469" s="108">
        <f>G469-H469</f>
        <v/>
      </c>
      <c r="J469" s="111">
        <f>IF(AND(C469="EIP",I469&gt;0),'Deal maths'!Y469/I469,0)</f>
        <v/>
      </c>
      <c r="K469" s="111">
        <f>IF(AND(C469="Annuity",I469&gt;0),IF(F469&gt;0,'Deal maths'!Y469*F469/(1-(1+F469)^-I469),'Deal maths'!Y469/I469),0)</f>
        <v/>
      </c>
      <c r="L469" s="111">
        <f>IF('Deal maths'!Y469="",0,'Deal maths'!Y469)</f>
        <v/>
      </c>
      <c r="M469" s="112">
        <f>F469+(F469=0)</f>
        <v/>
      </c>
      <c r="N469" s="108">
        <f>IFERROR(IF(D469=0,0,INT(((YEAR('Deal maths'!AA469)-YEAR(E469))*12+MONTH('Deal maths'!AA469)-MONTH(E469)-(DAY('Deal maths'!AA469)&lt;MIN(R469,DAY(EOMONTH('Deal maths'!AA469,0)))))/D469)+1),0)</f>
        <v/>
      </c>
      <c r="O469" s="108">
        <f>IFERROR(IF(D469=0,0,IF(IF(DAY(E469+1)=1,EOMONTH(E469,(N469-1)*D469),EDATE(E469,(N469-1)*D469))='Deal maths'!AA469,0,1)),0)</f>
        <v/>
      </c>
      <c r="P469" s="113">
        <f>IF(B469=0,0,IFERROR(IF(C469="EIP",((I469-O469)*((IF(DAY(E469+1)=1,EOMONTH(E469,H469*D469),EDATE(E469,H469*D469))-AsAt)/365.25+(IF(DAY(E469+1)=1,EOMONTH(E469,(N469-1)*D469),EDATE(E469,(N469-1)*D469))-AsAt)/365.25)/2+O469*('Deal maths'!AA469-AsAt)/365.25)/I469,IF(C469="Annuity",IF(F469&gt;0,((K469-L469*F469)*((IF(DAY(E469+1)=1,EOMONTH(E469,H469*D469),EDATE(E469,H469*D469))-AsAt)/365.25*((1+F469)^(I469-O469)-1)/F469+IF((I469-O469)&gt;1,((IF(DAY(E469+1)=1,EOMONTH(E469,(N469-1)*D469),EDATE(E469,(N469-1)*D469))-AsAt)/365.25-(IF(DAY(E469+1)=1,EOMONTH(E469,H469*D469),EDATE(E469,H469*D469))-AsAt)/365.25)/((I469-O469)-1),0)*(1+F469)*(1-(I469-O469)*(1+F469)^((I469-O469)-1)+((I469-O469)-1)*(1+F469)^(I469-O469))/F469^2)+O469*(K469-L469*F469)*(1+F469)^(I469-1)*('Deal maths'!AA469-AsAt)/365.25)/L469,((I469-O469)*((IF(DAY(E469+1)=1,EOMONTH(E469,H469*D469),EDATE(E469,H469*D469))-AsAt)/365.25+(IF(DAY(E469+1)=1,EOMONTH(E469,(N469-1)*D469),EDATE(E469,(N469-1)*D469))-AsAt)/365.25)/2+O469*('Deal maths'!AA469-AsAt)/365.25)/I469),(S469-AsAt)/365.25)),0))</f>
        <v/>
      </c>
      <c r="Q469" s="109">
        <f>IF(B469=1,'Deal maths'!AA469+ROW()/1000000,"")</f>
        <v/>
      </c>
      <c r="R469" s="108">
        <f>IF(D469=0,0,IF(DAY(E469+1)=1,31,DAY(E469)))</f>
        <v/>
      </c>
      <c r="S469" s="109">
        <f>IF(AND('Deal maths'!V469="LOBO",'Deal maths'!AG469&gt;AsAt,'Deal maths'!AG469&lt;'Deal maths'!AA469),'Deal maths'!AG469,'Deal maths'!AA469)</f>
        <v/>
      </c>
      <c r="T469" s="108">
        <f>('Deal maths'!AA469&gt;AsAt)*('Deal maths'!Y469&gt;0)</f>
        <v/>
      </c>
    </row>
    <row r="470">
      <c r="A470" s="91">
        <f>IF('Deal maths'!V470="","",'Deal maths'!W470)</f>
        <v/>
      </c>
      <c r="B470" s="108">
        <f>('Deal maths'!AA470&gt;AsAt)*('Deal maths'!Y470&gt;0)*('Deal maths'!Z470&lt;=AsAt)</f>
        <v/>
      </c>
      <c r="C470" s="91">
        <f>IF('Deal maths'!V470="","",IF('Deal maths'!AC470="","Maturity",'Deal maths'!AC470))</f>
        <v/>
      </c>
      <c r="D470" s="108">
        <f>IF(OR(C470="EIP",C470="Annuity"),IF('Deal maths'!AD470="Annual",12,IF('Deal maths'!AD470="Quarterly",3,6)),0)</f>
        <v/>
      </c>
      <c r="E470" s="109">
        <f>IFERROR(IF(D470=0,0,IF('Deal maths'!AE470&gt;0,IF('Deal maths'!AE470&gt;'Deal maths'!AA470,'Deal maths'!AA470,'Deal maths'!AE470),IF(IF(DAY('Deal maths'!AA470+1)=1,EOMONTH('Deal maths'!AA470,-(INT(((YEAR('Deal maths'!AA470)-YEAR(IF('Deal maths'!Z470&gt;0,'Deal maths'!Z470,DATE(1990,1,1))))*12+MONTH('Deal maths'!AA470)-MONTH(IF('Deal maths'!Z470&gt;0,'Deal maths'!Z470,DATE(1990,1,1))))/D470))*D470),EDATE('Deal maths'!AA470,-(INT(((YEAR('Deal maths'!AA470)-YEAR(IF('Deal maths'!Z470&gt;0,'Deal maths'!Z470,DATE(1990,1,1))))*12+MONTH('Deal maths'!AA470)-MONTH(IF('Deal maths'!Z470&gt;0,'Deal maths'!Z470,DATE(1990,1,1))))/D470))*D470))&gt;IF('Deal maths'!Z470&gt;0,'Deal maths'!Z470,DATE(1990,1,1)),IF(DAY('Deal maths'!AA470+1)=1,EOMONTH('Deal maths'!AA470,-(INT(((YEAR('Deal maths'!AA470)-YEAR(IF('Deal maths'!Z470&gt;0,'Deal maths'!Z470,DATE(1990,1,1))))*12+MONTH('Deal maths'!AA470)-MONTH(IF('Deal maths'!Z470&gt;0,'Deal maths'!Z470,DATE(1990,1,1))))/D470))*D470),EDATE('Deal maths'!AA470,-(INT(((YEAR('Deal maths'!AA470)-YEAR(IF('Deal maths'!Z470&gt;0,'Deal maths'!Z470,DATE(1990,1,1))))*12+MONTH('Deal maths'!AA470)-MONTH(IF('Deal maths'!Z470&gt;0,'Deal maths'!Z470,DATE(1990,1,1))))/D470))*D470)),IF(DAY('Deal maths'!AA470+1)=1,EOMONTH('Deal maths'!AA470,-(INT(((YEAR('Deal maths'!AA470)-YEAR(IF('Deal maths'!Z470&gt;0,'Deal maths'!Z470,DATE(1990,1,1))))*12+MONTH('Deal maths'!AA470)-MONTH(IF('Deal maths'!Z470&gt;0,'Deal maths'!Z470,DATE(1990,1,1))))/D470)-1)*D470),EDATE('Deal maths'!AA470,-(INT(((YEAR('Deal maths'!AA470)-YEAR(IF('Deal maths'!Z470&gt;0,'Deal maths'!Z470,DATE(1990,1,1))))*12+MONTH('Deal maths'!AA470)-MONTH(IF('Deal maths'!Z470&gt;0,'Deal maths'!Z470,DATE(1990,1,1))))/D470)-1)*D470))))),0)</f>
        <v/>
      </c>
      <c r="F470" s="110">
        <f>IF(D470=0,0,'Deal maths'!AB470*D470/12)</f>
        <v/>
      </c>
      <c r="G470" s="108">
        <f>N470+O470</f>
        <v/>
      </c>
      <c r="H470" s="108">
        <f>IFERROR(IF(OR(D470=0,AsAt&lt;E470),0,MIN(N470,INT(((YEAR(AsAt)-YEAR(E470))*12+MONTH(AsAt)-MONTH(E470)-(DAY(AsAt)&lt;MIN(R470,DAY(EOMONTH(AsAt,0)))))/D470)+1)+O470*(AsAt&gt;='Deal maths'!AA470)),0)</f>
        <v/>
      </c>
      <c r="I470" s="108">
        <f>G470-H470</f>
        <v/>
      </c>
      <c r="J470" s="111">
        <f>IF(AND(C470="EIP",I470&gt;0),'Deal maths'!Y470/I470,0)</f>
        <v/>
      </c>
      <c r="K470" s="111">
        <f>IF(AND(C470="Annuity",I470&gt;0),IF(F470&gt;0,'Deal maths'!Y470*F470/(1-(1+F470)^-I470),'Deal maths'!Y470/I470),0)</f>
        <v/>
      </c>
      <c r="L470" s="111">
        <f>IF('Deal maths'!Y470="",0,'Deal maths'!Y470)</f>
        <v/>
      </c>
      <c r="M470" s="112">
        <f>F470+(F470=0)</f>
        <v/>
      </c>
      <c r="N470" s="108">
        <f>IFERROR(IF(D470=0,0,INT(((YEAR('Deal maths'!AA470)-YEAR(E470))*12+MONTH('Deal maths'!AA470)-MONTH(E470)-(DAY('Deal maths'!AA470)&lt;MIN(R470,DAY(EOMONTH('Deal maths'!AA470,0)))))/D470)+1),0)</f>
        <v/>
      </c>
      <c r="O470" s="108">
        <f>IFERROR(IF(D470=0,0,IF(IF(DAY(E470+1)=1,EOMONTH(E470,(N470-1)*D470),EDATE(E470,(N470-1)*D470))='Deal maths'!AA470,0,1)),0)</f>
        <v/>
      </c>
      <c r="P470" s="113">
        <f>IF(B470=0,0,IFERROR(IF(C470="EIP",((I470-O470)*((IF(DAY(E470+1)=1,EOMONTH(E470,H470*D470),EDATE(E470,H470*D470))-AsAt)/365.25+(IF(DAY(E470+1)=1,EOMONTH(E470,(N470-1)*D470),EDATE(E470,(N470-1)*D470))-AsAt)/365.25)/2+O470*('Deal maths'!AA470-AsAt)/365.25)/I470,IF(C470="Annuity",IF(F470&gt;0,((K470-L470*F470)*((IF(DAY(E470+1)=1,EOMONTH(E470,H470*D470),EDATE(E470,H470*D470))-AsAt)/365.25*((1+F470)^(I470-O470)-1)/F470+IF((I470-O470)&gt;1,((IF(DAY(E470+1)=1,EOMONTH(E470,(N470-1)*D470),EDATE(E470,(N470-1)*D470))-AsAt)/365.25-(IF(DAY(E470+1)=1,EOMONTH(E470,H470*D470),EDATE(E470,H470*D470))-AsAt)/365.25)/((I470-O470)-1),0)*(1+F470)*(1-(I470-O470)*(1+F470)^((I470-O470)-1)+((I470-O470)-1)*(1+F470)^(I470-O470))/F470^2)+O470*(K470-L470*F470)*(1+F470)^(I470-1)*('Deal maths'!AA470-AsAt)/365.25)/L470,((I470-O470)*((IF(DAY(E470+1)=1,EOMONTH(E470,H470*D470),EDATE(E470,H470*D470))-AsAt)/365.25+(IF(DAY(E470+1)=1,EOMONTH(E470,(N470-1)*D470),EDATE(E470,(N470-1)*D470))-AsAt)/365.25)/2+O470*('Deal maths'!AA470-AsAt)/365.25)/I470),(S470-AsAt)/365.25)),0))</f>
        <v/>
      </c>
      <c r="Q470" s="109">
        <f>IF(B470=1,'Deal maths'!AA470+ROW()/1000000,"")</f>
        <v/>
      </c>
      <c r="R470" s="108">
        <f>IF(D470=0,0,IF(DAY(E470+1)=1,31,DAY(E470)))</f>
        <v/>
      </c>
      <c r="S470" s="109">
        <f>IF(AND('Deal maths'!V470="LOBO",'Deal maths'!AG470&gt;AsAt,'Deal maths'!AG470&lt;'Deal maths'!AA470),'Deal maths'!AG470,'Deal maths'!AA470)</f>
        <v/>
      </c>
      <c r="T470" s="108">
        <f>('Deal maths'!AA470&gt;AsAt)*('Deal maths'!Y470&gt;0)</f>
        <v/>
      </c>
    </row>
    <row r="471">
      <c r="A471" s="91">
        <f>IF('Deal maths'!V471="","",'Deal maths'!W471)</f>
        <v/>
      </c>
      <c r="B471" s="108">
        <f>('Deal maths'!AA471&gt;AsAt)*('Deal maths'!Y471&gt;0)*('Deal maths'!Z471&lt;=AsAt)</f>
        <v/>
      </c>
      <c r="C471" s="91">
        <f>IF('Deal maths'!V471="","",IF('Deal maths'!AC471="","Maturity",'Deal maths'!AC471))</f>
        <v/>
      </c>
      <c r="D471" s="108">
        <f>IF(OR(C471="EIP",C471="Annuity"),IF('Deal maths'!AD471="Annual",12,IF('Deal maths'!AD471="Quarterly",3,6)),0)</f>
        <v/>
      </c>
      <c r="E471" s="109">
        <f>IFERROR(IF(D471=0,0,IF('Deal maths'!AE471&gt;0,IF('Deal maths'!AE471&gt;'Deal maths'!AA471,'Deal maths'!AA471,'Deal maths'!AE471),IF(IF(DAY('Deal maths'!AA471+1)=1,EOMONTH('Deal maths'!AA471,-(INT(((YEAR('Deal maths'!AA471)-YEAR(IF('Deal maths'!Z471&gt;0,'Deal maths'!Z471,DATE(1990,1,1))))*12+MONTH('Deal maths'!AA471)-MONTH(IF('Deal maths'!Z471&gt;0,'Deal maths'!Z471,DATE(1990,1,1))))/D471))*D471),EDATE('Deal maths'!AA471,-(INT(((YEAR('Deal maths'!AA471)-YEAR(IF('Deal maths'!Z471&gt;0,'Deal maths'!Z471,DATE(1990,1,1))))*12+MONTH('Deal maths'!AA471)-MONTH(IF('Deal maths'!Z471&gt;0,'Deal maths'!Z471,DATE(1990,1,1))))/D471))*D471))&gt;IF('Deal maths'!Z471&gt;0,'Deal maths'!Z471,DATE(1990,1,1)),IF(DAY('Deal maths'!AA471+1)=1,EOMONTH('Deal maths'!AA471,-(INT(((YEAR('Deal maths'!AA471)-YEAR(IF('Deal maths'!Z471&gt;0,'Deal maths'!Z471,DATE(1990,1,1))))*12+MONTH('Deal maths'!AA471)-MONTH(IF('Deal maths'!Z471&gt;0,'Deal maths'!Z471,DATE(1990,1,1))))/D471))*D471),EDATE('Deal maths'!AA471,-(INT(((YEAR('Deal maths'!AA471)-YEAR(IF('Deal maths'!Z471&gt;0,'Deal maths'!Z471,DATE(1990,1,1))))*12+MONTH('Deal maths'!AA471)-MONTH(IF('Deal maths'!Z471&gt;0,'Deal maths'!Z471,DATE(1990,1,1))))/D471))*D471)),IF(DAY('Deal maths'!AA471+1)=1,EOMONTH('Deal maths'!AA471,-(INT(((YEAR('Deal maths'!AA471)-YEAR(IF('Deal maths'!Z471&gt;0,'Deal maths'!Z471,DATE(1990,1,1))))*12+MONTH('Deal maths'!AA471)-MONTH(IF('Deal maths'!Z471&gt;0,'Deal maths'!Z471,DATE(1990,1,1))))/D471)-1)*D471),EDATE('Deal maths'!AA471,-(INT(((YEAR('Deal maths'!AA471)-YEAR(IF('Deal maths'!Z471&gt;0,'Deal maths'!Z471,DATE(1990,1,1))))*12+MONTH('Deal maths'!AA471)-MONTH(IF('Deal maths'!Z471&gt;0,'Deal maths'!Z471,DATE(1990,1,1))))/D471)-1)*D471))))),0)</f>
        <v/>
      </c>
      <c r="F471" s="110">
        <f>IF(D471=0,0,'Deal maths'!AB471*D471/12)</f>
        <v/>
      </c>
      <c r="G471" s="108">
        <f>N471+O471</f>
        <v/>
      </c>
      <c r="H471" s="108">
        <f>IFERROR(IF(OR(D471=0,AsAt&lt;E471),0,MIN(N471,INT(((YEAR(AsAt)-YEAR(E471))*12+MONTH(AsAt)-MONTH(E471)-(DAY(AsAt)&lt;MIN(R471,DAY(EOMONTH(AsAt,0)))))/D471)+1)+O471*(AsAt&gt;='Deal maths'!AA471)),0)</f>
        <v/>
      </c>
      <c r="I471" s="108">
        <f>G471-H471</f>
        <v/>
      </c>
      <c r="J471" s="111">
        <f>IF(AND(C471="EIP",I471&gt;0),'Deal maths'!Y471/I471,0)</f>
        <v/>
      </c>
      <c r="K471" s="111">
        <f>IF(AND(C471="Annuity",I471&gt;0),IF(F471&gt;0,'Deal maths'!Y471*F471/(1-(1+F471)^-I471),'Deal maths'!Y471/I471),0)</f>
        <v/>
      </c>
      <c r="L471" s="111">
        <f>IF('Deal maths'!Y471="",0,'Deal maths'!Y471)</f>
        <v/>
      </c>
      <c r="M471" s="112">
        <f>F471+(F471=0)</f>
        <v/>
      </c>
      <c r="N471" s="108">
        <f>IFERROR(IF(D471=0,0,INT(((YEAR('Deal maths'!AA471)-YEAR(E471))*12+MONTH('Deal maths'!AA471)-MONTH(E471)-(DAY('Deal maths'!AA471)&lt;MIN(R471,DAY(EOMONTH('Deal maths'!AA471,0)))))/D471)+1),0)</f>
        <v/>
      </c>
      <c r="O471" s="108">
        <f>IFERROR(IF(D471=0,0,IF(IF(DAY(E471+1)=1,EOMONTH(E471,(N471-1)*D471),EDATE(E471,(N471-1)*D471))='Deal maths'!AA471,0,1)),0)</f>
        <v/>
      </c>
      <c r="P471" s="113">
        <f>IF(B471=0,0,IFERROR(IF(C471="EIP",((I471-O471)*((IF(DAY(E471+1)=1,EOMONTH(E471,H471*D471),EDATE(E471,H471*D471))-AsAt)/365.25+(IF(DAY(E471+1)=1,EOMONTH(E471,(N471-1)*D471),EDATE(E471,(N471-1)*D471))-AsAt)/365.25)/2+O471*('Deal maths'!AA471-AsAt)/365.25)/I471,IF(C471="Annuity",IF(F471&gt;0,((K471-L471*F471)*((IF(DAY(E471+1)=1,EOMONTH(E471,H471*D471),EDATE(E471,H471*D471))-AsAt)/365.25*((1+F471)^(I471-O471)-1)/F471+IF((I471-O471)&gt;1,((IF(DAY(E471+1)=1,EOMONTH(E471,(N471-1)*D471),EDATE(E471,(N471-1)*D471))-AsAt)/365.25-(IF(DAY(E471+1)=1,EOMONTH(E471,H471*D471),EDATE(E471,H471*D471))-AsAt)/365.25)/((I471-O471)-1),0)*(1+F471)*(1-(I471-O471)*(1+F471)^((I471-O471)-1)+((I471-O471)-1)*(1+F471)^(I471-O471))/F471^2)+O471*(K471-L471*F471)*(1+F471)^(I471-1)*('Deal maths'!AA471-AsAt)/365.25)/L471,((I471-O471)*((IF(DAY(E471+1)=1,EOMONTH(E471,H471*D471),EDATE(E471,H471*D471))-AsAt)/365.25+(IF(DAY(E471+1)=1,EOMONTH(E471,(N471-1)*D471),EDATE(E471,(N471-1)*D471))-AsAt)/365.25)/2+O471*('Deal maths'!AA471-AsAt)/365.25)/I471),(S471-AsAt)/365.25)),0))</f>
        <v/>
      </c>
      <c r="Q471" s="109">
        <f>IF(B471=1,'Deal maths'!AA471+ROW()/1000000,"")</f>
        <v/>
      </c>
      <c r="R471" s="108">
        <f>IF(D471=0,0,IF(DAY(E471+1)=1,31,DAY(E471)))</f>
        <v/>
      </c>
      <c r="S471" s="109">
        <f>IF(AND('Deal maths'!V471="LOBO",'Deal maths'!AG471&gt;AsAt,'Deal maths'!AG471&lt;'Deal maths'!AA471),'Deal maths'!AG471,'Deal maths'!AA471)</f>
        <v/>
      </c>
      <c r="T471" s="108">
        <f>('Deal maths'!AA471&gt;AsAt)*('Deal maths'!Y471&gt;0)</f>
        <v/>
      </c>
    </row>
    <row r="472">
      <c r="A472" s="91">
        <f>IF('Deal maths'!V472="","",'Deal maths'!W472)</f>
        <v/>
      </c>
      <c r="B472" s="108">
        <f>('Deal maths'!AA472&gt;AsAt)*('Deal maths'!Y472&gt;0)*('Deal maths'!Z472&lt;=AsAt)</f>
        <v/>
      </c>
      <c r="C472" s="91">
        <f>IF('Deal maths'!V472="","",IF('Deal maths'!AC472="","Maturity",'Deal maths'!AC472))</f>
        <v/>
      </c>
      <c r="D472" s="108">
        <f>IF(OR(C472="EIP",C472="Annuity"),IF('Deal maths'!AD472="Annual",12,IF('Deal maths'!AD472="Quarterly",3,6)),0)</f>
        <v/>
      </c>
      <c r="E472" s="109">
        <f>IFERROR(IF(D472=0,0,IF('Deal maths'!AE472&gt;0,IF('Deal maths'!AE472&gt;'Deal maths'!AA472,'Deal maths'!AA472,'Deal maths'!AE472),IF(IF(DAY('Deal maths'!AA472+1)=1,EOMONTH('Deal maths'!AA472,-(INT(((YEAR('Deal maths'!AA472)-YEAR(IF('Deal maths'!Z472&gt;0,'Deal maths'!Z472,DATE(1990,1,1))))*12+MONTH('Deal maths'!AA472)-MONTH(IF('Deal maths'!Z472&gt;0,'Deal maths'!Z472,DATE(1990,1,1))))/D472))*D472),EDATE('Deal maths'!AA472,-(INT(((YEAR('Deal maths'!AA472)-YEAR(IF('Deal maths'!Z472&gt;0,'Deal maths'!Z472,DATE(1990,1,1))))*12+MONTH('Deal maths'!AA472)-MONTH(IF('Deal maths'!Z472&gt;0,'Deal maths'!Z472,DATE(1990,1,1))))/D472))*D472))&gt;IF('Deal maths'!Z472&gt;0,'Deal maths'!Z472,DATE(1990,1,1)),IF(DAY('Deal maths'!AA472+1)=1,EOMONTH('Deal maths'!AA472,-(INT(((YEAR('Deal maths'!AA472)-YEAR(IF('Deal maths'!Z472&gt;0,'Deal maths'!Z472,DATE(1990,1,1))))*12+MONTH('Deal maths'!AA472)-MONTH(IF('Deal maths'!Z472&gt;0,'Deal maths'!Z472,DATE(1990,1,1))))/D472))*D472),EDATE('Deal maths'!AA472,-(INT(((YEAR('Deal maths'!AA472)-YEAR(IF('Deal maths'!Z472&gt;0,'Deal maths'!Z472,DATE(1990,1,1))))*12+MONTH('Deal maths'!AA472)-MONTH(IF('Deal maths'!Z472&gt;0,'Deal maths'!Z472,DATE(1990,1,1))))/D472))*D472)),IF(DAY('Deal maths'!AA472+1)=1,EOMONTH('Deal maths'!AA472,-(INT(((YEAR('Deal maths'!AA472)-YEAR(IF('Deal maths'!Z472&gt;0,'Deal maths'!Z472,DATE(1990,1,1))))*12+MONTH('Deal maths'!AA472)-MONTH(IF('Deal maths'!Z472&gt;0,'Deal maths'!Z472,DATE(1990,1,1))))/D472)-1)*D472),EDATE('Deal maths'!AA472,-(INT(((YEAR('Deal maths'!AA472)-YEAR(IF('Deal maths'!Z472&gt;0,'Deal maths'!Z472,DATE(1990,1,1))))*12+MONTH('Deal maths'!AA472)-MONTH(IF('Deal maths'!Z472&gt;0,'Deal maths'!Z472,DATE(1990,1,1))))/D472)-1)*D472))))),0)</f>
        <v/>
      </c>
      <c r="F472" s="110">
        <f>IF(D472=0,0,'Deal maths'!AB472*D472/12)</f>
        <v/>
      </c>
      <c r="G472" s="108">
        <f>N472+O472</f>
        <v/>
      </c>
      <c r="H472" s="108">
        <f>IFERROR(IF(OR(D472=0,AsAt&lt;E472),0,MIN(N472,INT(((YEAR(AsAt)-YEAR(E472))*12+MONTH(AsAt)-MONTH(E472)-(DAY(AsAt)&lt;MIN(R472,DAY(EOMONTH(AsAt,0)))))/D472)+1)+O472*(AsAt&gt;='Deal maths'!AA472)),0)</f>
        <v/>
      </c>
      <c r="I472" s="108">
        <f>G472-H472</f>
        <v/>
      </c>
      <c r="J472" s="111">
        <f>IF(AND(C472="EIP",I472&gt;0),'Deal maths'!Y472/I472,0)</f>
        <v/>
      </c>
      <c r="K472" s="111">
        <f>IF(AND(C472="Annuity",I472&gt;0),IF(F472&gt;0,'Deal maths'!Y472*F472/(1-(1+F472)^-I472),'Deal maths'!Y472/I472),0)</f>
        <v/>
      </c>
      <c r="L472" s="111">
        <f>IF('Deal maths'!Y472="",0,'Deal maths'!Y472)</f>
        <v/>
      </c>
      <c r="M472" s="112">
        <f>F472+(F472=0)</f>
        <v/>
      </c>
      <c r="N472" s="108">
        <f>IFERROR(IF(D472=0,0,INT(((YEAR('Deal maths'!AA472)-YEAR(E472))*12+MONTH('Deal maths'!AA472)-MONTH(E472)-(DAY('Deal maths'!AA472)&lt;MIN(R472,DAY(EOMONTH('Deal maths'!AA472,0)))))/D472)+1),0)</f>
        <v/>
      </c>
      <c r="O472" s="108">
        <f>IFERROR(IF(D472=0,0,IF(IF(DAY(E472+1)=1,EOMONTH(E472,(N472-1)*D472),EDATE(E472,(N472-1)*D472))='Deal maths'!AA472,0,1)),0)</f>
        <v/>
      </c>
      <c r="P472" s="113">
        <f>IF(B472=0,0,IFERROR(IF(C472="EIP",((I472-O472)*((IF(DAY(E472+1)=1,EOMONTH(E472,H472*D472),EDATE(E472,H472*D472))-AsAt)/365.25+(IF(DAY(E472+1)=1,EOMONTH(E472,(N472-1)*D472),EDATE(E472,(N472-1)*D472))-AsAt)/365.25)/2+O472*('Deal maths'!AA472-AsAt)/365.25)/I472,IF(C472="Annuity",IF(F472&gt;0,((K472-L472*F472)*((IF(DAY(E472+1)=1,EOMONTH(E472,H472*D472),EDATE(E472,H472*D472))-AsAt)/365.25*((1+F472)^(I472-O472)-1)/F472+IF((I472-O472)&gt;1,((IF(DAY(E472+1)=1,EOMONTH(E472,(N472-1)*D472),EDATE(E472,(N472-1)*D472))-AsAt)/365.25-(IF(DAY(E472+1)=1,EOMONTH(E472,H472*D472),EDATE(E472,H472*D472))-AsAt)/365.25)/((I472-O472)-1),0)*(1+F472)*(1-(I472-O472)*(1+F472)^((I472-O472)-1)+((I472-O472)-1)*(1+F472)^(I472-O472))/F472^2)+O472*(K472-L472*F472)*(1+F472)^(I472-1)*('Deal maths'!AA472-AsAt)/365.25)/L472,((I472-O472)*((IF(DAY(E472+1)=1,EOMONTH(E472,H472*D472),EDATE(E472,H472*D472))-AsAt)/365.25+(IF(DAY(E472+1)=1,EOMONTH(E472,(N472-1)*D472),EDATE(E472,(N472-1)*D472))-AsAt)/365.25)/2+O472*('Deal maths'!AA472-AsAt)/365.25)/I472),(S472-AsAt)/365.25)),0))</f>
        <v/>
      </c>
      <c r="Q472" s="109">
        <f>IF(B472=1,'Deal maths'!AA472+ROW()/1000000,"")</f>
        <v/>
      </c>
      <c r="R472" s="108">
        <f>IF(D472=0,0,IF(DAY(E472+1)=1,31,DAY(E472)))</f>
        <v/>
      </c>
      <c r="S472" s="109">
        <f>IF(AND('Deal maths'!V472="LOBO",'Deal maths'!AG472&gt;AsAt,'Deal maths'!AG472&lt;'Deal maths'!AA472),'Deal maths'!AG472,'Deal maths'!AA472)</f>
        <v/>
      </c>
      <c r="T472" s="108">
        <f>('Deal maths'!AA472&gt;AsAt)*('Deal maths'!Y472&gt;0)</f>
        <v/>
      </c>
    </row>
    <row r="473">
      <c r="A473" s="91">
        <f>IF('Deal maths'!V473="","",'Deal maths'!W473)</f>
        <v/>
      </c>
      <c r="B473" s="108">
        <f>('Deal maths'!AA473&gt;AsAt)*('Deal maths'!Y473&gt;0)*('Deal maths'!Z473&lt;=AsAt)</f>
        <v/>
      </c>
      <c r="C473" s="91">
        <f>IF('Deal maths'!V473="","",IF('Deal maths'!AC473="","Maturity",'Deal maths'!AC473))</f>
        <v/>
      </c>
      <c r="D473" s="108">
        <f>IF(OR(C473="EIP",C473="Annuity"),IF('Deal maths'!AD473="Annual",12,IF('Deal maths'!AD473="Quarterly",3,6)),0)</f>
        <v/>
      </c>
      <c r="E473" s="109">
        <f>IFERROR(IF(D473=0,0,IF('Deal maths'!AE473&gt;0,IF('Deal maths'!AE473&gt;'Deal maths'!AA473,'Deal maths'!AA473,'Deal maths'!AE473),IF(IF(DAY('Deal maths'!AA473+1)=1,EOMONTH('Deal maths'!AA473,-(INT(((YEAR('Deal maths'!AA473)-YEAR(IF('Deal maths'!Z473&gt;0,'Deal maths'!Z473,DATE(1990,1,1))))*12+MONTH('Deal maths'!AA473)-MONTH(IF('Deal maths'!Z473&gt;0,'Deal maths'!Z473,DATE(1990,1,1))))/D473))*D473),EDATE('Deal maths'!AA473,-(INT(((YEAR('Deal maths'!AA473)-YEAR(IF('Deal maths'!Z473&gt;0,'Deal maths'!Z473,DATE(1990,1,1))))*12+MONTH('Deal maths'!AA473)-MONTH(IF('Deal maths'!Z473&gt;0,'Deal maths'!Z473,DATE(1990,1,1))))/D473))*D473))&gt;IF('Deal maths'!Z473&gt;0,'Deal maths'!Z473,DATE(1990,1,1)),IF(DAY('Deal maths'!AA473+1)=1,EOMONTH('Deal maths'!AA473,-(INT(((YEAR('Deal maths'!AA473)-YEAR(IF('Deal maths'!Z473&gt;0,'Deal maths'!Z473,DATE(1990,1,1))))*12+MONTH('Deal maths'!AA473)-MONTH(IF('Deal maths'!Z473&gt;0,'Deal maths'!Z473,DATE(1990,1,1))))/D473))*D473),EDATE('Deal maths'!AA473,-(INT(((YEAR('Deal maths'!AA473)-YEAR(IF('Deal maths'!Z473&gt;0,'Deal maths'!Z473,DATE(1990,1,1))))*12+MONTH('Deal maths'!AA473)-MONTH(IF('Deal maths'!Z473&gt;0,'Deal maths'!Z473,DATE(1990,1,1))))/D473))*D473)),IF(DAY('Deal maths'!AA473+1)=1,EOMONTH('Deal maths'!AA473,-(INT(((YEAR('Deal maths'!AA473)-YEAR(IF('Deal maths'!Z473&gt;0,'Deal maths'!Z473,DATE(1990,1,1))))*12+MONTH('Deal maths'!AA473)-MONTH(IF('Deal maths'!Z473&gt;0,'Deal maths'!Z473,DATE(1990,1,1))))/D473)-1)*D473),EDATE('Deal maths'!AA473,-(INT(((YEAR('Deal maths'!AA473)-YEAR(IF('Deal maths'!Z473&gt;0,'Deal maths'!Z473,DATE(1990,1,1))))*12+MONTH('Deal maths'!AA473)-MONTH(IF('Deal maths'!Z473&gt;0,'Deal maths'!Z473,DATE(1990,1,1))))/D473)-1)*D473))))),0)</f>
        <v/>
      </c>
      <c r="F473" s="110">
        <f>IF(D473=0,0,'Deal maths'!AB473*D473/12)</f>
        <v/>
      </c>
      <c r="G473" s="108">
        <f>N473+O473</f>
        <v/>
      </c>
      <c r="H473" s="108">
        <f>IFERROR(IF(OR(D473=0,AsAt&lt;E473),0,MIN(N473,INT(((YEAR(AsAt)-YEAR(E473))*12+MONTH(AsAt)-MONTH(E473)-(DAY(AsAt)&lt;MIN(R473,DAY(EOMONTH(AsAt,0)))))/D473)+1)+O473*(AsAt&gt;='Deal maths'!AA473)),0)</f>
        <v/>
      </c>
      <c r="I473" s="108">
        <f>G473-H473</f>
        <v/>
      </c>
      <c r="J473" s="111">
        <f>IF(AND(C473="EIP",I473&gt;0),'Deal maths'!Y473/I473,0)</f>
        <v/>
      </c>
      <c r="K473" s="111">
        <f>IF(AND(C473="Annuity",I473&gt;0),IF(F473&gt;0,'Deal maths'!Y473*F473/(1-(1+F473)^-I473),'Deal maths'!Y473/I473),0)</f>
        <v/>
      </c>
      <c r="L473" s="111">
        <f>IF('Deal maths'!Y473="",0,'Deal maths'!Y473)</f>
        <v/>
      </c>
      <c r="M473" s="112">
        <f>F473+(F473=0)</f>
        <v/>
      </c>
      <c r="N473" s="108">
        <f>IFERROR(IF(D473=0,0,INT(((YEAR('Deal maths'!AA473)-YEAR(E473))*12+MONTH('Deal maths'!AA473)-MONTH(E473)-(DAY('Deal maths'!AA473)&lt;MIN(R473,DAY(EOMONTH('Deal maths'!AA473,0)))))/D473)+1),0)</f>
        <v/>
      </c>
      <c r="O473" s="108">
        <f>IFERROR(IF(D473=0,0,IF(IF(DAY(E473+1)=1,EOMONTH(E473,(N473-1)*D473),EDATE(E473,(N473-1)*D473))='Deal maths'!AA473,0,1)),0)</f>
        <v/>
      </c>
      <c r="P473" s="113">
        <f>IF(B473=0,0,IFERROR(IF(C473="EIP",((I473-O473)*((IF(DAY(E473+1)=1,EOMONTH(E473,H473*D473),EDATE(E473,H473*D473))-AsAt)/365.25+(IF(DAY(E473+1)=1,EOMONTH(E473,(N473-1)*D473),EDATE(E473,(N473-1)*D473))-AsAt)/365.25)/2+O473*('Deal maths'!AA473-AsAt)/365.25)/I473,IF(C473="Annuity",IF(F473&gt;0,((K473-L473*F473)*((IF(DAY(E473+1)=1,EOMONTH(E473,H473*D473),EDATE(E473,H473*D473))-AsAt)/365.25*((1+F473)^(I473-O473)-1)/F473+IF((I473-O473)&gt;1,((IF(DAY(E473+1)=1,EOMONTH(E473,(N473-1)*D473),EDATE(E473,(N473-1)*D473))-AsAt)/365.25-(IF(DAY(E473+1)=1,EOMONTH(E473,H473*D473),EDATE(E473,H473*D473))-AsAt)/365.25)/((I473-O473)-1),0)*(1+F473)*(1-(I473-O473)*(1+F473)^((I473-O473)-1)+((I473-O473)-1)*(1+F473)^(I473-O473))/F473^2)+O473*(K473-L473*F473)*(1+F473)^(I473-1)*('Deal maths'!AA473-AsAt)/365.25)/L473,((I473-O473)*((IF(DAY(E473+1)=1,EOMONTH(E473,H473*D473),EDATE(E473,H473*D473))-AsAt)/365.25+(IF(DAY(E473+1)=1,EOMONTH(E473,(N473-1)*D473),EDATE(E473,(N473-1)*D473))-AsAt)/365.25)/2+O473*('Deal maths'!AA473-AsAt)/365.25)/I473),(S473-AsAt)/365.25)),0))</f>
        <v/>
      </c>
      <c r="Q473" s="109">
        <f>IF(B473=1,'Deal maths'!AA473+ROW()/1000000,"")</f>
        <v/>
      </c>
      <c r="R473" s="108">
        <f>IF(D473=0,0,IF(DAY(E473+1)=1,31,DAY(E473)))</f>
        <v/>
      </c>
      <c r="S473" s="109">
        <f>IF(AND('Deal maths'!V473="LOBO",'Deal maths'!AG473&gt;AsAt,'Deal maths'!AG473&lt;'Deal maths'!AA473),'Deal maths'!AG473,'Deal maths'!AA473)</f>
        <v/>
      </c>
      <c r="T473" s="108">
        <f>('Deal maths'!AA473&gt;AsAt)*('Deal maths'!Y473&gt;0)</f>
        <v/>
      </c>
    </row>
    <row r="474">
      <c r="A474" s="91">
        <f>IF('Deal maths'!V474="","",'Deal maths'!W474)</f>
        <v/>
      </c>
      <c r="B474" s="108">
        <f>('Deal maths'!AA474&gt;AsAt)*('Deal maths'!Y474&gt;0)*('Deal maths'!Z474&lt;=AsAt)</f>
        <v/>
      </c>
      <c r="C474" s="91">
        <f>IF('Deal maths'!V474="","",IF('Deal maths'!AC474="","Maturity",'Deal maths'!AC474))</f>
        <v/>
      </c>
      <c r="D474" s="108">
        <f>IF(OR(C474="EIP",C474="Annuity"),IF('Deal maths'!AD474="Annual",12,IF('Deal maths'!AD474="Quarterly",3,6)),0)</f>
        <v/>
      </c>
      <c r="E474" s="109">
        <f>IFERROR(IF(D474=0,0,IF('Deal maths'!AE474&gt;0,IF('Deal maths'!AE474&gt;'Deal maths'!AA474,'Deal maths'!AA474,'Deal maths'!AE474),IF(IF(DAY('Deal maths'!AA474+1)=1,EOMONTH('Deal maths'!AA474,-(INT(((YEAR('Deal maths'!AA474)-YEAR(IF('Deal maths'!Z474&gt;0,'Deal maths'!Z474,DATE(1990,1,1))))*12+MONTH('Deal maths'!AA474)-MONTH(IF('Deal maths'!Z474&gt;0,'Deal maths'!Z474,DATE(1990,1,1))))/D474))*D474),EDATE('Deal maths'!AA474,-(INT(((YEAR('Deal maths'!AA474)-YEAR(IF('Deal maths'!Z474&gt;0,'Deal maths'!Z474,DATE(1990,1,1))))*12+MONTH('Deal maths'!AA474)-MONTH(IF('Deal maths'!Z474&gt;0,'Deal maths'!Z474,DATE(1990,1,1))))/D474))*D474))&gt;IF('Deal maths'!Z474&gt;0,'Deal maths'!Z474,DATE(1990,1,1)),IF(DAY('Deal maths'!AA474+1)=1,EOMONTH('Deal maths'!AA474,-(INT(((YEAR('Deal maths'!AA474)-YEAR(IF('Deal maths'!Z474&gt;0,'Deal maths'!Z474,DATE(1990,1,1))))*12+MONTH('Deal maths'!AA474)-MONTH(IF('Deal maths'!Z474&gt;0,'Deal maths'!Z474,DATE(1990,1,1))))/D474))*D474),EDATE('Deal maths'!AA474,-(INT(((YEAR('Deal maths'!AA474)-YEAR(IF('Deal maths'!Z474&gt;0,'Deal maths'!Z474,DATE(1990,1,1))))*12+MONTH('Deal maths'!AA474)-MONTH(IF('Deal maths'!Z474&gt;0,'Deal maths'!Z474,DATE(1990,1,1))))/D474))*D474)),IF(DAY('Deal maths'!AA474+1)=1,EOMONTH('Deal maths'!AA474,-(INT(((YEAR('Deal maths'!AA474)-YEAR(IF('Deal maths'!Z474&gt;0,'Deal maths'!Z474,DATE(1990,1,1))))*12+MONTH('Deal maths'!AA474)-MONTH(IF('Deal maths'!Z474&gt;0,'Deal maths'!Z474,DATE(1990,1,1))))/D474)-1)*D474),EDATE('Deal maths'!AA474,-(INT(((YEAR('Deal maths'!AA474)-YEAR(IF('Deal maths'!Z474&gt;0,'Deal maths'!Z474,DATE(1990,1,1))))*12+MONTH('Deal maths'!AA474)-MONTH(IF('Deal maths'!Z474&gt;0,'Deal maths'!Z474,DATE(1990,1,1))))/D474)-1)*D474))))),0)</f>
        <v/>
      </c>
      <c r="F474" s="110">
        <f>IF(D474=0,0,'Deal maths'!AB474*D474/12)</f>
        <v/>
      </c>
      <c r="G474" s="108">
        <f>N474+O474</f>
        <v/>
      </c>
      <c r="H474" s="108">
        <f>IFERROR(IF(OR(D474=0,AsAt&lt;E474),0,MIN(N474,INT(((YEAR(AsAt)-YEAR(E474))*12+MONTH(AsAt)-MONTH(E474)-(DAY(AsAt)&lt;MIN(R474,DAY(EOMONTH(AsAt,0)))))/D474)+1)+O474*(AsAt&gt;='Deal maths'!AA474)),0)</f>
        <v/>
      </c>
      <c r="I474" s="108">
        <f>G474-H474</f>
        <v/>
      </c>
      <c r="J474" s="111">
        <f>IF(AND(C474="EIP",I474&gt;0),'Deal maths'!Y474/I474,0)</f>
        <v/>
      </c>
      <c r="K474" s="111">
        <f>IF(AND(C474="Annuity",I474&gt;0),IF(F474&gt;0,'Deal maths'!Y474*F474/(1-(1+F474)^-I474),'Deal maths'!Y474/I474),0)</f>
        <v/>
      </c>
      <c r="L474" s="111">
        <f>IF('Deal maths'!Y474="",0,'Deal maths'!Y474)</f>
        <v/>
      </c>
      <c r="M474" s="112">
        <f>F474+(F474=0)</f>
        <v/>
      </c>
      <c r="N474" s="108">
        <f>IFERROR(IF(D474=0,0,INT(((YEAR('Deal maths'!AA474)-YEAR(E474))*12+MONTH('Deal maths'!AA474)-MONTH(E474)-(DAY('Deal maths'!AA474)&lt;MIN(R474,DAY(EOMONTH('Deal maths'!AA474,0)))))/D474)+1),0)</f>
        <v/>
      </c>
      <c r="O474" s="108">
        <f>IFERROR(IF(D474=0,0,IF(IF(DAY(E474+1)=1,EOMONTH(E474,(N474-1)*D474),EDATE(E474,(N474-1)*D474))='Deal maths'!AA474,0,1)),0)</f>
        <v/>
      </c>
      <c r="P474" s="113">
        <f>IF(B474=0,0,IFERROR(IF(C474="EIP",((I474-O474)*((IF(DAY(E474+1)=1,EOMONTH(E474,H474*D474),EDATE(E474,H474*D474))-AsAt)/365.25+(IF(DAY(E474+1)=1,EOMONTH(E474,(N474-1)*D474),EDATE(E474,(N474-1)*D474))-AsAt)/365.25)/2+O474*('Deal maths'!AA474-AsAt)/365.25)/I474,IF(C474="Annuity",IF(F474&gt;0,((K474-L474*F474)*((IF(DAY(E474+1)=1,EOMONTH(E474,H474*D474),EDATE(E474,H474*D474))-AsAt)/365.25*((1+F474)^(I474-O474)-1)/F474+IF((I474-O474)&gt;1,((IF(DAY(E474+1)=1,EOMONTH(E474,(N474-1)*D474),EDATE(E474,(N474-1)*D474))-AsAt)/365.25-(IF(DAY(E474+1)=1,EOMONTH(E474,H474*D474),EDATE(E474,H474*D474))-AsAt)/365.25)/((I474-O474)-1),0)*(1+F474)*(1-(I474-O474)*(1+F474)^((I474-O474)-1)+((I474-O474)-1)*(1+F474)^(I474-O474))/F474^2)+O474*(K474-L474*F474)*(1+F474)^(I474-1)*('Deal maths'!AA474-AsAt)/365.25)/L474,((I474-O474)*((IF(DAY(E474+1)=1,EOMONTH(E474,H474*D474),EDATE(E474,H474*D474))-AsAt)/365.25+(IF(DAY(E474+1)=1,EOMONTH(E474,(N474-1)*D474),EDATE(E474,(N474-1)*D474))-AsAt)/365.25)/2+O474*('Deal maths'!AA474-AsAt)/365.25)/I474),(S474-AsAt)/365.25)),0))</f>
        <v/>
      </c>
      <c r="Q474" s="109">
        <f>IF(B474=1,'Deal maths'!AA474+ROW()/1000000,"")</f>
        <v/>
      </c>
      <c r="R474" s="108">
        <f>IF(D474=0,0,IF(DAY(E474+1)=1,31,DAY(E474)))</f>
        <v/>
      </c>
      <c r="S474" s="109">
        <f>IF(AND('Deal maths'!V474="LOBO",'Deal maths'!AG474&gt;AsAt,'Deal maths'!AG474&lt;'Deal maths'!AA474),'Deal maths'!AG474,'Deal maths'!AA474)</f>
        <v/>
      </c>
      <c r="T474" s="108">
        <f>('Deal maths'!AA474&gt;AsAt)*('Deal maths'!Y474&gt;0)</f>
        <v/>
      </c>
    </row>
    <row r="475">
      <c r="A475" s="91">
        <f>IF('Deal maths'!V475="","",'Deal maths'!W475)</f>
        <v/>
      </c>
      <c r="B475" s="108">
        <f>('Deal maths'!AA475&gt;AsAt)*('Deal maths'!Y475&gt;0)*('Deal maths'!Z475&lt;=AsAt)</f>
        <v/>
      </c>
      <c r="C475" s="91">
        <f>IF('Deal maths'!V475="","",IF('Deal maths'!AC475="","Maturity",'Deal maths'!AC475))</f>
        <v/>
      </c>
      <c r="D475" s="108">
        <f>IF(OR(C475="EIP",C475="Annuity"),IF('Deal maths'!AD475="Annual",12,IF('Deal maths'!AD475="Quarterly",3,6)),0)</f>
        <v/>
      </c>
      <c r="E475" s="109">
        <f>IFERROR(IF(D475=0,0,IF('Deal maths'!AE475&gt;0,IF('Deal maths'!AE475&gt;'Deal maths'!AA475,'Deal maths'!AA475,'Deal maths'!AE475),IF(IF(DAY('Deal maths'!AA475+1)=1,EOMONTH('Deal maths'!AA475,-(INT(((YEAR('Deal maths'!AA475)-YEAR(IF('Deal maths'!Z475&gt;0,'Deal maths'!Z475,DATE(1990,1,1))))*12+MONTH('Deal maths'!AA475)-MONTH(IF('Deal maths'!Z475&gt;0,'Deal maths'!Z475,DATE(1990,1,1))))/D475))*D475),EDATE('Deal maths'!AA475,-(INT(((YEAR('Deal maths'!AA475)-YEAR(IF('Deal maths'!Z475&gt;0,'Deal maths'!Z475,DATE(1990,1,1))))*12+MONTH('Deal maths'!AA475)-MONTH(IF('Deal maths'!Z475&gt;0,'Deal maths'!Z475,DATE(1990,1,1))))/D475))*D475))&gt;IF('Deal maths'!Z475&gt;0,'Deal maths'!Z475,DATE(1990,1,1)),IF(DAY('Deal maths'!AA475+1)=1,EOMONTH('Deal maths'!AA475,-(INT(((YEAR('Deal maths'!AA475)-YEAR(IF('Deal maths'!Z475&gt;0,'Deal maths'!Z475,DATE(1990,1,1))))*12+MONTH('Deal maths'!AA475)-MONTH(IF('Deal maths'!Z475&gt;0,'Deal maths'!Z475,DATE(1990,1,1))))/D475))*D475),EDATE('Deal maths'!AA475,-(INT(((YEAR('Deal maths'!AA475)-YEAR(IF('Deal maths'!Z475&gt;0,'Deal maths'!Z475,DATE(1990,1,1))))*12+MONTH('Deal maths'!AA475)-MONTH(IF('Deal maths'!Z475&gt;0,'Deal maths'!Z475,DATE(1990,1,1))))/D475))*D475)),IF(DAY('Deal maths'!AA475+1)=1,EOMONTH('Deal maths'!AA475,-(INT(((YEAR('Deal maths'!AA475)-YEAR(IF('Deal maths'!Z475&gt;0,'Deal maths'!Z475,DATE(1990,1,1))))*12+MONTH('Deal maths'!AA475)-MONTH(IF('Deal maths'!Z475&gt;0,'Deal maths'!Z475,DATE(1990,1,1))))/D475)-1)*D475),EDATE('Deal maths'!AA475,-(INT(((YEAR('Deal maths'!AA475)-YEAR(IF('Deal maths'!Z475&gt;0,'Deal maths'!Z475,DATE(1990,1,1))))*12+MONTH('Deal maths'!AA475)-MONTH(IF('Deal maths'!Z475&gt;0,'Deal maths'!Z475,DATE(1990,1,1))))/D475)-1)*D475))))),0)</f>
        <v/>
      </c>
      <c r="F475" s="110">
        <f>IF(D475=0,0,'Deal maths'!AB475*D475/12)</f>
        <v/>
      </c>
      <c r="G475" s="108">
        <f>N475+O475</f>
        <v/>
      </c>
      <c r="H475" s="108">
        <f>IFERROR(IF(OR(D475=0,AsAt&lt;E475),0,MIN(N475,INT(((YEAR(AsAt)-YEAR(E475))*12+MONTH(AsAt)-MONTH(E475)-(DAY(AsAt)&lt;MIN(R475,DAY(EOMONTH(AsAt,0)))))/D475)+1)+O475*(AsAt&gt;='Deal maths'!AA475)),0)</f>
        <v/>
      </c>
      <c r="I475" s="108">
        <f>G475-H475</f>
        <v/>
      </c>
      <c r="J475" s="111">
        <f>IF(AND(C475="EIP",I475&gt;0),'Deal maths'!Y475/I475,0)</f>
        <v/>
      </c>
      <c r="K475" s="111">
        <f>IF(AND(C475="Annuity",I475&gt;0),IF(F475&gt;0,'Deal maths'!Y475*F475/(1-(1+F475)^-I475),'Deal maths'!Y475/I475),0)</f>
        <v/>
      </c>
      <c r="L475" s="111">
        <f>IF('Deal maths'!Y475="",0,'Deal maths'!Y475)</f>
        <v/>
      </c>
      <c r="M475" s="112">
        <f>F475+(F475=0)</f>
        <v/>
      </c>
      <c r="N475" s="108">
        <f>IFERROR(IF(D475=0,0,INT(((YEAR('Deal maths'!AA475)-YEAR(E475))*12+MONTH('Deal maths'!AA475)-MONTH(E475)-(DAY('Deal maths'!AA475)&lt;MIN(R475,DAY(EOMONTH('Deal maths'!AA475,0)))))/D475)+1),0)</f>
        <v/>
      </c>
      <c r="O475" s="108">
        <f>IFERROR(IF(D475=0,0,IF(IF(DAY(E475+1)=1,EOMONTH(E475,(N475-1)*D475),EDATE(E475,(N475-1)*D475))='Deal maths'!AA475,0,1)),0)</f>
        <v/>
      </c>
      <c r="P475" s="113">
        <f>IF(B475=0,0,IFERROR(IF(C475="EIP",((I475-O475)*((IF(DAY(E475+1)=1,EOMONTH(E475,H475*D475),EDATE(E475,H475*D475))-AsAt)/365.25+(IF(DAY(E475+1)=1,EOMONTH(E475,(N475-1)*D475),EDATE(E475,(N475-1)*D475))-AsAt)/365.25)/2+O475*('Deal maths'!AA475-AsAt)/365.25)/I475,IF(C475="Annuity",IF(F475&gt;0,((K475-L475*F475)*((IF(DAY(E475+1)=1,EOMONTH(E475,H475*D475),EDATE(E475,H475*D475))-AsAt)/365.25*((1+F475)^(I475-O475)-1)/F475+IF((I475-O475)&gt;1,((IF(DAY(E475+1)=1,EOMONTH(E475,(N475-1)*D475),EDATE(E475,(N475-1)*D475))-AsAt)/365.25-(IF(DAY(E475+1)=1,EOMONTH(E475,H475*D475),EDATE(E475,H475*D475))-AsAt)/365.25)/((I475-O475)-1),0)*(1+F475)*(1-(I475-O475)*(1+F475)^((I475-O475)-1)+((I475-O475)-1)*(1+F475)^(I475-O475))/F475^2)+O475*(K475-L475*F475)*(1+F475)^(I475-1)*('Deal maths'!AA475-AsAt)/365.25)/L475,((I475-O475)*((IF(DAY(E475+1)=1,EOMONTH(E475,H475*D475),EDATE(E475,H475*D475))-AsAt)/365.25+(IF(DAY(E475+1)=1,EOMONTH(E475,(N475-1)*D475),EDATE(E475,(N475-1)*D475))-AsAt)/365.25)/2+O475*('Deal maths'!AA475-AsAt)/365.25)/I475),(S475-AsAt)/365.25)),0))</f>
        <v/>
      </c>
      <c r="Q475" s="109">
        <f>IF(B475=1,'Deal maths'!AA475+ROW()/1000000,"")</f>
        <v/>
      </c>
      <c r="R475" s="108">
        <f>IF(D475=0,0,IF(DAY(E475+1)=1,31,DAY(E475)))</f>
        <v/>
      </c>
      <c r="S475" s="109">
        <f>IF(AND('Deal maths'!V475="LOBO",'Deal maths'!AG475&gt;AsAt,'Deal maths'!AG475&lt;'Deal maths'!AA475),'Deal maths'!AG475,'Deal maths'!AA475)</f>
        <v/>
      </c>
      <c r="T475" s="108">
        <f>('Deal maths'!AA475&gt;AsAt)*('Deal maths'!Y475&gt;0)</f>
        <v/>
      </c>
    </row>
    <row r="476">
      <c r="A476" s="91">
        <f>IF('Deal maths'!V476="","",'Deal maths'!W476)</f>
        <v/>
      </c>
      <c r="B476" s="108">
        <f>('Deal maths'!AA476&gt;AsAt)*('Deal maths'!Y476&gt;0)*('Deal maths'!Z476&lt;=AsAt)</f>
        <v/>
      </c>
      <c r="C476" s="91">
        <f>IF('Deal maths'!V476="","",IF('Deal maths'!AC476="","Maturity",'Deal maths'!AC476))</f>
        <v/>
      </c>
      <c r="D476" s="108">
        <f>IF(OR(C476="EIP",C476="Annuity"),IF('Deal maths'!AD476="Annual",12,IF('Deal maths'!AD476="Quarterly",3,6)),0)</f>
        <v/>
      </c>
      <c r="E476" s="109">
        <f>IFERROR(IF(D476=0,0,IF('Deal maths'!AE476&gt;0,IF('Deal maths'!AE476&gt;'Deal maths'!AA476,'Deal maths'!AA476,'Deal maths'!AE476),IF(IF(DAY('Deal maths'!AA476+1)=1,EOMONTH('Deal maths'!AA476,-(INT(((YEAR('Deal maths'!AA476)-YEAR(IF('Deal maths'!Z476&gt;0,'Deal maths'!Z476,DATE(1990,1,1))))*12+MONTH('Deal maths'!AA476)-MONTH(IF('Deal maths'!Z476&gt;0,'Deal maths'!Z476,DATE(1990,1,1))))/D476))*D476),EDATE('Deal maths'!AA476,-(INT(((YEAR('Deal maths'!AA476)-YEAR(IF('Deal maths'!Z476&gt;0,'Deal maths'!Z476,DATE(1990,1,1))))*12+MONTH('Deal maths'!AA476)-MONTH(IF('Deal maths'!Z476&gt;0,'Deal maths'!Z476,DATE(1990,1,1))))/D476))*D476))&gt;IF('Deal maths'!Z476&gt;0,'Deal maths'!Z476,DATE(1990,1,1)),IF(DAY('Deal maths'!AA476+1)=1,EOMONTH('Deal maths'!AA476,-(INT(((YEAR('Deal maths'!AA476)-YEAR(IF('Deal maths'!Z476&gt;0,'Deal maths'!Z476,DATE(1990,1,1))))*12+MONTH('Deal maths'!AA476)-MONTH(IF('Deal maths'!Z476&gt;0,'Deal maths'!Z476,DATE(1990,1,1))))/D476))*D476),EDATE('Deal maths'!AA476,-(INT(((YEAR('Deal maths'!AA476)-YEAR(IF('Deal maths'!Z476&gt;0,'Deal maths'!Z476,DATE(1990,1,1))))*12+MONTH('Deal maths'!AA476)-MONTH(IF('Deal maths'!Z476&gt;0,'Deal maths'!Z476,DATE(1990,1,1))))/D476))*D476)),IF(DAY('Deal maths'!AA476+1)=1,EOMONTH('Deal maths'!AA476,-(INT(((YEAR('Deal maths'!AA476)-YEAR(IF('Deal maths'!Z476&gt;0,'Deal maths'!Z476,DATE(1990,1,1))))*12+MONTH('Deal maths'!AA476)-MONTH(IF('Deal maths'!Z476&gt;0,'Deal maths'!Z476,DATE(1990,1,1))))/D476)-1)*D476),EDATE('Deal maths'!AA476,-(INT(((YEAR('Deal maths'!AA476)-YEAR(IF('Deal maths'!Z476&gt;0,'Deal maths'!Z476,DATE(1990,1,1))))*12+MONTH('Deal maths'!AA476)-MONTH(IF('Deal maths'!Z476&gt;0,'Deal maths'!Z476,DATE(1990,1,1))))/D476)-1)*D476))))),0)</f>
        <v/>
      </c>
      <c r="F476" s="110">
        <f>IF(D476=0,0,'Deal maths'!AB476*D476/12)</f>
        <v/>
      </c>
      <c r="G476" s="108">
        <f>N476+O476</f>
        <v/>
      </c>
      <c r="H476" s="108">
        <f>IFERROR(IF(OR(D476=0,AsAt&lt;E476),0,MIN(N476,INT(((YEAR(AsAt)-YEAR(E476))*12+MONTH(AsAt)-MONTH(E476)-(DAY(AsAt)&lt;MIN(R476,DAY(EOMONTH(AsAt,0)))))/D476)+1)+O476*(AsAt&gt;='Deal maths'!AA476)),0)</f>
        <v/>
      </c>
      <c r="I476" s="108">
        <f>G476-H476</f>
        <v/>
      </c>
      <c r="J476" s="111">
        <f>IF(AND(C476="EIP",I476&gt;0),'Deal maths'!Y476/I476,0)</f>
        <v/>
      </c>
      <c r="K476" s="111">
        <f>IF(AND(C476="Annuity",I476&gt;0),IF(F476&gt;0,'Deal maths'!Y476*F476/(1-(1+F476)^-I476),'Deal maths'!Y476/I476),0)</f>
        <v/>
      </c>
      <c r="L476" s="111">
        <f>IF('Deal maths'!Y476="",0,'Deal maths'!Y476)</f>
        <v/>
      </c>
      <c r="M476" s="112">
        <f>F476+(F476=0)</f>
        <v/>
      </c>
      <c r="N476" s="108">
        <f>IFERROR(IF(D476=0,0,INT(((YEAR('Deal maths'!AA476)-YEAR(E476))*12+MONTH('Deal maths'!AA476)-MONTH(E476)-(DAY('Deal maths'!AA476)&lt;MIN(R476,DAY(EOMONTH('Deal maths'!AA476,0)))))/D476)+1),0)</f>
        <v/>
      </c>
      <c r="O476" s="108">
        <f>IFERROR(IF(D476=0,0,IF(IF(DAY(E476+1)=1,EOMONTH(E476,(N476-1)*D476),EDATE(E476,(N476-1)*D476))='Deal maths'!AA476,0,1)),0)</f>
        <v/>
      </c>
      <c r="P476" s="113">
        <f>IF(B476=0,0,IFERROR(IF(C476="EIP",((I476-O476)*((IF(DAY(E476+1)=1,EOMONTH(E476,H476*D476),EDATE(E476,H476*D476))-AsAt)/365.25+(IF(DAY(E476+1)=1,EOMONTH(E476,(N476-1)*D476),EDATE(E476,(N476-1)*D476))-AsAt)/365.25)/2+O476*('Deal maths'!AA476-AsAt)/365.25)/I476,IF(C476="Annuity",IF(F476&gt;0,((K476-L476*F476)*((IF(DAY(E476+1)=1,EOMONTH(E476,H476*D476),EDATE(E476,H476*D476))-AsAt)/365.25*((1+F476)^(I476-O476)-1)/F476+IF((I476-O476)&gt;1,((IF(DAY(E476+1)=1,EOMONTH(E476,(N476-1)*D476),EDATE(E476,(N476-1)*D476))-AsAt)/365.25-(IF(DAY(E476+1)=1,EOMONTH(E476,H476*D476),EDATE(E476,H476*D476))-AsAt)/365.25)/((I476-O476)-1),0)*(1+F476)*(1-(I476-O476)*(1+F476)^((I476-O476)-1)+((I476-O476)-1)*(1+F476)^(I476-O476))/F476^2)+O476*(K476-L476*F476)*(1+F476)^(I476-1)*('Deal maths'!AA476-AsAt)/365.25)/L476,((I476-O476)*((IF(DAY(E476+1)=1,EOMONTH(E476,H476*D476),EDATE(E476,H476*D476))-AsAt)/365.25+(IF(DAY(E476+1)=1,EOMONTH(E476,(N476-1)*D476),EDATE(E476,(N476-1)*D476))-AsAt)/365.25)/2+O476*('Deal maths'!AA476-AsAt)/365.25)/I476),(S476-AsAt)/365.25)),0))</f>
        <v/>
      </c>
      <c r="Q476" s="109">
        <f>IF(B476=1,'Deal maths'!AA476+ROW()/1000000,"")</f>
        <v/>
      </c>
      <c r="R476" s="108">
        <f>IF(D476=0,0,IF(DAY(E476+1)=1,31,DAY(E476)))</f>
        <v/>
      </c>
      <c r="S476" s="109">
        <f>IF(AND('Deal maths'!V476="LOBO",'Deal maths'!AG476&gt;AsAt,'Deal maths'!AG476&lt;'Deal maths'!AA476),'Deal maths'!AG476,'Deal maths'!AA476)</f>
        <v/>
      </c>
      <c r="T476" s="108">
        <f>('Deal maths'!AA476&gt;AsAt)*('Deal maths'!Y476&gt;0)</f>
        <v/>
      </c>
    </row>
    <row r="477">
      <c r="A477" s="91">
        <f>IF('Deal maths'!V477="","",'Deal maths'!W477)</f>
        <v/>
      </c>
      <c r="B477" s="108">
        <f>('Deal maths'!AA477&gt;AsAt)*('Deal maths'!Y477&gt;0)*('Deal maths'!Z477&lt;=AsAt)</f>
        <v/>
      </c>
      <c r="C477" s="91">
        <f>IF('Deal maths'!V477="","",IF('Deal maths'!AC477="","Maturity",'Deal maths'!AC477))</f>
        <v/>
      </c>
      <c r="D477" s="108">
        <f>IF(OR(C477="EIP",C477="Annuity"),IF('Deal maths'!AD477="Annual",12,IF('Deal maths'!AD477="Quarterly",3,6)),0)</f>
        <v/>
      </c>
      <c r="E477" s="109">
        <f>IFERROR(IF(D477=0,0,IF('Deal maths'!AE477&gt;0,IF('Deal maths'!AE477&gt;'Deal maths'!AA477,'Deal maths'!AA477,'Deal maths'!AE477),IF(IF(DAY('Deal maths'!AA477+1)=1,EOMONTH('Deal maths'!AA477,-(INT(((YEAR('Deal maths'!AA477)-YEAR(IF('Deal maths'!Z477&gt;0,'Deal maths'!Z477,DATE(1990,1,1))))*12+MONTH('Deal maths'!AA477)-MONTH(IF('Deal maths'!Z477&gt;0,'Deal maths'!Z477,DATE(1990,1,1))))/D477))*D477),EDATE('Deal maths'!AA477,-(INT(((YEAR('Deal maths'!AA477)-YEAR(IF('Deal maths'!Z477&gt;0,'Deal maths'!Z477,DATE(1990,1,1))))*12+MONTH('Deal maths'!AA477)-MONTH(IF('Deal maths'!Z477&gt;0,'Deal maths'!Z477,DATE(1990,1,1))))/D477))*D477))&gt;IF('Deal maths'!Z477&gt;0,'Deal maths'!Z477,DATE(1990,1,1)),IF(DAY('Deal maths'!AA477+1)=1,EOMONTH('Deal maths'!AA477,-(INT(((YEAR('Deal maths'!AA477)-YEAR(IF('Deal maths'!Z477&gt;0,'Deal maths'!Z477,DATE(1990,1,1))))*12+MONTH('Deal maths'!AA477)-MONTH(IF('Deal maths'!Z477&gt;0,'Deal maths'!Z477,DATE(1990,1,1))))/D477))*D477),EDATE('Deal maths'!AA477,-(INT(((YEAR('Deal maths'!AA477)-YEAR(IF('Deal maths'!Z477&gt;0,'Deal maths'!Z477,DATE(1990,1,1))))*12+MONTH('Deal maths'!AA477)-MONTH(IF('Deal maths'!Z477&gt;0,'Deal maths'!Z477,DATE(1990,1,1))))/D477))*D477)),IF(DAY('Deal maths'!AA477+1)=1,EOMONTH('Deal maths'!AA477,-(INT(((YEAR('Deal maths'!AA477)-YEAR(IF('Deal maths'!Z477&gt;0,'Deal maths'!Z477,DATE(1990,1,1))))*12+MONTH('Deal maths'!AA477)-MONTH(IF('Deal maths'!Z477&gt;0,'Deal maths'!Z477,DATE(1990,1,1))))/D477)-1)*D477),EDATE('Deal maths'!AA477,-(INT(((YEAR('Deal maths'!AA477)-YEAR(IF('Deal maths'!Z477&gt;0,'Deal maths'!Z477,DATE(1990,1,1))))*12+MONTH('Deal maths'!AA477)-MONTH(IF('Deal maths'!Z477&gt;0,'Deal maths'!Z477,DATE(1990,1,1))))/D477)-1)*D477))))),0)</f>
        <v/>
      </c>
      <c r="F477" s="110">
        <f>IF(D477=0,0,'Deal maths'!AB477*D477/12)</f>
        <v/>
      </c>
      <c r="G477" s="108">
        <f>N477+O477</f>
        <v/>
      </c>
      <c r="H477" s="108">
        <f>IFERROR(IF(OR(D477=0,AsAt&lt;E477),0,MIN(N477,INT(((YEAR(AsAt)-YEAR(E477))*12+MONTH(AsAt)-MONTH(E477)-(DAY(AsAt)&lt;MIN(R477,DAY(EOMONTH(AsAt,0)))))/D477)+1)+O477*(AsAt&gt;='Deal maths'!AA477)),0)</f>
        <v/>
      </c>
      <c r="I477" s="108">
        <f>G477-H477</f>
        <v/>
      </c>
      <c r="J477" s="111">
        <f>IF(AND(C477="EIP",I477&gt;0),'Deal maths'!Y477/I477,0)</f>
        <v/>
      </c>
      <c r="K477" s="111">
        <f>IF(AND(C477="Annuity",I477&gt;0),IF(F477&gt;0,'Deal maths'!Y477*F477/(1-(1+F477)^-I477),'Deal maths'!Y477/I477),0)</f>
        <v/>
      </c>
      <c r="L477" s="111">
        <f>IF('Deal maths'!Y477="",0,'Deal maths'!Y477)</f>
        <v/>
      </c>
      <c r="M477" s="112">
        <f>F477+(F477=0)</f>
        <v/>
      </c>
      <c r="N477" s="108">
        <f>IFERROR(IF(D477=0,0,INT(((YEAR('Deal maths'!AA477)-YEAR(E477))*12+MONTH('Deal maths'!AA477)-MONTH(E477)-(DAY('Deal maths'!AA477)&lt;MIN(R477,DAY(EOMONTH('Deal maths'!AA477,0)))))/D477)+1),0)</f>
        <v/>
      </c>
      <c r="O477" s="108">
        <f>IFERROR(IF(D477=0,0,IF(IF(DAY(E477+1)=1,EOMONTH(E477,(N477-1)*D477),EDATE(E477,(N477-1)*D477))='Deal maths'!AA477,0,1)),0)</f>
        <v/>
      </c>
      <c r="P477" s="113">
        <f>IF(B477=0,0,IFERROR(IF(C477="EIP",((I477-O477)*((IF(DAY(E477+1)=1,EOMONTH(E477,H477*D477),EDATE(E477,H477*D477))-AsAt)/365.25+(IF(DAY(E477+1)=1,EOMONTH(E477,(N477-1)*D477),EDATE(E477,(N477-1)*D477))-AsAt)/365.25)/2+O477*('Deal maths'!AA477-AsAt)/365.25)/I477,IF(C477="Annuity",IF(F477&gt;0,((K477-L477*F477)*((IF(DAY(E477+1)=1,EOMONTH(E477,H477*D477),EDATE(E477,H477*D477))-AsAt)/365.25*((1+F477)^(I477-O477)-1)/F477+IF((I477-O477)&gt;1,((IF(DAY(E477+1)=1,EOMONTH(E477,(N477-1)*D477),EDATE(E477,(N477-1)*D477))-AsAt)/365.25-(IF(DAY(E477+1)=1,EOMONTH(E477,H477*D477),EDATE(E477,H477*D477))-AsAt)/365.25)/((I477-O477)-1),0)*(1+F477)*(1-(I477-O477)*(1+F477)^((I477-O477)-1)+((I477-O477)-1)*(1+F477)^(I477-O477))/F477^2)+O477*(K477-L477*F477)*(1+F477)^(I477-1)*('Deal maths'!AA477-AsAt)/365.25)/L477,((I477-O477)*((IF(DAY(E477+1)=1,EOMONTH(E477,H477*D477),EDATE(E477,H477*D477))-AsAt)/365.25+(IF(DAY(E477+1)=1,EOMONTH(E477,(N477-1)*D477),EDATE(E477,(N477-1)*D477))-AsAt)/365.25)/2+O477*('Deal maths'!AA477-AsAt)/365.25)/I477),(S477-AsAt)/365.25)),0))</f>
        <v/>
      </c>
      <c r="Q477" s="109">
        <f>IF(B477=1,'Deal maths'!AA477+ROW()/1000000,"")</f>
        <v/>
      </c>
      <c r="R477" s="108">
        <f>IF(D477=0,0,IF(DAY(E477+1)=1,31,DAY(E477)))</f>
        <v/>
      </c>
      <c r="S477" s="109">
        <f>IF(AND('Deal maths'!V477="LOBO",'Deal maths'!AG477&gt;AsAt,'Deal maths'!AG477&lt;'Deal maths'!AA477),'Deal maths'!AG477,'Deal maths'!AA477)</f>
        <v/>
      </c>
      <c r="T477" s="108">
        <f>('Deal maths'!AA477&gt;AsAt)*('Deal maths'!Y477&gt;0)</f>
        <v/>
      </c>
    </row>
    <row r="478">
      <c r="A478" s="91">
        <f>IF('Deal maths'!V478="","",'Deal maths'!W478)</f>
        <v/>
      </c>
      <c r="B478" s="108">
        <f>('Deal maths'!AA478&gt;AsAt)*('Deal maths'!Y478&gt;0)*('Deal maths'!Z478&lt;=AsAt)</f>
        <v/>
      </c>
      <c r="C478" s="91">
        <f>IF('Deal maths'!V478="","",IF('Deal maths'!AC478="","Maturity",'Deal maths'!AC478))</f>
        <v/>
      </c>
      <c r="D478" s="108">
        <f>IF(OR(C478="EIP",C478="Annuity"),IF('Deal maths'!AD478="Annual",12,IF('Deal maths'!AD478="Quarterly",3,6)),0)</f>
        <v/>
      </c>
      <c r="E478" s="109">
        <f>IFERROR(IF(D478=0,0,IF('Deal maths'!AE478&gt;0,IF('Deal maths'!AE478&gt;'Deal maths'!AA478,'Deal maths'!AA478,'Deal maths'!AE478),IF(IF(DAY('Deal maths'!AA478+1)=1,EOMONTH('Deal maths'!AA478,-(INT(((YEAR('Deal maths'!AA478)-YEAR(IF('Deal maths'!Z478&gt;0,'Deal maths'!Z478,DATE(1990,1,1))))*12+MONTH('Deal maths'!AA478)-MONTH(IF('Deal maths'!Z478&gt;0,'Deal maths'!Z478,DATE(1990,1,1))))/D478))*D478),EDATE('Deal maths'!AA478,-(INT(((YEAR('Deal maths'!AA478)-YEAR(IF('Deal maths'!Z478&gt;0,'Deal maths'!Z478,DATE(1990,1,1))))*12+MONTH('Deal maths'!AA478)-MONTH(IF('Deal maths'!Z478&gt;0,'Deal maths'!Z478,DATE(1990,1,1))))/D478))*D478))&gt;IF('Deal maths'!Z478&gt;0,'Deal maths'!Z478,DATE(1990,1,1)),IF(DAY('Deal maths'!AA478+1)=1,EOMONTH('Deal maths'!AA478,-(INT(((YEAR('Deal maths'!AA478)-YEAR(IF('Deal maths'!Z478&gt;0,'Deal maths'!Z478,DATE(1990,1,1))))*12+MONTH('Deal maths'!AA478)-MONTH(IF('Deal maths'!Z478&gt;0,'Deal maths'!Z478,DATE(1990,1,1))))/D478))*D478),EDATE('Deal maths'!AA478,-(INT(((YEAR('Deal maths'!AA478)-YEAR(IF('Deal maths'!Z478&gt;0,'Deal maths'!Z478,DATE(1990,1,1))))*12+MONTH('Deal maths'!AA478)-MONTH(IF('Deal maths'!Z478&gt;0,'Deal maths'!Z478,DATE(1990,1,1))))/D478))*D478)),IF(DAY('Deal maths'!AA478+1)=1,EOMONTH('Deal maths'!AA478,-(INT(((YEAR('Deal maths'!AA478)-YEAR(IF('Deal maths'!Z478&gt;0,'Deal maths'!Z478,DATE(1990,1,1))))*12+MONTH('Deal maths'!AA478)-MONTH(IF('Deal maths'!Z478&gt;0,'Deal maths'!Z478,DATE(1990,1,1))))/D478)-1)*D478),EDATE('Deal maths'!AA478,-(INT(((YEAR('Deal maths'!AA478)-YEAR(IF('Deal maths'!Z478&gt;0,'Deal maths'!Z478,DATE(1990,1,1))))*12+MONTH('Deal maths'!AA478)-MONTH(IF('Deal maths'!Z478&gt;0,'Deal maths'!Z478,DATE(1990,1,1))))/D478)-1)*D478))))),0)</f>
        <v/>
      </c>
      <c r="F478" s="110">
        <f>IF(D478=0,0,'Deal maths'!AB478*D478/12)</f>
        <v/>
      </c>
      <c r="G478" s="108">
        <f>N478+O478</f>
        <v/>
      </c>
      <c r="H478" s="108">
        <f>IFERROR(IF(OR(D478=0,AsAt&lt;E478),0,MIN(N478,INT(((YEAR(AsAt)-YEAR(E478))*12+MONTH(AsAt)-MONTH(E478)-(DAY(AsAt)&lt;MIN(R478,DAY(EOMONTH(AsAt,0)))))/D478)+1)+O478*(AsAt&gt;='Deal maths'!AA478)),0)</f>
        <v/>
      </c>
      <c r="I478" s="108">
        <f>G478-H478</f>
        <v/>
      </c>
      <c r="J478" s="111">
        <f>IF(AND(C478="EIP",I478&gt;0),'Deal maths'!Y478/I478,0)</f>
        <v/>
      </c>
      <c r="K478" s="111">
        <f>IF(AND(C478="Annuity",I478&gt;0),IF(F478&gt;0,'Deal maths'!Y478*F478/(1-(1+F478)^-I478),'Deal maths'!Y478/I478),0)</f>
        <v/>
      </c>
      <c r="L478" s="111">
        <f>IF('Deal maths'!Y478="",0,'Deal maths'!Y478)</f>
        <v/>
      </c>
      <c r="M478" s="112">
        <f>F478+(F478=0)</f>
        <v/>
      </c>
      <c r="N478" s="108">
        <f>IFERROR(IF(D478=0,0,INT(((YEAR('Deal maths'!AA478)-YEAR(E478))*12+MONTH('Deal maths'!AA478)-MONTH(E478)-(DAY('Deal maths'!AA478)&lt;MIN(R478,DAY(EOMONTH('Deal maths'!AA478,0)))))/D478)+1),0)</f>
        <v/>
      </c>
      <c r="O478" s="108">
        <f>IFERROR(IF(D478=0,0,IF(IF(DAY(E478+1)=1,EOMONTH(E478,(N478-1)*D478),EDATE(E478,(N478-1)*D478))='Deal maths'!AA478,0,1)),0)</f>
        <v/>
      </c>
      <c r="P478" s="113">
        <f>IF(B478=0,0,IFERROR(IF(C478="EIP",((I478-O478)*((IF(DAY(E478+1)=1,EOMONTH(E478,H478*D478),EDATE(E478,H478*D478))-AsAt)/365.25+(IF(DAY(E478+1)=1,EOMONTH(E478,(N478-1)*D478),EDATE(E478,(N478-1)*D478))-AsAt)/365.25)/2+O478*('Deal maths'!AA478-AsAt)/365.25)/I478,IF(C478="Annuity",IF(F478&gt;0,((K478-L478*F478)*((IF(DAY(E478+1)=1,EOMONTH(E478,H478*D478),EDATE(E478,H478*D478))-AsAt)/365.25*((1+F478)^(I478-O478)-1)/F478+IF((I478-O478)&gt;1,((IF(DAY(E478+1)=1,EOMONTH(E478,(N478-1)*D478),EDATE(E478,(N478-1)*D478))-AsAt)/365.25-(IF(DAY(E478+1)=1,EOMONTH(E478,H478*D478),EDATE(E478,H478*D478))-AsAt)/365.25)/((I478-O478)-1),0)*(1+F478)*(1-(I478-O478)*(1+F478)^((I478-O478)-1)+((I478-O478)-1)*(1+F478)^(I478-O478))/F478^2)+O478*(K478-L478*F478)*(1+F478)^(I478-1)*('Deal maths'!AA478-AsAt)/365.25)/L478,((I478-O478)*((IF(DAY(E478+1)=1,EOMONTH(E478,H478*D478),EDATE(E478,H478*D478))-AsAt)/365.25+(IF(DAY(E478+1)=1,EOMONTH(E478,(N478-1)*D478),EDATE(E478,(N478-1)*D478))-AsAt)/365.25)/2+O478*('Deal maths'!AA478-AsAt)/365.25)/I478),(S478-AsAt)/365.25)),0))</f>
        <v/>
      </c>
      <c r="Q478" s="109">
        <f>IF(B478=1,'Deal maths'!AA478+ROW()/1000000,"")</f>
        <v/>
      </c>
      <c r="R478" s="108">
        <f>IF(D478=0,0,IF(DAY(E478+1)=1,31,DAY(E478)))</f>
        <v/>
      </c>
      <c r="S478" s="109">
        <f>IF(AND('Deal maths'!V478="LOBO",'Deal maths'!AG478&gt;AsAt,'Deal maths'!AG478&lt;'Deal maths'!AA478),'Deal maths'!AG478,'Deal maths'!AA478)</f>
        <v/>
      </c>
      <c r="T478" s="108">
        <f>('Deal maths'!AA478&gt;AsAt)*('Deal maths'!Y478&gt;0)</f>
        <v/>
      </c>
    </row>
    <row r="479">
      <c r="A479" s="91">
        <f>IF('Deal maths'!V479="","",'Deal maths'!W479)</f>
        <v/>
      </c>
      <c r="B479" s="108">
        <f>('Deal maths'!AA479&gt;AsAt)*('Deal maths'!Y479&gt;0)*('Deal maths'!Z479&lt;=AsAt)</f>
        <v/>
      </c>
      <c r="C479" s="91">
        <f>IF('Deal maths'!V479="","",IF('Deal maths'!AC479="","Maturity",'Deal maths'!AC479))</f>
        <v/>
      </c>
      <c r="D479" s="108">
        <f>IF(OR(C479="EIP",C479="Annuity"),IF('Deal maths'!AD479="Annual",12,IF('Deal maths'!AD479="Quarterly",3,6)),0)</f>
        <v/>
      </c>
      <c r="E479" s="109">
        <f>IFERROR(IF(D479=0,0,IF('Deal maths'!AE479&gt;0,IF('Deal maths'!AE479&gt;'Deal maths'!AA479,'Deal maths'!AA479,'Deal maths'!AE479),IF(IF(DAY('Deal maths'!AA479+1)=1,EOMONTH('Deal maths'!AA479,-(INT(((YEAR('Deal maths'!AA479)-YEAR(IF('Deal maths'!Z479&gt;0,'Deal maths'!Z479,DATE(1990,1,1))))*12+MONTH('Deal maths'!AA479)-MONTH(IF('Deal maths'!Z479&gt;0,'Deal maths'!Z479,DATE(1990,1,1))))/D479))*D479),EDATE('Deal maths'!AA479,-(INT(((YEAR('Deal maths'!AA479)-YEAR(IF('Deal maths'!Z479&gt;0,'Deal maths'!Z479,DATE(1990,1,1))))*12+MONTH('Deal maths'!AA479)-MONTH(IF('Deal maths'!Z479&gt;0,'Deal maths'!Z479,DATE(1990,1,1))))/D479))*D479))&gt;IF('Deal maths'!Z479&gt;0,'Deal maths'!Z479,DATE(1990,1,1)),IF(DAY('Deal maths'!AA479+1)=1,EOMONTH('Deal maths'!AA479,-(INT(((YEAR('Deal maths'!AA479)-YEAR(IF('Deal maths'!Z479&gt;0,'Deal maths'!Z479,DATE(1990,1,1))))*12+MONTH('Deal maths'!AA479)-MONTH(IF('Deal maths'!Z479&gt;0,'Deal maths'!Z479,DATE(1990,1,1))))/D479))*D479),EDATE('Deal maths'!AA479,-(INT(((YEAR('Deal maths'!AA479)-YEAR(IF('Deal maths'!Z479&gt;0,'Deal maths'!Z479,DATE(1990,1,1))))*12+MONTH('Deal maths'!AA479)-MONTH(IF('Deal maths'!Z479&gt;0,'Deal maths'!Z479,DATE(1990,1,1))))/D479))*D479)),IF(DAY('Deal maths'!AA479+1)=1,EOMONTH('Deal maths'!AA479,-(INT(((YEAR('Deal maths'!AA479)-YEAR(IF('Deal maths'!Z479&gt;0,'Deal maths'!Z479,DATE(1990,1,1))))*12+MONTH('Deal maths'!AA479)-MONTH(IF('Deal maths'!Z479&gt;0,'Deal maths'!Z479,DATE(1990,1,1))))/D479)-1)*D479),EDATE('Deal maths'!AA479,-(INT(((YEAR('Deal maths'!AA479)-YEAR(IF('Deal maths'!Z479&gt;0,'Deal maths'!Z479,DATE(1990,1,1))))*12+MONTH('Deal maths'!AA479)-MONTH(IF('Deal maths'!Z479&gt;0,'Deal maths'!Z479,DATE(1990,1,1))))/D479)-1)*D479))))),0)</f>
        <v/>
      </c>
      <c r="F479" s="110">
        <f>IF(D479=0,0,'Deal maths'!AB479*D479/12)</f>
        <v/>
      </c>
      <c r="G479" s="108">
        <f>N479+O479</f>
        <v/>
      </c>
      <c r="H479" s="108">
        <f>IFERROR(IF(OR(D479=0,AsAt&lt;E479),0,MIN(N479,INT(((YEAR(AsAt)-YEAR(E479))*12+MONTH(AsAt)-MONTH(E479)-(DAY(AsAt)&lt;MIN(R479,DAY(EOMONTH(AsAt,0)))))/D479)+1)+O479*(AsAt&gt;='Deal maths'!AA479)),0)</f>
        <v/>
      </c>
      <c r="I479" s="108">
        <f>G479-H479</f>
        <v/>
      </c>
      <c r="J479" s="111">
        <f>IF(AND(C479="EIP",I479&gt;0),'Deal maths'!Y479/I479,0)</f>
        <v/>
      </c>
      <c r="K479" s="111">
        <f>IF(AND(C479="Annuity",I479&gt;0),IF(F479&gt;0,'Deal maths'!Y479*F479/(1-(1+F479)^-I479),'Deal maths'!Y479/I479),0)</f>
        <v/>
      </c>
      <c r="L479" s="111">
        <f>IF('Deal maths'!Y479="",0,'Deal maths'!Y479)</f>
        <v/>
      </c>
      <c r="M479" s="112">
        <f>F479+(F479=0)</f>
        <v/>
      </c>
      <c r="N479" s="108">
        <f>IFERROR(IF(D479=0,0,INT(((YEAR('Deal maths'!AA479)-YEAR(E479))*12+MONTH('Deal maths'!AA479)-MONTH(E479)-(DAY('Deal maths'!AA479)&lt;MIN(R479,DAY(EOMONTH('Deal maths'!AA479,0)))))/D479)+1),0)</f>
        <v/>
      </c>
      <c r="O479" s="108">
        <f>IFERROR(IF(D479=0,0,IF(IF(DAY(E479+1)=1,EOMONTH(E479,(N479-1)*D479),EDATE(E479,(N479-1)*D479))='Deal maths'!AA479,0,1)),0)</f>
        <v/>
      </c>
      <c r="P479" s="113">
        <f>IF(B479=0,0,IFERROR(IF(C479="EIP",((I479-O479)*((IF(DAY(E479+1)=1,EOMONTH(E479,H479*D479),EDATE(E479,H479*D479))-AsAt)/365.25+(IF(DAY(E479+1)=1,EOMONTH(E479,(N479-1)*D479),EDATE(E479,(N479-1)*D479))-AsAt)/365.25)/2+O479*('Deal maths'!AA479-AsAt)/365.25)/I479,IF(C479="Annuity",IF(F479&gt;0,((K479-L479*F479)*((IF(DAY(E479+1)=1,EOMONTH(E479,H479*D479),EDATE(E479,H479*D479))-AsAt)/365.25*((1+F479)^(I479-O479)-1)/F479+IF((I479-O479)&gt;1,((IF(DAY(E479+1)=1,EOMONTH(E479,(N479-1)*D479),EDATE(E479,(N479-1)*D479))-AsAt)/365.25-(IF(DAY(E479+1)=1,EOMONTH(E479,H479*D479),EDATE(E479,H479*D479))-AsAt)/365.25)/((I479-O479)-1),0)*(1+F479)*(1-(I479-O479)*(1+F479)^((I479-O479)-1)+((I479-O479)-1)*(1+F479)^(I479-O479))/F479^2)+O479*(K479-L479*F479)*(1+F479)^(I479-1)*('Deal maths'!AA479-AsAt)/365.25)/L479,((I479-O479)*((IF(DAY(E479+1)=1,EOMONTH(E479,H479*D479),EDATE(E479,H479*D479))-AsAt)/365.25+(IF(DAY(E479+1)=1,EOMONTH(E479,(N479-1)*D479),EDATE(E479,(N479-1)*D479))-AsAt)/365.25)/2+O479*('Deal maths'!AA479-AsAt)/365.25)/I479),(S479-AsAt)/365.25)),0))</f>
        <v/>
      </c>
      <c r="Q479" s="109">
        <f>IF(B479=1,'Deal maths'!AA479+ROW()/1000000,"")</f>
        <v/>
      </c>
      <c r="R479" s="108">
        <f>IF(D479=0,0,IF(DAY(E479+1)=1,31,DAY(E479)))</f>
        <v/>
      </c>
      <c r="S479" s="109">
        <f>IF(AND('Deal maths'!V479="LOBO",'Deal maths'!AG479&gt;AsAt,'Deal maths'!AG479&lt;'Deal maths'!AA479),'Deal maths'!AG479,'Deal maths'!AA479)</f>
        <v/>
      </c>
      <c r="T479" s="108">
        <f>('Deal maths'!AA479&gt;AsAt)*('Deal maths'!Y479&gt;0)</f>
        <v/>
      </c>
    </row>
    <row r="480">
      <c r="A480" s="91">
        <f>IF('Deal maths'!V480="","",'Deal maths'!W480)</f>
        <v/>
      </c>
      <c r="B480" s="108">
        <f>('Deal maths'!AA480&gt;AsAt)*('Deal maths'!Y480&gt;0)*('Deal maths'!Z480&lt;=AsAt)</f>
        <v/>
      </c>
      <c r="C480" s="91">
        <f>IF('Deal maths'!V480="","",IF('Deal maths'!AC480="","Maturity",'Deal maths'!AC480))</f>
        <v/>
      </c>
      <c r="D480" s="108">
        <f>IF(OR(C480="EIP",C480="Annuity"),IF('Deal maths'!AD480="Annual",12,IF('Deal maths'!AD480="Quarterly",3,6)),0)</f>
        <v/>
      </c>
      <c r="E480" s="109">
        <f>IFERROR(IF(D480=0,0,IF('Deal maths'!AE480&gt;0,IF('Deal maths'!AE480&gt;'Deal maths'!AA480,'Deal maths'!AA480,'Deal maths'!AE480),IF(IF(DAY('Deal maths'!AA480+1)=1,EOMONTH('Deal maths'!AA480,-(INT(((YEAR('Deal maths'!AA480)-YEAR(IF('Deal maths'!Z480&gt;0,'Deal maths'!Z480,DATE(1990,1,1))))*12+MONTH('Deal maths'!AA480)-MONTH(IF('Deal maths'!Z480&gt;0,'Deal maths'!Z480,DATE(1990,1,1))))/D480))*D480),EDATE('Deal maths'!AA480,-(INT(((YEAR('Deal maths'!AA480)-YEAR(IF('Deal maths'!Z480&gt;0,'Deal maths'!Z480,DATE(1990,1,1))))*12+MONTH('Deal maths'!AA480)-MONTH(IF('Deal maths'!Z480&gt;0,'Deal maths'!Z480,DATE(1990,1,1))))/D480))*D480))&gt;IF('Deal maths'!Z480&gt;0,'Deal maths'!Z480,DATE(1990,1,1)),IF(DAY('Deal maths'!AA480+1)=1,EOMONTH('Deal maths'!AA480,-(INT(((YEAR('Deal maths'!AA480)-YEAR(IF('Deal maths'!Z480&gt;0,'Deal maths'!Z480,DATE(1990,1,1))))*12+MONTH('Deal maths'!AA480)-MONTH(IF('Deal maths'!Z480&gt;0,'Deal maths'!Z480,DATE(1990,1,1))))/D480))*D480),EDATE('Deal maths'!AA480,-(INT(((YEAR('Deal maths'!AA480)-YEAR(IF('Deal maths'!Z480&gt;0,'Deal maths'!Z480,DATE(1990,1,1))))*12+MONTH('Deal maths'!AA480)-MONTH(IF('Deal maths'!Z480&gt;0,'Deal maths'!Z480,DATE(1990,1,1))))/D480))*D480)),IF(DAY('Deal maths'!AA480+1)=1,EOMONTH('Deal maths'!AA480,-(INT(((YEAR('Deal maths'!AA480)-YEAR(IF('Deal maths'!Z480&gt;0,'Deal maths'!Z480,DATE(1990,1,1))))*12+MONTH('Deal maths'!AA480)-MONTH(IF('Deal maths'!Z480&gt;0,'Deal maths'!Z480,DATE(1990,1,1))))/D480)-1)*D480),EDATE('Deal maths'!AA480,-(INT(((YEAR('Deal maths'!AA480)-YEAR(IF('Deal maths'!Z480&gt;0,'Deal maths'!Z480,DATE(1990,1,1))))*12+MONTH('Deal maths'!AA480)-MONTH(IF('Deal maths'!Z480&gt;0,'Deal maths'!Z480,DATE(1990,1,1))))/D480)-1)*D480))))),0)</f>
        <v/>
      </c>
      <c r="F480" s="110">
        <f>IF(D480=0,0,'Deal maths'!AB480*D480/12)</f>
        <v/>
      </c>
      <c r="G480" s="108">
        <f>N480+O480</f>
        <v/>
      </c>
      <c r="H480" s="108">
        <f>IFERROR(IF(OR(D480=0,AsAt&lt;E480),0,MIN(N480,INT(((YEAR(AsAt)-YEAR(E480))*12+MONTH(AsAt)-MONTH(E480)-(DAY(AsAt)&lt;MIN(R480,DAY(EOMONTH(AsAt,0)))))/D480)+1)+O480*(AsAt&gt;='Deal maths'!AA480)),0)</f>
        <v/>
      </c>
      <c r="I480" s="108">
        <f>G480-H480</f>
        <v/>
      </c>
      <c r="J480" s="111">
        <f>IF(AND(C480="EIP",I480&gt;0),'Deal maths'!Y480/I480,0)</f>
        <v/>
      </c>
      <c r="K480" s="111">
        <f>IF(AND(C480="Annuity",I480&gt;0),IF(F480&gt;0,'Deal maths'!Y480*F480/(1-(1+F480)^-I480),'Deal maths'!Y480/I480),0)</f>
        <v/>
      </c>
      <c r="L480" s="111">
        <f>IF('Deal maths'!Y480="",0,'Deal maths'!Y480)</f>
        <v/>
      </c>
      <c r="M480" s="112">
        <f>F480+(F480=0)</f>
        <v/>
      </c>
      <c r="N480" s="108">
        <f>IFERROR(IF(D480=0,0,INT(((YEAR('Deal maths'!AA480)-YEAR(E480))*12+MONTH('Deal maths'!AA480)-MONTH(E480)-(DAY('Deal maths'!AA480)&lt;MIN(R480,DAY(EOMONTH('Deal maths'!AA480,0)))))/D480)+1),0)</f>
        <v/>
      </c>
      <c r="O480" s="108">
        <f>IFERROR(IF(D480=0,0,IF(IF(DAY(E480+1)=1,EOMONTH(E480,(N480-1)*D480),EDATE(E480,(N480-1)*D480))='Deal maths'!AA480,0,1)),0)</f>
        <v/>
      </c>
      <c r="P480" s="113">
        <f>IF(B480=0,0,IFERROR(IF(C480="EIP",((I480-O480)*((IF(DAY(E480+1)=1,EOMONTH(E480,H480*D480),EDATE(E480,H480*D480))-AsAt)/365.25+(IF(DAY(E480+1)=1,EOMONTH(E480,(N480-1)*D480),EDATE(E480,(N480-1)*D480))-AsAt)/365.25)/2+O480*('Deal maths'!AA480-AsAt)/365.25)/I480,IF(C480="Annuity",IF(F480&gt;0,((K480-L480*F480)*((IF(DAY(E480+1)=1,EOMONTH(E480,H480*D480),EDATE(E480,H480*D480))-AsAt)/365.25*((1+F480)^(I480-O480)-1)/F480+IF((I480-O480)&gt;1,((IF(DAY(E480+1)=1,EOMONTH(E480,(N480-1)*D480),EDATE(E480,(N480-1)*D480))-AsAt)/365.25-(IF(DAY(E480+1)=1,EOMONTH(E480,H480*D480),EDATE(E480,H480*D480))-AsAt)/365.25)/((I480-O480)-1),0)*(1+F480)*(1-(I480-O480)*(1+F480)^((I480-O480)-1)+((I480-O480)-1)*(1+F480)^(I480-O480))/F480^2)+O480*(K480-L480*F480)*(1+F480)^(I480-1)*('Deal maths'!AA480-AsAt)/365.25)/L480,((I480-O480)*((IF(DAY(E480+1)=1,EOMONTH(E480,H480*D480),EDATE(E480,H480*D480))-AsAt)/365.25+(IF(DAY(E480+1)=1,EOMONTH(E480,(N480-1)*D480),EDATE(E480,(N480-1)*D480))-AsAt)/365.25)/2+O480*('Deal maths'!AA480-AsAt)/365.25)/I480),(S480-AsAt)/365.25)),0))</f>
        <v/>
      </c>
      <c r="Q480" s="109">
        <f>IF(B480=1,'Deal maths'!AA480+ROW()/1000000,"")</f>
        <v/>
      </c>
      <c r="R480" s="108">
        <f>IF(D480=0,0,IF(DAY(E480+1)=1,31,DAY(E480)))</f>
        <v/>
      </c>
      <c r="S480" s="109">
        <f>IF(AND('Deal maths'!V480="LOBO",'Deal maths'!AG480&gt;AsAt,'Deal maths'!AG480&lt;'Deal maths'!AA480),'Deal maths'!AG480,'Deal maths'!AA480)</f>
        <v/>
      </c>
      <c r="T480" s="108">
        <f>('Deal maths'!AA480&gt;AsAt)*('Deal maths'!Y480&gt;0)</f>
        <v/>
      </c>
    </row>
    <row r="481">
      <c r="A481" s="91">
        <f>IF('Deal maths'!V481="","",'Deal maths'!W481)</f>
        <v/>
      </c>
      <c r="B481" s="108">
        <f>('Deal maths'!AA481&gt;AsAt)*('Deal maths'!Y481&gt;0)*('Deal maths'!Z481&lt;=AsAt)</f>
        <v/>
      </c>
      <c r="C481" s="91">
        <f>IF('Deal maths'!V481="","",IF('Deal maths'!AC481="","Maturity",'Deal maths'!AC481))</f>
        <v/>
      </c>
      <c r="D481" s="108">
        <f>IF(OR(C481="EIP",C481="Annuity"),IF('Deal maths'!AD481="Annual",12,IF('Deal maths'!AD481="Quarterly",3,6)),0)</f>
        <v/>
      </c>
      <c r="E481" s="109">
        <f>IFERROR(IF(D481=0,0,IF('Deal maths'!AE481&gt;0,IF('Deal maths'!AE481&gt;'Deal maths'!AA481,'Deal maths'!AA481,'Deal maths'!AE481),IF(IF(DAY('Deal maths'!AA481+1)=1,EOMONTH('Deal maths'!AA481,-(INT(((YEAR('Deal maths'!AA481)-YEAR(IF('Deal maths'!Z481&gt;0,'Deal maths'!Z481,DATE(1990,1,1))))*12+MONTH('Deal maths'!AA481)-MONTH(IF('Deal maths'!Z481&gt;0,'Deal maths'!Z481,DATE(1990,1,1))))/D481))*D481),EDATE('Deal maths'!AA481,-(INT(((YEAR('Deal maths'!AA481)-YEAR(IF('Deal maths'!Z481&gt;0,'Deal maths'!Z481,DATE(1990,1,1))))*12+MONTH('Deal maths'!AA481)-MONTH(IF('Deal maths'!Z481&gt;0,'Deal maths'!Z481,DATE(1990,1,1))))/D481))*D481))&gt;IF('Deal maths'!Z481&gt;0,'Deal maths'!Z481,DATE(1990,1,1)),IF(DAY('Deal maths'!AA481+1)=1,EOMONTH('Deal maths'!AA481,-(INT(((YEAR('Deal maths'!AA481)-YEAR(IF('Deal maths'!Z481&gt;0,'Deal maths'!Z481,DATE(1990,1,1))))*12+MONTH('Deal maths'!AA481)-MONTH(IF('Deal maths'!Z481&gt;0,'Deal maths'!Z481,DATE(1990,1,1))))/D481))*D481),EDATE('Deal maths'!AA481,-(INT(((YEAR('Deal maths'!AA481)-YEAR(IF('Deal maths'!Z481&gt;0,'Deal maths'!Z481,DATE(1990,1,1))))*12+MONTH('Deal maths'!AA481)-MONTH(IF('Deal maths'!Z481&gt;0,'Deal maths'!Z481,DATE(1990,1,1))))/D481))*D481)),IF(DAY('Deal maths'!AA481+1)=1,EOMONTH('Deal maths'!AA481,-(INT(((YEAR('Deal maths'!AA481)-YEAR(IF('Deal maths'!Z481&gt;0,'Deal maths'!Z481,DATE(1990,1,1))))*12+MONTH('Deal maths'!AA481)-MONTH(IF('Deal maths'!Z481&gt;0,'Deal maths'!Z481,DATE(1990,1,1))))/D481)-1)*D481),EDATE('Deal maths'!AA481,-(INT(((YEAR('Deal maths'!AA481)-YEAR(IF('Deal maths'!Z481&gt;0,'Deal maths'!Z481,DATE(1990,1,1))))*12+MONTH('Deal maths'!AA481)-MONTH(IF('Deal maths'!Z481&gt;0,'Deal maths'!Z481,DATE(1990,1,1))))/D481)-1)*D481))))),0)</f>
        <v/>
      </c>
      <c r="F481" s="110">
        <f>IF(D481=0,0,'Deal maths'!AB481*D481/12)</f>
        <v/>
      </c>
      <c r="G481" s="108">
        <f>N481+O481</f>
        <v/>
      </c>
      <c r="H481" s="108">
        <f>IFERROR(IF(OR(D481=0,AsAt&lt;E481),0,MIN(N481,INT(((YEAR(AsAt)-YEAR(E481))*12+MONTH(AsAt)-MONTH(E481)-(DAY(AsAt)&lt;MIN(R481,DAY(EOMONTH(AsAt,0)))))/D481)+1)+O481*(AsAt&gt;='Deal maths'!AA481)),0)</f>
        <v/>
      </c>
      <c r="I481" s="108">
        <f>G481-H481</f>
        <v/>
      </c>
      <c r="J481" s="111">
        <f>IF(AND(C481="EIP",I481&gt;0),'Deal maths'!Y481/I481,0)</f>
        <v/>
      </c>
      <c r="K481" s="111">
        <f>IF(AND(C481="Annuity",I481&gt;0),IF(F481&gt;0,'Deal maths'!Y481*F481/(1-(1+F481)^-I481),'Deal maths'!Y481/I481),0)</f>
        <v/>
      </c>
      <c r="L481" s="111">
        <f>IF('Deal maths'!Y481="",0,'Deal maths'!Y481)</f>
        <v/>
      </c>
      <c r="M481" s="112">
        <f>F481+(F481=0)</f>
        <v/>
      </c>
      <c r="N481" s="108">
        <f>IFERROR(IF(D481=0,0,INT(((YEAR('Deal maths'!AA481)-YEAR(E481))*12+MONTH('Deal maths'!AA481)-MONTH(E481)-(DAY('Deal maths'!AA481)&lt;MIN(R481,DAY(EOMONTH('Deal maths'!AA481,0)))))/D481)+1),0)</f>
        <v/>
      </c>
      <c r="O481" s="108">
        <f>IFERROR(IF(D481=0,0,IF(IF(DAY(E481+1)=1,EOMONTH(E481,(N481-1)*D481),EDATE(E481,(N481-1)*D481))='Deal maths'!AA481,0,1)),0)</f>
        <v/>
      </c>
      <c r="P481" s="113">
        <f>IF(B481=0,0,IFERROR(IF(C481="EIP",((I481-O481)*((IF(DAY(E481+1)=1,EOMONTH(E481,H481*D481),EDATE(E481,H481*D481))-AsAt)/365.25+(IF(DAY(E481+1)=1,EOMONTH(E481,(N481-1)*D481),EDATE(E481,(N481-1)*D481))-AsAt)/365.25)/2+O481*('Deal maths'!AA481-AsAt)/365.25)/I481,IF(C481="Annuity",IF(F481&gt;0,((K481-L481*F481)*((IF(DAY(E481+1)=1,EOMONTH(E481,H481*D481),EDATE(E481,H481*D481))-AsAt)/365.25*((1+F481)^(I481-O481)-1)/F481+IF((I481-O481)&gt;1,((IF(DAY(E481+1)=1,EOMONTH(E481,(N481-1)*D481),EDATE(E481,(N481-1)*D481))-AsAt)/365.25-(IF(DAY(E481+1)=1,EOMONTH(E481,H481*D481),EDATE(E481,H481*D481))-AsAt)/365.25)/((I481-O481)-1),0)*(1+F481)*(1-(I481-O481)*(1+F481)^((I481-O481)-1)+((I481-O481)-1)*(1+F481)^(I481-O481))/F481^2)+O481*(K481-L481*F481)*(1+F481)^(I481-1)*('Deal maths'!AA481-AsAt)/365.25)/L481,((I481-O481)*((IF(DAY(E481+1)=1,EOMONTH(E481,H481*D481),EDATE(E481,H481*D481))-AsAt)/365.25+(IF(DAY(E481+1)=1,EOMONTH(E481,(N481-1)*D481),EDATE(E481,(N481-1)*D481))-AsAt)/365.25)/2+O481*('Deal maths'!AA481-AsAt)/365.25)/I481),(S481-AsAt)/365.25)),0))</f>
        <v/>
      </c>
      <c r="Q481" s="109">
        <f>IF(B481=1,'Deal maths'!AA481+ROW()/1000000,"")</f>
        <v/>
      </c>
      <c r="R481" s="108">
        <f>IF(D481=0,0,IF(DAY(E481+1)=1,31,DAY(E481)))</f>
        <v/>
      </c>
      <c r="S481" s="109">
        <f>IF(AND('Deal maths'!V481="LOBO",'Deal maths'!AG481&gt;AsAt,'Deal maths'!AG481&lt;'Deal maths'!AA481),'Deal maths'!AG481,'Deal maths'!AA481)</f>
        <v/>
      </c>
      <c r="T481" s="108">
        <f>('Deal maths'!AA481&gt;AsAt)*('Deal maths'!Y481&gt;0)</f>
        <v/>
      </c>
    </row>
    <row r="482">
      <c r="A482" s="91">
        <f>IF('Deal maths'!V482="","",'Deal maths'!W482)</f>
        <v/>
      </c>
      <c r="B482" s="108">
        <f>('Deal maths'!AA482&gt;AsAt)*('Deal maths'!Y482&gt;0)*('Deal maths'!Z482&lt;=AsAt)</f>
        <v/>
      </c>
      <c r="C482" s="91">
        <f>IF('Deal maths'!V482="","",IF('Deal maths'!AC482="","Maturity",'Deal maths'!AC482))</f>
        <v/>
      </c>
      <c r="D482" s="108">
        <f>IF(OR(C482="EIP",C482="Annuity"),IF('Deal maths'!AD482="Annual",12,IF('Deal maths'!AD482="Quarterly",3,6)),0)</f>
        <v/>
      </c>
      <c r="E482" s="109">
        <f>IFERROR(IF(D482=0,0,IF('Deal maths'!AE482&gt;0,IF('Deal maths'!AE482&gt;'Deal maths'!AA482,'Deal maths'!AA482,'Deal maths'!AE482),IF(IF(DAY('Deal maths'!AA482+1)=1,EOMONTH('Deal maths'!AA482,-(INT(((YEAR('Deal maths'!AA482)-YEAR(IF('Deal maths'!Z482&gt;0,'Deal maths'!Z482,DATE(1990,1,1))))*12+MONTH('Deal maths'!AA482)-MONTH(IF('Deal maths'!Z482&gt;0,'Deal maths'!Z482,DATE(1990,1,1))))/D482))*D482),EDATE('Deal maths'!AA482,-(INT(((YEAR('Deal maths'!AA482)-YEAR(IF('Deal maths'!Z482&gt;0,'Deal maths'!Z482,DATE(1990,1,1))))*12+MONTH('Deal maths'!AA482)-MONTH(IF('Deal maths'!Z482&gt;0,'Deal maths'!Z482,DATE(1990,1,1))))/D482))*D482))&gt;IF('Deal maths'!Z482&gt;0,'Deal maths'!Z482,DATE(1990,1,1)),IF(DAY('Deal maths'!AA482+1)=1,EOMONTH('Deal maths'!AA482,-(INT(((YEAR('Deal maths'!AA482)-YEAR(IF('Deal maths'!Z482&gt;0,'Deal maths'!Z482,DATE(1990,1,1))))*12+MONTH('Deal maths'!AA482)-MONTH(IF('Deal maths'!Z482&gt;0,'Deal maths'!Z482,DATE(1990,1,1))))/D482))*D482),EDATE('Deal maths'!AA482,-(INT(((YEAR('Deal maths'!AA482)-YEAR(IF('Deal maths'!Z482&gt;0,'Deal maths'!Z482,DATE(1990,1,1))))*12+MONTH('Deal maths'!AA482)-MONTH(IF('Deal maths'!Z482&gt;0,'Deal maths'!Z482,DATE(1990,1,1))))/D482))*D482)),IF(DAY('Deal maths'!AA482+1)=1,EOMONTH('Deal maths'!AA482,-(INT(((YEAR('Deal maths'!AA482)-YEAR(IF('Deal maths'!Z482&gt;0,'Deal maths'!Z482,DATE(1990,1,1))))*12+MONTH('Deal maths'!AA482)-MONTH(IF('Deal maths'!Z482&gt;0,'Deal maths'!Z482,DATE(1990,1,1))))/D482)-1)*D482),EDATE('Deal maths'!AA482,-(INT(((YEAR('Deal maths'!AA482)-YEAR(IF('Deal maths'!Z482&gt;0,'Deal maths'!Z482,DATE(1990,1,1))))*12+MONTH('Deal maths'!AA482)-MONTH(IF('Deal maths'!Z482&gt;0,'Deal maths'!Z482,DATE(1990,1,1))))/D482)-1)*D482))))),0)</f>
        <v/>
      </c>
      <c r="F482" s="110">
        <f>IF(D482=0,0,'Deal maths'!AB482*D482/12)</f>
        <v/>
      </c>
      <c r="G482" s="108">
        <f>N482+O482</f>
        <v/>
      </c>
      <c r="H482" s="108">
        <f>IFERROR(IF(OR(D482=0,AsAt&lt;E482),0,MIN(N482,INT(((YEAR(AsAt)-YEAR(E482))*12+MONTH(AsAt)-MONTH(E482)-(DAY(AsAt)&lt;MIN(R482,DAY(EOMONTH(AsAt,0)))))/D482)+1)+O482*(AsAt&gt;='Deal maths'!AA482)),0)</f>
        <v/>
      </c>
      <c r="I482" s="108">
        <f>G482-H482</f>
        <v/>
      </c>
      <c r="J482" s="111">
        <f>IF(AND(C482="EIP",I482&gt;0),'Deal maths'!Y482/I482,0)</f>
        <v/>
      </c>
      <c r="K482" s="111">
        <f>IF(AND(C482="Annuity",I482&gt;0),IF(F482&gt;0,'Deal maths'!Y482*F482/(1-(1+F482)^-I482),'Deal maths'!Y482/I482),0)</f>
        <v/>
      </c>
      <c r="L482" s="111">
        <f>IF('Deal maths'!Y482="",0,'Deal maths'!Y482)</f>
        <v/>
      </c>
      <c r="M482" s="112">
        <f>F482+(F482=0)</f>
        <v/>
      </c>
      <c r="N482" s="108">
        <f>IFERROR(IF(D482=0,0,INT(((YEAR('Deal maths'!AA482)-YEAR(E482))*12+MONTH('Deal maths'!AA482)-MONTH(E482)-(DAY('Deal maths'!AA482)&lt;MIN(R482,DAY(EOMONTH('Deal maths'!AA482,0)))))/D482)+1),0)</f>
        <v/>
      </c>
      <c r="O482" s="108">
        <f>IFERROR(IF(D482=0,0,IF(IF(DAY(E482+1)=1,EOMONTH(E482,(N482-1)*D482),EDATE(E482,(N482-1)*D482))='Deal maths'!AA482,0,1)),0)</f>
        <v/>
      </c>
      <c r="P482" s="113">
        <f>IF(B482=0,0,IFERROR(IF(C482="EIP",((I482-O482)*((IF(DAY(E482+1)=1,EOMONTH(E482,H482*D482),EDATE(E482,H482*D482))-AsAt)/365.25+(IF(DAY(E482+1)=1,EOMONTH(E482,(N482-1)*D482),EDATE(E482,(N482-1)*D482))-AsAt)/365.25)/2+O482*('Deal maths'!AA482-AsAt)/365.25)/I482,IF(C482="Annuity",IF(F482&gt;0,((K482-L482*F482)*((IF(DAY(E482+1)=1,EOMONTH(E482,H482*D482),EDATE(E482,H482*D482))-AsAt)/365.25*((1+F482)^(I482-O482)-1)/F482+IF((I482-O482)&gt;1,((IF(DAY(E482+1)=1,EOMONTH(E482,(N482-1)*D482),EDATE(E482,(N482-1)*D482))-AsAt)/365.25-(IF(DAY(E482+1)=1,EOMONTH(E482,H482*D482),EDATE(E482,H482*D482))-AsAt)/365.25)/((I482-O482)-1),0)*(1+F482)*(1-(I482-O482)*(1+F482)^((I482-O482)-1)+((I482-O482)-1)*(1+F482)^(I482-O482))/F482^2)+O482*(K482-L482*F482)*(1+F482)^(I482-1)*('Deal maths'!AA482-AsAt)/365.25)/L482,((I482-O482)*((IF(DAY(E482+1)=1,EOMONTH(E482,H482*D482),EDATE(E482,H482*D482))-AsAt)/365.25+(IF(DAY(E482+1)=1,EOMONTH(E482,(N482-1)*D482),EDATE(E482,(N482-1)*D482))-AsAt)/365.25)/2+O482*('Deal maths'!AA482-AsAt)/365.25)/I482),(S482-AsAt)/365.25)),0))</f>
        <v/>
      </c>
      <c r="Q482" s="109">
        <f>IF(B482=1,'Deal maths'!AA482+ROW()/1000000,"")</f>
        <v/>
      </c>
      <c r="R482" s="108">
        <f>IF(D482=0,0,IF(DAY(E482+1)=1,31,DAY(E482)))</f>
        <v/>
      </c>
      <c r="S482" s="109">
        <f>IF(AND('Deal maths'!V482="LOBO",'Deal maths'!AG482&gt;AsAt,'Deal maths'!AG482&lt;'Deal maths'!AA482),'Deal maths'!AG482,'Deal maths'!AA482)</f>
        <v/>
      </c>
      <c r="T482" s="108">
        <f>('Deal maths'!AA482&gt;AsAt)*('Deal maths'!Y482&gt;0)</f>
        <v/>
      </c>
    </row>
    <row r="483">
      <c r="A483" s="91">
        <f>IF('Deal maths'!V483="","",'Deal maths'!W483)</f>
        <v/>
      </c>
      <c r="B483" s="108">
        <f>('Deal maths'!AA483&gt;AsAt)*('Deal maths'!Y483&gt;0)*('Deal maths'!Z483&lt;=AsAt)</f>
        <v/>
      </c>
      <c r="C483" s="91">
        <f>IF('Deal maths'!V483="","",IF('Deal maths'!AC483="","Maturity",'Deal maths'!AC483))</f>
        <v/>
      </c>
      <c r="D483" s="108">
        <f>IF(OR(C483="EIP",C483="Annuity"),IF('Deal maths'!AD483="Annual",12,IF('Deal maths'!AD483="Quarterly",3,6)),0)</f>
        <v/>
      </c>
      <c r="E483" s="109">
        <f>IFERROR(IF(D483=0,0,IF('Deal maths'!AE483&gt;0,IF('Deal maths'!AE483&gt;'Deal maths'!AA483,'Deal maths'!AA483,'Deal maths'!AE483),IF(IF(DAY('Deal maths'!AA483+1)=1,EOMONTH('Deal maths'!AA483,-(INT(((YEAR('Deal maths'!AA483)-YEAR(IF('Deal maths'!Z483&gt;0,'Deal maths'!Z483,DATE(1990,1,1))))*12+MONTH('Deal maths'!AA483)-MONTH(IF('Deal maths'!Z483&gt;0,'Deal maths'!Z483,DATE(1990,1,1))))/D483))*D483),EDATE('Deal maths'!AA483,-(INT(((YEAR('Deal maths'!AA483)-YEAR(IF('Deal maths'!Z483&gt;0,'Deal maths'!Z483,DATE(1990,1,1))))*12+MONTH('Deal maths'!AA483)-MONTH(IF('Deal maths'!Z483&gt;0,'Deal maths'!Z483,DATE(1990,1,1))))/D483))*D483))&gt;IF('Deal maths'!Z483&gt;0,'Deal maths'!Z483,DATE(1990,1,1)),IF(DAY('Deal maths'!AA483+1)=1,EOMONTH('Deal maths'!AA483,-(INT(((YEAR('Deal maths'!AA483)-YEAR(IF('Deal maths'!Z483&gt;0,'Deal maths'!Z483,DATE(1990,1,1))))*12+MONTH('Deal maths'!AA483)-MONTH(IF('Deal maths'!Z483&gt;0,'Deal maths'!Z483,DATE(1990,1,1))))/D483))*D483),EDATE('Deal maths'!AA483,-(INT(((YEAR('Deal maths'!AA483)-YEAR(IF('Deal maths'!Z483&gt;0,'Deal maths'!Z483,DATE(1990,1,1))))*12+MONTH('Deal maths'!AA483)-MONTH(IF('Deal maths'!Z483&gt;0,'Deal maths'!Z483,DATE(1990,1,1))))/D483))*D483)),IF(DAY('Deal maths'!AA483+1)=1,EOMONTH('Deal maths'!AA483,-(INT(((YEAR('Deal maths'!AA483)-YEAR(IF('Deal maths'!Z483&gt;0,'Deal maths'!Z483,DATE(1990,1,1))))*12+MONTH('Deal maths'!AA483)-MONTH(IF('Deal maths'!Z483&gt;0,'Deal maths'!Z483,DATE(1990,1,1))))/D483)-1)*D483),EDATE('Deal maths'!AA483,-(INT(((YEAR('Deal maths'!AA483)-YEAR(IF('Deal maths'!Z483&gt;0,'Deal maths'!Z483,DATE(1990,1,1))))*12+MONTH('Deal maths'!AA483)-MONTH(IF('Deal maths'!Z483&gt;0,'Deal maths'!Z483,DATE(1990,1,1))))/D483)-1)*D483))))),0)</f>
        <v/>
      </c>
      <c r="F483" s="110">
        <f>IF(D483=0,0,'Deal maths'!AB483*D483/12)</f>
        <v/>
      </c>
      <c r="G483" s="108">
        <f>N483+O483</f>
        <v/>
      </c>
      <c r="H483" s="108">
        <f>IFERROR(IF(OR(D483=0,AsAt&lt;E483),0,MIN(N483,INT(((YEAR(AsAt)-YEAR(E483))*12+MONTH(AsAt)-MONTH(E483)-(DAY(AsAt)&lt;MIN(R483,DAY(EOMONTH(AsAt,0)))))/D483)+1)+O483*(AsAt&gt;='Deal maths'!AA483)),0)</f>
        <v/>
      </c>
      <c r="I483" s="108">
        <f>G483-H483</f>
        <v/>
      </c>
      <c r="J483" s="111">
        <f>IF(AND(C483="EIP",I483&gt;0),'Deal maths'!Y483/I483,0)</f>
        <v/>
      </c>
      <c r="K483" s="111">
        <f>IF(AND(C483="Annuity",I483&gt;0),IF(F483&gt;0,'Deal maths'!Y483*F483/(1-(1+F483)^-I483),'Deal maths'!Y483/I483),0)</f>
        <v/>
      </c>
      <c r="L483" s="111">
        <f>IF('Deal maths'!Y483="",0,'Deal maths'!Y483)</f>
        <v/>
      </c>
      <c r="M483" s="112">
        <f>F483+(F483=0)</f>
        <v/>
      </c>
      <c r="N483" s="108">
        <f>IFERROR(IF(D483=0,0,INT(((YEAR('Deal maths'!AA483)-YEAR(E483))*12+MONTH('Deal maths'!AA483)-MONTH(E483)-(DAY('Deal maths'!AA483)&lt;MIN(R483,DAY(EOMONTH('Deal maths'!AA483,0)))))/D483)+1),0)</f>
        <v/>
      </c>
      <c r="O483" s="108">
        <f>IFERROR(IF(D483=0,0,IF(IF(DAY(E483+1)=1,EOMONTH(E483,(N483-1)*D483),EDATE(E483,(N483-1)*D483))='Deal maths'!AA483,0,1)),0)</f>
        <v/>
      </c>
      <c r="P483" s="113">
        <f>IF(B483=0,0,IFERROR(IF(C483="EIP",((I483-O483)*((IF(DAY(E483+1)=1,EOMONTH(E483,H483*D483),EDATE(E483,H483*D483))-AsAt)/365.25+(IF(DAY(E483+1)=1,EOMONTH(E483,(N483-1)*D483),EDATE(E483,(N483-1)*D483))-AsAt)/365.25)/2+O483*('Deal maths'!AA483-AsAt)/365.25)/I483,IF(C483="Annuity",IF(F483&gt;0,((K483-L483*F483)*((IF(DAY(E483+1)=1,EOMONTH(E483,H483*D483),EDATE(E483,H483*D483))-AsAt)/365.25*((1+F483)^(I483-O483)-1)/F483+IF((I483-O483)&gt;1,((IF(DAY(E483+1)=1,EOMONTH(E483,(N483-1)*D483),EDATE(E483,(N483-1)*D483))-AsAt)/365.25-(IF(DAY(E483+1)=1,EOMONTH(E483,H483*D483),EDATE(E483,H483*D483))-AsAt)/365.25)/((I483-O483)-1),0)*(1+F483)*(1-(I483-O483)*(1+F483)^((I483-O483)-1)+((I483-O483)-1)*(1+F483)^(I483-O483))/F483^2)+O483*(K483-L483*F483)*(1+F483)^(I483-1)*('Deal maths'!AA483-AsAt)/365.25)/L483,((I483-O483)*((IF(DAY(E483+1)=1,EOMONTH(E483,H483*D483),EDATE(E483,H483*D483))-AsAt)/365.25+(IF(DAY(E483+1)=1,EOMONTH(E483,(N483-1)*D483),EDATE(E483,(N483-1)*D483))-AsAt)/365.25)/2+O483*('Deal maths'!AA483-AsAt)/365.25)/I483),(S483-AsAt)/365.25)),0))</f>
        <v/>
      </c>
      <c r="Q483" s="109">
        <f>IF(B483=1,'Deal maths'!AA483+ROW()/1000000,"")</f>
        <v/>
      </c>
      <c r="R483" s="108">
        <f>IF(D483=0,0,IF(DAY(E483+1)=1,31,DAY(E483)))</f>
        <v/>
      </c>
      <c r="S483" s="109">
        <f>IF(AND('Deal maths'!V483="LOBO",'Deal maths'!AG483&gt;AsAt,'Deal maths'!AG483&lt;'Deal maths'!AA483),'Deal maths'!AG483,'Deal maths'!AA483)</f>
        <v/>
      </c>
      <c r="T483" s="108">
        <f>('Deal maths'!AA483&gt;AsAt)*('Deal maths'!Y483&gt;0)</f>
        <v/>
      </c>
    </row>
    <row r="484">
      <c r="A484" s="91">
        <f>IF('Deal maths'!V484="","",'Deal maths'!W484)</f>
        <v/>
      </c>
      <c r="B484" s="108">
        <f>('Deal maths'!AA484&gt;AsAt)*('Deal maths'!Y484&gt;0)*('Deal maths'!Z484&lt;=AsAt)</f>
        <v/>
      </c>
      <c r="C484" s="91">
        <f>IF('Deal maths'!V484="","",IF('Deal maths'!AC484="","Maturity",'Deal maths'!AC484))</f>
        <v/>
      </c>
      <c r="D484" s="108">
        <f>IF(OR(C484="EIP",C484="Annuity"),IF('Deal maths'!AD484="Annual",12,IF('Deal maths'!AD484="Quarterly",3,6)),0)</f>
        <v/>
      </c>
      <c r="E484" s="109">
        <f>IFERROR(IF(D484=0,0,IF('Deal maths'!AE484&gt;0,IF('Deal maths'!AE484&gt;'Deal maths'!AA484,'Deal maths'!AA484,'Deal maths'!AE484),IF(IF(DAY('Deal maths'!AA484+1)=1,EOMONTH('Deal maths'!AA484,-(INT(((YEAR('Deal maths'!AA484)-YEAR(IF('Deal maths'!Z484&gt;0,'Deal maths'!Z484,DATE(1990,1,1))))*12+MONTH('Deal maths'!AA484)-MONTH(IF('Deal maths'!Z484&gt;0,'Deal maths'!Z484,DATE(1990,1,1))))/D484))*D484),EDATE('Deal maths'!AA484,-(INT(((YEAR('Deal maths'!AA484)-YEAR(IF('Deal maths'!Z484&gt;0,'Deal maths'!Z484,DATE(1990,1,1))))*12+MONTH('Deal maths'!AA484)-MONTH(IF('Deal maths'!Z484&gt;0,'Deal maths'!Z484,DATE(1990,1,1))))/D484))*D484))&gt;IF('Deal maths'!Z484&gt;0,'Deal maths'!Z484,DATE(1990,1,1)),IF(DAY('Deal maths'!AA484+1)=1,EOMONTH('Deal maths'!AA484,-(INT(((YEAR('Deal maths'!AA484)-YEAR(IF('Deal maths'!Z484&gt;0,'Deal maths'!Z484,DATE(1990,1,1))))*12+MONTH('Deal maths'!AA484)-MONTH(IF('Deal maths'!Z484&gt;0,'Deal maths'!Z484,DATE(1990,1,1))))/D484))*D484),EDATE('Deal maths'!AA484,-(INT(((YEAR('Deal maths'!AA484)-YEAR(IF('Deal maths'!Z484&gt;0,'Deal maths'!Z484,DATE(1990,1,1))))*12+MONTH('Deal maths'!AA484)-MONTH(IF('Deal maths'!Z484&gt;0,'Deal maths'!Z484,DATE(1990,1,1))))/D484))*D484)),IF(DAY('Deal maths'!AA484+1)=1,EOMONTH('Deal maths'!AA484,-(INT(((YEAR('Deal maths'!AA484)-YEAR(IF('Deal maths'!Z484&gt;0,'Deal maths'!Z484,DATE(1990,1,1))))*12+MONTH('Deal maths'!AA484)-MONTH(IF('Deal maths'!Z484&gt;0,'Deal maths'!Z484,DATE(1990,1,1))))/D484)-1)*D484),EDATE('Deal maths'!AA484,-(INT(((YEAR('Deal maths'!AA484)-YEAR(IF('Deal maths'!Z484&gt;0,'Deal maths'!Z484,DATE(1990,1,1))))*12+MONTH('Deal maths'!AA484)-MONTH(IF('Deal maths'!Z484&gt;0,'Deal maths'!Z484,DATE(1990,1,1))))/D484)-1)*D484))))),0)</f>
        <v/>
      </c>
      <c r="F484" s="110">
        <f>IF(D484=0,0,'Deal maths'!AB484*D484/12)</f>
        <v/>
      </c>
      <c r="G484" s="108">
        <f>N484+O484</f>
        <v/>
      </c>
      <c r="H484" s="108">
        <f>IFERROR(IF(OR(D484=0,AsAt&lt;E484),0,MIN(N484,INT(((YEAR(AsAt)-YEAR(E484))*12+MONTH(AsAt)-MONTH(E484)-(DAY(AsAt)&lt;MIN(R484,DAY(EOMONTH(AsAt,0)))))/D484)+1)+O484*(AsAt&gt;='Deal maths'!AA484)),0)</f>
        <v/>
      </c>
      <c r="I484" s="108">
        <f>G484-H484</f>
        <v/>
      </c>
      <c r="J484" s="111">
        <f>IF(AND(C484="EIP",I484&gt;0),'Deal maths'!Y484/I484,0)</f>
        <v/>
      </c>
      <c r="K484" s="111">
        <f>IF(AND(C484="Annuity",I484&gt;0),IF(F484&gt;0,'Deal maths'!Y484*F484/(1-(1+F484)^-I484),'Deal maths'!Y484/I484),0)</f>
        <v/>
      </c>
      <c r="L484" s="111">
        <f>IF('Deal maths'!Y484="",0,'Deal maths'!Y484)</f>
        <v/>
      </c>
      <c r="M484" s="112">
        <f>F484+(F484=0)</f>
        <v/>
      </c>
      <c r="N484" s="108">
        <f>IFERROR(IF(D484=0,0,INT(((YEAR('Deal maths'!AA484)-YEAR(E484))*12+MONTH('Deal maths'!AA484)-MONTH(E484)-(DAY('Deal maths'!AA484)&lt;MIN(R484,DAY(EOMONTH('Deal maths'!AA484,0)))))/D484)+1),0)</f>
        <v/>
      </c>
      <c r="O484" s="108">
        <f>IFERROR(IF(D484=0,0,IF(IF(DAY(E484+1)=1,EOMONTH(E484,(N484-1)*D484),EDATE(E484,(N484-1)*D484))='Deal maths'!AA484,0,1)),0)</f>
        <v/>
      </c>
      <c r="P484" s="113">
        <f>IF(B484=0,0,IFERROR(IF(C484="EIP",((I484-O484)*((IF(DAY(E484+1)=1,EOMONTH(E484,H484*D484),EDATE(E484,H484*D484))-AsAt)/365.25+(IF(DAY(E484+1)=1,EOMONTH(E484,(N484-1)*D484),EDATE(E484,(N484-1)*D484))-AsAt)/365.25)/2+O484*('Deal maths'!AA484-AsAt)/365.25)/I484,IF(C484="Annuity",IF(F484&gt;0,((K484-L484*F484)*((IF(DAY(E484+1)=1,EOMONTH(E484,H484*D484),EDATE(E484,H484*D484))-AsAt)/365.25*((1+F484)^(I484-O484)-1)/F484+IF((I484-O484)&gt;1,((IF(DAY(E484+1)=1,EOMONTH(E484,(N484-1)*D484),EDATE(E484,(N484-1)*D484))-AsAt)/365.25-(IF(DAY(E484+1)=1,EOMONTH(E484,H484*D484),EDATE(E484,H484*D484))-AsAt)/365.25)/((I484-O484)-1),0)*(1+F484)*(1-(I484-O484)*(1+F484)^((I484-O484)-1)+((I484-O484)-1)*(1+F484)^(I484-O484))/F484^2)+O484*(K484-L484*F484)*(1+F484)^(I484-1)*('Deal maths'!AA484-AsAt)/365.25)/L484,((I484-O484)*((IF(DAY(E484+1)=1,EOMONTH(E484,H484*D484),EDATE(E484,H484*D484))-AsAt)/365.25+(IF(DAY(E484+1)=1,EOMONTH(E484,(N484-1)*D484),EDATE(E484,(N484-1)*D484))-AsAt)/365.25)/2+O484*('Deal maths'!AA484-AsAt)/365.25)/I484),(S484-AsAt)/365.25)),0))</f>
        <v/>
      </c>
      <c r="Q484" s="109">
        <f>IF(B484=1,'Deal maths'!AA484+ROW()/1000000,"")</f>
        <v/>
      </c>
      <c r="R484" s="108">
        <f>IF(D484=0,0,IF(DAY(E484+1)=1,31,DAY(E484)))</f>
        <v/>
      </c>
      <c r="S484" s="109">
        <f>IF(AND('Deal maths'!V484="LOBO",'Deal maths'!AG484&gt;AsAt,'Deal maths'!AG484&lt;'Deal maths'!AA484),'Deal maths'!AG484,'Deal maths'!AA484)</f>
        <v/>
      </c>
      <c r="T484" s="108">
        <f>('Deal maths'!AA484&gt;AsAt)*('Deal maths'!Y484&gt;0)</f>
        <v/>
      </c>
    </row>
    <row r="485">
      <c r="A485" s="91">
        <f>IF('Deal maths'!V485="","",'Deal maths'!W485)</f>
        <v/>
      </c>
      <c r="B485" s="108">
        <f>('Deal maths'!AA485&gt;AsAt)*('Deal maths'!Y485&gt;0)*('Deal maths'!Z485&lt;=AsAt)</f>
        <v/>
      </c>
      <c r="C485" s="91">
        <f>IF('Deal maths'!V485="","",IF('Deal maths'!AC485="","Maturity",'Deal maths'!AC485))</f>
        <v/>
      </c>
      <c r="D485" s="108">
        <f>IF(OR(C485="EIP",C485="Annuity"),IF('Deal maths'!AD485="Annual",12,IF('Deal maths'!AD485="Quarterly",3,6)),0)</f>
        <v/>
      </c>
      <c r="E485" s="109">
        <f>IFERROR(IF(D485=0,0,IF('Deal maths'!AE485&gt;0,IF('Deal maths'!AE485&gt;'Deal maths'!AA485,'Deal maths'!AA485,'Deal maths'!AE485),IF(IF(DAY('Deal maths'!AA485+1)=1,EOMONTH('Deal maths'!AA485,-(INT(((YEAR('Deal maths'!AA485)-YEAR(IF('Deal maths'!Z485&gt;0,'Deal maths'!Z485,DATE(1990,1,1))))*12+MONTH('Deal maths'!AA485)-MONTH(IF('Deal maths'!Z485&gt;0,'Deal maths'!Z485,DATE(1990,1,1))))/D485))*D485),EDATE('Deal maths'!AA485,-(INT(((YEAR('Deal maths'!AA485)-YEAR(IF('Deal maths'!Z485&gt;0,'Deal maths'!Z485,DATE(1990,1,1))))*12+MONTH('Deal maths'!AA485)-MONTH(IF('Deal maths'!Z485&gt;0,'Deal maths'!Z485,DATE(1990,1,1))))/D485))*D485))&gt;IF('Deal maths'!Z485&gt;0,'Deal maths'!Z485,DATE(1990,1,1)),IF(DAY('Deal maths'!AA485+1)=1,EOMONTH('Deal maths'!AA485,-(INT(((YEAR('Deal maths'!AA485)-YEAR(IF('Deal maths'!Z485&gt;0,'Deal maths'!Z485,DATE(1990,1,1))))*12+MONTH('Deal maths'!AA485)-MONTH(IF('Deal maths'!Z485&gt;0,'Deal maths'!Z485,DATE(1990,1,1))))/D485))*D485),EDATE('Deal maths'!AA485,-(INT(((YEAR('Deal maths'!AA485)-YEAR(IF('Deal maths'!Z485&gt;0,'Deal maths'!Z485,DATE(1990,1,1))))*12+MONTH('Deal maths'!AA485)-MONTH(IF('Deal maths'!Z485&gt;0,'Deal maths'!Z485,DATE(1990,1,1))))/D485))*D485)),IF(DAY('Deal maths'!AA485+1)=1,EOMONTH('Deal maths'!AA485,-(INT(((YEAR('Deal maths'!AA485)-YEAR(IF('Deal maths'!Z485&gt;0,'Deal maths'!Z485,DATE(1990,1,1))))*12+MONTH('Deal maths'!AA485)-MONTH(IF('Deal maths'!Z485&gt;0,'Deal maths'!Z485,DATE(1990,1,1))))/D485)-1)*D485),EDATE('Deal maths'!AA485,-(INT(((YEAR('Deal maths'!AA485)-YEAR(IF('Deal maths'!Z485&gt;0,'Deal maths'!Z485,DATE(1990,1,1))))*12+MONTH('Deal maths'!AA485)-MONTH(IF('Deal maths'!Z485&gt;0,'Deal maths'!Z485,DATE(1990,1,1))))/D485)-1)*D485))))),0)</f>
        <v/>
      </c>
      <c r="F485" s="110">
        <f>IF(D485=0,0,'Deal maths'!AB485*D485/12)</f>
        <v/>
      </c>
      <c r="G485" s="108">
        <f>N485+O485</f>
        <v/>
      </c>
      <c r="H485" s="108">
        <f>IFERROR(IF(OR(D485=0,AsAt&lt;E485),0,MIN(N485,INT(((YEAR(AsAt)-YEAR(E485))*12+MONTH(AsAt)-MONTH(E485)-(DAY(AsAt)&lt;MIN(R485,DAY(EOMONTH(AsAt,0)))))/D485)+1)+O485*(AsAt&gt;='Deal maths'!AA485)),0)</f>
        <v/>
      </c>
      <c r="I485" s="108">
        <f>G485-H485</f>
        <v/>
      </c>
      <c r="J485" s="111">
        <f>IF(AND(C485="EIP",I485&gt;0),'Deal maths'!Y485/I485,0)</f>
        <v/>
      </c>
      <c r="K485" s="111">
        <f>IF(AND(C485="Annuity",I485&gt;0),IF(F485&gt;0,'Deal maths'!Y485*F485/(1-(1+F485)^-I485),'Deal maths'!Y485/I485),0)</f>
        <v/>
      </c>
      <c r="L485" s="111">
        <f>IF('Deal maths'!Y485="",0,'Deal maths'!Y485)</f>
        <v/>
      </c>
      <c r="M485" s="112">
        <f>F485+(F485=0)</f>
        <v/>
      </c>
      <c r="N485" s="108">
        <f>IFERROR(IF(D485=0,0,INT(((YEAR('Deal maths'!AA485)-YEAR(E485))*12+MONTH('Deal maths'!AA485)-MONTH(E485)-(DAY('Deal maths'!AA485)&lt;MIN(R485,DAY(EOMONTH('Deal maths'!AA485,0)))))/D485)+1),0)</f>
        <v/>
      </c>
      <c r="O485" s="108">
        <f>IFERROR(IF(D485=0,0,IF(IF(DAY(E485+1)=1,EOMONTH(E485,(N485-1)*D485),EDATE(E485,(N485-1)*D485))='Deal maths'!AA485,0,1)),0)</f>
        <v/>
      </c>
      <c r="P485" s="113">
        <f>IF(B485=0,0,IFERROR(IF(C485="EIP",((I485-O485)*((IF(DAY(E485+1)=1,EOMONTH(E485,H485*D485),EDATE(E485,H485*D485))-AsAt)/365.25+(IF(DAY(E485+1)=1,EOMONTH(E485,(N485-1)*D485),EDATE(E485,(N485-1)*D485))-AsAt)/365.25)/2+O485*('Deal maths'!AA485-AsAt)/365.25)/I485,IF(C485="Annuity",IF(F485&gt;0,((K485-L485*F485)*((IF(DAY(E485+1)=1,EOMONTH(E485,H485*D485),EDATE(E485,H485*D485))-AsAt)/365.25*((1+F485)^(I485-O485)-1)/F485+IF((I485-O485)&gt;1,((IF(DAY(E485+1)=1,EOMONTH(E485,(N485-1)*D485),EDATE(E485,(N485-1)*D485))-AsAt)/365.25-(IF(DAY(E485+1)=1,EOMONTH(E485,H485*D485),EDATE(E485,H485*D485))-AsAt)/365.25)/((I485-O485)-1),0)*(1+F485)*(1-(I485-O485)*(1+F485)^((I485-O485)-1)+((I485-O485)-1)*(1+F485)^(I485-O485))/F485^2)+O485*(K485-L485*F485)*(1+F485)^(I485-1)*('Deal maths'!AA485-AsAt)/365.25)/L485,((I485-O485)*((IF(DAY(E485+1)=1,EOMONTH(E485,H485*D485),EDATE(E485,H485*D485))-AsAt)/365.25+(IF(DAY(E485+1)=1,EOMONTH(E485,(N485-1)*D485),EDATE(E485,(N485-1)*D485))-AsAt)/365.25)/2+O485*('Deal maths'!AA485-AsAt)/365.25)/I485),(S485-AsAt)/365.25)),0))</f>
        <v/>
      </c>
      <c r="Q485" s="109">
        <f>IF(B485=1,'Deal maths'!AA485+ROW()/1000000,"")</f>
        <v/>
      </c>
      <c r="R485" s="108">
        <f>IF(D485=0,0,IF(DAY(E485+1)=1,31,DAY(E485)))</f>
        <v/>
      </c>
      <c r="S485" s="109">
        <f>IF(AND('Deal maths'!V485="LOBO",'Deal maths'!AG485&gt;AsAt,'Deal maths'!AG485&lt;'Deal maths'!AA485),'Deal maths'!AG485,'Deal maths'!AA485)</f>
        <v/>
      </c>
      <c r="T485" s="108">
        <f>('Deal maths'!AA485&gt;AsAt)*('Deal maths'!Y485&gt;0)</f>
        <v/>
      </c>
    </row>
    <row r="486">
      <c r="A486" s="91">
        <f>IF('Deal maths'!V486="","",'Deal maths'!W486)</f>
        <v/>
      </c>
      <c r="B486" s="108">
        <f>('Deal maths'!AA486&gt;AsAt)*('Deal maths'!Y486&gt;0)*('Deal maths'!Z486&lt;=AsAt)</f>
        <v/>
      </c>
      <c r="C486" s="91">
        <f>IF('Deal maths'!V486="","",IF('Deal maths'!AC486="","Maturity",'Deal maths'!AC486))</f>
        <v/>
      </c>
      <c r="D486" s="108">
        <f>IF(OR(C486="EIP",C486="Annuity"),IF('Deal maths'!AD486="Annual",12,IF('Deal maths'!AD486="Quarterly",3,6)),0)</f>
        <v/>
      </c>
      <c r="E486" s="109">
        <f>IFERROR(IF(D486=0,0,IF('Deal maths'!AE486&gt;0,IF('Deal maths'!AE486&gt;'Deal maths'!AA486,'Deal maths'!AA486,'Deal maths'!AE486),IF(IF(DAY('Deal maths'!AA486+1)=1,EOMONTH('Deal maths'!AA486,-(INT(((YEAR('Deal maths'!AA486)-YEAR(IF('Deal maths'!Z486&gt;0,'Deal maths'!Z486,DATE(1990,1,1))))*12+MONTH('Deal maths'!AA486)-MONTH(IF('Deal maths'!Z486&gt;0,'Deal maths'!Z486,DATE(1990,1,1))))/D486))*D486),EDATE('Deal maths'!AA486,-(INT(((YEAR('Deal maths'!AA486)-YEAR(IF('Deal maths'!Z486&gt;0,'Deal maths'!Z486,DATE(1990,1,1))))*12+MONTH('Deal maths'!AA486)-MONTH(IF('Deal maths'!Z486&gt;0,'Deal maths'!Z486,DATE(1990,1,1))))/D486))*D486))&gt;IF('Deal maths'!Z486&gt;0,'Deal maths'!Z486,DATE(1990,1,1)),IF(DAY('Deal maths'!AA486+1)=1,EOMONTH('Deal maths'!AA486,-(INT(((YEAR('Deal maths'!AA486)-YEAR(IF('Deal maths'!Z486&gt;0,'Deal maths'!Z486,DATE(1990,1,1))))*12+MONTH('Deal maths'!AA486)-MONTH(IF('Deal maths'!Z486&gt;0,'Deal maths'!Z486,DATE(1990,1,1))))/D486))*D486),EDATE('Deal maths'!AA486,-(INT(((YEAR('Deal maths'!AA486)-YEAR(IF('Deal maths'!Z486&gt;0,'Deal maths'!Z486,DATE(1990,1,1))))*12+MONTH('Deal maths'!AA486)-MONTH(IF('Deal maths'!Z486&gt;0,'Deal maths'!Z486,DATE(1990,1,1))))/D486))*D486)),IF(DAY('Deal maths'!AA486+1)=1,EOMONTH('Deal maths'!AA486,-(INT(((YEAR('Deal maths'!AA486)-YEAR(IF('Deal maths'!Z486&gt;0,'Deal maths'!Z486,DATE(1990,1,1))))*12+MONTH('Deal maths'!AA486)-MONTH(IF('Deal maths'!Z486&gt;0,'Deal maths'!Z486,DATE(1990,1,1))))/D486)-1)*D486),EDATE('Deal maths'!AA486,-(INT(((YEAR('Deal maths'!AA486)-YEAR(IF('Deal maths'!Z486&gt;0,'Deal maths'!Z486,DATE(1990,1,1))))*12+MONTH('Deal maths'!AA486)-MONTH(IF('Deal maths'!Z486&gt;0,'Deal maths'!Z486,DATE(1990,1,1))))/D486)-1)*D486))))),0)</f>
        <v/>
      </c>
      <c r="F486" s="110">
        <f>IF(D486=0,0,'Deal maths'!AB486*D486/12)</f>
        <v/>
      </c>
      <c r="G486" s="108">
        <f>N486+O486</f>
        <v/>
      </c>
      <c r="H486" s="108">
        <f>IFERROR(IF(OR(D486=0,AsAt&lt;E486),0,MIN(N486,INT(((YEAR(AsAt)-YEAR(E486))*12+MONTH(AsAt)-MONTH(E486)-(DAY(AsAt)&lt;MIN(R486,DAY(EOMONTH(AsAt,0)))))/D486)+1)+O486*(AsAt&gt;='Deal maths'!AA486)),0)</f>
        <v/>
      </c>
      <c r="I486" s="108">
        <f>G486-H486</f>
        <v/>
      </c>
      <c r="J486" s="111">
        <f>IF(AND(C486="EIP",I486&gt;0),'Deal maths'!Y486/I486,0)</f>
        <v/>
      </c>
      <c r="K486" s="111">
        <f>IF(AND(C486="Annuity",I486&gt;0),IF(F486&gt;0,'Deal maths'!Y486*F486/(1-(1+F486)^-I486),'Deal maths'!Y486/I486),0)</f>
        <v/>
      </c>
      <c r="L486" s="111">
        <f>IF('Deal maths'!Y486="",0,'Deal maths'!Y486)</f>
        <v/>
      </c>
      <c r="M486" s="112">
        <f>F486+(F486=0)</f>
        <v/>
      </c>
      <c r="N486" s="108">
        <f>IFERROR(IF(D486=0,0,INT(((YEAR('Deal maths'!AA486)-YEAR(E486))*12+MONTH('Deal maths'!AA486)-MONTH(E486)-(DAY('Deal maths'!AA486)&lt;MIN(R486,DAY(EOMONTH('Deal maths'!AA486,0)))))/D486)+1),0)</f>
        <v/>
      </c>
      <c r="O486" s="108">
        <f>IFERROR(IF(D486=0,0,IF(IF(DAY(E486+1)=1,EOMONTH(E486,(N486-1)*D486),EDATE(E486,(N486-1)*D486))='Deal maths'!AA486,0,1)),0)</f>
        <v/>
      </c>
      <c r="P486" s="113">
        <f>IF(B486=0,0,IFERROR(IF(C486="EIP",((I486-O486)*((IF(DAY(E486+1)=1,EOMONTH(E486,H486*D486),EDATE(E486,H486*D486))-AsAt)/365.25+(IF(DAY(E486+1)=1,EOMONTH(E486,(N486-1)*D486),EDATE(E486,(N486-1)*D486))-AsAt)/365.25)/2+O486*('Deal maths'!AA486-AsAt)/365.25)/I486,IF(C486="Annuity",IF(F486&gt;0,((K486-L486*F486)*((IF(DAY(E486+1)=1,EOMONTH(E486,H486*D486),EDATE(E486,H486*D486))-AsAt)/365.25*((1+F486)^(I486-O486)-1)/F486+IF((I486-O486)&gt;1,((IF(DAY(E486+1)=1,EOMONTH(E486,(N486-1)*D486),EDATE(E486,(N486-1)*D486))-AsAt)/365.25-(IF(DAY(E486+1)=1,EOMONTH(E486,H486*D486),EDATE(E486,H486*D486))-AsAt)/365.25)/((I486-O486)-1),0)*(1+F486)*(1-(I486-O486)*(1+F486)^((I486-O486)-1)+((I486-O486)-1)*(1+F486)^(I486-O486))/F486^2)+O486*(K486-L486*F486)*(1+F486)^(I486-1)*('Deal maths'!AA486-AsAt)/365.25)/L486,((I486-O486)*((IF(DAY(E486+1)=1,EOMONTH(E486,H486*D486),EDATE(E486,H486*D486))-AsAt)/365.25+(IF(DAY(E486+1)=1,EOMONTH(E486,(N486-1)*D486),EDATE(E486,(N486-1)*D486))-AsAt)/365.25)/2+O486*('Deal maths'!AA486-AsAt)/365.25)/I486),(S486-AsAt)/365.25)),0))</f>
        <v/>
      </c>
      <c r="Q486" s="109">
        <f>IF(B486=1,'Deal maths'!AA486+ROW()/1000000,"")</f>
        <v/>
      </c>
      <c r="R486" s="108">
        <f>IF(D486=0,0,IF(DAY(E486+1)=1,31,DAY(E486)))</f>
        <v/>
      </c>
      <c r="S486" s="109">
        <f>IF(AND('Deal maths'!V486="LOBO",'Deal maths'!AG486&gt;AsAt,'Deal maths'!AG486&lt;'Deal maths'!AA486),'Deal maths'!AG486,'Deal maths'!AA486)</f>
        <v/>
      </c>
      <c r="T486" s="108">
        <f>('Deal maths'!AA486&gt;AsAt)*('Deal maths'!Y486&gt;0)</f>
        <v/>
      </c>
    </row>
    <row r="487">
      <c r="A487" s="91">
        <f>IF('Deal maths'!V487="","",'Deal maths'!W487)</f>
        <v/>
      </c>
      <c r="B487" s="108">
        <f>('Deal maths'!AA487&gt;AsAt)*('Deal maths'!Y487&gt;0)*('Deal maths'!Z487&lt;=AsAt)</f>
        <v/>
      </c>
      <c r="C487" s="91">
        <f>IF('Deal maths'!V487="","",IF('Deal maths'!AC487="","Maturity",'Deal maths'!AC487))</f>
        <v/>
      </c>
      <c r="D487" s="108">
        <f>IF(OR(C487="EIP",C487="Annuity"),IF('Deal maths'!AD487="Annual",12,IF('Deal maths'!AD487="Quarterly",3,6)),0)</f>
        <v/>
      </c>
      <c r="E487" s="109">
        <f>IFERROR(IF(D487=0,0,IF('Deal maths'!AE487&gt;0,IF('Deal maths'!AE487&gt;'Deal maths'!AA487,'Deal maths'!AA487,'Deal maths'!AE487),IF(IF(DAY('Deal maths'!AA487+1)=1,EOMONTH('Deal maths'!AA487,-(INT(((YEAR('Deal maths'!AA487)-YEAR(IF('Deal maths'!Z487&gt;0,'Deal maths'!Z487,DATE(1990,1,1))))*12+MONTH('Deal maths'!AA487)-MONTH(IF('Deal maths'!Z487&gt;0,'Deal maths'!Z487,DATE(1990,1,1))))/D487))*D487),EDATE('Deal maths'!AA487,-(INT(((YEAR('Deal maths'!AA487)-YEAR(IF('Deal maths'!Z487&gt;0,'Deal maths'!Z487,DATE(1990,1,1))))*12+MONTH('Deal maths'!AA487)-MONTH(IF('Deal maths'!Z487&gt;0,'Deal maths'!Z487,DATE(1990,1,1))))/D487))*D487))&gt;IF('Deal maths'!Z487&gt;0,'Deal maths'!Z487,DATE(1990,1,1)),IF(DAY('Deal maths'!AA487+1)=1,EOMONTH('Deal maths'!AA487,-(INT(((YEAR('Deal maths'!AA487)-YEAR(IF('Deal maths'!Z487&gt;0,'Deal maths'!Z487,DATE(1990,1,1))))*12+MONTH('Deal maths'!AA487)-MONTH(IF('Deal maths'!Z487&gt;0,'Deal maths'!Z487,DATE(1990,1,1))))/D487))*D487),EDATE('Deal maths'!AA487,-(INT(((YEAR('Deal maths'!AA487)-YEAR(IF('Deal maths'!Z487&gt;0,'Deal maths'!Z487,DATE(1990,1,1))))*12+MONTH('Deal maths'!AA487)-MONTH(IF('Deal maths'!Z487&gt;0,'Deal maths'!Z487,DATE(1990,1,1))))/D487))*D487)),IF(DAY('Deal maths'!AA487+1)=1,EOMONTH('Deal maths'!AA487,-(INT(((YEAR('Deal maths'!AA487)-YEAR(IF('Deal maths'!Z487&gt;0,'Deal maths'!Z487,DATE(1990,1,1))))*12+MONTH('Deal maths'!AA487)-MONTH(IF('Deal maths'!Z487&gt;0,'Deal maths'!Z487,DATE(1990,1,1))))/D487)-1)*D487),EDATE('Deal maths'!AA487,-(INT(((YEAR('Deal maths'!AA487)-YEAR(IF('Deal maths'!Z487&gt;0,'Deal maths'!Z487,DATE(1990,1,1))))*12+MONTH('Deal maths'!AA487)-MONTH(IF('Deal maths'!Z487&gt;0,'Deal maths'!Z487,DATE(1990,1,1))))/D487)-1)*D487))))),0)</f>
        <v/>
      </c>
      <c r="F487" s="110">
        <f>IF(D487=0,0,'Deal maths'!AB487*D487/12)</f>
        <v/>
      </c>
      <c r="G487" s="108">
        <f>N487+O487</f>
        <v/>
      </c>
      <c r="H487" s="108">
        <f>IFERROR(IF(OR(D487=0,AsAt&lt;E487),0,MIN(N487,INT(((YEAR(AsAt)-YEAR(E487))*12+MONTH(AsAt)-MONTH(E487)-(DAY(AsAt)&lt;MIN(R487,DAY(EOMONTH(AsAt,0)))))/D487)+1)+O487*(AsAt&gt;='Deal maths'!AA487)),0)</f>
        <v/>
      </c>
      <c r="I487" s="108">
        <f>G487-H487</f>
        <v/>
      </c>
      <c r="J487" s="111">
        <f>IF(AND(C487="EIP",I487&gt;0),'Deal maths'!Y487/I487,0)</f>
        <v/>
      </c>
      <c r="K487" s="111">
        <f>IF(AND(C487="Annuity",I487&gt;0),IF(F487&gt;0,'Deal maths'!Y487*F487/(1-(1+F487)^-I487),'Deal maths'!Y487/I487),0)</f>
        <v/>
      </c>
      <c r="L487" s="111">
        <f>IF('Deal maths'!Y487="",0,'Deal maths'!Y487)</f>
        <v/>
      </c>
      <c r="M487" s="112">
        <f>F487+(F487=0)</f>
        <v/>
      </c>
      <c r="N487" s="108">
        <f>IFERROR(IF(D487=0,0,INT(((YEAR('Deal maths'!AA487)-YEAR(E487))*12+MONTH('Deal maths'!AA487)-MONTH(E487)-(DAY('Deal maths'!AA487)&lt;MIN(R487,DAY(EOMONTH('Deal maths'!AA487,0)))))/D487)+1),0)</f>
        <v/>
      </c>
      <c r="O487" s="108">
        <f>IFERROR(IF(D487=0,0,IF(IF(DAY(E487+1)=1,EOMONTH(E487,(N487-1)*D487),EDATE(E487,(N487-1)*D487))='Deal maths'!AA487,0,1)),0)</f>
        <v/>
      </c>
      <c r="P487" s="113">
        <f>IF(B487=0,0,IFERROR(IF(C487="EIP",((I487-O487)*((IF(DAY(E487+1)=1,EOMONTH(E487,H487*D487),EDATE(E487,H487*D487))-AsAt)/365.25+(IF(DAY(E487+1)=1,EOMONTH(E487,(N487-1)*D487),EDATE(E487,(N487-1)*D487))-AsAt)/365.25)/2+O487*('Deal maths'!AA487-AsAt)/365.25)/I487,IF(C487="Annuity",IF(F487&gt;0,((K487-L487*F487)*((IF(DAY(E487+1)=1,EOMONTH(E487,H487*D487),EDATE(E487,H487*D487))-AsAt)/365.25*((1+F487)^(I487-O487)-1)/F487+IF((I487-O487)&gt;1,((IF(DAY(E487+1)=1,EOMONTH(E487,(N487-1)*D487),EDATE(E487,(N487-1)*D487))-AsAt)/365.25-(IF(DAY(E487+1)=1,EOMONTH(E487,H487*D487),EDATE(E487,H487*D487))-AsAt)/365.25)/((I487-O487)-1),0)*(1+F487)*(1-(I487-O487)*(1+F487)^((I487-O487)-1)+((I487-O487)-1)*(1+F487)^(I487-O487))/F487^2)+O487*(K487-L487*F487)*(1+F487)^(I487-1)*('Deal maths'!AA487-AsAt)/365.25)/L487,((I487-O487)*((IF(DAY(E487+1)=1,EOMONTH(E487,H487*D487),EDATE(E487,H487*D487))-AsAt)/365.25+(IF(DAY(E487+1)=1,EOMONTH(E487,(N487-1)*D487),EDATE(E487,(N487-1)*D487))-AsAt)/365.25)/2+O487*('Deal maths'!AA487-AsAt)/365.25)/I487),(S487-AsAt)/365.25)),0))</f>
        <v/>
      </c>
      <c r="Q487" s="109">
        <f>IF(B487=1,'Deal maths'!AA487+ROW()/1000000,"")</f>
        <v/>
      </c>
      <c r="R487" s="108">
        <f>IF(D487=0,0,IF(DAY(E487+1)=1,31,DAY(E487)))</f>
        <v/>
      </c>
      <c r="S487" s="109">
        <f>IF(AND('Deal maths'!V487="LOBO",'Deal maths'!AG487&gt;AsAt,'Deal maths'!AG487&lt;'Deal maths'!AA487),'Deal maths'!AG487,'Deal maths'!AA487)</f>
        <v/>
      </c>
      <c r="T487" s="108">
        <f>('Deal maths'!AA487&gt;AsAt)*('Deal maths'!Y487&gt;0)</f>
        <v/>
      </c>
    </row>
    <row r="488">
      <c r="A488" s="91">
        <f>IF('Deal maths'!V488="","",'Deal maths'!W488)</f>
        <v/>
      </c>
      <c r="B488" s="108">
        <f>('Deal maths'!AA488&gt;AsAt)*('Deal maths'!Y488&gt;0)*('Deal maths'!Z488&lt;=AsAt)</f>
        <v/>
      </c>
      <c r="C488" s="91">
        <f>IF('Deal maths'!V488="","",IF('Deal maths'!AC488="","Maturity",'Deal maths'!AC488))</f>
        <v/>
      </c>
      <c r="D488" s="108">
        <f>IF(OR(C488="EIP",C488="Annuity"),IF('Deal maths'!AD488="Annual",12,IF('Deal maths'!AD488="Quarterly",3,6)),0)</f>
        <v/>
      </c>
      <c r="E488" s="109">
        <f>IFERROR(IF(D488=0,0,IF('Deal maths'!AE488&gt;0,IF('Deal maths'!AE488&gt;'Deal maths'!AA488,'Deal maths'!AA488,'Deal maths'!AE488),IF(IF(DAY('Deal maths'!AA488+1)=1,EOMONTH('Deal maths'!AA488,-(INT(((YEAR('Deal maths'!AA488)-YEAR(IF('Deal maths'!Z488&gt;0,'Deal maths'!Z488,DATE(1990,1,1))))*12+MONTH('Deal maths'!AA488)-MONTH(IF('Deal maths'!Z488&gt;0,'Deal maths'!Z488,DATE(1990,1,1))))/D488))*D488),EDATE('Deal maths'!AA488,-(INT(((YEAR('Deal maths'!AA488)-YEAR(IF('Deal maths'!Z488&gt;0,'Deal maths'!Z488,DATE(1990,1,1))))*12+MONTH('Deal maths'!AA488)-MONTH(IF('Deal maths'!Z488&gt;0,'Deal maths'!Z488,DATE(1990,1,1))))/D488))*D488))&gt;IF('Deal maths'!Z488&gt;0,'Deal maths'!Z488,DATE(1990,1,1)),IF(DAY('Deal maths'!AA488+1)=1,EOMONTH('Deal maths'!AA488,-(INT(((YEAR('Deal maths'!AA488)-YEAR(IF('Deal maths'!Z488&gt;0,'Deal maths'!Z488,DATE(1990,1,1))))*12+MONTH('Deal maths'!AA488)-MONTH(IF('Deal maths'!Z488&gt;0,'Deal maths'!Z488,DATE(1990,1,1))))/D488))*D488),EDATE('Deal maths'!AA488,-(INT(((YEAR('Deal maths'!AA488)-YEAR(IF('Deal maths'!Z488&gt;0,'Deal maths'!Z488,DATE(1990,1,1))))*12+MONTH('Deal maths'!AA488)-MONTH(IF('Deal maths'!Z488&gt;0,'Deal maths'!Z488,DATE(1990,1,1))))/D488))*D488)),IF(DAY('Deal maths'!AA488+1)=1,EOMONTH('Deal maths'!AA488,-(INT(((YEAR('Deal maths'!AA488)-YEAR(IF('Deal maths'!Z488&gt;0,'Deal maths'!Z488,DATE(1990,1,1))))*12+MONTH('Deal maths'!AA488)-MONTH(IF('Deal maths'!Z488&gt;0,'Deal maths'!Z488,DATE(1990,1,1))))/D488)-1)*D488),EDATE('Deal maths'!AA488,-(INT(((YEAR('Deal maths'!AA488)-YEAR(IF('Deal maths'!Z488&gt;0,'Deal maths'!Z488,DATE(1990,1,1))))*12+MONTH('Deal maths'!AA488)-MONTH(IF('Deal maths'!Z488&gt;0,'Deal maths'!Z488,DATE(1990,1,1))))/D488)-1)*D488))))),0)</f>
        <v/>
      </c>
      <c r="F488" s="110">
        <f>IF(D488=0,0,'Deal maths'!AB488*D488/12)</f>
        <v/>
      </c>
      <c r="G488" s="108">
        <f>N488+O488</f>
        <v/>
      </c>
      <c r="H488" s="108">
        <f>IFERROR(IF(OR(D488=0,AsAt&lt;E488),0,MIN(N488,INT(((YEAR(AsAt)-YEAR(E488))*12+MONTH(AsAt)-MONTH(E488)-(DAY(AsAt)&lt;MIN(R488,DAY(EOMONTH(AsAt,0)))))/D488)+1)+O488*(AsAt&gt;='Deal maths'!AA488)),0)</f>
        <v/>
      </c>
      <c r="I488" s="108">
        <f>G488-H488</f>
        <v/>
      </c>
      <c r="J488" s="111">
        <f>IF(AND(C488="EIP",I488&gt;0),'Deal maths'!Y488/I488,0)</f>
        <v/>
      </c>
      <c r="K488" s="111">
        <f>IF(AND(C488="Annuity",I488&gt;0),IF(F488&gt;0,'Deal maths'!Y488*F488/(1-(1+F488)^-I488),'Deal maths'!Y488/I488),0)</f>
        <v/>
      </c>
      <c r="L488" s="111">
        <f>IF('Deal maths'!Y488="",0,'Deal maths'!Y488)</f>
        <v/>
      </c>
      <c r="M488" s="112">
        <f>F488+(F488=0)</f>
        <v/>
      </c>
      <c r="N488" s="108">
        <f>IFERROR(IF(D488=0,0,INT(((YEAR('Deal maths'!AA488)-YEAR(E488))*12+MONTH('Deal maths'!AA488)-MONTH(E488)-(DAY('Deal maths'!AA488)&lt;MIN(R488,DAY(EOMONTH('Deal maths'!AA488,0)))))/D488)+1),0)</f>
        <v/>
      </c>
      <c r="O488" s="108">
        <f>IFERROR(IF(D488=0,0,IF(IF(DAY(E488+1)=1,EOMONTH(E488,(N488-1)*D488),EDATE(E488,(N488-1)*D488))='Deal maths'!AA488,0,1)),0)</f>
        <v/>
      </c>
      <c r="P488" s="113">
        <f>IF(B488=0,0,IFERROR(IF(C488="EIP",((I488-O488)*((IF(DAY(E488+1)=1,EOMONTH(E488,H488*D488),EDATE(E488,H488*D488))-AsAt)/365.25+(IF(DAY(E488+1)=1,EOMONTH(E488,(N488-1)*D488),EDATE(E488,(N488-1)*D488))-AsAt)/365.25)/2+O488*('Deal maths'!AA488-AsAt)/365.25)/I488,IF(C488="Annuity",IF(F488&gt;0,((K488-L488*F488)*((IF(DAY(E488+1)=1,EOMONTH(E488,H488*D488),EDATE(E488,H488*D488))-AsAt)/365.25*((1+F488)^(I488-O488)-1)/F488+IF((I488-O488)&gt;1,((IF(DAY(E488+1)=1,EOMONTH(E488,(N488-1)*D488),EDATE(E488,(N488-1)*D488))-AsAt)/365.25-(IF(DAY(E488+1)=1,EOMONTH(E488,H488*D488),EDATE(E488,H488*D488))-AsAt)/365.25)/((I488-O488)-1),0)*(1+F488)*(1-(I488-O488)*(1+F488)^((I488-O488)-1)+((I488-O488)-1)*(1+F488)^(I488-O488))/F488^2)+O488*(K488-L488*F488)*(1+F488)^(I488-1)*('Deal maths'!AA488-AsAt)/365.25)/L488,((I488-O488)*((IF(DAY(E488+1)=1,EOMONTH(E488,H488*D488),EDATE(E488,H488*D488))-AsAt)/365.25+(IF(DAY(E488+1)=1,EOMONTH(E488,(N488-1)*D488),EDATE(E488,(N488-1)*D488))-AsAt)/365.25)/2+O488*('Deal maths'!AA488-AsAt)/365.25)/I488),(S488-AsAt)/365.25)),0))</f>
        <v/>
      </c>
      <c r="Q488" s="109">
        <f>IF(B488=1,'Deal maths'!AA488+ROW()/1000000,"")</f>
        <v/>
      </c>
      <c r="R488" s="108">
        <f>IF(D488=0,0,IF(DAY(E488+1)=1,31,DAY(E488)))</f>
        <v/>
      </c>
      <c r="S488" s="109">
        <f>IF(AND('Deal maths'!V488="LOBO",'Deal maths'!AG488&gt;AsAt,'Deal maths'!AG488&lt;'Deal maths'!AA488),'Deal maths'!AG488,'Deal maths'!AA488)</f>
        <v/>
      </c>
      <c r="T488" s="108">
        <f>('Deal maths'!AA488&gt;AsAt)*('Deal maths'!Y488&gt;0)</f>
        <v/>
      </c>
    </row>
    <row r="489">
      <c r="A489" s="91">
        <f>IF('Deal maths'!V489="","",'Deal maths'!W489)</f>
        <v/>
      </c>
      <c r="B489" s="108">
        <f>('Deal maths'!AA489&gt;AsAt)*('Deal maths'!Y489&gt;0)*('Deal maths'!Z489&lt;=AsAt)</f>
        <v/>
      </c>
      <c r="C489" s="91">
        <f>IF('Deal maths'!V489="","",IF('Deal maths'!AC489="","Maturity",'Deal maths'!AC489))</f>
        <v/>
      </c>
      <c r="D489" s="108">
        <f>IF(OR(C489="EIP",C489="Annuity"),IF('Deal maths'!AD489="Annual",12,IF('Deal maths'!AD489="Quarterly",3,6)),0)</f>
        <v/>
      </c>
      <c r="E489" s="109">
        <f>IFERROR(IF(D489=0,0,IF('Deal maths'!AE489&gt;0,IF('Deal maths'!AE489&gt;'Deal maths'!AA489,'Deal maths'!AA489,'Deal maths'!AE489),IF(IF(DAY('Deal maths'!AA489+1)=1,EOMONTH('Deal maths'!AA489,-(INT(((YEAR('Deal maths'!AA489)-YEAR(IF('Deal maths'!Z489&gt;0,'Deal maths'!Z489,DATE(1990,1,1))))*12+MONTH('Deal maths'!AA489)-MONTH(IF('Deal maths'!Z489&gt;0,'Deal maths'!Z489,DATE(1990,1,1))))/D489))*D489),EDATE('Deal maths'!AA489,-(INT(((YEAR('Deal maths'!AA489)-YEAR(IF('Deal maths'!Z489&gt;0,'Deal maths'!Z489,DATE(1990,1,1))))*12+MONTH('Deal maths'!AA489)-MONTH(IF('Deal maths'!Z489&gt;0,'Deal maths'!Z489,DATE(1990,1,1))))/D489))*D489))&gt;IF('Deal maths'!Z489&gt;0,'Deal maths'!Z489,DATE(1990,1,1)),IF(DAY('Deal maths'!AA489+1)=1,EOMONTH('Deal maths'!AA489,-(INT(((YEAR('Deal maths'!AA489)-YEAR(IF('Deal maths'!Z489&gt;0,'Deal maths'!Z489,DATE(1990,1,1))))*12+MONTH('Deal maths'!AA489)-MONTH(IF('Deal maths'!Z489&gt;0,'Deal maths'!Z489,DATE(1990,1,1))))/D489))*D489),EDATE('Deal maths'!AA489,-(INT(((YEAR('Deal maths'!AA489)-YEAR(IF('Deal maths'!Z489&gt;0,'Deal maths'!Z489,DATE(1990,1,1))))*12+MONTH('Deal maths'!AA489)-MONTH(IF('Deal maths'!Z489&gt;0,'Deal maths'!Z489,DATE(1990,1,1))))/D489))*D489)),IF(DAY('Deal maths'!AA489+1)=1,EOMONTH('Deal maths'!AA489,-(INT(((YEAR('Deal maths'!AA489)-YEAR(IF('Deal maths'!Z489&gt;0,'Deal maths'!Z489,DATE(1990,1,1))))*12+MONTH('Deal maths'!AA489)-MONTH(IF('Deal maths'!Z489&gt;0,'Deal maths'!Z489,DATE(1990,1,1))))/D489)-1)*D489),EDATE('Deal maths'!AA489,-(INT(((YEAR('Deal maths'!AA489)-YEAR(IF('Deal maths'!Z489&gt;0,'Deal maths'!Z489,DATE(1990,1,1))))*12+MONTH('Deal maths'!AA489)-MONTH(IF('Deal maths'!Z489&gt;0,'Deal maths'!Z489,DATE(1990,1,1))))/D489)-1)*D489))))),0)</f>
        <v/>
      </c>
      <c r="F489" s="110">
        <f>IF(D489=0,0,'Deal maths'!AB489*D489/12)</f>
        <v/>
      </c>
      <c r="G489" s="108">
        <f>N489+O489</f>
        <v/>
      </c>
      <c r="H489" s="108">
        <f>IFERROR(IF(OR(D489=0,AsAt&lt;E489),0,MIN(N489,INT(((YEAR(AsAt)-YEAR(E489))*12+MONTH(AsAt)-MONTH(E489)-(DAY(AsAt)&lt;MIN(R489,DAY(EOMONTH(AsAt,0)))))/D489)+1)+O489*(AsAt&gt;='Deal maths'!AA489)),0)</f>
        <v/>
      </c>
      <c r="I489" s="108">
        <f>G489-H489</f>
        <v/>
      </c>
      <c r="J489" s="111">
        <f>IF(AND(C489="EIP",I489&gt;0),'Deal maths'!Y489/I489,0)</f>
        <v/>
      </c>
      <c r="K489" s="111">
        <f>IF(AND(C489="Annuity",I489&gt;0),IF(F489&gt;0,'Deal maths'!Y489*F489/(1-(1+F489)^-I489),'Deal maths'!Y489/I489),0)</f>
        <v/>
      </c>
      <c r="L489" s="111">
        <f>IF('Deal maths'!Y489="",0,'Deal maths'!Y489)</f>
        <v/>
      </c>
      <c r="M489" s="112">
        <f>F489+(F489=0)</f>
        <v/>
      </c>
      <c r="N489" s="108">
        <f>IFERROR(IF(D489=0,0,INT(((YEAR('Deal maths'!AA489)-YEAR(E489))*12+MONTH('Deal maths'!AA489)-MONTH(E489)-(DAY('Deal maths'!AA489)&lt;MIN(R489,DAY(EOMONTH('Deal maths'!AA489,0)))))/D489)+1),0)</f>
        <v/>
      </c>
      <c r="O489" s="108">
        <f>IFERROR(IF(D489=0,0,IF(IF(DAY(E489+1)=1,EOMONTH(E489,(N489-1)*D489),EDATE(E489,(N489-1)*D489))='Deal maths'!AA489,0,1)),0)</f>
        <v/>
      </c>
      <c r="P489" s="113">
        <f>IF(B489=0,0,IFERROR(IF(C489="EIP",((I489-O489)*((IF(DAY(E489+1)=1,EOMONTH(E489,H489*D489),EDATE(E489,H489*D489))-AsAt)/365.25+(IF(DAY(E489+1)=1,EOMONTH(E489,(N489-1)*D489),EDATE(E489,(N489-1)*D489))-AsAt)/365.25)/2+O489*('Deal maths'!AA489-AsAt)/365.25)/I489,IF(C489="Annuity",IF(F489&gt;0,((K489-L489*F489)*((IF(DAY(E489+1)=1,EOMONTH(E489,H489*D489),EDATE(E489,H489*D489))-AsAt)/365.25*((1+F489)^(I489-O489)-1)/F489+IF((I489-O489)&gt;1,((IF(DAY(E489+1)=1,EOMONTH(E489,(N489-1)*D489),EDATE(E489,(N489-1)*D489))-AsAt)/365.25-(IF(DAY(E489+1)=1,EOMONTH(E489,H489*D489),EDATE(E489,H489*D489))-AsAt)/365.25)/((I489-O489)-1),0)*(1+F489)*(1-(I489-O489)*(1+F489)^((I489-O489)-1)+((I489-O489)-1)*(1+F489)^(I489-O489))/F489^2)+O489*(K489-L489*F489)*(1+F489)^(I489-1)*('Deal maths'!AA489-AsAt)/365.25)/L489,((I489-O489)*((IF(DAY(E489+1)=1,EOMONTH(E489,H489*D489),EDATE(E489,H489*D489))-AsAt)/365.25+(IF(DAY(E489+1)=1,EOMONTH(E489,(N489-1)*D489),EDATE(E489,(N489-1)*D489))-AsAt)/365.25)/2+O489*('Deal maths'!AA489-AsAt)/365.25)/I489),(S489-AsAt)/365.25)),0))</f>
        <v/>
      </c>
      <c r="Q489" s="109">
        <f>IF(B489=1,'Deal maths'!AA489+ROW()/1000000,"")</f>
        <v/>
      </c>
      <c r="R489" s="108">
        <f>IF(D489=0,0,IF(DAY(E489+1)=1,31,DAY(E489)))</f>
        <v/>
      </c>
      <c r="S489" s="109">
        <f>IF(AND('Deal maths'!V489="LOBO",'Deal maths'!AG489&gt;AsAt,'Deal maths'!AG489&lt;'Deal maths'!AA489),'Deal maths'!AG489,'Deal maths'!AA489)</f>
        <v/>
      </c>
      <c r="T489" s="108">
        <f>('Deal maths'!AA489&gt;AsAt)*('Deal maths'!Y489&gt;0)</f>
        <v/>
      </c>
    </row>
    <row r="490">
      <c r="A490" s="91">
        <f>IF('Deal maths'!V490="","",'Deal maths'!W490)</f>
        <v/>
      </c>
      <c r="B490" s="108">
        <f>('Deal maths'!AA490&gt;AsAt)*('Deal maths'!Y490&gt;0)*('Deal maths'!Z490&lt;=AsAt)</f>
        <v/>
      </c>
      <c r="C490" s="91">
        <f>IF('Deal maths'!V490="","",IF('Deal maths'!AC490="","Maturity",'Deal maths'!AC490))</f>
        <v/>
      </c>
      <c r="D490" s="108">
        <f>IF(OR(C490="EIP",C490="Annuity"),IF('Deal maths'!AD490="Annual",12,IF('Deal maths'!AD490="Quarterly",3,6)),0)</f>
        <v/>
      </c>
      <c r="E490" s="109">
        <f>IFERROR(IF(D490=0,0,IF('Deal maths'!AE490&gt;0,IF('Deal maths'!AE490&gt;'Deal maths'!AA490,'Deal maths'!AA490,'Deal maths'!AE490),IF(IF(DAY('Deal maths'!AA490+1)=1,EOMONTH('Deal maths'!AA490,-(INT(((YEAR('Deal maths'!AA490)-YEAR(IF('Deal maths'!Z490&gt;0,'Deal maths'!Z490,DATE(1990,1,1))))*12+MONTH('Deal maths'!AA490)-MONTH(IF('Deal maths'!Z490&gt;0,'Deal maths'!Z490,DATE(1990,1,1))))/D490))*D490),EDATE('Deal maths'!AA490,-(INT(((YEAR('Deal maths'!AA490)-YEAR(IF('Deal maths'!Z490&gt;0,'Deal maths'!Z490,DATE(1990,1,1))))*12+MONTH('Deal maths'!AA490)-MONTH(IF('Deal maths'!Z490&gt;0,'Deal maths'!Z490,DATE(1990,1,1))))/D490))*D490))&gt;IF('Deal maths'!Z490&gt;0,'Deal maths'!Z490,DATE(1990,1,1)),IF(DAY('Deal maths'!AA490+1)=1,EOMONTH('Deal maths'!AA490,-(INT(((YEAR('Deal maths'!AA490)-YEAR(IF('Deal maths'!Z490&gt;0,'Deal maths'!Z490,DATE(1990,1,1))))*12+MONTH('Deal maths'!AA490)-MONTH(IF('Deal maths'!Z490&gt;0,'Deal maths'!Z490,DATE(1990,1,1))))/D490))*D490),EDATE('Deal maths'!AA490,-(INT(((YEAR('Deal maths'!AA490)-YEAR(IF('Deal maths'!Z490&gt;0,'Deal maths'!Z490,DATE(1990,1,1))))*12+MONTH('Deal maths'!AA490)-MONTH(IF('Deal maths'!Z490&gt;0,'Deal maths'!Z490,DATE(1990,1,1))))/D490))*D490)),IF(DAY('Deal maths'!AA490+1)=1,EOMONTH('Deal maths'!AA490,-(INT(((YEAR('Deal maths'!AA490)-YEAR(IF('Deal maths'!Z490&gt;0,'Deal maths'!Z490,DATE(1990,1,1))))*12+MONTH('Deal maths'!AA490)-MONTH(IF('Deal maths'!Z490&gt;0,'Deal maths'!Z490,DATE(1990,1,1))))/D490)-1)*D490),EDATE('Deal maths'!AA490,-(INT(((YEAR('Deal maths'!AA490)-YEAR(IF('Deal maths'!Z490&gt;0,'Deal maths'!Z490,DATE(1990,1,1))))*12+MONTH('Deal maths'!AA490)-MONTH(IF('Deal maths'!Z490&gt;0,'Deal maths'!Z490,DATE(1990,1,1))))/D490)-1)*D490))))),0)</f>
        <v/>
      </c>
      <c r="F490" s="110">
        <f>IF(D490=0,0,'Deal maths'!AB490*D490/12)</f>
        <v/>
      </c>
      <c r="G490" s="108">
        <f>N490+O490</f>
        <v/>
      </c>
      <c r="H490" s="108">
        <f>IFERROR(IF(OR(D490=0,AsAt&lt;E490),0,MIN(N490,INT(((YEAR(AsAt)-YEAR(E490))*12+MONTH(AsAt)-MONTH(E490)-(DAY(AsAt)&lt;MIN(R490,DAY(EOMONTH(AsAt,0)))))/D490)+1)+O490*(AsAt&gt;='Deal maths'!AA490)),0)</f>
        <v/>
      </c>
      <c r="I490" s="108">
        <f>G490-H490</f>
        <v/>
      </c>
      <c r="J490" s="111">
        <f>IF(AND(C490="EIP",I490&gt;0),'Deal maths'!Y490/I490,0)</f>
        <v/>
      </c>
      <c r="K490" s="111">
        <f>IF(AND(C490="Annuity",I490&gt;0),IF(F490&gt;0,'Deal maths'!Y490*F490/(1-(1+F490)^-I490),'Deal maths'!Y490/I490),0)</f>
        <v/>
      </c>
      <c r="L490" s="111">
        <f>IF('Deal maths'!Y490="",0,'Deal maths'!Y490)</f>
        <v/>
      </c>
      <c r="M490" s="112">
        <f>F490+(F490=0)</f>
        <v/>
      </c>
      <c r="N490" s="108">
        <f>IFERROR(IF(D490=0,0,INT(((YEAR('Deal maths'!AA490)-YEAR(E490))*12+MONTH('Deal maths'!AA490)-MONTH(E490)-(DAY('Deal maths'!AA490)&lt;MIN(R490,DAY(EOMONTH('Deal maths'!AA490,0)))))/D490)+1),0)</f>
        <v/>
      </c>
      <c r="O490" s="108">
        <f>IFERROR(IF(D490=0,0,IF(IF(DAY(E490+1)=1,EOMONTH(E490,(N490-1)*D490),EDATE(E490,(N490-1)*D490))='Deal maths'!AA490,0,1)),0)</f>
        <v/>
      </c>
      <c r="P490" s="113">
        <f>IF(B490=0,0,IFERROR(IF(C490="EIP",((I490-O490)*((IF(DAY(E490+1)=1,EOMONTH(E490,H490*D490),EDATE(E490,H490*D490))-AsAt)/365.25+(IF(DAY(E490+1)=1,EOMONTH(E490,(N490-1)*D490),EDATE(E490,(N490-1)*D490))-AsAt)/365.25)/2+O490*('Deal maths'!AA490-AsAt)/365.25)/I490,IF(C490="Annuity",IF(F490&gt;0,((K490-L490*F490)*((IF(DAY(E490+1)=1,EOMONTH(E490,H490*D490),EDATE(E490,H490*D490))-AsAt)/365.25*((1+F490)^(I490-O490)-1)/F490+IF((I490-O490)&gt;1,((IF(DAY(E490+1)=1,EOMONTH(E490,(N490-1)*D490),EDATE(E490,(N490-1)*D490))-AsAt)/365.25-(IF(DAY(E490+1)=1,EOMONTH(E490,H490*D490),EDATE(E490,H490*D490))-AsAt)/365.25)/((I490-O490)-1),0)*(1+F490)*(1-(I490-O490)*(1+F490)^((I490-O490)-1)+((I490-O490)-1)*(1+F490)^(I490-O490))/F490^2)+O490*(K490-L490*F490)*(1+F490)^(I490-1)*('Deal maths'!AA490-AsAt)/365.25)/L490,((I490-O490)*((IF(DAY(E490+1)=1,EOMONTH(E490,H490*D490),EDATE(E490,H490*D490))-AsAt)/365.25+(IF(DAY(E490+1)=1,EOMONTH(E490,(N490-1)*D490),EDATE(E490,(N490-1)*D490))-AsAt)/365.25)/2+O490*('Deal maths'!AA490-AsAt)/365.25)/I490),(S490-AsAt)/365.25)),0))</f>
        <v/>
      </c>
      <c r="Q490" s="109">
        <f>IF(B490=1,'Deal maths'!AA490+ROW()/1000000,"")</f>
        <v/>
      </c>
      <c r="R490" s="108">
        <f>IF(D490=0,0,IF(DAY(E490+1)=1,31,DAY(E490)))</f>
        <v/>
      </c>
      <c r="S490" s="109">
        <f>IF(AND('Deal maths'!V490="LOBO",'Deal maths'!AG490&gt;AsAt,'Deal maths'!AG490&lt;'Deal maths'!AA490),'Deal maths'!AG490,'Deal maths'!AA490)</f>
        <v/>
      </c>
      <c r="T490" s="108">
        <f>('Deal maths'!AA490&gt;AsAt)*('Deal maths'!Y490&gt;0)</f>
        <v/>
      </c>
    </row>
    <row r="491">
      <c r="A491" s="91">
        <f>IF('Deal maths'!V491="","",'Deal maths'!W491)</f>
        <v/>
      </c>
      <c r="B491" s="108">
        <f>('Deal maths'!AA491&gt;AsAt)*('Deal maths'!Y491&gt;0)*('Deal maths'!Z491&lt;=AsAt)</f>
        <v/>
      </c>
      <c r="C491" s="91">
        <f>IF('Deal maths'!V491="","",IF('Deal maths'!AC491="","Maturity",'Deal maths'!AC491))</f>
        <v/>
      </c>
      <c r="D491" s="108">
        <f>IF(OR(C491="EIP",C491="Annuity"),IF('Deal maths'!AD491="Annual",12,IF('Deal maths'!AD491="Quarterly",3,6)),0)</f>
        <v/>
      </c>
      <c r="E491" s="109">
        <f>IFERROR(IF(D491=0,0,IF('Deal maths'!AE491&gt;0,IF('Deal maths'!AE491&gt;'Deal maths'!AA491,'Deal maths'!AA491,'Deal maths'!AE491),IF(IF(DAY('Deal maths'!AA491+1)=1,EOMONTH('Deal maths'!AA491,-(INT(((YEAR('Deal maths'!AA491)-YEAR(IF('Deal maths'!Z491&gt;0,'Deal maths'!Z491,DATE(1990,1,1))))*12+MONTH('Deal maths'!AA491)-MONTH(IF('Deal maths'!Z491&gt;0,'Deal maths'!Z491,DATE(1990,1,1))))/D491))*D491),EDATE('Deal maths'!AA491,-(INT(((YEAR('Deal maths'!AA491)-YEAR(IF('Deal maths'!Z491&gt;0,'Deal maths'!Z491,DATE(1990,1,1))))*12+MONTH('Deal maths'!AA491)-MONTH(IF('Deal maths'!Z491&gt;0,'Deal maths'!Z491,DATE(1990,1,1))))/D491))*D491))&gt;IF('Deal maths'!Z491&gt;0,'Deal maths'!Z491,DATE(1990,1,1)),IF(DAY('Deal maths'!AA491+1)=1,EOMONTH('Deal maths'!AA491,-(INT(((YEAR('Deal maths'!AA491)-YEAR(IF('Deal maths'!Z491&gt;0,'Deal maths'!Z491,DATE(1990,1,1))))*12+MONTH('Deal maths'!AA491)-MONTH(IF('Deal maths'!Z491&gt;0,'Deal maths'!Z491,DATE(1990,1,1))))/D491))*D491),EDATE('Deal maths'!AA491,-(INT(((YEAR('Deal maths'!AA491)-YEAR(IF('Deal maths'!Z491&gt;0,'Deal maths'!Z491,DATE(1990,1,1))))*12+MONTH('Deal maths'!AA491)-MONTH(IF('Deal maths'!Z491&gt;0,'Deal maths'!Z491,DATE(1990,1,1))))/D491))*D491)),IF(DAY('Deal maths'!AA491+1)=1,EOMONTH('Deal maths'!AA491,-(INT(((YEAR('Deal maths'!AA491)-YEAR(IF('Deal maths'!Z491&gt;0,'Deal maths'!Z491,DATE(1990,1,1))))*12+MONTH('Deal maths'!AA491)-MONTH(IF('Deal maths'!Z491&gt;0,'Deal maths'!Z491,DATE(1990,1,1))))/D491)-1)*D491),EDATE('Deal maths'!AA491,-(INT(((YEAR('Deal maths'!AA491)-YEAR(IF('Deal maths'!Z491&gt;0,'Deal maths'!Z491,DATE(1990,1,1))))*12+MONTH('Deal maths'!AA491)-MONTH(IF('Deal maths'!Z491&gt;0,'Deal maths'!Z491,DATE(1990,1,1))))/D491)-1)*D491))))),0)</f>
        <v/>
      </c>
      <c r="F491" s="110">
        <f>IF(D491=0,0,'Deal maths'!AB491*D491/12)</f>
        <v/>
      </c>
      <c r="G491" s="108">
        <f>N491+O491</f>
        <v/>
      </c>
      <c r="H491" s="108">
        <f>IFERROR(IF(OR(D491=0,AsAt&lt;E491),0,MIN(N491,INT(((YEAR(AsAt)-YEAR(E491))*12+MONTH(AsAt)-MONTH(E491)-(DAY(AsAt)&lt;MIN(R491,DAY(EOMONTH(AsAt,0)))))/D491)+1)+O491*(AsAt&gt;='Deal maths'!AA491)),0)</f>
        <v/>
      </c>
      <c r="I491" s="108">
        <f>G491-H491</f>
        <v/>
      </c>
      <c r="J491" s="111">
        <f>IF(AND(C491="EIP",I491&gt;0),'Deal maths'!Y491/I491,0)</f>
        <v/>
      </c>
      <c r="K491" s="111">
        <f>IF(AND(C491="Annuity",I491&gt;0),IF(F491&gt;0,'Deal maths'!Y491*F491/(1-(1+F491)^-I491),'Deal maths'!Y491/I491),0)</f>
        <v/>
      </c>
      <c r="L491" s="111">
        <f>IF('Deal maths'!Y491="",0,'Deal maths'!Y491)</f>
        <v/>
      </c>
      <c r="M491" s="112">
        <f>F491+(F491=0)</f>
        <v/>
      </c>
      <c r="N491" s="108">
        <f>IFERROR(IF(D491=0,0,INT(((YEAR('Deal maths'!AA491)-YEAR(E491))*12+MONTH('Deal maths'!AA491)-MONTH(E491)-(DAY('Deal maths'!AA491)&lt;MIN(R491,DAY(EOMONTH('Deal maths'!AA491,0)))))/D491)+1),0)</f>
        <v/>
      </c>
      <c r="O491" s="108">
        <f>IFERROR(IF(D491=0,0,IF(IF(DAY(E491+1)=1,EOMONTH(E491,(N491-1)*D491),EDATE(E491,(N491-1)*D491))='Deal maths'!AA491,0,1)),0)</f>
        <v/>
      </c>
      <c r="P491" s="113">
        <f>IF(B491=0,0,IFERROR(IF(C491="EIP",((I491-O491)*((IF(DAY(E491+1)=1,EOMONTH(E491,H491*D491),EDATE(E491,H491*D491))-AsAt)/365.25+(IF(DAY(E491+1)=1,EOMONTH(E491,(N491-1)*D491),EDATE(E491,(N491-1)*D491))-AsAt)/365.25)/2+O491*('Deal maths'!AA491-AsAt)/365.25)/I491,IF(C491="Annuity",IF(F491&gt;0,((K491-L491*F491)*((IF(DAY(E491+1)=1,EOMONTH(E491,H491*D491),EDATE(E491,H491*D491))-AsAt)/365.25*((1+F491)^(I491-O491)-1)/F491+IF((I491-O491)&gt;1,((IF(DAY(E491+1)=1,EOMONTH(E491,(N491-1)*D491),EDATE(E491,(N491-1)*D491))-AsAt)/365.25-(IF(DAY(E491+1)=1,EOMONTH(E491,H491*D491),EDATE(E491,H491*D491))-AsAt)/365.25)/((I491-O491)-1),0)*(1+F491)*(1-(I491-O491)*(1+F491)^((I491-O491)-1)+((I491-O491)-1)*(1+F491)^(I491-O491))/F491^2)+O491*(K491-L491*F491)*(1+F491)^(I491-1)*('Deal maths'!AA491-AsAt)/365.25)/L491,((I491-O491)*((IF(DAY(E491+1)=1,EOMONTH(E491,H491*D491),EDATE(E491,H491*D491))-AsAt)/365.25+(IF(DAY(E491+1)=1,EOMONTH(E491,(N491-1)*D491),EDATE(E491,(N491-1)*D491))-AsAt)/365.25)/2+O491*('Deal maths'!AA491-AsAt)/365.25)/I491),(S491-AsAt)/365.25)),0))</f>
        <v/>
      </c>
      <c r="Q491" s="109">
        <f>IF(B491=1,'Deal maths'!AA491+ROW()/1000000,"")</f>
        <v/>
      </c>
      <c r="R491" s="108">
        <f>IF(D491=0,0,IF(DAY(E491+1)=1,31,DAY(E491)))</f>
        <v/>
      </c>
      <c r="S491" s="109">
        <f>IF(AND('Deal maths'!V491="LOBO",'Deal maths'!AG491&gt;AsAt,'Deal maths'!AG491&lt;'Deal maths'!AA491),'Deal maths'!AG491,'Deal maths'!AA491)</f>
        <v/>
      </c>
      <c r="T491" s="108">
        <f>('Deal maths'!AA491&gt;AsAt)*('Deal maths'!Y491&gt;0)</f>
        <v/>
      </c>
    </row>
    <row r="492">
      <c r="A492" s="91">
        <f>IF('Deal maths'!V492="","",'Deal maths'!W492)</f>
        <v/>
      </c>
      <c r="B492" s="108">
        <f>('Deal maths'!AA492&gt;AsAt)*('Deal maths'!Y492&gt;0)*('Deal maths'!Z492&lt;=AsAt)</f>
        <v/>
      </c>
      <c r="C492" s="91">
        <f>IF('Deal maths'!V492="","",IF('Deal maths'!AC492="","Maturity",'Deal maths'!AC492))</f>
        <v/>
      </c>
      <c r="D492" s="108">
        <f>IF(OR(C492="EIP",C492="Annuity"),IF('Deal maths'!AD492="Annual",12,IF('Deal maths'!AD492="Quarterly",3,6)),0)</f>
        <v/>
      </c>
      <c r="E492" s="109">
        <f>IFERROR(IF(D492=0,0,IF('Deal maths'!AE492&gt;0,IF('Deal maths'!AE492&gt;'Deal maths'!AA492,'Deal maths'!AA492,'Deal maths'!AE492),IF(IF(DAY('Deal maths'!AA492+1)=1,EOMONTH('Deal maths'!AA492,-(INT(((YEAR('Deal maths'!AA492)-YEAR(IF('Deal maths'!Z492&gt;0,'Deal maths'!Z492,DATE(1990,1,1))))*12+MONTH('Deal maths'!AA492)-MONTH(IF('Deal maths'!Z492&gt;0,'Deal maths'!Z492,DATE(1990,1,1))))/D492))*D492),EDATE('Deal maths'!AA492,-(INT(((YEAR('Deal maths'!AA492)-YEAR(IF('Deal maths'!Z492&gt;0,'Deal maths'!Z492,DATE(1990,1,1))))*12+MONTH('Deal maths'!AA492)-MONTH(IF('Deal maths'!Z492&gt;0,'Deal maths'!Z492,DATE(1990,1,1))))/D492))*D492))&gt;IF('Deal maths'!Z492&gt;0,'Deal maths'!Z492,DATE(1990,1,1)),IF(DAY('Deal maths'!AA492+1)=1,EOMONTH('Deal maths'!AA492,-(INT(((YEAR('Deal maths'!AA492)-YEAR(IF('Deal maths'!Z492&gt;0,'Deal maths'!Z492,DATE(1990,1,1))))*12+MONTH('Deal maths'!AA492)-MONTH(IF('Deal maths'!Z492&gt;0,'Deal maths'!Z492,DATE(1990,1,1))))/D492))*D492),EDATE('Deal maths'!AA492,-(INT(((YEAR('Deal maths'!AA492)-YEAR(IF('Deal maths'!Z492&gt;0,'Deal maths'!Z492,DATE(1990,1,1))))*12+MONTH('Deal maths'!AA492)-MONTH(IF('Deal maths'!Z492&gt;0,'Deal maths'!Z492,DATE(1990,1,1))))/D492))*D492)),IF(DAY('Deal maths'!AA492+1)=1,EOMONTH('Deal maths'!AA492,-(INT(((YEAR('Deal maths'!AA492)-YEAR(IF('Deal maths'!Z492&gt;0,'Deal maths'!Z492,DATE(1990,1,1))))*12+MONTH('Deal maths'!AA492)-MONTH(IF('Deal maths'!Z492&gt;0,'Deal maths'!Z492,DATE(1990,1,1))))/D492)-1)*D492),EDATE('Deal maths'!AA492,-(INT(((YEAR('Deal maths'!AA492)-YEAR(IF('Deal maths'!Z492&gt;0,'Deal maths'!Z492,DATE(1990,1,1))))*12+MONTH('Deal maths'!AA492)-MONTH(IF('Deal maths'!Z492&gt;0,'Deal maths'!Z492,DATE(1990,1,1))))/D492)-1)*D492))))),0)</f>
        <v/>
      </c>
      <c r="F492" s="110">
        <f>IF(D492=0,0,'Deal maths'!AB492*D492/12)</f>
        <v/>
      </c>
      <c r="G492" s="108">
        <f>N492+O492</f>
        <v/>
      </c>
      <c r="H492" s="108">
        <f>IFERROR(IF(OR(D492=0,AsAt&lt;E492),0,MIN(N492,INT(((YEAR(AsAt)-YEAR(E492))*12+MONTH(AsAt)-MONTH(E492)-(DAY(AsAt)&lt;MIN(R492,DAY(EOMONTH(AsAt,0)))))/D492)+1)+O492*(AsAt&gt;='Deal maths'!AA492)),0)</f>
        <v/>
      </c>
      <c r="I492" s="108">
        <f>G492-H492</f>
        <v/>
      </c>
      <c r="J492" s="111">
        <f>IF(AND(C492="EIP",I492&gt;0),'Deal maths'!Y492/I492,0)</f>
        <v/>
      </c>
      <c r="K492" s="111">
        <f>IF(AND(C492="Annuity",I492&gt;0),IF(F492&gt;0,'Deal maths'!Y492*F492/(1-(1+F492)^-I492),'Deal maths'!Y492/I492),0)</f>
        <v/>
      </c>
      <c r="L492" s="111">
        <f>IF('Deal maths'!Y492="",0,'Deal maths'!Y492)</f>
        <v/>
      </c>
      <c r="M492" s="112">
        <f>F492+(F492=0)</f>
        <v/>
      </c>
      <c r="N492" s="108">
        <f>IFERROR(IF(D492=0,0,INT(((YEAR('Deal maths'!AA492)-YEAR(E492))*12+MONTH('Deal maths'!AA492)-MONTH(E492)-(DAY('Deal maths'!AA492)&lt;MIN(R492,DAY(EOMONTH('Deal maths'!AA492,0)))))/D492)+1),0)</f>
        <v/>
      </c>
      <c r="O492" s="108">
        <f>IFERROR(IF(D492=0,0,IF(IF(DAY(E492+1)=1,EOMONTH(E492,(N492-1)*D492),EDATE(E492,(N492-1)*D492))='Deal maths'!AA492,0,1)),0)</f>
        <v/>
      </c>
      <c r="P492" s="113">
        <f>IF(B492=0,0,IFERROR(IF(C492="EIP",((I492-O492)*((IF(DAY(E492+1)=1,EOMONTH(E492,H492*D492),EDATE(E492,H492*D492))-AsAt)/365.25+(IF(DAY(E492+1)=1,EOMONTH(E492,(N492-1)*D492),EDATE(E492,(N492-1)*D492))-AsAt)/365.25)/2+O492*('Deal maths'!AA492-AsAt)/365.25)/I492,IF(C492="Annuity",IF(F492&gt;0,((K492-L492*F492)*((IF(DAY(E492+1)=1,EOMONTH(E492,H492*D492),EDATE(E492,H492*D492))-AsAt)/365.25*((1+F492)^(I492-O492)-1)/F492+IF((I492-O492)&gt;1,((IF(DAY(E492+1)=1,EOMONTH(E492,(N492-1)*D492),EDATE(E492,(N492-1)*D492))-AsAt)/365.25-(IF(DAY(E492+1)=1,EOMONTH(E492,H492*D492),EDATE(E492,H492*D492))-AsAt)/365.25)/((I492-O492)-1),0)*(1+F492)*(1-(I492-O492)*(1+F492)^((I492-O492)-1)+((I492-O492)-1)*(1+F492)^(I492-O492))/F492^2)+O492*(K492-L492*F492)*(1+F492)^(I492-1)*('Deal maths'!AA492-AsAt)/365.25)/L492,((I492-O492)*((IF(DAY(E492+1)=1,EOMONTH(E492,H492*D492),EDATE(E492,H492*D492))-AsAt)/365.25+(IF(DAY(E492+1)=1,EOMONTH(E492,(N492-1)*D492),EDATE(E492,(N492-1)*D492))-AsAt)/365.25)/2+O492*('Deal maths'!AA492-AsAt)/365.25)/I492),(S492-AsAt)/365.25)),0))</f>
        <v/>
      </c>
      <c r="Q492" s="109">
        <f>IF(B492=1,'Deal maths'!AA492+ROW()/1000000,"")</f>
        <v/>
      </c>
      <c r="R492" s="108">
        <f>IF(D492=0,0,IF(DAY(E492+1)=1,31,DAY(E492)))</f>
        <v/>
      </c>
      <c r="S492" s="109">
        <f>IF(AND('Deal maths'!V492="LOBO",'Deal maths'!AG492&gt;AsAt,'Deal maths'!AG492&lt;'Deal maths'!AA492),'Deal maths'!AG492,'Deal maths'!AA492)</f>
        <v/>
      </c>
      <c r="T492" s="108">
        <f>('Deal maths'!AA492&gt;AsAt)*('Deal maths'!Y492&gt;0)</f>
        <v/>
      </c>
    </row>
    <row r="493">
      <c r="A493" s="91">
        <f>IF('Deal maths'!V493="","",'Deal maths'!W493)</f>
        <v/>
      </c>
      <c r="B493" s="108">
        <f>('Deal maths'!AA493&gt;AsAt)*('Deal maths'!Y493&gt;0)*('Deal maths'!Z493&lt;=AsAt)</f>
        <v/>
      </c>
      <c r="C493" s="91">
        <f>IF('Deal maths'!V493="","",IF('Deal maths'!AC493="","Maturity",'Deal maths'!AC493))</f>
        <v/>
      </c>
      <c r="D493" s="108">
        <f>IF(OR(C493="EIP",C493="Annuity"),IF('Deal maths'!AD493="Annual",12,IF('Deal maths'!AD493="Quarterly",3,6)),0)</f>
        <v/>
      </c>
      <c r="E493" s="109">
        <f>IFERROR(IF(D493=0,0,IF('Deal maths'!AE493&gt;0,IF('Deal maths'!AE493&gt;'Deal maths'!AA493,'Deal maths'!AA493,'Deal maths'!AE493),IF(IF(DAY('Deal maths'!AA493+1)=1,EOMONTH('Deal maths'!AA493,-(INT(((YEAR('Deal maths'!AA493)-YEAR(IF('Deal maths'!Z493&gt;0,'Deal maths'!Z493,DATE(1990,1,1))))*12+MONTH('Deal maths'!AA493)-MONTH(IF('Deal maths'!Z493&gt;0,'Deal maths'!Z493,DATE(1990,1,1))))/D493))*D493),EDATE('Deal maths'!AA493,-(INT(((YEAR('Deal maths'!AA493)-YEAR(IF('Deal maths'!Z493&gt;0,'Deal maths'!Z493,DATE(1990,1,1))))*12+MONTH('Deal maths'!AA493)-MONTH(IF('Deal maths'!Z493&gt;0,'Deal maths'!Z493,DATE(1990,1,1))))/D493))*D493))&gt;IF('Deal maths'!Z493&gt;0,'Deal maths'!Z493,DATE(1990,1,1)),IF(DAY('Deal maths'!AA493+1)=1,EOMONTH('Deal maths'!AA493,-(INT(((YEAR('Deal maths'!AA493)-YEAR(IF('Deal maths'!Z493&gt;0,'Deal maths'!Z493,DATE(1990,1,1))))*12+MONTH('Deal maths'!AA493)-MONTH(IF('Deal maths'!Z493&gt;0,'Deal maths'!Z493,DATE(1990,1,1))))/D493))*D493),EDATE('Deal maths'!AA493,-(INT(((YEAR('Deal maths'!AA493)-YEAR(IF('Deal maths'!Z493&gt;0,'Deal maths'!Z493,DATE(1990,1,1))))*12+MONTH('Deal maths'!AA493)-MONTH(IF('Deal maths'!Z493&gt;0,'Deal maths'!Z493,DATE(1990,1,1))))/D493))*D493)),IF(DAY('Deal maths'!AA493+1)=1,EOMONTH('Deal maths'!AA493,-(INT(((YEAR('Deal maths'!AA493)-YEAR(IF('Deal maths'!Z493&gt;0,'Deal maths'!Z493,DATE(1990,1,1))))*12+MONTH('Deal maths'!AA493)-MONTH(IF('Deal maths'!Z493&gt;0,'Deal maths'!Z493,DATE(1990,1,1))))/D493)-1)*D493),EDATE('Deal maths'!AA493,-(INT(((YEAR('Deal maths'!AA493)-YEAR(IF('Deal maths'!Z493&gt;0,'Deal maths'!Z493,DATE(1990,1,1))))*12+MONTH('Deal maths'!AA493)-MONTH(IF('Deal maths'!Z493&gt;0,'Deal maths'!Z493,DATE(1990,1,1))))/D493)-1)*D493))))),0)</f>
        <v/>
      </c>
      <c r="F493" s="110">
        <f>IF(D493=0,0,'Deal maths'!AB493*D493/12)</f>
        <v/>
      </c>
      <c r="G493" s="108">
        <f>N493+O493</f>
        <v/>
      </c>
      <c r="H493" s="108">
        <f>IFERROR(IF(OR(D493=0,AsAt&lt;E493),0,MIN(N493,INT(((YEAR(AsAt)-YEAR(E493))*12+MONTH(AsAt)-MONTH(E493)-(DAY(AsAt)&lt;MIN(R493,DAY(EOMONTH(AsAt,0)))))/D493)+1)+O493*(AsAt&gt;='Deal maths'!AA493)),0)</f>
        <v/>
      </c>
      <c r="I493" s="108">
        <f>G493-H493</f>
        <v/>
      </c>
      <c r="J493" s="111">
        <f>IF(AND(C493="EIP",I493&gt;0),'Deal maths'!Y493/I493,0)</f>
        <v/>
      </c>
      <c r="K493" s="111">
        <f>IF(AND(C493="Annuity",I493&gt;0),IF(F493&gt;0,'Deal maths'!Y493*F493/(1-(1+F493)^-I493),'Deal maths'!Y493/I493),0)</f>
        <v/>
      </c>
      <c r="L493" s="111">
        <f>IF('Deal maths'!Y493="",0,'Deal maths'!Y493)</f>
        <v/>
      </c>
      <c r="M493" s="112">
        <f>F493+(F493=0)</f>
        <v/>
      </c>
      <c r="N493" s="108">
        <f>IFERROR(IF(D493=0,0,INT(((YEAR('Deal maths'!AA493)-YEAR(E493))*12+MONTH('Deal maths'!AA493)-MONTH(E493)-(DAY('Deal maths'!AA493)&lt;MIN(R493,DAY(EOMONTH('Deal maths'!AA493,0)))))/D493)+1),0)</f>
        <v/>
      </c>
      <c r="O493" s="108">
        <f>IFERROR(IF(D493=0,0,IF(IF(DAY(E493+1)=1,EOMONTH(E493,(N493-1)*D493),EDATE(E493,(N493-1)*D493))='Deal maths'!AA493,0,1)),0)</f>
        <v/>
      </c>
      <c r="P493" s="113">
        <f>IF(B493=0,0,IFERROR(IF(C493="EIP",((I493-O493)*((IF(DAY(E493+1)=1,EOMONTH(E493,H493*D493),EDATE(E493,H493*D493))-AsAt)/365.25+(IF(DAY(E493+1)=1,EOMONTH(E493,(N493-1)*D493),EDATE(E493,(N493-1)*D493))-AsAt)/365.25)/2+O493*('Deal maths'!AA493-AsAt)/365.25)/I493,IF(C493="Annuity",IF(F493&gt;0,((K493-L493*F493)*((IF(DAY(E493+1)=1,EOMONTH(E493,H493*D493),EDATE(E493,H493*D493))-AsAt)/365.25*((1+F493)^(I493-O493)-1)/F493+IF((I493-O493)&gt;1,((IF(DAY(E493+1)=1,EOMONTH(E493,(N493-1)*D493),EDATE(E493,(N493-1)*D493))-AsAt)/365.25-(IF(DAY(E493+1)=1,EOMONTH(E493,H493*D493),EDATE(E493,H493*D493))-AsAt)/365.25)/((I493-O493)-1),0)*(1+F493)*(1-(I493-O493)*(1+F493)^((I493-O493)-1)+((I493-O493)-1)*(1+F493)^(I493-O493))/F493^2)+O493*(K493-L493*F493)*(1+F493)^(I493-1)*('Deal maths'!AA493-AsAt)/365.25)/L493,((I493-O493)*((IF(DAY(E493+1)=1,EOMONTH(E493,H493*D493),EDATE(E493,H493*D493))-AsAt)/365.25+(IF(DAY(E493+1)=1,EOMONTH(E493,(N493-1)*D493),EDATE(E493,(N493-1)*D493))-AsAt)/365.25)/2+O493*('Deal maths'!AA493-AsAt)/365.25)/I493),(S493-AsAt)/365.25)),0))</f>
        <v/>
      </c>
      <c r="Q493" s="109">
        <f>IF(B493=1,'Deal maths'!AA493+ROW()/1000000,"")</f>
        <v/>
      </c>
      <c r="R493" s="108">
        <f>IF(D493=0,0,IF(DAY(E493+1)=1,31,DAY(E493)))</f>
        <v/>
      </c>
      <c r="S493" s="109">
        <f>IF(AND('Deal maths'!V493="LOBO",'Deal maths'!AG493&gt;AsAt,'Deal maths'!AG493&lt;'Deal maths'!AA493),'Deal maths'!AG493,'Deal maths'!AA493)</f>
        <v/>
      </c>
      <c r="T493" s="108">
        <f>('Deal maths'!AA493&gt;AsAt)*('Deal maths'!Y493&gt;0)</f>
        <v/>
      </c>
    </row>
    <row r="494">
      <c r="A494" s="91">
        <f>IF('Deal maths'!V494="","",'Deal maths'!W494)</f>
        <v/>
      </c>
      <c r="B494" s="108">
        <f>('Deal maths'!AA494&gt;AsAt)*('Deal maths'!Y494&gt;0)*('Deal maths'!Z494&lt;=AsAt)</f>
        <v/>
      </c>
      <c r="C494" s="91">
        <f>IF('Deal maths'!V494="","",IF('Deal maths'!AC494="","Maturity",'Deal maths'!AC494))</f>
        <v/>
      </c>
      <c r="D494" s="108">
        <f>IF(OR(C494="EIP",C494="Annuity"),IF('Deal maths'!AD494="Annual",12,IF('Deal maths'!AD494="Quarterly",3,6)),0)</f>
        <v/>
      </c>
      <c r="E494" s="109">
        <f>IFERROR(IF(D494=0,0,IF('Deal maths'!AE494&gt;0,IF('Deal maths'!AE494&gt;'Deal maths'!AA494,'Deal maths'!AA494,'Deal maths'!AE494),IF(IF(DAY('Deal maths'!AA494+1)=1,EOMONTH('Deal maths'!AA494,-(INT(((YEAR('Deal maths'!AA494)-YEAR(IF('Deal maths'!Z494&gt;0,'Deal maths'!Z494,DATE(1990,1,1))))*12+MONTH('Deal maths'!AA494)-MONTH(IF('Deal maths'!Z494&gt;0,'Deal maths'!Z494,DATE(1990,1,1))))/D494))*D494),EDATE('Deal maths'!AA494,-(INT(((YEAR('Deal maths'!AA494)-YEAR(IF('Deal maths'!Z494&gt;0,'Deal maths'!Z494,DATE(1990,1,1))))*12+MONTH('Deal maths'!AA494)-MONTH(IF('Deal maths'!Z494&gt;0,'Deal maths'!Z494,DATE(1990,1,1))))/D494))*D494))&gt;IF('Deal maths'!Z494&gt;0,'Deal maths'!Z494,DATE(1990,1,1)),IF(DAY('Deal maths'!AA494+1)=1,EOMONTH('Deal maths'!AA494,-(INT(((YEAR('Deal maths'!AA494)-YEAR(IF('Deal maths'!Z494&gt;0,'Deal maths'!Z494,DATE(1990,1,1))))*12+MONTH('Deal maths'!AA494)-MONTH(IF('Deal maths'!Z494&gt;0,'Deal maths'!Z494,DATE(1990,1,1))))/D494))*D494),EDATE('Deal maths'!AA494,-(INT(((YEAR('Deal maths'!AA494)-YEAR(IF('Deal maths'!Z494&gt;0,'Deal maths'!Z494,DATE(1990,1,1))))*12+MONTH('Deal maths'!AA494)-MONTH(IF('Deal maths'!Z494&gt;0,'Deal maths'!Z494,DATE(1990,1,1))))/D494))*D494)),IF(DAY('Deal maths'!AA494+1)=1,EOMONTH('Deal maths'!AA494,-(INT(((YEAR('Deal maths'!AA494)-YEAR(IF('Deal maths'!Z494&gt;0,'Deal maths'!Z494,DATE(1990,1,1))))*12+MONTH('Deal maths'!AA494)-MONTH(IF('Deal maths'!Z494&gt;0,'Deal maths'!Z494,DATE(1990,1,1))))/D494)-1)*D494),EDATE('Deal maths'!AA494,-(INT(((YEAR('Deal maths'!AA494)-YEAR(IF('Deal maths'!Z494&gt;0,'Deal maths'!Z494,DATE(1990,1,1))))*12+MONTH('Deal maths'!AA494)-MONTH(IF('Deal maths'!Z494&gt;0,'Deal maths'!Z494,DATE(1990,1,1))))/D494)-1)*D494))))),0)</f>
        <v/>
      </c>
      <c r="F494" s="110">
        <f>IF(D494=0,0,'Deal maths'!AB494*D494/12)</f>
        <v/>
      </c>
      <c r="G494" s="108">
        <f>N494+O494</f>
        <v/>
      </c>
      <c r="H494" s="108">
        <f>IFERROR(IF(OR(D494=0,AsAt&lt;E494),0,MIN(N494,INT(((YEAR(AsAt)-YEAR(E494))*12+MONTH(AsAt)-MONTH(E494)-(DAY(AsAt)&lt;MIN(R494,DAY(EOMONTH(AsAt,0)))))/D494)+1)+O494*(AsAt&gt;='Deal maths'!AA494)),0)</f>
        <v/>
      </c>
      <c r="I494" s="108">
        <f>G494-H494</f>
        <v/>
      </c>
      <c r="J494" s="111">
        <f>IF(AND(C494="EIP",I494&gt;0),'Deal maths'!Y494/I494,0)</f>
        <v/>
      </c>
      <c r="K494" s="111">
        <f>IF(AND(C494="Annuity",I494&gt;0),IF(F494&gt;0,'Deal maths'!Y494*F494/(1-(1+F494)^-I494),'Deal maths'!Y494/I494),0)</f>
        <v/>
      </c>
      <c r="L494" s="111">
        <f>IF('Deal maths'!Y494="",0,'Deal maths'!Y494)</f>
        <v/>
      </c>
      <c r="M494" s="112">
        <f>F494+(F494=0)</f>
        <v/>
      </c>
      <c r="N494" s="108">
        <f>IFERROR(IF(D494=0,0,INT(((YEAR('Deal maths'!AA494)-YEAR(E494))*12+MONTH('Deal maths'!AA494)-MONTH(E494)-(DAY('Deal maths'!AA494)&lt;MIN(R494,DAY(EOMONTH('Deal maths'!AA494,0)))))/D494)+1),0)</f>
        <v/>
      </c>
      <c r="O494" s="108">
        <f>IFERROR(IF(D494=0,0,IF(IF(DAY(E494+1)=1,EOMONTH(E494,(N494-1)*D494),EDATE(E494,(N494-1)*D494))='Deal maths'!AA494,0,1)),0)</f>
        <v/>
      </c>
      <c r="P494" s="113">
        <f>IF(B494=0,0,IFERROR(IF(C494="EIP",((I494-O494)*((IF(DAY(E494+1)=1,EOMONTH(E494,H494*D494),EDATE(E494,H494*D494))-AsAt)/365.25+(IF(DAY(E494+1)=1,EOMONTH(E494,(N494-1)*D494),EDATE(E494,(N494-1)*D494))-AsAt)/365.25)/2+O494*('Deal maths'!AA494-AsAt)/365.25)/I494,IF(C494="Annuity",IF(F494&gt;0,((K494-L494*F494)*((IF(DAY(E494+1)=1,EOMONTH(E494,H494*D494),EDATE(E494,H494*D494))-AsAt)/365.25*((1+F494)^(I494-O494)-1)/F494+IF((I494-O494)&gt;1,((IF(DAY(E494+1)=1,EOMONTH(E494,(N494-1)*D494),EDATE(E494,(N494-1)*D494))-AsAt)/365.25-(IF(DAY(E494+1)=1,EOMONTH(E494,H494*D494),EDATE(E494,H494*D494))-AsAt)/365.25)/((I494-O494)-1),0)*(1+F494)*(1-(I494-O494)*(1+F494)^((I494-O494)-1)+((I494-O494)-1)*(1+F494)^(I494-O494))/F494^2)+O494*(K494-L494*F494)*(1+F494)^(I494-1)*('Deal maths'!AA494-AsAt)/365.25)/L494,((I494-O494)*((IF(DAY(E494+1)=1,EOMONTH(E494,H494*D494),EDATE(E494,H494*D494))-AsAt)/365.25+(IF(DAY(E494+1)=1,EOMONTH(E494,(N494-1)*D494),EDATE(E494,(N494-1)*D494))-AsAt)/365.25)/2+O494*('Deal maths'!AA494-AsAt)/365.25)/I494),(S494-AsAt)/365.25)),0))</f>
        <v/>
      </c>
      <c r="Q494" s="109">
        <f>IF(B494=1,'Deal maths'!AA494+ROW()/1000000,"")</f>
        <v/>
      </c>
      <c r="R494" s="108">
        <f>IF(D494=0,0,IF(DAY(E494+1)=1,31,DAY(E494)))</f>
        <v/>
      </c>
      <c r="S494" s="109">
        <f>IF(AND('Deal maths'!V494="LOBO",'Deal maths'!AG494&gt;AsAt,'Deal maths'!AG494&lt;'Deal maths'!AA494),'Deal maths'!AG494,'Deal maths'!AA494)</f>
        <v/>
      </c>
      <c r="T494" s="108">
        <f>('Deal maths'!AA494&gt;AsAt)*('Deal maths'!Y494&gt;0)</f>
        <v/>
      </c>
    </row>
    <row r="495">
      <c r="A495" s="91">
        <f>IF('Deal maths'!V495="","",'Deal maths'!W495)</f>
        <v/>
      </c>
      <c r="B495" s="108">
        <f>('Deal maths'!AA495&gt;AsAt)*('Deal maths'!Y495&gt;0)*('Deal maths'!Z495&lt;=AsAt)</f>
        <v/>
      </c>
      <c r="C495" s="91">
        <f>IF('Deal maths'!V495="","",IF('Deal maths'!AC495="","Maturity",'Deal maths'!AC495))</f>
        <v/>
      </c>
      <c r="D495" s="108">
        <f>IF(OR(C495="EIP",C495="Annuity"),IF('Deal maths'!AD495="Annual",12,IF('Deal maths'!AD495="Quarterly",3,6)),0)</f>
        <v/>
      </c>
      <c r="E495" s="109">
        <f>IFERROR(IF(D495=0,0,IF('Deal maths'!AE495&gt;0,IF('Deal maths'!AE495&gt;'Deal maths'!AA495,'Deal maths'!AA495,'Deal maths'!AE495),IF(IF(DAY('Deal maths'!AA495+1)=1,EOMONTH('Deal maths'!AA495,-(INT(((YEAR('Deal maths'!AA495)-YEAR(IF('Deal maths'!Z495&gt;0,'Deal maths'!Z495,DATE(1990,1,1))))*12+MONTH('Deal maths'!AA495)-MONTH(IF('Deal maths'!Z495&gt;0,'Deal maths'!Z495,DATE(1990,1,1))))/D495))*D495),EDATE('Deal maths'!AA495,-(INT(((YEAR('Deal maths'!AA495)-YEAR(IF('Deal maths'!Z495&gt;0,'Deal maths'!Z495,DATE(1990,1,1))))*12+MONTH('Deal maths'!AA495)-MONTH(IF('Deal maths'!Z495&gt;0,'Deal maths'!Z495,DATE(1990,1,1))))/D495))*D495))&gt;IF('Deal maths'!Z495&gt;0,'Deal maths'!Z495,DATE(1990,1,1)),IF(DAY('Deal maths'!AA495+1)=1,EOMONTH('Deal maths'!AA495,-(INT(((YEAR('Deal maths'!AA495)-YEAR(IF('Deal maths'!Z495&gt;0,'Deal maths'!Z495,DATE(1990,1,1))))*12+MONTH('Deal maths'!AA495)-MONTH(IF('Deal maths'!Z495&gt;0,'Deal maths'!Z495,DATE(1990,1,1))))/D495))*D495),EDATE('Deal maths'!AA495,-(INT(((YEAR('Deal maths'!AA495)-YEAR(IF('Deal maths'!Z495&gt;0,'Deal maths'!Z495,DATE(1990,1,1))))*12+MONTH('Deal maths'!AA495)-MONTH(IF('Deal maths'!Z495&gt;0,'Deal maths'!Z495,DATE(1990,1,1))))/D495))*D495)),IF(DAY('Deal maths'!AA495+1)=1,EOMONTH('Deal maths'!AA495,-(INT(((YEAR('Deal maths'!AA495)-YEAR(IF('Deal maths'!Z495&gt;0,'Deal maths'!Z495,DATE(1990,1,1))))*12+MONTH('Deal maths'!AA495)-MONTH(IF('Deal maths'!Z495&gt;0,'Deal maths'!Z495,DATE(1990,1,1))))/D495)-1)*D495),EDATE('Deal maths'!AA495,-(INT(((YEAR('Deal maths'!AA495)-YEAR(IF('Deal maths'!Z495&gt;0,'Deal maths'!Z495,DATE(1990,1,1))))*12+MONTH('Deal maths'!AA495)-MONTH(IF('Deal maths'!Z495&gt;0,'Deal maths'!Z495,DATE(1990,1,1))))/D495)-1)*D495))))),0)</f>
        <v/>
      </c>
      <c r="F495" s="110">
        <f>IF(D495=0,0,'Deal maths'!AB495*D495/12)</f>
        <v/>
      </c>
      <c r="G495" s="108">
        <f>N495+O495</f>
        <v/>
      </c>
      <c r="H495" s="108">
        <f>IFERROR(IF(OR(D495=0,AsAt&lt;E495),0,MIN(N495,INT(((YEAR(AsAt)-YEAR(E495))*12+MONTH(AsAt)-MONTH(E495)-(DAY(AsAt)&lt;MIN(R495,DAY(EOMONTH(AsAt,0)))))/D495)+1)+O495*(AsAt&gt;='Deal maths'!AA495)),0)</f>
        <v/>
      </c>
      <c r="I495" s="108">
        <f>G495-H495</f>
        <v/>
      </c>
      <c r="J495" s="111">
        <f>IF(AND(C495="EIP",I495&gt;0),'Deal maths'!Y495/I495,0)</f>
        <v/>
      </c>
      <c r="K495" s="111">
        <f>IF(AND(C495="Annuity",I495&gt;0),IF(F495&gt;0,'Deal maths'!Y495*F495/(1-(1+F495)^-I495),'Deal maths'!Y495/I495),0)</f>
        <v/>
      </c>
      <c r="L495" s="111">
        <f>IF('Deal maths'!Y495="",0,'Deal maths'!Y495)</f>
        <v/>
      </c>
      <c r="M495" s="112">
        <f>F495+(F495=0)</f>
        <v/>
      </c>
      <c r="N495" s="108">
        <f>IFERROR(IF(D495=0,0,INT(((YEAR('Deal maths'!AA495)-YEAR(E495))*12+MONTH('Deal maths'!AA495)-MONTH(E495)-(DAY('Deal maths'!AA495)&lt;MIN(R495,DAY(EOMONTH('Deal maths'!AA495,0)))))/D495)+1),0)</f>
        <v/>
      </c>
      <c r="O495" s="108">
        <f>IFERROR(IF(D495=0,0,IF(IF(DAY(E495+1)=1,EOMONTH(E495,(N495-1)*D495),EDATE(E495,(N495-1)*D495))='Deal maths'!AA495,0,1)),0)</f>
        <v/>
      </c>
      <c r="P495" s="113">
        <f>IF(B495=0,0,IFERROR(IF(C495="EIP",((I495-O495)*((IF(DAY(E495+1)=1,EOMONTH(E495,H495*D495),EDATE(E495,H495*D495))-AsAt)/365.25+(IF(DAY(E495+1)=1,EOMONTH(E495,(N495-1)*D495),EDATE(E495,(N495-1)*D495))-AsAt)/365.25)/2+O495*('Deal maths'!AA495-AsAt)/365.25)/I495,IF(C495="Annuity",IF(F495&gt;0,((K495-L495*F495)*((IF(DAY(E495+1)=1,EOMONTH(E495,H495*D495),EDATE(E495,H495*D495))-AsAt)/365.25*((1+F495)^(I495-O495)-1)/F495+IF((I495-O495)&gt;1,((IF(DAY(E495+1)=1,EOMONTH(E495,(N495-1)*D495),EDATE(E495,(N495-1)*D495))-AsAt)/365.25-(IF(DAY(E495+1)=1,EOMONTH(E495,H495*D495),EDATE(E495,H495*D495))-AsAt)/365.25)/((I495-O495)-1),0)*(1+F495)*(1-(I495-O495)*(1+F495)^((I495-O495)-1)+((I495-O495)-1)*(1+F495)^(I495-O495))/F495^2)+O495*(K495-L495*F495)*(1+F495)^(I495-1)*('Deal maths'!AA495-AsAt)/365.25)/L495,((I495-O495)*((IF(DAY(E495+1)=1,EOMONTH(E495,H495*D495),EDATE(E495,H495*D495))-AsAt)/365.25+(IF(DAY(E495+1)=1,EOMONTH(E495,(N495-1)*D495),EDATE(E495,(N495-1)*D495))-AsAt)/365.25)/2+O495*('Deal maths'!AA495-AsAt)/365.25)/I495),(S495-AsAt)/365.25)),0))</f>
        <v/>
      </c>
      <c r="Q495" s="109">
        <f>IF(B495=1,'Deal maths'!AA495+ROW()/1000000,"")</f>
        <v/>
      </c>
      <c r="R495" s="108">
        <f>IF(D495=0,0,IF(DAY(E495+1)=1,31,DAY(E495)))</f>
        <v/>
      </c>
      <c r="S495" s="109">
        <f>IF(AND('Deal maths'!V495="LOBO",'Deal maths'!AG495&gt;AsAt,'Deal maths'!AG495&lt;'Deal maths'!AA495),'Deal maths'!AG495,'Deal maths'!AA495)</f>
        <v/>
      </c>
      <c r="T495" s="108">
        <f>('Deal maths'!AA495&gt;AsAt)*('Deal maths'!Y495&gt;0)</f>
        <v/>
      </c>
    </row>
    <row r="496">
      <c r="A496" s="91">
        <f>IF('Deal maths'!V496="","",'Deal maths'!W496)</f>
        <v/>
      </c>
      <c r="B496" s="108">
        <f>('Deal maths'!AA496&gt;AsAt)*('Deal maths'!Y496&gt;0)*('Deal maths'!Z496&lt;=AsAt)</f>
        <v/>
      </c>
      <c r="C496" s="91">
        <f>IF('Deal maths'!V496="","",IF('Deal maths'!AC496="","Maturity",'Deal maths'!AC496))</f>
        <v/>
      </c>
      <c r="D496" s="108">
        <f>IF(OR(C496="EIP",C496="Annuity"),IF('Deal maths'!AD496="Annual",12,IF('Deal maths'!AD496="Quarterly",3,6)),0)</f>
        <v/>
      </c>
      <c r="E496" s="109">
        <f>IFERROR(IF(D496=0,0,IF('Deal maths'!AE496&gt;0,IF('Deal maths'!AE496&gt;'Deal maths'!AA496,'Deal maths'!AA496,'Deal maths'!AE496),IF(IF(DAY('Deal maths'!AA496+1)=1,EOMONTH('Deal maths'!AA496,-(INT(((YEAR('Deal maths'!AA496)-YEAR(IF('Deal maths'!Z496&gt;0,'Deal maths'!Z496,DATE(1990,1,1))))*12+MONTH('Deal maths'!AA496)-MONTH(IF('Deal maths'!Z496&gt;0,'Deal maths'!Z496,DATE(1990,1,1))))/D496))*D496),EDATE('Deal maths'!AA496,-(INT(((YEAR('Deal maths'!AA496)-YEAR(IF('Deal maths'!Z496&gt;0,'Deal maths'!Z496,DATE(1990,1,1))))*12+MONTH('Deal maths'!AA496)-MONTH(IF('Deal maths'!Z496&gt;0,'Deal maths'!Z496,DATE(1990,1,1))))/D496))*D496))&gt;IF('Deal maths'!Z496&gt;0,'Deal maths'!Z496,DATE(1990,1,1)),IF(DAY('Deal maths'!AA496+1)=1,EOMONTH('Deal maths'!AA496,-(INT(((YEAR('Deal maths'!AA496)-YEAR(IF('Deal maths'!Z496&gt;0,'Deal maths'!Z496,DATE(1990,1,1))))*12+MONTH('Deal maths'!AA496)-MONTH(IF('Deal maths'!Z496&gt;0,'Deal maths'!Z496,DATE(1990,1,1))))/D496))*D496),EDATE('Deal maths'!AA496,-(INT(((YEAR('Deal maths'!AA496)-YEAR(IF('Deal maths'!Z496&gt;0,'Deal maths'!Z496,DATE(1990,1,1))))*12+MONTH('Deal maths'!AA496)-MONTH(IF('Deal maths'!Z496&gt;0,'Deal maths'!Z496,DATE(1990,1,1))))/D496))*D496)),IF(DAY('Deal maths'!AA496+1)=1,EOMONTH('Deal maths'!AA496,-(INT(((YEAR('Deal maths'!AA496)-YEAR(IF('Deal maths'!Z496&gt;0,'Deal maths'!Z496,DATE(1990,1,1))))*12+MONTH('Deal maths'!AA496)-MONTH(IF('Deal maths'!Z496&gt;0,'Deal maths'!Z496,DATE(1990,1,1))))/D496)-1)*D496),EDATE('Deal maths'!AA496,-(INT(((YEAR('Deal maths'!AA496)-YEAR(IF('Deal maths'!Z496&gt;0,'Deal maths'!Z496,DATE(1990,1,1))))*12+MONTH('Deal maths'!AA496)-MONTH(IF('Deal maths'!Z496&gt;0,'Deal maths'!Z496,DATE(1990,1,1))))/D496)-1)*D496))))),0)</f>
        <v/>
      </c>
      <c r="F496" s="110">
        <f>IF(D496=0,0,'Deal maths'!AB496*D496/12)</f>
        <v/>
      </c>
      <c r="G496" s="108">
        <f>N496+O496</f>
        <v/>
      </c>
      <c r="H496" s="108">
        <f>IFERROR(IF(OR(D496=0,AsAt&lt;E496),0,MIN(N496,INT(((YEAR(AsAt)-YEAR(E496))*12+MONTH(AsAt)-MONTH(E496)-(DAY(AsAt)&lt;MIN(R496,DAY(EOMONTH(AsAt,0)))))/D496)+1)+O496*(AsAt&gt;='Deal maths'!AA496)),0)</f>
        <v/>
      </c>
      <c r="I496" s="108">
        <f>G496-H496</f>
        <v/>
      </c>
      <c r="J496" s="111">
        <f>IF(AND(C496="EIP",I496&gt;0),'Deal maths'!Y496/I496,0)</f>
        <v/>
      </c>
      <c r="K496" s="111">
        <f>IF(AND(C496="Annuity",I496&gt;0),IF(F496&gt;0,'Deal maths'!Y496*F496/(1-(1+F496)^-I496),'Deal maths'!Y496/I496),0)</f>
        <v/>
      </c>
      <c r="L496" s="111">
        <f>IF('Deal maths'!Y496="",0,'Deal maths'!Y496)</f>
        <v/>
      </c>
      <c r="M496" s="112">
        <f>F496+(F496=0)</f>
        <v/>
      </c>
      <c r="N496" s="108">
        <f>IFERROR(IF(D496=0,0,INT(((YEAR('Deal maths'!AA496)-YEAR(E496))*12+MONTH('Deal maths'!AA496)-MONTH(E496)-(DAY('Deal maths'!AA496)&lt;MIN(R496,DAY(EOMONTH('Deal maths'!AA496,0)))))/D496)+1),0)</f>
        <v/>
      </c>
      <c r="O496" s="108">
        <f>IFERROR(IF(D496=0,0,IF(IF(DAY(E496+1)=1,EOMONTH(E496,(N496-1)*D496),EDATE(E496,(N496-1)*D496))='Deal maths'!AA496,0,1)),0)</f>
        <v/>
      </c>
      <c r="P496" s="113">
        <f>IF(B496=0,0,IFERROR(IF(C496="EIP",((I496-O496)*((IF(DAY(E496+1)=1,EOMONTH(E496,H496*D496),EDATE(E496,H496*D496))-AsAt)/365.25+(IF(DAY(E496+1)=1,EOMONTH(E496,(N496-1)*D496),EDATE(E496,(N496-1)*D496))-AsAt)/365.25)/2+O496*('Deal maths'!AA496-AsAt)/365.25)/I496,IF(C496="Annuity",IF(F496&gt;0,((K496-L496*F496)*((IF(DAY(E496+1)=1,EOMONTH(E496,H496*D496),EDATE(E496,H496*D496))-AsAt)/365.25*((1+F496)^(I496-O496)-1)/F496+IF((I496-O496)&gt;1,((IF(DAY(E496+1)=1,EOMONTH(E496,(N496-1)*D496),EDATE(E496,(N496-1)*D496))-AsAt)/365.25-(IF(DAY(E496+1)=1,EOMONTH(E496,H496*D496),EDATE(E496,H496*D496))-AsAt)/365.25)/((I496-O496)-1),0)*(1+F496)*(1-(I496-O496)*(1+F496)^((I496-O496)-1)+((I496-O496)-1)*(1+F496)^(I496-O496))/F496^2)+O496*(K496-L496*F496)*(1+F496)^(I496-1)*('Deal maths'!AA496-AsAt)/365.25)/L496,((I496-O496)*((IF(DAY(E496+1)=1,EOMONTH(E496,H496*D496),EDATE(E496,H496*D496))-AsAt)/365.25+(IF(DAY(E496+1)=1,EOMONTH(E496,(N496-1)*D496),EDATE(E496,(N496-1)*D496))-AsAt)/365.25)/2+O496*('Deal maths'!AA496-AsAt)/365.25)/I496),(S496-AsAt)/365.25)),0))</f>
        <v/>
      </c>
      <c r="Q496" s="109">
        <f>IF(B496=1,'Deal maths'!AA496+ROW()/1000000,"")</f>
        <v/>
      </c>
      <c r="R496" s="108">
        <f>IF(D496=0,0,IF(DAY(E496+1)=1,31,DAY(E496)))</f>
        <v/>
      </c>
      <c r="S496" s="109">
        <f>IF(AND('Deal maths'!V496="LOBO",'Deal maths'!AG496&gt;AsAt,'Deal maths'!AG496&lt;'Deal maths'!AA496),'Deal maths'!AG496,'Deal maths'!AA496)</f>
        <v/>
      </c>
      <c r="T496" s="108">
        <f>('Deal maths'!AA496&gt;AsAt)*('Deal maths'!Y496&gt;0)</f>
        <v/>
      </c>
    </row>
    <row r="497">
      <c r="A497" s="91">
        <f>IF('Deal maths'!V497="","",'Deal maths'!W497)</f>
        <v/>
      </c>
      <c r="B497" s="108">
        <f>('Deal maths'!AA497&gt;AsAt)*('Deal maths'!Y497&gt;0)*('Deal maths'!Z497&lt;=AsAt)</f>
        <v/>
      </c>
      <c r="C497" s="91">
        <f>IF('Deal maths'!V497="","",IF('Deal maths'!AC497="","Maturity",'Deal maths'!AC497))</f>
        <v/>
      </c>
      <c r="D497" s="108">
        <f>IF(OR(C497="EIP",C497="Annuity"),IF('Deal maths'!AD497="Annual",12,IF('Deal maths'!AD497="Quarterly",3,6)),0)</f>
        <v/>
      </c>
      <c r="E497" s="109">
        <f>IFERROR(IF(D497=0,0,IF('Deal maths'!AE497&gt;0,IF('Deal maths'!AE497&gt;'Deal maths'!AA497,'Deal maths'!AA497,'Deal maths'!AE497),IF(IF(DAY('Deal maths'!AA497+1)=1,EOMONTH('Deal maths'!AA497,-(INT(((YEAR('Deal maths'!AA497)-YEAR(IF('Deal maths'!Z497&gt;0,'Deal maths'!Z497,DATE(1990,1,1))))*12+MONTH('Deal maths'!AA497)-MONTH(IF('Deal maths'!Z497&gt;0,'Deal maths'!Z497,DATE(1990,1,1))))/D497))*D497),EDATE('Deal maths'!AA497,-(INT(((YEAR('Deal maths'!AA497)-YEAR(IF('Deal maths'!Z497&gt;0,'Deal maths'!Z497,DATE(1990,1,1))))*12+MONTH('Deal maths'!AA497)-MONTH(IF('Deal maths'!Z497&gt;0,'Deal maths'!Z497,DATE(1990,1,1))))/D497))*D497))&gt;IF('Deal maths'!Z497&gt;0,'Deal maths'!Z497,DATE(1990,1,1)),IF(DAY('Deal maths'!AA497+1)=1,EOMONTH('Deal maths'!AA497,-(INT(((YEAR('Deal maths'!AA497)-YEAR(IF('Deal maths'!Z497&gt;0,'Deal maths'!Z497,DATE(1990,1,1))))*12+MONTH('Deal maths'!AA497)-MONTH(IF('Deal maths'!Z497&gt;0,'Deal maths'!Z497,DATE(1990,1,1))))/D497))*D497),EDATE('Deal maths'!AA497,-(INT(((YEAR('Deal maths'!AA497)-YEAR(IF('Deal maths'!Z497&gt;0,'Deal maths'!Z497,DATE(1990,1,1))))*12+MONTH('Deal maths'!AA497)-MONTH(IF('Deal maths'!Z497&gt;0,'Deal maths'!Z497,DATE(1990,1,1))))/D497))*D497)),IF(DAY('Deal maths'!AA497+1)=1,EOMONTH('Deal maths'!AA497,-(INT(((YEAR('Deal maths'!AA497)-YEAR(IF('Deal maths'!Z497&gt;0,'Deal maths'!Z497,DATE(1990,1,1))))*12+MONTH('Deal maths'!AA497)-MONTH(IF('Deal maths'!Z497&gt;0,'Deal maths'!Z497,DATE(1990,1,1))))/D497)-1)*D497),EDATE('Deal maths'!AA497,-(INT(((YEAR('Deal maths'!AA497)-YEAR(IF('Deal maths'!Z497&gt;0,'Deal maths'!Z497,DATE(1990,1,1))))*12+MONTH('Deal maths'!AA497)-MONTH(IF('Deal maths'!Z497&gt;0,'Deal maths'!Z497,DATE(1990,1,1))))/D497)-1)*D497))))),0)</f>
        <v/>
      </c>
      <c r="F497" s="110">
        <f>IF(D497=0,0,'Deal maths'!AB497*D497/12)</f>
        <v/>
      </c>
      <c r="G497" s="108">
        <f>N497+O497</f>
        <v/>
      </c>
      <c r="H497" s="108">
        <f>IFERROR(IF(OR(D497=0,AsAt&lt;E497),0,MIN(N497,INT(((YEAR(AsAt)-YEAR(E497))*12+MONTH(AsAt)-MONTH(E497)-(DAY(AsAt)&lt;MIN(R497,DAY(EOMONTH(AsAt,0)))))/D497)+1)+O497*(AsAt&gt;='Deal maths'!AA497)),0)</f>
        <v/>
      </c>
      <c r="I497" s="108">
        <f>G497-H497</f>
        <v/>
      </c>
      <c r="J497" s="111">
        <f>IF(AND(C497="EIP",I497&gt;0),'Deal maths'!Y497/I497,0)</f>
        <v/>
      </c>
      <c r="K497" s="111">
        <f>IF(AND(C497="Annuity",I497&gt;0),IF(F497&gt;0,'Deal maths'!Y497*F497/(1-(1+F497)^-I497),'Deal maths'!Y497/I497),0)</f>
        <v/>
      </c>
      <c r="L497" s="111">
        <f>IF('Deal maths'!Y497="",0,'Deal maths'!Y497)</f>
        <v/>
      </c>
      <c r="M497" s="112">
        <f>F497+(F497=0)</f>
        <v/>
      </c>
      <c r="N497" s="108">
        <f>IFERROR(IF(D497=0,0,INT(((YEAR('Deal maths'!AA497)-YEAR(E497))*12+MONTH('Deal maths'!AA497)-MONTH(E497)-(DAY('Deal maths'!AA497)&lt;MIN(R497,DAY(EOMONTH('Deal maths'!AA497,0)))))/D497)+1),0)</f>
        <v/>
      </c>
      <c r="O497" s="108">
        <f>IFERROR(IF(D497=0,0,IF(IF(DAY(E497+1)=1,EOMONTH(E497,(N497-1)*D497),EDATE(E497,(N497-1)*D497))='Deal maths'!AA497,0,1)),0)</f>
        <v/>
      </c>
      <c r="P497" s="113">
        <f>IF(B497=0,0,IFERROR(IF(C497="EIP",((I497-O497)*((IF(DAY(E497+1)=1,EOMONTH(E497,H497*D497),EDATE(E497,H497*D497))-AsAt)/365.25+(IF(DAY(E497+1)=1,EOMONTH(E497,(N497-1)*D497),EDATE(E497,(N497-1)*D497))-AsAt)/365.25)/2+O497*('Deal maths'!AA497-AsAt)/365.25)/I497,IF(C497="Annuity",IF(F497&gt;0,((K497-L497*F497)*((IF(DAY(E497+1)=1,EOMONTH(E497,H497*D497),EDATE(E497,H497*D497))-AsAt)/365.25*((1+F497)^(I497-O497)-1)/F497+IF((I497-O497)&gt;1,((IF(DAY(E497+1)=1,EOMONTH(E497,(N497-1)*D497),EDATE(E497,(N497-1)*D497))-AsAt)/365.25-(IF(DAY(E497+1)=1,EOMONTH(E497,H497*D497),EDATE(E497,H497*D497))-AsAt)/365.25)/((I497-O497)-1),0)*(1+F497)*(1-(I497-O497)*(1+F497)^((I497-O497)-1)+((I497-O497)-1)*(1+F497)^(I497-O497))/F497^2)+O497*(K497-L497*F497)*(1+F497)^(I497-1)*('Deal maths'!AA497-AsAt)/365.25)/L497,((I497-O497)*((IF(DAY(E497+1)=1,EOMONTH(E497,H497*D497),EDATE(E497,H497*D497))-AsAt)/365.25+(IF(DAY(E497+1)=1,EOMONTH(E497,(N497-1)*D497),EDATE(E497,(N497-1)*D497))-AsAt)/365.25)/2+O497*('Deal maths'!AA497-AsAt)/365.25)/I497),(S497-AsAt)/365.25)),0))</f>
        <v/>
      </c>
      <c r="Q497" s="109">
        <f>IF(B497=1,'Deal maths'!AA497+ROW()/1000000,"")</f>
        <v/>
      </c>
      <c r="R497" s="108">
        <f>IF(D497=0,0,IF(DAY(E497+1)=1,31,DAY(E497)))</f>
        <v/>
      </c>
      <c r="S497" s="109">
        <f>IF(AND('Deal maths'!V497="LOBO",'Deal maths'!AG497&gt;AsAt,'Deal maths'!AG497&lt;'Deal maths'!AA497),'Deal maths'!AG497,'Deal maths'!AA497)</f>
        <v/>
      </c>
      <c r="T497" s="108">
        <f>('Deal maths'!AA497&gt;AsAt)*('Deal maths'!Y497&gt;0)</f>
        <v/>
      </c>
    </row>
    <row r="498">
      <c r="A498" s="91">
        <f>IF('Deal maths'!V498="","",'Deal maths'!W498)</f>
        <v/>
      </c>
      <c r="B498" s="108">
        <f>('Deal maths'!AA498&gt;AsAt)*('Deal maths'!Y498&gt;0)*('Deal maths'!Z498&lt;=AsAt)</f>
        <v/>
      </c>
      <c r="C498" s="91">
        <f>IF('Deal maths'!V498="","",IF('Deal maths'!AC498="","Maturity",'Deal maths'!AC498))</f>
        <v/>
      </c>
      <c r="D498" s="108">
        <f>IF(OR(C498="EIP",C498="Annuity"),IF('Deal maths'!AD498="Annual",12,IF('Deal maths'!AD498="Quarterly",3,6)),0)</f>
        <v/>
      </c>
      <c r="E498" s="109">
        <f>IFERROR(IF(D498=0,0,IF('Deal maths'!AE498&gt;0,IF('Deal maths'!AE498&gt;'Deal maths'!AA498,'Deal maths'!AA498,'Deal maths'!AE498),IF(IF(DAY('Deal maths'!AA498+1)=1,EOMONTH('Deal maths'!AA498,-(INT(((YEAR('Deal maths'!AA498)-YEAR(IF('Deal maths'!Z498&gt;0,'Deal maths'!Z498,DATE(1990,1,1))))*12+MONTH('Deal maths'!AA498)-MONTH(IF('Deal maths'!Z498&gt;0,'Deal maths'!Z498,DATE(1990,1,1))))/D498))*D498),EDATE('Deal maths'!AA498,-(INT(((YEAR('Deal maths'!AA498)-YEAR(IF('Deal maths'!Z498&gt;0,'Deal maths'!Z498,DATE(1990,1,1))))*12+MONTH('Deal maths'!AA498)-MONTH(IF('Deal maths'!Z498&gt;0,'Deal maths'!Z498,DATE(1990,1,1))))/D498))*D498))&gt;IF('Deal maths'!Z498&gt;0,'Deal maths'!Z498,DATE(1990,1,1)),IF(DAY('Deal maths'!AA498+1)=1,EOMONTH('Deal maths'!AA498,-(INT(((YEAR('Deal maths'!AA498)-YEAR(IF('Deal maths'!Z498&gt;0,'Deal maths'!Z498,DATE(1990,1,1))))*12+MONTH('Deal maths'!AA498)-MONTH(IF('Deal maths'!Z498&gt;0,'Deal maths'!Z498,DATE(1990,1,1))))/D498))*D498),EDATE('Deal maths'!AA498,-(INT(((YEAR('Deal maths'!AA498)-YEAR(IF('Deal maths'!Z498&gt;0,'Deal maths'!Z498,DATE(1990,1,1))))*12+MONTH('Deal maths'!AA498)-MONTH(IF('Deal maths'!Z498&gt;0,'Deal maths'!Z498,DATE(1990,1,1))))/D498))*D498)),IF(DAY('Deal maths'!AA498+1)=1,EOMONTH('Deal maths'!AA498,-(INT(((YEAR('Deal maths'!AA498)-YEAR(IF('Deal maths'!Z498&gt;0,'Deal maths'!Z498,DATE(1990,1,1))))*12+MONTH('Deal maths'!AA498)-MONTH(IF('Deal maths'!Z498&gt;0,'Deal maths'!Z498,DATE(1990,1,1))))/D498)-1)*D498),EDATE('Deal maths'!AA498,-(INT(((YEAR('Deal maths'!AA498)-YEAR(IF('Deal maths'!Z498&gt;0,'Deal maths'!Z498,DATE(1990,1,1))))*12+MONTH('Deal maths'!AA498)-MONTH(IF('Deal maths'!Z498&gt;0,'Deal maths'!Z498,DATE(1990,1,1))))/D498)-1)*D498))))),0)</f>
        <v/>
      </c>
      <c r="F498" s="110">
        <f>IF(D498=0,0,'Deal maths'!AB498*D498/12)</f>
        <v/>
      </c>
      <c r="G498" s="108">
        <f>N498+O498</f>
        <v/>
      </c>
      <c r="H498" s="108">
        <f>IFERROR(IF(OR(D498=0,AsAt&lt;E498),0,MIN(N498,INT(((YEAR(AsAt)-YEAR(E498))*12+MONTH(AsAt)-MONTH(E498)-(DAY(AsAt)&lt;MIN(R498,DAY(EOMONTH(AsAt,0)))))/D498)+1)+O498*(AsAt&gt;='Deal maths'!AA498)),0)</f>
        <v/>
      </c>
      <c r="I498" s="108">
        <f>G498-H498</f>
        <v/>
      </c>
      <c r="J498" s="111">
        <f>IF(AND(C498="EIP",I498&gt;0),'Deal maths'!Y498/I498,0)</f>
        <v/>
      </c>
      <c r="K498" s="111">
        <f>IF(AND(C498="Annuity",I498&gt;0),IF(F498&gt;0,'Deal maths'!Y498*F498/(1-(1+F498)^-I498),'Deal maths'!Y498/I498),0)</f>
        <v/>
      </c>
      <c r="L498" s="111">
        <f>IF('Deal maths'!Y498="",0,'Deal maths'!Y498)</f>
        <v/>
      </c>
      <c r="M498" s="112">
        <f>F498+(F498=0)</f>
        <v/>
      </c>
      <c r="N498" s="108">
        <f>IFERROR(IF(D498=0,0,INT(((YEAR('Deal maths'!AA498)-YEAR(E498))*12+MONTH('Deal maths'!AA498)-MONTH(E498)-(DAY('Deal maths'!AA498)&lt;MIN(R498,DAY(EOMONTH('Deal maths'!AA498,0)))))/D498)+1),0)</f>
        <v/>
      </c>
      <c r="O498" s="108">
        <f>IFERROR(IF(D498=0,0,IF(IF(DAY(E498+1)=1,EOMONTH(E498,(N498-1)*D498),EDATE(E498,(N498-1)*D498))='Deal maths'!AA498,0,1)),0)</f>
        <v/>
      </c>
      <c r="P498" s="113">
        <f>IF(B498=0,0,IFERROR(IF(C498="EIP",((I498-O498)*((IF(DAY(E498+1)=1,EOMONTH(E498,H498*D498),EDATE(E498,H498*D498))-AsAt)/365.25+(IF(DAY(E498+1)=1,EOMONTH(E498,(N498-1)*D498),EDATE(E498,(N498-1)*D498))-AsAt)/365.25)/2+O498*('Deal maths'!AA498-AsAt)/365.25)/I498,IF(C498="Annuity",IF(F498&gt;0,((K498-L498*F498)*((IF(DAY(E498+1)=1,EOMONTH(E498,H498*D498),EDATE(E498,H498*D498))-AsAt)/365.25*((1+F498)^(I498-O498)-1)/F498+IF((I498-O498)&gt;1,((IF(DAY(E498+1)=1,EOMONTH(E498,(N498-1)*D498),EDATE(E498,(N498-1)*D498))-AsAt)/365.25-(IF(DAY(E498+1)=1,EOMONTH(E498,H498*D498),EDATE(E498,H498*D498))-AsAt)/365.25)/((I498-O498)-1),0)*(1+F498)*(1-(I498-O498)*(1+F498)^((I498-O498)-1)+((I498-O498)-1)*(1+F498)^(I498-O498))/F498^2)+O498*(K498-L498*F498)*(1+F498)^(I498-1)*('Deal maths'!AA498-AsAt)/365.25)/L498,((I498-O498)*((IF(DAY(E498+1)=1,EOMONTH(E498,H498*D498),EDATE(E498,H498*D498))-AsAt)/365.25+(IF(DAY(E498+1)=1,EOMONTH(E498,(N498-1)*D498),EDATE(E498,(N498-1)*D498))-AsAt)/365.25)/2+O498*('Deal maths'!AA498-AsAt)/365.25)/I498),(S498-AsAt)/365.25)),0))</f>
        <v/>
      </c>
      <c r="Q498" s="109">
        <f>IF(B498=1,'Deal maths'!AA498+ROW()/1000000,"")</f>
        <v/>
      </c>
      <c r="R498" s="108">
        <f>IF(D498=0,0,IF(DAY(E498+1)=1,31,DAY(E498)))</f>
        <v/>
      </c>
      <c r="S498" s="109">
        <f>IF(AND('Deal maths'!V498="LOBO",'Deal maths'!AG498&gt;AsAt,'Deal maths'!AG498&lt;'Deal maths'!AA498),'Deal maths'!AG498,'Deal maths'!AA498)</f>
        <v/>
      </c>
      <c r="T498" s="108">
        <f>('Deal maths'!AA498&gt;AsAt)*('Deal maths'!Y498&gt;0)</f>
        <v/>
      </c>
    </row>
    <row r="499">
      <c r="A499" s="91">
        <f>IF('Deal maths'!V499="","",'Deal maths'!W499)</f>
        <v/>
      </c>
      <c r="B499" s="108">
        <f>('Deal maths'!AA499&gt;AsAt)*('Deal maths'!Y499&gt;0)*('Deal maths'!Z499&lt;=AsAt)</f>
        <v/>
      </c>
      <c r="C499" s="91">
        <f>IF('Deal maths'!V499="","",IF('Deal maths'!AC499="","Maturity",'Deal maths'!AC499))</f>
        <v/>
      </c>
      <c r="D499" s="108">
        <f>IF(OR(C499="EIP",C499="Annuity"),IF('Deal maths'!AD499="Annual",12,IF('Deal maths'!AD499="Quarterly",3,6)),0)</f>
        <v/>
      </c>
      <c r="E499" s="109">
        <f>IFERROR(IF(D499=0,0,IF('Deal maths'!AE499&gt;0,IF('Deal maths'!AE499&gt;'Deal maths'!AA499,'Deal maths'!AA499,'Deal maths'!AE499),IF(IF(DAY('Deal maths'!AA499+1)=1,EOMONTH('Deal maths'!AA499,-(INT(((YEAR('Deal maths'!AA499)-YEAR(IF('Deal maths'!Z499&gt;0,'Deal maths'!Z499,DATE(1990,1,1))))*12+MONTH('Deal maths'!AA499)-MONTH(IF('Deal maths'!Z499&gt;0,'Deal maths'!Z499,DATE(1990,1,1))))/D499))*D499),EDATE('Deal maths'!AA499,-(INT(((YEAR('Deal maths'!AA499)-YEAR(IF('Deal maths'!Z499&gt;0,'Deal maths'!Z499,DATE(1990,1,1))))*12+MONTH('Deal maths'!AA499)-MONTH(IF('Deal maths'!Z499&gt;0,'Deal maths'!Z499,DATE(1990,1,1))))/D499))*D499))&gt;IF('Deal maths'!Z499&gt;0,'Deal maths'!Z499,DATE(1990,1,1)),IF(DAY('Deal maths'!AA499+1)=1,EOMONTH('Deal maths'!AA499,-(INT(((YEAR('Deal maths'!AA499)-YEAR(IF('Deal maths'!Z499&gt;0,'Deal maths'!Z499,DATE(1990,1,1))))*12+MONTH('Deal maths'!AA499)-MONTH(IF('Deal maths'!Z499&gt;0,'Deal maths'!Z499,DATE(1990,1,1))))/D499))*D499),EDATE('Deal maths'!AA499,-(INT(((YEAR('Deal maths'!AA499)-YEAR(IF('Deal maths'!Z499&gt;0,'Deal maths'!Z499,DATE(1990,1,1))))*12+MONTH('Deal maths'!AA499)-MONTH(IF('Deal maths'!Z499&gt;0,'Deal maths'!Z499,DATE(1990,1,1))))/D499))*D499)),IF(DAY('Deal maths'!AA499+1)=1,EOMONTH('Deal maths'!AA499,-(INT(((YEAR('Deal maths'!AA499)-YEAR(IF('Deal maths'!Z499&gt;0,'Deal maths'!Z499,DATE(1990,1,1))))*12+MONTH('Deal maths'!AA499)-MONTH(IF('Deal maths'!Z499&gt;0,'Deal maths'!Z499,DATE(1990,1,1))))/D499)-1)*D499),EDATE('Deal maths'!AA499,-(INT(((YEAR('Deal maths'!AA499)-YEAR(IF('Deal maths'!Z499&gt;0,'Deal maths'!Z499,DATE(1990,1,1))))*12+MONTH('Deal maths'!AA499)-MONTH(IF('Deal maths'!Z499&gt;0,'Deal maths'!Z499,DATE(1990,1,1))))/D499)-1)*D499))))),0)</f>
        <v/>
      </c>
      <c r="F499" s="110">
        <f>IF(D499=0,0,'Deal maths'!AB499*D499/12)</f>
        <v/>
      </c>
      <c r="G499" s="108">
        <f>N499+O499</f>
        <v/>
      </c>
      <c r="H499" s="108">
        <f>IFERROR(IF(OR(D499=0,AsAt&lt;E499),0,MIN(N499,INT(((YEAR(AsAt)-YEAR(E499))*12+MONTH(AsAt)-MONTH(E499)-(DAY(AsAt)&lt;MIN(R499,DAY(EOMONTH(AsAt,0)))))/D499)+1)+O499*(AsAt&gt;='Deal maths'!AA499)),0)</f>
        <v/>
      </c>
      <c r="I499" s="108">
        <f>G499-H499</f>
        <v/>
      </c>
      <c r="J499" s="111">
        <f>IF(AND(C499="EIP",I499&gt;0),'Deal maths'!Y499/I499,0)</f>
        <v/>
      </c>
      <c r="K499" s="111">
        <f>IF(AND(C499="Annuity",I499&gt;0),IF(F499&gt;0,'Deal maths'!Y499*F499/(1-(1+F499)^-I499),'Deal maths'!Y499/I499),0)</f>
        <v/>
      </c>
      <c r="L499" s="111">
        <f>IF('Deal maths'!Y499="",0,'Deal maths'!Y499)</f>
        <v/>
      </c>
      <c r="M499" s="112">
        <f>F499+(F499=0)</f>
        <v/>
      </c>
      <c r="N499" s="108">
        <f>IFERROR(IF(D499=0,0,INT(((YEAR('Deal maths'!AA499)-YEAR(E499))*12+MONTH('Deal maths'!AA499)-MONTH(E499)-(DAY('Deal maths'!AA499)&lt;MIN(R499,DAY(EOMONTH('Deal maths'!AA499,0)))))/D499)+1),0)</f>
        <v/>
      </c>
      <c r="O499" s="108">
        <f>IFERROR(IF(D499=0,0,IF(IF(DAY(E499+1)=1,EOMONTH(E499,(N499-1)*D499),EDATE(E499,(N499-1)*D499))='Deal maths'!AA499,0,1)),0)</f>
        <v/>
      </c>
      <c r="P499" s="113">
        <f>IF(B499=0,0,IFERROR(IF(C499="EIP",((I499-O499)*((IF(DAY(E499+1)=1,EOMONTH(E499,H499*D499),EDATE(E499,H499*D499))-AsAt)/365.25+(IF(DAY(E499+1)=1,EOMONTH(E499,(N499-1)*D499),EDATE(E499,(N499-1)*D499))-AsAt)/365.25)/2+O499*('Deal maths'!AA499-AsAt)/365.25)/I499,IF(C499="Annuity",IF(F499&gt;0,((K499-L499*F499)*((IF(DAY(E499+1)=1,EOMONTH(E499,H499*D499),EDATE(E499,H499*D499))-AsAt)/365.25*((1+F499)^(I499-O499)-1)/F499+IF((I499-O499)&gt;1,((IF(DAY(E499+1)=1,EOMONTH(E499,(N499-1)*D499),EDATE(E499,(N499-1)*D499))-AsAt)/365.25-(IF(DAY(E499+1)=1,EOMONTH(E499,H499*D499),EDATE(E499,H499*D499))-AsAt)/365.25)/((I499-O499)-1),0)*(1+F499)*(1-(I499-O499)*(1+F499)^((I499-O499)-1)+((I499-O499)-1)*(1+F499)^(I499-O499))/F499^2)+O499*(K499-L499*F499)*(1+F499)^(I499-1)*('Deal maths'!AA499-AsAt)/365.25)/L499,((I499-O499)*((IF(DAY(E499+1)=1,EOMONTH(E499,H499*D499),EDATE(E499,H499*D499))-AsAt)/365.25+(IF(DAY(E499+1)=1,EOMONTH(E499,(N499-1)*D499),EDATE(E499,(N499-1)*D499))-AsAt)/365.25)/2+O499*('Deal maths'!AA499-AsAt)/365.25)/I499),(S499-AsAt)/365.25)),0))</f>
        <v/>
      </c>
      <c r="Q499" s="109">
        <f>IF(B499=1,'Deal maths'!AA499+ROW()/1000000,"")</f>
        <v/>
      </c>
      <c r="R499" s="108">
        <f>IF(D499=0,0,IF(DAY(E499+1)=1,31,DAY(E499)))</f>
        <v/>
      </c>
      <c r="S499" s="109">
        <f>IF(AND('Deal maths'!V499="LOBO",'Deal maths'!AG499&gt;AsAt,'Deal maths'!AG499&lt;'Deal maths'!AA499),'Deal maths'!AG499,'Deal maths'!AA499)</f>
        <v/>
      </c>
      <c r="T499" s="108">
        <f>('Deal maths'!AA499&gt;AsAt)*('Deal maths'!Y499&gt;0)</f>
        <v/>
      </c>
    </row>
    <row r="500">
      <c r="A500" s="91">
        <f>IF('Deal maths'!V500="","",'Deal maths'!W500)</f>
        <v/>
      </c>
      <c r="B500" s="108">
        <f>('Deal maths'!AA500&gt;AsAt)*('Deal maths'!Y500&gt;0)*('Deal maths'!Z500&lt;=AsAt)</f>
        <v/>
      </c>
      <c r="C500" s="91">
        <f>IF('Deal maths'!V500="","",IF('Deal maths'!AC500="","Maturity",'Deal maths'!AC500))</f>
        <v/>
      </c>
      <c r="D500" s="108">
        <f>IF(OR(C500="EIP",C500="Annuity"),IF('Deal maths'!AD500="Annual",12,IF('Deal maths'!AD500="Quarterly",3,6)),0)</f>
        <v/>
      </c>
      <c r="E500" s="109">
        <f>IFERROR(IF(D500=0,0,IF('Deal maths'!AE500&gt;0,IF('Deal maths'!AE500&gt;'Deal maths'!AA500,'Deal maths'!AA500,'Deal maths'!AE500),IF(IF(DAY('Deal maths'!AA500+1)=1,EOMONTH('Deal maths'!AA500,-(INT(((YEAR('Deal maths'!AA500)-YEAR(IF('Deal maths'!Z500&gt;0,'Deal maths'!Z500,DATE(1990,1,1))))*12+MONTH('Deal maths'!AA500)-MONTH(IF('Deal maths'!Z500&gt;0,'Deal maths'!Z500,DATE(1990,1,1))))/D500))*D500),EDATE('Deal maths'!AA500,-(INT(((YEAR('Deal maths'!AA500)-YEAR(IF('Deal maths'!Z500&gt;0,'Deal maths'!Z500,DATE(1990,1,1))))*12+MONTH('Deal maths'!AA500)-MONTH(IF('Deal maths'!Z500&gt;0,'Deal maths'!Z500,DATE(1990,1,1))))/D500))*D500))&gt;IF('Deal maths'!Z500&gt;0,'Deal maths'!Z500,DATE(1990,1,1)),IF(DAY('Deal maths'!AA500+1)=1,EOMONTH('Deal maths'!AA500,-(INT(((YEAR('Deal maths'!AA500)-YEAR(IF('Deal maths'!Z500&gt;0,'Deal maths'!Z500,DATE(1990,1,1))))*12+MONTH('Deal maths'!AA500)-MONTH(IF('Deal maths'!Z500&gt;0,'Deal maths'!Z500,DATE(1990,1,1))))/D500))*D500),EDATE('Deal maths'!AA500,-(INT(((YEAR('Deal maths'!AA500)-YEAR(IF('Deal maths'!Z500&gt;0,'Deal maths'!Z500,DATE(1990,1,1))))*12+MONTH('Deal maths'!AA500)-MONTH(IF('Deal maths'!Z500&gt;0,'Deal maths'!Z500,DATE(1990,1,1))))/D500))*D500)),IF(DAY('Deal maths'!AA500+1)=1,EOMONTH('Deal maths'!AA500,-(INT(((YEAR('Deal maths'!AA500)-YEAR(IF('Deal maths'!Z500&gt;0,'Deal maths'!Z500,DATE(1990,1,1))))*12+MONTH('Deal maths'!AA500)-MONTH(IF('Deal maths'!Z500&gt;0,'Deal maths'!Z500,DATE(1990,1,1))))/D500)-1)*D500),EDATE('Deal maths'!AA500,-(INT(((YEAR('Deal maths'!AA500)-YEAR(IF('Deal maths'!Z500&gt;0,'Deal maths'!Z500,DATE(1990,1,1))))*12+MONTH('Deal maths'!AA500)-MONTH(IF('Deal maths'!Z500&gt;0,'Deal maths'!Z500,DATE(1990,1,1))))/D500)-1)*D500))))),0)</f>
        <v/>
      </c>
      <c r="F500" s="110">
        <f>IF(D500=0,0,'Deal maths'!AB500*D500/12)</f>
        <v/>
      </c>
      <c r="G500" s="108">
        <f>N500+O500</f>
        <v/>
      </c>
      <c r="H500" s="108">
        <f>IFERROR(IF(OR(D500=0,AsAt&lt;E500),0,MIN(N500,INT(((YEAR(AsAt)-YEAR(E500))*12+MONTH(AsAt)-MONTH(E500)-(DAY(AsAt)&lt;MIN(R500,DAY(EOMONTH(AsAt,0)))))/D500)+1)+O500*(AsAt&gt;='Deal maths'!AA500)),0)</f>
        <v/>
      </c>
      <c r="I500" s="108">
        <f>G500-H500</f>
        <v/>
      </c>
      <c r="J500" s="111">
        <f>IF(AND(C500="EIP",I500&gt;0),'Deal maths'!Y500/I500,0)</f>
        <v/>
      </c>
      <c r="K500" s="111">
        <f>IF(AND(C500="Annuity",I500&gt;0),IF(F500&gt;0,'Deal maths'!Y500*F500/(1-(1+F500)^-I500),'Deal maths'!Y500/I500),0)</f>
        <v/>
      </c>
      <c r="L500" s="111">
        <f>IF('Deal maths'!Y500="",0,'Deal maths'!Y500)</f>
        <v/>
      </c>
      <c r="M500" s="112">
        <f>F500+(F500=0)</f>
        <v/>
      </c>
      <c r="N500" s="108">
        <f>IFERROR(IF(D500=0,0,INT(((YEAR('Deal maths'!AA500)-YEAR(E500))*12+MONTH('Deal maths'!AA500)-MONTH(E500)-(DAY('Deal maths'!AA500)&lt;MIN(R500,DAY(EOMONTH('Deal maths'!AA500,0)))))/D500)+1),0)</f>
        <v/>
      </c>
      <c r="O500" s="108">
        <f>IFERROR(IF(D500=0,0,IF(IF(DAY(E500+1)=1,EOMONTH(E500,(N500-1)*D500),EDATE(E500,(N500-1)*D500))='Deal maths'!AA500,0,1)),0)</f>
        <v/>
      </c>
      <c r="P500" s="113">
        <f>IF(B500=0,0,IFERROR(IF(C500="EIP",((I500-O500)*((IF(DAY(E500+1)=1,EOMONTH(E500,H500*D500),EDATE(E500,H500*D500))-AsAt)/365.25+(IF(DAY(E500+1)=1,EOMONTH(E500,(N500-1)*D500),EDATE(E500,(N500-1)*D500))-AsAt)/365.25)/2+O500*('Deal maths'!AA500-AsAt)/365.25)/I500,IF(C500="Annuity",IF(F500&gt;0,((K500-L500*F500)*((IF(DAY(E500+1)=1,EOMONTH(E500,H500*D500),EDATE(E500,H500*D500))-AsAt)/365.25*((1+F500)^(I500-O500)-1)/F500+IF((I500-O500)&gt;1,((IF(DAY(E500+1)=1,EOMONTH(E500,(N500-1)*D500),EDATE(E500,(N500-1)*D500))-AsAt)/365.25-(IF(DAY(E500+1)=1,EOMONTH(E500,H500*D500),EDATE(E500,H500*D500))-AsAt)/365.25)/((I500-O500)-1),0)*(1+F500)*(1-(I500-O500)*(1+F500)^((I500-O500)-1)+((I500-O500)-1)*(1+F500)^(I500-O500))/F500^2)+O500*(K500-L500*F500)*(1+F500)^(I500-1)*('Deal maths'!AA500-AsAt)/365.25)/L500,((I500-O500)*((IF(DAY(E500+1)=1,EOMONTH(E500,H500*D500),EDATE(E500,H500*D500))-AsAt)/365.25+(IF(DAY(E500+1)=1,EOMONTH(E500,(N500-1)*D500),EDATE(E500,(N500-1)*D500))-AsAt)/365.25)/2+O500*('Deal maths'!AA500-AsAt)/365.25)/I500),(S500-AsAt)/365.25)),0))</f>
        <v/>
      </c>
      <c r="Q500" s="109">
        <f>IF(B500=1,'Deal maths'!AA500+ROW()/1000000,"")</f>
        <v/>
      </c>
      <c r="R500" s="108">
        <f>IF(D500=0,0,IF(DAY(E500+1)=1,31,DAY(E500)))</f>
        <v/>
      </c>
      <c r="S500" s="109">
        <f>IF(AND('Deal maths'!V500="LOBO",'Deal maths'!AG500&gt;AsAt,'Deal maths'!AG500&lt;'Deal maths'!AA500),'Deal maths'!AG500,'Deal maths'!AA500)</f>
        <v/>
      </c>
      <c r="T500" s="108">
        <f>('Deal maths'!AA500&gt;AsAt)*('Deal maths'!Y500&gt;0)</f>
        <v/>
      </c>
    </row>
    <row r="501">
      <c r="A501" s="91">
        <f>IF('Deal maths'!V501="","",'Deal maths'!W501)</f>
        <v/>
      </c>
      <c r="B501" s="108">
        <f>('Deal maths'!AA501&gt;AsAt)*('Deal maths'!Y501&gt;0)*('Deal maths'!Z501&lt;=AsAt)</f>
        <v/>
      </c>
      <c r="C501" s="91">
        <f>IF('Deal maths'!V501="","",IF('Deal maths'!AC501="","Maturity",'Deal maths'!AC501))</f>
        <v/>
      </c>
      <c r="D501" s="108">
        <f>IF(OR(C501="EIP",C501="Annuity"),IF('Deal maths'!AD501="Annual",12,IF('Deal maths'!AD501="Quarterly",3,6)),0)</f>
        <v/>
      </c>
      <c r="E501" s="109">
        <f>IFERROR(IF(D501=0,0,IF('Deal maths'!AE501&gt;0,IF('Deal maths'!AE501&gt;'Deal maths'!AA501,'Deal maths'!AA501,'Deal maths'!AE501),IF(IF(DAY('Deal maths'!AA501+1)=1,EOMONTH('Deal maths'!AA501,-(INT(((YEAR('Deal maths'!AA501)-YEAR(IF('Deal maths'!Z501&gt;0,'Deal maths'!Z501,DATE(1990,1,1))))*12+MONTH('Deal maths'!AA501)-MONTH(IF('Deal maths'!Z501&gt;0,'Deal maths'!Z501,DATE(1990,1,1))))/D501))*D501),EDATE('Deal maths'!AA501,-(INT(((YEAR('Deal maths'!AA501)-YEAR(IF('Deal maths'!Z501&gt;0,'Deal maths'!Z501,DATE(1990,1,1))))*12+MONTH('Deal maths'!AA501)-MONTH(IF('Deal maths'!Z501&gt;0,'Deal maths'!Z501,DATE(1990,1,1))))/D501))*D501))&gt;IF('Deal maths'!Z501&gt;0,'Deal maths'!Z501,DATE(1990,1,1)),IF(DAY('Deal maths'!AA501+1)=1,EOMONTH('Deal maths'!AA501,-(INT(((YEAR('Deal maths'!AA501)-YEAR(IF('Deal maths'!Z501&gt;0,'Deal maths'!Z501,DATE(1990,1,1))))*12+MONTH('Deal maths'!AA501)-MONTH(IF('Deal maths'!Z501&gt;0,'Deal maths'!Z501,DATE(1990,1,1))))/D501))*D501),EDATE('Deal maths'!AA501,-(INT(((YEAR('Deal maths'!AA501)-YEAR(IF('Deal maths'!Z501&gt;0,'Deal maths'!Z501,DATE(1990,1,1))))*12+MONTH('Deal maths'!AA501)-MONTH(IF('Deal maths'!Z501&gt;0,'Deal maths'!Z501,DATE(1990,1,1))))/D501))*D501)),IF(DAY('Deal maths'!AA501+1)=1,EOMONTH('Deal maths'!AA501,-(INT(((YEAR('Deal maths'!AA501)-YEAR(IF('Deal maths'!Z501&gt;0,'Deal maths'!Z501,DATE(1990,1,1))))*12+MONTH('Deal maths'!AA501)-MONTH(IF('Deal maths'!Z501&gt;0,'Deal maths'!Z501,DATE(1990,1,1))))/D501)-1)*D501),EDATE('Deal maths'!AA501,-(INT(((YEAR('Deal maths'!AA501)-YEAR(IF('Deal maths'!Z501&gt;0,'Deal maths'!Z501,DATE(1990,1,1))))*12+MONTH('Deal maths'!AA501)-MONTH(IF('Deal maths'!Z501&gt;0,'Deal maths'!Z501,DATE(1990,1,1))))/D501)-1)*D501))))),0)</f>
        <v/>
      </c>
      <c r="F501" s="110">
        <f>IF(D501=0,0,'Deal maths'!AB501*D501/12)</f>
        <v/>
      </c>
      <c r="G501" s="108">
        <f>N501+O501</f>
        <v/>
      </c>
      <c r="H501" s="108">
        <f>IFERROR(IF(OR(D501=0,AsAt&lt;E501),0,MIN(N501,INT(((YEAR(AsAt)-YEAR(E501))*12+MONTH(AsAt)-MONTH(E501)-(DAY(AsAt)&lt;MIN(R501,DAY(EOMONTH(AsAt,0)))))/D501)+1)+O501*(AsAt&gt;='Deal maths'!AA501)),0)</f>
        <v/>
      </c>
      <c r="I501" s="108">
        <f>G501-H501</f>
        <v/>
      </c>
      <c r="J501" s="111">
        <f>IF(AND(C501="EIP",I501&gt;0),'Deal maths'!Y501/I501,0)</f>
        <v/>
      </c>
      <c r="K501" s="111">
        <f>IF(AND(C501="Annuity",I501&gt;0),IF(F501&gt;0,'Deal maths'!Y501*F501/(1-(1+F501)^-I501),'Deal maths'!Y501/I501),0)</f>
        <v/>
      </c>
      <c r="L501" s="111">
        <f>IF('Deal maths'!Y501="",0,'Deal maths'!Y501)</f>
        <v/>
      </c>
      <c r="M501" s="112">
        <f>F501+(F501=0)</f>
        <v/>
      </c>
      <c r="N501" s="108">
        <f>IFERROR(IF(D501=0,0,INT(((YEAR('Deal maths'!AA501)-YEAR(E501))*12+MONTH('Deal maths'!AA501)-MONTH(E501)-(DAY('Deal maths'!AA501)&lt;MIN(R501,DAY(EOMONTH('Deal maths'!AA501,0)))))/D501)+1),0)</f>
        <v/>
      </c>
      <c r="O501" s="108">
        <f>IFERROR(IF(D501=0,0,IF(IF(DAY(E501+1)=1,EOMONTH(E501,(N501-1)*D501),EDATE(E501,(N501-1)*D501))='Deal maths'!AA501,0,1)),0)</f>
        <v/>
      </c>
      <c r="P501" s="113">
        <f>IF(B501=0,0,IFERROR(IF(C501="EIP",((I501-O501)*((IF(DAY(E501+1)=1,EOMONTH(E501,H501*D501),EDATE(E501,H501*D501))-AsAt)/365.25+(IF(DAY(E501+1)=1,EOMONTH(E501,(N501-1)*D501),EDATE(E501,(N501-1)*D501))-AsAt)/365.25)/2+O501*('Deal maths'!AA501-AsAt)/365.25)/I501,IF(C501="Annuity",IF(F501&gt;0,((K501-L501*F501)*((IF(DAY(E501+1)=1,EOMONTH(E501,H501*D501),EDATE(E501,H501*D501))-AsAt)/365.25*((1+F501)^(I501-O501)-1)/F501+IF((I501-O501)&gt;1,((IF(DAY(E501+1)=1,EOMONTH(E501,(N501-1)*D501),EDATE(E501,(N501-1)*D501))-AsAt)/365.25-(IF(DAY(E501+1)=1,EOMONTH(E501,H501*D501),EDATE(E501,H501*D501))-AsAt)/365.25)/((I501-O501)-1),0)*(1+F501)*(1-(I501-O501)*(1+F501)^((I501-O501)-1)+((I501-O501)-1)*(1+F501)^(I501-O501))/F501^2)+O501*(K501-L501*F501)*(1+F501)^(I501-1)*('Deal maths'!AA501-AsAt)/365.25)/L501,((I501-O501)*((IF(DAY(E501+1)=1,EOMONTH(E501,H501*D501),EDATE(E501,H501*D501))-AsAt)/365.25+(IF(DAY(E501+1)=1,EOMONTH(E501,(N501-1)*D501),EDATE(E501,(N501-1)*D501))-AsAt)/365.25)/2+O501*('Deal maths'!AA501-AsAt)/365.25)/I501),(S501-AsAt)/365.25)),0))</f>
        <v/>
      </c>
      <c r="Q501" s="109">
        <f>IF(B501=1,'Deal maths'!AA501+ROW()/1000000,"")</f>
        <v/>
      </c>
      <c r="R501" s="108">
        <f>IF(D501=0,0,IF(DAY(E501+1)=1,31,DAY(E501)))</f>
        <v/>
      </c>
      <c r="S501" s="109">
        <f>IF(AND('Deal maths'!V501="LOBO",'Deal maths'!AG501&gt;AsAt,'Deal maths'!AG501&lt;'Deal maths'!AA501),'Deal maths'!AG501,'Deal maths'!AA501)</f>
        <v/>
      </c>
      <c r="T501" s="108">
        <f>('Deal maths'!AA501&gt;AsAt)*('Deal maths'!Y501&gt;0)</f>
        <v/>
      </c>
    </row>
    <row r="502">
      <c r="A502" s="91">
        <f>IF('Deal maths'!V502="","",'Deal maths'!W502)</f>
        <v/>
      </c>
      <c r="B502" s="108">
        <f>('Deal maths'!AA502&gt;AsAt)*('Deal maths'!Y502&gt;0)*('Deal maths'!Z502&lt;=AsAt)</f>
        <v/>
      </c>
      <c r="C502" s="91">
        <f>IF('Deal maths'!V502="","",IF('Deal maths'!AC502="","Maturity",'Deal maths'!AC502))</f>
        <v/>
      </c>
      <c r="D502" s="108">
        <f>IF(OR(C502="EIP",C502="Annuity"),IF('Deal maths'!AD502="Annual",12,IF('Deal maths'!AD502="Quarterly",3,6)),0)</f>
        <v/>
      </c>
      <c r="E502" s="109">
        <f>IFERROR(IF(D502=0,0,IF('Deal maths'!AE502&gt;0,IF('Deal maths'!AE502&gt;'Deal maths'!AA502,'Deal maths'!AA502,'Deal maths'!AE502),IF(IF(DAY('Deal maths'!AA502+1)=1,EOMONTH('Deal maths'!AA502,-(INT(((YEAR('Deal maths'!AA502)-YEAR(IF('Deal maths'!Z502&gt;0,'Deal maths'!Z502,DATE(1990,1,1))))*12+MONTH('Deal maths'!AA502)-MONTH(IF('Deal maths'!Z502&gt;0,'Deal maths'!Z502,DATE(1990,1,1))))/D502))*D502),EDATE('Deal maths'!AA502,-(INT(((YEAR('Deal maths'!AA502)-YEAR(IF('Deal maths'!Z502&gt;0,'Deal maths'!Z502,DATE(1990,1,1))))*12+MONTH('Deal maths'!AA502)-MONTH(IF('Deal maths'!Z502&gt;0,'Deal maths'!Z502,DATE(1990,1,1))))/D502))*D502))&gt;IF('Deal maths'!Z502&gt;0,'Deal maths'!Z502,DATE(1990,1,1)),IF(DAY('Deal maths'!AA502+1)=1,EOMONTH('Deal maths'!AA502,-(INT(((YEAR('Deal maths'!AA502)-YEAR(IF('Deal maths'!Z502&gt;0,'Deal maths'!Z502,DATE(1990,1,1))))*12+MONTH('Deal maths'!AA502)-MONTH(IF('Deal maths'!Z502&gt;0,'Deal maths'!Z502,DATE(1990,1,1))))/D502))*D502),EDATE('Deal maths'!AA502,-(INT(((YEAR('Deal maths'!AA502)-YEAR(IF('Deal maths'!Z502&gt;0,'Deal maths'!Z502,DATE(1990,1,1))))*12+MONTH('Deal maths'!AA502)-MONTH(IF('Deal maths'!Z502&gt;0,'Deal maths'!Z502,DATE(1990,1,1))))/D502))*D502)),IF(DAY('Deal maths'!AA502+1)=1,EOMONTH('Deal maths'!AA502,-(INT(((YEAR('Deal maths'!AA502)-YEAR(IF('Deal maths'!Z502&gt;0,'Deal maths'!Z502,DATE(1990,1,1))))*12+MONTH('Deal maths'!AA502)-MONTH(IF('Deal maths'!Z502&gt;0,'Deal maths'!Z502,DATE(1990,1,1))))/D502)-1)*D502),EDATE('Deal maths'!AA502,-(INT(((YEAR('Deal maths'!AA502)-YEAR(IF('Deal maths'!Z502&gt;0,'Deal maths'!Z502,DATE(1990,1,1))))*12+MONTH('Deal maths'!AA502)-MONTH(IF('Deal maths'!Z502&gt;0,'Deal maths'!Z502,DATE(1990,1,1))))/D502)-1)*D502))))),0)</f>
        <v/>
      </c>
      <c r="F502" s="110">
        <f>IF(D502=0,0,'Deal maths'!AB502*D502/12)</f>
        <v/>
      </c>
      <c r="G502" s="108">
        <f>N502+O502</f>
        <v/>
      </c>
      <c r="H502" s="108">
        <f>IFERROR(IF(OR(D502=0,AsAt&lt;E502),0,MIN(N502,INT(((YEAR(AsAt)-YEAR(E502))*12+MONTH(AsAt)-MONTH(E502)-(DAY(AsAt)&lt;MIN(R502,DAY(EOMONTH(AsAt,0)))))/D502)+1)+O502*(AsAt&gt;='Deal maths'!AA502)),0)</f>
        <v/>
      </c>
      <c r="I502" s="108">
        <f>G502-H502</f>
        <v/>
      </c>
      <c r="J502" s="111">
        <f>IF(AND(C502="EIP",I502&gt;0),'Deal maths'!Y502/I502,0)</f>
        <v/>
      </c>
      <c r="K502" s="111">
        <f>IF(AND(C502="Annuity",I502&gt;0),IF(F502&gt;0,'Deal maths'!Y502*F502/(1-(1+F502)^-I502),'Deal maths'!Y502/I502),0)</f>
        <v/>
      </c>
      <c r="L502" s="111">
        <f>IF('Deal maths'!Y502="",0,'Deal maths'!Y502)</f>
        <v/>
      </c>
      <c r="M502" s="112">
        <f>F502+(F502=0)</f>
        <v/>
      </c>
      <c r="N502" s="108">
        <f>IFERROR(IF(D502=0,0,INT(((YEAR('Deal maths'!AA502)-YEAR(E502))*12+MONTH('Deal maths'!AA502)-MONTH(E502)-(DAY('Deal maths'!AA502)&lt;MIN(R502,DAY(EOMONTH('Deal maths'!AA502,0)))))/D502)+1),0)</f>
        <v/>
      </c>
      <c r="O502" s="108">
        <f>IFERROR(IF(D502=0,0,IF(IF(DAY(E502+1)=1,EOMONTH(E502,(N502-1)*D502),EDATE(E502,(N502-1)*D502))='Deal maths'!AA502,0,1)),0)</f>
        <v/>
      </c>
      <c r="P502" s="113">
        <f>IF(B502=0,0,IFERROR(IF(C502="EIP",((I502-O502)*((IF(DAY(E502+1)=1,EOMONTH(E502,H502*D502),EDATE(E502,H502*D502))-AsAt)/365.25+(IF(DAY(E502+1)=1,EOMONTH(E502,(N502-1)*D502),EDATE(E502,(N502-1)*D502))-AsAt)/365.25)/2+O502*('Deal maths'!AA502-AsAt)/365.25)/I502,IF(C502="Annuity",IF(F502&gt;0,((K502-L502*F502)*((IF(DAY(E502+1)=1,EOMONTH(E502,H502*D502),EDATE(E502,H502*D502))-AsAt)/365.25*((1+F502)^(I502-O502)-1)/F502+IF((I502-O502)&gt;1,((IF(DAY(E502+1)=1,EOMONTH(E502,(N502-1)*D502),EDATE(E502,(N502-1)*D502))-AsAt)/365.25-(IF(DAY(E502+1)=1,EOMONTH(E502,H502*D502),EDATE(E502,H502*D502))-AsAt)/365.25)/((I502-O502)-1),0)*(1+F502)*(1-(I502-O502)*(1+F502)^((I502-O502)-1)+((I502-O502)-1)*(1+F502)^(I502-O502))/F502^2)+O502*(K502-L502*F502)*(1+F502)^(I502-1)*('Deal maths'!AA502-AsAt)/365.25)/L502,((I502-O502)*((IF(DAY(E502+1)=1,EOMONTH(E502,H502*D502),EDATE(E502,H502*D502))-AsAt)/365.25+(IF(DAY(E502+1)=1,EOMONTH(E502,(N502-1)*D502),EDATE(E502,(N502-1)*D502))-AsAt)/365.25)/2+O502*('Deal maths'!AA502-AsAt)/365.25)/I502),(S502-AsAt)/365.25)),0))</f>
        <v/>
      </c>
      <c r="Q502" s="109">
        <f>IF(B502=1,'Deal maths'!AA502+ROW()/1000000,"")</f>
        <v/>
      </c>
      <c r="R502" s="108">
        <f>IF(D502=0,0,IF(DAY(E502+1)=1,31,DAY(E502)))</f>
        <v/>
      </c>
      <c r="S502" s="109">
        <f>IF(AND('Deal maths'!V502="LOBO",'Deal maths'!AG502&gt;AsAt,'Deal maths'!AG502&lt;'Deal maths'!AA502),'Deal maths'!AG502,'Deal maths'!AA502)</f>
        <v/>
      </c>
      <c r="T502" s="108">
        <f>('Deal maths'!AA502&gt;AsAt)*('Deal maths'!Y502&gt;0)</f>
        <v/>
      </c>
    </row>
    <row r="503">
      <c r="A503" s="91">
        <f>IF('Deal maths'!V503="","",'Deal maths'!W503)</f>
        <v/>
      </c>
      <c r="B503" s="108">
        <f>('Deal maths'!AA503&gt;AsAt)*('Deal maths'!Y503&gt;0)*('Deal maths'!Z503&lt;=AsAt)</f>
        <v/>
      </c>
      <c r="C503" s="91">
        <f>IF('Deal maths'!V503="","",IF('Deal maths'!AC503="","Maturity",'Deal maths'!AC503))</f>
        <v/>
      </c>
      <c r="D503" s="108">
        <f>IF(OR(C503="EIP",C503="Annuity"),IF('Deal maths'!AD503="Annual",12,IF('Deal maths'!AD503="Quarterly",3,6)),0)</f>
        <v/>
      </c>
      <c r="E503" s="109">
        <f>IFERROR(IF(D503=0,0,IF('Deal maths'!AE503&gt;0,IF('Deal maths'!AE503&gt;'Deal maths'!AA503,'Deal maths'!AA503,'Deal maths'!AE503),IF(IF(DAY('Deal maths'!AA503+1)=1,EOMONTH('Deal maths'!AA503,-(INT(((YEAR('Deal maths'!AA503)-YEAR(IF('Deal maths'!Z503&gt;0,'Deal maths'!Z503,DATE(1990,1,1))))*12+MONTH('Deal maths'!AA503)-MONTH(IF('Deal maths'!Z503&gt;0,'Deal maths'!Z503,DATE(1990,1,1))))/D503))*D503),EDATE('Deal maths'!AA503,-(INT(((YEAR('Deal maths'!AA503)-YEAR(IF('Deal maths'!Z503&gt;0,'Deal maths'!Z503,DATE(1990,1,1))))*12+MONTH('Deal maths'!AA503)-MONTH(IF('Deal maths'!Z503&gt;0,'Deal maths'!Z503,DATE(1990,1,1))))/D503))*D503))&gt;IF('Deal maths'!Z503&gt;0,'Deal maths'!Z503,DATE(1990,1,1)),IF(DAY('Deal maths'!AA503+1)=1,EOMONTH('Deal maths'!AA503,-(INT(((YEAR('Deal maths'!AA503)-YEAR(IF('Deal maths'!Z503&gt;0,'Deal maths'!Z503,DATE(1990,1,1))))*12+MONTH('Deal maths'!AA503)-MONTH(IF('Deal maths'!Z503&gt;0,'Deal maths'!Z503,DATE(1990,1,1))))/D503))*D503),EDATE('Deal maths'!AA503,-(INT(((YEAR('Deal maths'!AA503)-YEAR(IF('Deal maths'!Z503&gt;0,'Deal maths'!Z503,DATE(1990,1,1))))*12+MONTH('Deal maths'!AA503)-MONTH(IF('Deal maths'!Z503&gt;0,'Deal maths'!Z503,DATE(1990,1,1))))/D503))*D503)),IF(DAY('Deal maths'!AA503+1)=1,EOMONTH('Deal maths'!AA503,-(INT(((YEAR('Deal maths'!AA503)-YEAR(IF('Deal maths'!Z503&gt;0,'Deal maths'!Z503,DATE(1990,1,1))))*12+MONTH('Deal maths'!AA503)-MONTH(IF('Deal maths'!Z503&gt;0,'Deal maths'!Z503,DATE(1990,1,1))))/D503)-1)*D503),EDATE('Deal maths'!AA503,-(INT(((YEAR('Deal maths'!AA503)-YEAR(IF('Deal maths'!Z503&gt;0,'Deal maths'!Z503,DATE(1990,1,1))))*12+MONTH('Deal maths'!AA503)-MONTH(IF('Deal maths'!Z503&gt;0,'Deal maths'!Z503,DATE(1990,1,1))))/D503)-1)*D503))))),0)</f>
        <v/>
      </c>
      <c r="F503" s="110">
        <f>IF(D503=0,0,'Deal maths'!AB503*D503/12)</f>
        <v/>
      </c>
      <c r="G503" s="108">
        <f>N503+O503</f>
        <v/>
      </c>
      <c r="H503" s="108">
        <f>IFERROR(IF(OR(D503=0,AsAt&lt;E503),0,MIN(N503,INT(((YEAR(AsAt)-YEAR(E503))*12+MONTH(AsAt)-MONTH(E503)-(DAY(AsAt)&lt;MIN(R503,DAY(EOMONTH(AsAt,0)))))/D503)+1)+O503*(AsAt&gt;='Deal maths'!AA503)),0)</f>
        <v/>
      </c>
      <c r="I503" s="108">
        <f>G503-H503</f>
        <v/>
      </c>
      <c r="J503" s="111">
        <f>IF(AND(C503="EIP",I503&gt;0),'Deal maths'!Y503/I503,0)</f>
        <v/>
      </c>
      <c r="K503" s="111">
        <f>IF(AND(C503="Annuity",I503&gt;0),IF(F503&gt;0,'Deal maths'!Y503*F503/(1-(1+F503)^-I503),'Deal maths'!Y503/I503),0)</f>
        <v/>
      </c>
      <c r="L503" s="111">
        <f>IF('Deal maths'!Y503="",0,'Deal maths'!Y503)</f>
        <v/>
      </c>
      <c r="M503" s="112">
        <f>F503+(F503=0)</f>
        <v/>
      </c>
      <c r="N503" s="108">
        <f>IFERROR(IF(D503=0,0,INT(((YEAR('Deal maths'!AA503)-YEAR(E503))*12+MONTH('Deal maths'!AA503)-MONTH(E503)-(DAY('Deal maths'!AA503)&lt;MIN(R503,DAY(EOMONTH('Deal maths'!AA503,0)))))/D503)+1),0)</f>
        <v/>
      </c>
      <c r="O503" s="108">
        <f>IFERROR(IF(D503=0,0,IF(IF(DAY(E503+1)=1,EOMONTH(E503,(N503-1)*D503),EDATE(E503,(N503-1)*D503))='Deal maths'!AA503,0,1)),0)</f>
        <v/>
      </c>
      <c r="P503" s="113">
        <f>IF(B503=0,0,IFERROR(IF(C503="EIP",((I503-O503)*((IF(DAY(E503+1)=1,EOMONTH(E503,H503*D503),EDATE(E503,H503*D503))-AsAt)/365.25+(IF(DAY(E503+1)=1,EOMONTH(E503,(N503-1)*D503),EDATE(E503,(N503-1)*D503))-AsAt)/365.25)/2+O503*('Deal maths'!AA503-AsAt)/365.25)/I503,IF(C503="Annuity",IF(F503&gt;0,((K503-L503*F503)*((IF(DAY(E503+1)=1,EOMONTH(E503,H503*D503),EDATE(E503,H503*D503))-AsAt)/365.25*((1+F503)^(I503-O503)-1)/F503+IF((I503-O503)&gt;1,((IF(DAY(E503+1)=1,EOMONTH(E503,(N503-1)*D503),EDATE(E503,(N503-1)*D503))-AsAt)/365.25-(IF(DAY(E503+1)=1,EOMONTH(E503,H503*D503),EDATE(E503,H503*D503))-AsAt)/365.25)/((I503-O503)-1),0)*(1+F503)*(1-(I503-O503)*(1+F503)^((I503-O503)-1)+((I503-O503)-1)*(1+F503)^(I503-O503))/F503^2)+O503*(K503-L503*F503)*(1+F503)^(I503-1)*('Deal maths'!AA503-AsAt)/365.25)/L503,((I503-O503)*((IF(DAY(E503+1)=1,EOMONTH(E503,H503*D503),EDATE(E503,H503*D503))-AsAt)/365.25+(IF(DAY(E503+1)=1,EOMONTH(E503,(N503-1)*D503),EDATE(E503,(N503-1)*D503))-AsAt)/365.25)/2+O503*('Deal maths'!AA503-AsAt)/365.25)/I503),(S503-AsAt)/365.25)),0))</f>
        <v/>
      </c>
      <c r="Q503" s="109">
        <f>IF(B503=1,'Deal maths'!AA503+ROW()/1000000,"")</f>
        <v/>
      </c>
      <c r="R503" s="108">
        <f>IF(D503=0,0,IF(DAY(E503+1)=1,31,DAY(E503)))</f>
        <v/>
      </c>
      <c r="S503" s="109">
        <f>IF(AND('Deal maths'!V503="LOBO",'Deal maths'!AG503&gt;AsAt,'Deal maths'!AG503&lt;'Deal maths'!AA503),'Deal maths'!AG503,'Deal maths'!AA503)</f>
        <v/>
      </c>
      <c r="T503" s="108">
        <f>('Deal maths'!AA503&gt;AsAt)*('Deal maths'!Y503&gt;0)</f>
        <v/>
      </c>
    </row>
    <row r="504">
      <c r="A504" s="91">
        <f>IF('Deal maths'!V504="","",'Deal maths'!W504)</f>
        <v/>
      </c>
      <c r="B504" s="108">
        <f>('Deal maths'!AA504&gt;AsAt)*('Deal maths'!Y504&gt;0)*('Deal maths'!Z504&lt;=AsAt)</f>
        <v/>
      </c>
      <c r="C504" s="91">
        <f>IF('Deal maths'!V504="","",IF('Deal maths'!AC504="","Maturity",'Deal maths'!AC504))</f>
        <v/>
      </c>
      <c r="D504" s="108">
        <f>IF(OR(C504="EIP",C504="Annuity"),IF('Deal maths'!AD504="Annual",12,IF('Deal maths'!AD504="Quarterly",3,6)),0)</f>
        <v/>
      </c>
      <c r="E504" s="109">
        <f>IFERROR(IF(D504=0,0,IF('Deal maths'!AE504&gt;0,IF('Deal maths'!AE504&gt;'Deal maths'!AA504,'Deal maths'!AA504,'Deal maths'!AE504),IF(IF(DAY('Deal maths'!AA504+1)=1,EOMONTH('Deal maths'!AA504,-(INT(((YEAR('Deal maths'!AA504)-YEAR(IF('Deal maths'!Z504&gt;0,'Deal maths'!Z504,DATE(1990,1,1))))*12+MONTH('Deal maths'!AA504)-MONTH(IF('Deal maths'!Z504&gt;0,'Deal maths'!Z504,DATE(1990,1,1))))/D504))*D504),EDATE('Deal maths'!AA504,-(INT(((YEAR('Deal maths'!AA504)-YEAR(IF('Deal maths'!Z504&gt;0,'Deal maths'!Z504,DATE(1990,1,1))))*12+MONTH('Deal maths'!AA504)-MONTH(IF('Deal maths'!Z504&gt;0,'Deal maths'!Z504,DATE(1990,1,1))))/D504))*D504))&gt;IF('Deal maths'!Z504&gt;0,'Deal maths'!Z504,DATE(1990,1,1)),IF(DAY('Deal maths'!AA504+1)=1,EOMONTH('Deal maths'!AA504,-(INT(((YEAR('Deal maths'!AA504)-YEAR(IF('Deal maths'!Z504&gt;0,'Deal maths'!Z504,DATE(1990,1,1))))*12+MONTH('Deal maths'!AA504)-MONTH(IF('Deal maths'!Z504&gt;0,'Deal maths'!Z504,DATE(1990,1,1))))/D504))*D504),EDATE('Deal maths'!AA504,-(INT(((YEAR('Deal maths'!AA504)-YEAR(IF('Deal maths'!Z504&gt;0,'Deal maths'!Z504,DATE(1990,1,1))))*12+MONTH('Deal maths'!AA504)-MONTH(IF('Deal maths'!Z504&gt;0,'Deal maths'!Z504,DATE(1990,1,1))))/D504))*D504)),IF(DAY('Deal maths'!AA504+1)=1,EOMONTH('Deal maths'!AA504,-(INT(((YEAR('Deal maths'!AA504)-YEAR(IF('Deal maths'!Z504&gt;0,'Deal maths'!Z504,DATE(1990,1,1))))*12+MONTH('Deal maths'!AA504)-MONTH(IF('Deal maths'!Z504&gt;0,'Deal maths'!Z504,DATE(1990,1,1))))/D504)-1)*D504),EDATE('Deal maths'!AA504,-(INT(((YEAR('Deal maths'!AA504)-YEAR(IF('Deal maths'!Z504&gt;0,'Deal maths'!Z504,DATE(1990,1,1))))*12+MONTH('Deal maths'!AA504)-MONTH(IF('Deal maths'!Z504&gt;0,'Deal maths'!Z504,DATE(1990,1,1))))/D504)-1)*D504))))),0)</f>
        <v/>
      </c>
      <c r="F504" s="110">
        <f>IF(D504=0,0,'Deal maths'!AB504*D504/12)</f>
        <v/>
      </c>
      <c r="G504" s="108">
        <f>N504+O504</f>
        <v/>
      </c>
      <c r="H504" s="108">
        <f>IFERROR(IF(OR(D504=0,AsAt&lt;E504),0,MIN(N504,INT(((YEAR(AsAt)-YEAR(E504))*12+MONTH(AsAt)-MONTH(E504)-(DAY(AsAt)&lt;MIN(R504,DAY(EOMONTH(AsAt,0)))))/D504)+1)+O504*(AsAt&gt;='Deal maths'!AA504)),0)</f>
        <v/>
      </c>
      <c r="I504" s="108">
        <f>G504-H504</f>
        <v/>
      </c>
      <c r="J504" s="111">
        <f>IF(AND(C504="EIP",I504&gt;0),'Deal maths'!Y504/I504,0)</f>
        <v/>
      </c>
      <c r="K504" s="111">
        <f>IF(AND(C504="Annuity",I504&gt;0),IF(F504&gt;0,'Deal maths'!Y504*F504/(1-(1+F504)^-I504),'Deal maths'!Y504/I504),0)</f>
        <v/>
      </c>
      <c r="L504" s="111">
        <f>IF('Deal maths'!Y504="",0,'Deal maths'!Y504)</f>
        <v/>
      </c>
      <c r="M504" s="112">
        <f>F504+(F504=0)</f>
        <v/>
      </c>
      <c r="N504" s="108">
        <f>IFERROR(IF(D504=0,0,INT(((YEAR('Deal maths'!AA504)-YEAR(E504))*12+MONTH('Deal maths'!AA504)-MONTH(E504)-(DAY('Deal maths'!AA504)&lt;MIN(R504,DAY(EOMONTH('Deal maths'!AA504,0)))))/D504)+1),0)</f>
        <v/>
      </c>
      <c r="O504" s="108">
        <f>IFERROR(IF(D504=0,0,IF(IF(DAY(E504+1)=1,EOMONTH(E504,(N504-1)*D504),EDATE(E504,(N504-1)*D504))='Deal maths'!AA504,0,1)),0)</f>
        <v/>
      </c>
      <c r="P504" s="113">
        <f>IF(B504=0,0,IFERROR(IF(C504="EIP",((I504-O504)*((IF(DAY(E504+1)=1,EOMONTH(E504,H504*D504),EDATE(E504,H504*D504))-AsAt)/365.25+(IF(DAY(E504+1)=1,EOMONTH(E504,(N504-1)*D504),EDATE(E504,(N504-1)*D504))-AsAt)/365.25)/2+O504*('Deal maths'!AA504-AsAt)/365.25)/I504,IF(C504="Annuity",IF(F504&gt;0,((K504-L504*F504)*((IF(DAY(E504+1)=1,EOMONTH(E504,H504*D504),EDATE(E504,H504*D504))-AsAt)/365.25*((1+F504)^(I504-O504)-1)/F504+IF((I504-O504)&gt;1,((IF(DAY(E504+1)=1,EOMONTH(E504,(N504-1)*D504),EDATE(E504,(N504-1)*D504))-AsAt)/365.25-(IF(DAY(E504+1)=1,EOMONTH(E504,H504*D504),EDATE(E504,H504*D504))-AsAt)/365.25)/((I504-O504)-1),0)*(1+F504)*(1-(I504-O504)*(1+F504)^((I504-O504)-1)+((I504-O504)-1)*(1+F504)^(I504-O504))/F504^2)+O504*(K504-L504*F504)*(1+F504)^(I504-1)*('Deal maths'!AA504-AsAt)/365.25)/L504,((I504-O504)*((IF(DAY(E504+1)=1,EOMONTH(E504,H504*D504),EDATE(E504,H504*D504))-AsAt)/365.25+(IF(DAY(E504+1)=1,EOMONTH(E504,(N504-1)*D504),EDATE(E504,(N504-1)*D504))-AsAt)/365.25)/2+O504*('Deal maths'!AA504-AsAt)/365.25)/I504),(S504-AsAt)/365.25)),0))</f>
        <v/>
      </c>
      <c r="Q504" s="109">
        <f>IF(B504=1,'Deal maths'!AA504+ROW()/1000000,"")</f>
        <v/>
      </c>
      <c r="R504" s="108">
        <f>IF(D504=0,0,IF(DAY(E504+1)=1,31,DAY(E504)))</f>
        <v/>
      </c>
      <c r="S504" s="109">
        <f>IF(AND('Deal maths'!V504="LOBO",'Deal maths'!AG504&gt;AsAt,'Deal maths'!AG504&lt;'Deal maths'!AA504),'Deal maths'!AG504,'Deal maths'!AA504)</f>
        <v/>
      </c>
      <c r="T504" s="108">
        <f>('Deal maths'!AA504&gt;AsAt)*('Deal maths'!Y504&gt;0)</f>
        <v/>
      </c>
    </row>
    <row r="505">
      <c r="A505" s="91">
        <f>IF('Deal maths'!V505="","",'Deal maths'!W505)</f>
        <v/>
      </c>
      <c r="B505" s="108">
        <f>('Deal maths'!AA505&gt;AsAt)*('Deal maths'!Y505&gt;0)*('Deal maths'!Z505&lt;=AsAt)</f>
        <v/>
      </c>
      <c r="C505" s="91">
        <f>IF('Deal maths'!V505="","",IF('Deal maths'!AC505="","Maturity",'Deal maths'!AC505))</f>
        <v/>
      </c>
      <c r="D505" s="108">
        <f>IF(OR(C505="EIP",C505="Annuity"),IF('Deal maths'!AD505="Annual",12,IF('Deal maths'!AD505="Quarterly",3,6)),0)</f>
        <v/>
      </c>
      <c r="E505" s="109">
        <f>IFERROR(IF(D505=0,0,IF('Deal maths'!AE505&gt;0,IF('Deal maths'!AE505&gt;'Deal maths'!AA505,'Deal maths'!AA505,'Deal maths'!AE505),IF(IF(DAY('Deal maths'!AA505+1)=1,EOMONTH('Deal maths'!AA505,-(INT(((YEAR('Deal maths'!AA505)-YEAR(IF('Deal maths'!Z505&gt;0,'Deal maths'!Z505,DATE(1990,1,1))))*12+MONTH('Deal maths'!AA505)-MONTH(IF('Deal maths'!Z505&gt;0,'Deal maths'!Z505,DATE(1990,1,1))))/D505))*D505),EDATE('Deal maths'!AA505,-(INT(((YEAR('Deal maths'!AA505)-YEAR(IF('Deal maths'!Z505&gt;0,'Deal maths'!Z505,DATE(1990,1,1))))*12+MONTH('Deal maths'!AA505)-MONTH(IF('Deal maths'!Z505&gt;0,'Deal maths'!Z505,DATE(1990,1,1))))/D505))*D505))&gt;IF('Deal maths'!Z505&gt;0,'Deal maths'!Z505,DATE(1990,1,1)),IF(DAY('Deal maths'!AA505+1)=1,EOMONTH('Deal maths'!AA505,-(INT(((YEAR('Deal maths'!AA505)-YEAR(IF('Deal maths'!Z505&gt;0,'Deal maths'!Z505,DATE(1990,1,1))))*12+MONTH('Deal maths'!AA505)-MONTH(IF('Deal maths'!Z505&gt;0,'Deal maths'!Z505,DATE(1990,1,1))))/D505))*D505),EDATE('Deal maths'!AA505,-(INT(((YEAR('Deal maths'!AA505)-YEAR(IF('Deal maths'!Z505&gt;0,'Deal maths'!Z505,DATE(1990,1,1))))*12+MONTH('Deal maths'!AA505)-MONTH(IF('Deal maths'!Z505&gt;0,'Deal maths'!Z505,DATE(1990,1,1))))/D505))*D505)),IF(DAY('Deal maths'!AA505+1)=1,EOMONTH('Deal maths'!AA505,-(INT(((YEAR('Deal maths'!AA505)-YEAR(IF('Deal maths'!Z505&gt;0,'Deal maths'!Z505,DATE(1990,1,1))))*12+MONTH('Deal maths'!AA505)-MONTH(IF('Deal maths'!Z505&gt;0,'Deal maths'!Z505,DATE(1990,1,1))))/D505)-1)*D505),EDATE('Deal maths'!AA505,-(INT(((YEAR('Deal maths'!AA505)-YEAR(IF('Deal maths'!Z505&gt;0,'Deal maths'!Z505,DATE(1990,1,1))))*12+MONTH('Deal maths'!AA505)-MONTH(IF('Deal maths'!Z505&gt;0,'Deal maths'!Z505,DATE(1990,1,1))))/D505)-1)*D505))))),0)</f>
        <v/>
      </c>
      <c r="F505" s="110">
        <f>IF(D505=0,0,'Deal maths'!AB505*D505/12)</f>
        <v/>
      </c>
      <c r="G505" s="108">
        <f>N505+O505</f>
        <v/>
      </c>
      <c r="H505" s="108">
        <f>IFERROR(IF(OR(D505=0,AsAt&lt;E505),0,MIN(N505,INT(((YEAR(AsAt)-YEAR(E505))*12+MONTH(AsAt)-MONTH(E505)-(DAY(AsAt)&lt;MIN(R505,DAY(EOMONTH(AsAt,0)))))/D505)+1)+O505*(AsAt&gt;='Deal maths'!AA505)),0)</f>
        <v/>
      </c>
      <c r="I505" s="108">
        <f>G505-H505</f>
        <v/>
      </c>
      <c r="J505" s="111">
        <f>IF(AND(C505="EIP",I505&gt;0),'Deal maths'!Y505/I505,0)</f>
        <v/>
      </c>
      <c r="K505" s="111">
        <f>IF(AND(C505="Annuity",I505&gt;0),IF(F505&gt;0,'Deal maths'!Y505*F505/(1-(1+F505)^-I505),'Deal maths'!Y505/I505),0)</f>
        <v/>
      </c>
      <c r="L505" s="111">
        <f>IF('Deal maths'!Y505="",0,'Deal maths'!Y505)</f>
        <v/>
      </c>
      <c r="M505" s="112">
        <f>F505+(F505=0)</f>
        <v/>
      </c>
      <c r="N505" s="108">
        <f>IFERROR(IF(D505=0,0,INT(((YEAR('Deal maths'!AA505)-YEAR(E505))*12+MONTH('Deal maths'!AA505)-MONTH(E505)-(DAY('Deal maths'!AA505)&lt;MIN(R505,DAY(EOMONTH('Deal maths'!AA505,0)))))/D505)+1),0)</f>
        <v/>
      </c>
      <c r="O505" s="108">
        <f>IFERROR(IF(D505=0,0,IF(IF(DAY(E505+1)=1,EOMONTH(E505,(N505-1)*D505),EDATE(E505,(N505-1)*D505))='Deal maths'!AA505,0,1)),0)</f>
        <v/>
      </c>
      <c r="P505" s="113">
        <f>IF(B505=0,0,IFERROR(IF(C505="EIP",((I505-O505)*((IF(DAY(E505+1)=1,EOMONTH(E505,H505*D505),EDATE(E505,H505*D505))-AsAt)/365.25+(IF(DAY(E505+1)=1,EOMONTH(E505,(N505-1)*D505),EDATE(E505,(N505-1)*D505))-AsAt)/365.25)/2+O505*('Deal maths'!AA505-AsAt)/365.25)/I505,IF(C505="Annuity",IF(F505&gt;0,((K505-L505*F505)*((IF(DAY(E505+1)=1,EOMONTH(E505,H505*D505),EDATE(E505,H505*D505))-AsAt)/365.25*((1+F505)^(I505-O505)-1)/F505+IF((I505-O505)&gt;1,((IF(DAY(E505+1)=1,EOMONTH(E505,(N505-1)*D505),EDATE(E505,(N505-1)*D505))-AsAt)/365.25-(IF(DAY(E505+1)=1,EOMONTH(E505,H505*D505),EDATE(E505,H505*D505))-AsAt)/365.25)/((I505-O505)-1),0)*(1+F505)*(1-(I505-O505)*(1+F505)^((I505-O505)-1)+((I505-O505)-1)*(1+F505)^(I505-O505))/F505^2)+O505*(K505-L505*F505)*(1+F505)^(I505-1)*('Deal maths'!AA505-AsAt)/365.25)/L505,((I505-O505)*((IF(DAY(E505+1)=1,EOMONTH(E505,H505*D505),EDATE(E505,H505*D505))-AsAt)/365.25+(IF(DAY(E505+1)=1,EOMONTH(E505,(N505-1)*D505),EDATE(E505,(N505-1)*D505))-AsAt)/365.25)/2+O505*('Deal maths'!AA505-AsAt)/365.25)/I505),(S505-AsAt)/365.25)),0))</f>
        <v/>
      </c>
      <c r="Q505" s="109">
        <f>IF(B505=1,'Deal maths'!AA505+ROW()/1000000,"")</f>
        <v/>
      </c>
      <c r="R505" s="108">
        <f>IF(D505=0,0,IF(DAY(E505+1)=1,31,DAY(E505)))</f>
        <v/>
      </c>
      <c r="S505" s="109">
        <f>IF(AND('Deal maths'!V505="LOBO",'Deal maths'!AG505&gt;AsAt,'Deal maths'!AG505&lt;'Deal maths'!AA505),'Deal maths'!AG505,'Deal maths'!AA505)</f>
        <v/>
      </c>
      <c r="T505" s="108">
        <f>('Deal maths'!AA505&gt;AsAt)*('Deal maths'!Y505&gt;0)</f>
        <v/>
      </c>
    </row>
    <row r="506">
      <c r="A506" s="91">
        <f>IF('Deal maths'!V506="","",'Deal maths'!W506)</f>
        <v/>
      </c>
      <c r="B506" s="108">
        <f>('Deal maths'!AA506&gt;AsAt)*('Deal maths'!Y506&gt;0)*('Deal maths'!Z506&lt;=AsAt)</f>
        <v/>
      </c>
      <c r="C506" s="91">
        <f>IF('Deal maths'!V506="","",IF('Deal maths'!AC506="","Maturity",'Deal maths'!AC506))</f>
        <v/>
      </c>
      <c r="D506" s="108">
        <f>IF(OR(C506="EIP",C506="Annuity"),IF('Deal maths'!AD506="Annual",12,IF('Deal maths'!AD506="Quarterly",3,6)),0)</f>
        <v/>
      </c>
      <c r="E506" s="109">
        <f>IFERROR(IF(D506=0,0,IF('Deal maths'!AE506&gt;0,IF('Deal maths'!AE506&gt;'Deal maths'!AA506,'Deal maths'!AA506,'Deal maths'!AE506),IF(IF(DAY('Deal maths'!AA506+1)=1,EOMONTH('Deal maths'!AA506,-(INT(((YEAR('Deal maths'!AA506)-YEAR(IF('Deal maths'!Z506&gt;0,'Deal maths'!Z506,DATE(1990,1,1))))*12+MONTH('Deal maths'!AA506)-MONTH(IF('Deal maths'!Z506&gt;0,'Deal maths'!Z506,DATE(1990,1,1))))/D506))*D506),EDATE('Deal maths'!AA506,-(INT(((YEAR('Deal maths'!AA506)-YEAR(IF('Deal maths'!Z506&gt;0,'Deal maths'!Z506,DATE(1990,1,1))))*12+MONTH('Deal maths'!AA506)-MONTH(IF('Deal maths'!Z506&gt;0,'Deal maths'!Z506,DATE(1990,1,1))))/D506))*D506))&gt;IF('Deal maths'!Z506&gt;0,'Deal maths'!Z506,DATE(1990,1,1)),IF(DAY('Deal maths'!AA506+1)=1,EOMONTH('Deal maths'!AA506,-(INT(((YEAR('Deal maths'!AA506)-YEAR(IF('Deal maths'!Z506&gt;0,'Deal maths'!Z506,DATE(1990,1,1))))*12+MONTH('Deal maths'!AA506)-MONTH(IF('Deal maths'!Z506&gt;0,'Deal maths'!Z506,DATE(1990,1,1))))/D506))*D506),EDATE('Deal maths'!AA506,-(INT(((YEAR('Deal maths'!AA506)-YEAR(IF('Deal maths'!Z506&gt;0,'Deal maths'!Z506,DATE(1990,1,1))))*12+MONTH('Deal maths'!AA506)-MONTH(IF('Deal maths'!Z506&gt;0,'Deal maths'!Z506,DATE(1990,1,1))))/D506))*D506)),IF(DAY('Deal maths'!AA506+1)=1,EOMONTH('Deal maths'!AA506,-(INT(((YEAR('Deal maths'!AA506)-YEAR(IF('Deal maths'!Z506&gt;0,'Deal maths'!Z506,DATE(1990,1,1))))*12+MONTH('Deal maths'!AA506)-MONTH(IF('Deal maths'!Z506&gt;0,'Deal maths'!Z506,DATE(1990,1,1))))/D506)-1)*D506),EDATE('Deal maths'!AA506,-(INT(((YEAR('Deal maths'!AA506)-YEAR(IF('Deal maths'!Z506&gt;0,'Deal maths'!Z506,DATE(1990,1,1))))*12+MONTH('Deal maths'!AA506)-MONTH(IF('Deal maths'!Z506&gt;0,'Deal maths'!Z506,DATE(1990,1,1))))/D506)-1)*D506))))),0)</f>
        <v/>
      </c>
      <c r="F506" s="110">
        <f>IF(D506=0,0,'Deal maths'!AB506*D506/12)</f>
        <v/>
      </c>
      <c r="G506" s="108">
        <f>N506+O506</f>
        <v/>
      </c>
      <c r="H506" s="108">
        <f>IFERROR(IF(OR(D506=0,AsAt&lt;E506),0,MIN(N506,INT(((YEAR(AsAt)-YEAR(E506))*12+MONTH(AsAt)-MONTH(E506)-(DAY(AsAt)&lt;MIN(R506,DAY(EOMONTH(AsAt,0)))))/D506)+1)+O506*(AsAt&gt;='Deal maths'!AA506)),0)</f>
        <v/>
      </c>
      <c r="I506" s="108">
        <f>G506-H506</f>
        <v/>
      </c>
      <c r="J506" s="111">
        <f>IF(AND(C506="EIP",I506&gt;0),'Deal maths'!Y506/I506,0)</f>
        <v/>
      </c>
      <c r="K506" s="111">
        <f>IF(AND(C506="Annuity",I506&gt;0),IF(F506&gt;0,'Deal maths'!Y506*F506/(1-(1+F506)^-I506),'Deal maths'!Y506/I506),0)</f>
        <v/>
      </c>
      <c r="L506" s="111">
        <f>IF('Deal maths'!Y506="",0,'Deal maths'!Y506)</f>
        <v/>
      </c>
      <c r="M506" s="112">
        <f>F506+(F506=0)</f>
        <v/>
      </c>
      <c r="N506" s="108">
        <f>IFERROR(IF(D506=0,0,INT(((YEAR('Deal maths'!AA506)-YEAR(E506))*12+MONTH('Deal maths'!AA506)-MONTH(E506)-(DAY('Deal maths'!AA506)&lt;MIN(R506,DAY(EOMONTH('Deal maths'!AA506,0)))))/D506)+1),0)</f>
        <v/>
      </c>
      <c r="O506" s="108">
        <f>IFERROR(IF(D506=0,0,IF(IF(DAY(E506+1)=1,EOMONTH(E506,(N506-1)*D506),EDATE(E506,(N506-1)*D506))='Deal maths'!AA506,0,1)),0)</f>
        <v/>
      </c>
      <c r="P506" s="113">
        <f>IF(B506=0,0,IFERROR(IF(C506="EIP",((I506-O506)*((IF(DAY(E506+1)=1,EOMONTH(E506,H506*D506),EDATE(E506,H506*D506))-AsAt)/365.25+(IF(DAY(E506+1)=1,EOMONTH(E506,(N506-1)*D506),EDATE(E506,(N506-1)*D506))-AsAt)/365.25)/2+O506*('Deal maths'!AA506-AsAt)/365.25)/I506,IF(C506="Annuity",IF(F506&gt;0,((K506-L506*F506)*((IF(DAY(E506+1)=1,EOMONTH(E506,H506*D506),EDATE(E506,H506*D506))-AsAt)/365.25*((1+F506)^(I506-O506)-1)/F506+IF((I506-O506)&gt;1,((IF(DAY(E506+1)=1,EOMONTH(E506,(N506-1)*D506),EDATE(E506,(N506-1)*D506))-AsAt)/365.25-(IF(DAY(E506+1)=1,EOMONTH(E506,H506*D506),EDATE(E506,H506*D506))-AsAt)/365.25)/((I506-O506)-1),0)*(1+F506)*(1-(I506-O506)*(1+F506)^((I506-O506)-1)+((I506-O506)-1)*(1+F506)^(I506-O506))/F506^2)+O506*(K506-L506*F506)*(1+F506)^(I506-1)*('Deal maths'!AA506-AsAt)/365.25)/L506,((I506-O506)*((IF(DAY(E506+1)=1,EOMONTH(E506,H506*D506),EDATE(E506,H506*D506))-AsAt)/365.25+(IF(DAY(E506+1)=1,EOMONTH(E506,(N506-1)*D506),EDATE(E506,(N506-1)*D506))-AsAt)/365.25)/2+O506*('Deal maths'!AA506-AsAt)/365.25)/I506),(S506-AsAt)/365.25)),0))</f>
        <v/>
      </c>
      <c r="Q506" s="109">
        <f>IF(B506=1,'Deal maths'!AA506+ROW()/1000000,"")</f>
        <v/>
      </c>
      <c r="R506" s="108">
        <f>IF(D506=0,0,IF(DAY(E506+1)=1,31,DAY(E506)))</f>
        <v/>
      </c>
      <c r="S506" s="109">
        <f>IF(AND('Deal maths'!V506="LOBO",'Deal maths'!AG506&gt;AsAt,'Deal maths'!AG506&lt;'Deal maths'!AA506),'Deal maths'!AG506,'Deal maths'!AA506)</f>
        <v/>
      </c>
      <c r="T506" s="108">
        <f>('Deal maths'!AA506&gt;AsAt)*('Deal maths'!Y506&gt;0)</f>
        <v/>
      </c>
    </row>
    <row r="507">
      <c r="A507" s="91">
        <f>IF('Deal maths'!V507="","",'Deal maths'!W507)</f>
        <v/>
      </c>
      <c r="B507" s="108">
        <f>('Deal maths'!AA507&gt;AsAt)*('Deal maths'!Y507&gt;0)*('Deal maths'!Z507&lt;=AsAt)</f>
        <v/>
      </c>
      <c r="C507" s="91">
        <f>IF('Deal maths'!V507="","",IF('Deal maths'!AC507="","Maturity",'Deal maths'!AC507))</f>
        <v/>
      </c>
      <c r="D507" s="108">
        <f>IF(OR(C507="EIP",C507="Annuity"),IF('Deal maths'!AD507="Annual",12,IF('Deal maths'!AD507="Quarterly",3,6)),0)</f>
        <v/>
      </c>
      <c r="E507" s="109">
        <f>IFERROR(IF(D507=0,0,IF('Deal maths'!AE507&gt;0,IF('Deal maths'!AE507&gt;'Deal maths'!AA507,'Deal maths'!AA507,'Deal maths'!AE507),IF(IF(DAY('Deal maths'!AA507+1)=1,EOMONTH('Deal maths'!AA507,-(INT(((YEAR('Deal maths'!AA507)-YEAR(IF('Deal maths'!Z507&gt;0,'Deal maths'!Z507,DATE(1990,1,1))))*12+MONTH('Deal maths'!AA507)-MONTH(IF('Deal maths'!Z507&gt;0,'Deal maths'!Z507,DATE(1990,1,1))))/D507))*D507),EDATE('Deal maths'!AA507,-(INT(((YEAR('Deal maths'!AA507)-YEAR(IF('Deal maths'!Z507&gt;0,'Deal maths'!Z507,DATE(1990,1,1))))*12+MONTH('Deal maths'!AA507)-MONTH(IF('Deal maths'!Z507&gt;0,'Deal maths'!Z507,DATE(1990,1,1))))/D507))*D507))&gt;IF('Deal maths'!Z507&gt;0,'Deal maths'!Z507,DATE(1990,1,1)),IF(DAY('Deal maths'!AA507+1)=1,EOMONTH('Deal maths'!AA507,-(INT(((YEAR('Deal maths'!AA507)-YEAR(IF('Deal maths'!Z507&gt;0,'Deal maths'!Z507,DATE(1990,1,1))))*12+MONTH('Deal maths'!AA507)-MONTH(IF('Deal maths'!Z507&gt;0,'Deal maths'!Z507,DATE(1990,1,1))))/D507))*D507),EDATE('Deal maths'!AA507,-(INT(((YEAR('Deal maths'!AA507)-YEAR(IF('Deal maths'!Z507&gt;0,'Deal maths'!Z507,DATE(1990,1,1))))*12+MONTH('Deal maths'!AA507)-MONTH(IF('Deal maths'!Z507&gt;0,'Deal maths'!Z507,DATE(1990,1,1))))/D507))*D507)),IF(DAY('Deal maths'!AA507+1)=1,EOMONTH('Deal maths'!AA507,-(INT(((YEAR('Deal maths'!AA507)-YEAR(IF('Deal maths'!Z507&gt;0,'Deal maths'!Z507,DATE(1990,1,1))))*12+MONTH('Deal maths'!AA507)-MONTH(IF('Deal maths'!Z507&gt;0,'Deal maths'!Z507,DATE(1990,1,1))))/D507)-1)*D507),EDATE('Deal maths'!AA507,-(INT(((YEAR('Deal maths'!AA507)-YEAR(IF('Deal maths'!Z507&gt;0,'Deal maths'!Z507,DATE(1990,1,1))))*12+MONTH('Deal maths'!AA507)-MONTH(IF('Deal maths'!Z507&gt;0,'Deal maths'!Z507,DATE(1990,1,1))))/D507)-1)*D507))))),0)</f>
        <v/>
      </c>
      <c r="F507" s="110">
        <f>IF(D507=0,0,'Deal maths'!AB507*D507/12)</f>
        <v/>
      </c>
      <c r="G507" s="108">
        <f>N507+O507</f>
        <v/>
      </c>
      <c r="H507" s="108">
        <f>IFERROR(IF(OR(D507=0,AsAt&lt;E507),0,MIN(N507,INT(((YEAR(AsAt)-YEAR(E507))*12+MONTH(AsAt)-MONTH(E507)-(DAY(AsAt)&lt;MIN(R507,DAY(EOMONTH(AsAt,0)))))/D507)+1)+O507*(AsAt&gt;='Deal maths'!AA507)),0)</f>
        <v/>
      </c>
      <c r="I507" s="108">
        <f>G507-H507</f>
        <v/>
      </c>
      <c r="J507" s="111">
        <f>IF(AND(C507="EIP",I507&gt;0),'Deal maths'!Y507/I507,0)</f>
        <v/>
      </c>
      <c r="K507" s="111">
        <f>IF(AND(C507="Annuity",I507&gt;0),IF(F507&gt;0,'Deal maths'!Y507*F507/(1-(1+F507)^-I507),'Deal maths'!Y507/I507),0)</f>
        <v/>
      </c>
      <c r="L507" s="111">
        <f>IF('Deal maths'!Y507="",0,'Deal maths'!Y507)</f>
        <v/>
      </c>
      <c r="M507" s="112">
        <f>F507+(F507=0)</f>
        <v/>
      </c>
      <c r="N507" s="108">
        <f>IFERROR(IF(D507=0,0,INT(((YEAR('Deal maths'!AA507)-YEAR(E507))*12+MONTH('Deal maths'!AA507)-MONTH(E507)-(DAY('Deal maths'!AA507)&lt;MIN(R507,DAY(EOMONTH('Deal maths'!AA507,0)))))/D507)+1),0)</f>
        <v/>
      </c>
      <c r="O507" s="108">
        <f>IFERROR(IF(D507=0,0,IF(IF(DAY(E507+1)=1,EOMONTH(E507,(N507-1)*D507),EDATE(E507,(N507-1)*D507))='Deal maths'!AA507,0,1)),0)</f>
        <v/>
      </c>
      <c r="P507" s="113">
        <f>IF(B507=0,0,IFERROR(IF(C507="EIP",((I507-O507)*((IF(DAY(E507+1)=1,EOMONTH(E507,H507*D507),EDATE(E507,H507*D507))-AsAt)/365.25+(IF(DAY(E507+1)=1,EOMONTH(E507,(N507-1)*D507),EDATE(E507,(N507-1)*D507))-AsAt)/365.25)/2+O507*('Deal maths'!AA507-AsAt)/365.25)/I507,IF(C507="Annuity",IF(F507&gt;0,((K507-L507*F507)*((IF(DAY(E507+1)=1,EOMONTH(E507,H507*D507),EDATE(E507,H507*D507))-AsAt)/365.25*((1+F507)^(I507-O507)-1)/F507+IF((I507-O507)&gt;1,((IF(DAY(E507+1)=1,EOMONTH(E507,(N507-1)*D507),EDATE(E507,(N507-1)*D507))-AsAt)/365.25-(IF(DAY(E507+1)=1,EOMONTH(E507,H507*D507),EDATE(E507,H507*D507))-AsAt)/365.25)/((I507-O507)-1),0)*(1+F507)*(1-(I507-O507)*(1+F507)^((I507-O507)-1)+((I507-O507)-1)*(1+F507)^(I507-O507))/F507^2)+O507*(K507-L507*F507)*(1+F507)^(I507-1)*('Deal maths'!AA507-AsAt)/365.25)/L507,((I507-O507)*((IF(DAY(E507+1)=1,EOMONTH(E507,H507*D507),EDATE(E507,H507*D507))-AsAt)/365.25+(IF(DAY(E507+1)=1,EOMONTH(E507,(N507-1)*D507),EDATE(E507,(N507-1)*D507))-AsAt)/365.25)/2+O507*('Deal maths'!AA507-AsAt)/365.25)/I507),(S507-AsAt)/365.25)),0))</f>
        <v/>
      </c>
      <c r="Q507" s="109">
        <f>IF(B507=1,'Deal maths'!AA507+ROW()/1000000,"")</f>
        <v/>
      </c>
      <c r="R507" s="108">
        <f>IF(D507=0,0,IF(DAY(E507+1)=1,31,DAY(E507)))</f>
        <v/>
      </c>
      <c r="S507" s="109">
        <f>IF(AND('Deal maths'!V507="LOBO",'Deal maths'!AG507&gt;AsAt,'Deal maths'!AG507&lt;'Deal maths'!AA507),'Deal maths'!AG507,'Deal maths'!AA507)</f>
        <v/>
      </c>
      <c r="T507" s="108">
        <f>('Deal maths'!AA507&gt;AsAt)*('Deal maths'!Y507&gt;0)</f>
        <v/>
      </c>
    </row>
    <row r="508">
      <c r="A508" s="91">
        <f>IF('Deal maths'!V508="","",'Deal maths'!W508)</f>
        <v/>
      </c>
      <c r="B508" s="108">
        <f>('Deal maths'!AA508&gt;AsAt)*('Deal maths'!Y508&gt;0)*('Deal maths'!Z508&lt;=AsAt)</f>
        <v/>
      </c>
      <c r="C508" s="91">
        <f>IF('Deal maths'!V508="","",IF('Deal maths'!AC508="","Maturity",'Deal maths'!AC508))</f>
        <v/>
      </c>
      <c r="D508" s="108">
        <f>IF(OR(C508="EIP",C508="Annuity"),IF('Deal maths'!AD508="Annual",12,IF('Deal maths'!AD508="Quarterly",3,6)),0)</f>
        <v/>
      </c>
      <c r="E508" s="109">
        <f>IFERROR(IF(D508=0,0,IF('Deal maths'!AE508&gt;0,IF('Deal maths'!AE508&gt;'Deal maths'!AA508,'Deal maths'!AA508,'Deal maths'!AE508),IF(IF(DAY('Deal maths'!AA508+1)=1,EOMONTH('Deal maths'!AA508,-(INT(((YEAR('Deal maths'!AA508)-YEAR(IF('Deal maths'!Z508&gt;0,'Deal maths'!Z508,DATE(1990,1,1))))*12+MONTH('Deal maths'!AA508)-MONTH(IF('Deal maths'!Z508&gt;0,'Deal maths'!Z508,DATE(1990,1,1))))/D508))*D508),EDATE('Deal maths'!AA508,-(INT(((YEAR('Deal maths'!AA508)-YEAR(IF('Deal maths'!Z508&gt;0,'Deal maths'!Z508,DATE(1990,1,1))))*12+MONTH('Deal maths'!AA508)-MONTH(IF('Deal maths'!Z508&gt;0,'Deal maths'!Z508,DATE(1990,1,1))))/D508))*D508))&gt;IF('Deal maths'!Z508&gt;0,'Deal maths'!Z508,DATE(1990,1,1)),IF(DAY('Deal maths'!AA508+1)=1,EOMONTH('Deal maths'!AA508,-(INT(((YEAR('Deal maths'!AA508)-YEAR(IF('Deal maths'!Z508&gt;0,'Deal maths'!Z508,DATE(1990,1,1))))*12+MONTH('Deal maths'!AA508)-MONTH(IF('Deal maths'!Z508&gt;0,'Deal maths'!Z508,DATE(1990,1,1))))/D508))*D508),EDATE('Deal maths'!AA508,-(INT(((YEAR('Deal maths'!AA508)-YEAR(IF('Deal maths'!Z508&gt;0,'Deal maths'!Z508,DATE(1990,1,1))))*12+MONTH('Deal maths'!AA508)-MONTH(IF('Deal maths'!Z508&gt;0,'Deal maths'!Z508,DATE(1990,1,1))))/D508))*D508)),IF(DAY('Deal maths'!AA508+1)=1,EOMONTH('Deal maths'!AA508,-(INT(((YEAR('Deal maths'!AA508)-YEAR(IF('Deal maths'!Z508&gt;0,'Deal maths'!Z508,DATE(1990,1,1))))*12+MONTH('Deal maths'!AA508)-MONTH(IF('Deal maths'!Z508&gt;0,'Deal maths'!Z508,DATE(1990,1,1))))/D508)-1)*D508),EDATE('Deal maths'!AA508,-(INT(((YEAR('Deal maths'!AA508)-YEAR(IF('Deal maths'!Z508&gt;0,'Deal maths'!Z508,DATE(1990,1,1))))*12+MONTH('Deal maths'!AA508)-MONTH(IF('Deal maths'!Z508&gt;0,'Deal maths'!Z508,DATE(1990,1,1))))/D508)-1)*D508))))),0)</f>
        <v/>
      </c>
      <c r="F508" s="110">
        <f>IF(D508=0,0,'Deal maths'!AB508*D508/12)</f>
        <v/>
      </c>
      <c r="G508" s="108">
        <f>N508+O508</f>
        <v/>
      </c>
      <c r="H508" s="108">
        <f>IFERROR(IF(OR(D508=0,AsAt&lt;E508),0,MIN(N508,INT(((YEAR(AsAt)-YEAR(E508))*12+MONTH(AsAt)-MONTH(E508)-(DAY(AsAt)&lt;MIN(R508,DAY(EOMONTH(AsAt,0)))))/D508)+1)+O508*(AsAt&gt;='Deal maths'!AA508)),0)</f>
        <v/>
      </c>
      <c r="I508" s="108">
        <f>G508-H508</f>
        <v/>
      </c>
      <c r="J508" s="111">
        <f>IF(AND(C508="EIP",I508&gt;0),'Deal maths'!Y508/I508,0)</f>
        <v/>
      </c>
      <c r="K508" s="111">
        <f>IF(AND(C508="Annuity",I508&gt;0),IF(F508&gt;0,'Deal maths'!Y508*F508/(1-(1+F508)^-I508),'Deal maths'!Y508/I508),0)</f>
        <v/>
      </c>
      <c r="L508" s="111">
        <f>IF('Deal maths'!Y508="",0,'Deal maths'!Y508)</f>
        <v/>
      </c>
      <c r="M508" s="112">
        <f>F508+(F508=0)</f>
        <v/>
      </c>
      <c r="N508" s="108">
        <f>IFERROR(IF(D508=0,0,INT(((YEAR('Deal maths'!AA508)-YEAR(E508))*12+MONTH('Deal maths'!AA508)-MONTH(E508)-(DAY('Deal maths'!AA508)&lt;MIN(R508,DAY(EOMONTH('Deal maths'!AA508,0)))))/D508)+1),0)</f>
        <v/>
      </c>
      <c r="O508" s="108">
        <f>IFERROR(IF(D508=0,0,IF(IF(DAY(E508+1)=1,EOMONTH(E508,(N508-1)*D508),EDATE(E508,(N508-1)*D508))='Deal maths'!AA508,0,1)),0)</f>
        <v/>
      </c>
      <c r="P508" s="113">
        <f>IF(B508=0,0,IFERROR(IF(C508="EIP",((I508-O508)*((IF(DAY(E508+1)=1,EOMONTH(E508,H508*D508),EDATE(E508,H508*D508))-AsAt)/365.25+(IF(DAY(E508+1)=1,EOMONTH(E508,(N508-1)*D508),EDATE(E508,(N508-1)*D508))-AsAt)/365.25)/2+O508*('Deal maths'!AA508-AsAt)/365.25)/I508,IF(C508="Annuity",IF(F508&gt;0,((K508-L508*F508)*((IF(DAY(E508+1)=1,EOMONTH(E508,H508*D508),EDATE(E508,H508*D508))-AsAt)/365.25*((1+F508)^(I508-O508)-1)/F508+IF((I508-O508)&gt;1,((IF(DAY(E508+1)=1,EOMONTH(E508,(N508-1)*D508),EDATE(E508,(N508-1)*D508))-AsAt)/365.25-(IF(DAY(E508+1)=1,EOMONTH(E508,H508*D508),EDATE(E508,H508*D508))-AsAt)/365.25)/((I508-O508)-1),0)*(1+F508)*(1-(I508-O508)*(1+F508)^((I508-O508)-1)+((I508-O508)-1)*(1+F508)^(I508-O508))/F508^2)+O508*(K508-L508*F508)*(1+F508)^(I508-1)*('Deal maths'!AA508-AsAt)/365.25)/L508,((I508-O508)*((IF(DAY(E508+1)=1,EOMONTH(E508,H508*D508),EDATE(E508,H508*D508))-AsAt)/365.25+(IF(DAY(E508+1)=1,EOMONTH(E508,(N508-1)*D508),EDATE(E508,(N508-1)*D508))-AsAt)/365.25)/2+O508*('Deal maths'!AA508-AsAt)/365.25)/I508),(S508-AsAt)/365.25)),0))</f>
        <v/>
      </c>
      <c r="Q508" s="109">
        <f>IF(B508=1,'Deal maths'!AA508+ROW()/1000000,"")</f>
        <v/>
      </c>
      <c r="R508" s="108">
        <f>IF(D508=0,0,IF(DAY(E508+1)=1,31,DAY(E508)))</f>
        <v/>
      </c>
      <c r="S508" s="109">
        <f>IF(AND('Deal maths'!V508="LOBO",'Deal maths'!AG508&gt;AsAt,'Deal maths'!AG508&lt;'Deal maths'!AA508),'Deal maths'!AG508,'Deal maths'!AA508)</f>
        <v/>
      </c>
      <c r="T508" s="108">
        <f>('Deal maths'!AA508&gt;AsAt)*('Deal maths'!Y508&gt;0)</f>
        <v/>
      </c>
    </row>
    <row r="509">
      <c r="A509" s="91">
        <f>IF('Deal maths'!V509="","",'Deal maths'!W509)</f>
        <v/>
      </c>
      <c r="B509" s="108">
        <f>('Deal maths'!AA509&gt;AsAt)*('Deal maths'!Y509&gt;0)*('Deal maths'!Z509&lt;=AsAt)</f>
        <v/>
      </c>
      <c r="C509" s="91">
        <f>IF('Deal maths'!V509="","",IF('Deal maths'!AC509="","Maturity",'Deal maths'!AC509))</f>
        <v/>
      </c>
      <c r="D509" s="108">
        <f>IF(OR(C509="EIP",C509="Annuity"),IF('Deal maths'!AD509="Annual",12,IF('Deal maths'!AD509="Quarterly",3,6)),0)</f>
        <v/>
      </c>
      <c r="E509" s="109">
        <f>IFERROR(IF(D509=0,0,IF('Deal maths'!AE509&gt;0,IF('Deal maths'!AE509&gt;'Deal maths'!AA509,'Deal maths'!AA509,'Deal maths'!AE509),IF(IF(DAY('Deal maths'!AA509+1)=1,EOMONTH('Deal maths'!AA509,-(INT(((YEAR('Deal maths'!AA509)-YEAR(IF('Deal maths'!Z509&gt;0,'Deal maths'!Z509,DATE(1990,1,1))))*12+MONTH('Deal maths'!AA509)-MONTH(IF('Deal maths'!Z509&gt;0,'Deal maths'!Z509,DATE(1990,1,1))))/D509))*D509),EDATE('Deal maths'!AA509,-(INT(((YEAR('Deal maths'!AA509)-YEAR(IF('Deal maths'!Z509&gt;0,'Deal maths'!Z509,DATE(1990,1,1))))*12+MONTH('Deal maths'!AA509)-MONTH(IF('Deal maths'!Z509&gt;0,'Deal maths'!Z509,DATE(1990,1,1))))/D509))*D509))&gt;IF('Deal maths'!Z509&gt;0,'Deal maths'!Z509,DATE(1990,1,1)),IF(DAY('Deal maths'!AA509+1)=1,EOMONTH('Deal maths'!AA509,-(INT(((YEAR('Deal maths'!AA509)-YEAR(IF('Deal maths'!Z509&gt;0,'Deal maths'!Z509,DATE(1990,1,1))))*12+MONTH('Deal maths'!AA509)-MONTH(IF('Deal maths'!Z509&gt;0,'Deal maths'!Z509,DATE(1990,1,1))))/D509))*D509),EDATE('Deal maths'!AA509,-(INT(((YEAR('Deal maths'!AA509)-YEAR(IF('Deal maths'!Z509&gt;0,'Deal maths'!Z509,DATE(1990,1,1))))*12+MONTH('Deal maths'!AA509)-MONTH(IF('Deal maths'!Z509&gt;0,'Deal maths'!Z509,DATE(1990,1,1))))/D509))*D509)),IF(DAY('Deal maths'!AA509+1)=1,EOMONTH('Deal maths'!AA509,-(INT(((YEAR('Deal maths'!AA509)-YEAR(IF('Deal maths'!Z509&gt;0,'Deal maths'!Z509,DATE(1990,1,1))))*12+MONTH('Deal maths'!AA509)-MONTH(IF('Deal maths'!Z509&gt;0,'Deal maths'!Z509,DATE(1990,1,1))))/D509)-1)*D509),EDATE('Deal maths'!AA509,-(INT(((YEAR('Deal maths'!AA509)-YEAR(IF('Deal maths'!Z509&gt;0,'Deal maths'!Z509,DATE(1990,1,1))))*12+MONTH('Deal maths'!AA509)-MONTH(IF('Deal maths'!Z509&gt;0,'Deal maths'!Z509,DATE(1990,1,1))))/D509)-1)*D509))))),0)</f>
        <v/>
      </c>
      <c r="F509" s="110">
        <f>IF(D509=0,0,'Deal maths'!AB509*D509/12)</f>
        <v/>
      </c>
      <c r="G509" s="108">
        <f>N509+O509</f>
        <v/>
      </c>
      <c r="H509" s="108">
        <f>IFERROR(IF(OR(D509=0,AsAt&lt;E509),0,MIN(N509,INT(((YEAR(AsAt)-YEAR(E509))*12+MONTH(AsAt)-MONTH(E509)-(DAY(AsAt)&lt;MIN(R509,DAY(EOMONTH(AsAt,0)))))/D509)+1)+O509*(AsAt&gt;='Deal maths'!AA509)),0)</f>
        <v/>
      </c>
      <c r="I509" s="108">
        <f>G509-H509</f>
        <v/>
      </c>
      <c r="J509" s="111">
        <f>IF(AND(C509="EIP",I509&gt;0),'Deal maths'!Y509/I509,0)</f>
        <v/>
      </c>
      <c r="K509" s="111">
        <f>IF(AND(C509="Annuity",I509&gt;0),IF(F509&gt;0,'Deal maths'!Y509*F509/(1-(1+F509)^-I509),'Deal maths'!Y509/I509),0)</f>
        <v/>
      </c>
      <c r="L509" s="111">
        <f>IF('Deal maths'!Y509="",0,'Deal maths'!Y509)</f>
        <v/>
      </c>
      <c r="M509" s="112">
        <f>F509+(F509=0)</f>
        <v/>
      </c>
      <c r="N509" s="108">
        <f>IFERROR(IF(D509=0,0,INT(((YEAR('Deal maths'!AA509)-YEAR(E509))*12+MONTH('Deal maths'!AA509)-MONTH(E509)-(DAY('Deal maths'!AA509)&lt;MIN(R509,DAY(EOMONTH('Deal maths'!AA509,0)))))/D509)+1),0)</f>
        <v/>
      </c>
      <c r="O509" s="108">
        <f>IFERROR(IF(D509=0,0,IF(IF(DAY(E509+1)=1,EOMONTH(E509,(N509-1)*D509),EDATE(E509,(N509-1)*D509))='Deal maths'!AA509,0,1)),0)</f>
        <v/>
      </c>
      <c r="P509" s="113">
        <f>IF(B509=0,0,IFERROR(IF(C509="EIP",((I509-O509)*((IF(DAY(E509+1)=1,EOMONTH(E509,H509*D509),EDATE(E509,H509*D509))-AsAt)/365.25+(IF(DAY(E509+1)=1,EOMONTH(E509,(N509-1)*D509),EDATE(E509,(N509-1)*D509))-AsAt)/365.25)/2+O509*('Deal maths'!AA509-AsAt)/365.25)/I509,IF(C509="Annuity",IF(F509&gt;0,((K509-L509*F509)*((IF(DAY(E509+1)=1,EOMONTH(E509,H509*D509),EDATE(E509,H509*D509))-AsAt)/365.25*((1+F509)^(I509-O509)-1)/F509+IF((I509-O509)&gt;1,((IF(DAY(E509+1)=1,EOMONTH(E509,(N509-1)*D509),EDATE(E509,(N509-1)*D509))-AsAt)/365.25-(IF(DAY(E509+1)=1,EOMONTH(E509,H509*D509),EDATE(E509,H509*D509))-AsAt)/365.25)/((I509-O509)-1),0)*(1+F509)*(1-(I509-O509)*(1+F509)^((I509-O509)-1)+((I509-O509)-1)*(1+F509)^(I509-O509))/F509^2)+O509*(K509-L509*F509)*(1+F509)^(I509-1)*('Deal maths'!AA509-AsAt)/365.25)/L509,((I509-O509)*((IF(DAY(E509+1)=1,EOMONTH(E509,H509*D509),EDATE(E509,H509*D509))-AsAt)/365.25+(IF(DAY(E509+1)=1,EOMONTH(E509,(N509-1)*D509),EDATE(E509,(N509-1)*D509))-AsAt)/365.25)/2+O509*('Deal maths'!AA509-AsAt)/365.25)/I509),(S509-AsAt)/365.25)),0))</f>
        <v/>
      </c>
      <c r="Q509" s="109">
        <f>IF(B509=1,'Deal maths'!AA509+ROW()/1000000,"")</f>
        <v/>
      </c>
      <c r="R509" s="108">
        <f>IF(D509=0,0,IF(DAY(E509+1)=1,31,DAY(E509)))</f>
        <v/>
      </c>
      <c r="S509" s="109">
        <f>IF(AND('Deal maths'!V509="LOBO",'Deal maths'!AG509&gt;AsAt,'Deal maths'!AG509&lt;'Deal maths'!AA509),'Deal maths'!AG509,'Deal maths'!AA509)</f>
        <v/>
      </c>
      <c r="T509" s="108">
        <f>('Deal maths'!AA509&gt;AsAt)*('Deal maths'!Y509&gt;0)</f>
        <v/>
      </c>
    </row>
    <row r="510">
      <c r="A510" s="91">
        <f>IF('Deal maths'!V510="","",'Deal maths'!W510)</f>
        <v/>
      </c>
      <c r="B510" s="108">
        <f>('Deal maths'!AA510&gt;AsAt)*('Deal maths'!Y510&gt;0)*('Deal maths'!Z510&lt;=AsAt)</f>
        <v/>
      </c>
      <c r="C510" s="91">
        <f>IF('Deal maths'!V510="","",IF('Deal maths'!AC510="","Maturity",'Deal maths'!AC510))</f>
        <v/>
      </c>
      <c r="D510" s="108">
        <f>IF(OR(C510="EIP",C510="Annuity"),IF('Deal maths'!AD510="Annual",12,IF('Deal maths'!AD510="Quarterly",3,6)),0)</f>
        <v/>
      </c>
      <c r="E510" s="109">
        <f>IFERROR(IF(D510=0,0,IF('Deal maths'!AE510&gt;0,IF('Deal maths'!AE510&gt;'Deal maths'!AA510,'Deal maths'!AA510,'Deal maths'!AE510),IF(IF(DAY('Deal maths'!AA510+1)=1,EOMONTH('Deal maths'!AA510,-(INT(((YEAR('Deal maths'!AA510)-YEAR(IF('Deal maths'!Z510&gt;0,'Deal maths'!Z510,DATE(1990,1,1))))*12+MONTH('Deal maths'!AA510)-MONTH(IF('Deal maths'!Z510&gt;0,'Deal maths'!Z510,DATE(1990,1,1))))/D510))*D510),EDATE('Deal maths'!AA510,-(INT(((YEAR('Deal maths'!AA510)-YEAR(IF('Deal maths'!Z510&gt;0,'Deal maths'!Z510,DATE(1990,1,1))))*12+MONTH('Deal maths'!AA510)-MONTH(IF('Deal maths'!Z510&gt;0,'Deal maths'!Z510,DATE(1990,1,1))))/D510))*D510))&gt;IF('Deal maths'!Z510&gt;0,'Deal maths'!Z510,DATE(1990,1,1)),IF(DAY('Deal maths'!AA510+1)=1,EOMONTH('Deal maths'!AA510,-(INT(((YEAR('Deal maths'!AA510)-YEAR(IF('Deal maths'!Z510&gt;0,'Deal maths'!Z510,DATE(1990,1,1))))*12+MONTH('Deal maths'!AA510)-MONTH(IF('Deal maths'!Z510&gt;0,'Deal maths'!Z510,DATE(1990,1,1))))/D510))*D510),EDATE('Deal maths'!AA510,-(INT(((YEAR('Deal maths'!AA510)-YEAR(IF('Deal maths'!Z510&gt;0,'Deal maths'!Z510,DATE(1990,1,1))))*12+MONTH('Deal maths'!AA510)-MONTH(IF('Deal maths'!Z510&gt;0,'Deal maths'!Z510,DATE(1990,1,1))))/D510))*D510)),IF(DAY('Deal maths'!AA510+1)=1,EOMONTH('Deal maths'!AA510,-(INT(((YEAR('Deal maths'!AA510)-YEAR(IF('Deal maths'!Z510&gt;0,'Deal maths'!Z510,DATE(1990,1,1))))*12+MONTH('Deal maths'!AA510)-MONTH(IF('Deal maths'!Z510&gt;0,'Deal maths'!Z510,DATE(1990,1,1))))/D510)-1)*D510),EDATE('Deal maths'!AA510,-(INT(((YEAR('Deal maths'!AA510)-YEAR(IF('Deal maths'!Z510&gt;0,'Deal maths'!Z510,DATE(1990,1,1))))*12+MONTH('Deal maths'!AA510)-MONTH(IF('Deal maths'!Z510&gt;0,'Deal maths'!Z510,DATE(1990,1,1))))/D510)-1)*D510))))),0)</f>
        <v/>
      </c>
      <c r="F510" s="110">
        <f>IF(D510=0,0,'Deal maths'!AB510*D510/12)</f>
        <v/>
      </c>
      <c r="G510" s="108">
        <f>N510+O510</f>
        <v/>
      </c>
      <c r="H510" s="108">
        <f>IFERROR(IF(OR(D510=0,AsAt&lt;E510),0,MIN(N510,INT(((YEAR(AsAt)-YEAR(E510))*12+MONTH(AsAt)-MONTH(E510)-(DAY(AsAt)&lt;MIN(R510,DAY(EOMONTH(AsAt,0)))))/D510)+1)+O510*(AsAt&gt;='Deal maths'!AA510)),0)</f>
        <v/>
      </c>
      <c r="I510" s="108">
        <f>G510-H510</f>
        <v/>
      </c>
      <c r="J510" s="111">
        <f>IF(AND(C510="EIP",I510&gt;0),'Deal maths'!Y510/I510,0)</f>
        <v/>
      </c>
      <c r="K510" s="111">
        <f>IF(AND(C510="Annuity",I510&gt;0),IF(F510&gt;0,'Deal maths'!Y510*F510/(1-(1+F510)^-I510),'Deal maths'!Y510/I510),0)</f>
        <v/>
      </c>
      <c r="L510" s="111">
        <f>IF('Deal maths'!Y510="",0,'Deal maths'!Y510)</f>
        <v/>
      </c>
      <c r="M510" s="112">
        <f>F510+(F510=0)</f>
        <v/>
      </c>
      <c r="N510" s="108">
        <f>IFERROR(IF(D510=0,0,INT(((YEAR('Deal maths'!AA510)-YEAR(E510))*12+MONTH('Deal maths'!AA510)-MONTH(E510)-(DAY('Deal maths'!AA510)&lt;MIN(R510,DAY(EOMONTH('Deal maths'!AA510,0)))))/D510)+1),0)</f>
        <v/>
      </c>
      <c r="O510" s="108">
        <f>IFERROR(IF(D510=0,0,IF(IF(DAY(E510+1)=1,EOMONTH(E510,(N510-1)*D510),EDATE(E510,(N510-1)*D510))='Deal maths'!AA510,0,1)),0)</f>
        <v/>
      </c>
      <c r="P510" s="113">
        <f>IF(B510=0,0,IFERROR(IF(C510="EIP",((I510-O510)*((IF(DAY(E510+1)=1,EOMONTH(E510,H510*D510),EDATE(E510,H510*D510))-AsAt)/365.25+(IF(DAY(E510+1)=1,EOMONTH(E510,(N510-1)*D510),EDATE(E510,(N510-1)*D510))-AsAt)/365.25)/2+O510*('Deal maths'!AA510-AsAt)/365.25)/I510,IF(C510="Annuity",IF(F510&gt;0,((K510-L510*F510)*((IF(DAY(E510+1)=1,EOMONTH(E510,H510*D510),EDATE(E510,H510*D510))-AsAt)/365.25*((1+F510)^(I510-O510)-1)/F510+IF((I510-O510)&gt;1,((IF(DAY(E510+1)=1,EOMONTH(E510,(N510-1)*D510),EDATE(E510,(N510-1)*D510))-AsAt)/365.25-(IF(DAY(E510+1)=1,EOMONTH(E510,H510*D510),EDATE(E510,H510*D510))-AsAt)/365.25)/((I510-O510)-1),0)*(1+F510)*(1-(I510-O510)*(1+F510)^((I510-O510)-1)+((I510-O510)-1)*(1+F510)^(I510-O510))/F510^2)+O510*(K510-L510*F510)*(1+F510)^(I510-1)*('Deal maths'!AA510-AsAt)/365.25)/L510,((I510-O510)*((IF(DAY(E510+1)=1,EOMONTH(E510,H510*D510),EDATE(E510,H510*D510))-AsAt)/365.25+(IF(DAY(E510+1)=1,EOMONTH(E510,(N510-1)*D510),EDATE(E510,(N510-1)*D510))-AsAt)/365.25)/2+O510*('Deal maths'!AA510-AsAt)/365.25)/I510),(S510-AsAt)/365.25)),0))</f>
        <v/>
      </c>
      <c r="Q510" s="109">
        <f>IF(B510=1,'Deal maths'!AA510+ROW()/1000000,"")</f>
        <v/>
      </c>
      <c r="R510" s="108">
        <f>IF(D510=0,0,IF(DAY(E510+1)=1,31,DAY(E510)))</f>
        <v/>
      </c>
      <c r="S510" s="109">
        <f>IF(AND('Deal maths'!V510="LOBO",'Deal maths'!AG510&gt;AsAt,'Deal maths'!AG510&lt;'Deal maths'!AA510),'Deal maths'!AG510,'Deal maths'!AA510)</f>
        <v/>
      </c>
      <c r="T510" s="108">
        <f>('Deal maths'!AA510&gt;AsAt)*('Deal maths'!Y510&gt;0)</f>
        <v/>
      </c>
    </row>
    <row r="511">
      <c r="A511" s="91">
        <f>IF('Deal maths'!V511="","",'Deal maths'!W511)</f>
        <v/>
      </c>
      <c r="B511" s="108">
        <f>('Deal maths'!AA511&gt;AsAt)*('Deal maths'!Y511&gt;0)*('Deal maths'!Z511&lt;=AsAt)</f>
        <v/>
      </c>
      <c r="C511" s="91">
        <f>IF('Deal maths'!V511="","",IF('Deal maths'!AC511="","Maturity",'Deal maths'!AC511))</f>
        <v/>
      </c>
      <c r="D511" s="108">
        <f>IF(OR(C511="EIP",C511="Annuity"),IF('Deal maths'!AD511="Annual",12,IF('Deal maths'!AD511="Quarterly",3,6)),0)</f>
        <v/>
      </c>
      <c r="E511" s="109">
        <f>IFERROR(IF(D511=0,0,IF('Deal maths'!AE511&gt;0,IF('Deal maths'!AE511&gt;'Deal maths'!AA511,'Deal maths'!AA511,'Deal maths'!AE511),IF(IF(DAY('Deal maths'!AA511+1)=1,EOMONTH('Deal maths'!AA511,-(INT(((YEAR('Deal maths'!AA511)-YEAR(IF('Deal maths'!Z511&gt;0,'Deal maths'!Z511,DATE(1990,1,1))))*12+MONTH('Deal maths'!AA511)-MONTH(IF('Deal maths'!Z511&gt;0,'Deal maths'!Z511,DATE(1990,1,1))))/D511))*D511),EDATE('Deal maths'!AA511,-(INT(((YEAR('Deal maths'!AA511)-YEAR(IF('Deal maths'!Z511&gt;0,'Deal maths'!Z511,DATE(1990,1,1))))*12+MONTH('Deal maths'!AA511)-MONTH(IF('Deal maths'!Z511&gt;0,'Deal maths'!Z511,DATE(1990,1,1))))/D511))*D511))&gt;IF('Deal maths'!Z511&gt;0,'Deal maths'!Z511,DATE(1990,1,1)),IF(DAY('Deal maths'!AA511+1)=1,EOMONTH('Deal maths'!AA511,-(INT(((YEAR('Deal maths'!AA511)-YEAR(IF('Deal maths'!Z511&gt;0,'Deal maths'!Z511,DATE(1990,1,1))))*12+MONTH('Deal maths'!AA511)-MONTH(IF('Deal maths'!Z511&gt;0,'Deal maths'!Z511,DATE(1990,1,1))))/D511))*D511),EDATE('Deal maths'!AA511,-(INT(((YEAR('Deal maths'!AA511)-YEAR(IF('Deal maths'!Z511&gt;0,'Deal maths'!Z511,DATE(1990,1,1))))*12+MONTH('Deal maths'!AA511)-MONTH(IF('Deal maths'!Z511&gt;0,'Deal maths'!Z511,DATE(1990,1,1))))/D511))*D511)),IF(DAY('Deal maths'!AA511+1)=1,EOMONTH('Deal maths'!AA511,-(INT(((YEAR('Deal maths'!AA511)-YEAR(IF('Deal maths'!Z511&gt;0,'Deal maths'!Z511,DATE(1990,1,1))))*12+MONTH('Deal maths'!AA511)-MONTH(IF('Deal maths'!Z511&gt;0,'Deal maths'!Z511,DATE(1990,1,1))))/D511)-1)*D511),EDATE('Deal maths'!AA511,-(INT(((YEAR('Deal maths'!AA511)-YEAR(IF('Deal maths'!Z511&gt;0,'Deal maths'!Z511,DATE(1990,1,1))))*12+MONTH('Deal maths'!AA511)-MONTH(IF('Deal maths'!Z511&gt;0,'Deal maths'!Z511,DATE(1990,1,1))))/D511)-1)*D511))))),0)</f>
        <v/>
      </c>
      <c r="F511" s="110">
        <f>IF(D511=0,0,'Deal maths'!AB511*D511/12)</f>
        <v/>
      </c>
      <c r="G511" s="108">
        <f>N511+O511</f>
        <v/>
      </c>
      <c r="H511" s="108">
        <f>IFERROR(IF(OR(D511=0,AsAt&lt;E511),0,MIN(N511,INT(((YEAR(AsAt)-YEAR(E511))*12+MONTH(AsAt)-MONTH(E511)-(DAY(AsAt)&lt;MIN(R511,DAY(EOMONTH(AsAt,0)))))/D511)+1)+O511*(AsAt&gt;='Deal maths'!AA511)),0)</f>
        <v/>
      </c>
      <c r="I511" s="108">
        <f>G511-H511</f>
        <v/>
      </c>
      <c r="J511" s="111">
        <f>IF(AND(C511="EIP",I511&gt;0),'Deal maths'!Y511/I511,0)</f>
        <v/>
      </c>
      <c r="K511" s="111">
        <f>IF(AND(C511="Annuity",I511&gt;0),IF(F511&gt;0,'Deal maths'!Y511*F511/(1-(1+F511)^-I511),'Deal maths'!Y511/I511),0)</f>
        <v/>
      </c>
      <c r="L511" s="111">
        <f>IF('Deal maths'!Y511="",0,'Deal maths'!Y511)</f>
        <v/>
      </c>
      <c r="M511" s="112">
        <f>F511+(F511=0)</f>
        <v/>
      </c>
      <c r="N511" s="108">
        <f>IFERROR(IF(D511=0,0,INT(((YEAR('Deal maths'!AA511)-YEAR(E511))*12+MONTH('Deal maths'!AA511)-MONTH(E511)-(DAY('Deal maths'!AA511)&lt;MIN(R511,DAY(EOMONTH('Deal maths'!AA511,0)))))/D511)+1),0)</f>
        <v/>
      </c>
      <c r="O511" s="108">
        <f>IFERROR(IF(D511=0,0,IF(IF(DAY(E511+1)=1,EOMONTH(E511,(N511-1)*D511),EDATE(E511,(N511-1)*D511))='Deal maths'!AA511,0,1)),0)</f>
        <v/>
      </c>
      <c r="P511" s="113">
        <f>IF(B511=0,0,IFERROR(IF(C511="EIP",((I511-O511)*((IF(DAY(E511+1)=1,EOMONTH(E511,H511*D511),EDATE(E511,H511*D511))-AsAt)/365.25+(IF(DAY(E511+1)=1,EOMONTH(E511,(N511-1)*D511),EDATE(E511,(N511-1)*D511))-AsAt)/365.25)/2+O511*('Deal maths'!AA511-AsAt)/365.25)/I511,IF(C511="Annuity",IF(F511&gt;0,((K511-L511*F511)*((IF(DAY(E511+1)=1,EOMONTH(E511,H511*D511),EDATE(E511,H511*D511))-AsAt)/365.25*((1+F511)^(I511-O511)-1)/F511+IF((I511-O511)&gt;1,((IF(DAY(E511+1)=1,EOMONTH(E511,(N511-1)*D511),EDATE(E511,(N511-1)*D511))-AsAt)/365.25-(IF(DAY(E511+1)=1,EOMONTH(E511,H511*D511),EDATE(E511,H511*D511))-AsAt)/365.25)/((I511-O511)-1),0)*(1+F511)*(1-(I511-O511)*(1+F511)^((I511-O511)-1)+((I511-O511)-1)*(1+F511)^(I511-O511))/F511^2)+O511*(K511-L511*F511)*(1+F511)^(I511-1)*('Deal maths'!AA511-AsAt)/365.25)/L511,((I511-O511)*((IF(DAY(E511+1)=1,EOMONTH(E511,H511*D511),EDATE(E511,H511*D511))-AsAt)/365.25+(IF(DAY(E511+1)=1,EOMONTH(E511,(N511-1)*D511),EDATE(E511,(N511-1)*D511))-AsAt)/365.25)/2+O511*('Deal maths'!AA511-AsAt)/365.25)/I511),(S511-AsAt)/365.25)),0))</f>
        <v/>
      </c>
      <c r="Q511" s="109">
        <f>IF(B511=1,'Deal maths'!AA511+ROW()/1000000,"")</f>
        <v/>
      </c>
      <c r="R511" s="108">
        <f>IF(D511=0,0,IF(DAY(E511+1)=1,31,DAY(E511)))</f>
        <v/>
      </c>
      <c r="S511" s="109">
        <f>IF(AND('Deal maths'!V511="LOBO",'Deal maths'!AG511&gt;AsAt,'Deal maths'!AG511&lt;'Deal maths'!AA511),'Deal maths'!AG511,'Deal maths'!AA511)</f>
        <v/>
      </c>
      <c r="T511" s="108">
        <f>('Deal maths'!AA511&gt;AsAt)*('Deal maths'!Y511&gt;0)</f>
        <v/>
      </c>
    </row>
    <row r="512">
      <c r="A512" s="91">
        <f>IF('Deal maths'!V512="","",'Deal maths'!W512)</f>
        <v/>
      </c>
      <c r="B512" s="108">
        <f>('Deal maths'!AA512&gt;AsAt)*('Deal maths'!Y512&gt;0)*('Deal maths'!Z512&lt;=AsAt)</f>
        <v/>
      </c>
      <c r="C512" s="91">
        <f>IF('Deal maths'!V512="","",IF('Deal maths'!AC512="","Maturity",'Deal maths'!AC512))</f>
        <v/>
      </c>
      <c r="D512" s="108">
        <f>IF(OR(C512="EIP",C512="Annuity"),IF('Deal maths'!AD512="Annual",12,IF('Deal maths'!AD512="Quarterly",3,6)),0)</f>
        <v/>
      </c>
      <c r="E512" s="109">
        <f>IFERROR(IF(D512=0,0,IF('Deal maths'!AE512&gt;0,IF('Deal maths'!AE512&gt;'Deal maths'!AA512,'Deal maths'!AA512,'Deal maths'!AE512),IF(IF(DAY('Deal maths'!AA512+1)=1,EOMONTH('Deal maths'!AA512,-(INT(((YEAR('Deal maths'!AA512)-YEAR(IF('Deal maths'!Z512&gt;0,'Deal maths'!Z512,DATE(1990,1,1))))*12+MONTH('Deal maths'!AA512)-MONTH(IF('Deal maths'!Z512&gt;0,'Deal maths'!Z512,DATE(1990,1,1))))/D512))*D512),EDATE('Deal maths'!AA512,-(INT(((YEAR('Deal maths'!AA512)-YEAR(IF('Deal maths'!Z512&gt;0,'Deal maths'!Z512,DATE(1990,1,1))))*12+MONTH('Deal maths'!AA512)-MONTH(IF('Deal maths'!Z512&gt;0,'Deal maths'!Z512,DATE(1990,1,1))))/D512))*D512))&gt;IF('Deal maths'!Z512&gt;0,'Deal maths'!Z512,DATE(1990,1,1)),IF(DAY('Deal maths'!AA512+1)=1,EOMONTH('Deal maths'!AA512,-(INT(((YEAR('Deal maths'!AA512)-YEAR(IF('Deal maths'!Z512&gt;0,'Deal maths'!Z512,DATE(1990,1,1))))*12+MONTH('Deal maths'!AA512)-MONTH(IF('Deal maths'!Z512&gt;0,'Deal maths'!Z512,DATE(1990,1,1))))/D512))*D512),EDATE('Deal maths'!AA512,-(INT(((YEAR('Deal maths'!AA512)-YEAR(IF('Deal maths'!Z512&gt;0,'Deal maths'!Z512,DATE(1990,1,1))))*12+MONTH('Deal maths'!AA512)-MONTH(IF('Deal maths'!Z512&gt;0,'Deal maths'!Z512,DATE(1990,1,1))))/D512))*D512)),IF(DAY('Deal maths'!AA512+1)=1,EOMONTH('Deal maths'!AA512,-(INT(((YEAR('Deal maths'!AA512)-YEAR(IF('Deal maths'!Z512&gt;0,'Deal maths'!Z512,DATE(1990,1,1))))*12+MONTH('Deal maths'!AA512)-MONTH(IF('Deal maths'!Z512&gt;0,'Deal maths'!Z512,DATE(1990,1,1))))/D512)-1)*D512),EDATE('Deal maths'!AA512,-(INT(((YEAR('Deal maths'!AA512)-YEAR(IF('Deal maths'!Z512&gt;0,'Deal maths'!Z512,DATE(1990,1,1))))*12+MONTH('Deal maths'!AA512)-MONTH(IF('Deal maths'!Z512&gt;0,'Deal maths'!Z512,DATE(1990,1,1))))/D512)-1)*D512))))),0)</f>
        <v/>
      </c>
      <c r="F512" s="110">
        <f>IF(D512=0,0,'Deal maths'!AB512*D512/12)</f>
        <v/>
      </c>
      <c r="G512" s="108">
        <f>N512+O512</f>
        <v/>
      </c>
      <c r="H512" s="108">
        <f>IFERROR(IF(OR(D512=0,AsAt&lt;E512),0,MIN(N512,INT(((YEAR(AsAt)-YEAR(E512))*12+MONTH(AsAt)-MONTH(E512)-(DAY(AsAt)&lt;MIN(R512,DAY(EOMONTH(AsAt,0)))))/D512)+1)+O512*(AsAt&gt;='Deal maths'!AA512)),0)</f>
        <v/>
      </c>
      <c r="I512" s="108">
        <f>G512-H512</f>
        <v/>
      </c>
      <c r="J512" s="111">
        <f>IF(AND(C512="EIP",I512&gt;0),'Deal maths'!Y512/I512,0)</f>
        <v/>
      </c>
      <c r="K512" s="111">
        <f>IF(AND(C512="Annuity",I512&gt;0),IF(F512&gt;0,'Deal maths'!Y512*F512/(1-(1+F512)^-I512),'Deal maths'!Y512/I512),0)</f>
        <v/>
      </c>
      <c r="L512" s="111">
        <f>IF('Deal maths'!Y512="",0,'Deal maths'!Y512)</f>
        <v/>
      </c>
      <c r="M512" s="112">
        <f>F512+(F512=0)</f>
        <v/>
      </c>
      <c r="N512" s="108">
        <f>IFERROR(IF(D512=0,0,INT(((YEAR('Deal maths'!AA512)-YEAR(E512))*12+MONTH('Deal maths'!AA512)-MONTH(E512)-(DAY('Deal maths'!AA512)&lt;MIN(R512,DAY(EOMONTH('Deal maths'!AA512,0)))))/D512)+1),0)</f>
        <v/>
      </c>
      <c r="O512" s="108">
        <f>IFERROR(IF(D512=0,0,IF(IF(DAY(E512+1)=1,EOMONTH(E512,(N512-1)*D512),EDATE(E512,(N512-1)*D512))='Deal maths'!AA512,0,1)),0)</f>
        <v/>
      </c>
      <c r="P512" s="113">
        <f>IF(B512=0,0,IFERROR(IF(C512="EIP",((I512-O512)*((IF(DAY(E512+1)=1,EOMONTH(E512,H512*D512),EDATE(E512,H512*D512))-AsAt)/365.25+(IF(DAY(E512+1)=1,EOMONTH(E512,(N512-1)*D512),EDATE(E512,(N512-1)*D512))-AsAt)/365.25)/2+O512*('Deal maths'!AA512-AsAt)/365.25)/I512,IF(C512="Annuity",IF(F512&gt;0,((K512-L512*F512)*((IF(DAY(E512+1)=1,EOMONTH(E512,H512*D512),EDATE(E512,H512*D512))-AsAt)/365.25*((1+F512)^(I512-O512)-1)/F512+IF((I512-O512)&gt;1,((IF(DAY(E512+1)=1,EOMONTH(E512,(N512-1)*D512),EDATE(E512,(N512-1)*D512))-AsAt)/365.25-(IF(DAY(E512+1)=1,EOMONTH(E512,H512*D512),EDATE(E512,H512*D512))-AsAt)/365.25)/((I512-O512)-1),0)*(1+F512)*(1-(I512-O512)*(1+F512)^((I512-O512)-1)+((I512-O512)-1)*(1+F512)^(I512-O512))/F512^2)+O512*(K512-L512*F512)*(1+F512)^(I512-1)*('Deal maths'!AA512-AsAt)/365.25)/L512,((I512-O512)*((IF(DAY(E512+1)=1,EOMONTH(E512,H512*D512),EDATE(E512,H512*D512))-AsAt)/365.25+(IF(DAY(E512+1)=1,EOMONTH(E512,(N512-1)*D512),EDATE(E512,(N512-1)*D512))-AsAt)/365.25)/2+O512*('Deal maths'!AA512-AsAt)/365.25)/I512),(S512-AsAt)/365.25)),0))</f>
        <v/>
      </c>
      <c r="Q512" s="109">
        <f>IF(B512=1,'Deal maths'!AA512+ROW()/1000000,"")</f>
        <v/>
      </c>
      <c r="R512" s="108">
        <f>IF(D512=0,0,IF(DAY(E512+1)=1,31,DAY(E512)))</f>
        <v/>
      </c>
      <c r="S512" s="109">
        <f>IF(AND('Deal maths'!V512="LOBO",'Deal maths'!AG512&gt;AsAt,'Deal maths'!AG512&lt;'Deal maths'!AA512),'Deal maths'!AG512,'Deal maths'!AA512)</f>
        <v/>
      </c>
      <c r="T512" s="108">
        <f>('Deal maths'!AA512&gt;AsAt)*('Deal maths'!Y512&gt;0)</f>
        <v/>
      </c>
    </row>
    <row r="513">
      <c r="A513" s="91">
        <f>IF('Deal maths'!V513="","",'Deal maths'!W513)</f>
        <v/>
      </c>
      <c r="B513" s="108">
        <f>('Deal maths'!AA513&gt;AsAt)*('Deal maths'!Y513&gt;0)*('Deal maths'!Z513&lt;=AsAt)</f>
        <v/>
      </c>
      <c r="C513" s="91">
        <f>IF('Deal maths'!V513="","",IF('Deal maths'!AC513="","Maturity",'Deal maths'!AC513))</f>
        <v/>
      </c>
      <c r="D513" s="108">
        <f>IF(OR(C513="EIP",C513="Annuity"),IF('Deal maths'!AD513="Annual",12,IF('Deal maths'!AD513="Quarterly",3,6)),0)</f>
        <v/>
      </c>
      <c r="E513" s="109">
        <f>IFERROR(IF(D513=0,0,IF('Deal maths'!AE513&gt;0,IF('Deal maths'!AE513&gt;'Deal maths'!AA513,'Deal maths'!AA513,'Deal maths'!AE513),IF(IF(DAY('Deal maths'!AA513+1)=1,EOMONTH('Deal maths'!AA513,-(INT(((YEAR('Deal maths'!AA513)-YEAR(IF('Deal maths'!Z513&gt;0,'Deal maths'!Z513,DATE(1990,1,1))))*12+MONTH('Deal maths'!AA513)-MONTH(IF('Deal maths'!Z513&gt;0,'Deal maths'!Z513,DATE(1990,1,1))))/D513))*D513),EDATE('Deal maths'!AA513,-(INT(((YEAR('Deal maths'!AA513)-YEAR(IF('Deal maths'!Z513&gt;0,'Deal maths'!Z513,DATE(1990,1,1))))*12+MONTH('Deal maths'!AA513)-MONTH(IF('Deal maths'!Z513&gt;0,'Deal maths'!Z513,DATE(1990,1,1))))/D513))*D513))&gt;IF('Deal maths'!Z513&gt;0,'Deal maths'!Z513,DATE(1990,1,1)),IF(DAY('Deal maths'!AA513+1)=1,EOMONTH('Deal maths'!AA513,-(INT(((YEAR('Deal maths'!AA513)-YEAR(IF('Deal maths'!Z513&gt;0,'Deal maths'!Z513,DATE(1990,1,1))))*12+MONTH('Deal maths'!AA513)-MONTH(IF('Deal maths'!Z513&gt;0,'Deal maths'!Z513,DATE(1990,1,1))))/D513))*D513),EDATE('Deal maths'!AA513,-(INT(((YEAR('Deal maths'!AA513)-YEAR(IF('Deal maths'!Z513&gt;0,'Deal maths'!Z513,DATE(1990,1,1))))*12+MONTH('Deal maths'!AA513)-MONTH(IF('Deal maths'!Z513&gt;0,'Deal maths'!Z513,DATE(1990,1,1))))/D513))*D513)),IF(DAY('Deal maths'!AA513+1)=1,EOMONTH('Deal maths'!AA513,-(INT(((YEAR('Deal maths'!AA513)-YEAR(IF('Deal maths'!Z513&gt;0,'Deal maths'!Z513,DATE(1990,1,1))))*12+MONTH('Deal maths'!AA513)-MONTH(IF('Deal maths'!Z513&gt;0,'Deal maths'!Z513,DATE(1990,1,1))))/D513)-1)*D513),EDATE('Deal maths'!AA513,-(INT(((YEAR('Deal maths'!AA513)-YEAR(IF('Deal maths'!Z513&gt;0,'Deal maths'!Z513,DATE(1990,1,1))))*12+MONTH('Deal maths'!AA513)-MONTH(IF('Deal maths'!Z513&gt;0,'Deal maths'!Z513,DATE(1990,1,1))))/D513)-1)*D513))))),0)</f>
        <v/>
      </c>
      <c r="F513" s="110">
        <f>IF(D513=0,0,'Deal maths'!AB513*D513/12)</f>
        <v/>
      </c>
      <c r="G513" s="108">
        <f>N513+O513</f>
        <v/>
      </c>
      <c r="H513" s="108">
        <f>IFERROR(IF(OR(D513=0,AsAt&lt;E513),0,MIN(N513,INT(((YEAR(AsAt)-YEAR(E513))*12+MONTH(AsAt)-MONTH(E513)-(DAY(AsAt)&lt;MIN(R513,DAY(EOMONTH(AsAt,0)))))/D513)+1)+O513*(AsAt&gt;='Deal maths'!AA513)),0)</f>
        <v/>
      </c>
      <c r="I513" s="108">
        <f>G513-H513</f>
        <v/>
      </c>
      <c r="J513" s="111">
        <f>IF(AND(C513="EIP",I513&gt;0),'Deal maths'!Y513/I513,0)</f>
        <v/>
      </c>
      <c r="K513" s="111">
        <f>IF(AND(C513="Annuity",I513&gt;0),IF(F513&gt;0,'Deal maths'!Y513*F513/(1-(1+F513)^-I513),'Deal maths'!Y513/I513),0)</f>
        <v/>
      </c>
      <c r="L513" s="111">
        <f>IF('Deal maths'!Y513="",0,'Deal maths'!Y513)</f>
        <v/>
      </c>
      <c r="M513" s="112">
        <f>F513+(F513=0)</f>
        <v/>
      </c>
      <c r="N513" s="108">
        <f>IFERROR(IF(D513=0,0,INT(((YEAR('Deal maths'!AA513)-YEAR(E513))*12+MONTH('Deal maths'!AA513)-MONTH(E513)-(DAY('Deal maths'!AA513)&lt;MIN(R513,DAY(EOMONTH('Deal maths'!AA513,0)))))/D513)+1),0)</f>
        <v/>
      </c>
      <c r="O513" s="108">
        <f>IFERROR(IF(D513=0,0,IF(IF(DAY(E513+1)=1,EOMONTH(E513,(N513-1)*D513),EDATE(E513,(N513-1)*D513))='Deal maths'!AA513,0,1)),0)</f>
        <v/>
      </c>
      <c r="P513" s="113">
        <f>IF(B513=0,0,IFERROR(IF(C513="EIP",((I513-O513)*((IF(DAY(E513+1)=1,EOMONTH(E513,H513*D513),EDATE(E513,H513*D513))-AsAt)/365.25+(IF(DAY(E513+1)=1,EOMONTH(E513,(N513-1)*D513),EDATE(E513,(N513-1)*D513))-AsAt)/365.25)/2+O513*('Deal maths'!AA513-AsAt)/365.25)/I513,IF(C513="Annuity",IF(F513&gt;0,((K513-L513*F513)*((IF(DAY(E513+1)=1,EOMONTH(E513,H513*D513),EDATE(E513,H513*D513))-AsAt)/365.25*((1+F513)^(I513-O513)-1)/F513+IF((I513-O513)&gt;1,((IF(DAY(E513+1)=1,EOMONTH(E513,(N513-1)*D513),EDATE(E513,(N513-1)*D513))-AsAt)/365.25-(IF(DAY(E513+1)=1,EOMONTH(E513,H513*D513),EDATE(E513,H513*D513))-AsAt)/365.25)/((I513-O513)-1),0)*(1+F513)*(1-(I513-O513)*(1+F513)^((I513-O513)-1)+((I513-O513)-1)*(1+F513)^(I513-O513))/F513^2)+O513*(K513-L513*F513)*(1+F513)^(I513-1)*('Deal maths'!AA513-AsAt)/365.25)/L513,((I513-O513)*((IF(DAY(E513+1)=1,EOMONTH(E513,H513*D513),EDATE(E513,H513*D513))-AsAt)/365.25+(IF(DAY(E513+1)=1,EOMONTH(E513,(N513-1)*D513),EDATE(E513,(N513-1)*D513))-AsAt)/365.25)/2+O513*('Deal maths'!AA513-AsAt)/365.25)/I513),(S513-AsAt)/365.25)),0))</f>
        <v/>
      </c>
      <c r="Q513" s="109">
        <f>IF(B513=1,'Deal maths'!AA513+ROW()/1000000,"")</f>
        <v/>
      </c>
      <c r="R513" s="108">
        <f>IF(D513=0,0,IF(DAY(E513+1)=1,31,DAY(E513)))</f>
        <v/>
      </c>
      <c r="S513" s="109">
        <f>IF(AND('Deal maths'!V513="LOBO",'Deal maths'!AG513&gt;AsAt,'Deal maths'!AG513&lt;'Deal maths'!AA513),'Deal maths'!AG513,'Deal maths'!AA513)</f>
        <v/>
      </c>
      <c r="T513" s="108">
        <f>('Deal maths'!AA513&gt;AsAt)*('Deal maths'!Y513&gt;0)</f>
        <v/>
      </c>
    </row>
    <row r="514">
      <c r="A514" s="91">
        <f>IF('Deal maths'!V514="","",'Deal maths'!W514)</f>
        <v/>
      </c>
      <c r="B514" s="108">
        <f>('Deal maths'!AA514&gt;AsAt)*('Deal maths'!Y514&gt;0)*('Deal maths'!Z514&lt;=AsAt)</f>
        <v/>
      </c>
      <c r="C514" s="91">
        <f>IF('Deal maths'!V514="","",IF('Deal maths'!AC514="","Maturity",'Deal maths'!AC514))</f>
        <v/>
      </c>
      <c r="D514" s="108">
        <f>IF(OR(C514="EIP",C514="Annuity"),IF('Deal maths'!AD514="Annual",12,IF('Deal maths'!AD514="Quarterly",3,6)),0)</f>
        <v/>
      </c>
      <c r="E514" s="109">
        <f>IFERROR(IF(D514=0,0,IF('Deal maths'!AE514&gt;0,IF('Deal maths'!AE514&gt;'Deal maths'!AA514,'Deal maths'!AA514,'Deal maths'!AE514),IF(IF(DAY('Deal maths'!AA514+1)=1,EOMONTH('Deal maths'!AA514,-(INT(((YEAR('Deal maths'!AA514)-YEAR(IF('Deal maths'!Z514&gt;0,'Deal maths'!Z514,DATE(1990,1,1))))*12+MONTH('Deal maths'!AA514)-MONTH(IF('Deal maths'!Z514&gt;0,'Deal maths'!Z514,DATE(1990,1,1))))/D514))*D514),EDATE('Deal maths'!AA514,-(INT(((YEAR('Deal maths'!AA514)-YEAR(IF('Deal maths'!Z514&gt;0,'Deal maths'!Z514,DATE(1990,1,1))))*12+MONTH('Deal maths'!AA514)-MONTH(IF('Deal maths'!Z514&gt;0,'Deal maths'!Z514,DATE(1990,1,1))))/D514))*D514))&gt;IF('Deal maths'!Z514&gt;0,'Deal maths'!Z514,DATE(1990,1,1)),IF(DAY('Deal maths'!AA514+1)=1,EOMONTH('Deal maths'!AA514,-(INT(((YEAR('Deal maths'!AA514)-YEAR(IF('Deal maths'!Z514&gt;0,'Deal maths'!Z514,DATE(1990,1,1))))*12+MONTH('Deal maths'!AA514)-MONTH(IF('Deal maths'!Z514&gt;0,'Deal maths'!Z514,DATE(1990,1,1))))/D514))*D514),EDATE('Deal maths'!AA514,-(INT(((YEAR('Deal maths'!AA514)-YEAR(IF('Deal maths'!Z514&gt;0,'Deal maths'!Z514,DATE(1990,1,1))))*12+MONTH('Deal maths'!AA514)-MONTH(IF('Deal maths'!Z514&gt;0,'Deal maths'!Z514,DATE(1990,1,1))))/D514))*D514)),IF(DAY('Deal maths'!AA514+1)=1,EOMONTH('Deal maths'!AA514,-(INT(((YEAR('Deal maths'!AA514)-YEAR(IF('Deal maths'!Z514&gt;0,'Deal maths'!Z514,DATE(1990,1,1))))*12+MONTH('Deal maths'!AA514)-MONTH(IF('Deal maths'!Z514&gt;0,'Deal maths'!Z514,DATE(1990,1,1))))/D514)-1)*D514),EDATE('Deal maths'!AA514,-(INT(((YEAR('Deal maths'!AA514)-YEAR(IF('Deal maths'!Z514&gt;0,'Deal maths'!Z514,DATE(1990,1,1))))*12+MONTH('Deal maths'!AA514)-MONTH(IF('Deal maths'!Z514&gt;0,'Deal maths'!Z514,DATE(1990,1,1))))/D514)-1)*D514))))),0)</f>
        <v/>
      </c>
      <c r="F514" s="110">
        <f>IF(D514=0,0,'Deal maths'!AB514*D514/12)</f>
        <v/>
      </c>
      <c r="G514" s="108">
        <f>N514+O514</f>
        <v/>
      </c>
      <c r="H514" s="108">
        <f>IFERROR(IF(OR(D514=0,AsAt&lt;E514),0,MIN(N514,INT(((YEAR(AsAt)-YEAR(E514))*12+MONTH(AsAt)-MONTH(E514)-(DAY(AsAt)&lt;MIN(R514,DAY(EOMONTH(AsAt,0)))))/D514)+1)+O514*(AsAt&gt;='Deal maths'!AA514)),0)</f>
        <v/>
      </c>
      <c r="I514" s="108">
        <f>G514-H514</f>
        <v/>
      </c>
      <c r="J514" s="111">
        <f>IF(AND(C514="EIP",I514&gt;0),'Deal maths'!Y514/I514,0)</f>
        <v/>
      </c>
      <c r="K514" s="111">
        <f>IF(AND(C514="Annuity",I514&gt;0),IF(F514&gt;0,'Deal maths'!Y514*F514/(1-(1+F514)^-I514),'Deal maths'!Y514/I514),0)</f>
        <v/>
      </c>
      <c r="L514" s="111">
        <f>IF('Deal maths'!Y514="",0,'Deal maths'!Y514)</f>
        <v/>
      </c>
      <c r="M514" s="112">
        <f>F514+(F514=0)</f>
        <v/>
      </c>
      <c r="N514" s="108">
        <f>IFERROR(IF(D514=0,0,INT(((YEAR('Deal maths'!AA514)-YEAR(E514))*12+MONTH('Deal maths'!AA514)-MONTH(E514)-(DAY('Deal maths'!AA514)&lt;MIN(R514,DAY(EOMONTH('Deal maths'!AA514,0)))))/D514)+1),0)</f>
        <v/>
      </c>
      <c r="O514" s="108">
        <f>IFERROR(IF(D514=0,0,IF(IF(DAY(E514+1)=1,EOMONTH(E514,(N514-1)*D514),EDATE(E514,(N514-1)*D514))='Deal maths'!AA514,0,1)),0)</f>
        <v/>
      </c>
      <c r="P514" s="113">
        <f>IF(B514=0,0,IFERROR(IF(C514="EIP",((I514-O514)*((IF(DAY(E514+1)=1,EOMONTH(E514,H514*D514),EDATE(E514,H514*D514))-AsAt)/365.25+(IF(DAY(E514+1)=1,EOMONTH(E514,(N514-1)*D514),EDATE(E514,(N514-1)*D514))-AsAt)/365.25)/2+O514*('Deal maths'!AA514-AsAt)/365.25)/I514,IF(C514="Annuity",IF(F514&gt;0,((K514-L514*F514)*((IF(DAY(E514+1)=1,EOMONTH(E514,H514*D514),EDATE(E514,H514*D514))-AsAt)/365.25*((1+F514)^(I514-O514)-1)/F514+IF((I514-O514)&gt;1,((IF(DAY(E514+1)=1,EOMONTH(E514,(N514-1)*D514),EDATE(E514,(N514-1)*D514))-AsAt)/365.25-(IF(DAY(E514+1)=1,EOMONTH(E514,H514*D514),EDATE(E514,H514*D514))-AsAt)/365.25)/((I514-O514)-1),0)*(1+F514)*(1-(I514-O514)*(1+F514)^((I514-O514)-1)+((I514-O514)-1)*(1+F514)^(I514-O514))/F514^2)+O514*(K514-L514*F514)*(1+F514)^(I514-1)*('Deal maths'!AA514-AsAt)/365.25)/L514,((I514-O514)*((IF(DAY(E514+1)=1,EOMONTH(E514,H514*D514),EDATE(E514,H514*D514))-AsAt)/365.25+(IF(DAY(E514+1)=1,EOMONTH(E514,(N514-1)*D514),EDATE(E514,(N514-1)*D514))-AsAt)/365.25)/2+O514*('Deal maths'!AA514-AsAt)/365.25)/I514),(S514-AsAt)/365.25)),0))</f>
        <v/>
      </c>
      <c r="Q514" s="109">
        <f>IF(B514=1,'Deal maths'!AA514+ROW()/1000000,"")</f>
        <v/>
      </c>
      <c r="R514" s="108">
        <f>IF(D514=0,0,IF(DAY(E514+1)=1,31,DAY(E514)))</f>
        <v/>
      </c>
      <c r="S514" s="109">
        <f>IF(AND('Deal maths'!V514="LOBO",'Deal maths'!AG514&gt;AsAt,'Deal maths'!AG514&lt;'Deal maths'!AA514),'Deal maths'!AG514,'Deal maths'!AA514)</f>
        <v/>
      </c>
      <c r="T514" s="108">
        <f>('Deal maths'!AA514&gt;AsAt)*('Deal maths'!Y514&gt;0)</f>
        <v/>
      </c>
    </row>
    <row r="515">
      <c r="A515" s="91">
        <f>IF('Deal maths'!V515="","",'Deal maths'!W515)</f>
        <v/>
      </c>
      <c r="B515" s="108">
        <f>('Deal maths'!AA515&gt;AsAt)*('Deal maths'!Y515&gt;0)*('Deal maths'!Z515&lt;=AsAt)</f>
        <v/>
      </c>
      <c r="C515" s="91">
        <f>IF('Deal maths'!V515="","",IF('Deal maths'!AC515="","Maturity",'Deal maths'!AC515))</f>
        <v/>
      </c>
      <c r="D515" s="108">
        <f>IF(OR(C515="EIP",C515="Annuity"),IF('Deal maths'!AD515="Annual",12,IF('Deal maths'!AD515="Quarterly",3,6)),0)</f>
        <v/>
      </c>
      <c r="E515" s="109">
        <f>IFERROR(IF(D515=0,0,IF('Deal maths'!AE515&gt;0,IF('Deal maths'!AE515&gt;'Deal maths'!AA515,'Deal maths'!AA515,'Deal maths'!AE515),IF(IF(DAY('Deal maths'!AA515+1)=1,EOMONTH('Deal maths'!AA515,-(INT(((YEAR('Deal maths'!AA515)-YEAR(IF('Deal maths'!Z515&gt;0,'Deal maths'!Z515,DATE(1990,1,1))))*12+MONTH('Deal maths'!AA515)-MONTH(IF('Deal maths'!Z515&gt;0,'Deal maths'!Z515,DATE(1990,1,1))))/D515))*D515),EDATE('Deal maths'!AA515,-(INT(((YEAR('Deal maths'!AA515)-YEAR(IF('Deal maths'!Z515&gt;0,'Deal maths'!Z515,DATE(1990,1,1))))*12+MONTH('Deal maths'!AA515)-MONTH(IF('Deal maths'!Z515&gt;0,'Deal maths'!Z515,DATE(1990,1,1))))/D515))*D515))&gt;IF('Deal maths'!Z515&gt;0,'Deal maths'!Z515,DATE(1990,1,1)),IF(DAY('Deal maths'!AA515+1)=1,EOMONTH('Deal maths'!AA515,-(INT(((YEAR('Deal maths'!AA515)-YEAR(IF('Deal maths'!Z515&gt;0,'Deal maths'!Z515,DATE(1990,1,1))))*12+MONTH('Deal maths'!AA515)-MONTH(IF('Deal maths'!Z515&gt;0,'Deal maths'!Z515,DATE(1990,1,1))))/D515))*D515),EDATE('Deal maths'!AA515,-(INT(((YEAR('Deal maths'!AA515)-YEAR(IF('Deal maths'!Z515&gt;0,'Deal maths'!Z515,DATE(1990,1,1))))*12+MONTH('Deal maths'!AA515)-MONTH(IF('Deal maths'!Z515&gt;0,'Deal maths'!Z515,DATE(1990,1,1))))/D515))*D515)),IF(DAY('Deal maths'!AA515+1)=1,EOMONTH('Deal maths'!AA515,-(INT(((YEAR('Deal maths'!AA515)-YEAR(IF('Deal maths'!Z515&gt;0,'Deal maths'!Z515,DATE(1990,1,1))))*12+MONTH('Deal maths'!AA515)-MONTH(IF('Deal maths'!Z515&gt;0,'Deal maths'!Z515,DATE(1990,1,1))))/D515)-1)*D515),EDATE('Deal maths'!AA515,-(INT(((YEAR('Deal maths'!AA515)-YEAR(IF('Deal maths'!Z515&gt;0,'Deal maths'!Z515,DATE(1990,1,1))))*12+MONTH('Deal maths'!AA515)-MONTH(IF('Deal maths'!Z515&gt;0,'Deal maths'!Z515,DATE(1990,1,1))))/D515)-1)*D515))))),0)</f>
        <v/>
      </c>
      <c r="F515" s="110">
        <f>IF(D515=0,0,'Deal maths'!AB515*D515/12)</f>
        <v/>
      </c>
      <c r="G515" s="108">
        <f>N515+O515</f>
        <v/>
      </c>
      <c r="H515" s="108">
        <f>IFERROR(IF(OR(D515=0,AsAt&lt;E515),0,MIN(N515,INT(((YEAR(AsAt)-YEAR(E515))*12+MONTH(AsAt)-MONTH(E515)-(DAY(AsAt)&lt;MIN(R515,DAY(EOMONTH(AsAt,0)))))/D515)+1)+O515*(AsAt&gt;='Deal maths'!AA515)),0)</f>
        <v/>
      </c>
      <c r="I515" s="108">
        <f>G515-H515</f>
        <v/>
      </c>
      <c r="J515" s="111">
        <f>IF(AND(C515="EIP",I515&gt;0),'Deal maths'!Y515/I515,0)</f>
        <v/>
      </c>
      <c r="K515" s="111">
        <f>IF(AND(C515="Annuity",I515&gt;0),IF(F515&gt;0,'Deal maths'!Y515*F515/(1-(1+F515)^-I515),'Deal maths'!Y515/I515),0)</f>
        <v/>
      </c>
      <c r="L515" s="111">
        <f>IF('Deal maths'!Y515="",0,'Deal maths'!Y515)</f>
        <v/>
      </c>
      <c r="M515" s="112">
        <f>F515+(F515=0)</f>
        <v/>
      </c>
      <c r="N515" s="108">
        <f>IFERROR(IF(D515=0,0,INT(((YEAR('Deal maths'!AA515)-YEAR(E515))*12+MONTH('Deal maths'!AA515)-MONTH(E515)-(DAY('Deal maths'!AA515)&lt;MIN(R515,DAY(EOMONTH('Deal maths'!AA515,0)))))/D515)+1),0)</f>
        <v/>
      </c>
      <c r="O515" s="108">
        <f>IFERROR(IF(D515=0,0,IF(IF(DAY(E515+1)=1,EOMONTH(E515,(N515-1)*D515),EDATE(E515,(N515-1)*D515))='Deal maths'!AA515,0,1)),0)</f>
        <v/>
      </c>
      <c r="P515" s="113">
        <f>IF(B515=0,0,IFERROR(IF(C515="EIP",((I515-O515)*((IF(DAY(E515+1)=1,EOMONTH(E515,H515*D515),EDATE(E515,H515*D515))-AsAt)/365.25+(IF(DAY(E515+1)=1,EOMONTH(E515,(N515-1)*D515),EDATE(E515,(N515-1)*D515))-AsAt)/365.25)/2+O515*('Deal maths'!AA515-AsAt)/365.25)/I515,IF(C515="Annuity",IF(F515&gt;0,((K515-L515*F515)*((IF(DAY(E515+1)=1,EOMONTH(E515,H515*D515),EDATE(E515,H515*D515))-AsAt)/365.25*((1+F515)^(I515-O515)-1)/F515+IF((I515-O515)&gt;1,((IF(DAY(E515+1)=1,EOMONTH(E515,(N515-1)*D515),EDATE(E515,(N515-1)*D515))-AsAt)/365.25-(IF(DAY(E515+1)=1,EOMONTH(E515,H515*D515),EDATE(E515,H515*D515))-AsAt)/365.25)/((I515-O515)-1),0)*(1+F515)*(1-(I515-O515)*(1+F515)^((I515-O515)-1)+((I515-O515)-1)*(1+F515)^(I515-O515))/F515^2)+O515*(K515-L515*F515)*(1+F515)^(I515-1)*('Deal maths'!AA515-AsAt)/365.25)/L515,((I515-O515)*((IF(DAY(E515+1)=1,EOMONTH(E515,H515*D515),EDATE(E515,H515*D515))-AsAt)/365.25+(IF(DAY(E515+1)=1,EOMONTH(E515,(N515-1)*D515),EDATE(E515,(N515-1)*D515))-AsAt)/365.25)/2+O515*('Deal maths'!AA515-AsAt)/365.25)/I515),(S515-AsAt)/365.25)),0))</f>
        <v/>
      </c>
      <c r="Q515" s="109">
        <f>IF(B515=1,'Deal maths'!AA515+ROW()/1000000,"")</f>
        <v/>
      </c>
      <c r="R515" s="108">
        <f>IF(D515=0,0,IF(DAY(E515+1)=1,31,DAY(E515)))</f>
        <v/>
      </c>
      <c r="S515" s="109">
        <f>IF(AND('Deal maths'!V515="LOBO",'Deal maths'!AG515&gt;AsAt,'Deal maths'!AG515&lt;'Deal maths'!AA515),'Deal maths'!AG515,'Deal maths'!AA515)</f>
        <v/>
      </c>
      <c r="T515" s="108">
        <f>('Deal maths'!AA515&gt;AsAt)*('Deal maths'!Y515&gt;0)</f>
        <v/>
      </c>
    </row>
    <row r="516">
      <c r="A516" s="91">
        <f>IF('Deal maths'!V516="","",'Deal maths'!W516)</f>
        <v/>
      </c>
      <c r="B516" s="108">
        <f>('Deal maths'!AA516&gt;AsAt)*('Deal maths'!Y516&gt;0)*('Deal maths'!Z516&lt;=AsAt)</f>
        <v/>
      </c>
      <c r="C516" s="91">
        <f>IF('Deal maths'!V516="","",IF('Deal maths'!AC516="","Maturity",'Deal maths'!AC516))</f>
        <v/>
      </c>
      <c r="D516" s="108">
        <f>IF(OR(C516="EIP",C516="Annuity"),IF('Deal maths'!AD516="Annual",12,IF('Deal maths'!AD516="Quarterly",3,6)),0)</f>
        <v/>
      </c>
      <c r="E516" s="109">
        <f>IFERROR(IF(D516=0,0,IF('Deal maths'!AE516&gt;0,IF('Deal maths'!AE516&gt;'Deal maths'!AA516,'Deal maths'!AA516,'Deal maths'!AE516),IF(IF(DAY('Deal maths'!AA516+1)=1,EOMONTH('Deal maths'!AA516,-(INT(((YEAR('Deal maths'!AA516)-YEAR(IF('Deal maths'!Z516&gt;0,'Deal maths'!Z516,DATE(1990,1,1))))*12+MONTH('Deal maths'!AA516)-MONTH(IF('Deal maths'!Z516&gt;0,'Deal maths'!Z516,DATE(1990,1,1))))/D516))*D516),EDATE('Deal maths'!AA516,-(INT(((YEAR('Deal maths'!AA516)-YEAR(IF('Deal maths'!Z516&gt;0,'Deal maths'!Z516,DATE(1990,1,1))))*12+MONTH('Deal maths'!AA516)-MONTH(IF('Deal maths'!Z516&gt;0,'Deal maths'!Z516,DATE(1990,1,1))))/D516))*D516))&gt;IF('Deal maths'!Z516&gt;0,'Deal maths'!Z516,DATE(1990,1,1)),IF(DAY('Deal maths'!AA516+1)=1,EOMONTH('Deal maths'!AA516,-(INT(((YEAR('Deal maths'!AA516)-YEAR(IF('Deal maths'!Z516&gt;0,'Deal maths'!Z516,DATE(1990,1,1))))*12+MONTH('Deal maths'!AA516)-MONTH(IF('Deal maths'!Z516&gt;0,'Deal maths'!Z516,DATE(1990,1,1))))/D516))*D516),EDATE('Deal maths'!AA516,-(INT(((YEAR('Deal maths'!AA516)-YEAR(IF('Deal maths'!Z516&gt;0,'Deal maths'!Z516,DATE(1990,1,1))))*12+MONTH('Deal maths'!AA516)-MONTH(IF('Deal maths'!Z516&gt;0,'Deal maths'!Z516,DATE(1990,1,1))))/D516))*D516)),IF(DAY('Deal maths'!AA516+1)=1,EOMONTH('Deal maths'!AA516,-(INT(((YEAR('Deal maths'!AA516)-YEAR(IF('Deal maths'!Z516&gt;0,'Deal maths'!Z516,DATE(1990,1,1))))*12+MONTH('Deal maths'!AA516)-MONTH(IF('Deal maths'!Z516&gt;0,'Deal maths'!Z516,DATE(1990,1,1))))/D516)-1)*D516),EDATE('Deal maths'!AA516,-(INT(((YEAR('Deal maths'!AA516)-YEAR(IF('Deal maths'!Z516&gt;0,'Deal maths'!Z516,DATE(1990,1,1))))*12+MONTH('Deal maths'!AA516)-MONTH(IF('Deal maths'!Z516&gt;0,'Deal maths'!Z516,DATE(1990,1,1))))/D516)-1)*D516))))),0)</f>
        <v/>
      </c>
      <c r="F516" s="110">
        <f>IF(D516=0,0,'Deal maths'!AB516*D516/12)</f>
        <v/>
      </c>
      <c r="G516" s="108">
        <f>N516+O516</f>
        <v/>
      </c>
      <c r="H516" s="108">
        <f>IFERROR(IF(OR(D516=0,AsAt&lt;E516),0,MIN(N516,INT(((YEAR(AsAt)-YEAR(E516))*12+MONTH(AsAt)-MONTH(E516)-(DAY(AsAt)&lt;MIN(R516,DAY(EOMONTH(AsAt,0)))))/D516)+1)+O516*(AsAt&gt;='Deal maths'!AA516)),0)</f>
        <v/>
      </c>
      <c r="I516" s="108">
        <f>G516-H516</f>
        <v/>
      </c>
      <c r="J516" s="111">
        <f>IF(AND(C516="EIP",I516&gt;0),'Deal maths'!Y516/I516,0)</f>
        <v/>
      </c>
      <c r="K516" s="111">
        <f>IF(AND(C516="Annuity",I516&gt;0),IF(F516&gt;0,'Deal maths'!Y516*F516/(1-(1+F516)^-I516),'Deal maths'!Y516/I516),0)</f>
        <v/>
      </c>
      <c r="L516" s="111">
        <f>IF('Deal maths'!Y516="",0,'Deal maths'!Y516)</f>
        <v/>
      </c>
      <c r="M516" s="112">
        <f>F516+(F516=0)</f>
        <v/>
      </c>
      <c r="N516" s="108">
        <f>IFERROR(IF(D516=0,0,INT(((YEAR('Deal maths'!AA516)-YEAR(E516))*12+MONTH('Deal maths'!AA516)-MONTH(E516)-(DAY('Deal maths'!AA516)&lt;MIN(R516,DAY(EOMONTH('Deal maths'!AA516,0)))))/D516)+1),0)</f>
        <v/>
      </c>
      <c r="O516" s="108">
        <f>IFERROR(IF(D516=0,0,IF(IF(DAY(E516+1)=1,EOMONTH(E516,(N516-1)*D516),EDATE(E516,(N516-1)*D516))='Deal maths'!AA516,0,1)),0)</f>
        <v/>
      </c>
      <c r="P516" s="113">
        <f>IF(B516=0,0,IFERROR(IF(C516="EIP",((I516-O516)*((IF(DAY(E516+1)=1,EOMONTH(E516,H516*D516),EDATE(E516,H516*D516))-AsAt)/365.25+(IF(DAY(E516+1)=1,EOMONTH(E516,(N516-1)*D516),EDATE(E516,(N516-1)*D516))-AsAt)/365.25)/2+O516*('Deal maths'!AA516-AsAt)/365.25)/I516,IF(C516="Annuity",IF(F516&gt;0,((K516-L516*F516)*((IF(DAY(E516+1)=1,EOMONTH(E516,H516*D516),EDATE(E516,H516*D516))-AsAt)/365.25*((1+F516)^(I516-O516)-1)/F516+IF((I516-O516)&gt;1,((IF(DAY(E516+1)=1,EOMONTH(E516,(N516-1)*D516),EDATE(E516,(N516-1)*D516))-AsAt)/365.25-(IF(DAY(E516+1)=1,EOMONTH(E516,H516*D516),EDATE(E516,H516*D516))-AsAt)/365.25)/((I516-O516)-1),0)*(1+F516)*(1-(I516-O516)*(1+F516)^((I516-O516)-1)+((I516-O516)-1)*(1+F516)^(I516-O516))/F516^2)+O516*(K516-L516*F516)*(1+F516)^(I516-1)*('Deal maths'!AA516-AsAt)/365.25)/L516,((I516-O516)*((IF(DAY(E516+1)=1,EOMONTH(E516,H516*D516),EDATE(E516,H516*D516))-AsAt)/365.25+(IF(DAY(E516+1)=1,EOMONTH(E516,(N516-1)*D516),EDATE(E516,(N516-1)*D516))-AsAt)/365.25)/2+O516*('Deal maths'!AA516-AsAt)/365.25)/I516),(S516-AsAt)/365.25)),0))</f>
        <v/>
      </c>
      <c r="Q516" s="109">
        <f>IF(B516=1,'Deal maths'!AA516+ROW()/1000000,"")</f>
        <v/>
      </c>
      <c r="R516" s="108">
        <f>IF(D516=0,0,IF(DAY(E516+1)=1,31,DAY(E516)))</f>
        <v/>
      </c>
      <c r="S516" s="109">
        <f>IF(AND('Deal maths'!V516="LOBO",'Deal maths'!AG516&gt;AsAt,'Deal maths'!AG516&lt;'Deal maths'!AA516),'Deal maths'!AG516,'Deal maths'!AA516)</f>
        <v/>
      </c>
      <c r="T516" s="108">
        <f>('Deal maths'!AA516&gt;AsAt)*('Deal maths'!Y516&gt;0)</f>
        <v/>
      </c>
    </row>
    <row r="517">
      <c r="A517" s="91">
        <f>IF('Deal maths'!V517="","",'Deal maths'!W517)</f>
        <v/>
      </c>
      <c r="B517" s="108">
        <f>('Deal maths'!AA517&gt;AsAt)*('Deal maths'!Y517&gt;0)*('Deal maths'!Z517&lt;=AsAt)</f>
        <v/>
      </c>
      <c r="C517" s="91">
        <f>IF('Deal maths'!V517="","",IF('Deal maths'!AC517="","Maturity",'Deal maths'!AC517))</f>
        <v/>
      </c>
      <c r="D517" s="108">
        <f>IF(OR(C517="EIP",C517="Annuity"),IF('Deal maths'!AD517="Annual",12,IF('Deal maths'!AD517="Quarterly",3,6)),0)</f>
        <v/>
      </c>
      <c r="E517" s="109">
        <f>IFERROR(IF(D517=0,0,IF('Deal maths'!AE517&gt;0,IF('Deal maths'!AE517&gt;'Deal maths'!AA517,'Deal maths'!AA517,'Deal maths'!AE517),IF(IF(DAY('Deal maths'!AA517+1)=1,EOMONTH('Deal maths'!AA517,-(INT(((YEAR('Deal maths'!AA517)-YEAR(IF('Deal maths'!Z517&gt;0,'Deal maths'!Z517,DATE(1990,1,1))))*12+MONTH('Deal maths'!AA517)-MONTH(IF('Deal maths'!Z517&gt;0,'Deal maths'!Z517,DATE(1990,1,1))))/D517))*D517),EDATE('Deal maths'!AA517,-(INT(((YEAR('Deal maths'!AA517)-YEAR(IF('Deal maths'!Z517&gt;0,'Deal maths'!Z517,DATE(1990,1,1))))*12+MONTH('Deal maths'!AA517)-MONTH(IF('Deal maths'!Z517&gt;0,'Deal maths'!Z517,DATE(1990,1,1))))/D517))*D517))&gt;IF('Deal maths'!Z517&gt;0,'Deal maths'!Z517,DATE(1990,1,1)),IF(DAY('Deal maths'!AA517+1)=1,EOMONTH('Deal maths'!AA517,-(INT(((YEAR('Deal maths'!AA517)-YEAR(IF('Deal maths'!Z517&gt;0,'Deal maths'!Z517,DATE(1990,1,1))))*12+MONTH('Deal maths'!AA517)-MONTH(IF('Deal maths'!Z517&gt;0,'Deal maths'!Z517,DATE(1990,1,1))))/D517))*D517),EDATE('Deal maths'!AA517,-(INT(((YEAR('Deal maths'!AA517)-YEAR(IF('Deal maths'!Z517&gt;0,'Deal maths'!Z517,DATE(1990,1,1))))*12+MONTH('Deal maths'!AA517)-MONTH(IF('Deal maths'!Z517&gt;0,'Deal maths'!Z517,DATE(1990,1,1))))/D517))*D517)),IF(DAY('Deal maths'!AA517+1)=1,EOMONTH('Deal maths'!AA517,-(INT(((YEAR('Deal maths'!AA517)-YEAR(IF('Deal maths'!Z517&gt;0,'Deal maths'!Z517,DATE(1990,1,1))))*12+MONTH('Deal maths'!AA517)-MONTH(IF('Deal maths'!Z517&gt;0,'Deal maths'!Z517,DATE(1990,1,1))))/D517)-1)*D517),EDATE('Deal maths'!AA517,-(INT(((YEAR('Deal maths'!AA517)-YEAR(IF('Deal maths'!Z517&gt;0,'Deal maths'!Z517,DATE(1990,1,1))))*12+MONTH('Deal maths'!AA517)-MONTH(IF('Deal maths'!Z517&gt;0,'Deal maths'!Z517,DATE(1990,1,1))))/D517)-1)*D517))))),0)</f>
        <v/>
      </c>
      <c r="F517" s="110">
        <f>IF(D517=0,0,'Deal maths'!AB517*D517/12)</f>
        <v/>
      </c>
      <c r="G517" s="108">
        <f>N517+O517</f>
        <v/>
      </c>
      <c r="H517" s="108">
        <f>IFERROR(IF(OR(D517=0,AsAt&lt;E517),0,MIN(N517,INT(((YEAR(AsAt)-YEAR(E517))*12+MONTH(AsAt)-MONTH(E517)-(DAY(AsAt)&lt;MIN(R517,DAY(EOMONTH(AsAt,0)))))/D517)+1)+O517*(AsAt&gt;='Deal maths'!AA517)),0)</f>
        <v/>
      </c>
      <c r="I517" s="108">
        <f>G517-H517</f>
        <v/>
      </c>
      <c r="J517" s="111">
        <f>IF(AND(C517="EIP",I517&gt;0),'Deal maths'!Y517/I517,0)</f>
        <v/>
      </c>
      <c r="K517" s="111">
        <f>IF(AND(C517="Annuity",I517&gt;0),IF(F517&gt;0,'Deal maths'!Y517*F517/(1-(1+F517)^-I517),'Deal maths'!Y517/I517),0)</f>
        <v/>
      </c>
      <c r="L517" s="111">
        <f>IF('Deal maths'!Y517="",0,'Deal maths'!Y517)</f>
        <v/>
      </c>
      <c r="M517" s="112">
        <f>F517+(F517=0)</f>
        <v/>
      </c>
      <c r="N517" s="108">
        <f>IFERROR(IF(D517=0,0,INT(((YEAR('Deal maths'!AA517)-YEAR(E517))*12+MONTH('Deal maths'!AA517)-MONTH(E517)-(DAY('Deal maths'!AA517)&lt;MIN(R517,DAY(EOMONTH('Deal maths'!AA517,0)))))/D517)+1),0)</f>
        <v/>
      </c>
      <c r="O517" s="108">
        <f>IFERROR(IF(D517=0,0,IF(IF(DAY(E517+1)=1,EOMONTH(E517,(N517-1)*D517),EDATE(E517,(N517-1)*D517))='Deal maths'!AA517,0,1)),0)</f>
        <v/>
      </c>
      <c r="P517" s="113">
        <f>IF(B517=0,0,IFERROR(IF(C517="EIP",((I517-O517)*((IF(DAY(E517+1)=1,EOMONTH(E517,H517*D517),EDATE(E517,H517*D517))-AsAt)/365.25+(IF(DAY(E517+1)=1,EOMONTH(E517,(N517-1)*D517),EDATE(E517,(N517-1)*D517))-AsAt)/365.25)/2+O517*('Deal maths'!AA517-AsAt)/365.25)/I517,IF(C517="Annuity",IF(F517&gt;0,((K517-L517*F517)*((IF(DAY(E517+1)=1,EOMONTH(E517,H517*D517),EDATE(E517,H517*D517))-AsAt)/365.25*((1+F517)^(I517-O517)-1)/F517+IF((I517-O517)&gt;1,((IF(DAY(E517+1)=1,EOMONTH(E517,(N517-1)*D517),EDATE(E517,(N517-1)*D517))-AsAt)/365.25-(IF(DAY(E517+1)=1,EOMONTH(E517,H517*D517),EDATE(E517,H517*D517))-AsAt)/365.25)/((I517-O517)-1),0)*(1+F517)*(1-(I517-O517)*(1+F517)^((I517-O517)-1)+((I517-O517)-1)*(1+F517)^(I517-O517))/F517^2)+O517*(K517-L517*F517)*(1+F517)^(I517-1)*('Deal maths'!AA517-AsAt)/365.25)/L517,((I517-O517)*((IF(DAY(E517+1)=1,EOMONTH(E517,H517*D517),EDATE(E517,H517*D517))-AsAt)/365.25+(IF(DAY(E517+1)=1,EOMONTH(E517,(N517-1)*D517),EDATE(E517,(N517-1)*D517))-AsAt)/365.25)/2+O517*('Deal maths'!AA517-AsAt)/365.25)/I517),(S517-AsAt)/365.25)),0))</f>
        <v/>
      </c>
      <c r="Q517" s="109">
        <f>IF(B517=1,'Deal maths'!AA517+ROW()/1000000,"")</f>
        <v/>
      </c>
      <c r="R517" s="108">
        <f>IF(D517=0,0,IF(DAY(E517+1)=1,31,DAY(E517)))</f>
        <v/>
      </c>
      <c r="S517" s="109">
        <f>IF(AND('Deal maths'!V517="LOBO",'Deal maths'!AG517&gt;AsAt,'Deal maths'!AG517&lt;'Deal maths'!AA517),'Deal maths'!AG517,'Deal maths'!AA517)</f>
        <v/>
      </c>
      <c r="T517" s="108">
        <f>('Deal maths'!AA517&gt;AsAt)*('Deal maths'!Y517&gt;0)</f>
        <v/>
      </c>
    </row>
    <row r="518">
      <c r="A518" s="91">
        <f>IF('Deal maths'!V518="","",'Deal maths'!W518)</f>
        <v/>
      </c>
      <c r="B518" s="108">
        <f>('Deal maths'!AA518&gt;AsAt)*('Deal maths'!Y518&gt;0)*('Deal maths'!Z518&lt;=AsAt)</f>
        <v/>
      </c>
      <c r="C518" s="91">
        <f>IF('Deal maths'!V518="","",IF('Deal maths'!AC518="","Maturity",'Deal maths'!AC518))</f>
        <v/>
      </c>
      <c r="D518" s="108">
        <f>IF(OR(C518="EIP",C518="Annuity"),IF('Deal maths'!AD518="Annual",12,IF('Deal maths'!AD518="Quarterly",3,6)),0)</f>
        <v/>
      </c>
      <c r="E518" s="109">
        <f>IFERROR(IF(D518=0,0,IF('Deal maths'!AE518&gt;0,IF('Deal maths'!AE518&gt;'Deal maths'!AA518,'Deal maths'!AA518,'Deal maths'!AE518),IF(IF(DAY('Deal maths'!AA518+1)=1,EOMONTH('Deal maths'!AA518,-(INT(((YEAR('Deal maths'!AA518)-YEAR(IF('Deal maths'!Z518&gt;0,'Deal maths'!Z518,DATE(1990,1,1))))*12+MONTH('Deal maths'!AA518)-MONTH(IF('Deal maths'!Z518&gt;0,'Deal maths'!Z518,DATE(1990,1,1))))/D518))*D518),EDATE('Deal maths'!AA518,-(INT(((YEAR('Deal maths'!AA518)-YEAR(IF('Deal maths'!Z518&gt;0,'Deal maths'!Z518,DATE(1990,1,1))))*12+MONTH('Deal maths'!AA518)-MONTH(IF('Deal maths'!Z518&gt;0,'Deal maths'!Z518,DATE(1990,1,1))))/D518))*D518))&gt;IF('Deal maths'!Z518&gt;0,'Deal maths'!Z518,DATE(1990,1,1)),IF(DAY('Deal maths'!AA518+1)=1,EOMONTH('Deal maths'!AA518,-(INT(((YEAR('Deal maths'!AA518)-YEAR(IF('Deal maths'!Z518&gt;0,'Deal maths'!Z518,DATE(1990,1,1))))*12+MONTH('Deal maths'!AA518)-MONTH(IF('Deal maths'!Z518&gt;0,'Deal maths'!Z518,DATE(1990,1,1))))/D518))*D518),EDATE('Deal maths'!AA518,-(INT(((YEAR('Deal maths'!AA518)-YEAR(IF('Deal maths'!Z518&gt;0,'Deal maths'!Z518,DATE(1990,1,1))))*12+MONTH('Deal maths'!AA518)-MONTH(IF('Deal maths'!Z518&gt;0,'Deal maths'!Z518,DATE(1990,1,1))))/D518))*D518)),IF(DAY('Deal maths'!AA518+1)=1,EOMONTH('Deal maths'!AA518,-(INT(((YEAR('Deal maths'!AA518)-YEAR(IF('Deal maths'!Z518&gt;0,'Deal maths'!Z518,DATE(1990,1,1))))*12+MONTH('Deal maths'!AA518)-MONTH(IF('Deal maths'!Z518&gt;0,'Deal maths'!Z518,DATE(1990,1,1))))/D518)-1)*D518),EDATE('Deal maths'!AA518,-(INT(((YEAR('Deal maths'!AA518)-YEAR(IF('Deal maths'!Z518&gt;0,'Deal maths'!Z518,DATE(1990,1,1))))*12+MONTH('Deal maths'!AA518)-MONTH(IF('Deal maths'!Z518&gt;0,'Deal maths'!Z518,DATE(1990,1,1))))/D518)-1)*D518))))),0)</f>
        <v/>
      </c>
      <c r="F518" s="110">
        <f>IF(D518=0,0,'Deal maths'!AB518*D518/12)</f>
        <v/>
      </c>
      <c r="G518" s="108">
        <f>N518+O518</f>
        <v/>
      </c>
      <c r="H518" s="108">
        <f>IFERROR(IF(OR(D518=0,AsAt&lt;E518),0,MIN(N518,INT(((YEAR(AsAt)-YEAR(E518))*12+MONTH(AsAt)-MONTH(E518)-(DAY(AsAt)&lt;MIN(R518,DAY(EOMONTH(AsAt,0)))))/D518)+1)+O518*(AsAt&gt;='Deal maths'!AA518)),0)</f>
        <v/>
      </c>
      <c r="I518" s="108">
        <f>G518-H518</f>
        <v/>
      </c>
      <c r="J518" s="111">
        <f>IF(AND(C518="EIP",I518&gt;0),'Deal maths'!Y518/I518,0)</f>
        <v/>
      </c>
      <c r="K518" s="111">
        <f>IF(AND(C518="Annuity",I518&gt;0),IF(F518&gt;0,'Deal maths'!Y518*F518/(1-(1+F518)^-I518),'Deal maths'!Y518/I518),0)</f>
        <v/>
      </c>
      <c r="L518" s="111">
        <f>IF('Deal maths'!Y518="",0,'Deal maths'!Y518)</f>
        <v/>
      </c>
      <c r="M518" s="112">
        <f>F518+(F518=0)</f>
        <v/>
      </c>
      <c r="N518" s="108">
        <f>IFERROR(IF(D518=0,0,INT(((YEAR('Deal maths'!AA518)-YEAR(E518))*12+MONTH('Deal maths'!AA518)-MONTH(E518)-(DAY('Deal maths'!AA518)&lt;MIN(R518,DAY(EOMONTH('Deal maths'!AA518,0)))))/D518)+1),0)</f>
        <v/>
      </c>
      <c r="O518" s="108">
        <f>IFERROR(IF(D518=0,0,IF(IF(DAY(E518+1)=1,EOMONTH(E518,(N518-1)*D518),EDATE(E518,(N518-1)*D518))='Deal maths'!AA518,0,1)),0)</f>
        <v/>
      </c>
      <c r="P518" s="113">
        <f>IF(B518=0,0,IFERROR(IF(C518="EIP",((I518-O518)*((IF(DAY(E518+1)=1,EOMONTH(E518,H518*D518),EDATE(E518,H518*D518))-AsAt)/365.25+(IF(DAY(E518+1)=1,EOMONTH(E518,(N518-1)*D518),EDATE(E518,(N518-1)*D518))-AsAt)/365.25)/2+O518*('Deal maths'!AA518-AsAt)/365.25)/I518,IF(C518="Annuity",IF(F518&gt;0,((K518-L518*F518)*((IF(DAY(E518+1)=1,EOMONTH(E518,H518*D518),EDATE(E518,H518*D518))-AsAt)/365.25*((1+F518)^(I518-O518)-1)/F518+IF((I518-O518)&gt;1,((IF(DAY(E518+1)=1,EOMONTH(E518,(N518-1)*D518),EDATE(E518,(N518-1)*D518))-AsAt)/365.25-(IF(DAY(E518+1)=1,EOMONTH(E518,H518*D518),EDATE(E518,H518*D518))-AsAt)/365.25)/((I518-O518)-1),0)*(1+F518)*(1-(I518-O518)*(1+F518)^((I518-O518)-1)+((I518-O518)-1)*(1+F518)^(I518-O518))/F518^2)+O518*(K518-L518*F518)*(1+F518)^(I518-1)*('Deal maths'!AA518-AsAt)/365.25)/L518,((I518-O518)*((IF(DAY(E518+1)=1,EOMONTH(E518,H518*D518),EDATE(E518,H518*D518))-AsAt)/365.25+(IF(DAY(E518+1)=1,EOMONTH(E518,(N518-1)*D518),EDATE(E518,(N518-1)*D518))-AsAt)/365.25)/2+O518*('Deal maths'!AA518-AsAt)/365.25)/I518),(S518-AsAt)/365.25)),0))</f>
        <v/>
      </c>
      <c r="Q518" s="109">
        <f>IF(B518=1,'Deal maths'!AA518+ROW()/1000000,"")</f>
        <v/>
      </c>
      <c r="R518" s="108">
        <f>IF(D518=0,0,IF(DAY(E518+1)=1,31,DAY(E518)))</f>
        <v/>
      </c>
      <c r="S518" s="109">
        <f>IF(AND('Deal maths'!V518="LOBO",'Deal maths'!AG518&gt;AsAt,'Deal maths'!AG518&lt;'Deal maths'!AA518),'Deal maths'!AG518,'Deal maths'!AA518)</f>
        <v/>
      </c>
      <c r="T518" s="108">
        <f>('Deal maths'!AA518&gt;AsAt)*('Deal maths'!Y518&gt;0)</f>
        <v/>
      </c>
    </row>
    <row r="519">
      <c r="A519" s="91">
        <f>IF('Deal maths'!V519="","",'Deal maths'!W519)</f>
        <v/>
      </c>
      <c r="B519" s="108">
        <f>('Deal maths'!AA519&gt;AsAt)*('Deal maths'!Y519&gt;0)*('Deal maths'!Z519&lt;=AsAt)</f>
        <v/>
      </c>
      <c r="C519" s="91">
        <f>IF('Deal maths'!V519="","",IF('Deal maths'!AC519="","Maturity",'Deal maths'!AC519))</f>
        <v/>
      </c>
      <c r="D519" s="108">
        <f>IF(OR(C519="EIP",C519="Annuity"),IF('Deal maths'!AD519="Annual",12,IF('Deal maths'!AD519="Quarterly",3,6)),0)</f>
        <v/>
      </c>
      <c r="E519" s="109">
        <f>IFERROR(IF(D519=0,0,IF('Deal maths'!AE519&gt;0,IF('Deal maths'!AE519&gt;'Deal maths'!AA519,'Deal maths'!AA519,'Deal maths'!AE519),IF(IF(DAY('Deal maths'!AA519+1)=1,EOMONTH('Deal maths'!AA519,-(INT(((YEAR('Deal maths'!AA519)-YEAR(IF('Deal maths'!Z519&gt;0,'Deal maths'!Z519,DATE(1990,1,1))))*12+MONTH('Deal maths'!AA519)-MONTH(IF('Deal maths'!Z519&gt;0,'Deal maths'!Z519,DATE(1990,1,1))))/D519))*D519),EDATE('Deal maths'!AA519,-(INT(((YEAR('Deal maths'!AA519)-YEAR(IF('Deal maths'!Z519&gt;0,'Deal maths'!Z519,DATE(1990,1,1))))*12+MONTH('Deal maths'!AA519)-MONTH(IF('Deal maths'!Z519&gt;0,'Deal maths'!Z519,DATE(1990,1,1))))/D519))*D519))&gt;IF('Deal maths'!Z519&gt;0,'Deal maths'!Z519,DATE(1990,1,1)),IF(DAY('Deal maths'!AA519+1)=1,EOMONTH('Deal maths'!AA519,-(INT(((YEAR('Deal maths'!AA519)-YEAR(IF('Deal maths'!Z519&gt;0,'Deal maths'!Z519,DATE(1990,1,1))))*12+MONTH('Deal maths'!AA519)-MONTH(IF('Deal maths'!Z519&gt;0,'Deal maths'!Z519,DATE(1990,1,1))))/D519))*D519),EDATE('Deal maths'!AA519,-(INT(((YEAR('Deal maths'!AA519)-YEAR(IF('Deal maths'!Z519&gt;0,'Deal maths'!Z519,DATE(1990,1,1))))*12+MONTH('Deal maths'!AA519)-MONTH(IF('Deal maths'!Z519&gt;0,'Deal maths'!Z519,DATE(1990,1,1))))/D519))*D519)),IF(DAY('Deal maths'!AA519+1)=1,EOMONTH('Deal maths'!AA519,-(INT(((YEAR('Deal maths'!AA519)-YEAR(IF('Deal maths'!Z519&gt;0,'Deal maths'!Z519,DATE(1990,1,1))))*12+MONTH('Deal maths'!AA519)-MONTH(IF('Deal maths'!Z519&gt;0,'Deal maths'!Z519,DATE(1990,1,1))))/D519)-1)*D519),EDATE('Deal maths'!AA519,-(INT(((YEAR('Deal maths'!AA519)-YEAR(IF('Deal maths'!Z519&gt;0,'Deal maths'!Z519,DATE(1990,1,1))))*12+MONTH('Deal maths'!AA519)-MONTH(IF('Deal maths'!Z519&gt;0,'Deal maths'!Z519,DATE(1990,1,1))))/D519)-1)*D519))))),0)</f>
        <v/>
      </c>
      <c r="F519" s="110">
        <f>IF(D519=0,0,'Deal maths'!AB519*D519/12)</f>
        <v/>
      </c>
      <c r="G519" s="108">
        <f>N519+O519</f>
        <v/>
      </c>
      <c r="H519" s="108">
        <f>IFERROR(IF(OR(D519=0,AsAt&lt;E519),0,MIN(N519,INT(((YEAR(AsAt)-YEAR(E519))*12+MONTH(AsAt)-MONTH(E519)-(DAY(AsAt)&lt;MIN(R519,DAY(EOMONTH(AsAt,0)))))/D519)+1)+O519*(AsAt&gt;='Deal maths'!AA519)),0)</f>
        <v/>
      </c>
      <c r="I519" s="108">
        <f>G519-H519</f>
        <v/>
      </c>
      <c r="J519" s="111">
        <f>IF(AND(C519="EIP",I519&gt;0),'Deal maths'!Y519/I519,0)</f>
        <v/>
      </c>
      <c r="K519" s="111">
        <f>IF(AND(C519="Annuity",I519&gt;0),IF(F519&gt;0,'Deal maths'!Y519*F519/(1-(1+F519)^-I519),'Deal maths'!Y519/I519),0)</f>
        <v/>
      </c>
      <c r="L519" s="111">
        <f>IF('Deal maths'!Y519="",0,'Deal maths'!Y519)</f>
        <v/>
      </c>
      <c r="M519" s="112">
        <f>F519+(F519=0)</f>
        <v/>
      </c>
      <c r="N519" s="108">
        <f>IFERROR(IF(D519=0,0,INT(((YEAR('Deal maths'!AA519)-YEAR(E519))*12+MONTH('Deal maths'!AA519)-MONTH(E519)-(DAY('Deal maths'!AA519)&lt;MIN(R519,DAY(EOMONTH('Deal maths'!AA519,0)))))/D519)+1),0)</f>
        <v/>
      </c>
      <c r="O519" s="108">
        <f>IFERROR(IF(D519=0,0,IF(IF(DAY(E519+1)=1,EOMONTH(E519,(N519-1)*D519),EDATE(E519,(N519-1)*D519))='Deal maths'!AA519,0,1)),0)</f>
        <v/>
      </c>
      <c r="P519" s="113">
        <f>IF(B519=0,0,IFERROR(IF(C519="EIP",((I519-O519)*((IF(DAY(E519+1)=1,EOMONTH(E519,H519*D519),EDATE(E519,H519*D519))-AsAt)/365.25+(IF(DAY(E519+1)=1,EOMONTH(E519,(N519-1)*D519),EDATE(E519,(N519-1)*D519))-AsAt)/365.25)/2+O519*('Deal maths'!AA519-AsAt)/365.25)/I519,IF(C519="Annuity",IF(F519&gt;0,((K519-L519*F519)*((IF(DAY(E519+1)=1,EOMONTH(E519,H519*D519),EDATE(E519,H519*D519))-AsAt)/365.25*((1+F519)^(I519-O519)-1)/F519+IF((I519-O519)&gt;1,((IF(DAY(E519+1)=1,EOMONTH(E519,(N519-1)*D519),EDATE(E519,(N519-1)*D519))-AsAt)/365.25-(IF(DAY(E519+1)=1,EOMONTH(E519,H519*D519),EDATE(E519,H519*D519))-AsAt)/365.25)/((I519-O519)-1),0)*(1+F519)*(1-(I519-O519)*(1+F519)^((I519-O519)-1)+((I519-O519)-1)*(1+F519)^(I519-O519))/F519^2)+O519*(K519-L519*F519)*(1+F519)^(I519-1)*('Deal maths'!AA519-AsAt)/365.25)/L519,((I519-O519)*((IF(DAY(E519+1)=1,EOMONTH(E519,H519*D519),EDATE(E519,H519*D519))-AsAt)/365.25+(IF(DAY(E519+1)=1,EOMONTH(E519,(N519-1)*D519),EDATE(E519,(N519-1)*D519))-AsAt)/365.25)/2+O519*('Deal maths'!AA519-AsAt)/365.25)/I519),(S519-AsAt)/365.25)),0))</f>
        <v/>
      </c>
      <c r="Q519" s="109">
        <f>IF(B519=1,'Deal maths'!AA519+ROW()/1000000,"")</f>
        <v/>
      </c>
      <c r="R519" s="108">
        <f>IF(D519=0,0,IF(DAY(E519+1)=1,31,DAY(E519)))</f>
        <v/>
      </c>
      <c r="S519" s="109">
        <f>IF(AND('Deal maths'!V519="LOBO",'Deal maths'!AG519&gt;AsAt,'Deal maths'!AG519&lt;'Deal maths'!AA519),'Deal maths'!AG519,'Deal maths'!AA519)</f>
        <v/>
      </c>
      <c r="T519" s="108">
        <f>('Deal maths'!AA519&gt;AsAt)*('Deal maths'!Y519&gt;0)</f>
        <v/>
      </c>
    </row>
    <row r="520">
      <c r="A520" s="91">
        <f>IF('Deal maths'!V520="","",'Deal maths'!W520)</f>
        <v/>
      </c>
      <c r="B520" s="108">
        <f>('Deal maths'!AA520&gt;AsAt)*('Deal maths'!Y520&gt;0)*('Deal maths'!Z520&lt;=AsAt)</f>
        <v/>
      </c>
      <c r="C520" s="91">
        <f>IF('Deal maths'!V520="","",IF('Deal maths'!AC520="","Maturity",'Deal maths'!AC520))</f>
        <v/>
      </c>
      <c r="D520" s="108">
        <f>IF(OR(C520="EIP",C520="Annuity"),IF('Deal maths'!AD520="Annual",12,IF('Deal maths'!AD520="Quarterly",3,6)),0)</f>
        <v/>
      </c>
      <c r="E520" s="109">
        <f>IFERROR(IF(D520=0,0,IF('Deal maths'!AE520&gt;0,IF('Deal maths'!AE520&gt;'Deal maths'!AA520,'Deal maths'!AA520,'Deal maths'!AE520),IF(IF(DAY('Deal maths'!AA520+1)=1,EOMONTH('Deal maths'!AA520,-(INT(((YEAR('Deal maths'!AA520)-YEAR(IF('Deal maths'!Z520&gt;0,'Deal maths'!Z520,DATE(1990,1,1))))*12+MONTH('Deal maths'!AA520)-MONTH(IF('Deal maths'!Z520&gt;0,'Deal maths'!Z520,DATE(1990,1,1))))/D520))*D520),EDATE('Deal maths'!AA520,-(INT(((YEAR('Deal maths'!AA520)-YEAR(IF('Deal maths'!Z520&gt;0,'Deal maths'!Z520,DATE(1990,1,1))))*12+MONTH('Deal maths'!AA520)-MONTH(IF('Deal maths'!Z520&gt;0,'Deal maths'!Z520,DATE(1990,1,1))))/D520))*D520))&gt;IF('Deal maths'!Z520&gt;0,'Deal maths'!Z520,DATE(1990,1,1)),IF(DAY('Deal maths'!AA520+1)=1,EOMONTH('Deal maths'!AA520,-(INT(((YEAR('Deal maths'!AA520)-YEAR(IF('Deal maths'!Z520&gt;0,'Deal maths'!Z520,DATE(1990,1,1))))*12+MONTH('Deal maths'!AA520)-MONTH(IF('Deal maths'!Z520&gt;0,'Deal maths'!Z520,DATE(1990,1,1))))/D520))*D520),EDATE('Deal maths'!AA520,-(INT(((YEAR('Deal maths'!AA520)-YEAR(IF('Deal maths'!Z520&gt;0,'Deal maths'!Z520,DATE(1990,1,1))))*12+MONTH('Deal maths'!AA520)-MONTH(IF('Deal maths'!Z520&gt;0,'Deal maths'!Z520,DATE(1990,1,1))))/D520))*D520)),IF(DAY('Deal maths'!AA520+1)=1,EOMONTH('Deal maths'!AA520,-(INT(((YEAR('Deal maths'!AA520)-YEAR(IF('Deal maths'!Z520&gt;0,'Deal maths'!Z520,DATE(1990,1,1))))*12+MONTH('Deal maths'!AA520)-MONTH(IF('Deal maths'!Z520&gt;0,'Deal maths'!Z520,DATE(1990,1,1))))/D520)-1)*D520),EDATE('Deal maths'!AA520,-(INT(((YEAR('Deal maths'!AA520)-YEAR(IF('Deal maths'!Z520&gt;0,'Deal maths'!Z520,DATE(1990,1,1))))*12+MONTH('Deal maths'!AA520)-MONTH(IF('Deal maths'!Z520&gt;0,'Deal maths'!Z520,DATE(1990,1,1))))/D520)-1)*D520))))),0)</f>
        <v/>
      </c>
      <c r="F520" s="110">
        <f>IF(D520=0,0,'Deal maths'!AB520*D520/12)</f>
        <v/>
      </c>
      <c r="G520" s="108">
        <f>N520+O520</f>
        <v/>
      </c>
      <c r="H520" s="108">
        <f>IFERROR(IF(OR(D520=0,AsAt&lt;E520),0,MIN(N520,INT(((YEAR(AsAt)-YEAR(E520))*12+MONTH(AsAt)-MONTH(E520)-(DAY(AsAt)&lt;MIN(R520,DAY(EOMONTH(AsAt,0)))))/D520)+1)+O520*(AsAt&gt;='Deal maths'!AA520)),0)</f>
        <v/>
      </c>
      <c r="I520" s="108">
        <f>G520-H520</f>
        <v/>
      </c>
      <c r="J520" s="111">
        <f>IF(AND(C520="EIP",I520&gt;0),'Deal maths'!Y520/I520,0)</f>
        <v/>
      </c>
      <c r="K520" s="111">
        <f>IF(AND(C520="Annuity",I520&gt;0),IF(F520&gt;0,'Deal maths'!Y520*F520/(1-(1+F520)^-I520),'Deal maths'!Y520/I520),0)</f>
        <v/>
      </c>
      <c r="L520" s="111">
        <f>IF('Deal maths'!Y520="",0,'Deal maths'!Y520)</f>
        <v/>
      </c>
      <c r="M520" s="112">
        <f>F520+(F520=0)</f>
        <v/>
      </c>
      <c r="N520" s="108">
        <f>IFERROR(IF(D520=0,0,INT(((YEAR('Deal maths'!AA520)-YEAR(E520))*12+MONTH('Deal maths'!AA520)-MONTH(E520)-(DAY('Deal maths'!AA520)&lt;MIN(R520,DAY(EOMONTH('Deal maths'!AA520,0)))))/D520)+1),0)</f>
        <v/>
      </c>
      <c r="O520" s="108">
        <f>IFERROR(IF(D520=0,0,IF(IF(DAY(E520+1)=1,EOMONTH(E520,(N520-1)*D520),EDATE(E520,(N520-1)*D520))='Deal maths'!AA520,0,1)),0)</f>
        <v/>
      </c>
      <c r="P520" s="113">
        <f>IF(B520=0,0,IFERROR(IF(C520="EIP",((I520-O520)*((IF(DAY(E520+1)=1,EOMONTH(E520,H520*D520),EDATE(E520,H520*D520))-AsAt)/365.25+(IF(DAY(E520+1)=1,EOMONTH(E520,(N520-1)*D520),EDATE(E520,(N520-1)*D520))-AsAt)/365.25)/2+O520*('Deal maths'!AA520-AsAt)/365.25)/I520,IF(C520="Annuity",IF(F520&gt;0,((K520-L520*F520)*((IF(DAY(E520+1)=1,EOMONTH(E520,H520*D520),EDATE(E520,H520*D520))-AsAt)/365.25*((1+F520)^(I520-O520)-1)/F520+IF((I520-O520)&gt;1,((IF(DAY(E520+1)=1,EOMONTH(E520,(N520-1)*D520),EDATE(E520,(N520-1)*D520))-AsAt)/365.25-(IF(DAY(E520+1)=1,EOMONTH(E520,H520*D520),EDATE(E520,H520*D520))-AsAt)/365.25)/((I520-O520)-1),0)*(1+F520)*(1-(I520-O520)*(1+F520)^((I520-O520)-1)+((I520-O520)-1)*(1+F520)^(I520-O520))/F520^2)+O520*(K520-L520*F520)*(1+F520)^(I520-1)*('Deal maths'!AA520-AsAt)/365.25)/L520,((I520-O520)*((IF(DAY(E520+1)=1,EOMONTH(E520,H520*D520),EDATE(E520,H520*D520))-AsAt)/365.25+(IF(DAY(E520+1)=1,EOMONTH(E520,(N520-1)*D520),EDATE(E520,(N520-1)*D520))-AsAt)/365.25)/2+O520*('Deal maths'!AA520-AsAt)/365.25)/I520),(S520-AsAt)/365.25)),0))</f>
        <v/>
      </c>
      <c r="Q520" s="109">
        <f>IF(B520=1,'Deal maths'!AA520+ROW()/1000000,"")</f>
        <v/>
      </c>
      <c r="R520" s="108">
        <f>IF(D520=0,0,IF(DAY(E520+1)=1,31,DAY(E520)))</f>
        <v/>
      </c>
      <c r="S520" s="109">
        <f>IF(AND('Deal maths'!V520="LOBO",'Deal maths'!AG520&gt;AsAt,'Deal maths'!AG520&lt;'Deal maths'!AA520),'Deal maths'!AG520,'Deal maths'!AA520)</f>
        <v/>
      </c>
      <c r="T520" s="108">
        <f>('Deal maths'!AA520&gt;AsAt)*('Deal maths'!Y520&gt;0)</f>
        <v/>
      </c>
    </row>
    <row r="521">
      <c r="A521" s="91">
        <f>IF('Deal maths'!V521="","",'Deal maths'!W521)</f>
        <v/>
      </c>
      <c r="B521" s="108">
        <f>('Deal maths'!AA521&gt;AsAt)*('Deal maths'!Y521&gt;0)*('Deal maths'!Z521&lt;=AsAt)</f>
        <v/>
      </c>
      <c r="C521" s="91">
        <f>IF('Deal maths'!V521="","",IF('Deal maths'!AC521="","Maturity",'Deal maths'!AC521))</f>
        <v/>
      </c>
      <c r="D521" s="108">
        <f>IF(OR(C521="EIP",C521="Annuity"),IF('Deal maths'!AD521="Annual",12,IF('Deal maths'!AD521="Quarterly",3,6)),0)</f>
        <v/>
      </c>
      <c r="E521" s="109">
        <f>IFERROR(IF(D521=0,0,IF('Deal maths'!AE521&gt;0,IF('Deal maths'!AE521&gt;'Deal maths'!AA521,'Deal maths'!AA521,'Deal maths'!AE521),IF(IF(DAY('Deal maths'!AA521+1)=1,EOMONTH('Deal maths'!AA521,-(INT(((YEAR('Deal maths'!AA521)-YEAR(IF('Deal maths'!Z521&gt;0,'Deal maths'!Z521,DATE(1990,1,1))))*12+MONTH('Deal maths'!AA521)-MONTH(IF('Deal maths'!Z521&gt;0,'Deal maths'!Z521,DATE(1990,1,1))))/D521))*D521),EDATE('Deal maths'!AA521,-(INT(((YEAR('Deal maths'!AA521)-YEAR(IF('Deal maths'!Z521&gt;0,'Deal maths'!Z521,DATE(1990,1,1))))*12+MONTH('Deal maths'!AA521)-MONTH(IF('Deal maths'!Z521&gt;0,'Deal maths'!Z521,DATE(1990,1,1))))/D521))*D521))&gt;IF('Deal maths'!Z521&gt;0,'Deal maths'!Z521,DATE(1990,1,1)),IF(DAY('Deal maths'!AA521+1)=1,EOMONTH('Deal maths'!AA521,-(INT(((YEAR('Deal maths'!AA521)-YEAR(IF('Deal maths'!Z521&gt;0,'Deal maths'!Z521,DATE(1990,1,1))))*12+MONTH('Deal maths'!AA521)-MONTH(IF('Deal maths'!Z521&gt;0,'Deal maths'!Z521,DATE(1990,1,1))))/D521))*D521),EDATE('Deal maths'!AA521,-(INT(((YEAR('Deal maths'!AA521)-YEAR(IF('Deal maths'!Z521&gt;0,'Deal maths'!Z521,DATE(1990,1,1))))*12+MONTH('Deal maths'!AA521)-MONTH(IF('Deal maths'!Z521&gt;0,'Deal maths'!Z521,DATE(1990,1,1))))/D521))*D521)),IF(DAY('Deal maths'!AA521+1)=1,EOMONTH('Deal maths'!AA521,-(INT(((YEAR('Deal maths'!AA521)-YEAR(IF('Deal maths'!Z521&gt;0,'Deal maths'!Z521,DATE(1990,1,1))))*12+MONTH('Deal maths'!AA521)-MONTH(IF('Deal maths'!Z521&gt;0,'Deal maths'!Z521,DATE(1990,1,1))))/D521)-1)*D521),EDATE('Deal maths'!AA521,-(INT(((YEAR('Deal maths'!AA521)-YEAR(IF('Deal maths'!Z521&gt;0,'Deal maths'!Z521,DATE(1990,1,1))))*12+MONTH('Deal maths'!AA521)-MONTH(IF('Deal maths'!Z521&gt;0,'Deal maths'!Z521,DATE(1990,1,1))))/D521)-1)*D521))))),0)</f>
        <v/>
      </c>
      <c r="F521" s="110">
        <f>IF(D521=0,0,'Deal maths'!AB521*D521/12)</f>
        <v/>
      </c>
      <c r="G521" s="108">
        <f>N521+O521</f>
        <v/>
      </c>
      <c r="H521" s="108">
        <f>IFERROR(IF(OR(D521=0,AsAt&lt;E521),0,MIN(N521,INT(((YEAR(AsAt)-YEAR(E521))*12+MONTH(AsAt)-MONTH(E521)-(DAY(AsAt)&lt;MIN(R521,DAY(EOMONTH(AsAt,0)))))/D521)+1)+O521*(AsAt&gt;='Deal maths'!AA521)),0)</f>
        <v/>
      </c>
      <c r="I521" s="108">
        <f>G521-H521</f>
        <v/>
      </c>
      <c r="J521" s="111">
        <f>IF(AND(C521="EIP",I521&gt;0),'Deal maths'!Y521/I521,0)</f>
        <v/>
      </c>
      <c r="K521" s="111">
        <f>IF(AND(C521="Annuity",I521&gt;0),IF(F521&gt;0,'Deal maths'!Y521*F521/(1-(1+F521)^-I521),'Deal maths'!Y521/I521),0)</f>
        <v/>
      </c>
      <c r="L521" s="111">
        <f>IF('Deal maths'!Y521="",0,'Deal maths'!Y521)</f>
        <v/>
      </c>
      <c r="M521" s="112">
        <f>F521+(F521=0)</f>
        <v/>
      </c>
      <c r="N521" s="108">
        <f>IFERROR(IF(D521=0,0,INT(((YEAR('Deal maths'!AA521)-YEAR(E521))*12+MONTH('Deal maths'!AA521)-MONTH(E521)-(DAY('Deal maths'!AA521)&lt;MIN(R521,DAY(EOMONTH('Deal maths'!AA521,0)))))/D521)+1),0)</f>
        <v/>
      </c>
      <c r="O521" s="108">
        <f>IFERROR(IF(D521=0,0,IF(IF(DAY(E521+1)=1,EOMONTH(E521,(N521-1)*D521),EDATE(E521,(N521-1)*D521))='Deal maths'!AA521,0,1)),0)</f>
        <v/>
      </c>
      <c r="P521" s="113">
        <f>IF(B521=0,0,IFERROR(IF(C521="EIP",((I521-O521)*((IF(DAY(E521+1)=1,EOMONTH(E521,H521*D521),EDATE(E521,H521*D521))-AsAt)/365.25+(IF(DAY(E521+1)=1,EOMONTH(E521,(N521-1)*D521),EDATE(E521,(N521-1)*D521))-AsAt)/365.25)/2+O521*('Deal maths'!AA521-AsAt)/365.25)/I521,IF(C521="Annuity",IF(F521&gt;0,((K521-L521*F521)*((IF(DAY(E521+1)=1,EOMONTH(E521,H521*D521),EDATE(E521,H521*D521))-AsAt)/365.25*((1+F521)^(I521-O521)-1)/F521+IF((I521-O521)&gt;1,((IF(DAY(E521+1)=1,EOMONTH(E521,(N521-1)*D521),EDATE(E521,(N521-1)*D521))-AsAt)/365.25-(IF(DAY(E521+1)=1,EOMONTH(E521,H521*D521),EDATE(E521,H521*D521))-AsAt)/365.25)/((I521-O521)-1),0)*(1+F521)*(1-(I521-O521)*(1+F521)^((I521-O521)-1)+((I521-O521)-1)*(1+F521)^(I521-O521))/F521^2)+O521*(K521-L521*F521)*(1+F521)^(I521-1)*('Deal maths'!AA521-AsAt)/365.25)/L521,((I521-O521)*((IF(DAY(E521+1)=1,EOMONTH(E521,H521*D521),EDATE(E521,H521*D521))-AsAt)/365.25+(IF(DAY(E521+1)=1,EOMONTH(E521,(N521-1)*D521),EDATE(E521,(N521-1)*D521))-AsAt)/365.25)/2+O521*('Deal maths'!AA521-AsAt)/365.25)/I521),(S521-AsAt)/365.25)),0))</f>
        <v/>
      </c>
      <c r="Q521" s="109">
        <f>IF(B521=1,'Deal maths'!AA521+ROW()/1000000,"")</f>
        <v/>
      </c>
      <c r="R521" s="108">
        <f>IF(D521=0,0,IF(DAY(E521+1)=1,31,DAY(E521)))</f>
        <v/>
      </c>
      <c r="S521" s="109">
        <f>IF(AND('Deal maths'!V521="LOBO",'Deal maths'!AG521&gt;AsAt,'Deal maths'!AG521&lt;'Deal maths'!AA521),'Deal maths'!AG521,'Deal maths'!AA521)</f>
        <v/>
      </c>
      <c r="T521" s="108">
        <f>('Deal maths'!AA521&gt;AsAt)*('Deal maths'!Y521&gt;0)</f>
        <v/>
      </c>
    </row>
    <row r="522">
      <c r="A522" s="91">
        <f>IF('Deal maths'!V522="","",'Deal maths'!W522)</f>
        <v/>
      </c>
      <c r="B522" s="108">
        <f>('Deal maths'!AA522&gt;AsAt)*('Deal maths'!Y522&gt;0)*('Deal maths'!Z522&lt;=AsAt)</f>
        <v/>
      </c>
      <c r="C522" s="91">
        <f>IF('Deal maths'!V522="","",IF('Deal maths'!AC522="","Maturity",'Deal maths'!AC522))</f>
        <v/>
      </c>
      <c r="D522" s="108">
        <f>IF(OR(C522="EIP",C522="Annuity"),IF('Deal maths'!AD522="Annual",12,IF('Deal maths'!AD522="Quarterly",3,6)),0)</f>
        <v/>
      </c>
      <c r="E522" s="109">
        <f>IFERROR(IF(D522=0,0,IF('Deal maths'!AE522&gt;0,IF('Deal maths'!AE522&gt;'Deal maths'!AA522,'Deal maths'!AA522,'Deal maths'!AE522),IF(IF(DAY('Deal maths'!AA522+1)=1,EOMONTH('Deal maths'!AA522,-(INT(((YEAR('Deal maths'!AA522)-YEAR(IF('Deal maths'!Z522&gt;0,'Deal maths'!Z522,DATE(1990,1,1))))*12+MONTH('Deal maths'!AA522)-MONTH(IF('Deal maths'!Z522&gt;0,'Deal maths'!Z522,DATE(1990,1,1))))/D522))*D522),EDATE('Deal maths'!AA522,-(INT(((YEAR('Deal maths'!AA522)-YEAR(IF('Deal maths'!Z522&gt;0,'Deal maths'!Z522,DATE(1990,1,1))))*12+MONTH('Deal maths'!AA522)-MONTH(IF('Deal maths'!Z522&gt;0,'Deal maths'!Z522,DATE(1990,1,1))))/D522))*D522))&gt;IF('Deal maths'!Z522&gt;0,'Deal maths'!Z522,DATE(1990,1,1)),IF(DAY('Deal maths'!AA522+1)=1,EOMONTH('Deal maths'!AA522,-(INT(((YEAR('Deal maths'!AA522)-YEAR(IF('Deal maths'!Z522&gt;0,'Deal maths'!Z522,DATE(1990,1,1))))*12+MONTH('Deal maths'!AA522)-MONTH(IF('Deal maths'!Z522&gt;0,'Deal maths'!Z522,DATE(1990,1,1))))/D522))*D522),EDATE('Deal maths'!AA522,-(INT(((YEAR('Deal maths'!AA522)-YEAR(IF('Deal maths'!Z522&gt;0,'Deal maths'!Z522,DATE(1990,1,1))))*12+MONTH('Deal maths'!AA522)-MONTH(IF('Deal maths'!Z522&gt;0,'Deal maths'!Z522,DATE(1990,1,1))))/D522))*D522)),IF(DAY('Deal maths'!AA522+1)=1,EOMONTH('Deal maths'!AA522,-(INT(((YEAR('Deal maths'!AA522)-YEAR(IF('Deal maths'!Z522&gt;0,'Deal maths'!Z522,DATE(1990,1,1))))*12+MONTH('Deal maths'!AA522)-MONTH(IF('Deal maths'!Z522&gt;0,'Deal maths'!Z522,DATE(1990,1,1))))/D522)-1)*D522),EDATE('Deal maths'!AA522,-(INT(((YEAR('Deal maths'!AA522)-YEAR(IF('Deal maths'!Z522&gt;0,'Deal maths'!Z522,DATE(1990,1,1))))*12+MONTH('Deal maths'!AA522)-MONTH(IF('Deal maths'!Z522&gt;0,'Deal maths'!Z522,DATE(1990,1,1))))/D522)-1)*D522))))),0)</f>
        <v/>
      </c>
      <c r="F522" s="110">
        <f>IF(D522=0,0,'Deal maths'!AB522*D522/12)</f>
        <v/>
      </c>
      <c r="G522" s="108">
        <f>N522+O522</f>
        <v/>
      </c>
      <c r="H522" s="108">
        <f>IFERROR(IF(OR(D522=0,AsAt&lt;E522),0,MIN(N522,INT(((YEAR(AsAt)-YEAR(E522))*12+MONTH(AsAt)-MONTH(E522)-(DAY(AsAt)&lt;MIN(R522,DAY(EOMONTH(AsAt,0)))))/D522)+1)+O522*(AsAt&gt;='Deal maths'!AA522)),0)</f>
        <v/>
      </c>
      <c r="I522" s="108">
        <f>G522-H522</f>
        <v/>
      </c>
      <c r="J522" s="111">
        <f>IF(AND(C522="EIP",I522&gt;0),'Deal maths'!Y522/I522,0)</f>
        <v/>
      </c>
      <c r="K522" s="111">
        <f>IF(AND(C522="Annuity",I522&gt;0),IF(F522&gt;0,'Deal maths'!Y522*F522/(1-(1+F522)^-I522),'Deal maths'!Y522/I522),0)</f>
        <v/>
      </c>
      <c r="L522" s="111">
        <f>IF('Deal maths'!Y522="",0,'Deal maths'!Y522)</f>
        <v/>
      </c>
      <c r="M522" s="112">
        <f>F522+(F522=0)</f>
        <v/>
      </c>
      <c r="N522" s="108">
        <f>IFERROR(IF(D522=0,0,INT(((YEAR('Deal maths'!AA522)-YEAR(E522))*12+MONTH('Deal maths'!AA522)-MONTH(E522)-(DAY('Deal maths'!AA522)&lt;MIN(R522,DAY(EOMONTH('Deal maths'!AA522,0)))))/D522)+1),0)</f>
        <v/>
      </c>
      <c r="O522" s="108">
        <f>IFERROR(IF(D522=0,0,IF(IF(DAY(E522+1)=1,EOMONTH(E522,(N522-1)*D522),EDATE(E522,(N522-1)*D522))='Deal maths'!AA522,0,1)),0)</f>
        <v/>
      </c>
      <c r="P522" s="113">
        <f>IF(B522=0,0,IFERROR(IF(C522="EIP",((I522-O522)*((IF(DAY(E522+1)=1,EOMONTH(E522,H522*D522),EDATE(E522,H522*D522))-AsAt)/365.25+(IF(DAY(E522+1)=1,EOMONTH(E522,(N522-1)*D522),EDATE(E522,(N522-1)*D522))-AsAt)/365.25)/2+O522*('Deal maths'!AA522-AsAt)/365.25)/I522,IF(C522="Annuity",IF(F522&gt;0,((K522-L522*F522)*((IF(DAY(E522+1)=1,EOMONTH(E522,H522*D522),EDATE(E522,H522*D522))-AsAt)/365.25*((1+F522)^(I522-O522)-1)/F522+IF((I522-O522)&gt;1,((IF(DAY(E522+1)=1,EOMONTH(E522,(N522-1)*D522),EDATE(E522,(N522-1)*D522))-AsAt)/365.25-(IF(DAY(E522+1)=1,EOMONTH(E522,H522*D522),EDATE(E522,H522*D522))-AsAt)/365.25)/((I522-O522)-1),0)*(1+F522)*(1-(I522-O522)*(1+F522)^((I522-O522)-1)+((I522-O522)-1)*(1+F522)^(I522-O522))/F522^2)+O522*(K522-L522*F522)*(1+F522)^(I522-1)*('Deal maths'!AA522-AsAt)/365.25)/L522,((I522-O522)*((IF(DAY(E522+1)=1,EOMONTH(E522,H522*D522),EDATE(E522,H522*D522))-AsAt)/365.25+(IF(DAY(E522+1)=1,EOMONTH(E522,(N522-1)*D522),EDATE(E522,(N522-1)*D522))-AsAt)/365.25)/2+O522*('Deal maths'!AA522-AsAt)/365.25)/I522),(S522-AsAt)/365.25)),0))</f>
        <v/>
      </c>
      <c r="Q522" s="109">
        <f>IF(B522=1,'Deal maths'!AA522+ROW()/1000000,"")</f>
        <v/>
      </c>
      <c r="R522" s="108">
        <f>IF(D522=0,0,IF(DAY(E522+1)=1,31,DAY(E522)))</f>
        <v/>
      </c>
      <c r="S522" s="109">
        <f>IF(AND('Deal maths'!V522="LOBO",'Deal maths'!AG522&gt;AsAt,'Deal maths'!AG522&lt;'Deal maths'!AA522),'Deal maths'!AG522,'Deal maths'!AA522)</f>
        <v/>
      </c>
      <c r="T522" s="108">
        <f>('Deal maths'!AA522&gt;AsAt)*('Deal maths'!Y522&gt;0)</f>
        <v/>
      </c>
    </row>
    <row r="523">
      <c r="A523" s="91">
        <f>IF('Deal maths'!V523="","",'Deal maths'!W523)</f>
        <v/>
      </c>
      <c r="B523" s="108">
        <f>('Deal maths'!AA523&gt;AsAt)*('Deal maths'!Y523&gt;0)*('Deal maths'!Z523&lt;=AsAt)</f>
        <v/>
      </c>
      <c r="C523" s="91">
        <f>IF('Deal maths'!V523="","",IF('Deal maths'!AC523="","Maturity",'Deal maths'!AC523))</f>
        <v/>
      </c>
      <c r="D523" s="108">
        <f>IF(OR(C523="EIP",C523="Annuity"),IF('Deal maths'!AD523="Annual",12,IF('Deal maths'!AD523="Quarterly",3,6)),0)</f>
        <v/>
      </c>
      <c r="E523" s="109">
        <f>IFERROR(IF(D523=0,0,IF('Deal maths'!AE523&gt;0,IF('Deal maths'!AE523&gt;'Deal maths'!AA523,'Deal maths'!AA523,'Deal maths'!AE523),IF(IF(DAY('Deal maths'!AA523+1)=1,EOMONTH('Deal maths'!AA523,-(INT(((YEAR('Deal maths'!AA523)-YEAR(IF('Deal maths'!Z523&gt;0,'Deal maths'!Z523,DATE(1990,1,1))))*12+MONTH('Deal maths'!AA523)-MONTH(IF('Deal maths'!Z523&gt;0,'Deal maths'!Z523,DATE(1990,1,1))))/D523))*D523),EDATE('Deal maths'!AA523,-(INT(((YEAR('Deal maths'!AA523)-YEAR(IF('Deal maths'!Z523&gt;0,'Deal maths'!Z523,DATE(1990,1,1))))*12+MONTH('Deal maths'!AA523)-MONTH(IF('Deal maths'!Z523&gt;0,'Deal maths'!Z523,DATE(1990,1,1))))/D523))*D523))&gt;IF('Deal maths'!Z523&gt;0,'Deal maths'!Z523,DATE(1990,1,1)),IF(DAY('Deal maths'!AA523+1)=1,EOMONTH('Deal maths'!AA523,-(INT(((YEAR('Deal maths'!AA523)-YEAR(IF('Deal maths'!Z523&gt;0,'Deal maths'!Z523,DATE(1990,1,1))))*12+MONTH('Deal maths'!AA523)-MONTH(IF('Deal maths'!Z523&gt;0,'Deal maths'!Z523,DATE(1990,1,1))))/D523))*D523),EDATE('Deal maths'!AA523,-(INT(((YEAR('Deal maths'!AA523)-YEAR(IF('Deal maths'!Z523&gt;0,'Deal maths'!Z523,DATE(1990,1,1))))*12+MONTH('Deal maths'!AA523)-MONTH(IF('Deal maths'!Z523&gt;0,'Deal maths'!Z523,DATE(1990,1,1))))/D523))*D523)),IF(DAY('Deal maths'!AA523+1)=1,EOMONTH('Deal maths'!AA523,-(INT(((YEAR('Deal maths'!AA523)-YEAR(IF('Deal maths'!Z523&gt;0,'Deal maths'!Z523,DATE(1990,1,1))))*12+MONTH('Deal maths'!AA523)-MONTH(IF('Deal maths'!Z523&gt;0,'Deal maths'!Z523,DATE(1990,1,1))))/D523)-1)*D523),EDATE('Deal maths'!AA523,-(INT(((YEAR('Deal maths'!AA523)-YEAR(IF('Deal maths'!Z523&gt;0,'Deal maths'!Z523,DATE(1990,1,1))))*12+MONTH('Deal maths'!AA523)-MONTH(IF('Deal maths'!Z523&gt;0,'Deal maths'!Z523,DATE(1990,1,1))))/D523)-1)*D523))))),0)</f>
        <v/>
      </c>
      <c r="F523" s="110">
        <f>IF(D523=0,0,'Deal maths'!AB523*D523/12)</f>
        <v/>
      </c>
      <c r="G523" s="108">
        <f>N523+O523</f>
        <v/>
      </c>
      <c r="H523" s="108">
        <f>IFERROR(IF(OR(D523=0,AsAt&lt;E523),0,MIN(N523,INT(((YEAR(AsAt)-YEAR(E523))*12+MONTH(AsAt)-MONTH(E523)-(DAY(AsAt)&lt;MIN(R523,DAY(EOMONTH(AsAt,0)))))/D523)+1)+O523*(AsAt&gt;='Deal maths'!AA523)),0)</f>
        <v/>
      </c>
      <c r="I523" s="108">
        <f>G523-H523</f>
        <v/>
      </c>
      <c r="J523" s="111">
        <f>IF(AND(C523="EIP",I523&gt;0),'Deal maths'!Y523/I523,0)</f>
        <v/>
      </c>
      <c r="K523" s="111">
        <f>IF(AND(C523="Annuity",I523&gt;0),IF(F523&gt;0,'Deal maths'!Y523*F523/(1-(1+F523)^-I523),'Deal maths'!Y523/I523),0)</f>
        <v/>
      </c>
      <c r="L523" s="111">
        <f>IF('Deal maths'!Y523="",0,'Deal maths'!Y523)</f>
        <v/>
      </c>
      <c r="M523" s="112">
        <f>F523+(F523=0)</f>
        <v/>
      </c>
      <c r="N523" s="108">
        <f>IFERROR(IF(D523=0,0,INT(((YEAR('Deal maths'!AA523)-YEAR(E523))*12+MONTH('Deal maths'!AA523)-MONTH(E523)-(DAY('Deal maths'!AA523)&lt;MIN(R523,DAY(EOMONTH('Deal maths'!AA523,0)))))/D523)+1),0)</f>
        <v/>
      </c>
      <c r="O523" s="108">
        <f>IFERROR(IF(D523=0,0,IF(IF(DAY(E523+1)=1,EOMONTH(E523,(N523-1)*D523),EDATE(E523,(N523-1)*D523))='Deal maths'!AA523,0,1)),0)</f>
        <v/>
      </c>
      <c r="P523" s="113">
        <f>IF(B523=0,0,IFERROR(IF(C523="EIP",((I523-O523)*((IF(DAY(E523+1)=1,EOMONTH(E523,H523*D523),EDATE(E523,H523*D523))-AsAt)/365.25+(IF(DAY(E523+1)=1,EOMONTH(E523,(N523-1)*D523),EDATE(E523,(N523-1)*D523))-AsAt)/365.25)/2+O523*('Deal maths'!AA523-AsAt)/365.25)/I523,IF(C523="Annuity",IF(F523&gt;0,((K523-L523*F523)*((IF(DAY(E523+1)=1,EOMONTH(E523,H523*D523),EDATE(E523,H523*D523))-AsAt)/365.25*((1+F523)^(I523-O523)-1)/F523+IF((I523-O523)&gt;1,((IF(DAY(E523+1)=1,EOMONTH(E523,(N523-1)*D523),EDATE(E523,(N523-1)*D523))-AsAt)/365.25-(IF(DAY(E523+1)=1,EOMONTH(E523,H523*D523),EDATE(E523,H523*D523))-AsAt)/365.25)/((I523-O523)-1),0)*(1+F523)*(1-(I523-O523)*(1+F523)^((I523-O523)-1)+((I523-O523)-1)*(1+F523)^(I523-O523))/F523^2)+O523*(K523-L523*F523)*(1+F523)^(I523-1)*('Deal maths'!AA523-AsAt)/365.25)/L523,((I523-O523)*((IF(DAY(E523+1)=1,EOMONTH(E523,H523*D523),EDATE(E523,H523*D523))-AsAt)/365.25+(IF(DAY(E523+1)=1,EOMONTH(E523,(N523-1)*D523),EDATE(E523,(N523-1)*D523))-AsAt)/365.25)/2+O523*('Deal maths'!AA523-AsAt)/365.25)/I523),(S523-AsAt)/365.25)),0))</f>
        <v/>
      </c>
      <c r="Q523" s="109">
        <f>IF(B523=1,'Deal maths'!AA523+ROW()/1000000,"")</f>
        <v/>
      </c>
      <c r="R523" s="108">
        <f>IF(D523=0,0,IF(DAY(E523+1)=1,31,DAY(E523)))</f>
        <v/>
      </c>
      <c r="S523" s="109">
        <f>IF(AND('Deal maths'!V523="LOBO",'Deal maths'!AG523&gt;AsAt,'Deal maths'!AG523&lt;'Deal maths'!AA523),'Deal maths'!AG523,'Deal maths'!AA523)</f>
        <v/>
      </c>
      <c r="T523" s="108">
        <f>('Deal maths'!AA523&gt;AsAt)*('Deal maths'!Y523&gt;0)</f>
        <v/>
      </c>
    </row>
    <row r="524">
      <c r="A524" s="91">
        <f>IF('Deal maths'!V524="","",'Deal maths'!W524)</f>
        <v/>
      </c>
      <c r="B524" s="108">
        <f>('Deal maths'!AA524&gt;AsAt)*('Deal maths'!Y524&gt;0)*('Deal maths'!Z524&lt;=AsAt)</f>
        <v/>
      </c>
      <c r="C524" s="91">
        <f>IF('Deal maths'!V524="","",IF('Deal maths'!AC524="","Maturity",'Deal maths'!AC524))</f>
        <v/>
      </c>
      <c r="D524" s="108">
        <f>IF(OR(C524="EIP",C524="Annuity"),IF('Deal maths'!AD524="Annual",12,IF('Deal maths'!AD524="Quarterly",3,6)),0)</f>
        <v/>
      </c>
      <c r="E524" s="109">
        <f>IFERROR(IF(D524=0,0,IF('Deal maths'!AE524&gt;0,IF('Deal maths'!AE524&gt;'Deal maths'!AA524,'Deal maths'!AA524,'Deal maths'!AE524),IF(IF(DAY('Deal maths'!AA524+1)=1,EOMONTH('Deal maths'!AA524,-(INT(((YEAR('Deal maths'!AA524)-YEAR(IF('Deal maths'!Z524&gt;0,'Deal maths'!Z524,DATE(1990,1,1))))*12+MONTH('Deal maths'!AA524)-MONTH(IF('Deal maths'!Z524&gt;0,'Deal maths'!Z524,DATE(1990,1,1))))/D524))*D524),EDATE('Deal maths'!AA524,-(INT(((YEAR('Deal maths'!AA524)-YEAR(IF('Deal maths'!Z524&gt;0,'Deal maths'!Z524,DATE(1990,1,1))))*12+MONTH('Deal maths'!AA524)-MONTH(IF('Deal maths'!Z524&gt;0,'Deal maths'!Z524,DATE(1990,1,1))))/D524))*D524))&gt;IF('Deal maths'!Z524&gt;0,'Deal maths'!Z524,DATE(1990,1,1)),IF(DAY('Deal maths'!AA524+1)=1,EOMONTH('Deal maths'!AA524,-(INT(((YEAR('Deal maths'!AA524)-YEAR(IF('Deal maths'!Z524&gt;0,'Deal maths'!Z524,DATE(1990,1,1))))*12+MONTH('Deal maths'!AA524)-MONTH(IF('Deal maths'!Z524&gt;0,'Deal maths'!Z524,DATE(1990,1,1))))/D524))*D524),EDATE('Deal maths'!AA524,-(INT(((YEAR('Deal maths'!AA524)-YEAR(IF('Deal maths'!Z524&gt;0,'Deal maths'!Z524,DATE(1990,1,1))))*12+MONTH('Deal maths'!AA524)-MONTH(IF('Deal maths'!Z524&gt;0,'Deal maths'!Z524,DATE(1990,1,1))))/D524))*D524)),IF(DAY('Deal maths'!AA524+1)=1,EOMONTH('Deal maths'!AA524,-(INT(((YEAR('Deal maths'!AA524)-YEAR(IF('Deal maths'!Z524&gt;0,'Deal maths'!Z524,DATE(1990,1,1))))*12+MONTH('Deal maths'!AA524)-MONTH(IF('Deal maths'!Z524&gt;0,'Deal maths'!Z524,DATE(1990,1,1))))/D524)-1)*D524),EDATE('Deal maths'!AA524,-(INT(((YEAR('Deal maths'!AA524)-YEAR(IF('Deal maths'!Z524&gt;0,'Deal maths'!Z524,DATE(1990,1,1))))*12+MONTH('Deal maths'!AA524)-MONTH(IF('Deal maths'!Z524&gt;0,'Deal maths'!Z524,DATE(1990,1,1))))/D524)-1)*D524))))),0)</f>
        <v/>
      </c>
      <c r="F524" s="110">
        <f>IF(D524=0,0,'Deal maths'!AB524*D524/12)</f>
        <v/>
      </c>
      <c r="G524" s="108">
        <f>N524+O524</f>
        <v/>
      </c>
      <c r="H524" s="108">
        <f>IFERROR(IF(OR(D524=0,AsAt&lt;E524),0,MIN(N524,INT(((YEAR(AsAt)-YEAR(E524))*12+MONTH(AsAt)-MONTH(E524)-(DAY(AsAt)&lt;MIN(R524,DAY(EOMONTH(AsAt,0)))))/D524)+1)+O524*(AsAt&gt;='Deal maths'!AA524)),0)</f>
        <v/>
      </c>
      <c r="I524" s="108">
        <f>G524-H524</f>
        <v/>
      </c>
      <c r="J524" s="111">
        <f>IF(AND(C524="EIP",I524&gt;0),'Deal maths'!Y524/I524,0)</f>
        <v/>
      </c>
      <c r="K524" s="111">
        <f>IF(AND(C524="Annuity",I524&gt;0),IF(F524&gt;0,'Deal maths'!Y524*F524/(1-(1+F524)^-I524),'Deal maths'!Y524/I524),0)</f>
        <v/>
      </c>
      <c r="L524" s="111">
        <f>IF('Deal maths'!Y524="",0,'Deal maths'!Y524)</f>
        <v/>
      </c>
      <c r="M524" s="112">
        <f>F524+(F524=0)</f>
        <v/>
      </c>
      <c r="N524" s="108">
        <f>IFERROR(IF(D524=0,0,INT(((YEAR('Deal maths'!AA524)-YEAR(E524))*12+MONTH('Deal maths'!AA524)-MONTH(E524)-(DAY('Deal maths'!AA524)&lt;MIN(R524,DAY(EOMONTH('Deal maths'!AA524,0)))))/D524)+1),0)</f>
        <v/>
      </c>
      <c r="O524" s="108">
        <f>IFERROR(IF(D524=0,0,IF(IF(DAY(E524+1)=1,EOMONTH(E524,(N524-1)*D524),EDATE(E524,(N524-1)*D524))='Deal maths'!AA524,0,1)),0)</f>
        <v/>
      </c>
      <c r="P524" s="113">
        <f>IF(B524=0,0,IFERROR(IF(C524="EIP",((I524-O524)*((IF(DAY(E524+1)=1,EOMONTH(E524,H524*D524),EDATE(E524,H524*D524))-AsAt)/365.25+(IF(DAY(E524+1)=1,EOMONTH(E524,(N524-1)*D524),EDATE(E524,(N524-1)*D524))-AsAt)/365.25)/2+O524*('Deal maths'!AA524-AsAt)/365.25)/I524,IF(C524="Annuity",IF(F524&gt;0,((K524-L524*F524)*((IF(DAY(E524+1)=1,EOMONTH(E524,H524*D524),EDATE(E524,H524*D524))-AsAt)/365.25*((1+F524)^(I524-O524)-1)/F524+IF((I524-O524)&gt;1,((IF(DAY(E524+1)=1,EOMONTH(E524,(N524-1)*D524),EDATE(E524,(N524-1)*D524))-AsAt)/365.25-(IF(DAY(E524+1)=1,EOMONTH(E524,H524*D524),EDATE(E524,H524*D524))-AsAt)/365.25)/((I524-O524)-1),0)*(1+F524)*(1-(I524-O524)*(1+F524)^((I524-O524)-1)+((I524-O524)-1)*(1+F524)^(I524-O524))/F524^2)+O524*(K524-L524*F524)*(1+F524)^(I524-1)*('Deal maths'!AA524-AsAt)/365.25)/L524,((I524-O524)*((IF(DAY(E524+1)=1,EOMONTH(E524,H524*D524),EDATE(E524,H524*D524))-AsAt)/365.25+(IF(DAY(E524+1)=1,EOMONTH(E524,(N524-1)*D524),EDATE(E524,(N524-1)*D524))-AsAt)/365.25)/2+O524*('Deal maths'!AA524-AsAt)/365.25)/I524),(S524-AsAt)/365.25)),0))</f>
        <v/>
      </c>
      <c r="Q524" s="109">
        <f>IF(B524=1,'Deal maths'!AA524+ROW()/1000000,"")</f>
        <v/>
      </c>
      <c r="R524" s="108">
        <f>IF(D524=0,0,IF(DAY(E524+1)=1,31,DAY(E524)))</f>
        <v/>
      </c>
      <c r="S524" s="109">
        <f>IF(AND('Deal maths'!V524="LOBO",'Deal maths'!AG524&gt;AsAt,'Deal maths'!AG524&lt;'Deal maths'!AA524),'Deal maths'!AG524,'Deal maths'!AA524)</f>
        <v/>
      </c>
      <c r="T524" s="108">
        <f>('Deal maths'!AA524&gt;AsAt)*('Deal maths'!Y524&gt;0)</f>
        <v/>
      </c>
    </row>
    <row r="525">
      <c r="A525" s="91">
        <f>IF('Deal maths'!V525="","",'Deal maths'!W525)</f>
        <v/>
      </c>
      <c r="B525" s="108">
        <f>('Deal maths'!AA525&gt;AsAt)*('Deal maths'!Y525&gt;0)*('Deal maths'!Z525&lt;=AsAt)</f>
        <v/>
      </c>
      <c r="C525" s="91">
        <f>IF('Deal maths'!V525="","",IF('Deal maths'!AC525="","Maturity",'Deal maths'!AC525))</f>
        <v/>
      </c>
      <c r="D525" s="108">
        <f>IF(OR(C525="EIP",C525="Annuity"),IF('Deal maths'!AD525="Annual",12,IF('Deal maths'!AD525="Quarterly",3,6)),0)</f>
        <v/>
      </c>
      <c r="E525" s="109">
        <f>IFERROR(IF(D525=0,0,IF('Deal maths'!AE525&gt;0,IF('Deal maths'!AE525&gt;'Deal maths'!AA525,'Deal maths'!AA525,'Deal maths'!AE525),IF(IF(DAY('Deal maths'!AA525+1)=1,EOMONTH('Deal maths'!AA525,-(INT(((YEAR('Deal maths'!AA525)-YEAR(IF('Deal maths'!Z525&gt;0,'Deal maths'!Z525,DATE(1990,1,1))))*12+MONTH('Deal maths'!AA525)-MONTH(IF('Deal maths'!Z525&gt;0,'Deal maths'!Z525,DATE(1990,1,1))))/D525))*D525),EDATE('Deal maths'!AA525,-(INT(((YEAR('Deal maths'!AA525)-YEAR(IF('Deal maths'!Z525&gt;0,'Deal maths'!Z525,DATE(1990,1,1))))*12+MONTH('Deal maths'!AA525)-MONTH(IF('Deal maths'!Z525&gt;0,'Deal maths'!Z525,DATE(1990,1,1))))/D525))*D525))&gt;IF('Deal maths'!Z525&gt;0,'Deal maths'!Z525,DATE(1990,1,1)),IF(DAY('Deal maths'!AA525+1)=1,EOMONTH('Deal maths'!AA525,-(INT(((YEAR('Deal maths'!AA525)-YEAR(IF('Deal maths'!Z525&gt;0,'Deal maths'!Z525,DATE(1990,1,1))))*12+MONTH('Deal maths'!AA525)-MONTH(IF('Deal maths'!Z525&gt;0,'Deal maths'!Z525,DATE(1990,1,1))))/D525))*D525),EDATE('Deal maths'!AA525,-(INT(((YEAR('Deal maths'!AA525)-YEAR(IF('Deal maths'!Z525&gt;0,'Deal maths'!Z525,DATE(1990,1,1))))*12+MONTH('Deal maths'!AA525)-MONTH(IF('Deal maths'!Z525&gt;0,'Deal maths'!Z525,DATE(1990,1,1))))/D525))*D525)),IF(DAY('Deal maths'!AA525+1)=1,EOMONTH('Deal maths'!AA525,-(INT(((YEAR('Deal maths'!AA525)-YEAR(IF('Deal maths'!Z525&gt;0,'Deal maths'!Z525,DATE(1990,1,1))))*12+MONTH('Deal maths'!AA525)-MONTH(IF('Deal maths'!Z525&gt;0,'Deal maths'!Z525,DATE(1990,1,1))))/D525)-1)*D525),EDATE('Deal maths'!AA525,-(INT(((YEAR('Deal maths'!AA525)-YEAR(IF('Deal maths'!Z525&gt;0,'Deal maths'!Z525,DATE(1990,1,1))))*12+MONTH('Deal maths'!AA525)-MONTH(IF('Deal maths'!Z525&gt;0,'Deal maths'!Z525,DATE(1990,1,1))))/D525)-1)*D525))))),0)</f>
        <v/>
      </c>
      <c r="F525" s="110">
        <f>IF(D525=0,0,'Deal maths'!AB525*D525/12)</f>
        <v/>
      </c>
      <c r="G525" s="108">
        <f>N525+O525</f>
        <v/>
      </c>
      <c r="H525" s="108">
        <f>IFERROR(IF(OR(D525=0,AsAt&lt;E525),0,MIN(N525,INT(((YEAR(AsAt)-YEAR(E525))*12+MONTH(AsAt)-MONTH(E525)-(DAY(AsAt)&lt;MIN(R525,DAY(EOMONTH(AsAt,0)))))/D525)+1)+O525*(AsAt&gt;='Deal maths'!AA525)),0)</f>
        <v/>
      </c>
      <c r="I525" s="108">
        <f>G525-H525</f>
        <v/>
      </c>
      <c r="J525" s="111">
        <f>IF(AND(C525="EIP",I525&gt;0),'Deal maths'!Y525/I525,0)</f>
        <v/>
      </c>
      <c r="K525" s="111">
        <f>IF(AND(C525="Annuity",I525&gt;0),IF(F525&gt;0,'Deal maths'!Y525*F525/(1-(1+F525)^-I525),'Deal maths'!Y525/I525),0)</f>
        <v/>
      </c>
      <c r="L525" s="111">
        <f>IF('Deal maths'!Y525="",0,'Deal maths'!Y525)</f>
        <v/>
      </c>
      <c r="M525" s="112">
        <f>F525+(F525=0)</f>
        <v/>
      </c>
      <c r="N525" s="108">
        <f>IFERROR(IF(D525=0,0,INT(((YEAR('Deal maths'!AA525)-YEAR(E525))*12+MONTH('Deal maths'!AA525)-MONTH(E525)-(DAY('Deal maths'!AA525)&lt;MIN(R525,DAY(EOMONTH('Deal maths'!AA525,0)))))/D525)+1),0)</f>
        <v/>
      </c>
      <c r="O525" s="108">
        <f>IFERROR(IF(D525=0,0,IF(IF(DAY(E525+1)=1,EOMONTH(E525,(N525-1)*D525),EDATE(E525,(N525-1)*D525))='Deal maths'!AA525,0,1)),0)</f>
        <v/>
      </c>
      <c r="P525" s="113">
        <f>IF(B525=0,0,IFERROR(IF(C525="EIP",((I525-O525)*((IF(DAY(E525+1)=1,EOMONTH(E525,H525*D525),EDATE(E525,H525*D525))-AsAt)/365.25+(IF(DAY(E525+1)=1,EOMONTH(E525,(N525-1)*D525),EDATE(E525,(N525-1)*D525))-AsAt)/365.25)/2+O525*('Deal maths'!AA525-AsAt)/365.25)/I525,IF(C525="Annuity",IF(F525&gt;0,((K525-L525*F525)*((IF(DAY(E525+1)=1,EOMONTH(E525,H525*D525),EDATE(E525,H525*D525))-AsAt)/365.25*((1+F525)^(I525-O525)-1)/F525+IF((I525-O525)&gt;1,((IF(DAY(E525+1)=1,EOMONTH(E525,(N525-1)*D525),EDATE(E525,(N525-1)*D525))-AsAt)/365.25-(IF(DAY(E525+1)=1,EOMONTH(E525,H525*D525),EDATE(E525,H525*D525))-AsAt)/365.25)/((I525-O525)-1),0)*(1+F525)*(1-(I525-O525)*(1+F525)^((I525-O525)-1)+((I525-O525)-1)*(1+F525)^(I525-O525))/F525^2)+O525*(K525-L525*F525)*(1+F525)^(I525-1)*('Deal maths'!AA525-AsAt)/365.25)/L525,((I525-O525)*((IF(DAY(E525+1)=1,EOMONTH(E525,H525*D525),EDATE(E525,H525*D525))-AsAt)/365.25+(IF(DAY(E525+1)=1,EOMONTH(E525,(N525-1)*D525),EDATE(E525,(N525-1)*D525))-AsAt)/365.25)/2+O525*('Deal maths'!AA525-AsAt)/365.25)/I525),(S525-AsAt)/365.25)),0))</f>
        <v/>
      </c>
      <c r="Q525" s="109">
        <f>IF(B525=1,'Deal maths'!AA525+ROW()/1000000,"")</f>
        <v/>
      </c>
      <c r="R525" s="108">
        <f>IF(D525=0,0,IF(DAY(E525+1)=1,31,DAY(E525)))</f>
        <v/>
      </c>
      <c r="S525" s="109">
        <f>IF(AND('Deal maths'!V525="LOBO",'Deal maths'!AG525&gt;AsAt,'Deal maths'!AG525&lt;'Deal maths'!AA525),'Deal maths'!AG525,'Deal maths'!AA525)</f>
        <v/>
      </c>
      <c r="T525" s="108">
        <f>('Deal maths'!AA525&gt;AsAt)*('Deal maths'!Y525&gt;0)</f>
        <v/>
      </c>
    </row>
    <row r="526">
      <c r="A526" s="91">
        <f>IF('Deal maths'!V526="","",'Deal maths'!W526)</f>
        <v/>
      </c>
      <c r="B526" s="108">
        <f>('Deal maths'!AA526&gt;AsAt)*('Deal maths'!Y526&gt;0)*('Deal maths'!Z526&lt;=AsAt)</f>
        <v/>
      </c>
      <c r="C526" s="91">
        <f>IF('Deal maths'!V526="","",IF('Deal maths'!AC526="","Maturity",'Deal maths'!AC526))</f>
        <v/>
      </c>
      <c r="D526" s="108">
        <f>IF(OR(C526="EIP",C526="Annuity"),IF('Deal maths'!AD526="Annual",12,IF('Deal maths'!AD526="Quarterly",3,6)),0)</f>
        <v/>
      </c>
      <c r="E526" s="109">
        <f>IFERROR(IF(D526=0,0,IF('Deal maths'!AE526&gt;0,IF('Deal maths'!AE526&gt;'Deal maths'!AA526,'Deal maths'!AA526,'Deal maths'!AE526),IF(IF(DAY('Deal maths'!AA526+1)=1,EOMONTH('Deal maths'!AA526,-(INT(((YEAR('Deal maths'!AA526)-YEAR(IF('Deal maths'!Z526&gt;0,'Deal maths'!Z526,DATE(1990,1,1))))*12+MONTH('Deal maths'!AA526)-MONTH(IF('Deal maths'!Z526&gt;0,'Deal maths'!Z526,DATE(1990,1,1))))/D526))*D526),EDATE('Deal maths'!AA526,-(INT(((YEAR('Deal maths'!AA526)-YEAR(IF('Deal maths'!Z526&gt;0,'Deal maths'!Z526,DATE(1990,1,1))))*12+MONTH('Deal maths'!AA526)-MONTH(IF('Deal maths'!Z526&gt;0,'Deal maths'!Z526,DATE(1990,1,1))))/D526))*D526))&gt;IF('Deal maths'!Z526&gt;0,'Deal maths'!Z526,DATE(1990,1,1)),IF(DAY('Deal maths'!AA526+1)=1,EOMONTH('Deal maths'!AA526,-(INT(((YEAR('Deal maths'!AA526)-YEAR(IF('Deal maths'!Z526&gt;0,'Deal maths'!Z526,DATE(1990,1,1))))*12+MONTH('Deal maths'!AA526)-MONTH(IF('Deal maths'!Z526&gt;0,'Deal maths'!Z526,DATE(1990,1,1))))/D526))*D526),EDATE('Deal maths'!AA526,-(INT(((YEAR('Deal maths'!AA526)-YEAR(IF('Deal maths'!Z526&gt;0,'Deal maths'!Z526,DATE(1990,1,1))))*12+MONTH('Deal maths'!AA526)-MONTH(IF('Deal maths'!Z526&gt;0,'Deal maths'!Z526,DATE(1990,1,1))))/D526))*D526)),IF(DAY('Deal maths'!AA526+1)=1,EOMONTH('Deal maths'!AA526,-(INT(((YEAR('Deal maths'!AA526)-YEAR(IF('Deal maths'!Z526&gt;0,'Deal maths'!Z526,DATE(1990,1,1))))*12+MONTH('Deal maths'!AA526)-MONTH(IF('Deal maths'!Z526&gt;0,'Deal maths'!Z526,DATE(1990,1,1))))/D526)-1)*D526),EDATE('Deal maths'!AA526,-(INT(((YEAR('Deal maths'!AA526)-YEAR(IF('Deal maths'!Z526&gt;0,'Deal maths'!Z526,DATE(1990,1,1))))*12+MONTH('Deal maths'!AA526)-MONTH(IF('Deal maths'!Z526&gt;0,'Deal maths'!Z526,DATE(1990,1,1))))/D526)-1)*D526))))),0)</f>
        <v/>
      </c>
      <c r="F526" s="110">
        <f>IF(D526=0,0,'Deal maths'!AB526*D526/12)</f>
        <v/>
      </c>
      <c r="G526" s="108">
        <f>N526+O526</f>
        <v/>
      </c>
      <c r="H526" s="108">
        <f>IFERROR(IF(OR(D526=0,AsAt&lt;E526),0,MIN(N526,INT(((YEAR(AsAt)-YEAR(E526))*12+MONTH(AsAt)-MONTH(E526)-(DAY(AsAt)&lt;MIN(R526,DAY(EOMONTH(AsAt,0)))))/D526)+1)+O526*(AsAt&gt;='Deal maths'!AA526)),0)</f>
        <v/>
      </c>
      <c r="I526" s="108">
        <f>G526-H526</f>
        <v/>
      </c>
      <c r="J526" s="111">
        <f>IF(AND(C526="EIP",I526&gt;0),'Deal maths'!Y526/I526,0)</f>
        <v/>
      </c>
      <c r="K526" s="111">
        <f>IF(AND(C526="Annuity",I526&gt;0),IF(F526&gt;0,'Deal maths'!Y526*F526/(1-(1+F526)^-I526),'Deal maths'!Y526/I526),0)</f>
        <v/>
      </c>
      <c r="L526" s="111">
        <f>IF('Deal maths'!Y526="",0,'Deal maths'!Y526)</f>
        <v/>
      </c>
      <c r="M526" s="112">
        <f>F526+(F526=0)</f>
        <v/>
      </c>
      <c r="N526" s="108">
        <f>IFERROR(IF(D526=0,0,INT(((YEAR('Deal maths'!AA526)-YEAR(E526))*12+MONTH('Deal maths'!AA526)-MONTH(E526)-(DAY('Deal maths'!AA526)&lt;MIN(R526,DAY(EOMONTH('Deal maths'!AA526,0)))))/D526)+1),0)</f>
        <v/>
      </c>
      <c r="O526" s="108">
        <f>IFERROR(IF(D526=0,0,IF(IF(DAY(E526+1)=1,EOMONTH(E526,(N526-1)*D526),EDATE(E526,(N526-1)*D526))='Deal maths'!AA526,0,1)),0)</f>
        <v/>
      </c>
      <c r="P526" s="113">
        <f>IF(B526=0,0,IFERROR(IF(C526="EIP",((I526-O526)*((IF(DAY(E526+1)=1,EOMONTH(E526,H526*D526),EDATE(E526,H526*D526))-AsAt)/365.25+(IF(DAY(E526+1)=1,EOMONTH(E526,(N526-1)*D526),EDATE(E526,(N526-1)*D526))-AsAt)/365.25)/2+O526*('Deal maths'!AA526-AsAt)/365.25)/I526,IF(C526="Annuity",IF(F526&gt;0,((K526-L526*F526)*((IF(DAY(E526+1)=1,EOMONTH(E526,H526*D526),EDATE(E526,H526*D526))-AsAt)/365.25*((1+F526)^(I526-O526)-1)/F526+IF((I526-O526)&gt;1,((IF(DAY(E526+1)=1,EOMONTH(E526,(N526-1)*D526),EDATE(E526,(N526-1)*D526))-AsAt)/365.25-(IF(DAY(E526+1)=1,EOMONTH(E526,H526*D526),EDATE(E526,H526*D526))-AsAt)/365.25)/((I526-O526)-1),0)*(1+F526)*(1-(I526-O526)*(1+F526)^((I526-O526)-1)+((I526-O526)-1)*(1+F526)^(I526-O526))/F526^2)+O526*(K526-L526*F526)*(1+F526)^(I526-1)*('Deal maths'!AA526-AsAt)/365.25)/L526,((I526-O526)*((IF(DAY(E526+1)=1,EOMONTH(E526,H526*D526),EDATE(E526,H526*D526))-AsAt)/365.25+(IF(DAY(E526+1)=1,EOMONTH(E526,(N526-1)*D526),EDATE(E526,(N526-1)*D526))-AsAt)/365.25)/2+O526*('Deal maths'!AA526-AsAt)/365.25)/I526),(S526-AsAt)/365.25)),0))</f>
        <v/>
      </c>
      <c r="Q526" s="109">
        <f>IF(B526=1,'Deal maths'!AA526+ROW()/1000000,"")</f>
        <v/>
      </c>
      <c r="R526" s="108">
        <f>IF(D526=0,0,IF(DAY(E526+1)=1,31,DAY(E526)))</f>
        <v/>
      </c>
      <c r="S526" s="109">
        <f>IF(AND('Deal maths'!V526="LOBO",'Deal maths'!AG526&gt;AsAt,'Deal maths'!AG526&lt;'Deal maths'!AA526),'Deal maths'!AG526,'Deal maths'!AA526)</f>
        <v/>
      </c>
      <c r="T526" s="108">
        <f>('Deal maths'!AA526&gt;AsAt)*('Deal maths'!Y526&gt;0)</f>
        <v/>
      </c>
    </row>
    <row r="527">
      <c r="A527" s="91">
        <f>IF('Deal maths'!V527="","",'Deal maths'!W527)</f>
        <v/>
      </c>
      <c r="B527" s="108">
        <f>('Deal maths'!AA527&gt;AsAt)*('Deal maths'!Y527&gt;0)*('Deal maths'!Z527&lt;=AsAt)</f>
        <v/>
      </c>
      <c r="C527" s="91">
        <f>IF('Deal maths'!V527="","",IF('Deal maths'!AC527="","Maturity",'Deal maths'!AC527))</f>
        <v/>
      </c>
      <c r="D527" s="108">
        <f>IF(OR(C527="EIP",C527="Annuity"),IF('Deal maths'!AD527="Annual",12,IF('Deal maths'!AD527="Quarterly",3,6)),0)</f>
        <v/>
      </c>
      <c r="E527" s="109">
        <f>IFERROR(IF(D527=0,0,IF('Deal maths'!AE527&gt;0,IF('Deal maths'!AE527&gt;'Deal maths'!AA527,'Deal maths'!AA527,'Deal maths'!AE527),IF(IF(DAY('Deal maths'!AA527+1)=1,EOMONTH('Deal maths'!AA527,-(INT(((YEAR('Deal maths'!AA527)-YEAR(IF('Deal maths'!Z527&gt;0,'Deal maths'!Z527,DATE(1990,1,1))))*12+MONTH('Deal maths'!AA527)-MONTH(IF('Deal maths'!Z527&gt;0,'Deal maths'!Z527,DATE(1990,1,1))))/D527))*D527),EDATE('Deal maths'!AA527,-(INT(((YEAR('Deal maths'!AA527)-YEAR(IF('Deal maths'!Z527&gt;0,'Deal maths'!Z527,DATE(1990,1,1))))*12+MONTH('Deal maths'!AA527)-MONTH(IF('Deal maths'!Z527&gt;0,'Deal maths'!Z527,DATE(1990,1,1))))/D527))*D527))&gt;IF('Deal maths'!Z527&gt;0,'Deal maths'!Z527,DATE(1990,1,1)),IF(DAY('Deal maths'!AA527+1)=1,EOMONTH('Deal maths'!AA527,-(INT(((YEAR('Deal maths'!AA527)-YEAR(IF('Deal maths'!Z527&gt;0,'Deal maths'!Z527,DATE(1990,1,1))))*12+MONTH('Deal maths'!AA527)-MONTH(IF('Deal maths'!Z527&gt;0,'Deal maths'!Z527,DATE(1990,1,1))))/D527))*D527),EDATE('Deal maths'!AA527,-(INT(((YEAR('Deal maths'!AA527)-YEAR(IF('Deal maths'!Z527&gt;0,'Deal maths'!Z527,DATE(1990,1,1))))*12+MONTH('Deal maths'!AA527)-MONTH(IF('Deal maths'!Z527&gt;0,'Deal maths'!Z527,DATE(1990,1,1))))/D527))*D527)),IF(DAY('Deal maths'!AA527+1)=1,EOMONTH('Deal maths'!AA527,-(INT(((YEAR('Deal maths'!AA527)-YEAR(IF('Deal maths'!Z527&gt;0,'Deal maths'!Z527,DATE(1990,1,1))))*12+MONTH('Deal maths'!AA527)-MONTH(IF('Deal maths'!Z527&gt;0,'Deal maths'!Z527,DATE(1990,1,1))))/D527)-1)*D527),EDATE('Deal maths'!AA527,-(INT(((YEAR('Deal maths'!AA527)-YEAR(IF('Deal maths'!Z527&gt;0,'Deal maths'!Z527,DATE(1990,1,1))))*12+MONTH('Deal maths'!AA527)-MONTH(IF('Deal maths'!Z527&gt;0,'Deal maths'!Z527,DATE(1990,1,1))))/D527)-1)*D527))))),0)</f>
        <v/>
      </c>
      <c r="F527" s="110">
        <f>IF(D527=0,0,'Deal maths'!AB527*D527/12)</f>
        <v/>
      </c>
      <c r="G527" s="108">
        <f>N527+O527</f>
        <v/>
      </c>
      <c r="H527" s="108">
        <f>IFERROR(IF(OR(D527=0,AsAt&lt;E527),0,MIN(N527,INT(((YEAR(AsAt)-YEAR(E527))*12+MONTH(AsAt)-MONTH(E527)-(DAY(AsAt)&lt;MIN(R527,DAY(EOMONTH(AsAt,0)))))/D527)+1)+O527*(AsAt&gt;='Deal maths'!AA527)),0)</f>
        <v/>
      </c>
      <c r="I527" s="108">
        <f>G527-H527</f>
        <v/>
      </c>
      <c r="J527" s="111">
        <f>IF(AND(C527="EIP",I527&gt;0),'Deal maths'!Y527/I527,0)</f>
        <v/>
      </c>
      <c r="K527" s="111">
        <f>IF(AND(C527="Annuity",I527&gt;0),IF(F527&gt;0,'Deal maths'!Y527*F527/(1-(1+F527)^-I527),'Deal maths'!Y527/I527),0)</f>
        <v/>
      </c>
      <c r="L527" s="111">
        <f>IF('Deal maths'!Y527="",0,'Deal maths'!Y527)</f>
        <v/>
      </c>
      <c r="M527" s="112">
        <f>F527+(F527=0)</f>
        <v/>
      </c>
      <c r="N527" s="108">
        <f>IFERROR(IF(D527=0,0,INT(((YEAR('Deal maths'!AA527)-YEAR(E527))*12+MONTH('Deal maths'!AA527)-MONTH(E527)-(DAY('Deal maths'!AA527)&lt;MIN(R527,DAY(EOMONTH('Deal maths'!AA527,0)))))/D527)+1),0)</f>
        <v/>
      </c>
      <c r="O527" s="108">
        <f>IFERROR(IF(D527=0,0,IF(IF(DAY(E527+1)=1,EOMONTH(E527,(N527-1)*D527),EDATE(E527,(N527-1)*D527))='Deal maths'!AA527,0,1)),0)</f>
        <v/>
      </c>
      <c r="P527" s="113">
        <f>IF(B527=0,0,IFERROR(IF(C527="EIP",((I527-O527)*((IF(DAY(E527+1)=1,EOMONTH(E527,H527*D527),EDATE(E527,H527*D527))-AsAt)/365.25+(IF(DAY(E527+1)=1,EOMONTH(E527,(N527-1)*D527),EDATE(E527,(N527-1)*D527))-AsAt)/365.25)/2+O527*('Deal maths'!AA527-AsAt)/365.25)/I527,IF(C527="Annuity",IF(F527&gt;0,((K527-L527*F527)*((IF(DAY(E527+1)=1,EOMONTH(E527,H527*D527),EDATE(E527,H527*D527))-AsAt)/365.25*((1+F527)^(I527-O527)-1)/F527+IF((I527-O527)&gt;1,((IF(DAY(E527+1)=1,EOMONTH(E527,(N527-1)*D527),EDATE(E527,(N527-1)*D527))-AsAt)/365.25-(IF(DAY(E527+1)=1,EOMONTH(E527,H527*D527),EDATE(E527,H527*D527))-AsAt)/365.25)/((I527-O527)-1),0)*(1+F527)*(1-(I527-O527)*(1+F527)^((I527-O527)-1)+((I527-O527)-1)*(1+F527)^(I527-O527))/F527^2)+O527*(K527-L527*F527)*(1+F527)^(I527-1)*('Deal maths'!AA527-AsAt)/365.25)/L527,((I527-O527)*((IF(DAY(E527+1)=1,EOMONTH(E527,H527*D527),EDATE(E527,H527*D527))-AsAt)/365.25+(IF(DAY(E527+1)=1,EOMONTH(E527,(N527-1)*D527),EDATE(E527,(N527-1)*D527))-AsAt)/365.25)/2+O527*('Deal maths'!AA527-AsAt)/365.25)/I527),(S527-AsAt)/365.25)),0))</f>
        <v/>
      </c>
      <c r="Q527" s="109">
        <f>IF(B527=1,'Deal maths'!AA527+ROW()/1000000,"")</f>
        <v/>
      </c>
      <c r="R527" s="108">
        <f>IF(D527=0,0,IF(DAY(E527+1)=1,31,DAY(E527)))</f>
        <v/>
      </c>
      <c r="S527" s="109">
        <f>IF(AND('Deal maths'!V527="LOBO",'Deal maths'!AG527&gt;AsAt,'Deal maths'!AG527&lt;'Deal maths'!AA527),'Deal maths'!AG527,'Deal maths'!AA527)</f>
        <v/>
      </c>
      <c r="T527" s="108">
        <f>('Deal maths'!AA527&gt;AsAt)*('Deal maths'!Y527&gt;0)</f>
        <v/>
      </c>
    </row>
    <row r="528">
      <c r="A528" s="91">
        <f>IF('Deal maths'!V528="","",'Deal maths'!W528)</f>
        <v/>
      </c>
      <c r="B528" s="108">
        <f>('Deal maths'!AA528&gt;AsAt)*('Deal maths'!Y528&gt;0)*('Deal maths'!Z528&lt;=AsAt)</f>
        <v/>
      </c>
      <c r="C528" s="91">
        <f>IF('Deal maths'!V528="","",IF('Deal maths'!AC528="","Maturity",'Deal maths'!AC528))</f>
        <v/>
      </c>
      <c r="D528" s="108">
        <f>IF(OR(C528="EIP",C528="Annuity"),IF('Deal maths'!AD528="Annual",12,IF('Deal maths'!AD528="Quarterly",3,6)),0)</f>
        <v/>
      </c>
      <c r="E528" s="109">
        <f>IFERROR(IF(D528=0,0,IF('Deal maths'!AE528&gt;0,IF('Deal maths'!AE528&gt;'Deal maths'!AA528,'Deal maths'!AA528,'Deal maths'!AE528),IF(IF(DAY('Deal maths'!AA528+1)=1,EOMONTH('Deal maths'!AA528,-(INT(((YEAR('Deal maths'!AA528)-YEAR(IF('Deal maths'!Z528&gt;0,'Deal maths'!Z528,DATE(1990,1,1))))*12+MONTH('Deal maths'!AA528)-MONTH(IF('Deal maths'!Z528&gt;0,'Deal maths'!Z528,DATE(1990,1,1))))/D528))*D528),EDATE('Deal maths'!AA528,-(INT(((YEAR('Deal maths'!AA528)-YEAR(IF('Deal maths'!Z528&gt;0,'Deal maths'!Z528,DATE(1990,1,1))))*12+MONTH('Deal maths'!AA528)-MONTH(IF('Deal maths'!Z528&gt;0,'Deal maths'!Z528,DATE(1990,1,1))))/D528))*D528))&gt;IF('Deal maths'!Z528&gt;0,'Deal maths'!Z528,DATE(1990,1,1)),IF(DAY('Deal maths'!AA528+1)=1,EOMONTH('Deal maths'!AA528,-(INT(((YEAR('Deal maths'!AA528)-YEAR(IF('Deal maths'!Z528&gt;0,'Deal maths'!Z528,DATE(1990,1,1))))*12+MONTH('Deal maths'!AA528)-MONTH(IF('Deal maths'!Z528&gt;0,'Deal maths'!Z528,DATE(1990,1,1))))/D528))*D528),EDATE('Deal maths'!AA528,-(INT(((YEAR('Deal maths'!AA528)-YEAR(IF('Deal maths'!Z528&gt;0,'Deal maths'!Z528,DATE(1990,1,1))))*12+MONTH('Deal maths'!AA528)-MONTH(IF('Deal maths'!Z528&gt;0,'Deal maths'!Z528,DATE(1990,1,1))))/D528))*D528)),IF(DAY('Deal maths'!AA528+1)=1,EOMONTH('Deal maths'!AA528,-(INT(((YEAR('Deal maths'!AA528)-YEAR(IF('Deal maths'!Z528&gt;0,'Deal maths'!Z528,DATE(1990,1,1))))*12+MONTH('Deal maths'!AA528)-MONTH(IF('Deal maths'!Z528&gt;0,'Deal maths'!Z528,DATE(1990,1,1))))/D528)-1)*D528),EDATE('Deal maths'!AA528,-(INT(((YEAR('Deal maths'!AA528)-YEAR(IF('Deal maths'!Z528&gt;0,'Deal maths'!Z528,DATE(1990,1,1))))*12+MONTH('Deal maths'!AA528)-MONTH(IF('Deal maths'!Z528&gt;0,'Deal maths'!Z528,DATE(1990,1,1))))/D528)-1)*D528))))),0)</f>
        <v/>
      </c>
      <c r="F528" s="110">
        <f>IF(D528=0,0,'Deal maths'!AB528*D528/12)</f>
        <v/>
      </c>
      <c r="G528" s="108">
        <f>N528+O528</f>
        <v/>
      </c>
      <c r="H528" s="108">
        <f>IFERROR(IF(OR(D528=0,AsAt&lt;E528),0,MIN(N528,INT(((YEAR(AsAt)-YEAR(E528))*12+MONTH(AsAt)-MONTH(E528)-(DAY(AsAt)&lt;MIN(R528,DAY(EOMONTH(AsAt,0)))))/D528)+1)+O528*(AsAt&gt;='Deal maths'!AA528)),0)</f>
        <v/>
      </c>
      <c r="I528" s="108">
        <f>G528-H528</f>
        <v/>
      </c>
      <c r="J528" s="111">
        <f>IF(AND(C528="EIP",I528&gt;0),'Deal maths'!Y528/I528,0)</f>
        <v/>
      </c>
      <c r="K528" s="111">
        <f>IF(AND(C528="Annuity",I528&gt;0),IF(F528&gt;0,'Deal maths'!Y528*F528/(1-(1+F528)^-I528),'Deal maths'!Y528/I528),0)</f>
        <v/>
      </c>
      <c r="L528" s="111">
        <f>IF('Deal maths'!Y528="",0,'Deal maths'!Y528)</f>
        <v/>
      </c>
      <c r="M528" s="112">
        <f>F528+(F528=0)</f>
        <v/>
      </c>
      <c r="N528" s="108">
        <f>IFERROR(IF(D528=0,0,INT(((YEAR('Deal maths'!AA528)-YEAR(E528))*12+MONTH('Deal maths'!AA528)-MONTH(E528)-(DAY('Deal maths'!AA528)&lt;MIN(R528,DAY(EOMONTH('Deal maths'!AA528,0)))))/D528)+1),0)</f>
        <v/>
      </c>
      <c r="O528" s="108">
        <f>IFERROR(IF(D528=0,0,IF(IF(DAY(E528+1)=1,EOMONTH(E528,(N528-1)*D528),EDATE(E528,(N528-1)*D528))='Deal maths'!AA528,0,1)),0)</f>
        <v/>
      </c>
      <c r="P528" s="113">
        <f>IF(B528=0,0,IFERROR(IF(C528="EIP",((I528-O528)*((IF(DAY(E528+1)=1,EOMONTH(E528,H528*D528),EDATE(E528,H528*D528))-AsAt)/365.25+(IF(DAY(E528+1)=1,EOMONTH(E528,(N528-1)*D528),EDATE(E528,(N528-1)*D528))-AsAt)/365.25)/2+O528*('Deal maths'!AA528-AsAt)/365.25)/I528,IF(C528="Annuity",IF(F528&gt;0,((K528-L528*F528)*((IF(DAY(E528+1)=1,EOMONTH(E528,H528*D528),EDATE(E528,H528*D528))-AsAt)/365.25*((1+F528)^(I528-O528)-1)/F528+IF((I528-O528)&gt;1,((IF(DAY(E528+1)=1,EOMONTH(E528,(N528-1)*D528),EDATE(E528,(N528-1)*D528))-AsAt)/365.25-(IF(DAY(E528+1)=1,EOMONTH(E528,H528*D528),EDATE(E528,H528*D528))-AsAt)/365.25)/((I528-O528)-1),0)*(1+F528)*(1-(I528-O528)*(1+F528)^((I528-O528)-1)+((I528-O528)-1)*(1+F528)^(I528-O528))/F528^2)+O528*(K528-L528*F528)*(1+F528)^(I528-1)*('Deal maths'!AA528-AsAt)/365.25)/L528,((I528-O528)*((IF(DAY(E528+1)=1,EOMONTH(E528,H528*D528),EDATE(E528,H528*D528))-AsAt)/365.25+(IF(DAY(E528+1)=1,EOMONTH(E528,(N528-1)*D528),EDATE(E528,(N528-1)*D528))-AsAt)/365.25)/2+O528*('Deal maths'!AA528-AsAt)/365.25)/I528),(S528-AsAt)/365.25)),0))</f>
        <v/>
      </c>
      <c r="Q528" s="109">
        <f>IF(B528=1,'Deal maths'!AA528+ROW()/1000000,"")</f>
        <v/>
      </c>
      <c r="R528" s="108">
        <f>IF(D528=0,0,IF(DAY(E528+1)=1,31,DAY(E528)))</f>
        <v/>
      </c>
      <c r="S528" s="109">
        <f>IF(AND('Deal maths'!V528="LOBO",'Deal maths'!AG528&gt;AsAt,'Deal maths'!AG528&lt;'Deal maths'!AA528),'Deal maths'!AG528,'Deal maths'!AA528)</f>
        <v/>
      </c>
      <c r="T528" s="108">
        <f>('Deal maths'!AA528&gt;AsAt)*('Deal maths'!Y528&gt;0)</f>
        <v/>
      </c>
    </row>
    <row r="529">
      <c r="A529" s="91">
        <f>IF('Deal maths'!V529="","",'Deal maths'!W529)</f>
        <v/>
      </c>
      <c r="B529" s="108">
        <f>('Deal maths'!AA529&gt;AsAt)*('Deal maths'!Y529&gt;0)*('Deal maths'!Z529&lt;=AsAt)</f>
        <v/>
      </c>
      <c r="C529" s="91">
        <f>IF('Deal maths'!V529="","",IF('Deal maths'!AC529="","Maturity",'Deal maths'!AC529))</f>
        <v/>
      </c>
      <c r="D529" s="108">
        <f>IF(OR(C529="EIP",C529="Annuity"),IF('Deal maths'!AD529="Annual",12,IF('Deal maths'!AD529="Quarterly",3,6)),0)</f>
        <v/>
      </c>
      <c r="E529" s="109">
        <f>IFERROR(IF(D529=0,0,IF('Deal maths'!AE529&gt;0,IF('Deal maths'!AE529&gt;'Deal maths'!AA529,'Deal maths'!AA529,'Deal maths'!AE529),IF(IF(DAY('Deal maths'!AA529+1)=1,EOMONTH('Deal maths'!AA529,-(INT(((YEAR('Deal maths'!AA529)-YEAR(IF('Deal maths'!Z529&gt;0,'Deal maths'!Z529,DATE(1990,1,1))))*12+MONTH('Deal maths'!AA529)-MONTH(IF('Deal maths'!Z529&gt;0,'Deal maths'!Z529,DATE(1990,1,1))))/D529))*D529),EDATE('Deal maths'!AA529,-(INT(((YEAR('Deal maths'!AA529)-YEAR(IF('Deal maths'!Z529&gt;0,'Deal maths'!Z529,DATE(1990,1,1))))*12+MONTH('Deal maths'!AA529)-MONTH(IF('Deal maths'!Z529&gt;0,'Deal maths'!Z529,DATE(1990,1,1))))/D529))*D529))&gt;IF('Deal maths'!Z529&gt;0,'Deal maths'!Z529,DATE(1990,1,1)),IF(DAY('Deal maths'!AA529+1)=1,EOMONTH('Deal maths'!AA529,-(INT(((YEAR('Deal maths'!AA529)-YEAR(IF('Deal maths'!Z529&gt;0,'Deal maths'!Z529,DATE(1990,1,1))))*12+MONTH('Deal maths'!AA529)-MONTH(IF('Deal maths'!Z529&gt;0,'Deal maths'!Z529,DATE(1990,1,1))))/D529))*D529),EDATE('Deal maths'!AA529,-(INT(((YEAR('Deal maths'!AA529)-YEAR(IF('Deal maths'!Z529&gt;0,'Deal maths'!Z529,DATE(1990,1,1))))*12+MONTH('Deal maths'!AA529)-MONTH(IF('Deal maths'!Z529&gt;0,'Deal maths'!Z529,DATE(1990,1,1))))/D529))*D529)),IF(DAY('Deal maths'!AA529+1)=1,EOMONTH('Deal maths'!AA529,-(INT(((YEAR('Deal maths'!AA529)-YEAR(IF('Deal maths'!Z529&gt;0,'Deal maths'!Z529,DATE(1990,1,1))))*12+MONTH('Deal maths'!AA529)-MONTH(IF('Deal maths'!Z529&gt;0,'Deal maths'!Z529,DATE(1990,1,1))))/D529)-1)*D529),EDATE('Deal maths'!AA529,-(INT(((YEAR('Deal maths'!AA529)-YEAR(IF('Deal maths'!Z529&gt;0,'Deal maths'!Z529,DATE(1990,1,1))))*12+MONTH('Deal maths'!AA529)-MONTH(IF('Deal maths'!Z529&gt;0,'Deal maths'!Z529,DATE(1990,1,1))))/D529)-1)*D529))))),0)</f>
        <v/>
      </c>
      <c r="F529" s="110">
        <f>IF(D529=0,0,'Deal maths'!AB529*D529/12)</f>
        <v/>
      </c>
      <c r="G529" s="108">
        <f>N529+O529</f>
        <v/>
      </c>
      <c r="H529" s="108">
        <f>IFERROR(IF(OR(D529=0,AsAt&lt;E529),0,MIN(N529,INT(((YEAR(AsAt)-YEAR(E529))*12+MONTH(AsAt)-MONTH(E529)-(DAY(AsAt)&lt;MIN(R529,DAY(EOMONTH(AsAt,0)))))/D529)+1)+O529*(AsAt&gt;='Deal maths'!AA529)),0)</f>
        <v/>
      </c>
      <c r="I529" s="108">
        <f>G529-H529</f>
        <v/>
      </c>
      <c r="J529" s="111">
        <f>IF(AND(C529="EIP",I529&gt;0),'Deal maths'!Y529/I529,0)</f>
        <v/>
      </c>
      <c r="K529" s="111">
        <f>IF(AND(C529="Annuity",I529&gt;0),IF(F529&gt;0,'Deal maths'!Y529*F529/(1-(1+F529)^-I529),'Deal maths'!Y529/I529),0)</f>
        <v/>
      </c>
      <c r="L529" s="111">
        <f>IF('Deal maths'!Y529="",0,'Deal maths'!Y529)</f>
        <v/>
      </c>
      <c r="M529" s="112">
        <f>F529+(F529=0)</f>
        <v/>
      </c>
      <c r="N529" s="108">
        <f>IFERROR(IF(D529=0,0,INT(((YEAR('Deal maths'!AA529)-YEAR(E529))*12+MONTH('Deal maths'!AA529)-MONTH(E529)-(DAY('Deal maths'!AA529)&lt;MIN(R529,DAY(EOMONTH('Deal maths'!AA529,0)))))/D529)+1),0)</f>
        <v/>
      </c>
      <c r="O529" s="108">
        <f>IFERROR(IF(D529=0,0,IF(IF(DAY(E529+1)=1,EOMONTH(E529,(N529-1)*D529),EDATE(E529,(N529-1)*D529))='Deal maths'!AA529,0,1)),0)</f>
        <v/>
      </c>
      <c r="P529" s="113">
        <f>IF(B529=0,0,IFERROR(IF(C529="EIP",((I529-O529)*((IF(DAY(E529+1)=1,EOMONTH(E529,H529*D529),EDATE(E529,H529*D529))-AsAt)/365.25+(IF(DAY(E529+1)=1,EOMONTH(E529,(N529-1)*D529),EDATE(E529,(N529-1)*D529))-AsAt)/365.25)/2+O529*('Deal maths'!AA529-AsAt)/365.25)/I529,IF(C529="Annuity",IF(F529&gt;0,((K529-L529*F529)*((IF(DAY(E529+1)=1,EOMONTH(E529,H529*D529),EDATE(E529,H529*D529))-AsAt)/365.25*((1+F529)^(I529-O529)-1)/F529+IF((I529-O529)&gt;1,((IF(DAY(E529+1)=1,EOMONTH(E529,(N529-1)*D529),EDATE(E529,(N529-1)*D529))-AsAt)/365.25-(IF(DAY(E529+1)=1,EOMONTH(E529,H529*D529),EDATE(E529,H529*D529))-AsAt)/365.25)/((I529-O529)-1),0)*(1+F529)*(1-(I529-O529)*(1+F529)^((I529-O529)-1)+((I529-O529)-1)*(1+F529)^(I529-O529))/F529^2)+O529*(K529-L529*F529)*(1+F529)^(I529-1)*('Deal maths'!AA529-AsAt)/365.25)/L529,((I529-O529)*((IF(DAY(E529+1)=1,EOMONTH(E529,H529*D529),EDATE(E529,H529*D529))-AsAt)/365.25+(IF(DAY(E529+1)=1,EOMONTH(E529,(N529-1)*D529),EDATE(E529,(N529-1)*D529))-AsAt)/365.25)/2+O529*('Deal maths'!AA529-AsAt)/365.25)/I529),(S529-AsAt)/365.25)),0))</f>
        <v/>
      </c>
      <c r="Q529" s="109">
        <f>IF(B529=1,'Deal maths'!AA529+ROW()/1000000,"")</f>
        <v/>
      </c>
      <c r="R529" s="108">
        <f>IF(D529=0,0,IF(DAY(E529+1)=1,31,DAY(E529)))</f>
        <v/>
      </c>
      <c r="S529" s="109">
        <f>IF(AND('Deal maths'!V529="LOBO",'Deal maths'!AG529&gt;AsAt,'Deal maths'!AG529&lt;'Deal maths'!AA529),'Deal maths'!AG529,'Deal maths'!AA529)</f>
        <v/>
      </c>
      <c r="T529" s="108">
        <f>('Deal maths'!AA529&gt;AsAt)*('Deal maths'!Y529&gt;0)</f>
        <v/>
      </c>
    </row>
    <row r="530">
      <c r="A530" s="91">
        <f>IF('Deal maths'!V530="","",'Deal maths'!W530)</f>
        <v/>
      </c>
      <c r="B530" s="108">
        <f>('Deal maths'!AA530&gt;AsAt)*('Deal maths'!Y530&gt;0)*('Deal maths'!Z530&lt;=AsAt)</f>
        <v/>
      </c>
      <c r="C530" s="91">
        <f>IF('Deal maths'!V530="","",IF('Deal maths'!AC530="","Maturity",'Deal maths'!AC530))</f>
        <v/>
      </c>
      <c r="D530" s="108">
        <f>IF(OR(C530="EIP",C530="Annuity"),IF('Deal maths'!AD530="Annual",12,IF('Deal maths'!AD530="Quarterly",3,6)),0)</f>
        <v/>
      </c>
      <c r="E530" s="109">
        <f>IFERROR(IF(D530=0,0,IF('Deal maths'!AE530&gt;0,IF('Deal maths'!AE530&gt;'Deal maths'!AA530,'Deal maths'!AA530,'Deal maths'!AE530),IF(IF(DAY('Deal maths'!AA530+1)=1,EOMONTH('Deal maths'!AA530,-(INT(((YEAR('Deal maths'!AA530)-YEAR(IF('Deal maths'!Z530&gt;0,'Deal maths'!Z530,DATE(1990,1,1))))*12+MONTH('Deal maths'!AA530)-MONTH(IF('Deal maths'!Z530&gt;0,'Deal maths'!Z530,DATE(1990,1,1))))/D530))*D530),EDATE('Deal maths'!AA530,-(INT(((YEAR('Deal maths'!AA530)-YEAR(IF('Deal maths'!Z530&gt;0,'Deal maths'!Z530,DATE(1990,1,1))))*12+MONTH('Deal maths'!AA530)-MONTH(IF('Deal maths'!Z530&gt;0,'Deal maths'!Z530,DATE(1990,1,1))))/D530))*D530))&gt;IF('Deal maths'!Z530&gt;0,'Deal maths'!Z530,DATE(1990,1,1)),IF(DAY('Deal maths'!AA530+1)=1,EOMONTH('Deal maths'!AA530,-(INT(((YEAR('Deal maths'!AA530)-YEAR(IF('Deal maths'!Z530&gt;0,'Deal maths'!Z530,DATE(1990,1,1))))*12+MONTH('Deal maths'!AA530)-MONTH(IF('Deal maths'!Z530&gt;0,'Deal maths'!Z530,DATE(1990,1,1))))/D530))*D530),EDATE('Deal maths'!AA530,-(INT(((YEAR('Deal maths'!AA530)-YEAR(IF('Deal maths'!Z530&gt;0,'Deal maths'!Z530,DATE(1990,1,1))))*12+MONTH('Deal maths'!AA530)-MONTH(IF('Deal maths'!Z530&gt;0,'Deal maths'!Z530,DATE(1990,1,1))))/D530))*D530)),IF(DAY('Deal maths'!AA530+1)=1,EOMONTH('Deal maths'!AA530,-(INT(((YEAR('Deal maths'!AA530)-YEAR(IF('Deal maths'!Z530&gt;0,'Deal maths'!Z530,DATE(1990,1,1))))*12+MONTH('Deal maths'!AA530)-MONTH(IF('Deal maths'!Z530&gt;0,'Deal maths'!Z530,DATE(1990,1,1))))/D530)-1)*D530),EDATE('Deal maths'!AA530,-(INT(((YEAR('Deal maths'!AA530)-YEAR(IF('Deal maths'!Z530&gt;0,'Deal maths'!Z530,DATE(1990,1,1))))*12+MONTH('Deal maths'!AA530)-MONTH(IF('Deal maths'!Z530&gt;0,'Deal maths'!Z530,DATE(1990,1,1))))/D530)-1)*D530))))),0)</f>
        <v/>
      </c>
      <c r="F530" s="110">
        <f>IF(D530=0,0,'Deal maths'!AB530*D530/12)</f>
        <v/>
      </c>
      <c r="G530" s="108">
        <f>N530+O530</f>
        <v/>
      </c>
      <c r="H530" s="108">
        <f>IFERROR(IF(OR(D530=0,AsAt&lt;E530),0,MIN(N530,INT(((YEAR(AsAt)-YEAR(E530))*12+MONTH(AsAt)-MONTH(E530)-(DAY(AsAt)&lt;MIN(R530,DAY(EOMONTH(AsAt,0)))))/D530)+1)+O530*(AsAt&gt;='Deal maths'!AA530)),0)</f>
        <v/>
      </c>
      <c r="I530" s="108">
        <f>G530-H530</f>
        <v/>
      </c>
      <c r="J530" s="111">
        <f>IF(AND(C530="EIP",I530&gt;0),'Deal maths'!Y530/I530,0)</f>
        <v/>
      </c>
      <c r="K530" s="111">
        <f>IF(AND(C530="Annuity",I530&gt;0),IF(F530&gt;0,'Deal maths'!Y530*F530/(1-(1+F530)^-I530),'Deal maths'!Y530/I530),0)</f>
        <v/>
      </c>
      <c r="L530" s="111">
        <f>IF('Deal maths'!Y530="",0,'Deal maths'!Y530)</f>
        <v/>
      </c>
      <c r="M530" s="112">
        <f>F530+(F530=0)</f>
        <v/>
      </c>
      <c r="N530" s="108">
        <f>IFERROR(IF(D530=0,0,INT(((YEAR('Deal maths'!AA530)-YEAR(E530))*12+MONTH('Deal maths'!AA530)-MONTH(E530)-(DAY('Deal maths'!AA530)&lt;MIN(R530,DAY(EOMONTH('Deal maths'!AA530,0)))))/D530)+1),0)</f>
        <v/>
      </c>
      <c r="O530" s="108">
        <f>IFERROR(IF(D530=0,0,IF(IF(DAY(E530+1)=1,EOMONTH(E530,(N530-1)*D530),EDATE(E530,(N530-1)*D530))='Deal maths'!AA530,0,1)),0)</f>
        <v/>
      </c>
      <c r="P530" s="113">
        <f>IF(B530=0,0,IFERROR(IF(C530="EIP",((I530-O530)*((IF(DAY(E530+1)=1,EOMONTH(E530,H530*D530),EDATE(E530,H530*D530))-AsAt)/365.25+(IF(DAY(E530+1)=1,EOMONTH(E530,(N530-1)*D530),EDATE(E530,(N530-1)*D530))-AsAt)/365.25)/2+O530*('Deal maths'!AA530-AsAt)/365.25)/I530,IF(C530="Annuity",IF(F530&gt;0,((K530-L530*F530)*((IF(DAY(E530+1)=1,EOMONTH(E530,H530*D530),EDATE(E530,H530*D530))-AsAt)/365.25*((1+F530)^(I530-O530)-1)/F530+IF((I530-O530)&gt;1,((IF(DAY(E530+1)=1,EOMONTH(E530,(N530-1)*D530),EDATE(E530,(N530-1)*D530))-AsAt)/365.25-(IF(DAY(E530+1)=1,EOMONTH(E530,H530*D530),EDATE(E530,H530*D530))-AsAt)/365.25)/((I530-O530)-1),0)*(1+F530)*(1-(I530-O530)*(1+F530)^((I530-O530)-1)+((I530-O530)-1)*(1+F530)^(I530-O530))/F530^2)+O530*(K530-L530*F530)*(1+F530)^(I530-1)*('Deal maths'!AA530-AsAt)/365.25)/L530,((I530-O530)*((IF(DAY(E530+1)=1,EOMONTH(E530,H530*D530),EDATE(E530,H530*D530))-AsAt)/365.25+(IF(DAY(E530+1)=1,EOMONTH(E530,(N530-1)*D530),EDATE(E530,(N530-1)*D530))-AsAt)/365.25)/2+O530*('Deal maths'!AA530-AsAt)/365.25)/I530),(S530-AsAt)/365.25)),0))</f>
        <v/>
      </c>
      <c r="Q530" s="109">
        <f>IF(B530=1,'Deal maths'!AA530+ROW()/1000000,"")</f>
        <v/>
      </c>
      <c r="R530" s="108">
        <f>IF(D530=0,0,IF(DAY(E530+1)=1,31,DAY(E530)))</f>
        <v/>
      </c>
      <c r="S530" s="109">
        <f>IF(AND('Deal maths'!V530="LOBO",'Deal maths'!AG530&gt;AsAt,'Deal maths'!AG530&lt;'Deal maths'!AA530),'Deal maths'!AG530,'Deal maths'!AA530)</f>
        <v/>
      </c>
      <c r="T530" s="108">
        <f>('Deal maths'!AA530&gt;AsAt)*('Deal maths'!Y530&gt;0)</f>
        <v/>
      </c>
    </row>
    <row r="531">
      <c r="A531" s="91">
        <f>IF('Deal maths'!V531="","",'Deal maths'!W531)</f>
        <v/>
      </c>
      <c r="B531" s="108">
        <f>('Deal maths'!AA531&gt;AsAt)*('Deal maths'!Y531&gt;0)*('Deal maths'!Z531&lt;=AsAt)</f>
        <v/>
      </c>
      <c r="C531" s="91">
        <f>IF('Deal maths'!V531="","",IF('Deal maths'!AC531="","Maturity",'Deal maths'!AC531))</f>
        <v/>
      </c>
      <c r="D531" s="108">
        <f>IF(OR(C531="EIP",C531="Annuity"),IF('Deal maths'!AD531="Annual",12,IF('Deal maths'!AD531="Quarterly",3,6)),0)</f>
        <v/>
      </c>
      <c r="E531" s="109">
        <f>IFERROR(IF(D531=0,0,IF('Deal maths'!AE531&gt;0,IF('Deal maths'!AE531&gt;'Deal maths'!AA531,'Deal maths'!AA531,'Deal maths'!AE531),IF(IF(DAY('Deal maths'!AA531+1)=1,EOMONTH('Deal maths'!AA531,-(INT(((YEAR('Deal maths'!AA531)-YEAR(IF('Deal maths'!Z531&gt;0,'Deal maths'!Z531,DATE(1990,1,1))))*12+MONTH('Deal maths'!AA531)-MONTH(IF('Deal maths'!Z531&gt;0,'Deal maths'!Z531,DATE(1990,1,1))))/D531))*D531),EDATE('Deal maths'!AA531,-(INT(((YEAR('Deal maths'!AA531)-YEAR(IF('Deal maths'!Z531&gt;0,'Deal maths'!Z531,DATE(1990,1,1))))*12+MONTH('Deal maths'!AA531)-MONTH(IF('Deal maths'!Z531&gt;0,'Deal maths'!Z531,DATE(1990,1,1))))/D531))*D531))&gt;IF('Deal maths'!Z531&gt;0,'Deal maths'!Z531,DATE(1990,1,1)),IF(DAY('Deal maths'!AA531+1)=1,EOMONTH('Deal maths'!AA531,-(INT(((YEAR('Deal maths'!AA531)-YEAR(IF('Deal maths'!Z531&gt;0,'Deal maths'!Z531,DATE(1990,1,1))))*12+MONTH('Deal maths'!AA531)-MONTH(IF('Deal maths'!Z531&gt;0,'Deal maths'!Z531,DATE(1990,1,1))))/D531))*D531),EDATE('Deal maths'!AA531,-(INT(((YEAR('Deal maths'!AA531)-YEAR(IF('Deal maths'!Z531&gt;0,'Deal maths'!Z531,DATE(1990,1,1))))*12+MONTH('Deal maths'!AA531)-MONTH(IF('Deal maths'!Z531&gt;0,'Deal maths'!Z531,DATE(1990,1,1))))/D531))*D531)),IF(DAY('Deal maths'!AA531+1)=1,EOMONTH('Deal maths'!AA531,-(INT(((YEAR('Deal maths'!AA531)-YEAR(IF('Deal maths'!Z531&gt;0,'Deal maths'!Z531,DATE(1990,1,1))))*12+MONTH('Deal maths'!AA531)-MONTH(IF('Deal maths'!Z531&gt;0,'Deal maths'!Z531,DATE(1990,1,1))))/D531)-1)*D531),EDATE('Deal maths'!AA531,-(INT(((YEAR('Deal maths'!AA531)-YEAR(IF('Deal maths'!Z531&gt;0,'Deal maths'!Z531,DATE(1990,1,1))))*12+MONTH('Deal maths'!AA531)-MONTH(IF('Deal maths'!Z531&gt;0,'Deal maths'!Z531,DATE(1990,1,1))))/D531)-1)*D531))))),0)</f>
        <v/>
      </c>
      <c r="F531" s="110">
        <f>IF(D531=0,0,'Deal maths'!AB531*D531/12)</f>
        <v/>
      </c>
      <c r="G531" s="108">
        <f>N531+O531</f>
        <v/>
      </c>
      <c r="H531" s="108">
        <f>IFERROR(IF(OR(D531=0,AsAt&lt;E531),0,MIN(N531,INT(((YEAR(AsAt)-YEAR(E531))*12+MONTH(AsAt)-MONTH(E531)-(DAY(AsAt)&lt;MIN(R531,DAY(EOMONTH(AsAt,0)))))/D531)+1)+O531*(AsAt&gt;='Deal maths'!AA531)),0)</f>
        <v/>
      </c>
      <c r="I531" s="108">
        <f>G531-H531</f>
        <v/>
      </c>
      <c r="J531" s="111">
        <f>IF(AND(C531="EIP",I531&gt;0),'Deal maths'!Y531/I531,0)</f>
        <v/>
      </c>
      <c r="K531" s="111">
        <f>IF(AND(C531="Annuity",I531&gt;0),IF(F531&gt;0,'Deal maths'!Y531*F531/(1-(1+F531)^-I531),'Deal maths'!Y531/I531),0)</f>
        <v/>
      </c>
      <c r="L531" s="111">
        <f>IF('Deal maths'!Y531="",0,'Deal maths'!Y531)</f>
        <v/>
      </c>
      <c r="M531" s="112">
        <f>F531+(F531=0)</f>
        <v/>
      </c>
      <c r="N531" s="108">
        <f>IFERROR(IF(D531=0,0,INT(((YEAR('Deal maths'!AA531)-YEAR(E531))*12+MONTH('Deal maths'!AA531)-MONTH(E531)-(DAY('Deal maths'!AA531)&lt;MIN(R531,DAY(EOMONTH('Deal maths'!AA531,0)))))/D531)+1),0)</f>
        <v/>
      </c>
      <c r="O531" s="108">
        <f>IFERROR(IF(D531=0,0,IF(IF(DAY(E531+1)=1,EOMONTH(E531,(N531-1)*D531),EDATE(E531,(N531-1)*D531))='Deal maths'!AA531,0,1)),0)</f>
        <v/>
      </c>
      <c r="P531" s="113">
        <f>IF(B531=0,0,IFERROR(IF(C531="EIP",((I531-O531)*((IF(DAY(E531+1)=1,EOMONTH(E531,H531*D531),EDATE(E531,H531*D531))-AsAt)/365.25+(IF(DAY(E531+1)=1,EOMONTH(E531,(N531-1)*D531),EDATE(E531,(N531-1)*D531))-AsAt)/365.25)/2+O531*('Deal maths'!AA531-AsAt)/365.25)/I531,IF(C531="Annuity",IF(F531&gt;0,((K531-L531*F531)*((IF(DAY(E531+1)=1,EOMONTH(E531,H531*D531),EDATE(E531,H531*D531))-AsAt)/365.25*((1+F531)^(I531-O531)-1)/F531+IF((I531-O531)&gt;1,((IF(DAY(E531+1)=1,EOMONTH(E531,(N531-1)*D531),EDATE(E531,(N531-1)*D531))-AsAt)/365.25-(IF(DAY(E531+1)=1,EOMONTH(E531,H531*D531),EDATE(E531,H531*D531))-AsAt)/365.25)/((I531-O531)-1),0)*(1+F531)*(1-(I531-O531)*(1+F531)^((I531-O531)-1)+((I531-O531)-1)*(1+F531)^(I531-O531))/F531^2)+O531*(K531-L531*F531)*(1+F531)^(I531-1)*('Deal maths'!AA531-AsAt)/365.25)/L531,((I531-O531)*((IF(DAY(E531+1)=1,EOMONTH(E531,H531*D531),EDATE(E531,H531*D531))-AsAt)/365.25+(IF(DAY(E531+1)=1,EOMONTH(E531,(N531-1)*D531),EDATE(E531,(N531-1)*D531))-AsAt)/365.25)/2+O531*('Deal maths'!AA531-AsAt)/365.25)/I531),(S531-AsAt)/365.25)),0))</f>
        <v/>
      </c>
      <c r="Q531" s="109">
        <f>IF(B531=1,'Deal maths'!AA531+ROW()/1000000,"")</f>
        <v/>
      </c>
      <c r="R531" s="108">
        <f>IF(D531=0,0,IF(DAY(E531+1)=1,31,DAY(E531)))</f>
        <v/>
      </c>
      <c r="S531" s="109">
        <f>IF(AND('Deal maths'!V531="LOBO",'Deal maths'!AG531&gt;AsAt,'Deal maths'!AG531&lt;'Deal maths'!AA531),'Deal maths'!AG531,'Deal maths'!AA531)</f>
        <v/>
      </c>
      <c r="T531" s="108">
        <f>('Deal maths'!AA531&gt;AsAt)*('Deal maths'!Y531&gt;0)</f>
        <v/>
      </c>
    </row>
    <row r="532">
      <c r="A532" s="91">
        <f>IF('Deal maths'!V532="","",'Deal maths'!W532)</f>
        <v/>
      </c>
      <c r="B532" s="108">
        <f>('Deal maths'!AA532&gt;AsAt)*('Deal maths'!Y532&gt;0)*('Deal maths'!Z532&lt;=AsAt)</f>
        <v/>
      </c>
      <c r="C532" s="91">
        <f>IF('Deal maths'!V532="","",IF('Deal maths'!AC532="","Maturity",'Deal maths'!AC532))</f>
        <v/>
      </c>
      <c r="D532" s="108">
        <f>IF(OR(C532="EIP",C532="Annuity"),IF('Deal maths'!AD532="Annual",12,IF('Deal maths'!AD532="Quarterly",3,6)),0)</f>
        <v/>
      </c>
      <c r="E532" s="109">
        <f>IFERROR(IF(D532=0,0,IF('Deal maths'!AE532&gt;0,IF('Deal maths'!AE532&gt;'Deal maths'!AA532,'Deal maths'!AA532,'Deal maths'!AE532),IF(IF(DAY('Deal maths'!AA532+1)=1,EOMONTH('Deal maths'!AA532,-(INT(((YEAR('Deal maths'!AA532)-YEAR(IF('Deal maths'!Z532&gt;0,'Deal maths'!Z532,DATE(1990,1,1))))*12+MONTH('Deal maths'!AA532)-MONTH(IF('Deal maths'!Z532&gt;0,'Deal maths'!Z532,DATE(1990,1,1))))/D532))*D532),EDATE('Deal maths'!AA532,-(INT(((YEAR('Deal maths'!AA532)-YEAR(IF('Deal maths'!Z532&gt;0,'Deal maths'!Z532,DATE(1990,1,1))))*12+MONTH('Deal maths'!AA532)-MONTH(IF('Deal maths'!Z532&gt;0,'Deal maths'!Z532,DATE(1990,1,1))))/D532))*D532))&gt;IF('Deal maths'!Z532&gt;0,'Deal maths'!Z532,DATE(1990,1,1)),IF(DAY('Deal maths'!AA532+1)=1,EOMONTH('Deal maths'!AA532,-(INT(((YEAR('Deal maths'!AA532)-YEAR(IF('Deal maths'!Z532&gt;0,'Deal maths'!Z532,DATE(1990,1,1))))*12+MONTH('Deal maths'!AA532)-MONTH(IF('Deal maths'!Z532&gt;0,'Deal maths'!Z532,DATE(1990,1,1))))/D532))*D532),EDATE('Deal maths'!AA532,-(INT(((YEAR('Deal maths'!AA532)-YEAR(IF('Deal maths'!Z532&gt;0,'Deal maths'!Z532,DATE(1990,1,1))))*12+MONTH('Deal maths'!AA532)-MONTH(IF('Deal maths'!Z532&gt;0,'Deal maths'!Z532,DATE(1990,1,1))))/D532))*D532)),IF(DAY('Deal maths'!AA532+1)=1,EOMONTH('Deal maths'!AA532,-(INT(((YEAR('Deal maths'!AA532)-YEAR(IF('Deal maths'!Z532&gt;0,'Deal maths'!Z532,DATE(1990,1,1))))*12+MONTH('Deal maths'!AA532)-MONTH(IF('Deal maths'!Z532&gt;0,'Deal maths'!Z532,DATE(1990,1,1))))/D532)-1)*D532),EDATE('Deal maths'!AA532,-(INT(((YEAR('Deal maths'!AA532)-YEAR(IF('Deal maths'!Z532&gt;0,'Deal maths'!Z532,DATE(1990,1,1))))*12+MONTH('Deal maths'!AA532)-MONTH(IF('Deal maths'!Z532&gt;0,'Deal maths'!Z532,DATE(1990,1,1))))/D532)-1)*D532))))),0)</f>
        <v/>
      </c>
      <c r="F532" s="110">
        <f>IF(D532=0,0,'Deal maths'!AB532*D532/12)</f>
        <v/>
      </c>
      <c r="G532" s="108">
        <f>N532+O532</f>
        <v/>
      </c>
      <c r="H532" s="108">
        <f>IFERROR(IF(OR(D532=0,AsAt&lt;E532),0,MIN(N532,INT(((YEAR(AsAt)-YEAR(E532))*12+MONTH(AsAt)-MONTH(E532)-(DAY(AsAt)&lt;MIN(R532,DAY(EOMONTH(AsAt,0)))))/D532)+1)+O532*(AsAt&gt;='Deal maths'!AA532)),0)</f>
        <v/>
      </c>
      <c r="I532" s="108">
        <f>G532-H532</f>
        <v/>
      </c>
      <c r="J532" s="111">
        <f>IF(AND(C532="EIP",I532&gt;0),'Deal maths'!Y532/I532,0)</f>
        <v/>
      </c>
      <c r="K532" s="111">
        <f>IF(AND(C532="Annuity",I532&gt;0),IF(F532&gt;0,'Deal maths'!Y532*F532/(1-(1+F532)^-I532),'Deal maths'!Y532/I532),0)</f>
        <v/>
      </c>
      <c r="L532" s="111">
        <f>IF('Deal maths'!Y532="",0,'Deal maths'!Y532)</f>
        <v/>
      </c>
      <c r="M532" s="112">
        <f>F532+(F532=0)</f>
        <v/>
      </c>
      <c r="N532" s="108">
        <f>IFERROR(IF(D532=0,0,INT(((YEAR('Deal maths'!AA532)-YEAR(E532))*12+MONTH('Deal maths'!AA532)-MONTH(E532)-(DAY('Deal maths'!AA532)&lt;MIN(R532,DAY(EOMONTH('Deal maths'!AA532,0)))))/D532)+1),0)</f>
        <v/>
      </c>
      <c r="O532" s="108">
        <f>IFERROR(IF(D532=0,0,IF(IF(DAY(E532+1)=1,EOMONTH(E532,(N532-1)*D532),EDATE(E532,(N532-1)*D532))='Deal maths'!AA532,0,1)),0)</f>
        <v/>
      </c>
      <c r="P532" s="113">
        <f>IF(B532=0,0,IFERROR(IF(C532="EIP",((I532-O532)*((IF(DAY(E532+1)=1,EOMONTH(E532,H532*D532),EDATE(E532,H532*D532))-AsAt)/365.25+(IF(DAY(E532+1)=1,EOMONTH(E532,(N532-1)*D532),EDATE(E532,(N532-1)*D532))-AsAt)/365.25)/2+O532*('Deal maths'!AA532-AsAt)/365.25)/I532,IF(C532="Annuity",IF(F532&gt;0,((K532-L532*F532)*((IF(DAY(E532+1)=1,EOMONTH(E532,H532*D532),EDATE(E532,H532*D532))-AsAt)/365.25*((1+F532)^(I532-O532)-1)/F532+IF((I532-O532)&gt;1,((IF(DAY(E532+1)=1,EOMONTH(E532,(N532-1)*D532),EDATE(E532,(N532-1)*D532))-AsAt)/365.25-(IF(DAY(E532+1)=1,EOMONTH(E532,H532*D532),EDATE(E532,H532*D532))-AsAt)/365.25)/((I532-O532)-1),0)*(1+F532)*(1-(I532-O532)*(1+F532)^((I532-O532)-1)+((I532-O532)-1)*(1+F532)^(I532-O532))/F532^2)+O532*(K532-L532*F532)*(1+F532)^(I532-1)*('Deal maths'!AA532-AsAt)/365.25)/L532,((I532-O532)*((IF(DAY(E532+1)=1,EOMONTH(E532,H532*D532),EDATE(E532,H532*D532))-AsAt)/365.25+(IF(DAY(E532+1)=1,EOMONTH(E532,(N532-1)*D532),EDATE(E532,(N532-1)*D532))-AsAt)/365.25)/2+O532*('Deal maths'!AA532-AsAt)/365.25)/I532),(S532-AsAt)/365.25)),0))</f>
        <v/>
      </c>
      <c r="Q532" s="109">
        <f>IF(B532=1,'Deal maths'!AA532+ROW()/1000000,"")</f>
        <v/>
      </c>
      <c r="R532" s="108">
        <f>IF(D532=0,0,IF(DAY(E532+1)=1,31,DAY(E532)))</f>
        <v/>
      </c>
      <c r="S532" s="109">
        <f>IF(AND('Deal maths'!V532="LOBO",'Deal maths'!AG532&gt;AsAt,'Deal maths'!AG532&lt;'Deal maths'!AA532),'Deal maths'!AG532,'Deal maths'!AA532)</f>
        <v/>
      </c>
      <c r="T532" s="108">
        <f>('Deal maths'!AA532&gt;AsAt)*('Deal maths'!Y532&gt;0)</f>
        <v/>
      </c>
    </row>
    <row r="533">
      <c r="A533" s="91">
        <f>IF('Deal maths'!V533="","",'Deal maths'!W533)</f>
        <v/>
      </c>
      <c r="B533" s="108">
        <f>('Deal maths'!AA533&gt;AsAt)*('Deal maths'!Y533&gt;0)*('Deal maths'!Z533&lt;=AsAt)</f>
        <v/>
      </c>
      <c r="C533" s="91">
        <f>IF('Deal maths'!V533="","",IF('Deal maths'!AC533="","Maturity",'Deal maths'!AC533))</f>
        <v/>
      </c>
      <c r="D533" s="108">
        <f>IF(OR(C533="EIP",C533="Annuity"),IF('Deal maths'!AD533="Annual",12,IF('Deal maths'!AD533="Quarterly",3,6)),0)</f>
        <v/>
      </c>
      <c r="E533" s="109">
        <f>IFERROR(IF(D533=0,0,IF('Deal maths'!AE533&gt;0,IF('Deal maths'!AE533&gt;'Deal maths'!AA533,'Deal maths'!AA533,'Deal maths'!AE533),IF(IF(DAY('Deal maths'!AA533+1)=1,EOMONTH('Deal maths'!AA533,-(INT(((YEAR('Deal maths'!AA533)-YEAR(IF('Deal maths'!Z533&gt;0,'Deal maths'!Z533,DATE(1990,1,1))))*12+MONTH('Deal maths'!AA533)-MONTH(IF('Deal maths'!Z533&gt;0,'Deal maths'!Z533,DATE(1990,1,1))))/D533))*D533),EDATE('Deal maths'!AA533,-(INT(((YEAR('Deal maths'!AA533)-YEAR(IF('Deal maths'!Z533&gt;0,'Deal maths'!Z533,DATE(1990,1,1))))*12+MONTH('Deal maths'!AA533)-MONTH(IF('Deal maths'!Z533&gt;0,'Deal maths'!Z533,DATE(1990,1,1))))/D533))*D533))&gt;IF('Deal maths'!Z533&gt;0,'Deal maths'!Z533,DATE(1990,1,1)),IF(DAY('Deal maths'!AA533+1)=1,EOMONTH('Deal maths'!AA533,-(INT(((YEAR('Deal maths'!AA533)-YEAR(IF('Deal maths'!Z533&gt;0,'Deal maths'!Z533,DATE(1990,1,1))))*12+MONTH('Deal maths'!AA533)-MONTH(IF('Deal maths'!Z533&gt;0,'Deal maths'!Z533,DATE(1990,1,1))))/D533))*D533),EDATE('Deal maths'!AA533,-(INT(((YEAR('Deal maths'!AA533)-YEAR(IF('Deal maths'!Z533&gt;0,'Deal maths'!Z533,DATE(1990,1,1))))*12+MONTH('Deal maths'!AA533)-MONTH(IF('Deal maths'!Z533&gt;0,'Deal maths'!Z533,DATE(1990,1,1))))/D533))*D533)),IF(DAY('Deal maths'!AA533+1)=1,EOMONTH('Deal maths'!AA533,-(INT(((YEAR('Deal maths'!AA533)-YEAR(IF('Deal maths'!Z533&gt;0,'Deal maths'!Z533,DATE(1990,1,1))))*12+MONTH('Deal maths'!AA533)-MONTH(IF('Deal maths'!Z533&gt;0,'Deal maths'!Z533,DATE(1990,1,1))))/D533)-1)*D533),EDATE('Deal maths'!AA533,-(INT(((YEAR('Deal maths'!AA533)-YEAR(IF('Deal maths'!Z533&gt;0,'Deal maths'!Z533,DATE(1990,1,1))))*12+MONTH('Deal maths'!AA533)-MONTH(IF('Deal maths'!Z533&gt;0,'Deal maths'!Z533,DATE(1990,1,1))))/D533)-1)*D533))))),0)</f>
        <v/>
      </c>
      <c r="F533" s="110">
        <f>IF(D533=0,0,'Deal maths'!AB533*D533/12)</f>
        <v/>
      </c>
      <c r="G533" s="108">
        <f>N533+O533</f>
        <v/>
      </c>
      <c r="H533" s="108">
        <f>IFERROR(IF(OR(D533=0,AsAt&lt;E533),0,MIN(N533,INT(((YEAR(AsAt)-YEAR(E533))*12+MONTH(AsAt)-MONTH(E533)-(DAY(AsAt)&lt;MIN(R533,DAY(EOMONTH(AsAt,0)))))/D533)+1)+O533*(AsAt&gt;='Deal maths'!AA533)),0)</f>
        <v/>
      </c>
      <c r="I533" s="108">
        <f>G533-H533</f>
        <v/>
      </c>
      <c r="J533" s="111">
        <f>IF(AND(C533="EIP",I533&gt;0),'Deal maths'!Y533/I533,0)</f>
        <v/>
      </c>
      <c r="K533" s="111">
        <f>IF(AND(C533="Annuity",I533&gt;0),IF(F533&gt;0,'Deal maths'!Y533*F533/(1-(1+F533)^-I533),'Deal maths'!Y533/I533),0)</f>
        <v/>
      </c>
      <c r="L533" s="111">
        <f>IF('Deal maths'!Y533="",0,'Deal maths'!Y533)</f>
        <v/>
      </c>
      <c r="M533" s="112">
        <f>F533+(F533=0)</f>
        <v/>
      </c>
      <c r="N533" s="108">
        <f>IFERROR(IF(D533=0,0,INT(((YEAR('Deal maths'!AA533)-YEAR(E533))*12+MONTH('Deal maths'!AA533)-MONTH(E533)-(DAY('Deal maths'!AA533)&lt;MIN(R533,DAY(EOMONTH('Deal maths'!AA533,0)))))/D533)+1),0)</f>
        <v/>
      </c>
      <c r="O533" s="108">
        <f>IFERROR(IF(D533=0,0,IF(IF(DAY(E533+1)=1,EOMONTH(E533,(N533-1)*D533),EDATE(E533,(N533-1)*D533))='Deal maths'!AA533,0,1)),0)</f>
        <v/>
      </c>
      <c r="P533" s="113">
        <f>IF(B533=0,0,IFERROR(IF(C533="EIP",((I533-O533)*((IF(DAY(E533+1)=1,EOMONTH(E533,H533*D533),EDATE(E533,H533*D533))-AsAt)/365.25+(IF(DAY(E533+1)=1,EOMONTH(E533,(N533-1)*D533),EDATE(E533,(N533-1)*D533))-AsAt)/365.25)/2+O533*('Deal maths'!AA533-AsAt)/365.25)/I533,IF(C533="Annuity",IF(F533&gt;0,((K533-L533*F533)*((IF(DAY(E533+1)=1,EOMONTH(E533,H533*D533),EDATE(E533,H533*D533))-AsAt)/365.25*((1+F533)^(I533-O533)-1)/F533+IF((I533-O533)&gt;1,((IF(DAY(E533+1)=1,EOMONTH(E533,(N533-1)*D533),EDATE(E533,(N533-1)*D533))-AsAt)/365.25-(IF(DAY(E533+1)=1,EOMONTH(E533,H533*D533),EDATE(E533,H533*D533))-AsAt)/365.25)/((I533-O533)-1),0)*(1+F533)*(1-(I533-O533)*(1+F533)^((I533-O533)-1)+((I533-O533)-1)*(1+F533)^(I533-O533))/F533^2)+O533*(K533-L533*F533)*(1+F533)^(I533-1)*('Deal maths'!AA533-AsAt)/365.25)/L533,((I533-O533)*((IF(DAY(E533+1)=1,EOMONTH(E533,H533*D533),EDATE(E533,H533*D533))-AsAt)/365.25+(IF(DAY(E533+1)=1,EOMONTH(E533,(N533-1)*D533),EDATE(E533,(N533-1)*D533))-AsAt)/365.25)/2+O533*('Deal maths'!AA533-AsAt)/365.25)/I533),(S533-AsAt)/365.25)),0))</f>
        <v/>
      </c>
      <c r="Q533" s="109">
        <f>IF(B533=1,'Deal maths'!AA533+ROW()/1000000,"")</f>
        <v/>
      </c>
      <c r="R533" s="108">
        <f>IF(D533=0,0,IF(DAY(E533+1)=1,31,DAY(E533)))</f>
        <v/>
      </c>
      <c r="S533" s="109">
        <f>IF(AND('Deal maths'!V533="LOBO",'Deal maths'!AG533&gt;AsAt,'Deal maths'!AG533&lt;'Deal maths'!AA533),'Deal maths'!AG533,'Deal maths'!AA533)</f>
        <v/>
      </c>
      <c r="T533" s="108">
        <f>('Deal maths'!AA533&gt;AsAt)*('Deal maths'!Y533&gt;0)</f>
        <v/>
      </c>
    </row>
    <row r="534">
      <c r="A534" s="91">
        <f>IF('Deal maths'!V534="","",'Deal maths'!W534)</f>
        <v/>
      </c>
      <c r="B534" s="108">
        <f>('Deal maths'!AA534&gt;AsAt)*('Deal maths'!Y534&gt;0)*('Deal maths'!Z534&lt;=AsAt)</f>
        <v/>
      </c>
      <c r="C534" s="91">
        <f>IF('Deal maths'!V534="","",IF('Deal maths'!AC534="","Maturity",'Deal maths'!AC534))</f>
        <v/>
      </c>
      <c r="D534" s="108">
        <f>IF(OR(C534="EIP",C534="Annuity"),IF('Deal maths'!AD534="Annual",12,IF('Deal maths'!AD534="Quarterly",3,6)),0)</f>
        <v/>
      </c>
      <c r="E534" s="109">
        <f>IFERROR(IF(D534=0,0,IF('Deal maths'!AE534&gt;0,IF('Deal maths'!AE534&gt;'Deal maths'!AA534,'Deal maths'!AA534,'Deal maths'!AE534),IF(IF(DAY('Deal maths'!AA534+1)=1,EOMONTH('Deal maths'!AA534,-(INT(((YEAR('Deal maths'!AA534)-YEAR(IF('Deal maths'!Z534&gt;0,'Deal maths'!Z534,DATE(1990,1,1))))*12+MONTH('Deal maths'!AA534)-MONTH(IF('Deal maths'!Z534&gt;0,'Deal maths'!Z534,DATE(1990,1,1))))/D534))*D534),EDATE('Deal maths'!AA534,-(INT(((YEAR('Deal maths'!AA534)-YEAR(IF('Deal maths'!Z534&gt;0,'Deal maths'!Z534,DATE(1990,1,1))))*12+MONTH('Deal maths'!AA534)-MONTH(IF('Deal maths'!Z534&gt;0,'Deal maths'!Z534,DATE(1990,1,1))))/D534))*D534))&gt;IF('Deal maths'!Z534&gt;0,'Deal maths'!Z534,DATE(1990,1,1)),IF(DAY('Deal maths'!AA534+1)=1,EOMONTH('Deal maths'!AA534,-(INT(((YEAR('Deal maths'!AA534)-YEAR(IF('Deal maths'!Z534&gt;0,'Deal maths'!Z534,DATE(1990,1,1))))*12+MONTH('Deal maths'!AA534)-MONTH(IF('Deal maths'!Z534&gt;0,'Deal maths'!Z534,DATE(1990,1,1))))/D534))*D534),EDATE('Deal maths'!AA534,-(INT(((YEAR('Deal maths'!AA534)-YEAR(IF('Deal maths'!Z534&gt;0,'Deal maths'!Z534,DATE(1990,1,1))))*12+MONTH('Deal maths'!AA534)-MONTH(IF('Deal maths'!Z534&gt;0,'Deal maths'!Z534,DATE(1990,1,1))))/D534))*D534)),IF(DAY('Deal maths'!AA534+1)=1,EOMONTH('Deal maths'!AA534,-(INT(((YEAR('Deal maths'!AA534)-YEAR(IF('Deal maths'!Z534&gt;0,'Deal maths'!Z534,DATE(1990,1,1))))*12+MONTH('Deal maths'!AA534)-MONTH(IF('Deal maths'!Z534&gt;0,'Deal maths'!Z534,DATE(1990,1,1))))/D534)-1)*D534),EDATE('Deal maths'!AA534,-(INT(((YEAR('Deal maths'!AA534)-YEAR(IF('Deal maths'!Z534&gt;0,'Deal maths'!Z534,DATE(1990,1,1))))*12+MONTH('Deal maths'!AA534)-MONTH(IF('Deal maths'!Z534&gt;0,'Deal maths'!Z534,DATE(1990,1,1))))/D534)-1)*D534))))),0)</f>
        <v/>
      </c>
      <c r="F534" s="110">
        <f>IF(D534=0,0,'Deal maths'!AB534*D534/12)</f>
        <v/>
      </c>
      <c r="G534" s="108">
        <f>N534+O534</f>
        <v/>
      </c>
      <c r="H534" s="108">
        <f>IFERROR(IF(OR(D534=0,AsAt&lt;E534),0,MIN(N534,INT(((YEAR(AsAt)-YEAR(E534))*12+MONTH(AsAt)-MONTH(E534)-(DAY(AsAt)&lt;MIN(R534,DAY(EOMONTH(AsAt,0)))))/D534)+1)+O534*(AsAt&gt;='Deal maths'!AA534)),0)</f>
        <v/>
      </c>
      <c r="I534" s="108">
        <f>G534-H534</f>
        <v/>
      </c>
      <c r="J534" s="111">
        <f>IF(AND(C534="EIP",I534&gt;0),'Deal maths'!Y534/I534,0)</f>
        <v/>
      </c>
      <c r="K534" s="111">
        <f>IF(AND(C534="Annuity",I534&gt;0),IF(F534&gt;0,'Deal maths'!Y534*F534/(1-(1+F534)^-I534),'Deal maths'!Y534/I534),0)</f>
        <v/>
      </c>
      <c r="L534" s="111">
        <f>IF('Deal maths'!Y534="",0,'Deal maths'!Y534)</f>
        <v/>
      </c>
      <c r="M534" s="112">
        <f>F534+(F534=0)</f>
        <v/>
      </c>
      <c r="N534" s="108">
        <f>IFERROR(IF(D534=0,0,INT(((YEAR('Deal maths'!AA534)-YEAR(E534))*12+MONTH('Deal maths'!AA534)-MONTH(E534)-(DAY('Deal maths'!AA534)&lt;MIN(R534,DAY(EOMONTH('Deal maths'!AA534,0)))))/D534)+1),0)</f>
        <v/>
      </c>
      <c r="O534" s="108">
        <f>IFERROR(IF(D534=0,0,IF(IF(DAY(E534+1)=1,EOMONTH(E534,(N534-1)*D534),EDATE(E534,(N534-1)*D534))='Deal maths'!AA534,0,1)),0)</f>
        <v/>
      </c>
      <c r="P534" s="113">
        <f>IF(B534=0,0,IFERROR(IF(C534="EIP",((I534-O534)*((IF(DAY(E534+1)=1,EOMONTH(E534,H534*D534),EDATE(E534,H534*D534))-AsAt)/365.25+(IF(DAY(E534+1)=1,EOMONTH(E534,(N534-1)*D534),EDATE(E534,(N534-1)*D534))-AsAt)/365.25)/2+O534*('Deal maths'!AA534-AsAt)/365.25)/I534,IF(C534="Annuity",IF(F534&gt;0,((K534-L534*F534)*((IF(DAY(E534+1)=1,EOMONTH(E534,H534*D534),EDATE(E534,H534*D534))-AsAt)/365.25*((1+F534)^(I534-O534)-1)/F534+IF((I534-O534)&gt;1,((IF(DAY(E534+1)=1,EOMONTH(E534,(N534-1)*D534),EDATE(E534,(N534-1)*D534))-AsAt)/365.25-(IF(DAY(E534+1)=1,EOMONTH(E534,H534*D534),EDATE(E534,H534*D534))-AsAt)/365.25)/((I534-O534)-1),0)*(1+F534)*(1-(I534-O534)*(1+F534)^((I534-O534)-1)+((I534-O534)-1)*(1+F534)^(I534-O534))/F534^2)+O534*(K534-L534*F534)*(1+F534)^(I534-1)*('Deal maths'!AA534-AsAt)/365.25)/L534,((I534-O534)*((IF(DAY(E534+1)=1,EOMONTH(E534,H534*D534),EDATE(E534,H534*D534))-AsAt)/365.25+(IF(DAY(E534+1)=1,EOMONTH(E534,(N534-1)*D534),EDATE(E534,(N534-1)*D534))-AsAt)/365.25)/2+O534*('Deal maths'!AA534-AsAt)/365.25)/I534),(S534-AsAt)/365.25)),0))</f>
        <v/>
      </c>
      <c r="Q534" s="109">
        <f>IF(B534=1,'Deal maths'!AA534+ROW()/1000000,"")</f>
        <v/>
      </c>
      <c r="R534" s="108">
        <f>IF(D534=0,0,IF(DAY(E534+1)=1,31,DAY(E534)))</f>
        <v/>
      </c>
      <c r="S534" s="109">
        <f>IF(AND('Deal maths'!V534="LOBO",'Deal maths'!AG534&gt;AsAt,'Deal maths'!AG534&lt;'Deal maths'!AA534),'Deal maths'!AG534,'Deal maths'!AA534)</f>
        <v/>
      </c>
      <c r="T534" s="108">
        <f>('Deal maths'!AA534&gt;AsAt)*('Deal maths'!Y534&gt;0)</f>
        <v/>
      </c>
    </row>
    <row r="535">
      <c r="A535" s="91">
        <f>IF('Deal maths'!V535="","",'Deal maths'!W535)</f>
        <v/>
      </c>
      <c r="B535" s="108">
        <f>('Deal maths'!AA535&gt;AsAt)*('Deal maths'!Y535&gt;0)*('Deal maths'!Z535&lt;=AsAt)</f>
        <v/>
      </c>
      <c r="C535" s="91">
        <f>IF('Deal maths'!V535="","",IF('Deal maths'!AC535="","Maturity",'Deal maths'!AC535))</f>
        <v/>
      </c>
      <c r="D535" s="108">
        <f>IF(OR(C535="EIP",C535="Annuity"),IF('Deal maths'!AD535="Annual",12,IF('Deal maths'!AD535="Quarterly",3,6)),0)</f>
        <v/>
      </c>
      <c r="E535" s="109">
        <f>IFERROR(IF(D535=0,0,IF('Deal maths'!AE535&gt;0,IF('Deal maths'!AE535&gt;'Deal maths'!AA535,'Deal maths'!AA535,'Deal maths'!AE535),IF(IF(DAY('Deal maths'!AA535+1)=1,EOMONTH('Deal maths'!AA535,-(INT(((YEAR('Deal maths'!AA535)-YEAR(IF('Deal maths'!Z535&gt;0,'Deal maths'!Z535,DATE(1990,1,1))))*12+MONTH('Deal maths'!AA535)-MONTH(IF('Deal maths'!Z535&gt;0,'Deal maths'!Z535,DATE(1990,1,1))))/D535))*D535),EDATE('Deal maths'!AA535,-(INT(((YEAR('Deal maths'!AA535)-YEAR(IF('Deal maths'!Z535&gt;0,'Deal maths'!Z535,DATE(1990,1,1))))*12+MONTH('Deal maths'!AA535)-MONTH(IF('Deal maths'!Z535&gt;0,'Deal maths'!Z535,DATE(1990,1,1))))/D535))*D535))&gt;IF('Deal maths'!Z535&gt;0,'Deal maths'!Z535,DATE(1990,1,1)),IF(DAY('Deal maths'!AA535+1)=1,EOMONTH('Deal maths'!AA535,-(INT(((YEAR('Deal maths'!AA535)-YEAR(IF('Deal maths'!Z535&gt;0,'Deal maths'!Z535,DATE(1990,1,1))))*12+MONTH('Deal maths'!AA535)-MONTH(IF('Deal maths'!Z535&gt;0,'Deal maths'!Z535,DATE(1990,1,1))))/D535))*D535),EDATE('Deal maths'!AA535,-(INT(((YEAR('Deal maths'!AA535)-YEAR(IF('Deal maths'!Z535&gt;0,'Deal maths'!Z535,DATE(1990,1,1))))*12+MONTH('Deal maths'!AA535)-MONTH(IF('Deal maths'!Z535&gt;0,'Deal maths'!Z535,DATE(1990,1,1))))/D535))*D535)),IF(DAY('Deal maths'!AA535+1)=1,EOMONTH('Deal maths'!AA535,-(INT(((YEAR('Deal maths'!AA535)-YEAR(IF('Deal maths'!Z535&gt;0,'Deal maths'!Z535,DATE(1990,1,1))))*12+MONTH('Deal maths'!AA535)-MONTH(IF('Deal maths'!Z535&gt;0,'Deal maths'!Z535,DATE(1990,1,1))))/D535)-1)*D535),EDATE('Deal maths'!AA535,-(INT(((YEAR('Deal maths'!AA535)-YEAR(IF('Deal maths'!Z535&gt;0,'Deal maths'!Z535,DATE(1990,1,1))))*12+MONTH('Deal maths'!AA535)-MONTH(IF('Deal maths'!Z535&gt;0,'Deal maths'!Z535,DATE(1990,1,1))))/D535)-1)*D535))))),0)</f>
        <v/>
      </c>
      <c r="F535" s="110">
        <f>IF(D535=0,0,'Deal maths'!AB535*D535/12)</f>
        <v/>
      </c>
      <c r="G535" s="108">
        <f>N535+O535</f>
        <v/>
      </c>
      <c r="H535" s="108">
        <f>IFERROR(IF(OR(D535=0,AsAt&lt;E535),0,MIN(N535,INT(((YEAR(AsAt)-YEAR(E535))*12+MONTH(AsAt)-MONTH(E535)-(DAY(AsAt)&lt;MIN(R535,DAY(EOMONTH(AsAt,0)))))/D535)+1)+O535*(AsAt&gt;='Deal maths'!AA535)),0)</f>
        <v/>
      </c>
      <c r="I535" s="108">
        <f>G535-H535</f>
        <v/>
      </c>
      <c r="J535" s="111">
        <f>IF(AND(C535="EIP",I535&gt;0),'Deal maths'!Y535/I535,0)</f>
        <v/>
      </c>
      <c r="K535" s="111">
        <f>IF(AND(C535="Annuity",I535&gt;0),IF(F535&gt;0,'Deal maths'!Y535*F535/(1-(1+F535)^-I535),'Deal maths'!Y535/I535),0)</f>
        <v/>
      </c>
      <c r="L535" s="111">
        <f>IF('Deal maths'!Y535="",0,'Deal maths'!Y535)</f>
        <v/>
      </c>
      <c r="M535" s="112">
        <f>F535+(F535=0)</f>
        <v/>
      </c>
      <c r="N535" s="108">
        <f>IFERROR(IF(D535=0,0,INT(((YEAR('Deal maths'!AA535)-YEAR(E535))*12+MONTH('Deal maths'!AA535)-MONTH(E535)-(DAY('Deal maths'!AA535)&lt;MIN(R535,DAY(EOMONTH('Deal maths'!AA535,0)))))/D535)+1),0)</f>
        <v/>
      </c>
      <c r="O535" s="108">
        <f>IFERROR(IF(D535=0,0,IF(IF(DAY(E535+1)=1,EOMONTH(E535,(N535-1)*D535),EDATE(E535,(N535-1)*D535))='Deal maths'!AA535,0,1)),0)</f>
        <v/>
      </c>
      <c r="P535" s="113">
        <f>IF(B535=0,0,IFERROR(IF(C535="EIP",((I535-O535)*((IF(DAY(E535+1)=1,EOMONTH(E535,H535*D535),EDATE(E535,H535*D535))-AsAt)/365.25+(IF(DAY(E535+1)=1,EOMONTH(E535,(N535-1)*D535),EDATE(E535,(N535-1)*D535))-AsAt)/365.25)/2+O535*('Deal maths'!AA535-AsAt)/365.25)/I535,IF(C535="Annuity",IF(F535&gt;0,((K535-L535*F535)*((IF(DAY(E535+1)=1,EOMONTH(E535,H535*D535),EDATE(E535,H535*D535))-AsAt)/365.25*((1+F535)^(I535-O535)-1)/F535+IF((I535-O535)&gt;1,((IF(DAY(E535+1)=1,EOMONTH(E535,(N535-1)*D535),EDATE(E535,(N535-1)*D535))-AsAt)/365.25-(IF(DAY(E535+1)=1,EOMONTH(E535,H535*D535),EDATE(E535,H535*D535))-AsAt)/365.25)/((I535-O535)-1),0)*(1+F535)*(1-(I535-O535)*(1+F535)^((I535-O535)-1)+((I535-O535)-1)*(1+F535)^(I535-O535))/F535^2)+O535*(K535-L535*F535)*(1+F535)^(I535-1)*('Deal maths'!AA535-AsAt)/365.25)/L535,((I535-O535)*((IF(DAY(E535+1)=1,EOMONTH(E535,H535*D535),EDATE(E535,H535*D535))-AsAt)/365.25+(IF(DAY(E535+1)=1,EOMONTH(E535,(N535-1)*D535),EDATE(E535,(N535-1)*D535))-AsAt)/365.25)/2+O535*('Deal maths'!AA535-AsAt)/365.25)/I535),(S535-AsAt)/365.25)),0))</f>
        <v/>
      </c>
      <c r="Q535" s="109">
        <f>IF(B535=1,'Deal maths'!AA535+ROW()/1000000,"")</f>
        <v/>
      </c>
      <c r="R535" s="108">
        <f>IF(D535=0,0,IF(DAY(E535+1)=1,31,DAY(E535)))</f>
        <v/>
      </c>
      <c r="S535" s="109">
        <f>IF(AND('Deal maths'!V535="LOBO",'Deal maths'!AG535&gt;AsAt,'Deal maths'!AG535&lt;'Deal maths'!AA535),'Deal maths'!AG535,'Deal maths'!AA535)</f>
        <v/>
      </c>
      <c r="T535" s="108">
        <f>('Deal maths'!AA535&gt;AsAt)*('Deal maths'!Y535&gt;0)</f>
        <v/>
      </c>
    </row>
    <row r="536">
      <c r="A536" s="91">
        <f>IF('Deal maths'!V536="","",'Deal maths'!W536)</f>
        <v/>
      </c>
      <c r="B536" s="108">
        <f>('Deal maths'!AA536&gt;AsAt)*('Deal maths'!Y536&gt;0)*('Deal maths'!Z536&lt;=AsAt)</f>
        <v/>
      </c>
      <c r="C536" s="91">
        <f>IF('Deal maths'!V536="","",IF('Deal maths'!AC536="","Maturity",'Deal maths'!AC536))</f>
        <v/>
      </c>
      <c r="D536" s="108">
        <f>IF(OR(C536="EIP",C536="Annuity"),IF('Deal maths'!AD536="Annual",12,IF('Deal maths'!AD536="Quarterly",3,6)),0)</f>
        <v/>
      </c>
      <c r="E536" s="109">
        <f>IFERROR(IF(D536=0,0,IF('Deal maths'!AE536&gt;0,IF('Deal maths'!AE536&gt;'Deal maths'!AA536,'Deal maths'!AA536,'Deal maths'!AE536),IF(IF(DAY('Deal maths'!AA536+1)=1,EOMONTH('Deal maths'!AA536,-(INT(((YEAR('Deal maths'!AA536)-YEAR(IF('Deal maths'!Z536&gt;0,'Deal maths'!Z536,DATE(1990,1,1))))*12+MONTH('Deal maths'!AA536)-MONTH(IF('Deal maths'!Z536&gt;0,'Deal maths'!Z536,DATE(1990,1,1))))/D536))*D536),EDATE('Deal maths'!AA536,-(INT(((YEAR('Deal maths'!AA536)-YEAR(IF('Deal maths'!Z536&gt;0,'Deal maths'!Z536,DATE(1990,1,1))))*12+MONTH('Deal maths'!AA536)-MONTH(IF('Deal maths'!Z536&gt;0,'Deal maths'!Z536,DATE(1990,1,1))))/D536))*D536))&gt;IF('Deal maths'!Z536&gt;0,'Deal maths'!Z536,DATE(1990,1,1)),IF(DAY('Deal maths'!AA536+1)=1,EOMONTH('Deal maths'!AA536,-(INT(((YEAR('Deal maths'!AA536)-YEAR(IF('Deal maths'!Z536&gt;0,'Deal maths'!Z536,DATE(1990,1,1))))*12+MONTH('Deal maths'!AA536)-MONTH(IF('Deal maths'!Z536&gt;0,'Deal maths'!Z536,DATE(1990,1,1))))/D536))*D536),EDATE('Deal maths'!AA536,-(INT(((YEAR('Deal maths'!AA536)-YEAR(IF('Deal maths'!Z536&gt;0,'Deal maths'!Z536,DATE(1990,1,1))))*12+MONTH('Deal maths'!AA536)-MONTH(IF('Deal maths'!Z536&gt;0,'Deal maths'!Z536,DATE(1990,1,1))))/D536))*D536)),IF(DAY('Deal maths'!AA536+1)=1,EOMONTH('Deal maths'!AA536,-(INT(((YEAR('Deal maths'!AA536)-YEAR(IF('Deal maths'!Z536&gt;0,'Deal maths'!Z536,DATE(1990,1,1))))*12+MONTH('Deal maths'!AA536)-MONTH(IF('Deal maths'!Z536&gt;0,'Deal maths'!Z536,DATE(1990,1,1))))/D536)-1)*D536),EDATE('Deal maths'!AA536,-(INT(((YEAR('Deal maths'!AA536)-YEAR(IF('Deal maths'!Z536&gt;0,'Deal maths'!Z536,DATE(1990,1,1))))*12+MONTH('Deal maths'!AA536)-MONTH(IF('Deal maths'!Z536&gt;0,'Deal maths'!Z536,DATE(1990,1,1))))/D536)-1)*D536))))),0)</f>
        <v/>
      </c>
      <c r="F536" s="110">
        <f>IF(D536=0,0,'Deal maths'!AB536*D536/12)</f>
        <v/>
      </c>
      <c r="G536" s="108">
        <f>N536+O536</f>
        <v/>
      </c>
      <c r="H536" s="108">
        <f>IFERROR(IF(OR(D536=0,AsAt&lt;E536),0,MIN(N536,INT(((YEAR(AsAt)-YEAR(E536))*12+MONTH(AsAt)-MONTH(E536)-(DAY(AsAt)&lt;MIN(R536,DAY(EOMONTH(AsAt,0)))))/D536)+1)+O536*(AsAt&gt;='Deal maths'!AA536)),0)</f>
        <v/>
      </c>
      <c r="I536" s="108">
        <f>G536-H536</f>
        <v/>
      </c>
      <c r="J536" s="111">
        <f>IF(AND(C536="EIP",I536&gt;0),'Deal maths'!Y536/I536,0)</f>
        <v/>
      </c>
      <c r="K536" s="111">
        <f>IF(AND(C536="Annuity",I536&gt;0),IF(F536&gt;0,'Deal maths'!Y536*F536/(1-(1+F536)^-I536),'Deal maths'!Y536/I536),0)</f>
        <v/>
      </c>
      <c r="L536" s="111">
        <f>IF('Deal maths'!Y536="",0,'Deal maths'!Y536)</f>
        <v/>
      </c>
      <c r="M536" s="112">
        <f>F536+(F536=0)</f>
        <v/>
      </c>
      <c r="N536" s="108">
        <f>IFERROR(IF(D536=0,0,INT(((YEAR('Deal maths'!AA536)-YEAR(E536))*12+MONTH('Deal maths'!AA536)-MONTH(E536)-(DAY('Deal maths'!AA536)&lt;MIN(R536,DAY(EOMONTH('Deal maths'!AA536,0)))))/D536)+1),0)</f>
        <v/>
      </c>
      <c r="O536" s="108">
        <f>IFERROR(IF(D536=0,0,IF(IF(DAY(E536+1)=1,EOMONTH(E536,(N536-1)*D536),EDATE(E536,(N536-1)*D536))='Deal maths'!AA536,0,1)),0)</f>
        <v/>
      </c>
      <c r="P536" s="113">
        <f>IF(B536=0,0,IFERROR(IF(C536="EIP",((I536-O536)*((IF(DAY(E536+1)=1,EOMONTH(E536,H536*D536),EDATE(E536,H536*D536))-AsAt)/365.25+(IF(DAY(E536+1)=1,EOMONTH(E536,(N536-1)*D536),EDATE(E536,(N536-1)*D536))-AsAt)/365.25)/2+O536*('Deal maths'!AA536-AsAt)/365.25)/I536,IF(C536="Annuity",IF(F536&gt;0,((K536-L536*F536)*((IF(DAY(E536+1)=1,EOMONTH(E536,H536*D536),EDATE(E536,H536*D536))-AsAt)/365.25*((1+F536)^(I536-O536)-1)/F536+IF((I536-O536)&gt;1,((IF(DAY(E536+1)=1,EOMONTH(E536,(N536-1)*D536),EDATE(E536,(N536-1)*D536))-AsAt)/365.25-(IF(DAY(E536+1)=1,EOMONTH(E536,H536*D536),EDATE(E536,H536*D536))-AsAt)/365.25)/((I536-O536)-1),0)*(1+F536)*(1-(I536-O536)*(1+F536)^((I536-O536)-1)+((I536-O536)-1)*(1+F536)^(I536-O536))/F536^2)+O536*(K536-L536*F536)*(1+F536)^(I536-1)*('Deal maths'!AA536-AsAt)/365.25)/L536,((I536-O536)*((IF(DAY(E536+1)=1,EOMONTH(E536,H536*D536),EDATE(E536,H536*D536))-AsAt)/365.25+(IF(DAY(E536+1)=1,EOMONTH(E536,(N536-1)*D536),EDATE(E536,(N536-1)*D536))-AsAt)/365.25)/2+O536*('Deal maths'!AA536-AsAt)/365.25)/I536),(S536-AsAt)/365.25)),0))</f>
        <v/>
      </c>
      <c r="Q536" s="109">
        <f>IF(B536=1,'Deal maths'!AA536+ROW()/1000000,"")</f>
        <v/>
      </c>
      <c r="R536" s="108">
        <f>IF(D536=0,0,IF(DAY(E536+1)=1,31,DAY(E536)))</f>
        <v/>
      </c>
      <c r="S536" s="109">
        <f>IF(AND('Deal maths'!V536="LOBO",'Deal maths'!AG536&gt;AsAt,'Deal maths'!AG536&lt;'Deal maths'!AA536),'Deal maths'!AG536,'Deal maths'!AA536)</f>
        <v/>
      </c>
      <c r="T536" s="108">
        <f>('Deal maths'!AA536&gt;AsAt)*('Deal maths'!Y536&gt;0)</f>
        <v/>
      </c>
    </row>
    <row r="537">
      <c r="A537" s="91">
        <f>IF('Deal maths'!V537="","",'Deal maths'!W537)</f>
        <v/>
      </c>
      <c r="B537" s="108">
        <f>('Deal maths'!AA537&gt;AsAt)*('Deal maths'!Y537&gt;0)*('Deal maths'!Z537&lt;=AsAt)</f>
        <v/>
      </c>
      <c r="C537" s="91">
        <f>IF('Deal maths'!V537="","",IF('Deal maths'!AC537="","Maturity",'Deal maths'!AC537))</f>
        <v/>
      </c>
      <c r="D537" s="108">
        <f>IF(OR(C537="EIP",C537="Annuity"),IF('Deal maths'!AD537="Annual",12,IF('Deal maths'!AD537="Quarterly",3,6)),0)</f>
        <v/>
      </c>
      <c r="E537" s="109">
        <f>IFERROR(IF(D537=0,0,IF('Deal maths'!AE537&gt;0,IF('Deal maths'!AE537&gt;'Deal maths'!AA537,'Deal maths'!AA537,'Deal maths'!AE537),IF(IF(DAY('Deal maths'!AA537+1)=1,EOMONTH('Deal maths'!AA537,-(INT(((YEAR('Deal maths'!AA537)-YEAR(IF('Deal maths'!Z537&gt;0,'Deal maths'!Z537,DATE(1990,1,1))))*12+MONTH('Deal maths'!AA537)-MONTH(IF('Deal maths'!Z537&gt;0,'Deal maths'!Z537,DATE(1990,1,1))))/D537))*D537),EDATE('Deal maths'!AA537,-(INT(((YEAR('Deal maths'!AA537)-YEAR(IF('Deal maths'!Z537&gt;0,'Deal maths'!Z537,DATE(1990,1,1))))*12+MONTH('Deal maths'!AA537)-MONTH(IF('Deal maths'!Z537&gt;0,'Deal maths'!Z537,DATE(1990,1,1))))/D537))*D537))&gt;IF('Deal maths'!Z537&gt;0,'Deal maths'!Z537,DATE(1990,1,1)),IF(DAY('Deal maths'!AA537+1)=1,EOMONTH('Deal maths'!AA537,-(INT(((YEAR('Deal maths'!AA537)-YEAR(IF('Deal maths'!Z537&gt;0,'Deal maths'!Z537,DATE(1990,1,1))))*12+MONTH('Deal maths'!AA537)-MONTH(IF('Deal maths'!Z537&gt;0,'Deal maths'!Z537,DATE(1990,1,1))))/D537))*D537),EDATE('Deal maths'!AA537,-(INT(((YEAR('Deal maths'!AA537)-YEAR(IF('Deal maths'!Z537&gt;0,'Deal maths'!Z537,DATE(1990,1,1))))*12+MONTH('Deal maths'!AA537)-MONTH(IF('Deal maths'!Z537&gt;0,'Deal maths'!Z537,DATE(1990,1,1))))/D537))*D537)),IF(DAY('Deal maths'!AA537+1)=1,EOMONTH('Deal maths'!AA537,-(INT(((YEAR('Deal maths'!AA537)-YEAR(IF('Deal maths'!Z537&gt;0,'Deal maths'!Z537,DATE(1990,1,1))))*12+MONTH('Deal maths'!AA537)-MONTH(IF('Deal maths'!Z537&gt;0,'Deal maths'!Z537,DATE(1990,1,1))))/D537)-1)*D537),EDATE('Deal maths'!AA537,-(INT(((YEAR('Deal maths'!AA537)-YEAR(IF('Deal maths'!Z537&gt;0,'Deal maths'!Z537,DATE(1990,1,1))))*12+MONTH('Deal maths'!AA537)-MONTH(IF('Deal maths'!Z537&gt;0,'Deal maths'!Z537,DATE(1990,1,1))))/D537)-1)*D537))))),0)</f>
        <v/>
      </c>
      <c r="F537" s="110">
        <f>IF(D537=0,0,'Deal maths'!AB537*D537/12)</f>
        <v/>
      </c>
      <c r="G537" s="108">
        <f>N537+O537</f>
        <v/>
      </c>
      <c r="H537" s="108">
        <f>IFERROR(IF(OR(D537=0,AsAt&lt;E537),0,MIN(N537,INT(((YEAR(AsAt)-YEAR(E537))*12+MONTH(AsAt)-MONTH(E537)-(DAY(AsAt)&lt;MIN(R537,DAY(EOMONTH(AsAt,0)))))/D537)+1)+O537*(AsAt&gt;='Deal maths'!AA537)),0)</f>
        <v/>
      </c>
      <c r="I537" s="108">
        <f>G537-H537</f>
        <v/>
      </c>
      <c r="J537" s="111">
        <f>IF(AND(C537="EIP",I537&gt;0),'Deal maths'!Y537/I537,0)</f>
        <v/>
      </c>
      <c r="K537" s="111">
        <f>IF(AND(C537="Annuity",I537&gt;0),IF(F537&gt;0,'Deal maths'!Y537*F537/(1-(1+F537)^-I537),'Deal maths'!Y537/I537),0)</f>
        <v/>
      </c>
      <c r="L537" s="111">
        <f>IF('Deal maths'!Y537="",0,'Deal maths'!Y537)</f>
        <v/>
      </c>
      <c r="M537" s="112">
        <f>F537+(F537=0)</f>
        <v/>
      </c>
      <c r="N537" s="108">
        <f>IFERROR(IF(D537=0,0,INT(((YEAR('Deal maths'!AA537)-YEAR(E537))*12+MONTH('Deal maths'!AA537)-MONTH(E537)-(DAY('Deal maths'!AA537)&lt;MIN(R537,DAY(EOMONTH('Deal maths'!AA537,0)))))/D537)+1),0)</f>
        <v/>
      </c>
      <c r="O537" s="108">
        <f>IFERROR(IF(D537=0,0,IF(IF(DAY(E537+1)=1,EOMONTH(E537,(N537-1)*D537),EDATE(E537,(N537-1)*D537))='Deal maths'!AA537,0,1)),0)</f>
        <v/>
      </c>
      <c r="P537" s="113">
        <f>IF(B537=0,0,IFERROR(IF(C537="EIP",((I537-O537)*((IF(DAY(E537+1)=1,EOMONTH(E537,H537*D537),EDATE(E537,H537*D537))-AsAt)/365.25+(IF(DAY(E537+1)=1,EOMONTH(E537,(N537-1)*D537),EDATE(E537,(N537-1)*D537))-AsAt)/365.25)/2+O537*('Deal maths'!AA537-AsAt)/365.25)/I537,IF(C537="Annuity",IF(F537&gt;0,((K537-L537*F537)*((IF(DAY(E537+1)=1,EOMONTH(E537,H537*D537),EDATE(E537,H537*D537))-AsAt)/365.25*((1+F537)^(I537-O537)-1)/F537+IF((I537-O537)&gt;1,((IF(DAY(E537+1)=1,EOMONTH(E537,(N537-1)*D537),EDATE(E537,(N537-1)*D537))-AsAt)/365.25-(IF(DAY(E537+1)=1,EOMONTH(E537,H537*D537),EDATE(E537,H537*D537))-AsAt)/365.25)/((I537-O537)-1),0)*(1+F537)*(1-(I537-O537)*(1+F537)^((I537-O537)-1)+((I537-O537)-1)*(1+F537)^(I537-O537))/F537^2)+O537*(K537-L537*F537)*(1+F537)^(I537-1)*('Deal maths'!AA537-AsAt)/365.25)/L537,((I537-O537)*((IF(DAY(E537+1)=1,EOMONTH(E537,H537*D537),EDATE(E537,H537*D537))-AsAt)/365.25+(IF(DAY(E537+1)=1,EOMONTH(E537,(N537-1)*D537),EDATE(E537,(N537-1)*D537))-AsAt)/365.25)/2+O537*('Deal maths'!AA537-AsAt)/365.25)/I537),(S537-AsAt)/365.25)),0))</f>
        <v/>
      </c>
      <c r="Q537" s="109">
        <f>IF(B537=1,'Deal maths'!AA537+ROW()/1000000,"")</f>
        <v/>
      </c>
      <c r="R537" s="108">
        <f>IF(D537=0,0,IF(DAY(E537+1)=1,31,DAY(E537)))</f>
        <v/>
      </c>
      <c r="S537" s="109">
        <f>IF(AND('Deal maths'!V537="LOBO",'Deal maths'!AG537&gt;AsAt,'Deal maths'!AG537&lt;'Deal maths'!AA537),'Deal maths'!AG537,'Deal maths'!AA537)</f>
        <v/>
      </c>
      <c r="T537" s="108">
        <f>('Deal maths'!AA537&gt;AsAt)*('Deal maths'!Y537&gt;0)</f>
        <v/>
      </c>
    </row>
    <row r="538">
      <c r="A538" s="91">
        <f>IF('Deal maths'!V538="","",'Deal maths'!W538)</f>
        <v/>
      </c>
      <c r="B538" s="108">
        <f>('Deal maths'!AA538&gt;AsAt)*('Deal maths'!Y538&gt;0)*('Deal maths'!Z538&lt;=AsAt)</f>
        <v/>
      </c>
      <c r="C538" s="91">
        <f>IF('Deal maths'!V538="","",IF('Deal maths'!AC538="","Maturity",'Deal maths'!AC538))</f>
        <v/>
      </c>
      <c r="D538" s="108">
        <f>IF(OR(C538="EIP",C538="Annuity"),IF('Deal maths'!AD538="Annual",12,IF('Deal maths'!AD538="Quarterly",3,6)),0)</f>
        <v/>
      </c>
      <c r="E538" s="109">
        <f>IFERROR(IF(D538=0,0,IF('Deal maths'!AE538&gt;0,IF('Deal maths'!AE538&gt;'Deal maths'!AA538,'Deal maths'!AA538,'Deal maths'!AE538),IF(IF(DAY('Deal maths'!AA538+1)=1,EOMONTH('Deal maths'!AA538,-(INT(((YEAR('Deal maths'!AA538)-YEAR(IF('Deal maths'!Z538&gt;0,'Deal maths'!Z538,DATE(1990,1,1))))*12+MONTH('Deal maths'!AA538)-MONTH(IF('Deal maths'!Z538&gt;0,'Deal maths'!Z538,DATE(1990,1,1))))/D538))*D538),EDATE('Deal maths'!AA538,-(INT(((YEAR('Deal maths'!AA538)-YEAR(IF('Deal maths'!Z538&gt;0,'Deal maths'!Z538,DATE(1990,1,1))))*12+MONTH('Deal maths'!AA538)-MONTH(IF('Deal maths'!Z538&gt;0,'Deal maths'!Z538,DATE(1990,1,1))))/D538))*D538))&gt;IF('Deal maths'!Z538&gt;0,'Deal maths'!Z538,DATE(1990,1,1)),IF(DAY('Deal maths'!AA538+1)=1,EOMONTH('Deal maths'!AA538,-(INT(((YEAR('Deal maths'!AA538)-YEAR(IF('Deal maths'!Z538&gt;0,'Deal maths'!Z538,DATE(1990,1,1))))*12+MONTH('Deal maths'!AA538)-MONTH(IF('Deal maths'!Z538&gt;0,'Deal maths'!Z538,DATE(1990,1,1))))/D538))*D538),EDATE('Deal maths'!AA538,-(INT(((YEAR('Deal maths'!AA538)-YEAR(IF('Deal maths'!Z538&gt;0,'Deal maths'!Z538,DATE(1990,1,1))))*12+MONTH('Deal maths'!AA538)-MONTH(IF('Deal maths'!Z538&gt;0,'Deal maths'!Z538,DATE(1990,1,1))))/D538))*D538)),IF(DAY('Deal maths'!AA538+1)=1,EOMONTH('Deal maths'!AA538,-(INT(((YEAR('Deal maths'!AA538)-YEAR(IF('Deal maths'!Z538&gt;0,'Deal maths'!Z538,DATE(1990,1,1))))*12+MONTH('Deal maths'!AA538)-MONTH(IF('Deal maths'!Z538&gt;0,'Deal maths'!Z538,DATE(1990,1,1))))/D538)-1)*D538),EDATE('Deal maths'!AA538,-(INT(((YEAR('Deal maths'!AA538)-YEAR(IF('Deal maths'!Z538&gt;0,'Deal maths'!Z538,DATE(1990,1,1))))*12+MONTH('Deal maths'!AA538)-MONTH(IF('Deal maths'!Z538&gt;0,'Deal maths'!Z538,DATE(1990,1,1))))/D538)-1)*D538))))),0)</f>
        <v/>
      </c>
      <c r="F538" s="110">
        <f>IF(D538=0,0,'Deal maths'!AB538*D538/12)</f>
        <v/>
      </c>
      <c r="G538" s="108">
        <f>N538+O538</f>
        <v/>
      </c>
      <c r="H538" s="108">
        <f>IFERROR(IF(OR(D538=0,AsAt&lt;E538),0,MIN(N538,INT(((YEAR(AsAt)-YEAR(E538))*12+MONTH(AsAt)-MONTH(E538)-(DAY(AsAt)&lt;MIN(R538,DAY(EOMONTH(AsAt,0)))))/D538)+1)+O538*(AsAt&gt;='Deal maths'!AA538)),0)</f>
        <v/>
      </c>
      <c r="I538" s="108">
        <f>G538-H538</f>
        <v/>
      </c>
      <c r="J538" s="111">
        <f>IF(AND(C538="EIP",I538&gt;0),'Deal maths'!Y538/I538,0)</f>
        <v/>
      </c>
      <c r="K538" s="111">
        <f>IF(AND(C538="Annuity",I538&gt;0),IF(F538&gt;0,'Deal maths'!Y538*F538/(1-(1+F538)^-I538),'Deal maths'!Y538/I538),0)</f>
        <v/>
      </c>
      <c r="L538" s="111">
        <f>IF('Deal maths'!Y538="",0,'Deal maths'!Y538)</f>
        <v/>
      </c>
      <c r="M538" s="112">
        <f>F538+(F538=0)</f>
        <v/>
      </c>
      <c r="N538" s="108">
        <f>IFERROR(IF(D538=0,0,INT(((YEAR('Deal maths'!AA538)-YEAR(E538))*12+MONTH('Deal maths'!AA538)-MONTH(E538)-(DAY('Deal maths'!AA538)&lt;MIN(R538,DAY(EOMONTH('Deal maths'!AA538,0)))))/D538)+1),0)</f>
        <v/>
      </c>
      <c r="O538" s="108">
        <f>IFERROR(IF(D538=0,0,IF(IF(DAY(E538+1)=1,EOMONTH(E538,(N538-1)*D538),EDATE(E538,(N538-1)*D538))='Deal maths'!AA538,0,1)),0)</f>
        <v/>
      </c>
      <c r="P538" s="113">
        <f>IF(B538=0,0,IFERROR(IF(C538="EIP",((I538-O538)*((IF(DAY(E538+1)=1,EOMONTH(E538,H538*D538),EDATE(E538,H538*D538))-AsAt)/365.25+(IF(DAY(E538+1)=1,EOMONTH(E538,(N538-1)*D538),EDATE(E538,(N538-1)*D538))-AsAt)/365.25)/2+O538*('Deal maths'!AA538-AsAt)/365.25)/I538,IF(C538="Annuity",IF(F538&gt;0,((K538-L538*F538)*((IF(DAY(E538+1)=1,EOMONTH(E538,H538*D538),EDATE(E538,H538*D538))-AsAt)/365.25*((1+F538)^(I538-O538)-1)/F538+IF((I538-O538)&gt;1,((IF(DAY(E538+1)=1,EOMONTH(E538,(N538-1)*D538),EDATE(E538,(N538-1)*D538))-AsAt)/365.25-(IF(DAY(E538+1)=1,EOMONTH(E538,H538*D538),EDATE(E538,H538*D538))-AsAt)/365.25)/((I538-O538)-1),0)*(1+F538)*(1-(I538-O538)*(1+F538)^((I538-O538)-1)+((I538-O538)-1)*(1+F538)^(I538-O538))/F538^2)+O538*(K538-L538*F538)*(1+F538)^(I538-1)*('Deal maths'!AA538-AsAt)/365.25)/L538,((I538-O538)*((IF(DAY(E538+1)=1,EOMONTH(E538,H538*D538),EDATE(E538,H538*D538))-AsAt)/365.25+(IF(DAY(E538+1)=1,EOMONTH(E538,(N538-1)*D538),EDATE(E538,(N538-1)*D538))-AsAt)/365.25)/2+O538*('Deal maths'!AA538-AsAt)/365.25)/I538),(S538-AsAt)/365.25)),0))</f>
        <v/>
      </c>
      <c r="Q538" s="109">
        <f>IF(B538=1,'Deal maths'!AA538+ROW()/1000000,"")</f>
        <v/>
      </c>
      <c r="R538" s="108">
        <f>IF(D538=0,0,IF(DAY(E538+1)=1,31,DAY(E538)))</f>
        <v/>
      </c>
      <c r="S538" s="109">
        <f>IF(AND('Deal maths'!V538="LOBO",'Deal maths'!AG538&gt;AsAt,'Deal maths'!AG538&lt;'Deal maths'!AA538),'Deal maths'!AG538,'Deal maths'!AA538)</f>
        <v/>
      </c>
      <c r="T538" s="108">
        <f>('Deal maths'!AA538&gt;AsAt)*('Deal maths'!Y538&gt;0)</f>
        <v/>
      </c>
    </row>
    <row r="539">
      <c r="A539" s="91">
        <f>IF('Deal maths'!V539="","",'Deal maths'!W539)</f>
        <v/>
      </c>
      <c r="B539" s="108">
        <f>('Deal maths'!AA539&gt;AsAt)*('Deal maths'!Y539&gt;0)*('Deal maths'!Z539&lt;=AsAt)</f>
        <v/>
      </c>
      <c r="C539" s="91">
        <f>IF('Deal maths'!V539="","",IF('Deal maths'!AC539="","Maturity",'Deal maths'!AC539))</f>
        <v/>
      </c>
      <c r="D539" s="108">
        <f>IF(OR(C539="EIP",C539="Annuity"),IF('Deal maths'!AD539="Annual",12,IF('Deal maths'!AD539="Quarterly",3,6)),0)</f>
        <v/>
      </c>
      <c r="E539" s="109">
        <f>IFERROR(IF(D539=0,0,IF('Deal maths'!AE539&gt;0,IF('Deal maths'!AE539&gt;'Deal maths'!AA539,'Deal maths'!AA539,'Deal maths'!AE539),IF(IF(DAY('Deal maths'!AA539+1)=1,EOMONTH('Deal maths'!AA539,-(INT(((YEAR('Deal maths'!AA539)-YEAR(IF('Deal maths'!Z539&gt;0,'Deal maths'!Z539,DATE(1990,1,1))))*12+MONTH('Deal maths'!AA539)-MONTH(IF('Deal maths'!Z539&gt;0,'Deal maths'!Z539,DATE(1990,1,1))))/D539))*D539),EDATE('Deal maths'!AA539,-(INT(((YEAR('Deal maths'!AA539)-YEAR(IF('Deal maths'!Z539&gt;0,'Deal maths'!Z539,DATE(1990,1,1))))*12+MONTH('Deal maths'!AA539)-MONTH(IF('Deal maths'!Z539&gt;0,'Deal maths'!Z539,DATE(1990,1,1))))/D539))*D539))&gt;IF('Deal maths'!Z539&gt;0,'Deal maths'!Z539,DATE(1990,1,1)),IF(DAY('Deal maths'!AA539+1)=1,EOMONTH('Deal maths'!AA539,-(INT(((YEAR('Deal maths'!AA539)-YEAR(IF('Deal maths'!Z539&gt;0,'Deal maths'!Z539,DATE(1990,1,1))))*12+MONTH('Deal maths'!AA539)-MONTH(IF('Deal maths'!Z539&gt;0,'Deal maths'!Z539,DATE(1990,1,1))))/D539))*D539),EDATE('Deal maths'!AA539,-(INT(((YEAR('Deal maths'!AA539)-YEAR(IF('Deal maths'!Z539&gt;0,'Deal maths'!Z539,DATE(1990,1,1))))*12+MONTH('Deal maths'!AA539)-MONTH(IF('Deal maths'!Z539&gt;0,'Deal maths'!Z539,DATE(1990,1,1))))/D539))*D539)),IF(DAY('Deal maths'!AA539+1)=1,EOMONTH('Deal maths'!AA539,-(INT(((YEAR('Deal maths'!AA539)-YEAR(IF('Deal maths'!Z539&gt;0,'Deal maths'!Z539,DATE(1990,1,1))))*12+MONTH('Deal maths'!AA539)-MONTH(IF('Deal maths'!Z539&gt;0,'Deal maths'!Z539,DATE(1990,1,1))))/D539)-1)*D539),EDATE('Deal maths'!AA539,-(INT(((YEAR('Deal maths'!AA539)-YEAR(IF('Deal maths'!Z539&gt;0,'Deal maths'!Z539,DATE(1990,1,1))))*12+MONTH('Deal maths'!AA539)-MONTH(IF('Deal maths'!Z539&gt;0,'Deal maths'!Z539,DATE(1990,1,1))))/D539)-1)*D539))))),0)</f>
        <v/>
      </c>
      <c r="F539" s="110">
        <f>IF(D539=0,0,'Deal maths'!AB539*D539/12)</f>
        <v/>
      </c>
      <c r="G539" s="108">
        <f>N539+O539</f>
        <v/>
      </c>
      <c r="H539" s="108">
        <f>IFERROR(IF(OR(D539=0,AsAt&lt;E539),0,MIN(N539,INT(((YEAR(AsAt)-YEAR(E539))*12+MONTH(AsAt)-MONTH(E539)-(DAY(AsAt)&lt;MIN(R539,DAY(EOMONTH(AsAt,0)))))/D539)+1)+O539*(AsAt&gt;='Deal maths'!AA539)),0)</f>
        <v/>
      </c>
      <c r="I539" s="108">
        <f>G539-H539</f>
        <v/>
      </c>
      <c r="J539" s="111">
        <f>IF(AND(C539="EIP",I539&gt;0),'Deal maths'!Y539/I539,0)</f>
        <v/>
      </c>
      <c r="K539" s="111">
        <f>IF(AND(C539="Annuity",I539&gt;0),IF(F539&gt;0,'Deal maths'!Y539*F539/(1-(1+F539)^-I539),'Deal maths'!Y539/I539),0)</f>
        <v/>
      </c>
      <c r="L539" s="111">
        <f>IF('Deal maths'!Y539="",0,'Deal maths'!Y539)</f>
        <v/>
      </c>
      <c r="M539" s="112">
        <f>F539+(F539=0)</f>
        <v/>
      </c>
      <c r="N539" s="108">
        <f>IFERROR(IF(D539=0,0,INT(((YEAR('Deal maths'!AA539)-YEAR(E539))*12+MONTH('Deal maths'!AA539)-MONTH(E539)-(DAY('Deal maths'!AA539)&lt;MIN(R539,DAY(EOMONTH('Deal maths'!AA539,0)))))/D539)+1),0)</f>
        <v/>
      </c>
      <c r="O539" s="108">
        <f>IFERROR(IF(D539=0,0,IF(IF(DAY(E539+1)=1,EOMONTH(E539,(N539-1)*D539),EDATE(E539,(N539-1)*D539))='Deal maths'!AA539,0,1)),0)</f>
        <v/>
      </c>
      <c r="P539" s="113">
        <f>IF(B539=0,0,IFERROR(IF(C539="EIP",((I539-O539)*((IF(DAY(E539+1)=1,EOMONTH(E539,H539*D539),EDATE(E539,H539*D539))-AsAt)/365.25+(IF(DAY(E539+1)=1,EOMONTH(E539,(N539-1)*D539),EDATE(E539,(N539-1)*D539))-AsAt)/365.25)/2+O539*('Deal maths'!AA539-AsAt)/365.25)/I539,IF(C539="Annuity",IF(F539&gt;0,((K539-L539*F539)*((IF(DAY(E539+1)=1,EOMONTH(E539,H539*D539),EDATE(E539,H539*D539))-AsAt)/365.25*((1+F539)^(I539-O539)-1)/F539+IF((I539-O539)&gt;1,((IF(DAY(E539+1)=1,EOMONTH(E539,(N539-1)*D539),EDATE(E539,(N539-1)*D539))-AsAt)/365.25-(IF(DAY(E539+1)=1,EOMONTH(E539,H539*D539),EDATE(E539,H539*D539))-AsAt)/365.25)/((I539-O539)-1),0)*(1+F539)*(1-(I539-O539)*(1+F539)^((I539-O539)-1)+((I539-O539)-1)*(1+F539)^(I539-O539))/F539^2)+O539*(K539-L539*F539)*(1+F539)^(I539-1)*('Deal maths'!AA539-AsAt)/365.25)/L539,((I539-O539)*((IF(DAY(E539+1)=1,EOMONTH(E539,H539*D539),EDATE(E539,H539*D539))-AsAt)/365.25+(IF(DAY(E539+1)=1,EOMONTH(E539,(N539-1)*D539),EDATE(E539,(N539-1)*D539))-AsAt)/365.25)/2+O539*('Deal maths'!AA539-AsAt)/365.25)/I539),(S539-AsAt)/365.25)),0))</f>
        <v/>
      </c>
      <c r="Q539" s="109">
        <f>IF(B539=1,'Deal maths'!AA539+ROW()/1000000,"")</f>
        <v/>
      </c>
      <c r="R539" s="108">
        <f>IF(D539=0,0,IF(DAY(E539+1)=1,31,DAY(E539)))</f>
        <v/>
      </c>
      <c r="S539" s="109">
        <f>IF(AND('Deal maths'!V539="LOBO",'Deal maths'!AG539&gt;AsAt,'Deal maths'!AG539&lt;'Deal maths'!AA539),'Deal maths'!AG539,'Deal maths'!AA539)</f>
        <v/>
      </c>
      <c r="T539" s="108">
        <f>('Deal maths'!AA539&gt;AsAt)*('Deal maths'!Y539&gt;0)</f>
        <v/>
      </c>
    </row>
    <row r="540">
      <c r="A540" s="91">
        <f>IF('Deal maths'!V540="","",'Deal maths'!W540)</f>
        <v/>
      </c>
      <c r="B540" s="108">
        <f>('Deal maths'!AA540&gt;AsAt)*('Deal maths'!Y540&gt;0)*('Deal maths'!Z540&lt;=AsAt)</f>
        <v/>
      </c>
      <c r="C540" s="91">
        <f>IF('Deal maths'!V540="","",IF('Deal maths'!AC540="","Maturity",'Deal maths'!AC540))</f>
        <v/>
      </c>
      <c r="D540" s="108">
        <f>IF(OR(C540="EIP",C540="Annuity"),IF('Deal maths'!AD540="Annual",12,IF('Deal maths'!AD540="Quarterly",3,6)),0)</f>
        <v/>
      </c>
      <c r="E540" s="109">
        <f>IFERROR(IF(D540=0,0,IF('Deal maths'!AE540&gt;0,IF('Deal maths'!AE540&gt;'Deal maths'!AA540,'Deal maths'!AA540,'Deal maths'!AE540),IF(IF(DAY('Deal maths'!AA540+1)=1,EOMONTH('Deal maths'!AA540,-(INT(((YEAR('Deal maths'!AA540)-YEAR(IF('Deal maths'!Z540&gt;0,'Deal maths'!Z540,DATE(1990,1,1))))*12+MONTH('Deal maths'!AA540)-MONTH(IF('Deal maths'!Z540&gt;0,'Deal maths'!Z540,DATE(1990,1,1))))/D540))*D540),EDATE('Deal maths'!AA540,-(INT(((YEAR('Deal maths'!AA540)-YEAR(IF('Deal maths'!Z540&gt;0,'Deal maths'!Z540,DATE(1990,1,1))))*12+MONTH('Deal maths'!AA540)-MONTH(IF('Deal maths'!Z540&gt;0,'Deal maths'!Z540,DATE(1990,1,1))))/D540))*D540))&gt;IF('Deal maths'!Z540&gt;0,'Deal maths'!Z540,DATE(1990,1,1)),IF(DAY('Deal maths'!AA540+1)=1,EOMONTH('Deal maths'!AA540,-(INT(((YEAR('Deal maths'!AA540)-YEAR(IF('Deal maths'!Z540&gt;0,'Deal maths'!Z540,DATE(1990,1,1))))*12+MONTH('Deal maths'!AA540)-MONTH(IF('Deal maths'!Z540&gt;0,'Deal maths'!Z540,DATE(1990,1,1))))/D540))*D540),EDATE('Deal maths'!AA540,-(INT(((YEAR('Deal maths'!AA540)-YEAR(IF('Deal maths'!Z540&gt;0,'Deal maths'!Z540,DATE(1990,1,1))))*12+MONTH('Deal maths'!AA540)-MONTH(IF('Deal maths'!Z540&gt;0,'Deal maths'!Z540,DATE(1990,1,1))))/D540))*D540)),IF(DAY('Deal maths'!AA540+1)=1,EOMONTH('Deal maths'!AA540,-(INT(((YEAR('Deal maths'!AA540)-YEAR(IF('Deal maths'!Z540&gt;0,'Deal maths'!Z540,DATE(1990,1,1))))*12+MONTH('Deal maths'!AA540)-MONTH(IF('Deal maths'!Z540&gt;0,'Deal maths'!Z540,DATE(1990,1,1))))/D540)-1)*D540),EDATE('Deal maths'!AA540,-(INT(((YEAR('Deal maths'!AA540)-YEAR(IF('Deal maths'!Z540&gt;0,'Deal maths'!Z540,DATE(1990,1,1))))*12+MONTH('Deal maths'!AA540)-MONTH(IF('Deal maths'!Z540&gt;0,'Deal maths'!Z540,DATE(1990,1,1))))/D540)-1)*D540))))),0)</f>
        <v/>
      </c>
      <c r="F540" s="110">
        <f>IF(D540=0,0,'Deal maths'!AB540*D540/12)</f>
        <v/>
      </c>
      <c r="G540" s="108">
        <f>N540+O540</f>
        <v/>
      </c>
      <c r="H540" s="108">
        <f>IFERROR(IF(OR(D540=0,AsAt&lt;E540),0,MIN(N540,INT(((YEAR(AsAt)-YEAR(E540))*12+MONTH(AsAt)-MONTH(E540)-(DAY(AsAt)&lt;MIN(R540,DAY(EOMONTH(AsAt,0)))))/D540)+1)+O540*(AsAt&gt;='Deal maths'!AA540)),0)</f>
        <v/>
      </c>
      <c r="I540" s="108">
        <f>G540-H540</f>
        <v/>
      </c>
      <c r="J540" s="111">
        <f>IF(AND(C540="EIP",I540&gt;0),'Deal maths'!Y540/I540,0)</f>
        <v/>
      </c>
      <c r="K540" s="111">
        <f>IF(AND(C540="Annuity",I540&gt;0),IF(F540&gt;0,'Deal maths'!Y540*F540/(1-(1+F540)^-I540),'Deal maths'!Y540/I540),0)</f>
        <v/>
      </c>
      <c r="L540" s="111">
        <f>IF('Deal maths'!Y540="",0,'Deal maths'!Y540)</f>
        <v/>
      </c>
      <c r="M540" s="112">
        <f>F540+(F540=0)</f>
        <v/>
      </c>
      <c r="N540" s="108">
        <f>IFERROR(IF(D540=0,0,INT(((YEAR('Deal maths'!AA540)-YEAR(E540))*12+MONTH('Deal maths'!AA540)-MONTH(E540)-(DAY('Deal maths'!AA540)&lt;MIN(R540,DAY(EOMONTH('Deal maths'!AA540,0)))))/D540)+1),0)</f>
        <v/>
      </c>
      <c r="O540" s="108">
        <f>IFERROR(IF(D540=0,0,IF(IF(DAY(E540+1)=1,EOMONTH(E540,(N540-1)*D540),EDATE(E540,(N540-1)*D540))='Deal maths'!AA540,0,1)),0)</f>
        <v/>
      </c>
      <c r="P540" s="113">
        <f>IF(B540=0,0,IFERROR(IF(C540="EIP",((I540-O540)*((IF(DAY(E540+1)=1,EOMONTH(E540,H540*D540),EDATE(E540,H540*D540))-AsAt)/365.25+(IF(DAY(E540+1)=1,EOMONTH(E540,(N540-1)*D540),EDATE(E540,(N540-1)*D540))-AsAt)/365.25)/2+O540*('Deal maths'!AA540-AsAt)/365.25)/I540,IF(C540="Annuity",IF(F540&gt;0,((K540-L540*F540)*((IF(DAY(E540+1)=1,EOMONTH(E540,H540*D540),EDATE(E540,H540*D540))-AsAt)/365.25*((1+F540)^(I540-O540)-1)/F540+IF((I540-O540)&gt;1,((IF(DAY(E540+1)=1,EOMONTH(E540,(N540-1)*D540),EDATE(E540,(N540-1)*D540))-AsAt)/365.25-(IF(DAY(E540+1)=1,EOMONTH(E540,H540*D540),EDATE(E540,H540*D540))-AsAt)/365.25)/((I540-O540)-1),0)*(1+F540)*(1-(I540-O540)*(1+F540)^((I540-O540)-1)+((I540-O540)-1)*(1+F540)^(I540-O540))/F540^2)+O540*(K540-L540*F540)*(1+F540)^(I540-1)*('Deal maths'!AA540-AsAt)/365.25)/L540,((I540-O540)*((IF(DAY(E540+1)=1,EOMONTH(E540,H540*D540),EDATE(E540,H540*D540))-AsAt)/365.25+(IF(DAY(E540+1)=1,EOMONTH(E540,(N540-1)*D540),EDATE(E540,(N540-1)*D540))-AsAt)/365.25)/2+O540*('Deal maths'!AA540-AsAt)/365.25)/I540),(S540-AsAt)/365.25)),0))</f>
        <v/>
      </c>
      <c r="Q540" s="109">
        <f>IF(B540=1,'Deal maths'!AA540+ROW()/1000000,"")</f>
        <v/>
      </c>
      <c r="R540" s="108">
        <f>IF(D540=0,0,IF(DAY(E540+1)=1,31,DAY(E540)))</f>
        <v/>
      </c>
      <c r="S540" s="109">
        <f>IF(AND('Deal maths'!V540="LOBO",'Deal maths'!AG540&gt;AsAt,'Deal maths'!AG540&lt;'Deal maths'!AA540),'Deal maths'!AG540,'Deal maths'!AA540)</f>
        <v/>
      </c>
      <c r="T540" s="108">
        <f>('Deal maths'!AA540&gt;AsAt)*('Deal maths'!Y540&gt;0)</f>
        <v/>
      </c>
    </row>
    <row r="541">
      <c r="A541" s="91">
        <f>IF('Deal maths'!V541="","",'Deal maths'!W541)</f>
        <v/>
      </c>
      <c r="B541" s="108">
        <f>('Deal maths'!AA541&gt;AsAt)*('Deal maths'!Y541&gt;0)*('Deal maths'!Z541&lt;=AsAt)</f>
        <v/>
      </c>
      <c r="C541" s="91">
        <f>IF('Deal maths'!V541="","",IF('Deal maths'!AC541="","Maturity",'Deal maths'!AC541))</f>
        <v/>
      </c>
      <c r="D541" s="108">
        <f>IF(OR(C541="EIP",C541="Annuity"),IF('Deal maths'!AD541="Annual",12,IF('Deal maths'!AD541="Quarterly",3,6)),0)</f>
        <v/>
      </c>
      <c r="E541" s="109">
        <f>IFERROR(IF(D541=0,0,IF('Deal maths'!AE541&gt;0,IF('Deal maths'!AE541&gt;'Deal maths'!AA541,'Deal maths'!AA541,'Deal maths'!AE541),IF(IF(DAY('Deal maths'!AA541+1)=1,EOMONTH('Deal maths'!AA541,-(INT(((YEAR('Deal maths'!AA541)-YEAR(IF('Deal maths'!Z541&gt;0,'Deal maths'!Z541,DATE(1990,1,1))))*12+MONTH('Deal maths'!AA541)-MONTH(IF('Deal maths'!Z541&gt;0,'Deal maths'!Z541,DATE(1990,1,1))))/D541))*D541),EDATE('Deal maths'!AA541,-(INT(((YEAR('Deal maths'!AA541)-YEAR(IF('Deal maths'!Z541&gt;0,'Deal maths'!Z541,DATE(1990,1,1))))*12+MONTH('Deal maths'!AA541)-MONTH(IF('Deal maths'!Z541&gt;0,'Deal maths'!Z541,DATE(1990,1,1))))/D541))*D541))&gt;IF('Deal maths'!Z541&gt;0,'Deal maths'!Z541,DATE(1990,1,1)),IF(DAY('Deal maths'!AA541+1)=1,EOMONTH('Deal maths'!AA541,-(INT(((YEAR('Deal maths'!AA541)-YEAR(IF('Deal maths'!Z541&gt;0,'Deal maths'!Z541,DATE(1990,1,1))))*12+MONTH('Deal maths'!AA541)-MONTH(IF('Deal maths'!Z541&gt;0,'Deal maths'!Z541,DATE(1990,1,1))))/D541))*D541),EDATE('Deal maths'!AA541,-(INT(((YEAR('Deal maths'!AA541)-YEAR(IF('Deal maths'!Z541&gt;0,'Deal maths'!Z541,DATE(1990,1,1))))*12+MONTH('Deal maths'!AA541)-MONTH(IF('Deal maths'!Z541&gt;0,'Deal maths'!Z541,DATE(1990,1,1))))/D541))*D541)),IF(DAY('Deal maths'!AA541+1)=1,EOMONTH('Deal maths'!AA541,-(INT(((YEAR('Deal maths'!AA541)-YEAR(IF('Deal maths'!Z541&gt;0,'Deal maths'!Z541,DATE(1990,1,1))))*12+MONTH('Deal maths'!AA541)-MONTH(IF('Deal maths'!Z541&gt;0,'Deal maths'!Z541,DATE(1990,1,1))))/D541)-1)*D541),EDATE('Deal maths'!AA541,-(INT(((YEAR('Deal maths'!AA541)-YEAR(IF('Deal maths'!Z541&gt;0,'Deal maths'!Z541,DATE(1990,1,1))))*12+MONTH('Deal maths'!AA541)-MONTH(IF('Deal maths'!Z541&gt;0,'Deal maths'!Z541,DATE(1990,1,1))))/D541)-1)*D541))))),0)</f>
        <v/>
      </c>
      <c r="F541" s="110">
        <f>IF(D541=0,0,'Deal maths'!AB541*D541/12)</f>
        <v/>
      </c>
      <c r="G541" s="108">
        <f>N541+O541</f>
        <v/>
      </c>
      <c r="H541" s="108">
        <f>IFERROR(IF(OR(D541=0,AsAt&lt;E541),0,MIN(N541,INT(((YEAR(AsAt)-YEAR(E541))*12+MONTH(AsAt)-MONTH(E541)-(DAY(AsAt)&lt;MIN(R541,DAY(EOMONTH(AsAt,0)))))/D541)+1)+O541*(AsAt&gt;='Deal maths'!AA541)),0)</f>
        <v/>
      </c>
      <c r="I541" s="108">
        <f>G541-H541</f>
        <v/>
      </c>
      <c r="J541" s="111">
        <f>IF(AND(C541="EIP",I541&gt;0),'Deal maths'!Y541/I541,0)</f>
        <v/>
      </c>
      <c r="K541" s="111">
        <f>IF(AND(C541="Annuity",I541&gt;0),IF(F541&gt;0,'Deal maths'!Y541*F541/(1-(1+F541)^-I541),'Deal maths'!Y541/I541),0)</f>
        <v/>
      </c>
      <c r="L541" s="111">
        <f>IF('Deal maths'!Y541="",0,'Deal maths'!Y541)</f>
        <v/>
      </c>
      <c r="M541" s="112">
        <f>F541+(F541=0)</f>
        <v/>
      </c>
      <c r="N541" s="108">
        <f>IFERROR(IF(D541=0,0,INT(((YEAR('Deal maths'!AA541)-YEAR(E541))*12+MONTH('Deal maths'!AA541)-MONTH(E541)-(DAY('Deal maths'!AA541)&lt;MIN(R541,DAY(EOMONTH('Deal maths'!AA541,0)))))/D541)+1),0)</f>
        <v/>
      </c>
      <c r="O541" s="108">
        <f>IFERROR(IF(D541=0,0,IF(IF(DAY(E541+1)=1,EOMONTH(E541,(N541-1)*D541),EDATE(E541,(N541-1)*D541))='Deal maths'!AA541,0,1)),0)</f>
        <v/>
      </c>
      <c r="P541" s="113">
        <f>IF(B541=0,0,IFERROR(IF(C541="EIP",((I541-O541)*((IF(DAY(E541+1)=1,EOMONTH(E541,H541*D541),EDATE(E541,H541*D541))-AsAt)/365.25+(IF(DAY(E541+1)=1,EOMONTH(E541,(N541-1)*D541),EDATE(E541,(N541-1)*D541))-AsAt)/365.25)/2+O541*('Deal maths'!AA541-AsAt)/365.25)/I541,IF(C541="Annuity",IF(F541&gt;0,((K541-L541*F541)*((IF(DAY(E541+1)=1,EOMONTH(E541,H541*D541),EDATE(E541,H541*D541))-AsAt)/365.25*((1+F541)^(I541-O541)-1)/F541+IF((I541-O541)&gt;1,((IF(DAY(E541+1)=1,EOMONTH(E541,(N541-1)*D541),EDATE(E541,(N541-1)*D541))-AsAt)/365.25-(IF(DAY(E541+1)=1,EOMONTH(E541,H541*D541),EDATE(E541,H541*D541))-AsAt)/365.25)/((I541-O541)-1),0)*(1+F541)*(1-(I541-O541)*(1+F541)^((I541-O541)-1)+((I541-O541)-1)*(1+F541)^(I541-O541))/F541^2)+O541*(K541-L541*F541)*(1+F541)^(I541-1)*('Deal maths'!AA541-AsAt)/365.25)/L541,((I541-O541)*((IF(DAY(E541+1)=1,EOMONTH(E541,H541*D541),EDATE(E541,H541*D541))-AsAt)/365.25+(IF(DAY(E541+1)=1,EOMONTH(E541,(N541-1)*D541),EDATE(E541,(N541-1)*D541))-AsAt)/365.25)/2+O541*('Deal maths'!AA541-AsAt)/365.25)/I541),(S541-AsAt)/365.25)),0))</f>
        <v/>
      </c>
      <c r="Q541" s="109">
        <f>IF(B541=1,'Deal maths'!AA541+ROW()/1000000,"")</f>
        <v/>
      </c>
      <c r="R541" s="108">
        <f>IF(D541=0,0,IF(DAY(E541+1)=1,31,DAY(E541)))</f>
        <v/>
      </c>
      <c r="S541" s="109">
        <f>IF(AND('Deal maths'!V541="LOBO",'Deal maths'!AG541&gt;AsAt,'Deal maths'!AG541&lt;'Deal maths'!AA541),'Deal maths'!AG541,'Deal maths'!AA541)</f>
        <v/>
      </c>
      <c r="T541" s="108">
        <f>('Deal maths'!AA541&gt;AsAt)*('Deal maths'!Y541&gt;0)</f>
        <v/>
      </c>
    </row>
    <row r="542">
      <c r="A542" s="91">
        <f>IF('Deal maths'!V542="","",'Deal maths'!W542)</f>
        <v/>
      </c>
      <c r="B542" s="108">
        <f>('Deal maths'!AA542&gt;AsAt)*('Deal maths'!Y542&gt;0)*('Deal maths'!Z542&lt;=AsAt)</f>
        <v/>
      </c>
      <c r="C542" s="91">
        <f>IF('Deal maths'!V542="","",IF('Deal maths'!AC542="","Maturity",'Deal maths'!AC542))</f>
        <v/>
      </c>
      <c r="D542" s="108">
        <f>IF(OR(C542="EIP",C542="Annuity"),IF('Deal maths'!AD542="Annual",12,IF('Deal maths'!AD542="Quarterly",3,6)),0)</f>
        <v/>
      </c>
      <c r="E542" s="109">
        <f>IFERROR(IF(D542=0,0,IF('Deal maths'!AE542&gt;0,IF('Deal maths'!AE542&gt;'Deal maths'!AA542,'Deal maths'!AA542,'Deal maths'!AE542),IF(IF(DAY('Deal maths'!AA542+1)=1,EOMONTH('Deal maths'!AA542,-(INT(((YEAR('Deal maths'!AA542)-YEAR(IF('Deal maths'!Z542&gt;0,'Deal maths'!Z542,DATE(1990,1,1))))*12+MONTH('Deal maths'!AA542)-MONTH(IF('Deal maths'!Z542&gt;0,'Deal maths'!Z542,DATE(1990,1,1))))/D542))*D542),EDATE('Deal maths'!AA542,-(INT(((YEAR('Deal maths'!AA542)-YEAR(IF('Deal maths'!Z542&gt;0,'Deal maths'!Z542,DATE(1990,1,1))))*12+MONTH('Deal maths'!AA542)-MONTH(IF('Deal maths'!Z542&gt;0,'Deal maths'!Z542,DATE(1990,1,1))))/D542))*D542))&gt;IF('Deal maths'!Z542&gt;0,'Deal maths'!Z542,DATE(1990,1,1)),IF(DAY('Deal maths'!AA542+1)=1,EOMONTH('Deal maths'!AA542,-(INT(((YEAR('Deal maths'!AA542)-YEAR(IF('Deal maths'!Z542&gt;0,'Deal maths'!Z542,DATE(1990,1,1))))*12+MONTH('Deal maths'!AA542)-MONTH(IF('Deal maths'!Z542&gt;0,'Deal maths'!Z542,DATE(1990,1,1))))/D542))*D542),EDATE('Deal maths'!AA542,-(INT(((YEAR('Deal maths'!AA542)-YEAR(IF('Deal maths'!Z542&gt;0,'Deal maths'!Z542,DATE(1990,1,1))))*12+MONTH('Deal maths'!AA542)-MONTH(IF('Deal maths'!Z542&gt;0,'Deal maths'!Z542,DATE(1990,1,1))))/D542))*D542)),IF(DAY('Deal maths'!AA542+1)=1,EOMONTH('Deal maths'!AA542,-(INT(((YEAR('Deal maths'!AA542)-YEAR(IF('Deal maths'!Z542&gt;0,'Deal maths'!Z542,DATE(1990,1,1))))*12+MONTH('Deal maths'!AA542)-MONTH(IF('Deal maths'!Z542&gt;0,'Deal maths'!Z542,DATE(1990,1,1))))/D542)-1)*D542),EDATE('Deal maths'!AA542,-(INT(((YEAR('Deal maths'!AA542)-YEAR(IF('Deal maths'!Z542&gt;0,'Deal maths'!Z542,DATE(1990,1,1))))*12+MONTH('Deal maths'!AA542)-MONTH(IF('Deal maths'!Z542&gt;0,'Deal maths'!Z542,DATE(1990,1,1))))/D542)-1)*D542))))),0)</f>
        <v/>
      </c>
      <c r="F542" s="110">
        <f>IF(D542=0,0,'Deal maths'!AB542*D542/12)</f>
        <v/>
      </c>
      <c r="G542" s="108">
        <f>N542+O542</f>
        <v/>
      </c>
      <c r="H542" s="108">
        <f>IFERROR(IF(OR(D542=0,AsAt&lt;E542),0,MIN(N542,INT(((YEAR(AsAt)-YEAR(E542))*12+MONTH(AsAt)-MONTH(E542)-(DAY(AsAt)&lt;MIN(R542,DAY(EOMONTH(AsAt,0)))))/D542)+1)+O542*(AsAt&gt;='Deal maths'!AA542)),0)</f>
        <v/>
      </c>
      <c r="I542" s="108">
        <f>G542-H542</f>
        <v/>
      </c>
      <c r="J542" s="111">
        <f>IF(AND(C542="EIP",I542&gt;0),'Deal maths'!Y542/I542,0)</f>
        <v/>
      </c>
      <c r="K542" s="111">
        <f>IF(AND(C542="Annuity",I542&gt;0),IF(F542&gt;0,'Deal maths'!Y542*F542/(1-(1+F542)^-I542),'Deal maths'!Y542/I542),0)</f>
        <v/>
      </c>
      <c r="L542" s="111">
        <f>IF('Deal maths'!Y542="",0,'Deal maths'!Y542)</f>
        <v/>
      </c>
      <c r="M542" s="112">
        <f>F542+(F542=0)</f>
        <v/>
      </c>
      <c r="N542" s="108">
        <f>IFERROR(IF(D542=0,0,INT(((YEAR('Deal maths'!AA542)-YEAR(E542))*12+MONTH('Deal maths'!AA542)-MONTH(E542)-(DAY('Deal maths'!AA542)&lt;MIN(R542,DAY(EOMONTH('Deal maths'!AA542,0)))))/D542)+1),0)</f>
        <v/>
      </c>
      <c r="O542" s="108">
        <f>IFERROR(IF(D542=0,0,IF(IF(DAY(E542+1)=1,EOMONTH(E542,(N542-1)*D542),EDATE(E542,(N542-1)*D542))='Deal maths'!AA542,0,1)),0)</f>
        <v/>
      </c>
      <c r="P542" s="113">
        <f>IF(B542=0,0,IFERROR(IF(C542="EIP",((I542-O542)*((IF(DAY(E542+1)=1,EOMONTH(E542,H542*D542),EDATE(E542,H542*D542))-AsAt)/365.25+(IF(DAY(E542+1)=1,EOMONTH(E542,(N542-1)*D542),EDATE(E542,(N542-1)*D542))-AsAt)/365.25)/2+O542*('Deal maths'!AA542-AsAt)/365.25)/I542,IF(C542="Annuity",IF(F542&gt;0,((K542-L542*F542)*((IF(DAY(E542+1)=1,EOMONTH(E542,H542*D542),EDATE(E542,H542*D542))-AsAt)/365.25*((1+F542)^(I542-O542)-1)/F542+IF((I542-O542)&gt;1,((IF(DAY(E542+1)=1,EOMONTH(E542,(N542-1)*D542),EDATE(E542,(N542-1)*D542))-AsAt)/365.25-(IF(DAY(E542+1)=1,EOMONTH(E542,H542*D542),EDATE(E542,H542*D542))-AsAt)/365.25)/((I542-O542)-1),0)*(1+F542)*(1-(I542-O542)*(1+F542)^((I542-O542)-1)+((I542-O542)-1)*(1+F542)^(I542-O542))/F542^2)+O542*(K542-L542*F542)*(1+F542)^(I542-1)*('Deal maths'!AA542-AsAt)/365.25)/L542,((I542-O542)*((IF(DAY(E542+1)=1,EOMONTH(E542,H542*D542),EDATE(E542,H542*D542))-AsAt)/365.25+(IF(DAY(E542+1)=1,EOMONTH(E542,(N542-1)*D542),EDATE(E542,(N542-1)*D542))-AsAt)/365.25)/2+O542*('Deal maths'!AA542-AsAt)/365.25)/I542),(S542-AsAt)/365.25)),0))</f>
        <v/>
      </c>
      <c r="Q542" s="109">
        <f>IF(B542=1,'Deal maths'!AA542+ROW()/1000000,"")</f>
        <v/>
      </c>
      <c r="R542" s="108">
        <f>IF(D542=0,0,IF(DAY(E542+1)=1,31,DAY(E542)))</f>
        <v/>
      </c>
      <c r="S542" s="109">
        <f>IF(AND('Deal maths'!V542="LOBO",'Deal maths'!AG542&gt;AsAt,'Deal maths'!AG542&lt;'Deal maths'!AA542),'Deal maths'!AG542,'Deal maths'!AA542)</f>
        <v/>
      </c>
      <c r="T542" s="108">
        <f>('Deal maths'!AA542&gt;AsAt)*('Deal maths'!Y542&gt;0)</f>
        <v/>
      </c>
    </row>
    <row r="543">
      <c r="A543" s="91">
        <f>IF('Deal maths'!V543="","",'Deal maths'!W543)</f>
        <v/>
      </c>
      <c r="B543" s="108">
        <f>('Deal maths'!AA543&gt;AsAt)*('Deal maths'!Y543&gt;0)*('Deal maths'!Z543&lt;=AsAt)</f>
        <v/>
      </c>
      <c r="C543" s="91">
        <f>IF('Deal maths'!V543="","",IF('Deal maths'!AC543="","Maturity",'Deal maths'!AC543))</f>
        <v/>
      </c>
      <c r="D543" s="108">
        <f>IF(OR(C543="EIP",C543="Annuity"),IF('Deal maths'!AD543="Annual",12,IF('Deal maths'!AD543="Quarterly",3,6)),0)</f>
        <v/>
      </c>
      <c r="E543" s="109">
        <f>IFERROR(IF(D543=0,0,IF('Deal maths'!AE543&gt;0,IF('Deal maths'!AE543&gt;'Deal maths'!AA543,'Deal maths'!AA543,'Deal maths'!AE543),IF(IF(DAY('Deal maths'!AA543+1)=1,EOMONTH('Deal maths'!AA543,-(INT(((YEAR('Deal maths'!AA543)-YEAR(IF('Deal maths'!Z543&gt;0,'Deal maths'!Z543,DATE(1990,1,1))))*12+MONTH('Deal maths'!AA543)-MONTH(IF('Deal maths'!Z543&gt;0,'Deal maths'!Z543,DATE(1990,1,1))))/D543))*D543),EDATE('Deal maths'!AA543,-(INT(((YEAR('Deal maths'!AA543)-YEAR(IF('Deal maths'!Z543&gt;0,'Deal maths'!Z543,DATE(1990,1,1))))*12+MONTH('Deal maths'!AA543)-MONTH(IF('Deal maths'!Z543&gt;0,'Deal maths'!Z543,DATE(1990,1,1))))/D543))*D543))&gt;IF('Deal maths'!Z543&gt;0,'Deal maths'!Z543,DATE(1990,1,1)),IF(DAY('Deal maths'!AA543+1)=1,EOMONTH('Deal maths'!AA543,-(INT(((YEAR('Deal maths'!AA543)-YEAR(IF('Deal maths'!Z543&gt;0,'Deal maths'!Z543,DATE(1990,1,1))))*12+MONTH('Deal maths'!AA543)-MONTH(IF('Deal maths'!Z543&gt;0,'Deal maths'!Z543,DATE(1990,1,1))))/D543))*D543),EDATE('Deal maths'!AA543,-(INT(((YEAR('Deal maths'!AA543)-YEAR(IF('Deal maths'!Z543&gt;0,'Deal maths'!Z543,DATE(1990,1,1))))*12+MONTH('Deal maths'!AA543)-MONTH(IF('Deal maths'!Z543&gt;0,'Deal maths'!Z543,DATE(1990,1,1))))/D543))*D543)),IF(DAY('Deal maths'!AA543+1)=1,EOMONTH('Deal maths'!AA543,-(INT(((YEAR('Deal maths'!AA543)-YEAR(IF('Deal maths'!Z543&gt;0,'Deal maths'!Z543,DATE(1990,1,1))))*12+MONTH('Deal maths'!AA543)-MONTH(IF('Deal maths'!Z543&gt;0,'Deal maths'!Z543,DATE(1990,1,1))))/D543)-1)*D543),EDATE('Deal maths'!AA543,-(INT(((YEAR('Deal maths'!AA543)-YEAR(IF('Deal maths'!Z543&gt;0,'Deal maths'!Z543,DATE(1990,1,1))))*12+MONTH('Deal maths'!AA543)-MONTH(IF('Deal maths'!Z543&gt;0,'Deal maths'!Z543,DATE(1990,1,1))))/D543)-1)*D543))))),0)</f>
        <v/>
      </c>
      <c r="F543" s="110">
        <f>IF(D543=0,0,'Deal maths'!AB543*D543/12)</f>
        <v/>
      </c>
      <c r="G543" s="108">
        <f>N543+O543</f>
        <v/>
      </c>
      <c r="H543" s="108">
        <f>IFERROR(IF(OR(D543=0,AsAt&lt;E543),0,MIN(N543,INT(((YEAR(AsAt)-YEAR(E543))*12+MONTH(AsAt)-MONTH(E543)-(DAY(AsAt)&lt;MIN(R543,DAY(EOMONTH(AsAt,0)))))/D543)+1)+O543*(AsAt&gt;='Deal maths'!AA543)),0)</f>
        <v/>
      </c>
      <c r="I543" s="108">
        <f>G543-H543</f>
        <v/>
      </c>
      <c r="J543" s="111">
        <f>IF(AND(C543="EIP",I543&gt;0),'Deal maths'!Y543/I543,0)</f>
        <v/>
      </c>
      <c r="K543" s="111">
        <f>IF(AND(C543="Annuity",I543&gt;0),IF(F543&gt;0,'Deal maths'!Y543*F543/(1-(1+F543)^-I543),'Deal maths'!Y543/I543),0)</f>
        <v/>
      </c>
      <c r="L543" s="111">
        <f>IF('Deal maths'!Y543="",0,'Deal maths'!Y543)</f>
        <v/>
      </c>
      <c r="M543" s="112">
        <f>F543+(F543=0)</f>
        <v/>
      </c>
      <c r="N543" s="108">
        <f>IFERROR(IF(D543=0,0,INT(((YEAR('Deal maths'!AA543)-YEAR(E543))*12+MONTH('Deal maths'!AA543)-MONTH(E543)-(DAY('Deal maths'!AA543)&lt;MIN(R543,DAY(EOMONTH('Deal maths'!AA543,0)))))/D543)+1),0)</f>
        <v/>
      </c>
      <c r="O543" s="108">
        <f>IFERROR(IF(D543=0,0,IF(IF(DAY(E543+1)=1,EOMONTH(E543,(N543-1)*D543),EDATE(E543,(N543-1)*D543))='Deal maths'!AA543,0,1)),0)</f>
        <v/>
      </c>
      <c r="P543" s="113">
        <f>IF(B543=0,0,IFERROR(IF(C543="EIP",((I543-O543)*((IF(DAY(E543+1)=1,EOMONTH(E543,H543*D543),EDATE(E543,H543*D543))-AsAt)/365.25+(IF(DAY(E543+1)=1,EOMONTH(E543,(N543-1)*D543),EDATE(E543,(N543-1)*D543))-AsAt)/365.25)/2+O543*('Deal maths'!AA543-AsAt)/365.25)/I543,IF(C543="Annuity",IF(F543&gt;0,((K543-L543*F543)*((IF(DAY(E543+1)=1,EOMONTH(E543,H543*D543),EDATE(E543,H543*D543))-AsAt)/365.25*((1+F543)^(I543-O543)-1)/F543+IF((I543-O543)&gt;1,((IF(DAY(E543+1)=1,EOMONTH(E543,(N543-1)*D543),EDATE(E543,(N543-1)*D543))-AsAt)/365.25-(IF(DAY(E543+1)=1,EOMONTH(E543,H543*D543),EDATE(E543,H543*D543))-AsAt)/365.25)/((I543-O543)-1),0)*(1+F543)*(1-(I543-O543)*(1+F543)^((I543-O543)-1)+((I543-O543)-1)*(1+F543)^(I543-O543))/F543^2)+O543*(K543-L543*F543)*(1+F543)^(I543-1)*('Deal maths'!AA543-AsAt)/365.25)/L543,((I543-O543)*((IF(DAY(E543+1)=1,EOMONTH(E543,H543*D543),EDATE(E543,H543*D543))-AsAt)/365.25+(IF(DAY(E543+1)=1,EOMONTH(E543,(N543-1)*D543),EDATE(E543,(N543-1)*D543))-AsAt)/365.25)/2+O543*('Deal maths'!AA543-AsAt)/365.25)/I543),(S543-AsAt)/365.25)),0))</f>
        <v/>
      </c>
      <c r="Q543" s="109">
        <f>IF(B543=1,'Deal maths'!AA543+ROW()/1000000,"")</f>
        <v/>
      </c>
      <c r="R543" s="108">
        <f>IF(D543=0,0,IF(DAY(E543+1)=1,31,DAY(E543)))</f>
        <v/>
      </c>
      <c r="S543" s="109">
        <f>IF(AND('Deal maths'!V543="LOBO",'Deal maths'!AG543&gt;AsAt,'Deal maths'!AG543&lt;'Deal maths'!AA543),'Deal maths'!AG543,'Deal maths'!AA543)</f>
        <v/>
      </c>
      <c r="T543" s="108">
        <f>('Deal maths'!AA543&gt;AsAt)*('Deal maths'!Y543&gt;0)</f>
        <v/>
      </c>
    </row>
    <row r="544">
      <c r="A544" s="91">
        <f>IF('Deal maths'!V544="","",'Deal maths'!W544)</f>
        <v/>
      </c>
      <c r="B544" s="108">
        <f>('Deal maths'!AA544&gt;AsAt)*('Deal maths'!Y544&gt;0)*('Deal maths'!Z544&lt;=AsAt)</f>
        <v/>
      </c>
      <c r="C544" s="91">
        <f>IF('Deal maths'!V544="","",IF('Deal maths'!AC544="","Maturity",'Deal maths'!AC544))</f>
        <v/>
      </c>
      <c r="D544" s="108">
        <f>IF(OR(C544="EIP",C544="Annuity"),IF('Deal maths'!AD544="Annual",12,IF('Deal maths'!AD544="Quarterly",3,6)),0)</f>
        <v/>
      </c>
      <c r="E544" s="109">
        <f>IFERROR(IF(D544=0,0,IF('Deal maths'!AE544&gt;0,IF('Deal maths'!AE544&gt;'Deal maths'!AA544,'Deal maths'!AA544,'Deal maths'!AE544),IF(IF(DAY('Deal maths'!AA544+1)=1,EOMONTH('Deal maths'!AA544,-(INT(((YEAR('Deal maths'!AA544)-YEAR(IF('Deal maths'!Z544&gt;0,'Deal maths'!Z544,DATE(1990,1,1))))*12+MONTH('Deal maths'!AA544)-MONTH(IF('Deal maths'!Z544&gt;0,'Deal maths'!Z544,DATE(1990,1,1))))/D544))*D544),EDATE('Deal maths'!AA544,-(INT(((YEAR('Deal maths'!AA544)-YEAR(IF('Deal maths'!Z544&gt;0,'Deal maths'!Z544,DATE(1990,1,1))))*12+MONTH('Deal maths'!AA544)-MONTH(IF('Deal maths'!Z544&gt;0,'Deal maths'!Z544,DATE(1990,1,1))))/D544))*D544))&gt;IF('Deal maths'!Z544&gt;0,'Deal maths'!Z544,DATE(1990,1,1)),IF(DAY('Deal maths'!AA544+1)=1,EOMONTH('Deal maths'!AA544,-(INT(((YEAR('Deal maths'!AA544)-YEAR(IF('Deal maths'!Z544&gt;0,'Deal maths'!Z544,DATE(1990,1,1))))*12+MONTH('Deal maths'!AA544)-MONTH(IF('Deal maths'!Z544&gt;0,'Deal maths'!Z544,DATE(1990,1,1))))/D544))*D544),EDATE('Deal maths'!AA544,-(INT(((YEAR('Deal maths'!AA544)-YEAR(IF('Deal maths'!Z544&gt;0,'Deal maths'!Z544,DATE(1990,1,1))))*12+MONTH('Deal maths'!AA544)-MONTH(IF('Deal maths'!Z544&gt;0,'Deal maths'!Z544,DATE(1990,1,1))))/D544))*D544)),IF(DAY('Deal maths'!AA544+1)=1,EOMONTH('Deal maths'!AA544,-(INT(((YEAR('Deal maths'!AA544)-YEAR(IF('Deal maths'!Z544&gt;0,'Deal maths'!Z544,DATE(1990,1,1))))*12+MONTH('Deal maths'!AA544)-MONTH(IF('Deal maths'!Z544&gt;0,'Deal maths'!Z544,DATE(1990,1,1))))/D544)-1)*D544),EDATE('Deal maths'!AA544,-(INT(((YEAR('Deal maths'!AA544)-YEAR(IF('Deal maths'!Z544&gt;0,'Deal maths'!Z544,DATE(1990,1,1))))*12+MONTH('Deal maths'!AA544)-MONTH(IF('Deal maths'!Z544&gt;0,'Deal maths'!Z544,DATE(1990,1,1))))/D544)-1)*D544))))),0)</f>
        <v/>
      </c>
      <c r="F544" s="110">
        <f>IF(D544=0,0,'Deal maths'!AB544*D544/12)</f>
        <v/>
      </c>
      <c r="G544" s="108">
        <f>N544+O544</f>
        <v/>
      </c>
      <c r="H544" s="108">
        <f>IFERROR(IF(OR(D544=0,AsAt&lt;E544),0,MIN(N544,INT(((YEAR(AsAt)-YEAR(E544))*12+MONTH(AsAt)-MONTH(E544)-(DAY(AsAt)&lt;MIN(R544,DAY(EOMONTH(AsAt,0)))))/D544)+1)+O544*(AsAt&gt;='Deal maths'!AA544)),0)</f>
        <v/>
      </c>
      <c r="I544" s="108">
        <f>G544-H544</f>
        <v/>
      </c>
      <c r="J544" s="111">
        <f>IF(AND(C544="EIP",I544&gt;0),'Deal maths'!Y544/I544,0)</f>
        <v/>
      </c>
      <c r="K544" s="111">
        <f>IF(AND(C544="Annuity",I544&gt;0),IF(F544&gt;0,'Deal maths'!Y544*F544/(1-(1+F544)^-I544),'Deal maths'!Y544/I544),0)</f>
        <v/>
      </c>
      <c r="L544" s="111">
        <f>IF('Deal maths'!Y544="",0,'Deal maths'!Y544)</f>
        <v/>
      </c>
      <c r="M544" s="112">
        <f>F544+(F544=0)</f>
        <v/>
      </c>
      <c r="N544" s="108">
        <f>IFERROR(IF(D544=0,0,INT(((YEAR('Deal maths'!AA544)-YEAR(E544))*12+MONTH('Deal maths'!AA544)-MONTH(E544)-(DAY('Deal maths'!AA544)&lt;MIN(R544,DAY(EOMONTH('Deal maths'!AA544,0)))))/D544)+1),0)</f>
        <v/>
      </c>
      <c r="O544" s="108">
        <f>IFERROR(IF(D544=0,0,IF(IF(DAY(E544+1)=1,EOMONTH(E544,(N544-1)*D544),EDATE(E544,(N544-1)*D544))='Deal maths'!AA544,0,1)),0)</f>
        <v/>
      </c>
      <c r="P544" s="113">
        <f>IF(B544=0,0,IFERROR(IF(C544="EIP",((I544-O544)*((IF(DAY(E544+1)=1,EOMONTH(E544,H544*D544),EDATE(E544,H544*D544))-AsAt)/365.25+(IF(DAY(E544+1)=1,EOMONTH(E544,(N544-1)*D544),EDATE(E544,(N544-1)*D544))-AsAt)/365.25)/2+O544*('Deal maths'!AA544-AsAt)/365.25)/I544,IF(C544="Annuity",IF(F544&gt;0,((K544-L544*F544)*((IF(DAY(E544+1)=1,EOMONTH(E544,H544*D544),EDATE(E544,H544*D544))-AsAt)/365.25*((1+F544)^(I544-O544)-1)/F544+IF((I544-O544)&gt;1,((IF(DAY(E544+1)=1,EOMONTH(E544,(N544-1)*D544),EDATE(E544,(N544-1)*D544))-AsAt)/365.25-(IF(DAY(E544+1)=1,EOMONTH(E544,H544*D544),EDATE(E544,H544*D544))-AsAt)/365.25)/((I544-O544)-1),0)*(1+F544)*(1-(I544-O544)*(1+F544)^((I544-O544)-1)+((I544-O544)-1)*(1+F544)^(I544-O544))/F544^2)+O544*(K544-L544*F544)*(1+F544)^(I544-1)*('Deal maths'!AA544-AsAt)/365.25)/L544,((I544-O544)*((IF(DAY(E544+1)=1,EOMONTH(E544,H544*D544),EDATE(E544,H544*D544))-AsAt)/365.25+(IF(DAY(E544+1)=1,EOMONTH(E544,(N544-1)*D544),EDATE(E544,(N544-1)*D544))-AsAt)/365.25)/2+O544*('Deal maths'!AA544-AsAt)/365.25)/I544),(S544-AsAt)/365.25)),0))</f>
        <v/>
      </c>
      <c r="Q544" s="109">
        <f>IF(B544=1,'Deal maths'!AA544+ROW()/1000000,"")</f>
        <v/>
      </c>
      <c r="R544" s="108">
        <f>IF(D544=0,0,IF(DAY(E544+1)=1,31,DAY(E544)))</f>
        <v/>
      </c>
      <c r="S544" s="109">
        <f>IF(AND('Deal maths'!V544="LOBO",'Deal maths'!AG544&gt;AsAt,'Deal maths'!AG544&lt;'Deal maths'!AA544),'Deal maths'!AG544,'Deal maths'!AA544)</f>
        <v/>
      </c>
      <c r="T544" s="108">
        <f>('Deal maths'!AA544&gt;AsAt)*('Deal maths'!Y544&gt;0)</f>
        <v/>
      </c>
    </row>
    <row r="545">
      <c r="A545" s="91">
        <f>IF('Deal maths'!V545="","",'Deal maths'!W545)</f>
        <v/>
      </c>
      <c r="B545" s="108">
        <f>('Deal maths'!AA545&gt;AsAt)*('Deal maths'!Y545&gt;0)*('Deal maths'!Z545&lt;=AsAt)</f>
        <v/>
      </c>
      <c r="C545" s="91">
        <f>IF('Deal maths'!V545="","",IF('Deal maths'!AC545="","Maturity",'Deal maths'!AC545))</f>
        <v/>
      </c>
      <c r="D545" s="108">
        <f>IF(OR(C545="EIP",C545="Annuity"),IF('Deal maths'!AD545="Annual",12,IF('Deal maths'!AD545="Quarterly",3,6)),0)</f>
        <v/>
      </c>
      <c r="E545" s="109">
        <f>IFERROR(IF(D545=0,0,IF('Deal maths'!AE545&gt;0,IF('Deal maths'!AE545&gt;'Deal maths'!AA545,'Deal maths'!AA545,'Deal maths'!AE545),IF(IF(DAY('Deal maths'!AA545+1)=1,EOMONTH('Deal maths'!AA545,-(INT(((YEAR('Deal maths'!AA545)-YEAR(IF('Deal maths'!Z545&gt;0,'Deal maths'!Z545,DATE(1990,1,1))))*12+MONTH('Deal maths'!AA545)-MONTH(IF('Deal maths'!Z545&gt;0,'Deal maths'!Z545,DATE(1990,1,1))))/D545))*D545),EDATE('Deal maths'!AA545,-(INT(((YEAR('Deal maths'!AA545)-YEAR(IF('Deal maths'!Z545&gt;0,'Deal maths'!Z545,DATE(1990,1,1))))*12+MONTH('Deal maths'!AA545)-MONTH(IF('Deal maths'!Z545&gt;0,'Deal maths'!Z545,DATE(1990,1,1))))/D545))*D545))&gt;IF('Deal maths'!Z545&gt;0,'Deal maths'!Z545,DATE(1990,1,1)),IF(DAY('Deal maths'!AA545+1)=1,EOMONTH('Deal maths'!AA545,-(INT(((YEAR('Deal maths'!AA545)-YEAR(IF('Deal maths'!Z545&gt;0,'Deal maths'!Z545,DATE(1990,1,1))))*12+MONTH('Deal maths'!AA545)-MONTH(IF('Deal maths'!Z545&gt;0,'Deal maths'!Z545,DATE(1990,1,1))))/D545))*D545),EDATE('Deal maths'!AA545,-(INT(((YEAR('Deal maths'!AA545)-YEAR(IF('Deal maths'!Z545&gt;0,'Deal maths'!Z545,DATE(1990,1,1))))*12+MONTH('Deal maths'!AA545)-MONTH(IF('Deal maths'!Z545&gt;0,'Deal maths'!Z545,DATE(1990,1,1))))/D545))*D545)),IF(DAY('Deal maths'!AA545+1)=1,EOMONTH('Deal maths'!AA545,-(INT(((YEAR('Deal maths'!AA545)-YEAR(IF('Deal maths'!Z545&gt;0,'Deal maths'!Z545,DATE(1990,1,1))))*12+MONTH('Deal maths'!AA545)-MONTH(IF('Deal maths'!Z545&gt;0,'Deal maths'!Z545,DATE(1990,1,1))))/D545)-1)*D545),EDATE('Deal maths'!AA545,-(INT(((YEAR('Deal maths'!AA545)-YEAR(IF('Deal maths'!Z545&gt;0,'Deal maths'!Z545,DATE(1990,1,1))))*12+MONTH('Deal maths'!AA545)-MONTH(IF('Deal maths'!Z545&gt;0,'Deal maths'!Z545,DATE(1990,1,1))))/D545)-1)*D545))))),0)</f>
        <v/>
      </c>
      <c r="F545" s="110">
        <f>IF(D545=0,0,'Deal maths'!AB545*D545/12)</f>
        <v/>
      </c>
      <c r="G545" s="108">
        <f>N545+O545</f>
        <v/>
      </c>
      <c r="H545" s="108">
        <f>IFERROR(IF(OR(D545=0,AsAt&lt;E545),0,MIN(N545,INT(((YEAR(AsAt)-YEAR(E545))*12+MONTH(AsAt)-MONTH(E545)-(DAY(AsAt)&lt;MIN(R545,DAY(EOMONTH(AsAt,0)))))/D545)+1)+O545*(AsAt&gt;='Deal maths'!AA545)),0)</f>
        <v/>
      </c>
      <c r="I545" s="108">
        <f>G545-H545</f>
        <v/>
      </c>
      <c r="J545" s="111">
        <f>IF(AND(C545="EIP",I545&gt;0),'Deal maths'!Y545/I545,0)</f>
        <v/>
      </c>
      <c r="K545" s="111">
        <f>IF(AND(C545="Annuity",I545&gt;0),IF(F545&gt;0,'Deal maths'!Y545*F545/(1-(1+F545)^-I545),'Deal maths'!Y545/I545),0)</f>
        <v/>
      </c>
      <c r="L545" s="111">
        <f>IF('Deal maths'!Y545="",0,'Deal maths'!Y545)</f>
        <v/>
      </c>
      <c r="M545" s="112">
        <f>F545+(F545=0)</f>
        <v/>
      </c>
      <c r="N545" s="108">
        <f>IFERROR(IF(D545=0,0,INT(((YEAR('Deal maths'!AA545)-YEAR(E545))*12+MONTH('Deal maths'!AA545)-MONTH(E545)-(DAY('Deal maths'!AA545)&lt;MIN(R545,DAY(EOMONTH('Deal maths'!AA545,0)))))/D545)+1),0)</f>
        <v/>
      </c>
      <c r="O545" s="108">
        <f>IFERROR(IF(D545=0,0,IF(IF(DAY(E545+1)=1,EOMONTH(E545,(N545-1)*D545),EDATE(E545,(N545-1)*D545))='Deal maths'!AA545,0,1)),0)</f>
        <v/>
      </c>
      <c r="P545" s="113">
        <f>IF(B545=0,0,IFERROR(IF(C545="EIP",((I545-O545)*((IF(DAY(E545+1)=1,EOMONTH(E545,H545*D545),EDATE(E545,H545*D545))-AsAt)/365.25+(IF(DAY(E545+1)=1,EOMONTH(E545,(N545-1)*D545),EDATE(E545,(N545-1)*D545))-AsAt)/365.25)/2+O545*('Deal maths'!AA545-AsAt)/365.25)/I545,IF(C545="Annuity",IF(F545&gt;0,((K545-L545*F545)*((IF(DAY(E545+1)=1,EOMONTH(E545,H545*D545),EDATE(E545,H545*D545))-AsAt)/365.25*((1+F545)^(I545-O545)-1)/F545+IF((I545-O545)&gt;1,((IF(DAY(E545+1)=1,EOMONTH(E545,(N545-1)*D545),EDATE(E545,(N545-1)*D545))-AsAt)/365.25-(IF(DAY(E545+1)=1,EOMONTH(E545,H545*D545),EDATE(E545,H545*D545))-AsAt)/365.25)/((I545-O545)-1),0)*(1+F545)*(1-(I545-O545)*(1+F545)^((I545-O545)-1)+((I545-O545)-1)*(1+F545)^(I545-O545))/F545^2)+O545*(K545-L545*F545)*(1+F545)^(I545-1)*('Deal maths'!AA545-AsAt)/365.25)/L545,((I545-O545)*((IF(DAY(E545+1)=1,EOMONTH(E545,H545*D545),EDATE(E545,H545*D545))-AsAt)/365.25+(IF(DAY(E545+1)=1,EOMONTH(E545,(N545-1)*D545),EDATE(E545,(N545-1)*D545))-AsAt)/365.25)/2+O545*('Deal maths'!AA545-AsAt)/365.25)/I545),(S545-AsAt)/365.25)),0))</f>
        <v/>
      </c>
      <c r="Q545" s="109">
        <f>IF(B545=1,'Deal maths'!AA545+ROW()/1000000,"")</f>
        <v/>
      </c>
      <c r="R545" s="108">
        <f>IF(D545=0,0,IF(DAY(E545+1)=1,31,DAY(E545)))</f>
        <v/>
      </c>
      <c r="S545" s="109">
        <f>IF(AND('Deal maths'!V545="LOBO",'Deal maths'!AG545&gt;AsAt,'Deal maths'!AG545&lt;'Deal maths'!AA545),'Deal maths'!AG545,'Deal maths'!AA545)</f>
        <v/>
      </c>
      <c r="T545" s="108">
        <f>('Deal maths'!AA545&gt;AsAt)*('Deal maths'!Y545&gt;0)</f>
        <v/>
      </c>
    </row>
    <row r="546">
      <c r="A546" s="91">
        <f>IF('Deal maths'!V546="","",'Deal maths'!W546)</f>
        <v/>
      </c>
      <c r="B546" s="108">
        <f>('Deal maths'!AA546&gt;AsAt)*('Deal maths'!Y546&gt;0)*('Deal maths'!Z546&lt;=AsAt)</f>
        <v/>
      </c>
      <c r="C546" s="91">
        <f>IF('Deal maths'!V546="","",IF('Deal maths'!AC546="","Maturity",'Deal maths'!AC546))</f>
        <v/>
      </c>
      <c r="D546" s="108">
        <f>IF(OR(C546="EIP",C546="Annuity"),IF('Deal maths'!AD546="Annual",12,IF('Deal maths'!AD546="Quarterly",3,6)),0)</f>
        <v/>
      </c>
      <c r="E546" s="109">
        <f>IFERROR(IF(D546=0,0,IF('Deal maths'!AE546&gt;0,IF('Deal maths'!AE546&gt;'Deal maths'!AA546,'Deal maths'!AA546,'Deal maths'!AE546),IF(IF(DAY('Deal maths'!AA546+1)=1,EOMONTH('Deal maths'!AA546,-(INT(((YEAR('Deal maths'!AA546)-YEAR(IF('Deal maths'!Z546&gt;0,'Deal maths'!Z546,DATE(1990,1,1))))*12+MONTH('Deal maths'!AA546)-MONTH(IF('Deal maths'!Z546&gt;0,'Deal maths'!Z546,DATE(1990,1,1))))/D546))*D546),EDATE('Deal maths'!AA546,-(INT(((YEAR('Deal maths'!AA546)-YEAR(IF('Deal maths'!Z546&gt;0,'Deal maths'!Z546,DATE(1990,1,1))))*12+MONTH('Deal maths'!AA546)-MONTH(IF('Deal maths'!Z546&gt;0,'Deal maths'!Z546,DATE(1990,1,1))))/D546))*D546))&gt;IF('Deal maths'!Z546&gt;0,'Deal maths'!Z546,DATE(1990,1,1)),IF(DAY('Deal maths'!AA546+1)=1,EOMONTH('Deal maths'!AA546,-(INT(((YEAR('Deal maths'!AA546)-YEAR(IF('Deal maths'!Z546&gt;0,'Deal maths'!Z546,DATE(1990,1,1))))*12+MONTH('Deal maths'!AA546)-MONTH(IF('Deal maths'!Z546&gt;0,'Deal maths'!Z546,DATE(1990,1,1))))/D546))*D546),EDATE('Deal maths'!AA546,-(INT(((YEAR('Deal maths'!AA546)-YEAR(IF('Deal maths'!Z546&gt;0,'Deal maths'!Z546,DATE(1990,1,1))))*12+MONTH('Deal maths'!AA546)-MONTH(IF('Deal maths'!Z546&gt;0,'Deal maths'!Z546,DATE(1990,1,1))))/D546))*D546)),IF(DAY('Deal maths'!AA546+1)=1,EOMONTH('Deal maths'!AA546,-(INT(((YEAR('Deal maths'!AA546)-YEAR(IF('Deal maths'!Z546&gt;0,'Deal maths'!Z546,DATE(1990,1,1))))*12+MONTH('Deal maths'!AA546)-MONTH(IF('Deal maths'!Z546&gt;0,'Deal maths'!Z546,DATE(1990,1,1))))/D546)-1)*D546),EDATE('Deal maths'!AA546,-(INT(((YEAR('Deal maths'!AA546)-YEAR(IF('Deal maths'!Z546&gt;0,'Deal maths'!Z546,DATE(1990,1,1))))*12+MONTH('Deal maths'!AA546)-MONTH(IF('Deal maths'!Z546&gt;0,'Deal maths'!Z546,DATE(1990,1,1))))/D546)-1)*D546))))),0)</f>
        <v/>
      </c>
      <c r="F546" s="110">
        <f>IF(D546=0,0,'Deal maths'!AB546*D546/12)</f>
        <v/>
      </c>
      <c r="G546" s="108">
        <f>N546+O546</f>
        <v/>
      </c>
      <c r="H546" s="108">
        <f>IFERROR(IF(OR(D546=0,AsAt&lt;E546),0,MIN(N546,INT(((YEAR(AsAt)-YEAR(E546))*12+MONTH(AsAt)-MONTH(E546)-(DAY(AsAt)&lt;MIN(R546,DAY(EOMONTH(AsAt,0)))))/D546)+1)+O546*(AsAt&gt;='Deal maths'!AA546)),0)</f>
        <v/>
      </c>
      <c r="I546" s="108">
        <f>G546-H546</f>
        <v/>
      </c>
      <c r="J546" s="111">
        <f>IF(AND(C546="EIP",I546&gt;0),'Deal maths'!Y546/I546,0)</f>
        <v/>
      </c>
      <c r="K546" s="111">
        <f>IF(AND(C546="Annuity",I546&gt;0),IF(F546&gt;0,'Deal maths'!Y546*F546/(1-(1+F546)^-I546),'Deal maths'!Y546/I546),0)</f>
        <v/>
      </c>
      <c r="L546" s="111">
        <f>IF('Deal maths'!Y546="",0,'Deal maths'!Y546)</f>
        <v/>
      </c>
      <c r="M546" s="112">
        <f>F546+(F546=0)</f>
        <v/>
      </c>
      <c r="N546" s="108">
        <f>IFERROR(IF(D546=0,0,INT(((YEAR('Deal maths'!AA546)-YEAR(E546))*12+MONTH('Deal maths'!AA546)-MONTH(E546)-(DAY('Deal maths'!AA546)&lt;MIN(R546,DAY(EOMONTH('Deal maths'!AA546,0)))))/D546)+1),0)</f>
        <v/>
      </c>
      <c r="O546" s="108">
        <f>IFERROR(IF(D546=0,0,IF(IF(DAY(E546+1)=1,EOMONTH(E546,(N546-1)*D546),EDATE(E546,(N546-1)*D546))='Deal maths'!AA546,0,1)),0)</f>
        <v/>
      </c>
      <c r="P546" s="113">
        <f>IF(B546=0,0,IFERROR(IF(C546="EIP",((I546-O546)*((IF(DAY(E546+1)=1,EOMONTH(E546,H546*D546),EDATE(E546,H546*D546))-AsAt)/365.25+(IF(DAY(E546+1)=1,EOMONTH(E546,(N546-1)*D546),EDATE(E546,(N546-1)*D546))-AsAt)/365.25)/2+O546*('Deal maths'!AA546-AsAt)/365.25)/I546,IF(C546="Annuity",IF(F546&gt;0,((K546-L546*F546)*((IF(DAY(E546+1)=1,EOMONTH(E546,H546*D546),EDATE(E546,H546*D546))-AsAt)/365.25*((1+F546)^(I546-O546)-1)/F546+IF((I546-O546)&gt;1,((IF(DAY(E546+1)=1,EOMONTH(E546,(N546-1)*D546),EDATE(E546,(N546-1)*D546))-AsAt)/365.25-(IF(DAY(E546+1)=1,EOMONTH(E546,H546*D546),EDATE(E546,H546*D546))-AsAt)/365.25)/((I546-O546)-1),0)*(1+F546)*(1-(I546-O546)*(1+F546)^((I546-O546)-1)+((I546-O546)-1)*(1+F546)^(I546-O546))/F546^2)+O546*(K546-L546*F546)*(1+F546)^(I546-1)*('Deal maths'!AA546-AsAt)/365.25)/L546,((I546-O546)*((IF(DAY(E546+1)=1,EOMONTH(E546,H546*D546),EDATE(E546,H546*D546))-AsAt)/365.25+(IF(DAY(E546+1)=1,EOMONTH(E546,(N546-1)*D546),EDATE(E546,(N546-1)*D546))-AsAt)/365.25)/2+O546*('Deal maths'!AA546-AsAt)/365.25)/I546),(S546-AsAt)/365.25)),0))</f>
        <v/>
      </c>
      <c r="Q546" s="109">
        <f>IF(B546=1,'Deal maths'!AA546+ROW()/1000000,"")</f>
        <v/>
      </c>
      <c r="R546" s="108">
        <f>IF(D546=0,0,IF(DAY(E546+1)=1,31,DAY(E546)))</f>
        <v/>
      </c>
      <c r="S546" s="109">
        <f>IF(AND('Deal maths'!V546="LOBO",'Deal maths'!AG546&gt;AsAt,'Deal maths'!AG546&lt;'Deal maths'!AA546),'Deal maths'!AG546,'Deal maths'!AA546)</f>
        <v/>
      </c>
      <c r="T546" s="108">
        <f>('Deal maths'!AA546&gt;AsAt)*('Deal maths'!Y546&gt;0)</f>
        <v/>
      </c>
    </row>
    <row r="547">
      <c r="A547" s="91">
        <f>IF('Deal maths'!V547="","",'Deal maths'!W547)</f>
        <v/>
      </c>
      <c r="B547" s="108">
        <f>('Deal maths'!AA547&gt;AsAt)*('Deal maths'!Y547&gt;0)*('Deal maths'!Z547&lt;=AsAt)</f>
        <v/>
      </c>
      <c r="C547" s="91">
        <f>IF('Deal maths'!V547="","",IF('Deal maths'!AC547="","Maturity",'Deal maths'!AC547))</f>
        <v/>
      </c>
      <c r="D547" s="108">
        <f>IF(OR(C547="EIP",C547="Annuity"),IF('Deal maths'!AD547="Annual",12,IF('Deal maths'!AD547="Quarterly",3,6)),0)</f>
        <v/>
      </c>
      <c r="E547" s="109">
        <f>IFERROR(IF(D547=0,0,IF('Deal maths'!AE547&gt;0,IF('Deal maths'!AE547&gt;'Deal maths'!AA547,'Deal maths'!AA547,'Deal maths'!AE547),IF(IF(DAY('Deal maths'!AA547+1)=1,EOMONTH('Deal maths'!AA547,-(INT(((YEAR('Deal maths'!AA547)-YEAR(IF('Deal maths'!Z547&gt;0,'Deal maths'!Z547,DATE(1990,1,1))))*12+MONTH('Deal maths'!AA547)-MONTH(IF('Deal maths'!Z547&gt;0,'Deal maths'!Z547,DATE(1990,1,1))))/D547))*D547),EDATE('Deal maths'!AA547,-(INT(((YEAR('Deal maths'!AA547)-YEAR(IF('Deal maths'!Z547&gt;0,'Deal maths'!Z547,DATE(1990,1,1))))*12+MONTH('Deal maths'!AA547)-MONTH(IF('Deal maths'!Z547&gt;0,'Deal maths'!Z547,DATE(1990,1,1))))/D547))*D547))&gt;IF('Deal maths'!Z547&gt;0,'Deal maths'!Z547,DATE(1990,1,1)),IF(DAY('Deal maths'!AA547+1)=1,EOMONTH('Deal maths'!AA547,-(INT(((YEAR('Deal maths'!AA547)-YEAR(IF('Deal maths'!Z547&gt;0,'Deal maths'!Z547,DATE(1990,1,1))))*12+MONTH('Deal maths'!AA547)-MONTH(IF('Deal maths'!Z547&gt;0,'Deal maths'!Z547,DATE(1990,1,1))))/D547))*D547),EDATE('Deal maths'!AA547,-(INT(((YEAR('Deal maths'!AA547)-YEAR(IF('Deal maths'!Z547&gt;0,'Deal maths'!Z547,DATE(1990,1,1))))*12+MONTH('Deal maths'!AA547)-MONTH(IF('Deal maths'!Z547&gt;0,'Deal maths'!Z547,DATE(1990,1,1))))/D547))*D547)),IF(DAY('Deal maths'!AA547+1)=1,EOMONTH('Deal maths'!AA547,-(INT(((YEAR('Deal maths'!AA547)-YEAR(IF('Deal maths'!Z547&gt;0,'Deal maths'!Z547,DATE(1990,1,1))))*12+MONTH('Deal maths'!AA547)-MONTH(IF('Deal maths'!Z547&gt;0,'Deal maths'!Z547,DATE(1990,1,1))))/D547)-1)*D547),EDATE('Deal maths'!AA547,-(INT(((YEAR('Deal maths'!AA547)-YEAR(IF('Deal maths'!Z547&gt;0,'Deal maths'!Z547,DATE(1990,1,1))))*12+MONTH('Deal maths'!AA547)-MONTH(IF('Deal maths'!Z547&gt;0,'Deal maths'!Z547,DATE(1990,1,1))))/D547)-1)*D547))))),0)</f>
        <v/>
      </c>
      <c r="F547" s="110">
        <f>IF(D547=0,0,'Deal maths'!AB547*D547/12)</f>
        <v/>
      </c>
      <c r="G547" s="108">
        <f>N547+O547</f>
        <v/>
      </c>
      <c r="H547" s="108">
        <f>IFERROR(IF(OR(D547=0,AsAt&lt;E547),0,MIN(N547,INT(((YEAR(AsAt)-YEAR(E547))*12+MONTH(AsAt)-MONTH(E547)-(DAY(AsAt)&lt;MIN(R547,DAY(EOMONTH(AsAt,0)))))/D547)+1)+O547*(AsAt&gt;='Deal maths'!AA547)),0)</f>
        <v/>
      </c>
      <c r="I547" s="108">
        <f>G547-H547</f>
        <v/>
      </c>
      <c r="J547" s="111">
        <f>IF(AND(C547="EIP",I547&gt;0),'Deal maths'!Y547/I547,0)</f>
        <v/>
      </c>
      <c r="K547" s="111">
        <f>IF(AND(C547="Annuity",I547&gt;0),IF(F547&gt;0,'Deal maths'!Y547*F547/(1-(1+F547)^-I547),'Deal maths'!Y547/I547),0)</f>
        <v/>
      </c>
      <c r="L547" s="111">
        <f>IF('Deal maths'!Y547="",0,'Deal maths'!Y547)</f>
        <v/>
      </c>
      <c r="M547" s="112">
        <f>F547+(F547=0)</f>
        <v/>
      </c>
      <c r="N547" s="108">
        <f>IFERROR(IF(D547=0,0,INT(((YEAR('Deal maths'!AA547)-YEAR(E547))*12+MONTH('Deal maths'!AA547)-MONTH(E547)-(DAY('Deal maths'!AA547)&lt;MIN(R547,DAY(EOMONTH('Deal maths'!AA547,0)))))/D547)+1),0)</f>
        <v/>
      </c>
      <c r="O547" s="108">
        <f>IFERROR(IF(D547=0,0,IF(IF(DAY(E547+1)=1,EOMONTH(E547,(N547-1)*D547),EDATE(E547,(N547-1)*D547))='Deal maths'!AA547,0,1)),0)</f>
        <v/>
      </c>
      <c r="P547" s="113">
        <f>IF(B547=0,0,IFERROR(IF(C547="EIP",((I547-O547)*((IF(DAY(E547+1)=1,EOMONTH(E547,H547*D547),EDATE(E547,H547*D547))-AsAt)/365.25+(IF(DAY(E547+1)=1,EOMONTH(E547,(N547-1)*D547),EDATE(E547,(N547-1)*D547))-AsAt)/365.25)/2+O547*('Deal maths'!AA547-AsAt)/365.25)/I547,IF(C547="Annuity",IF(F547&gt;0,((K547-L547*F547)*((IF(DAY(E547+1)=1,EOMONTH(E547,H547*D547),EDATE(E547,H547*D547))-AsAt)/365.25*((1+F547)^(I547-O547)-1)/F547+IF((I547-O547)&gt;1,((IF(DAY(E547+1)=1,EOMONTH(E547,(N547-1)*D547),EDATE(E547,(N547-1)*D547))-AsAt)/365.25-(IF(DAY(E547+1)=1,EOMONTH(E547,H547*D547),EDATE(E547,H547*D547))-AsAt)/365.25)/((I547-O547)-1),0)*(1+F547)*(1-(I547-O547)*(1+F547)^((I547-O547)-1)+((I547-O547)-1)*(1+F547)^(I547-O547))/F547^2)+O547*(K547-L547*F547)*(1+F547)^(I547-1)*('Deal maths'!AA547-AsAt)/365.25)/L547,((I547-O547)*((IF(DAY(E547+1)=1,EOMONTH(E547,H547*D547),EDATE(E547,H547*D547))-AsAt)/365.25+(IF(DAY(E547+1)=1,EOMONTH(E547,(N547-1)*D547),EDATE(E547,(N547-1)*D547))-AsAt)/365.25)/2+O547*('Deal maths'!AA547-AsAt)/365.25)/I547),(S547-AsAt)/365.25)),0))</f>
        <v/>
      </c>
      <c r="Q547" s="109">
        <f>IF(B547=1,'Deal maths'!AA547+ROW()/1000000,"")</f>
        <v/>
      </c>
      <c r="R547" s="108">
        <f>IF(D547=0,0,IF(DAY(E547+1)=1,31,DAY(E547)))</f>
        <v/>
      </c>
      <c r="S547" s="109">
        <f>IF(AND('Deal maths'!V547="LOBO",'Deal maths'!AG547&gt;AsAt,'Deal maths'!AG547&lt;'Deal maths'!AA547),'Deal maths'!AG547,'Deal maths'!AA547)</f>
        <v/>
      </c>
      <c r="T547" s="108">
        <f>('Deal maths'!AA547&gt;AsAt)*('Deal maths'!Y547&gt;0)</f>
        <v/>
      </c>
    </row>
    <row r="548">
      <c r="A548" s="91">
        <f>IF('Deal maths'!V548="","",'Deal maths'!W548)</f>
        <v/>
      </c>
      <c r="B548" s="108">
        <f>('Deal maths'!AA548&gt;AsAt)*('Deal maths'!Y548&gt;0)*('Deal maths'!Z548&lt;=AsAt)</f>
        <v/>
      </c>
      <c r="C548" s="91">
        <f>IF('Deal maths'!V548="","",IF('Deal maths'!AC548="","Maturity",'Deal maths'!AC548))</f>
        <v/>
      </c>
      <c r="D548" s="108">
        <f>IF(OR(C548="EIP",C548="Annuity"),IF('Deal maths'!AD548="Annual",12,IF('Deal maths'!AD548="Quarterly",3,6)),0)</f>
        <v/>
      </c>
      <c r="E548" s="109">
        <f>IFERROR(IF(D548=0,0,IF('Deal maths'!AE548&gt;0,IF('Deal maths'!AE548&gt;'Deal maths'!AA548,'Deal maths'!AA548,'Deal maths'!AE548),IF(IF(DAY('Deal maths'!AA548+1)=1,EOMONTH('Deal maths'!AA548,-(INT(((YEAR('Deal maths'!AA548)-YEAR(IF('Deal maths'!Z548&gt;0,'Deal maths'!Z548,DATE(1990,1,1))))*12+MONTH('Deal maths'!AA548)-MONTH(IF('Deal maths'!Z548&gt;0,'Deal maths'!Z548,DATE(1990,1,1))))/D548))*D548),EDATE('Deal maths'!AA548,-(INT(((YEAR('Deal maths'!AA548)-YEAR(IF('Deal maths'!Z548&gt;0,'Deal maths'!Z548,DATE(1990,1,1))))*12+MONTH('Deal maths'!AA548)-MONTH(IF('Deal maths'!Z548&gt;0,'Deal maths'!Z548,DATE(1990,1,1))))/D548))*D548))&gt;IF('Deal maths'!Z548&gt;0,'Deal maths'!Z548,DATE(1990,1,1)),IF(DAY('Deal maths'!AA548+1)=1,EOMONTH('Deal maths'!AA548,-(INT(((YEAR('Deal maths'!AA548)-YEAR(IF('Deal maths'!Z548&gt;0,'Deal maths'!Z548,DATE(1990,1,1))))*12+MONTH('Deal maths'!AA548)-MONTH(IF('Deal maths'!Z548&gt;0,'Deal maths'!Z548,DATE(1990,1,1))))/D548))*D548),EDATE('Deal maths'!AA548,-(INT(((YEAR('Deal maths'!AA548)-YEAR(IF('Deal maths'!Z548&gt;0,'Deal maths'!Z548,DATE(1990,1,1))))*12+MONTH('Deal maths'!AA548)-MONTH(IF('Deal maths'!Z548&gt;0,'Deal maths'!Z548,DATE(1990,1,1))))/D548))*D548)),IF(DAY('Deal maths'!AA548+1)=1,EOMONTH('Deal maths'!AA548,-(INT(((YEAR('Deal maths'!AA548)-YEAR(IF('Deal maths'!Z548&gt;0,'Deal maths'!Z548,DATE(1990,1,1))))*12+MONTH('Deal maths'!AA548)-MONTH(IF('Deal maths'!Z548&gt;0,'Deal maths'!Z548,DATE(1990,1,1))))/D548)-1)*D548),EDATE('Deal maths'!AA548,-(INT(((YEAR('Deal maths'!AA548)-YEAR(IF('Deal maths'!Z548&gt;0,'Deal maths'!Z548,DATE(1990,1,1))))*12+MONTH('Deal maths'!AA548)-MONTH(IF('Deal maths'!Z548&gt;0,'Deal maths'!Z548,DATE(1990,1,1))))/D548)-1)*D548))))),0)</f>
        <v/>
      </c>
      <c r="F548" s="110">
        <f>IF(D548=0,0,'Deal maths'!AB548*D548/12)</f>
        <v/>
      </c>
      <c r="G548" s="108">
        <f>N548+O548</f>
        <v/>
      </c>
      <c r="H548" s="108">
        <f>IFERROR(IF(OR(D548=0,AsAt&lt;E548),0,MIN(N548,INT(((YEAR(AsAt)-YEAR(E548))*12+MONTH(AsAt)-MONTH(E548)-(DAY(AsAt)&lt;MIN(R548,DAY(EOMONTH(AsAt,0)))))/D548)+1)+O548*(AsAt&gt;='Deal maths'!AA548)),0)</f>
        <v/>
      </c>
      <c r="I548" s="108">
        <f>G548-H548</f>
        <v/>
      </c>
      <c r="J548" s="111">
        <f>IF(AND(C548="EIP",I548&gt;0),'Deal maths'!Y548/I548,0)</f>
        <v/>
      </c>
      <c r="K548" s="111">
        <f>IF(AND(C548="Annuity",I548&gt;0),IF(F548&gt;0,'Deal maths'!Y548*F548/(1-(1+F548)^-I548),'Deal maths'!Y548/I548),0)</f>
        <v/>
      </c>
      <c r="L548" s="111">
        <f>IF('Deal maths'!Y548="",0,'Deal maths'!Y548)</f>
        <v/>
      </c>
      <c r="M548" s="112">
        <f>F548+(F548=0)</f>
        <v/>
      </c>
      <c r="N548" s="108">
        <f>IFERROR(IF(D548=0,0,INT(((YEAR('Deal maths'!AA548)-YEAR(E548))*12+MONTH('Deal maths'!AA548)-MONTH(E548)-(DAY('Deal maths'!AA548)&lt;MIN(R548,DAY(EOMONTH('Deal maths'!AA548,0)))))/D548)+1),0)</f>
        <v/>
      </c>
      <c r="O548" s="108">
        <f>IFERROR(IF(D548=0,0,IF(IF(DAY(E548+1)=1,EOMONTH(E548,(N548-1)*D548),EDATE(E548,(N548-1)*D548))='Deal maths'!AA548,0,1)),0)</f>
        <v/>
      </c>
      <c r="P548" s="113">
        <f>IF(B548=0,0,IFERROR(IF(C548="EIP",((I548-O548)*((IF(DAY(E548+1)=1,EOMONTH(E548,H548*D548),EDATE(E548,H548*D548))-AsAt)/365.25+(IF(DAY(E548+1)=1,EOMONTH(E548,(N548-1)*D548),EDATE(E548,(N548-1)*D548))-AsAt)/365.25)/2+O548*('Deal maths'!AA548-AsAt)/365.25)/I548,IF(C548="Annuity",IF(F548&gt;0,((K548-L548*F548)*((IF(DAY(E548+1)=1,EOMONTH(E548,H548*D548),EDATE(E548,H548*D548))-AsAt)/365.25*((1+F548)^(I548-O548)-1)/F548+IF((I548-O548)&gt;1,((IF(DAY(E548+1)=1,EOMONTH(E548,(N548-1)*D548),EDATE(E548,(N548-1)*D548))-AsAt)/365.25-(IF(DAY(E548+1)=1,EOMONTH(E548,H548*D548),EDATE(E548,H548*D548))-AsAt)/365.25)/((I548-O548)-1),0)*(1+F548)*(1-(I548-O548)*(1+F548)^((I548-O548)-1)+((I548-O548)-1)*(1+F548)^(I548-O548))/F548^2)+O548*(K548-L548*F548)*(1+F548)^(I548-1)*('Deal maths'!AA548-AsAt)/365.25)/L548,((I548-O548)*((IF(DAY(E548+1)=1,EOMONTH(E548,H548*D548),EDATE(E548,H548*D548))-AsAt)/365.25+(IF(DAY(E548+1)=1,EOMONTH(E548,(N548-1)*D548),EDATE(E548,(N548-1)*D548))-AsAt)/365.25)/2+O548*('Deal maths'!AA548-AsAt)/365.25)/I548),(S548-AsAt)/365.25)),0))</f>
        <v/>
      </c>
      <c r="Q548" s="109">
        <f>IF(B548=1,'Deal maths'!AA548+ROW()/1000000,"")</f>
        <v/>
      </c>
      <c r="R548" s="108">
        <f>IF(D548=0,0,IF(DAY(E548+1)=1,31,DAY(E548)))</f>
        <v/>
      </c>
      <c r="S548" s="109">
        <f>IF(AND('Deal maths'!V548="LOBO",'Deal maths'!AG548&gt;AsAt,'Deal maths'!AG548&lt;'Deal maths'!AA548),'Deal maths'!AG548,'Deal maths'!AA548)</f>
        <v/>
      </c>
      <c r="T548" s="108">
        <f>('Deal maths'!AA548&gt;AsAt)*('Deal maths'!Y548&gt;0)</f>
        <v/>
      </c>
    </row>
    <row r="549">
      <c r="A549" s="91">
        <f>IF('Deal maths'!V549="","",'Deal maths'!W549)</f>
        <v/>
      </c>
      <c r="B549" s="108">
        <f>('Deal maths'!AA549&gt;AsAt)*('Deal maths'!Y549&gt;0)*('Deal maths'!Z549&lt;=AsAt)</f>
        <v/>
      </c>
      <c r="C549" s="91">
        <f>IF('Deal maths'!V549="","",IF('Deal maths'!AC549="","Maturity",'Deal maths'!AC549))</f>
        <v/>
      </c>
      <c r="D549" s="108">
        <f>IF(OR(C549="EIP",C549="Annuity"),IF('Deal maths'!AD549="Annual",12,IF('Deal maths'!AD549="Quarterly",3,6)),0)</f>
        <v/>
      </c>
      <c r="E549" s="109">
        <f>IFERROR(IF(D549=0,0,IF('Deal maths'!AE549&gt;0,IF('Deal maths'!AE549&gt;'Deal maths'!AA549,'Deal maths'!AA549,'Deal maths'!AE549),IF(IF(DAY('Deal maths'!AA549+1)=1,EOMONTH('Deal maths'!AA549,-(INT(((YEAR('Deal maths'!AA549)-YEAR(IF('Deal maths'!Z549&gt;0,'Deal maths'!Z549,DATE(1990,1,1))))*12+MONTH('Deal maths'!AA549)-MONTH(IF('Deal maths'!Z549&gt;0,'Deal maths'!Z549,DATE(1990,1,1))))/D549))*D549),EDATE('Deal maths'!AA549,-(INT(((YEAR('Deal maths'!AA549)-YEAR(IF('Deal maths'!Z549&gt;0,'Deal maths'!Z549,DATE(1990,1,1))))*12+MONTH('Deal maths'!AA549)-MONTH(IF('Deal maths'!Z549&gt;0,'Deal maths'!Z549,DATE(1990,1,1))))/D549))*D549))&gt;IF('Deal maths'!Z549&gt;0,'Deal maths'!Z549,DATE(1990,1,1)),IF(DAY('Deal maths'!AA549+1)=1,EOMONTH('Deal maths'!AA549,-(INT(((YEAR('Deal maths'!AA549)-YEAR(IF('Deal maths'!Z549&gt;0,'Deal maths'!Z549,DATE(1990,1,1))))*12+MONTH('Deal maths'!AA549)-MONTH(IF('Deal maths'!Z549&gt;0,'Deal maths'!Z549,DATE(1990,1,1))))/D549))*D549),EDATE('Deal maths'!AA549,-(INT(((YEAR('Deal maths'!AA549)-YEAR(IF('Deal maths'!Z549&gt;0,'Deal maths'!Z549,DATE(1990,1,1))))*12+MONTH('Deal maths'!AA549)-MONTH(IF('Deal maths'!Z549&gt;0,'Deal maths'!Z549,DATE(1990,1,1))))/D549))*D549)),IF(DAY('Deal maths'!AA549+1)=1,EOMONTH('Deal maths'!AA549,-(INT(((YEAR('Deal maths'!AA549)-YEAR(IF('Deal maths'!Z549&gt;0,'Deal maths'!Z549,DATE(1990,1,1))))*12+MONTH('Deal maths'!AA549)-MONTH(IF('Deal maths'!Z549&gt;0,'Deal maths'!Z549,DATE(1990,1,1))))/D549)-1)*D549),EDATE('Deal maths'!AA549,-(INT(((YEAR('Deal maths'!AA549)-YEAR(IF('Deal maths'!Z549&gt;0,'Deal maths'!Z549,DATE(1990,1,1))))*12+MONTH('Deal maths'!AA549)-MONTH(IF('Deal maths'!Z549&gt;0,'Deal maths'!Z549,DATE(1990,1,1))))/D549)-1)*D549))))),0)</f>
        <v/>
      </c>
      <c r="F549" s="110">
        <f>IF(D549=0,0,'Deal maths'!AB549*D549/12)</f>
        <v/>
      </c>
      <c r="G549" s="108">
        <f>N549+O549</f>
        <v/>
      </c>
      <c r="H549" s="108">
        <f>IFERROR(IF(OR(D549=0,AsAt&lt;E549),0,MIN(N549,INT(((YEAR(AsAt)-YEAR(E549))*12+MONTH(AsAt)-MONTH(E549)-(DAY(AsAt)&lt;MIN(R549,DAY(EOMONTH(AsAt,0)))))/D549)+1)+O549*(AsAt&gt;='Deal maths'!AA549)),0)</f>
        <v/>
      </c>
      <c r="I549" s="108">
        <f>G549-H549</f>
        <v/>
      </c>
      <c r="J549" s="111">
        <f>IF(AND(C549="EIP",I549&gt;0),'Deal maths'!Y549/I549,0)</f>
        <v/>
      </c>
      <c r="K549" s="111">
        <f>IF(AND(C549="Annuity",I549&gt;0),IF(F549&gt;0,'Deal maths'!Y549*F549/(1-(1+F549)^-I549),'Deal maths'!Y549/I549),0)</f>
        <v/>
      </c>
      <c r="L549" s="111">
        <f>IF('Deal maths'!Y549="",0,'Deal maths'!Y549)</f>
        <v/>
      </c>
      <c r="M549" s="112">
        <f>F549+(F549=0)</f>
        <v/>
      </c>
      <c r="N549" s="108">
        <f>IFERROR(IF(D549=0,0,INT(((YEAR('Deal maths'!AA549)-YEAR(E549))*12+MONTH('Deal maths'!AA549)-MONTH(E549)-(DAY('Deal maths'!AA549)&lt;MIN(R549,DAY(EOMONTH('Deal maths'!AA549,0)))))/D549)+1),0)</f>
        <v/>
      </c>
      <c r="O549" s="108">
        <f>IFERROR(IF(D549=0,0,IF(IF(DAY(E549+1)=1,EOMONTH(E549,(N549-1)*D549),EDATE(E549,(N549-1)*D549))='Deal maths'!AA549,0,1)),0)</f>
        <v/>
      </c>
      <c r="P549" s="113">
        <f>IF(B549=0,0,IFERROR(IF(C549="EIP",((I549-O549)*((IF(DAY(E549+1)=1,EOMONTH(E549,H549*D549),EDATE(E549,H549*D549))-AsAt)/365.25+(IF(DAY(E549+1)=1,EOMONTH(E549,(N549-1)*D549),EDATE(E549,(N549-1)*D549))-AsAt)/365.25)/2+O549*('Deal maths'!AA549-AsAt)/365.25)/I549,IF(C549="Annuity",IF(F549&gt;0,((K549-L549*F549)*((IF(DAY(E549+1)=1,EOMONTH(E549,H549*D549),EDATE(E549,H549*D549))-AsAt)/365.25*((1+F549)^(I549-O549)-1)/F549+IF((I549-O549)&gt;1,((IF(DAY(E549+1)=1,EOMONTH(E549,(N549-1)*D549),EDATE(E549,(N549-1)*D549))-AsAt)/365.25-(IF(DAY(E549+1)=1,EOMONTH(E549,H549*D549),EDATE(E549,H549*D549))-AsAt)/365.25)/((I549-O549)-1),0)*(1+F549)*(1-(I549-O549)*(1+F549)^((I549-O549)-1)+((I549-O549)-1)*(1+F549)^(I549-O549))/F549^2)+O549*(K549-L549*F549)*(1+F549)^(I549-1)*('Deal maths'!AA549-AsAt)/365.25)/L549,((I549-O549)*((IF(DAY(E549+1)=1,EOMONTH(E549,H549*D549),EDATE(E549,H549*D549))-AsAt)/365.25+(IF(DAY(E549+1)=1,EOMONTH(E549,(N549-1)*D549),EDATE(E549,(N549-1)*D549))-AsAt)/365.25)/2+O549*('Deal maths'!AA549-AsAt)/365.25)/I549),(S549-AsAt)/365.25)),0))</f>
        <v/>
      </c>
      <c r="Q549" s="109">
        <f>IF(B549=1,'Deal maths'!AA549+ROW()/1000000,"")</f>
        <v/>
      </c>
      <c r="R549" s="108">
        <f>IF(D549=0,0,IF(DAY(E549+1)=1,31,DAY(E549)))</f>
        <v/>
      </c>
      <c r="S549" s="109">
        <f>IF(AND('Deal maths'!V549="LOBO",'Deal maths'!AG549&gt;AsAt,'Deal maths'!AG549&lt;'Deal maths'!AA549),'Deal maths'!AG549,'Deal maths'!AA549)</f>
        <v/>
      </c>
      <c r="T549" s="108">
        <f>('Deal maths'!AA549&gt;AsAt)*('Deal maths'!Y549&gt;0)</f>
        <v/>
      </c>
    </row>
    <row r="550">
      <c r="A550" s="91">
        <f>IF('Deal maths'!V550="","",'Deal maths'!W550)</f>
        <v/>
      </c>
      <c r="B550" s="108">
        <f>('Deal maths'!AA550&gt;AsAt)*('Deal maths'!Y550&gt;0)*('Deal maths'!Z550&lt;=AsAt)</f>
        <v/>
      </c>
      <c r="C550" s="91">
        <f>IF('Deal maths'!V550="","",IF('Deal maths'!AC550="","Maturity",'Deal maths'!AC550))</f>
        <v/>
      </c>
      <c r="D550" s="108">
        <f>IF(OR(C550="EIP",C550="Annuity"),IF('Deal maths'!AD550="Annual",12,IF('Deal maths'!AD550="Quarterly",3,6)),0)</f>
        <v/>
      </c>
      <c r="E550" s="109">
        <f>IFERROR(IF(D550=0,0,IF('Deal maths'!AE550&gt;0,IF('Deal maths'!AE550&gt;'Deal maths'!AA550,'Deal maths'!AA550,'Deal maths'!AE550),IF(IF(DAY('Deal maths'!AA550+1)=1,EOMONTH('Deal maths'!AA550,-(INT(((YEAR('Deal maths'!AA550)-YEAR(IF('Deal maths'!Z550&gt;0,'Deal maths'!Z550,DATE(1990,1,1))))*12+MONTH('Deal maths'!AA550)-MONTH(IF('Deal maths'!Z550&gt;0,'Deal maths'!Z550,DATE(1990,1,1))))/D550))*D550),EDATE('Deal maths'!AA550,-(INT(((YEAR('Deal maths'!AA550)-YEAR(IF('Deal maths'!Z550&gt;0,'Deal maths'!Z550,DATE(1990,1,1))))*12+MONTH('Deal maths'!AA550)-MONTH(IF('Deal maths'!Z550&gt;0,'Deal maths'!Z550,DATE(1990,1,1))))/D550))*D550))&gt;IF('Deal maths'!Z550&gt;0,'Deal maths'!Z550,DATE(1990,1,1)),IF(DAY('Deal maths'!AA550+1)=1,EOMONTH('Deal maths'!AA550,-(INT(((YEAR('Deal maths'!AA550)-YEAR(IF('Deal maths'!Z550&gt;0,'Deal maths'!Z550,DATE(1990,1,1))))*12+MONTH('Deal maths'!AA550)-MONTH(IF('Deal maths'!Z550&gt;0,'Deal maths'!Z550,DATE(1990,1,1))))/D550))*D550),EDATE('Deal maths'!AA550,-(INT(((YEAR('Deal maths'!AA550)-YEAR(IF('Deal maths'!Z550&gt;0,'Deal maths'!Z550,DATE(1990,1,1))))*12+MONTH('Deal maths'!AA550)-MONTH(IF('Deal maths'!Z550&gt;0,'Deal maths'!Z550,DATE(1990,1,1))))/D550))*D550)),IF(DAY('Deal maths'!AA550+1)=1,EOMONTH('Deal maths'!AA550,-(INT(((YEAR('Deal maths'!AA550)-YEAR(IF('Deal maths'!Z550&gt;0,'Deal maths'!Z550,DATE(1990,1,1))))*12+MONTH('Deal maths'!AA550)-MONTH(IF('Deal maths'!Z550&gt;0,'Deal maths'!Z550,DATE(1990,1,1))))/D550)-1)*D550),EDATE('Deal maths'!AA550,-(INT(((YEAR('Deal maths'!AA550)-YEAR(IF('Deal maths'!Z550&gt;0,'Deal maths'!Z550,DATE(1990,1,1))))*12+MONTH('Deal maths'!AA550)-MONTH(IF('Deal maths'!Z550&gt;0,'Deal maths'!Z550,DATE(1990,1,1))))/D550)-1)*D550))))),0)</f>
        <v/>
      </c>
      <c r="F550" s="110">
        <f>IF(D550=0,0,'Deal maths'!AB550*D550/12)</f>
        <v/>
      </c>
      <c r="G550" s="108">
        <f>N550+O550</f>
        <v/>
      </c>
      <c r="H550" s="108">
        <f>IFERROR(IF(OR(D550=0,AsAt&lt;E550),0,MIN(N550,INT(((YEAR(AsAt)-YEAR(E550))*12+MONTH(AsAt)-MONTH(E550)-(DAY(AsAt)&lt;MIN(R550,DAY(EOMONTH(AsAt,0)))))/D550)+1)+O550*(AsAt&gt;='Deal maths'!AA550)),0)</f>
        <v/>
      </c>
      <c r="I550" s="108">
        <f>G550-H550</f>
        <v/>
      </c>
      <c r="J550" s="111">
        <f>IF(AND(C550="EIP",I550&gt;0),'Deal maths'!Y550/I550,0)</f>
        <v/>
      </c>
      <c r="K550" s="111">
        <f>IF(AND(C550="Annuity",I550&gt;0),IF(F550&gt;0,'Deal maths'!Y550*F550/(1-(1+F550)^-I550),'Deal maths'!Y550/I550),0)</f>
        <v/>
      </c>
      <c r="L550" s="111">
        <f>IF('Deal maths'!Y550="",0,'Deal maths'!Y550)</f>
        <v/>
      </c>
      <c r="M550" s="112">
        <f>F550+(F550=0)</f>
        <v/>
      </c>
      <c r="N550" s="108">
        <f>IFERROR(IF(D550=0,0,INT(((YEAR('Deal maths'!AA550)-YEAR(E550))*12+MONTH('Deal maths'!AA550)-MONTH(E550)-(DAY('Deal maths'!AA550)&lt;MIN(R550,DAY(EOMONTH('Deal maths'!AA550,0)))))/D550)+1),0)</f>
        <v/>
      </c>
      <c r="O550" s="108">
        <f>IFERROR(IF(D550=0,0,IF(IF(DAY(E550+1)=1,EOMONTH(E550,(N550-1)*D550),EDATE(E550,(N550-1)*D550))='Deal maths'!AA550,0,1)),0)</f>
        <v/>
      </c>
      <c r="P550" s="113">
        <f>IF(B550=0,0,IFERROR(IF(C550="EIP",((I550-O550)*((IF(DAY(E550+1)=1,EOMONTH(E550,H550*D550),EDATE(E550,H550*D550))-AsAt)/365.25+(IF(DAY(E550+1)=1,EOMONTH(E550,(N550-1)*D550),EDATE(E550,(N550-1)*D550))-AsAt)/365.25)/2+O550*('Deal maths'!AA550-AsAt)/365.25)/I550,IF(C550="Annuity",IF(F550&gt;0,((K550-L550*F550)*((IF(DAY(E550+1)=1,EOMONTH(E550,H550*D550),EDATE(E550,H550*D550))-AsAt)/365.25*((1+F550)^(I550-O550)-1)/F550+IF((I550-O550)&gt;1,((IF(DAY(E550+1)=1,EOMONTH(E550,(N550-1)*D550),EDATE(E550,(N550-1)*D550))-AsAt)/365.25-(IF(DAY(E550+1)=1,EOMONTH(E550,H550*D550),EDATE(E550,H550*D550))-AsAt)/365.25)/((I550-O550)-1),0)*(1+F550)*(1-(I550-O550)*(1+F550)^((I550-O550)-1)+((I550-O550)-1)*(1+F550)^(I550-O550))/F550^2)+O550*(K550-L550*F550)*(1+F550)^(I550-1)*('Deal maths'!AA550-AsAt)/365.25)/L550,((I550-O550)*((IF(DAY(E550+1)=1,EOMONTH(E550,H550*D550),EDATE(E550,H550*D550))-AsAt)/365.25+(IF(DAY(E550+1)=1,EOMONTH(E550,(N550-1)*D550),EDATE(E550,(N550-1)*D550))-AsAt)/365.25)/2+O550*('Deal maths'!AA550-AsAt)/365.25)/I550),(S550-AsAt)/365.25)),0))</f>
        <v/>
      </c>
      <c r="Q550" s="109">
        <f>IF(B550=1,'Deal maths'!AA550+ROW()/1000000,"")</f>
        <v/>
      </c>
      <c r="R550" s="108">
        <f>IF(D550=0,0,IF(DAY(E550+1)=1,31,DAY(E550)))</f>
        <v/>
      </c>
      <c r="S550" s="109">
        <f>IF(AND('Deal maths'!V550="LOBO",'Deal maths'!AG550&gt;AsAt,'Deal maths'!AG550&lt;'Deal maths'!AA550),'Deal maths'!AG550,'Deal maths'!AA550)</f>
        <v/>
      </c>
      <c r="T550" s="108">
        <f>('Deal maths'!AA550&gt;AsAt)*('Deal maths'!Y550&gt;0)</f>
        <v/>
      </c>
    </row>
    <row r="551">
      <c r="A551" s="91">
        <f>IF('Deal maths'!V551="","",'Deal maths'!W551)</f>
        <v/>
      </c>
      <c r="B551" s="108">
        <f>('Deal maths'!AA551&gt;AsAt)*('Deal maths'!Y551&gt;0)*('Deal maths'!Z551&lt;=AsAt)</f>
        <v/>
      </c>
      <c r="C551" s="91">
        <f>IF('Deal maths'!V551="","",IF('Deal maths'!AC551="","Maturity",'Deal maths'!AC551))</f>
        <v/>
      </c>
      <c r="D551" s="108">
        <f>IF(OR(C551="EIP",C551="Annuity"),IF('Deal maths'!AD551="Annual",12,IF('Deal maths'!AD551="Quarterly",3,6)),0)</f>
        <v/>
      </c>
      <c r="E551" s="109">
        <f>IFERROR(IF(D551=0,0,IF('Deal maths'!AE551&gt;0,IF('Deal maths'!AE551&gt;'Deal maths'!AA551,'Deal maths'!AA551,'Deal maths'!AE551),IF(IF(DAY('Deal maths'!AA551+1)=1,EOMONTH('Deal maths'!AA551,-(INT(((YEAR('Deal maths'!AA551)-YEAR(IF('Deal maths'!Z551&gt;0,'Deal maths'!Z551,DATE(1990,1,1))))*12+MONTH('Deal maths'!AA551)-MONTH(IF('Deal maths'!Z551&gt;0,'Deal maths'!Z551,DATE(1990,1,1))))/D551))*D551),EDATE('Deal maths'!AA551,-(INT(((YEAR('Deal maths'!AA551)-YEAR(IF('Deal maths'!Z551&gt;0,'Deal maths'!Z551,DATE(1990,1,1))))*12+MONTH('Deal maths'!AA551)-MONTH(IF('Deal maths'!Z551&gt;0,'Deal maths'!Z551,DATE(1990,1,1))))/D551))*D551))&gt;IF('Deal maths'!Z551&gt;0,'Deal maths'!Z551,DATE(1990,1,1)),IF(DAY('Deal maths'!AA551+1)=1,EOMONTH('Deal maths'!AA551,-(INT(((YEAR('Deal maths'!AA551)-YEAR(IF('Deal maths'!Z551&gt;0,'Deal maths'!Z551,DATE(1990,1,1))))*12+MONTH('Deal maths'!AA551)-MONTH(IF('Deal maths'!Z551&gt;0,'Deal maths'!Z551,DATE(1990,1,1))))/D551))*D551),EDATE('Deal maths'!AA551,-(INT(((YEAR('Deal maths'!AA551)-YEAR(IF('Deal maths'!Z551&gt;0,'Deal maths'!Z551,DATE(1990,1,1))))*12+MONTH('Deal maths'!AA551)-MONTH(IF('Deal maths'!Z551&gt;0,'Deal maths'!Z551,DATE(1990,1,1))))/D551))*D551)),IF(DAY('Deal maths'!AA551+1)=1,EOMONTH('Deal maths'!AA551,-(INT(((YEAR('Deal maths'!AA551)-YEAR(IF('Deal maths'!Z551&gt;0,'Deal maths'!Z551,DATE(1990,1,1))))*12+MONTH('Deal maths'!AA551)-MONTH(IF('Deal maths'!Z551&gt;0,'Deal maths'!Z551,DATE(1990,1,1))))/D551)-1)*D551),EDATE('Deal maths'!AA551,-(INT(((YEAR('Deal maths'!AA551)-YEAR(IF('Deal maths'!Z551&gt;0,'Deal maths'!Z551,DATE(1990,1,1))))*12+MONTH('Deal maths'!AA551)-MONTH(IF('Deal maths'!Z551&gt;0,'Deal maths'!Z551,DATE(1990,1,1))))/D551)-1)*D551))))),0)</f>
        <v/>
      </c>
      <c r="F551" s="110">
        <f>IF(D551=0,0,'Deal maths'!AB551*D551/12)</f>
        <v/>
      </c>
      <c r="G551" s="108">
        <f>N551+O551</f>
        <v/>
      </c>
      <c r="H551" s="108">
        <f>IFERROR(IF(OR(D551=0,AsAt&lt;E551),0,MIN(N551,INT(((YEAR(AsAt)-YEAR(E551))*12+MONTH(AsAt)-MONTH(E551)-(DAY(AsAt)&lt;MIN(R551,DAY(EOMONTH(AsAt,0)))))/D551)+1)+O551*(AsAt&gt;='Deal maths'!AA551)),0)</f>
        <v/>
      </c>
      <c r="I551" s="108">
        <f>G551-H551</f>
        <v/>
      </c>
      <c r="J551" s="111">
        <f>IF(AND(C551="EIP",I551&gt;0),'Deal maths'!Y551/I551,0)</f>
        <v/>
      </c>
      <c r="K551" s="111">
        <f>IF(AND(C551="Annuity",I551&gt;0),IF(F551&gt;0,'Deal maths'!Y551*F551/(1-(1+F551)^-I551),'Deal maths'!Y551/I551),0)</f>
        <v/>
      </c>
      <c r="L551" s="111">
        <f>IF('Deal maths'!Y551="",0,'Deal maths'!Y551)</f>
        <v/>
      </c>
      <c r="M551" s="112">
        <f>F551+(F551=0)</f>
        <v/>
      </c>
      <c r="N551" s="108">
        <f>IFERROR(IF(D551=0,0,INT(((YEAR('Deal maths'!AA551)-YEAR(E551))*12+MONTH('Deal maths'!AA551)-MONTH(E551)-(DAY('Deal maths'!AA551)&lt;MIN(R551,DAY(EOMONTH('Deal maths'!AA551,0)))))/D551)+1),0)</f>
        <v/>
      </c>
      <c r="O551" s="108">
        <f>IFERROR(IF(D551=0,0,IF(IF(DAY(E551+1)=1,EOMONTH(E551,(N551-1)*D551),EDATE(E551,(N551-1)*D551))='Deal maths'!AA551,0,1)),0)</f>
        <v/>
      </c>
      <c r="P551" s="113">
        <f>IF(B551=0,0,IFERROR(IF(C551="EIP",((I551-O551)*((IF(DAY(E551+1)=1,EOMONTH(E551,H551*D551),EDATE(E551,H551*D551))-AsAt)/365.25+(IF(DAY(E551+1)=1,EOMONTH(E551,(N551-1)*D551),EDATE(E551,(N551-1)*D551))-AsAt)/365.25)/2+O551*('Deal maths'!AA551-AsAt)/365.25)/I551,IF(C551="Annuity",IF(F551&gt;0,((K551-L551*F551)*((IF(DAY(E551+1)=1,EOMONTH(E551,H551*D551),EDATE(E551,H551*D551))-AsAt)/365.25*((1+F551)^(I551-O551)-1)/F551+IF((I551-O551)&gt;1,((IF(DAY(E551+1)=1,EOMONTH(E551,(N551-1)*D551),EDATE(E551,(N551-1)*D551))-AsAt)/365.25-(IF(DAY(E551+1)=1,EOMONTH(E551,H551*D551),EDATE(E551,H551*D551))-AsAt)/365.25)/((I551-O551)-1),0)*(1+F551)*(1-(I551-O551)*(1+F551)^((I551-O551)-1)+((I551-O551)-1)*(1+F551)^(I551-O551))/F551^2)+O551*(K551-L551*F551)*(1+F551)^(I551-1)*('Deal maths'!AA551-AsAt)/365.25)/L551,((I551-O551)*((IF(DAY(E551+1)=1,EOMONTH(E551,H551*D551),EDATE(E551,H551*D551))-AsAt)/365.25+(IF(DAY(E551+1)=1,EOMONTH(E551,(N551-1)*D551),EDATE(E551,(N551-1)*D551))-AsAt)/365.25)/2+O551*('Deal maths'!AA551-AsAt)/365.25)/I551),(S551-AsAt)/365.25)),0))</f>
        <v/>
      </c>
      <c r="Q551" s="109">
        <f>IF(B551=1,'Deal maths'!AA551+ROW()/1000000,"")</f>
        <v/>
      </c>
      <c r="R551" s="108">
        <f>IF(D551=0,0,IF(DAY(E551+1)=1,31,DAY(E551)))</f>
        <v/>
      </c>
      <c r="S551" s="109">
        <f>IF(AND('Deal maths'!V551="LOBO",'Deal maths'!AG551&gt;AsAt,'Deal maths'!AG551&lt;'Deal maths'!AA551),'Deal maths'!AG551,'Deal maths'!AA551)</f>
        <v/>
      </c>
      <c r="T551" s="108">
        <f>('Deal maths'!AA551&gt;AsAt)*('Deal maths'!Y551&gt;0)</f>
        <v/>
      </c>
    </row>
    <row r="552">
      <c r="A552" s="91">
        <f>IF('Deal maths'!V552="","",'Deal maths'!W552)</f>
        <v/>
      </c>
      <c r="B552" s="108">
        <f>('Deal maths'!AA552&gt;AsAt)*('Deal maths'!Y552&gt;0)*('Deal maths'!Z552&lt;=AsAt)</f>
        <v/>
      </c>
      <c r="C552" s="91">
        <f>IF('Deal maths'!V552="","",IF('Deal maths'!AC552="","Maturity",'Deal maths'!AC552))</f>
        <v/>
      </c>
      <c r="D552" s="108">
        <f>IF(OR(C552="EIP",C552="Annuity"),IF('Deal maths'!AD552="Annual",12,IF('Deal maths'!AD552="Quarterly",3,6)),0)</f>
        <v/>
      </c>
      <c r="E552" s="109">
        <f>IFERROR(IF(D552=0,0,IF('Deal maths'!AE552&gt;0,IF('Deal maths'!AE552&gt;'Deal maths'!AA552,'Deal maths'!AA552,'Deal maths'!AE552),IF(IF(DAY('Deal maths'!AA552+1)=1,EOMONTH('Deal maths'!AA552,-(INT(((YEAR('Deal maths'!AA552)-YEAR(IF('Deal maths'!Z552&gt;0,'Deal maths'!Z552,DATE(1990,1,1))))*12+MONTH('Deal maths'!AA552)-MONTH(IF('Deal maths'!Z552&gt;0,'Deal maths'!Z552,DATE(1990,1,1))))/D552))*D552),EDATE('Deal maths'!AA552,-(INT(((YEAR('Deal maths'!AA552)-YEAR(IF('Deal maths'!Z552&gt;0,'Deal maths'!Z552,DATE(1990,1,1))))*12+MONTH('Deal maths'!AA552)-MONTH(IF('Deal maths'!Z552&gt;0,'Deal maths'!Z552,DATE(1990,1,1))))/D552))*D552))&gt;IF('Deal maths'!Z552&gt;0,'Deal maths'!Z552,DATE(1990,1,1)),IF(DAY('Deal maths'!AA552+1)=1,EOMONTH('Deal maths'!AA552,-(INT(((YEAR('Deal maths'!AA552)-YEAR(IF('Deal maths'!Z552&gt;0,'Deal maths'!Z552,DATE(1990,1,1))))*12+MONTH('Deal maths'!AA552)-MONTH(IF('Deal maths'!Z552&gt;0,'Deal maths'!Z552,DATE(1990,1,1))))/D552))*D552),EDATE('Deal maths'!AA552,-(INT(((YEAR('Deal maths'!AA552)-YEAR(IF('Deal maths'!Z552&gt;0,'Deal maths'!Z552,DATE(1990,1,1))))*12+MONTH('Deal maths'!AA552)-MONTH(IF('Deal maths'!Z552&gt;0,'Deal maths'!Z552,DATE(1990,1,1))))/D552))*D552)),IF(DAY('Deal maths'!AA552+1)=1,EOMONTH('Deal maths'!AA552,-(INT(((YEAR('Deal maths'!AA552)-YEAR(IF('Deal maths'!Z552&gt;0,'Deal maths'!Z552,DATE(1990,1,1))))*12+MONTH('Deal maths'!AA552)-MONTH(IF('Deal maths'!Z552&gt;0,'Deal maths'!Z552,DATE(1990,1,1))))/D552)-1)*D552),EDATE('Deal maths'!AA552,-(INT(((YEAR('Deal maths'!AA552)-YEAR(IF('Deal maths'!Z552&gt;0,'Deal maths'!Z552,DATE(1990,1,1))))*12+MONTH('Deal maths'!AA552)-MONTH(IF('Deal maths'!Z552&gt;0,'Deal maths'!Z552,DATE(1990,1,1))))/D552)-1)*D552))))),0)</f>
        <v/>
      </c>
      <c r="F552" s="110">
        <f>IF(D552=0,0,'Deal maths'!AB552*D552/12)</f>
        <v/>
      </c>
      <c r="G552" s="108">
        <f>N552+O552</f>
        <v/>
      </c>
      <c r="H552" s="108">
        <f>IFERROR(IF(OR(D552=0,AsAt&lt;E552),0,MIN(N552,INT(((YEAR(AsAt)-YEAR(E552))*12+MONTH(AsAt)-MONTH(E552)-(DAY(AsAt)&lt;MIN(R552,DAY(EOMONTH(AsAt,0)))))/D552)+1)+O552*(AsAt&gt;='Deal maths'!AA552)),0)</f>
        <v/>
      </c>
      <c r="I552" s="108">
        <f>G552-H552</f>
        <v/>
      </c>
      <c r="J552" s="111">
        <f>IF(AND(C552="EIP",I552&gt;0),'Deal maths'!Y552/I552,0)</f>
        <v/>
      </c>
      <c r="K552" s="111">
        <f>IF(AND(C552="Annuity",I552&gt;0),IF(F552&gt;0,'Deal maths'!Y552*F552/(1-(1+F552)^-I552),'Deal maths'!Y552/I552),0)</f>
        <v/>
      </c>
      <c r="L552" s="111">
        <f>IF('Deal maths'!Y552="",0,'Deal maths'!Y552)</f>
        <v/>
      </c>
      <c r="M552" s="112">
        <f>F552+(F552=0)</f>
        <v/>
      </c>
      <c r="N552" s="108">
        <f>IFERROR(IF(D552=0,0,INT(((YEAR('Deal maths'!AA552)-YEAR(E552))*12+MONTH('Deal maths'!AA552)-MONTH(E552)-(DAY('Deal maths'!AA552)&lt;MIN(R552,DAY(EOMONTH('Deal maths'!AA552,0)))))/D552)+1),0)</f>
        <v/>
      </c>
      <c r="O552" s="108">
        <f>IFERROR(IF(D552=0,0,IF(IF(DAY(E552+1)=1,EOMONTH(E552,(N552-1)*D552),EDATE(E552,(N552-1)*D552))='Deal maths'!AA552,0,1)),0)</f>
        <v/>
      </c>
      <c r="P552" s="113">
        <f>IF(B552=0,0,IFERROR(IF(C552="EIP",((I552-O552)*((IF(DAY(E552+1)=1,EOMONTH(E552,H552*D552),EDATE(E552,H552*D552))-AsAt)/365.25+(IF(DAY(E552+1)=1,EOMONTH(E552,(N552-1)*D552),EDATE(E552,(N552-1)*D552))-AsAt)/365.25)/2+O552*('Deal maths'!AA552-AsAt)/365.25)/I552,IF(C552="Annuity",IF(F552&gt;0,((K552-L552*F552)*((IF(DAY(E552+1)=1,EOMONTH(E552,H552*D552),EDATE(E552,H552*D552))-AsAt)/365.25*((1+F552)^(I552-O552)-1)/F552+IF((I552-O552)&gt;1,((IF(DAY(E552+1)=1,EOMONTH(E552,(N552-1)*D552),EDATE(E552,(N552-1)*D552))-AsAt)/365.25-(IF(DAY(E552+1)=1,EOMONTH(E552,H552*D552),EDATE(E552,H552*D552))-AsAt)/365.25)/((I552-O552)-1),0)*(1+F552)*(1-(I552-O552)*(1+F552)^((I552-O552)-1)+((I552-O552)-1)*(1+F552)^(I552-O552))/F552^2)+O552*(K552-L552*F552)*(1+F552)^(I552-1)*('Deal maths'!AA552-AsAt)/365.25)/L552,((I552-O552)*((IF(DAY(E552+1)=1,EOMONTH(E552,H552*D552),EDATE(E552,H552*D552))-AsAt)/365.25+(IF(DAY(E552+1)=1,EOMONTH(E552,(N552-1)*D552),EDATE(E552,(N552-1)*D552))-AsAt)/365.25)/2+O552*('Deal maths'!AA552-AsAt)/365.25)/I552),(S552-AsAt)/365.25)),0))</f>
        <v/>
      </c>
      <c r="Q552" s="109">
        <f>IF(B552=1,'Deal maths'!AA552+ROW()/1000000,"")</f>
        <v/>
      </c>
      <c r="R552" s="108">
        <f>IF(D552=0,0,IF(DAY(E552+1)=1,31,DAY(E552)))</f>
        <v/>
      </c>
      <c r="S552" s="109">
        <f>IF(AND('Deal maths'!V552="LOBO",'Deal maths'!AG552&gt;AsAt,'Deal maths'!AG552&lt;'Deal maths'!AA552),'Deal maths'!AG552,'Deal maths'!AA552)</f>
        <v/>
      </c>
      <c r="T552" s="108">
        <f>('Deal maths'!AA552&gt;AsAt)*('Deal maths'!Y552&gt;0)</f>
        <v/>
      </c>
    </row>
    <row r="553">
      <c r="A553" s="91">
        <f>IF('Deal maths'!V553="","",'Deal maths'!W553)</f>
        <v/>
      </c>
      <c r="B553" s="108">
        <f>('Deal maths'!AA553&gt;AsAt)*('Deal maths'!Y553&gt;0)*('Deal maths'!Z553&lt;=AsAt)</f>
        <v/>
      </c>
      <c r="C553" s="91">
        <f>IF('Deal maths'!V553="","",IF('Deal maths'!AC553="","Maturity",'Deal maths'!AC553))</f>
        <v/>
      </c>
      <c r="D553" s="108">
        <f>IF(OR(C553="EIP",C553="Annuity"),IF('Deal maths'!AD553="Annual",12,IF('Deal maths'!AD553="Quarterly",3,6)),0)</f>
        <v/>
      </c>
      <c r="E553" s="109">
        <f>IFERROR(IF(D553=0,0,IF('Deal maths'!AE553&gt;0,IF('Deal maths'!AE553&gt;'Deal maths'!AA553,'Deal maths'!AA553,'Deal maths'!AE553),IF(IF(DAY('Deal maths'!AA553+1)=1,EOMONTH('Deal maths'!AA553,-(INT(((YEAR('Deal maths'!AA553)-YEAR(IF('Deal maths'!Z553&gt;0,'Deal maths'!Z553,DATE(1990,1,1))))*12+MONTH('Deal maths'!AA553)-MONTH(IF('Deal maths'!Z553&gt;0,'Deal maths'!Z553,DATE(1990,1,1))))/D553))*D553),EDATE('Deal maths'!AA553,-(INT(((YEAR('Deal maths'!AA553)-YEAR(IF('Deal maths'!Z553&gt;0,'Deal maths'!Z553,DATE(1990,1,1))))*12+MONTH('Deal maths'!AA553)-MONTH(IF('Deal maths'!Z553&gt;0,'Deal maths'!Z553,DATE(1990,1,1))))/D553))*D553))&gt;IF('Deal maths'!Z553&gt;0,'Deal maths'!Z553,DATE(1990,1,1)),IF(DAY('Deal maths'!AA553+1)=1,EOMONTH('Deal maths'!AA553,-(INT(((YEAR('Deal maths'!AA553)-YEAR(IF('Deal maths'!Z553&gt;0,'Deal maths'!Z553,DATE(1990,1,1))))*12+MONTH('Deal maths'!AA553)-MONTH(IF('Deal maths'!Z553&gt;0,'Deal maths'!Z553,DATE(1990,1,1))))/D553))*D553),EDATE('Deal maths'!AA553,-(INT(((YEAR('Deal maths'!AA553)-YEAR(IF('Deal maths'!Z553&gt;0,'Deal maths'!Z553,DATE(1990,1,1))))*12+MONTH('Deal maths'!AA553)-MONTH(IF('Deal maths'!Z553&gt;0,'Deal maths'!Z553,DATE(1990,1,1))))/D553))*D553)),IF(DAY('Deal maths'!AA553+1)=1,EOMONTH('Deal maths'!AA553,-(INT(((YEAR('Deal maths'!AA553)-YEAR(IF('Deal maths'!Z553&gt;0,'Deal maths'!Z553,DATE(1990,1,1))))*12+MONTH('Deal maths'!AA553)-MONTH(IF('Deal maths'!Z553&gt;0,'Deal maths'!Z553,DATE(1990,1,1))))/D553)-1)*D553),EDATE('Deal maths'!AA553,-(INT(((YEAR('Deal maths'!AA553)-YEAR(IF('Deal maths'!Z553&gt;0,'Deal maths'!Z553,DATE(1990,1,1))))*12+MONTH('Deal maths'!AA553)-MONTH(IF('Deal maths'!Z553&gt;0,'Deal maths'!Z553,DATE(1990,1,1))))/D553)-1)*D553))))),0)</f>
        <v/>
      </c>
      <c r="F553" s="110">
        <f>IF(D553=0,0,'Deal maths'!AB553*D553/12)</f>
        <v/>
      </c>
      <c r="G553" s="108">
        <f>N553+O553</f>
        <v/>
      </c>
      <c r="H553" s="108">
        <f>IFERROR(IF(OR(D553=0,AsAt&lt;E553),0,MIN(N553,INT(((YEAR(AsAt)-YEAR(E553))*12+MONTH(AsAt)-MONTH(E553)-(DAY(AsAt)&lt;MIN(R553,DAY(EOMONTH(AsAt,0)))))/D553)+1)+O553*(AsAt&gt;='Deal maths'!AA553)),0)</f>
        <v/>
      </c>
      <c r="I553" s="108">
        <f>G553-H553</f>
        <v/>
      </c>
      <c r="J553" s="111">
        <f>IF(AND(C553="EIP",I553&gt;0),'Deal maths'!Y553/I553,0)</f>
        <v/>
      </c>
      <c r="K553" s="111">
        <f>IF(AND(C553="Annuity",I553&gt;0),IF(F553&gt;0,'Deal maths'!Y553*F553/(1-(1+F553)^-I553),'Deal maths'!Y553/I553),0)</f>
        <v/>
      </c>
      <c r="L553" s="111">
        <f>IF('Deal maths'!Y553="",0,'Deal maths'!Y553)</f>
        <v/>
      </c>
      <c r="M553" s="112">
        <f>F553+(F553=0)</f>
        <v/>
      </c>
      <c r="N553" s="108">
        <f>IFERROR(IF(D553=0,0,INT(((YEAR('Deal maths'!AA553)-YEAR(E553))*12+MONTH('Deal maths'!AA553)-MONTH(E553)-(DAY('Deal maths'!AA553)&lt;MIN(R553,DAY(EOMONTH('Deal maths'!AA553,0)))))/D553)+1),0)</f>
        <v/>
      </c>
      <c r="O553" s="108">
        <f>IFERROR(IF(D553=0,0,IF(IF(DAY(E553+1)=1,EOMONTH(E553,(N553-1)*D553),EDATE(E553,(N553-1)*D553))='Deal maths'!AA553,0,1)),0)</f>
        <v/>
      </c>
      <c r="P553" s="113">
        <f>IF(B553=0,0,IFERROR(IF(C553="EIP",((I553-O553)*((IF(DAY(E553+1)=1,EOMONTH(E553,H553*D553),EDATE(E553,H553*D553))-AsAt)/365.25+(IF(DAY(E553+1)=1,EOMONTH(E553,(N553-1)*D553),EDATE(E553,(N553-1)*D553))-AsAt)/365.25)/2+O553*('Deal maths'!AA553-AsAt)/365.25)/I553,IF(C553="Annuity",IF(F553&gt;0,((K553-L553*F553)*((IF(DAY(E553+1)=1,EOMONTH(E553,H553*D553),EDATE(E553,H553*D553))-AsAt)/365.25*((1+F553)^(I553-O553)-1)/F553+IF((I553-O553)&gt;1,((IF(DAY(E553+1)=1,EOMONTH(E553,(N553-1)*D553),EDATE(E553,(N553-1)*D553))-AsAt)/365.25-(IF(DAY(E553+1)=1,EOMONTH(E553,H553*D553),EDATE(E553,H553*D553))-AsAt)/365.25)/((I553-O553)-1),0)*(1+F553)*(1-(I553-O553)*(1+F553)^((I553-O553)-1)+((I553-O553)-1)*(1+F553)^(I553-O553))/F553^2)+O553*(K553-L553*F553)*(1+F553)^(I553-1)*('Deal maths'!AA553-AsAt)/365.25)/L553,((I553-O553)*((IF(DAY(E553+1)=1,EOMONTH(E553,H553*D553),EDATE(E553,H553*D553))-AsAt)/365.25+(IF(DAY(E553+1)=1,EOMONTH(E553,(N553-1)*D553),EDATE(E553,(N553-1)*D553))-AsAt)/365.25)/2+O553*('Deal maths'!AA553-AsAt)/365.25)/I553),(S553-AsAt)/365.25)),0))</f>
        <v/>
      </c>
      <c r="Q553" s="109">
        <f>IF(B553=1,'Deal maths'!AA553+ROW()/1000000,"")</f>
        <v/>
      </c>
      <c r="R553" s="108">
        <f>IF(D553=0,0,IF(DAY(E553+1)=1,31,DAY(E553)))</f>
        <v/>
      </c>
      <c r="S553" s="109">
        <f>IF(AND('Deal maths'!V553="LOBO",'Deal maths'!AG553&gt;AsAt,'Deal maths'!AG553&lt;'Deal maths'!AA553),'Deal maths'!AG553,'Deal maths'!AA553)</f>
        <v/>
      </c>
      <c r="T553" s="108">
        <f>('Deal maths'!AA553&gt;AsAt)*('Deal maths'!Y553&gt;0)</f>
        <v/>
      </c>
    </row>
    <row r="554">
      <c r="A554" s="91">
        <f>IF('Deal maths'!V554="","",'Deal maths'!W554)</f>
        <v/>
      </c>
      <c r="B554" s="108">
        <f>('Deal maths'!AA554&gt;AsAt)*('Deal maths'!Y554&gt;0)*('Deal maths'!Z554&lt;=AsAt)</f>
        <v/>
      </c>
      <c r="C554" s="91">
        <f>IF('Deal maths'!V554="","",IF('Deal maths'!AC554="","Maturity",'Deal maths'!AC554))</f>
        <v/>
      </c>
      <c r="D554" s="108">
        <f>IF(OR(C554="EIP",C554="Annuity"),IF('Deal maths'!AD554="Annual",12,IF('Deal maths'!AD554="Quarterly",3,6)),0)</f>
        <v/>
      </c>
      <c r="E554" s="109">
        <f>IFERROR(IF(D554=0,0,IF('Deal maths'!AE554&gt;0,IF('Deal maths'!AE554&gt;'Deal maths'!AA554,'Deal maths'!AA554,'Deal maths'!AE554),IF(IF(DAY('Deal maths'!AA554+1)=1,EOMONTH('Deal maths'!AA554,-(INT(((YEAR('Deal maths'!AA554)-YEAR(IF('Deal maths'!Z554&gt;0,'Deal maths'!Z554,DATE(1990,1,1))))*12+MONTH('Deal maths'!AA554)-MONTH(IF('Deal maths'!Z554&gt;0,'Deal maths'!Z554,DATE(1990,1,1))))/D554))*D554),EDATE('Deal maths'!AA554,-(INT(((YEAR('Deal maths'!AA554)-YEAR(IF('Deal maths'!Z554&gt;0,'Deal maths'!Z554,DATE(1990,1,1))))*12+MONTH('Deal maths'!AA554)-MONTH(IF('Deal maths'!Z554&gt;0,'Deal maths'!Z554,DATE(1990,1,1))))/D554))*D554))&gt;IF('Deal maths'!Z554&gt;0,'Deal maths'!Z554,DATE(1990,1,1)),IF(DAY('Deal maths'!AA554+1)=1,EOMONTH('Deal maths'!AA554,-(INT(((YEAR('Deal maths'!AA554)-YEAR(IF('Deal maths'!Z554&gt;0,'Deal maths'!Z554,DATE(1990,1,1))))*12+MONTH('Deal maths'!AA554)-MONTH(IF('Deal maths'!Z554&gt;0,'Deal maths'!Z554,DATE(1990,1,1))))/D554))*D554),EDATE('Deal maths'!AA554,-(INT(((YEAR('Deal maths'!AA554)-YEAR(IF('Deal maths'!Z554&gt;0,'Deal maths'!Z554,DATE(1990,1,1))))*12+MONTH('Deal maths'!AA554)-MONTH(IF('Deal maths'!Z554&gt;0,'Deal maths'!Z554,DATE(1990,1,1))))/D554))*D554)),IF(DAY('Deal maths'!AA554+1)=1,EOMONTH('Deal maths'!AA554,-(INT(((YEAR('Deal maths'!AA554)-YEAR(IF('Deal maths'!Z554&gt;0,'Deal maths'!Z554,DATE(1990,1,1))))*12+MONTH('Deal maths'!AA554)-MONTH(IF('Deal maths'!Z554&gt;0,'Deal maths'!Z554,DATE(1990,1,1))))/D554)-1)*D554),EDATE('Deal maths'!AA554,-(INT(((YEAR('Deal maths'!AA554)-YEAR(IF('Deal maths'!Z554&gt;0,'Deal maths'!Z554,DATE(1990,1,1))))*12+MONTH('Deal maths'!AA554)-MONTH(IF('Deal maths'!Z554&gt;0,'Deal maths'!Z554,DATE(1990,1,1))))/D554)-1)*D554))))),0)</f>
        <v/>
      </c>
      <c r="F554" s="110">
        <f>IF(D554=0,0,'Deal maths'!AB554*D554/12)</f>
        <v/>
      </c>
      <c r="G554" s="108">
        <f>N554+O554</f>
        <v/>
      </c>
      <c r="H554" s="108">
        <f>IFERROR(IF(OR(D554=0,AsAt&lt;E554),0,MIN(N554,INT(((YEAR(AsAt)-YEAR(E554))*12+MONTH(AsAt)-MONTH(E554)-(DAY(AsAt)&lt;MIN(R554,DAY(EOMONTH(AsAt,0)))))/D554)+1)+O554*(AsAt&gt;='Deal maths'!AA554)),0)</f>
        <v/>
      </c>
      <c r="I554" s="108">
        <f>G554-H554</f>
        <v/>
      </c>
      <c r="J554" s="111">
        <f>IF(AND(C554="EIP",I554&gt;0),'Deal maths'!Y554/I554,0)</f>
        <v/>
      </c>
      <c r="K554" s="111">
        <f>IF(AND(C554="Annuity",I554&gt;0),IF(F554&gt;0,'Deal maths'!Y554*F554/(1-(1+F554)^-I554),'Deal maths'!Y554/I554),0)</f>
        <v/>
      </c>
      <c r="L554" s="111">
        <f>IF('Deal maths'!Y554="",0,'Deal maths'!Y554)</f>
        <v/>
      </c>
      <c r="M554" s="112">
        <f>F554+(F554=0)</f>
        <v/>
      </c>
      <c r="N554" s="108">
        <f>IFERROR(IF(D554=0,0,INT(((YEAR('Deal maths'!AA554)-YEAR(E554))*12+MONTH('Deal maths'!AA554)-MONTH(E554)-(DAY('Deal maths'!AA554)&lt;MIN(R554,DAY(EOMONTH('Deal maths'!AA554,0)))))/D554)+1),0)</f>
        <v/>
      </c>
      <c r="O554" s="108">
        <f>IFERROR(IF(D554=0,0,IF(IF(DAY(E554+1)=1,EOMONTH(E554,(N554-1)*D554),EDATE(E554,(N554-1)*D554))='Deal maths'!AA554,0,1)),0)</f>
        <v/>
      </c>
      <c r="P554" s="113">
        <f>IF(B554=0,0,IFERROR(IF(C554="EIP",((I554-O554)*((IF(DAY(E554+1)=1,EOMONTH(E554,H554*D554),EDATE(E554,H554*D554))-AsAt)/365.25+(IF(DAY(E554+1)=1,EOMONTH(E554,(N554-1)*D554),EDATE(E554,(N554-1)*D554))-AsAt)/365.25)/2+O554*('Deal maths'!AA554-AsAt)/365.25)/I554,IF(C554="Annuity",IF(F554&gt;0,((K554-L554*F554)*((IF(DAY(E554+1)=1,EOMONTH(E554,H554*D554),EDATE(E554,H554*D554))-AsAt)/365.25*((1+F554)^(I554-O554)-1)/F554+IF((I554-O554)&gt;1,((IF(DAY(E554+1)=1,EOMONTH(E554,(N554-1)*D554),EDATE(E554,(N554-1)*D554))-AsAt)/365.25-(IF(DAY(E554+1)=1,EOMONTH(E554,H554*D554),EDATE(E554,H554*D554))-AsAt)/365.25)/((I554-O554)-1),0)*(1+F554)*(1-(I554-O554)*(1+F554)^((I554-O554)-1)+((I554-O554)-1)*(1+F554)^(I554-O554))/F554^2)+O554*(K554-L554*F554)*(1+F554)^(I554-1)*('Deal maths'!AA554-AsAt)/365.25)/L554,((I554-O554)*((IF(DAY(E554+1)=1,EOMONTH(E554,H554*D554),EDATE(E554,H554*D554))-AsAt)/365.25+(IF(DAY(E554+1)=1,EOMONTH(E554,(N554-1)*D554),EDATE(E554,(N554-1)*D554))-AsAt)/365.25)/2+O554*('Deal maths'!AA554-AsAt)/365.25)/I554),(S554-AsAt)/365.25)),0))</f>
        <v/>
      </c>
      <c r="Q554" s="109">
        <f>IF(B554=1,'Deal maths'!AA554+ROW()/1000000,"")</f>
        <v/>
      </c>
      <c r="R554" s="108">
        <f>IF(D554=0,0,IF(DAY(E554+1)=1,31,DAY(E554)))</f>
        <v/>
      </c>
      <c r="S554" s="109">
        <f>IF(AND('Deal maths'!V554="LOBO",'Deal maths'!AG554&gt;AsAt,'Deal maths'!AG554&lt;'Deal maths'!AA554),'Deal maths'!AG554,'Deal maths'!AA554)</f>
        <v/>
      </c>
      <c r="T554" s="108">
        <f>('Deal maths'!AA554&gt;AsAt)*('Deal maths'!Y554&gt;0)</f>
        <v/>
      </c>
    </row>
    <row r="555">
      <c r="A555" s="91">
        <f>IF('Deal maths'!V555="","",'Deal maths'!W555)</f>
        <v/>
      </c>
      <c r="B555" s="108">
        <f>('Deal maths'!AA555&gt;AsAt)*('Deal maths'!Y555&gt;0)*('Deal maths'!Z555&lt;=AsAt)</f>
        <v/>
      </c>
      <c r="C555" s="91">
        <f>IF('Deal maths'!V555="","",IF('Deal maths'!AC555="","Maturity",'Deal maths'!AC555))</f>
        <v/>
      </c>
      <c r="D555" s="108">
        <f>IF(OR(C555="EIP",C555="Annuity"),IF('Deal maths'!AD555="Annual",12,IF('Deal maths'!AD555="Quarterly",3,6)),0)</f>
        <v/>
      </c>
      <c r="E555" s="109">
        <f>IFERROR(IF(D555=0,0,IF('Deal maths'!AE555&gt;0,IF('Deal maths'!AE555&gt;'Deal maths'!AA555,'Deal maths'!AA555,'Deal maths'!AE555),IF(IF(DAY('Deal maths'!AA555+1)=1,EOMONTH('Deal maths'!AA555,-(INT(((YEAR('Deal maths'!AA555)-YEAR(IF('Deal maths'!Z555&gt;0,'Deal maths'!Z555,DATE(1990,1,1))))*12+MONTH('Deal maths'!AA555)-MONTH(IF('Deal maths'!Z555&gt;0,'Deal maths'!Z555,DATE(1990,1,1))))/D555))*D555),EDATE('Deal maths'!AA555,-(INT(((YEAR('Deal maths'!AA555)-YEAR(IF('Deal maths'!Z555&gt;0,'Deal maths'!Z555,DATE(1990,1,1))))*12+MONTH('Deal maths'!AA555)-MONTH(IF('Deal maths'!Z555&gt;0,'Deal maths'!Z555,DATE(1990,1,1))))/D555))*D555))&gt;IF('Deal maths'!Z555&gt;0,'Deal maths'!Z555,DATE(1990,1,1)),IF(DAY('Deal maths'!AA555+1)=1,EOMONTH('Deal maths'!AA555,-(INT(((YEAR('Deal maths'!AA555)-YEAR(IF('Deal maths'!Z555&gt;0,'Deal maths'!Z555,DATE(1990,1,1))))*12+MONTH('Deal maths'!AA555)-MONTH(IF('Deal maths'!Z555&gt;0,'Deal maths'!Z555,DATE(1990,1,1))))/D555))*D555),EDATE('Deal maths'!AA555,-(INT(((YEAR('Deal maths'!AA555)-YEAR(IF('Deal maths'!Z555&gt;0,'Deal maths'!Z555,DATE(1990,1,1))))*12+MONTH('Deal maths'!AA555)-MONTH(IF('Deal maths'!Z555&gt;0,'Deal maths'!Z555,DATE(1990,1,1))))/D555))*D555)),IF(DAY('Deal maths'!AA555+1)=1,EOMONTH('Deal maths'!AA555,-(INT(((YEAR('Deal maths'!AA555)-YEAR(IF('Deal maths'!Z555&gt;0,'Deal maths'!Z555,DATE(1990,1,1))))*12+MONTH('Deal maths'!AA555)-MONTH(IF('Deal maths'!Z555&gt;0,'Deal maths'!Z555,DATE(1990,1,1))))/D555)-1)*D555),EDATE('Deal maths'!AA555,-(INT(((YEAR('Deal maths'!AA555)-YEAR(IF('Deal maths'!Z555&gt;0,'Deal maths'!Z555,DATE(1990,1,1))))*12+MONTH('Deal maths'!AA555)-MONTH(IF('Deal maths'!Z555&gt;0,'Deal maths'!Z555,DATE(1990,1,1))))/D555)-1)*D555))))),0)</f>
        <v/>
      </c>
      <c r="F555" s="110">
        <f>IF(D555=0,0,'Deal maths'!AB555*D555/12)</f>
        <v/>
      </c>
      <c r="G555" s="108">
        <f>N555+O555</f>
        <v/>
      </c>
      <c r="H555" s="108">
        <f>IFERROR(IF(OR(D555=0,AsAt&lt;E555),0,MIN(N555,INT(((YEAR(AsAt)-YEAR(E555))*12+MONTH(AsAt)-MONTH(E555)-(DAY(AsAt)&lt;MIN(R555,DAY(EOMONTH(AsAt,0)))))/D555)+1)+O555*(AsAt&gt;='Deal maths'!AA555)),0)</f>
        <v/>
      </c>
      <c r="I555" s="108">
        <f>G555-H555</f>
        <v/>
      </c>
      <c r="J555" s="111">
        <f>IF(AND(C555="EIP",I555&gt;0),'Deal maths'!Y555/I555,0)</f>
        <v/>
      </c>
      <c r="K555" s="111">
        <f>IF(AND(C555="Annuity",I555&gt;0),IF(F555&gt;0,'Deal maths'!Y555*F555/(1-(1+F555)^-I555),'Deal maths'!Y555/I555),0)</f>
        <v/>
      </c>
      <c r="L555" s="111">
        <f>IF('Deal maths'!Y555="",0,'Deal maths'!Y555)</f>
        <v/>
      </c>
      <c r="M555" s="112">
        <f>F555+(F555=0)</f>
        <v/>
      </c>
      <c r="N555" s="108">
        <f>IFERROR(IF(D555=0,0,INT(((YEAR('Deal maths'!AA555)-YEAR(E555))*12+MONTH('Deal maths'!AA555)-MONTH(E555)-(DAY('Deal maths'!AA555)&lt;MIN(R555,DAY(EOMONTH('Deal maths'!AA555,0)))))/D555)+1),0)</f>
        <v/>
      </c>
      <c r="O555" s="108">
        <f>IFERROR(IF(D555=0,0,IF(IF(DAY(E555+1)=1,EOMONTH(E555,(N555-1)*D555),EDATE(E555,(N555-1)*D555))='Deal maths'!AA555,0,1)),0)</f>
        <v/>
      </c>
      <c r="P555" s="113">
        <f>IF(B555=0,0,IFERROR(IF(C555="EIP",((I555-O555)*((IF(DAY(E555+1)=1,EOMONTH(E555,H555*D555),EDATE(E555,H555*D555))-AsAt)/365.25+(IF(DAY(E555+1)=1,EOMONTH(E555,(N555-1)*D555),EDATE(E555,(N555-1)*D555))-AsAt)/365.25)/2+O555*('Deal maths'!AA555-AsAt)/365.25)/I555,IF(C555="Annuity",IF(F555&gt;0,((K555-L555*F555)*((IF(DAY(E555+1)=1,EOMONTH(E555,H555*D555),EDATE(E555,H555*D555))-AsAt)/365.25*((1+F555)^(I555-O555)-1)/F555+IF((I555-O555)&gt;1,((IF(DAY(E555+1)=1,EOMONTH(E555,(N555-1)*D555),EDATE(E555,(N555-1)*D555))-AsAt)/365.25-(IF(DAY(E555+1)=1,EOMONTH(E555,H555*D555),EDATE(E555,H555*D555))-AsAt)/365.25)/((I555-O555)-1),0)*(1+F555)*(1-(I555-O555)*(1+F555)^((I555-O555)-1)+((I555-O555)-1)*(1+F555)^(I555-O555))/F555^2)+O555*(K555-L555*F555)*(1+F555)^(I555-1)*('Deal maths'!AA555-AsAt)/365.25)/L555,((I555-O555)*((IF(DAY(E555+1)=1,EOMONTH(E555,H555*D555),EDATE(E555,H555*D555))-AsAt)/365.25+(IF(DAY(E555+1)=1,EOMONTH(E555,(N555-1)*D555),EDATE(E555,(N555-1)*D555))-AsAt)/365.25)/2+O555*('Deal maths'!AA555-AsAt)/365.25)/I555),(S555-AsAt)/365.25)),0))</f>
        <v/>
      </c>
      <c r="Q555" s="109">
        <f>IF(B555=1,'Deal maths'!AA555+ROW()/1000000,"")</f>
        <v/>
      </c>
      <c r="R555" s="108">
        <f>IF(D555=0,0,IF(DAY(E555+1)=1,31,DAY(E555)))</f>
        <v/>
      </c>
      <c r="S555" s="109">
        <f>IF(AND('Deal maths'!V555="LOBO",'Deal maths'!AG555&gt;AsAt,'Deal maths'!AG555&lt;'Deal maths'!AA555),'Deal maths'!AG555,'Deal maths'!AA555)</f>
        <v/>
      </c>
      <c r="T555" s="108">
        <f>('Deal maths'!AA555&gt;AsAt)*('Deal maths'!Y555&gt;0)</f>
        <v/>
      </c>
    </row>
    <row r="556">
      <c r="A556" s="91">
        <f>IF('Deal maths'!V556="","",'Deal maths'!W556)</f>
        <v/>
      </c>
      <c r="B556" s="108">
        <f>('Deal maths'!AA556&gt;AsAt)*('Deal maths'!Y556&gt;0)*('Deal maths'!Z556&lt;=AsAt)</f>
        <v/>
      </c>
      <c r="C556" s="91">
        <f>IF('Deal maths'!V556="","",IF('Deal maths'!AC556="","Maturity",'Deal maths'!AC556))</f>
        <v/>
      </c>
      <c r="D556" s="108">
        <f>IF(OR(C556="EIP",C556="Annuity"),IF('Deal maths'!AD556="Annual",12,IF('Deal maths'!AD556="Quarterly",3,6)),0)</f>
        <v/>
      </c>
      <c r="E556" s="109">
        <f>IFERROR(IF(D556=0,0,IF('Deal maths'!AE556&gt;0,IF('Deal maths'!AE556&gt;'Deal maths'!AA556,'Deal maths'!AA556,'Deal maths'!AE556),IF(IF(DAY('Deal maths'!AA556+1)=1,EOMONTH('Deal maths'!AA556,-(INT(((YEAR('Deal maths'!AA556)-YEAR(IF('Deal maths'!Z556&gt;0,'Deal maths'!Z556,DATE(1990,1,1))))*12+MONTH('Deal maths'!AA556)-MONTH(IF('Deal maths'!Z556&gt;0,'Deal maths'!Z556,DATE(1990,1,1))))/D556))*D556),EDATE('Deal maths'!AA556,-(INT(((YEAR('Deal maths'!AA556)-YEAR(IF('Deal maths'!Z556&gt;0,'Deal maths'!Z556,DATE(1990,1,1))))*12+MONTH('Deal maths'!AA556)-MONTH(IF('Deal maths'!Z556&gt;0,'Deal maths'!Z556,DATE(1990,1,1))))/D556))*D556))&gt;IF('Deal maths'!Z556&gt;0,'Deal maths'!Z556,DATE(1990,1,1)),IF(DAY('Deal maths'!AA556+1)=1,EOMONTH('Deal maths'!AA556,-(INT(((YEAR('Deal maths'!AA556)-YEAR(IF('Deal maths'!Z556&gt;0,'Deal maths'!Z556,DATE(1990,1,1))))*12+MONTH('Deal maths'!AA556)-MONTH(IF('Deal maths'!Z556&gt;0,'Deal maths'!Z556,DATE(1990,1,1))))/D556))*D556),EDATE('Deal maths'!AA556,-(INT(((YEAR('Deal maths'!AA556)-YEAR(IF('Deal maths'!Z556&gt;0,'Deal maths'!Z556,DATE(1990,1,1))))*12+MONTH('Deal maths'!AA556)-MONTH(IF('Deal maths'!Z556&gt;0,'Deal maths'!Z556,DATE(1990,1,1))))/D556))*D556)),IF(DAY('Deal maths'!AA556+1)=1,EOMONTH('Deal maths'!AA556,-(INT(((YEAR('Deal maths'!AA556)-YEAR(IF('Deal maths'!Z556&gt;0,'Deal maths'!Z556,DATE(1990,1,1))))*12+MONTH('Deal maths'!AA556)-MONTH(IF('Deal maths'!Z556&gt;0,'Deal maths'!Z556,DATE(1990,1,1))))/D556)-1)*D556),EDATE('Deal maths'!AA556,-(INT(((YEAR('Deal maths'!AA556)-YEAR(IF('Deal maths'!Z556&gt;0,'Deal maths'!Z556,DATE(1990,1,1))))*12+MONTH('Deal maths'!AA556)-MONTH(IF('Deal maths'!Z556&gt;0,'Deal maths'!Z556,DATE(1990,1,1))))/D556)-1)*D556))))),0)</f>
        <v/>
      </c>
      <c r="F556" s="110">
        <f>IF(D556=0,0,'Deal maths'!AB556*D556/12)</f>
        <v/>
      </c>
      <c r="G556" s="108">
        <f>N556+O556</f>
        <v/>
      </c>
      <c r="H556" s="108">
        <f>IFERROR(IF(OR(D556=0,AsAt&lt;E556),0,MIN(N556,INT(((YEAR(AsAt)-YEAR(E556))*12+MONTH(AsAt)-MONTH(E556)-(DAY(AsAt)&lt;MIN(R556,DAY(EOMONTH(AsAt,0)))))/D556)+1)+O556*(AsAt&gt;='Deal maths'!AA556)),0)</f>
        <v/>
      </c>
      <c r="I556" s="108">
        <f>G556-H556</f>
        <v/>
      </c>
      <c r="J556" s="111">
        <f>IF(AND(C556="EIP",I556&gt;0),'Deal maths'!Y556/I556,0)</f>
        <v/>
      </c>
      <c r="K556" s="111">
        <f>IF(AND(C556="Annuity",I556&gt;0),IF(F556&gt;0,'Deal maths'!Y556*F556/(1-(1+F556)^-I556),'Deal maths'!Y556/I556),0)</f>
        <v/>
      </c>
      <c r="L556" s="111">
        <f>IF('Deal maths'!Y556="",0,'Deal maths'!Y556)</f>
        <v/>
      </c>
      <c r="M556" s="112">
        <f>F556+(F556=0)</f>
        <v/>
      </c>
      <c r="N556" s="108">
        <f>IFERROR(IF(D556=0,0,INT(((YEAR('Deal maths'!AA556)-YEAR(E556))*12+MONTH('Deal maths'!AA556)-MONTH(E556)-(DAY('Deal maths'!AA556)&lt;MIN(R556,DAY(EOMONTH('Deal maths'!AA556,0)))))/D556)+1),0)</f>
        <v/>
      </c>
      <c r="O556" s="108">
        <f>IFERROR(IF(D556=0,0,IF(IF(DAY(E556+1)=1,EOMONTH(E556,(N556-1)*D556),EDATE(E556,(N556-1)*D556))='Deal maths'!AA556,0,1)),0)</f>
        <v/>
      </c>
      <c r="P556" s="113">
        <f>IF(B556=0,0,IFERROR(IF(C556="EIP",((I556-O556)*((IF(DAY(E556+1)=1,EOMONTH(E556,H556*D556),EDATE(E556,H556*D556))-AsAt)/365.25+(IF(DAY(E556+1)=1,EOMONTH(E556,(N556-1)*D556),EDATE(E556,(N556-1)*D556))-AsAt)/365.25)/2+O556*('Deal maths'!AA556-AsAt)/365.25)/I556,IF(C556="Annuity",IF(F556&gt;0,((K556-L556*F556)*((IF(DAY(E556+1)=1,EOMONTH(E556,H556*D556),EDATE(E556,H556*D556))-AsAt)/365.25*((1+F556)^(I556-O556)-1)/F556+IF((I556-O556)&gt;1,((IF(DAY(E556+1)=1,EOMONTH(E556,(N556-1)*D556),EDATE(E556,(N556-1)*D556))-AsAt)/365.25-(IF(DAY(E556+1)=1,EOMONTH(E556,H556*D556),EDATE(E556,H556*D556))-AsAt)/365.25)/((I556-O556)-1),0)*(1+F556)*(1-(I556-O556)*(1+F556)^((I556-O556)-1)+((I556-O556)-1)*(1+F556)^(I556-O556))/F556^2)+O556*(K556-L556*F556)*(1+F556)^(I556-1)*('Deal maths'!AA556-AsAt)/365.25)/L556,((I556-O556)*((IF(DAY(E556+1)=1,EOMONTH(E556,H556*D556),EDATE(E556,H556*D556))-AsAt)/365.25+(IF(DAY(E556+1)=1,EOMONTH(E556,(N556-1)*D556),EDATE(E556,(N556-1)*D556))-AsAt)/365.25)/2+O556*('Deal maths'!AA556-AsAt)/365.25)/I556),(S556-AsAt)/365.25)),0))</f>
        <v/>
      </c>
      <c r="Q556" s="109">
        <f>IF(B556=1,'Deal maths'!AA556+ROW()/1000000,"")</f>
        <v/>
      </c>
      <c r="R556" s="108">
        <f>IF(D556=0,0,IF(DAY(E556+1)=1,31,DAY(E556)))</f>
        <v/>
      </c>
      <c r="S556" s="109">
        <f>IF(AND('Deal maths'!V556="LOBO",'Deal maths'!AG556&gt;AsAt,'Deal maths'!AG556&lt;'Deal maths'!AA556),'Deal maths'!AG556,'Deal maths'!AA556)</f>
        <v/>
      </c>
      <c r="T556" s="108">
        <f>('Deal maths'!AA556&gt;AsAt)*('Deal maths'!Y556&gt;0)</f>
        <v/>
      </c>
    </row>
    <row r="557">
      <c r="A557" s="91">
        <f>IF('Deal maths'!V557="","",'Deal maths'!W557)</f>
        <v/>
      </c>
      <c r="B557" s="108">
        <f>('Deal maths'!AA557&gt;AsAt)*('Deal maths'!Y557&gt;0)*('Deal maths'!Z557&lt;=AsAt)</f>
        <v/>
      </c>
      <c r="C557" s="91">
        <f>IF('Deal maths'!V557="","",IF('Deal maths'!AC557="","Maturity",'Deal maths'!AC557))</f>
        <v/>
      </c>
      <c r="D557" s="108">
        <f>IF(OR(C557="EIP",C557="Annuity"),IF('Deal maths'!AD557="Annual",12,IF('Deal maths'!AD557="Quarterly",3,6)),0)</f>
        <v/>
      </c>
      <c r="E557" s="109">
        <f>IFERROR(IF(D557=0,0,IF('Deal maths'!AE557&gt;0,IF('Deal maths'!AE557&gt;'Deal maths'!AA557,'Deal maths'!AA557,'Deal maths'!AE557),IF(IF(DAY('Deal maths'!AA557+1)=1,EOMONTH('Deal maths'!AA557,-(INT(((YEAR('Deal maths'!AA557)-YEAR(IF('Deal maths'!Z557&gt;0,'Deal maths'!Z557,DATE(1990,1,1))))*12+MONTH('Deal maths'!AA557)-MONTH(IF('Deal maths'!Z557&gt;0,'Deal maths'!Z557,DATE(1990,1,1))))/D557))*D557),EDATE('Deal maths'!AA557,-(INT(((YEAR('Deal maths'!AA557)-YEAR(IF('Deal maths'!Z557&gt;0,'Deal maths'!Z557,DATE(1990,1,1))))*12+MONTH('Deal maths'!AA557)-MONTH(IF('Deal maths'!Z557&gt;0,'Deal maths'!Z557,DATE(1990,1,1))))/D557))*D557))&gt;IF('Deal maths'!Z557&gt;0,'Deal maths'!Z557,DATE(1990,1,1)),IF(DAY('Deal maths'!AA557+1)=1,EOMONTH('Deal maths'!AA557,-(INT(((YEAR('Deal maths'!AA557)-YEAR(IF('Deal maths'!Z557&gt;0,'Deal maths'!Z557,DATE(1990,1,1))))*12+MONTH('Deal maths'!AA557)-MONTH(IF('Deal maths'!Z557&gt;0,'Deal maths'!Z557,DATE(1990,1,1))))/D557))*D557),EDATE('Deal maths'!AA557,-(INT(((YEAR('Deal maths'!AA557)-YEAR(IF('Deal maths'!Z557&gt;0,'Deal maths'!Z557,DATE(1990,1,1))))*12+MONTH('Deal maths'!AA557)-MONTH(IF('Deal maths'!Z557&gt;0,'Deal maths'!Z557,DATE(1990,1,1))))/D557))*D557)),IF(DAY('Deal maths'!AA557+1)=1,EOMONTH('Deal maths'!AA557,-(INT(((YEAR('Deal maths'!AA557)-YEAR(IF('Deal maths'!Z557&gt;0,'Deal maths'!Z557,DATE(1990,1,1))))*12+MONTH('Deal maths'!AA557)-MONTH(IF('Deal maths'!Z557&gt;0,'Deal maths'!Z557,DATE(1990,1,1))))/D557)-1)*D557),EDATE('Deal maths'!AA557,-(INT(((YEAR('Deal maths'!AA557)-YEAR(IF('Deal maths'!Z557&gt;0,'Deal maths'!Z557,DATE(1990,1,1))))*12+MONTH('Deal maths'!AA557)-MONTH(IF('Deal maths'!Z557&gt;0,'Deal maths'!Z557,DATE(1990,1,1))))/D557)-1)*D557))))),0)</f>
        <v/>
      </c>
      <c r="F557" s="110">
        <f>IF(D557=0,0,'Deal maths'!AB557*D557/12)</f>
        <v/>
      </c>
      <c r="G557" s="108">
        <f>N557+O557</f>
        <v/>
      </c>
      <c r="H557" s="108">
        <f>IFERROR(IF(OR(D557=0,AsAt&lt;E557),0,MIN(N557,INT(((YEAR(AsAt)-YEAR(E557))*12+MONTH(AsAt)-MONTH(E557)-(DAY(AsAt)&lt;MIN(R557,DAY(EOMONTH(AsAt,0)))))/D557)+1)+O557*(AsAt&gt;='Deal maths'!AA557)),0)</f>
        <v/>
      </c>
      <c r="I557" s="108">
        <f>G557-H557</f>
        <v/>
      </c>
      <c r="J557" s="111">
        <f>IF(AND(C557="EIP",I557&gt;0),'Deal maths'!Y557/I557,0)</f>
        <v/>
      </c>
      <c r="K557" s="111">
        <f>IF(AND(C557="Annuity",I557&gt;0),IF(F557&gt;0,'Deal maths'!Y557*F557/(1-(1+F557)^-I557),'Deal maths'!Y557/I557),0)</f>
        <v/>
      </c>
      <c r="L557" s="111">
        <f>IF('Deal maths'!Y557="",0,'Deal maths'!Y557)</f>
        <v/>
      </c>
      <c r="M557" s="112">
        <f>F557+(F557=0)</f>
        <v/>
      </c>
      <c r="N557" s="108">
        <f>IFERROR(IF(D557=0,0,INT(((YEAR('Deal maths'!AA557)-YEAR(E557))*12+MONTH('Deal maths'!AA557)-MONTH(E557)-(DAY('Deal maths'!AA557)&lt;MIN(R557,DAY(EOMONTH('Deal maths'!AA557,0)))))/D557)+1),0)</f>
        <v/>
      </c>
      <c r="O557" s="108">
        <f>IFERROR(IF(D557=0,0,IF(IF(DAY(E557+1)=1,EOMONTH(E557,(N557-1)*D557),EDATE(E557,(N557-1)*D557))='Deal maths'!AA557,0,1)),0)</f>
        <v/>
      </c>
      <c r="P557" s="113">
        <f>IF(B557=0,0,IFERROR(IF(C557="EIP",((I557-O557)*((IF(DAY(E557+1)=1,EOMONTH(E557,H557*D557),EDATE(E557,H557*D557))-AsAt)/365.25+(IF(DAY(E557+1)=1,EOMONTH(E557,(N557-1)*D557),EDATE(E557,(N557-1)*D557))-AsAt)/365.25)/2+O557*('Deal maths'!AA557-AsAt)/365.25)/I557,IF(C557="Annuity",IF(F557&gt;0,((K557-L557*F557)*((IF(DAY(E557+1)=1,EOMONTH(E557,H557*D557),EDATE(E557,H557*D557))-AsAt)/365.25*((1+F557)^(I557-O557)-1)/F557+IF((I557-O557)&gt;1,((IF(DAY(E557+1)=1,EOMONTH(E557,(N557-1)*D557),EDATE(E557,(N557-1)*D557))-AsAt)/365.25-(IF(DAY(E557+1)=1,EOMONTH(E557,H557*D557),EDATE(E557,H557*D557))-AsAt)/365.25)/((I557-O557)-1),0)*(1+F557)*(1-(I557-O557)*(1+F557)^((I557-O557)-1)+((I557-O557)-1)*(1+F557)^(I557-O557))/F557^2)+O557*(K557-L557*F557)*(1+F557)^(I557-1)*('Deal maths'!AA557-AsAt)/365.25)/L557,((I557-O557)*((IF(DAY(E557+1)=1,EOMONTH(E557,H557*D557),EDATE(E557,H557*D557))-AsAt)/365.25+(IF(DAY(E557+1)=1,EOMONTH(E557,(N557-1)*D557),EDATE(E557,(N557-1)*D557))-AsAt)/365.25)/2+O557*('Deal maths'!AA557-AsAt)/365.25)/I557),(S557-AsAt)/365.25)),0))</f>
        <v/>
      </c>
      <c r="Q557" s="109">
        <f>IF(B557=1,'Deal maths'!AA557+ROW()/1000000,"")</f>
        <v/>
      </c>
      <c r="R557" s="108">
        <f>IF(D557=0,0,IF(DAY(E557+1)=1,31,DAY(E557)))</f>
        <v/>
      </c>
      <c r="S557" s="109">
        <f>IF(AND('Deal maths'!V557="LOBO",'Deal maths'!AG557&gt;AsAt,'Deal maths'!AG557&lt;'Deal maths'!AA557),'Deal maths'!AG557,'Deal maths'!AA557)</f>
        <v/>
      </c>
      <c r="T557" s="108">
        <f>('Deal maths'!AA557&gt;AsAt)*('Deal maths'!Y557&gt;0)</f>
        <v/>
      </c>
    </row>
    <row r="558">
      <c r="A558" s="91">
        <f>IF('Deal maths'!V558="","",'Deal maths'!W558)</f>
        <v/>
      </c>
      <c r="B558" s="108">
        <f>('Deal maths'!AA558&gt;AsAt)*('Deal maths'!Y558&gt;0)*('Deal maths'!Z558&lt;=AsAt)</f>
        <v/>
      </c>
      <c r="C558" s="91">
        <f>IF('Deal maths'!V558="","",IF('Deal maths'!AC558="","Maturity",'Deal maths'!AC558))</f>
        <v/>
      </c>
      <c r="D558" s="108">
        <f>IF(OR(C558="EIP",C558="Annuity"),IF('Deal maths'!AD558="Annual",12,IF('Deal maths'!AD558="Quarterly",3,6)),0)</f>
        <v/>
      </c>
      <c r="E558" s="109">
        <f>IFERROR(IF(D558=0,0,IF('Deal maths'!AE558&gt;0,IF('Deal maths'!AE558&gt;'Deal maths'!AA558,'Deal maths'!AA558,'Deal maths'!AE558),IF(IF(DAY('Deal maths'!AA558+1)=1,EOMONTH('Deal maths'!AA558,-(INT(((YEAR('Deal maths'!AA558)-YEAR(IF('Deal maths'!Z558&gt;0,'Deal maths'!Z558,DATE(1990,1,1))))*12+MONTH('Deal maths'!AA558)-MONTH(IF('Deal maths'!Z558&gt;0,'Deal maths'!Z558,DATE(1990,1,1))))/D558))*D558),EDATE('Deal maths'!AA558,-(INT(((YEAR('Deal maths'!AA558)-YEAR(IF('Deal maths'!Z558&gt;0,'Deal maths'!Z558,DATE(1990,1,1))))*12+MONTH('Deal maths'!AA558)-MONTH(IF('Deal maths'!Z558&gt;0,'Deal maths'!Z558,DATE(1990,1,1))))/D558))*D558))&gt;IF('Deal maths'!Z558&gt;0,'Deal maths'!Z558,DATE(1990,1,1)),IF(DAY('Deal maths'!AA558+1)=1,EOMONTH('Deal maths'!AA558,-(INT(((YEAR('Deal maths'!AA558)-YEAR(IF('Deal maths'!Z558&gt;0,'Deal maths'!Z558,DATE(1990,1,1))))*12+MONTH('Deal maths'!AA558)-MONTH(IF('Deal maths'!Z558&gt;0,'Deal maths'!Z558,DATE(1990,1,1))))/D558))*D558),EDATE('Deal maths'!AA558,-(INT(((YEAR('Deal maths'!AA558)-YEAR(IF('Deal maths'!Z558&gt;0,'Deal maths'!Z558,DATE(1990,1,1))))*12+MONTH('Deal maths'!AA558)-MONTH(IF('Deal maths'!Z558&gt;0,'Deal maths'!Z558,DATE(1990,1,1))))/D558))*D558)),IF(DAY('Deal maths'!AA558+1)=1,EOMONTH('Deal maths'!AA558,-(INT(((YEAR('Deal maths'!AA558)-YEAR(IF('Deal maths'!Z558&gt;0,'Deal maths'!Z558,DATE(1990,1,1))))*12+MONTH('Deal maths'!AA558)-MONTH(IF('Deal maths'!Z558&gt;0,'Deal maths'!Z558,DATE(1990,1,1))))/D558)-1)*D558),EDATE('Deal maths'!AA558,-(INT(((YEAR('Deal maths'!AA558)-YEAR(IF('Deal maths'!Z558&gt;0,'Deal maths'!Z558,DATE(1990,1,1))))*12+MONTH('Deal maths'!AA558)-MONTH(IF('Deal maths'!Z558&gt;0,'Deal maths'!Z558,DATE(1990,1,1))))/D558)-1)*D558))))),0)</f>
        <v/>
      </c>
      <c r="F558" s="110">
        <f>IF(D558=0,0,'Deal maths'!AB558*D558/12)</f>
        <v/>
      </c>
      <c r="G558" s="108">
        <f>N558+O558</f>
        <v/>
      </c>
      <c r="H558" s="108">
        <f>IFERROR(IF(OR(D558=0,AsAt&lt;E558),0,MIN(N558,INT(((YEAR(AsAt)-YEAR(E558))*12+MONTH(AsAt)-MONTH(E558)-(DAY(AsAt)&lt;MIN(R558,DAY(EOMONTH(AsAt,0)))))/D558)+1)+O558*(AsAt&gt;='Deal maths'!AA558)),0)</f>
        <v/>
      </c>
      <c r="I558" s="108">
        <f>G558-H558</f>
        <v/>
      </c>
      <c r="J558" s="111">
        <f>IF(AND(C558="EIP",I558&gt;0),'Deal maths'!Y558/I558,0)</f>
        <v/>
      </c>
      <c r="K558" s="111">
        <f>IF(AND(C558="Annuity",I558&gt;0),IF(F558&gt;0,'Deal maths'!Y558*F558/(1-(1+F558)^-I558),'Deal maths'!Y558/I558),0)</f>
        <v/>
      </c>
      <c r="L558" s="111">
        <f>IF('Deal maths'!Y558="",0,'Deal maths'!Y558)</f>
        <v/>
      </c>
      <c r="M558" s="112">
        <f>F558+(F558=0)</f>
        <v/>
      </c>
      <c r="N558" s="108">
        <f>IFERROR(IF(D558=0,0,INT(((YEAR('Deal maths'!AA558)-YEAR(E558))*12+MONTH('Deal maths'!AA558)-MONTH(E558)-(DAY('Deal maths'!AA558)&lt;MIN(R558,DAY(EOMONTH('Deal maths'!AA558,0)))))/D558)+1),0)</f>
        <v/>
      </c>
      <c r="O558" s="108">
        <f>IFERROR(IF(D558=0,0,IF(IF(DAY(E558+1)=1,EOMONTH(E558,(N558-1)*D558),EDATE(E558,(N558-1)*D558))='Deal maths'!AA558,0,1)),0)</f>
        <v/>
      </c>
      <c r="P558" s="113">
        <f>IF(B558=0,0,IFERROR(IF(C558="EIP",((I558-O558)*((IF(DAY(E558+1)=1,EOMONTH(E558,H558*D558),EDATE(E558,H558*D558))-AsAt)/365.25+(IF(DAY(E558+1)=1,EOMONTH(E558,(N558-1)*D558),EDATE(E558,(N558-1)*D558))-AsAt)/365.25)/2+O558*('Deal maths'!AA558-AsAt)/365.25)/I558,IF(C558="Annuity",IF(F558&gt;0,((K558-L558*F558)*((IF(DAY(E558+1)=1,EOMONTH(E558,H558*D558),EDATE(E558,H558*D558))-AsAt)/365.25*((1+F558)^(I558-O558)-1)/F558+IF((I558-O558)&gt;1,((IF(DAY(E558+1)=1,EOMONTH(E558,(N558-1)*D558),EDATE(E558,(N558-1)*D558))-AsAt)/365.25-(IF(DAY(E558+1)=1,EOMONTH(E558,H558*D558),EDATE(E558,H558*D558))-AsAt)/365.25)/((I558-O558)-1),0)*(1+F558)*(1-(I558-O558)*(1+F558)^((I558-O558)-1)+((I558-O558)-1)*(1+F558)^(I558-O558))/F558^2)+O558*(K558-L558*F558)*(1+F558)^(I558-1)*('Deal maths'!AA558-AsAt)/365.25)/L558,((I558-O558)*((IF(DAY(E558+1)=1,EOMONTH(E558,H558*D558),EDATE(E558,H558*D558))-AsAt)/365.25+(IF(DAY(E558+1)=1,EOMONTH(E558,(N558-1)*D558),EDATE(E558,(N558-1)*D558))-AsAt)/365.25)/2+O558*('Deal maths'!AA558-AsAt)/365.25)/I558),(S558-AsAt)/365.25)),0))</f>
        <v/>
      </c>
      <c r="Q558" s="109">
        <f>IF(B558=1,'Deal maths'!AA558+ROW()/1000000,"")</f>
        <v/>
      </c>
      <c r="R558" s="108">
        <f>IF(D558=0,0,IF(DAY(E558+1)=1,31,DAY(E558)))</f>
        <v/>
      </c>
      <c r="S558" s="109">
        <f>IF(AND('Deal maths'!V558="LOBO",'Deal maths'!AG558&gt;AsAt,'Deal maths'!AG558&lt;'Deal maths'!AA558),'Deal maths'!AG558,'Deal maths'!AA558)</f>
        <v/>
      </c>
      <c r="T558" s="108">
        <f>('Deal maths'!AA558&gt;AsAt)*('Deal maths'!Y558&gt;0)</f>
        <v/>
      </c>
    </row>
    <row r="559">
      <c r="A559" s="91">
        <f>IF('Deal maths'!V559="","",'Deal maths'!W559)</f>
        <v/>
      </c>
      <c r="B559" s="108">
        <f>('Deal maths'!AA559&gt;AsAt)*('Deal maths'!Y559&gt;0)*('Deal maths'!Z559&lt;=AsAt)</f>
        <v/>
      </c>
      <c r="C559" s="91">
        <f>IF('Deal maths'!V559="","",IF('Deal maths'!AC559="","Maturity",'Deal maths'!AC559))</f>
        <v/>
      </c>
      <c r="D559" s="108">
        <f>IF(OR(C559="EIP",C559="Annuity"),IF('Deal maths'!AD559="Annual",12,IF('Deal maths'!AD559="Quarterly",3,6)),0)</f>
        <v/>
      </c>
      <c r="E559" s="109">
        <f>IFERROR(IF(D559=0,0,IF('Deal maths'!AE559&gt;0,IF('Deal maths'!AE559&gt;'Deal maths'!AA559,'Deal maths'!AA559,'Deal maths'!AE559),IF(IF(DAY('Deal maths'!AA559+1)=1,EOMONTH('Deal maths'!AA559,-(INT(((YEAR('Deal maths'!AA559)-YEAR(IF('Deal maths'!Z559&gt;0,'Deal maths'!Z559,DATE(1990,1,1))))*12+MONTH('Deal maths'!AA559)-MONTH(IF('Deal maths'!Z559&gt;0,'Deal maths'!Z559,DATE(1990,1,1))))/D559))*D559),EDATE('Deal maths'!AA559,-(INT(((YEAR('Deal maths'!AA559)-YEAR(IF('Deal maths'!Z559&gt;0,'Deal maths'!Z559,DATE(1990,1,1))))*12+MONTH('Deal maths'!AA559)-MONTH(IF('Deal maths'!Z559&gt;0,'Deal maths'!Z559,DATE(1990,1,1))))/D559))*D559))&gt;IF('Deal maths'!Z559&gt;0,'Deal maths'!Z559,DATE(1990,1,1)),IF(DAY('Deal maths'!AA559+1)=1,EOMONTH('Deal maths'!AA559,-(INT(((YEAR('Deal maths'!AA559)-YEAR(IF('Deal maths'!Z559&gt;0,'Deal maths'!Z559,DATE(1990,1,1))))*12+MONTH('Deal maths'!AA559)-MONTH(IF('Deal maths'!Z559&gt;0,'Deal maths'!Z559,DATE(1990,1,1))))/D559))*D559),EDATE('Deal maths'!AA559,-(INT(((YEAR('Deal maths'!AA559)-YEAR(IF('Deal maths'!Z559&gt;0,'Deal maths'!Z559,DATE(1990,1,1))))*12+MONTH('Deal maths'!AA559)-MONTH(IF('Deal maths'!Z559&gt;0,'Deal maths'!Z559,DATE(1990,1,1))))/D559))*D559)),IF(DAY('Deal maths'!AA559+1)=1,EOMONTH('Deal maths'!AA559,-(INT(((YEAR('Deal maths'!AA559)-YEAR(IF('Deal maths'!Z559&gt;0,'Deal maths'!Z559,DATE(1990,1,1))))*12+MONTH('Deal maths'!AA559)-MONTH(IF('Deal maths'!Z559&gt;0,'Deal maths'!Z559,DATE(1990,1,1))))/D559)-1)*D559),EDATE('Deal maths'!AA559,-(INT(((YEAR('Deal maths'!AA559)-YEAR(IF('Deal maths'!Z559&gt;0,'Deal maths'!Z559,DATE(1990,1,1))))*12+MONTH('Deal maths'!AA559)-MONTH(IF('Deal maths'!Z559&gt;0,'Deal maths'!Z559,DATE(1990,1,1))))/D559)-1)*D559))))),0)</f>
        <v/>
      </c>
      <c r="F559" s="110">
        <f>IF(D559=0,0,'Deal maths'!AB559*D559/12)</f>
        <v/>
      </c>
      <c r="G559" s="108">
        <f>N559+O559</f>
        <v/>
      </c>
      <c r="H559" s="108">
        <f>IFERROR(IF(OR(D559=0,AsAt&lt;E559),0,MIN(N559,INT(((YEAR(AsAt)-YEAR(E559))*12+MONTH(AsAt)-MONTH(E559)-(DAY(AsAt)&lt;MIN(R559,DAY(EOMONTH(AsAt,0)))))/D559)+1)+O559*(AsAt&gt;='Deal maths'!AA559)),0)</f>
        <v/>
      </c>
      <c r="I559" s="108">
        <f>G559-H559</f>
        <v/>
      </c>
      <c r="J559" s="111">
        <f>IF(AND(C559="EIP",I559&gt;0),'Deal maths'!Y559/I559,0)</f>
        <v/>
      </c>
      <c r="K559" s="111">
        <f>IF(AND(C559="Annuity",I559&gt;0),IF(F559&gt;0,'Deal maths'!Y559*F559/(1-(1+F559)^-I559),'Deal maths'!Y559/I559),0)</f>
        <v/>
      </c>
      <c r="L559" s="111">
        <f>IF('Deal maths'!Y559="",0,'Deal maths'!Y559)</f>
        <v/>
      </c>
      <c r="M559" s="112">
        <f>F559+(F559=0)</f>
        <v/>
      </c>
      <c r="N559" s="108">
        <f>IFERROR(IF(D559=0,0,INT(((YEAR('Deal maths'!AA559)-YEAR(E559))*12+MONTH('Deal maths'!AA559)-MONTH(E559)-(DAY('Deal maths'!AA559)&lt;MIN(R559,DAY(EOMONTH('Deal maths'!AA559,0)))))/D559)+1),0)</f>
        <v/>
      </c>
      <c r="O559" s="108">
        <f>IFERROR(IF(D559=0,0,IF(IF(DAY(E559+1)=1,EOMONTH(E559,(N559-1)*D559),EDATE(E559,(N559-1)*D559))='Deal maths'!AA559,0,1)),0)</f>
        <v/>
      </c>
      <c r="P559" s="113">
        <f>IF(B559=0,0,IFERROR(IF(C559="EIP",((I559-O559)*((IF(DAY(E559+1)=1,EOMONTH(E559,H559*D559),EDATE(E559,H559*D559))-AsAt)/365.25+(IF(DAY(E559+1)=1,EOMONTH(E559,(N559-1)*D559),EDATE(E559,(N559-1)*D559))-AsAt)/365.25)/2+O559*('Deal maths'!AA559-AsAt)/365.25)/I559,IF(C559="Annuity",IF(F559&gt;0,((K559-L559*F559)*((IF(DAY(E559+1)=1,EOMONTH(E559,H559*D559),EDATE(E559,H559*D559))-AsAt)/365.25*((1+F559)^(I559-O559)-1)/F559+IF((I559-O559)&gt;1,((IF(DAY(E559+1)=1,EOMONTH(E559,(N559-1)*D559),EDATE(E559,(N559-1)*D559))-AsAt)/365.25-(IF(DAY(E559+1)=1,EOMONTH(E559,H559*D559),EDATE(E559,H559*D559))-AsAt)/365.25)/((I559-O559)-1),0)*(1+F559)*(1-(I559-O559)*(1+F559)^((I559-O559)-1)+((I559-O559)-1)*(1+F559)^(I559-O559))/F559^2)+O559*(K559-L559*F559)*(1+F559)^(I559-1)*('Deal maths'!AA559-AsAt)/365.25)/L559,((I559-O559)*((IF(DAY(E559+1)=1,EOMONTH(E559,H559*D559),EDATE(E559,H559*D559))-AsAt)/365.25+(IF(DAY(E559+1)=1,EOMONTH(E559,(N559-1)*D559),EDATE(E559,(N559-1)*D559))-AsAt)/365.25)/2+O559*('Deal maths'!AA559-AsAt)/365.25)/I559),(S559-AsAt)/365.25)),0))</f>
        <v/>
      </c>
      <c r="Q559" s="109">
        <f>IF(B559=1,'Deal maths'!AA559+ROW()/1000000,"")</f>
        <v/>
      </c>
      <c r="R559" s="108">
        <f>IF(D559=0,0,IF(DAY(E559+1)=1,31,DAY(E559)))</f>
        <v/>
      </c>
      <c r="S559" s="109">
        <f>IF(AND('Deal maths'!V559="LOBO",'Deal maths'!AG559&gt;AsAt,'Deal maths'!AG559&lt;'Deal maths'!AA559),'Deal maths'!AG559,'Deal maths'!AA559)</f>
        <v/>
      </c>
      <c r="T559" s="108">
        <f>('Deal maths'!AA559&gt;AsAt)*('Deal maths'!Y559&gt;0)</f>
        <v/>
      </c>
    </row>
    <row r="560">
      <c r="A560" s="91">
        <f>IF('Deal maths'!V560="","",'Deal maths'!W560)</f>
        <v/>
      </c>
      <c r="B560" s="108">
        <f>('Deal maths'!AA560&gt;AsAt)*('Deal maths'!Y560&gt;0)*('Deal maths'!Z560&lt;=AsAt)</f>
        <v/>
      </c>
      <c r="C560" s="91">
        <f>IF('Deal maths'!V560="","",IF('Deal maths'!AC560="","Maturity",'Deal maths'!AC560))</f>
        <v/>
      </c>
      <c r="D560" s="108">
        <f>IF(OR(C560="EIP",C560="Annuity"),IF('Deal maths'!AD560="Annual",12,IF('Deal maths'!AD560="Quarterly",3,6)),0)</f>
        <v/>
      </c>
      <c r="E560" s="109">
        <f>IFERROR(IF(D560=0,0,IF('Deal maths'!AE560&gt;0,IF('Deal maths'!AE560&gt;'Deal maths'!AA560,'Deal maths'!AA560,'Deal maths'!AE560),IF(IF(DAY('Deal maths'!AA560+1)=1,EOMONTH('Deal maths'!AA560,-(INT(((YEAR('Deal maths'!AA560)-YEAR(IF('Deal maths'!Z560&gt;0,'Deal maths'!Z560,DATE(1990,1,1))))*12+MONTH('Deal maths'!AA560)-MONTH(IF('Deal maths'!Z560&gt;0,'Deal maths'!Z560,DATE(1990,1,1))))/D560))*D560),EDATE('Deal maths'!AA560,-(INT(((YEAR('Deal maths'!AA560)-YEAR(IF('Deal maths'!Z560&gt;0,'Deal maths'!Z560,DATE(1990,1,1))))*12+MONTH('Deal maths'!AA560)-MONTH(IF('Deal maths'!Z560&gt;0,'Deal maths'!Z560,DATE(1990,1,1))))/D560))*D560))&gt;IF('Deal maths'!Z560&gt;0,'Deal maths'!Z560,DATE(1990,1,1)),IF(DAY('Deal maths'!AA560+1)=1,EOMONTH('Deal maths'!AA560,-(INT(((YEAR('Deal maths'!AA560)-YEAR(IF('Deal maths'!Z560&gt;0,'Deal maths'!Z560,DATE(1990,1,1))))*12+MONTH('Deal maths'!AA560)-MONTH(IF('Deal maths'!Z560&gt;0,'Deal maths'!Z560,DATE(1990,1,1))))/D560))*D560),EDATE('Deal maths'!AA560,-(INT(((YEAR('Deal maths'!AA560)-YEAR(IF('Deal maths'!Z560&gt;0,'Deal maths'!Z560,DATE(1990,1,1))))*12+MONTH('Deal maths'!AA560)-MONTH(IF('Deal maths'!Z560&gt;0,'Deal maths'!Z560,DATE(1990,1,1))))/D560))*D560)),IF(DAY('Deal maths'!AA560+1)=1,EOMONTH('Deal maths'!AA560,-(INT(((YEAR('Deal maths'!AA560)-YEAR(IF('Deal maths'!Z560&gt;0,'Deal maths'!Z560,DATE(1990,1,1))))*12+MONTH('Deal maths'!AA560)-MONTH(IF('Deal maths'!Z560&gt;0,'Deal maths'!Z560,DATE(1990,1,1))))/D560)-1)*D560),EDATE('Deal maths'!AA560,-(INT(((YEAR('Deal maths'!AA560)-YEAR(IF('Deal maths'!Z560&gt;0,'Deal maths'!Z560,DATE(1990,1,1))))*12+MONTH('Deal maths'!AA560)-MONTH(IF('Deal maths'!Z560&gt;0,'Deal maths'!Z560,DATE(1990,1,1))))/D560)-1)*D560))))),0)</f>
        <v/>
      </c>
      <c r="F560" s="110">
        <f>IF(D560=0,0,'Deal maths'!AB560*D560/12)</f>
        <v/>
      </c>
      <c r="G560" s="108">
        <f>N560+O560</f>
        <v/>
      </c>
      <c r="H560" s="108">
        <f>IFERROR(IF(OR(D560=0,AsAt&lt;E560),0,MIN(N560,INT(((YEAR(AsAt)-YEAR(E560))*12+MONTH(AsAt)-MONTH(E560)-(DAY(AsAt)&lt;MIN(R560,DAY(EOMONTH(AsAt,0)))))/D560)+1)+O560*(AsAt&gt;='Deal maths'!AA560)),0)</f>
        <v/>
      </c>
      <c r="I560" s="108">
        <f>G560-H560</f>
        <v/>
      </c>
      <c r="J560" s="111">
        <f>IF(AND(C560="EIP",I560&gt;0),'Deal maths'!Y560/I560,0)</f>
        <v/>
      </c>
      <c r="K560" s="111">
        <f>IF(AND(C560="Annuity",I560&gt;0),IF(F560&gt;0,'Deal maths'!Y560*F560/(1-(1+F560)^-I560),'Deal maths'!Y560/I560),0)</f>
        <v/>
      </c>
      <c r="L560" s="111">
        <f>IF('Deal maths'!Y560="",0,'Deal maths'!Y560)</f>
        <v/>
      </c>
      <c r="M560" s="112">
        <f>F560+(F560=0)</f>
        <v/>
      </c>
      <c r="N560" s="108">
        <f>IFERROR(IF(D560=0,0,INT(((YEAR('Deal maths'!AA560)-YEAR(E560))*12+MONTH('Deal maths'!AA560)-MONTH(E560)-(DAY('Deal maths'!AA560)&lt;MIN(R560,DAY(EOMONTH('Deal maths'!AA560,0)))))/D560)+1),0)</f>
        <v/>
      </c>
      <c r="O560" s="108">
        <f>IFERROR(IF(D560=0,0,IF(IF(DAY(E560+1)=1,EOMONTH(E560,(N560-1)*D560),EDATE(E560,(N560-1)*D560))='Deal maths'!AA560,0,1)),0)</f>
        <v/>
      </c>
      <c r="P560" s="113">
        <f>IF(B560=0,0,IFERROR(IF(C560="EIP",((I560-O560)*((IF(DAY(E560+1)=1,EOMONTH(E560,H560*D560),EDATE(E560,H560*D560))-AsAt)/365.25+(IF(DAY(E560+1)=1,EOMONTH(E560,(N560-1)*D560),EDATE(E560,(N560-1)*D560))-AsAt)/365.25)/2+O560*('Deal maths'!AA560-AsAt)/365.25)/I560,IF(C560="Annuity",IF(F560&gt;0,((K560-L560*F560)*((IF(DAY(E560+1)=1,EOMONTH(E560,H560*D560),EDATE(E560,H560*D560))-AsAt)/365.25*((1+F560)^(I560-O560)-1)/F560+IF((I560-O560)&gt;1,((IF(DAY(E560+1)=1,EOMONTH(E560,(N560-1)*D560),EDATE(E560,(N560-1)*D560))-AsAt)/365.25-(IF(DAY(E560+1)=1,EOMONTH(E560,H560*D560),EDATE(E560,H560*D560))-AsAt)/365.25)/((I560-O560)-1),0)*(1+F560)*(1-(I560-O560)*(1+F560)^((I560-O560)-1)+((I560-O560)-1)*(1+F560)^(I560-O560))/F560^2)+O560*(K560-L560*F560)*(1+F560)^(I560-1)*('Deal maths'!AA560-AsAt)/365.25)/L560,((I560-O560)*((IF(DAY(E560+1)=1,EOMONTH(E560,H560*D560),EDATE(E560,H560*D560))-AsAt)/365.25+(IF(DAY(E560+1)=1,EOMONTH(E560,(N560-1)*D560),EDATE(E560,(N560-1)*D560))-AsAt)/365.25)/2+O560*('Deal maths'!AA560-AsAt)/365.25)/I560),(S560-AsAt)/365.25)),0))</f>
        <v/>
      </c>
      <c r="Q560" s="109">
        <f>IF(B560=1,'Deal maths'!AA560+ROW()/1000000,"")</f>
        <v/>
      </c>
      <c r="R560" s="108">
        <f>IF(D560=0,0,IF(DAY(E560+1)=1,31,DAY(E560)))</f>
        <v/>
      </c>
      <c r="S560" s="109">
        <f>IF(AND('Deal maths'!V560="LOBO",'Deal maths'!AG560&gt;AsAt,'Deal maths'!AG560&lt;'Deal maths'!AA560),'Deal maths'!AG560,'Deal maths'!AA560)</f>
        <v/>
      </c>
      <c r="T560" s="108">
        <f>('Deal maths'!AA560&gt;AsAt)*('Deal maths'!Y560&gt;0)</f>
        <v/>
      </c>
    </row>
    <row r="561">
      <c r="A561" s="91">
        <f>IF('Deal maths'!V561="","",'Deal maths'!W561)</f>
        <v/>
      </c>
      <c r="B561" s="108">
        <f>('Deal maths'!AA561&gt;AsAt)*('Deal maths'!Y561&gt;0)*('Deal maths'!Z561&lt;=AsAt)</f>
        <v/>
      </c>
      <c r="C561" s="91">
        <f>IF('Deal maths'!V561="","",IF('Deal maths'!AC561="","Maturity",'Deal maths'!AC561))</f>
        <v/>
      </c>
      <c r="D561" s="108">
        <f>IF(OR(C561="EIP",C561="Annuity"),IF('Deal maths'!AD561="Annual",12,IF('Deal maths'!AD561="Quarterly",3,6)),0)</f>
        <v/>
      </c>
      <c r="E561" s="109">
        <f>IFERROR(IF(D561=0,0,IF('Deal maths'!AE561&gt;0,IF('Deal maths'!AE561&gt;'Deal maths'!AA561,'Deal maths'!AA561,'Deal maths'!AE561),IF(IF(DAY('Deal maths'!AA561+1)=1,EOMONTH('Deal maths'!AA561,-(INT(((YEAR('Deal maths'!AA561)-YEAR(IF('Deal maths'!Z561&gt;0,'Deal maths'!Z561,DATE(1990,1,1))))*12+MONTH('Deal maths'!AA561)-MONTH(IF('Deal maths'!Z561&gt;0,'Deal maths'!Z561,DATE(1990,1,1))))/D561))*D561),EDATE('Deal maths'!AA561,-(INT(((YEAR('Deal maths'!AA561)-YEAR(IF('Deal maths'!Z561&gt;0,'Deal maths'!Z561,DATE(1990,1,1))))*12+MONTH('Deal maths'!AA561)-MONTH(IF('Deal maths'!Z561&gt;0,'Deal maths'!Z561,DATE(1990,1,1))))/D561))*D561))&gt;IF('Deal maths'!Z561&gt;0,'Deal maths'!Z561,DATE(1990,1,1)),IF(DAY('Deal maths'!AA561+1)=1,EOMONTH('Deal maths'!AA561,-(INT(((YEAR('Deal maths'!AA561)-YEAR(IF('Deal maths'!Z561&gt;0,'Deal maths'!Z561,DATE(1990,1,1))))*12+MONTH('Deal maths'!AA561)-MONTH(IF('Deal maths'!Z561&gt;0,'Deal maths'!Z561,DATE(1990,1,1))))/D561))*D561),EDATE('Deal maths'!AA561,-(INT(((YEAR('Deal maths'!AA561)-YEAR(IF('Deal maths'!Z561&gt;0,'Deal maths'!Z561,DATE(1990,1,1))))*12+MONTH('Deal maths'!AA561)-MONTH(IF('Deal maths'!Z561&gt;0,'Deal maths'!Z561,DATE(1990,1,1))))/D561))*D561)),IF(DAY('Deal maths'!AA561+1)=1,EOMONTH('Deal maths'!AA561,-(INT(((YEAR('Deal maths'!AA561)-YEAR(IF('Deal maths'!Z561&gt;0,'Deal maths'!Z561,DATE(1990,1,1))))*12+MONTH('Deal maths'!AA561)-MONTH(IF('Deal maths'!Z561&gt;0,'Deal maths'!Z561,DATE(1990,1,1))))/D561)-1)*D561),EDATE('Deal maths'!AA561,-(INT(((YEAR('Deal maths'!AA561)-YEAR(IF('Deal maths'!Z561&gt;0,'Deal maths'!Z561,DATE(1990,1,1))))*12+MONTH('Deal maths'!AA561)-MONTH(IF('Deal maths'!Z561&gt;0,'Deal maths'!Z561,DATE(1990,1,1))))/D561)-1)*D561))))),0)</f>
        <v/>
      </c>
      <c r="F561" s="110">
        <f>IF(D561=0,0,'Deal maths'!AB561*D561/12)</f>
        <v/>
      </c>
      <c r="G561" s="108">
        <f>N561+O561</f>
        <v/>
      </c>
      <c r="H561" s="108">
        <f>IFERROR(IF(OR(D561=0,AsAt&lt;E561),0,MIN(N561,INT(((YEAR(AsAt)-YEAR(E561))*12+MONTH(AsAt)-MONTH(E561)-(DAY(AsAt)&lt;MIN(R561,DAY(EOMONTH(AsAt,0)))))/D561)+1)+O561*(AsAt&gt;='Deal maths'!AA561)),0)</f>
        <v/>
      </c>
      <c r="I561" s="108">
        <f>G561-H561</f>
        <v/>
      </c>
      <c r="J561" s="111">
        <f>IF(AND(C561="EIP",I561&gt;0),'Deal maths'!Y561/I561,0)</f>
        <v/>
      </c>
      <c r="K561" s="111">
        <f>IF(AND(C561="Annuity",I561&gt;0),IF(F561&gt;0,'Deal maths'!Y561*F561/(1-(1+F561)^-I561),'Deal maths'!Y561/I561),0)</f>
        <v/>
      </c>
      <c r="L561" s="111">
        <f>IF('Deal maths'!Y561="",0,'Deal maths'!Y561)</f>
        <v/>
      </c>
      <c r="M561" s="112">
        <f>F561+(F561=0)</f>
        <v/>
      </c>
      <c r="N561" s="108">
        <f>IFERROR(IF(D561=0,0,INT(((YEAR('Deal maths'!AA561)-YEAR(E561))*12+MONTH('Deal maths'!AA561)-MONTH(E561)-(DAY('Deal maths'!AA561)&lt;MIN(R561,DAY(EOMONTH('Deal maths'!AA561,0)))))/D561)+1),0)</f>
        <v/>
      </c>
      <c r="O561" s="108">
        <f>IFERROR(IF(D561=0,0,IF(IF(DAY(E561+1)=1,EOMONTH(E561,(N561-1)*D561),EDATE(E561,(N561-1)*D561))='Deal maths'!AA561,0,1)),0)</f>
        <v/>
      </c>
      <c r="P561" s="113">
        <f>IF(B561=0,0,IFERROR(IF(C561="EIP",((I561-O561)*((IF(DAY(E561+1)=1,EOMONTH(E561,H561*D561),EDATE(E561,H561*D561))-AsAt)/365.25+(IF(DAY(E561+1)=1,EOMONTH(E561,(N561-1)*D561),EDATE(E561,(N561-1)*D561))-AsAt)/365.25)/2+O561*('Deal maths'!AA561-AsAt)/365.25)/I561,IF(C561="Annuity",IF(F561&gt;0,((K561-L561*F561)*((IF(DAY(E561+1)=1,EOMONTH(E561,H561*D561),EDATE(E561,H561*D561))-AsAt)/365.25*((1+F561)^(I561-O561)-1)/F561+IF((I561-O561)&gt;1,((IF(DAY(E561+1)=1,EOMONTH(E561,(N561-1)*D561),EDATE(E561,(N561-1)*D561))-AsAt)/365.25-(IF(DAY(E561+1)=1,EOMONTH(E561,H561*D561),EDATE(E561,H561*D561))-AsAt)/365.25)/((I561-O561)-1),0)*(1+F561)*(1-(I561-O561)*(1+F561)^((I561-O561)-1)+((I561-O561)-1)*(1+F561)^(I561-O561))/F561^2)+O561*(K561-L561*F561)*(1+F561)^(I561-1)*('Deal maths'!AA561-AsAt)/365.25)/L561,((I561-O561)*((IF(DAY(E561+1)=1,EOMONTH(E561,H561*D561),EDATE(E561,H561*D561))-AsAt)/365.25+(IF(DAY(E561+1)=1,EOMONTH(E561,(N561-1)*D561),EDATE(E561,(N561-1)*D561))-AsAt)/365.25)/2+O561*('Deal maths'!AA561-AsAt)/365.25)/I561),(S561-AsAt)/365.25)),0))</f>
        <v/>
      </c>
      <c r="Q561" s="109">
        <f>IF(B561=1,'Deal maths'!AA561+ROW()/1000000,"")</f>
        <v/>
      </c>
      <c r="R561" s="108">
        <f>IF(D561=0,0,IF(DAY(E561+1)=1,31,DAY(E561)))</f>
        <v/>
      </c>
      <c r="S561" s="109">
        <f>IF(AND('Deal maths'!V561="LOBO",'Deal maths'!AG561&gt;AsAt,'Deal maths'!AG561&lt;'Deal maths'!AA561),'Deal maths'!AG561,'Deal maths'!AA561)</f>
        <v/>
      </c>
      <c r="T561" s="108">
        <f>('Deal maths'!AA561&gt;AsAt)*('Deal maths'!Y561&gt;0)</f>
        <v/>
      </c>
    </row>
    <row r="562">
      <c r="A562" s="91">
        <f>IF('Deal maths'!V562="","",'Deal maths'!W562)</f>
        <v/>
      </c>
      <c r="B562" s="108">
        <f>('Deal maths'!AA562&gt;AsAt)*('Deal maths'!Y562&gt;0)*('Deal maths'!Z562&lt;=AsAt)</f>
        <v/>
      </c>
      <c r="C562" s="91">
        <f>IF('Deal maths'!V562="","",IF('Deal maths'!AC562="","Maturity",'Deal maths'!AC562))</f>
        <v/>
      </c>
      <c r="D562" s="108">
        <f>IF(OR(C562="EIP",C562="Annuity"),IF('Deal maths'!AD562="Annual",12,IF('Deal maths'!AD562="Quarterly",3,6)),0)</f>
        <v/>
      </c>
      <c r="E562" s="109">
        <f>IFERROR(IF(D562=0,0,IF('Deal maths'!AE562&gt;0,IF('Deal maths'!AE562&gt;'Deal maths'!AA562,'Deal maths'!AA562,'Deal maths'!AE562),IF(IF(DAY('Deal maths'!AA562+1)=1,EOMONTH('Deal maths'!AA562,-(INT(((YEAR('Deal maths'!AA562)-YEAR(IF('Deal maths'!Z562&gt;0,'Deal maths'!Z562,DATE(1990,1,1))))*12+MONTH('Deal maths'!AA562)-MONTH(IF('Deal maths'!Z562&gt;0,'Deal maths'!Z562,DATE(1990,1,1))))/D562))*D562),EDATE('Deal maths'!AA562,-(INT(((YEAR('Deal maths'!AA562)-YEAR(IF('Deal maths'!Z562&gt;0,'Deal maths'!Z562,DATE(1990,1,1))))*12+MONTH('Deal maths'!AA562)-MONTH(IF('Deal maths'!Z562&gt;0,'Deal maths'!Z562,DATE(1990,1,1))))/D562))*D562))&gt;IF('Deal maths'!Z562&gt;0,'Deal maths'!Z562,DATE(1990,1,1)),IF(DAY('Deal maths'!AA562+1)=1,EOMONTH('Deal maths'!AA562,-(INT(((YEAR('Deal maths'!AA562)-YEAR(IF('Deal maths'!Z562&gt;0,'Deal maths'!Z562,DATE(1990,1,1))))*12+MONTH('Deal maths'!AA562)-MONTH(IF('Deal maths'!Z562&gt;0,'Deal maths'!Z562,DATE(1990,1,1))))/D562))*D562),EDATE('Deal maths'!AA562,-(INT(((YEAR('Deal maths'!AA562)-YEAR(IF('Deal maths'!Z562&gt;0,'Deal maths'!Z562,DATE(1990,1,1))))*12+MONTH('Deal maths'!AA562)-MONTH(IF('Deal maths'!Z562&gt;0,'Deal maths'!Z562,DATE(1990,1,1))))/D562))*D562)),IF(DAY('Deal maths'!AA562+1)=1,EOMONTH('Deal maths'!AA562,-(INT(((YEAR('Deal maths'!AA562)-YEAR(IF('Deal maths'!Z562&gt;0,'Deal maths'!Z562,DATE(1990,1,1))))*12+MONTH('Deal maths'!AA562)-MONTH(IF('Deal maths'!Z562&gt;0,'Deal maths'!Z562,DATE(1990,1,1))))/D562)-1)*D562),EDATE('Deal maths'!AA562,-(INT(((YEAR('Deal maths'!AA562)-YEAR(IF('Deal maths'!Z562&gt;0,'Deal maths'!Z562,DATE(1990,1,1))))*12+MONTH('Deal maths'!AA562)-MONTH(IF('Deal maths'!Z562&gt;0,'Deal maths'!Z562,DATE(1990,1,1))))/D562)-1)*D562))))),0)</f>
        <v/>
      </c>
      <c r="F562" s="110">
        <f>IF(D562=0,0,'Deal maths'!AB562*D562/12)</f>
        <v/>
      </c>
      <c r="G562" s="108">
        <f>N562+O562</f>
        <v/>
      </c>
      <c r="H562" s="108">
        <f>IFERROR(IF(OR(D562=0,AsAt&lt;E562),0,MIN(N562,INT(((YEAR(AsAt)-YEAR(E562))*12+MONTH(AsAt)-MONTH(E562)-(DAY(AsAt)&lt;MIN(R562,DAY(EOMONTH(AsAt,0)))))/D562)+1)+O562*(AsAt&gt;='Deal maths'!AA562)),0)</f>
        <v/>
      </c>
      <c r="I562" s="108">
        <f>G562-H562</f>
        <v/>
      </c>
      <c r="J562" s="111">
        <f>IF(AND(C562="EIP",I562&gt;0),'Deal maths'!Y562/I562,0)</f>
        <v/>
      </c>
      <c r="K562" s="111">
        <f>IF(AND(C562="Annuity",I562&gt;0),IF(F562&gt;0,'Deal maths'!Y562*F562/(1-(1+F562)^-I562),'Deal maths'!Y562/I562),0)</f>
        <v/>
      </c>
      <c r="L562" s="111">
        <f>IF('Deal maths'!Y562="",0,'Deal maths'!Y562)</f>
        <v/>
      </c>
      <c r="M562" s="112">
        <f>F562+(F562=0)</f>
        <v/>
      </c>
      <c r="N562" s="108">
        <f>IFERROR(IF(D562=0,0,INT(((YEAR('Deal maths'!AA562)-YEAR(E562))*12+MONTH('Deal maths'!AA562)-MONTH(E562)-(DAY('Deal maths'!AA562)&lt;MIN(R562,DAY(EOMONTH('Deal maths'!AA562,0)))))/D562)+1),0)</f>
        <v/>
      </c>
      <c r="O562" s="108">
        <f>IFERROR(IF(D562=0,0,IF(IF(DAY(E562+1)=1,EOMONTH(E562,(N562-1)*D562),EDATE(E562,(N562-1)*D562))='Deal maths'!AA562,0,1)),0)</f>
        <v/>
      </c>
      <c r="P562" s="113">
        <f>IF(B562=0,0,IFERROR(IF(C562="EIP",((I562-O562)*((IF(DAY(E562+1)=1,EOMONTH(E562,H562*D562),EDATE(E562,H562*D562))-AsAt)/365.25+(IF(DAY(E562+1)=1,EOMONTH(E562,(N562-1)*D562),EDATE(E562,(N562-1)*D562))-AsAt)/365.25)/2+O562*('Deal maths'!AA562-AsAt)/365.25)/I562,IF(C562="Annuity",IF(F562&gt;0,((K562-L562*F562)*((IF(DAY(E562+1)=1,EOMONTH(E562,H562*D562),EDATE(E562,H562*D562))-AsAt)/365.25*((1+F562)^(I562-O562)-1)/F562+IF((I562-O562)&gt;1,((IF(DAY(E562+1)=1,EOMONTH(E562,(N562-1)*D562),EDATE(E562,(N562-1)*D562))-AsAt)/365.25-(IF(DAY(E562+1)=1,EOMONTH(E562,H562*D562),EDATE(E562,H562*D562))-AsAt)/365.25)/((I562-O562)-1),0)*(1+F562)*(1-(I562-O562)*(1+F562)^((I562-O562)-1)+((I562-O562)-1)*(1+F562)^(I562-O562))/F562^2)+O562*(K562-L562*F562)*(1+F562)^(I562-1)*('Deal maths'!AA562-AsAt)/365.25)/L562,((I562-O562)*((IF(DAY(E562+1)=1,EOMONTH(E562,H562*D562),EDATE(E562,H562*D562))-AsAt)/365.25+(IF(DAY(E562+1)=1,EOMONTH(E562,(N562-1)*D562),EDATE(E562,(N562-1)*D562))-AsAt)/365.25)/2+O562*('Deal maths'!AA562-AsAt)/365.25)/I562),(S562-AsAt)/365.25)),0))</f>
        <v/>
      </c>
      <c r="Q562" s="109">
        <f>IF(B562=1,'Deal maths'!AA562+ROW()/1000000,"")</f>
        <v/>
      </c>
      <c r="R562" s="108">
        <f>IF(D562=0,0,IF(DAY(E562+1)=1,31,DAY(E562)))</f>
        <v/>
      </c>
      <c r="S562" s="109">
        <f>IF(AND('Deal maths'!V562="LOBO",'Deal maths'!AG562&gt;AsAt,'Deal maths'!AG562&lt;'Deal maths'!AA562),'Deal maths'!AG562,'Deal maths'!AA562)</f>
        <v/>
      </c>
      <c r="T562" s="108">
        <f>('Deal maths'!AA562&gt;AsAt)*('Deal maths'!Y562&gt;0)</f>
        <v/>
      </c>
    </row>
    <row r="563">
      <c r="A563" s="91">
        <f>IF('Deal maths'!V563="","",'Deal maths'!W563)</f>
        <v/>
      </c>
      <c r="B563" s="108">
        <f>('Deal maths'!AA563&gt;AsAt)*('Deal maths'!Y563&gt;0)*('Deal maths'!Z563&lt;=AsAt)</f>
        <v/>
      </c>
      <c r="C563" s="91">
        <f>IF('Deal maths'!V563="","",IF('Deal maths'!AC563="","Maturity",'Deal maths'!AC563))</f>
        <v/>
      </c>
      <c r="D563" s="108">
        <f>IF(OR(C563="EIP",C563="Annuity"),IF('Deal maths'!AD563="Annual",12,IF('Deal maths'!AD563="Quarterly",3,6)),0)</f>
        <v/>
      </c>
      <c r="E563" s="109">
        <f>IFERROR(IF(D563=0,0,IF('Deal maths'!AE563&gt;0,IF('Deal maths'!AE563&gt;'Deal maths'!AA563,'Deal maths'!AA563,'Deal maths'!AE563),IF(IF(DAY('Deal maths'!AA563+1)=1,EOMONTH('Deal maths'!AA563,-(INT(((YEAR('Deal maths'!AA563)-YEAR(IF('Deal maths'!Z563&gt;0,'Deal maths'!Z563,DATE(1990,1,1))))*12+MONTH('Deal maths'!AA563)-MONTH(IF('Deal maths'!Z563&gt;0,'Deal maths'!Z563,DATE(1990,1,1))))/D563))*D563),EDATE('Deal maths'!AA563,-(INT(((YEAR('Deal maths'!AA563)-YEAR(IF('Deal maths'!Z563&gt;0,'Deal maths'!Z563,DATE(1990,1,1))))*12+MONTH('Deal maths'!AA563)-MONTH(IF('Deal maths'!Z563&gt;0,'Deal maths'!Z563,DATE(1990,1,1))))/D563))*D563))&gt;IF('Deal maths'!Z563&gt;0,'Deal maths'!Z563,DATE(1990,1,1)),IF(DAY('Deal maths'!AA563+1)=1,EOMONTH('Deal maths'!AA563,-(INT(((YEAR('Deal maths'!AA563)-YEAR(IF('Deal maths'!Z563&gt;0,'Deal maths'!Z563,DATE(1990,1,1))))*12+MONTH('Deal maths'!AA563)-MONTH(IF('Deal maths'!Z563&gt;0,'Deal maths'!Z563,DATE(1990,1,1))))/D563))*D563),EDATE('Deal maths'!AA563,-(INT(((YEAR('Deal maths'!AA563)-YEAR(IF('Deal maths'!Z563&gt;0,'Deal maths'!Z563,DATE(1990,1,1))))*12+MONTH('Deal maths'!AA563)-MONTH(IF('Deal maths'!Z563&gt;0,'Deal maths'!Z563,DATE(1990,1,1))))/D563))*D563)),IF(DAY('Deal maths'!AA563+1)=1,EOMONTH('Deal maths'!AA563,-(INT(((YEAR('Deal maths'!AA563)-YEAR(IF('Deal maths'!Z563&gt;0,'Deal maths'!Z563,DATE(1990,1,1))))*12+MONTH('Deal maths'!AA563)-MONTH(IF('Deal maths'!Z563&gt;0,'Deal maths'!Z563,DATE(1990,1,1))))/D563)-1)*D563),EDATE('Deal maths'!AA563,-(INT(((YEAR('Deal maths'!AA563)-YEAR(IF('Deal maths'!Z563&gt;0,'Deal maths'!Z563,DATE(1990,1,1))))*12+MONTH('Deal maths'!AA563)-MONTH(IF('Deal maths'!Z563&gt;0,'Deal maths'!Z563,DATE(1990,1,1))))/D563)-1)*D563))))),0)</f>
        <v/>
      </c>
      <c r="F563" s="110">
        <f>IF(D563=0,0,'Deal maths'!AB563*D563/12)</f>
        <v/>
      </c>
      <c r="G563" s="108">
        <f>N563+O563</f>
        <v/>
      </c>
      <c r="H563" s="108">
        <f>IFERROR(IF(OR(D563=0,AsAt&lt;E563),0,MIN(N563,INT(((YEAR(AsAt)-YEAR(E563))*12+MONTH(AsAt)-MONTH(E563)-(DAY(AsAt)&lt;MIN(R563,DAY(EOMONTH(AsAt,0)))))/D563)+1)+O563*(AsAt&gt;='Deal maths'!AA563)),0)</f>
        <v/>
      </c>
      <c r="I563" s="108">
        <f>G563-H563</f>
        <v/>
      </c>
      <c r="J563" s="111">
        <f>IF(AND(C563="EIP",I563&gt;0),'Deal maths'!Y563/I563,0)</f>
        <v/>
      </c>
      <c r="K563" s="111">
        <f>IF(AND(C563="Annuity",I563&gt;0),IF(F563&gt;0,'Deal maths'!Y563*F563/(1-(1+F563)^-I563),'Deal maths'!Y563/I563),0)</f>
        <v/>
      </c>
      <c r="L563" s="111">
        <f>IF('Deal maths'!Y563="",0,'Deal maths'!Y563)</f>
        <v/>
      </c>
      <c r="M563" s="112">
        <f>F563+(F563=0)</f>
        <v/>
      </c>
      <c r="N563" s="108">
        <f>IFERROR(IF(D563=0,0,INT(((YEAR('Deal maths'!AA563)-YEAR(E563))*12+MONTH('Deal maths'!AA563)-MONTH(E563)-(DAY('Deal maths'!AA563)&lt;MIN(R563,DAY(EOMONTH('Deal maths'!AA563,0)))))/D563)+1),0)</f>
        <v/>
      </c>
      <c r="O563" s="108">
        <f>IFERROR(IF(D563=0,0,IF(IF(DAY(E563+1)=1,EOMONTH(E563,(N563-1)*D563),EDATE(E563,(N563-1)*D563))='Deal maths'!AA563,0,1)),0)</f>
        <v/>
      </c>
      <c r="P563" s="113">
        <f>IF(B563=0,0,IFERROR(IF(C563="EIP",((I563-O563)*((IF(DAY(E563+1)=1,EOMONTH(E563,H563*D563),EDATE(E563,H563*D563))-AsAt)/365.25+(IF(DAY(E563+1)=1,EOMONTH(E563,(N563-1)*D563),EDATE(E563,(N563-1)*D563))-AsAt)/365.25)/2+O563*('Deal maths'!AA563-AsAt)/365.25)/I563,IF(C563="Annuity",IF(F563&gt;0,((K563-L563*F563)*((IF(DAY(E563+1)=1,EOMONTH(E563,H563*D563),EDATE(E563,H563*D563))-AsAt)/365.25*((1+F563)^(I563-O563)-1)/F563+IF((I563-O563)&gt;1,((IF(DAY(E563+1)=1,EOMONTH(E563,(N563-1)*D563),EDATE(E563,(N563-1)*D563))-AsAt)/365.25-(IF(DAY(E563+1)=1,EOMONTH(E563,H563*D563),EDATE(E563,H563*D563))-AsAt)/365.25)/((I563-O563)-1),0)*(1+F563)*(1-(I563-O563)*(1+F563)^((I563-O563)-1)+((I563-O563)-1)*(1+F563)^(I563-O563))/F563^2)+O563*(K563-L563*F563)*(1+F563)^(I563-1)*('Deal maths'!AA563-AsAt)/365.25)/L563,((I563-O563)*((IF(DAY(E563+1)=1,EOMONTH(E563,H563*D563),EDATE(E563,H563*D563))-AsAt)/365.25+(IF(DAY(E563+1)=1,EOMONTH(E563,(N563-1)*D563),EDATE(E563,(N563-1)*D563))-AsAt)/365.25)/2+O563*('Deal maths'!AA563-AsAt)/365.25)/I563),(S563-AsAt)/365.25)),0))</f>
        <v/>
      </c>
      <c r="Q563" s="109">
        <f>IF(B563=1,'Deal maths'!AA563+ROW()/1000000,"")</f>
        <v/>
      </c>
      <c r="R563" s="108">
        <f>IF(D563=0,0,IF(DAY(E563+1)=1,31,DAY(E563)))</f>
        <v/>
      </c>
      <c r="S563" s="109">
        <f>IF(AND('Deal maths'!V563="LOBO",'Deal maths'!AG563&gt;AsAt,'Deal maths'!AG563&lt;'Deal maths'!AA563),'Deal maths'!AG563,'Deal maths'!AA563)</f>
        <v/>
      </c>
      <c r="T563" s="108">
        <f>('Deal maths'!AA563&gt;AsAt)*('Deal maths'!Y563&gt;0)</f>
        <v/>
      </c>
    </row>
    <row r="564">
      <c r="A564" s="91">
        <f>IF('Deal maths'!V564="","",'Deal maths'!W564)</f>
        <v/>
      </c>
      <c r="B564" s="108">
        <f>('Deal maths'!AA564&gt;AsAt)*('Deal maths'!Y564&gt;0)*('Deal maths'!Z564&lt;=AsAt)</f>
        <v/>
      </c>
      <c r="C564" s="91">
        <f>IF('Deal maths'!V564="","",IF('Deal maths'!AC564="","Maturity",'Deal maths'!AC564))</f>
        <v/>
      </c>
      <c r="D564" s="108">
        <f>IF(OR(C564="EIP",C564="Annuity"),IF('Deal maths'!AD564="Annual",12,IF('Deal maths'!AD564="Quarterly",3,6)),0)</f>
        <v/>
      </c>
      <c r="E564" s="109">
        <f>IFERROR(IF(D564=0,0,IF('Deal maths'!AE564&gt;0,IF('Deal maths'!AE564&gt;'Deal maths'!AA564,'Deal maths'!AA564,'Deal maths'!AE564),IF(IF(DAY('Deal maths'!AA564+1)=1,EOMONTH('Deal maths'!AA564,-(INT(((YEAR('Deal maths'!AA564)-YEAR(IF('Deal maths'!Z564&gt;0,'Deal maths'!Z564,DATE(1990,1,1))))*12+MONTH('Deal maths'!AA564)-MONTH(IF('Deal maths'!Z564&gt;0,'Deal maths'!Z564,DATE(1990,1,1))))/D564))*D564),EDATE('Deal maths'!AA564,-(INT(((YEAR('Deal maths'!AA564)-YEAR(IF('Deal maths'!Z564&gt;0,'Deal maths'!Z564,DATE(1990,1,1))))*12+MONTH('Deal maths'!AA564)-MONTH(IF('Deal maths'!Z564&gt;0,'Deal maths'!Z564,DATE(1990,1,1))))/D564))*D564))&gt;IF('Deal maths'!Z564&gt;0,'Deal maths'!Z564,DATE(1990,1,1)),IF(DAY('Deal maths'!AA564+1)=1,EOMONTH('Deal maths'!AA564,-(INT(((YEAR('Deal maths'!AA564)-YEAR(IF('Deal maths'!Z564&gt;0,'Deal maths'!Z564,DATE(1990,1,1))))*12+MONTH('Deal maths'!AA564)-MONTH(IF('Deal maths'!Z564&gt;0,'Deal maths'!Z564,DATE(1990,1,1))))/D564))*D564),EDATE('Deal maths'!AA564,-(INT(((YEAR('Deal maths'!AA564)-YEAR(IF('Deal maths'!Z564&gt;0,'Deal maths'!Z564,DATE(1990,1,1))))*12+MONTH('Deal maths'!AA564)-MONTH(IF('Deal maths'!Z564&gt;0,'Deal maths'!Z564,DATE(1990,1,1))))/D564))*D564)),IF(DAY('Deal maths'!AA564+1)=1,EOMONTH('Deal maths'!AA564,-(INT(((YEAR('Deal maths'!AA564)-YEAR(IF('Deal maths'!Z564&gt;0,'Deal maths'!Z564,DATE(1990,1,1))))*12+MONTH('Deal maths'!AA564)-MONTH(IF('Deal maths'!Z564&gt;0,'Deal maths'!Z564,DATE(1990,1,1))))/D564)-1)*D564),EDATE('Deal maths'!AA564,-(INT(((YEAR('Deal maths'!AA564)-YEAR(IF('Deal maths'!Z564&gt;0,'Deal maths'!Z564,DATE(1990,1,1))))*12+MONTH('Deal maths'!AA564)-MONTH(IF('Deal maths'!Z564&gt;0,'Deal maths'!Z564,DATE(1990,1,1))))/D564)-1)*D564))))),0)</f>
        <v/>
      </c>
      <c r="F564" s="110">
        <f>IF(D564=0,0,'Deal maths'!AB564*D564/12)</f>
        <v/>
      </c>
      <c r="G564" s="108">
        <f>N564+O564</f>
        <v/>
      </c>
      <c r="H564" s="108">
        <f>IFERROR(IF(OR(D564=0,AsAt&lt;E564),0,MIN(N564,INT(((YEAR(AsAt)-YEAR(E564))*12+MONTH(AsAt)-MONTH(E564)-(DAY(AsAt)&lt;MIN(R564,DAY(EOMONTH(AsAt,0)))))/D564)+1)+O564*(AsAt&gt;='Deal maths'!AA564)),0)</f>
        <v/>
      </c>
      <c r="I564" s="108">
        <f>G564-H564</f>
        <v/>
      </c>
      <c r="J564" s="111">
        <f>IF(AND(C564="EIP",I564&gt;0),'Deal maths'!Y564/I564,0)</f>
        <v/>
      </c>
      <c r="K564" s="111">
        <f>IF(AND(C564="Annuity",I564&gt;0),IF(F564&gt;0,'Deal maths'!Y564*F564/(1-(1+F564)^-I564),'Deal maths'!Y564/I564),0)</f>
        <v/>
      </c>
      <c r="L564" s="111">
        <f>IF('Deal maths'!Y564="",0,'Deal maths'!Y564)</f>
        <v/>
      </c>
      <c r="M564" s="112">
        <f>F564+(F564=0)</f>
        <v/>
      </c>
      <c r="N564" s="108">
        <f>IFERROR(IF(D564=0,0,INT(((YEAR('Deal maths'!AA564)-YEAR(E564))*12+MONTH('Deal maths'!AA564)-MONTH(E564)-(DAY('Deal maths'!AA564)&lt;MIN(R564,DAY(EOMONTH('Deal maths'!AA564,0)))))/D564)+1),0)</f>
        <v/>
      </c>
      <c r="O564" s="108">
        <f>IFERROR(IF(D564=0,0,IF(IF(DAY(E564+1)=1,EOMONTH(E564,(N564-1)*D564),EDATE(E564,(N564-1)*D564))='Deal maths'!AA564,0,1)),0)</f>
        <v/>
      </c>
      <c r="P564" s="113">
        <f>IF(B564=0,0,IFERROR(IF(C564="EIP",((I564-O564)*((IF(DAY(E564+1)=1,EOMONTH(E564,H564*D564),EDATE(E564,H564*D564))-AsAt)/365.25+(IF(DAY(E564+1)=1,EOMONTH(E564,(N564-1)*D564),EDATE(E564,(N564-1)*D564))-AsAt)/365.25)/2+O564*('Deal maths'!AA564-AsAt)/365.25)/I564,IF(C564="Annuity",IF(F564&gt;0,((K564-L564*F564)*((IF(DAY(E564+1)=1,EOMONTH(E564,H564*D564),EDATE(E564,H564*D564))-AsAt)/365.25*((1+F564)^(I564-O564)-1)/F564+IF((I564-O564)&gt;1,((IF(DAY(E564+1)=1,EOMONTH(E564,(N564-1)*D564),EDATE(E564,(N564-1)*D564))-AsAt)/365.25-(IF(DAY(E564+1)=1,EOMONTH(E564,H564*D564),EDATE(E564,H564*D564))-AsAt)/365.25)/((I564-O564)-1),0)*(1+F564)*(1-(I564-O564)*(1+F564)^((I564-O564)-1)+((I564-O564)-1)*(1+F564)^(I564-O564))/F564^2)+O564*(K564-L564*F564)*(1+F564)^(I564-1)*('Deal maths'!AA564-AsAt)/365.25)/L564,((I564-O564)*((IF(DAY(E564+1)=1,EOMONTH(E564,H564*D564),EDATE(E564,H564*D564))-AsAt)/365.25+(IF(DAY(E564+1)=1,EOMONTH(E564,(N564-1)*D564),EDATE(E564,(N564-1)*D564))-AsAt)/365.25)/2+O564*('Deal maths'!AA564-AsAt)/365.25)/I564),(S564-AsAt)/365.25)),0))</f>
        <v/>
      </c>
      <c r="Q564" s="109">
        <f>IF(B564=1,'Deal maths'!AA564+ROW()/1000000,"")</f>
        <v/>
      </c>
      <c r="R564" s="108">
        <f>IF(D564=0,0,IF(DAY(E564+1)=1,31,DAY(E564)))</f>
        <v/>
      </c>
      <c r="S564" s="109">
        <f>IF(AND('Deal maths'!V564="LOBO",'Deal maths'!AG564&gt;AsAt,'Deal maths'!AG564&lt;'Deal maths'!AA564),'Deal maths'!AG564,'Deal maths'!AA564)</f>
        <v/>
      </c>
      <c r="T564" s="108">
        <f>('Deal maths'!AA564&gt;AsAt)*('Deal maths'!Y564&gt;0)</f>
        <v/>
      </c>
    </row>
    <row r="565">
      <c r="A565" s="91">
        <f>IF('Deal maths'!V565="","",'Deal maths'!W565)</f>
        <v/>
      </c>
      <c r="B565" s="108">
        <f>('Deal maths'!AA565&gt;AsAt)*('Deal maths'!Y565&gt;0)*('Deal maths'!Z565&lt;=AsAt)</f>
        <v/>
      </c>
      <c r="C565" s="91">
        <f>IF('Deal maths'!V565="","",IF('Deal maths'!AC565="","Maturity",'Deal maths'!AC565))</f>
        <v/>
      </c>
      <c r="D565" s="108">
        <f>IF(OR(C565="EIP",C565="Annuity"),IF('Deal maths'!AD565="Annual",12,IF('Deal maths'!AD565="Quarterly",3,6)),0)</f>
        <v/>
      </c>
      <c r="E565" s="109">
        <f>IFERROR(IF(D565=0,0,IF('Deal maths'!AE565&gt;0,IF('Deal maths'!AE565&gt;'Deal maths'!AA565,'Deal maths'!AA565,'Deal maths'!AE565),IF(IF(DAY('Deal maths'!AA565+1)=1,EOMONTH('Deal maths'!AA565,-(INT(((YEAR('Deal maths'!AA565)-YEAR(IF('Deal maths'!Z565&gt;0,'Deal maths'!Z565,DATE(1990,1,1))))*12+MONTH('Deal maths'!AA565)-MONTH(IF('Deal maths'!Z565&gt;0,'Deal maths'!Z565,DATE(1990,1,1))))/D565))*D565),EDATE('Deal maths'!AA565,-(INT(((YEAR('Deal maths'!AA565)-YEAR(IF('Deal maths'!Z565&gt;0,'Deal maths'!Z565,DATE(1990,1,1))))*12+MONTH('Deal maths'!AA565)-MONTH(IF('Deal maths'!Z565&gt;0,'Deal maths'!Z565,DATE(1990,1,1))))/D565))*D565))&gt;IF('Deal maths'!Z565&gt;0,'Deal maths'!Z565,DATE(1990,1,1)),IF(DAY('Deal maths'!AA565+1)=1,EOMONTH('Deal maths'!AA565,-(INT(((YEAR('Deal maths'!AA565)-YEAR(IF('Deal maths'!Z565&gt;0,'Deal maths'!Z565,DATE(1990,1,1))))*12+MONTH('Deal maths'!AA565)-MONTH(IF('Deal maths'!Z565&gt;0,'Deal maths'!Z565,DATE(1990,1,1))))/D565))*D565),EDATE('Deal maths'!AA565,-(INT(((YEAR('Deal maths'!AA565)-YEAR(IF('Deal maths'!Z565&gt;0,'Deal maths'!Z565,DATE(1990,1,1))))*12+MONTH('Deal maths'!AA565)-MONTH(IF('Deal maths'!Z565&gt;0,'Deal maths'!Z565,DATE(1990,1,1))))/D565))*D565)),IF(DAY('Deal maths'!AA565+1)=1,EOMONTH('Deal maths'!AA565,-(INT(((YEAR('Deal maths'!AA565)-YEAR(IF('Deal maths'!Z565&gt;0,'Deal maths'!Z565,DATE(1990,1,1))))*12+MONTH('Deal maths'!AA565)-MONTH(IF('Deal maths'!Z565&gt;0,'Deal maths'!Z565,DATE(1990,1,1))))/D565)-1)*D565),EDATE('Deal maths'!AA565,-(INT(((YEAR('Deal maths'!AA565)-YEAR(IF('Deal maths'!Z565&gt;0,'Deal maths'!Z565,DATE(1990,1,1))))*12+MONTH('Deal maths'!AA565)-MONTH(IF('Deal maths'!Z565&gt;0,'Deal maths'!Z565,DATE(1990,1,1))))/D565)-1)*D565))))),0)</f>
        <v/>
      </c>
      <c r="F565" s="110">
        <f>IF(D565=0,0,'Deal maths'!AB565*D565/12)</f>
        <v/>
      </c>
      <c r="G565" s="108">
        <f>N565+O565</f>
        <v/>
      </c>
      <c r="H565" s="108">
        <f>IFERROR(IF(OR(D565=0,AsAt&lt;E565),0,MIN(N565,INT(((YEAR(AsAt)-YEAR(E565))*12+MONTH(AsAt)-MONTH(E565)-(DAY(AsAt)&lt;MIN(R565,DAY(EOMONTH(AsAt,0)))))/D565)+1)+O565*(AsAt&gt;='Deal maths'!AA565)),0)</f>
        <v/>
      </c>
      <c r="I565" s="108">
        <f>G565-H565</f>
        <v/>
      </c>
      <c r="J565" s="111">
        <f>IF(AND(C565="EIP",I565&gt;0),'Deal maths'!Y565/I565,0)</f>
        <v/>
      </c>
      <c r="K565" s="111">
        <f>IF(AND(C565="Annuity",I565&gt;0),IF(F565&gt;0,'Deal maths'!Y565*F565/(1-(1+F565)^-I565),'Deal maths'!Y565/I565),0)</f>
        <v/>
      </c>
      <c r="L565" s="111">
        <f>IF('Deal maths'!Y565="",0,'Deal maths'!Y565)</f>
        <v/>
      </c>
      <c r="M565" s="112">
        <f>F565+(F565=0)</f>
        <v/>
      </c>
      <c r="N565" s="108">
        <f>IFERROR(IF(D565=0,0,INT(((YEAR('Deal maths'!AA565)-YEAR(E565))*12+MONTH('Deal maths'!AA565)-MONTH(E565)-(DAY('Deal maths'!AA565)&lt;MIN(R565,DAY(EOMONTH('Deal maths'!AA565,0)))))/D565)+1),0)</f>
        <v/>
      </c>
      <c r="O565" s="108">
        <f>IFERROR(IF(D565=0,0,IF(IF(DAY(E565+1)=1,EOMONTH(E565,(N565-1)*D565),EDATE(E565,(N565-1)*D565))='Deal maths'!AA565,0,1)),0)</f>
        <v/>
      </c>
      <c r="P565" s="113">
        <f>IF(B565=0,0,IFERROR(IF(C565="EIP",((I565-O565)*((IF(DAY(E565+1)=1,EOMONTH(E565,H565*D565),EDATE(E565,H565*D565))-AsAt)/365.25+(IF(DAY(E565+1)=1,EOMONTH(E565,(N565-1)*D565),EDATE(E565,(N565-1)*D565))-AsAt)/365.25)/2+O565*('Deal maths'!AA565-AsAt)/365.25)/I565,IF(C565="Annuity",IF(F565&gt;0,((K565-L565*F565)*((IF(DAY(E565+1)=1,EOMONTH(E565,H565*D565),EDATE(E565,H565*D565))-AsAt)/365.25*((1+F565)^(I565-O565)-1)/F565+IF((I565-O565)&gt;1,((IF(DAY(E565+1)=1,EOMONTH(E565,(N565-1)*D565),EDATE(E565,(N565-1)*D565))-AsAt)/365.25-(IF(DAY(E565+1)=1,EOMONTH(E565,H565*D565),EDATE(E565,H565*D565))-AsAt)/365.25)/((I565-O565)-1),0)*(1+F565)*(1-(I565-O565)*(1+F565)^((I565-O565)-1)+((I565-O565)-1)*(1+F565)^(I565-O565))/F565^2)+O565*(K565-L565*F565)*(1+F565)^(I565-1)*('Deal maths'!AA565-AsAt)/365.25)/L565,((I565-O565)*((IF(DAY(E565+1)=1,EOMONTH(E565,H565*D565),EDATE(E565,H565*D565))-AsAt)/365.25+(IF(DAY(E565+1)=1,EOMONTH(E565,(N565-1)*D565),EDATE(E565,(N565-1)*D565))-AsAt)/365.25)/2+O565*('Deal maths'!AA565-AsAt)/365.25)/I565),(S565-AsAt)/365.25)),0))</f>
        <v/>
      </c>
      <c r="Q565" s="109">
        <f>IF(B565=1,'Deal maths'!AA565+ROW()/1000000,"")</f>
        <v/>
      </c>
      <c r="R565" s="108">
        <f>IF(D565=0,0,IF(DAY(E565+1)=1,31,DAY(E565)))</f>
        <v/>
      </c>
      <c r="S565" s="109">
        <f>IF(AND('Deal maths'!V565="LOBO",'Deal maths'!AG565&gt;AsAt,'Deal maths'!AG565&lt;'Deal maths'!AA565),'Deal maths'!AG565,'Deal maths'!AA565)</f>
        <v/>
      </c>
      <c r="T565" s="108">
        <f>('Deal maths'!AA565&gt;AsAt)*('Deal maths'!Y565&gt;0)</f>
        <v/>
      </c>
    </row>
    <row r="566">
      <c r="A566" s="91">
        <f>IF('Deal maths'!V566="","",'Deal maths'!W566)</f>
        <v/>
      </c>
      <c r="B566" s="108">
        <f>('Deal maths'!AA566&gt;AsAt)*('Deal maths'!Y566&gt;0)*('Deal maths'!Z566&lt;=AsAt)</f>
        <v/>
      </c>
      <c r="C566" s="91">
        <f>IF('Deal maths'!V566="","",IF('Deal maths'!AC566="","Maturity",'Deal maths'!AC566))</f>
        <v/>
      </c>
      <c r="D566" s="108">
        <f>IF(OR(C566="EIP",C566="Annuity"),IF('Deal maths'!AD566="Annual",12,IF('Deal maths'!AD566="Quarterly",3,6)),0)</f>
        <v/>
      </c>
      <c r="E566" s="109">
        <f>IFERROR(IF(D566=0,0,IF('Deal maths'!AE566&gt;0,IF('Deal maths'!AE566&gt;'Deal maths'!AA566,'Deal maths'!AA566,'Deal maths'!AE566),IF(IF(DAY('Deal maths'!AA566+1)=1,EOMONTH('Deal maths'!AA566,-(INT(((YEAR('Deal maths'!AA566)-YEAR(IF('Deal maths'!Z566&gt;0,'Deal maths'!Z566,DATE(1990,1,1))))*12+MONTH('Deal maths'!AA566)-MONTH(IF('Deal maths'!Z566&gt;0,'Deal maths'!Z566,DATE(1990,1,1))))/D566))*D566),EDATE('Deal maths'!AA566,-(INT(((YEAR('Deal maths'!AA566)-YEAR(IF('Deal maths'!Z566&gt;0,'Deal maths'!Z566,DATE(1990,1,1))))*12+MONTH('Deal maths'!AA566)-MONTH(IF('Deal maths'!Z566&gt;0,'Deal maths'!Z566,DATE(1990,1,1))))/D566))*D566))&gt;IF('Deal maths'!Z566&gt;0,'Deal maths'!Z566,DATE(1990,1,1)),IF(DAY('Deal maths'!AA566+1)=1,EOMONTH('Deal maths'!AA566,-(INT(((YEAR('Deal maths'!AA566)-YEAR(IF('Deal maths'!Z566&gt;0,'Deal maths'!Z566,DATE(1990,1,1))))*12+MONTH('Deal maths'!AA566)-MONTH(IF('Deal maths'!Z566&gt;0,'Deal maths'!Z566,DATE(1990,1,1))))/D566))*D566),EDATE('Deal maths'!AA566,-(INT(((YEAR('Deal maths'!AA566)-YEAR(IF('Deal maths'!Z566&gt;0,'Deal maths'!Z566,DATE(1990,1,1))))*12+MONTH('Deal maths'!AA566)-MONTH(IF('Deal maths'!Z566&gt;0,'Deal maths'!Z566,DATE(1990,1,1))))/D566))*D566)),IF(DAY('Deal maths'!AA566+1)=1,EOMONTH('Deal maths'!AA566,-(INT(((YEAR('Deal maths'!AA566)-YEAR(IF('Deal maths'!Z566&gt;0,'Deal maths'!Z566,DATE(1990,1,1))))*12+MONTH('Deal maths'!AA566)-MONTH(IF('Deal maths'!Z566&gt;0,'Deal maths'!Z566,DATE(1990,1,1))))/D566)-1)*D566),EDATE('Deal maths'!AA566,-(INT(((YEAR('Deal maths'!AA566)-YEAR(IF('Deal maths'!Z566&gt;0,'Deal maths'!Z566,DATE(1990,1,1))))*12+MONTH('Deal maths'!AA566)-MONTH(IF('Deal maths'!Z566&gt;0,'Deal maths'!Z566,DATE(1990,1,1))))/D566)-1)*D566))))),0)</f>
        <v/>
      </c>
      <c r="F566" s="110">
        <f>IF(D566=0,0,'Deal maths'!AB566*D566/12)</f>
        <v/>
      </c>
      <c r="G566" s="108">
        <f>N566+O566</f>
        <v/>
      </c>
      <c r="H566" s="108">
        <f>IFERROR(IF(OR(D566=0,AsAt&lt;E566),0,MIN(N566,INT(((YEAR(AsAt)-YEAR(E566))*12+MONTH(AsAt)-MONTH(E566)-(DAY(AsAt)&lt;MIN(R566,DAY(EOMONTH(AsAt,0)))))/D566)+1)+O566*(AsAt&gt;='Deal maths'!AA566)),0)</f>
        <v/>
      </c>
      <c r="I566" s="108">
        <f>G566-H566</f>
        <v/>
      </c>
      <c r="J566" s="111">
        <f>IF(AND(C566="EIP",I566&gt;0),'Deal maths'!Y566/I566,0)</f>
        <v/>
      </c>
      <c r="K566" s="111">
        <f>IF(AND(C566="Annuity",I566&gt;0),IF(F566&gt;0,'Deal maths'!Y566*F566/(1-(1+F566)^-I566),'Deal maths'!Y566/I566),0)</f>
        <v/>
      </c>
      <c r="L566" s="111">
        <f>IF('Deal maths'!Y566="",0,'Deal maths'!Y566)</f>
        <v/>
      </c>
      <c r="M566" s="112">
        <f>F566+(F566=0)</f>
        <v/>
      </c>
      <c r="N566" s="108">
        <f>IFERROR(IF(D566=0,0,INT(((YEAR('Deal maths'!AA566)-YEAR(E566))*12+MONTH('Deal maths'!AA566)-MONTH(E566)-(DAY('Deal maths'!AA566)&lt;MIN(R566,DAY(EOMONTH('Deal maths'!AA566,0)))))/D566)+1),0)</f>
        <v/>
      </c>
      <c r="O566" s="108">
        <f>IFERROR(IF(D566=0,0,IF(IF(DAY(E566+1)=1,EOMONTH(E566,(N566-1)*D566),EDATE(E566,(N566-1)*D566))='Deal maths'!AA566,0,1)),0)</f>
        <v/>
      </c>
      <c r="P566" s="113">
        <f>IF(B566=0,0,IFERROR(IF(C566="EIP",((I566-O566)*((IF(DAY(E566+1)=1,EOMONTH(E566,H566*D566),EDATE(E566,H566*D566))-AsAt)/365.25+(IF(DAY(E566+1)=1,EOMONTH(E566,(N566-1)*D566),EDATE(E566,(N566-1)*D566))-AsAt)/365.25)/2+O566*('Deal maths'!AA566-AsAt)/365.25)/I566,IF(C566="Annuity",IF(F566&gt;0,((K566-L566*F566)*((IF(DAY(E566+1)=1,EOMONTH(E566,H566*D566),EDATE(E566,H566*D566))-AsAt)/365.25*((1+F566)^(I566-O566)-1)/F566+IF((I566-O566)&gt;1,((IF(DAY(E566+1)=1,EOMONTH(E566,(N566-1)*D566),EDATE(E566,(N566-1)*D566))-AsAt)/365.25-(IF(DAY(E566+1)=1,EOMONTH(E566,H566*D566),EDATE(E566,H566*D566))-AsAt)/365.25)/((I566-O566)-1),0)*(1+F566)*(1-(I566-O566)*(1+F566)^((I566-O566)-1)+((I566-O566)-1)*(1+F566)^(I566-O566))/F566^2)+O566*(K566-L566*F566)*(1+F566)^(I566-1)*('Deal maths'!AA566-AsAt)/365.25)/L566,((I566-O566)*((IF(DAY(E566+1)=1,EOMONTH(E566,H566*D566),EDATE(E566,H566*D566))-AsAt)/365.25+(IF(DAY(E566+1)=1,EOMONTH(E566,(N566-1)*D566),EDATE(E566,(N566-1)*D566))-AsAt)/365.25)/2+O566*('Deal maths'!AA566-AsAt)/365.25)/I566),(S566-AsAt)/365.25)),0))</f>
        <v/>
      </c>
      <c r="Q566" s="109">
        <f>IF(B566=1,'Deal maths'!AA566+ROW()/1000000,"")</f>
        <v/>
      </c>
      <c r="R566" s="108">
        <f>IF(D566=0,0,IF(DAY(E566+1)=1,31,DAY(E566)))</f>
        <v/>
      </c>
      <c r="S566" s="109">
        <f>IF(AND('Deal maths'!V566="LOBO",'Deal maths'!AG566&gt;AsAt,'Deal maths'!AG566&lt;'Deal maths'!AA566),'Deal maths'!AG566,'Deal maths'!AA566)</f>
        <v/>
      </c>
      <c r="T566" s="108">
        <f>('Deal maths'!AA566&gt;AsAt)*('Deal maths'!Y566&gt;0)</f>
        <v/>
      </c>
    </row>
    <row r="567">
      <c r="A567" s="91">
        <f>IF('Deal maths'!V567="","",'Deal maths'!W567)</f>
        <v/>
      </c>
      <c r="B567" s="108">
        <f>('Deal maths'!AA567&gt;AsAt)*('Deal maths'!Y567&gt;0)*('Deal maths'!Z567&lt;=AsAt)</f>
        <v/>
      </c>
      <c r="C567" s="91">
        <f>IF('Deal maths'!V567="","",IF('Deal maths'!AC567="","Maturity",'Deal maths'!AC567))</f>
        <v/>
      </c>
      <c r="D567" s="108">
        <f>IF(OR(C567="EIP",C567="Annuity"),IF('Deal maths'!AD567="Annual",12,IF('Deal maths'!AD567="Quarterly",3,6)),0)</f>
        <v/>
      </c>
      <c r="E567" s="109">
        <f>IFERROR(IF(D567=0,0,IF('Deal maths'!AE567&gt;0,IF('Deal maths'!AE567&gt;'Deal maths'!AA567,'Deal maths'!AA567,'Deal maths'!AE567),IF(IF(DAY('Deal maths'!AA567+1)=1,EOMONTH('Deal maths'!AA567,-(INT(((YEAR('Deal maths'!AA567)-YEAR(IF('Deal maths'!Z567&gt;0,'Deal maths'!Z567,DATE(1990,1,1))))*12+MONTH('Deal maths'!AA567)-MONTH(IF('Deal maths'!Z567&gt;0,'Deal maths'!Z567,DATE(1990,1,1))))/D567))*D567),EDATE('Deal maths'!AA567,-(INT(((YEAR('Deal maths'!AA567)-YEAR(IF('Deal maths'!Z567&gt;0,'Deal maths'!Z567,DATE(1990,1,1))))*12+MONTH('Deal maths'!AA567)-MONTH(IF('Deal maths'!Z567&gt;0,'Deal maths'!Z567,DATE(1990,1,1))))/D567))*D567))&gt;IF('Deal maths'!Z567&gt;0,'Deal maths'!Z567,DATE(1990,1,1)),IF(DAY('Deal maths'!AA567+1)=1,EOMONTH('Deal maths'!AA567,-(INT(((YEAR('Deal maths'!AA567)-YEAR(IF('Deal maths'!Z567&gt;0,'Deal maths'!Z567,DATE(1990,1,1))))*12+MONTH('Deal maths'!AA567)-MONTH(IF('Deal maths'!Z567&gt;0,'Deal maths'!Z567,DATE(1990,1,1))))/D567))*D567),EDATE('Deal maths'!AA567,-(INT(((YEAR('Deal maths'!AA567)-YEAR(IF('Deal maths'!Z567&gt;0,'Deal maths'!Z567,DATE(1990,1,1))))*12+MONTH('Deal maths'!AA567)-MONTH(IF('Deal maths'!Z567&gt;0,'Deal maths'!Z567,DATE(1990,1,1))))/D567))*D567)),IF(DAY('Deal maths'!AA567+1)=1,EOMONTH('Deal maths'!AA567,-(INT(((YEAR('Deal maths'!AA567)-YEAR(IF('Deal maths'!Z567&gt;0,'Deal maths'!Z567,DATE(1990,1,1))))*12+MONTH('Deal maths'!AA567)-MONTH(IF('Deal maths'!Z567&gt;0,'Deal maths'!Z567,DATE(1990,1,1))))/D567)-1)*D567),EDATE('Deal maths'!AA567,-(INT(((YEAR('Deal maths'!AA567)-YEAR(IF('Deal maths'!Z567&gt;0,'Deal maths'!Z567,DATE(1990,1,1))))*12+MONTH('Deal maths'!AA567)-MONTH(IF('Deal maths'!Z567&gt;0,'Deal maths'!Z567,DATE(1990,1,1))))/D567)-1)*D567))))),0)</f>
        <v/>
      </c>
      <c r="F567" s="110">
        <f>IF(D567=0,0,'Deal maths'!AB567*D567/12)</f>
        <v/>
      </c>
      <c r="G567" s="108">
        <f>N567+O567</f>
        <v/>
      </c>
      <c r="H567" s="108">
        <f>IFERROR(IF(OR(D567=0,AsAt&lt;E567),0,MIN(N567,INT(((YEAR(AsAt)-YEAR(E567))*12+MONTH(AsAt)-MONTH(E567)-(DAY(AsAt)&lt;MIN(R567,DAY(EOMONTH(AsAt,0)))))/D567)+1)+O567*(AsAt&gt;='Deal maths'!AA567)),0)</f>
        <v/>
      </c>
      <c r="I567" s="108">
        <f>G567-H567</f>
        <v/>
      </c>
      <c r="J567" s="111">
        <f>IF(AND(C567="EIP",I567&gt;0),'Deal maths'!Y567/I567,0)</f>
        <v/>
      </c>
      <c r="K567" s="111">
        <f>IF(AND(C567="Annuity",I567&gt;0),IF(F567&gt;0,'Deal maths'!Y567*F567/(1-(1+F567)^-I567),'Deal maths'!Y567/I567),0)</f>
        <v/>
      </c>
      <c r="L567" s="111">
        <f>IF('Deal maths'!Y567="",0,'Deal maths'!Y567)</f>
        <v/>
      </c>
      <c r="M567" s="112">
        <f>F567+(F567=0)</f>
        <v/>
      </c>
      <c r="N567" s="108">
        <f>IFERROR(IF(D567=0,0,INT(((YEAR('Deal maths'!AA567)-YEAR(E567))*12+MONTH('Deal maths'!AA567)-MONTH(E567)-(DAY('Deal maths'!AA567)&lt;MIN(R567,DAY(EOMONTH('Deal maths'!AA567,0)))))/D567)+1),0)</f>
        <v/>
      </c>
      <c r="O567" s="108">
        <f>IFERROR(IF(D567=0,0,IF(IF(DAY(E567+1)=1,EOMONTH(E567,(N567-1)*D567),EDATE(E567,(N567-1)*D567))='Deal maths'!AA567,0,1)),0)</f>
        <v/>
      </c>
      <c r="P567" s="113">
        <f>IF(B567=0,0,IFERROR(IF(C567="EIP",((I567-O567)*((IF(DAY(E567+1)=1,EOMONTH(E567,H567*D567),EDATE(E567,H567*D567))-AsAt)/365.25+(IF(DAY(E567+1)=1,EOMONTH(E567,(N567-1)*D567),EDATE(E567,(N567-1)*D567))-AsAt)/365.25)/2+O567*('Deal maths'!AA567-AsAt)/365.25)/I567,IF(C567="Annuity",IF(F567&gt;0,((K567-L567*F567)*((IF(DAY(E567+1)=1,EOMONTH(E567,H567*D567),EDATE(E567,H567*D567))-AsAt)/365.25*((1+F567)^(I567-O567)-1)/F567+IF((I567-O567)&gt;1,((IF(DAY(E567+1)=1,EOMONTH(E567,(N567-1)*D567),EDATE(E567,(N567-1)*D567))-AsAt)/365.25-(IF(DAY(E567+1)=1,EOMONTH(E567,H567*D567),EDATE(E567,H567*D567))-AsAt)/365.25)/((I567-O567)-1),0)*(1+F567)*(1-(I567-O567)*(1+F567)^((I567-O567)-1)+((I567-O567)-1)*(1+F567)^(I567-O567))/F567^2)+O567*(K567-L567*F567)*(1+F567)^(I567-1)*('Deal maths'!AA567-AsAt)/365.25)/L567,((I567-O567)*((IF(DAY(E567+1)=1,EOMONTH(E567,H567*D567),EDATE(E567,H567*D567))-AsAt)/365.25+(IF(DAY(E567+1)=1,EOMONTH(E567,(N567-1)*D567),EDATE(E567,(N567-1)*D567))-AsAt)/365.25)/2+O567*('Deal maths'!AA567-AsAt)/365.25)/I567),(S567-AsAt)/365.25)),0))</f>
        <v/>
      </c>
      <c r="Q567" s="109">
        <f>IF(B567=1,'Deal maths'!AA567+ROW()/1000000,"")</f>
        <v/>
      </c>
      <c r="R567" s="108">
        <f>IF(D567=0,0,IF(DAY(E567+1)=1,31,DAY(E567)))</f>
        <v/>
      </c>
      <c r="S567" s="109">
        <f>IF(AND('Deal maths'!V567="LOBO",'Deal maths'!AG567&gt;AsAt,'Deal maths'!AG567&lt;'Deal maths'!AA567),'Deal maths'!AG567,'Deal maths'!AA567)</f>
        <v/>
      </c>
      <c r="T567" s="108">
        <f>('Deal maths'!AA567&gt;AsAt)*('Deal maths'!Y567&gt;0)</f>
        <v/>
      </c>
    </row>
    <row r="568">
      <c r="A568" s="91">
        <f>IF('Deal maths'!V568="","",'Deal maths'!W568)</f>
        <v/>
      </c>
      <c r="B568" s="108">
        <f>('Deal maths'!AA568&gt;AsAt)*('Deal maths'!Y568&gt;0)*('Deal maths'!Z568&lt;=AsAt)</f>
        <v/>
      </c>
      <c r="C568" s="91">
        <f>IF('Deal maths'!V568="","",IF('Deal maths'!AC568="","Maturity",'Deal maths'!AC568))</f>
        <v/>
      </c>
      <c r="D568" s="108">
        <f>IF(OR(C568="EIP",C568="Annuity"),IF('Deal maths'!AD568="Annual",12,IF('Deal maths'!AD568="Quarterly",3,6)),0)</f>
        <v/>
      </c>
      <c r="E568" s="109">
        <f>IFERROR(IF(D568=0,0,IF('Deal maths'!AE568&gt;0,IF('Deal maths'!AE568&gt;'Deal maths'!AA568,'Deal maths'!AA568,'Deal maths'!AE568),IF(IF(DAY('Deal maths'!AA568+1)=1,EOMONTH('Deal maths'!AA568,-(INT(((YEAR('Deal maths'!AA568)-YEAR(IF('Deal maths'!Z568&gt;0,'Deal maths'!Z568,DATE(1990,1,1))))*12+MONTH('Deal maths'!AA568)-MONTH(IF('Deal maths'!Z568&gt;0,'Deal maths'!Z568,DATE(1990,1,1))))/D568))*D568),EDATE('Deal maths'!AA568,-(INT(((YEAR('Deal maths'!AA568)-YEAR(IF('Deal maths'!Z568&gt;0,'Deal maths'!Z568,DATE(1990,1,1))))*12+MONTH('Deal maths'!AA568)-MONTH(IF('Deal maths'!Z568&gt;0,'Deal maths'!Z568,DATE(1990,1,1))))/D568))*D568))&gt;IF('Deal maths'!Z568&gt;0,'Deal maths'!Z568,DATE(1990,1,1)),IF(DAY('Deal maths'!AA568+1)=1,EOMONTH('Deal maths'!AA568,-(INT(((YEAR('Deal maths'!AA568)-YEAR(IF('Deal maths'!Z568&gt;0,'Deal maths'!Z568,DATE(1990,1,1))))*12+MONTH('Deal maths'!AA568)-MONTH(IF('Deal maths'!Z568&gt;0,'Deal maths'!Z568,DATE(1990,1,1))))/D568))*D568),EDATE('Deal maths'!AA568,-(INT(((YEAR('Deal maths'!AA568)-YEAR(IF('Deal maths'!Z568&gt;0,'Deal maths'!Z568,DATE(1990,1,1))))*12+MONTH('Deal maths'!AA568)-MONTH(IF('Deal maths'!Z568&gt;0,'Deal maths'!Z568,DATE(1990,1,1))))/D568))*D568)),IF(DAY('Deal maths'!AA568+1)=1,EOMONTH('Deal maths'!AA568,-(INT(((YEAR('Deal maths'!AA568)-YEAR(IF('Deal maths'!Z568&gt;0,'Deal maths'!Z568,DATE(1990,1,1))))*12+MONTH('Deal maths'!AA568)-MONTH(IF('Deal maths'!Z568&gt;0,'Deal maths'!Z568,DATE(1990,1,1))))/D568)-1)*D568),EDATE('Deal maths'!AA568,-(INT(((YEAR('Deal maths'!AA568)-YEAR(IF('Deal maths'!Z568&gt;0,'Deal maths'!Z568,DATE(1990,1,1))))*12+MONTH('Deal maths'!AA568)-MONTH(IF('Deal maths'!Z568&gt;0,'Deal maths'!Z568,DATE(1990,1,1))))/D568)-1)*D568))))),0)</f>
        <v/>
      </c>
      <c r="F568" s="110">
        <f>IF(D568=0,0,'Deal maths'!AB568*D568/12)</f>
        <v/>
      </c>
      <c r="G568" s="108">
        <f>N568+O568</f>
        <v/>
      </c>
      <c r="H568" s="108">
        <f>IFERROR(IF(OR(D568=0,AsAt&lt;E568),0,MIN(N568,INT(((YEAR(AsAt)-YEAR(E568))*12+MONTH(AsAt)-MONTH(E568)-(DAY(AsAt)&lt;MIN(R568,DAY(EOMONTH(AsAt,0)))))/D568)+1)+O568*(AsAt&gt;='Deal maths'!AA568)),0)</f>
        <v/>
      </c>
      <c r="I568" s="108">
        <f>G568-H568</f>
        <v/>
      </c>
      <c r="J568" s="111">
        <f>IF(AND(C568="EIP",I568&gt;0),'Deal maths'!Y568/I568,0)</f>
        <v/>
      </c>
      <c r="K568" s="111">
        <f>IF(AND(C568="Annuity",I568&gt;0),IF(F568&gt;0,'Deal maths'!Y568*F568/(1-(1+F568)^-I568),'Deal maths'!Y568/I568),0)</f>
        <v/>
      </c>
      <c r="L568" s="111">
        <f>IF('Deal maths'!Y568="",0,'Deal maths'!Y568)</f>
        <v/>
      </c>
      <c r="M568" s="112">
        <f>F568+(F568=0)</f>
        <v/>
      </c>
      <c r="N568" s="108">
        <f>IFERROR(IF(D568=0,0,INT(((YEAR('Deal maths'!AA568)-YEAR(E568))*12+MONTH('Deal maths'!AA568)-MONTH(E568)-(DAY('Deal maths'!AA568)&lt;MIN(R568,DAY(EOMONTH('Deal maths'!AA568,0)))))/D568)+1),0)</f>
        <v/>
      </c>
      <c r="O568" s="108">
        <f>IFERROR(IF(D568=0,0,IF(IF(DAY(E568+1)=1,EOMONTH(E568,(N568-1)*D568),EDATE(E568,(N568-1)*D568))='Deal maths'!AA568,0,1)),0)</f>
        <v/>
      </c>
      <c r="P568" s="113">
        <f>IF(B568=0,0,IFERROR(IF(C568="EIP",((I568-O568)*((IF(DAY(E568+1)=1,EOMONTH(E568,H568*D568),EDATE(E568,H568*D568))-AsAt)/365.25+(IF(DAY(E568+1)=1,EOMONTH(E568,(N568-1)*D568),EDATE(E568,(N568-1)*D568))-AsAt)/365.25)/2+O568*('Deal maths'!AA568-AsAt)/365.25)/I568,IF(C568="Annuity",IF(F568&gt;0,((K568-L568*F568)*((IF(DAY(E568+1)=1,EOMONTH(E568,H568*D568),EDATE(E568,H568*D568))-AsAt)/365.25*((1+F568)^(I568-O568)-1)/F568+IF((I568-O568)&gt;1,((IF(DAY(E568+1)=1,EOMONTH(E568,(N568-1)*D568),EDATE(E568,(N568-1)*D568))-AsAt)/365.25-(IF(DAY(E568+1)=1,EOMONTH(E568,H568*D568),EDATE(E568,H568*D568))-AsAt)/365.25)/((I568-O568)-1),0)*(1+F568)*(1-(I568-O568)*(1+F568)^((I568-O568)-1)+((I568-O568)-1)*(1+F568)^(I568-O568))/F568^2)+O568*(K568-L568*F568)*(1+F568)^(I568-1)*('Deal maths'!AA568-AsAt)/365.25)/L568,((I568-O568)*((IF(DAY(E568+1)=1,EOMONTH(E568,H568*D568),EDATE(E568,H568*D568))-AsAt)/365.25+(IF(DAY(E568+1)=1,EOMONTH(E568,(N568-1)*D568),EDATE(E568,(N568-1)*D568))-AsAt)/365.25)/2+O568*('Deal maths'!AA568-AsAt)/365.25)/I568),(S568-AsAt)/365.25)),0))</f>
        <v/>
      </c>
      <c r="Q568" s="109">
        <f>IF(B568=1,'Deal maths'!AA568+ROW()/1000000,"")</f>
        <v/>
      </c>
      <c r="R568" s="108">
        <f>IF(D568=0,0,IF(DAY(E568+1)=1,31,DAY(E568)))</f>
        <v/>
      </c>
      <c r="S568" s="109">
        <f>IF(AND('Deal maths'!V568="LOBO",'Deal maths'!AG568&gt;AsAt,'Deal maths'!AG568&lt;'Deal maths'!AA568),'Deal maths'!AG568,'Deal maths'!AA568)</f>
        <v/>
      </c>
      <c r="T568" s="108">
        <f>('Deal maths'!AA568&gt;AsAt)*('Deal maths'!Y568&gt;0)</f>
        <v/>
      </c>
    </row>
    <row r="569">
      <c r="A569" s="91">
        <f>IF('Deal maths'!V569="","",'Deal maths'!W569)</f>
        <v/>
      </c>
      <c r="B569" s="108">
        <f>('Deal maths'!AA569&gt;AsAt)*('Deal maths'!Y569&gt;0)*('Deal maths'!Z569&lt;=AsAt)</f>
        <v/>
      </c>
      <c r="C569" s="91">
        <f>IF('Deal maths'!V569="","",IF('Deal maths'!AC569="","Maturity",'Deal maths'!AC569))</f>
        <v/>
      </c>
      <c r="D569" s="108">
        <f>IF(OR(C569="EIP",C569="Annuity"),IF('Deal maths'!AD569="Annual",12,IF('Deal maths'!AD569="Quarterly",3,6)),0)</f>
        <v/>
      </c>
      <c r="E569" s="109">
        <f>IFERROR(IF(D569=0,0,IF('Deal maths'!AE569&gt;0,IF('Deal maths'!AE569&gt;'Deal maths'!AA569,'Deal maths'!AA569,'Deal maths'!AE569),IF(IF(DAY('Deal maths'!AA569+1)=1,EOMONTH('Deal maths'!AA569,-(INT(((YEAR('Deal maths'!AA569)-YEAR(IF('Deal maths'!Z569&gt;0,'Deal maths'!Z569,DATE(1990,1,1))))*12+MONTH('Deal maths'!AA569)-MONTH(IF('Deal maths'!Z569&gt;0,'Deal maths'!Z569,DATE(1990,1,1))))/D569))*D569),EDATE('Deal maths'!AA569,-(INT(((YEAR('Deal maths'!AA569)-YEAR(IF('Deal maths'!Z569&gt;0,'Deal maths'!Z569,DATE(1990,1,1))))*12+MONTH('Deal maths'!AA569)-MONTH(IF('Deal maths'!Z569&gt;0,'Deal maths'!Z569,DATE(1990,1,1))))/D569))*D569))&gt;IF('Deal maths'!Z569&gt;0,'Deal maths'!Z569,DATE(1990,1,1)),IF(DAY('Deal maths'!AA569+1)=1,EOMONTH('Deal maths'!AA569,-(INT(((YEAR('Deal maths'!AA569)-YEAR(IF('Deal maths'!Z569&gt;0,'Deal maths'!Z569,DATE(1990,1,1))))*12+MONTH('Deal maths'!AA569)-MONTH(IF('Deal maths'!Z569&gt;0,'Deal maths'!Z569,DATE(1990,1,1))))/D569))*D569),EDATE('Deal maths'!AA569,-(INT(((YEAR('Deal maths'!AA569)-YEAR(IF('Deal maths'!Z569&gt;0,'Deal maths'!Z569,DATE(1990,1,1))))*12+MONTH('Deal maths'!AA569)-MONTH(IF('Deal maths'!Z569&gt;0,'Deal maths'!Z569,DATE(1990,1,1))))/D569))*D569)),IF(DAY('Deal maths'!AA569+1)=1,EOMONTH('Deal maths'!AA569,-(INT(((YEAR('Deal maths'!AA569)-YEAR(IF('Deal maths'!Z569&gt;0,'Deal maths'!Z569,DATE(1990,1,1))))*12+MONTH('Deal maths'!AA569)-MONTH(IF('Deal maths'!Z569&gt;0,'Deal maths'!Z569,DATE(1990,1,1))))/D569)-1)*D569),EDATE('Deal maths'!AA569,-(INT(((YEAR('Deal maths'!AA569)-YEAR(IF('Deal maths'!Z569&gt;0,'Deal maths'!Z569,DATE(1990,1,1))))*12+MONTH('Deal maths'!AA569)-MONTH(IF('Deal maths'!Z569&gt;0,'Deal maths'!Z569,DATE(1990,1,1))))/D569)-1)*D569))))),0)</f>
        <v/>
      </c>
      <c r="F569" s="110">
        <f>IF(D569=0,0,'Deal maths'!AB569*D569/12)</f>
        <v/>
      </c>
      <c r="G569" s="108">
        <f>N569+O569</f>
        <v/>
      </c>
      <c r="H569" s="108">
        <f>IFERROR(IF(OR(D569=0,AsAt&lt;E569),0,MIN(N569,INT(((YEAR(AsAt)-YEAR(E569))*12+MONTH(AsAt)-MONTH(E569)-(DAY(AsAt)&lt;MIN(R569,DAY(EOMONTH(AsAt,0)))))/D569)+1)+O569*(AsAt&gt;='Deal maths'!AA569)),0)</f>
        <v/>
      </c>
      <c r="I569" s="108">
        <f>G569-H569</f>
        <v/>
      </c>
      <c r="J569" s="111">
        <f>IF(AND(C569="EIP",I569&gt;0),'Deal maths'!Y569/I569,0)</f>
        <v/>
      </c>
      <c r="K569" s="111">
        <f>IF(AND(C569="Annuity",I569&gt;0),IF(F569&gt;0,'Deal maths'!Y569*F569/(1-(1+F569)^-I569),'Deal maths'!Y569/I569),0)</f>
        <v/>
      </c>
      <c r="L569" s="111">
        <f>IF('Deal maths'!Y569="",0,'Deal maths'!Y569)</f>
        <v/>
      </c>
      <c r="M569" s="112">
        <f>F569+(F569=0)</f>
        <v/>
      </c>
      <c r="N569" s="108">
        <f>IFERROR(IF(D569=0,0,INT(((YEAR('Deal maths'!AA569)-YEAR(E569))*12+MONTH('Deal maths'!AA569)-MONTH(E569)-(DAY('Deal maths'!AA569)&lt;MIN(R569,DAY(EOMONTH('Deal maths'!AA569,0)))))/D569)+1),0)</f>
        <v/>
      </c>
      <c r="O569" s="108">
        <f>IFERROR(IF(D569=0,0,IF(IF(DAY(E569+1)=1,EOMONTH(E569,(N569-1)*D569),EDATE(E569,(N569-1)*D569))='Deal maths'!AA569,0,1)),0)</f>
        <v/>
      </c>
      <c r="P569" s="113">
        <f>IF(B569=0,0,IFERROR(IF(C569="EIP",((I569-O569)*((IF(DAY(E569+1)=1,EOMONTH(E569,H569*D569),EDATE(E569,H569*D569))-AsAt)/365.25+(IF(DAY(E569+1)=1,EOMONTH(E569,(N569-1)*D569),EDATE(E569,(N569-1)*D569))-AsAt)/365.25)/2+O569*('Deal maths'!AA569-AsAt)/365.25)/I569,IF(C569="Annuity",IF(F569&gt;0,((K569-L569*F569)*((IF(DAY(E569+1)=1,EOMONTH(E569,H569*D569),EDATE(E569,H569*D569))-AsAt)/365.25*((1+F569)^(I569-O569)-1)/F569+IF((I569-O569)&gt;1,((IF(DAY(E569+1)=1,EOMONTH(E569,(N569-1)*D569),EDATE(E569,(N569-1)*D569))-AsAt)/365.25-(IF(DAY(E569+1)=1,EOMONTH(E569,H569*D569),EDATE(E569,H569*D569))-AsAt)/365.25)/((I569-O569)-1),0)*(1+F569)*(1-(I569-O569)*(1+F569)^((I569-O569)-1)+((I569-O569)-1)*(1+F569)^(I569-O569))/F569^2)+O569*(K569-L569*F569)*(1+F569)^(I569-1)*('Deal maths'!AA569-AsAt)/365.25)/L569,((I569-O569)*((IF(DAY(E569+1)=1,EOMONTH(E569,H569*D569),EDATE(E569,H569*D569))-AsAt)/365.25+(IF(DAY(E569+1)=1,EOMONTH(E569,(N569-1)*D569),EDATE(E569,(N569-1)*D569))-AsAt)/365.25)/2+O569*('Deal maths'!AA569-AsAt)/365.25)/I569),(S569-AsAt)/365.25)),0))</f>
        <v/>
      </c>
      <c r="Q569" s="109">
        <f>IF(B569=1,'Deal maths'!AA569+ROW()/1000000,"")</f>
        <v/>
      </c>
      <c r="R569" s="108">
        <f>IF(D569=0,0,IF(DAY(E569+1)=1,31,DAY(E569)))</f>
        <v/>
      </c>
      <c r="S569" s="109">
        <f>IF(AND('Deal maths'!V569="LOBO",'Deal maths'!AG569&gt;AsAt,'Deal maths'!AG569&lt;'Deal maths'!AA569),'Deal maths'!AG569,'Deal maths'!AA569)</f>
        <v/>
      </c>
      <c r="T569" s="108">
        <f>('Deal maths'!AA569&gt;AsAt)*('Deal maths'!Y569&gt;0)</f>
        <v/>
      </c>
    </row>
    <row r="570">
      <c r="A570" s="91">
        <f>IF('Deal maths'!V570="","",'Deal maths'!W570)</f>
        <v/>
      </c>
      <c r="B570" s="108">
        <f>('Deal maths'!AA570&gt;AsAt)*('Deal maths'!Y570&gt;0)*('Deal maths'!Z570&lt;=AsAt)</f>
        <v/>
      </c>
      <c r="C570" s="91">
        <f>IF('Deal maths'!V570="","",IF('Deal maths'!AC570="","Maturity",'Deal maths'!AC570))</f>
        <v/>
      </c>
      <c r="D570" s="108">
        <f>IF(OR(C570="EIP",C570="Annuity"),IF('Deal maths'!AD570="Annual",12,IF('Deal maths'!AD570="Quarterly",3,6)),0)</f>
        <v/>
      </c>
      <c r="E570" s="109">
        <f>IFERROR(IF(D570=0,0,IF('Deal maths'!AE570&gt;0,IF('Deal maths'!AE570&gt;'Deal maths'!AA570,'Deal maths'!AA570,'Deal maths'!AE570),IF(IF(DAY('Deal maths'!AA570+1)=1,EOMONTH('Deal maths'!AA570,-(INT(((YEAR('Deal maths'!AA570)-YEAR(IF('Deal maths'!Z570&gt;0,'Deal maths'!Z570,DATE(1990,1,1))))*12+MONTH('Deal maths'!AA570)-MONTH(IF('Deal maths'!Z570&gt;0,'Deal maths'!Z570,DATE(1990,1,1))))/D570))*D570),EDATE('Deal maths'!AA570,-(INT(((YEAR('Deal maths'!AA570)-YEAR(IF('Deal maths'!Z570&gt;0,'Deal maths'!Z570,DATE(1990,1,1))))*12+MONTH('Deal maths'!AA570)-MONTH(IF('Deal maths'!Z570&gt;0,'Deal maths'!Z570,DATE(1990,1,1))))/D570))*D570))&gt;IF('Deal maths'!Z570&gt;0,'Deal maths'!Z570,DATE(1990,1,1)),IF(DAY('Deal maths'!AA570+1)=1,EOMONTH('Deal maths'!AA570,-(INT(((YEAR('Deal maths'!AA570)-YEAR(IF('Deal maths'!Z570&gt;0,'Deal maths'!Z570,DATE(1990,1,1))))*12+MONTH('Deal maths'!AA570)-MONTH(IF('Deal maths'!Z570&gt;0,'Deal maths'!Z570,DATE(1990,1,1))))/D570))*D570),EDATE('Deal maths'!AA570,-(INT(((YEAR('Deal maths'!AA570)-YEAR(IF('Deal maths'!Z570&gt;0,'Deal maths'!Z570,DATE(1990,1,1))))*12+MONTH('Deal maths'!AA570)-MONTH(IF('Deal maths'!Z570&gt;0,'Deal maths'!Z570,DATE(1990,1,1))))/D570))*D570)),IF(DAY('Deal maths'!AA570+1)=1,EOMONTH('Deal maths'!AA570,-(INT(((YEAR('Deal maths'!AA570)-YEAR(IF('Deal maths'!Z570&gt;0,'Deal maths'!Z570,DATE(1990,1,1))))*12+MONTH('Deal maths'!AA570)-MONTH(IF('Deal maths'!Z570&gt;0,'Deal maths'!Z570,DATE(1990,1,1))))/D570)-1)*D570),EDATE('Deal maths'!AA570,-(INT(((YEAR('Deal maths'!AA570)-YEAR(IF('Deal maths'!Z570&gt;0,'Deal maths'!Z570,DATE(1990,1,1))))*12+MONTH('Deal maths'!AA570)-MONTH(IF('Deal maths'!Z570&gt;0,'Deal maths'!Z570,DATE(1990,1,1))))/D570)-1)*D570))))),0)</f>
        <v/>
      </c>
      <c r="F570" s="110">
        <f>IF(D570=0,0,'Deal maths'!AB570*D570/12)</f>
        <v/>
      </c>
      <c r="G570" s="108">
        <f>N570+O570</f>
        <v/>
      </c>
      <c r="H570" s="108">
        <f>IFERROR(IF(OR(D570=0,AsAt&lt;E570),0,MIN(N570,INT(((YEAR(AsAt)-YEAR(E570))*12+MONTH(AsAt)-MONTH(E570)-(DAY(AsAt)&lt;MIN(R570,DAY(EOMONTH(AsAt,0)))))/D570)+1)+O570*(AsAt&gt;='Deal maths'!AA570)),0)</f>
        <v/>
      </c>
      <c r="I570" s="108">
        <f>G570-H570</f>
        <v/>
      </c>
      <c r="J570" s="111">
        <f>IF(AND(C570="EIP",I570&gt;0),'Deal maths'!Y570/I570,0)</f>
        <v/>
      </c>
      <c r="K570" s="111">
        <f>IF(AND(C570="Annuity",I570&gt;0),IF(F570&gt;0,'Deal maths'!Y570*F570/(1-(1+F570)^-I570),'Deal maths'!Y570/I570),0)</f>
        <v/>
      </c>
      <c r="L570" s="111">
        <f>IF('Deal maths'!Y570="",0,'Deal maths'!Y570)</f>
        <v/>
      </c>
      <c r="M570" s="112">
        <f>F570+(F570=0)</f>
        <v/>
      </c>
      <c r="N570" s="108">
        <f>IFERROR(IF(D570=0,0,INT(((YEAR('Deal maths'!AA570)-YEAR(E570))*12+MONTH('Deal maths'!AA570)-MONTH(E570)-(DAY('Deal maths'!AA570)&lt;MIN(R570,DAY(EOMONTH('Deal maths'!AA570,0)))))/D570)+1),0)</f>
        <v/>
      </c>
      <c r="O570" s="108">
        <f>IFERROR(IF(D570=0,0,IF(IF(DAY(E570+1)=1,EOMONTH(E570,(N570-1)*D570),EDATE(E570,(N570-1)*D570))='Deal maths'!AA570,0,1)),0)</f>
        <v/>
      </c>
      <c r="P570" s="113">
        <f>IF(B570=0,0,IFERROR(IF(C570="EIP",((I570-O570)*((IF(DAY(E570+1)=1,EOMONTH(E570,H570*D570),EDATE(E570,H570*D570))-AsAt)/365.25+(IF(DAY(E570+1)=1,EOMONTH(E570,(N570-1)*D570),EDATE(E570,(N570-1)*D570))-AsAt)/365.25)/2+O570*('Deal maths'!AA570-AsAt)/365.25)/I570,IF(C570="Annuity",IF(F570&gt;0,((K570-L570*F570)*((IF(DAY(E570+1)=1,EOMONTH(E570,H570*D570),EDATE(E570,H570*D570))-AsAt)/365.25*((1+F570)^(I570-O570)-1)/F570+IF((I570-O570)&gt;1,((IF(DAY(E570+1)=1,EOMONTH(E570,(N570-1)*D570),EDATE(E570,(N570-1)*D570))-AsAt)/365.25-(IF(DAY(E570+1)=1,EOMONTH(E570,H570*D570),EDATE(E570,H570*D570))-AsAt)/365.25)/((I570-O570)-1),0)*(1+F570)*(1-(I570-O570)*(1+F570)^((I570-O570)-1)+((I570-O570)-1)*(1+F570)^(I570-O570))/F570^2)+O570*(K570-L570*F570)*(1+F570)^(I570-1)*('Deal maths'!AA570-AsAt)/365.25)/L570,((I570-O570)*((IF(DAY(E570+1)=1,EOMONTH(E570,H570*D570),EDATE(E570,H570*D570))-AsAt)/365.25+(IF(DAY(E570+1)=1,EOMONTH(E570,(N570-1)*D570),EDATE(E570,(N570-1)*D570))-AsAt)/365.25)/2+O570*('Deal maths'!AA570-AsAt)/365.25)/I570),(S570-AsAt)/365.25)),0))</f>
        <v/>
      </c>
      <c r="Q570" s="109">
        <f>IF(B570=1,'Deal maths'!AA570+ROW()/1000000,"")</f>
        <v/>
      </c>
      <c r="R570" s="108">
        <f>IF(D570=0,0,IF(DAY(E570+1)=1,31,DAY(E570)))</f>
        <v/>
      </c>
      <c r="S570" s="109">
        <f>IF(AND('Deal maths'!V570="LOBO",'Deal maths'!AG570&gt;AsAt,'Deal maths'!AG570&lt;'Deal maths'!AA570),'Deal maths'!AG570,'Deal maths'!AA570)</f>
        <v/>
      </c>
      <c r="T570" s="108">
        <f>('Deal maths'!AA570&gt;AsAt)*('Deal maths'!Y570&gt;0)</f>
        <v/>
      </c>
    </row>
    <row r="571">
      <c r="A571" s="91">
        <f>IF('Deal maths'!V571="","",'Deal maths'!W571)</f>
        <v/>
      </c>
      <c r="B571" s="108">
        <f>('Deal maths'!AA571&gt;AsAt)*('Deal maths'!Y571&gt;0)*('Deal maths'!Z571&lt;=AsAt)</f>
        <v/>
      </c>
      <c r="C571" s="91">
        <f>IF('Deal maths'!V571="","",IF('Deal maths'!AC571="","Maturity",'Deal maths'!AC571))</f>
        <v/>
      </c>
      <c r="D571" s="108">
        <f>IF(OR(C571="EIP",C571="Annuity"),IF('Deal maths'!AD571="Annual",12,IF('Deal maths'!AD571="Quarterly",3,6)),0)</f>
        <v/>
      </c>
      <c r="E571" s="109">
        <f>IFERROR(IF(D571=0,0,IF('Deal maths'!AE571&gt;0,IF('Deal maths'!AE571&gt;'Deal maths'!AA571,'Deal maths'!AA571,'Deal maths'!AE571),IF(IF(DAY('Deal maths'!AA571+1)=1,EOMONTH('Deal maths'!AA571,-(INT(((YEAR('Deal maths'!AA571)-YEAR(IF('Deal maths'!Z571&gt;0,'Deal maths'!Z571,DATE(1990,1,1))))*12+MONTH('Deal maths'!AA571)-MONTH(IF('Deal maths'!Z571&gt;0,'Deal maths'!Z571,DATE(1990,1,1))))/D571))*D571),EDATE('Deal maths'!AA571,-(INT(((YEAR('Deal maths'!AA571)-YEAR(IF('Deal maths'!Z571&gt;0,'Deal maths'!Z571,DATE(1990,1,1))))*12+MONTH('Deal maths'!AA571)-MONTH(IF('Deal maths'!Z571&gt;0,'Deal maths'!Z571,DATE(1990,1,1))))/D571))*D571))&gt;IF('Deal maths'!Z571&gt;0,'Deal maths'!Z571,DATE(1990,1,1)),IF(DAY('Deal maths'!AA571+1)=1,EOMONTH('Deal maths'!AA571,-(INT(((YEAR('Deal maths'!AA571)-YEAR(IF('Deal maths'!Z571&gt;0,'Deal maths'!Z571,DATE(1990,1,1))))*12+MONTH('Deal maths'!AA571)-MONTH(IF('Deal maths'!Z571&gt;0,'Deal maths'!Z571,DATE(1990,1,1))))/D571))*D571),EDATE('Deal maths'!AA571,-(INT(((YEAR('Deal maths'!AA571)-YEAR(IF('Deal maths'!Z571&gt;0,'Deal maths'!Z571,DATE(1990,1,1))))*12+MONTH('Deal maths'!AA571)-MONTH(IF('Deal maths'!Z571&gt;0,'Deal maths'!Z571,DATE(1990,1,1))))/D571))*D571)),IF(DAY('Deal maths'!AA571+1)=1,EOMONTH('Deal maths'!AA571,-(INT(((YEAR('Deal maths'!AA571)-YEAR(IF('Deal maths'!Z571&gt;0,'Deal maths'!Z571,DATE(1990,1,1))))*12+MONTH('Deal maths'!AA571)-MONTH(IF('Deal maths'!Z571&gt;0,'Deal maths'!Z571,DATE(1990,1,1))))/D571)-1)*D571),EDATE('Deal maths'!AA571,-(INT(((YEAR('Deal maths'!AA571)-YEAR(IF('Deal maths'!Z571&gt;0,'Deal maths'!Z571,DATE(1990,1,1))))*12+MONTH('Deal maths'!AA571)-MONTH(IF('Deal maths'!Z571&gt;0,'Deal maths'!Z571,DATE(1990,1,1))))/D571)-1)*D571))))),0)</f>
        <v/>
      </c>
      <c r="F571" s="110">
        <f>IF(D571=0,0,'Deal maths'!AB571*D571/12)</f>
        <v/>
      </c>
      <c r="G571" s="108">
        <f>N571+O571</f>
        <v/>
      </c>
      <c r="H571" s="108">
        <f>IFERROR(IF(OR(D571=0,AsAt&lt;E571),0,MIN(N571,INT(((YEAR(AsAt)-YEAR(E571))*12+MONTH(AsAt)-MONTH(E571)-(DAY(AsAt)&lt;MIN(R571,DAY(EOMONTH(AsAt,0)))))/D571)+1)+O571*(AsAt&gt;='Deal maths'!AA571)),0)</f>
        <v/>
      </c>
      <c r="I571" s="108">
        <f>G571-H571</f>
        <v/>
      </c>
      <c r="J571" s="111">
        <f>IF(AND(C571="EIP",I571&gt;0),'Deal maths'!Y571/I571,0)</f>
        <v/>
      </c>
      <c r="K571" s="111">
        <f>IF(AND(C571="Annuity",I571&gt;0),IF(F571&gt;0,'Deal maths'!Y571*F571/(1-(1+F571)^-I571),'Deal maths'!Y571/I571),0)</f>
        <v/>
      </c>
      <c r="L571" s="111">
        <f>IF('Deal maths'!Y571="",0,'Deal maths'!Y571)</f>
        <v/>
      </c>
      <c r="M571" s="112">
        <f>F571+(F571=0)</f>
        <v/>
      </c>
      <c r="N571" s="108">
        <f>IFERROR(IF(D571=0,0,INT(((YEAR('Deal maths'!AA571)-YEAR(E571))*12+MONTH('Deal maths'!AA571)-MONTH(E571)-(DAY('Deal maths'!AA571)&lt;MIN(R571,DAY(EOMONTH('Deal maths'!AA571,0)))))/D571)+1),0)</f>
        <v/>
      </c>
      <c r="O571" s="108">
        <f>IFERROR(IF(D571=0,0,IF(IF(DAY(E571+1)=1,EOMONTH(E571,(N571-1)*D571),EDATE(E571,(N571-1)*D571))='Deal maths'!AA571,0,1)),0)</f>
        <v/>
      </c>
      <c r="P571" s="113">
        <f>IF(B571=0,0,IFERROR(IF(C571="EIP",((I571-O571)*((IF(DAY(E571+1)=1,EOMONTH(E571,H571*D571),EDATE(E571,H571*D571))-AsAt)/365.25+(IF(DAY(E571+1)=1,EOMONTH(E571,(N571-1)*D571),EDATE(E571,(N571-1)*D571))-AsAt)/365.25)/2+O571*('Deal maths'!AA571-AsAt)/365.25)/I571,IF(C571="Annuity",IF(F571&gt;0,((K571-L571*F571)*((IF(DAY(E571+1)=1,EOMONTH(E571,H571*D571),EDATE(E571,H571*D571))-AsAt)/365.25*((1+F571)^(I571-O571)-1)/F571+IF((I571-O571)&gt;1,((IF(DAY(E571+1)=1,EOMONTH(E571,(N571-1)*D571),EDATE(E571,(N571-1)*D571))-AsAt)/365.25-(IF(DAY(E571+1)=1,EOMONTH(E571,H571*D571),EDATE(E571,H571*D571))-AsAt)/365.25)/((I571-O571)-1),0)*(1+F571)*(1-(I571-O571)*(1+F571)^((I571-O571)-1)+((I571-O571)-1)*(1+F571)^(I571-O571))/F571^2)+O571*(K571-L571*F571)*(1+F571)^(I571-1)*('Deal maths'!AA571-AsAt)/365.25)/L571,((I571-O571)*((IF(DAY(E571+1)=1,EOMONTH(E571,H571*D571),EDATE(E571,H571*D571))-AsAt)/365.25+(IF(DAY(E571+1)=1,EOMONTH(E571,(N571-1)*D571),EDATE(E571,(N571-1)*D571))-AsAt)/365.25)/2+O571*('Deal maths'!AA571-AsAt)/365.25)/I571),(S571-AsAt)/365.25)),0))</f>
        <v/>
      </c>
      <c r="Q571" s="109">
        <f>IF(B571=1,'Deal maths'!AA571+ROW()/1000000,"")</f>
        <v/>
      </c>
      <c r="R571" s="108">
        <f>IF(D571=0,0,IF(DAY(E571+1)=1,31,DAY(E571)))</f>
        <v/>
      </c>
      <c r="S571" s="109">
        <f>IF(AND('Deal maths'!V571="LOBO",'Deal maths'!AG571&gt;AsAt,'Deal maths'!AG571&lt;'Deal maths'!AA571),'Deal maths'!AG571,'Deal maths'!AA571)</f>
        <v/>
      </c>
      <c r="T571" s="108">
        <f>('Deal maths'!AA571&gt;AsAt)*('Deal maths'!Y571&gt;0)</f>
        <v/>
      </c>
    </row>
    <row r="572">
      <c r="A572" s="91">
        <f>IF('Deal maths'!V572="","",'Deal maths'!W572)</f>
        <v/>
      </c>
      <c r="B572" s="108">
        <f>('Deal maths'!AA572&gt;AsAt)*('Deal maths'!Y572&gt;0)*('Deal maths'!Z572&lt;=AsAt)</f>
        <v/>
      </c>
      <c r="C572" s="91">
        <f>IF('Deal maths'!V572="","",IF('Deal maths'!AC572="","Maturity",'Deal maths'!AC572))</f>
        <v/>
      </c>
      <c r="D572" s="108">
        <f>IF(OR(C572="EIP",C572="Annuity"),IF('Deal maths'!AD572="Annual",12,IF('Deal maths'!AD572="Quarterly",3,6)),0)</f>
        <v/>
      </c>
      <c r="E572" s="109">
        <f>IFERROR(IF(D572=0,0,IF('Deal maths'!AE572&gt;0,IF('Deal maths'!AE572&gt;'Deal maths'!AA572,'Deal maths'!AA572,'Deal maths'!AE572),IF(IF(DAY('Deal maths'!AA572+1)=1,EOMONTH('Deal maths'!AA572,-(INT(((YEAR('Deal maths'!AA572)-YEAR(IF('Deal maths'!Z572&gt;0,'Deal maths'!Z572,DATE(1990,1,1))))*12+MONTH('Deal maths'!AA572)-MONTH(IF('Deal maths'!Z572&gt;0,'Deal maths'!Z572,DATE(1990,1,1))))/D572))*D572),EDATE('Deal maths'!AA572,-(INT(((YEAR('Deal maths'!AA572)-YEAR(IF('Deal maths'!Z572&gt;0,'Deal maths'!Z572,DATE(1990,1,1))))*12+MONTH('Deal maths'!AA572)-MONTH(IF('Deal maths'!Z572&gt;0,'Deal maths'!Z572,DATE(1990,1,1))))/D572))*D572))&gt;IF('Deal maths'!Z572&gt;0,'Deal maths'!Z572,DATE(1990,1,1)),IF(DAY('Deal maths'!AA572+1)=1,EOMONTH('Deal maths'!AA572,-(INT(((YEAR('Deal maths'!AA572)-YEAR(IF('Deal maths'!Z572&gt;0,'Deal maths'!Z572,DATE(1990,1,1))))*12+MONTH('Deal maths'!AA572)-MONTH(IF('Deal maths'!Z572&gt;0,'Deal maths'!Z572,DATE(1990,1,1))))/D572))*D572),EDATE('Deal maths'!AA572,-(INT(((YEAR('Deal maths'!AA572)-YEAR(IF('Deal maths'!Z572&gt;0,'Deal maths'!Z572,DATE(1990,1,1))))*12+MONTH('Deal maths'!AA572)-MONTH(IF('Deal maths'!Z572&gt;0,'Deal maths'!Z572,DATE(1990,1,1))))/D572))*D572)),IF(DAY('Deal maths'!AA572+1)=1,EOMONTH('Deal maths'!AA572,-(INT(((YEAR('Deal maths'!AA572)-YEAR(IF('Deal maths'!Z572&gt;0,'Deal maths'!Z572,DATE(1990,1,1))))*12+MONTH('Deal maths'!AA572)-MONTH(IF('Deal maths'!Z572&gt;0,'Deal maths'!Z572,DATE(1990,1,1))))/D572)-1)*D572),EDATE('Deal maths'!AA572,-(INT(((YEAR('Deal maths'!AA572)-YEAR(IF('Deal maths'!Z572&gt;0,'Deal maths'!Z572,DATE(1990,1,1))))*12+MONTH('Deal maths'!AA572)-MONTH(IF('Deal maths'!Z572&gt;0,'Deal maths'!Z572,DATE(1990,1,1))))/D572)-1)*D572))))),0)</f>
        <v/>
      </c>
      <c r="F572" s="110">
        <f>IF(D572=0,0,'Deal maths'!AB572*D572/12)</f>
        <v/>
      </c>
      <c r="G572" s="108">
        <f>N572+O572</f>
        <v/>
      </c>
      <c r="H572" s="108">
        <f>IFERROR(IF(OR(D572=0,AsAt&lt;E572),0,MIN(N572,INT(((YEAR(AsAt)-YEAR(E572))*12+MONTH(AsAt)-MONTH(E572)-(DAY(AsAt)&lt;MIN(R572,DAY(EOMONTH(AsAt,0)))))/D572)+1)+O572*(AsAt&gt;='Deal maths'!AA572)),0)</f>
        <v/>
      </c>
      <c r="I572" s="108">
        <f>G572-H572</f>
        <v/>
      </c>
      <c r="J572" s="111">
        <f>IF(AND(C572="EIP",I572&gt;0),'Deal maths'!Y572/I572,0)</f>
        <v/>
      </c>
      <c r="K572" s="111">
        <f>IF(AND(C572="Annuity",I572&gt;0),IF(F572&gt;0,'Deal maths'!Y572*F572/(1-(1+F572)^-I572),'Deal maths'!Y572/I572),0)</f>
        <v/>
      </c>
      <c r="L572" s="111">
        <f>IF('Deal maths'!Y572="",0,'Deal maths'!Y572)</f>
        <v/>
      </c>
      <c r="M572" s="112">
        <f>F572+(F572=0)</f>
        <v/>
      </c>
      <c r="N572" s="108">
        <f>IFERROR(IF(D572=0,0,INT(((YEAR('Deal maths'!AA572)-YEAR(E572))*12+MONTH('Deal maths'!AA572)-MONTH(E572)-(DAY('Deal maths'!AA572)&lt;MIN(R572,DAY(EOMONTH('Deal maths'!AA572,0)))))/D572)+1),0)</f>
        <v/>
      </c>
      <c r="O572" s="108">
        <f>IFERROR(IF(D572=0,0,IF(IF(DAY(E572+1)=1,EOMONTH(E572,(N572-1)*D572),EDATE(E572,(N572-1)*D572))='Deal maths'!AA572,0,1)),0)</f>
        <v/>
      </c>
      <c r="P572" s="113">
        <f>IF(B572=0,0,IFERROR(IF(C572="EIP",((I572-O572)*((IF(DAY(E572+1)=1,EOMONTH(E572,H572*D572),EDATE(E572,H572*D572))-AsAt)/365.25+(IF(DAY(E572+1)=1,EOMONTH(E572,(N572-1)*D572),EDATE(E572,(N572-1)*D572))-AsAt)/365.25)/2+O572*('Deal maths'!AA572-AsAt)/365.25)/I572,IF(C572="Annuity",IF(F572&gt;0,((K572-L572*F572)*((IF(DAY(E572+1)=1,EOMONTH(E572,H572*D572),EDATE(E572,H572*D572))-AsAt)/365.25*((1+F572)^(I572-O572)-1)/F572+IF((I572-O572)&gt;1,((IF(DAY(E572+1)=1,EOMONTH(E572,(N572-1)*D572),EDATE(E572,(N572-1)*D572))-AsAt)/365.25-(IF(DAY(E572+1)=1,EOMONTH(E572,H572*D572),EDATE(E572,H572*D572))-AsAt)/365.25)/((I572-O572)-1),0)*(1+F572)*(1-(I572-O572)*(1+F572)^((I572-O572)-1)+((I572-O572)-1)*(1+F572)^(I572-O572))/F572^2)+O572*(K572-L572*F572)*(1+F572)^(I572-1)*('Deal maths'!AA572-AsAt)/365.25)/L572,((I572-O572)*((IF(DAY(E572+1)=1,EOMONTH(E572,H572*D572),EDATE(E572,H572*D572))-AsAt)/365.25+(IF(DAY(E572+1)=1,EOMONTH(E572,(N572-1)*D572),EDATE(E572,(N572-1)*D572))-AsAt)/365.25)/2+O572*('Deal maths'!AA572-AsAt)/365.25)/I572),(S572-AsAt)/365.25)),0))</f>
        <v/>
      </c>
      <c r="Q572" s="109">
        <f>IF(B572=1,'Deal maths'!AA572+ROW()/1000000,"")</f>
        <v/>
      </c>
      <c r="R572" s="108">
        <f>IF(D572=0,0,IF(DAY(E572+1)=1,31,DAY(E572)))</f>
        <v/>
      </c>
      <c r="S572" s="109">
        <f>IF(AND('Deal maths'!V572="LOBO",'Deal maths'!AG572&gt;AsAt,'Deal maths'!AG572&lt;'Deal maths'!AA572),'Deal maths'!AG572,'Deal maths'!AA572)</f>
        <v/>
      </c>
      <c r="T572" s="108">
        <f>('Deal maths'!AA572&gt;AsAt)*('Deal maths'!Y572&gt;0)</f>
        <v/>
      </c>
    </row>
    <row r="573">
      <c r="A573" s="91">
        <f>IF('Deal maths'!V573="","",'Deal maths'!W573)</f>
        <v/>
      </c>
      <c r="B573" s="108">
        <f>('Deal maths'!AA573&gt;AsAt)*('Deal maths'!Y573&gt;0)*('Deal maths'!Z573&lt;=AsAt)</f>
        <v/>
      </c>
      <c r="C573" s="91">
        <f>IF('Deal maths'!V573="","",IF('Deal maths'!AC573="","Maturity",'Deal maths'!AC573))</f>
        <v/>
      </c>
      <c r="D573" s="108">
        <f>IF(OR(C573="EIP",C573="Annuity"),IF('Deal maths'!AD573="Annual",12,IF('Deal maths'!AD573="Quarterly",3,6)),0)</f>
        <v/>
      </c>
      <c r="E573" s="109">
        <f>IFERROR(IF(D573=0,0,IF('Deal maths'!AE573&gt;0,IF('Deal maths'!AE573&gt;'Deal maths'!AA573,'Deal maths'!AA573,'Deal maths'!AE573),IF(IF(DAY('Deal maths'!AA573+1)=1,EOMONTH('Deal maths'!AA573,-(INT(((YEAR('Deal maths'!AA573)-YEAR(IF('Deal maths'!Z573&gt;0,'Deal maths'!Z573,DATE(1990,1,1))))*12+MONTH('Deal maths'!AA573)-MONTH(IF('Deal maths'!Z573&gt;0,'Deal maths'!Z573,DATE(1990,1,1))))/D573))*D573),EDATE('Deal maths'!AA573,-(INT(((YEAR('Deal maths'!AA573)-YEAR(IF('Deal maths'!Z573&gt;0,'Deal maths'!Z573,DATE(1990,1,1))))*12+MONTH('Deal maths'!AA573)-MONTH(IF('Deal maths'!Z573&gt;0,'Deal maths'!Z573,DATE(1990,1,1))))/D573))*D573))&gt;IF('Deal maths'!Z573&gt;0,'Deal maths'!Z573,DATE(1990,1,1)),IF(DAY('Deal maths'!AA573+1)=1,EOMONTH('Deal maths'!AA573,-(INT(((YEAR('Deal maths'!AA573)-YEAR(IF('Deal maths'!Z573&gt;0,'Deal maths'!Z573,DATE(1990,1,1))))*12+MONTH('Deal maths'!AA573)-MONTH(IF('Deal maths'!Z573&gt;0,'Deal maths'!Z573,DATE(1990,1,1))))/D573))*D573),EDATE('Deal maths'!AA573,-(INT(((YEAR('Deal maths'!AA573)-YEAR(IF('Deal maths'!Z573&gt;0,'Deal maths'!Z573,DATE(1990,1,1))))*12+MONTH('Deal maths'!AA573)-MONTH(IF('Deal maths'!Z573&gt;0,'Deal maths'!Z573,DATE(1990,1,1))))/D573))*D573)),IF(DAY('Deal maths'!AA573+1)=1,EOMONTH('Deal maths'!AA573,-(INT(((YEAR('Deal maths'!AA573)-YEAR(IF('Deal maths'!Z573&gt;0,'Deal maths'!Z573,DATE(1990,1,1))))*12+MONTH('Deal maths'!AA573)-MONTH(IF('Deal maths'!Z573&gt;0,'Deal maths'!Z573,DATE(1990,1,1))))/D573)-1)*D573),EDATE('Deal maths'!AA573,-(INT(((YEAR('Deal maths'!AA573)-YEAR(IF('Deal maths'!Z573&gt;0,'Deal maths'!Z573,DATE(1990,1,1))))*12+MONTH('Deal maths'!AA573)-MONTH(IF('Deal maths'!Z573&gt;0,'Deal maths'!Z573,DATE(1990,1,1))))/D573)-1)*D573))))),0)</f>
        <v/>
      </c>
      <c r="F573" s="110">
        <f>IF(D573=0,0,'Deal maths'!AB573*D573/12)</f>
        <v/>
      </c>
      <c r="G573" s="108">
        <f>N573+O573</f>
        <v/>
      </c>
      <c r="H573" s="108">
        <f>IFERROR(IF(OR(D573=0,AsAt&lt;E573),0,MIN(N573,INT(((YEAR(AsAt)-YEAR(E573))*12+MONTH(AsAt)-MONTH(E573)-(DAY(AsAt)&lt;MIN(R573,DAY(EOMONTH(AsAt,0)))))/D573)+1)+O573*(AsAt&gt;='Deal maths'!AA573)),0)</f>
        <v/>
      </c>
      <c r="I573" s="108">
        <f>G573-H573</f>
        <v/>
      </c>
      <c r="J573" s="111">
        <f>IF(AND(C573="EIP",I573&gt;0),'Deal maths'!Y573/I573,0)</f>
        <v/>
      </c>
      <c r="K573" s="111">
        <f>IF(AND(C573="Annuity",I573&gt;0),IF(F573&gt;0,'Deal maths'!Y573*F573/(1-(1+F573)^-I573),'Deal maths'!Y573/I573),0)</f>
        <v/>
      </c>
      <c r="L573" s="111">
        <f>IF('Deal maths'!Y573="",0,'Deal maths'!Y573)</f>
        <v/>
      </c>
      <c r="M573" s="112">
        <f>F573+(F573=0)</f>
        <v/>
      </c>
      <c r="N573" s="108">
        <f>IFERROR(IF(D573=0,0,INT(((YEAR('Deal maths'!AA573)-YEAR(E573))*12+MONTH('Deal maths'!AA573)-MONTH(E573)-(DAY('Deal maths'!AA573)&lt;MIN(R573,DAY(EOMONTH('Deal maths'!AA573,0)))))/D573)+1),0)</f>
        <v/>
      </c>
      <c r="O573" s="108">
        <f>IFERROR(IF(D573=0,0,IF(IF(DAY(E573+1)=1,EOMONTH(E573,(N573-1)*D573),EDATE(E573,(N573-1)*D573))='Deal maths'!AA573,0,1)),0)</f>
        <v/>
      </c>
      <c r="P573" s="113">
        <f>IF(B573=0,0,IFERROR(IF(C573="EIP",((I573-O573)*((IF(DAY(E573+1)=1,EOMONTH(E573,H573*D573),EDATE(E573,H573*D573))-AsAt)/365.25+(IF(DAY(E573+1)=1,EOMONTH(E573,(N573-1)*D573),EDATE(E573,(N573-1)*D573))-AsAt)/365.25)/2+O573*('Deal maths'!AA573-AsAt)/365.25)/I573,IF(C573="Annuity",IF(F573&gt;0,((K573-L573*F573)*((IF(DAY(E573+1)=1,EOMONTH(E573,H573*D573),EDATE(E573,H573*D573))-AsAt)/365.25*((1+F573)^(I573-O573)-1)/F573+IF((I573-O573)&gt;1,((IF(DAY(E573+1)=1,EOMONTH(E573,(N573-1)*D573),EDATE(E573,(N573-1)*D573))-AsAt)/365.25-(IF(DAY(E573+1)=1,EOMONTH(E573,H573*D573),EDATE(E573,H573*D573))-AsAt)/365.25)/((I573-O573)-1),0)*(1+F573)*(1-(I573-O573)*(1+F573)^((I573-O573)-1)+((I573-O573)-1)*(1+F573)^(I573-O573))/F573^2)+O573*(K573-L573*F573)*(1+F573)^(I573-1)*('Deal maths'!AA573-AsAt)/365.25)/L573,((I573-O573)*((IF(DAY(E573+1)=1,EOMONTH(E573,H573*D573),EDATE(E573,H573*D573))-AsAt)/365.25+(IF(DAY(E573+1)=1,EOMONTH(E573,(N573-1)*D573),EDATE(E573,(N573-1)*D573))-AsAt)/365.25)/2+O573*('Deal maths'!AA573-AsAt)/365.25)/I573),(S573-AsAt)/365.25)),0))</f>
        <v/>
      </c>
      <c r="Q573" s="109">
        <f>IF(B573=1,'Deal maths'!AA573+ROW()/1000000,"")</f>
        <v/>
      </c>
      <c r="R573" s="108">
        <f>IF(D573=0,0,IF(DAY(E573+1)=1,31,DAY(E573)))</f>
        <v/>
      </c>
      <c r="S573" s="109">
        <f>IF(AND('Deal maths'!V573="LOBO",'Deal maths'!AG573&gt;AsAt,'Deal maths'!AG573&lt;'Deal maths'!AA573),'Deal maths'!AG573,'Deal maths'!AA573)</f>
        <v/>
      </c>
      <c r="T573" s="108">
        <f>('Deal maths'!AA573&gt;AsAt)*('Deal maths'!Y573&gt;0)</f>
        <v/>
      </c>
    </row>
    <row r="574">
      <c r="A574" s="91">
        <f>IF('Deal maths'!V574="","",'Deal maths'!W574)</f>
        <v/>
      </c>
      <c r="B574" s="108">
        <f>('Deal maths'!AA574&gt;AsAt)*('Deal maths'!Y574&gt;0)*('Deal maths'!Z574&lt;=AsAt)</f>
        <v/>
      </c>
      <c r="C574" s="91">
        <f>IF('Deal maths'!V574="","",IF('Deal maths'!AC574="","Maturity",'Deal maths'!AC574))</f>
        <v/>
      </c>
      <c r="D574" s="108">
        <f>IF(OR(C574="EIP",C574="Annuity"),IF('Deal maths'!AD574="Annual",12,IF('Deal maths'!AD574="Quarterly",3,6)),0)</f>
        <v/>
      </c>
      <c r="E574" s="109">
        <f>IFERROR(IF(D574=0,0,IF('Deal maths'!AE574&gt;0,IF('Deal maths'!AE574&gt;'Deal maths'!AA574,'Deal maths'!AA574,'Deal maths'!AE574),IF(IF(DAY('Deal maths'!AA574+1)=1,EOMONTH('Deal maths'!AA574,-(INT(((YEAR('Deal maths'!AA574)-YEAR(IF('Deal maths'!Z574&gt;0,'Deal maths'!Z574,DATE(1990,1,1))))*12+MONTH('Deal maths'!AA574)-MONTH(IF('Deal maths'!Z574&gt;0,'Deal maths'!Z574,DATE(1990,1,1))))/D574))*D574),EDATE('Deal maths'!AA574,-(INT(((YEAR('Deal maths'!AA574)-YEAR(IF('Deal maths'!Z574&gt;0,'Deal maths'!Z574,DATE(1990,1,1))))*12+MONTH('Deal maths'!AA574)-MONTH(IF('Deal maths'!Z574&gt;0,'Deal maths'!Z574,DATE(1990,1,1))))/D574))*D574))&gt;IF('Deal maths'!Z574&gt;0,'Deal maths'!Z574,DATE(1990,1,1)),IF(DAY('Deal maths'!AA574+1)=1,EOMONTH('Deal maths'!AA574,-(INT(((YEAR('Deal maths'!AA574)-YEAR(IF('Deal maths'!Z574&gt;0,'Deal maths'!Z574,DATE(1990,1,1))))*12+MONTH('Deal maths'!AA574)-MONTH(IF('Deal maths'!Z574&gt;0,'Deal maths'!Z574,DATE(1990,1,1))))/D574))*D574),EDATE('Deal maths'!AA574,-(INT(((YEAR('Deal maths'!AA574)-YEAR(IF('Deal maths'!Z574&gt;0,'Deal maths'!Z574,DATE(1990,1,1))))*12+MONTH('Deal maths'!AA574)-MONTH(IF('Deal maths'!Z574&gt;0,'Deal maths'!Z574,DATE(1990,1,1))))/D574))*D574)),IF(DAY('Deal maths'!AA574+1)=1,EOMONTH('Deal maths'!AA574,-(INT(((YEAR('Deal maths'!AA574)-YEAR(IF('Deal maths'!Z574&gt;0,'Deal maths'!Z574,DATE(1990,1,1))))*12+MONTH('Deal maths'!AA574)-MONTH(IF('Deal maths'!Z574&gt;0,'Deal maths'!Z574,DATE(1990,1,1))))/D574)-1)*D574),EDATE('Deal maths'!AA574,-(INT(((YEAR('Deal maths'!AA574)-YEAR(IF('Deal maths'!Z574&gt;0,'Deal maths'!Z574,DATE(1990,1,1))))*12+MONTH('Deal maths'!AA574)-MONTH(IF('Deal maths'!Z574&gt;0,'Deal maths'!Z574,DATE(1990,1,1))))/D574)-1)*D574))))),0)</f>
        <v/>
      </c>
      <c r="F574" s="110">
        <f>IF(D574=0,0,'Deal maths'!AB574*D574/12)</f>
        <v/>
      </c>
      <c r="G574" s="108">
        <f>N574+O574</f>
        <v/>
      </c>
      <c r="H574" s="108">
        <f>IFERROR(IF(OR(D574=0,AsAt&lt;E574),0,MIN(N574,INT(((YEAR(AsAt)-YEAR(E574))*12+MONTH(AsAt)-MONTH(E574)-(DAY(AsAt)&lt;MIN(R574,DAY(EOMONTH(AsAt,0)))))/D574)+1)+O574*(AsAt&gt;='Deal maths'!AA574)),0)</f>
        <v/>
      </c>
      <c r="I574" s="108">
        <f>G574-H574</f>
        <v/>
      </c>
      <c r="J574" s="111">
        <f>IF(AND(C574="EIP",I574&gt;0),'Deal maths'!Y574/I574,0)</f>
        <v/>
      </c>
      <c r="K574" s="111">
        <f>IF(AND(C574="Annuity",I574&gt;0),IF(F574&gt;0,'Deal maths'!Y574*F574/(1-(1+F574)^-I574),'Deal maths'!Y574/I574),0)</f>
        <v/>
      </c>
      <c r="L574" s="111">
        <f>IF('Deal maths'!Y574="",0,'Deal maths'!Y574)</f>
        <v/>
      </c>
      <c r="M574" s="112">
        <f>F574+(F574=0)</f>
        <v/>
      </c>
      <c r="N574" s="108">
        <f>IFERROR(IF(D574=0,0,INT(((YEAR('Deal maths'!AA574)-YEAR(E574))*12+MONTH('Deal maths'!AA574)-MONTH(E574)-(DAY('Deal maths'!AA574)&lt;MIN(R574,DAY(EOMONTH('Deal maths'!AA574,0)))))/D574)+1),0)</f>
        <v/>
      </c>
      <c r="O574" s="108">
        <f>IFERROR(IF(D574=0,0,IF(IF(DAY(E574+1)=1,EOMONTH(E574,(N574-1)*D574),EDATE(E574,(N574-1)*D574))='Deal maths'!AA574,0,1)),0)</f>
        <v/>
      </c>
      <c r="P574" s="113">
        <f>IF(B574=0,0,IFERROR(IF(C574="EIP",((I574-O574)*((IF(DAY(E574+1)=1,EOMONTH(E574,H574*D574),EDATE(E574,H574*D574))-AsAt)/365.25+(IF(DAY(E574+1)=1,EOMONTH(E574,(N574-1)*D574),EDATE(E574,(N574-1)*D574))-AsAt)/365.25)/2+O574*('Deal maths'!AA574-AsAt)/365.25)/I574,IF(C574="Annuity",IF(F574&gt;0,((K574-L574*F574)*((IF(DAY(E574+1)=1,EOMONTH(E574,H574*D574),EDATE(E574,H574*D574))-AsAt)/365.25*((1+F574)^(I574-O574)-1)/F574+IF((I574-O574)&gt;1,((IF(DAY(E574+1)=1,EOMONTH(E574,(N574-1)*D574),EDATE(E574,(N574-1)*D574))-AsAt)/365.25-(IF(DAY(E574+1)=1,EOMONTH(E574,H574*D574),EDATE(E574,H574*D574))-AsAt)/365.25)/((I574-O574)-1),0)*(1+F574)*(1-(I574-O574)*(1+F574)^((I574-O574)-1)+((I574-O574)-1)*(1+F574)^(I574-O574))/F574^2)+O574*(K574-L574*F574)*(1+F574)^(I574-1)*('Deal maths'!AA574-AsAt)/365.25)/L574,((I574-O574)*((IF(DAY(E574+1)=1,EOMONTH(E574,H574*D574),EDATE(E574,H574*D574))-AsAt)/365.25+(IF(DAY(E574+1)=1,EOMONTH(E574,(N574-1)*D574),EDATE(E574,(N574-1)*D574))-AsAt)/365.25)/2+O574*('Deal maths'!AA574-AsAt)/365.25)/I574),(S574-AsAt)/365.25)),0))</f>
        <v/>
      </c>
      <c r="Q574" s="109">
        <f>IF(B574=1,'Deal maths'!AA574+ROW()/1000000,"")</f>
        <v/>
      </c>
      <c r="R574" s="108">
        <f>IF(D574=0,0,IF(DAY(E574+1)=1,31,DAY(E574)))</f>
        <v/>
      </c>
      <c r="S574" s="109">
        <f>IF(AND('Deal maths'!V574="LOBO",'Deal maths'!AG574&gt;AsAt,'Deal maths'!AG574&lt;'Deal maths'!AA574),'Deal maths'!AG574,'Deal maths'!AA574)</f>
        <v/>
      </c>
      <c r="T574" s="108">
        <f>('Deal maths'!AA574&gt;AsAt)*('Deal maths'!Y574&gt;0)</f>
        <v/>
      </c>
    </row>
    <row r="575">
      <c r="A575" s="91">
        <f>IF('Deal maths'!V575="","",'Deal maths'!W575)</f>
        <v/>
      </c>
      <c r="B575" s="108">
        <f>('Deal maths'!AA575&gt;AsAt)*('Deal maths'!Y575&gt;0)*('Deal maths'!Z575&lt;=AsAt)</f>
        <v/>
      </c>
      <c r="C575" s="91">
        <f>IF('Deal maths'!V575="","",IF('Deal maths'!AC575="","Maturity",'Deal maths'!AC575))</f>
        <v/>
      </c>
      <c r="D575" s="108">
        <f>IF(OR(C575="EIP",C575="Annuity"),IF('Deal maths'!AD575="Annual",12,IF('Deal maths'!AD575="Quarterly",3,6)),0)</f>
        <v/>
      </c>
      <c r="E575" s="109">
        <f>IFERROR(IF(D575=0,0,IF('Deal maths'!AE575&gt;0,IF('Deal maths'!AE575&gt;'Deal maths'!AA575,'Deal maths'!AA575,'Deal maths'!AE575),IF(IF(DAY('Deal maths'!AA575+1)=1,EOMONTH('Deal maths'!AA575,-(INT(((YEAR('Deal maths'!AA575)-YEAR(IF('Deal maths'!Z575&gt;0,'Deal maths'!Z575,DATE(1990,1,1))))*12+MONTH('Deal maths'!AA575)-MONTH(IF('Deal maths'!Z575&gt;0,'Deal maths'!Z575,DATE(1990,1,1))))/D575))*D575),EDATE('Deal maths'!AA575,-(INT(((YEAR('Deal maths'!AA575)-YEAR(IF('Deal maths'!Z575&gt;0,'Deal maths'!Z575,DATE(1990,1,1))))*12+MONTH('Deal maths'!AA575)-MONTH(IF('Deal maths'!Z575&gt;0,'Deal maths'!Z575,DATE(1990,1,1))))/D575))*D575))&gt;IF('Deal maths'!Z575&gt;0,'Deal maths'!Z575,DATE(1990,1,1)),IF(DAY('Deal maths'!AA575+1)=1,EOMONTH('Deal maths'!AA575,-(INT(((YEAR('Deal maths'!AA575)-YEAR(IF('Deal maths'!Z575&gt;0,'Deal maths'!Z575,DATE(1990,1,1))))*12+MONTH('Deal maths'!AA575)-MONTH(IF('Deal maths'!Z575&gt;0,'Deal maths'!Z575,DATE(1990,1,1))))/D575))*D575),EDATE('Deal maths'!AA575,-(INT(((YEAR('Deal maths'!AA575)-YEAR(IF('Deal maths'!Z575&gt;0,'Deal maths'!Z575,DATE(1990,1,1))))*12+MONTH('Deal maths'!AA575)-MONTH(IF('Deal maths'!Z575&gt;0,'Deal maths'!Z575,DATE(1990,1,1))))/D575))*D575)),IF(DAY('Deal maths'!AA575+1)=1,EOMONTH('Deal maths'!AA575,-(INT(((YEAR('Deal maths'!AA575)-YEAR(IF('Deal maths'!Z575&gt;0,'Deal maths'!Z575,DATE(1990,1,1))))*12+MONTH('Deal maths'!AA575)-MONTH(IF('Deal maths'!Z575&gt;0,'Deal maths'!Z575,DATE(1990,1,1))))/D575)-1)*D575),EDATE('Deal maths'!AA575,-(INT(((YEAR('Deal maths'!AA575)-YEAR(IF('Deal maths'!Z575&gt;0,'Deal maths'!Z575,DATE(1990,1,1))))*12+MONTH('Deal maths'!AA575)-MONTH(IF('Deal maths'!Z575&gt;0,'Deal maths'!Z575,DATE(1990,1,1))))/D575)-1)*D575))))),0)</f>
        <v/>
      </c>
      <c r="F575" s="110">
        <f>IF(D575=0,0,'Deal maths'!AB575*D575/12)</f>
        <v/>
      </c>
      <c r="G575" s="108">
        <f>N575+O575</f>
        <v/>
      </c>
      <c r="H575" s="108">
        <f>IFERROR(IF(OR(D575=0,AsAt&lt;E575),0,MIN(N575,INT(((YEAR(AsAt)-YEAR(E575))*12+MONTH(AsAt)-MONTH(E575)-(DAY(AsAt)&lt;MIN(R575,DAY(EOMONTH(AsAt,0)))))/D575)+1)+O575*(AsAt&gt;='Deal maths'!AA575)),0)</f>
        <v/>
      </c>
      <c r="I575" s="108">
        <f>G575-H575</f>
        <v/>
      </c>
      <c r="J575" s="111">
        <f>IF(AND(C575="EIP",I575&gt;0),'Deal maths'!Y575/I575,0)</f>
        <v/>
      </c>
      <c r="K575" s="111">
        <f>IF(AND(C575="Annuity",I575&gt;0),IF(F575&gt;0,'Deal maths'!Y575*F575/(1-(1+F575)^-I575),'Deal maths'!Y575/I575),0)</f>
        <v/>
      </c>
      <c r="L575" s="111">
        <f>IF('Deal maths'!Y575="",0,'Deal maths'!Y575)</f>
        <v/>
      </c>
      <c r="M575" s="112">
        <f>F575+(F575=0)</f>
        <v/>
      </c>
      <c r="N575" s="108">
        <f>IFERROR(IF(D575=0,0,INT(((YEAR('Deal maths'!AA575)-YEAR(E575))*12+MONTH('Deal maths'!AA575)-MONTH(E575)-(DAY('Deal maths'!AA575)&lt;MIN(R575,DAY(EOMONTH('Deal maths'!AA575,0)))))/D575)+1),0)</f>
        <v/>
      </c>
      <c r="O575" s="108">
        <f>IFERROR(IF(D575=0,0,IF(IF(DAY(E575+1)=1,EOMONTH(E575,(N575-1)*D575),EDATE(E575,(N575-1)*D575))='Deal maths'!AA575,0,1)),0)</f>
        <v/>
      </c>
      <c r="P575" s="113">
        <f>IF(B575=0,0,IFERROR(IF(C575="EIP",((I575-O575)*((IF(DAY(E575+1)=1,EOMONTH(E575,H575*D575),EDATE(E575,H575*D575))-AsAt)/365.25+(IF(DAY(E575+1)=1,EOMONTH(E575,(N575-1)*D575),EDATE(E575,(N575-1)*D575))-AsAt)/365.25)/2+O575*('Deal maths'!AA575-AsAt)/365.25)/I575,IF(C575="Annuity",IF(F575&gt;0,((K575-L575*F575)*((IF(DAY(E575+1)=1,EOMONTH(E575,H575*D575),EDATE(E575,H575*D575))-AsAt)/365.25*((1+F575)^(I575-O575)-1)/F575+IF((I575-O575)&gt;1,((IF(DAY(E575+1)=1,EOMONTH(E575,(N575-1)*D575),EDATE(E575,(N575-1)*D575))-AsAt)/365.25-(IF(DAY(E575+1)=1,EOMONTH(E575,H575*D575),EDATE(E575,H575*D575))-AsAt)/365.25)/((I575-O575)-1),0)*(1+F575)*(1-(I575-O575)*(1+F575)^((I575-O575)-1)+((I575-O575)-1)*(1+F575)^(I575-O575))/F575^2)+O575*(K575-L575*F575)*(1+F575)^(I575-1)*('Deal maths'!AA575-AsAt)/365.25)/L575,((I575-O575)*((IF(DAY(E575+1)=1,EOMONTH(E575,H575*D575),EDATE(E575,H575*D575))-AsAt)/365.25+(IF(DAY(E575+1)=1,EOMONTH(E575,(N575-1)*D575),EDATE(E575,(N575-1)*D575))-AsAt)/365.25)/2+O575*('Deal maths'!AA575-AsAt)/365.25)/I575),(S575-AsAt)/365.25)),0))</f>
        <v/>
      </c>
      <c r="Q575" s="109">
        <f>IF(B575=1,'Deal maths'!AA575+ROW()/1000000,"")</f>
        <v/>
      </c>
      <c r="R575" s="108">
        <f>IF(D575=0,0,IF(DAY(E575+1)=1,31,DAY(E575)))</f>
        <v/>
      </c>
      <c r="S575" s="109">
        <f>IF(AND('Deal maths'!V575="LOBO",'Deal maths'!AG575&gt;AsAt,'Deal maths'!AG575&lt;'Deal maths'!AA575),'Deal maths'!AG575,'Deal maths'!AA575)</f>
        <v/>
      </c>
      <c r="T575" s="108">
        <f>('Deal maths'!AA575&gt;AsAt)*('Deal maths'!Y575&gt;0)</f>
        <v/>
      </c>
    </row>
    <row r="576">
      <c r="A576" s="91">
        <f>IF('Deal maths'!V576="","",'Deal maths'!W576)</f>
        <v/>
      </c>
      <c r="B576" s="108">
        <f>('Deal maths'!AA576&gt;AsAt)*('Deal maths'!Y576&gt;0)*('Deal maths'!Z576&lt;=AsAt)</f>
        <v/>
      </c>
      <c r="C576" s="91">
        <f>IF('Deal maths'!V576="","",IF('Deal maths'!AC576="","Maturity",'Deal maths'!AC576))</f>
        <v/>
      </c>
      <c r="D576" s="108">
        <f>IF(OR(C576="EIP",C576="Annuity"),IF('Deal maths'!AD576="Annual",12,IF('Deal maths'!AD576="Quarterly",3,6)),0)</f>
        <v/>
      </c>
      <c r="E576" s="109">
        <f>IFERROR(IF(D576=0,0,IF('Deal maths'!AE576&gt;0,IF('Deal maths'!AE576&gt;'Deal maths'!AA576,'Deal maths'!AA576,'Deal maths'!AE576),IF(IF(DAY('Deal maths'!AA576+1)=1,EOMONTH('Deal maths'!AA576,-(INT(((YEAR('Deal maths'!AA576)-YEAR(IF('Deal maths'!Z576&gt;0,'Deal maths'!Z576,DATE(1990,1,1))))*12+MONTH('Deal maths'!AA576)-MONTH(IF('Deal maths'!Z576&gt;0,'Deal maths'!Z576,DATE(1990,1,1))))/D576))*D576),EDATE('Deal maths'!AA576,-(INT(((YEAR('Deal maths'!AA576)-YEAR(IF('Deal maths'!Z576&gt;0,'Deal maths'!Z576,DATE(1990,1,1))))*12+MONTH('Deal maths'!AA576)-MONTH(IF('Deal maths'!Z576&gt;0,'Deal maths'!Z576,DATE(1990,1,1))))/D576))*D576))&gt;IF('Deal maths'!Z576&gt;0,'Deal maths'!Z576,DATE(1990,1,1)),IF(DAY('Deal maths'!AA576+1)=1,EOMONTH('Deal maths'!AA576,-(INT(((YEAR('Deal maths'!AA576)-YEAR(IF('Deal maths'!Z576&gt;0,'Deal maths'!Z576,DATE(1990,1,1))))*12+MONTH('Deal maths'!AA576)-MONTH(IF('Deal maths'!Z576&gt;0,'Deal maths'!Z576,DATE(1990,1,1))))/D576))*D576),EDATE('Deal maths'!AA576,-(INT(((YEAR('Deal maths'!AA576)-YEAR(IF('Deal maths'!Z576&gt;0,'Deal maths'!Z576,DATE(1990,1,1))))*12+MONTH('Deal maths'!AA576)-MONTH(IF('Deal maths'!Z576&gt;0,'Deal maths'!Z576,DATE(1990,1,1))))/D576))*D576)),IF(DAY('Deal maths'!AA576+1)=1,EOMONTH('Deal maths'!AA576,-(INT(((YEAR('Deal maths'!AA576)-YEAR(IF('Deal maths'!Z576&gt;0,'Deal maths'!Z576,DATE(1990,1,1))))*12+MONTH('Deal maths'!AA576)-MONTH(IF('Deal maths'!Z576&gt;0,'Deal maths'!Z576,DATE(1990,1,1))))/D576)-1)*D576),EDATE('Deal maths'!AA576,-(INT(((YEAR('Deal maths'!AA576)-YEAR(IF('Deal maths'!Z576&gt;0,'Deal maths'!Z576,DATE(1990,1,1))))*12+MONTH('Deal maths'!AA576)-MONTH(IF('Deal maths'!Z576&gt;0,'Deal maths'!Z576,DATE(1990,1,1))))/D576)-1)*D576))))),0)</f>
        <v/>
      </c>
      <c r="F576" s="110">
        <f>IF(D576=0,0,'Deal maths'!AB576*D576/12)</f>
        <v/>
      </c>
      <c r="G576" s="108">
        <f>N576+O576</f>
        <v/>
      </c>
      <c r="H576" s="108">
        <f>IFERROR(IF(OR(D576=0,AsAt&lt;E576),0,MIN(N576,INT(((YEAR(AsAt)-YEAR(E576))*12+MONTH(AsAt)-MONTH(E576)-(DAY(AsAt)&lt;MIN(R576,DAY(EOMONTH(AsAt,0)))))/D576)+1)+O576*(AsAt&gt;='Deal maths'!AA576)),0)</f>
        <v/>
      </c>
      <c r="I576" s="108">
        <f>G576-H576</f>
        <v/>
      </c>
      <c r="J576" s="111">
        <f>IF(AND(C576="EIP",I576&gt;0),'Deal maths'!Y576/I576,0)</f>
        <v/>
      </c>
      <c r="K576" s="111">
        <f>IF(AND(C576="Annuity",I576&gt;0),IF(F576&gt;0,'Deal maths'!Y576*F576/(1-(1+F576)^-I576),'Deal maths'!Y576/I576),0)</f>
        <v/>
      </c>
      <c r="L576" s="111">
        <f>IF('Deal maths'!Y576="",0,'Deal maths'!Y576)</f>
        <v/>
      </c>
      <c r="M576" s="112">
        <f>F576+(F576=0)</f>
        <v/>
      </c>
      <c r="N576" s="108">
        <f>IFERROR(IF(D576=0,0,INT(((YEAR('Deal maths'!AA576)-YEAR(E576))*12+MONTH('Deal maths'!AA576)-MONTH(E576)-(DAY('Deal maths'!AA576)&lt;MIN(R576,DAY(EOMONTH('Deal maths'!AA576,0)))))/D576)+1),0)</f>
        <v/>
      </c>
      <c r="O576" s="108">
        <f>IFERROR(IF(D576=0,0,IF(IF(DAY(E576+1)=1,EOMONTH(E576,(N576-1)*D576),EDATE(E576,(N576-1)*D576))='Deal maths'!AA576,0,1)),0)</f>
        <v/>
      </c>
      <c r="P576" s="113">
        <f>IF(B576=0,0,IFERROR(IF(C576="EIP",((I576-O576)*((IF(DAY(E576+1)=1,EOMONTH(E576,H576*D576),EDATE(E576,H576*D576))-AsAt)/365.25+(IF(DAY(E576+1)=1,EOMONTH(E576,(N576-1)*D576),EDATE(E576,(N576-1)*D576))-AsAt)/365.25)/2+O576*('Deal maths'!AA576-AsAt)/365.25)/I576,IF(C576="Annuity",IF(F576&gt;0,((K576-L576*F576)*((IF(DAY(E576+1)=1,EOMONTH(E576,H576*D576),EDATE(E576,H576*D576))-AsAt)/365.25*((1+F576)^(I576-O576)-1)/F576+IF((I576-O576)&gt;1,((IF(DAY(E576+1)=1,EOMONTH(E576,(N576-1)*D576),EDATE(E576,(N576-1)*D576))-AsAt)/365.25-(IF(DAY(E576+1)=1,EOMONTH(E576,H576*D576),EDATE(E576,H576*D576))-AsAt)/365.25)/((I576-O576)-1),0)*(1+F576)*(1-(I576-O576)*(1+F576)^((I576-O576)-1)+((I576-O576)-1)*(1+F576)^(I576-O576))/F576^2)+O576*(K576-L576*F576)*(1+F576)^(I576-1)*('Deal maths'!AA576-AsAt)/365.25)/L576,((I576-O576)*((IF(DAY(E576+1)=1,EOMONTH(E576,H576*D576),EDATE(E576,H576*D576))-AsAt)/365.25+(IF(DAY(E576+1)=1,EOMONTH(E576,(N576-1)*D576),EDATE(E576,(N576-1)*D576))-AsAt)/365.25)/2+O576*('Deal maths'!AA576-AsAt)/365.25)/I576),(S576-AsAt)/365.25)),0))</f>
        <v/>
      </c>
      <c r="Q576" s="109">
        <f>IF(B576=1,'Deal maths'!AA576+ROW()/1000000,"")</f>
        <v/>
      </c>
      <c r="R576" s="108">
        <f>IF(D576=0,0,IF(DAY(E576+1)=1,31,DAY(E576)))</f>
        <v/>
      </c>
      <c r="S576" s="109">
        <f>IF(AND('Deal maths'!V576="LOBO",'Deal maths'!AG576&gt;AsAt,'Deal maths'!AG576&lt;'Deal maths'!AA576),'Deal maths'!AG576,'Deal maths'!AA576)</f>
        <v/>
      </c>
      <c r="T576" s="108">
        <f>('Deal maths'!AA576&gt;AsAt)*('Deal maths'!Y576&gt;0)</f>
        <v/>
      </c>
    </row>
    <row r="577">
      <c r="A577" s="91">
        <f>IF('Deal maths'!V577="","",'Deal maths'!W577)</f>
        <v/>
      </c>
      <c r="B577" s="108">
        <f>('Deal maths'!AA577&gt;AsAt)*('Deal maths'!Y577&gt;0)*('Deal maths'!Z577&lt;=AsAt)</f>
        <v/>
      </c>
      <c r="C577" s="91">
        <f>IF('Deal maths'!V577="","",IF('Deal maths'!AC577="","Maturity",'Deal maths'!AC577))</f>
        <v/>
      </c>
      <c r="D577" s="108">
        <f>IF(OR(C577="EIP",C577="Annuity"),IF('Deal maths'!AD577="Annual",12,IF('Deal maths'!AD577="Quarterly",3,6)),0)</f>
        <v/>
      </c>
      <c r="E577" s="109">
        <f>IFERROR(IF(D577=0,0,IF('Deal maths'!AE577&gt;0,IF('Deal maths'!AE577&gt;'Deal maths'!AA577,'Deal maths'!AA577,'Deal maths'!AE577),IF(IF(DAY('Deal maths'!AA577+1)=1,EOMONTH('Deal maths'!AA577,-(INT(((YEAR('Deal maths'!AA577)-YEAR(IF('Deal maths'!Z577&gt;0,'Deal maths'!Z577,DATE(1990,1,1))))*12+MONTH('Deal maths'!AA577)-MONTH(IF('Deal maths'!Z577&gt;0,'Deal maths'!Z577,DATE(1990,1,1))))/D577))*D577),EDATE('Deal maths'!AA577,-(INT(((YEAR('Deal maths'!AA577)-YEAR(IF('Deal maths'!Z577&gt;0,'Deal maths'!Z577,DATE(1990,1,1))))*12+MONTH('Deal maths'!AA577)-MONTH(IF('Deal maths'!Z577&gt;0,'Deal maths'!Z577,DATE(1990,1,1))))/D577))*D577))&gt;IF('Deal maths'!Z577&gt;0,'Deal maths'!Z577,DATE(1990,1,1)),IF(DAY('Deal maths'!AA577+1)=1,EOMONTH('Deal maths'!AA577,-(INT(((YEAR('Deal maths'!AA577)-YEAR(IF('Deal maths'!Z577&gt;0,'Deal maths'!Z577,DATE(1990,1,1))))*12+MONTH('Deal maths'!AA577)-MONTH(IF('Deal maths'!Z577&gt;0,'Deal maths'!Z577,DATE(1990,1,1))))/D577))*D577),EDATE('Deal maths'!AA577,-(INT(((YEAR('Deal maths'!AA577)-YEAR(IF('Deal maths'!Z577&gt;0,'Deal maths'!Z577,DATE(1990,1,1))))*12+MONTH('Deal maths'!AA577)-MONTH(IF('Deal maths'!Z577&gt;0,'Deal maths'!Z577,DATE(1990,1,1))))/D577))*D577)),IF(DAY('Deal maths'!AA577+1)=1,EOMONTH('Deal maths'!AA577,-(INT(((YEAR('Deal maths'!AA577)-YEAR(IF('Deal maths'!Z577&gt;0,'Deal maths'!Z577,DATE(1990,1,1))))*12+MONTH('Deal maths'!AA577)-MONTH(IF('Deal maths'!Z577&gt;0,'Deal maths'!Z577,DATE(1990,1,1))))/D577)-1)*D577),EDATE('Deal maths'!AA577,-(INT(((YEAR('Deal maths'!AA577)-YEAR(IF('Deal maths'!Z577&gt;0,'Deal maths'!Z577,DATE(1990,1,1))))*12+MONTH('Deal maths'!AA577)-MONTH(IF('Deal maths'!Z577&gt;0,'Deal maths'!Z577,DATE(1990,1,1))))/D577)-1)*D577))))),0)</f>
        <v/>
      </c>
      <c r="F577" s="110">
        <f>IF(D577=0,0,'Deal maths'!AB577*D577/12)</f>
        <v/>
      </c>
      <c r="G577" s="108">
        <f>N577+O577</f>
        <v/>
      </c>
      <c r="H577" s="108">
        <f>IFERROR(IF(OR(D577=0,AsAt&lt;E577),0,MIN(N577,INT(((YEAR(AsAt)-YEAR(E577))*12+MONTH(AsAt)-MONTH(E577)-(DAY(AsAt)&lt;MIN(R577,DAY(EOMONTH(AsAt,0)))))/D577)+1)+O577*(AsAt&gt;='Deal maths'!AA577)),0)</f>
        <v/>
      </c>
      <c r="I577" s="108">
        <f>G577-H577</f>
        <v/>
      </c>
      <c r="J577" s="111">
        <f>IF(AND(C577="EIP",I577&gt;0),'Deal maths'!Y577/I577,0)</f>
        <v/>
      </c>
      <c r="K577" s="111">
        <f>IF(AND(C577="Annuity",I577&gt;0),IF(F577&gt;0,'Deal maths'!Y577*F577/(1-(1+F577)^-I577),'Deal maths'!Y577/I577),0)</f>
        <v/>
      </c>
      <c r="L577" s="111">
        <f>IF('Deal maths'!Y577="",0,'Deal maths'!Y577)</f>
        <v/>
      </c>
      <c r="M577" s="112">
        <f>F577+(F577=0)</f>
        <v/>
      </c>
      <c r="N577" s="108">
        <f>IFERROR(IF(D577=0,0,INT(((YEAR('Deal maths'!AA577)-YEAR(E577))*12+MONTH('Deal maths'!AA577)-MONTH(E577)-(DAY('Deal maths'!AA577)&lt;MIN(R577,DAY(EOMONTH('Deal maths'!AA577,0)))))/D577)+1),0)</f>
        <v/>
      </c>
      <c r="O577" s="108">
        <f>IFERROR(IF(D577=0,0,IF(IF(DAY(E577+1)=1,EOMONTH(E577,(N577-1)*D577),EDATE(E577,(N577-1)*D577))='Deal maths'!AA577,0,1)),0)</f>
        <v/>
      </c>
      <c r="P577" s="113">
        <f>IF(B577=0,0,IFERROR(IF(C577="EIP",((I577-O577)*((IF(DAY(E577+1)=1,EOMONTH(E577,H577*D577),EDATE(E577,H577*D577))-AsAt)/365.25+(IF(DAY(E577+1)=1,EOMONTH(E577,(N577-1)*D577),EDATE(E577,(N577-1)*D577))-AsAt)/365.25)/2+O577*('Deal maths'!AA577-AsAt)/365.25)/I577,IF(C577="Annuity",IF(F577&gt;0,((K577-L577*F577)*((IF(DAY(E577+1)=1,EOMONTH(E577,H577*D577),EDATE(E577,H577*D577))-AsAt)/365.25*((1+F577)^(I577-O577)-1)/F577+IF((I577-O577)&gt;1,((IF(DAY(E577+1)=1,EOMONTH(E577,(N577-1)*D577),EDATE(E577,(N577-1)*D577))-AsAt)/365.25-(IF(DAY(E577+1)=1,EOMONTH(E577,H577*D577),EDATE(E577,H577*D577))-AsAt)/365.25)/((I577-O577)-1),0)*(1+F577)*(1-(I577-O577)*(1+F577)^((I577-O577)-1)+((I577-O577)-1)*(1+F577)^(I577-O577))/F577^2)+O577*(K577-L577*F577)*(1+F577)^(I577-1)*('Deal maths'!AA577-AsAt)/365.25)/L577,((I577-O577)*((IF(DAY(E577+1)=1,EOMONTH(E577,H577*D577),EDATE(E577,H577*D577))-AsAt)/365.25+(IF(DAY(E577+1)=1,EOMONTH(E577,(N577-1)*D577),EDATE(E577,(N577-1)*D577))-AsAt)/365.25)/2+O577*('Deal maths'!AA577-AsAt)/365.25)/I577),(S577-AsAt)/365.25)),0))</f>
        <v/>
      </c>
      <c r="Q577" s="109">
        <f>IF(B577=1,'Deal maths'!AA577+ROW()/1000000,"")</f>
        <v/>
      </c>
      <c r="R577" s="108">
        <f>IF(D577=0,0,IF(DAY(E577+1)=1,31,DAY(E577)))</f>
        <v/>
      </c>
      <c r="S577" s="109">
        <f>IF(AND('Deal maths'!V577="LOBO",'Deal maths'!AG577&gt;AsAt,'Deal maths'!AG577&lt;'Deal maths'!AA577),'Deal maths'!AG577,'Deal maths'!AA577)</f>
        <v/>
      </c>
      <c r="T577" s="108">
        <f>('Deal maths'!AA577&gt;AsAt)*('Deal maths'!Y577&gt;0)</f>
        <v/>
      </c>
    </row>
    <row r="578">
      <c r="A578" s="91">
        <f>IF('Deal maths'!V578="","",'Deal maths'!W578)</f>
        <v/>
      </c>
      <c r="B578" s="108">
        <f>('Deal maths'!AA578&gt;AsAt)*('Deal maths'!Y578&gt;0)*('Deal maths'!Z578&lt;=AsAt)</f>
        <v/>
      </c>
      <c r="C578" s="91">
        <f>IF('Deal maths'!V578="","",IF('Deal maths'!AC578="","Maturity",'Deal maths'!AC578))</f>
        <v/>
      </c>
      <c r="D578" s="108">
        <f>IF(OR(C578="EIP",C578="Annuity"),IF('Deal maths'!AD578="Annual",12,IF('Deal maths'!AD578="Quarterly",3,6)),0)</f>
        <v/>
      </c>
      <c r="E578" s="109">
        <f>IFERROR(IF(D578=0,0,IF('Deal maths'!AE578&gt;0,IF('Deal maths'!AE578&gt;'Deal maths'!AA578,'Deal maths'!AA578,'Deal maths'!AE578),IF(IF(DAY('Deal maths'!AA578+1)=1,EOMONTH('Deal maths'!AA578,-(INT(((YEAR('Deal maths'!AA578)-YEAR(IF('Deal maths'!Z578&gt;0,'Deal maths'!Z578,DATE(1990,1,1))))*12+MONTH('Deal maths'!AA578)-MONTH(IF('Deal maths'!Z578&gt;0,'Deal maths'!Z578,DATE(1990,1,1))))/D578))*D578),EDATE('Deal maths'!AA578,-(INT(((YEAR('Deal maths'!AA578)-YEAR(IF('Deal maths'!Z578&gt;0,'Deal maths'!Z578,DATE(1990,1,1))))*12+MONTH('Deal maths'!AA578)-MONTH(IF('Deal maths'!Z578&gt;0,'Deal maths'!Z578,DATE(1990,1,1))))/D578))*D578))&gt;IF('Deal maths'!Z578&gt;0,'Deal maths'!Z578,DATE(1990,1,1)),IF(DAY('Deal maths'!AA578+1)=1,EOMONTH('Deal maths'!AA578,-(INT(((YEAR('Deal maths'!AA578)-YEAR(IF('Deal maths'!Z578&gt;0,'Deal maths'!Z578,DATE(1990,1,1))))*12+MONTH('Deal maths'!AA578)-MONTH(IF('Deal maths'!Z578&gt;0,'Deal maths'!Z578,DATE(1990,1,1))))/D578))*D578),EDATE('Deal maths'!AA578,-(INT(((YEAR('Deal maths'!AA578)-YEAR(IF('Deal maths'!Z578&gt;0,'Deal maths'!Z578,DATE(1990,1,1))))*12+MONTH('Deal maths'!AA578)-MONTH(IF('Deal maths'!Z578&gt;0,'Deal maths'!Z578,DATE(1990,1,1))))/D578))*D578)),IF(DAY('Deal maths'!AA578+1)=1,EOMONTH('Deal maths'!AA578,-(INT(((YEAR('Deal maths'!AA578)-YEAR(IF('Deal maths'!Z578&gt;0,'Deal maths'!Z578,DATE(1990,1,1))))*12+MONTH('Deal maths'!AA578)-MONTH(IF('Deal maths'!Z578&gt;0,'Deal maths'!Z578,DATE(1990,1,1))))/D578)-1)*D578),EDATE('Deal maths'!AA578,-(INT(((YEAR('Deal maths'!AA578)-YEAR(IF('Deal maths'!Z578&gt;0,'Deal maths'!Z578,DATE(1990,1,1))))*12+MONTH('Deal maths'!AA578)-MONTH(IF('Deal maths'!Z578&gt;0,'Deal maths'!Z578,DATE(1990,1,1))))/D578)-1)*D578))))),0)</f>
        <v/>
      </c>
      <c r="F578" s="110">
        <f>IF(D578=0,0,'Deal maths'!AB578*D578/12)</f>
        <v/>
      </c>
      <c r="G578" s="108">
        <f>N578+O578</f>
        <v/>
      </c>
      <c r="H578" s="108">
        <f>IFERROR(IF(OR(D578=0,AsAt&lt;E578),0,MIN(N578,INT(((YEAR(AsAt)-YEAR(E578))*12+MONTH(AsAt)-MONTH(E578)-(DAY(AsAt)&lt;MIN(R578,DAY(EOMONTH(AsAt,0)))))/D578)+1)+O578*(AsAt&gt;='Deal maths'!AA578)),0)</f>
        <v/>
      </c>
      <c r="I578" s="108">
        <f>G578-H578</f>
        <v/>
      </c>
      <c r="J578" s="111">
        <f>IF(AND(C578="EIP",I578&gt;0),'Deal maths'!Y578/I578,0)</f>
        <v/>
      </c>
      <c r="K578" s="111">
        <f>IF(AND(C578="Annuity",I578&gt;0),IF(F578&gt;0,'Deal maths'!Y578*F578/(1-(1+F578)^-I578),'Deal maths'!Y578/I578),0)</f>
        <v/>
      </c>
      <c r="L578" s="111">
        <f>IF('Deal maths'!Y578="",0,'Deal maths'!Y578)</f>
        <v/>
      </c>
      <c r="M578" s="112">
        <f>F578+(F578=0)</f>
        <v/>
      </c>
      <c r="N578" s="108">
        <f>IFERROR(IF(D578=0,0,INT(((YEAR('Deal maths'!AA578)-YEAR(E578))*12+MONTH('Deal maths'!AA578)-MONTH(E578)-(DAY('Deal maths'!AA578)&lt;MIN(R578,DAY(EOMONTH('Deal maths'!AA578,0)))))/D578)+1),0)</f>
        <v/>
      </c>
      <c r="O578" s="108">
        <f>IFERROR(IF(D578=0,0,IF(IF(DAY(E578+1)=1,EOMONTH(E578,(N578-1)*D578),EDATE(E578,(N578-1)*D578))='Deal maths'!AA578,0,1)),0)</f>
        <v/>
      </c>
      <c r="P578" s="113">
        <f>IF(B578=0,0,IFERROR(IF(C578="EIP",((I578-O578)*((IF(DAY(E578+1)=1,EOMONTH(E578,H578*D578),EDATE(E578,H578*D578))-AsAt)/365.25+(IF(DAY(E578+1)=1,EOMONTH(E578,(N578-1)*D578),EDATE(E578,(N578-1)*D578))-AsAt)/365.25)/2+O578*('Deal maths'!AA578-AsAt)/365.25)/I578,IF(C578="Annuity",IF(F578&gt;0,((K578-L578*F578)*((IF(DAY(E578+1)=1,EOMONTH(E578,H578*D578),EDATE(E578,H578*D578))-AsAt)/365.25*((1+F578)^(I578-O578)-1)/F578+IF((I578-O578)&gt;1,((IF(DAY(E578+1)=1,EOMONTH(E578,(N578-1)*D578),EDATE(E578,(N578-1)*D578))-AsAt)/365.25-(IF(DAY(E578+1)=1,EOMONTH(E578,H578*D578),EDATE(E578,H578*D578))-AsAt)/365.25)/((I578-O578)-1),0)*(1+F578)*(1-(I578-O578)*(1+F578)^((I578-O578)-1)+((I578-O578)-1)*(1+F578)^(I578-O578))/F578^2)+O578*(K578-L578*F578)*(1+F578)^(I578-1)*('Deal maths'!AA578-AsAt)/365.25)/L578,((I578-O578)*((IF(DAY(E578+1)=1,EOMONTH(E578,H578*D578),EDATE(E578,H578*D578))-AsAt)/365.25+(IF(DAY(E578+1)=1,EOMONTH(E578,(N578-1)*D578),EDATE(E578,(N578-1)*D578))-AsAt)/365.25)/2+O578*('Deal maths'!AA578-AsAt)/365.25)/I578),(S578-AsAt)/365.25)),0))</f>
        <v/>
      </c>
      <c r="Q578" s="109">
        <f>IF(B578=1,'Deal maths'!AA578+ROW()/1000000,"")</f>
        <v/>
      </c>
      <c r="R578" s="108">
        <f>IF(D578=0,0,IF(DAY(E578+1)=1,31,DAY(E578)))</f>
        <v/>
      </c>
      <c r="S578" s="109">
        <f>IF(AND('Deal maths'!V578="LOBO",'Deal maths'!AG578&gt;AsAt,'Deal maths'!AG578&lt;'Deal maths'!AA578),'Deal maths'!AG578,'Deal maths'!AA578)</f>
        <v/>
      </c>
      <c r="T578" s="108">
        <f>('Deal maths'!AA578&gt;AsAt)*('Deal maths'!Y578&gt;0)</f>
        <v/>
      </c>
    </row>
    <row r="579">
      <c r="A579" s="91">
        <f>IF('Deal maths'!V579="","",'Deal maths'!W579)</f>
        <v/>
      </c>
      <c r="B579" s="108">
        <f>('Deal maths'!AA579&gt;AsAt)*('Deal maths'!Y579&gt;0)*('Deal maths'!Z579&lt;=AsAt)</f>
        <v/>
      </c>
      <c r="C579" s="91">
        <f>IF('Deal maths'!V579="","",IF('Deal maths'!AC579="","Maturity",'Deal maths'!AC579))</f>
        <v/>
      </c>
      <c r="D579" s="108">
        <f>IF(OR(C579="EIP",C579="Annuity"),IF('Deal maths'!AD579="Annual",12,IF('Deal maths'!AD579="Quarterly",3,6)),0)</f>
        <v/>
      </c>
      <c r="E579" s="109">
        <f>IFERROR(IF(D579=0,0,IF('Deal maths'!AE579&gt;0,IF('Deal maths'!AE579&gt;'Deal maths'!AA579,'Deal maths'!AA579,'Deal maths'!AE579),IF(IF(DAY('Deal maths'!AA579+1)=1,EOMONTH('Deal maths'!AA579,-(INT(((YEAR('Deal maths'!AA579)-YEAR(IF('Deal maths'!Z579&gt;0,'Deal maths'!Z579,DATE(1990,1,1))))*12+MONTH('Deal maths'!AA579)-MONTH(IF('Deal maths'!Z579&gt;0,'Deal maths'!Z579,DATE(1990,1,1))))/D579))*D579),EDATE('Deal maths'!AA579,-(INT(((YEAR('Deal maths'!AA579)-YEAR(IF('Deal maths'!Z579&gt;0,'Deal maths'!Z579,DATE(1990,1,1))))*12+MONTH('Deal maths'!AA579)-MONTH(IF('Deal maths'!Z579&gt;0,'Deal maths'!Z579,DATE(1990,1,1))))/D579))*D579))&gt;IF('Deal maths'!Z579&gt;0,'Deal maths'!Z579,DATE(1990,1,1)),IF(DAY('Deal maths'!AA579+1)=1,EOMONTH('Deal maths'!AA579,-(INT(((YEAR('Deal maths'!AA579)-YEAR(IF('Deal maths'!Z579&gt;0,'Deal maths'!Z579,DATE(1990,1,1))))*12+MONTH('Deal maths'!AA579)-MONTH(IF('Deal maths'!Z579&gt;0,'Deal maths'!Z579,DATE(1990,1,1))))/D579))*D579),EDATE('Deal maths'!AA579,-(INT(((YEAR('Deal maths'!AA579)-YEAR(IF('Deal maths'!Z579&gt;0,'Deal maths'!Z579,DATE(1990,1,1))))*12+MONTH('Deal maths'!AA579)-MONTH(IF('Deal maths'!Z579&gt;0,'Deal maths'!Z579,DATE(1990,1,1))))/D579))*D579)),IF(DAY('Deal maths'!AA579+1)=1,EOMONTH('Deal maths'!AA579,-(INT(((YEAR('Deal maths'!AA579)-YEAR(IF('Deal maths'!Z579&gt;0,'Deal maths'!Z579,DATE(1990,1,1))))*12+MONTH('Deal maths'!AA579)-MONTH(IF('Deal maths'!Z579&gt;0,'Deal maths'!Z579,DATE(1990,1,1))))/D579)-1)*D579),EDATE('Deal maths'!AA579,-(INT(((YEAR('Deal maths'!AA579)-YEAR(IF('Deal maths'!Z579&gt;0,'Deal maths'!Z579,DATE(1990,1,1))))*12+MONTH('Deal maths'!AA579)-MONTH(IF('Deal maths'!Z579&gt;0,'Deal maths'!Z579,DATE(1990,1,1))))/D579)-1)*D579))))),0)</f>
        <v/>
      </c>
      <c r="F579" s="110">
        <f>IF(D579=0,0,'Deal maths'!AB579*D579/12)</f>
        <v/>
      </c>
      <c r="G579" s="108">
        <f>N579+O579</f>
        <v/>
      </c>
      <c r="H579" s="108">
        <f>IFERROR(IF(OR(D579=0,AsAt&lt;E579),0,MIN(N579,INT(((YEAR(AsAt)-YEAR(E579))*12+MONTH(AsAt)-MONTH(E579)-(DAY(AsAt)&lt;MIN(R579,DAY(EOMONTH(AsAt,0)))))/D579)+1)+O579*(AsAt&gt;='Deal maths'!AA579)),0)</f>
        <v/>
      </c>
      <c r="I579" s="108">
        <f>G579-H579</f>
        <v/>
      </c>
      <c r="J579" s="111">
        <f>IF(AND(C579="EIP",I579&gt;0),'Deal maths'!Y579/I579,0)</f>
        <v/>
      </c>
      <c r="K579" s="111">
        <f>IF(AND(C579="Annuity",I579&gt;0),IF(F579&gt;0,'Deal maths'!Y579*F579/(1-(1+F579)^-I579),'Deal maths'!Y579/I579),0)</f>
        <v/>
      </c>
      <c r="L579" s="111">
        <f>IF('Deal maths'!Y579="",0,'Deal maths'!Y579)</f>
        <v/>
      </c>
      <c r="M579" s="112">
        <f>F579+(F579=0)</f>
        <v/>
      </c>
      <c r="N579" s="108">
        <f>IFERROR(IF(D579=0,0,INT(((YEAR('Deal maths'!AA579)-YEAR(E579))*12+MONTH('Deal maths'!AA579)-MONTH(E579)-(DAY('Deal maths'!AA579)&lt;MIN(R579,DAY(EOMONTH('Deal maths'!AA579,0)))))/D579)+1),0)</f>
        <v/>
      </c>
      <c r="O579" s="108">
        <f>IFERROR(IF(D579=0,0,IF(IF(DAY(E579+1)=1,EOMONTH(E579,(N579-1)*D579),EDATE(E579,(N579-1)*D579))='Deal maths'!AA579,0,1)),0)</f>
        <v/>
      </c>
      <c r="P579" s="113">
        <f>IF(B579=0,0,IFERROR(IF(C579="EIP",((I579-O579)*((IF(DAY(E579+1)=1,EOMONTH(E579,H579*D579),EDATE(E579,H579*D579))-AsAt)/365.25+(IF(DAY(E579+1)=1,EOMONTH(E579,(N579-1)*D579),EDATE(E579,(N579-1)*D579))-AsAt)/365.25)/2+O579*('Deal maths'!AA579-AsAt)/365.25)/I579,IF(C579="Annuity",IF(F579&gt;0,((K579-L579*F579)*((IF(DAY(E579+1)=1,EOMONTH(E579,H579*D579),EDATE(E579,H579*D579))-AsAt)/365.25*((1+F579)^(I579-O579)-1)/F579+IF((I579-O579)&gt;1,((IF(DAY(E579+1)=1,EOMONTH(E579,(N579-1)*D579),EDATE(E579,(N579-1)*D579))-AsAt)/365.25-(IF(DAY(E579+1)=1,EOMONTH(E579,H579*D579),EDATE(E579,H579*D579))-AsAt)/365.25)/((I579-O579)-1),0)*(1+F579)*(1-(I579-O579)*(1+F579)^((I579-O579)-1)+((I579-O579)-1)*(1+F579)^(I579-O579))/F579^2)+O579*(K579-L579*F579)*(1+F579)^(I579-1)*('Deal maths'!AA579-AsAt)/365.25)/L579,((I579-O579)*((IF(DAY(E579+1)=1,EOMONTH(E579,H579*D579),EDATE(E579,H579*D579))-AsAt)/365.25+(IF(DAY(E579+1)=1,EOMONTH(E579,(N579-1)*D579),EDATE(E579,(N579-1)*D579))-AsAt)/365.25)/2+O579*('Deal maths'!AA579-AsAt)/365.25)/I579),(S579-AsAt)/365.25)),0))</f>
        <v/>
      </c>
      <c r="Q579" s="109">
        <f>IF(B579=1,'Deal maths'!AA579+ROW()/1000000,"")</f>
        <v/>
      </c>
      <c r="R579" s="108">
        <f>IF(D579=0,0,IF(DAY(E579+1)=1,31,DAY(E579)))</f>
        <v/>
      </c>
      <c r="S579" s="109">
        <f>IF(AND('Deal maths'!V579="LOBO",'Deal maths'!AG579&gt;AsAt,'Deal maths'!AG579&lt;'Deal maths'!AA579),'Deal maths'!AG579,'Deal maths'!AA579)</f>
        <v/>
      </c>
      <c r="T579" s="108">
        <f>('Deal maths'!AA579&gt;AsAt)*('Deal maths'!Y579&gt;0)</f>
        <v/>
      </c>
    </row>
    <row r="580">
      <c r="A580" s="91">
        <f>IF('Deal maths'!V580="","",'Deal maths'!W580)</f>
        <v/>
      </c>
      <c r="B580" s="108">
        <f>('Deal maths'!AA580&gt;AsAt)*('Deal maths'!Y580&gt;0)*('Deal maths'!Z580&lt;=AsAt)</f>
        <v/>
      </c>
      <c r="C580" s="91">
        <f>IF('Deal maths'!V580="","",IF('Deal maths'!AC580="","Maturity",'Deal maths'!AC580))</f>
        <v/>
      </c>
      <c r="D580" s="108">
        <f>IF(OR(C580="EIP",C580="Annuity"),IF('Deal maths'!AD580="Annual",12,IF('Deal maths'!AD580="Quarterly",3,6)),0)</f>
        <v/>
      </c>
      <c r="E580" s="109">
        <f>IFERROR(IF(D580=0,0,IF('Deal maths'!AE580&gt;0,IF('Deal maths'!AE580&gt;'Deal maths'!AA580,'Deal maths'!AA580,'Deal maths'!AE580),IF(IF(DAY('Deal maths'!AA580+1)=1,EOMONTH('Deal maths'!AA580,-(INT(((YEAR('Deal maths'!AA580)-YEAR(IF('Deal maths'!Z580&gt;0,'Deal maths'!Z580,DATE(1990,1,1))))*12+MONTH('Deal maths'!AA580)-MONTH(IF('Deal maths'!Z580&gt;0,'Deal maths'!Z580,DATE(1990,1,1))))/D580))*D580),EDATE('Deal maths'!AA580,-(INT(((YEAR('Deal maths'!AA580)-YEAR(IF('Deal maths'!Z580&gt;0,'Deal maths'!Z580,DATE(1990,1,1))))*12+MONTH('Deal maths'!AA580)-MONTH(IF('Deal maths'!Z580&gt;0,'Deal maths'!Z580,DATE(1990,1,1))))/D580))*D580))&gt;IF('Deal maths'!Z580&gt;0,'Deal maths'!Z580,DATE(1990,1,1)),IF(DAY('Deal maths'!AA580+1)=1,EOMONTH('Deal maths'!AA580,-(INT(((YEAR('Deal maths'!AA580)-YEAR(IF('Deal maths'!Z580&gt;0,'Deal maths'!Z580,DATE(1990,1,1))))*12+MONTH('Deal maths'!AA580)-MONTH(IF('Deal maths'!Z580&gt;0,'Deal maths'!Z580,DATE(1990,1,1))))/D580))*D580),EDATE('Deal maths'!AA580,-(INT(((YEAR('Deal maths'!AA580)-YEAR(IF('Deal maths'!Z580&gt;0,'Deal maths'!Z580,DATE(1990,1,1))))*12+MONTH('Deal maths'!AA580)-MONTH(IF('Deal maths'!Z580&gt;0,'Deal maths'!Z580,DATE(1990,1,1))))/D580))*D580)),IF(DAY('Deal maths'!AA580+1)=1,EOMONTH('Deal maths'!AA580,-(INT(((YEAR('Deal maths'!AA580)-YEAR(IF('Deal maths'!Z580&gt;0,'Deal maths'!Z580,DATE(1990,1,1))))*12+MONTH('Deal maths'!AA580)-MONTH(IF('Deal maths'!Z580&gt;0,'Deal maths'!Z580,DATE(1990,1,1))))/D580)-1)*D580),EDATE('Deal maths'!AA580,-(INT(((YEAR('Deal maths'!AA580)-YEAR(IF('Deal maths'!Z580&gt;0,'Deal maths'!Z580,DATE(1990,1,1))))*12+MONTH('Deal maths'!AA580)-MONTH(IF('Deal maths'!Z580&gt;0,'Deal maths'!Z580,DATE(1990,1,1))))/D580)-1)*D580))))),0)</f>
        <v/>
      </c>
      <c r="F580" s="110">
        <f>IF(D580=0,0,'Deal maths'!AB580*D580/12)</f>
        <v/>
      </c>
      <c r="G580" s="108">
        <f>N580+O580</f>
        <v/>
      </c>
      <c r="H580" s="108">
        <f>IFERROR(IF(OR(D580=0,AsAt&lt;E580),0,MIN(N580,INT(((YEAR(AsAt)-YEAR(E580))*12+MONTH(AsAt)-MONTH(E580)-(DAY(AsAt)&lt;MIN(R580,DAY(EOMONTH(AsAt,0)))))/D580)+1)+O580*(AsAt&gt;='Deal maths'!AA580)),0)</f>
        <v/>
      </c>
      <c r="I580" s="108">
        <f>G580-H580</f>
        <v/>
      </c>
      <c r="J580" s="111">
        <f>IF(AND(C580="EIP",I580&gt;0),'Deal maths'!Y580/I580,0)</f>
        <v/>
      </c>
      <c r="K580" s="111">
        <f>IF(AND(C580="Annuity",I580&gt;0),IF(F580&gt;0,'Deal maths'!Y580*F580/(1-(1+F580)^-I580),'Deal maths'!Y580/I580),0)</f>
        <v/>
      </c>
      <c r="L580" s="111">
        <f>IF('Deal maths'!Y580="",0,'Deal maths'!Y580)</f>
        <v/>
      </c>
      <c r="M580" s="112">
        <f>F580+(F580=0)</f>
        <v/>
      </c>
      <c r="N580" s="108">
        <f>IFERROR(IF(D580=0,0,INT(((YEAR('Deal maths'!AA580)-YEAR(E580))*12+MONTH('Deal maths'!AA580)-MONTH(E580)-(DAY('Deal maths'!AA580)&lt;MIN(R580,DAY(EOMONTH('Deal maths'!AA580,0)))))/D580)+1),0)</f>
        <v/>
      </c>
      <c r="O580" s="108">
        <f>IFERROR(IF(D580=0,0,IF(IF(DAY(E580+1)=1,EOMONTH(E580,(N580-1)*D580),EDATE(E580,(N580-1)*D580))='Deal maths'!AA580,0,1)),0)</f>
        <v/>
      </c>
      <c r="P580" s="113">
        <f>IF(B580=0,0,IFERROR(IF(C580="EIP",((I580-O580)*((IF(DAY(E580+1)=1,EOMONTH(E580,H580*D580),EDATE(E580,H580*D580))-AsAt)/365.25+(IF(DAY(E580+1)=1,EOMONTH(E580,(N580-1)*D580),EDATE(E580,(N580-1)*D580))-AsAt)/365.25)/2+O580*('Deal maths'!AA580-AsAt)/365.25)/I580,IF(C580="Annuity",IF(F580&gt;0,((K580-L580*F580)*((IF(DAY(E580+1)=1,EOMONTH(E580,H580*D580),EDATE(E580,H580*D580))-AsAt)/365.25*((1+F580)^(I580-O580)-1)/F580+IF((I580-O580)&gt;1,((IF(DAY(E580+1)=1,EOMONTH(E580,(N580-1)*D580),EDATE(E580,(N580-1)*D580))-AsAt)/365.25-(IF(DAY(E580+1)=1,EOMONTH(E580,H580*D580),EDATE(E580,H580*D580))-AsAt)/365.25)/((I580-O580)-1),0)*(1+F580)*(1-(I580-O580)*(1+F580)^((I580-O580)-1)+((I580-O580)-1)*(1+F580)^(I580-O580))/F580^2)+O580*(K580-L580*F580)*(1+F580)^(I580-1)*('Deal maths'!AA580-AsAt)/365.25)/L580,((I580-O580)*((IF(DAY(E580+1)=1,EOMONTH(E580,H580*D580),EDATE(E580,H580*D580))-AsAt)/365.25+(IF(DAY(E580+1)=1,EOMONTH(E580,(N580-1)*D580),EDATE(E580,(N580-1)*D580))-AsAt)/365.25)/2+O580*('Deal maths'!AA580-AsAt)/365.25)/I580),(S580-AsAt)/365.25)),0))</f>
        <v/>
      </c>
      <c r="Q580" s="109">
        <f>IF(B580=1,'Deal maths'!AA580+ROW()/1000000,"")</f>
        <v/>
      </c>
      <c r="R580" s="108">
        <f>IF(D580=0,0,IF(DAY(E580+1)=1,31,DAY(E580)))</f>
        <v/>
      </c>
      <c r="S580" s="109">
        <f>IF(AND('Deal maths'!V580="LOBO",'Deal maths'!AG580&gt;AsAt,'Deal maths'!AG580&lt;'Deal maths'!AA580),'Deal maths'!AG580,'Deal maths'!AA580)</f>
        <v/>
      </c>
      <c r="T580" s="108">
        <f>('Deal maths'!AA580&gt;AsAt)*('Deal maths'!Y580&gt;0)</f>
        <v/>
      </c>
    </row>
    <row r="581">
      <c r="A581" s="91">
        <f>IF('Deal maths'!V581="","",'Deal maths'!W581)</f>
        <v/>
      </c>
      <c r="B581" s="108">
        <f>('Deal maths'!AA581&gt;AsAt)*('Deal maths'!Y581&gt;0)*('Deal maths'!Z581&lt;=AsAt)</f>
        <v/>
      </c>
      <c r="C581" s="91">
        <f>IF('Deal maths'!V581="","",IF('Deal maths'!AC581="","Maturity",'Deal maths'!AC581))</f>
        <v/>
      </c>
      <c r="D581" s="108">
        <f>IF(OR(C581="EIP",C581="Annuity"),IF('Deal maths'!AD581="Annual",12,IF('Deal maths'!AD581="Quarterly",3,6)),0)</f>
        <v/>
      </c>
      <c r="E581" s="109">
        <f>IFERROR(IF(D581=0,0,IF('Deal maths'!AE581&gt;0,IF('Deal maths'!AE581&gt;'Deal maths'!AA581,'Deal maths'!AA581,'Deal maths'!AE581),IF(IF(DAY('Deal maths'!AA581+1)=1,EOMONTH('Deal maths'!AA581,-(INT(((YEAR('Deal maths'!AA581)-YEAR(IF('Deal maths'!Z581&gt;0,'Deal maths'!Z581,DATE(1990,1,1))))*12+MONTH('Deal maths'!AA581)-MONTH(IF('Deal maths'!Z581&gt;0,'Deal maths'!Z581,DATE(1990,1,1))))/D581))*D581),EDATE('Deal maths'!AA581,-(INT(((YEAR('Deal maths'!AA581)-YEAR(IF('Deal maths'!Z581&gt;0,'Deal maths'!Z581,DATE(1990,1,1))))*12+MONTH('Deal maths'!AA581)-MONTH(IF('Deal maths'!Z581&gt;0,'Deal maths'!Z581,DATE(1990,1,1))))/D581))*D581))&gt;IF('Deal maths'!Z581&gt;0,'Deal maths'!Z581,DATE(1990,1,1)),IF(DAY('Deal maths'!AA581+1)=1,EOMONTH('Deal maths'!AA581,-(INT(((YEAR('Deal maths'!AA581)-YEAR(IF('Deal maths'!Z581&gt;0,'Deal maths'!Z581,DATE(1990,1,1))))*12+MONTH('Deal maths'!AA581)-MONTH(IF('Deal maths'!Z581&gt;0,'Deal maths'!Z581,DATE(1990,1,1))))/D581))*D581),EDATE('Deal maths'!AA581,-(INT(((YEAR('Deal maths'!AA581)-YEAR(IF('Deal maths'!Z581&gt;0,'Deal maths'!Z581,DATE(1990,1,1))))*12+MONTH('Deal maths'!AA581)-MONTH(IF('Deal maths'!Z581&gt;0,'Deal maths'!Z581,DATE(1990,1,1))))/D581))*D581)),IF(DAY('Deal maths'!AA581+1)=1,EOMONTH('Deal maths'!AA581,-(INT(((YEAR('Deal maths'!AA581)-YEAR(IF('Deal maths'!Z581&gt;0,'Deal maths'!Z581,DATE(1990,1,1))))*12+MONTH('Deal maths'!AA581)-MONTH(IF('Deal maths'!Z581&gt;0,'Deal maths'!Z581,DATE(1990,1,1))))/D581)-1)*D581),EDATE('Deal maths'!AA581,-(INT(((YEAR('Deal maths'!AA581)-YEAR(IF('Deal maths'!Z581&gt;0,'Deal maths'!Z581,DATE(1990,1,1))))*12+MONTH('Deal maths'!AA581)-MONTH(IF('Deal maths'!Z581&gt;0,'Deal maths'!Z581,DATE(1990,1,1))))/D581)-1)*D581))))),0)</f>
        <v/>
      </c>
      <c r="F581" s="110">
        <f>IF(D581=0,0,'Deal maths'!AB581*D581/12)</f>
        <v/>
      </c>
      <c r="G581" s="108">
        <f>N581+O581</f>
        <v/>
      </c>
      <c r="H581" s="108">
        <f>IFERROR(IF(OR(D581=0,AsAt&lt;E581),0,MIN(N581,INT(((YEAR(AsAt)-YEAR(E581))*12+MONTH(AsAt)-MONTH(E581)-(DAY(AsAt)&lt;MIN(R581,DAY(EOMONTH(AsAt,0)))))/D581)+1)+O581*(AsAt&gt;='Deal maths'!AA581)),0)</f>
        <v/>
      </c>
      <c r="I581" s="108">
        <f>G581-H581</f>
        <v/>
      </c>
      <c r="J581" s="111">
        <f>IF(AND(C581="EIP",I581&gt;0),'Deal maths'!Y581/I581,0)</f>
        <v/>
      </c>
      <c r="K581" s="111">
        <f>IF(AND(C581="Annuity",I581&gt;0),IF(F581&gt;0,'Deal maths'!Y581*F581/(1-(1+F581)^-I581),'Deal maths'!Y581/I581),0)</f>
        <v/>
      </c>
      <c r="L581" s="111">
        <f>IF('Deal maths'!Y581="",0,'Deal maths'!Y581)</f>
        <v/>
      </c>
      <c r="M581" s="112">
        <f>F581+(F581=0)</f>
        <v/>
      </c>
      <c r="N581" s="108">
        <f>IFERROR(IF(D581=0,0,INT(((YEAR('Deal maths'!AA581)-YEAR(E581))*12+MONTH('Deal maths'!AA581)-MONTH(E581)-(DAY('Deal maths'!AA581)&lt;MIN(R581,DAY(EOMONTH('Deal maths'!AA581,0)))))/D581)+1),0)</f>
        <v/>
      </c>
      <c r="O581" s="108">
        <f>IFERROR(IF(D581=0,0,IF(IF(DAY(E581+1)=1,EOMONTH(E581,(N581-1)*D581),EDATE(E581,(N581-1)*D581))='Deal maths'!AA581,0,1)),0)</f>
        <v/>
      </c>
      <c r="P581" s="113">
        <f>IF(B581=0,0,IFERROR(IF(C581="EIP",((I581-O581)*((IF(DAY(E581+1)=1,EOMONTH(E581,H581*D581),EDATE(E581,H581*D581))-AsAt)/365.25+(IF(DAY(E581+1)=1,EOMONTH(E581,(N581-1)*D581),EDATE(E581,(N581-1)*D581))-AsAt)/365.25)/2+O581*('Deal maths'!AA581-AsAt)/365.25)/I581,IF(C581="Annuity",IF(F581&gt;0,((K581-L581*F581)*((IF(DAY(E581+1)=1,EOMONTH(E581,H581*D581),EDATE(E581,H581*D581))-AsAt)/365.25*((1+F581)^(I581-O581)-1)/F581+IF((I581-O581)&gt;1,((IF(DAY(E581+1)=1,EOMONTH(E581,(N581-1)*D581),EDATE(E581,(N581-1)*D581))-AsAt)/365.25-(IF(DAY(E581+1)=1,EOMONTH(E581,H581*D581),EDATE(E581,H581*D581))-AsAt)/365.25)/((I581-O581)-1),0)*(1+F581)*(1-(I581-O581)*(1+F581)^((I581-O581)-1)+((I581-O581)-1)*(1+F581)^(I581-O581))/F581^2)+O581*(K581-L581*F581)*(1+F581)^(I581-1)*('Deal maths'!AA581-AsAt)/365.25)/L581,((I581-O581)*((IF(DAY(E581+1)=1,EOMONTH(E581,H581*D581),EDATE(E581,H581*D581))-AsAt)/365.25+(IF(DAY(E581+1)=1,EOMONTH(E581,(N581-1)*D581),EDATE(E581,(N581-1)*D581))-AsAt)/365.25)/2+O581*('Deal maths'!AA581-AsAt)/365.25)/I581),(S581-AsAt)/365.25)),0))</f>
        <v/>
      </c>
      <c r="Q581" s="109">
        <f>IF(B581=1,'Deal maths'!AA581+ROW()/1000000,"")</f>
        <v/>
      </c>
      <c r="R581" s="108">
        <f>IF(D581=0,0,IF(DAY(E581+1)=1,31,DAY(E581)))</f>
        <v/>
      </c>
      <c r="S581" s="109">
        <f>IF(AND('Deal maths'!V581="LOBO",'Deal maths'!AG581&gt;AsAt,'Deal maths'!AG581&lt;'Deal maths'!AA581),'Deal maths'!AG581,'Deal maths'!AA581)</f>
        <v/>
      </c>
      <c r="T581" s="108">
        <f>('Deal maths'!AA581&gt;AsAt)*('Deal maths'!Y581&gt;0)</f>
        <v/>
      </c>
    </row>
    <row r="582">
      <c r="A582" s="91">
        <f>IF('Deal maths'!V582="","",'Deal maths'!W582)</f>
        <v/>
      </c>
      <c r="B582" s="108">
        <f>('Deal maths'!AA582&gt;AsAt)*('Deal maths'!Y582&gt;0)*('Deal maths'!Z582&lt;=AsAt)</f>
        <v/>
      </c>
      <c r="C582" s="91">
        <f>IF('Deal maths'!V582="","",IF('Deal maths'!AC582="","Maturity",'Deal maths'!AC582))</f>
        <v/>
      </c>
      <c r="D582" s="108">
        <f>IF(OR(C582="EIP",C582="Annuity"),IF('Deal maths'!AD582="Annual",12,IF('Deal maths'!AD582="Quarterly",3,6)),0)</f>
        <v/>
      </c>
      <c r="E582" s="109">
        <f>IFERROR(IF(D582=0,0,IF('Deal maths'!AE582&gt;0,IF('Deal maths'!AE582&gt;'Deal maths'!AA582,'Deal maths'!AA582,'Deal maths'!AE582),IF(IF(DAY('Deal maths'!AA582+1)=1,EOMONTH('Deal maths'!AA582,-(INT(((YEAR('Deal maths'!AA582)-YEAR(IF('Deal maths'!Z582&gt;0,'Deal maths'!Z582,DATE(1990,1,1))))*12+MONTH('Deal maths'!AA582)-MONTH(IF('Deal maths'!Z582&gt;0,'Deal maths'!Z582,DATE(1990,1,1))))/D582))*D582),EDATE('Deal maths'!AA582,-(INT(((YEAR('Deal maths'!AA582)-YEAR(IF('Deal maths'!Z582&gt;0,'Deal maths'!Z582,DATE(1990,1,1))))*12+MONTH('Deal maths'!AA582)-MONTH(IF('Deal maths'!Z582&gt;0,'Deal maths'!Z582,DATE(1990,1,1))))/D582))*D582))&gt;IF('Deal maths'!Z582&gt;0,'Deal maths'!Z582,DATE(1990,1,1)),IF(DAY('Deal maths'!AA582+1)=1,EOMONTH('Deal maths'!AA582,-(INT(((YEAR('Deal maths'!AA582)-YEAR(IF('Deal maths'!Z582&gt;0,'Deal maths'!Z582,DATE(1990,1,1))))*12+MONTH('Deal maths'!AA582)-MONTH(IF('Deal maths'!Z582&gt;0,'Deal maths'!Z582,DATE(1990,1,1))))/D582))*D582),EDATE('Deal maths'!AA582,-(INT(((YEAR('Deal maths'!AA582)-YEAR(IF('Deal maths'!Z582&gt;0,'Deal maths'!Z582,DATE(1990,1,1))))*12+MONTH('Deal maths'!AA582)-MONTH(IF('Deal maths'!Z582&gt;0,'Deal maths'!Z582,DATE(1990,1,1))))/D582))*D582)),IF(DAY('Deal maths'!AA582+1)=1,EOMONTH('Deal maths'!AA582,-(INT(((YEAR('Deal maths'!AA582)-YEAR(IF('Deal maths'!Z582&gt;0,'Deal maths'!Z582,DATE(1990,1,1))))*12+MONTH('Deal maths'!AA582)-MONTH(IF('Deal maths'!Z582&gt;0,'Deal maths'!Z582,DATE(1990,1,1))))/D582)-1)*D582),EDATE('Deal maths'!AA582,-(INT(((YEAR('Deal maths'!AA582)-YEAR(IF('Deal maths'!Z582&gt;0,'Deal maths'!Z582,DATE(1990,1,1))))*12+MONTH('Deal maths'!AA582)-MONTH(IF('Deal maths'!Z582&gt;0,'Deal maths'!Z582,DATE(1990,1,1))))/D582)-1)*D582))))),0)</f>
        <v/>
      </c>
      <c r="F582" s="110">
        <f>IF(D582=0,0,'Deal maths'!AB582*D582/12)</f>
        <v/>
      </c>
      <c r="G582" s="108">
        <f>N582+O582</f>
        <v/>
      </c>
      <c r="H582" s="108">
        <f>IFERROR(IF(OR(D582=0,AsAt&lt;E582),0,MIN(N582,INT(((YEAR(AsAt)-YEAR(E582))*12+MONTH(AsAt)-MONTH(E582)-(DAY(AsAt)&lt;MIN(R582,DAY(EOMONTH(AsAt,0)))))/D582)+1)+O582*(AsAt&gt;='Deal maths'!AA582)),0)</f>
        <v/>
      </c>
      <c r="I582" s="108">
        <f>G582-H582</f>
        <v/>
      </c>
      <c r="J582" s="111">
        <f>IF(AND(C582="EIP",I582&gt;0),'Deal maths'!Y582/I582,0)</f>
        <v/>
      </c>
      <c r="K582" s="111">
        <f>IF(AND(C582="Annuity",I582&gt;0),IF(F582&gt;0,'Deal maths'!Y582*F582/(1-(1+F582)^-I582),'Deal maths'!Y582/I582),0)</f>
        <v/>
      </c>
      <c r="L582" s="111">
        <f>IF('Deal maths'!Y582="",0,'Deal maths'!Y582)</f>
        <v/>
      </c>
      <c r="M582" s="112">
        <f>F582+(F582=0)</f>
        <v/>
      </c>
      <c r="N582" s="108">
        <f>IFERROR(IF(D582=0,0,INT(((YEAR('Deal maths'!AA582)-YEAR(E582))*12+MONTH('Deal maths'!AA582)-MONTH(E582)-(DAY('Deal maths'!AA582)&lt;MIN(R582,DAY(EOMONTH('Deal maths'!AA582,0)))))/D582)+1),0)</f>
        <v/>
      </c>
      <c r="O582" s="108">
        <f>IFERROR(IF(D582=0,0,IF(IF(DAY(E582+1)=1,EOMONTH(E582,(N582-1)*D582),EDATE(E582,(N582-1)*D582))='Deal maths'!AA582,0,1)),0)</f>
        <v/>
      </c>
      <c r="P582" s="113">
        <f>IF(B582=0,0,IFERROR(IF(C582="EIP",((I582-O582)*((IF(DAY(E582+1)=1,EOMONTH(E582,H582*D582),EDATE(E582,H582*D582))-AsAt)/365.25+(IF(DAY(E582+1)=1,EOMONTH(E582,(N582-1)*D582),EDATE(E582,(N582-1)*D582))-AsAt)/365.25)/2+O582*('Deal maths'!AA582-AsAt)/365.25)/I582,IF(C582="Annuity",IF(F582&gt;0,((K582-L582*F582)*((IF(DAY(E582+1)=1,EOMONTH(E582,H582*D582),EDATE(E582,H582*D582))-AsAt)/365.25*((1+F582)^(I582-O582)-1)/F582+IF((I582-O582)&gt;1,((IF(DAY(E582+1)=1,EOMONTH(E582,(N582-1)*D582),EDATE(E582,(N582-1)*D582))-AsAt)/365.25-(IF(DAY(E582+1)=1,EOMONTH(E582,H582*D582),EDATE(E582,H582*D582))-AsAt)/365.25)/((I582-O582)-1),0)*(1+F582)*(1-(I582-O582)*(1+F582)^((I582-O582)-1)+((I582-O582)-1)*(1+F582)^(I582-O582))/F582^2)+O582*(K582-L582*F582)*(1+F582)^(I582-1)*('Deal maths'!AA582-AsAt)/365.25)/L582,((I582-O582)*((IF(DAY(E582+1)=1,EOMONTH(E582,H582*D582),EDATE(E582,H582*D582))-AsAt)/365.25+(IF(DAY(E582+1)=1,EOMONTH(E582,(N582-1)*D582),EDATE(E582,(N582-1)*D582))-AsAt)/365.25)/2+O582*('Deal maths'!AA582-AsAt)/365.25)/I582),(S582-AsAt)/365.25)),0))</f>
        <v/>
      </c>
      <c r="Q582" s="109">
        <f>IF(B582=1,'Deal maths'!AA582+ROW()/1000000,"")</f>
        <v/>
      </c>
      <c r="R582" s="108">
        <f>IF(D582=0,0,IF(DAY(E582+1)=1,31,DAY(E582)))</f>
        <v/>
      </c>
      <c r="S582" s="109">
        <f>IF(AND('Deal maths'!V582="LOBO",'Deal maths'!AG582&gt;AsAt,'Deal maths'!AG582&lt;'Deal maths'!AA582),'Deal maths'!AG582,'Deal maths'!AA582)</f>
        <v/>
      </c>
      <c r="T582" s="108">
        <f>('Deal maths'!AA582&gt;AsAt)*('Deal maths'!Y582&gt;0)</f>
        <v/>
      </c>
    </row>
    <row r="583">
      <c r="A583" s="91">
        <f>IF('Deal maths'!V583="","",'Deal maths'!W583)</f>
        <v/>
      </c>
      <c r="B583" s="108">
        <f>('Deal maths'!AA583&gt;AsAt)*('Deal maths'!Y583&gt;0)*('Deal maths'!Z583&lt;=AsAt)</f>
        <v/>
      </c>
      <c r="C583" s="91">
        <f>IF('Deal maths'!V583="","",IF('Deal maths'!AC583="","Maturity",'Deal maths'!AC583))</f>
        <v/>
      </c>
      <c r="D583" s="108">
        <f>IF(OR(C583="EIP",C583="Annuity"),IF('Deal maths'!AD583="Annual",12,IF('Deal maths'!AD583="Quarterly",3,6)),0)</f>
        <v/>
      </c>
      <c r="E583" s="109">
        <f>IFERROR(IF(D583=0,0,IF('Deal maths'!AE583&gt;0,IF('Deal maths'!AE583&gt;'Deal maths'!AA583,'Deal maths'!AA583,'Deal maths'!AE583),IF(IF(DAY('Deal maths'!AA583+1)=1,EOMONTH('Deal maths'!AA583,-(INT(((YEAR('Deal maths'!AA583)-YEAR(IF('Deal maths'!Z583&gt;0,'Deal maths'!Z583,DATE(1990,1,1))))*12+MONTH('Deal maths'!AA583)-MONTH(IF('Deal maths'!Z583&gt;0,'Deal maths'!Z583,DATE(1990,1,1))))/D583))*D583),EDATE('Deal maths'!AA583,-(INT(((YEAR('Deal maths'!AA583)-YEAR(IF('Deal maths'!Z583&gt;0,'Deal maths'!Z583,DATE(1990,1,1))))*12+MONTH('Deal maths'!AA583)-MONTH(IF('Deal maths'!Z583&gt;0,'Deal maths'!Z583,DATE(1990,1,1))))/D583))*D583))&gt;IF('Deal maths'!Z583&gt;0,'Deal maths'!Z583,DATE(1990,1,1)),IF(DAY('Deal maths'!AA583+1)=1,EOMONTH('Deal maths'!AA583,-(INT(((YEAR('Deal maths'!AA583)-YEAR(IF('Deal maths'!Z583&gt;0,'Deal maths'!Z583,DATE(1990,1,1))))*12+MONTH('Deal maths'!AA583)-MONTH(IF('Deal maths'!Z583&gt;0,'Deal maths'!Z583,DATE(1990,1,1))))/D583))*D583),EDATE('Deal maths'!AA583,-(INT(((YEAR('Deal maths'!AA583)-YEAR(IF('Deal maths'!Z583&gt;0,'Deal maths'!Z583,DATE(1990,1,1))))*12+MONTH('Deal maths'!AA583)-MONTH(IF('Deal maths'!Z583&gt;0,'Deal maths'!Z583,DATE(1990,1,1))))/D583))*D583)),IF(DAY('Deal maths'!AA583+1)=1,EOMONTH('Deal maths'!AA583,-(INT(((YEAR('Deal maths'!AA583)-YEAR(IF('Deal maths'!Z583&gt;0,'Deal maths'!Z583,DATE(1990,1,1))))*12+MONTH('Deal maths'!AA583)-MONTH(IF('Deal maths'!Z583&gt;0,'Deal maths'!Z583,DATE(1990,1,1))))/D583)-1)*D583),EDATE('Deal maths'!AA583,-(INT(((YEAR('Deal maths'!AA583)-YEAR(IF('Deal maths'!Z583&gt;0,'Deal maths'!Z583,DATE(1990,1,1))))*12+MONTH('Deal maths'!AA583)-MONTH(IF('Deal maths'!Z583&gt;0,'Deal maths'!Z583,DATE(1990,1,1))))/D583)-1)*D583))))),0)</f>
        <v/>
      </c>
      <c r="F583" s="110">
        <f>IF(D583=0,0,'Deal maths'!AB583*D583/12)</f>
        <v/>
      </c>
      <c r="G583" s="108">
        <f>N583+O583</f>
        <v/>
      </c>
      <c r="H583" s="108">
        <f>IFERROR(IF(OR(D583=0,AsAt&lt;E583),0,MIN(N583,INT(((YEAR(AsAt)-YEAR(E583))*12+MONTH(AsAt)-MONTH(E583)-(DAY(AsAt)&lt;MIN(R583,DAY(EOMONTH(AsAt,0)))))/D583)+1)+O583*(AsAt&gt;='Deal maths'!AA583)),0)</f>
        <v/>
      </c>
      <c r="I583" s="108">
        <f>G583-H583</f>
        <v/>
      </c>
      <c r="J583" s="111">
        <f>IF(AND(C583="EIP",I583&gt;0),'Deal maths'!Y583/I583,0)</f>
        <v/>
      </c>
      <c r="K583" s="111">
        <f>IF(AND(C583="Annuity",I583&gt;0),IF(F583&gt;0,'Deal maths'!Y583*F583/(1-(1+F583)^-I583),'Deal maths'!Y583/I583),0)</f>
        <v/>
      </c>
      <c r="L583" s="111">
        <f>IF('Deal maths'!Y583="",0,'Deal maths'!Y583)</f>
        <v/>
      </c>
      <c r="M583" s="112">
        <f>F583+(F583=0)</f>
        <v/>
      </c>
      <c r="N583" s="108">
        <f>IFERROR(IF(D583=0,0,INT(((YEAR('Deal maths'!AA583)-YEAR(E583))*12+MONTH('Deal maths'!AA583)-MONTH(E583)-(DAY('Deal maths'!AA583)&lt;MIN(R583,DAY(EOMONTH('Deal maths'!AA583,0)))))/D583)+1),0)</f>
        <v/>
      </c>
      <c r="O583" s="108">
        <f>IFERROR(IF(D583=0,0,IF(IF(DAY(E583+1)=1,EOMONTH(E583,(N583-1)*D583),EDATE(E583,(N583-1)*D583))='Deal maths'!AA583,0,1)),0)</f>
        <v/>
      </c>
      <c r="P583" s="113">
        <f>IF(B583=0,0,IFERROR(IF(C583="EIP",((I583-O583)*((IF(DAY(E583+1)=1,EOMONTH(E583,H583*D583),EDATE(E583,H583*D583))-AsAt)/365.25+(IF(DAY(E583+1)=1,EOMONTH(E583,(N583-1)*D583),EDATE(E583,(N583-1)*D583))-AsAt)/365.25)/2+O583*('Deal maths'!AA583-AsAt)/365.25)/I583,IF(C583="Annuity",IF(F583&gt;0,((K583-L583*F583)*((IF(DAY(E583+1)=1,EOMONTH(E583,H583*D583),EDATE(E583,H583*D583))-AsAt)/365.25*((1+F583)^(I583-O583)-1)/F583+IF((I583-O583)&gt;1,((IF(DAY(E583+1)=1,EOMONTH(E583,(N583-1)*D583),EDATE(E583,(N583-1)*D583))-AsAt)/365.25-(IF(DAY(E583+1)=1,EOMONTH(E583,H583*D583),EDATE(E583,H583*D583))-AsAt)/365.25)/((I583-O583)-1),0)*(1+F583)*(1-(I583-O583)*(1+F583)^((I583-O583)-1)+((I583-O583)-1)*(1+F583)^(I583-O583))/F583^2)+O583*(K583-L583*F583)*(1+F583)^(I583-1)*('Deal maths'!AA583-AsAt)/365.25)/L583,((I583-O583)*((IF(DAY(E583+1)=1,EOMONTH(E583,H583*D583),EDATE(E583,H583*D583))-AsAt)/365.25+(IF(DAY(E583+1)=1,EOMONTH(E583,(N583-1)*D583),EDATE(E583,(N583-1)*D583))-AsAt)/365.25)/2+O583*('Deal maths'!AA583-AsAt)/365.25)/I583),(S583-AsAt)/365.25)),0))</f>
        <v/>
      </c>
      <c r="Q583" s="109">
        <f>IF(B583=1,'Deal maths'!AA583+ROW()/1000000,"")</f>
        <v/>
      </c>
      <c r="R583" s="108">
        <f>IF(D583=0,0,IF(DAY(E583+1)=1,31,DAY(E583)))</f>
        <v/>
      </c>
      <c r="S583" s="109">
        <f>IF(AND('Deal maths'!V583="LOBO",'Deal maths'!AG583&gt;AsAt,'Deal maths'!AG583&lt;'Deal maths'!AA583),'Deal maths'!AG583,'Deal maths'!AA583)</f>
        <v/>
      </c>
      <c r="T583" s="108">
        <f>('Deal maths'!AA583&gt;AsAt)*('Deal maths'!Y583&gt;0)</f>
        <v/>
      </c>
    </row>
    <row r="584">
      <c r="A584" s="91">
        <f>IF('Deal maths'!V584="","",'Deal maths'!W584)</f>
        <v/>
      </c>
      <c r="B584" s="108">
        <f>('Deal maths'!AA584&gt;AsAt)*('Deal maths'!Y584&gt;0)*('Deal maths'!Z584&lt;=AsAt)</f>
        <v/>
      </c>
      <c r="C584" s="91">
        <f>IF('Deal maths'!V584="","",IF('Deal maths'!AC584="","Maturity",'Deal maths'!AC584))</f>
        <v/>
      </c>
      <c r="D584" s="108">
        <f>IF(OR(C584="EIP",C584="Annuity"),IF('Deal maths'!AD584="Annual",12,IF('Deal maths'!AD584="Quarterly",3,6)),0)</f>
        <v/>
      </c>
      <c r="E584" s="109">
        <f>IFERROR(IF(D584=0,0,IF('Deal maths'!AE584&gt;0,IF('Deal maths'!AE584&gt;'Deal maths'!AA584,'Deal maths'!AA584,'Deal maths'!AE584),IF(IF(DAY('Deal maths'!AA584+1)=1,EOMONTH('Deal maths'!AA584,-(INT(((YEAR('Deal maths'!AA584)-YEAR(IF('Deal maths'!Z584&gt;0,'Deal maths'!Z584,DATE(1990,1,1))))*12+MONTH('Deal maths'!AA584)-MONTH(IF('Deal maths'!Z584&gt;0,'Deal maths'!Z584,DATE(1990,1,1))))/D584))*D584),EDATE('Deal maths'!AA584,-(INT(((YEAR('Deal maths'!AA584)-YEAR(IF('Deal maths'!Z584&gt;0,'Deal maths'!Z584,DATE(1990,1,1))))*12+MONTH('Deal maths'!AA584)-MONTH(IF('Deal maths'!Z584&gt;0,'Deal maths'!Z584,DATE(1990,1,1))))/D584))*D584))&gt;IF('Deal maths'!Z584&gt;0,'Deal maths'!Z584,DATE(1990,1,1)),IF(DAY('Deal maths'!AA584+1)=1,EOMONTH('Deal maths'!AA584,-(INT(((YEAR('Deal maths'!AA584)-YEAR(IF('Deal maths'!Z584&gt;0,'Deal maths'!Z584,DATE(1990,1,1))))*12+MONTH('Deal maths'!AA584)-MONTH(IF('Deal maths'!Z584&gt;0,'Deal maths'!Z584,DATE(1990,1,1))))/D584))*D584),EDATE('Deal maths'!AA584,-(INT(((YEAR('Deal maths'!AA584)-YEAR(IF('Deal maths'!Z584&gt;0,'Deal maths'!Z584,DATE(1990,1,1))))*12+MONTH('Deal maths'!AA584)-MONTH(IF('Deal maths'!Z584&gt;0,'Deal maths'!Z584,DATE(1990,1,1))))/D584))*D584)),IF(DAY('Deal maths'!AA584+1)=1,EOMONTH('Deal maths'!AA584,-(INT(((YEAR('Deal maths'!AA584)-YEAR(IF('Deal maths'!Z584&gt;0,'Deal maths'!Z584,DATE(1990,1,1))))*12+MONTH('Deal maths'!AA584)-MONTH(IF('Deal maths'!Z584&gt;0,'Deal maths'!Z584,DATE(1990,1,1))))/D584)-1)*D584),EDATE('Deal maths'!AA584,-(INT(((YEAR('Deal maths'!AA584)-YEAR(IF('Deal maths'!Z584&gt;0,'Deal maths'!Z584,DATE(1990,1,1))))*12+MONTH('Deal maths'!AA584)-MONTH(IF('Deal maths'!Z584&gt;0,'Deal maths'!Z584,DATE(1990,1,1))))/D584)-1)*D584))))),0)</f>
        <v/>
      </c>
      <c r="F584" s="110">
        <f>IF(D584=0,0,'Deal maths'!AB584*D584/12)</f>
        <v/>
      </c>
      <c r="G584" s="108">
        <f>N584+O584</f>
        <v/>
      </c>
      <c r="H584" s="108">
        <f>IFERROR(IF(OR(D584=0,AsAt&lt;E584),0,MIN(N584,INT(((YEAR(AsAt)-YEAR(E584))*12+MONTH(AsAt)-MONTH(E584)-(DAY(AsAt)&lt;MIN(R584,DAY(EOMONTH(AsAt,0)))))/D584)+1)+O584*(AsAt&gt;='Deal maths'!AA584)),0)</f>
        <v/>
      </c>
      <c r="I584" s="108">
        <f>G584-H584</f>
        <v/>
      </c>
      <c r="J584" s="111">
        <f>IF(AND(C584="EIP",I584&gt;0),'Deal maths'!Y584/I584,0)</f>
        <v/>
      </c>
      <c r="K584" s="111">
        <f>IF(AND(C584="Annuity",I584&gt;0),IF(F584&gt;0,'Deal maths'!Y584*F584/(1-(1+F584)^-I584),'Deal maths'!Y584/I584),0)</f>
        <v/>
      </c>
      <c r="L584" s="111">
        <f>IF('Deal maths'!Y584="",0,'Deal maths'!Y584)</f>
        <v/>
      </c>
      <c r="M584" s="112">
        <f>F584+(F584=0)</f>
        <v/>
      </c>
      <c r="N584" s="108">
        <f>IFERROR(IF(D584=0,0,INT(((YEAR('Deal maths'!AA584)-YEAR(E584))*12+MONTH('Deal maths'!AA584)-MONTH(E584)-(DAY('Deal maths'!AA584)&lt;MIN(R584,DAY(EOMONTH('Deal maths'!AA584,0)))))/D584)+1),0)</f>
        <v/>
      </c>
      <c r="O584" s="108">
        <f>IFERROR(IF(D584=0,0,IF(IF(DAY(E584+1)=1,EOMONTH(E584,(N584-1)*D584),EDATE(E584,(N584-1)*D584))='Deal maths'!AA584,0,1)),0)</f>
        <v/>
      </c>
      <c r="P584" s="113">
        <f>IF(B584=0,0,IFERROR(IF(C584="EIP",((I584-O584)*((IF(DAY(E584+1)=1,EOMONTH(E584,H584*D584),EDATE(E584,H584*D584))-AsAt)/365.25+(IF(DAY(E584+1)=1,EOMONTH(E584,(N584-1)*D584),EDATE(E584,(N584-1)*D584))-AsAt)/365.25)/2+O584*('Deal maths'!AA584-AsAt)/365.25)/I584,IF(C584="Annuity",IF(F584&gt;0,((K584-L584*F584)*((IF(DAY(E584+1)=1,EOMONTH(E584,H584*D584),EDATE(E584,H584*D584))-AsAt)/365.25*((1+F584)^(I584-O584)-1)/F584+IF((I584-O584)&gt;1,((IF(DAY(E584+1)=1,EOMONTH(E584,(N584-1)*D584),EDATE(E584,(N584-1)*D584))-AsAt)/365.25-(IF(DAY(E584+1)=1,EOMONTH(E584,H584*D584),EDATE(E584,H584*D584))-AsAt)/365.25)/((I584-O584)-1),0)*(1+F584)*(1-(I584-O584)*(1+F584)^((I584-O584)-1)+((I584-O584)-1)*(1+F584)^(I584-O584))/F584^2)+O584*(K584-L584*F584)*(1+F584)^(I584-1)*('Deal maths'!AA584-AsAt)/365.25)/L584,((I584-O584)*((IF(DAY(E584+1)=1,EOMONTH(E584,H584*D584),EDATE(E584,H584*D584))-AsAt)/365.25+(IF(DAY(E584+1)=1,EOMONTH(E584,(N584-1)*D584),EDATE(E584,(N584-1)*D584))-AsAt)/365.25)/2+O584*('Deal maths'!AA584-AsAt)/365.25)/I584),(S584-AsAt)/365.25)),0))</f>
        <v/>
      </c>
      <c r="Q584" s="109">
        <f>IF(B584=1,'Deal maths'!AA584+ROW()/1000000,"")</f>
        <v/>
      </c>
      <c r="R584" s="108">
        <f>IF(D584=0,0,IF(DAY(E584+1)=1,31,DAY(E584)))</f>
        <v/>
      </c>
      <c r="S584" s="109">
        <f>IF(AND('Deal maths'!V584="LOBO",'Deal maths'!AG584&gt;AsAt,'Deal maths'!AG584&lt;'Deal maths'!AA584),'Deal maths'!AG584,'Deal maths'!AA584)</f>
        <v/>
      </c>
      <c r="T584" s="108">
        <f>('Deal maths'!AA584&gt;AsAt)*('Deal maths'!Y584&gt;0)</f>
        <v/>
      </c>
    </row>
    <row r="585">
      <c r="A585" s="91">
        <f>IF('Deal maths'!V585="","",'Deal maths'!W585)</f>
        <v/>
      </c>
      <c r="B585" s="108">
        <f>('Deal maths'!AA585&gt;AsAt)*('Deal maths'!Y585&gt;0)*('Deal maths'!Z585&lt;=AsAt)</f>
        <v/>
      </c>
      <c r="C585" s="91">
        <f>IF('Deal maths'!V585="","",IF('Deal maths'!AC585="","Maturity",'Deal maths'!AC585))</f>
        <v/>
      </c>
      <c r="D585" s="108">
        <f>IF(OR(C585="EIP",C585="Annuity"),IF('Deal maths'!AD585="Annual",12,IF('Deal maths'!AD585="Quarterly",3,6)),0)</f>
        <v/>
      </c>
      <c r="E585" s="109">
        <f>IFERROR(IF(D585=0,0,IF('Deal maths'!AE585&gt;0,IF('Deal maths'!AE585&gt;'Deal maths'!AA585,'Deal maths'!AA585,'Deal maths'!AE585),IF(IF(DAY('Deal maths'!AA585+1)=1,EOMONTH('Deal maths'!AA585,-(INT(((YEAR('Deal maths'!AA585)-YEAR(IF('Deal maths'!Z585&gt;0,'Deal maths'!Z585,DATE(1990,1,1))))*12+MONTH('Deal maths'!AA585)-MONTH(IF('Deal maths'!Z585&gt;0,'Deal maths'!Z585,DATE(1990,1,1))))/D585))*D585),EDATE('Deal maths'!AA585,-(INT(((YEAR('Deal maths'!AA585)-YEAR(IF('Deal maths'!Z585&gt;0,'Deal maths'!Z585,DATE(1990,1,1))))*12+MONTH('Deal maths'!AA585)-MONTH(IF('Deal maths'!Z585&gt;0,'Deal maths'!Z585,DATE(1990,1,1))))/D585))*D585))&gt;IF('Deal maths'!Z585&gt;0,'Deal maths'!Z585,DATE(1990,1,1)),IF(DAY('Deal maths'!AA585+1)=1,EOMONTH('Deal maths'!AA585,-(INT(((YEAR('Deal maths'!AA585)-YEAR(IF('Deal maths'!Z585&gt;0,'Deal maths'!Z585,DATE(1990,1,1))))*12+MONTH('Deal maths'!AA585)-MONTH(IF('Deal maths'!Z585&gt;0,'Deal maths'!Z585,DATE(1990,1,1))))/D585))*D585),EDATE('Deal maths'!AA585,-(INT(((YEAR('Deal maths'!AA585)-YEAR(IF('Deal maths'!Z585&gt;0,'Deal maths'!Z585,DATE(1990,1,1))))*12+MONTH('Deal maths'!AA585)-MONTH(IF('Deal maths'!Z585&gt;0,'Deal maths'!Z585,DATE(1990,1,1))))/D585))*D585)),IF(DAY('Deal maths'!AA585+1)=1,EOMONTH('Deal maths'!AA585,-(INT(((YEAR('Deal maths'!AA585)-YEAR(IF('Deal maths'!Z585&gt;0,'Deal maths'!Z585,DATE(1990,1,1))))*12+MONTH('Deal maths'!AA585)-MONTH(IF('Deal maths'!Z585&gt;0,'Deal maths'!Z585,DATE(1990,1,1))))/D585)-1)*D585),EDATE('Deal maths'!AA585,-(INT(((YEAR('Deal maths'!AA585)-YEAR(IF('Deal maths'!Z585&gt;0,'Deal maths'!Z585,DATE(1990,1,1))))*12+MONTH('Deal maths'!AA585)-MONTH(IF('Deal maths'!Z585&gt;0,'Deal maths'!Z585,DATE(1990,1,1))))/D585)-1)*D585))))),0)</f>
        <v/>
      </c>
      <c r="F585" s="110">
        <f>IF(D585=0,0,'Deal maths'!AB585*D585/12)</f>
        <v/>
      </c>
      <c r="G585" s="108">
        <f>N585+O585</f>
        <v/>
      </c>
      <c r="H585" s="108">
        <f>IFERROR(IF(OR(D585=0,AsAt&lt;E585),0,MIN(N585,INT(((YEAR(AsAt)-YEAR(E585))*12+MONTH(AsAt)-MONTH(E585)-(DAY(AsAt)&lt;MIN(R585,DAY(EOMONTH(AsAt,0)))))/D585)+1)+O585*(AsAt&gt;='Deal maths'!AA585)),0)</f>
        <v/>
      </c>
      <c r="I585" s="108">
        <f>G585-H585</f>
        <v/>
      </c>
      <c r="J585" s="111">
        <f>IF(AND(C585="EIP",I585&gt;0),'Deal maths'!Y585/I585,0)</f>
        <v/>
      </c>
      <c r="K585" s="111">
        <f>IF(AND(C585="Annuity",I585&gt;0),IF(F585&gt;0,'Deal maths'!Y585*F585/(1-(1+F585)^-I585),'Deal maths'!Y585/I585),0)</f>
        <v/>
      </c>
      <c r="L585" s="111">
        <f>IF('Deal maths'!Y585="",0,'Deal maths'!Y585)</f>
        <v/>
      </c>
      <c r="M585" s="112">
        <f>F585+(F585=0)</f>
        <v/>
      </c>
      <c r="N585" s="108">
        <f>IFERROR(IF(D585=0,0,INT(((YEAR('Deal maths'!AA585)-YEAR(E585))*12+MONTH('Deal maths'!AA585)-MONTH(E585)-(DAY('Deal maths'!AA585)&lt;MIN(R585,DAY(EOMONTH('Deal maths'!AA585,0)))))/D585)+1),0)</f>
        <v/>
      </c>
      <c r="O585" s="108">
        <f>IFERROR(IF(D585=0,0,IF(IF(DAY(E585+1)=1,EOMONTH(E585,(N585-1)*D585),EDATE(E585,(N585-1)*D585))='Deal maths'!AA585,0,1)),0)</f>
        <v/>
      </c>
      <c r="P585" s="113">
        <f>IF(B585=0,0,IFERROR(IF(C585="EIP",((I585-O585)*((IF(DAY(E585+1)=1,EOMONTH(E585,H585*D585),EDATE(E585,H585*D585))-AsAt)/365.25+(IF(DAY(E585+1)=1,EOMONTH(E585,(N585-1)*D585),EDATE(E585,(N585-1)*D585))-AsAt)/365.25)/2+O585*('Deal maths'!AA585-AsAt)/365.25)/I585,IF(C585="Annuity",IF(F585&gt;0,((K585-L585*F585)*((IF(DAY(E585+1)=1,EOMONTH(E585,H585*D585),EDATE(E585,H585*D585))-AsAt)/365.25*((1+F585)^(I585-O585)-1)/F585+IF((I585-O585)&gt;1,((IF(DAY(E585+1)=1,EOMONTH(E585,(N585-1)*D585),EDATE(E585,(N585-1)*D585))-AsAt)/365.25-(IF(DAY(E585+1)=1,EOMONTH(E585,H585*D585),EDATE(E585,H585*D585))-AsAt)/365.25)/((I585-O585)-1),0)*(1+F585)*(1-(I585-O585)*(1+F585)^((I585-O585)-1)+((I585-O585)-1)*(1+F585)^(I585-O585))/F585^2)+O585*(K585-L585*F585)*(1+F585)^(I585-1)*('Deal maths'!AA585-AsAt)/365.25)/L585,((I585-O585)*((IF(DAY(E585+1)=1,EOMONTH(E585,H585*D585),EDATE(E585,H585*D585))-AsAt)/365.25+(IF(DAY(E585+1)=1,EOMONTH(E585,(N585-1)*D585),EDATE(E585,(N585-1)*D585))-AsAt)/365.25)/2+O585*('Deal maths'!AA585-AsAt)/365.25)/I585),(S585-AsAt)/365.25)),0))</f>
        <v/>
      </c>
      <c r="Q585" s="109">
        <f>IF(B585=1,'Deal maths'!AA585+ROW()/1000000,"")</f>
        <v/>
      </c>
      <c r="R585" s="108">
        <f>IF(D585=0,0,IF(DAY(E585+1)=1,31,DAY(E585)))</f>
        <v/>
      </c>
      <c r="S585" s="109">
        <f>IF(AND('Deal maths'!V585="LOBO",'Deal maths'!AG585&gt;AsAt,'Deal maths'!AG585&lt;'Deal maths'!AA585),'Deal maths'!AG585,'Deal maths'!AA585)</f>
        <v/>
      </c>
      <c r="T585" s="108">
        <f>('Deal maths'!AA585&gt;AsAt)*('Deal maths'!Y585&gt;0)</f>
        <v/>
      </c>
    </row>
    <row r="586">
      <c r="A586" s="91">
        <f>IF('Deal maths'!V586="","",'Deal maths'!W586)</f>
        <v/>
      </c>
      <c r="B586" s="108">
        <f>('Deal maths'!AA586&gt;AsAt)*('Deal maths'!Y586&gt;0)*('Deal maths'!Z586&lt;=AsAt)</f>
        <v/>
      </c>
      <c r="C586" s="91">
        <f>IF('Deal maths'!V586="","",IF('Deal maths'!AC586="","Maturity",'Deal maths'!AC586))</f>
        <v/>
      </c>
      <c r="D586" s="108">
        <f>IF(OR(C586="EIP",C586="Annuity"),IF('Deal maths'!AD586="Annual",12,IF('Deal maths'!AD586="Quarterly",3,6)),0)</f>
        <v/>
      </c>
      <c r="E586" s="109">
        <f>IFERROR(IF(D586=0,0,IF('Deal maths'!AE586&gt;0,IF('Deal maths'!AE586&gt;'Deal maths'!AA586,'Deal maths'!AA586,'Deal maths'!AE586),IF(IF(DAY('Deal maths'!AA586+1)=1,EOMONTH('Deal maths'!AA586,-(INT(((YEAR('Deal maths'!AA586)-YEAR(IF('Deal maths'!Z586&gt;0,'Deal maths'!Z586,DATE(1990,1,1))))*12+MONTH('Deal maths'!AA586)-MONTH(IF('Deal maths'!Z586&gt;0,'Deal maths'!Z586,DATE(1990,1,1))))/D586))*D586),EDATE('Deal maths'!AA586,-(INT(((YEAR('Deal maths'!AA586)-YEAR(IF('Deal maths'!Z586&gt;0,'Deal maths'!Z586,DATE(1990,1,1))))*12+MONTH('Deal maths'!AA586)-MONTH(IF('Deal maths'!Z586&gt;0,'Deal maths'!Z586,DATE(1990,1,1))))/D586))*D586))&gt;IF('Deal maths'!Z586&gt;0,'Deal maths'!Z586,DATE(1990,1,1)),IF(DAY('Deal maths'!AA586+1)=1,EOMONTH('Deal maths'!AA586,-(INT(((YEAR('Deal maths'!AA586)-YEAR(IF('Deal maths'!Z586&gt;0,'Deal maths'!Z586,DATE(1990,1,1))))*12+MONTH('Deal maths'!AA586)-MONTH(IF('Deal maths'!Z586&gt;0,'Deal maths'!Z586,DATE(1990,1,1))))/D586))*D586),EDATE('Deal maths'!AA586,-(INT(((YEAR('Deal maths'!AA586)-YEAR(IF('Deal maths'!Z586&gt;0,'Deal maths'!Z586,DATE(1990,1,1))))*12+MONTH('Deal maths'!AA586)-MONTH(IF('Deal maths'!Z586&gt;0,'Deal maths'!Z586,DATE(1990,1,1))))/D586))*D586)),IF(DAY('Deal maths'!AA586+1)=1,EOMONTH('Deal maths'!AA586,-(INT(((YEAR('Deal maths'!AA586)-YEAR(IF('Deal maths'!Z586&gt;0,'Deal maths'!Z586,DATE(1990,1,1))))*12+MONTH('Deal maths'!AA586)-MONTH(IF('Deal maths'!Z586&gt;0,'Deal maths'!Z586,DATE(1990,1,1))))/D586)-1)*D586),EDATE('Deal maths'!AA586,-(INT(((YEAR('Deal maths'!AA586)-YEAR(IF('Deal maths'!Z586&gt;0,'Deal maths'!Z586,DATE(1990,1,1))))*12+MONTH('Deal maths'!AA586)-MONTH(IF('Deal maths'!Z586&gt;0,'Deal maths'!Z586,DATE(1990,1,1))))/D586)-1)*D586))))),0)</f>
        <v/>
      </c>
      <c r="F586" s="110">
        <f>IF(D586=0,0,'Deal maths'!AB586*D586/12)</f>
        <v/>
      </c>
      <c r="G586" s="108">
        <f>N586+O586</f>
        <v/>
      </c>
      <c r="H586" s="108">
        <f>IFERROR(IF(OR(D586=0,AsAt&lt;E586),0,MIN(N586,INT(((YEAR(AsAt)-YEAR(E586))*12+MONTH(AsAt)-MONTH(E586)-(DAY(AsAt)&lt;MIN(R586,DAY(EOMONTH(AsAt,0)))))/D586)+1)+O586*(AsAt&gt;='Deal maths'!AA586)),0)</f>
        <v/>
      </c>
      <c r="I586" s="108">
        <f>G586-H586</f>
        <v/>
      </c>
      <c r="J586" s="111">
        <f>IF(AND(C586="EIP",I586&gt;0),'Deal maths'!Y586/I586,0)</f>
        <v/>
      </c>
      <c r="K586" s="111">
        <f>IF(AND(C586="Annuity",I586&gt;0),IF(F586&gt;0,'Deal maths'!Y586*F586/(1-(1+F586)^-I586),'Deal maths'!Y586/I586),0)</f>
        <v/>
      </c>
      <c r="L586" s="111">
        <f>IF('Deal maths'!Y586="",0,'Deal maths'!Y586)</f>
        <v/>
      </c>
      <c r="M586" s="112">
        <f>F586+(F586=0)</f>
        <v/>
      </c>
      <c r="N586" s="108">
        <f>IFERROR(IF(D586=0,0,INT(((YEAR('Deal maths'!AA586)-YEAR(E586))*12+MONTH('Deal maths'!AA586)-MONTH(E586)-(DAY('Deal maths'!AA586)&lt;MIN(R586,DAY(EOMONTH('Deal maths'!AA586,0)))))/D586)+1),0)</f>
        <v/>
      </c>
      <c r="O586" s="108">
        <f>IFERROR(IF(D586=0,0,IF(IF(DAY(E586+1)=1,EOMONTH(E586,(N586-1)*D586),EDATE(E586,(N586-1)*D586))='Deal maths'!AA586,0,1)),0)</f>
        <v/>
      </c>
      <c r="P586" s="113">
        <f>IF(B586=0,0,IFERROR(IF(C586="EIP",((I586-O586)*((IF(DAY(E586+1)=1,EOMONTH(E586,H586*D586),EDATE(E586,H586*D586))-AsAt)/365.25+(IF(DAY(E586+1)=1,EOMONTH(E586,(N586-1)*D586),EDATE(E586,(N586-1)*D586))-AsAt)/365.25)/2+O586*('Deal maths'!AA586-AsAt)/365.25)/I586,IF(C586="Annuity",IF(F586&gt;0,((K586-L586*F586)*((IF(DAY(E586+1)=1,EOMONTH(E586,H586*D586),EDATE(E586,H586*D586))-AsAt)/365.25*((1+F586)^(I586-O586)-1)/F586+IF((I586-O586)&gt;1,((IF(DAY(E586+1)=1,EOMONTH(E586,(N586-1)*D586),EDATE(E586,(N586-1)*D586))-AsAt)/365.25-(IF(DAY(E586+1)=1,EOMONTH(E586,H586*D586),EDATE(E586,H586*D586))-AsAt)/365.25)/((I586-O586)-1),0)*(1+F586)*(1-(I586-O586)*(1+F586)^((I586-O586)-1)+((I586-O586)-1)*(1+F586)^(I586-O586))/F586^2)+O586*(K586-L586*F586)*(1+F586)^(I586-1)*('Deal maths'!AA586-AsAt)/365.25)/L586,((I586-O586)*((IF(DAY(E586+1)=1,EOMONTH(E586,H586*D586),EDATE(E586,H586*D586))-AsAt)/365.25+(IF(DAY(E586+1)=1,EOMONTH(E586,(N586-1)*D586),EDATE(E586,(N586-1)*D586))-AsAt)/365.25)/2+O586*('Deal maths'!AA586-AsAt)/365.25)/I586),(S586-AsAt)/365.25)),0))</f>
        <v/>
      </c>
      <c r="Q586" s="109">
        <f>IF(B586=1,'Deal maths'!AA586+ROW()/1000000,"")</f>
        <v/>
      </c>
      <c r="R586" s="108">
        <f>IF(D586=0,0,IF(DAY(E586+1)=1,31,DAY(E586)))</f>
        <v/>
      </c>
      <c r="S586" s="109">
        <f>IF(AND('Deal maths'!V586="LOBO",'Deal maths'!AG586&gt;AsAt,'Deal maths'!AG586&lt;'Deal maths'!AA586),'Deal maths'!AG586,'Deal maths'!AA586)</f>
        <v/>
      </c>
      <c r="T586" s="108">
        <f>('Deal maths'!AA586&gt;AsAt)*('Deal maths'!Y586&gt;0)</f>
        <v/>
      </c>
    </row>
    <row r="587">
      <c r="A587" s="91">
        <f>IF('Deal maths'!V587="","",'Deal maths'!W587)</f>
        <v/>
      </c>
      <c r="B587" s="108">
        <f>('Deal maths'!AA587&gt;AsAt)*('Deal maths'!Y587&gt;0)*('Deal maths'!Z587&lt;=AsAt)</f>
        <v/>
      </c>
      <c r="C587" s="91">
        <f>IF('Deal maths'!V587="","",IF('Deal maths'!AC587="","Maturity",'Deal maths'!AC587))</f>
        <v/>
      </c>
      <c r="D587" s="108">
        <f>IF(OR(C587="EIP",C587="Annuity"),IF('Deal maths'!AD587="Annual",12,IF('Deal maths'!AD587="Quarterly",3,6)),0)</f>
        <v/>
      </c>
      <c r="E587" s="109">
        <f>IFERROR(IF(D587=0,0,IF('Deal maths'!AE587&gt;0,IF('Deal maths'!AE587&gt;'Deal maths'!AA587,'Deal maths'!AA587,'Deal maths'!AE587),IF(IF(DAY('Deal maths'!AA587+1)=1,EOMONTH('Deal maths'!AA587,-(INT(((YEAR('Deal maths'!AA587)-YEAR(IF('Deal maths'!Z587&gt;0,'Deal maths'!Z587,DATE(1990,1,1))))*12+MONTH('Deal maths'!AA587)-MONTH(IF('Deal maths'!Z587&gt;0,'Deal maths'!Z587,DATE(1990,1,1))))/D587))*D587),EDATE('Deal maths'!AA587,-(INT(((YEAR('Deal maths'!AA587)-YEAR(IF('Deal maths'!Z587&gt;0,'Deal maths'!Z587,DATE(1990,1,1))))*12+MONTH('Deal maths'!AA587)-MONTH(IF('Deal maths'!Z587&gt;0,'Deal maths'!Z587,DATE(1990,1,1))))/D587))*D587))&gt;IF('Deal maths'!Z587&gt;0,'Deal maths'!Z587,DATE(1990,1,1)),IF(DAY('Deal maths'!AA587+1)=1,EOMONTH('Deal maths'!AA587,-(INT(((YEAR('Deal maths'!AA587)-YEAR(IF('Deal maths'!Z587&gt;0,'Deal maths'!Z587,DATE(1990,1,1))))*12+MONTH('Deal maths'!AA587)-MONTH(IF('Deal maths'!Z587&gt;0,'Deal maths'!Z587,DATE(1990,1,1))))/D587))*D587),EDATE('Deal maths'!AA587,-(INT(((YEAR('Deal maths'!AA587)-YEAR(IF('Deal maths'!Z587&gt;0,'Deal maths'!Z587,DATE(1990,1,1))))*12+MONTH('Deal maths'!AA587)-MONTH(IF('Deal maths'!Z587&gt;0,'Deal maths'!Z587,DATE(1990,1,1))))/D587))*D587)),IF(DAY('Deal maths'!AA587+1)=1,EOMONTH('Deal maths'!AA587,-(INT(((YEAR('Deal maths'!AA587)-YEAR(IF('Deal maths'!Z587&gt;0,'Deal maths'!Z587,DATE(1990,1,1))))*12+MONTH('Deal maths'!AA587)-MONTH(IF('Deal maths'!Z587&gt;0,'Deal maths'!Z587,DATE(1990,1,1))))/D587)-1)*D587),EDATE('Deal maths'!AA587,-(INT(((YEAR('Deal maths'!AA587)-YEAR(IF('Deal maths'!Z587&gt;0,'Deal maths'!Z587,DATE(1990,1,1))))*12+MONTH('Deal maths'!AA587)-MONTH(IF('Deal maths'!Z587&gt;0,'Deal maths'!Z587,DATE(1990,1,1))))/D587)-1)*D587))))),0)</f>
        <v/>
      </c>
      <c r="F587" s="110">
        <f>IF(D587=0,0,'Deal maths'!AB587*D587/12)</f>
        <v/>
      </c>
      <c r="G587" s="108">
        <f>N587+O587</f>
        <v/>
      </c>
      <c r="H587" s="108">
        <f>IFERROR(IF(OR(D587=0,AsAt&lt;E587),0,MIN(N587,INT(((YEAR(AsAt)-YEAR(E587))*12+MONTH(AsAt)-MONTH(E587)-(DAY(AsAt)&lt;MIN(R587,DAY(EOMONTH(AsAt,0)))))/D587)+1)+O587*(AsAt&gt;='Deal maths'!AA587)),0)</f>
        <v/>
      </c>
      <c r="I587" s="108">
        <f>G587-H587</f>
        <v/>
      </c>
      <c r="J587" s="111">
        <f>IF(AND(C587="EIP",I587&gt;0),'Deal maths'!Y587/I587,0)</f>
        <v/>
      </c>
      <c r="K587" s="111">
        <f>IF(AND(C587="Annuity",I587&gt;0),IF(F587&gt;0,'Deal maths'!Y587*F587/(1-(1+F587)^-I587),'Deal maths'!Y587/I587),0)</f>
        <v/>
      </c>
      <c r="L587" s="111">
        <f>IF('Deal maths'!Y587="",0,'Deal maths'!Y587)</f>
        <v/>
      </c>
      <c r="M587" s="112">
        <f>F587+(F587=0)</f>
        <v/>
      </c>
      <c r="N587" s="108">
        <f>IFERROR(IF(D587=0,0,INT(((YEAR('Deal maths'!AA587)-YEAR(E587))*12+MONTH('Deal maths'!AA587)-MONTH(E587)-(DAY('Deal maths'!AA587)&lt;MIN(R587,DAY(EOMONTH('Deal maths'!AA587,0)))))/D587)+1),0)</f>
        <v/>
      </c>
      <c r="O587" s="108">
        <f>IFERROR(IF(D587=0,0,IF(IF(DAY(E587+1)=1,EOMONTH(E587,(N587-1)*D587),EDATE(E587,(N587-1)*D587))='Deal maths'!AA587,0,1)),0)</f>
        <v/>
      </c>
      <c r="P587" s="113">
        <f>IF(B587=0,0,IFERROR(IF(C587="EIP",((I587-O587)*((IF(DAY(E587+1)=1,EOMONTH(E587,H587*D587),EDATE(E587,H587*D587))-AsAt)/365.25+(IF(DAY(E587+1)=1,EOMONTH(E587,(N587-1)*D587),EDATE(E587,(N587-1)*D587))-AsAt)/365.25)/2+O587*('Deal maths'!AA587-AsAt)/365.25)/I587,IF(C587="Annuity",IF(F587&gt;0,((K587-L587*F587)*((IF(DAY(E587+1)=1,EOMONTH(E587,H587*D587),EDATE(E587,H587*D587))-AsAt)/365.25*((1+F587)^(I587-O587)-1)/F587+IF((I587-O587)&gt;1,((IF(DAY(E587+1)=1,EOMONTH(E587,(N587-1)*D587),EDATE(E587,(N587-1)*D587))-AsAt)/365.25-(IF(DAY(E587+1)=1,EOMONTH(E587,H587*D587),EDATE(E587,H587*D587))-AsAt)/365.25)/((I587-O587)-1),0)*(1+F587)*(1-(I587-O587)*(1+F587)^((I587-O587)-1)+((I587-O587)-1)*(1+F587)^(I587-O587))/F587^2)+O587*(K587-L587*F587)*(1+F587)^(I587-1)*('Deal maths'!AA587-AsAt)/365.25)/L587,((I587-O587)*((IF(DAY(E587+1)=1,EOMONTH(E587,H587*D587),EDATE(E587,H587*D587))-AsAt)/365.25+(IF(DAY(E587+1)=1,EOMONTH(E587,(N587-1)*D587),EDATE(E587,(N587-1)*D587))-AsAt)/365.25)/2+O587*('Deal maths'!AA587-AsAt)/365.25)/I587),(S587-AsAt)/365.25)),0))</f>
        <v/>
      </c>
      <c r="Q587" s="109">
        <f>IF(B587=1,'Deal maths'!AA587+ROW()/1000000,"")</f>
        <v/>
      </c>
      <c r="R587" s="108">
        <f>IF(D587=0,0,IF(DAY(E587+1)=1,31,DAY(E587)))</f>
        <v/>
      </c>
      <c r="S587" s="109">
        <f>IF(AND('Deal maths'!V587="LOBO",'Deal maths'!AG587&gt;AsAt,'Deal maths'!AG587&lt;'Deal maths'!AA587),'Deal maths'!AG587,'Deal maths'!AA587)</f>
        <v/>
      </c>
      <c r="T587" s="108">
        <f>('Deal maths'!AA587&gt;AsAt)*('Deal maths'!Y587&gt;0)</f>
        <v/>
      </c>
    </row>
    <row r="588">
      <c r="A588" s="91">
        <f>IF('Deal maths'!V588="","",'Deal maths'!W588)</f>
        <v/>
      </c>
      <c r="B588" s="108">
        <f>('Deal maths'!AA588&gt;AsAt)*('Deal maths'!Y588&gt;0)*('Deal maths'!Z588&lt;=AsAt)</f>
        <v/>
      </c>
      <c r="C588" s="91">
        <f>IF('Deal maths'!V588="","",IF('Deal maths'!AC588="","Maturity",'Deal maths'!AC588))</f>
        <v/>
      </c>
      <c r="D588" s="108">
        <f>IF(OR(C588="EIP",C588="Annuity"),IF('Deal maths'!AD588="Annual",12,IF('Deal maths'!AD588="Quarterly",3,6)),0)</f>
        <v/>
      </c>
      <c r="E588" s="109">
        <f>IFERROR(IF(D588=0,0,IF('Deal maths'!AE588&gt;0,IF('Deal maths'!AE588&gt;'Deal maths'!AA588,'Deal maths'!AA588,'Deal maths'!AE588),IF(IF(DAY('Deal maths'!AA588+1)=1,EOMONTH('Deal maths'!AA588,-(INT(((YEAR('Deal maths'!AA588)-YEAR(IF('Deal maths'!Z588&gt;0,'Deal maths'!Z588,DATE(1990,1,1))))*12+MONTH('Deal maths'!AA588)-MONTH(IF('Deal maths'!Z588&gt;0,'Deal maths'!Z588,DATE(1990,1,1))))/D588))*D588),EDATE('Deal maths'!AA588,-(INT(((YEAR('Deal maths'!AA588)-YEAR(IF('Deal maths'!Z588&gt;0,'Deal maths'!Z588,DATE(1990,1,1))))*12+MONTH('Deal maths'!AA588)-MONTH(IF('Deal maths'!Z588&gt;0,'Deal maths'!Z588,DATE(1990,1,1))))/D588))*D588))&gt;IF('Deal maths'!Z588&gt;0,'Deal maths'!Z588,DATE(1990,1,1)),IF(DAY('Deal maths'!AA588+1)=1,EOMONTH('Deal maths'!AA588,-(INT(((YEAR('Deal maths'!AA588)-YEAR(IF('Deal maths'!Z588&gt;0,'Deal maths'!Z588,DATE(1990,1,1))))*12+MONTH('Deal maths'!AA588)-MONTH(IF('Deal maths'!Z588&gt;0,'Deal maths'!Z588,DATE(1990,1,1))))/D588))*D588),EDATE('Deal maths'!AA588,-(INT(((YEAR('Deal maths'!AA588)-YEAR(IF('Deal maths'!Z588&gt;0,'Deal maths'!Z588,DATE(1990,1,1))))*12+MONTH('Deal maths'!AA588)-MONTH(IF('Deal maths'!Z588&gt;0,'Deal maths'!Z588,DATE(1990,1,1))))/D588))*D588)),IF(DAY('Deal maths'!AA588+1)=1,EOMONTH('Deal maths'!AA588,-(INT(((YEAR('Deal maths'!AA588)-YEAR(IF('Deal maths'!Z588&gt;0,'Deal maths'!Z588,DATE(1990,1,1))))*12+MONTH('Deal maths'!AA588)-MONTH(IF('Deal maths'!Z588&gt;0,'Deal maths'!Z588,DATE(1990,1,1))))/D588)-1)*D588),EDATE('Deal maths'!AA588,-(INT(((YEAR('Deal maths'!AA588)-YEAR(IF('Deal maths'!Z588&gt;0,'Deal maths'!Z588,DATE(1990,1,1))))*12+MONTH('Deal maths'!AA588)-MONTH(IF('Deal maths'!Z588&gt;0,'Deal maths'!Z588,DATE(1990,1,1))))/D588)-1)*D588))))),0)</f>
        <v/>
      </c>
      <c r="F588" s="110">
        <f>IF(D588=0,0,'Deal maths'!AB588*D588/12)</f>
        <v/>
      </c>
      <c r="G588" s="108">
        <f>N588+O588</f>
        <v/>
      </c>
      <c r="H588" s="108">
        <f>IFERROR(IF(OR(D588=0,AsAt&lt;E588),0,MIN(N588,INT(((YEAR(AsAt)-YEAR(E588))*12+MONTH(AsAt)-MONTH(E588)-(DAY(AsAt)&lt;MIN(R588,DAY(EOMONTH(AsAt,0)))))/D588)+1)+O588*(AsAt&gt;='Deal maths'!AA588)),0)</f>
        <v/>
      </c>
      <c r="I588" s="108">
        <f>G588-H588</f>
        <v/>
      </c>
      <c r="J588" s="111">
        <f>IF(AND(C588="EIP",I588&gt;0),'Deal maths'!Y588/I588,0)</f>
        <v/>
      </c>
      <c r="K588" s="111">
        <f>IF(AND(C588="Annuity",I588&gt;0),IF(F588&gt;0,'Deal maths'!Y588*F588/(1-(1+F588)^-I588),'Deal maths'!Y588/I588),0)</f>
        <v/>
      </c>
      <c r="L588" s="111">
        <f>IF('Deal maths'!Y588="",0,'Deal maths'!Y588)</f>
        <v/>
      </c>
      <c r="M588" s="112">
        <f>F588+(F588=0)</f>
        <v/>
      </c>
      <c r="N588" s="108">
        <f>IFERROR(IF(D588=0,0,INT(((YEAR('Deal maths'!AA588)-YEAR(E588))*12+MONTH('Deal maths'!AA588)-MONTH(E588)-(DAY('Deal maths'!AA588)&lt;MIN(R588,DAY(EOMONTH('Deal maths'!AA588,0)))))/D588)+1),0)</f>
        <v/>
      </c>
      <c r="O588" s="108">
        <f>IFERROR(IF(D588=0,0,IF(IF(DAY(E588+1)=1,EOMONTH(E588,(N588-1)*D588),EDATE(E588,(N588-1)*D588))='Deal maths'!AA588,0,1)),0)</f>
        <v/>
      </c>
      <c r="P588" s="113">
        <f>IF(B588=0,0,IFERROR(IF(C588="EIP",((I588-O588)*((IF(DAY(E588+1)=1,EOMONTH(E588,H588*D588),EDATE(E588,H588*D588))-AsAt)/365.25+(IF(DAY(E588+1)=1,EOMONTH(E588,(N588-1)*D588),EDATE(E588,(N588-1)*D588))-AsAt)/365.25)/2+O588*('Deal maths'!AA588-AsAt)/365.25)/I588,IF(C588="Annuity",IF(F588&gt;0,((K588-L588*F588)*((IF(DAY(E588+1)=1,EOMONTH(E588,H588*D588),EDATE(E588,H588*D588))-AsAt)/365.25*((1+F588)^(I588-O588)-1)/F588+IF((I588-O588)&gt;1,((IF(DAY(E588+1)=1,EOMONTH(E588,(N588-1)*D588),EDATE(E588,(N588-1)*D588))-AsAt)/365.25-(IF(DAY(E588+1)=1,EOMONTH(E588,H588*D588),EDATE(E588,H588*D588))-AsAt)/365.25)/((I588-O588)-1),0)*(1+F588)*(1-(I588-O588)*(1+F588)^((I588-O588)-1)+((I588-O588)-1)*(1+F588)^(I588-O588))/F588^2)+O588*(K588-L588*F588)*(1+F588)^(I588-1)*('Deal maths'!AA588-AsAt)/365.25)/L588,((I588-O588)*((IF(DAY(E588+1)=1,EOMONTH(E588,H588*D588),EDATE(E588,H588*D588))-AsAt)/365.25+(IF(DAY(E588+1)=1,EOMONTH(E588,(N588-1)*D588),EDATE(E588,(N588-1)*D588))-AsAt)/365.25)/2+O588*('Deal maths'!AA588-AsAt)/365.25)/I588),(S588-AsAt)/365.25)),0))</f>
        <v/>
      </c>
      <c r="Q588" s="109">
        <f>IF(B588=1,'Deal maths'!AA588+ROW()/1000000,"")</f>
        <v/>
      </c>
      <c r="R588" s="108">
        <f>IF(D588=0,0,IF(DAY(E588+1)=1,31,DAY(E588)))</f>
        <v/>
      </c>
      <c r="S588" s="109">
        <f>IF(AND('Deal maths'!V588="LOBO",'Deal maths'!AG588&gt;AsAt,'Deal maths'!AG588&lt;'Deal maths'!AA588),'Deal maths'!AG588,'Deal maths'!AA588)</f>
        <v/>
      </c>
      <c r="T588" s="108">
        <f>('Deal maths'!AA588&gt;AsAt)*('Deal maths'!Y588&gt;0)</f>
        <v/>
      </c>
    </row>
    <row r="589">
      <c r="A589" s="91">
        <f>IF('Deal maths'!V589="","",'Deal maths'!W589)</f>
        <v/>
      </c>
      <c r="B589" s="108">
        <f>('Deal maths'!AA589&gt;AsAt)*('Deal maths'!Y589&gt;0)*('Deal maths'!Z589&lt;=AsAt)</f>
        <v/>
      </c>
      <c r="C589" s="91">
        <f>IF('Deal maths'!V589="","",IF('Deal maths'!AC589="","Maturity",'Deal maths'!AC589))</f>
        <v/>
      </c>
      <c r="D589" s="108">
        <f>IF(OR(C589="EIP",C589="Annuity"),IF('Deal maths'!AD589="Annual",12,IF('Deal maths'!AD589="Quarterly",3,6)),0)</f>
        <v/>
      </c>
      <c r="E589" s="109">
        <f>IFERROR(IF(D589=0,0,IF('Deal maths'!AE589&gt;0,IF('Deal maths'!AE589&gt;'Deal maths'!AA589,'Deal maths'!AA589,'Deal maths'!AE589),IF(IF(DAY('Deal maths'!AA589+1)=1,EOMONTH('Deal maths'!AA589,-(INT(((YEAR('Deal maths'!AA589)-YEAR(IF('Deal maths'!Z589&gt;0,'Deal maths'!Z589,DATE(1990,1,1))))*12+MONTH('Deal maths'!AA589)-MONTH(IF('Deal maths'!Z589&gt;0,'Deal maths'!Z589,DATE(1990,1,1))))/D589))*D589),EDATE('Deal maths'!AA589,-(INT(((YEAR('Deal maths'!AA589)-YEAR(IF('Deal maths'!Z589&gt;0,'Deal maths'!Z589,DATE(1990,1,1))))*12+MONTH('Deal maths'!AA589)-MONTH(IF('Deal maths'!Z589&gt;0,'Deal maths'!Z589,DATE(1990,1,1))))/D589))*D589))&gt;IF('Deal maths'!Z589&gt;0,'Deal maths'!Z589,DATE(1990,1,1)),IF(DAY('Deal maths'!AA589+1)=1,EOMONTH('Deal maths'!AA589,-(INT(((YEAR('Deal maths'!AA589)-YEAR(IF('Deal maths'!Z589&gt;0,'Deal maths'!Z589,DATE(1990,1,1))))*12+MONTH('Deal maths'!AA589)-MONTH(IF('Deal maths'!Z589&gt;0,'Deal maths'!Z589,DATE(1990,1,1))))/D589))*D589),EDATE('Deal maths'!AA589,-(INT(((YEAR('Deal maths'!AA589)-YEAR(IF('Deal maths'!Z589&gt;0,'Deal maths'!Z589,DATE(1990,1,1))))*12+MONTH('Deal maths'!AA589)-MONTH(IF('Deal maths'!Z589&gt;0,'Deal maths'!Z589,DATE(1990,1,1))))/D589))*D589)),IF(DAY('Deal maths'!AA589+1)=1,EOMONTH('Deal maths'!AA589,-(INT(((YEAR('Deal maths'!AA589)-YEAR(IF('Deal maths'!Z589&gt;0,'Deal maths'!Z589,DATE(1990,1,1))))*12+MONTH('Deal maths'!AA589)-MONTH(IF('Deal maths'!Z589&gt;0,'Deal maths'!Z589,DATE(1990,1,1))))/D589)-1)*D589),EDATE('Deal maths'!AA589,-(INT(((YEAR('Deal maths'!AA589)-YEAR(IF('Deal maths'!Z589&gt;0,'Deal maths'!Z589,DATE(1990,1,1))))*12+MONTH('Deal maths'!AA589)-MONTH(IF('Deal maths'!Z589&gt;0,'Deal maths'!Z589,DATE(1990,1,1))))/D589)-1)*D589))))),0)</f>
        <v/>
      </c>
      <c r="F589" s="110">
        <f>IF(D589=0,0,'Deal maths'!AB589*D589/12)</f>
        <v/>
      </c>
      <c r="G589" s="108">
        <f>N589+O589</f>
        <v/>
      </c>
      <c r="H589" s="108">
        <f>IFERROR(IF(OR(D589=0,AsAt&lt;E589),0,MIN(N589,INT(((YEAR(AsAt)-YEAR(E589))*12+MONTH(AsAt)-MONTH(E589)-(DAY(AsAt)&lt;MIN(R589,DAY(EOMONTH(AsAt,0)))))/D589)+1)+O589*(AsAt&gt;='Deal maths'!AA589)),0)</f>
        <v/>
      </c>
      <c r="I589" s="108">
        <f>G589-H589</f>
        <v/>
      </c>
      <c r="J589" s="111">
        <f>IF(AND(C589="EIP",I589&gt;0),'Deal maths'!Y589/I589,0)</f>
        <v/>
      </c>
      <c r="K589" s="111">
        <f>IF(AND(C589="Annuity",I589&gt;0),IF(F589&gt;0,'Deal maths'!Y589*F589/(1-(1+F589)^-I589),'Deal maths'!Y589/I589),0)</f>
        <v/>
      </c>
      <c r="L589" s="111">
        <f>IF('Deal maths'!Y589="",0,'Deal maths'!Y589)</f>
        <v/>
      </c>
      <c r="M589" s="112">
        <f>F589+(F589=0)</f>
        <v/>
      </c>
      <c r="N589" s="108">
        <f>IFERROR(IF(D589=0,0,INT(((YEAR('Deal maths'!AA589)-YEAR(E589))*12+MONTH('Deal maths'!AA589)-MONTH(E589)-(DAY('Deal maths'!AA589)&lt;MIN(R589,DAY(EOMONTH('Deal maths'!AA589,0)))))/D589)+1),0)</f>
        <v/>
      </c>
      <c r="O589" s="108">
        <f>IFERROR(IF(D589=0,0,IF(IF(DAY(E589+1)=1,EOMONTH(E589,(N589-1)*D589),EDATE(E589,(N589-1)*D589))='Deal maths'!AA589,0,1)),0)</f>
        <v/>
      </c>
      <c r="P589" s="113">
        <f>IF(B589=0,0,IFERROR(IF(C589="EIP",((I589-O589)*((IF(DAY(E589+1)=1,EOMONTH(E589,H589*D589),EDATE(E589,H589*D589))-AsAt)/365.25+(IF(DAY(E589+1)=1,EOMONTH(E589,(N589-1)*D589),EDATE(E589,(N589-1)*D589))-AsAt)/365.25)/2+O589*('Deal maths'!AA589-AsAt)/365.25)/I589,IF(C589="Annuity",IF(F589&gt;0,((K589-L589*F589)*((IF(DAY(E589+1)=1,EOMONTH(E589,H589*D589),EDATE(E589,H589*D589))-AsAt)/365.25*((1+F589)^(I589-O589)-1)/F589+IF((I589-O589)&gt;1,((IF(DAY(E589+1)=1,EOMONTH(E589,(N589-1)*D589),EDATE(E589,(N589-1)*D589))-AsAt)/365.25-(IF(DAY(E589+1)=1,EOMONTH(E589,H589*D589),EDATE(E589,H589*D589))-AsAt)/365.25)/((I589-O589)-1),0)*(1+F589)*(1-(I589-O589)*(1+F589)^((I589-O589)-1)+((I589-O589)-1)*(1+F589)^(I589-O589))/F589^2)+O589*(K589-L589*F589)*(1+F589)^(I589-1)*('Deal maths'!AA589-AsAt)/365.25)/L589,((I589-O589)*((IF(DAY(E589+1)=1,EOMONTH(E589,H589*D589),EDATE(E589,H589*D589))-AsAt)/365.25+(IF(DAY(E589+1)=1,EOMONTH(E589,(N589-1)*D589),EDATE(E589,(N589-1)*D589))-AsAt)/365.25)/2+O589*('Deal maths'!AA589-AsAt)/365.25)/I589),(S589-AsAt)/365.25)),0))</f>
        <v/>
      </c>
      <c r="Q589" s="109">
        <f>IF(B589=1,'Deal maths'!AA589+ROW()/1000000,"")</f>
        <v/>
      </c>
      <c r="R589" s="108">
        <f>IF(D589=0,0,IF(DAY(E589+1)=1,31,DAY(E589)))</f>
        <v/>
      </c>
      <c r="S589" s="109">
        <f>IF(AND('Deal maths'!V589="LOBO",'Deal maths'!AG589&gt;AsAt,'Deal maths'!AG589&lt;'Deal maths'!AA589),'Deal maths'!AG589,'Deal maths'!AA589)</f>
        <v/>
      </c>
      <c r="T589" s="108">
        <f>('Deal maths'!AA589&gt;AsAt)*('Deal maths'!Y589&gt;0)</f>
        <v/>
      </c>
    </row>
    <row r="590">
      <c r="A590" s="91">
        <f>IF('Deal maths'!V590="","",'Deal maths'!W590)</f>
        <v/>
      </c>
      <c r="B590" s="108">
        <f>('Deal maths'!AA590&gt;AsAt)*('Deal maths'!Y590&gt;0)*('Deal maths'!Z590&lt;=AsAt)</f>
        <v/>
      </c>
      <c r="C590" s="91">
        <f>IF('Deal maths'!V590="","",IF('Deal maths'!AC590="","Maturity",'Deal maths'!AC590))</f>
        <v/>
      </c>
      <c r="D590" s="108">
        <f>IF(OR(C590="EIP",C590="Annuity"),IF('Deal maths'!AD590="Annual",12,IF('Deal maths'!AD590="Quarterly",3,6)),0)</f>
        <v/>
      </c>
      <c r="E590" s="109">
        <f>IFERROR(IF(D590=0,0,IF('Deal maths'!AE590&gt;0,IF('Deal maths'!AE590&gt;'Deal maths'!AA590,'Deal maths'!AA590,'Deal maths'!AE590),IF(IF(DAY('Deal maths'!AA590+1)=1,EOMONTH('Deal maths'!AA590,-(INT(((YEAR('Deal maths'!AA590)-YEAR(IF('Deal maths'!Z590&gt;0,'Deal maths'!Z590,DATE(1990,1,1))))*12+MONTH('Deal maths'!AA590)-MONTH(IF('Deal maths'!Z590&gt;0,'Deal maths'!Z590,DATE(1990,1,1))))/D590))*D590),EDATE('Deal maths'!AA590,-(INT(((YEAR('Deal maths'!AA590)-YEAR(IF('Deal maths'!Z590&gt;0,'Deal maths'!Z590,DATE(1990,1,1))))*12+MONTH('Deal maths'!AA590)-MONTH(IF('Deal maths'!Z590&gt;0,'Deal maths'!Z590,DATE(1990,1,1))))/D590))*D590))&gt;IF('Deal maths'!Z590&gt;0,'Deal maths'!Z590,DATE(1990,1,1)),IF(DAY('Deal maths'!AA590+1)=1,EOMONTH('Deal maths'!AA590,-(INT(((YEAR('Deal maths'!AA590)-YEAR(IF('Deal maths'!Z590&gt;0,'Deal maths'!Z590,DATE(1990,1,1))))*12+MONTH('Deal maths'!AA590)-MONTH(IF('Deal maths'!Z590&gt;0,'Deal maths'!Z590,DATE(1990,1,1))))/D590))*D590),EDATE('Deal maths'!AA590,-(INT(((YEAR('Deal maths'!AA590)-YEAR(IF('Deal maths'!Z590&gt;0,'Deal maths'!Z590,DATE(1990,1,1))))*12+MONTH('Deal maths'!AA590)-MONTH(IF('Deal maths'!Z590&gt;0,'Deal maths'!Z590,DATE(1990,1,1))))/D590))*D590)),IF(DAY('Deal maths'!AA590+1)=1,EOMONTH('Deal maths'!AA590,-(INT(((YEAR('Deal maths'!AA590)-YEAR(IF('Deal maths'!Z590&gt;0,'Deal maths'!Z590,DATE(1990,1,1))))*12+MONTH('Deal maths'!AA590)-MONTH(IF('Deal maths'!Z590&gt;0,'Deal maths'!Z590,DATE(1990,1,1))))/D590)-1)*D590),EDATE('Deal maths'!AA590,-(INT(((YEAR('Deal maths'!AA590)-YEAR(IF('Deal maths'!Z590&gt;0,'Deal maths'!Z590,DATE(1990,1,1))))*12+MONTH('Deal maths'!AA590)-MONTH(IF('Deal maths'!Z590&gt;0,'Deal maths'!Z590,DATE(1990,1,1))))/D590)-1)*D590))))),0)</f>
        <v/>
      </c>
      <c r="F590" s="110">
        <f>IF(D590=0,0,'Deal maths'!AB590*D590/12)</f>
        <v/>
      </c>
      <c r="G590" s="108">
        <f>N590+O590</f>
        <v/>
      </c>
      <c r="H590" s="108">
        <f>IFERROR(IF(OR(D590=0,AsAt&lt;E590),0,MIN(N590,INT(((YEAR(AsAt)-YEAR(E590))*12+MONTH(AsAt)-MONTH(E590)-(DAY(AsAt)&lt;MIN(R590,DAY(EOMONTH(AsAt,0)))))/D590)+1)+O590*(AsAt&gt;='Deal maths'!AA590)),0)</f>
        <v/>
      </c>
      <c r="I590" s="108">
        <f>G590-H590</f>
        <v/>
      </c>
      <c r="J590" s="111">
        <f>IF(AND(C590="EIP",I590&gt;0),'Deal maths'!Y590/I590,0)</f>
        <v/>
      </c>
      <c r="K590" s="111">
        <f>IF(AND(C590="Annuity",I590&gt;0),IF(F590&gt;0,'Deal maths'!Y590*F590/(1-(1+F590)^-I590),'Deal maths'!Y590/I590),0)</f>
        <v/>
      </c>
      <c r="L590" s="111">
        <f>IF('Deal maths'!Y590="",0,'Deal maths'!Y590)</f>
        <v/>
      </c>
      <c r="M590" s="112">
        <f>F590+(F590=0)</f>
        <v/>
      </c>
      <c r="N590" s="108">
        <f>IFERROR(IF(D590=0,0,INT(((YEAR('Deal maths'!AA590)-YEAR(E590))*12+MONTH('Deal maths'!AA590)-MONTH(E590)-(DAY('Deal maths'!AA590)&lt;MIN(R590,DAY(EOMONTH('Deal maths'!AA590,0)))))/D590)+1),0)</f>
        <v/>
      </c>
      <c r="O590" s="108">
        <f>IFERROR(IF(D590=0,0,IF(IF(DAY(E590+1)=1,EOMONTH(E590,(N590-1)*D590),EDATE(E590,(N590-1)*D590))='Deal maths'!AA590,0,1)),0)</f>
        <v/>
      </c>
      <c r="P590" s="113">
        <f>IF(B590=0,0,IFERROR(IF(C590="EIP",((I590-O590)*((IF(DAY(E590+1)=1,EOMONTH(E590,H590*D590),EDATE(E590,H590*D590))-AsAt)/365.25+(IF(DAY(E590+1)=1,EOMONTH(E590,(N590-1)*D590),EDATE(E590,(N590-1)*D590))-AsAt)/365.25)/2+O590*('Deal maths'!AA590-AsAt)/365.25)/I590,IF(C590="Annuity",IF(F590&gt;0,((K590-L590*F590)*((IF(DAY(E590+1)=1,EOMONTH(E590,H590*D590),EDATE(E590,H590*D590))-AsAt)/365.25*((1+F590)^(I590-O590)-1)/F590+IF((I590-O590)&gt;1,((IF(DAY(E590+1)=1,EOMONTH(E590,(N590-1)*D590),EDATE(E590,(N590-1)*D590))-AsAt)/365.25-(IF(DAY(E590+1)=1,EOMONTH(E590,H590*D590),EDATE(E590,H590*D590))-AsAt)/365.25)/((I590-O590)-1),0)*(1+F590)*(1-(I590-O590)*(1+F590)^((I590-O590)-1)+((I590-O590)-1)*(1+F590)^(I590-O590))/F590^2)+O590*(K590-L590*F590)*(1+F590)^(I590-1)*('Deal maths'!AA590-AsAt)/365.25)/L590,((I590-O590)*((IF(DAY(E590+1)=1,EOMONTH(E590,H590*D590),EDATE(E590,H590*D590))-AsAt)/365.25+(IF(DAY(E590+1)=1,EOMONTH(E590,(N590-1)*D590),EDATE(E590,(N590-1)*D590))-AsAt)/365.25)/2+O590*('Deal maths'!AA590-AsAt)/365.25)/I590),(S590-AsAt)/365.25)),0))</f>
        <v/>
      </c>
      <c r="Q590" s="109">
        <f>IF(B590=1,'Deal maths'!AA590+ROW()/1000000,"")</f>
        <v/>
      </c>
      <c r="R590" s="108">
        <f>IF(D590=0,0,IF(DAY(E590+1)=1,31,DAY(E590)))</f>
        <v/>
      </c>
      <c r="S590" s="109">
        <f>IF(AND('Deal maths'!V590="LOBO",'Deal maths'!AG590&gt;AsAt,'Deal maths'!AG590&lt;'Deal maths'!AA590),'Deal maths'!AG590,'Deal maths'!AA590)</f>
        <v/>
      </c>
      <c r="T590" s="108">
        <f>('Deal maths'!AA590&gt;AsAt)*('Deal maths'!Y590&gt;0)</f>
        <v/>
      </c>
    </row>
    <row r="591">
      <c r="A591" s="91">
        <f>IF('Deal maths'!V591="","",'Deal maths'!W591)</f>
        <v/>
      </c>
      <c r="B591" s="108">
        <f>('Deal maths'!AA591&gt;AsAt)*('Deal maths'!Y591&gt;0)*('Deal maths'!Z591&lt;=AsAt)</f>
        <v/>
      </c>
      <c r="C591" s="91">
        <f>IF('Deal maths'!V591="","",IF('Deal maths'!AC591="","Maturity",'Deal maths'!AC591))</f>
        <v/>
      </c>
      <c r="D591" s="108">
        <f>IF(OR(C591="EIP",C591="Annuity"),IF('Deal maths'!AD591="Annual",12,IF('Deal maths'!AD591="Quarterly",3,6)),0)</f>
        <v/>
      </c>
      <c r="E591" s="109">
        <f>IFERROR(IF(D591=0,0,IF('Deal maths'!AE591&gt;0,IF('Deal maths'!AE591&gt;'Deal maths'!AA591,'Deal maths'!AA591,'Deal maths'!AE591),IF(IF(DAY('Deal maths'!AA591+1)=1,EOMONTH('Deal maths'!AA591,-(INT(((YEAR('Deal maths'!AA591)-YEAR(IF('Deal maths'!Z591&gt;0,'Deal maths'!Z591,DATE(1990,1,1))))*12+MONTH('Deal maths'!AA591)-MONTH(IF('Deal maths'!Z591&gt;0,'Deal maths'!Z591,DATE(1990,1,1))))/D591))*D591),EDATE('Deal maths'!AA591,-(INT(((YEAR('Deal maths'!AA591)-YEAR(IF('Deal maths'!Z591&gt;0,'Deal maths'!Z591,DATE(1990,1,1))))*12+MONTH('Deal maths'!AA591)-MONTH(IF('Deal maths'!Z591&gt;0,'Deal maths'!Z591,DATE(1990,1,1))))/D591))*D591))&gt;IF('Deal maths'!Z591&gt;0,'Deal maths'!Z591,DATE(1990,1,1)),IF(DAY('Deal maths'!AA591+1)=1,EOMONTH('Deal maths'!AA591,-(INT(((YEAR('Deal maths'!AA591)-YEAR(IF('Deal maths'!Z591&gt;0,'Deal maths'!Z591,DATE(1990,1,1))))*12+MONTH('Deal maths'!AA591)-MONTH(IF('Deal maths'!Z591&gt;0,'Deal maths'!Z591,DATE(1990,1,1))))/D591))*D591),EDATE('Deal maths'!AA591,-(INT(((YEAR('Deal maths'!AA591)-YEAR(IF('Deal maths'!Z591&gt;0,'Deal maths'!Z591,DATE(1990,1,1))))*12+MONTH('Deal maths'!AA591)-MONTH(IF('Deal maths'!Z591&gt;0,'Deal maths'!Z591,DATE(1990,1,1))))/D591))*D591)),IF(DAY('Deal maths'!AA591+1)=1,EOMONTH('Deal maths'!AA591,-(INT(((YEAR('Deal maths'!AA591)-YEAR(IF('Deal maths'!Z591&gt;0,'Deal maths'!Z591,DATE(1990,1,1))))*12+MONTH('Deal maths'!AA591)-MONTH(IF('Deal maths'!Z591&gt;0,'Deal maths'!Z591,DATE(1990,1,1))))/D591)-1)*D591),EDATE('Deal maths'!AA591,-(INT(((YEAR('Deal maths'!AA591)-YEAR(IF('Deal maths'!Z591&gt;0,'Deal maths'!Z591,DATE(1990,1,1))))*12+MONTH('Deal maths'!AA591)-MONTH(IF('Deal maths'!Z591&gt;0,'Deal maths'!Z591,DATE(1990,1,1))))/D591)-1)*D591))))),0)</f>
        <v/>
      </c>
      <c r="F591" s="110">
        <f>IF(D591=0,0,'Deal maths'!AB591*D591/12)</f>
        <v/>
      </c>
      <c r="G591" s="108">
        <f>N591+O591</f>
        <v/>
      </c>
      <c r="H591" s="108">
        <f>IFERROR(IF(OR(D591=0,AsAt&lt;E591),0,MIN(N591,INT(((YEAR(AsAt)-YEAR(E591))*12+MONTH(AsAt)-MONTH(E591)-(DAY(AsAt)&lt;MIN(R591,DAY(EOMONTH(AsAt,0)))))/D591)+1)+O591*(AsAt&gt;='Deal maths'!AA591)),0)</f>
        <v/>
      </c>
      <c r="I591" s="108">
        <f>G591-H591</f>
        <v/>
      </c>
      <c r="J591" s="111">
        <f>IF(AND(C591="EIP",I591&gt;0),'Deal maths'!Y591/I591,0)</f>
        <v/>
      </c>
      <c r="K591" s="111">
        <f>IF(AND(C591="Annuity",I591&gt;0),IF(F591&gt;0,'Deal maths'!Y591*F591/(1-(1+F591)^-I591),'Deal maths'!Y591/I591),0)</f>
        <v/>
      </c>
      <c r="L591" s="111">
        <f>IF('Deal maths'!Y591="",0,'Deal maths'!Y591)</f>
        <v/>
      </c>
      <c r="M591" s="112">
        <f>F591+(F591=0)</f>
        <v/>
      </c>
      <c r="N591" s="108">
        <f>IFERROR(IF(D591=0,0,INT(((YEAR('Deal maths'!AA591)-YEAR(E591))*12+MONTH('Deal maths'!AA591)-MONTH(E591)-(DAY('Deal maths'!AA591)&lt;MIN(R591,DAY(EOMONTH('Deal maths'!AA591,0)))))/D591)+1),0)</f>
        <v/>
      </c>
      <c r="O591" s="108">
        <f>IFERROR(IF(D591=0,0,IF(IF(DAY(E591+1)=1,EOMONTH(E591,(N591-1)*D591),EDATE(E591,(N591-1)*D591))='Deal maths'!AA591,0,1)),0)</f>
        <v/>
      </c>
      <c r="P591" s="113">
        <f>IF(B591=0,0,IFERROR(IF(C591="EIP",((I591-O591)*((IF(DAY(E591+1)=1,EOMONTH(E591,H591*D591),EDATE(E591,H591*D591))-AsAt)/365.25+(IF(DAY(E591+1)=1,EOMONTH(E591,(N591-1)*D591),EDATE(E591,(N591-1)*D591))-AsAt)/365.25)/2+O591*('Deal maths'!AA591-AsAt)/365.25)/I591,IF(C591="Annuity",IF(F591&gt;0,((K591-L591*F591)*((IF(DAY(E591+1)=1,EOMONTH(E591,H591*D591),EDATE(E591,H591*D591))-AsAt)/365.25*((1+F591)^(I591-O591)-1)/F591+IF((I591-O591)&gt;1,((IF(DAY(E591+1)=1,EOMONTH(E591,(N591-1)*D591),EDATE(E591,(N591-1)*D591))-AsAt)/365.25-(IF(DAY(E591+1)=1,EOMONTH(E591,H591*D591),EDATE(E591,H591*D591))-AsAt)/365.25)/((I591-O591)-1),0)*(1+F591)*(1-(I591-O591)*(1+F591)^((I591-O591)-1)+((I591-O591)-1)*(1+F591)^(I591-O591))/F591^2)+O591*(K591-L591*F591)*(1+F591)^(I591-1)*('Deal maths'!AA591-AsAt)/365.25)/L591,((I591-O591)*((IF(DAY(E591+1)=1,EOMONTH(E591,H591*D591),EDATE(E591,H591*D591))-AsAt)/365.25+(IF(DAY(E591+1)=1,EOMONTH(E591,(N591-1)*D591),EDATE(E591,(N591-1)*D591))-AsAt)/365.25)/2+O591*('Deal maths'!AA591-AsAt)/365.25)/I591),(S591-AsAt)/365.25)),0))</f>
        <v/>
      </c>
      <c r="Q591" s="109">
        <f>IF(B591=1,'Deal maths'!AA591+ROW()/1000000,"")</f>
        <v/>
      </c>
      <c r="R591" s="108">
        <f>IF(D591=0,0,IF(DAY(E591+1)=1,31,DAY(E591)))</f>
        <v/>
      </c>
      <c r="S591" s="109">
        <f>IF(AND('Deal maths'!V591="LOBO",'Deal maths'!AG591&gt;AsAt,'Deal maths'!AG591&lt;'Deal maths'!AA591),'Deal maths'!AG591,'Deal maths'!AA591)</f>
        <v/>
      </c>
      <c r="T591" s="108">
        <f>('Deal maths'!AA591&gt;AsAt)*('Deal maths'!Y591&gt;0)</f>
        <v/>
      </c>
    </row>
    <row r="592">
      <c r="A592" s="91">
        <f>IF('Deal maths'!V592="","",'Deal maths'!W592)</f>
        <v/>
      </c>
      <c r="B592" s="108">
        <f>('Deal maths'!AA592&gt;AsAt)*('Deal maths'!Y592&gt;0)*('Deal maths'!Z592&lt;=AsAt)</f>
        <v/>
      </c>
      <c r="C592" s="91">
        <f>IF('Deal maths'!V592="","",IF('Deal maths'!AC592="","Maturity",'Deal maths'!AC592))</f>
        <v/>
      </c>
      <c r="D592" s="108">
        <f>IF(OR(C592="EIP",C592="Annuity"),IF('Deal maths'!AD592="Annual",12,IF('Deal maths'!AD592="Quarterly",3,6)),0)</f>
        <v/>
      </c>
      <c r="E592" s="109">
        <f>IFERROR(IF(D592=0,0,IF('Deal maths'!AE592&gt;0,IF('Deal maths'!AE592&gt;'Deal maths'!AA592,'Deal maths'!AA592,'Deal maths'!AE592),IF(IF(DAY('Deal maths'!AA592+1)=1,EOMONTH('Deal maths'!AA592,-(INT(((YEAR('Deal maths'!AA592)-YEAR(IF('Deal maths'!Z592&gt;0,'Deal maths'!Z592,DATE(1990,1,1))))*12+MONTH('Deal maths'!AA592)-MONTH(IF('Deal maths'!Z592&gt;0,'Deal maths'!Z592,DATE(1990,1,1))))/D592))*D592),EDATE('Deal maths'!AA592,-(INT(((YEAR('Deal maths'!AA592)-YEAR(IF('Deal maths'!Z592&gt;0,'Deal maths'!Z592,DATE(1990,1,1))))*12+MONTH('Deal maths'!AA592)-MONTH(IF('Deal maths'!Z592&gt;0,'Deal maths'!Z592,DATE(1990,1,1))))/D592))*D592))&gt;IF('Deal maths'!Z592&gt;0,'Deal maths'!Z592,DATE(1990,1,1)),IF(DAY('Deal maths'!AA592+1)=1,EOMONTH('Deal maths'!AA592,-(INT(((YEAR('Deal maths'!AA592)-YEAR(IF('Deal maths'!Z592&gt;0,'Deal maths'!Z592,DATE(1990,1,1))))*12+MONTH('Deal maths'!AA592)-MONTH(IF('Deal maths'!Z592&gt;0,'Deal maths'!Z592,DATE(1990,1,1))))/D592))*D592),EDATE('Deal maths'!AA592,-(INT(((YEAR('Deal maths'!AA592)-YEAR(IF('Deal maths'!Z592&gt;0,'Deal maths'!Z592,DATE(1990,1,1))))*12+MONTH('Deal maths'!AA592)-MONTH(IF('Deal maths'!Z592&gt;0,'Deal maths'!Z592,DATE(1990,1,1))))/D592))*D592)),IF(DAY('Deal maths'!AA592+1)=1,EOMONTH('Deal maths'!AA592,-(INT(((YEAR('Deal maths'!AA592)-YEAR(IF('Deal maths'!Z592&gt;0,'Deal maths'!Z592,DATE(1990,1,1))))*12+MONTH('Deal maths'!AA592)-MONTH(IF('Deal maths'!Z592&gt;0,'Deal maths'!Z592,DATE(1990,1,1))))/D592)-1)*D592),EDATE('Deal maths'!AA592,-(INT(((YEAR('Deal maths'!AA592)-YEAR(IF('Deal maths'!Z592&gt;0,'Deal maths'!Z592,DATE(1990,1,1))))*12+MONTH('Deal maths'!AA592)-MONTH(IF('Deal maths'!Z592&gt;0,'Deal maths'!Z592,DATE(1990,1,1))))/D592)-1)*D592))))),0)</f>
        <v/>
      </c>
      <c r="F592" s="110">
        <f>IF(D592=0,0,'Deal maths'!AB592*D592/12)</f>
        <v/>
      </c>
      <c r="G592" s="108">
        <f>N592+O592</f>
        <v/>
      </c>
      <c r="H592" s="108">
        <f>IFERROR(IF(OR(D592=0,AsAt&lt;E592),0,MIN(N592,INT(((YEAR(AsAt)-YEAR(E592))*12+MONTH(AsAt)-MONTH(E592)-(DAY(AsAt)&lt;MIN(R592,DAY(EOMONTH(AsAt,0)))))/D592)+1)+O592*(AsAt&gt;='Deal maths'!AA592)),0)</f>
        <v/>
      </c>
      <c r="I592" s="108">
        <f>G592-H592</f>
        <v/>
      </c>
      <c r="J592" s="111">
        <f>IF(AND(C592="EIP",I592&gt;0),'Deal maths'!Y592/I592,0)</f>
        <v/>
      </c>
      <c r="K592" s="111">
        <f>IF(AND(C592="Annuity",I592&gt;0),IF(F592&gt;0,'Deal maths'!Y592*F592/(1-(1+F592)^-I592),'Deal maths'!Y592/I592),0)</f>
        <v/>
      </c>
      <c r="L592" s="111">
        <f>IF('Deal maths'!Y592="",0,'Deal maths'!Y592)</f>
        <v/>
      </c>
      <c r="M592" s="112">
        <f>F592+(F592=0)</f>
        <v/>
      </c>
      <c r="N592" s="108">
        <f>IFERROR(IF(D592=0,0,INT(((YEAR('Deal maths'!AA592)-YEAR(E592))*12+MONTH('Deal maths'!AA592)-MONTH(E592)-(DAY('Deal maths'!AA592)&lt;MIN(R592,DAY(EOMONTH('Deal maths'!AA592,0)))))/D592)+1),0)</f>
        <v/>
      </c>
      <c r="O592" s="108">
        <f>IFERROR(IF(D592=0,0,IF(IF(DAY(E592+1)=1,EOMONTH(E592,(N592-1)*D592),EDATE(E592,(N592-1)*D592))='Deal maths'!AA592,0,1)),0)</f>
        <v/>
      </c>
      <c r="P592" s="113">
        <f>IF(B592=0,0,IFERROR(IF(C592="EIP",((I592-O592)*((IF(DAY(E592+1)=1,EOMONTH(E592,H592*D592),EDATE(E592,H592*D592))-AsAt)/365.25+(IF(DAY(E592+1)=1,EOMONTH(E592,(N592-1)*D592),EDATE(E592,(N592-1)*D592))-AsAt)/365.25)/2+O592*('Deal maths'!AA592-AsAt)/365.25)/I592,IF(C592="Annuity",IF(F592&gt;0,((K592-L592*F592)*((IF(DAY(E592+1)=1,EOMONTH(E592,H592*D592),EDATE(E592,H592*D592))-AsAt)/365.25*((1+F592)^(I592-O592)-1)/F592+IF((I592-O592)&gt;1,((IF(DAY(E592+1)=1,EOMONTH(E592,(N592-1)*D592),EDATE(E592,(N592-1)*D592))-AsAt)/365.25-(IF(DAY(E592+1)=1,EOMONTH(E592,H592*D592),EDATE(E592,H592*D592))-AsAt)/365.25)/((I592-O592)-1),0)*(1+F592)*(1-(I592-O592)*(1+F592)^((I592-O592)-1)+((I592-O592)-1)*(1+F592)^(I592-O592))/F592^2)+O592*(K592-L592*F592)*(1+F592)^(I592-1)*('Deal maths'!AA592-AsAt)/365.25)/L592,((I592-O592)*((IF(DAY(E592+1)=1,EOMONTH(E592,H592*D592),EDATE(E592,H592*D592))-AsAt)/365.25+(IF(DAY(E592+1)=1,EOMONTH(E592,(N592-1)*D592),EDATE(E592,(N592-1)*D592))-AsAt)/365.25)/2+O592*('Deal maths'!AA592-AsAt)/365.25)/I592),(S592-AsAt)/365.25)),0))</f>
        <v/>
      </c>
      <c r="Q592" s="109">
        <f>IF(B592=1,'Deal maths'!AA592+ROW()/1000000,"")</f>
        <v/>
      </c>
      <c r="R592" s="108">
        <f>IF(D592=0,0,IF(DAY(E592+1)=1,31,DAY(E592)))</f>
        <v/>
      </c>
      <c r="S592" s="109">
        <f>IF(AND('Deal maths'!V592="LOBO",'Deal maths'!AG592&gt;AsAt,'Deal maths'!AG592&lt;'Deal maths'!AA592),'Deal maths'!AG592,'Deal maths'!AA592)</f>
        <v/>
      </c>
      <c r="T592" s="108">
        <f>('Deal maths'!AA592&gt;AsAt)*('Deal maths'!Y592&gt;0)</f>
        <v/>
      </c>
    </row>
    <row r="593">
      <c r="A593" s="91">
        <f>IF('Deal maths'!V593="","",'Deal maths'!W593)</f>
        <v/>
      </c>
      <c r="B593" s="108">
        <f>('Deal maths'!AA593&gt;AsAt)*('Deal maths'!Y593&gt;0)*('Deal maths'!Z593&lt;=AsAt)</f>
        <v/>
      </c>
      <c r="C593" s="91">
        <f>IF('Deal maths'!V593="","",IF('Deal maths'!AC593="","Maturity",'Deal maths'!AC593))</f>
        <v/>
      </c>
      <c r="D593" s="108">
        <f>IF(OR(C593="EIP",C593="Annuity"),IF('Deal maths'!AD593="Annual",12,IF('Deal maths'!AD593="Quarterly",3,6)),0)</f>
        <v/>
      </c>
      <c r="E593" s="109">
        <f>IFERROR(IF(D593=0,0,IF('Deal maths'!AE593&gt;0,IF('Deal maths'!AE593&gt;'Deal maths'!AA593,'Deal maths'!AA593,'Deal maths'!AE593),IF(IF(DAY('Deal maths'!AA593+1)=1,EOMONTH('Deal maths'!AA593,-(INT(((YEAR('Deal maths'!AA593)-YEAR(IF('Deal maths'!Z593&gt;0,'Deal maths'!Z593,DATE(1990,1,1))))*12+MONTH('Deal maths'!AA593)-MONTH(IF('Deal maths'!Z593&gt;0,'Deal maths'!Z593,DATE(1990,1,1))))/D593))*D593),EDATE('Deal maths'!AA593,-(INT(((YEAR('Deal maths'!AA593)-YEAR(IF('Deal maths'!Z593&gt;0,'Deal maths'!Z593,DATE(1990,1,1))))*12+MONTH('Deal maths'!AA593)-MONTH(IF('Deal maths'!Z593&gt;0,'Deal maths'!Z593,DATE(1990,1,1))))/D593))*D593))&gt;IF('Deal maths'!Z593&gt;0,'Deal maths'!Z593,DATE(1990,1,1)),IF(DAY('Deal maths'!AA593+1)=1,EOMONTH('Deal maths'!AA593,-(INT(((YEAR('Deal maths'!AA593)-YEAR(IF('Deal maths'!Z593&gt;0,'Deal maths'!Z593,DATE(1990,1,1))))*12+MONTH('Deal maths'!AA593)-MONTH(IF('Deal maths'!Z593&gt;0,'Deal maths'!Z593,DATE(1990,1,1))))/D593))*D593),EDATE('Deal maths'!AA593,-(INT(((YEAR('Deal maths'!AA593)-YEAR(IF('Deal maths'!Z593&gt;0,'Deal maths'!Z593,DATE(1990,1,1))))*12+MONTH('Deal maths'!AA593)-MONTH(IF('Deal maths'!Z593&gt;0,'Deal maths'!Z593,DATE(1990,1,1))))/D593))*D593)),IF(DAY('Deal maths'!AA593+1)=1,EOMONTH('Deal maths'!AA593,-(INT(((YEAR('Deal maths'!AA593)-YEAR(IF('Deal maths'!Z593&gt;0,'Deal maths'!Z593,DATE(1990,1,1))))*12+MONTH('Deal maths'!AA593)-MONTH(IF('Deal maths'!Z593&gt;0,'Deal maths'!Z593,DATE(1990,1,1))))/D593)-1)*D593),EDATE('Deal maths'!AA593,-(INT(((YEAR('Deal maths'!AA593)-YEAR(IF('Deal maths'!Z593&gt;0,'Deal maths'!Z593,DATE(1990,1,1))))*12+MONTH('Deal maths'!AA593)-MONTH(IF('Deal maths'!Z593&gt;0,'Deal maths'!Z593,DATE(1990,1,1))))/D593)-1)*D593))))),0)</f>
        <v/>
      </c>
      <c r="F593" s="110">
        <f>IF(D593=0,0,'Deal maths'!AB593*D593/12)</f>
        <v/>
      </c>
      <c r="G593" s="108">
        <f>N593+O593</f>
        <v/>
      </c>
      <c r="H593" s="108">
        <f>IFERROR(IF(OR(D593=0,AsAt&lt;E593),0,MIN(N593,INT(((YEAR(AsAt)-YEAR(E593))*12+MONTH(AsAt)-MONTH(E593)-(DAY(AsAt)&lt;MIN(R593,DAY(EOMONTH(AsAt,0)))))/D593)+1)+O593*(AsAt&gt;='Deal maths'!AA593)),0)</f>
        <v/>
      </c>
      <c r="I593" s="108">
        <f>G593-H593</f>
        <v/>
      </c>
      <c r="J593" s="111">
        <f>IF(AND(C593="EIP",I593&gt;0),'Deal maths'!Y593/I593,0)</f>
        <v/>
      </c>
      <c r="K593" s="111">
        <f>IF(AND(C593="Annuity",I593&gt;0),IF(F593&gt;0,'Deal maths'!Y593*F593/(1-(1+F593)^-I593),'Deal maths'!Y593/I593),0)</f>
        <v/>
      </c>
      <c r="L593" s="111">
        <f>IF('Deal maths'!Y593="",0,'Deal maths'!Y593)</f>
        <v/>
      </c>
      <c r="M593" s="112">
        <f>F593+(F593=0)</f>
        <v/>
      </c>
      <c r="N593" s="108">
        <f>IFERROR(IF(D593=0,0,INT(((YEAR('Deal maths'!AA593)-YEAR(E593))*12+MONTH('Deal maths'!AA593)-MONTH(E593)-(DAY('Deal maths'!AA593)&lt;MIN(R593,DAY(EOMONTH('Deal maths'!AA593,0)))))/D593)+1),0)</f>
        <v/>
      </c>
      <c r="O593" s="108">
        <f>IFERROR(IF(D593=0,0,IF(IF(DAY(E593+1)=1,EOMONTH(E593,(N593-1)*D593),EDATE(E593,(N593-1)*D593))='Deal maths'!AA593,0,1)),0)</f>
        <v/>
      </c>
      <c r="P593" s="113">
        <f>IF(B593=0,0,IFERROR(IF(C593="EIP",((I593-O593)*((IF(DAY(E593+1)=1,EOMONTH(E593,H593*D593),EDATE(E593,H593*D593))-AsAt)/365.25+(IF(DAY(E593+1)=1,EOMONTH(E593,(N593-1)*D593),EDATE(E593,(N593-1)*D593))-AsAt)/365.25)/2+O593*('Deal maths'!AA593-AsAt)/365.25)/I593,IF(C593="Annuity",IF(F593&gt;0,((K593-L593*F593)*((IF(DAY(E593+1)=1,EOMONTH(E593,H593*D593),EDATE(E593,H593*D593))-AsAt)/365.25*((1+F593)^(I593-O593)-1)/F593+IF((I593-O593)&gt;1,((IF(DAY(E593+1)=1,EOMONTH(E593,(N593-1)*D593),EDATE(E593,(N593-1)*D593))-AsAt)/365.25-(IF(DAY(E593+1)=1,EOMONTH(E593,H593*D593),EDATE(E593,H593*D593))-AsAt)/365.25)/((I593-O593)-1),0)*(1+F593)*(1-(I593-O593)*(1+F593)^((I593-O593)-1)+((I593-O593)-1)*(1+F593)^(I593-O593))/F593^2)+O593*(K593-L593*F593)*(1+F593)^(I593-1)*('Deal maths'!AA593-AsAt)/365.25)/L593,((I593-O593)*((IF(DAY(E593+1)=1,EOMONTH(E593,H593*D593),EDATE(E593,H593*D593))-AsAt)/365.25+(IF(DAY(E593+1)=1,EOMONTH(E593,(N593-1)*D593),EDATE(E593,(N593-1)*D593))-AsAt)/365.25)/2+O593*('Deal maths'!AA593-AsAt)/365.25)/I593),(S593-AsAt)/365.25)),0))</f>
        <v/>
      </c>
      <c r="Q593" s="109">
        <f>IF(B593=1,'Deal maths'!AA593+ROW()/1000000,"")</f>
        <v/>
      </c>
      <c r="R593" s="108">
        <f>IF(D593=0,0,IF(DAY(E593+1)=1,31,DAY(E593)))</f>
        <v/>
      </c>
      <c r="S593" s="109">
        <f>IF(AND('Deal maths'!V593="LOBO",'Deal maths'!AG593&gt;AsAt,'Deal maths'!AG593&lt;'Deal maths'!AA593),'Deal maths'!AG593,'Deal maths'!AA593)</f>
        <v/>
      </c>
      <c r="T593" s="108">
        <f>('Deal maths'!AA593&gt;AsAt)*('Deal maths'!Y593&gt;0)</f>
        <v/>
      </c>
    </row>
    <row r="594">
      <c r="A594" s="91">
        <f>IF('Deal maths'!V594="","",'Deal maths'!W594)</f>
        <v/>
      </c>
      <c r="B594" s="108">
        <f>('Deal maths'!AA594&gt;AsAt)*('Deal maths'!Y594&gt;0)*('Deal maths'!Z594&lt;=AsAt)</f>
        <v/>
      </c>
      <c r="C594" s="91">
        <f>IF('Deal maths'!V594="","",IF('Deal maths'!AC594="","Maturity",'Deal maths'!AC594))</f>
        <v/>
      </c>
      <c r="D594" s="108">
        <f>IF(OR(C594="EIP",C594="Annuity"),IF('Deal maths'!AD594="Annual",12,IF('Deal maths'!AD594="Quarterly",3,6)),0)</f>
        <v/>
      </c>
      <c r="E594" s="109">
        <f>IFERROR(IF(D594=0,0,IF('Deal maths'!AE594&gt;0,IF('Deal maths'!AE594&gt;'Deal maths'!AA594,'Deal maths'!AA594,'Deal maths'!AE594),IF(IF(DAY('Deal maths'!AA594+1)=1,EOMONTH('Deal maths'!AA594,-(INT(((YEAR('Deal maths'!AA594)-YEAR(IF('Deal maths'!Z594&gt;0,'Deal maths'!Z594,DATE(1990,1,1))))*12+MONTH('Deal maths'!AA594)-MONTH(IF('Deal maths'!Z594&gt;0,'Deal maths'!Z594,DATE(1990,1,1))))/D594))*D594),EDATE('Deal maths'!AA594,-(INT(((YEAR('Deal maths'!AA594)-YEAR(IF('Deal maths'!Z594&gt;0,'Deal maths'!Z594,DATE(1990,1,1))))*12+MONTH('Deal maths'!AA594)-MONTH(IF('Deal maths'!Z594&gt;0,'Deal maths'!Z594,DATE(1990,1,1))))/D594))*D594))&gt;IF('Deal maths'!Z594&gt;0,'Deal maths'!Z594,DATE(1990,1,1)),IF(DAY('Deal maths'!AA594+1)=1,EOMONTH('Deal maths'!AA594,-(INT(((YEAR('Deal maths'!AA594)-YEAR(IF('Deal maths'!Z594&gt;0,'Deal maths'!Z594,DATE(1990,1,1))))*12+MONTH('Deal maths'!AA594)-MONTH(IF('Deal maths'!Z594&gt;0,'Deal maths'!Z594,DATE(1990,1,1))))/D594))*D594),EDATE('Deal maths'!AA594,-(INT(((YEAR('Deal maths'!AA594)-YEAR(IF('Deal maths'!Z594&gt;0,'Deal maths'!Z594,DATE(1990,1,1))))*12+MONTH('Deal maths'!AA594)-MONTH(IF('Deal maths'!Z594&gt;0,'Deal maths'!Z594,DATE(1990,1,1))))/D594))*D594)),IF(DAY('Deal maths'!AA594+1)=1,EOMONTH('Deal maths'!AA594,-(INT(((YEAR('Deal maths'!AA594)-YEAR(IF('Deal maths'!Z594&gt;0,'Deal maths'!Z594,DATE(1990,1,1))))*12+MONTH('Deal maths'!AA594)-MONTH(IF('Deal maths'!Z594&gt;0,'Deal maths'!Z594,DATE(1990,1,1))))/D594)-1)*D594),EDATE('Deal maths'!AA594,-(INT(((YEAR('Deal maths'!AA594)-YEAR(IF('Deal maths'!Z594&gt;0,'Deal maths'!Z594,DATE(1990,1,1))))*12+MONTH('Deal maths'!AA594)-MONTH(IF('Deal maths'!Z594&gt;0,'Deal maths'!Z594,DATE(1990,1,1))))/D594)-1)*D594))))),0)</f>
        <v/>
      </c>
      <c r="F594" s="110">
        <f>IF(D594=0,0,'Deal maths'!AB594*D594/12)</f>
        <v/>
      </c>
      <c r="G594" s="108">
        <f>N594+O594</f>
        <v/>
      </c>
      <c r="H594" s="108">
        <f>IFERROR(IF(OR(D594=0,AsAt&lt;E594),0,MIN(N594,INT(((YEAR(AsAt)-YEAR(E594))*12+MONTH(AsAt)-MONTH(E594)-(DAY(AsAt)&lt;MIN(R594,DAY(EOMONTH(AsAt,0)))))/D594)+1)+O594*(AsAt&gt;='Deal maths'!AA594)),0)</f>
        <v/>
      </c>
      <c r="I594" s="108">
        <f>G594-H594</f>
        <v/>
      </c>
      <c r="J594" s="111">
        <f>IF(AND(C594="EIP",I594&gt;0),'Deal maths'!Y594/I594,0)</f>
        <v/>
      </c>
      <c r="K594" s="111">
        <f>IF(AND(C594="Annuity",I594&gt;0),IF(F594&gt;0,'Deal maths'!Y594*F594/(1-(1+F594)^-I594),'Deal maths'!Y594/I594),0)</f>
        <v/>
      </c>
      <c r="L594" s="111">
        <f>IF('Deal maths'!Y594="",0,'Deal maths'!Y594)</f>
        <v/>
      </c>
      <c r="M594" s="112">
        <f>F594+(F594=0)</f>
        <v/>
      </c>
      <c r="N594" s="108">
        <f>IFERROR(IF(D594=0,0,INT(((YEAR('Deal maths'!AA594)-YEAR(E594))*12+MONTH('Deal maths'!AA594)-MONTH(E594)-(DAY('Deal maths'!AA594)&lt;MIN(R594,DAY(EOMONTH('Deal maths'!AA594,0)))))/D594)+1),0)</f>
        <v/>
      </c>
      <c r="O594" s="108">
        <f>IFERROR(IF(D594=0,0,IF(IF(DAY(E594+1)=1,EOMONTH(E594,(N594-1)*D594),EDATE(E594,(N594-1)*D594))='Deal maths'!AA594,0,1)),0)</f>
        <v/>
      </c>
      <c r="P594" s="113">
        <f>IF(B594=0,0,IFERROR(IF(C594="EIP",((I594-O594)*((IF(DAY(E594+1)=1,EOMONTH(E594,H594*D594),EDATE(E594,H594*D594))-AsAt)/365.25+(IF(DAY(E594+1)=1,EOMONTH(E594,(N594-1)*D594),EDATE(E594,(N594-1)*D594))-AsAt)/365.25)/2+O594*('Deal maths'!AA594-AsAt)/365.25)/I594,IF(C594="Annuity",IF(F594&gt;0,((K594-L594*F594)*((IF(DAY(E594+1)=1,EOMONTH(E594,H594*D594),EDATE(E594,H594*D594))-AsAt)/365.25*((1+F594)^(I594-O594)-1)/F594+IF((I594-O594)&gt;1,((IF(DAY(E594+1)=1,EOMONTH(E594,(N594-1)*D594),EDATE(E594,(N594-1)*D594))-AsAt)/365.25-(IF(DAY(E594+1)=1,EOMONTH(E594,H594*D594),EDATE(E594,H594*D594))-AsAt)/365.25)/((I594-O594)-1),0)*(1+F594)*(1-(I594-O594)*(1+F594)^((I594-O594)-1)+((I594-O594)-1)*(1+F594)^(I594-O594))/F594^2)+O594*(K594-L594*F594)*(1+F594)^(I594-1)*('Deal maths'!AA594-AsAt)/365.25)/L594,((I594-O594)*((IF(DAY(E594+1)=1,EOMONTH(E594,H594*D594),EDATE(E594,H594*D594))-AsAt)/365.25+(IF(DAY(E594+1)=1,EOMONTH(E594,(N594-1)*D594),EDATE(E594,(N594-1)*D594))-AsAt)/365.25)/2+O594*('Deal maths'!AA594-AsAt)/365.25)/I594),(S594-AsAt)/365.25)),0))</f>
        <v/>
      </c>
      <c r="Q594" s="109">
        <f>IF(B594=1,'Deal maths'!AA594+ROW()/1000000,"")</f>
        <v/>
      </c>
      <c r="R594" s="108">
        <f>IF(D594=0,0,IF(DAY(E594+1)=1,31,DAY(E594)))</f>
        <v/>
      </c>
      <c r="S594" s="109">
        <f>IF(AND('Deal maths'!V594="LOBO",'Deal maths'!AG594&gt;AsAt,'Deal maths'!AG594&lt;'Deal maths'!AA594),'Deal maths'!AG594,'Deal maths'!AA594)</f>
        <v/>
      </c>
      <c r="T594" s="108">
        <f>('Deal maths'!AA594&gt;AsAt)*('Deal maths'!Y594&gt;0)</f>
        <v/>
      </c>
    </row>
    <row r="595">
      <c r="A595" s="91">
        <f>IF('Deal maths'!V595="","",'Deal maths'!W595)</f>
        <v/>
      </c>
      <c r="B595" s="108">
        <f>('Deal maths'!AA595&gt;AsAt)*('Deal maths'!Y595&gt;0)*('Deal maths'!Z595&lt;=AsAt)</f>
        <v/>
      </c>
      <c r="C595" s="91">
        <f>IF('Deal maths'!V595="","",IF('Deal maths'!AC595="","Maturity",'Deal maths'!AC595))</f>
        <v/>
      </c>
      <c r="D595" s="108">
        <f>IF(OR(C595="EIP",C595="Annuity"),IF('Deal maths'!AD595="Annual",12,IF('Deal maths'!AD595="Quarterly",3,6)),0)</f>
        <v/>
      </c>
      <c r="E595" s="109">
        <f>IFERROR(IF(D595=0,0,IF('Deal maths'!AE595&gt;0,IF('Deal maths'!AE595&gt;'Deal maths'!AA595,'Deal maths'!AA595,'Deal maths'!AE595),IF(IF(DAY('Deal maths'!AA595+1)=1,EOMONTH('Deal maths'!AA595,-(INT(((YEAR('Deal maths'!AA595)-YEAR(IF('Deal maths'!Z595&gt;0,'Deal maths'!Z595,DATE(1990,1,1))))*12+MONTH('Deal maths'!AA595)-MONTH(IF('Deal maths'!Z595&gt;0,'Deal maths'!Z595,DATE(1990,1,1))))/D595))*D595),EDATE('Deal maths'!AA595,-(INT(((YEAR('Deal maths'!AA595)-YEAR(IF('Deal maths'!Z595&gt;0,'Deal maths'!Z595,DATE(1990,1,1))))*12+MONTH('Deal maths'!AA595)-MONTH(IF('Deal maths'!Z595&gt;0,'Deal maths'!Z595,DATE(1990,1,1))))/D595))*D595))&gt;IF('Deal maths'!Z595&gt;0,'Deal maths'!Z595,DATE(1990,1,1)),IF(DAY('Deal maths'!AA595+1)=1,EOMONTH('Deal maths'!AA595,-(INT(((YEAR('Deal maths'!AA595)-YEAR(IF('Deal maths'!Z595&gt;0,'Deal maths'!Z595,DATE(1990,1,1))))*12+MONTH('Deal maths'!AA595)-MONTH(IF('Deal maths'!Z595&gt;0,'Deal maths'!Z595,DATE(1990,1,1))))/D595))*D595),EDATE('Deal maths'!AA595,-(INT(((YEAR('Deal maths'!AA595)-YEAR(IF('Deal maths'!Z595&gt;0,'Deal maths'!Z595,DATE(1990,1,1))))*12+MONTH('Deal maths'!AA595)-MONTH(IF('Deal maths'!Z595&gt;0,'Deal maths'!Z595,DATE(1990,1,1))))/D595))*D595)),IF(DAY('Deal maths'!AA595+1)=1,EOMONTH('Deal maths'!AA595,-(INT(((YEAR('Deal maths'!AA595)-YEAR(IF('Deal maths'!Z595&gt;0,'Deal maths'!Z595,DATE(1990,1,1))))*12+MONTH('Deal maths'!AA595)-MONTH(IF('Deal maths'!Z595&gt;0,'Deal maths'!Z595,DATE(1990,1,1))))/D595)-1)*D595),EDATE('Deal maths'!AA595,-(INT(((YEAR('Deal maths'!AA595)-YEAR(IF('Deal maths'!Z595&gt;0,'Deal maths'!Z595,DATE(1990,1,1))))*12+MONTH('Deal maths'!AA595)-MONTH(IF('Deal maths'!Z595&gt;0,'Deal maths'!Z595,DATE(1990,1,1))))/D595)-1)*D595))))),0)</f>
        <v/>
      </c>
      <c r="F595" s="110">
        <f>IF(D595=0,0,'Deal maths'!AB595*D595/12)</f>
        <v/>
      </c>
      <c r="G595" s="108">
        <f>N595+O595</f>
        <v/>
      </c>
      <c r="H595" s="108">
        <f>IFERROR(IF(OR(D595=0,AsAt&lt;E595),0,MIN(N595,INT(((YEAR(AsAt)-YEAR(E595))*12+MONTH(AsAt)-MONTH(E595)-(DAY(AsAt)&lt;MIN(R595,DAY(EOMONTH(AsAt,0)))))/D595)+1)+O595*(AsAt&gt;='Deal maths'!AA595)),0)</f>
        <v/>
      </c>
      <c r="I595" s="108">
        <f>G595-H595</f>
        <v/>
      </c>
      <c r="J595" s="111">
        <f>IF(AND(C595="EIP",I595&gt;0),'Deal maths'!Y595/I595,0)</f>
        <v/>
      </c>
      <c r="K595" s="111">
        <f>IF(AND(C595="Annuity",I595&gt;0),IF(F595&gt;0,'Deal maths'!Y595*F595/(1-(1+F595)^-I595),'Deal maths'!Y595/I595),0)</f>
        <v/>
      </c>
      <c r="L595" s="111">
        <f>IF('Deal maths'!Y595="",0,'Deal maths'!Y595)</f>
        <v/>
      </c>
      <c r="M595" s="112">
        <f>F595+(F595=0)</f>
        <v/>
      </c>
      <c r="N595" s="108">
        <f>IFERROR(IF(D595=0,0,INT(((YEAR('Deal maths'!AA595)-YEAR(E595))*12+MONTH('Deal maths'!AA595)-MONTH(E595)-(DAY('Deal maths'!AA595)&lt;MIN(R595,DAY(EOMONTH('Deal maths'!AA595,0)))))/D595)+1),0)</f>
        <v/>
      </c>
      <c r="O595" s="108">
        <f>IFERROR(IF(D595=0,0,IF(IF(DAY(E595+1)=1,EOMONTH(E595,(N595-1)*D595),EDATE(E595,(N595-1)*D595))='Deal maths'!AA595,0,1)),0)</f>
        <v/>
      </c>
      <c r="P595" s="113">
        <f>IF(B595=0,0,IFERROR(IF(C595="EIP",((I595-O595)*((IF(DAY(E595+1)=1,EOMONTH(E595,H595*D595),EDATE(E595,H595*D595))-AsAt)/365.25+(IF(DAY(E595+1)=1,EOMONTH(E595,(N595-1)*D595),EDATE(E595,(N595-1)*D595))-AsAt)/365.25)/2+O595*('Deal maths'!AA595-AsAt)/365.25)/I595,IF(C595="Annuity",IF(F595&gt;0,((K595-L595*F595)*((IF(DAY(E595+1)=1,EOMONTH(E595,H595*D595),EDATE(E595,H595*D595))-AsAt)/365.25*((1+F595)^(I595-O595)-1)/F595+IF((I595-O595)&gt;1,((IF(DAY(E595+1)=1,EOMONTH(E595,(N595-1)*D595),EDATE(E595,(N595-1)*D595))-AsAt)/365.25-(IF(DAY(E595+1)=1,EOMONTH(E595,H595*D595),EDATE(E595,H595*D595))-AsAt)/365.25)/((I595-O595)-1),0)*(1+F595)*(1-(I595-O595)*(1+F595)^((I595-O595)-1)+((I595-O595)-1)*(1+F595)^(I595-O595))/F595^2)+O595*(K595-L595*F595)*(1+F595)^(I595-1)*('Deal maths'!AA595-AsAt)/365.25)/L595,((I595-O595)*((IF(DAY(E595+1)=1,EOMONTH(E595,H595*D595),EDATE(E595,H595*D595))-AsAt)/365.25+(IF(DAY(E595+1)=1,EOMONTH(E595,(N595-1)*D595),EDATE(E595,(N595-1)*D595))-AsAt)/365.25)/2+O595*('Deal maths'!AA595-AsAt)/365.25)/I595),(S595-AsAt)/365.25)),0))</f>
        <v/>
      </c>
      <c r="Q595" s="109">
        <f>IF(B595=1,'Deal maths'!AA595+ROW()/1000000,"")</f>
        <v/>
      </c>
      <c r="R595" s="108">
        <f>IF(D595=0,0,IF(DAY(E595+1)=1,31,DAY(E595)))</f>
        <v/>
      </c>
      <c r="S595" s="109">
        <f>IF(AND('Deal maths'!V595="LOBO",'Deal maths'!AG595&gt;AsAt,'Deal maths'!AG595&lt;'Deal maths'!AA595),'Deal maths'!AG595,'Deal maths'!AA595)</f>
        <v/>
      </c>
      <c r="T595" s="108">
        <f>('Deal maths'!AA595&gt;AsAt)*('Deal maths'!Y595&gt;0)</f>
        <v/>
      </c>
    </row>
    <row r="596">
      <c r="A596" s="91">
        <f>IF('Deal maths'!V596="","",'Deal maths'!W596)</f>
        <v/>
      </c>
      <c r="B596" s="108">
        <f>('Deal maths'!AA596&gt;AsAt)*('Deal maths'!Y596&gt;0)*('Deal maths'!Z596&lt;=AsAt)</f>
        <v/>
      </c>
      <c r="C596" s="91">
        <f>IF('Deal maths'!V596="","",IF('Deal maths'!AC596="","Maturity",'Deal maths'!AC596))</f>
        <v/>
      </c>
      <c r="D596" s="108">
        <f>IF(OR(C596="EIP",C596="Annuity"),IF('Deal maths'!AD596="Annual",12,IF('Deal maths'!AD596="Quarterly",3,6)),0)</f>
        <v/>
      </c>
      <c r="E596" s="109">
        <f>IFERROR(IF(D596=0,0,IF('Deal maths'!AE596&gt;0,IF('Deal maths'!AE596&gt;'Deal maths'!AA596,'Deal maths'!AA596,'Deal maths'!AE596),IF(IF(DAY('Deal maths'!AA596+1)=1,EOMONTH('Deal maths'!AA596,-(INT(((YEAR('Deal maths'!AA596)-YEAR(IF('Deal maths'!Z596&gt;0,'Deal maths'!Z596,DATE(1990,1,1))))*12+MONTH('Deal maths'!AA596)-MONTH(IF('Deal maths'!Z596&gt;0,'Deal maths'!Z596,DATE(1990,1,1))))/D596))*D596),EDATE('Deal maths'!AA596,-(INT(((YEAR('Deal maths'!AA596)-YEAR(IF('Deal maths'!Z596&gt;0,'Deal maths'!Z596,DATE(1990,1,1))))*12+MONTH('Deal maths'!AA596)-MONTH(IF('Deal maths'!Z596&gt;0,'Deal maths'!Z596,DATE(1990,1,1))))/D596))*D596))&gt;IF('Deal maths'!Z596&gt;0,'Deal maths'!Z596,DATE(1990,1,1)),IF(DAY('Deal maths'!AA596+1)=1,EOMONTH('Deal maths'!AA596,-(INT(((YEAR('Deal maths'!AA596)-YEAR(IF('Deal maths'!Z596&gt;0,'Deal maths'!Z596,DATE(1990,1,1))))*12+MONTH('Deal maths'!AA596)-MONTH(IF('Deal maths'!Z596&gt;0,'Deal maths'!Z596,DATE(1990,1,1))))/D596))*D596),EDATE('Deal maths'!AA596,-(INT(((YEAR('Deal maths'!AA596)-YEAR(IF('Deal maths'!Z596&gt;0,'Deal maths'!Z596,DATE(1990,1,1))))*12+MONTH('Deal maths'!AA596)-MONTH(IF('Deal maths'!Z596&gt;0,'Deal maths'!Z596,DATE(1990,1,1))))/D596))*D596)),IF(DAY('Deal maths'!AA596+1)=1,EOMONTH('Deal maths'!AA596,-(INT(((YEAR('Deal maths'!AA596)-YEAR(IF('Deal maths'!Z596&gt;0,'Deal maths'!Z596,DATE(1990,1,1))))*12+MONTH('Deal maths'!AA596)-MONTH(IF('Deal maths'!Z596&gt;0,'Deal maths'!Z596,DATE(1990,1,1))))/D596)-1)*D596),EDATE('Deal maths'!AA596,-(INT(((YEAR('Deal maths'!AA596)-YEAR(IF('Deal maths'!Z596&gt;0,'Deal maths'!Z596,DATE(1990,1,1))))*12+MONTH('Deal maths'!AA596)-MONTH(IF('Deal maths'!Z596&gt;0,'Deal maths'!Z596,DATE(1990,1,1))))/D596)-1)*D596))))),0)</f>
        <v/>
      </c>
      <c r="F596" s="110">
        <f>IF(D596=0,0,'Deal maths'!AB596*D596/12)</f>
        <v/>
      </c>
      <c r="G596" s="108">
        <f>N596+O596</f>
        <v/>
      </c>
      <c r="H596" s="108">
        <f>IFERROR(IF(OR(D596=0,AsAt&lt;E596),0,MIN(N596,INT(((YEAR(AsAt)-YEAR(E596))*12+MONTH(AsAt)-MONTH(E596)-(DAY(AsAt)&lt;MIN(R596,DAY(EOMONTH(AsAt,0)))))/D596)+1)+O596*(AsAt&gt;='Deal maths'!AA596)),0)</f>
        <v/>
      </c>
      <c r="I596" s="108">
        <f>G596-H596</f>
        <v/>
      </c>
      <c r="J596" s="111">
        <f>IF(AND(C596="EIP",I596&gt;0),'Deal maths'!Y596/I596,0)</f>
        <v/>
      </c>
      <c r="K596" s="111">
        <f>IF(AND(C596="Annuity",I596&gt;0),IF(F596&gt;0,'Deal maths'!Y596*F596/(1-(1+F596)^-I596),'Deal maths'!Y596/I596),0)</f>
        <v/>
      </c>
      <c r="L596" s="111">
        <f>IF('Deal maths'!Y596="",0,'Deal maths'!Y596)</f>
        <v/>
      </c>
      <c r="M596" s="112">
        <f>F596+(F596=0)</f>
        <v/>
      </c>
      <c r="N596" s="108">
        <f>IFERROR(IF(D596=0,0,INT(((YEAR('Deal maths'!AA596)-YEAR(E596))*12+MONTH('Deal maths'!AA596)-MONTH(E596)-(DAY('Deal maths'!AA596)&lt;MIN(R596,DAY(EOMONTH('Deal maths'!AA596,0)))))/D596)+1),0)</f>
        <v/>
      </c>
      <c r="O596" s="108">
        <f>IFERROR(IF(D596=0,0,IF(IF(DAY(E596+1)=1,EOMONTH(E596,(N596-1)*D596),EDATE(E596,(N596-1)*D596))='Deal maths'!AA596,0,1)),0)</f>
        <v/>
      </c>
      <c r="P596" s="113">
        <f>IF(B596=0,0,IFERROR(IF(C596="EIP",((I596-O596)*((IF(DAY(E596+1)=1,EOMONTH(E596,H596*D596),EDATE(E596,H596*D596))-AsAt)/365.25+(IF(DAY(E596+1)=1,EOMONTH(E596,(N596-1)*D596),EDATE(E596,(N596-1)*D596))-AsAt)/365.25)/2+O596*('Deal maths'!AA596-AsAt)/365.25)/I596,IF(C596="Annuity",IF(F596&gt;0,((K596-L596*F596)*((IF(DAY(E596+1)=1,EOMONTH(E596,H596*D596),EDATE(E596,H596*D596))-AsAt)/365.25*((1+F596)^(I596-O596)-1)/F596+IF((I596-O596)&gt;1,((IF(DAY(E596+1)=1,EOMONTH(E596,(N596-1)*D596),EDATE(E596,(N596-1)*D596))-AsAt)/365.25-(IF(DAY(E596+1)=1,EOMONTH(E596,H596*D596),EDATE(E596,H596*D596))-AsAt)/365.25)/((I596-O596)-1),0)*(1+F596)*(1-(I596-O596)*(1+F596)^((I596-O596)-1)+((I596-O596)-1)*(1+F596)^(I596-O596))/F596^2)+O596*(K596-L596*F596)*(1+F596)^(I596-1)*('Deal maths'!AA596-AsAt)/365.25)/L596,((I596-O596)*((IF(DAY(E596+1)=1,EOMONTH(E596,H596*D596),EDATE(E596,H596*D596))-AsAt)/365.25+(IF(DAY(E596+1)=1,EOMONTH(E596,(N596-1)*D596),EDATE(E596,(N596-1)*D596))-AsAt)/365.25)/2+O596*('Deal maths'!AA596-AsAt)/365.25)/I596),(S596-AsAt)/365.25)),0))</f>
        <v/>
      </c>
      <c r="Q596" s="109">
        <f>IF(B596=1,'Deal maths'!AA596+ROW()/1000000,"")</f>
        <v/>
      </c>
      <c r="R596" s="108">
        <f>IF(D596=0,0,IF(DAY(E596+1)=1,31,DAY(E596)))</f>
        <v/>
      </c>
      <c r="S596" s="109">
        <f>IF(AND('Deal maths'!V596="LOBO",'Deal maths'!AG596&gt;AsAt,'Deal maths'!AG596&lt;'Deal maths'!AA596),'Deal maths'!AG596,'Deal maths'!AA596)</f>
        <v/>
      </c>
      <c r="T596" s="108">
        <f>('Deal maths'!AA596&gt;AsAt)*('Deal maths'!Y596&gt;0)</f>
        <v/>
      </c>
    </row>
    <row r="597">
      <c r="A597" s="91">
        <f>IF('Deal maths'!V597="","",'Deal maths'!W597)</f>
        <v/>
      </c>
      <c r="B597" s="108">
        <f>('Deal maths'!AA597&gt;AsAt)*('Deal maths'!Y597&gt;0)*('Deal maths'!Z597&lt;=AsAt)</f>
        <v/>
      </c>
      <c r="C597" s="91">
        <f>IF('Deal maths'!V597="","",IF('Deal maths'!AC597="","Maturity",'Deal maths'!AC597))</f>
        <v/>
      </c>
      <c r="D597" s="108">
        <f>IF(OR(C597="EIP",C597="Annuity"),IF('Deal maths'!AD597="Annual",12,IF('Deal maths'!AD597="Quarterly",3,6)),0)</f>
        <v/>
      </c>
      <c r="E597" s="109">
        <f>IFERROR(IF(D597=0,0,IF('Deal maths'!AE597&gt;0,IF('Deal maths'!AE597&gt;'Deal maths'!AA597,'Deal maths'!AA597,'Deal maths'!AE597),IF(IF(DAY('Deal maths'!AA597+1)=1,EOMONTH('Deal maths'!AA597,-(INT(((YEAR('Deal maths'!AA597)-YEAR(IF('Deal maths'!Z597&gt;0,'Deal maths'!Z597,DATE(1990,1,1))))*12+MONTH('Deal maths'!AA597)-MONTH(IF('Deal maths'!Z597&gt;0,'Deal maths'!Z597,DATE(1990,1,1))))/D597))*D597),EDATE('Deal maths'!AA597,-(INT(((YEAR('Deal maths'!AA597)-YEAR(IF('Deal maths'!Z597&gt;0,'Deal maths'!Z597,DATE(1990,1,1))))*12+MONTH('Deal maths'!AA597)-MONTH(IF('Deal maths'!Z597&gt;0,'Deal maths'!Z597,DATE(1990,1,1))))/D597))*D597))&gt;IF('Deal maths'!Z597&gt;0,'Deal maths'!Z597,DATE(1990,1,1)),IF(DAY('Deal maths'!AA597+1)=1,EOMONTH('Deal maths'!AA597,-(INT(((YEAR('Deal maths'!AA597)-YEAR(IF('Deal maths'!Z597&gt;0,'Deal maths'!Z597,DATE(1990,1,1))))*12+MONTH('Deal maths'!AA597)-MONTH(IF('Deal maths'!Z597&gt;0,'Deal maths'!Z597,DATE(1990,1,1))))/D597))*D597),EDATE('Deal maths'!AA597,-(INT(((YEAR('Deal maths'!AA597)-YEAR(IF('Deal maths'!Z597&gt;0,'Deal maths'!Z597,DATE(1990,1,1))))*12+MONTH('Deal maths'!AA597)-MONTH(IF('Deal maths'!Z597&gt;0,'Deal maths'!Z597,DATE(1990,1,1))))/D597))*D597)),IF(DAY('Deal maths'!AA597+1)=1,EOMONTH('Deal maths'!AA597,-(INT(((YEAR('Deal maths'!AA597)-YEAR(IF('Deal maths'!Z597&gt;0,'Deal maths'!Z597,DATE(1990,1,1))))*12+MONTH('Deal maths'!AA597)-MONTH(IF('Deal maths'!Z597&gt;0,'Deal maths'!Z597,DATE(1990,1,1))))/D597)-1)*D597),EDATE('Deal maths'!AA597,-(INT(((YEAR('Deal maths'!AA597)-YEAR(IF('Deal maths'!Z597&gt;0,'Deal maths'!Z597,DATE(1990,1,1))))*12+MONTH('Deal maths'!AA597)-MONTH(IF('Deal maths'!Z597&gt;0,'Deal maths'!Z597,DATE(1990,1,1))))/D597)-1)*D597))))),0)</f>
        <v/>
      </c>
      <c r="F597" s="110">
        <f>IF(D597=0,0,'Deal maths'!AB597*D597/12)</f>
        <v/>
      </c>
      <c r="G597" s="108">
        <f>N597+O597</f>
        <v/>
      </c>
      <c r="H597" s="108">
        <f>IFERROR(IF(OR(D597=0,AsAt&lt;E597),0,MIN(N597,INT(((YEAR(AsAt)-YEAR(E597))*12+MONTH(AsAt)-MONTH(E597)-(DAY(AsAt)&lt;MIN(R597,DAY(EOMONTH(AsAt,0)))))/D597)+1)+O597*(AsAt&gt;='Deal maths'!AA597)),0)</f>
        <v/>
      </c>
      <c r="I597" s="108">
        <f>G597-H597</f>
        <v/>
      </c>
      <c r="J597" s="111">
        <f>IF(AND(C597="EIP",I597&gt;0),'Deal maths'!Y597/I597,0)</f>
        <v/>
      </c>
      <c r="K597" s="111">
        <f>IF(AND(C597="Annuity",I597&gt;0),IF(F597&gt;0,'Deal maths'!Y597*F597/(1-(1+F597)^-I597),'Deal maths'!Y597/I597),0)</f>
        <v/>
      </c>
      <c r="L597" s="111">
        <f>IF('Deal maths'!Y597="",0,'Deal maths'!Y597)</f>
        <v/>
      </c>
      <c r="M597" s="112">
        <f>F597+(F597=0)</f>
        <v/>
      </c>
      <c r="N597" s="108">
        <f>IFERROR(IF(D597=0,0,INT(((YEAR('Deal maths'!AA597)-YEAR(E597))*12+MONTH('Deal maths'!AA597)-MONTH(E597)-(DAY('Deal maths'!AA597)&lt;MIN(R597,DAY(EOMONTH('Deal maths'!AA597,0)))))/D597)+1),0)</f>
        <v/>
      </c>
      <c r="O597" s="108">
        <f>IFERROR(IF(D597=0,0,IF(IF(DAY(E597+1)=1,EOMONTH(E597,(N597-1)*D597),EDATE(E597,(N597-1)*D597))='Deal maths'!AA597,0,1)),0)</f>
        <v/>
      </c>
      <c r="P597" s="113">
        <f>IF(B597=0,0,IFERROR(IF(C597="EIP",((I597-O597)*((IF(DAY(E597+1)=1,EOMONTH(E597,H597*D597),EDATE(E597,H597*D597))-AsAt)/365.25+(IF(DAY(E597+1)=1,EOMONTH(E597,(N597-1)*D597),EDATE(E597,(N597-1)*D597))-AsAt)/365.25)/2+O597*('Deal maths'!AA597-AsAt)/365.25)/I597,IF(C597="Annuity",IF(F597&gt;0,((K597-L597*F597)*((IF(DAY(E597+1)=1,EOMONTH(E597,H597*D597),EDATE(E597,H597*D597))-AsAt)/365.25*((1+F597)^(I597-O597)-1)/F597+IF((I597-O597)&gt;1,((IF(DAY(E597+1)=1,EOMONTH(E597,(N597-1)*D597),EDATE(E597,(N597-1)*D597))-AsAt)/365.25-(IF(DAY(E597+1)=1,EOMONTH(E597,H597*D597),EDATE(E597,H597*D597))-AsAt)/365.25)/((I597-O597)-1),0)*(1+F597)*(1-(I597-O597)*(1+F597)^((I597-O597)-1)+((I597-O597)-1)*(1+F597)^(I597-O597))/F597^2)+O597*(K597-L597*F597)*(1+F597)^(I597-1)*('Deal maths'!AA597-AsAt)/365.25)/L597,((I597-O597)*((IF(DAY(E597+1)=1,EOMONTH(E597,H597*D597),EDATE(E597,H597*D597))-AsAt)/365.25+(IF(DAY(E597+1)=1,EOMONTH(E597,(N597-1)*D597),EDATE(E597,(N597-1)*D597))-AsAt)/365.25)/2+O597*('Deal maths'!AA597-AsAt)/365.25)/I597),(S597-AsAt)/365.25)),0))</f>
        <v/>
      </c>
      <c r="Q597" s="109">
        <f>IF(B597=1,'Deal maths'!AA597+ROW()/1000000,"")</f>
        <v/>
      </c>
      <c r="R597" s="108">
        <f>IF(D597=0,0,IF(DAY(E597+1)=1,31,DAY(E597)))</f>
        <v/>
      </c>
      <c r="S597" s="109">
        <f>IF(AND('Deal maths'!V597="LOBO",'Deal maths'!AG597&gt;AsAt,'Deal maths'!AG597&lt;'Deal maths'!AA597),'Deal maths'!AG597,'Deal maths'!AA597)</f>
        <v/>
      </c>
      <c r="T597" s="108">
        <f>('Deal maths'!AA597&gt;AsAt)*('Deal maths'!Y597&gt;0)</f>
        <v/>
      </c>
    </row>
    <row r="598">
      <c r="A598" s="91">
        <f>IF('Deal maths'!V598="","",'Deal maths'!W598)</f>
        <v/>
      </c>
      <c r="B598" s="108">
        <f>('Deal maths'!AA598&gt;AsAt)*('Deal maths'!Y598&gt;0)*('Deal maths'!Z598&lt;=AsAt)</f>
        <v/>
      </c>
      <c r="C598" s="91">
        <f>IF('Deal maths'!V598="","",IF('Deal maths'!AC598="","Maturity",'Deal maths'!AC598))</f>
        <v/>
      </c>
      <c r="D598" s="108">
        <f>IF(OR(C598="EIP",C598="Annuity"),IF('Deal maths'!AD598="Annual",12,IF('Deal maths'!AD598="Quarterly",3,6)),0)</f>
        <v/>
      </c>
      <c r="E598" s="109">
        <f>IFERROR(IF(D598=0,0,IF('Deal maths'!AE598&gt;0,IF('Deal maths'!AE598&gt;'Deal maths'!AA598,'Deal maths'!AA598,'Deal maths'!AE598),IF(IF(DAY('Deal maths'!AA598+1)=1,EOMONTH('Deal maths'!AA598,-(INT(((YEAR('Deal maths'!AA598)-YEAR(IF('Deal maths'!Z598&gt;0,'Deal maths'!Z598,DATE(1990,1,1))))*12+MONTH('Deal maths'!AA598)-MONTH(IF('Deal maths'!Z598&gt;0,'Deal maths'!Z598,DATE(1990,1,1))))/D598))*D598),EDATE('Deal maths'!AA598,-(INT(((YEAR('Deal maths'!AA598)-YEAR(IF('Deal maths'!Z598&gt;0,'Deal maths'!Z598,DATE(1990,1,1))))*12+MONTH('Deal maths'!AA598)-MONTH(IF('Deal maths'!Z598&gt;0,'Deal maths'!Z598,DATE(1990,1,1))))/D598))*D598))&gt;IF('Deal maths'!Z598&gt;0,'Deal maths'!Z598,DATE(1990,1,1)),IF(DAY('Deal maths'!AA598+1)=1,EOMONTH('Deal maths'!AA598,-(INT(((YEAR('Deal maths'!AA598)-YEAR(IF('Deal maths'!Z598&gt;0,'Deal maths'!Z598,DATE(1990,1,1))))*12+MONTH('Deal maths'!AA598)-MONTH(IF('Deal maths'!Z598&gt;0,'Deal maths'!Z598,DATE(1990,1,1))))/D598))*D598),EDATE('Deal maths'!AA598,-(INT(((YEAR('Deal maths'!AA598)-YEAR(IF('Deal maths'!Z598&gt;0,'Deal maths'!Z598,DATE(1990,1,1))))*12+MONTH('Deal maths'!AA598)-MONTH(IF('Deal maths'!Z598&gt;0,'Deal maths'!Z598,DATE(1990,1,1))))/D598))*D598)),IF(DAY('Deal maths'!AA598+1)=1,EOMONTH('Deal maths'!AA598,-(INT(((YEAR('Deal maths'!AA598)-YEAR(IF('Deal maths'!Z598&gt;0,'Deal maths'!Z598,DATE(1990,1,1))))*12+MONTH('Deal maths'!AA598)-MONTH(IF('Deal maths'!Z598&gt;0,'Deal maths'!Z598,DATE(1990,1,1))))/D598)-1)*D598),EDATE('Deal maths'!AA598,-(INT(((YEAR('Deal maths'!AA598)-YEAR(IF('Deal maths'!Z598&gt;0,'Deal maths'!Z598,DATE(1990,1,1))))*12+MONTH('Deal maths'!AA598)-MONTH(IF('Deal maths'!Z598&gt;0,'Deal maths'!Z598,DATE(1990,1,1))))/D598)-1)*D598))))),0)</f>
        <v/>
      </c>
      <c r="F598" s="110">
        <f>IF(D598=0,0,'Deal maths'!AB598*D598/12)</f>
        <v/>
      </c>
      <c r="G598" s="108">
        <f>N598+O598</f>
        <v/>
      </c>
      <c r="H598" s="108">
        <f>IFERROR(IF(OR(D598=0,AsAt&lt;E598),0,MIN(N598,INT(((YEAR(AsAt)-YEAR(E598))*12+MONTH(AsAt)-MONTH(E598)-(DAY(AsAt)&lt;MIN(R598,DAY(EOMONTH(AsAt,0)))))/D598)+1)+O598*(AsAt&gt;='Deal maths'!AA598)),0)</f>
        <v/>
      </c>
      <c r="I598" s="108">
        <f>G598-H598</f>
        <v/>
      </c>
      <c r="J598" s="111">
        <f>IF(AND(C598="EIP",I598&gt;0),'Deal maths'!Y598/I598,0)</f>
        <v/>
      </c>
      <c r="K598" s="111">
        <f>IF(AND(C598="Annuity",I598&gt;0),IF(F598&gt;0,'Deal maths'!Y598*F598/(1-(1+F598)^-I598),'Deal maths'!Y598/I598),0)</f>
        <v/>
      </c>
      <c r="L598" s="111">
        <f>IF('Deal maths'!Y598="",0,'Deal maths'!Y598)</f>
        <v/>
      </c>
      <c r="M598" s="112">
        <f>F598+(F598=0)</f>
        <v/>
      </c>
      <c r="N598" s="108">
        <f>IFERROR(IF(D598=0,0,INT(((YEAR('Deal maths'!AA598)-YEAR(E598))*12+MONTH('Deal maths'!AA598)-MONTH(E598)-(DAY('Deal maths'!AA598)&lt;MIN(R598,DAY(EOMONTH('Deal maths'!AA598,0)))))/D598)+1),0)</f>
        <v/>
      </c>
      <c r="O598" s="108">
        <f>IFERROR(IF(D598=0,0,IF(IF(DAY(E598+1)=1,EOMONTH(E598,(N598-1)*D598),EDATE(E598,(N598-1)*D598))='Deal maths'!AA598,0,1)),0)</f>
        <v/>
      </c>
      <c r="P598" s="113">
        <f>IF(B598=0,0,IFERROR(IF(C598="EIP",((I598-O598)*((IF(DAY(E598+1)=1,EOMONTH(E598,H598*D598),EDATE(E598,H598*D598))-AsAt)/365.25+(IF(DAY(E598+1)=1,EOMONTH(E598,(N598-1)*D598),EDATE(E598,(N598-1)*D598))-AsAt)/365.25)/2+O598*('Deal maths'!AA598-AsAt)/365.25)/I598,IF(C598="Annuity",IF(F598&gt;0,((K598-L598*F598)*((IF(DAY(E598+1)=1,EOMONTH(E598,H598*D598),EDATE(E598,H598*D598))-AsAt)/365.25*((1+F598)^(I598-O598)-1)/F598+IF((I598-O598)&gt;1,((IF(DAY(E598+1)=1,EOMONTH(E598,(N598-1)*D598),EDATE(E598,(N598-1)*D598))-AsAt)/365.25-(IF(DAY(E598+1)=1,EOMONTH(E598,H598*D598),EDATE(E598,H598*D598))-AsAt)/365.25)/((I598-O598)-1),0)*(1+F598)*(1-(I598-O598)*(1+F598)^((I598-O598)-1)+((I598-O598)-1)*(1+F598)^(I598-O598))/F598^2)+O598*(K598-L598*F598)*(1+F598)^(I598-1)*('Deal maths'!AA598-AsAt)/365.25)/L598,((I598-O598)*((IF(DAY(E598+1)=1,EOMONTH(E598,H598*D598),EDATE(E598,H598*D598))-AsAt)/365.25+(IF(DAY(E598+1)=1,EOMONTH(E598,(N598-1)*D598),EDATE(E598,(N598-1)*D598))-AsAt)/365.25)/2+O598*('Deal maths'!AA598-AsAt)/365.25)/I598),(S598-AsAt)/365.25)),0))</f>
        <v/>
      </c>
      <c r="Q598" s="109">
        <f>IF(B598=1,'Deal maths'!AA598+ROW()/1000000,"")</f>
        <v/>
      </c>
      <c r="R598" s="108">
        <f>IF(D598=0,0,IF(DAY(E598+1)=1,31,DAY(E598)))</f>
        <v/>
      </c>
      <c r="S598" s="109">
        <f>IF(AND('Deal maths'!V598="LOBO",'Deal maths'!AG598&gt;AsAt,'Deal maths'!AG598&lt;'Deal maths'!AA598),'Deal maths'!AG598,'Deal maths'!AA598)</f>
        <v/>
      </c>
      <c r="T598" s="108">
        <f>('Deal maths'!AA598&gt;AsAt)*('Deal maths'!Y598&gt;0)</f>
        <v/>
      </c>
    </row>
    <row r="599">
      <c r="A599" s="91">
        <f>IF('Deal maths'!V599="","",'Deal maths'!W599)</f>
        <v/>
      </c>
      <c r="B599" s="108">
        <f>('Deal maths'!AA599&gt;AsAt)*('Deal maths'!Y599&gt;0)*('Deal maths'!Z599&lt;=AsAt)</f>
        <v/>
      </c>
      <c r="C599" s="91">
        <f>IF('Deal maths'!V599="","",IF('Deal maths'!AC599="","Maturity",'Deal maths'!AC599))</f>
        <v/>
      </c>
      <c r="D599" s="108">
        <f>IF(OR(C599="EIP",C599="Annuity"),IF('Deal maths'!AD599="Annual",12,IF('Deal maths'!AD599="Quarterly",3,6)),0)</f>
        <v/>
      </c>
      <c r="E599" s="109">
        <f>IFERROR(IF(D599=0,0,IF('Deal maths'!AE599&gt;0,IF('Deal maths'!AE599&gt;'Deal maths'!AA599,'Deal maths'!AA599,'Deal maths'!AE599),IF(IF(DAY('Deal maths'!AA599+1)=1,EOMONTH('Deal maths'!AA599,-(INT(((YEAR('Deal maths'!AA599)-YEAR(IF('Deal maths'!Z599&gt;0,'Deal maths'!Z599,DATE(1990,1,1))))*12+MONTH('Deal maths'!AA599)-MONTH(IF('Deal maths'!Z599&gt;0,'Deal maths'!Z599,DATE(1990,1,1))))/D599))*D599),EDATE('Deal maths'!AA599,-(INT(((YEAR('Deal maths'!AA599)-YEAR(IF('Deal maths'!Z599&gt;0,'Deal maths'!Z599,DATE(1990,1,1))))*12+MONTH('Deal maths'!AA599)-MONTH(IF('Deal maths'!Z599&gt;0,'Deal maths'!Z599,DATE(1990,1,1))))/D599))*D599))&gt;IF('Deal maths'!Z599&gt;0,'Deal maths'!Z599,DATE(1990,1,1)),IF(DAY('Deal maths'!AA599+1)=1,EOMONTH('Deal maths'!AA599,-(INT(((YEAR('Deal maths'!AA599)-YEAR(IF('Deal maths'!Z599&gt;0,'Deal maths'!Z599,DATE(1990,1,1))))*12+MONTH('Deal maths'!AA599)-MONTH(IF('Deal maths'!Z599&gt;0,'Deal maths'!Z599,DATE(1990,1,1))))/D599))*D599),EDATE('Deal maths'!AA599,-(INT(((YEAR('Deal maths'!AA599)-YEAR(IF('Deal maths'!Z599&gt;0,'Deal maths'!Z599,DATE(1990,1,1))))*12+MONTH('Deal maths'!AA599)-MONTH(IF('Deal maths'!Z599&gt;0,'Deal maths'!Z599,DATE(1990,1,1))))/D599))*D599)),IF(DAY('Deal maths'!AA599+1)=1,EOMONTH('Deal maths'!AA599,-(INT(((YEAR('Deal maths'!AA599)-YEAR(IF('Deal maths'!Z599&gt;0,'Deal maths'!Z599,DATE(1990,1,1))))*12+MONTH('Deal maths'!AA599)-MONTH(IF('Deal maths'!Z599&gt;0,'Deal maths'!Z599,DATE(1990,1,1))))/D599)-1)*D599),EDATE('Deal maths'!AA599,-(INT(((YEAR('Deal maths'!AA599)-YEAR(IF('Deal maths'!Z599&gt;0,'Deal maths'!Z599,DATE(1990,1,1))))*12+MONTH('Deal maths'!AA599)-MONTH(IF('Deal maths'!Z599&gt;0,'Deal maths'!Z599,DATE(1990,1,1))))/D599)-1)*D599))))),0)</f>
        <v/>
      </c>
      <c r="F599" s="110">
        <f>IF(D599=0,0,'Deal maths'!AB599*D599/12)</f>
        <v/>
      </c>
      <c r="G599" s="108">
        <f>N599+O599</f>
        <v/>
      </c>
      <c r="H599" s="108">
        <f>IFERROR(IF(OR(D599=0,AsAt&lt;E599),0,MIN(N599,INT(((YEAR(AsAt)-YEAR(E599))*12+MONTH(AsAt)-MONTH(E599)-(DAY(AsAt)&lt;MIN(R599,DAY(EOMONTH(AsAt,0)))))/D599)+1)+O599*(AsAt&gt;='Deal maths'!AA599)),0)</f>
        <v/>
      </c>
      <c r="I599" s="108">
        <f>G599-H599</f>
        <v/>
      </c>
      <c r="J599" s="111">
        <f>IF(AND(C599="EIP",I599&gt;0),'Deal maths'!Y599/I599,0)</f>
        <v/>
      </c>
      <c r="K599" s="111">
        <f>IF(AND(C599="Annuity",I599&gt;0),IF(F599&gt;0,'Deal maths'!Y599*F599/(1-(1+F599)^-I599),'Deal maths'!Y599/I599),0)</f>
        <v/>
      </c>
      <c r="L599" s="111">
        <f>IF('Deal maths'!Y599="",0,'Deal maths'!Y599)</f>
        <v/>
      </c>
      <c r="M599" s="112">
        <f>F599+(F599=0)</f>
        <v/>
      </c>
      <c r="N599" s="108">
        <f>IFERROR(IF(D599=0,0,INT(((YEAR('Deal maths'!AA599)-YEAR(E599))*12+MONTH('Deal maths'!AA599)-MONTH(E599)-(DAY('Deal maths'!AA599)&lt;MIN(R599,DAY(EOMONTH('Deal maths'!AA599,0)))))/D599)+1),0)</f>
        <v/>
      </c>
      <c r="O599" s="108">
        <f>IFERROR(IF(D599=0,0,IF(IF(DAY(E599+1)=1,EOMONTH(E599,(N599-1)*D599),EDATE(E599,(N599-1)*D599))='Deal maths'!AA599,0,1)),0)</f>
        <v/>
      </c>
      <c r="P599" s="113">
        <f>IF(B599=0,0,IFERROR(IF(C599="EIP",((I599-O599)*((IF(DAY(E599+1)=1,EOMONTH(E599,H599*D599),EDATE(E599,H599*D599))-AsAt)/365.25+(IF(DAY(E599+1)=1,EOMONTH(E599,(N599-1)*D599),EDATE(E599,(N599-1)*D599))-AsAt)/365.25)/2+O599*('Deal maths'!AA599-AsAt)/365.25)/I599,IF(C599="Annuity",IF(F599&gt;0,((K599-L599*F599)*((IF(DAY(E599+1)=1,EOMONTH(E599,H599*D599),EDATE(E599,H599*D599))-AsAt)/365.25*((1+F599)^(I599-O599)-1)/F599+IF((I599-O599)&gt;1,((IF(DAY(E599+1)=1,EOMONTH(E599,(N599-1)*D599),EDATE(E599,(N599-1)*D599))-AsAt)/365.25-(IF(DAY(E599+1)=1,EOMONTH(E599,H599*D599),EDATE(E599,H599*D599))-AsAt)/365.25)/((I599-O599)-1),0)*(1+F599)*(1-(I599-O599)*(1+F599)^((I599-O599)-1)+((I599-O599)-1)*(1+F599)^(I599-O599))/F599^2)+O599*(K599-L599*F599)*(1+F599)^(I599-1)*('Deal maths'!AA599-AsAt)/365.25)/L599,((I599-O599)*((IF(DAY(E599+1)=1,EOMONTH(E599,H599*D599),EDATE(E599,H599*D599))-AsAt)/365.25+(IF(DAY(E599+1)=1,EOMONTH(E599,(N599-1)*D599),EDATE(E599,(N599-1)*D599))-AsAt)/365.25)/2+O599*('Deal maths'!AA599-AsAt)/365.25)/I599),(S599-AsAt)/365.25)),0))</f>
        <v/>
      </c>
      <c r="Q599" s="109">
        <f>IF(B599=1,'Deal maths'!AA599+ROW()/1000000,"")</f>
        <v/>
      </c>
      <c r="R599" s="108">
        <f>IF(D599=0,0,IF(DAY(E599+1)=1,31,DAY(E599)))</f>
        <v/>
      </c>
      <c r="S599" s="109">
        <f>IF(AND('Deal maths'!V599="LOBO",'Deal maths'!AG599&gt;AsAt,'Deal maths'!AG599&lt;'Deal maths'!AA599),'Deal maths'!AG599,'Deal maths'!AA599)</f>
        <v/>
      </c>
      <c r="T599" s="108">
        <f>('Deal maths'!AA599&gt;AsAt)*('Deal maths'!Y599&gt;0)</f>
        <v/>
      </c>
    </row>
    <row r="600">
      <c r="A600" s="91">
        <f>IF('Deal maths'!V600="","",'Deal maths'!W600)</f>
        <v/>
      </c>
      <c r="B600" s="108">
        <f>('Deal maths'!AA600&gt;AsAt)*('Deal maths'!Y600&gt;0)*('Deal maths'!Z600&lt;=AsAt)</f>
        <v/>
      </c>
      <c r="C600" s="91">
        <f>IF('Deal maths'!V600="","",IF('Deal maths'!AC600="","Maturity",'Deal maths'!AC600))</f>
        <v/>
      </c>
      <c r="D600" s="108">
        <f>IF(OR(C600="EIP",C600="Annuity"),IF('Deal maths'!AD600="Annual",12,IF('Deal maths'!AD600="Quarterly",3,6)),0)</f>
        <v/>
      </c>
      <c r="E600" s="109">
        <f>IFERROR(IF(D600=0,0,IF('Deal maths'!AE600&gt;0,IF('Deal maths'!AE600&gt;'Deal maths'!AA600,'Deal maths'!AA600,'Deal maths'!AE600),IF(IF(DAY('Deal maths'!AA600+1)=1,EOMONTH('Deal maths'!AA600,-(INT(((YEAR('Deal maths'!AA600)-YEAR(IF('Deal maths'!Z600&gt;0,'Deal maths'!Z600,DATE(1990,1,1))))*12+MONTH('Deal maths'!AA600)-MONTH(IF('Deal maths'!Z600&gt;0,'Deal maths'!Z600,DATE(1990,1,1))))/D600))*D600),EDATE('Deal maths'!AA600,-(INT(((YEAR('Deal maths'!AA600)-YEAR(IF('Deal maths'!Z600&gt;0,'Deal maths'!Z600,DATE(1990,1,1))))*12+MONTH('Deal maths'!AA600)-MONTH(IF('Deal maths'!Z600&gt;0,'Deal maths'!Z600,DATE(1990,1,1))))/D600))*D600))&gt;IF('Deal maths'!Z600&gt;0,'Deal maths'!Z600,DATE(1990,1,1)),IF(DAY('Deal maths'!AA600+1)=1,EOMONTH('Deal maths'!AA600,-(INT(((YEAR('Deal maths'!AA600)-YEAR(IF('Deal maths'!Z600&gt;0,'Deal maths'!Z600,DATE(1990,1,1))))*12+MONTH('Deal maths'!AA600)-MONTH(IF('Deal maths'!Z600&gt;0,'Deal maths'!Z600,DATE(1990,1,1))))/D600))*D600),EDATE('Deal maths'!AA600,-(INT(((YEAR('Deal maths'!AA600)-YEAR(IF('Deal maths'!Z600&gt;0,'Deal maths'!Z600,DATE(1990,1,1))))*12+MONTH('Deal maths'!AA600)-MONTH(IF('Deal maths'!Z600&gt;0,'Deal maths'!Z600,DATE(1990,1,1))))/D600))*D600)),IF(DAY('Deal maths'!AA600+1)=1,EOMONTH('Deal maths'!AA600,-(INT(((YEAR('Deal maths'!AA600)-YEAR(IF('Deal maths'!Z600&gt;0,'Deal maths'!Z600,DATE(1990,1,1))))*12+MONTH('Deal maths'!AA600)-MONTH(IF('Deal maths'!Z600&gt;0,'Deal maths'!Z600,DATE(1990,1,1))))/D600)-1)*D600),EDATE('Deal maths'!AA600,-(INT(((YEAR('Deal maths'!AA600)-YEAR(IF('Deal maths'!Z600&gt;0,'Deal maths'!Z600,DATE(1990,1,1))))*12+MONTH('Deal maths'!AA600)-MONTH(IF('Deal maths'!Z600&gt;0,'Deal maths'!Z600,DATE(1990,1,1))))/D600)-1)*D600))))),0)</f>
        <v/>
      </c>
      <c r="F600" s="110">
        <f>IF(D600=0,0,'Deal maths'!AB600*D600/12)</f>
        <v/>
      </c>
      <c r="G600" s="108">
        <f>N600+O600</f>
        <v/>
      </c>
      <c r="H600" s="108">
        <f>IFERROR(IF(OR(D600=0,AsAt&lt;E600),0,MIN(N600,INT(((YEAR(AsAt)-YEAR(E600))*12+MONTH(AsAt)-MONTH(E600)-(DAY(AsAt)&lt;MIN(R600,DAY(EOMONTH(AsAt,0)))))/D600)+1)+O600*(AsAt&gt;='Deal maths'!AA600)),0)</f>
        <v/>
      </c>
      <c r="I600" s="108">
        <f>G600-H600</f>
        <v/>
      </c>
      <c r="J600" s="111">
        <f>IF(AND(C600="EIP",I600&gt;0),'Deal maths'!Y600/I600,0)</f>
        <v/>
      </c>
      <c r="K600" s="111">
        <f>IF(AND(C600="Annuity",I600&gt;0),IF(F600&gt;0,'Deal maths'!Y600*F600/(1-(1+F600)^-I600),'Deal maths'!Y600/I600),0)</f>
        <v/>
      </c>
      <c r="L600" s="111">
        <f>IF('Deal maths'!Y600="",0,'Deal maths'!Y600)</f>
        <v/>
      </c>
      <c r="M600" s="112">
        <f>F600+(F600=0)</f>
        <v/>
      </c>
      <c r="N600" s="108">
        <f>IFERROR(IF(D600=0,0,INT(((YEAR('Deal maths'!AA600)-YEAR(E600))*12+MONTH('Deal maths'!AA600)-MONTH(E600)-(DAY('Deal maths'!AA600)&lt;MIN(R600,DAY(EOMONTH('Deal maths'!AA600,0)))))/D600)+1),0)</f>
        <v/>
      </c>
      <c r="O600" s="108">
        <f>IFERROR(IF(D600=0,0,IF(IF(DAY(E600+1)=1,EOMONTH(E600,(N600-1)*D600),EDATE(E600,(N600-1)*D600))='Deal maths'!AA600,0,1)),0)</f>
        <v/>
      </c>
      <c r="P600" s="113">
        <f>IF(B600=0,0,IFERROR(IF(C600="EIP",((I600-O600)*((IF(DAY(E600+1)=1,EOMONTH(E600,H600*D600),EDATE(E600,H600*D600))-AsAt)/365.25+(IF(DAY(E600+1)=1,EOMONTH(E600,(N600-1)*D600),EDATE(E600,(N600-1)*D600))-AsAt)/365.25)/2+O600*('Deal maths'!AA600-AsAt)/365.25)/I600,IF(C600="Annuity",IF(F600&gt;0,((K600-L600*F600)*((IF(DAY(E600+1)=1,EOMONTH(E600,H600*D600),EDATE(E600,H600*D600))-AsAt)/365.25*((1+F600)^(I600-O600)-1)/F600+IF((I600-O600)&gt;1,((IF(DAY(E600+1)=1,EOMONTH(E600,(N600-1)*D600),EDATE(E600,(N600-1)*D600))-AsAt)/365.25-(IF(DAY(E600+1)=1,EOMONTH(E600,H600*D600),EDATE(E600,H600*D600))-AsAt)/365.25)/((I600-O600)-1),0)*(1+F600)*(1-(I600-O600)*(1+F600)^((I600-O600)-1)+((I600-O600)-1)*(1+F600)^(I600-O600))/F600^2)+O600*(K600-L600*F600)*(1+F600)^(I600-1)*('Deal maths'!AA600-AsAt)/365.25)/L600,((I600-O600)*((IF(DAY(E600+1)=1,EOMONTH(E600,H600*D600),EDATE(E600,H600*D600))-AsAt)/365.25+(IF(DAY(E600+1)=1,EOMONTH(E600,(N600-1)*D600),EDATE(E600,(N600-1)*D600))-AsAt)/365.25)/2+O600*('Deal maths'!AA600-AsAt)/365.25)/I600),(S600-AsAt)/365.25)),0))</f>
        <v/>
      </c>
      <c r="Q600" s="109">
        <f>IF(B600=1,'Deal maths'!AA600+ROW()/1000000,"")</f>
        <v/>
      </c>
      <c r="R600" s="108">
        <f>IF(D600=0,0,IF(DAY(E600+1)=1,31,DAY(E600)))</f>
        <v/>
      </c>
      <c r="S600" s="109">
        <f>IF(AND('Deal maths'!V600="LOBO",'Deal maths'!AG600&gt;AsAt,'Deal maths'!AG600&lt;'Deal maths'!AA600),'Deal maths'!AG600,'Deal maths'!AA600)</f>
        <v/>
      </c>
      <c r="T600" s="108">
        <f>('Deal maths'!AA600&gt;AsAt)*('Deal maths'!Y600&gt;0)</f>
        <v/>
      </c>
    </row>
    <row r="601">
      <c r="A601" s="91">
        <f>IF('Deal maths'!V601="","",'Deal maths'!W601)</f>
        <v/>
      </c>
      <c r="B601" s="108">
        <f>('Deal maths'!AA601&gt;AsAt)*('Deal maths'!Y601&gt;0)*('Deal maths'!Z601&lt;=AsAt)</f>
        <v/>
      </c>
      <c r="C601" s="91">
        <f>IF('Deal maths'!V601="","",IF('Deal maths'!AC601="","Maturity",'Deal maths'!AC601))</f>
        <v/>
      </c>
      <c r="D601" s="108">
        <f>IF(OR(C601="EIP",C601="Annuity"),IF('Deal maths'!AD601="Annual",12,IF('Deal maths'!AD601="Quarterly",3,6)),0)</f>
        <v/>
      </c>
      <c r="E601" s="109">
        <f>IFERROR(IF(D601=0,0,IF('Deal maths'!AE601&gt;0,IF('Deal maths'!AE601&gt;'Deal maths'!AA601,'Deal maths'!AA601,'Deal maths'!AE601),IF(IF(DAY('Deal maths'!AA601+1)=1,EOMONTH('Deal maths'!AA601,-(INT(((YEAR('Deal maths'!AA601)-YEAR(IF('Deal maths'!Z601&gt;0,'Deal maths'!Z601,DATE(1990,1,1))))*12+MONTH('Deal maths'!AA601)-MONTH(IF('Deal maths'!Z601&gt;0,'Deal maths'!Z601,DATE(1990,1,1))))/D601))*D601),EDATE('Deal maths'!AA601,-(INT(((YEAR('Deal maths'!AA601)-YEAR(IF('Deal maths'!Z601&gt;0,'Deal maths'!Z601,DATE(1990,1,1))))*12+MONTH('Deal maths'!AA601)-MONTH(IF('Deal maths'!Z601&gt;0,'Deal maths'!Z601,DATE(1990,1,1))))/D601))*D601))&gt;IF('Deal maths'!Z601&gt;0,'Deal maths'!Z601,DATE(1990,1,1)),IF(DAY('Deal maths'!AA601+1)=1,EOMONTH('Deal maths'!AA601,-(INT(((YEAR('Deal maths'!AA601)-YEAR(IF('Deal maths'!Z601&gt;0,'Deal maths'!Z601,DATE(1990,1,1))))*12+MONTH('Deal maths'!AA601)-MONTH(IF('Deal maths'!Z601&gt;0,'Deal maths'!Z601,DATE(1990,1,1))))/D601))*D601),EDATE('Deal maths'!AA601,-(INT(((YEAR('Deal maths'!AA601)-YEAR(IF('Deal maths'!Z601&gt;0,'Deal maths'!Z601,DATE(1990,1,1))))*12+MONTH('Deal maths'!AA601)-MONTH(IF('Deal maths'!Z601&gt;0,'Deal maths'!Z601,DATE(1990,1,1))))/D601))*D601)),IF(DAY('Deal maths'!AA601+1)=1,EOMONTH('Deal maths'!AA601,-(INT(((YEAR('Deal maths'!AA601)-YEAR(IF('Deal maths'!Z601&gt;0,'Deal maths'!Z601,DATE(1990,1,1))))*12+MONTH('Deal maths'!AA601)-MONTH(IF('Deal maths'!Z601&gt;0,'Deal maths'!Z601,DATE(1990,1,1))))/D601)-1)*D601),EDATE('Deal maths'!AA601,-(INT(((YEAR('Deal maths'!AA601)-YEAR(IF('Deal maths'!Z601&gt;0,'Deal maths'!Z601,DATE(1990,1,1))))*12+MONTH('Deal maths'!AA601)-MONTH(IF('Deal maths'!Z601&gt;0,'Deal maths'!Z601,DATE(1990,1,1))))/D601)-1)*D601))))),0)</f>
        <v/>
      </c>
      <c r="F601" s="110">
        <f>IF(D601=0,0,'Deal maths'!AB601*D601/12)</f>
        <v/>
      </c>
      <c r="G601" s="108">
        <f>N601+O601</f>
        <v/>
      </c>
      <c r="H601" s="108">
        <f>IFERROR(IF(OR(D601=0,AsAt&lt;E601),0,MIN(N601,INT(((YEAR(AsAt)-YEAR(E601))*12+MONTH(AsAt)-MONTH(E601)-(DAY(AsAt)&lt;MIN(R601,DAY(EOMONTH(AsAt,0)))))/D601)+1)+O601*(AsAt&gt;='Deal maths'!AA601)),0)</f>
        <v/>
      </c>
      <c r="I601" s="108">
        <f>G601-H601</f>
        <v/>
      </c>
      <c r="J601" s="111">
        <f>IF(AND(C601="EIP",I601&gt;0),'Deal maths'!Y601/I601,0)</f>
        <v/>
      </c>
      <c r="K601" s="111">
        <f>IF(AND(C601="Annuity",I601&gt;0),IF(F601&gt;0,'Deal maths'!Y601*F601/(1-(1+F601)^-I601),'Deal maths'!Y601/I601),0)</f>
        <v/>
      </c>
      <c r="L601" s="111">
        <f>IF('Deal maths'!Y601="",0,'Deal maths'!Y601)</f>
        <v/>
      </c>
      <c r="M601" s="112">
        <f>F601+(F601=0)</f>
        <v/>
      </c>
      <c r="N601" s="108">
        <f>IFERROR(IF(D601=0,0,INT(((YEAR('Deal maths'!AA601)-YEAR(E601))*12+MONTH('Deal maths'!AA601)-MONTH(E601)-(DAY('Deal maths'!AA601)&lt;MIN(R601,DAY(EOMONTH('Deal maths'!AA601,0)))))/D601)+1),0)</f>
        <v/>
      </c>
      <c r="O601" s="108">
        <f>IFERROR(IF(D601=0,0,IF(IF(DAY(E601+1)=1,EOMONTH(E601,(N601-1)*D601),EDATE(E601,(N601-1)*D601))='Deal maths'!AA601,0,1)),0)</f>
        <v/>
      </c>
      <c r="P601" s="113">
        <f>IF(B601=0,0,IFERROR(IF(C601="EIP",((I601-O601)*((IF(DAY(E601+1)=1,EOMONTH(E601,H601*D601),EDATE(E601,H601*D601))-AsAt)/365.25+(IF(DAY(E601+1)=1,EOMONTH(E601,(N601-1)*D601),EDATE(E601,(N601-1)*D601))-AsAt)/365.25)/2+O601*('Deal maths'!AA601-AsAt)/365.25)/I601,IF(C601="Annuity",IF(F601&gt;0,((K601-L601*F601)*((IF(DAY(E601+1)=1,EOMONTH(E601,H601*D601),EDATE(E601,H601*D601))-AsAt)/365.25*((1+F601)^(I601-O601)-1)/F601+IF((I601-O601)&gt;1,((IF(DAY(E601+1)=1,EOMONTH(E601,(N601-1)*D601),EDATE(E601,(N601-1)*D601))-AsAt)/365.25-(IF(DAY(E601+1)=1,EOMONTH(E601,H601*D601),EDATE(E601,H601*D601))-AsAt)/365.25)/((I601-O601)-1),0)*(1+F601)*(1-(I601-O601)*(1+F601)^((I601-O601)-1)+((I601-O601)-1)*(1+F601)^(I601-O601))/F601^2)+O601*(K601-L601*F601)*(1+F601)^(I601-1)*('Deal maths'!AA601-AsAt)/365.25)/L601,((I601-O601)*((IF(DAY(E601+1)=1,EOMONTH(E601,H601*D601),EDATE(E601,H601*D601))-AsAt)/365.25+(IF(DAY(E601+1)=1,EOMONTH(E601,(N601-1)*D601),EDATE(E601,(N601-1)*D601))-AsAt)/365.25)/2+O601*('Deal maths'!AA601-AsAt)/365.25)/I601),(S601-AsAt)/365.25)),0))</f>
        <v/>
      </c>
      <c r="Q601" s="109">
        <f>IF(B601=1,'Deal maths'!AA601+ROW()/1000000,"")</f>
        <v/>
      </c>
      <c r="R601" s="108">
        <f>IF(D601=0,0,IF(DAY(E601+1)=1,31,DAY(E601)))</f>
        <v/>
      </c>
      <c r="S601" s="109">
        <f>IF(AND('Deal maths'!V601="LOBO",'Deal maths'!AG601&gt;AsAt,'Deal maths'!AG601&lt;'Deal maths'!AA601),'Deal maths'!AG601,'Deal maths'!AA601)</f>
        <v/>
      </c>
      <c r="T601" s="108">
        <f>('Deal maths'!AA601&gt;AsAt)*('Deal maths'!Y601&gt;0)</f>
        <v/>
      </c>
    </row>
    <row r="602">
      <c r="A602" s="91">
        <f>IF('Deal maths'!V602="","",'Deal maths'!W602)</f>
        <v/>
      </c>
      <c r="B602" s="108">
        <f>('Deal maths'!AA602&gt;AsAt)*('Deal maths'!Y602&gt;0)*('Deal maths'!Z602&lt;=AsAt)</f>
        <v/>
      </c>
      <c r="C602" s="91">
        <f>IF('Deal maths'!V602="","",IF('Deal maths'!AC602="","Maturity",'Deal maths'!AC602))</f>
        <v/>
      </c>
      <c r="D602" s="108">
        <f>IF(OR(C602="EIP",C602="Annuity"),IF('Deal maths'!AD602="Annual",12,IF('Deal maths'!AD602="Quarterly",3,6)),0)</f>
        <v/>
      </c>
      <c r="E602" s="109">
        <f>IFERROR(IF(D602=0,0,IF('Deal maths'!AE602&gt;0,IF('Deal maths'!AE602&gt;'Deal maths'!AA602,'Deal maths'!AA602,'Deal maths'!AE602),IF(IF(DAY('Deal maths'!AA602+1)=1,EOMONTH('Deal maths'!AA602,-(INT(((YEAR('Deal maths'!AA602)-YEAR(IF('Deal maths'!Z602&gt;0,'Deal maths'!Z602,DATE(1990,1,1))))*12+MONTH('Deal maths'!AA602)-MONTH(IF('Deal maths'!Z602&gt;0,'Deal maths'!Z602,DATE(1990,1,1))))/D602))*D602),EDATE('Deal maths'!AA602,-(INT(((YEAR('Deal maths'!AA602)-YEAR(IF('Deal maths'!Z602&gt;0,'Deal maths'!Z602,DATE(1990,1,1))))*12+MONTH('Deal maths'!AA602)-MONTH(IF('Deal maths'!Z602&gt;0,'Deal maths'!Z602,DATE(1990,1,1))))/D602))*D602))&gt;IF('Deal maths'!Z602&gt;0,'Deal maths'!Z602,DATE(1990,1,1)),IF(DAY('Deal maths'!AA602+1)=1,EOMONTH('Deal maths'!AA602,-(INT(((YEAR('Deal maths'!AA602)-YEAR(IF('Deal maths'!Z602&gt;0,'Deal maths'!Z602,DATE(1990,1,1))))*12+MONTH('Deal maths'!AA602)-MONTH(IF('Deal maths'!Z602&gt;0,'Deal maths'!Z602,DATE(1990,1,1))))/D602))*D602),EDATE('Deal maths'!AA602,-(INT(((YEAR('Deal maths'!AA602)-YEAR(IF('Deal maths'!Z602&gt;0,'Deal maths'!Z602,DATE(1990,1,1))))*12+MONTH('Deal maths'!AA602)-MONTH(IF('Deal maths'!Z602&gt;0,'Deal maths'!Z602,DATE(1990,1,1))))/D602))*D602)),IF(DAY('Deal maths'!AA602+1)=1,EOMONTH('Deal maths'!AA602,-(INT(((YEAR('Deal maths'!AA602)-YEAR(IF('Deal maths'!Z602&gt;0,'Deal maths'!Z602,DATE(1990,1,1))))*12+MONTH('Deal maths'!AA602)-MONTH(IF('Deal maths'!Z602&gt;0,'Deal maths'!Z602,DATE(1990,1,1))))/D602)-1)*D602),EDATE('Deal maths'!AA602,-(INT(((YEAR('Deal maths'!AA602)-YEAR(IF('Deal maths'!Z602&gt;0,'Deal maths'!Z602,DATE(1990,1,1))))*12+MONTH('Deal maths'!AA602)-MONTH(IF('Deal maths'!Z602&gt;0,'Deal maths'!Z602,DATE(1990,1,1))))/D602)-1)*D602))))),0)</f>
        <v/>
      </c>
      <c r="F602" s="110">
        <f>IF(D602=0,0,'Deal maths'!AB602*D602/12)</f>
        <v/>
      </c>
      <c r="G602" s="108">
        <f>N602+O602</f>
        <v/>
      </c>
      <c r="H602" s="108">
        <f>IFERROR(IF(OR(D602=0,AsAt&lt;E602),0,MIN(N602,INT(((YEAR(AsAt)-YEAR(E602))*12+MONTH(AsAt)-MONTH(E602)-(DAY(AsAt)&lt;MIN(R602,DAY(EOMONTH(AsAt,0)))))/D602)+1)+O602*(AsAt&gt;='Deal maths'!AA602)),0)</f>
        <v/>
      </c>
      <c r="I602" s="108">
        <f>G602-H602</f>
        <v/>
      </c>
      <c r="J602" s="111">
        <f>IF(AND(C602="EIP",I602&gt;0),'Deal maths'!Y602/I602,0)</f>
        <v/>
      </c>
      <c r="K602" s="111">
        <f>IF(AND(C602="Annuity",I602&gt;0),IF(F602&gt;0,'Deal maths'!Y602*F602/(1-(1+F602)^-I602),'Deal maths'!Y602/I602),0)</f>
        <v/>
      </c>
      <c r="L602" s="111">
        <f>IF('Deal maths'!Y602="",0,'Deal maths'!Y602)</f>
        <v/>
      </c>
      <c r="M602" s="112">
        <f>F602+(F602=0)</f>
        <v/>
      </c>
      <c r="N602" s="108">
        <f>IFERROR(IF(D602=0,0,INT(((YEAR('Deal maths'!AA602)-YEAR(E602))*12+MONTH('Deal maths'!AA602)-MONTH(E602)-(DAY('Deal maths'!AA602)&lt;MIN(R602,DAY(EOMONTH('Deal maths'!AA602,0)))))/D602)+1),0)</f>
        <v/>
      </c>
      <c r="O602" s="108">
        <f>IFERROR(IF(D602=0,0,IF(IF(DAY(E602+1)=1,EOMONTH(E602,(N602-1)*D602),EDATE(E602,(N602-1)*D602))='Deal maths'!AA602,0,1)),0)</f>
        <v/>
      </c>
      <c r="P602" s="113">
        <f>IF(B602=0,0,IFERROR(IF(C602="EIP",((I602-O602)*((IF(DAY(E602+1)=1,EOMONTH(E602,H602*D602),EDATE(E602,H602*D602))-AsAt)/365.25+(IF(DAY(E602+1)=1,EOMONTH(E602,(N602-1)*D602),EDATE(E602,(N602-1)*D602))-AsAt)/365.25)/2+O602*('Deal maths'!AA602-AsAt)/365.25)/I602,IF(C602="Annuity",IF(F602&gt;0,((K602-L602*F602)*((IF(DAY(E602+1)=1,EOMONTH(E602,H602*D602),EDATE(E602,H602*D602))-AsAt)/365.25*((1+F602)^(I602-O602)-1)/F602+IF((I602-O602)&gt;1,((IF(DAY(E602+1)=1,EOMONTH(E602,(N602-1)*D602),EDATE(E602,(N602-1)*D602))-AsAt)/365.25-(IF(DAY(E602+1)=1,EOMONTH(E602,H602*D602),EDATE(E602,H602*D602))-AsAt)/365.25)/((I602-O602)-1),0)*(1+F602)*(1-(I602-O602)*(1+F602)^((I602-O602)-1)+((I602-O602)-1)*(1+F602)^(I602-O602))/F602^2)+O602*(K602-L602*F602)*(1+F602)^(I602-1)*('Deal maths'!AA602-AsAt)/365.25)/L602,((I602-O602)*((IF(DAY(E602+1)=1,EOMONTH(E602,H602*D602),EDATE(E602,H602*D602))-AsAt)/365.25+(IF(DAY(E602+1)=1,EOMONTH(E602,(N602-1)*D602),EDATE(E602,(N602-1)*D602))-AsAt)/365.25)/2+O602*('Deal maths'!AA602-AsAt)/365.25)/I602),(S602-AsAt)/365.25)),0))</f>
        <v/>
      </c>
      <c r="Q602" s="109">
        <f>IF(B602=1,'Deal maths'!AA602+ROW()/1000000,"")</f>
        <v/>
      </c>
      <c r="R602" s="108">
        <f>IF(D602=0,0,IF(DAY(E602+1)=1,31,DAY(E602)))</f>
        <v/>
      </c>
      <c r="S602" s="109">
        <f>IF(AND('Deal maths'!V602="LOBO",'Deal maths'!AG602&gt;AsAt,'Deal maths'!AG602&lt;'Deal maths'!AA602),'Deal maths'!AG602,'Deal maths'!AA602)</f>
        <v/>
      </c>
      <c r="T602" s="108">
        <f>('Deal maths'!AA602&gt;AsAt)*('Deal maths'!Y602&gt;0)</f>
        <v/>
      </c>
    </row>
    <row r="603">
      <c r="A603" s="91">
        <f>IF('Deal maths'!V603="","",'Deal maths'!W603)</f>
        <v/>
      </c>
      <c r="B603" s="108">
        <f>('Deal maths'!AA603&gt;AsAt)*('Deal maths'!Y603&gt;0)*('Deal maths'!Z603&lt;=AsAt)</f>
        <v/>
      </c>
      <c r="C603" s="91">
        <f>IF('Deal maths'!V603="","",IF('Deal maths'!AC603="","Maturity",'Deal maths'!AC603))</f>
        <v/>
      </c>
      <c r="D603" s="108">
        <f>IF(OR(C603="EIP",C603="Annuity"),IF('Deal maths'!AD603="Annual",12,IF('Deal maths'!AD603="Quarterly",3,6)),0)</f>
        <v/>
      </c>
      <c r="E603" s="109">
        <f>IFERROR(IF(D603=0,0,IF('Deal maths'!AE603&gt;0,IF('Deal maths'!AE603&gt;'Deal maths'!AA603,'Deal maths'!AA603,'Deal maths'!AE603),IF(IF(DAY('Deal maths'!AA603+1)=1,EOMONTH('Deal maths'!AA603,-(INT(((YEAR('Deal maths'!AA603)-YEAR(IF('Deal maths'!Z603&gt;0,'Deal maths'!Z603,DATE(1990,1,1))))*12+MONTH('Deal maths'!AA603)-MONTH(IF('Deal maths'!Z603&gt;0,'Deal maths'!Z603,DATE(1990,1,1))))/D603))*D603),EDATE('Deal maths'!AA603,-(INT(((YEAR('Deal maths'!AA603)-YEAR(IF('Deal maths'!Z603&gt;0,'Deal maths'!Z603,DATE(1990,1,1))))*12+MONTH('Deal maths'!AA603)-MONTH(IF('Deal maths'!Z603&gt;0,'Deal maths'!Z603,DATE(1990,1,1))))/D603))*D603))&gt;IF('Deal maths'!Z603&gt;0,'Deal maths'!Z603,DATE(1990,1,1)),IF(DAY('Deal maths'!AA603+1)=1,EOMONTH('Deal maths'!AA603,-(INT(((YEAR('Deal maths'!AA603)-YEAR(IF('Deal maths'!Z603&gt;0,'Deal maths'!Z603,DATE(1990,1,1))))*12+MONTH('Deal maths'!AA603)-MONTH(IF('Deal maths'!Z603&gt;0,'Deal maths'!Z603,DATE(1990,1,1))))/D603))*D603),EDATE('Deal maths'!AA603,-(INT(((YEAR('Deal maths'!AA603)-YEAR(IF('Deal maths'!Z603&gt;0,'Deal maths'!Z603,DATE(1990,1,1))))*12+MONTH('Deal maths'!AA603)-MONTH(IF('Deal maths'!Z603&gt;0,'Deal maths'!Z603,DATE(1990,1,1))))/D603))*D603)),IF(DAY('Deal maths'!AA603+1)=1,EOMONTH('Deal maths'!AA603,-(INT(((YEAR('Deal maths'!AA603)-YEAR(IF('Deal maths'!Z603&gt;0,'Deal maths'!Z603,DATE(1990,1,1))))*12+MONTH('Deal maths'!AA603)-MONTH(IF('Deal maths'!Z603&gt;0,'Deal maths'!Z603,DATE(1990,1,1))))/D603)-1)*D603),EDATE('Deal maths'!AA603,-(INT(((YEAR('Deal maths'!AA603)-YEAR(IF('Deal maths'!Z603&gt;0,'Deal maths'!Z603,DATE(1990,1,1))))*12+MONTH('Deal maths'!AA603)-MONTH(IF('Deal maths'!Z603&gt;0,'Deal maths'!Z603,DATE(1990,1,1))))/D603)-1)*D603))))),0)</f>
        <v/>
      </c>
      <c r="F603" s="110">
        <f>IF(D603=0,0,'Deal maths'!AB603*D603/12)</f>
        <v/>
      </c>
      <c r="G603" s="108">
        <f>N603+O603</f>
        <v/>
      </c>
      <c r="H603" s="108">
        <f>IFERROR(IF(OR(D603=0,AsAt&lt;E603),0,MIN(N603,INT(((YEAR(AsAt)-YEAR(E603))*12+MONTH(AsAt)-MONTH(E603)-(DAY(AsAt)&lt;MIN(R603,DAY(EOMONTH(AsAt,0)))))/D603)+1)+O603*(AsAt&gt;='Deal maths'!AA603)),0)</f>
        <v/>
      </c>
      <c r="I603" s="108">
        <f>G603-H603</f>
        <v/>
      </c>
      <c r="J603" s="111">
        <f>IF(AND(C603="EIP",I603&gt;0),'Deal maths'!Y603/I603,0)</f>
        <v/>
      </c>
      <c r="K603" s="111">
        <f>IF(AND(C603="Annuity",I603&gt;0),IF(F603&gt;0,'Deal maths'!Y603*F603/(1-(1+F603)^-I603),'Deal maths'!Y603/I603),0)</f>
        <v/>
      </c>
      <c r="L603" s="111">
        <f>IF('Deal maths'!Y603="",0,'Deal maths'!Y603)</f>
        <v/>
      </c>
      <c r="M603" s="112">
        <f>F603+(F603=0)</f>
        <v/>
      </c>
      <c r="N603" s="108">
        <f>IFERROR(IF(D603=0,0,INT(((YEAR('Deal maths'!AA603)-YEAR(E603))*12+MONTH('Deal maths'!AA603)-MONTH(E603)-(DAY('Deal maths'!AA603)&lt;MIN(R603,DAY(EOMONTH('Deal maths'!AA603,0)))))/D603)+1),0)</f>
        <v/>
      </c>
      <c r="O603" s="108">
        <f>IFERROR(IF(D603=0,0,IF(IF(DAY(E603+1)=1,EOMONTH(E603,(N603-1)*D603),EDATE(E603,(N603-1)*D603))='Deal maths'!AA603,0,1)),0)</f>
        <v/>
      </c>
      <c r="P603" s="113">
        <f>IF(B603=0,0,IFERROR(IF(C603="EIP",((I603-O603)*((IF(DAY(E603+1)=1,EOMONTH(E603,H603*D603),EDATE(E603,H603*D603))-AsAt)/365.25+(IF(DAY(E603+1)=1,EOMONTH(E603,(N603-1)*D603),EDATE(E603,(N603-1)*D603))-AsAt)/365.25)/2+O603*('Deal maths'!AA603-AsAt)/365.25)/I603,IF(C603="Annuity",IF(F603&gt;0,((K603-L603*F603)*((IF(DAY(E603+1)=1,EOMONTH(E603,H603*D603),EDATE(E603,H603*D603))-AsAt)/365.25*((1+F603)^(I603-O603)-1)/F603+IF((I603-O603)&gt;1,((IF(DAY(E603+1)=1,EOMONTH(E603,(N603-1)*D603),EDATE(E603,(N603-1)*D603))-AsAt)/365.25-(IF(DAY(E603+1)=1,EOMONTH(E603,H603*D603),EDATE(E603,H603*D603))-AsAt)/365.25)/((I603-O603)-1),0)*(1+F603)*(1-(I603-O603)*(1+F603)^((I603-O603)-1)+((I603-O603)-1)*(1+F603)^(I603-O603))/F603^2)+O603*(K603-L603*F603)*(1+F603)^(I603-1)*('Deal maths'!AA603-AsAt)/365.25)/L603,((I603-O603)*((IF(DAY(E603+1)=1,EOMONTH(E603,H603*D603),EDATE(E603,H603*D603))-AsAt)/365.25+(IF(DAY(E603+1)=1,EOMONTH(E603,(N603-1)*D603),EDATE(E603,(N603-1)*D603))-AsAt)/365.25)/2+O603*('Deal maths'!AA603-AsAt)/365.25)/I603),(S603-AsAt)/365.25)),0))</f>
        <v/>
      </c>
      <c r="Q603" s="109">
        <f>IF(B603=1,'Deal maths'!AA603+ROW()/1000000,"")</f>
        <v/>
      </c>
      <c r="R603" s="108">
        <f>IF(D603=0,0,IF(DAY(E603+1)=1,31,DAY(E603)))</f>
        <v/>
      </c>
      <c r="S603" s="109">
        <f>IF(AND('Deal maths'!V603="LOBO",'Deal maths'!AG603&gt;AsAt,'Deal maths'!AG603&lt;'Deal maths'!AA603),'Deal maths'!AG603,'Deal maths'!AA603)</f>
        <v/>
      </c>
      <c r="T603" s="108">
        <f>('Deal maths'!AA603&gt;AsAt)*('Deal maths'!Y603&gt;0)</f>
        <v/>
      </c>
    </row>
    <row r="604">
      <c r="A604" s="91">
        <f>IF('Deal maths'!V604="","",'Deal maths'!W604)</f>
        <v/>
      </c>
      <c r="B604" s="108">
        <f>('Deal maths'!AA604&gt;AsAt)*('Deal maths'!Y604&gt;0)*('Deal maths'!Z604&lt;=AsAt)</f>
        <v/>
      </c>
      <c r="C604" s="91">
        <f>IF('Deal maths'!V604="","",IF('Deal maths'!AC604="","Maturity",'Deal maths'!AC604))</f>
        <v/>
      </c>
      <c r="D604" s="108">
        <f>IF(OR(C604="EIP",C604="Annuity"),IF('Deal maths'!AD604="Annual",12,IF('Deal maths'!AD604="Quarterly",3,6)),0)</f>
        <v/>
      </c>
      <c r="E604" s="109">
        <f>IFERROR(IF(D604=0,0,IF('Deal maths'!AE604&gt;0,IF('Deal maths'!AE604&gt;'Deal maths'!AA604,'Deal maths'!AA604,'Deal maths'!AE604),IF(IF(DAY('Deal maths'!AA604+1)=1,EOMONTH('Deal maths'!AA604,-(INT(((YEAR('Deal maths'!AA604)-YEAR(IF('Deal maths'!Z604&gt;0,'Deal maths'!Z604,DATE(1990,1,1))))*12+MONTH('Deal maths'!AA604)-MONTH(IF('Deal maths'!Z604&gt;0,'Deal maths'!Z604,DATE(1990,1,1))))/D604))*D604),EDATE('Deal maths'!AA604,-(INT(((YEAR('Deal maths'!AA604)-YEAR(IF('Deal maths'!Z604&gt;0,'Deal maths'!Z604,DATE(1990,1,1))))*12+MONTH('Deal maths'!AA604)-MONTH(IF('Deal maths'!Z604&gt;0,'Deal maths'!Z604,DATE(1990,1,1))))/D604))*D604))&gt;IF('Deal maths'!Z604&gt;0,'Deal maths'!Z604,DATE(1990,1,1)),IF(DAY('Deal maths'!AA604+1)=1,EOMONTH('Deal maths'!AA604,-(INT(((YEAR('Deal maths'!AA604)-YEAR(IF('Deal maths'!Z604&gt;0,'Deal maths'!Z604,DATE(1990,1,1))))*12+MONTH('Deal maths'!AA604)-MONTH(IF('Deal maths'!Z604&gt;0,'Deal maths'!Z604,DATE(1990,1,1))))/D604))*D604),EDATE('Deal maths'!AA604,-(INT(((YEAR('Deal maths'!AA604)-YEAR(IF('Deal maths'!Z604&gt;0,'Deal maths'!Z604,DATE(1990,1,1))))*12+MONTH('Deal maths'!AA604)-MONTH(IF('Deal maths'!Z604&gt;0,'Deal maths'!Z604,DATE(1990,1,1))))/D604))*D604)),IF(DAY('Deal maths'!AA604+1)=1,EOMONTH('Deal maths'!AA604,-(INT(((YEAR('Deal maths'!AA604)-YEAR(IF('Deal maths'!Z604&gt;0,'Deal maths'!Z604,DATE(1990,1,1))))*12+MONTH('Deal maths'!AA604)-MONTH(IF('Deal maths'!Z604&gt;0,'Deal maths'!Z604,DATE(1990,1,1))))/D604)-1)*D604),EDATE('Deal maths'!AA604,-(INT(((YEAR('Deal maths'!AA604)-YEAR(IF('Deal maths'!Z604&gt;0,'Deal maths'!Z604,DATE(1990,1,1))))*12+MONTH('Deal maths'!AA604)-MONTH(IF('Deal maths'!Z604&gt;0,'Deal maths'!Z604,DATE(1990,1,1))))/D604)-1)*D604))))),0)</f>
        <v/>
      </c>
      <c r="F604" s="110">
        <f>IF(D604=0,0,'Deal maths'!AB604*D604/12)</f>
        <v/>
      </c>
      <c r="G604" s="108">
        <f>N604+O604</f>
        <v/>
      </c>
      <c r="H604" s="108">
        <f>IFERROR(IF(OR(D604=0,AsAt&lt;E604),0,MIN(N604,INT(((YEAR(AsAt)-YEAR(E604))*12+MONTH(AsAt)-MONTH(E604)-(DAY(AsAt)&lt;MIN(R604,DAY(EOMONTH(AsAt,0)))))/D604)+1)+O604*(AsAt&gt;='Deal maths'!AA604)),0)</f>
        <v/>
      </c>
      <c r="I604" s="108">
        <f>G604-H604</f>
        <v/>
      </c>
      <c r="J604" s="111">
        <f>IF(AND(C604="EIP",I604&gt;0),'Deal maths'!Y604/I604,0)</f>
        <v/>
      </c>
      <c r="K604" s="111">
        <f>IF(AND(C604="Annuity",I604&gt;0),IF(F604&gt;0,'Deal maths'!Y604*F604/(1-(1+F604)^-I604),'Deal maths'!Y604/I604),0)</f>
        <v/>
      </c>
      <c r="L604" s="111">
        <f>IF('Deal maths'!Y604="",0,'Deal maths'!Y604)</f>
        <v/>
      </c>
      <c r="M604" s="112">
        <f>F604+(F604=0)</f>
        <v/>
      </c>
      <c r="N604" s="108">
        <f>IFERROR(IF(D604=0,0,INT(((YEAR('Deal maths'!AA604)-YEAR(E604))*12+MONTH('Deal maths'!AA604)-MONTH(E604)-(DAY('Deal maths'!AA604)&lt;MIN(R604,DAY(EOMONTH('Deal maths'!AA604,0)))))/D604)+1),0)</f>
        <v/>
      </c>
      <c r="O604" s="108">
        <f>IFERROR(IF(D604=0,0,IF(IF(DAY(E604+1)=1,EOMONTH(E604,(N604-1)*D604),EDATE(E604,(N604-1)*D604))='Deal maths'!AA604,0,1)),0)</f>
        <v/>
      </c>
      <c r="P604" s="113">
        <f>IF(B604=0,0,IFERROR(IF(C604="EIP",((I604-O604)*((IF(DAY(E604+1)=1,EOMONTH(E604,H604*D604),EDATE(E604,H604*D604))-AsAt)/365.25+(IF(DAY(E604+1)=1,EOMONTH(E604,(N604-1)*D604),EDATE(E604,(N604-1)*D604))-AsAt)/365.25)/2+O604*('Deal maths'!AA604-AsAt)/365.25)/I604,IF(C604="Annuity",IF(F604&gt;0,((K604-L604*F604)*((IF(DAY(E604+1)=1,EOMONTH(E604,H604*D604),EDATE(E604,H604*D604))-AsAt)/365.25*((1+F604)^(I604-O604)-1)/F604+IF((I604-O604)&gt;1,((IF(DAY(E604+1)=1,EOMONTH(E604,(N604-1)*D604),EDATE(E604,(N604-1)*D604))-AsAt)/365.25-(IF(DAY(E604+1)=1,EOMONTH(E604,H604*D604),EDATE(E604,H604*D604))-AsAt)/365.25)/((I604-O604)-1),0)*(1+F604)*(1-(I604-O604)*(1+F604)^((I604-O604)-1)+((I604-O604)-1)*(1+F604)^(I604-O604))/F604^2)+O604*(K604-L604*F604)*(1+F604)^(I604-1)*('Deal maths'!AA604-AsAt)/365.25)/L604,((I604-O604)*((IF(DAY(E604+1)=1,EOMONTH(E604,H604*D604),EDATE(E604,H604*D604))-AsAt)/365.25+(IF(DAY(E604+1)=1,EOMONTH(E604,(N604-1)*D604),EDATE(E604,(N604-1)*D604))-AsAt)/365.25)/2+O604*('Deal maths'!AA604-AsAt)/365.25)/I604),(S604-AsAt)/365.25)),0))</f>
        <v/>
      </c>
      <c r="Q604" s="109">
        <f>IF(B604=1,'Deal maths'!AA604+ROW()/1000000,"")</f>
        <v/>
      </c>
      <c r="R604" s="108">
        <f>IF(D604=0,0,IF(DAY(E604+1)=1,31,DAY(E604)))</f>
        <v/>
      </c>
      <c r="S604" s="109">
        <f>IF(AND('Deal maths'!V604="LOBO",'Deal maths'!AG604&gt;AsAt,'Deal maths'!AG604&lt;'Deal maths'!AA604),'Deal maths'!AG604,'Deal maths'!AA604)</f>
        <v/>
      </c>
      <c r="T604" s="108">
        <f>('Deal maths'!AA604&gt;AsAt)*('Deal maths'!Y604&gt;0)</f>
        <v/>
      </c>
    </row>
    <row r="605">
      <c r="A605" s="91">
        <f>IF('Deal maths'!V605="","",'Deal maths'!W605)</f>
        <v/>
      </c>
      <c r="B605" s="108">
        <f>('Deal maths'!AA605&gt;AsAt)*('Deal maths'!Y605&gt;0)*('Deal maths'!Z605&lt;=AsAt)</f>
        <v/>
      </c>
      <c r="C605" s="91">
        <f>IF('Deal maths'!V605="","",IF('Deal maths'!AC605="","Maturity",'Deal maths'!AC605))</f>
        <v/>
      </c>
      <c r="D605" s="108">
        <f>IF(OR(C605="EIP",C605="Annuity"),IF('Deal maths'!AD605="Annual",12,IF('Deal maths'!AD605="Quarterly",3,6)),0)</f>
        <v/>
      </c>
      <c r="E605" s="109">
        <f>IFERROR(IF(D605=0,0,IF('Deal maths'!AE605&gt;0,IF('Deal maths'!AE605&gt;'Deal maths'!AA605,'Deal maths'!AA605,'Deal maths'!AE605),IF(IF(DAY('Deal maths'!AA605+1)=1,EOMONTH('Deal maths'!AA605,-(INT(((YEAR('Deal maths'!AA605)-YEAR(IF('Deal maths'!Z605&gt;0,'Deal maths'!Z605,DATE(1990,1,1))))*12+MONTH('Deal maths'!AA605)-MONTH(IF('Deal maths'!Z605&gt;0,'Deal maths'!Z605,DATE(1990,1,1))))/D605))*D605),EDATE('Deal maths'!AA605,-(INT(((YEAR('Deal maths'!AA605)-YEAR(IF('Deal maths'!Z605&gt;0,'Deal maths'!Z605,DATE(1990,1,1))))*12+MONTH('Deal maths'!AA605)-MONTH(IF('Deal maths'!Z605&gt;0,'Deal maths'!Z605,DATE(1990,1,1))))/D605))*D605))&gt;IF('Deal maths'!Z605&gt;0,'Deal maths'!Z605,DATE(1990,1,1)),IF(DAY('Deal maths'!AA605+1)=1,EOMONTH('Deal maths'!AA605,-(INT(((YEAR('Deal maths'!AA605)-YEAR(IF('Deal maths'!Z605&gt;0,'Deal maths'!Z605,DATE(1990,1,1))))*12+MONTH('Deal maths'!AA605)-MONTH(IF('Deal maths'!Z605&gt;0,'Deal maths'!Z605,DATE(1990,1,1))))/D605))*D605),EDATE('Deal maths'!AA605,-(INT(((YEAR('Deal maths'!AA605)-YEAR(IF('Deal maths'!Z605&gt;0,'Deal maths'!Z605,DATE(1990,1,1))))*12+MONTH('Deal maths'!AA605)-MONTH(IF('Deal maths'!Z605&gt;0,'Deal maths'!Z605,DATE(1990,1,1))))/D605))*D605)),IF(DAY('Deal maths'!AA605+1)=1,EOMONTH('Deal maths'!AA605,-(INT(((YEAR('Deal maths'!AA605)-YEAR(IF('Deal maths'!Z605&gt;0,'Deal maths'!Z605,DATE(1990,1,1))))*12+MONTH('Deal maths'!AA605)-MONTH(IF('Deal maths'!Z605&gt;0,'Deal maths'!Z605,DATE(1990,1,1))))/D605)-1)*D605),EDATE('Deal maths'!AA605,-(INT(((YEAR('Deal maths'!AA605)-YEAR(IF('Deal maths'!Z605&gt;0,'Deal maths'!Z605,DATE(1990,1,1))))*12+MONTH('Deal maths'!AA605)-MONTH(IF('Deal maths'!Z605&gt;0,'Deal maths'!Z605,DATE(1990,1,1))))/D605)-1)*D605))))),0)</f>
        <v/>
      </c>
      <c r="F605" s="110">
        <f>IF(D605=0,0,'Deal maths'!AB605*D605/12)</f>
        <v/>
      </c>
      <c r="G605" s="108">
        <f>N605+O605</f>
        <v/>
      </c>
      <c r="H605" s="108">
        <f>IFERROR(IF(OR(D605=0,AsAt&lt;E605),0,MIN(N605,INT(((YEAR(AsAt)-YEAR(E605))*12+MONTH(AsAt)-MONTH(E605)-(DAY(AsAt)&lt;MIN(R605,DAY(EOMONTH(AsAt,0)))))/D605)+1)+O605*(AsAt&gt;='Deal maths'!AA605)),0)</f>
        <v/>
      </c>
      <c r="I605" s="108">
        <f>G605-H605</f>
        <v/>
      </c>
      <c r="J605" s="111">
        <f>IF(AND(C605="EIP",I605&gt;0),'Deal maths'!Y605/I605,0)</f>
        <v/>
      </c>
      <c r="K605" s="111">
        <f>IF(AND(C605="Annuity",I605&gt;0),IF(F605&gt;0,'Deal maths'!Y605*F605/(1-(1+F605)^-I605),'Deal maths'!Y605/I605),0)</f>
        <v/>
      </c>
      <c r="L605" s="111">
        <f>IF('Deal maths'!Y605="",0,'Deal maths'!Y605)</f>
        <v/>
      </c>
      <c r="M605" s="112">
        <f>F605+(F605=0)</f>
        <v/>
      </c>
      <c r="N605" s="108">
        <f>IFERROR(IF(D605=0,0,INT(((YEAR('Deal maths'!AA605)-YEAR(E605))*12+MONTH('Deal maths'!AA605)-MONTH(E605)-(DAY('Deal maths'!AA605)&lt;MIN(R605,DAY(EOMONTH('Deal maths'!AA605,0)))))/D605)+1),0)</f>
        <v/>
      </c>
      <c r="O605" s="108">
        <f>IFERROR(IF(D605=0,0,IF(IF(DAY(E605+1)=1,EOMONTH(E605,(N605-1)*D605),EDATE(E605,(N605-1)*D605))='Deal maths'!AA605,0,1)),0)</f>
        <v/>
      </c>
      <c r="P605" s="113">
        <f>IF(B605=0,0,IFERROR(IF(C605="EIP",((I605-O605)*((IF(DAY(E605+1)=1,EOMONTH(E605,H605*D605),EDATE(E605,H605*D605))-AsAt)/365.25+(IF(DAY(E605+1)=1,EOMONTH(E605,(N605-1)*D605),EDATE(E605,(N605-1)*D605))-AsAt)/365.25)/2+O605*('Deal maths'!AA605-AsAt)/365.25)/I605,IF(C605="Annuity",IF(F605&gt;0,((K605-L605*F605)*((IF(DAY(E605+1)=1,EOMONTH(E605,H605*D605),EDATE(E605,H605*D605))-AsAt)/365.25*((1+F605)^(I605-O605)-1)/F605+IF((I605-O605)&gt;1,((IF(DAY(E605+1)=1,EOMONTH(E605,(N605-1)*D605),EDATE(E605,(N605-1)*D605))-AsAt)/365.25-(IF(DAY(E605+1)=1,EOMONTH(E605,H605*D605),EDATE(E605,H605*D605))-AsAt)/365.25)/((I605-O605)-1),0)*(1+F605)*(1-(I605-O605)*(1+F605)^((I605-O605)-1)+((I605-O605)-1)*(1+F605)^(I605-O605))/F605^2)+O605*(K605-L605*F605)*(1+F605)^(I605-1)*('Deal maths'!AA605-AsAt)/365.25)/L605,((I605-O605)*((IF(DAY(E605+1)=1,EOMONTH(E605,H605*D605),EDATE(E605,H605*D605))-AsAt)/365.25+(IF(DAY(E605+1)=1,EOMONTH(E605,(N605-1)*D605),EDATE(E605,(N605-1)*D605))-AsAt)/365.25)/2+O605*('Deal maths'!AA605-AsAt)/365.25)/I605),(S605-AsAt)/365.25)),0))</f>
        <v/>
      </c>
      <c r="Q605" s="109">
        <f>IF(B605=1,'Deal maths'!AA605+ROW()/1000000,"")</f>
        <v/>
      </c>
      <c r="R605" s="108">
        <f>IF(D605=0,0,IF(DAY(E605+1)=1,31,DAY(E605)))</f>
        <v/>
      </c>
      <c r="S605" s="109">
        <f>IF(AND('Deal maths'!V605="LOBO",'Deal maths'!AG605&gt;AsAt,'Deal maths'!AG605&lt;'Deal maths'!AA605),'Deal maths'!AG605,'Deal maths'!AA605)</f>
        <v/>
      </c>
      <c r="T605" s="108">
        <f>('Deal maths'!AA605&gt;AsAt)*('Deal maths'!Y605&gt;0)</f>
        <v/>
      </c>
    </row>
    <row r="606">
      <c r="A606" s="91">
        <f>IF('Deal maths'!V606="","",'Deal maths'!W606)</f>
        <v/>
      </c>
      <c r="B606" s="108">
        <f>('Deal maths'!AA606&gt;AsAt)*('Deal maths'!Y606&gt;0)*('Deal maths'!Z606&lt;=AsAt)</f>
        <v/>
      </c>
      <c r="C606" s="91">
        <f>IF('Deal maths'!V606="","",IF('Deal maths'!AC606="","Maturity",'Deal maths'!AC606))</f>
        <v/>
      </c>
      <c r="D606" s="108">
        <f>IF(OR(C606="EIP",C606="Annuity"),IF('Deal maths'!AD606="Annual",12,IF('Deal maths'!AD606="Quarterly",3,6)),0)</f>
        <v/>
      </c>
      <c r="E606" s="109">
        <f>IFERROR(IF(D606=0,0,IF('Deal maths'!AE606&gt;0,IF('Deal maths'!AE606&gt;'Deal maths'!AA606,'Deal maths'!AA606,'Deal maths'!AE606),IF(IF(DAY('Deal maths'!AA606+1)=1,EOMONTH('Deal maths'!AA606,-(INT(((YEAR('Deal maths'!AA606)-YEAR(IF('Deal maths'!Z606&gt;0,'Deal maths'!Z606,DATE(1990,1,1))))*12+MONTH('Deal maths'!AA606)-MONTH(IF('Deal maths'!Z606&gt;0,'Deal maths'!Z606,DATE(1990,1,1))))/D606))*D606),EDATE('Deal maths'!AA606,-(INT(((YEAR('Deal maths'!AA606)-YEAR(IF('Deal maths'!Z606&gt;0,'Deal maths'!Z606,DATE(1990,1,1))))*12+MONTH('Deal maths'!AA606)-MONTH(IF('Deal maths'!Z606&gt;0,'Deal maths'!Z606,DATE(1990,1,1))))/D606))*D606))&gt;IF('Deal maths'!Z606&gt;0,'Deal maths'!Z606,DATE(1990,1,1)),IF(DAY('Deal maths'!AA606+1)=1,EOMONTH('Deal maths'!AA606,-(INT(((YEAR('Deal maths'!AA606)-YEAR(IF('Deal maths'!Z606&gt;0,'Deal maths'!Z606,DATE(1990,1,1))))*12+MONTH('Deal maths'!AA606)-MONTH(IF('Deal maths'!Z606&gt;0,'Deal maths'!Z606,DATE(1990,1,1))))/D606))*D606),EDATE('Deal maths'!AA606,-(INT(((YEAR('Deal maths'!AA606)-YEAR(IF('Deal maths'!Z606&gt;0,'Deal maths'!Z606,DATE(1990,1,1))))*12+MONTH('Deal maths'!AA606)-MONTH(IF('Deal maths'!Z606&gt;0,'Deal maths'!Z606,DATE(1990,1,1))))/D606))*D606)),IF(DAY('Deal maths'!AA606+1)=1,EOMONTH('Deal maths'!AA606,-(INT(((YEAR('Deal maths'!AA606)-YEAR(IF('Deal maths'!Z606&gt;0,'Deal maths'!Z606,DATE(1990,1,1))))*12+MONTH('Deal maths'!AA606)-MONTH(IF('Deal maths'!Z606&gt;0,'Deal maths'!Z606,DATE(1990,1,1))))/D606)-1)*D606),EDATE('Deal maths'!AA606,-(INT(((YEAR('Deal maths'!AA606)-YEAR(IF('Deal maths'!Z606&gt;0,'Deal maths'!Z606,DATE(1990,1,1))))*12+MONTH('Deal maths'!AA606)-MONTH(IF('Deal maths'!Z606&gt;0,'Deal maths'!Z606,DATE(1990,1,1))))/D606)-1)*D606))))),0)</f>
        <v/>
      </c>
      <c r="F606" s="110">
        <f>IF(D606=0,0,'Deal maths'!AB606*D606/12)</f>
        <v/>
      </c>
      <c r="G606" s="108">
        <f>N606+O606</f>
        <v/>
      </c>
      <c r="H606" s="108">
        <f>IFERROR(IF(OR(D606=0,AsAt&lt;E606),0,MIN(N606,INT(((YEAR(AsAt)-YEAR(E606))*12+MONTH(AsAt)-MONTH(E606)-(DAY(AsAt)&lt;MIN(R606,DAY(EOMONTH(AsAt,0)))))/D606)+1)+O606*(AsAt&gt;='Deal maths'!AA606)),0)</f>
        <v/>
      </c>
      <c r="I606" s="108">
        <f>G606-H606</f>
        <v/>
      </c>
      <c r="J606" s="111">
        <f>IF(AND(C606="EIP",I606&gt;0),'Deal maths'!Y606/I606,0)</f>
        <v/>
      </c>
      <c r="K606" s="111">
        <f>IF(AND(C606="Annuity",I606&gt;0),IF(F606&gt;0,'Deal maths'!Y606*F606/(1-(1+F606)^-I606),'Deal maths'!Y606/I606),0)</f>
        <v/>
      </c>
      <c r="L606" s="111">
        <f>IF('Deal maths'!Y606="",0,'Deal maths'!Y606)</f>
        <v/>
      </c>
      <c r="M606" s="112">
        <f>F606+(F606=0)</f>
        <v/>
      </c>
      <c r="N606" s="108">
        <f>IFERROR(IF(D606=0,0,INT(((YEAR('Deal maths'!AA606)-YEAR(E606))*12+MONTH('Deal maths'!AA606)-MONTH(E606)-(DAY('Deal maths'!AA606)&lt;MIN(R606,DAY(EOMONTH('Deal maths'!AA606,0)))))/D606)+1),0)</f>
        <v/>
      </c>
      <c r="O606" s="108">
        <f>IFERROR(IF(D606=0,0,IF(IF(DAY(E606+1)=1,EOMONTH(E606,(N606-1)*D606),EDATE(E606,(N606-1)*D606))='Deal maths'!AA606,0,1)),0)</f>
        <v/>
      </c>
      <c r="P606" s="113">
        <f>IF(B606=0,0,IFERROR(IF(C606="EIP",((I606-O606)*((IF(DAY(E606+1)=1,EOMONTH(E606,H606*D606),EDATE(E606,H606*D606))-AsAt)/365.25+(IF(DAY(E606+1)=1,EOMONTH(E606,(N606-1)*D606),EDATE(E606,(N606-1)*D606))-AsAt)/365.25)/2+O606*('Deal maths'!AA606-AsAt)/365.25)/I606,IF(C606="Annuity",IF(F606&gt;0,((K606-L606*F606)*((IF(DAY(E606+1)=1,EOMONTH(E606,H606*D606),EDATE(E606,H606*D606))-AsAt)/365.25*((1+F606)^(I606-O606)-1)/F606+IF((I606-O606)&gt;1,((IF(DAY(E606+1)=1,EOMONTH(E606,(N606-1)*D606),EDATE(E606,(N606-1)*D606))-AsAt)/365.25-(IF(DAY(E606+1)=1,EOMONTH(E606,H606*D606),EDATE(E606,H606*D606))-AsAt)/365.25)/((I606-O606)-1),0)*(1+F606)*(1-(I606-O606)*(1+F606)^((I606-O606)-1)+((I606-O606)-1)*(1+F606)^(I606-O606))/F606^2)+O606*(K606-L606*F606)*(1+F606)^(I606-1)*('Deal maths'!AA606-AsAt)/365.25)/L606,((I606-O606)*((IF(DAY(E606+1)=1,EOMONTH(E606,H606*D606),EDATE(E606,H606*D606))-AsAt)/365.25+(IF(DAY(E606+1)=1,EOMONTH(E606,(N606-1)*D606),EDATE(E606,(N606-1)*D606))-AsAt)/365.25)/2+O606*('Deal maths'!AA606-AsAt)/365.25)/I606),(S606-AsAt)/365.25)),0))</f>
        <v/>
      </c>
      <c r="Q606" s="109">
        <f>IF(B606=1,'Deal maths'!AA606+ROW()/1000000,"")</f>
        <v/>
      </c>
      <c r="R606" s="108">
        <f>IF(D606=0,0,IF(DAY(E606+1)=1,31,DAY(E606)))</f>
        <v/>
      </c>
      <c r="S606" s="109">
        <f>IF(AND('Deal maths'!V606="LOBO",'Deal maths'!AG606&gt;AsAt,'Deal maths'!AG606&lt;'Deal maths'!AA606),'Deal maths'!AG606,'Deal maths'!AA606)</f>
        <v/>
      </c>
      <c r="T606" s="108">
        <f>('Deal maths'!AA606&gt;AsAt)*('Deal maths'!Y606&gt;0)</f>
        <v/>
      </c>
    </row>
    <row r="607">
      <c r="A607" s="91">
        <f>IF('Deal maths'!V607="","",'Deal maths'!W607)</f>
        <v/>
      </c>
      <c r="B607" s="108">
        <f>('Deal maths'!AA607&gt;AsAt)*('Deal maths'!Y607&gt;0)*('Deal maths'!Z607&lt;=AsAt)</f>
        <v/>
      </c>
      <c r="C607" s="91">
        <f>IF('Deal maths'!V607="","",IF('Deal maths'!AC607="","Maturity",'Deal maths'!AC607))</f>
        <v/>
      </c>
      <c r="D607" s="108">
        <f>IF(OR(C607="EIP",C607="Annuity"),IF('Deal maths'!AD607="Annual",12,IF('Deal maths'!AD607="Quarterly",3,6)),0)</f>
        <v/>
      </c>
      <c r="E607" s="109">
        <f>IFERROR(IF(D607=0,0,IF('Deal maths'!AE607&gt;0,IF('Deal maths'!AE607&gt;'Deal maths'!AA607,'Deal maths'!AA607,'Deal maths'!AE607),IF(IF(DAY('Deal maths'!AA607+1)=1,EOMONTH('Deal maths'!AA607,-(INT(((YEAR('Deal maths'!AA607)-YEAR(IF('Deal maths'!Z607&gt;0,'Deal maths'!Z607,DATE(1990,1,1))))*12+MONTH('Deal maths'!AA607)-MONTH(IF('Deal maths'!Z607&gt;0,'Deal maths'!Z607,DATE(1990,1,1))))/D607))*D607),EDATE('Deal maths'!AA607,-(INT(((YEAR('Deal maths'!AA607)-YEAR(IF('Deal maths'!Z607&gt;0,'Deal maths'!Z607,DATE(1990,1,1))))*12+MONTH('Deal maths'!AA607)-MONTH(IF('Deal maths'!Z607&gt;0,'Deal maths'!Z607,DATE(1990,1,1))))/D607))*D607))&gt;IF('Deal maths'!Z607&gt;0,'Deal maths'!Z607,DATE(1990,1,1)),IF(DAY('Deal maths'!AA607+1)=1,EOMONTH('Deal maths'!AA607,-(INT(((YEAR('Deal maths'!AA607)-YEAR(IF('Deal maths'!Z607&gt;0,'Deal maths'!Z607,DATE(1990,1,1))))*12+MONTH('Deal maths'!AA607)-MONTH(IF('Deal maths'!Z607&gt;0,'Deal maths'!Z607,DATE(1990,1,1))))/D607))*D607),EDATE('Deal maths'!AA607,-(INT(((YEAR('Deal maths'!AA607)-YEAR(IF('Deal maths'!Z607&gt;0,'Deal maths'!Z607,DATE(1990,1,1))))*12+MONTH('Deal maths'!AA607)-MONTH(IF('Deal maths'!Z607&gt;0,'Deal maths'!Z607,DATE(1990,1,1))))/D607))*D607)),IF(DAY('Deal maths'!AA607+1)=1,EOMONTH('Deal maths'!AA607,-(INT(((YEAR('Deal maths'!AA607)-YEAR(IF('Deal maths'!Z607&gt;0,'Deal maths'!Z607,DATE(1990,1,1))))*12+MONTH('Deal maths'!AA607)-MONTH(IF('Deal maths'!Z607&gt;0,'Deal maths'!Z607,DATE(1990,1,1))))/D607)-1)*D607),EDATE('Deal maths'!AA607,-(INT(((YEAR('Deal maths'!AA607)-YEAR(IF('Deal maths'!Z607&gt;0,'Deal maths'!Z607,DATE(1990,1,1))))*12+MONTH('Deal maths'!AA607)-MONTH(IF('Deal maths'!Z607&gt;0,'Deal maths'!Z607,DATE(1990,1,1))))/D607)-1)*D607))))),0)</f>
        <v/>
      </c>
      <c r="F607" s="110">
        <f>IF(D607=0,0,'Deal maths'!AB607*D607/12)</f>
        <v/>
      </c>
      <c r="G607" s="108">
        <f>N607+O607</f>
        <v/>
      </c>
      <c r="H607" s="108">
        <f>IFERROR(IF(OR(D607=0,AsAt&lt;E607),0,MIN(N607,INT(((YEAR(AsAt)-YEAR(E607))*12+MONTH(AsAt)-MONTH(E607)-(DAY(AsAt)&lt;MIN(R607,DAY(EOMONTH(AsAt,0)))))/D607)+1)+O607*(AsAt&gt;='Deal maths'!AA607)),0)</f>
        <v/>
      </c>
      <c r="I607" s="108">
        <f>G607-H607</f>
        <v/>
      </c>
      <c r="J607" s="111">
        <f>IF(AND(C607="EIP",I607&gt;0),'Deal maths'!Y607/I607,0)</f>
        <v/>
      </c>
      <c r="K607" s="111">
        <f>IF(AND(C607="Annuity",I607&gt;0),IF(F607&gt;0,'Deal maths'!Y607*F607/(1-(1+F607)^-I607),'Deal maths'!Y607/I607),0)</f>
        <v/>
      </c>
      <c r="L607" s="111">
        <f>IF('Deal maths'!Y607="",0,'Deal maths'!Y607)</f>
        <v/>
      </c>
      <c r="M607" s="112">
        <f>F607+(F607=0)</f>
        <v/>
      </c>
      <c r="N607" s="108">
        <f>IFERROR(IF(D607=0,0,INT(((YEAR('Deal maths'!AA607)-YEAR(E607))*12+MONTH('Deal maths'!AA607)-MONTH(E607)-(DAY('Deal maths'!AA607)&lt;MIN(R607,DAY(EOMONTH('Deal maths'!AA607,0)))))/D607)+1),0)</f>
        <v/>
      </c>
      <c r="O607" s="108">
        <f>IFERROR(IF(D607=0,0,IF(IF(DAY(E607+1)=1,EOMONTH(E607,(N607-1)*D607),EDATE(E607,(N607-1)*D607))='Deal maths'!AA607,0,1)),0)</f>
        <v/>
      </c>
      <c r="P607" s="113">
        <f>IF(B607=0,0,IFERROR(IF(C607="EIP",((I607-O607)*((IF(DAY(E607+1)=1,EOMONTH(E607,H607*D607),EDATE(E607,H607*D607))-AsAt)/365.25+(IF(DAY(E607+1)=1,EOMONTH(E607,(N607-1)*D607),EDATE(E607,(N607-1)*D607))-AsAt)/365.25)/2+O607*('Deal maths'!AA607-AsAt)/365.25)/I607,IF(C607="Annuity",IF(F607&gt;0,((K607-L607*F607)*((IF(DAY(E607+1)=1,EOMONTH(E607,H607*D607),EDATE(E607,H607*D607))-AsAt)/365.25*((1+F607)^(I607-O607)-1)/F607+IF((I607-O607)&gt;1,((IF(DAY(E607+1)=1,EOMONTH(E607,(N607-1)*D607),EDATE(E607,(N607-1)*D607))-AsAt)/365.25-(IF(DAY(E607+1)=1,EOMONTH(E607,H607*D607),EDATE(E607,H607*D607))-AsAt)/365.25)/((I607-O607)-1),0)*(1+F607)*(1-(I607-O607)*(1+F607)^((I607-O607)-1)+((I607-O607)-1)*(1+F607)^(I607-O607))/F607^2)+O607*(K607-L607*F607)*(1+F607)^(I607-1)*('Deal maths'!AA607-AsAt)/365.25)/L607,((I607-O607)*((IF(DAY(E607+1)=1,EOMONTH(E607,H607*D607),EDATE(E607,H607*D607))-AsAt)/365.25+(IF(DAY(E607+1)=1,EOMONTH(E607,(N607-1)*D607),EDATE(E607,(N607-1)*D607))-AsAt)/365.25)/2+O607*('Deal maths'!AA607-AsAt)/365.25)/I607),(S607-AsAt)/365.25)),0))</f>
        <v/>
      </c>
      <c r="Q607" s="109">
        <f>IF(B607=1,'Deal maths'!AA607+ROW()/1000000,"")</f>
        <v/>
      </c>
      <c r="R607" s="108">
        <f>IF(D607=0,0,IF(DAY(E607+1)=1,31,DAY(E607)))</f>
        <v/>
      </c>
      <c r="S607" s="109">
        <f>IF(AND('Deal maths'!V607="LOBO",'Deal maths'!AG607&gt;AsAt,'Deal maths'!AG607&lt;'Deal maths'!AA607),'Deal maths'!AG607,'Deal maths'!AA607)</f>
        <v/>
      </c>
      <c r="T607" s="108">
        <f>('Deal maths'!AA607&gt;AsAt)*('Deal maths'!Y607&gt;0)</f>
        <v/>
      </c>
    </row>
    <row r="608">
      <c r="A608" s="91">
        <f>IF('Deal maths'!V608="","",'Deal maths'!W608)</f>
        <v/>
      </c>
      <c r="B608" s="108">
        <f>('Deal maths'!AA608&gt;AsAt)*('Deal maths'!Y608&gt;0)*('Deal maths'!Z608&lt;=AsAt)</f>
        <v/>
      </c>
      <c r="C608" s="91">
        <f>IF('Deal maths'!V608="","",IF('Deal maths'!AC608="","Maturity",'Deal maths'!AC608))</f>
        <v/>
      </c>
      <c r="D608" s="108">
        <f>IF(OR(C608="EIP",C608="Annuity"),IF('Deal maths'!AD608="Annual",12,IF('Deal maths'!AD608="Quarterly",3,6)),0)</f>
        <v/>
      </c>
      <c r="E608" s="109">
        <f>IFERROR(IF(D608=0,0,IF('Deal maths'!AE608&gt;0,IF('Deal maths'!AE608&gt;'Deal maths'!AA608,'Deal maths'!AA608,'Deal maths'!AE608),IF(IF(DAY('Deal maths'!AA608+1)=1,EOMONTH('Deal maths'!AA608,-(INT(((YEAR('Deal maths'!AA608)-YEAR(IF('Deal maths'!Z608&gt;0,'Deal maths'!Z608,DATE(1990,1,1))))*12+MONTH('Deal maths'!AA608)-MONTH(IF('Deal maths'!Z608&gt;0,'Deal maths'!Z608,DATE(1990,1,1))))/D608))*D608),EDATE('Deal maths'!AA608,-(INT(((YEAR('Deal maths'!AA608)-YEAR(IF('Deal maths'!Z608&gt;0,'Deal maths'!Z608,DATE(1990,1,1))))*12+MONTH('Deal maths'!AA608)-MONTH(IF('Deal maths'!Z608&gt;0,'Deal maths'!Z608,DATE(1990,1,1))))/D608))*D608))&gt;IF('Deal maths'!Z608&gt;0,'Deal maths'!Z608,DATE(1990,1,1)),IF(DAY('Deal maths'!AA608+1)=1,EOMONTH('Deal maths'!AA608,-(INT(((YEAR('Deal maths'!AA608)-YEAR(IF('Deal maths'!Z608&gt;0,'Deal maths'!Z608,DATE(1990,1,1))))*12+MONTH('Deal maths'!AA608)-MONTH(IF('Deal maths'!Z608&gt;0,'Deal maths'!Z608,DATE(1990,1,1))))/D608))*D608),EDATE('Deal maths'!AA608,-(INT(((YEAR('Deal maths'!AA608)-YEAR(IF('Deal maths'!Z608&gt;0,'Deal maths'!Z608,DATE(1990,1,1))))*12+MONTH('Deal maths'!AA608)-MONTH(IF('Deal maths'!Z608&gt;0,'Deal maths'!Z608,DATE(1990,1,1))))/D608))*D608)),IF(DAY('Deal maths'!AA608+1)=1,EOMONTH('Deal maths'!AA608,-(INT(((YEAR('Deal maths'!AA608)-YEAR(IF('Deal maths'!Z608&gt;0,'Deal maths'!Z608,DATE(1990,1,1))))*12+MONTH('Deal maths'!AA608)-MONTH(IF('Deal maths'!Z608&gt;0,'Deal maths'!Z608,DATE(1990,1,1))))/D608)-1)*D608),EDATE('Deal maths'!AA608,-(INT(((YEAR('Deal maths'!AA608)-YEAR(IF('Deal maths'!Z608&gt;0,'Deal maths'!Z608,DATE(1990,1,1))))*12+MONTH('Deal maths'!AA608)-MONTH(IF('Deal maths'!Z608&gt;0,'Deal maths'!Z608,DATE(1990,1,1))))/D608)-1)*D608))))),0)</f>
        <v/>
      </c>
      <c r="F608" s="110">
        <f>IF(D608=0,0,'Deal maths'!AB608*D608/12)</f>
        <v/>
      </c>
      <c r="G608" s="108">
        <f>N608+O608</f>
        <v/>
      </c>
      <c r="H608" s="108">
        <f>IFERROR(IF(OR(D608=0,AsAt&lt;E608),0,MIN(N608,INT(((YEAR(AsAt)-YEAR(E608))*12+MONTH(AsAt)-MONTH(E608)-(DAY(AsAt)&lt;MIN(R608,DAY(EOMONTH(AsAt,0)))))/D608)+1)+O608*(AsAt&gt;='Deal maths'!AA608)),0)</f>
        <v/>
      </c>
      <c r="I608" s="108">
        <f>G608-H608</f>
        <v/>
      </c>
      <c r="J608" s="111">
        <f>IF(AND(C608="EIP",I608&gt;0),'Deal maths'!Y608/I608,0)</f>
        <v/>
      </c>
      <c r="K608" s="111">
        <f>IF(AND(C608="Annuity",I608&gt;0),IF(F608&gt;0,'Deal maths'!Y608*F608/(1-(1+F608)^-I608),'Deal maths'!Y608/I608),0)</f>
        <v/>
      </c>
      <c r="L608" s="111">
        <f>IF('Deal maths'!Y608="",0,'Deal maths'!Y608)</f>
        <v/>
      </c>
      <c r="M608" s="112">
        <f>F608+(F608=0)</f>
        <v/>
      </c>
      <c r="N608" s="108">
        <f>IFERROR(IF(D608=0,0,INT(((YEAR('Deal maths'!AA608)-YEAR(E608))*12+MONTH('Deal maths'!AA608)-MONTH(E608)-(DAY('Deal maths'!AA608)&lt;MIN(R608,DAY(EOMONTH('Deal maths'!AA608,0)))))/D608)+1),0)</f>
        <v/>
      </c>
      <c r="O608" s="108">
        <f>IFERROR(IF(D608=0,0,IF(IF(DAY(E608+1)=1,EOMONTH(E608,(N608-1)*D608),EDATE(E608,(N608-1)*D608))='Deal maths'!AA608,0,1)),0)</f>
        <v/>
      </c>
      <c r="P608" s="113">
        <f>IF(B608=0,0,IFERROR(IF(C608="EIP",((I608-O608)*((IF(DAY(E608+1)=1,EOMONTH(E608,H608*D608),EDATE(E608,H608*D608))-AsAt)/365.25+(IF(DAY(E608+1)=1,EOMONTH(E608,(N608-1)*D608),EDATE(E608,(N608-1)*D608))-AsAt)/365.25)/2+O608*('Deal maths'!AA608-AsAt)/365.25)/I608,IF(C608="Annuity",IF(F608&gt;0,((K608-L608*F608)*((IF(DAY(E608+1)=1,EOMONTH(E608,H608*D608),EDATE(E608,H608*D608))-AsAt)/365.25*((1+F608)^(I608-O608)-1)/F608+IF((I608-O608)&gt;1,((IF(DAY(E608+1)=1,EOMONTH(E608,(N608-1)*D608),EDATE(E608,(N608-1)*D608))-AsAt)/365.25-(IF(DAY(E608+1)=1,EOMONTH(E608,H608*D608),EDATE(E608,H608*D608))-AsAt)/365.25)/((I608-O608)-1),0)*(1+F608)*(1-(I608-O608)*(1+F608)^((I608-O608)-1)+((I608-O608)-1)*(1+F608)^(I608-O608))/F608^2)+O608*(K608-L608*F608)*(1+F608)^(I608-1)*('Deal maths'!AA608-AsAt)/365.25)/L608,((I608-O608)*((IF(DAY(E608+1)=1,EOMONTH(E608,H608*D608),EDATE(E608,H608*D608))-AsAt)/365.25+(IF(DAY(E608+1)=1,EOMONTH(E608,(N608-1)*D608),EDATE(E608,(N608-1)*D608))-AsAt)/365.25)/2+O608*('Deal maths'!AA608-AsAt)/365.25)/I608),(S608-AsAt)/365.25)),0))</f>
        <v/>
      </c>
      <c r="Q608" s="109">
        <f>IF(B608=1,'Deal maths'!AA608+ROW()/1000000,"")</f>
        <v/>
      </c>
      <c r="R608" s="108">
        <f>IF(D608=0,0,IF(DAY(E608+1)=1,31,DAY(E608)))</f>
        <v/>
      </c>
      <c r="S608" s="109">
        <f>IF(AND('Deal maths'!V608="LOBO",'Deal maths'!AG608&gt;AsAt,'Deal maths'!AG608&lt;'Deal maths'!AA608),'Deal maths'!AG608,'Deal maths'!AA608)</f>
        <v/>
      </c>
      <c r="T608" s="108">
        <f>('Deal maths'!AA608&gt;AsAt)*('Deal maths'!Y608&gt;0)</f>
        <v/>
      </c>
    </row>
    <row r="609">
      <c r="A609" s="91">
        <f>IF('Deal maths'!V609="","",'Deal maths'!W609)</f>
        <v/>
      </c>
      <c r="B609" s="108">
        <f>('Deal maths'!AA609&gt;AsAt)*('Deal maths'!Y609&gt;0)*('Deal maths'!Z609&lt;=AsAt)</f>
        <v/>
      </c>
      <c r="C609" s="91">
        <f>IF('Deal maths'!V609="","",IF('Deal maths'!AC609="","Maturity",'Deal maths'!AC609))</f>
        <v/>
      </c>
      <c r="D609" s="108">
        <f>IF(OR(C609="EIP",C609="Annuity"),IF('Deal maths'!AD609="Annual",12,IF('Deal maths'!AD609="Quarterly",3,6)),0)</f>
        <v/>
      </c>
      <c r="E609" s="109">
        <f>IFERROR(IF(D609=0,0,IF('Deal maths'!AE609&gt;0,IF('Deal maths'!AE609&gt;'Deal maths'!AA609,'Deal maths'!AA609,'Deal maths'!AE609),IF(IF(DAY('Deal maths'!AA609+1)=1,EOMONTH('Deal maths'!AA609,-(INT(((YEAR('Deal maths'!AA609)-YEAR(IF('Deal maths'!Z609&gt;0,'Deal maths'!Z609,DATE(1990,1,1))))*12+MONTH('Deal maths'!AA609)-MONTH(IF('Deal maths'!Z609&gt;0,'Deal maths'!Z609,DATE(1990,1,1))))/D609))*D609),EDATE('Deal maths'!AA609,-(INT(((YEAR('Deal maths'!AA609)-YEAR(IF('Deal maths'!Z609&gt;0,'Deal maths'!Z609,DATE(1990,1,1))))*12+MONTH('Deal maths'!AA609)-MONTH(IF('Deal maths'!Z609&gt;0,'Deal maths'!Z609,DATE(1990,1,1))))/D609))*D609))&gt;IF('Deal maths'!Z609&gt;0,'Deal maths'!Z609,DATE(1990,1,1)),IF(DAY('Deal maths'!AA609+1)=1,EOMONTH('Deal maths'!AA609,-(INT(((YEAR('Deal maths'!AA609)-YEAR(IF('Deal maths'!Z609&gt;0,'Deal maths'!Z609,DATE(1990,1,1))))*12+MONTH('Deal maths'!AA609)-MONTH(IF('Deal maths'!Z609&gt;0,'Deal maths'!Z609,DATE(1990,1,1))))/D609))*D609),EDATE('Deal maths'!AA609,-(INT(((YEAR('Deal maths'!AA609)-YEAR(IF('Deal maths'!Z609&gt;0,'Deal maths'!Z609,DATE(1990,1,1))))*12+MONTH('Deal maths'!AA609)-MONTH(IF('Deal maths'!Z609&gt;0,'Deal maths'!Z609,DATE(1990,1,1))))/D609))*D609)),IF(DAY('Deal maths'!AA609+1)=1,EOMONTH('Deal maths'!AA609,-(INT(((YEAR('Deal maths'!AA609)-YEAR(IF('Deal maths'!Z609&gt;0,'Deal maths'!Z609,DATE(1990,1,1))))*12+MONTH('Deal maths'!AA609)-MONTH(IF('Deal maths'!Z609&gt;0,'Deal maths'!Z609,DATE(1990,1,1))))/D609)-1)*D609),EDATE('Deal maths'!AA609,-(INT(((YEAR('Deal maths'!AA609)-YEAR(IF('Deal maths'!Z609&gt;0,'Deal maths'!Z609,DATE(1990,1,1))))*12+MONTH('Deal maths'!AA609)-MONTH(IF('Deal maths'!Z609&gt;0,'Deal maths'!Z609,DATE(1990,1,1))))/D609)-1)*D609))))),0)</f>
        <v/>
      </c>
      <c r="F609" s="110">
        <f>IF(D609=0,0,'Deal maths'!AB609*D609/12)</f>
        <v/>
      </c>
      <c r="G609" s="108">
        <f>N609+O609</f>
        <v/>
      </c>
      <c r="H609" s="108">
        <f>IFERROR(IF(OR(D609=0,AsAt&lt;E609),0,MIN(N609,INT(((YEAR(AsAt)-YEAR(E609))*12+MONTH(AsAt)-MONTH(E609)-(DAY(AsAt)&lt;MIN(R609,DAY(EOMONTH(AsAt,0)))))/D609)+1)+O609*(AsAt&gt;='Deal maths'!AA609)),0)</f>
        <v/>
      </c>
      <c r="I609" s="108">
        <f>G609-H609</f>
        <v/>
      </c>
      <c r="J609" s="111">
        <f>IF(AND(C609="EIP",I609&gt;0),'Deal maths'!Y609/I609,0)</f>
        <v/>
      </c>
      <c r="K609" s="111">
        <f>IF(AND(C609="Annuity",I609&gt;0),IF(F609&gt;0,'Deal maths'!Y609*F609/(1-(1+F609)^-I609),'Deal maths'!Y609/I609),0)</f>
        <v/>
      </c>
      <c r="L609" s="111">
        <f>IF('Deal maths'!Y609="",0,'Deal maths'!Y609)</f>
        <v/>
      </c>
      <c r="M609" s="112">
        <f>F609+(F609=0)</f>
        <v/>
      </c>
      <c r="N609" s="108">
        <f>IFERROR(IF(D609=0,0,INT(((YEAR('Deal maths'!AA609)-YEAR(E609))*12+MONTH('Deal maths'!AA609)-MONTH(E609)-(DAY('Deal maths'!AA609)&lt;MIN(R609,DAY(EOMONTH('Deal maths'!AA609,0)))))/D609)+1),0)</f>
        <v/>
      </c>
      <c r="O609" s="108">
        <f>IFERROR(IF(D609=0,0,IF(IF(DAY(E609+1)=1,EOMONTH(E609,(N609-1)*D609),EDATE(E609,(N609-1)*D609))='Deal maths'!AA609,0,1)),0)</f>
        <v/>
      </c>
      <c r="P609" s="113">
        <f>IF(B609=0,0,IFERROR(IF(C609="EIP",((I609-O609)*((IF(DAY(E609+1)=1,EOMONTH(E609,H609*D609),EDATE(E609,H609*D609))-AsAt)/365.25+(IF(DAY(E609+1)=1,EOMONTH(E609,(N609-1)*D609),EDATE(E609,(N609-1)*D609))-AsAt)/365.25)/2+O609*('Deal maths'!AA609-AsAt)/365.25)/I609,IF(C609="Annuity",IF(F609&gt;0,((K609-L609*F609)*((IF(DAY(E609+1)=1,EOMONTH(E609,H609*D609),EDATE(E609,H609*D609))-AsAt)/365.25*((1+F609)^(I609-O609)-1)/F609+IF((I609-O609)&gt;1,((IF(DAY(E609+1)=1,EOMONTH(E609,(N609-1)*D609),EDATE(E609,(N609-1)*D609))-AsAt)/365.25-(IF(DAY(E609+1)=1,EOMONTH(E609,H609*D609),EDATE(E609,H609*D609))-AsAt)/365.25)/((I609-O609)-1),0)*(1+F609)*(1-(I609-O609)*(1+F609)^((I609-O609)-1)+((I609-O609)-1)*(1+F609)^(I609-O609))/F609^2)+O609*(K609-L609*F609)*(1+F609)^(I609-1)*('Deal maths'!AA609-AsAt)/365.25)/L609,((I609-O609)*((IF(DAY(E609+1)=1,EOMONTH(E609,H609*D609),EDATE(E609,H609*D609))-AsAt)/365.25+(IF(DAY(E609+1)=1,EOMONTH(E609,(N609-1)*D609),EDATE(E609,(N609-1)*D609))-AsAt)/365.25)/2+O609*('Deal maths'!AA609-AsAt)/365.25)/I609),(S609-AsAt)/365.25)),0))</f>
        <v/>
      </c>
      <c r="Q609" s="109">
        <f>IF(B609=1,'Deal maths'!AA609+ROW()/1000000,"")</f>
        <v/>
      </c>
      <c r="R609" s="108">
        <f>IF(D609=0,0,IF(DAY(E609+1)=1,31,DAY(E609)))</f>
        <v/>
      </c>
      <c r="S609" s="109">
        <f>IF(AND('Deal maths'!V609="LOBO",'Deal maths'!AG609&gt;AsAt,'Deal maths'!AG609&lt;'Deal maths'!AA609),'Deal maths'!AG609,'Deal maths'!AA609)</f>
        <v/>
      </c>
      <c r="T609" s="108">
        <f>('Deal maths'!AA609&gt;AsAt)*('Deal maths'!Y609&gt;0)</f>
        <v/>
      </c>
    </row>
    <row r="610">
      <c r="A610" s="91">
        <f>IF('Deal maths'!V610="","",'Deal maths'!W610)</f>
        <v/>
      </c>
      <c r="B610" s="108">
        <f>('Deal maths'!AA610&gt;AsAt)*('Deal maths'!Y610&gt;0)*('Deal maths'!Z610&lt;=AsAt)</f>
        <v/>
      </c>
      <c r="C610" s="91">
        <f>IF('Deal maths'!V610="","",IF('Deal maths'!AC610="","Maturity",'Deal maths'!AC610))</f>
        <v/>
      </c>
      <c r="D610" s="108">
        <f>IF(OR(C610="EIP",C610="Annuity"),IF('Deal maths'!AD610="Annual",12,IF('Deal maths'!AD610="Quarterly",3,6)),0)</f>
        <v/>
      </c>
      <c r="E610" s="109">
        <f>IFERROR(IF(D610=0,0,IF('Deal maths'!AE610&gt;0,IF('Deal maths'!AE610&gt;'Deal maths'!AA610,'Deal maths'!AA610,'Deal maths'!AE610),IF(IF(DAY('Deal maths'!AA610+1)=1,EOMONTH('Deal maths'!AA610,-(INT(((YEAR('Deal maths'!AA610)-YEAR(IF('Deal maths'!Z610&gt;0,'Deal maths'!Z610,DATE(1990,1,1))))*12+MONTH('Deal maths'!AA610)-MONTH(IF('Deal maths'!Z610&gt;0,'Deal maths'!Z610,DATE(1990,1,1))))/D610))*D610),EDATE('Deal maths'!AA610,-(INT(((YEAR('Deal maths'!AA610)-YEAR(IF('Deal maths'!Z610&gt;0,'Deal maths'!Z610,DATE(1990,1,1))))*12+MONTH('Deal maths'!AA610)-MONTH(IF('Deal maths'!Z610&gt;0,'Deal maths'!Z610,DATE(1990,1,1))))/D610))*D610))&gt;IF('Deal maths'!Z610&gt;0,'Deal maths'!Z610,DATE(1990,1,1)),IF(DAY('Deal maths'!AA610+1)=1,EOMONTH('Deal maths'!AA610,-(INT(((YEAR('Deal maths'!AA610)-YEAR(IF('Deal maths'!Z610&gt;0,'Deal maths'!Z610,DATE(1990,1,1))))*12+MONTH('Deal maths'!AA610)-MONTH(IF('Deal maths'!Z610&gt;0,'Deal maths'!Z610,DATE(1990,1,1))))/D610))*D610),EDATE('Deal maths'!AA610,-(INT(((YEAR('Deal maths'!AA610)-YEAR(IF('Deal maths'!Z610&gt;0,'Deal maths'!Z610,DATE(1990,1,1))))*12+MONTH('Deal maths'!AA610)-MONTH(IF('Deal maths'!Z610&gt;0,'Deal maths'!Z610,DATE(1990,1,1))))/D610))*D610)),IF(DAY('Deal maths'!AA610+1)=1,EOMONTH('Deal maths'!AA610,-(INT(((YEAR('Deal maths'!AA610)-YEAR(IF('Deal maths'!Z610&gt;0,'Deal maths'!Z610,DATE(1990,1,1))))*12+MONTH('Deal maths'!AA610)-MONTH(IF('Deal maths'!Z610&gt;0,'Deal maths'!Z610,DATE(1990,1,1))))/D610)-1)*D610),EDATE('Deal maths'!AA610,-(INT(((YEAR('Deal maths'!AA610)-YEAR(IF('Deal maths'!Z610&gt;0,'Deal maths'!Z610,DATE(1990,1,1))))*12+MONTH('Deal maths'!AA610)-MONTH(IF('Deal maths'!Z610&gt;0,'Deal maths'!Z610,DATE(1990,1,1))))/D610)-1)*D610))))),0)</f>
        <v/>
      </c>
      <c r="F610" s="110">
        <f>IF(D610=0,0,'Deal maths'!AB610*D610/12)</f>
        <v/>
      </c>
      <c r="G610" s="108">
        <f>N610+O610</f>
        <v/>
      </c>
      <c r="H610" s="108">
        <f>IFERROR(IF(OR(D610=0,AsAt&lt;E610),0,MIN(N610,INT(((YEAR(AsAt)-YEAR(E610))*12+MONTH(AsAt)-MONTH(E610)-(DAY(AsAt)&lt;MIN(R610,DAY(EOMONTH(AsAt,0)))))/D610)+1)+O610*(AsAt&gt;='Deal maths'!AA610)),0)</f>
        <v/>
      </c>
      <c r="I610" s="108">
        <f>G610-H610</f>
        <v/>
      </c>
      <c r="J610" s="111">
        <f>IF(AND(C610="EIP",I610&gt;0),'Deal maths'!Y610/I610,0)</f>
        <v/>
      </c>
      <c r="K610" s="111">
        <f>IF(AND(C610="Annuity",I610&gt;0),IF(F610&gt;0,'Deal maths'!Y610*F610/(1-(1+F610)^-I610),'Deal maths'!Y610/I610),0)</f>
        <v/>
      </c>
      <c r="L610" s="111">
        <f>IF('Deal maths'!Y610="",0,'Deal maths'!Y610)</f>
        <v/>
      </c>
      <c r="M610" s="112">
        <f>F610+(F610=0)</f>
        <v/>
      </c>
      <c r="N610" s="108">
        <f>IFERROR(IF(D610=0,0,INT(((YEAR('Deal maths'!AA610)-YEAR(E610))*12+MONTH('Deal maths'!AA610)-MONTH(E610)-(DAY('Deal maths'!AA610)&lt;MIN(R610,DAY(EOMONTH('Deal maths'!AA610,0)))))/D610)+1),0)</f>
        <v/>
      </c>
      <c r="O610" s="108">
        <f>IFERROR(IF(D610=0,0,IF(IF(DAY(E610+1)=1,EOMONTH(E610,(N610-1)*D610),EDATE(E610,(N610-1)*D610))='Deal maths'!AA610,0,1)),0)</f>
        <v/>
      </c>
      <c r="P610" s="113">
        <f>IF(B610=0,0,IFERROR(IF(C610="EIP",((I610-O610)*((IF(DAY(E610+1)=1,EOMONTH(E610,H610*D610),EDATE(E610,H610*D610))-AsAt)/365.25+(IF(DAY(E610+1)=1,EOMONTH(E610,(N610-1)*D610),EDATE(E610,(N610-1)*D610))-AsAt)/365.25)/2+O610*('Deal maths'!AA610-AsAt)/365.25)/I610,IF(C610="Annuity",IF(F610&gt;0,((K610-L610*F610)*((IF(DAY(E610+1)=1,EOMONTH(E610,H610*D610),EDATE(E610,H610*D610))-AsAt)/365.25*((1+F610)^(I610-O610)-1)/F610+IF((I610-O610)&gt;1,((IF(DAY(E610+1)=1,EOMONTH(E610,(N610-1)*D610),EDATE(E610,(N610-1)*D610))-AsAt)/365.25-(IF(DAY(E610+1)=1,EOMONTH(E610,H610*D610),EDATE(E610,H610*D610))-AsAt)/365.25)/((I610-O610)-1),0)*(1+F610)*(1-(I610-O610)*(1+F610)^((I610-O610)-1)+((I610-O610)-1)*(1+F610)^(I610-O610))/F610^2)+O610*(K610-L610*F610)*(1+F610)^(I610-1)*('Deal maths'!AA610-AsAt)/365.25)/L610,((I610-O610)*((IF(DAY(E610+1)=1,EOMONTH(E610,H610*D610),EDATE(E610,H610*D610))-AsAt)/365.25+(IF(DAY(E610+1)=1,EOMONTH(E610,(N610-1)*D610),EDATE(E610,(N610-1)*D610))-AsAt)/365.25)/2+O610*('Deal maths'!AA610-AsAt)/365.25)/I610),(S610-AsAt)/365.25)),0))</f>
        <v/>
      </c>
      <c r="Q610" s="109">
        <f>IF(B610=1,'Deal maths'!AA610+ROW()/1000000,"")</f>
        <v/>
      </c>
      <c r="R610" s="108">
        <f>IF(D610=0,0,IF(DAY(E610+1)=1,31,DAY(E610)))</f>
        <v/>
      </c>
      <c r="S610" s="109">
        <f>IF(AND('Deal maths'!V610="LOBO",'Deal maths'!AG610&gt;AsAt,'Deal maths'!AG610&lt;'Deal maths'!AA610),'Deal maths'!AG610,'Deal maths'!AA610)</f>
        <v/>
      </c>
      <c r="T610" s="108">
        <f>('Deal maths'!AA610&gt;AsAt)*('Deal maths'!Y610&gt;0)</f>
        <v/>
      </c>
    </row>
    <row r="611">
      <c r="A611" s="91">
        <f>IF('Deal maths'!V611="","",'Deal maths'!W611)</f>
        <v/>
      </c>
      <c r="B611" s="108">
        <f>('Deal maths'!AA611&gt;AsAt)*('Deal maths'!Y611&gt;0)*('Deal maths'!Z611&lt;=AsAt)</f>
        <v/>
      </c>
      <c r="C611" s="91">
        <f>IF('Deal maths'!V611="","",IF('Deal maths'!AC611="","Maturity",'Deal maths'!AC611))</f>
        <v/>
      </c>
      <c r="D611" s="108">
        <f>IF(OR(C611="EIP",C611="Annuity"),IF('Deal maths'!AD611="Annual",12,IF('Deal maths'!AD611="Quarterly",3,6)),0)</f>
        <v/>
      </c>
      <c r="E611" s="109">
        <f>IFERROR(IF(D611=0,0,IF('Deal maths'!AE611&gt;0,IF('Deal maths'!AE611&gt;'Deal maths'!AA611,'Deal maths'!AA611,'Deal maths'!AE611),IF(IF(DAY('Deal maths'!AA611+1)=1,EOMONTH('Deal maths'!AA611,-(INT(((YEAR('Deal maths'!AA611)-YEAR(IF('Deal maths'!Z611&gt;0,'Deal maths'!Z611,DATE(1990,1,1))))*12+MONTH('Deal maths'!AA611)-MONTH(IF('Deal maths'!Z611&gt;0,'Deal maths'!Z611,DATE(1990,1,1))))/D611))*D611),EDATE('Deal maths'!AA611,-(INT(((YEAR('Deal maths'!AA611)-YEAR(IF('Deal maths'!Z611&gt;0,'Deal maths'!Z611,DATE(1990,1,1))))*12+MONTH('Deal maths'!AA611)-MONTH(IF('Deal maths'!Z611&gt;0,'Deal maths'!Z611,DATE(1990,1,1))))/D611))*D611))&gt;IF('Deal maths'!Z611&gt;0,'Deal maths'!Z611,DATE(1990,1,1)),IF(DAY('Deal maths'!AA611+1)=1,EOMONTH('Deal maths'!AA611,-(INT(((YEAR('Deal maths'!AA611)-YEAR(IF('Deal maths'!Z611&gt;0,'Deal maths'!Z611,DATE(1990,1,1))))*12+MONTH('Deal maths'!AA611)-MONTH(IF('Deal maths'!Z611&gt;0,'Deal maths'!Z611,DATE(1990,1,1))))/D611))*D611),EDATE('Deal maths'!AA611,-(INT(((YEAR('Deal maths'!AA611)-YEAR(IF('Deal maths'!Z611&gt;0,'Deal maths'!Z611,DATE(1990,1,1))))*12+MONTH('Deal maths'!AA611)-MONTH(IF('Deal maths'!Z611&gt;0,'Deal maths'!Z611,DATE(1990,1,1))))/D611))*D611)),IF(DAY('Deal maths'!AA611+1)=1,EOMONTH('Deal maths'!AA611,-(INT(((YEAR('Deal maths'!AA611)-YEAR(IF('Deal maths'!Z611&gt;0,'Deal maths'!Z611,DATE(1990,1,1))))*12+MONTH('Deal maths'!AA611)-MONTH(IF('Deal maths'!Z611&gt;0,'Deal maths'!Z611,DATE(1990,1,1))))/D611)-1)*D611),EDATE('Deal maths'!AA611,-(INT(((YEAR('Deal maths'!AA611)-YEAR(IF('Deal maths'!Z611&gt;0,'Deal maths'!Z611,DATE(1990,1,1))))*12+MONTH('Deal maths'!AA611)-MONTH(IF('Deal maths'!Z611&gt;0,'Deal maths'!Z611,DATE(1990,1,1))))/D611)-1)*D611))))),0)</f>
        <v/>
      </c>
      <c r="F611" s="110">
        <f>IF(D611=0,0,'Deal maths'!AB611*D611/12)</f>
        <v/>
      </c>
      <c r="G611" s="108">
        <f>N611+O611</f>
        <v/>
      </c>
      <c r="H611" s="108">
        <f>IFERROR(IF(OR(D611=0,AsAt&lt;E611),0,MIN(N611,INT(((YEAR(AsAt)-YEAR(E611))*12+MONTH(AsAt)-MONTH(E611)-(DAY(AsAt)&lt;MIN(R611,DAY(EOMONTH(AsAt,0)))))/D611)+1)+O611*(AsAt&gt;='Deal maths'!AA611)),0)</f>
        <v/>
      </c>
      <c r="I611" s="108">
        <f>G611-H611</f>
        <v/>
      </c>
      <c r="J611" s="111">
        <f>IF(AND(C611="EIP",I611&gt;0),'Deal maths'!Y611/I611,0)</f>
        <v/>
      </c>
      <c r="K611" s="111">
        <f>IF(AND(C611="Annuity",I611&gt;0),IF(F611&gt;0,'Deal maths'!Y611*F611/(1-(1+F611)^-I611),'Deal maths'!Y611/I611),0)</f>
        <v/>
      </c>
      <c r="L611" s="111">
        <f>IF('Deal maths'!Y611="",0,'Deal maths'!Y611)</f>
        <v/>
      </c>
      <c r="M611" s="112">
        <f>F611+(F611=0)</f>
        <v/>
      </c>
      <c r="N611" s="108">
        <f>IFERROR(IF(D611=0,0,INT(((YEAR('Deal maths'!AA611)-YEAR(E611))*12+MONTH('Deal maths'!AA611)-MONTH(E611)-(DAY('Deal maths'!AA611)&lt;MIN(R611,DAY(EOMONTH('Deal maths'!AA611,0)))))/D611)+1),0)</f>
        <v/>
      </c>
      <c r="O611" s="108">
        <f>IFERROR(IF(D611=0,0,IF(IF(DAY(E611+1)=1,EOMONTH(E611,(N611-1)*D611),EDATE(E611,(N611-1)*D611))='Deal maths'!AA611,0,1)),0)</f>
        <v/>
      </c>
      <c r="P611" s="113">
        <f>IF(B611=0,0,IFERROR(IF(C611="EIP",((I611-O611)*((IF(DAY(E611+1)=1,EOMONTH(E611,H611*D611),EDATE(E611,H611*D611))-AsAt)/365.25+(IF(DAY(E611+1)=1,EOMONTH(E611,(N611-1)*D611),EDATE(E611,(N611-1)*D611))-AsAt)/365.25)/2+O611*('Deal maths'!AA611-AsAt)/365.25)/I611,IF(C611="Annuity",IF(F611&gt;0,((K611-L611*F611)*((IF(DAY(E611+1)=1,EOMONTH(E611,H611*D611),EDATE(E611,H611*D611))-AsAt)/365.25*((1+F611)^(I611-O611)-1)/F611+IF((I611-O611)&gt;1,((IF(DAY(E611+1)=1,EOMONTH(E611,(N611-1)*D611),EDATE(E611,(N611-1)*D611))-AsAt)/365.25-(IF(DAY(E611+1)=1,EOMONTH(E611,H611*D611),EDATE(E611,H611*D611))-AsAt)/365.25)/((I611-O611)-1),0)*(1+F611)*(1-(I611-O611)*(1+F611)^((I611-O611)-1)+((I611-O611)-1)*(1+F611)^(I611-O611))/F611^2)+O611*(K611-L611*F611)*(1+F611)^(I611-1)*('Deal maths'!AA611-AsAt)/365.25)/L611,((I611-O611)*((IF(DAY(E611+1)=1,EOMONTH(E611,H611*D611),EDATE(E611,H611*D611))-AsAt)/365.25+(IF(DAY(E611+1)=1,EOMONTH(E611,(N611-1)*D611),EDATE(E611,(N611-1)*D611))-AsAt)/365.25)/2+O611*('Deal maths'!AA611-AsAt)/365.25)/I611),(S611-AsAt)/365.25)),0))</f>
        <v/>
      </c>
      <c r="Q611" s="109">
        <f>IF(B611=1,'Deal maths'!AA611+ROW()/1000000,"")</f>
        <v/>
      </c>
      <c r="R611" s="108">
        <f>IF(D611=0,0,IF(DAY(E611+1)=1,31,DAY(E611)))</f>
        <v/>
      </c>
      <c r="S611" s="109">
        <f>IF(AND('Deal maths'!V611="LOBO",'Deal maths'!AG611&gt;AsAt,'Deal maths'!AG611&lt;'Deal maths'!AA611),'Deal maths'!AG611,'Deal maths'!AA611)</f>
        <v/>
      </c>
      <c r="T611" s="108">
        <f>('Deal maths'!AA611&gt;AsAt)*('Deal maths'!Y611&gt;0)</f>
        <v/>
      </c>
    </row>
    <row r="612">
      <c r="A612" s="91">
        <f>IF('Deal maths'!V612="","",'Deal maths'!W612)</f>
        <v/>
      </c>
      <c r="B612" s="108">
        <f>('Deal maths'!AA612&gt;AsAt)*('Deal maths'!Y612&gt;0)*('Deal maths'!Z612&lt;=AsAt)</f>
        <v/>
      </c>
      <c r="C612" s="91">
        <f>IF('Deal maths'!V612="","",IF('Deal maths'!AC612="","Maturity",'Deal maths'!AC612))</f>
        <v/>
      </c>
      <c r="D612" s="108">
        <f>IF(OR(C612="EIP",C612="Annuity"),IF('Deal maths'!AD612="Annual",12,IF('Deal maths'!AD612="Quarterly",3,6)),0)</f>
        <v/>
      </c>
      <c r="E612" s="109">
        <f>IFERROR(IF(D612=0,0,IF('Deal maths'!AE612&gt;0,IF('Deal maths'!AE612&gt;'Deal maths'!AA612,'Deal maths'!AA612,'Deal maths'!AE612),IF(IF(DAY('Deal maths'!AA612+1)=1,EOMONTH('Deal maths'!AA612,-(INT(((YEAR('Deal maths'!AA612)-YEAR(IF('Deal maths'!Z612&gt;0,'Deal maths'!Z612,DATE(1990,1,1))))*12+MONTH('Deal maths'!AA612)-MONTH(IF('Deal maths'!Z612&gt;0,'Deal maths'!Z612,DATE(1990,1,1))))/D612))*D612),EDATE('Deal maths'!AA612,-(INT(((YEAR('Deal maths'!AA612)-YEAR(IF('Deal maths'!Z612&gt;0,'Deal maths'!Z612,DATE(1990,1,1))))*12+MONTH('Deal maths'!AA612)-MONTH(IF('Deal maths'!Z612&gt;0,'Deal maths'!Z612,DATE(1990,1,1))))/D612))*D612))&gt;IF('Deal maths'!Z612&gt;0,'Deal maths'!Z612,DATE(1990,1,1)),IF(DAY('Deal maths'!AA612+1)=1,EOMONTH('Deal maths'!AA612,-(INT(((YEAR('Deal maths'!AA612)-YEAR(IF('Deal maths'!Z612&gt;0,'Deal maths'!Z612,DATE(1990,1,1))))*12+MONTH('Deal maths'!AA612)-MONTH(IF('Deal maths'!Z612&gt;0,'Deal maths'!Z612,DATE(1990,1,1))))/D612))*D612),EDATE('Deal maths'!AA612,-(INT(((YEAR('Deal maths'!AA612)-YEAR(IF('Deal maths'!Z612&gt;0,'Deal maths'!Z612,DATE(1990,1,1))))*12+MONTH('Deal maths'!AA612)-MONTH(IF('Deal maths'!Z612&gt;0,'Deal maths'!Z612,DATE(1990,1,1))))/D612))*D612)),IF(DAY('Deal maths'!AA612+1)=1,EOMONTH('Deal maths'!AA612,-(INT(((YEAR('Deal maths'!AA612)-YEAR(IF('Deal maths'!Z612&gt;0,'Deal maths'!Z612,DATE(1990,1,1))))*12+MONTH('Deal maths'!AA612)-MONTH(IF('Deal maths'!Z612&gt;0,'Deal maths'!Z612,DATE(1990,1,1))))/D612)-1)*D612),EDATE('Deal maths'!AA612,-(INT(((YEAR('Deal maths'!AA612)-YEAR(IF('Deal maths'!Z612&gt;0,'Deal maths'!Z612,DATE(1990,1,1))))*12+MONTH('Deal maths'!AA612)-MONTH(IF('Deal maths'!Z612&gt;0,'Deal maths'!Z612,DATE(1990,1,1))))/D612)-1)*D612))))),0)</f>
        <v/>
      </c>
      <c r="F612" s="110">
        <f>IF(D612=0,0,'Deal maths'!AB612*D612/12)</f>
        <v/>
      </c>
      <c r="G612" s="108">
        <f>N612+O612</f>
        <v/>
      </c>
      <c r="H612" s="108">
        <f>IFERROR(IF(OR(D612=0,AsAt&lt;E612),0,MIN(N612,INT(((YEAR(AsAt)-YEAR(E612))*12+MONTH(AsAt)-MONTH(E612)-(DAY(AsAt)&lt;MIN(R612,DAY(EOMONTH(AsAt,0)))))/D612)+1)+O612*(AsAt&gt;='Deal maths'!AA612)),0)</f>
        <v/>
      </c>
      <c r="I612" s="108">
        <f>G612-H612</f>
        <v/>
      </c>
      <c r="J612" s="111">
        <f>IF(AND(C612="EIP",I612&gt;0),'Deal maths'!Y612/I612,0)</f>
        <v/>
      </c>
      <c r="K612" s="111">
        <f>IF(AND(C612="Annuity",I612&gt;0),IF(F612&gt;0,'Deal maths'!Y612*F612/(1-(1+F612)^-I612),'Deal maths'!Y612/I612),0)</f>
        <v/>
      </c>
      <c r="L612" s="111">
        <f>IF('Deal maths'!Y612="",0,'Deal maths'!Y612)</f>
        <v/>
      </c>
      <c r="M612" s="112">
        <f>F612+(F612=0)</f>
        <v/>
      </c>
      <c r="N612" s="108">
        <f>IFERROR(IF(D612=0,0,INT(((YEAR('Deal maths'!AA612)-YEAR(E612))*12+MONTH('Deal maths'!AA612)-MONTH(E612)-(DAY('Deal maths'!AA612)&lt;MIN(R612,DAY(EOMONTH('Deal maths'!AA612,0)))))/D612)+1),0)</f>
        <v/>
      </c>
      <c r="O612" s="108">
        <f>IFERROR(IF(D612=0,0,IF(IF(DAY(E612+1)=1,EOMONTH(E612,(N612-1)*D612),EDATE(E612,(N612-1)*D612))='Deal maths'!AA612,0,1)),0)</f>
        <v/>
      </c>
      <c r="P612" s="113">
        <f>IF(B612=0,0,IFERROR(IF(C612="EIP",((I612-O612)*((IF(DAY(E612+1)=1,EOMONTH(E612,H612*D612),EDATE(E612,H612*D612))-AsAt)/365.25+(IF(DAY(E612+1)=1,EOMONTH(E612,(N612-1)*D612),EDATE(E612,(N612-1)*D612))-AsAt)/365.25)/2+O612*('Deal maths'!AA612-AsAt)/365.25)/I612,IF(C612="Annuity",IF(F612&gt;0,((K612-L612*F612)*((IF(DAY(E612+1)=1,EOMONTH(E612,H612*D612),EDATE(E612,H612*D612))-AsAt)/365.25*((1+F612)^(I612-O612)-1)/F612+IF((I612-O612)&gt;1,((IF(DAY(E612+1)=1,EOMONTH(E612,(N612-1)*D612),EDATE(E612,(N612-1)*D612))-AsAt)/365.25-(IF(DAY(E612+1)=1,EOMONTH(E612,H612*D612),EDATE(E612,H612*D612))-AsAt)/365.25)/((I612-O612)-1),0)*(1+F612)*(1-(I612-O612)*(1+F612)^((I612-O612)-1)+((I612-O612)-1)*(1+F612)^(I612-O612))/F612^2)+O612*(K612-L612*F612)*(1+F612)^(I612-1)*('Deal maths'!AA612-AsAt)/365.25)/L612,((I612-O612)*((IF(DAY(E612+1)=1,EOMONTH(E612,H612*D612),EDATE(E612,H612*D612))-AsAt)/365.25+(IF(DAY(E612+1)=1,EOMONTH(E612,(N612-1)*D612),EDATE(E612,(N612-1)*D612))-AsAt)/365.25)/2+O612*('Deal maths'!AA612-AsAt)/365.25)/I612),(S612-AsAt)/365.25)),0))</f>
        <v/>
      </c>
      <c r="Q612" s="109">
        <f>IF(B612=1,'Deal maths'!AA612+ROW()/1000000,"")</f>
        <v/>
      </c>
      <c r="R612" s="108">
        <f>IF(D612=0,0,IF(DAY(E612+1)=1,31,DAY(E612)))</f>
        <v/>
      </c>
      <c r="S612" s="109">
        <f>IF(AND('Deal maths'!V612="LOBO",'Deal maths'!AG612&gt;AsAt,'Deal maths'!AG612&lt;'Deal maths'!AA612),'Deal maths'!AG612,'Deal maths'!AA612)</f>
        <v/>
      </c>
      <c r="T612" s="108">
        <f>('Deal maths'!AA612&gt;AsAt)*('Deal maths'!Y612&gt;0)</f>
        <v/>
      </c>
    </row>
    <row r="613">
      <c r="A613" s="91">
        <f>IF('Deal maths'!V613="","",'Deal maths'!W613)</f>
        <v/>
      </c>
      <c r="B613" s="108">
        <f>('Deal maths'!AA613&gt;AsAt)*('Deal maths'!Y613&gt;0)*('Deal maths'!Z613&lt;=AsAt)</f>
        <v/>
      </c>
      <c r="C613" s="91">
        <f>IF('Deal maths'!V613="","",IF('Deal maths'!AC613="","Maturity",'Deal maths'!AC613))</f>
        <v/>
      </c>
      <c r="D613" s="108">
        <f>IF(OR(C613="EIP",C613="Annuity"),IF('Deal maths'!AD613="Annual",12,IF('Deal maths'!AD613="Quarterly",3,6)),0)</f>
        <v/>
      </c>
      <c r="E613" s="109">
        <f>IFERROR(IF(D613=0,0,IF('Deal maths'!AE613&gt;0,IF('Deal maths'!AE613&gt;'Deal maths'!AA613,'Deal maths'!AA613,'Deal maths'!AE613),IF(IF(DAY('Deal maths'!AA613+1)=1,EOMONTH('Deal maths'!AA613,-(INT(((YEAR('Deal maths'!AA613)-YEAR(IF('Deal maths'!Z613&gt;0,'Deal maths'!Z613,DATE(1990,1,1))))*12+MONTH('Deal maths'!AA613)-MONTH(IF('Deal maths'!Z613&gt;0,'Deal maths'!Z613,DATE(1990,1,1))))/D613))*D613),EDATE('Deal maths'!AA613,-(INT(((YEAR('Deal maths'!AA613)-YEAR(IF('Deal maths'!Z613&gt;0,'Deal maths'!Z613,DATE(1990,1,1))))*12+MONTH('Deal maths'!AA613)-MONTH(IF('Deal maths'!Z613&gt;0,'Deal maths'!Z613,DATE(1990,1,1))))/D613))*D613))&gt;IF('Deal maths'!Z613&gt;0,'Deal maths'!Z613,DATE(1990,1,1)),IF(DAY('Deal maths'!AA613+1)=1,EOMONTH('Deal maths'!AA613,-(INT(((YEAR('Deal maths'!AA613)-YEAR(IF('Deal maths'!Z613&gt;0,'Deal maths'!Z613,DATE(1990,1,1))))*12+MONTH('Deal maths'!AA613)-MONTH(IF('Deal maths'!Z613&gt;0,'Deal maths'!Z613,DATE(1990,1,1))))/D613))*D613),EDATE('Deal maths'!AA613,-(INT(((YEAR('Deal maths'!AA613)-YEAR(IF('Deal maths'!Z613&gt;0,'Deal maths'!Z613,DATE(1990,1,1))))*12+MONTH('Deal maths'!AA613)-MONTH(IF('Deal maths'!Z613&gt;0,'Deal maths'!Z613,DATE(1990,1,1))))/D613))*D613)),IF(DAY('Deal maths'!AA613+1)=1,EOMONTH('Deal maths'!AA613,-(INT(((YEAR('Deal maths'!AA613)-YEAR(IF('Deal maths'!Z613&gt;0,'Deal maths'!Z613,DATE(1990,1,1))))*12+MONTH('Deal maths'!AA613)-MONTH(IF('Deal maths'!Z613&gt;0,'Deal maths'!Z613,DATE(1990,1,1))))/D613)-1)*D613),EDATE('Deal maths'!AA613,-(INT(((YEAR('Deal maths'!AA613)-YEAR(IF('Deal maths'!Z613&gt;0,'Deal maths'!Z613,DATE(1990,1,1))))*12+MONTH('Deal maths'!AA613)-MONTH(IF('Deal maths'!Z613&gt;0,'Deal maths'!Z613,DATE(1990,1,1))))/D613)-1)*D613))))),0)</f>
        <v/>
      </c>
      <c r="F613" s="110">
        <f>IF(D613=0,0,'Deal maths'!AB613*D613/12)</f>
        <v/>
      </c>
      <c r="G613" s="108">
        <f>N613+O613</f>
        <v/>
      </c>
      <c r="H613" s="108">
        <f>IFERROR(IF(OR(D613=0,AsAt&lt;E613),0,MIN(N613,INT(((YEAR(AsAt)-YEAR(E613))*12+MONTH(AsAt)-MONTH(E613)-(DAY(AsAt)&lt;MIN(R613,DAY(EOMONTH(AsAt,0)))))/D613)+1)+O613*(AsAt&gt;='Deal maths'!AA613)),0)</f>
        <v/>
      </c>
      <c r="I613" s="108">
        <f>G613-H613</f>
        <v/>
      </c>
      <c r="J613" s="111">
        <f>IF(AND(C613="EIP",I613&gt;0),'Deal maths'!Y613/I613,0)</f>
        <v/>
      </c>
      <c r="K613" s="111">
        <f>IF(AND(C613="Annuity",I613&gt;0),IF(F613&gt;0,'Deal maths'!Y613*F613/(1-(1+F613)^-I613),'Deal maths'!Y613/I613),0)</f>
        <v/>
      </c>
      <c r="L613" s="111">
        <f>IF('Deal maths'!Y613="",0,'Deal maths'!Y613)</f>
        <v/>
      </c>
      <c r="M613" s="112">
        <f>F613+(F613=0)</f>
        <v/>
      </c>
      <c r="N613" s="108">
        <f>IFERROR(IF(D613=0,0,INT(((YEAR('Deal maths'!AA613)-YEAR(E613))*12+MONTH('Deal maths'!AA613)-MONTH(E613)-(DAY('Deal maths'!AA613)&lt;MIN(R613,DAY(EOMONTH('Deal maths'!AA613,0)))))/D613)+1),0)</f>
        <v/>
      </c>
      <c r="O613" s="108">
        <f>IFERROR(IF(D613=0,0,IF(IF(DAY(E613+1)=1,EOMONTH(E613,(N613-1)*D613),EDATE(E613,(N613-1)*D613))='Deal maths'!AA613,0,1)),0)</f>
        <v/>
      </c>
      <c r="P613" s="113">
        <f>IF(B613=0,0,IFERROR(IF(C613="EIP",((I613-O613)*((IF(DAY(E613+1)=1,EOMONTH(E613,H613*D613),EDATE(E613,H613*D613))-AsAt)/365.25+(IF(DAY(E613+1)=1,EOMONTH(E613,(N613-1)*D613),EDATE(E613,(N613-1)*D613))-AsAt)/365.25)/2+O613*('Deal maths'!AA613-AsAt)/365.25)/I613,IF(C613="Annuity",IF(F613&gt;0,((K613-L613*F613)*((IF(DAY(E613+1)=1,EOMONTH(E613,H613*D613),EDATE(E613,H613*D613))-AsAt)/365.25*((1+F613)^(I613-O613)-1)/F613+IF((I613-O613)&gt;1,((IF(DAY(E613+1)=1,EOMONTH(E613,(N613-1)*D613),EDATE(E613,(N613-1)*D613))-AsAt)/365.25-(IF(DAY(E613+1)=1,EOMONTH(E613,H613*D613),EDATE(E613,H613*D613))-AsAt)/365.25)/((I613-O613)-1),0)*(1+F613)*(1-(I613-O613)*(1+F613)^((I613-O613)-1)+((I613-O613)-1)*(1+F613)^(I613-O613))/F613^2)+O613*(K613-L613*F613)*(1+F613)^(I613-1)*('Deal maths'!AA613-AsAt)/365.25)/L613,((I613-O613)*((IF(DAY(E613+1)=1,EOMONTH(E613,H613*D613),EDATE(E613,H613*D613))-AsAt)/365.25+(IF(DAY(E613+1)=1,EOMONTH(E613,(N613-1)*D613),EDATE(E613,(N613-1)*D613))-AsAt)/365.25)/2+O613*('Deal maths'!AA613-AsAt)/365.25)/I613),(S613-AsAt)/365.25)),0))</f>
        <v/>
      </c>
      <c r="Q613" s="109">
        <f>IF(B613=1,'Deal maths'!AA613+ROW()/1000000,"")</f>
        <v/>
      </c>
      <c r="R613" s="108">
        <f>IF(D613=0,0,IF(DAY(E613+1)=1,31,DAY(E613)))</f>
        <v/>
      </c>
      <c r="S613" s="109">
        <f>IF(AND('Deal maths'!V613="LOBO",'Deal maths'!AG613&gt;AsAt,'Deal maths'!AG613&lt;'Deal maths'!AA613),'Deal maths'!AG613,'Deal maths'!AA613)</f>
        <v/>
      </c>
      <c r="T613" s="108">
        <f>('Deal maths'!AA613&gt;AsAt)*('Deal maths'!Y613&gt;0)</f>
        <v/>
      </c>
    </row>
    <row r="614">
      <c r="A614" s="91">
        <f>IF('Deal maths'!V614="","",'Deal maths'!W614)</f>
        <v/>
      </c>
      <c r="B614" s="108">
        <f>('Deal maths'!AA614&gt;AsAt)*('Deal maths'!Y614&gt;0)*('Deal maths'!Z614&lt;=AsAt)</f>
        <v/>
      </c>
      <c r="C614" s="91">
        <f>IF('Deal maths'!V614="","",IF('Deal maths'!AC614="","Maturity",'Deal maths'!AC614))</f>
        <v/>
      </c>
      <c r="D614" s="108">
        <f>IF(OR(C614="EIP",C614="Annuity"),IF('Deal maths'!AD614="Annual",12,IF('Deal maths'!AD614="Quarterly",3,6)),0)</f>
        <v/>
      </c>
      <c r="E614" s="109">
        <f>IFERROR(IF(D614=0,0,IF('Deal maths'!AE614&gt;0,IF('Deal maths'!AE614&gt;'Deal maths'!AA614,'Deal maths'!AA614,'Deal maths'!AE614),IF(IF(DAY('Deal maths'!AA614+1)=1,EOMONTH('Deal maths'!AA614,-(INT(((YEAR('Deal maths'!AA614)-YEAR(IF('Deal maths'!Z614&gt;0,'Deal maths'!Z614,DATE(1990,1,1))))*12+MONTH('Deal maths'!AA614)-MONTH(IF('Deal maths'!Z614&gt;0,'Deal maths'!Z614,DATE(1990,1,1))))/D614))*D614),EDATE('Deal maths'!AA614,-(INT(((YEAR('Deal maths'!AA614)-YEAR(IF('Deal maths'!Z614&gt;0,'Deal maths'!Z614,DATE(1990,1,1))))*12+MONTH('Deal maths'!AA614)-MONTH(IF('Deal maths'!Z614&gt;0,'Deal maths'!Z614,DATE(1990,1,1))))/D614))*D614))&gt;IF('Deal maths'!Z614&gt;0,'Deal maths'!Z614,DATE(1990,1,1)),IF(DAY('Deal maths'!AA614+1)=1,EOMONTH('Deal maths'!AA614,-(INT(((YEAR('Deal maths'!AA614)-YEAR(IF('Deal maths'!Z614&gt;0,'Deal maths'!Z614,DATE(1990,1,1))))*12+MONTH('Deal maths'!AA614)-MONTH(IF('Deal maths'!Z614&gt;0,'Deal maths'!Z614,DATE(1990,1,1))))/D614))*D614),EDATE('Deal maths'!AA614,-(INT(((YEAR('Deal maths'!AA614)-YEAR(IF('Deal maths'!Z614&gt;0,'Deal maths'!Z614,DATE(1990,1,1))))*12+MONTH('Deal maths'!AA614)-MONTH(IF('Deal maths'!Z614&gt;0,'Deal maths'!Z614,DATE(1990,1,1))))/D614))*D614)),IF(DAY('Deal maths'!AA614+1)=1,EOMONTH('Deal maths'!AA614,-(INT(((YEAR('Deal maths'!AA614)-YEAR(IF('Deal maths'!Z614&gt;0,'Deal maths'!Z614,DATE(1990,1,1))))*12+MONTH('Deal maths'!AA614)-MONTH(IF('Deal maths'!Z614&gt;0,'Deal maths'!Z614,DATE(1990,1,1))))/D614)-1)*D614),EDATE('Deal maths'!AA614,-(INT(((YEAR('Deal maths'!AA614)-YEAR(IF('Deal maths'!Z614&gt;0,'Deal maths'!Z614,DATE(1990,1,1))))*12+MONTH('Deal maths'!AA614)-MONTH(IF('Deal maths'!Z614&gt;0,'Deal maths'!Z614,DATE(1990,1,1))))/D614)-1)*D614))))),0)</f>
        <v/>
      </c>
      <c r="F614" s="110">
        <f>IF(D614=0,0,'Deal maths'!AB614*D614/12)</f>
        <v/>
      </c>
      <c r="G614" s="108">
        <f>N614+O614</f>
        <v/>
      </c>
      <c r="H614" s="108">
        <f>IFERROR(IF(OR(D614=0,AsAt&lt;E614),0,MIN(N614,INT(((YEAR(AsAt)-YEAR(E614))*12+MONTH(AsAt)-MONTH(E614)-(DAY(AsAt)&lt;MIN(R614,DAY(EOMONTH(AsAt,0)))))/D614)+1)+O614*(AsAt&gt;='Deal maths'!AA614)),0)</f>
        <v/>
      </c>
      <c r="I614" s="108">
        <f>G614-H614</f>
        <v/>
      </c>
      <c r="J614" s="111">
        <f>IF(AND(C614="EIP",I614&gt;0),'Deal maths'!Y614/I614,0)</f>
        <v/>
      </c>
      <c r="K614" s="111">
        <f>IF(AND(C614="Annuity",I614&gt;0),IF(F614&gt;0,'Deal maths'!Y614*F614/(1-(1+F614)^-I614),'Deal maths'!Y614/I614),0)</f>
        <v/>
      </c>
      <c r="L614" s="111">
        <f>IF('Deal maths'!Y614="",0,'Deal maths'!Y614)</f>
        <v/>
      </c>
      <c r="M614" s="112">
        <f>F614+(F614=0)</f>
        <v/>
      </c>
      <c r="N614" s="108">
        <f>IFERROR(IF(D614=0,0,INT(((YEAR('Deal maths'!AA614)-YEAR(E614))*12+MONTH('Deal maths'!AA614)-MONTH(E614)-(DAY('Deal maths'!AA614)&lt;MIN(R614,DAY(EOMONTH('Deal maths'!AA614,0)))))/D614)+1),0)</f>
        <v/>
      </c>
      <c r="O614" s="108">
        <f>IFERROR(IF(D614=0,0,IF(IF(DAY(E614+1)=1,EOMONTH(E614,(N614-1)*D614),EDATE(E614,(N614-1)*D614))='Deal maths'!AA614,0,1)),0)</f>
        <v/>
      </c>
      <c r="P614" s="113">
        <f>IF(B614=0,0,IFERROR(IF(C614="EIP",((I614-O614)*((IF(DAY(E614+1)=1,EOMONTH(E614,H614*D614),EDATE(E614,H614*D614))-AsAt)/365.25+(IF(DAY(E614+1)=1,EOMONTH(E614,(N614-1)*D614),EDATE(E614,(N614-1)*D614))-AsAt)/365.25)/2+O614*('Deal maths'!AA614-AsAt)/365.25)/I614,IF(C614="Annuity",IF(F614&gt;0,((K614-L614*F614)*((IF(DAY(E614+1)=1,EOMONTH(E614,H614*D614),EDATE(E614,H614*D614))-AsAt)/365.25*((1+F614)^(I614-O614)-1)/F614+IF((I614-O614)&gt;1,((IF(DAY(E614+1)=1,EOMONTH(E614,(N614-1)*D614),EDATE(E614,(N614-1)*D614))-AsAt)/365.25-(IF(DAY(E614+1)=1,EOMONTH(E614,H614*D614),EDATE(E614,H614*D614))-AsAt)/365.25)/((I614-O614)-1),0)*(1+F614)*(1-(I614-O614)*(1+F614)^((I614-O614)-1)+((I614-O614)-1)*(1+F614)^(I614-O614))/F614^2)+O614*(K614-L614*F614)*(1+F614)^(I614-1)*('Deal maths'!AA614-AsAt)/365.25)/L614,((I614-O614)*((IF(DAY(E614+1)=1,EOMONTH(E614,H614*D614),EDATE(E614,H614*D614))-AsAt)/365.25+(IF(DAY(E614+1)=1,EOMONTH(E614,(N614-1)*D614),EDATE(E614,(N614-1)*D614))-AsAt)/365.25)/2+O614*('Deal maths'!AA614-AsAt)/365.25)/I614),(S614-AsAt)/365.25)),0))</f>
        <v/>
      </c>
      <c r="Q614" s="109">
        <f>IF(B614=1,'Deal maths'!AA614+ROW()/1000000,"")</f>
        <v/>
      </c>
      <c r="R614" s="108">
        <f>IF(D614=0,0,IF(DAY(E614+1)=1,31,DAY(E614)))</f>
        <v/>
      </c>
      <c r="S614" s="109">
        <f>IF(AND('Deal maths'!V614="LOBO",'Deal maths'!AG614&gt;AsAt,'Deal maths'!AG614&lt;'Deal maths'!AA614),'Deal maths'!AG614,'Deal maths'!AA614)</f>
        <v/>
      </c>
      <c r="T614" s="108">
        <f>('Deal maths'!AA614&gt;AsAt)*('Deal maths'!Y614&gt;0)</f>
        <v/>
      </c>
    </row>
    <row r="615">
      <c r="A615" s="91">
        <f>IF('Deal maths'!V615="","",'Deal maths'!W615)</f>
        <v/>
      </c>
      <c r="B615" s="108">
        <f>('Deal maths'!AA615&gt;AsAt)*('Deal maths'!Y615&gt;0)*('Deal maths'!Z615&lt;=AsAt)</f>
        <v/>
      </c>
      <c r="C615" s="91">
        <f>IF('Deal maths'!V615="","",IF('Deal maths'!AC615="","Maturity",'Deal maths'!AC615))</f>
        <v/>
      </c>
      <c r="D615" s="108">
        <f>IF(OR(C615="EIP",C615="Annuity"),IF('Deal maths'!AD615="Annual",12,IF('Deal maths'!AD615="Quarterly",3,6)),0)</f>
        <v/>
      </c>
      <c r="E615" s="109">
        <f>IFERROR(IF(D615=0,0,IF('Deal maths'!AE615&gt;0,IF('Deal maths'!AE615&gt;'Deal maths'!AA615,'Deal maths'!AA615,'Deal maths'!AE615),IF(IF(DAY('Deal maths'!AA615+1)=1,EOMONTH('Deal maths'!AA615,-(INT(((YEAR('Deal maths'!AA615)-YEAR(IF('Deal maths'!Z615&gt;0,'Deal maths'!Z615,DATE(1990,1,1))))*12+MONTH('Deal maths'!AA615)-MONTH(IF('Deal maths'!Z615&gt;0,'Deal maths'!Z615,DATE(1990,1,1))))/D615))*D615),EDATE('Deal maths'!AA615,-(INT(((YEAR('Deal maths'!AA615)-YEAR(IF('Deal maths'!Z615&gt;0,'Deal maths'!Z615,DATE(1990,1,1))))*12+MONTH('Deal maths'!AA615)-MONTH(IF('Deal maths'!Z615&gt;0,'Deal maths'!Z615,DATE(1990,1,1))))/D615))*D615))&gt;IF('Deal maths'!Z615&gt;0,'Deal maths'!Z615,DATE(1990,1,1)),IF(DAY('Deal maths'!AA615+1)=1,EOMONTH('Deal maths'!AA615,-(INT(((YEAR('Deal maths'!AA615)-YEAR(IF('Deal maths'!Z615&gt;0,'Deal maths'!Z615,DATE(1990,1,1))))*12+MONTH('Deal maths'!AA615)-MONTH(IF('Deal maths'!Z615&gt;0,'Deal maths'!Z615,DATE(1990,1,1))))/D615))*D615),EDATE('Deal maths'!AA615,-(INT(((YEAR('Deal maths'!AA615)-YEAR(IF('Deal maths'!Z615&gt;0,'Deal maths'!Z615,DATE(1990,1,1))))*12+MONTH('Deal maths'!AA615)-MONTH(IF('Deal maths'!Z615&gt;0,'Deal maths'!Z615,DATE(1990,1,1))))/D615))*D615)),IF(DAY('Deal maths'!AA615+1)=1,EOMONTH('Deal maths'!AA615,-(INT(((YEAR('Deal maths'!AA615)-YEAR(IF('Deal maths'!Z615&gt;0,'Deal maths'!Z615,DATE(1990,1,1))))*12+MONTH('Deal maths'!AA615)-MONTH(IF('Deal maths'!Z615&gt;0,'Deal maths'!Z615,DATE(1990,1,1))))/D615)-1)*D615),EDATE('Deal maths'!AA615,-(INT(((YEAR('Deal maths'!AA615)-YEAR(IF('Deal maths'!Z615&gt;0,'Deal maths'!Z615,DATE(1990,1,1))))*12+MONTH('Deal maths'!AA615)-MONTH(IF('Deal maths'!Z615&gt;0,'Deal maths'!Z615,DATE(1990,1,1))))/D615)-1)*D615))))),0)</f>
        <v/>
      </c>
      <c r="F615" s="110">
        <f>IF(D615=0,0,'Deal maths'!AB615*D615/12)</f>
        <v/>
      </c>
      <c r="G615" s="108">
        <f>N615+O615</f>
        <v/>
      </c>
      <c r="H615" s="108">
        <f>IFERROR(IF(OR(D615=0,AsAt&lt;E615),0,MIN(N615,INT(((YEAR(AsAt)-YEAR(E615))*12+MONTH(AsAt)-MONTH(E615)-(DAY(AsAt)&lt;MIN(R615,DAY(EOMONTH(AsAt,0)))))/D615)+1)+O615*(AsAt&gt;='Deal maths'!AA615)),0)</f>
        <v/>
      </c>
      <c r="I615" s="108">
        <f>G615-H615</f>
        <v/>
      </c>
      <c r="J615" s="111">
        <f>IF(AND(C615="EIP",I615&gt;0),'Deal maths'!Y615/I615,0)</f>
        <v/>
      </c>
      <c r="K615" s="111">
        <f>IF(AND(C615="Annuity",I615&gt;0),IF(F615&gt;0,'Deal maths'!Y615*F615/(1-(1+F615)^-I615),'Deal maths'!Y615/I615),0)</f>
        <v/>
      </c>
      <c r="L615" s="111">
        <f>IF('Deal maths'!Y615="",0,'Deal maths'!Y615)</f>
        <v/>
      </c>
      <c r="M615" s="112">
        <f>F615+(F615=0)</f>
        <v/>
      </c>
      <c r="N615" s="108">
        <f>IFERROR(IF(D615=0,0,INT(((YEAR('Deal maths'!AA615)-YEAR(E615))*12+MONTH('Deal maths'!AA615)-MONTH(E615)-(DAY('Deal maths'!AA615)&lt;MIN(R615,DAY(EOMONTH('Deal maths'!AA615,0)))))/D615)+1),0)</f>
        <v/>
      </c>
      <c r="O615" s="108">
        <f>IFERROR(IF(D615=0,0,IF(IF(DAY(E615+1)=1,EOMONTH(E615,(N615-1)*D615),EDATE(E615,(N615-1)*D615))='Deal maths'!AA615,0,1)),0)</f>
        <v/>
      </c>
      <c r="P615" s="113">
        <f>IF(B615=0,0,IFERROR(IF(C615="EIP",((I615-O615)*((IF(DAY(E615+1)=1,EOMONTH(E615,H615*D615),EDATE(E615,H615*D615))-AsAt)/365.25+(IF(DAY(E615+1)=1,EOMONTH(E615,(N615-1)*D615),EDATE(E615,(N615-1)*D615))-AsAt)/365.25)/2+O615*('Deal maths'!AA615-AsAt)/365.25)/I615,IF(C615="Annuity",IF(F615&gt;0,((K615-L615*F615)*((IF(DAY(E615+1)=1,EOMONTH(E615,H615*D615),EDATE(E615,H615*D615))-AsAt)/365.25*((1+F615)^(I615-O615)-1)/F615+IF((I615-O615)&gt;1,((IF(DAY(E615+1)=1,EOMONTH(E615,(N615-1)*D615),EDATE(E615,(N615-1)*D615))-AsAt)/365.25-(IF(DAY(E615+1)=1,EOMONTH(E615,H615*D615),EDATE(E615,H615*D615))-AsAt)/365.25)/((I615-O615)-1),0)*(1+F615)*(1-(I615-O615)*(1+F615)^((I615-O615)-1)+((I615-O615)-1)*(1+F615)^(I615-O615))/F615^2)+O615*(K615-L615*F615)*(1+F615)^(I615-1)*('Deal maths'!AA615-AsAt)/365.25)/L615,((I615-O615)*((IF(DAY(E615+1)=1,EOMONTH(E615,H615*D615),EDATE(E615,H615*D615))-AsAt)/365.25+(IF(DAY(E615+1)=1,EOMONTH(E615,(N615-1)*D615),EDATE(E615,(N615-1)*D615))-AsAt)/365.25)/2+O615*('Deal maths'!AA615-AsAt)/365.25)/I615),(S615-AsAt)/365.25)),0))</f>
        <v/>
      </c>
      <c r="Q615" s="109">
        <f>IF(B615=1,'Deal maths'!AA615+ROW()/1000000,"")</f>
        <v/>
      </c>
      <c r="R615" s="108">
        <f>IF(D615=0,0,IF(DAY(E615+1)=1,31,DAY(E615)))</f>
        <v/>
      </c>
      <c r="S615" s="109">
        <f>IF(AND('Deal maths'!V615="LOBO",'Deal maths'!AG615&gt;AsAt,'Deal maths'!AG615&lt;'Deal maths'!AA615),'Deal maths'!AG615,'Deal maths'!AA615)</f>
        <v/>
      </c>
      <c r="T615" s="108">
        <f>('Deal maths'!AA615&gt;AsAt)*('Deal maths'!Y615&gt;0)</f>
        <v/>
      </c>
    </row>
    <row r="616">
      <c r="A616" s="91">
        <f>IF('Deal maths'!V616="","",'Deal maths'!W616)</f>
        <v/>
      </c>
      <c r="B616" s="108">
        <f>('Deal maths'!AA616&gt;AsAt)*('Deal maths'!Y616&gt;0)*('Deal maths'!Z616&lt;=AsAt)</f>
        <v/>
      </c>
      <c r="C616" s="91">
        <f>IF('Deal maths'!V616="","",IF('Deal maths'!AC616="","Maturity",'Deal maths'!AC616))</f>
        <v/>
      </c>
      <c r="D616" s="108">
        <f>IF(OR(C616="EIP",C616="Annuity"),IF('Deal maths'!AD616="Annual",12,IF('Deal maths'!AD616="Quarterly",3,6)),0)</f>
        <v/>
      </c>
      <c r="E616" s="109">
        <f>IFERROR(IF(D616=0,0,IF('Deal maths'!AE616&gt;0,IF('Deal maths'!AE616&gt;'Deal maths'!AA616,'Deal maths'!AA616,'Deal maths'!AE616),IF(IF(DAY('Deal maths'!AA616+1)=1,EOMONTH('Deal maths'!AA616,-(INT(((YEAR('Deal maths'!AA616)-YEAR(IF('Deal maths'!Z616&gt;0,'Deal maths'!Z616,DATE(1990,1,1))))*12+MONTH('Deal maths'!AA616)-MONTH(IF('Deal maths'!Z616&gt;0,'Deal maths'!Z616,DATE(1990,1,1))))/D616))*D616),EDATE('Deal maths'!AA616,-(INT(((YEAR('Deal maths'!AA616)-YEAR(IF('Deal maths'!Z616&gt;0,'Deal maths'!Z616,DATE(1990,1,1))))*12+MONTH('Deal maths'!AA616)-MONTH(IF('Deal maths'!Z616&gt;0,'Deal maths'!Z616,DATE(1990,1,1))))/D616))*D616))&gt;IF('Deal maths'!Z616&gt;0,'Deal maths'!Z616,DATE(1990,1,1)),IF(DAY('Deal maths'!AA616+1)=1,EOMONTH('Deal maths'!AA616,-(INT(((YEAR('Deal maths'!AA616)-YEAR(IF('Deal maths'!Z616&gt;0,'Deal maths'!Z616,DATE(1990,1,1))))*12+MONTH('Deal maths'!AA616)-MONTH(IF('Deal maths'!Z616&gt;0,'Deal maths'!Z616,DATE(1990,1,1))))/D616))*D616),EDATE('Deal maths'!AA616,-(INT(((YEAR('Deal maths'!AA616)-YEAR(IF('Deal maths'!Z616&gt;0,'Deal maths'!Z616,DATE(1990,1,1))))*12+MONTH('Deal maths'!AA616)-MONTH(IF('Deal maths'!Z616&gt;0,'Deal maths'!Z616,DATE(1990,1,1))))/D616))*D616)),IF(DAY('Deal maths'!AA616+1)=1,EOMONTH('Deal maths'!AA616,-(INT(((YEAR('Deal maths'!AA616)-YEAR(IF('Deal maths'!Z616&gt;0,'Deal maths'!Z616,DATE(1990,1,1))))*12+MONTH('Deal maths'!AA616)-MONTH(IF('Deal maths'!Z616&gt;0,'Deal maths'!Z616,DATE(1990,1,1))))/D616)-1)*D616),EDATE('Deal maths'!AA616,-(INT(((YEAR('Deal maths'!AA616)-YEAR(IF('Deal maths'!Z616&gt;0,'Deal maths'!Z616,DATE(1990,1,1))))*12+MONTH('Deal maths'!AA616)-MONTH(IF('Deal maths'!Z616&gt;0,'Deal maths'!Z616,DATE(1990,1,1))))/D616)-1)*D616))))),0)</f>
        <v/>
      </c>
      <c r="F616" s="110">
        <f>IF(D616=0,0,'Deal maths'!AB616*D616/12)</f>
        <v/>
      </c>
      <c r="G616" s="108">
        <f>N616+O616</f>
        <v/>
      </c>
      <c r="H616" s="108">
        <f>IFERROR(IF(OR(D616=0,AsAt&lt;E616),0,MIN(N616,INT(((YEAR(AsAt)-YEAR(E616))*12+MONTH(AsAt)-MONTH(E616)-(DAY(AsAt)&lt;MIN(R616,DAY(EOMONTH(AsAt,0)))))/D616)+1)+O616*(AsAt&gt;='Deal maths'!AA616)),0)</f>
        <v/>
      </c>
      <c r="I616" s="108">
        <f>G616-H616</f>
        <v/>
      </c>
      <c r="J616" s="111">
        <f>IF(AND(C616="EIP",I616&gt;0),'Deal maths'!Y616/I616,0)</f>
        <v/>
      </c>
      <c r="K616" s="111">
        <f>IF(AND(C616="Annuity",I616&gt;0),IF(F616&gt;0,'Deal maths'!Y616*F616/(1-(1+F616)^-I616),'Deal maths'!Y616/I616),0)</f>
        <v/>
      </c>
      <c r="L616" s="111">
        <f>IF('Deal maths'!Y616="",0,'Deal maths'!Y616)</f>
        <v/>
      </c>
      <c r="M616" s="112">
        <f>F616+(F616=0)</f>
        <v/>
      </c>
      <c r="N616" s="108">
        <f>IFERROR(IF(D616=0,0,INT(((YEAR('Deal maths'!AA616)-YEAR(E616))*12+MONTH('Deal maths'!AA616)-MONTH(E616)-(DAY('Deal maths'!AA616)&lt;MIN(R616,DAY(EOMONTH('Deal maths'!AA616,0)))))/D616)+1),0)</f>
        <v/>
      </c>
      <c r="O616" s="108">
        <f>IFERROR(IF(D616=0,0,IF(IF(DAY(E616+1)=1,EOMONTH(E616,(N616-1)*D616),EDATE(E616,(N616-1)*D616))='Deal maths'!AA616,0,1)),0)</f>
        <v/>
      </c>
      <c r="P616" s="113">
        <f>IF(B616=0,0,IFERROR(IF(C616="EIP",((I616-O616)*((IF(DAY(E616+1)=1,EOMONTH(E616,H616*D616),EDATE(E616,H616*D616))-AsAt)/365.25+(IF(DAY(E616+1)=1,EOMONTH(E616,(N616-1)*D616),EDATE(E616,(N616-1)*D616))-AsAt)/365.25)/2+O616*('Deal maths'!AA616-AsAt)/365.25)/I616,IF(C616="Annuity",IF(F616&gt;0,((K616-L616*F616)*((IF(DAY(E616+1)=1,EOMONTH(E616,H616*D616),EDATE(E616,H616*D616))-AsAt)/365.25*((1+F616)^(I616-O616)-1)/F616+IF((I616-O616)&gt;1,((IF(DAY(E616+1)=1,EOMONTH(E616,(N616-1)*D616),EDATE(E616,(N616-1)*D616))-AsAt)/365.25-(IF(DAY(E616+1)=1,EOMONTH(E616,H616*D616),EDATE(E616,H616*D616))-AsAt)/365.25)/((I616-O616)-1),0)*(1+F616)*(1-(I616-O616)*(1+F616)^((I616-O616)-1)+((I616-O616)-1)*(1+F616)^(I616-O616))/F616^2)+O616*(K616-L616*F616)*(1+F616)^(I616-1)*('Deal maths'!AA616-AsAt)/365.25)/L616,((I616-O616)*((IF(DAY(E616+1)=1,EOMONTH(E616,H616*D616),EDATE(E616,H616*D616))-AsAt)/365.25+(IF(DAY(E616+1)=1,EOMONTH(E616,(N616-1)*D616),EDATE(E616,(N616-1)*D616))-AsAt)/365.25)/2+O616*('Deal maths'!AA616-AsAt)/365.25)/I616),(S616-AsAt)/365.25)),0))</f>
        <v/>
      </c>
      <c r="Q616" s="109">
        <f>IF(B616=1,'Deal maths'!AA616+ROW()/1000000,"")</f>
        <v/>
      </c>
      <c r="R616" s="108">
        <f>IF(D616=0,0,IF(DAY(E616+1)=1,31,DAY(E616)))</f>
        <v/>
      </c>
      <c r="S616" s="109">
        <f>IF(AND('Deal maths'!V616="LOBO",'Deal maths'!AG616&gt;AsAt,'Deal maths'!AG616&lt;'Deal maths'!AA616),'Deal maths'!AG616,'Deal maths'!AA616)</f>
        <v/>
      </c>
      <c r="T616" s="108">
        <f>('Deal maths'!AA616&gt;AsAt)*('Deal maths'!Y616&gt;0)</f>
        <v/>
      </c>
    </row>
    <row r="617">
      <c r="A617" s="91">
        <f>IF('Deal maths'!V617="","",'Deal maths'!W617)</f>
        <v/>
      </c>
      <c r="B617" s="108">
        <f>('Deal maths'!AA617&gt;AsAt)*('Deal maths'!Y617&gt;0)*('Deal maths'!Z617&lt;=AsAt)</f>
        <v/>
      </c>
      <c r="C617" s="91">
        <f>IF('Deal maths'!V617="","",IF('Deal maths'!AC617="","Maturity",'Deal maths'!AC617))</f>
        <v/>
      </c>
      <c r="D617" s="108">
        <f>IF(OR(C617="EIP",C617="Annuity"),IF('Deal maths'!AD617="Annual",12,IF('Deal maths'!AD617="Quarterly",3,6)),0)</f>
        <v/>
      </c>
      <c r="E617" s="109">
        <f>IFERROR(IF(D617=0,0,IF('Deal maths'!AE617&gt;0,IF('Deal maths'!AE617&gt;'Deal maths'!AA617,'Deal maths'!AA617,'Deal maths'!AE617),IF(IF(DAY('Deal maths'!AA617+1)=1,EOMONTH('Deal maths'!AA617,-(INT(((YEAR('Deal maths'!AA617)-YEAR(IF('Deal maths'!Z617&gt;0,'Deal maths'!Z617,DATE(1990,1,1))))*12+MONTH('Deal maths'!AA617)-MONTH(IF('Deal maths'!Z617&gt;0,'Deal maths'!Z617,DATE(1990,1,1))))/D617))*D617),EDATE('Deal maths'!AA617,-(INT(((YEAR('Deal maths'!AA617)-YEAR(IF('Deal maths'!Z617&gt;0,'Deal maths'!Z617,DATE(1990,1,1))))*12+MONTH('Deal maths'!AA617)-MONTH(IF('Deal maths'!Z617&gt;0,'Deal maths'!Z617,DATE(1990,1,1))))/D617))*D617))&gt;IF('Deal maths'!Z617&gt;0,'Deal maths'!Z617,DATE(1990,1,1)),IF(DAY('Deal maths'!AA617+1)=1,EOMONTH('Deal maths'!AA617,-(INT(((YEAR('Deal maths'!AA617)-YEAR(IF('Deal maths'!Z617&gt;0,'Deal maths'!Z617,DATE(1990,1,1))))*12+MONTH('Deal maths'!AA617)-MONTH(IF('Deal maths'!Z617&gt;0,'Deal maths'!Z617,DATE(1990,1,1))))/D617))*D617),EDATE('Deal maths'!AA617,-(INT(((YEAR('Deal maths'!AA617)-YEAR(IF('Deal maths'!Z617&gt;0,'Deal maths'!Z617,DATE(1990,1,1))))*12+MONTH('Deal maths'!AA617)-MONTH(IF('Deal maths'!Z617&gt;0,'Deal maths'!Z617,DATE(1990,1,1))))/D617))*D617)),IF(DAY('Deal maths'!AA617+1)=1,EOMONTH('Deal maths'!AA617,-(INT(((YEAR('Deal maths'!AA617)-YEAR(IF('Deal maths'!Z617&gt;0,'Deal maths'!Z617,DATE(1990,1,1))))*12+MONTH('Deal maths'!AA617)-MONTH(IF('Deal maths'!Z617&gt;0,'Deal maths'!Z617,DATE(1990,1,1))))/D617)-1)*D617),EDATE('Deal maths'!AA617,-(INT(((YEAR('Deal maths'!AA617)-YEAR(IF('Deal maths'!Z617&gt;0,'Deal maths'!Z617,DATE(1990,1,1))))*12+MONTH('Deal maths'!AA617)-MONTH(IF('Deal maths'!Z617&gt;0,'Deal maths'!Z617,DATE(1990,1,1))))/D617)-1)*D617))))),0)</f>
        <v/>
      </c>
      <c r="F617" s="110">
        <f>IF(D617=0,0,'Deal maths'!AB617*D617/12)</f>
        <v/>
      </c>
      <c r="G617" s="108">
        <f>N617+O617</f>
        <v/>
      </c>
      <c r="H617" s="108">
        <f>IFERROR(IF(OR(D617=0,AsAt&lt;E617),0,MIN(N617,INT(((YEAR(AsAt)-YEAR(E617))*12+MONTH(AsAt)-MONTH(E617)-(DAY(AsAt)&lt;MIN(R617,DAY(EOMONTH(AsAt,0)))))/D617)+1)+O617*(AsAt&gt;='Deal maths'!AA617)),0)</f>
        <v/>
      </c>
      <c r="I617" s="108">
        <f>G617-H617</f>
        <v/>
      </c>
      <c r="J617" s="111">
        <f>IF(AND(C617="EIP",I617&gt;0),'Deal maths'!Y617/I617,0)</f>
        <v/>
      </c>
      <c r="K617" s="111">
        <f>IF(AND(C617="Annuity",I617&gt;0),IF(F617&gt;0,'Deal maths'!Y617*F617/(1-(1+F617)^-I617),'Deal maths'!Y617/I617),0)</f>
        <v/>
      </c>
      <c r="L617" s="111">
        <f>IF('Deal maths'!Y617="",0,'Deal maths'!Y617)</f>
        <v/>
      </c>
      <c r="M617" s="112">
        <f>F617+(F617=0)</f>
        <v/>
      </c>
      <c r="N617" s="108">
        <f>IFERROR(IF(D617=0,0,INT(((YEAR('Deal maths'!AA617)-YEAR(E617))*12+MONTH('Deal maths'!AA617)-MONTH(E617)-(DAY('Deal maths'!AA617)&lt;MIN(R617,DAY(EOMONTH('Deal maths'!AA617,0)))))/D617)+1),0)</f>
        <v/>
      </c>
      <c r="O617" s="108">
        <f>IFERROR(IF(D617=0,0,IF(IF(DAY(E617+1)=1,EOMONTH(E617,(N617-1)*D617),EDATE(E617,(N617-1)*D617))='Deal maths'!AA617,0,1)),0)</f>
        <v/>
      </c>
      <c r="P617" s="113">
        <f>IF(B617=0,0,IFERROR(IF(C617="EIP",((I617-O617)*((IF(DAY(E617+1)=1,EOMONTH(E617,H617*D617),EDATE(E617,H617*D617))-AsAt)/365.25+(IF(DAY(E617+1)=1,EOMONTH(E617,(N617-1)*D617),EDATE(E617,(N617-1)*D617))-AsAt)/365.25)/2+O617*('Deal maths'!AA617-AsAt)/365.25)/I617,IF(C617="Annuity",IF(F617&gt;0,((K617-L617*F617)*((IF(DAY(E617+1)=1,EOMONTH(E617,H617*D617),EDATE(E617,H617*D617))-AsAt)/365.25*((1+F617)^(I617-O617)-1)/F617+IF((I617-O617)&gt;1,((IF(DAY(E617+1)=1,EOMONTH(E617,(N617-1)*D617),EDATE(E617,(N617-1)*D617))-AsAt)/365.25-(IF(DAY(E617+1)=1,EOMONTH(E617,H617*D617),EDATE(E617,H617*D617))-AsAt)/365.25)/((I617-O617)-1),0)*(1+F617)*(1-(I617-O617)*(1+F617)^((I617-O617)-1)+((I617-O617)-1)*(1+F617)^(I617-O617))/F617^2)+O617*(K617-L617*F617)*(1+F617)^(I617-1)*('Deal maths'!AA617-AsAt)/365.25)/L617,((I617-O617)*((IF(DAY(E617+1)=1,EOMONTH(E617,H617*D617),EDATE(E617,H617*D617))-AsAt)/365.25+(IF(DAY(E617+1)=1,EOMONTH(E617,(N617-1)*D617),EDATE(E617,(N617-1)*D617))-AsAt)/365.25)/2+O617*('Deal maths'!AA617-AsAt)/365.25)/I617),(S617-AsAt)/365.25)),0))</f>
        <v/>
      </c>
      <c r="Q617" s="109">
        <f>IF(B617=1,'Deal maths'!AA617+ROW()/1000000,"")</f>
        <v/>
      </c>
      <c r="R617" s="108">
        <f>IF(D617=0,0,IF(DAY(E617+1)=1,31,DAY(E617)))</f>
        <v/>
      </c>
      <c r="S617" s="109">
        <f>IF(AND('Deal maths'!V617="LOBO",'Deal maths'!AG617&gt;AsAt,'Deal maths'!AG617&lt;'Deal maths'!AA617),'Deal maths'!AG617,'Deal maths'!AA617)</f>
        <v/>
      </c>
      <c r="T617" s="108">
        <f>('Deal maths'!AA617&gt;AsAt)*('Deal maths'!Y617&gt;0)</f>
        <v/>
      </c>
    </row>
    <row r="618">
      <c r="A618" s="91">
        <f>IF('Deal maths'!V618="","",'Deal maths'!W618)</f>
        <v/>
      </c>
      <c r="B618" s="108">
        <f>('Deal maths'!AA618&gt;AsAt)*('Deal maths'!Y618&gt;0)*('Deal maths'!Z618&lt;=AsAt)</f>
        <v/>
      </c>
      <c r="C618" s="91">
        <f>IF('Deal maths'!V618="","",IF('Deal maths'!AC618="","Maturity",'Deal maths'!AC618))</f>
        <v/>
      </c>
      <c r="D618" s="108">
        <f>IF(OR(C618="EIP",C618="Annuity"),IF('Deal maths'!AD618="Annual",12,IF('Deal maths'!AD618="Quarterly",3,6)),0)</f>
        <v/>
      </c>
      <c r="E618" s="109">
        <f>IFERROR(IF(D618=0,0,IF('Deal maths'!AE618&gt;0,IF('Deal maths'!AE618&gt;'Deal maths'!AA618,'Deal maths'!AA618,'Deal maths'!AE618),IF(IF(DAY('Deal maths'!AA618+1)=1,EOMONTH('Deal maths'!AA618,-(INT(((YEAR('Deal maths'!AA618)-YEAR(IF('Deal maths'!Z618&gt;0,'Deal maths'!Z618,DATE(1990,1,1))))*12+MONTH('Deal maths'!AA618)-MONTH(IF('Deal maths'!Z618&gt;0,'Deal maths'!Z618,DATE(1990,1,1))))/D618))*D618),EDATE('Deal maths'!AA618,-(INT(((YEAR('Deal maths'!AA618)-YEAR(IF('Deal maths'!Z618&gt;0,'Deal maths'!Z618,DATE(1990,1,1))))*12+MONTH('Deal maths'!AA618)-MONTH(IF('Deal maths'!Z618&gt;0,'Deal maths'!Z618,DATE(1990,1,1))))/D618))*D618))&gt;IF('Deal maths'!Z618&gt;0,'Deal maths'!Z618,DATE(1990,1,1)),IF(DAY('Deal maths'!AA618+1)=1,EOMONTH('Deal maths'!AA618,-(INT(((YEAR('Deal maths'!AA618)-YEAR(IF('Deal maths'!Z618&gt;0,'Deal maths'!Z618,DATE(1990,1,1))))*12+MONTH('Deal maths'!AA618)-MONTH(IF('Deal maths'!Z618&gt;0,'Deal maths'!Z618,DATE(1990,1,1))))/D618))*D618),EDATE('Deal maths'!AA618,-(INT(((YEAR('Deal maths'!AA618)-YEAR(IF('Deal maths'!Z618&gt;0,'Deal maths'!Z618,DATE(1990,1,1))))*12+MONTH('Deal maths'!AA618)-MONTH(IF('Deal maths'!Z618&gt;0,'Deal maths'!Z618,DATE(1990,1,1))))/D618))*D618)),IF(DAY('Deal maths'!AA618+1)=1,EOMONTH('Deal maths'!AA618,-(INT(((YEAR('Deal maths'!AA618)-YEAR(IF('Deal maths'!Z618&gt;0,'Deal maths'!Z618,DATE(1990,1,1))))*12+MONTH('Deal maths'!AA618)-MONTH(IF('Deal maths'!Z618&gt;0,'Deal maths'!Z618,DATE(1990,1,1))))/D618)-1)*D618),EDATE('Deal maths'!AA618,-(INT(((YEAR('Deal maths'!AA618)-YEAR(IF('Deal maths'!Z618&gt;0,'Deal maths'!Z618,DATE(1990,1,1))))*12+MONTH('Deal maths'!AA618)-MONTH(IF('Deal maths'!Z618&gt;0,'Deal maths'!Z618,DATE(1990,1,1))))/D618)-1)*D618))))),0)</f>
        <v/>
      </c>
      <c r="F618" s="110">
        <f>IF(D618=0,0,'Deal maths'!AB618*D618/12)</f>
        <v/>
      </c>
      <c r="G618" s="108">
        <f>N618+O618</f>
        <v/>
      </c>
      <c r="H618" s="108">
        <f>IFERROR(IF(OR(D618=0,AsAt&lt;E618),0,MIN(N618,INT(((YEAR(AsAt)-YEAR(E618))*12+MONTH(AsAt)-MONTH(E618)-(DAY(AsAt)&lt;MIN(R618,DAY(EOMONTH(AsAt,0)))))/D618)+1)+O618*(AsAt&gt;='Deal maths'!AA618)),0)</f>
        <v/>
      </c>
      <c r="I618" s="108">
        <f>G618-H618</f>
        <v/>
      </c>
      <c r="J618" s="111">
        <f>IF(AND(C618="EIP",I618&gt;0),'Deal maths'!Y618/I618,0)</f>
        <v/>
      </c>
      <c r="K618" s="111">
        <f>IF(AND(C618="Annuity",I618&gt;0),IF(F618&gt;0,'Deal maths'!Y618*F618/(1-(1+F618)^-I618),'Deal maths'!Y618/I618),0)</f>
        <v/>
      </c>
      <c r="L618" s="111">
        <f>IF('Deal maths'!Y618="",0,'Deal maths'!Y618)</f>
        <v/>
      </c>
      <c r="M618" s="112">
        <f>F618+(F618=0)</f>
        <v/>
      </c>
      <c r="N618" s="108">
        <f>IFERROR(IF(D618=0,0,INT(((YEAR('Deal maths'!AA618)-YEAR(E618))*12+MONTH('Deal maths'!AA618)-MONTH(E618)-(DAY('Deal maths'!AA618)&lt;MIN(R618,DAY(EOMONTH('Deal maths'!AA618,0)))))/D618)+1),0)</f>
        <v/>
      </c>
      <c r="O618" s="108">
        <f>IFERROR(IF(D618=0,0,IF(IF(DAY(E618+1)=1,EOMONTH(E618,(N618-1)*D618),EDATE(E618,(N618-1)*D618))='Deal maths'!AA618,0,1)),0)</f>
        <v/>
      </c>
      <c r="P618" s="113">
        <f>IF(B618=0,0,IFERROR(IF(C618="EIP",((I618-O618)*((IF(DAY(E618+1)=1,EOMONTH(E618,H618*D618),EDATE(E618,H618*D618))-AsAt)/365.25+(IF(DAY(E618+1)=1,EOMONTH(E618,(N618-1)*D618),EDATE(E618,(N618-1)*D618))-AsAt)/365.25)/2+O618*('Deal maths'!AA618-AsAt)/365.25)/I618,IF(C618="Annuity",IF(F618&gt;0,((K618-L618*F618)*((IF(DAY(E618+1)=1,EOMONTH(E618,H618*D618),EDATE(E618,H618*D618))-AsAt)/365.25*((1+F618)^(I618-O618)-1)/F618+IF((I618-O618)&gt;1,((IF(DAY(E618+1)=1,EOMONTH(E618,(N618-1)*D618),EDATE(E618,(N618-1)*D618))-AsAt)/365.25-(IF(DAY(E618+1)=1,EOMONTH(E618,H618*D618),EDATE(E618,H618*D618))-AsAt)/365.25)/((I618-O618)-1),0)*(1+F618)*(1-(I618-O618)*(1+F618)^((I618-O618)-1)+((I618-O618)-1)*(1+F618)^(I618-O618))/F618^2)+O618*(K618-L618*F618)*(1+F618)^(I618-1)*('Deal maths'!AA618-AsAt)/365.25)/L618,((I618-O618)*((IF(DAY(E618+1)=1,EOMONTH(E618,H618*D618),EDATE(E618,H618*D618))-AsAt)/365.25+(IF(DAY(E618+1)=1,EOMONTH(E618,(N618-1)*D618),EDATE(E618,(N618-1)*D618))-AsAt)/365.25)/2+O618*('Deal maths'!AA618-AsAt)/365.25)/I618),(S618-AsAt)/365.25)),0))</f>
        <v/>
      </c>
      <c r="Q618" s="109">
        <f>IF(B618=1,'Deal maths'!AA618+ROW()/1000000,"")</f>
        <v/>
      </c>
      <c r="R618" s="108">
        <f>IF(D618=0,0,IF(DAY(E618+1)=1,31,DAY(E618)))</f>
        <v/>
      </c>
      <c r="S618" s="109">
        <f>IF(AND('Deal maths'!V618="LOBO",'Deal maths'!AG618&gt;AsAt,'Deal maths'!AG618&lt;'Deal maths'!AA618),'Deal maths'!AG618,'Deal maths'!AA618)</f>
        <v/>
      </c>
      <c r="T618" s="108">
        <f>('Deal maths'!AA618&gt;AsAt)*('Deal maths'!Y618&gt;0)</f>
        <v/>
      </c>
    </row>
    <row r="619">
      <c r="A619" s="91">
        <f>IF('Deal maths'!V619="","",'Deal maths'!W619)</f>
        <v/>
      </c>
      <c r="B619" s="108">
        <f>('Deal maths'!AA619&gt;AsAt)*('Deal maths'!Y619&gt;0)*('Deal maths'!Z619&lt;=AsAt)</f>
        <v/>
      </c>
      <c r="C619" s="91">
        <f>IF('Deal maths'!V619="","",IF('Deal maths'!AC619="","Maturity",'Deal maths'!AC619))</f>
        <v/>
      </c>
      <c r="D619" s="108">
        <f>IF(OR(C619="EIP",C619="Annuity"),IF('Deal maths'!AD619="Annual",12,IF('Deal maths'!AD619="Quarterly",3,6)),0)</f>
        <v/>
      </c>
      <c r="E619" s="109">
        <f>IFERROR(IF(D619=0,0,IF('Deal maths'!AE619&gt;0,IF('Deal maths'!AE619&gt;'Deal maths'!AA619,'Deal maths'!AA619,'Deal maths'!AE619),IF(IF(DAY('Deal maths'!AA619+1)=1,EOMONTH('Deal maths'!AA619,-(INT(((YEAR('Deal maths'!AA619)-YEAR(IF('Deal maths'!Z619&gt;0,'Deal maths'!Z619,DATE(1990,1,1))))*12+MONTH('Deal maths'!AA619)-MONTH(IF('Deal maths'!Z619&gt;0,'Deal maths'!Z619,DATE(1990,1,1))))/D619))*D619),EDATE('Deal maths'!AA619,-(INT(((YEAR('Deal maths'!AA619)-YEAR(IF('Deal maths'!Z619&gt;0,'Deal maths'!Z619,DATE(1990,1,1))))*12+MONTH('Deal maths'!AA619)-MONTH(IF('Deal maths'!Z619&gt;0,'Deal maths'!Z619,DATE(1990,1,1))))/D619))*D619))&gt;IF('Deal maths'!Z619&gt;0,'Deal maths'!Z619,DATE(1990,1,1)),IF(DAY('Deal maths'!AA619+1)=1,EOMONTH('Deal maths'!AA619,-(INT(((YEAR('Deal maths'!AA619)-YEAR(IF('Deal maths'!Z619&gt;0,'Deal maths'!Z619,DATE(1990,1,1))))*12+MONTH('Deal maths'!AA619)-MONTH(IF('Deal maths'!Z619&gt;0,'Deal maths'!Z619,DATE(1990,1,1))))/D619))*D619),EDATE('Deal maths'!AA619,-(INT(((YEAR('Deal maths'!AA619)-YEAR(IF('Deal maths'!Z619&gt;0,'Deal maths'!Z619,DATE(1990,1,1))))*12+MONTH('Deal maths'!AA619)-MONTH(IF('Deal maths'!Z619&gt;0,'Deal maths'!Z619,DATE(1990,1,1))))/D619))*D619)),IF(DAY('Deal maths'!AA619+1)=1,EOMONTH('Deal maths'!AA619,-(INT(((YEAR('Deal maths'!AA619)-YEAR(IF('Deal maths'!Z619&gt;0,'Deal maths'!Z619,DATE(1990,1,1))))*12+MONTH('Deal maths'!AA619)-MONTH(IF('Deal maths'!Z619&gt;0,'Deal maths'!Z619,DATE(1990,1,1))))/D619)-1)*D619),EDATE('Deal maths'!AA619,-(INT(((YEAR('Deal maths'!AA619)-YEAR(IF('Deal maths'!Z619&gt;0,'Deal maths'!Z619,DATE(1990,1,1))))*12+MONTH('Deal maths'!AA619)-MONTH(IF('Deal maths'!Z619&gt;0,'Deal maths'!Z619,DATE(1990,1,1))))/D619)-1)*D619))))),0)</f>
        <v/>
      </c>
      <c r="F619" s="110">
        <f>IF(D619=0,0,'Deal maths'!AB619*D619/12)</f>
        <v/>
      </c>
      <c r="G619" s="108">
        <f>N619+O619</f>
        <v/>
      </c>
      <c r="H619" s="108">
        <f>IFERROR(IF(OR(D619=0,AsAt&lt;E619),0,MIN(N619,INT(((YEAR(AsAt)-YEAR(E619))*12+MONTH(AsAt)-MONTH(E619)-(DAY(AsAt)&lt;MIN(R619,DAY(EOMONTH(AsAt,0)))))/D619)+1)+O619*(AsAt&gt;='Deal maths'!AA619)),0)</f>
        <v/>
      </c>
      <c r="I619" s="108">
        <f>G619-H619</f>
        <v/>
      </c>
      <c r="J619" s="111">
        <f>IF(AND(C619="EIP",I619&gt;0),'Deal maths'!Y619/I619,0)</f>
        <v/>
      </c>
      <c r="K619" s="111">
        <f>IF(AND(C619="Annuity",I619&gt;0),IF(F619&gt;0,'Deal maths'!Y619*F619/(1-(1+F619)^-I619),'Deal maths'!Y619/I619),0)</f>
        <v/>
      </c>
      <c r="L619" s="111">
        <f>IF('Deal maths'!Y619="",0,'Deal maths'!Y619)</f>
        <v/>
      </c>
      <c r="M619" s="112">
        <f>F619+(F619=0)</f>
        <v/>
      </c>
      <c r="N619" s="108">
        <f>IFERROR(IF(D619=0,0,INT(((YEAR('Deal maths'!AA619)-YEAR(E619))*12+MONTH('Deal maths'!AA619)-MONTH(E619)-(DAY('Deal maths'!AA619)&lt;MIN(R619,DAY(EOMONTH('Deal maths'!AA619,0)))))/D619)+1),0)</f>
        <v/>
      </c>
      <c r="O619" s="108">
        <f>IFERROR(IF(D619=0,0,IF(IF(DAY(E619+1)=1,EOMONTH(E619,(N619-1)*D619),EDATE(E619,(N619-1)*D619))='Deal maths'!AA619,0,1)),0)</f>
        <v/>
      </c>
      <c r="P619" s="113">
        <f>IF(B619=0,0,IFERROR(IF(C619="EIP",((I619-O619)*((IF(DAY(E619+1)=1,EOMONTH(E619,H619*D619),EDATE(E619,H619*D619))-AsAt)/365.25+(IF(DAY(E619+1)=1,EOMONTH(E619,(N619-1)*D619),EDATE(E619,(N619-1)*D619))-AsAt)/365.25)/2+O619*('Deal maths'!AA619-AsAt)/365.25)/I619,IF(C619="Annuity",IF(F619&gt;0,((K619-L619*F619)*((IF(DAY(E619+1)=1,EOMONTH(E619,H619*D619),EDATE(E619,H619*D619))-AsAt)/365.25*((1+F619)^(I619-O619)-1)/F619+IF((I619-O619)&gt;1,((IF(DAY(E619+1)=1,EOMONTH(E619,(N619-1)*D619),EDATE(E619,(N619-1)*D619))-AsAt)/365.25-(IF(DAY(E619+1)=1,EOMONTH(E619,H619*D619),EDATE(E619,H619*D619))-AsAt)/365.25)/((I619-O619)-1),0)*(1+F619)*(1-(I619-O619)*(1+F619)^((I619-O619)-1)+((I619-O619)-1)*(1+F619)^(I619-O619))/F619^2)+O619*(K619-L619*F619)*(1+F619)^(I619-1)*('Deal maths'!AA619-AsAt)/365.25)/L619,((I619-O619)*((IF(DAY(E619+1)=1,EOMONTH(E619,H619*D619),EDATE(E619,H619*D619))-AsAt)/365.25+(IF(DAY(E619+1)=1,EOMONTH(E619,(N619-1)*D619),EDATE(E619,(N619-1)*D619))-AsAt)/365.25)/2+O619*('Deal maths'!AA619-AsAt)/365.25)/I619),(S619-AsAt)/365.25)),0))</f>
        <v/>
      </c>
      <c r="Q619" s="109">
        <f>IF(B619=1,'Deal maths'!AA619+ROW()/1000000,"")</f>
        <v/>
      </c>
      <c r="R619" s="108">
        <f>IF(D619=0,0,IF(DAY(E619+1)=1,31,DAY(E619)))</f>
        <v/>
      </c>
      <c r="S619" s="109">
        <f>IF(AND('Deal maths'!V619="LOBO",'Deal maths'!AG619&gt;AsAt,'Deal maths'!AG619&lt;'Deal maths'!AA619),'Deal maths'!AG619,'Deal maths'!AA619)</f>
        <v/>
      </c>
      <c r="T619" s="108">
        <f>('Deal maths'!AA619&gt;AsAt)*('Deal maths'!Y619&gt;0)</f>
        <v/>
      </c>
    </row>
    <row r="620">
      <c r="A620" s="91">
        <f>IF('Deal maths'!V620="","",'Deal maths'!W620)</f>
        <v/>
      </c>
      <c r="B620" s="108">
        <f>('Deal maths'!AA620&gt;AsAt)*('Deal maths'!Y620&gt;0)*('Deal maths'!Z620&lt;=AsAt)</f>
        <v/>
      </c>
      <c r="C620" s="91">
        <f>IF('Deal maths'!V620="","",IF('Deal maths'!AC620="","Maturity",'Deal maths'!AC620))</f>
        <v/>
      </c>
      <c r="D620" s="108">
        <f>IF(OR(C620="EIP",C620="Annuity"),IF('Deal maths'!AD620="Annual",12,IF('Deal maths'!AD620="Quarterly",3,6)),0)</f>
        <v/>
      </c>
      <c r="E620" s="109">
        <f>IFERROR(IF(D620=0,0,IF('Deal maths'!AE620&gt;0,IF('Deal maths'!AE620&gt;'Deal maths'!AA620,'Deal maths'!AA620,'Deal maths'!AE620),IF(IF(DAY('Deal maths'!AA620+1)=1,EOMONTH('Deal maths'!AA620,-(INT(((YEAR('Deal maths'!AA620)-YEAR(IF('Deal maths'!Z620&gt;0,'Deal maths'!Z620,DATE(1990,1,1))))*12+MONTH('Deal maths'!AA620)-MONTH(IF('Deal maths'!Z620&gt;0,'Deal maths'!Z620,DATE(1990,1,1))))/D620))*D620),EDATE('Deal maths'!AA620,-(INT(((YEAR('Deal maths'!AA620)-YEAR(IF('Deal maths'!Z620&gt;0,'Deal maths'!Z620,DATE(1990,1,1))))*12+MONTH('Deal maths'!AA620)-MONTH(IF('Deal maths'!Z620&gt;0,'Deal maths'!Z620,DATE(1990,1,1))))/D620))*D620))&gt;IF('Deal maths'!Z620&gt;0,'Deal maths'!Z620,DATE(1990,1,1)),IF(DAY('Deal maths'!AA620+1)=1,EOMONTH('Deal maths'!AA620,-(INT(((YEAR('Deal maths'!AA620)-YEAR(IF('Deal maths'!Z620&gt;0,'Deal maths'!Z620,DATE(1990,1,1))))*12+MONTH('Deal maths'!AA620)-MONTH(IF('Deal maths'!Z620&gt;0,'Deal maths'!Z620,DATE(1990,1,1))))/D620))*D620),EDATE('Deal maths'!AA620,-(INT(((YEAR('Deal maths'!AA620)-YEAR(IF('Deal maths'!Z620&gt;0,'Deal maths'!Z620,DATE(1990,1,1))))*12+MONTH('Deal maths'!AA620)-MONTH(IF('Deal maths'!Z620&gt;0,'Deal maths'!Z620,DATE(1990,1,1))))/D620))*D620)),IF(DAY('Deal maths'!AA620+1)=1,EOMONTH('Deal maths'!AA620,-(INT(((YEAR('Deal maths'!AA620)-YEAR(IF('Deal maths'!Z620&gt;0,'Deal maths'!Z620,DATE(1990,1,1))))*12+MONTH('Deal maths'!AA620)-MONTH(IF('Deal maths'!Z620&gt;0,'Deal maths'!Z620,DATE(1990,1,1))))/D620)-1)*D620),EDATE('Deal maths'!AA620,-(INT(((YEAR('Deal maths'!AA620)-YEAR(IF('Deal maths'!Z620&gt;0,'Deal maths'!Z620,DATE(1990,1,1))))*12+MONTH('Deal maths'!AA620)-MONTH(IF('Deal maths'!Z620&gt;0,'Deal maths'!Z620,DATE(1990,1,1))))/D620)-1)*D620))))),0)</f>
        <v/>
      </c>
      <c r="F620" s="110">
        <f>IF(D620=0,0,'Deal maths'!AB620*D620/12)</f>
        <v/>
      </c>
      <c r="G620" s="108">
        <f>N620+O620</f>
        <v/>
      </c>
      <c r="H620" s="108">
        <f>IFERROR(IF(OR(D620=0,AsAt&lt;E620),0,MIN(N620,INT(((YEAR(AsAt)-YEAR(E620))*12+MONTH(AsAt)-MONTH(E620)-(DAY(AsAt)&lt;MIN(R620,DAY(EOMONTH(AsAt,0)))))/D620)+1)+O620*(AsAt&gt;='Deal maths'!AA620)),0)</f>
        <v/>
      </c>
      <c r="I620" s="108">
        <f>G620-H620</f>
        <v/>
      </c>
      <c r="J620" s="111">
        <f>IF(AND(C620="EIP",I620&gt;0),'Deal maths'!Y620/I620,0)</f>
        <v/>
      </c>
      <c r="K620" s="111">
        <f>IF(AND(C620="Annuity",I620&gt;0),IF(F620&gt;0,'Deal maths'!Y620*F620/(1-(1+F620)^-I620),'Deal maths'!Y620/I620),0)</f>
        <v/>
      </c>
      <c r="L620" s="111">
        <f>IF('Deal maths'!Y620="",0,'Deal maths'!Y620)</f>
        <v/>
      </c>
      <c r="M620" s="112">
        <f>F620+(F620=0)</f>
        <v/>
      </c>
      <c r="N620" s="108">
        <f>IFERROR(IF(D620=0,0,INT(((YEAR('Deal maths'!AA620)-YEAR(E620))*12+MONTH('Deal maths'!AA620)-MONTH(E620)-(DAY('Deal maths'!AA620)&lt;MIN(R620,DAY(EOMONTH('Deal maths'!AA620,0)))))/D620)+1),0)</f>
        <v/>
      </c>
      <c r="O620" s="108">
        <f>IFERROR(IF(D620=0,0,IF(IF(DAY(E620+1)=1,EOMONTH(E620,(N620-1)*D620),EDATE(E620,(N620-1)*D620))='Deal maths'!AA620,0,1)),0)</f>
        <v/>
      </c>
      <c r="P620" s="113">
        <f>IF(B620=0,0,IFERROR(IF(C620="EIP",((I620-O620)*((IF(DAY(E620+1)=1,EOMONTH(E620,H620*D620),EDATE(E620,H620*D620))-AsAt)/365.25+(IF(DAY(E620+1)=1,EOMONTH(E620,(N620-1)*D620),EDATE(E620,(N620-1)*D620))-AsAt)/365.25)/2+O620*('Deal maths'!AA620-AsAt)/365.25)/I620,IF(C620="Annuity",IF(F620&gt;0,((K620-L620*F620)*((IF(DAY(E620+1)=1,EOMONTH(E620,H620*D620),EDATE(E620,H620*D620))-AsAt)/365.25*((1+F620)^(I620-O620)-1)/F620+IF((I620-O620)&gt;1,((IF(DAY(E620+1)=1,EOMONTH(E620,(N620-1)*D620),EDATE(E620,(N620-1)*D620))-AsAt)/365.25-(IF(DAY(E620+1)=1,EOMONTH(E620,H620*D620),EDATE(E620,H620*D620))-AsAt)/365.25)/((I620-O620)-1),0)*(1+F620)*(1-(I620-O620)*(1+F620)^((I620-O620)-1)+((I620-O620)-1)*(1+F620)^(I620-O620))/F620^2)+O620*(K620-L620*F620)*(1+F620)^(I620-1)*('Deal maths'!AA620-AsAt)/365.25)/L620,((I620-O620)*((IF(DAY(E620+1)=1,EOMONTH(E620,H620*D620),EDATE(E620,H620*D620))-AsAt)/365.25+(IF(DAY(E620+1)=1,EOMONTH(E620,(N620-1)*D620),EDATE(E620,(N620-1)*D620))-AsAt)/365.25)/2+O620*('Deal maths'!AA620-AsAt)/365.25)/I620),(S620-AsAt)/365.25)),0))</f>
        <v/>
      </c>
      <c r="Q620" s="109">
        <f>IF(B620=1,'Deal maths'!AA620+ROW()/1000000,"")</f>
        <v/>
      </c>
      <c r="R620" s="108">
        <f>IF(D620=0,0,IF(DAY(E620+1)=1,31,DAY(E620)))</f>
        <v/>
      </c>
      <c r="S620" s="109">
        <f>IF(AND('Deal maths'!V620="LOBO",'Deal maths'!AG620&gt;AsAt,'Deal maths'!AG620&lt;'Deal maths'!AA620),'Deal maths'!AG620,'Deal maths'!AA620)</f>
        <v/>
      </c>
      <c r="T620" s="108">
        <f>('Deal maths'!AA620&gt;AsAt)*('Deal maths'!Y620&gt;0)</f>
        <v/>
      </c>
    </row>
    <row r="621">
      <c r="A621" s="91">
        <f>IF('Deal maths'!V621="","",'Deal maths'!W621)</f>
        <v/>
      </c>
      <c r="B621" s="108">
        <f>('Deal maths'!AA621&gt;AsAt)*('Deal maths'!Y621&gt;0)*('Deal maths'!Z621&lt;=AsAt)</f>
        <v/>
      </c>
      <c r="C621" s="91">
        <f>IF('Deal maths'!V621="","",IF('Deal maths'!AC621="","Maturity",'Deal maths'!AC621))</f>
        <v/>
      </c>
      <c r="D621" s="108">
        <f>IF(OR(C621="EIP",C621="Annuity"),IF('Deal maths'!AD621="Annual",12,IF('Deal maths'!AD621="Quarterly",3,6)),0)</f>
        <v/>
      </c>
      <c r="E621" s="109">
        <f>IFERROR(IF(D621=0,0,IF('Deal maths'!AE621&gt;0,IF('Deal maths'!AE621&gt;'Deal maths'!AA621,'Deal maths'!AA621,'Deal maths'!AE621),IF(IF(DAY('Deal maths'!AA621+1)=1,EOMONTH('Deal maths'!AA621,-(INT(((YEAR('Deal maths'!AA621)-YEAR(IF('Deal maths'!Z621&gt;0,'Deal maths'!Z621,DATE(1990,1,1))))*12+MONTH('Deal maths'!AA621)-MONTH(IF('Deal maths'!Z621&gt;0,'Deal maths'!Z621,DATE(1990,1,1))))/D621))*D621),EDATE('Deal maths'!AA621,-(INT(((YEAR('Deal maths'!AA621)-YEAR(IF('Deal maths'!Z621&gt;0,'Deal maths'!Z621,DATE(1990,1,1))))*12+MONTH('Deal maths'!AA621)-MONTH(IF('Deal maths'!Z621&gt;0,'Deal maths'!Z621,DATE(1990,1,1))))/D621))*D621))&gt;IF('Deal maths'!Z621&gt;0,'Deal maths'!Z621,DATE(1990,1,1)),IF(DAY('Deal maths'!AA621+1)=1,EOMONTH('Deal maths'!AA621,-(INT(((YEAR('Deal maths'!AA621)-YEAR(IF('Deal maths'!Z621&gt;0,'Deal maths'!Z621,DATE(1990,1,1))))*12+MONTH('Deal maths'!AA621)-MONTH(IF('Deal maths'!Z621&gt;0,'Deal maths'!Z621,DATE(1990,1,1))))/D621))*D621),EDATE('Deal maths'!AA621,-(INT(((YEAR('Deal maths'!AA621)-YEAR(IF('Deal maths'!Z621&gt;0,'Deal maths'!Z621,DATE(1990,1,1))))*12+MONTH('Deal maths'!AA621)-MONTH(IF('Deal maths'!Z621&gt;0,'Deal maths'!Z621,DATE(1990,1,1))))/D621))*D621)),IF(DAY('Deal maths'!AA621+1)=1,EOMONTH('Deal maths'!AA621,-(INT(((YEAR('Deal maths'!AA621)-YEAR(IF('Deal maths'!Z621&gt;0,'Deal maths'!Z621,DATE(1990,1,1))))*12+MONTH('Deal maths'!AA621)-MONTH(IF('Deal maths'!Z621&gt;0,'Deal maths'!Z621,DATE(1990,1,1))))/D621)-1)*D621),EDATE('Deal maths'!AA621,-(INT(((YEAR('Deal maths'!AA621)-YEAR(IF('Deal maths'!Z621&gt;0,'Deal maths'!Z621,DATE(1990,1,1))))*12+MONTH('Deal maths'!AA621)-MONTH(IF('Deal maths'!Z621&gt;0,'Deal maths'!Z621,DATE(1990,1,1))))/D621)-1)*D621))))),0)</f>
        <v/>
      </c>
      <c r="F621" s="110">
        <f>IF(D621=0,0,'Deal maths'!AB621*D621/12)</f>
        <v/>
      </c>
      <c r="G621" s="108">
        <f>N621+O621</f>
        <v/>
      </c>
      <c r="H621" s="108">
        <f>IFERROR(IF(OR(D621=0,AsAt&lt;E621),0,MIN(N621,INT(((YEAR(AsAt)-YEAR(E621))*12+MONTH(AsAt)-MONTH(E621)-(DAY(AsAt)&lt;MIN(R621,DAY(EOMONTH(AsAt,0)))))/D621)+1)+O621*(AsAt&gt;='Deal maths'!AA621)),0)</f>
        <v/>
      </c>
      <c r="I621" s="108">
        <f>G621-H621</f>
        <v/>
      </c>
      <c r="J621" s="111">
        <f>IF(AND(C621="EIP",I621&gt;0),'Deal maths'!Y621/I621,0)</f>
        <v/>
      </c>
      <c r="K621" s="111">
        <f>IF(AND(C621="Annuity",I621&gt;0),IF(F621&gt;0,'Deal maths'!Y621*F621/(1-(1+F621)^-I621),'Deal maths'!Y621/I621),0)</f>
        <v/>
      </c>
      <c r="L621" s="111">
        <f>IF('Deal maths'!Y621="",0,'Deal maths'!Y621)</f>
        <v/>
      </c>
      <c r="M621" s="112">
        <f>F621+(F621=0)</f>
        <v/>
      </c>
      <c r="N621" s="108">
        <f>IFERROR(IF(D621=0,0,INT(((YEAR('Deal maths'!AA621)-YEAR(E621))*12+MONTH('Deal maths'!AA621)-MONTH(E621)-(DAY('Deal maths'!AA621)&lt;MIN(R621,DAY(EOMONTH('Deal maths'!AA621,0)))))/D621)+1),0)</f>
        <v/>
      </c>
      <c r="O621" s="108">
        <f>IFERROR(IF(D621=0,0,IF(IF(DAY(E621+1)=1,EOMONTH(E621,(N621-1)*D621),EDATE(E621,(N621-1)*D621))='Deal maths'!AA621,0,1)),0)</f>
        <v/>
      </c>
      <c r="P621" s="113">
        <f>IF(B621=0,0,IFERROR(IF(C621="EIP",((I621-O621)*((IF(DAY(E621+1)=1,EOMONTH(E621,H621*D621),EDATE(E621,H621*D621))-AsAt)/365.25+(IF(DAY(E621+1)=1,EOMONTH(E621,(N621-1)*D621),EDATE(E621,(N621-1)*D621))-AsAt)/365.25)/2+O621*('Deal maths'!AA621-AsAt)/365.25)/I621,IF(C621="Annuity",IF(F621&gt;0,((K621-L621*F621)*((IF(DAY(E621+1)=1,EOMONTH(E621,H621*D621),EDATE(E621,H621*D621))-AsAt)/365.25*((1+F621)^(I621-O621)-1)/F621+IF((I621-O621)&gt;1,((IF(DAY(E621+1)=1,EOMONTH(E621,(N621-1)*D621),EDATE(E621,(N621-1)*D621))-AsAt)/365.25-(IF(DAY(E621+1)=1,EOMONTH(E621,H621*D621),EDATE(E621,H621*D621))-AsAt)/365.25)/((I621-O621)-1),0)*(1+F621)*(1-(I621-O621)*(1+F621)^((I621-O621)-1)+((I621-O621)-1)*(1+F621)^(I621-O621))/F621^2)+O621*(K621-L621*F621)*(1+F621)^(I621-1)*('Deal maths'!AA621-AsAt)/365.25)/L621,((I621-O621)*((IF(DAY(E621+1)=1,EOMONTH(E621,H621*D621),EDATE(E621,H621*D621))-AsAt)/365.25+(IF(DAY(E621+1)=1,EOMONTH(E621,(N621-1)*D621),EDATE(E621,(N621-1)*D621))-AsAt)/365.25)/2+O621*('Deal maths'!AA621-AsAt)/365.25)/I621),(S621-AsAt)/365.25)),0))</f>
        <v/>
      </c>
      <c r="Q621" s="109">
        <f>IF(B621=1,'Deal maths'!AA621+ROW()/1000000,"")</f>
        <v/>
      </c>
      <c r="R621" s="108">
        <f>IF(D621=0,0,IF(DAY(E621+1)=1,31,DAY(E621)))</f>
        <v/>
      </c>
      <c r="S621" s="109">
        <f>IF(AND('Deal maths'!V621="LOBO",'Deal maths'!AG621&gt;AsAt,'Deal maths'!AG621&lt;'Deal maths'!AA621),'Deal maths'!AG621,'Deal maths'!AA621)</f>
        <v/>
      </c>
      <c r="T621" s="108">
        <f>('Deal maths'!AA621&gt;AsAt)*('Deal maths'!Y621&gt;0)</f>
        <v/>
      </c>
    </row>
    <row r="622">
      <c r="A622" s="91">
        <f>IF('Deal maths'!V622="","",'Deal maths'!W622)</f>
        <v/>
      </c>
      <c r="B622" s="108">
        <f>('Deal maths'!AA622&gt;AsAt)*('Deal maths'!Y622&gt;0)*('Deal maths'!Z622&lt;=AsAt)</f>
        <v/>
      </c>
      <c r="C622" s="91">
        <f>IF('Deal maths'!V622="","",IF('Deal maths'!AC622="","Maturity",'Deal maths'!AC622))</f>
        <v/>
      </c>
      <c r="D622" s="108">
        <f>IF(OR(C622="EIP",C622="Annuity"),IF('Deal maths'!AD622="Annual",12,IF('Deal maths'!AD622="Quarterly",3,6)),0)</f>
        <v/>
      </c>
      <c r="E622" s="109">
        <f>IFERROR(IF(D622=0,0,IF('Deal maths'!AE622&gt;0,IF('Deal maths'!AE622&gt;'Deal maths'!AA622,'Deal maths'!AA622,'Deal maths'!AE622),IF(IF(DAY('Deal maths'!AA622+1)=1,EOMONTH('Deal maths'!AA622,-(INT(((YEAR('Deal maths'!AA622)-YEAR(IF('Deal maths'!Z622&gt;0,'Deal maths'!Z622,DATE(1990,1,1))))*12+MONTH('Deal maths'!AA622)-MONTH(IF('Deal maths'!Z622&gt;0,'Deal maths'!Z622,DATE(1990,1,1))))/D622))*D622),EDATE('Deal maths'!AA622,-(INT(((YEAR('Deal maths'!AA622)-YEAR(IF('Deal maths'!Z622&gt;0,'Deal maths'!Z622,DATE(1990,1,1))))*12+MONTH('Deal maths'!AA622)-MONTH(IF('Deal maths'!Z622&gt;0,'Deal maths'!Z622,DATE(1990,1,1))))/D622))*D622))&gt;IF('Deal maths'!Z622&gt;0,'Deal maths'!Z622,DATE(1990,1,1)),IF(DAY('Deal maths'!AA622+1)=1,EOMONTH('Deal maths'!AA622,-(INT(((YEAR('Deal maths'!AA622)-YEAR(IF('Deal maths'!Z622&gt;0,'Deal maths'!Z622,DATE(1990,1,1))))*12+MONTH('Deal maths'!AA622)-MONTH(IF('Deal maths'!Z622&gt;0,'Deal maths'!Z622,DATE(1990,1,1))))/D622))*D622),EDATE('Deal maths'!AA622,-(INT(((YEAR('Deal maths'!AA622)-YEAR(IF('Deal maths'!Z622&gt;0,'Deal maths'!Z622,DATE(1990,1,1))))*12+MONTH('Deal maths'!AA622)-MONTH(IF('Deal maths'!Z622&gt;0,'Deal maths'!Z622,DATE(1990,1,1))))/D622))*D622)),IF(DAY('Deal maths'!AA622+1)=1,EOMONTH('Deal maths'!AA622,-(INT(((YEAR('Deal maths'!AA622)-YEAR(IF('Deal maths'!Z622&gt;0,'Deal maths'!Z622,DATE(1990,1,1))))*12+MONTH('Deal maths'!AA622)-MONTH(IF('Deal maths'!Z622&gt;0,'Deal maths'!Z622,DATE(1990,1,1))))/D622)-1)*D622),EDATE('Deal maths'!AA622,-(INT(((YEAR('Deal maths'!AA622)-YEAR(IF('Deal maths'!Z622&gt;0,'Deal maths'!Z622,DATE(1990,1,1))))*12+MONTH('Deal maths'!AA622)-MONTH(IF('Deal maths'!Z622&gt;0,'Deal maths'!Z622,DATE(1990,1,1))))/D622)-1)*D622))))),0)</f>
        <v/>
      </c>
      <c r="F622" s="110">
        <f>IF(D622=0,0,'Deal maths'!AB622*D622/12)</f>
        <v/>
      </c>
      <c r="G622" s="108">
        <f>N622+O622</f>
        <v/>
      </c>
      <c r="H622" s="108">
        <f>IFERROR(IF(OR(D622=0,AsAt&lt;E622),0,MIN(N622,INT(((YEAR(AsAt)-YEAR(E622))*12+MONTH(AsAt)-MONTH(E622)-(DAY(AsAt)&lt;MIN(R622,DAY(EOMONTH(AsAt,0)))))/D622)+1)+O622*(AsAt&gt;='Deal maths'!AA622)),0)</f>
        <v/>
      </c>
      <c r="I622" s="108">
        <f>G622-H622</f>
        <v/>
      </c>
      <c r="J622" s="111">
        <f>IF(AND(C622="EIP",I622&gt;0),'Deal maths'!Y622/I622,0)</f>
        <v/>
      </c>
      <c r="K622" s="111">
        <f>IF(AND(C622="Annuity",I622&gt;0),IF(F622&gt;0,'Deal maths'!Y622*F622/(1-(1+F622)^-I622),'Deal maths'!Y622/I622),0)</f>
        <v/>
      </c>
      <c r="L622" s="111">
        <f>IF('Deal maths'!Y622="",0,'Deal maths'!Y622)</f>
        <v/>
      </c>
      <c r="M622" s="112">
        <f>F622+(F622=0)</f>
        <v/>
      </c>
      <c r="N622" s="108">
        <f>IFERROR(IF(D622=0,0,INT(((YEAR('Deal maths'!AA622)-YEAR(E622))*12+MONTH('Deal maths'!AA622)-MONTH(E622)-(DAY('Deal maths'!AA622)&lt;MIN(R622,DAY(EOMONTH('Deal maths'!AA622,0)))))/D622)+1),0)</f>
        <v/>
      </c>
      <c r="O622" s="108">
        <f>IFERROR(IF(D622=0,0,IF(IF(DAY(E622+1)=1,EOMONTH(E622,(N622-1)*D622),EDATE(E622,(N622-1)*D622))='Deal maths'!AA622,0,1)),0)</f>
        <v/>
      </c>
      <c r="P622" s="113">
        <f>IF(B622=0,0,IFERROR(IF(C622="EIP",((I622-O622)*((IF(DAY(E622+1)=1,EOMONTH(E622,H622*D622),EDATE(E622,H622*D622))-AsAt)/365.25+(IF(DAY(E622+1)=1,EOMONTH(E622,(N622-1)*D622),EDATE(E622,(N622-1)*D622))-AsAt)/365.25)/2+O622*('Deal maths'!AA622-AsAt)/365.25)/I622,IF(C622="Annuity",IF(F622&gt;0,((K622-L622*F622)*((IF(DAY(E622+1)=1,EOMONTH(E622,H622*D622),EDATE(E622,H622*D622))-AsAt)/365.25*((1+F622)^(I622-O622)-1)/F622+IF((I622-O622)&gt;1,((IF(DAY(E622+1)=1,EOMONTH(E622,(N622-1)*D622),EDATE(E622,(N622-1)*D622))-AsAt)/365.25-(IF(DAY(E622+1)=1,EOMONTH(E622,H622*D622),EDATE(E622,H622*D622))-AsAt)/365.25)/((I622-O622)-1),0)*(1+F622)*(1-(I622-O622)*(1+F622)^((I622-O622)-1)+((I622-O622)-1)*(1+F622)^(I622-O622))/F622^2)+O622*(K622-L622*F622)*(1+F622)^(I622-1)*('Deal maths'!AA622-AsAt)/365.25)/L622,((I622-O622)*((IF(DAY(E622+1)=1,EOMONTH(E622,H622*D622),EDATE(E622,H622*D622))-AsAt)/365.25+(IF(DAY(E622+1)=1,EOMONTH(E622,(N622-1)*D622),EDATE(E622,(N622-1)*D622))-AsAt)/365.25)/2+O622*('Deal maths'!AA622-AsAt)/365.25)/I622),(S622-AsAt)/365.25)),0))</f>
        <v/>
      </c>
      <c r="Q622" s="109">
        <f>IF(B622=1,'Deal maths'!AA622+ROW()/1000000,"")</f>
        <v/>
      </c>
      <c r="R622" s="108">
        <f>IF(D622=0,0,IF(DAY(E622+1)=1,31,DAY(E622)))</f>
        <v/>
      </c>
      <c r="S622" s="109">
        <f>IF(AND('Deal maths'!V622="LOBO",'Deal maths'!AG622&gt;AsAt,'Deal maths'!AG622&lt;'Deal maths'!AA622),'Deal maths'!AG622,'Deal maths'!AA622)</f>
        <v/>
      </c>
      <c r="T622" s="108">
        <f>('Deal maths'!AA622&gt;AsAt)*('Deal maths'!Y622&gt;0)</f>
        <v/>
      </c>
    </row>
    <row r="623">
      <c r="A623" s="91">
        <f>IF('Deal maths'!V623="","",'Deal maths'!W623)</f>
        <v/>
      </c>
      <c r="B623" s="108">
        <f>('Deal maths'!AA623&gt;AsAt)*('Deal maths'!Y623&gt;0)*('Deal maths'!Z623&lt;=AsAt)</f>
        <v/>
      </c>
      <c r="C623" s="91">
        <f>IF('Deal maths'!V623="","",IF('Deal maths'!AC623="","Maturity",'Deal maths'!AC623))</f>
        <v/>
      </c>
      <c r="D623" s="108">
        <f>IF(OR(C623="EIP",C623="Annuity"),IF('Deal maths'!AD623="Annual",12,IF('Deal maths'!AD623="Quarterly",3,6)),0)</f>
        <v/>
      </c>
      <c r="E623" s="109">
        <f>IFERROR(IF(D623=0,0,IF('Deal maths'!AE623&gt;0,IF('Deal maths'!AE623&gt;'Deal maths'!AA623,'Deal maths'!AA623,'Deal maths'!AE623),IF(IF(DAY('Deal maths'!AA623+1)=1,EOMONTH('Deal maths'!AA623,-(INT(((YEAR('Deal maths'!AA623)-YEAR(IF('Deal maths'!Z623&gt;0,'Deal maths'!Z623,DATE(1990,1,1))))*12+MONTH('Deal maths'!AA623)-MONTH(IF('Deal maths'!Z623&gt;0,'Deal maths'!Z623,DATE(1990,1,1))))/D623))*D623),EDATE('Deal maths'!AA623,-(INT(((YEAR('Deal maths'!AA623)-YEAR(IF('Deal maths'!Z623&gt;0,'Deal maths'!Z623,DATE(1990,1,1))))*12+MONTH('Deal maths'!AA623)-MONTH(IF('Deal maths'!Z623&gt;0,'Deal maths'!Z623,DATE(1990,1,1))))/D623))*D623))&gt;IF('Deal maths'!Z623&gt;0,'Deal maths'!Z623,DATE(1990,1,1)),IF(DAY('Deal maths'!AA623+1)=1,EOMONTH('Deal maths'!AA623,-(INT(((YEAR('Deal maths'!AA623)-YEAR(IF('Deal maths'!Z623&gt;0,'Deal maths'!Z623,DATE(1990,1,1))))*12+MONTH('Deal maths'!AA623)-MONTH(IF('Deal maths'!Z623&gt;0,'Deal maths'!Z623,DATE(1990,1,1))))/D623))*D623),EDATE('Deal maths'!AA623,-(INT(((YEAR('Deal maths'!AA623)-YEAR(IF('Deal maths'!Z623&gt;0,'Deal maths'!Z623,DATE(1990,1,1))))*12+MONTH('Deal maths'!AA623)-MONTH(IF('Deal maths'!Z623&gt;0,'Deal maths'!Z623,DATE(1990,1,1))))/D623))*D623)),IF(DAY('Deal maths'!AA623+1)=1,EOMONTH('Deal maths'!AA623,-(INT(((YEAR('Deal maths'!AA623)-YEAR(IF('Deal maths'!Z623&gt;0,'Deal maths'!Z623,DATE(1990,1,1))))*12+MONTH('Deal maths'!AA623)-MONTH(IF('Deal maths'!Z623&gt;0,'Deal maths'!Z623,DATE(1990,1,1))))/D623)-1)*D623),EDATE('Deal maths'!AA623,-(INT(((YEAR('Deal maths'!AA623)-YEAR(IF('Deal maths'!Z623&gt;0,'Deal maths'!Z623,DATE(1990,1,1))))*12+MONTH('Deal maths'!AA623)-MONTH(IF('Deal maths'!Z623&gt;0,'Deal maths'!Z623,DATE(1990,1,1))))/D623)-1)*D623))))),0)</f>
        <v/>
      </c>
      <c r="F623" s="110">
        <f>IF(D623=0,0,'Deal maths'!AB623*D623/12)</f>
        <v/>
      </c>
      <c r="G623" s="108">
        <f>N623+O623</f>
        <v/>
      </c>
      <c r="H623" s="108">
        <f>IFERROR(IF(OR(D623=0,AsAt&lt;E623),0,MIN(N623,INT(((YEAR(AsAt)-YEAR(E623))*12+MONTH(AsAt)-MONTH(E623)-(DAY(AsAt)&lt;MIN(R623,DAY(EOMONTH(AsAt,0)))))/D623)+1)+O623*(AsAt&gt;='Deal maths'!AA623)),0)</f>
        <v/>
      </c>
      <c r="I623" s="108">
        <f>G623-H623</f>
        <v/>
      </c>
      <c r="J623" s="111">
        <f>IF(AND(C623="EIP",I623&gt;0),'Deal maths'!Y623/I623,0)</f>
        <v/>
      </c>
      <c r="K623" s="111">
        <f>IF(AND(C623="Annuity",I623&gt;0),IF(F623&gt;0,'Deal maths'!Y623*F623/(1-(1+F623)^-I623),'Deal maths'!Y623/I623),0)</f>
        <v/>
      </c>
      <c r="L623" s="111">
        <f>IF('Deal maths'!Y623="",0,'Deal maths'!Y623)</f>
        <v/>
      </c>
      <c r="M623" s="112">
        <f>F623+(F623=0)</f>
        <v/>
      </c>
      <c r="N623" s="108">
        <f>IFERROR(IF(D623=0,0,INT(((YEAR('Deal maths'!AA623)-YEAR(E623))*12+MONTH('Deal maths'!AA623)-MONTH(E623)-(DAY('Deal maths'!AA623)&lt;MIN(R623,DAY(EOMONTH('Deal maths'!AA623,0)))))/D623)+1),0)</f>
        <v/>
      </c>
      <c r="O623" s="108">
        <f>IFERROR(IF(D623=0,0,IF(IF(DAY(E623+1)=1,EOMONTH(E623,(N623-1)*D623),EDATE(E623,(N623-1)*D623))='Deal maths'!AA623,0,1)),0)</f>
        <v/>
      </c>
      <c r="P623" s="113">
        <f>IF(B623=0,0,IFERROR(IF(C623="EIP",((I623-O623)*((IF(DAY(E623+1)=1,EOMONTH(E623,H623*D623),EDATE(E623,H623*D623))-AsAt)/365.25+(IF(DAY(E623+1)=1,EOMONTH(E623,(N623-1)*D623),EDATE(E623,(N623-1)*D623))-AsAt)/365.25)/2+O623*('Deal maths'!AA623-AsAt)/365.25)/I623,IF(C623="Annuity",IF(F623&gt;0,((K623-L623*F623)*((IF(DAY(E623+1)=1,EOMONTH(E623,H623*D623),EDATE(E623,H623*D623))-AsAt)/365.25*((1+F623)^(I623-O623)-1)/F623+IF((I623-O623)&gt;1,((IF(DAY(E623+1)=1,EOMONTH(E623,(N623-1)*D623),EDATE(E623,(N623-1)*D623))-AsAt)/365.25-(IF(DAY(E623+1)=1,EOMONTH(E623,H623*D623),EDATE(E623,H623*D623))-AsAt)/365.25)/((I623-O623)-1),0)*(1+F623)*(1-(I623-O623)*(1+F623)^((I623-O623)-1)+((I623-O623)-1)*(1+F623)^(I623-O623))/F623^2)+O623*(K623-L623*F623)*(1+F623)^(I623-1)*('Deal maths'!AA623-AsAt)/365.25)/L623,((I623-O623)*((IF(DAY(E623+1)=1,EOMONTH(E623,H623*D623),EDATE(E623,H623*D623))-AsAt)/365.25+(IF(DAY(E623+1)=1,EOMONTH(E623,(N623-1)*D623),EDATE(E623,(N623-1)*D623))-AsAt)/365.25)/2+O623*('Deal maths'!AA623-AsAt)/365.25)/I623),(S623-AsAt)/365.25)),0))</f>
        <v/>
      </c>
      <c r="Q623" s="109">
        <f>IF(B623=1,'Deal maths'!AA623+ROW()/1000000,"")</f>
        <v/>
      </c>
      <c r="R623" s="108">
        <f>IF(D623=0,0,IF(DAY(E623+1)=1,31,DAY(E623)))</f>
        <v/>
      </c>
      <c r="S623" s="109">
        <f>IF(AND('Deal maths'!V623="LOBO",'Deal maths'!AG623&gt;AsAt,'Deal maths'!AG623&lt;'Deal maths'!AA623),'Deal maths'!AG623,'Deal maths'!AA623)</f>
        <v/>
      </c>
      <c r="T623" s="108">
        <f>('Deal maths'!AA623&gt;AsAt)*('Deal maths'!Y623&gt;0)</f>
        <v/>
      </c>
    </row>
    <row r="624">
      <c r="A624" s="91">
        <f>IF('Deal maths'!V624="","",'Deal maths'!W624)</f>
        <v/>
      </c>
      <c r="B624" s="108">
        <f>('Deal maths'!AA624&gt;AsAt)*('Deal maths'!Y624&gt;0)*('Deal maths'!Z624&lt;=AsAt)</f>
        <v/>
      </c>
      <c r="C624" s="91">
        <f>IF('Deal maths'!V624="","",IF('Deal maths'!AC624="","Maturity",'Deal maths'!AC624))</f>
        <v/>
      </c>
      <c r="D624" s="108">
        <f>IF(OR(C624="EIP",C624="Annuity"),IF('Deal maths'!AD624="Annual",12,IF('Deal maths'!AD624="Quarterly",3,6)),0)</f>
        <v/>
      </c>
      <c r="E624" s="109">
        <f>IFERROR(IF(D624=0,0,IF('Deal maths'!AE624&gt;0,IF('Deal maths'!AE624&gt;'Deal maths'!AA624,'Deal maths'!AA624,'Deal maths'!AE624),IF(IF(DAY('Deal maths'!AA624+1)=1,EOMONTH('Deal maths'!AA624,-(INT(((YEAR('Deal maths'!AA624)-YEAR(IF('Deal maths'!Z624&gt;0,'Deal maths'!Z624,DATE(1990,1,1))))*12+MONTH('Deal maths'!AA624)-MONTH(IF('Deal maths'!Z624&gt;0,'Deal maths'!Z624,DATE(1990,1,1))))/D624))*D624),EDATE('Deal maths'!AA624,-(INT(((YEAR('Deal maths'!AA624)-YEAR(IF('Deal maths'!Z624&gt;0,'Deal maths'!Z624,DATE(1990,1,1))))*12+MONTH('Deal maths'!AA624)-MONTH(IF('Deal maths'!Z624&gt;0,'Deal maths'!Z624,DATE(1990,1,1))))/D624))*D624))&gt;IF('Deal maths'!Z624&gt;0,'Deal maths'!Z624,DATE(1990,1,1)),IF(DAY('Deal maths'!AA624+1)=1,EOMONTH('Deal maths'!AA624,-(INT(((YEAR('Deal maths'!AA624)-YEAR(IF('Deal maths'!Z624&gt;0,'Deal maths'!Z624,DATE(1990,1,1))))*12+MONTH('Deal maths'!AA624)-MONTH(IF('Deal maths'!Z624&gt;0,'Deal maths'!Z624,DATE(1990,1,1))))/D624))*D624),EDATE('Deal maths'!AA624,-(INT(((YEAR('Deal maths'!AA624)-YEAR(IF('Deal maths'!Z624&gt;0,'Deal maths'!Z624,DATE(1990,1,1))))*12+MONTH('Deal maths'!AA624)-MONTH(IF('Deal maths'!Z624&gt;0,'Deal maths'!Z624,DATE(1990,1,1))))/D624))*D624)),IF(DAY('Deal maths'!AA624+1)=1,EOMONTH('Deal maths'!AA624,-(INT(((YEAR('Deal maths'!AA624)-YEAR(IF('Deal maths'!Z624&gt;0,'Deal maths'!Z624,DATE(1990,1,1))))*12+MONTH('Deal maths'!AA624)-MONTH(IF('Deal maths'!Z624&gt;0,'Deal maths'!Z624,DATE(1990,1,1))))/D624)-1)*D624),EDATE('Deal maths'!AA624,-(INT(((YEAR('Deal maths'!AA624)-YEAR(IF('Deal maths'!Z624&gt;0,'Deal maths'!Z624,DATE(1990,1,1))))*12+MONTH('Deal maths'!AA624)-MONTH(IF('Deal maths'!Z624&gt;0,'Deal maths'!Z624,DATE(1990,1,1))))/D624)-1)*D624))))),0)</f>
        <v/>
      </c>
      <c r="F624" s="110">
        <f>IF(D624=0,0,'Deal maths'!AB624*D624/12)</f>
        <v/>
      </c>
      <c r="G624" s="108">
        <f>N624+O624</f>
        <v/>
      </c>
      <c r="H624" s="108">
        <f>IFERROR(IF(OR(D624=0,AsAt&lt;E624),0,MIN(N624,INT(((YEAR(AsAt)-YEAR(E624))*12+MONTH(AsAt)-MONTH(E624)-(DAY(AsAt)&lt;MIN(R624,DAY(EOMONTH(AsAt,0)))))/D624)+1)+O624*(AsAt&gt;='Deal maths'!AA624)),0)</f>
        <v/>
      </c>
      <c r="I624" s="108">
        <f>G624-H624</f>
        <v/>
      </c>
      <c r="J624" s="111">
        <f>IF(AND(C624="EIP",I624&gt;0),'Deal maths'!Y624/I624,0)</f>
        <v/>
      </c>
      <c r="K624" s="111">
        <f>IF(AND(C624="Annuity",I624&gt;0),IF(F624&gt;0,'Deal maths'!Y624*F624/(1-(1+F624)^-I624),'Deal maths'!Y624/I624),0)</f>
        <v/>
      </c>
      <c r="L624" s="111">
        <f>IF('Deal maths'!Y624="",0,'Deal maths'!Y624)</f>
        <v/>
      </c>
      <c r="M624" s="112">
        <f>F624+(F624=0)</f>
        <v/>
      </c>
      <c r="N624" s="108">
        <f>IFERROR(IF(D624=0,0,INT(((YEAR('Deal maths'!AA624)-YEAR(E624))*12+MONTH('Deal maths'!AA624)-MONTH(E624)-(DAY('Deal maths'!AA624)&lt;MIN(R624,DAY(EOMONTH('Deal maths'!AA624,0)))))/D624)+1),0)</f>
        <v/>
      </c>
      <c r="O624" s="108">
        <f>IFERROR(IF(D624=0,0,IF(IF(DAY(E624+1)=1,EOMONTH(E624,(N624-1)*D624),EDATE(E624,(N624-1)*D624))='Deal maths'!AA624,0,1)),0)</f>
        <v/>
      </c>
      <c r="P624" s="113">
        <f>IF(B624=0,0,IFERROR(IF(C624="EIP",((I624-O624)*((IF(DAY(E624+1)=1,EOMONTH(E624,H624*D624),EDATE(E624,H624*D624))-AsAt)/365.25+(IF(DAY(E624+1)=1,EOMONTH(E624,(N624-1)*D624),EDATE(E624,(N624-1)*D624))-AsAt)/365.25)/2+O624*('Deal maths'!AA624-AsAt)/365.25)/I624,IF(C624="Annuity",IF(F624&gt;0,((K624-L624*F624)*((IF(DAY(E624+1)=1,EOMONTH(E624,H624*D624),EDATE(E624,H624*D624))-AsAt)/365.25*((1+F624)^(I624-O624)-1)/F624+IF((I624-O624)&gt;1,((IF(DAY(E624+1)=1,EOMONTH(E624,(N624-1)*D624),EDATE(E624,(N624-1)*D624))-AsAt)/365.25-(IF(DAY(E624+1)=1,EOMONTH(E624,H624*D624),EDATE(E624,H624*D624))-AsAt)/365.25)/((I624-O624)-1),0)*(1+F624)*(1-(I624-O624)*(1+F624)^((I624-O624)-1)+((I624-O624)-1)*(1+F624)^(I624-O624))/F624^2)+O624*(K624-L624*F624)*(1+F624)^(I624-1)*('Deal maths'!AA624-AsAt)/365.25)/L624,((I624-O624)*((IF(DAY(E624+1)=1,EOMONTH(E624,H624*D624),EDATE(E624,H624*D624))-AsAt)/365.25+(IF(DAY(E624+1)=1,EOMONTH(E624,(N624-1)*D624),EDATE(E624,(N624-1)*D624))-AsAt)/365.25)/2+O624*('Deal maths'!AA624-AsAt)/365.25)/I624),(S624-AsAt)/365.25)),0))</f>
        <v/>
      </c>
      <c r="Q624" s="109">
        <f>IF(B624=1,'Deal maths'!AA624+ROW()/1000000,"")</f>
        <v/>
      </c>
      <c r="R624" s="108">
        <f>IF(D624=0,0,IF(DAY(E624+1)=1,31,DAY(E624)))</f>
        <v/>
      </c>
      <c r="S624" s="109">
        <f>IF(AND('Deal maths'!V624="LOBO",'Deal maths'!AG624&gt;AsAt,'Deal maths'!AG624&lt;'Deal maths'!AA624),'Deal maths'!AG624,'Deal maths'!AA624)</f>
        <v/>
      </c>
      <c r="T624" s="108">
        <f>('Deal maths'!AA624&gt;AsAt)*('Deal maths'!Y624&gt;0)</f>
        <v/>
      </c>
    </row>
    <row r="625">
      <c r="A625" s="91">
        <f>IF('Deal maths'!V625="","",'Deal maths'!W625)</f>
        <v/>
      </c>
      <c r="B625" s="108">
        <f>('Deal maths'!AA625&gt;AsAt)*('Deal maths'!Y625&gt;0)*('Deal maths'!Z625&lt;=AsAt)</f>
        <v/>
      </c>
      <c r="C625" s="91">
        <f>IF('Deal maths'!V625="","",IF('Deal maths'!AC625="","Maturity",'Deal maths'!AC625))</f>
        <v/>
      </c>
      <c r="D625" s="108">
        <f>IF(OR(C625="EIP",C625="Annuity"),IF('Deal maths'!AD625="Annual",12,IF('Deal maths'!AD625="Quarterly",3,6)),0)</f>
        <v/>
      </c>
      <c r="E625" s="109">
        <f>IFERROR(IF(D625=0,0,IF('Deal maths'!AE625&gt;0,IF('Deal maths'!AE625&gt;'Deal maths'!AA625,'Deal maths'!AA625,'Deal maths'!AE625),IF(IF(DAY('Deal maths'!AA625+1)=1,EOMONTH('Deal maths'!AA625,-(INT(((YEAR('Deal maths'!AA625)-YEAR(IF('Deal maths'!Z625&gt;0,'Deal maths'!Z625,DATE(1990,1,1))))*12+MONTH('Deal maths'!AA625)-MONTH(IF('Deal maths'!Z625&gt;0,'Deal maths'!Z625,DATE(1990,1,1))))/D625))*D625),EDATE('Deal maths'!AA625,-(INT(((YEAR('Deal maths'!AA625)-YEAR(IF('Deal maths'!Z625&gt;0,'Deal maths'!Z625,DATE(1990,1,1))))*12+MONTH('Deal maths'!AA625)-MONTH(IF('Deal maths'!Z625&gt;0,'Deal maths'!Z625,DATE(1990,1,1))))/D625))*D625))&gt;IF('Deal maths'!Z625&gt;0,'Deal maths'!Z625,DATE(1990,1,1)),IF(DAY('Deal maths'!AA625+1)=1,EOMONTH('Deal maths'!AA625,-(INT(((YEAR('Deal maths'!AA625)-YEAR(IF('Deal maths'!Z625&gt;0,'Deal maths'!Z625,DATE(1990,1,1))))*12+MONTH('Deal maths'!AA625)-MONTH(IF('Deal maths'!Z625&gt;0,'Deal maths'!Z625,DATE(1990,1,1))))/D625))*D625),EDATE('Deal maths'!AA625,-(INT(((YEAR('Deal maths'!AA625)-YEAR(IF('Deal maths'!Z625&gt;0,'Deal maths'!Z625,DATE(1990,1,1))))*12+MONTH('Deal maths'!AA625)-MONTH(IF('Deal maths'!Z625&gt;0,'Deal maths'!Z625,DATE(1990,1,1))))/D625))*D625)),IF(DAY('Deal maths'!AA625+1)=1,EOMONTH('Deal maths'!AA625,-(INT(((YEAR('Deal maths'!AA625)-YEAR(IF('Deal maths'!Z625&gt;0,'Deal maths'!Z625,DATE(1990,1,1))))*12+MONTH('Deal maths'!AA625)-MONTH(IF('Deal maths'!Z625&gt;0,'Deal maths'!Z625,DATE(1990,1,1))))/D625)-1)*D625),EDATE('Deal maths'!AA625,-(INT(((YEAR('Deal maths'!AA625)-YEAR(IF('Deal maths'!Z625&gt;0,'Deal maths'!Z625,DATE(1990,1,1))))*12+MONTH('Deal maths'!AA625)-MONTH(IF('Deal maths'!Z625&gt;0,'Deal maths'!Z625,DATE(1990,1,1))))/D625)-1)*D625))))),0)</f>
        <v/>
      </c>
      <c r="F625" s="110">
        <f>IF(D625=0,0,'Deal maths'!AB625*D625/12)</f>
        <v/>
      </c>
      <c r="G625" s="108">
        <f>N625+O625</f>
        <v/>
      </c>
      <c r="H625" s="108">
        <f>IFERROR(IF(OR(D625=0,AsAt&lt;E625),0,MIN(N625,INT(((YEAR(AsAt)-YEAR(E625))*12+MONTH(AsAt)-MONTH(E625)-(DAY(AsAt)&lt;MIN(R625,DAY(EOMONTH(AsAt,0)))))/D625)+1)+O625*(AsAt&gt;='Deal maths'!AA625)),0)</f>
        <v/>
      </c>
      <c r="I625" s="108">
        <f>G625-H625</f>
        <v/>
      </c>
      <c r="J625" s="111">
        <f>IF(AND(C625="EIP",I625&gt;0),'Deal maths'!Y625/I625,0)</f>
        <v/>
      </c>
      <c r="K625" s="111">
        <f>IF(AND(C625="Annuity",I625&gt;0),IF(F625&gt;0,'Deal maths'!Y625*F625/(1-(1+F625)^-I625),'Deal maths'!Y625/I625),0)</f>
        <v/>
      </c>
      <c r="L625" s="111">
        <f>IF('Deal maths'!Y625="",0,'Deal maths'!Y625)</f>
        <v/>
      </c>
      <c r="M625" s="112">
        <f>F625+(F625=0)</f>
        <v/>
      </c>
      <c r="N625" s="108">
        <f>IFERROR(IF(D625=0,0,INT(((YEAR('Deal maths'!AA625)-YEAR(E625))*12+MONTH('Deal maths'!AA625)-MONTH(E625)-(DAY('Deal maths'!AA625)&lt;MIN(R625,DAY(EOMONTH('Deal maths'!AA625,0)))))/D625)+1),0)</f>
        <v/>
      </c>
      <c r="O625" s="108">
        <f>IFERROR(IF(D625=0,0,IF(IF(DAY(E625+1)=1,EOMONTH(E625,(N625-1)*D625),EDATE(E625,(N625-1)*D625))='Deal maths'!AA625,0,1)),0)</f>
        <v/>
      </c>
      <c r="P625" s="113">
        <f>IF(B625=0,0,IFERROR(IF(C625="EIP",((I625-O625)*((IF(DAY(E625+1)=1,EOMONTH(E625,H625*D625),EDATE(E625,H625*D625))-AsAt)/365.25+(IF(DAY(E625+1)=1,EOMONTH(E625,(N625-1)*D625),EDATE(E625,(N625-1)*D625))-AsAt)/365.25)/2+O625*('Deal maths'!AA625-AsAt)/365.25)/I625,IF(C625="Annuity",IF(F625&gt;0,((K625-L625*F625)*((IF(DAY(E625+1)=1,EOMONTH(E625,H625*D625),EDATE(E625,H625*D625))-AsAt)/365.25*((1+F625)^(I625-O625)-1)/F625+IF((I625-O625)&gt;1,((IF(DAY(E625+1)=1,EOMONTH(E625,(N625-1)*D625),EDATE(E625,(N625-1)*D625))-AsAt)/365.25-(IF(DAY(E625+1)=1,EOMONTH(E625,H625*D625),EDATE(E625,H625*D625))-AsAt)/365.25)/((I625-O625)-1),0)*(1+F625)*(1-(I625-O625)*(1+F625)^((I625-O625)-1)+((I625-O625)-1)*(1+F625)^(I625-O625))/F625^2)+O625*(K625-L625*F625)*(1+F625)^(I625-1)*('Deal maths'!AA625-AsAt)/365.25)/L625,((I625-O625)*((IF(DAY(E625+1)=1,EOMONTH(E625,H625*D625),EDATE(E625,H625*D625))-AsAt)/365.25+(IF(DAY(E625+1)=1,EOMONTH(E625,(N625-1)*D625),EDATE(E625,(N625-1)*D625))-AsAt)/365.25)/2+O625*('Deal maths'!AA625-AsAt)/365.25)/I625),(S625-AsAt)/365.25)),0))</f>
        <v/>
      </c>
      <c r="Q625" s="109">
        <f>IF(B625=1,'Deal maths'!AA625+ROW()/1000000,"")</f>
        <v/>
      </c>
      <c r="R625" s="108">
        <f>IF(D625=0,0,IF(DAY(E625+1)=1,31,DAY(E625)))</f>
        <v/>
      </c>
      <c r="S625" s="109">
        <f>IF(AND('Deal maths'!V625="LOBO",'Deal maths'!AG625&gt;AsAt,'Deal maths'!AG625&lt;'Deal maths'!AA625),'Deal maths'!AG625,'Deal maths'!AA625)</f>
        <v/>
      </c>
      <c r="T625" s="108">
        <f>('Deal maths'!AA625&gt;AsAt)*('Deal maths'!Y625&gt;0)</f>
        <v/>
      </c>
    </row>
    <row r="626">
      <c r="A626" s="91">
        <f>IF('Deal maths'!V626="","",'Deal maths'!W626)</f>
        <v/>
      </c>
      <c r="B626" s="108">
        <f>('Deal maths'!AA626&gt;AsAt)*('Deal maths'!Y626&gt;0)*('Deal maths'!Z626&lt;=AsAt)</f>
        <v/>
      </c>
      <c r="C626" s="91">
        <f>IF('Deal maths'!V626="","",IF('Deal maths'!AC626="","Maturity",'Deal maths'!AC626))</f>
        <v/>
      </c>
      <c r="D626" s="108">
        <f>IF(OR(C626="EIP",C626="Annuity"),IF('Deal maths'!AD626="Annual",12,IF('Deal maths'!AD626="Quarterly",3,6)),0)</f>
        <v/>
      </c>
      <c r="E626" s="109">
        <f>IFERROR(IF(D626=0,0,IF('Deal maths'!AE626&gt;0,IF('Deal maths'!AE626&gt;'Deal maths'!AA626,'Deal maths'!AA626,'Deal maths'!AE626),IF(IF(DAY('Deal maths'!AA626+1)=1,EOMONTH('Deal maths'!AA626,-(INT(((YEAR('Deal maths'!AA626)-YEAR(IF('Deal maths'!Z626&gt;0,'Deal maths'!Z626,DATE(1990,1,1))))*12+MONTH('Deal maths'!AA626)-MONTH(IF('Deal maths'!Z626&gt;0,'Deal maths'!Z626,DATE(1990,1,1))))/D626))*D626),EDATE('Deal maths'!AA626,-(INT(((YEAR('Deal maths'!AA626)-YEAR(IF('Deal maths'!Z626&gt;0,'Deal maths'!Z626,DATE(1990,1,1))))*12+MONTH('Deal maths'!AA626)-MONTH(IF('Deal maths'!Z626&gt;0,'Deal maths'!Z626,DATE(1990,1,1))))/D626))*D626))&gt;IF('Deal maths'!Z626&gt;0,'Deal maths'!Z626,DATE(1990,1,1)),IF(DAY('Deal maths'!AA626+1)=1,EOMONTH('Deal maths'!AA626,-(INT(((YEAR('Deal maths'!AA626)-YEAR(IF('Deal maths'!Z626&gt;0,'Deal maths'!Z626,DATE(1990,1,1))))*12+MONTH('Deal maths'!AA626)-MONTH(IF('Deal maths'!Z626&gt;0,'Deal maths'!Z626,DATE(1990,1,1))))/D626))*D626),EDATE('Deal maths'!AA626,-(INT(((YEAR('Deal maths'!AA626)-YEAR(IF('Deal maths'!Z626&gt;0,'Deal maths'!Z626,DATE(1990,1,1))))*12+MONTH('Deal maths'!AA626)-MONTH(IF('Deal maths'!Z626&gt;0,'Deal maths'!Z626,DATE(1990,1,1))))/D626))*D626)),IF(DAY('Deal maths'!AA626+1)=1,EOMONTH('Deal maths'!AA626,-(INT(((YEAR('Deal maths'!AA626)-YEAR(IF('Deal maths'!Z626&gt;0,'Deal maths'!Z626,DATE(1990,1,1))))*12+MONTH('Deal maths'!AA626)-MONTH(IF('Deal maths'!Z626&gt;0,'Deal maths'!Z626,DATE(1990,1,1))))/D626)-1)*D626),EDATE('Deal maths'!AA626,-(INT(((YEAR('Deal maths'!AA626)-YEAR(IF('Deal maths'!Z626&gt;0,'Deal maths'!Z626,DATE(1990,1,1))))*12+MONTH('Deal maths'!AA626)-MONTH(IF('Deal maths'!Z626&gt;0,'Deal maths'!Z626,DATE(1990,1,1))))/D626)-1)*D626))))),0)</f>
        <v/>
      </c>
      <c r="F626" s="110">
        <f>IF(D626=0,0,'Deal maths'!AB626*D626/12)</f>
        <v/>
      </c>
      <c r="G626" s="108">
        <f>N626+O626</f>
        <v/>
      </c>
      <c r="H626" s="108">
        <f>IFERROR(IF(OR(D626=0,AsAt&lt;E626),0,MIN(N626,INT(((YEAR(AsAt)-YEAR(E626))*12+MONTH(AsAt)-MONTH(E626)-(DAY(AsAt)&lt;MIN(R626,DAY(EOMONTH(AsAt,0)))))/D626)+1)+O626*(AsAt&gt;='Deal maths'!AA626)),0)</f>
        <v/>
      </c>
      <c r="I626" s="108">
        <f>G626-H626</f>
        <v/>
      </c>
      <c r="J626" s="111">
        <f>IF(AND(C626="EIP",I626&gt;0),'Deal maths'!Y626/I626,0)</f>
        <v/>
      </c>
      <c r="K626" s="111">
        <f>IF(AND(C626="Annuity",I626&gt;0),IF(F626&gt;0,'Deal maths'!Y626*F626/(1-(1+F626)^-I626),'Deal maths'!Y626/I626),0)</f>
        <v/>
      </c>
      <c r="L626" s="111">
        <f>IF('Deal maths'!Y626="",0,'Deal maths'!Y626)</f>
        <v/>
      </c>
      <c r="M626" s="112">
        <f>F626+(F626=0)</f>
        <v/>
      </c>
      <c r="N626" s="108">
        <f>IFERROR(IF(D626=0,0,INT(((YEAR('Deal maths'!AA626)-YEAR(E626))*12+MONTH('Deal maths'!AA626)-MONTH(E626)-(DAY('Deal maths'!AA626)&lt;MIN(R626,DAY(EOMONTH('Deal maths'!AA626,0)))))/D626)+1),0)</f>
        <v/>
      </c>
      <c r="O626" s="108">
        <f>IFERROR(IF(D626=0,0,IF(IF(DAY(E626+1)=1,EOMONTH(E626,(N626-1)*D626),EDATE(E626,(N626-1)*D626))='Deal maths'!AA626,0,1)),0)</f>
        <v/>
      </c>
      <c r="P626" s="113">
        <f>IF(B626=0,0,IFERROR(IF(C626="EIP",((I626-O626)*((IF(DAY(E626+1)=1,EOMONTH(E626,H626*D626),EDATE(E626,H626*D626))-AsAt)/365.25+(IF(DAY(E626+1)=1,EOMONTH(E626,(N626-1)*D626),EDATE(E626,(N626-1)*D626))-AsAt)/365.25)/2+O626*('Deal maths'!AA626-AsAt)/365.25)/I626,IF(C626="Annuity",IF(F626&gt;0,((K626-L626*F626)*((IF(DAY(E626+1)=1,EOMONTH(E626,H626*D626),EDATE(E626,H626*D626))-AsAt)/365.25*((1+F626)^(I626-O626)-1)/F626+IF((I626-O626)&gt;1,((IF(DAY(E626+1)=1,EOMONTH(E626,(N626-1)*D626),EDATE(E626,(N626-1)*D626))-AsAt)/365.25-(IF(DAY(E626+1)=1,EOMONTH(E626,H626*D626),EDATE(E626,H626*D626))-AsAt)/365.25)/((I626-O626)-1),0)*(1+F626)*(1-(I626-O626)*(1+F626)^((I626-O626)-1)+((I626-O626)-1)*(1+F626)^(I626-O626))/F626^2)+O626*(K626-L626*F626)*(1+F626)^(I626-1)*('Deal maths'!AA626-AsAt)/365.25)/L626,((I626-O626)*((IF(DAY(E626+1)=1,EOMONTH(E626,H626*D626),EDATE(E626,H626*D626))-AsAt)/365.25+(IF(DAY(E626+1)=1,EOMONTH(E626,(N626-1)*D626),EDATE(E626,(N626-1)*D626))-AsAt)/365.25)/2+O626*('Deal maths'!AA626-AsAt)/365.25)/I626),(S626-AsAt)/365.25)),0))</f>
        <v/>
      </c>
      <c r="Q626" s="109">
        <f>IF(B626=1,'Deal maths'!AA626+ROW()/1000000,"")</f>
        <v/>
      </c>
      <c r="R626" s="108">
        <f>IF(D626=0,0,IF(DAY(E626+1)=1,31,DAY(E626)))</f>
        <v/>
      </c>
      <c r="S626" s="109">
        <f>IF(AND('Deal maths'!V626="LOBO",'Deal maths'!AG626&gt;AsAt,'Deal maths'!AG626&lt;'Deal maths'!AA626),'Deal maths'!AG626,'Deal maths'!AA626)</f>
        <v/>
      </c>
      <c r="T626" s="108">
        <f>('Deal maths'!AA626&gt;AsAt)*('Deal maths'!Y626&gt;0)</f>
        <v/>
      </c>
    </row>
    <row r="627">
      <c r="A627" s="91">
        <f>IF('Deal maths'!V627="","",'Deal maths'!W627)</f>
        <v/>
      </c>
      <c r="B627" s="108">
        <f>('Deal maths'!AA627&gt;AsAt)*('Deal maths'!Y627&gt;0)*('Deal maths'!Z627&lt;=AsAt)</f>
        <v/>
      </c>
      <c r="C627" s="91">
        <f>IF('Deal maths'!V627="","",IF('Deal maths'!AC627="","Maturity",'Deal maths'!AC627))</f>
        <v/>
      </c>
      <c r="D627" s="108">
        <f>IF(OR(C627="EIP",C627="Annuity"),IF('Deal maths'!AD627="Annual",12,IF('Deal maths'!AD627="Quarterly",3,6)),0)</f>
        <v/>
      </c>
      <c r="E627" s="109">
        <f>IFERROR(IF(D627=0,0,IF('Deal maths'!AE627&gt;0,IF('Deal maths'!AE627&gt;'Deal maths'!AA627,'Deal maths'!AA627,'Deal maths'!AE627),IF(IF(DAY('Deal maths'!AA627+1)=1,EOMONTH('Deal maths'!AA627,-(INT(((YEAR('Deal maths'!AA627)-YEAR(IF('Deal maths'!Z627&gt;0,'Deal maths'!Z627,DATE(1990,1,1))))*12+MONTH('Deal maths'!AA627)-MONTH(IF('Deal maths'!Z627&gt;0,'Deal maths'!Z627,DATE(1990,1,1))))/D627))*D627),EDATE('Deal maths'!AA627,-(INT(((YEAR('Deal maths'!AA627)-YEAR(IF('Deal maths'!Z627&gt;0,'Deal maths'!Z627,DATE(1990,1,1))))*12+MONTH('Deal maths'!AA627)-MONTH(IF('Deal maths'!Z627&gt;0,'Deal maths'!Z627,DATE(1990,1,1))))/D627))*D627))&gt;IF('Deal maths'!Z627&gt;0,'Deal maths'!Z627,DATE(1990,1,1)),IF(DAY('Deal maths'!AA627+1)=1,EOMONTH('Deal maths'!AA627,-(INT(((YEAR('Deal maths'!AA627)-YEAR(IF('Deal maths'!Z627&gt;0,'Deal maths'!Z627,DATE(1990,1,1))))*12+MONTH('Deal maths'!AA627)-MONTH(IF('Deal maths'!Z627&gt;0,'Deal maths'!Z627,DATE(1990,1,1))))/D627))*D627),EDATE('Deal maths'!AA627,-(INT(((YEAR('Deal maths'!AA627)-YEAR(IF('Deal maths'!Z627&gt;0,'Deal maths'!Z627,DATE(1990,1,1))))*12+MONTH('Deal maths'!AA627)-MONTH(IF('Deal maths'!Z627&gt;0,'Deal maths'!Z627,DATE(1990,1,1))))/D627))*D627)),IF(DAY('Deal maths'!AA627+1)=1,EOMONTH('Deal maths'!AA627,-(INT(((YEAR('Deal maths'!AA627)-YEAR(IF('Deal maths'!Z627&gt;0,'Deal maths'!Z627,DATE(1990,1,1))))*12+MONTH('Deal maths'!AA627)-MONTH(IF('Deal maths'!Z627&gt;0,'Deal maths'!Z627,DATE(1990,1,1))))/D627)-1)*D627),EDATE('Deal maths'!AA627,-(INT(((YEAR('Deal maths'!AA627)-YEAR(IF('Deal maths'!Z627&gt;0,'Deal maths'!Z627,DATE(1990,1,1))))*12+MONTH('Deal maths'!AA627)-MONTH(IF('Deal maths'!Z627&gt;0,'Deal maths'!Z627,DATE(1990,1,1))))/D627)-1)*D627))))),0)</f>
        <v/>
      </c>
      <c r="F627" s="110">
        <f>IF(D627=0,0,'Deal maths'!AB627*D627/12)</f>
        <v/>
      </c>
      <c r="G627" s="108">
        <f>N627+O627</f>
        <v/>
      </c>
      <c r="H627" s="108">
        <f>IFERROR(IF(OR(D627=0,AsAt&lt;E627),0,MIN(N627,INT(((YEAR(AsAt)-YEAR(E627))*12+MONTH(AsAt)-MONTH(E627)-(DAY(AsAt)&lt;MIN(R627,DAY(EOMONTH(AsAt,0)))))/D627)+1)+O627*(AsAt&gt;='Deal maths'!AA627)),0)</f>
        <v/>
      </c>
      <c r="I627" s="108">
        <f>G627-H627</f>
        <v/>
      </c>
      <c r="J627" s="111">
        <f>IF(AND(C627="EIP",I627&gt;0),'Deal maths'!Y627/I627,0)</f>
        <v/>
      </c>
      <c r="K627" s="111">
        <f>IF(AND(C627="Annuity",I627&gt;0),IF(F627&gt;0,'Deal maths'!Y627*F627/(1-(1+F627)^-I627),'Deal maths'!Y627/I627),0)</f>
        <v/>
      </c>
      <c r="L627" s="111">
        <f>IF('Deal maths'!Y627="",0,'Deal maths'!Y627)</f>
        <v/>
      </c>
      <c r="M627" s="112">
        <f>F627+(F627=0)</f>
        <v/>
      </c>
      <c r="N627" s="108">
        <f>IFERROR(IF(D627=0,0,INT(((YEAR('Deal maths'!AA627)-YEAR(E627))*12+MONTH('Deal maths'!AA627)-MONTH(E627)-(DAY('Deal maths'!AA627)&lt;MIN(R627,DAY(EOMONTH('Deal maths'!AA627,0)))))/D627)+1),0)</f>
        <v/>
      </c>
      <c r="O627" s="108">
        <f>IFERROR(IF(D627=0,0,IF(IF(DAY(E627+1)=1,EOMONTH(E627,(N627-1)*D627),EDATE(E627,(N627-1)*D627))='Deal maths'!AA627,0,1)),0)</f>
        <v/>
      </c>
      <c r="P627" s="113">
        <f>IF(B627=0,0,IFERROR(IF(C627="EIP",((I627-O627)*((IF(DAY(E627+1)=1,EOMONTH(E627,H627*D627),EDATE(E627,H627*D627))-AsAt)/365.25+(IF(DAY(E627+1)=1,EOMONTH(E627,(N627-1)*D627),EDATE(E627,(N627-1)*D627))-AsAt)/365.25)/2+O627*('Deal maths'!AA627-AsAt)/365.25)/I627,IF(C627="Annuity",IF(F627&gt;0,((K627-L627*F627)*((IF(DAY(E627+1)=1,EOMONTH(E627,H627*D627),EDATE(E627,H627*D627))-AsAt)/365.25*((1+F627)^(I627-O627)-1)/F627+IF((I627-O627)&gt;1,((IF(DAY(E627+1)=1,EOMONTH(E627,(N627-1)*D627),EDATE(E627,(N627-1)*D627))-AsAt)/365.25-(IF(DAY(E627+1)=1,EOMONTH(E627,H627*D627),EDATE(E627,H627*D627))-AsAt)/365.25)/((I627-O627)-1),0)*(1+F627)*(1-(I627-O627)*(1+F627)^((I627-O627)-1)+((I627-O627)-1)*(1+F627)^(I627-O627))/F627^2)+O627*(K627-L627*F627)*(1+F627)^(I627-1)*('Deal maths'!AA627-AsAt)/365.25)/L627,((I627-O627)*((IF(DAY(E627+1)=1,EOMONTH(E627,H627*D627),EDATE(E627,H627*D627))-AsAt)/365.25+(IF(DAY(E627+1)=1,EOMONTH(E627,(N627-1)*D627),EDATE(E627,(N627-1)*D627))-AsAt)/365.25)/2+O627*('Deal maths'!AA627-AsAt)/365.25)/I627),(S627-AsAt)/365.25)),0))</f>
        <v/>
      </c>
      <c r="Q627" s="109">
        <f>IF(B627=1,'Deal maths'!AA627+ROW()/1000000,"")</f>
        <v/>
      </c>
      <c r="R627" s="108">
        <f>IF(D627=0,0,IF(DAY(E627+1)=1,31,DAY(E627)))</f>
        <v/>
      </c>
      <c r="S627" s="109">
        <f>IF(AND('Deal maths'!V627="LOBO",'Deal maths'!AG627&gt;AsAt,'Deal maths'!AG627&lt;'Deal maths'!AA627),'Deal maths'!AG627,'Deal maths'!AA627)</f>
        <v/>
      </c>
      <c r="T627" s="108">
        <f>('Deal maths'!AA627&gt;AsAt)*('Deal maths'!Y627&gt;0)</f>
        <v/>
      </c>
    </row>
    <row r="628">
      <c r="A628" s="91">
        <f>IF('Deal maths'!V628="","",'Deal maths'!W628)</f>
        <v/>
      </c>
      <c r="B628" s="108">
        <f>('Deal maths'!AA628&gt;AsAt)*('Deal maths'!Y628&gt;0)*('Deal maths'!Z628&lt;=AsAt)</f>
        <v/>
      </c>
      <c r="C628" s="91">
        <f>IF('Deal maths'!V628="","",IF('Deal maths'!AC628="","Maturity",'Deal maths'!AC628))</f>
        <v/>
      </c>
      <c r="D628" s="108">
        <f>IF(OR(C628="EIP",C628="Annuity"),IF('Deal maths'!AD628="Annual",12,IF('Deal maths'!AD628="Quarterly",3,6)),0)</f>
        <v/>
      </c>
      <c r="E628" s="109">
        <f>IFERROR(IF(D628=0,0,IF('Deal maths'!AE628&gt;0,IF('Deal maths'!AE628&gt;'Deal maths'!AA628,'Deal maths'!AA628,'Deal maths'!AE628),IF(IF(DAY('Deal maths'!AA628+1)=1,EOMONTH('Deal maths'!AA628,-(INT(((YEAR('Deal maths'!AA628)-YEAR(IF('Deal maths'!Z628&gt;0,'Deal maths'!Z628,DATE(1990,1,1))))*12+MONTH('Deal maths'!AA628)-MONTH(IF('Deal maths'!Z628&gt;0,'Deal maths'!Z628,DATE(1990,1,1))))/D628))*D628),EDATE('Deal maths'!AA628,-(INT(((YEAR('Deal maths'!AA628)-YEAR(IF('Deal maths'!Z628&gt;0,'Deal maths'!Z628,DATE(1990,1,1))))*12+MONTH('Deal maths'!AA628)-MONTH(IF('Deal maths'!Z628&gt;0,'Deal maths'!Z628,DATE(1990,1,1))))/D628))*D628))&gt;IF('Deal maths'!Z628&gt;0,'Deal maths'!Z628,DATE(1990,1,1)),IF(DAY('Deal maths'!AA628+1)=1,EOMONTH('Deal maths'!AA628,-(INT(((YEAR('Deal maths'!AA628)-YEAR(IF('Deal maths'!Z628&gt;0,'Deal maths'!Z628,DATE(1990,1,1))))*12+MONTH('Deal maths'!AA628)-MONTH(IF('Deal maths'!Z628&gt;0,'Deal maths'!Z628,DATE(1990,1,1))))/D628))*D628),EDATE('Deal maths'!AA628,-(INT(((YEAR('Deal maths'!AA628)-YEAR(IF('Deal maths'!Z628&gt;0,'Deal maths'!Z628,DATE(1990,1,1))))*12+MONTH('Deal maths'!AA628)-MONTH(IF('Deal maths'!Z628&gt;0,'Deal maths'!Z628,DATE(1990,1,1))))/D628))*D628)),IF(DAY('Deal maths'!AA628+1)=1,EOMONTH('Deal maths'!AA628,-(INT(((YEAR('Deal maths'!AA628)-YEAR(IF('Deal maths'!Z628&gt;0,'Deal maths'!Z628,DATE(1990,1,1))))*12+MONTH('Deal maths'!AA628)-MONTH(IF('Deal maths'!Z628&gt;0,'Deal maths'!Z628,DATE(1990,1,1))))/D628)-1)*D628),EDATE('Deal maths'!AA628,-(INT(((YEAR('Deal maths'!AA628)-YEAR(IF('Deal maths'!Z628&gt;0,'Deal maths'!Z628,DATE(1990,1,1))))*12+MONTH('Deal maths'!AA628)-MONTH(IF('Deal maths'!Z628&gt;0,'Deal maths'!Z628,DATE(1990,1,1))))/D628)-1)*D628))))),0)</f>
        <v/>
      </c>
      <c r="F628" s="110">
        <f>IF(D628=0,0,'Deal maths'!AB628*D628/12)</f>
        <v/>
      </c>
      <c r="G628" s="108">
        <f>N628+O628</f>
        <v/>
      </c>
      <c r="H628" s="108">
        <f>IFERROR(IF(OR(D628=0,AsAt&lt;E628),0,MIN(N628,INT(((YEAR(AsAt)-YEAR(E628))*12+MONTH(AsAt)-MONTH(E628)-(DAY(AsAt)&lt;MIN(R628,DAY(EOMONTH(AsAt,0)))))/D628)+1)+O628*(AsAt&gt;='Deal maths'!AA628)),0)</f>
        <v/>
      </c>
      <c r="I628" s="108">
        <f>G628-H628</f>
        <v/>
      </c>
      <c r="J628" s="111">
        <f>IF(AND(C628="EIP",I628&gt;0),'Deal maths'!Y628/I628,0)</f>
        <v/>
      </c>
      <c r="K628" s="111">
        <f>IF(AND(C628="Annuity",I628&gt;0),IF(F628&gt;0,'Deal maths'!Y628*F628/(1-(1+F628)^-I628),'Deal maths'!Y628/I628),0)</f>
        <v/>
      </c>
      <c r="L628" s="111">
        <f>IF('Deal maths'!Y628="",0,'Deal maths'!Y628)</f>
        <v/>
      </c>
      <c r="M628" s="112">
        <f>F628+(F628=0)</f>
        <v/>
      </c>
      <c r="N628" s="108">
        <f>IFERROR(IF(D628=0,0,INT(((YEAR('Deal maths'!AA628)-YEAR(E628))*12+MONTH('Deal maths'!AA628)-MONTH(E628)-(DAY('Deal maths'!AA628)&lt;MIN(R628,DAY(EOMONTH('Deal maths'!AA628,0)))))/D628)+1),0)</f>
        <v/>
      </c>
      <c r="O628" s="108">
        <f>IFERROR(IF(D628=0,0,IF(IF(DAY(E628+1)=1,EOMONTH(E628,(N628-1)*D628),EDATE(E628,(N628-1)*D628))='Deal maths'!AA628,0,1)),0)</f>
        <v/>
      </c>
      <c r="P628" s="113">
        <f>IF(B628=0,0,IFERROR(IF(C628="EIP",((I628-O628)*((IF(DAY(E628+1)=1,EOMONTH(E628,H628*D628),EDATE(E628,H628*D628))-AsAt)/365.25+(IF(DAY(E628+1)=1,EOMONTH(E628,(N628-1)*D628),EDATE(E628,(N628-1)*D628))-AsAt)/365.25)/2+O628*('Deal maths'!AA628-AsAt)/365.25)/I628,IF(C628="Annuity",IF(F628&gt;0,((K628-L628*F628)*((IF(DAY(E628+1)=1,EOMONTH(E628,H628*D628),EDATE(E628,H628*D628))-AsAt)/365.25*((1+F628)^(I628-O628)-1)/F628+IF((I628-O628)&gt;1,((IF(DAY(E628+1)=1,EOMONTH(E628,(N628-1)*D628),EDATE(E628,(N628-1)*D628))-AsAt)/365.25-(IF(DAY(E628+1)=1,EOMONTH(E628,H628*D628),EDATE(E628,H628*D628))-AsAt)/365.25)/((I628-O628)-1),0)*(1+F628)*(1-(I628-O628)*(1+F628)^((I628-O628)-1)+((I628-O628)-1)*(1+F628)^(I628-O628))/F628^2)+O628*(K628-L628*F628)*(1+F628)^(I628-1)*('Deal maths'!AA628-AsAt)/365.25)/L628,((I628-O628)*((IF(DAY(E628+1)=1,EOMONTH(E628,H628*D628),EDATE(E628,H628*D628))-AsAt)/365.25+(IF(DAY(E628+1)=1,EOMONTH(E628,(N628-1)*D628),EDATE(E628,(N628-1)*D628))-AsAt)/365.25)/2+O628*('Deal maths'!AA628-AsAt)/365.25)/I628),(S628-AsAt)/365.25)),0))</f>
        <v/>
      </c>
      <c r="Q628" s="109">
        <f>IF(B628=1,'Deal maths'!AA628+ROW()/1000000,"")</f>
        <v/>
      </c>
      <c r="R628" s="108">
        <f>IF(D628=0,0,IF(DAY(E628+1)=1,31,DAY(E628)))</f>
        <v/>
      </c>
      <c r="S628" s="109">
        <f>IF(AND('Deal maths'!V628="LOBO",'Deal maths'!AG628&gt;AsAt,'Deal maths'!AG628&lt;'Deal maths'!AA628),'Deal maths'!AG628,'Deal maths'!AA628)</f>
        <v/>
      </c>
      <c r="T628" s="108">
        <f>('Deal maths'!AA628&gt;AsAt)*('Deal maths'!Y628&gt;0)</f>
        <v/>
      </c>
    </row>
    <row r="629">
      <c r="A629" s="91">
        <f>IF('Deal maths'!V629="","",'Deal maths'!W629)</f>
        <v/>
      </c>
      <c r="B629" s="108">
        <f>('Deal maths'!AA629&gt;AsAt)*('Deal maths'!Y629&gt;0)*('Deal maths'!Z629&lt;=AsAt)</f>
        <v/>
      </c>
      <c r="C629" s="91">
        <f>IF('Deal maths'!V629="","",IF('Deal maths'!AC629="","Maturity",'Deal maths'!AC629))</f>
        <v/>
      </c>
      <c r="D629" s="108">
        <f>IF(OR(C629="EIP",C629="Annuity"),IF('Deal maths'!AD629="Annual",12,IF('Deal maths'!AD629="Quarterly",3,6)),0)</f>
        <v/>
      </c>
      <c r="E629" s="109">
        <f>IFERROR(IF(D629=0,0,IF('Deal maths'!AE629&gt;0,IF('Deal maths'!AE629&gt;'Deal maths'!AA629,'Deal maths'!AA629,'Deal maths'!AE629),IF(IF(DAY('Deal maths'!AA629+1)=1,EOMONTH('Deal maths'!AA629,-(INT(((YEAR('Deal maths'!AA629)-YEAR(IF('Deal maths'!Z629&gt;0,'Deal maths'!Z629,DATE(1990,1,1))))*12+MONTH('Deal maths'!AA629)-MONTH(IF('Deal maths'!Z629&gt;0,'Deal maths'!Z629,DATE(1990,1,1))))/D629))*D629),EDATE('Deal maths'!AA629,-(INT(((YEAR('Deal maths'!AA629)-YEAR(IF('Deal maths'!Z629&gt;0,'Deal maths'!Z629,DATE(1990,1,1))))*12+MONTH('Deal maths'!AA629)-MONTH(IF('Deal maths'!Z629&gt;0,'Deal maths'!Z629,DATE(1990,1,1))))/D629))*D629))&gt;IF('Deal maths'!Z629&gt;0,'Deal maths'!Z629,DATE(1990,1,1)),IF(DAY('Deal maths'!AA629+1)=1,EOMONTH('Deal maths'!AA629,-(INT(((YEAR('Deal maths'!AA629)-YEAR(IF('Deal maths'!Z629&gt;0,'Deal maths'!Z629,DATE(1990,1,1))))*12+MONTH('Deal maths'!AA629)-MONTH(IF('Deal maths'!Z629&gt;0,'Deal maths'!Z629,DATE(1990,1,1))))/D629))*D629),EDATE('Deal maths'!AA629,-(INT(((YEAR('Deal maths'!AA629)-YEAR(IF('Deal maths'!Z629&gt;0,'Deal maths'!Z629,DATE(1990,1,1))))*12+MONTH('Deal maths'!AA629)-MONTH(IF('Deal maths'!Z629&gt;0,'Deal maths'!Z629,DATE(1990,1,1))))/D629))*D629)),IF(DAY('Deal maths'!AA629+1)=1,EOMONTH('Deal maths'!AA629,-(INT(((YEAR('Deal maths'!AA629)-YEAR(IF('Deal maths'!Z629&gt;0,'Deal maths'!Z629,DATE(1990,1,1))))*12+MONTH('Deal maths'!AA629)-MONTH(IF('Deal maths'!Z629&gt;0,'Deal maths'!Z629,DATE(1990,1,1))))/D629)-1)*D629),EDATE('Deal maths'!AA629,-(INT(((YEAR('Deal maths'!AA629)-YEAR(IF('Deal maths'!Z629&gt;0,'Deal maths'!Z629,DATE(1990,1,1))))*12+MONTH('Deal maths'!AA629)-MONTH(IF('Deal maths'!Z629&gt;0,'Deal maths'!Z629,DATE(1990,1,1))))/D629)-1)*D629))))),0)</f>
        <v/>
      </c>
      <c r="F629" s="110">
        <f>IF(D629=0,0,'Deal maths'!AB629*D629/12)</f>
        <v/>
      </c>
      <c r="G629" s="108">
        <f>N629+O629</f>
        <v/>
      </c>
      <c r="H629" s="108">
        <f>IFERROR(IF(OR(D629=0,AsAt&lt;E629),0,MIN(N629,INT(((YEAR(AsAt)-YEAR(E629))*12+MONTH(AsAt)-MONTH(E629)-(DAY(AsAt)&lt;MIN(R629,DAY(EOMONTH(AsAt,0)))))/D629)+1)+O629*(AsAt&gt;='Deal maths'!AA629)),0)</f>
        <v/>
      </c>
      <c r="I629" s="108">
        <f>G629-H629</f>
        <v/>
      </c>
      <c r="J629" s="111">
        <f>IF(AND(C629="EIP",I629&gt;0),'Deal maths'!Y629/I629,0)</f>
        <v/>
      </c>
      <c r="K629" s="111">
        <f>IF(AND(C629="Annuity",I629&gt;0),IF(F629&gt;0,'Deal maths'!Y629*F629/(1-(1+F629)^-I629),'Deal maths'!Y629/I629),0)</f>
        <v/>
      </c>
      <c r="L629" s="111">
        <f>IF('Deal maths'!Y629="",0,'Deal maths'!Y629)</f>
        <v/>
      </c>
      <c r="M629" s="112">
        <f>F629+(F629=0)</f>
        <v/>
      </c>
      <c r="N629" s="108">
        <f>IFERROR(IF(D629=0,0,INT(((YEAR('Deal maths'!AA629)-YEAR(E629))*12+MONTH('Deal maths'!AA629)-MONTH(E629)-(DAY('Deal maths'!AA629)&lt;MIN(R629,DAY(EOMONTH('Deal maths'!AA629,0)))))/D629)+1),0)</f>
        <v/>
      </c>
      <c r="O629" s="108">
        <f>IFERROR(IF(D629=0,0,IF(IF(DAY(E629+1)=1,EOMONTH(E629,(N629-1)*D629),EDATE(E629,(N629-1)*D629))='Deal maths'!AA629,0,1)),0)</f>
        <v/>
      </c>
      <c r="P629" s="113">
        <f>IF(B629=0,0,IFERROR(IF(C629="EIP",((I629-O629)*((IF(DAY(E629+1)=1,EOMONTH(E629,H629*D629),EDATE(E629,H629*D629))-AsAt)/365.25+(IF(DAY(E629+1)=1,EOMONTH(E629,(N629-1)*D629),EDATE(E629,(N629-1)*D629))-AsAt)/365.25)/2+O629*('Deal maths'!AA629-AsAt)/365.25)/I629,IF(C629="Annuity",IF(F629&gt;0,((K629-L629*F629)*((IF(DAY(E629+1)=1,EOMONTH(E629,H629*D629),EDATE(E629,H629*D629))-AsAt)/365.25*((1+F629)^(I629-O629)-1)/F629+IF((I629-O629)&gt;1,((IF(DAY(E629+1)=1,EOMONTH(E629,(N629-1)*D629),EDATE(E629,(N629-1)*D629))-AsAt)/365.25-(IF(DAY(E629+1)=1,EOMONTH(E629,H629*D629),EDATE(E629,H629*D629))-AsAt)/365.25)/((I629-O629)-1),0)*(1+F629)*(1-(I629-O629)*(1+F629)^((I629-O629)-1)+((I629-O629)-1)*(1+F629)^(I629-O629))/F629^2)+O629*(K629-L629*F629)*(1+F629)^(I629-1)*('Deal maths'!AA629-AsAt)/365.25)/L629,((I629-O629)*((IF(DAY(E629+1)=1,EOMONTH(E629,H629*D629),EDATE(E629,H629*D629))-AsAt)/365.25+(IF(DAY(E629+1)=1,EOMONTH(E629,(N629-1)*D629),EDATE(E629,(N629-1)*D629))-AsAt)/365.25)/2+O629*('Deal maths'!AA629-AsAt)/365.25)/I629),(S629-AsAt)/365.25)),0))</f>
        <v/>
      </c>
      <c r="Q629" s="109">
        <f>IF(B629=1,'Deal maths'!AA629+ROW()/1000000,"")</f>
        <v/>
      </c>
      <c r="R629" s="108">
        <f>IF(D629=0,0,IF(DAY(E629+1)=1,31,DAY(E629)))</f>
        <v/>
      </c>
      <c r="S629" s="109">
        <f>IF(AND('Deal maths'!V629="LOBO",'Deal maths'!AG629&gt;AsAt,'Deal maths'!AG629&lt;'Deal maths'!AA629),'Deal maths'!AG629,'Deal maths'!AA629)</f>
        <v/>
      </c>
      <c r="T629" s="108">
        <f>('Deal maths'!AA629&gt;AsAt)*('Deal maths'!Y629&gt;0)</f>
        <v/>
      </c>
    </row>
    <row r="630">
      <c r="A630" s="91">
        <f>IF('Deal maths'!V630="","",'Deal maths'!W630)</f>
        <v/>
      </c>
      <c r="B630" s="108">
        <f>('Deal maths'!AA630&gt;AsAt)*('Deal maths'!Y630&gt;0)*('Deal maths'!Z630&lt;=AsAt)</f>
        <v/>
      </c>
      <c r="C630" s="91">
        <f>IF('Deal maths'!V630="","",IF('Deal maths'!AC630="","Maturity",'Deal maths'!AC630))</f>
        <v/>
      </c>
      <c r="D630" s="108">
        <f>IF(OR(C630="EIP",C630="Annuity"),IF('Deal maths'!AD630="Annual",12,IF('Deal maths'!AD630="Quarterly",3,6)),0)</f>
        <v/>
      </c>
      <c r="E630" s="109">
        <f>IFERROR(IF(D630=0,0,IF('Deal maths'!AE630&gt;0,IF('Deal maths'!AE630&gt;'Deal maths'!AA630,'Deal maths'!AA630,'Deal maths'!AE630),IF(IF(DAY('Deal maths'!AA630+1)=1,EOMONTH('Deal maths'!AA630,-(INT(((YEAR('Deal maths'!AA630)-YEAR(IF('Deal maths'!Z630&gt;0,'Deal maths'!Z630,DATE(1990,1,1))))*12+MONTH('Deal maths'!AA630)-MONTH(IF('Deal maths'!Z630&gt;0,'Deal maths'!Z630,DATE(1990,1,1))))/D630))*D630),EDATE('Deal maths'!AA630,-(INT(((YEAR('Deal maths'!AA630)-YEAR(IF('Deal maths'!Z630&gt;0,'Deal maths'!Z630,DATE(1990,1,1))))*12+MONTH('Deal maths'!AA630)-MONTH(IF('Deal maths'!Z630&gt;0,'Deal maths'!Z630,DATE(1990,1,1))))/D630))*D630))&gt;IF('Deal maths'!Z630&gt;0,'Deal maths'!Z630,DATE(1990,1,1)),IF(DAY('Deal maths'!AA630+1)=1,EOMONTH('Deal maths'!AA630,-(INT(((YEAR('Deal maths'!AA630)-YEAR(IF('Deal maths'!Z630&gt;0,'Deal maths'!Z630,DATE(1990,1,1))))*12+MONTH('Deal maths'!AA630)-MONTH(IF('Deal maths'!Z630&gt;0,'Deal maths'!Z630,DATE(1990,1,1))))/D630))*D630),EDATE('Deal maths'!AA630,-(INT(((YEAR('Deal maths'!AA630)-YEAR(IF('Deal maths'!Z630&gt;0,'Deal maths'!Z630,DATE(1990,1,1))))*12+MONTH('Deal maths'!AA630)-MONTH(IF('Deal maths'!Z630&gt;0,'Deal maths'!Z630,DATE(1990,1,1))))/D630))*D630)),IF(DAY('Deal maths'!AA630+1)=1,EOMONTH('Deal maths'!AA630,-(INT(((YEAR('Deal maths'!AA630)-YEAR(IF('Deal maths'!Z630&gt;0,'Deal maths'!Z630,DATE(1990,1,1))))*12+MONTH('Deal maths'!AA630)-MONTH(IF('Deal maths'!Z630&gt;0,'Deal maths'!Z630,DATE(1990,1,1))))/D630)-1)*D630),EDATE('Deal maths'!AA630,-(INT(((YEAR('Deal maths'!AA630)-YEAR(IF('Deal maths'!Z630&gt;0,'Deal maths'!Z630,DATE(1990,1,1))))*12+MONTH('Deal maths'!AA630)-MONTH(IF('Deal maths'!Z630&gt;0,'Deal maths'!Z630,DATE(1990,1,1))))/D630)-1)*D630))))),0)</f>
        <v/>
      </c>
      <c r="F630" s="110">
        <f>IF(D630=0,0,'Deal maths'!AB630*D630/12)</f>
        <v/>
      </c>
      <c r="G630" s="108">
        <f>N630+O630</f>
        <v/>
      </c>
      <c r="H630" s="108">
        <f>IFERROR(IF(OR(D630=0,AsAt&lt;E630),0,MIN(N630,INT(((YEAR(AsAt)-YEAR(E630))*12+MONTH(AsAt)-MONTH(E630)-(DAY(AsAt)&lt;MIN(R630,DAY(EOMONTH(AsAt,0)))))/D630)+1)+O630*(AsAt&gt;='Deal maths'!AA630)),0)</f>
        <v/>
      </c>
      <c r="I630" s="108">
        <f>G630-H630</f>
        <v/>
      </c>
      <c r="J630" s="111">
        <f>IF(AND(C630="EIP",I630&gt;0),'Deal maths'!Y630/I630,0)</f>
        <v/>
      </c>
      <c r="K630" s="111">
        <f>IF(AND(C630="Annuity",I630&gt;0),IF(F630&gt;0,'Deal maths'!Y630*F630/(1-(1+F630)^-I630),'Deal maths'!Y630/I630),0)</f>
        <v/>
      </c>
      <c r="L630" s="111">
        <f>IF('Deal maths'!Y630="",0,'Deal maths'!Y630)</f>
        <v/>
      </c>
      <c r="M630" s="112">
        <f>F630+(F630=0)</f>
        <v/>
      </c>
      <c r="N630" s="108">
        <f>IFERROR(IF(D630=0,0,INT(((YEAR('Deal maths'!AA630)-YEAR(E630))*12+MONTH('Deal maths'!AA630)-MONTH(E630)-(DAY('Deal maths'!AA630)&lt;MIN(R630,DAY(EOMONTH('Deal maths'!AA630,0)))))/D630)+1),0)</f>
        <v/>
      </c>
      <c r="O630" s="108">
        <f>IFERROR(IF(D630=0,0,IF(IF(DAY(E630+1)=1,EOMONTH(E630,(N630-1)*D630),EDATE(E630,(N630-1)*D630))='Deal maths'!AA630,0,1)),0)</f>
        <v/>
      </c>
      <c r="P630" s="113">
        <f>IF(B630=0,0,IFERROR(IF(C630="EIP",((I630-O630)*((IF(DAY(E630+1)=1,EOMONTH(E630,H630*D630),EDATE(E630,H630*D630))-AsAt)/365.25+(IF(DAY(E630+1)=1,EOMONTH(E630,(N630-1)*D630),EDATE(E630,(N630-1)*D630))-AsAt)/365.25)/2+O630*('Deal maths'!AA630-AsAt)/365.25)/I630,IF(C630="Annuity",IF(F630&gt;0,((K630-L630*F630)*((IF(DAY(E630+1)=1,EOMONTH(E630,H630*D630),EDATE(E630,H630*D630))-AsAt)/365.25*((1+F630)^(I630-O630)-1)/F630+IF((I630-O630)&gt;1,((IF(DAY(E630+1)=1,EOMONTH(E630,(N630-1)*D630),EDATE(E630,(N630-1)*D630))-AsAt)/365.25-(IF(DAY(E630+1)=1,EOMONTH(E630,H630*D630),EDATE(E630,H630*D630))-AsAt)/365.25)/((I630-O630)-1),0)*(1+F630)*(1-(I630-O630)*(1+F630)^((I630-O630)-1)+((I630-O630)-1)*(1+F630)^(I630-O630))/F630^2)+O630*(K630-L630*F630)*(1+F630)^(I630-1)*('Deal maths'!AA630-AsAt)/365.25)/L630,((I630-O630)*((IF(DAY(E630+1)=1,EOMONTH(E630,H630*D630),EDATE(E630,H630*D630))-AsAt)/365.25+(IF(DAY(E630+1)=1,EOMONTH(E630,(N630-1)*D630),EDATE(E630,(N630-1)*D630))-AsAt)/365.25)/2+O630*('Deal maths'!AA630-AsAt)/365.25)/I630),(S630-AsAt)/365.25)),0))</f>
        <v/>
      </c>
      <c r="Q630" s="109">
        <f>IF(B630=1,'Deal maths'!AA630+ROW()/1000000,"")</f>
        <v/>
      </c>
      <c r="R630" s="108">
        <f>IF(D630=0,0,IF(DAY(E630+1)=1,31,DAY(E630)))</f>
        <v/>
      </c>
      <c r="S630" s="109">
        <f>IF(AND('Deal maths'!V630="LOBO",'Deal maths'!AG630&gt;AsAt,'Deal maths'!AG630&lt;'Deal maths'!AA630),'Deal maths'!AG630,'Deal maths'!AA630)</f>
        <v/>
      </c>
      <c r="T630" s="108">
        <f>('Deal maths'!AA630&gt;AsAt)*('Deal maths'!Y630&gt;0)</f>
        <v/>
      </c>
    </row>
    <row r="631">
      <c r="A631" s="91">
        <f>IF('Deal maths'!V631="","",'Deal maths'!W631)</f>
        <v/>
      </c>
      <c r="B631" s="108">
        <f>('Deal maths'!AA631&gt;AsAt)*('Deal maths'!Y631&gt;0)*('Deal maths'!Z631&lt;=AsAt)</f>
        <v/>
      </c>
      <c r="C631" s="91">
        <f>IF('Deal maths'!V631="","",IF('Deal maths'!AC631="","Maturity",'Deal maths'!AC631))</f>
        <v/>
      </c>
      <c r="D631" s="108">
        <f>IF(OR(C631="EIP",C631="Annuity"),IF('Deal maths'!AD631="Annual",12,IF('Deal maths'!AD631="Quarterly",3,6)),0)</f>
        <v/>
      </c>
      <c r="E631" s="109">
        <f>IFERROR(IF(D631=0,0,IF('Deal maths'!AE631&gt;0,IF('Deal maths'!AE631&gt;'Deal maths'!AA631,'Deal maths'!AA631,'Deal maths'!AE631),IF(IF(DAY('Deal maths'!AA631+1)=1,EOMONTH('Deal maths'!AA631,-(INT(((YEAR('Deal maths'!AA631)-YEAR(IF('Deal maths'!Z631&gt;0,'Deal maths'!Z631,DATE(1990,1,1))))*12+MONTH('Deal maths'!AA631)-MONTH(IF('Deal maths'!Z631&gt;0,'Deal maths'!Z631,DATE(1990,1,1))))/D631))*D631),EDATE('Deal maths'!AA631,-(INT(((YEAR('Deal maths'!AA631)-YEAR(IF('Deal maths'!Z631&gt;0,'Deal maths'!Z631,DATE(1990,1,1))))*12+MONTH('Deal maths'!AA631)-MONTH(IF('Deal maths'!Z631&gt;0,'Deal maths'!Z631,DATE(1990,1,1))))/D631))*D631))&gt;IF('Deal maths'!Z631&gt;0,'Deal maths'!Z631,DATE(1990,1,1)),IF(DAY('Deal maths'!AA631+1)=1,EOMONTH('Deal maths'!AA631,-(INT(((YEAR('Deal maths'!AA631)-YEAR(IF('Deal maths'!Z631&gt;0,'Deal maths'!Z631,DATE(1990,1,1))))*12+MONTH('Deal maths'!AA631)-MONTH(IF('Deal maths'!Z631&gt;0,'Deal maths'!Z631,DATE(1990,1,1))))/D631))*D631),EDATE('Deal maths'!AA631,-(INT(((YEAR('Deal maths'!AA631)-YEAR(IF('Deal maths'!Z631&gt;0,'Deal maths'!Z631,DATE(1990,1,1))))*12+MONTH('Deal maths'!AA631)-MONTH(IF('Deal maths'!Z631&gt;0,'Deal maths'!Z631,DATE(1990,1,1))))/D631))*D631)),IF(DAY('Deal maths'!AA631+1)=1,EOMONTH('Deal maths'!AA631,-(INT(((YEAR('Deal maths'!AA631)-YEAR(IF('Deal maths'!Z631&gt;0,'Deal maths'!Z631,DATE(1990,1,1))))*12+MONTH('Deal maths'!AA631)-MONTH(IF('Deal maths'!Z631&gt;0,'Deal maths'!Z631,DATE(1990,1,1))))/D631)-1)*D631),EDATE('Deal maths'!AA631,-(INT(((YEAR('Deal maths'!AA631)-YEAR(IF('Deal maths'!Z631&gt;0,'Deal maths'!Z631,DATE(1990,1,1))))*12+MONTH('Deal maths'!AA631)-MONTH(IF('Deal maths'!Z631&gt;0,'Deal maths'!Z631,DATE(1990,1,1))))/D631)-1)*D631))))),0)</f>
        <v/>
      </c>
      <c r="F631" s="110">
        <f>IF(D631=0,0,'Deal maths'!AB631*D631/12)</f>
        <v/>
      </c>
      <c r="G631" s="108">
        <f>N631+O631</f>
        <v/>
      </c>
      <c r="H631" s="108">
        <f>IFERROR(IF(OR(D631=0,AsAt&lt;E631),0,MIN(N631,INT(((YEAR(AsAt)-YEAR(E631))*12+MONTH(AsAt)-MONTH(E631)-(DAY(AsAt)&lt;MIN(R631,DAY(EOMONTH(AsAt,0)))))/D631)+1)+O631*(AsAt&gt;='Deal maths'!AA631)),0)</f>
        <v/>
      </c>
      <c r="I631" s="108">
        <f>G631-H631</f>
        <v/>
      </c>
      <c r="J631" s="111">
        <f>IF(AND(C631="EIP",I631&gt;0),'Deal maths'!Y631/I631,0)</f>
        <v/>
      </c>
      <c r="K631" s="111">
        <f>IF(AND(C631="Annuity",I631&gt;0),IF(F631&gt;0,'Deal maths'!Y631*F631/(1-(1+F631)^-I631),'Deal maths'!Y631/I631),0)</f>
        <v/>
      </c>
      <c r="L631" s="111">
        <f>IF('Deal maths'!Y631="",0,'Deal maths'!Y631)</f>
        <v/>
      </c>
      <c r="M631" s="112">
        <f>F631+(F631=0)</f>
        <v/>
      </c>
      <c r="N631" s="108">
        <f>IFERROR(IF(D631=0,0,INT(((YEAR('Deal maths'!AA631)-YEAR(E631))*12+MONTH('Deal maths'!AA631)-MONTH(E631)-(DAY('Deal maths'!AA631)&lt;MIN(R631,DAY(EOMONTH('Deal maths'!AA631,0)))))/D631)+1),0)</f>
        <v/>
      </c>
      <c r="O631" s="108">
        <f>IFERROR(IF(D631=0,0,IF(IF(DAY(E631+1)=1,EOMONTH(E631,(N631-1)*D631),EDATE(E631,(N631-1)*D631))='Deal maths'!AA631,0,1)),0)</f>
        <v/>
      </c>
      <c r="P631" s="113">
        <f>IF(B631=0,0,IFERROR(IF(C631="EIP",((I631-O631)*((IF(DAY(E631+1)=1,EOMONTH(E631,H631*D631),EDATE(E631,H631*D631))-AsAt)/365.25+(IF(DAY(E631+1)=1,EOMONTH(E631,(N631-1)*D631),EDATE(E631,(N631-1)*D631))-AsAt)/365.25)/2+O631*('Deal maths'!AA631-AsAt)/365.25)/I631,IF(C631="Annuity",IF(F631&gt;0,((K631-L631*F631)*((IF(DAY(E631+1)=1,EOMONTH(E631,H631*D631),EDATE(E631,H631*D631))-AsAt)/365.25*((1+F631)^(I631-O631)-1)/F631+IF((I631-O631)&gt;1,((IF(DAY(E631+1)=1,EOMONTH(E631,(N631-1)*D631),EDATE(E631,(N631-1)*D631))-AsAt)/365.25-(IF(DAY(E631+1)=1,EOMONTH(E631,H631*D631),EDATE(E631,H631*D631))-AsAt)/365.25)/((I631-O631)-1),0)*(1+F631)*(1-(I631-O631)*(1+F631)^((I631-O631)-1)+((I631-O631)-1)*(1+F631)^(I631-O631))/F631^2)+O631*(K631-L631*F631)*(1+F631)^(I631-1)*('Deal maths'!AA631-AsAt)/365.25)/L631,((I631-O631)*((IF(DAY(E631+1)=1,EOMONTH(E631,H631*D631),EDATE(E631,H631*D631))-AsAt)/365.25+(IF(DAY(E631+1)=1,EOMONTH(E631,(N631-1)*D631),EDATE(E631,(N631-1)*D631))-AsAt)/365.25)/2+O631*('Deal maths'!AA631-AsAt)/365.25)/I631),(S631-AsAt)/365.25)),0))</f>
        <v/>
      </c>
      <c r="Q631" s="109">
        <f>IF(B631=1,'Deal maths'!AA631+ROW()/1000000,"")</f>
        <v/>
      </c>
      <c r="R631" s="108">
        <f>IF(D631=0,0,IF(DAY(E631+1)=1,31,DAY(E631)))</f>
        <v/>
      </c>
      <c r="S631" s="109">
        <f>IF(AND('Deal maths'!V631="LOBO",'Deal maths'!AG631&gt;AsAt,'Deal maths'!AG631&lt;'Deal maths'!AA631),'Deal maths'!AG631,'Deal maths'!AA631)</f>
        <v/>
      </c>
      <c r="T631" s="108">
        <f>('Deal maths'!AA631&gt;AsAt)*('Deal maths'!Y631&gt;0)</f>
        <v/>
      </c>
    </row>
    <row r="632">
      <c r="A632" s="91">
        <f>IF('Deal maths'!V632="","",'Deal maths'!W632)</f>
        <v/>
      </c>
      <c r="B632" s="108">
        <f>('Deal maths'!AA632&gt;AsAt)*('Deal maths'!Y632&gt;0)*('Deal maths'!Z632&lt;=AsAt)</f>
        <v/>
      </c>
      <c r="C632" s="91">
        <f>IF('Deal maths'!V632="","",IF('Deal maths'!AC632="","Maturity",'Deal maths'!AC632))</f>
        <v/>
      </c>
      <c r="D632" s="108">
        <f>IF(OR(C632="EIP",C632="Annuity"),IF('Deal maths'!AD632="Annual",12,IF('Deal maths'!AD632="Quarterly",3,6)),0)</f>
        <v/>
      </c>
      <c r="E632" s="109">
        <f>IFERROR(IF(D632=0,0,IF('Deal maths'!AE632&gt;0,IF('Deal maths'!AE632&gt;'Deal maths'!AA632,'Deal maths'!AA632,'Deal maths'!AE632),IF(IF(DAY('Deal maths'!AA632+1)=1,EOMONTH('Deal maths'!AA632,-(INT(((YEAR('Deal maths'!AA632)-YEAR(IF('Deal maths'!Z632&gt;0,'Deal maths'!Z632,DATE(1990,1,1))))*12+MONTH('Deal maths'!AA632)-MONTH(IF('Deal maths'!Z632&gt;0,'Deal maths'!Z632,DATE(1990,1,1))))/D632))*D632),EDATE('Deal maths'!AA632,-(INT(((YEAR('Deal maths'!AA632)-YEAR(IF('Deal maths'!Z632&gt;0,'Deal maths'!Z632,DATE(1990,1,1))))*12+MONTH('Deal maths'!AA632)-MONTH(IF('Deal maths'!Z632&gt;0,'Deal maths'!Z632,DATE(1990,1,1))))/D632))*D632))&gt;IF('Deal maths'!Z632&gt;0,'Deal maths'!Z632,DATE(1990,1,1)),IF(DAY('Deal maths'!AA632+1)=1,EOMONTH('Deal maths'!AA632,-(INT(((YEAR('Deal maths'!AA632)-YEAR(IF('Deal maths'!Z632&gt;0,'Deal maths'!Z632,DATE(1990,1,1))))*12+MONTH('Deal maths'!AA632)-MONTH(IF('Deal maths'!Z632&gt;0,'Deal maths'!Z632,DATE(1990,1,1))))/D632))*D632),EDATE('Deal maths'!AA632,-(INT(((YEAR('Deal maths'!AA632)-YEAR(IF('Deal maths'!Z632&gt;0,'Deal maths'!Z632,DATE(1990,1,1))))*12+MONTH('Deal maths'!AA632)-MONTH(IF('Deal maths'!Z632&gt;0,'Deal maths'!Z632,DATE(1990,1,1))))/D632))*D632)),IF(DAY('Deal maths'!AA632+1)=1,EOMONTH('Deal maths'!AA632,-(INT(((YEAR('Deal maths'!AA632)-YEAR(IF('Deal maths'!Z632&gt;0,'Deal maths'!Z632,DATE(1990,1,1))))*12+MONTH('Deal maths'!AA632)-MONTH(IF('Deal maths'!Z632&gt;0,'Deal maths'!Z632,DATE(1990,1,1))))/D632)-1)*D632),EDATE('Deal maths'!AA632,-(INT(((YEAR('Deal maths'!AA632)-YEAR(IF('Deal maths'!Z632&gt;0,'Deal maths'!Z632,DATE(1990,1,1))))*12+MONTH('Deal maths'!AA632)-MONTH(IF('Deal maths'!Z632&gt;0,'Deal maths'!Z632,DATE(1990,1,1))))/D632)-1)*D632))))),0)</f>
        <v/>
      </c>
      <c r="F632" s="110">
        <f>IF(D632=0,0,'Deal maths'!AB632*D632/12)</f>
        <v/>
      </c>
      <c r="G632" s="108">
        <f>N632+O632</f>
        <v/>
      </c>
      <c r="H632" s="108">
        <f>IFERROR(IF(OR(D632=0,AsAt&lt;E632),0,MIN(N632,INT(((YEAR(AsAt)-YEAR(E632))*12+MONTH(AsAt)-MONTH(E632)-(DAY(AsAt)&lt;MIN(R632,DAY(EOMONTH(AsAt,0)))))/D632)+1)+O632*(AsAt&gt;='Deal maths'!AA632)),0)</f>
        <v/>
      </c>
      <c r="I632" s="108">
        <f>G632-H632</f>
        <v/>
      </c>
      <c r="J632" s="111">
        <f>IF(AND(C632="EIP",I632&gt;0),'Deal maths'!Y632/I632,0)</f>
        <v/>
      </c>
      <c r="K632" s="111">
        <f>IF(AND(C632="Annuity",I632&gt;0),IF(F632&gt;0,'Deal maths'!Y632*F632/(1-(1+F632)^-I632),'Deal maths'!Y632/I632),0)</f>
        <v/>
      </c>
      <c r="L632" s="111">
        <f>IF('Deal maths'!Y632="",0,'Deal maths'!Y632)</f>
        <v/>
      </c>
      <c r="M632" s="112">
        <f>F632+(F632=0)</f>
        <v/>
      </c>
      <c r="N632" s="108">
        <f>IFERROR(IF(D632=0,0,INT(((YEAR('Deal maths'!AA632)-YEAR(E632))*12+MONTH('Deal maths'!AA632)-MONTH(E632)-(DAY('Deal maths'!AA632)&lt;MIN(R632,DAY(EOMONTH('Deal maths'!AA632,0)))))/D632)+1),0)</f>
        <v/>
      </c>
      <c r="O632" s="108">
        <f>IFERROR(IF(D632=0,0,IF(IF(DAY(E632+1)=1,EOMONTH(E632,(N632-1)*D632),EDATE(E632,(N632-1)*D632))='Deal maths'!AA632,0,1)),0)</f>
        <v/>
      </c>
      <c r="P632" s="113">
        <f>IF(B632=0,0,IFERROR(IF(C632="EIP",((I632-O632)*((IF(DAY(E632+1)=1,EOMONTH(E632,H632*D632),EDATE(E632,H632*D632))-AsAt)/365.25+(IF(DAY(E632+1)=1,EOMONTH(E632,(N632-1)*D632),EDATE(E632,(N632-1)*D632))-AsAt)/365.25)/2+O632*('Deal maths'!AA632-AsAt)/365.25)/I632,IF(C632="Annuity",IF(F632&gt;0,((K632-L632*F632)*((IF(DAY(E632+1)=1,EOMONTH(E632,H632*D632),EDATE(E632,H632*D632))-AsAt)/365.25*((1+F632)^(I632-O632)-1)/F632+IF((I632-O632)&gt;1,((IF(DAY(E632+1)=1,EOMONTH(E632,(N632-1)*D632),EDATE(E632,(N632-1)*D632))-AsAt)/365.25-(IF(DAY(E632+1)=1,EOMONTH(E632,H632*D632),EDATE(E632,H632*D632))-AsAt)/365.25)/((I632-O632)-1),0)*(1+F632)*(1-(I632-O632)*(1+F632)^((I632-O632)-1)+((I632-O632)-1)*(1+F632)^(I632-O632))/F632^2)+O632*(K632-L632*F632)*(1+F632)^(I632-1)*('Deal maths'!AA632-AsAt)/365.25)/L632,((I632-O632)*((IF(DAY(E632+1)=1,EOMONTH(E632,H632*D632),EDATE(E632,H632*D632))-AsAt)/365.25+(IF(DAY(E632+1)=1,EOMONTH(E632,(N632-1)*D632),EDATE(E632,(N632-1)*D632))-AsAt)/365.25)/2+O632*('Deal maths'!AA632-AsAt)/365.25)/I632),(S632-AsAt)/365.25)),0))</f>
        <v/>
      </c>
      <c r="Q632" s="109">
        <f>IF(B632=1,'Deal maths'!AA632+ROW()/1000000,"")</f>
        <v/>
      </c>
      <c r="R632" s="108">
        <f>IF(D632=0,0,IF(DAY(E632+1)=1,31,DAY(E632)))</f>
        <v/>
      </c>
      <c r="S632" s="109">
        <f>IF(AND('Deal maths'!V632="LOBO",'Deal maths'!AG632&gt;AsAt,'Deal maths'!AG632&lt;'Deal maths'!AA632),'Deal maths'!AG632,'Deal maths'!AA632)</f>
        <v/>
      </c>
      <c r="T632" s="108">
        <f>('Deal maths'!AA632&gt;AsAt)*('Deal maths'!Y632&gt;0)</f>
        <v/>
      </c>
    </row>
    <row r="633">
      <c r="A633" s="91">
        <f>IF('Deal maths'!V633="","",'Deal maths'!W633)</f>
        <v/>
      </c>
      <c r="B633" s="108">
        <f>('Deal maths'!AA633&gt;AsAt)*('Deal maths'!Y633&gt;0)*('Deal maths'!Z633&lt;=AsAt)</f>
        <v/>
      </c>
      <c r="C633" s="91">
        <f>IF('Deal maths'!V633="","",IF('Deal maths'!AC633="","Maturity",'Deal maths'!AC633))</f>
        <v/>
      </c>
      <c r="D633" s="108">
        <f>IF(OR(C633="EIP",C633="Annuity"),IF('Deal maths'!AD633="Annual",12,IF('Deal maths'!AD633="Quarterly",3,6)),0)</f>
        <v/>
      </c>
      <c r="E633" s="109">
        <f>IFERROR(IF(D633=0,0,IF('Deal maths'!AE633&gt;0,IF('Deal maths'!AE633&gt;'Deal maths'!AA633,'Deal maths'!AA633,'Deal maths'!AE633),IF(IF(DAY('Deal maths'!AA633+1)=1,EOMONTH('Deal maths'!AA633,-(INT(((YEAR('Deal maths'!AA633)-YEAR(IF('Deal maths'!Z633&gt;0,'Deal maths'!Z633,DATE(1990,1,1))))*12+MONTH('Deal maths'!AA633)-MONTH(IF('Deal maths'!Z633&gt;0,'Deal maths'!Z633,DATE(1990,1,1))))/D633))*D633),EDATE('Deal maths'!AA633,-(INT(((YEAR('Deal maths'!AA633)-YEAR(IF('Deal maths'!Z633&gt;0,'Deal maths'!Z633,DATE(1990,1,1))))*12+MONTH('Deal maths'!AA633)-MONTH(IF('Deal maths'!Z633&gt;0,'Deal maths'!Z633,DATE(1990,1,1))))/D633))*D633))&gt;IF('Deal maths'!Z633&gt;0,'Deal maths'!Z633,DATE(1990,1,1)),IF(DAY('Deal maths'!AA633+1)=1,EOMONTH('Deal maths'!AA633,-(INT(((YEAR('Deal maths'!AA633)-YEAR(IF('Deal maths'!Z633&gt;0,'Deal maths'!Z633,DATE(1990,1,1))))*12+MONTH('Deal maths'!AA633)-MONTH(IF('Deal maths'!Z633&gt;0,'Deal maths'!Z633,DATE(1990,1,1))))/D633))*D633),EDATE('Deal maths'!AA633,-(INT(((YEAR('Deal maths'!AA633)-YEAR(IF('Deal maths'!Z633&gt;0,'Deal maths'!Z633,DATE(1990,1,1))))*12+MONTH('Deal maths'!AA633)-MONTH(IF('Deal maths'!Z633&gt;0,'Deal maths'!Z633,DATE(1990,1,1))))/D633))*D633)),IF(DAY('Deal maths'!AA633+1)=1,EOMONTH('Deal maths'!AA633,-(INT(((YEAR('Deal maths'!AA633)-YEAR(IF('Deal maths'!Z633&gt;0,'Deal maths'!Z633,DATE(1990,1,1))))*12+MONTH('Deal maths'!AA633)-MONTH(IF('Deal maths'!Z633&gt;0,'Deal maths'!Z633,DATE(1990,1,1))))/D633)-1)*D633),EDATE('Deal maths'!AA633,-(INT(((YEAR('Deal maths'!AA633)-YEAR(IF('Deal maths'!Z633&gt;0,'Deal maths'!Z633,DATE(1990,1,1))))*12+MONTH('Deal maths'!AA633)-MONTH(IF('Deal maths'!Z633&gt;0,'Deal maths'!Z633,DATE(1990,1,1))))/D633)-1)*D633))))),0)</f>
        <v/>
      </c>
      <c r="F633" s="110">
        <f>IF(D633=0,0,'Deal maths'!AB633*D633/12)</f>
        <v/>
      </c>
      <c r="G633" s="108">
        <f>N633+O633</f>
        <v/>
      </c>
      <c r="H633" s="108">
        <f>IFERROR(IF(OR(D633=0,AsAt&lt;E633),0,MIN(N633,INT(((YEAR(AsAt)-YEAR(E633))*12+MONTH(AsAt)-MONTH(E633)-(DAY(AsAt)&lt;MIN(R633,DAY(EOMONTH(AsAt,0)))))/D633)+1)+O633*(AsAt&gt;='Deal maths'!AA633)),0)</f>
        <v/>
      </c>
      <c r="I633" s="108">
        <f>G633-H633</f>
        <v/>
      </c>
      <c r="J633" s="111">
        <f>IF(AND(C633="EIP",I633&gt;0),'Deal maths'!Y633/I633,0)</f>
        <v/>
      </c>
      <c r="K633" s="111">
        <f>IF(AND(C633="Annuity",I633&gt;0),IF(F633&gt;0,'Deal maths'!Y633*F633/(1-(1+F633)^-I633),'Deal maths'!Y633/I633),0)</f>
        <v/>
      </c>
      <c r="L633" s="111">
        <f>IF('Deal maths'!Y633="",0,'Deal maths'!Y633)</f>
        <v/>
      </c>
      <c r="M633" s="112">
        <f>F633+(F633=0)</f>
        <v/>
      </c>
      <c r="N633" s="108">
        <f>IFERROR(IF(D633=0,0,INT(((YEAR('Deal maths'!AA633)-YEAR(E633))*12+MONTH('Deal maths'!AA633)-MONTH(E633)-(DAY('Deal maths'!AA633)&lt;MIN(R633,DAY(EOMONTH('Deal maths'!AA633,0)))))/D633)+1),0)</f>
        <v/>
      </c>
      <c r="O633" s="108">
        <f>IFERROR(IF(D633=0,0,IF(IF(DAY(E633+1)=1,EOMONTH(E633,(N633-1)*D633),EDATE(E633,(N633-1)*D633))='Deal maths'!AA633,0,1)),0)</f>
        <v/>
      </c>
      <c r="P633" s="113">
        <f>IF(B633=0,0,IFERROR(IF(C633="EIP",((I633-O633)*((IF(DAY(E633+1)=1,EOMONTH(E633,H633*D633),EDATE(E633,H633*D633))-AsAt)/365.25+(IF(DAY(E633+1)=1,EOMONTH(E633,(N633-1)*D633),EDATE(E633,(N633-1)*D633))-AsAt)/365.25)/2+O633*('Deal maths'!AA633-AsAt)/365.25)/I633,IF(C633="Annuity",IF(F633&gt;0,((K633-L633*F633)*((IF(DAY(E633+1)=1,EOMONTH(E633,H633*D633),EDATE(E633,H633*D633))-AsAt)/365.25*((1+F633)^(I633-O633)-1)/F633+IF((I633-O633)&gt;1,((IF(DAY(E633+1)=1,EOMONTH(E633,(N633-1)*D633),EDATE(E633,(N633-1)*D633))-AsAt)/365.25-(IF(DAY(E633+1)=1,EOMONTH(E633,H633*D633),EDATE(E633,H633*D633))-AsAt)/365.25)/((I633-O633)-1),0)*(1+F633)*(1-(I633-O633)*(1+F633)^((I633-O633)-1)+((I633-O633)-1)*(1+F633)^(I633-O633))/F633^2)+O633*(K633-L633*F633)*(1+F633)^(I633-1)*('Deal maths'!AA633-AsAt)/365.25)/L633,((I633-O633)*((IF(DAY(E633+1)=1,EOMONTH(E633,H633*D633),EDATE(E633,H633*D633))-AsAt)/365.25+(IF(DAY(E633+1)=1,EOMONTH(E633,(N633-1)*D633),EDATE(E633,(N633-1)*D633))-AsAt)/365.25)/2+O633*('Deal maths'!AA633-AsAt)/365.25)/I633),(S633-AsAt)/365.25)),0))</f>
        <v/>
      </c>
      <c r="Q633" s="109">
        <f>IF(B633=1,'Deal maths'!AA633+ROW()/1000000,"")</f>
        <v/>
      </c>
      <c r="R633" s="108">
        <f>IF(D633=0,0,IF(DAY(E633+1)=1,31,DAY(E633)))</f>
        <v/>
      </c>
      <c r="S633" s="109">
        <f>IF(AND('Deal maths'!V633="LOBO",'Deal maths'!AG633&gt;AsAt,'Deal maths'!AG633&lt;'Deal maths'!AA633),'Deal maths'!AG633,'Deal maths'!AA633)</f>
        <v/>
      </c>
      <c r="T633" s="108">
        <f>('Deal maths'!AA633&gt;AsAt)*('Deal maths'!Y633&gt;0)</f>
        <v/>
      </c>
    </row>
    <row r="634">
      <c r="A634" s="91">
        <f>IF('Deal maths'!V634="","",'Deal maths'!W634)</f>
        <v/>
      </c>
      <c r="B634" s="108">
        <f>('Deal maths'!AA634&gt;AsAt)*('Deal maths'!Y634&gt;0)*('Deal maths'!Z634&lt;=AsAt)</f>
        <v/>
      </c>
      <c r="C634" s="91">
        <f>IF('Deal maths'!V634="","",IF('Deal maths'!AC634="","Maturity",'Deal maths'!AC634))</f>
        <v/>
      </c>
      <c r="D634" s="108">
        <f>IF(OR(C634="EIP",C634="Annuity"),IF('Deal maths'!AD634="Annual",12,IF('Deal maths'!AD634="Quarterly",3,6)),0)</f>
        <v/>
      </c>
      <c r="E634" s="109">
        <f>IFERROR(IF(D634=0,0,IF('Deal maths'!AE634&gt;0,IF('Deal maths'!AE634&gt;'Deal maths'!AA634,'Deal maths'!AA634,'Deal maths'!AE634),IF(IF(DAY('Deal maths'!AA634+1)=1,EOMONTH('Deal maths'!AA634,-(INT(((YEAR('Deal maths'!AA634)-YEAR(IF('Deal maths'!Z634&gt;0,'Deal maths'!Z634,DATE(1990,1,1))))*12+MONTH('Deal maths'!AA634)-MONTH(IF('Deal maths'!Z634&gt;0,'Deal maths'!Z634,DATE(1990,1,1))))/D634))*D634),EDATE('Deal maths'!AA634,-(INT(((YEAR('Deal maths'!AA634)-YEAR(IF('Deal maths'!Z634&gt;0,'Deal maths'!Z634,DATE(1990,1,1))))*12+MONTH('Deal maths'!AA634)-MONTH(IF('Deal maths'!Z634&gt;0,'Deal maths'!Z634,DATE(1990,1,1))))/D634))*D634))&gt;IF('Deal maths'!Z634&gt;0,'Deal maths'!Z634,DATE(1990,1,1)),IF(DAY('Deal maths'!AA634+1)=1,EOMONTH('Deal maths'!AA634,-(INT(((YEAR('Deal maths'!AA634)-YEAR(IF('Deal maths'!Z634&gt;0,'Deal maths'!Z634,DATE(1990,1,1))))*12+MONTH('Deal maths'!AA634)-MONTH(IF('Deal maths'!Z634&gt;0,'Deal maths'!Z634,DATE(1990,1,1))))/D634))*D634),EDATE('Deal maths'!AA634,-(INT(((YEAR('Deal maths'!AA634)-YEAR(IF('Deal maths'!Z634&gt;0,'Deal maths'!Z634,DATE(1990,1,1))))*12+MONTH('Deal maths'!AA634)-MONTH(IF('Deal maths'!Z634&gt;0,'Deal maths'!Z634,DATE(1990,1,1))))/D634))*D634)),IF(DAY('Deal maths'!AA634+1)=1,EOMONTH('Deal maths'!AA634,-(INT(((YEAR('Deal maths'!AA634)-YEAR(IF('Deal maths'!Z634&gt;0,'Deal maths'!Z634,DATE(1990,1,1))))*12+MONTH('Deal maths'!AA634)-MONTH(IF('Deal maths'!Z634&gt;0,'Deal maths'!Z634,DATE(1990,1,1))))/D634)-1)*D634),EDATE('Deal maths'!AA634,-(INT(((YEAR('Deal maths'!AA634)-YEAR(IF('Deal maths'!Z634&gt;0,'Deal maths'!Z634,DATE(1990,1,1))))*12+MONTH('Deal maths'!AA634)-MONTH(IF('Deal maths'!Z634&gt;0,'Deal maths'!Z634,DATE(1990,1,1))))/D634)-1)*D634))))),0)</f>
        <v/>
      </c>
      <c r="F634" s="110">
        <f>IF(D634=0,0,'Deal maths'!AB634*D634/12)</f>
        <v/>
      </c>
      <c r="G634" s="108">
        <f>N634+O634</f>
        <v/>
      </c>
      <c r="H634" s="108">
        <f>IFERROR(IF(OR(D634=0,AsAt&lt;E634),0,MIN(N634,INT(((YEAR(AsAt)-YEAR(E634))*12+MONTH(AsAt)-MONTH(E634)-(DAY(AsAt)&lt;MIN(R634,DAY(EOMONTH(AsAt,0)))))/D634)+1)+O634*(AsAt&gt;='Deal maths'!AA634)),0)</f>
        <v/>
      </c>
      <c r="I634" s="108">
        <f>G634-H634</f>
        <v/>
      </c>
      <c r="J634" s="111">
        <f>IF(AND(C634="EIP",I634&gt;0),'Deal maths'!Y634/I634,0)</f>
        <v/>
      </c>
      <c r="K634" s="111">
        <f>IF(AND(C634="Annuity",I634&gt;0),IF(F634&gt;0,'Deal maths'!Y634*F634/(1-(1+F634)^-I634),'Deal maths'!Y634/I634),0)</f>
        <v/>
      </c>
      <c r="L634" s="111">
        <f>IF('Deal maths'!Y634="",0,'Deal maths'!Y634)</f>
        <v/>
      </c>
      <c r="M634" s="112">
        <f>F634+(F634=0)</f>
        <v/>
      </c>
      <c r="N634" s="108">
        <f>IFERROR(IF(D634=0,0,INT(((YEAR('Deal maths'!AA634)-YEAR(E634))*12+MONTH('Deal maths'!AA634)-MONTH(E634)-(DAY('Deal maths'!AA634)&lt;MIN(R634,DAY(EOMONTH('Deal maths'!AA634,0)))))/D634)+1),0)</f>
        <v/>
      </c>
      <c r="O634" s="108">
        <f>IFERROR(IF(D634=0,0,IF(IF(DAY(E634+1)=1,EOMONTH(E634,(N634-1)*D634),EDATE(E634,(N634-1)*D634))='Deal maths'!AA634,0,1)),0)</f>
        <v/>
      </c>
      <c r="P634" s="113">
        <f>IF(B634=0,0,IFERROR(IF(C634="EIP",((I634-O634)*((IF(DAY(E634+1)=1,EOMONTH(E634,H634*D634),EDATE(E634,H634*D634))-AsAt)/365.25+(IF(DAY(E634+1)=1,EOMONTH(E634,(N634-1)*D634),EDATE(E634,(N634-1)*D634))-AsAt)/365.25)/2+O634*('Deal maths'!AA634-AsAt)/365.25)/I634,IF(C634="Annuity",IF(F634&gt;0,((K634-L634*F634)*((IF(DAY(E634+1)=1,EOMONTH(E634,H634*D634),EDATE(E634,H634*D634))-AsAt)/365.25*((1+F634)^(I634-O634)-1)/F634+IF((I634-O634)&gt;1,((IF(DAY(E634+1)=1,EOMONTH(E634,(N634-1)*D634),EDATE(E634,(N634-1)*D634))-AsAt)/365.25-(IF(DAY(E634+1)=1,EOMONTH(E634,H634*D634),EDATE(E634,H634*D634))-AsAt)/365.25)/((I634-O634)-1),0)*(1+F634)*(1-(I634-O634)*(1+F634)^((I634-O634)-1)+((I634-O634)-1)*(1+F634)^(I634-O634))/F634^2)+O634*(K634-L634*F634)*(1+F634)^(I634-1)*('Deal maths'!AA634-AsAt)/365.25)/L634,((I634-O634)*((IF(DAY(E634+1)=1,EOMONTH(E634,H634*D634),EDATE(E634,H634*D634))-AsAt)/365.25+(IF(DAY(E634+1)=1,EOMONTH(E634,(N634-1)*D634),EDATE(E634,(N634-1)*D634))-AsAt)/365.25)/2+O634*('Deal maths'!AA634-AsAt)/365.25)/I634),(S634-AsAt)/365.25)),0))</f>
        <v/>
      </c>
      <c r="Q634" s="109">
        <f>IF(B634=1,'Deal maths'!AA634+ROW()/1000000,"")</f>
        <v/>
      </c>
      <c r="R634" s="108">
        <f>IF(D634=0,0,IF(DAY(E634+1)=1,31,DAY(E634)))</f>
        <v/>
      </c>
      <c r="S634" s="109">
        <f>IF(AND('Deal maths'!V634="LOBO",'Deal maths'!AG634&gt;AsAt,'Deal maths'!AG634&lt;'Deal maths'!AA634),'Deal maths'!AG634,'Deal maths'!AA634)</f>
        <v/>
      </c>
      <c r="T634" s="108">
        <f>('Deal maths'!AA634&gt;AsAt)*('Deal maths'!Y634&gt;0)</f>
        <v/>
      </c>
    </row>
    <row r="635">
      <c r="A635" s="91">
        <f>IF('Deal maths'!V635="","",'Deal maths'!W635)</f>
        <v/>
      </c>
      <c r="B635" s="108">
        <f>('Deal maths'!AA635&gt;AsAt)*('Deal maths'!Y635&gt;0)*('Deal maths'!Z635&lt;=AsAt)</f>
        <v/>
      </c>
      <c r="C635" s="91">
        <f>IF('Deal maths'!V635="","",IF('Deal maths'!AC635="","Maturity",'Deal maths'!AC635))</f>
        <v/>
      </c>
      <c r="D635" s="108">
        <f>IF(OR(C635="EIP",C635="Annuity"),IF('Deal maths'!AD635="Annual",12,IF('Deal maths'!AD635="Quarterly",3,6)),0)</f>
        <v/>
      </c>
      <c r="E635" s="109">
        <f>IFERROR(IF(D635=0,0,IF('Deal maths'!AE635&gt;0,IF('Deal maths'!AE635&gt;'Deal maths'!AA635,'Deal maths'!AA635,'Deal maths'!AE635),IF(IF(DAY('Deal maths'!AA635+1)=1,EOMONTH('Deal maths'!AA635,-(INT(((YEAR('Deal maths'!AA635)-YEAR(IF('Deal maths'!Z635&gt;0,'Deal maths'!Z635,DATE(1990,1,1))))*12+MONTH('Deal maths'!AA635)-MONTH(IF('Deal maths'!Z635&gt;0,'Deal maths'!Z635,DATE(1990,1,1))))/D635))*D635),EDATE('Deal maths'!AA635,-(INT(((YEAR('Deal maths'!AA635)-YEAR(IF('Deal maths'!Z635&gt;0,'Deal maths'!Z635,DATE(1990,1,1))))*12+MONTH('Deal maths'!AA635)-MONTH(IF('Deal maths'!Z635&gt;0,'Deal maths'!Z635,DATE(1990,1,1))))/D635))*D635))&gt;IF('Deal maths'!Z635&gt;0,'Deal maths'!Z635,DATE(1990,1,1)),IF(DAY('Deal maths'!AA635+1)=1,EOMONTH('Deal maths'!AA635,-(INT(((YEAR('Deal maths'!AA635)-YEAR(IF('Deal maths'!Z635&gt;0,'Deal maths'!Z635,DATE(1990,1,1))))*12+MONTH('Deal maths'!AA635)-MONTH(IF('Deal maths'!Z635&gt;0,'Deal maths'!Z635,DATE(1990,1,1))))/D635))*D635),EDATE('Deal maths'!AA635,-(INT(((YEAR('Deal maths'!AA635)-YEAR(IF('Deal maths'!Z635&gt;0,'Deal maths'!Z635,DATE(1990,1,1))))*12+MONTH('Deal maths'!AA635)-MONTH(IF('Deal maths'!Z635&gt;0,'Deal maths'!Z635,DATE(1990,1,1))))/D635))*D635)),IF(DAY('Deal maths'!AA635+1)=1,EOMONTH('Deal maths'!AA635,-(INT(((YEAR('Deal maths'!AA635)-YEAR(IF('Deal maths'!Z635&gt;0,'Deal maths'!Z635,DATE(1990,1,1))))*12+MONTH('Deal maths'!AA635)-MONTH(IF('Deal maths'!Z635&gt;0,'Deal maths'!Z635,DATE(1990,1,1))))/D635)-1)*D635),EDATE('Deal maths'!AA635,-(INT(((YEAR('Deal maths'!AA635)-YEAR(IF('Deal maths'!Z635&gt;0,'Deal maths'!Z635,DATE(1990,1,1))))*12+MONTH('Deal maths'!AA635)-MONTH(IF('Deal maths'!Z635&gt;0,'Deal maths'!Z635,DATE(1990,1,1))))/D635)-1)*D635))))),0)</f>
        <v/>
      </c>
      <c r="F635" s="110">
        <f>IF(D635=0,0,'Deal maths'!AB635*D635/12)</f>
        <v/>
      </c>
      <c r="G635" s="108">
        <f>N635+O635</f>
        <v/>
      </c>
      <c r="H635" s="108">
        <f>IFERROR(IF(OR(D635=0,AsAt&lt;E635),0,MIN(N635,INT(((YEAR(AsAt)-YEAR(E635))*12+MONTH(AsAt)-MONTH(E635)-(DAY(AsAt)&lt;MIN(R635,DAY(EOMONTH(AsAt,0)))))/D635)+1)+O635*(AsAt&gt;='Deal maths'!AA635)),0)</f>
        <v/>
      </c>
      <c r="I635" s="108">
        <f>G635-H635</f>
        <v/>
      </c>
      <c r="J635" s="111">
        <f>IF(AND(C635="EIP",I635&gt;0),'Deal maths'!Y635/I635,0)</f>
        <v/>
      </c>
      <c r="K635" s="111">
        <f>IF(AND(C635="Annuity",I635&gt;0),IF(F635&gt;0,'Deal maths'!Y635*F635/(1-(1+F635)^-I635),'Deal maths'!Y635/I635),0)</f>
        <v/>
      </c>
      <c r="L635" s="111">
        <f>IF('Deal maths'!Y635="",0,'Deal maths'!Y635)</f>
        <v/>
      </c>
      <c r="M635" s="112">
        <f>F635+(F635=0)</f>
        <v/>
      </c>
      <c r="N635" s="108">
        <f>IFERROR(IF(D635=0,0,INT(((YEAR('Deal maths'!AA635)-YEAR(E635))*12+MONTH('Deal maths'!AA635)-MONTH(E635)-(DAY('Deal maths'!AA635)&lt;MIN(R635,DAY(EOMONTH('Deal maths'!AA635,0)))))/D635)+1),0)</f>
        <v/>
      </c>
      <c r="O635" s="108">
        <f>IFERROR(IF(D635=0,0,IF(IF(DAY(E635+1)=1,EOMONTH(E635,(N635-1)*D635),EDATE(E635,(N635-1)*D635))='Deal maths'!AA635,0,1)),0)</f>
        <v/>
      </c>
      <c r="P635" s="113">
        <f>IF(B635=0,0,IFERROR(IF(C635="EIP",((I635-O635)*((IF(DAY(E635+1)=1,EOMONTH(E635,H635*D635),EDATE(E635,H635*D635))-AsAt)/365.25+(IF(DAY(E635+1)=1,EOMONTH(E635,(N635-1)*D635),EDATE(E635,(N635-1)*D635))-AsAt)/365.25)/2+O635*('Deal maths'!AA635-AsAt)/365.25)/I635,IF(C635="Annuity",IF(F635&gt;0,((K635-L635*F635)*((IF(DAY(E635+1)=1,EOMONTH(E635,H635*D635),EDATE(E635,H635*D635))-AsAt)/365.25*((1+F635)^(I635-O635)-1)/F635+IF((I635-O635)&gt;1,((IF(DAY(E635+1)=1,EOMONTH(E635,(N635-1)*D635),EDATE(E635,(N635-1)*D635))-AsAt)/365.25-(IF(DAY(E635+1)=1,EOMONTH(E635,H635*D635),EDATE(E635,H635*D635))-AsAt)/365.25)/((I635-O635)-1),0)*(1+F635)*(1-(I635-O635)*(1+F635)^((I635-O635)-1)+((I635-O635)-1)*(1+F635)^(I635-O635))/F635^2)+O635*(K635-L635*F635)*(1+F635)^(I635-1)*('Deal maths'!AA635-AsAt)/365.25)/L635,((I635-O635)*((IF(DAY(E635+1)=1,EOMONTH(E635,H635*D635),EDATE(E635,H635*D635))-AsAt)/365.25+(IF(DAY(E635+1)=1,EOMONTH(E635,(N635-1)*D635),EDATE(E635,(N635-1)*D635))-AsAt)/365.25)/2+O635*('Deal maths'!AA635-AsAt)/365.25)/I635),(S635-AsAt)/365.25)),0))</f>
        <v/>
      </c>
      <c r="Q635" s="109">
        <f>IF(B635=1,'Deal maths'!AA635+ROW()/1000000,"")</f>
        <v/>
      </c>
      <c r="R635" s="108">
        <f>IF(D635=0,0,IF(DAY(E635+1)=1,31,DAY(E635)))</f>
        <v/>
      </c>
      <c r="S635" s="109">
        <f>IF(AND('Deal maths'!V635="LOBO",'Deal maths'!AG635&gt;AsAt,'Deal maths'!AG635&lt;'Deal maths'!AA635),'Deal maths'!AG635,'Deal maths'!AA635)</f>
        <v/>
      </c>
      <c r="T635" s="108">
        <f>('Deal maths'!AA635&gt;AsAt)*('Deal maths'!Y635&gt;0)</f>
        <v/>
      </c>
    </row>
    <row r="636">
      <c r="A636" s="91">
        <f>IF('Deal maths'!V636="","",'Deal maths'!W636)</f>
        <v/>
      </c>
      <c r="B636" s="108">
        <f>('Deal maths'!AA636&gt;AsAt)*('Deal maths'!Y636&gt;0)*('Deal maths'!Z636&lt;=AsAt)</f>
        <v/>
      </c>
      <c r="C636" s="91">
        <f>IF('Deal maths'!V636="","",IF('Deal maths'!AC636="","Maturity",'Deal maths'!AC636))</f>
        <v/>
      </c>
      <c r="D636" s="108">
        <f>IF(OR(C636="EIP",C636="Annuity"),IF('Deal maths'!AD636="Annual",12,IF('Deal maths'!AD636="Quarterly",3,6)),0)</f>
        <v/>
      </c>
      <c r="E636" s="109">
        <f>IFERROR(IF(D636=0,0,IF('Deal maths'!AE636&gt;0,IF('Deal maths'!AE636&gt;'Deal maths'!AA636,'Deal maths'!AA636,'Deal maths'!AE636),IF(IF(DAY('Deal maths'!AA636+1)=1,EOMONTH('Deal maths'!AA636,-(INT(((YEAR('Deal maths'!AA636)-YEAR(IF('Deal maths'!Z636&gt;0,'Deal maths'!Z636,DATE(1990,1,1))))*12+MONTH('Deal maths'!AA636)-MONTH(IF('Deal maths'!Z636&gt;0,'Deal maths'!Z636,DATE(1990,1,1))))/D636))*D636),EDATE('Deal maths'!AA636,-(INT(((YEAR('Deal maths'!AA636)-YEAR(IF('Deal maths'!Z636&gt;0,'Deal maths'!Z636,DATE(1990,1,1))))*12+MONTH('Deal maths'!AA636)-MONTH(IF('Deal maths'!Z636&gt;0,'Deal maths'!Z636,DATE(1990,1,1))))/D636))*D636))&gt;IF('Deal maths'!Z636&gt;0,'Deal maths'!Z636,DATE(1990,1,1)),IF(DAY('Deal maths'!AA636+1)=1,EOMONTH('Deal maths'!AA636,-(INT(((YEAR('Deal maths'!AA636)-YEAR(IF('Deal maths'!Z636&gt;0,'Deal maths'!Z636,DATE(1990,1,1))))*12+MONTH('Deal maths'!AA636)-MONTH(IF('Deal maths'!Z636&gt;0,'Deal maths'!Z636,DATE(1990,1,1))))/D636))*D636),EDATE('Deal maths'!AA636,-(INT(((YEAR('Deal maths'!AA636)-YEAR(IF('Deal maths'!Z636&gt;0,'Deal maths'!Z636,DATE(1990,1,1))))*12+MONTH('Deal maths'!AA636)-MONTH(IF('Deal maths'!Z636&gt;0,'Deal maths'!Z636,DATE(1990,1,1))))/D636))*D636)),IF(DAY('Deal maths'!AA636+1)=1,EOMONTH('Deal maths'!AA636,-(INT(((YEAR('Deal maths'!AA636)-YEAR(IF('Deal maths'!Z636&gt;0,'Deal maths'!Z636,DATE(1990,1,1))))*12+MONTH('Deal maths'!AA636)-MONTH(IF('Deal maths'!Z636&gt;0,'Deal maths'!Z636,DATE(1990,1,1))))/D636)-1)*D636),EDATE('Deal maths'!AA636,-(INT(((YEAR('Deal maths'!AA636)-YEAR(IF('Deal maths'!Z636&gt;0,'Deal maths'!Z636,DATE(1990,1,1))))*12+MONTH('Deal maths'!AA636)-MONTH(IF('Deal maths'!Z636&gt;0,'Deal maths'!Z636,DATE(1990,1,1))))/D636)-1)*D636))))),0)</f>
        <v/>
      </c>
      <c r="F636" s="110">
        <f>IF(D636=0,0,'Deal maths'!AB636*D636/12)</f>
        <v/>
      </c>
      <c r="G636" s="108">
        <f>N636+O636</f>
        <v/>
      </c>
      <c r="H636" s="108">
        <f>IFERROR(IF(OR(D636=0,AsAt&lt;E636),0,MIN(N636,INT(((YEAR(AsAt)-YEAR(E636))*12+MONTH(AsAt)-MONTH(E636)-(DAY(AsAt)&lt;MIN(R636,DAY(EOMONTH(AsAt,0)))))/D636)+1)+O636*(AsAt&gt;='Deal maths'!AA636)),0)</f>
        <v/>
      </c>
      <c r="I636" s="108">
        <f>G636-H636</f>
        <v/>
      </c>
      <c r="J636" s="111">
        <f>IF(AND(C636="EIP",I636&gt;0),'Deal maths'!Y636/I636,0)</f>
        <v/>
      </c>
      <c r="K636" s="111">
        <f>IF(AND(C636="Annuity",I636&gt;0),IF(F636&gt;0,'Deal maths'!Y636*F636/(1-(1+F636)^-I636),'Deal maths'!Y636/I636),0)</f>
        <v/>
      </c>
      <c r="L636" s="111">
        <f>IF('Deal maths'!Y636="",0,'Deal maths'!Y636)</f>
        <v/>
      </c>
      <c r="M636" s="112">
        <f>F636+(F636=0)</f>
        <v/>
      </c>
      <c r="N636" s="108">
        <f>IFERROR(IF(D636=0,0,INT(((YEAR('Deal maths'!AA636)-YEAR(E636))*12+MONTH('Deal maths'!AA636)-MONTH(E636)-(DAY('Deal maths'!AA636)&lt;MIN(R636,DAY(EOMONTH('Deal maths'!AA636,0)))))/D636)+1),0)</f>
        <v/>
      </c>
      <c r="O636" s="108">
        <f>IFERROR(IF(D636=0,0,IF(IF(DAY(E636+1)=1,EOMONTH(E636,(N636-1)*D636),EDATE(E636,(N636-1)*D636))='Deal maths'!AA636,0,1)),0)</f>
        <v/>
      </c>
      <c r="P636" s="113">
        <f>IF(B636=0,0,IFERROR(IF(C636="EIP",((I636-O636)*((IF(DAY(E636+1)=1,EOMONTH(E636,H636*D636),EDATE(E636,H636*D636))-AsAt)/365.25+(IF(DAY(E636+1)=1,EOMONTH(E636,(N636-1)*D636),EDATE(E636,(N636-1)*D636))-AsAt)/365.25)/2+O636*('Deal maths'!AA636-AsAt)/365.25)/I636,IF(C636="Annuity",IF(F636&gt;0,((K636-L636*F636)*((IF(DAY(E636+1)=1,EOMONTH(E636,H636*D636),EDATE(E636,H636*D636))-AsAt)/365.25*((1+F636)^(I636-O636)-1)/F636+IF((I636-O636)&gt;1,((IF(DAY(E636+1)=1,EOMONTH(E636,(N636-1)*D636),EDATE(E636,(N636-1)*D636))-AsAt)/365.25-(IF(DAY(E636+1)=1,EOMONTH(E636,H636*D636),EDATE(E636,H636*D636))-AsAt)/365.25)/((I636-O636)-1),0)*(1+F636)*(1-(I636-O636)*(1+F636)^((I636-O636)-1)+((I636-O636)-1)*(1+F636)^(I636-O636))/F636^2)+O636*(K636-L636*F636)*(1+F636)^(I636-1)*('Deal maths'!AA636-AsAt)/365.25)/L636,((I636-O636)*((IF(DAY(E636+1)=1,EOMONTH(E636,H636*D636),EDATE(E636,H636*D636))-AsAt)/365.25+(IF(DAY(E636+1)=1,EOMONTH(E636,(N636-1)*D636),EDATE(E636,(N636-1)*D636))-AsAt)/365.25)/2+O636*('Deal maths'!AA636-AsAt)/365.25)/I636),(S636-AsAt)/365.25)),0))</f>
        <v/>
      </c>
      <c r="Q636" s="109">
        <f>IF(B636=1,'Deal maths'!AA636+ROW()/1000000,"")</f>
        <v/>
      </c>
      <c r="R636" s="108">
        <f>IF(D636=0,0,IF(DAY(E636+1)=1,31,DAY(E636)))</f>
        <v/>
      </c>
      <c r="S636" s="109">
        <f>IF(AND('Deal maths'!V636="LOBO",'Deal maths'!AG636&gt;AsAt,'Deal maths'!AG636&lt;'Deal maths'!AA636),'Deal maths'!AG636,'Deal maths'!AA636)</f>
        <v/>
      </c>
      <c r="T636" s="108">
        <f>('Deal maths'!AA636&gt;AsAt)*('Deal maths'!Y636&gt;0)</f>
        <v/>
      </c>
    </row>
    <row r="637">
      <c r="A637" s="91">
        <f>IF('Deal maths'!V637="","",'Deal maths'!W637)</f>
        <v/>
      </c>
      <c r="B637" s="108">
        <f>('Deal maths'!AA637&gt;AsAt)*('Deal maths'!Y637&gt;0)*('Deal maths'!Z637&lt;=AsAt)</f>
        <v/>
      </c>
      <c r="C637" s="91">
        <f>IF('Deal maths'!V637="","",IF('Deal maths'!AC637="","Maturity",'Deal maths'!AC637))</f>
        <v/>
      </c>
      <c r="D637" s="108">
        <f>IF(OR(C637="EIP",C637="Annuity"),IF('Deal maths'!AD637="Annual",12,IF('Deal maths'!AD637="Quarterly",3,6)),0)</f>
        <v/>
      </c>
      <c r="E637" s="109">
        <f>IFERROR(IF(D637=0,0,IF('Deal maths'!AE637&gt;0,IF('Deal maths'!AE637&gt;'Deal maths'!AA637,'Deal maths'!AA637,'Deal maths'!AE637),IF(IF(DAY('Deal maths'!AA637+1)=1,EOMONTH('Deal maths'!AA637,-(INT(((YEAR('Deal maths'!AA637)-YEAR(IF('Deal maths'!Z637&gt;0,'Deal maths'!Z637,DATE(1990,1,1))))*12+MONTH('Deal maths'!AA637)-MONTH(IF('Deal maths'!Z637&gt;0,'Deal maths'!Z637,DATE(1990,1,1))))/D637))*D637),EDATE('Deal maths'!AA637,-(INT(((YEAR('Deal maths'!AA637)-YEAR(IF('Deal maths'!Z637&gt;0,'Deal maths'!Z637,DATE(1990,1,1))))*12+MONTH('Deal maths'!AA637)-MONTH(IF('Deal maths'!Z637&gt;0,'Deal maths'!Z637,DATE(1990,1,1))))/D637))*D637))&gt;IF('Deal maths'!Z637&gt;0,'Deal maths'!Z637,DATE(1990,1,1)),IF(DAY('Deal maths'!AA637+1)=1,EOMONTH('Deal maths'!AA637,-(INT(((YEAR('Deal maths'!AA637)-YEAR(IF('Deal maths'!Z637&gt;0,'Deal maths'!Z637,DATE(1990,1,1))))*12+MONTH('Deal maths'!AA637)-MONTH(IF('Deal maths'!Z637&gt;0,'Deal maths'!Z637,DATE(1990,1,1))))/D637))*D637),EDATE('Deal maths'!AA637,-(INT(((YEAR('Deal maths'!AA637)-YEAR(IF('Deal maths'!Z637&gt;0,'Deal maths'!Z637,DATE(1990,1,1))))*12+MONTH('Deal maths'!AA637)-MONTH(IF('Deal maths'!Z637&gt;0,'Deal maths'!Z637,DATE(1990,1,1))))/D637))*D637)),IF(DAY('Deal maths'!AA637+1)=1,EOMONTH('Deal maths'!AA637,-(INT(((YEAR('Deal maths'!AA637)-YEAR(IF('Deal maths'!Z637&gt;0,'Deal maths'!Z637,DATE(1990,1,1))))*12+MONTH('Deal maths'!AA637)-MONTH(IF('Deal maths'!Z637&gt;0,'Deal maths'!Z637,DATE(1990,1,1))))/D637)-1)*D637),EDATE('Deal maths'!AA637,-(INT(((YEAR('Deal maths'!AA637)-YEAR(IF('Deal maths'!Z637&gt;0,'Deal maths'!Z637,DATE(1990,1,1))))*12+MONTH('Deal maths'!AA637)-MONTH(IF('Deal maths'!Z637&gt;0,'Deal maths'!Z637,DATE(1990,1,1))))/D637)-1)*D637))))),0)</f>
        <v/>
      </c>
      <c r="F637" s="110">
        <f>IF(D637=0,0,'Deal maths'!AB637*D637/12)</f>
        <v/>
      </c>
      <c r="G637" s="108">
        <f>N637+O637</f>
        <v/>
      </c>
      <c r="H637" s="108">
        <f>IFERROR(IF(OR(D637=0,AsAt&lt;E637),0,MIN(N637,INT(((YEAR(AsAt)-YEAR(E637))*12+MONTH(AsAt)-MONTH(E637)-(DAY(AsAt)&lt;MIN(R637,DAY(EOMONTH(AsAt,0)))))/D637)+1)+O637*(AsAt&gt;='Deal maths'!AA637)),0)</f>
        <v/>
      </c>
      <c r="I637" s="108">
        <f>G637-H637</f>
        <v/>
      </c>
      <c r="J637" s="111">
        <f>IF(AND(C637="EIP",I637&gt;0),'Deal maths'!Y637/I637,0)</f>
        <v/>
      </c>
      <c r="K637" s="111">
        <f>IF(AND(C637="Annuity",I637&gt;0),IF(F637&gt;0,'Deal maths'!Y637*F637/(1-(1+F637)^-I637),'Deal maths'!Y637/I637),0)</f>
        <v/>
      </c>
      <c r="L637" s="111">
        <f>IF('Deal maths'!Y637="",0,'Deal maths'!Y637)</f>
        <v/>
      </c>
      <c r="M637" s="112">
        <f>F637+(F637=0)</f>
        <v/>
      </c>
      <c r="N637" s="108">
        <f>IFERROR(IF(D637=0,0,INT(((YEAR('Deal maths'!AA637)-YEAR(E637))*12+MONTH('Deal maths'!AA637)-MONTH(E637)-(DAY('Deal maths'!AA637)&lt;MIN(R637,DAY(EOMONTH('Deal maths'!AA637,0)))))/D637)+1),0)</f>
        <v/>
      </c>
      <c r="O637" s="108">
        <f>IFERROR(IF(D637=0,0,IF(IF(DAY(E637+1)=1,EOMONTH(E637,(N637-1)*D637),EDATE(E637,(N637-1)*D637))='Deal maths'!AA637,0,1)),0)</f>
        <v/>
      </c>
      <c r="P637" s="113">
        <f>IF(B637=0,0,IFERROR(IF(C637="EIP",((I637-O637)*((IF(DAY(E637+1)=1,EOMONTH(E637,H637*D637),EDATE(E637,H637*D637))-AsAt)/365.25+(IF(DAY(E637+1)=1,EOMONTH(E637,(N637-1)*D637),EDATE(E637,(N637-1)*D637))-AsAt)/365.25)/2+O637*('Deal maths'!AA637-AsAt)/365.25)/I637,IF(C637="Annuity",IF(F637&gt;0,((K637-L637*F637)*((IF(DAY(E637+1)=1,EOMONTH(E637,H637*D637),EDATE(E637,H637*D637))-AsAt)/365.25*((1+F637)^(I637-O637)-1)/F637+IF((I637-O637)&gt;1,((IF(DAY(E637+1)=1,EOMONTH(E637,(N637-1)*D637),EDATE(E637,(N637-1)*D637))-AsAt)/365.25-(IF(DAY(E637+1)=1,EOMONTH(E637,H637*D637),EDATE(E637,H637*D637))-AsAt)/365.25)/((I637-O637)-1),0)*(1+F637)*(1-(I637-O637)*(1+F637)^((I637-O637)-1)+((I637-O637)-1)*(1+F637)^(I637-O637))/F637^2)+O637*(K637-L637*F637)*(1+F637)^(I637-1)*('Deal maths'!AA637-AsAt)/365.25)/L637,((I637-O637)*((IF(DAY(E637+1)=1,EOMONTH(E637,H637*D637),EDATE(E637,H637*D637))-AsAt)/365.25+(IF(DAY(E637+1)=1,EOMONTH(E637,(N637-1)*D637),EDATE(E637,(N637-1)*D637))-AsAt)/365.25)/2+O637*('Deal maths'!AA637-AsAt)/365.25)/I637),(S637-AsAt)/365.25)),0))</f>
        <v/>
      </c>
      <c r="Q637" s="109">
        <f>IF(B637=1,'Deal maths'!AA637+ROW()/1000000,"")</f>
        <v/>
      </c>
      <c r="R637" s="108">
        <f>IF(D637=0,0,IF(DAY(E637+1)=1,31,DAY(E637)))</f>
        <v/>
      </c>
      <c r="S637" s="109">
        <f>IF(AND('Deal maths'!V637="LOBO",'Deal maths'!AG637&gt;AsAt,'Deal maths'!AG637&lt;'Deal maths'!AA637),'Deal maths'!AG637,'Deal maths'!AA637)</f>
        <v/>
      </c>
      <c r="T637" s="108">
        <f>('Deal maths'!AA637&gt;AsAt)*('Deal maths'!Y637&gt;0)</f>
        <v/>
      </c>
    </row>
    <row r="638">
      <c r="A638" s="91">
        <f>IF('Deal maths'!V638="","",'Deal maths'!W638)</f>
        <v/>
      </c>
      <c r="B638" s="108">
        <f>('Deal maths'!AA638&gt;AsAt)*('Deal maths'!Y638&gt;0)*('Deal maths'!Z638&lt;=AsAt)</f>
        <v/>
      </c>
      <c r="C638" s="91">
        <f>IF('Deal maths'!V638="","",IF('Deal maths'!AC638="","Maturity",'Deal maths'!AC638))</f>
        <v/>
      </c>
      <c r="D638" s="108">
        <f>IF(OR(C638="EIP",C638="Annuity"),IF('Deal maths'!AD638="Annual",12,IF('Deal maths'!AD638="Quarterly",3,6)),0)</f>
        <v/>
      </c>
      <c r="E638" s="109">
        <f>IFERROR(IF(D638=0,0,IF('Deal maths'!AE638&gt;0,IF('Deal maths'!AE638&gt;'Deal maths'!AA638,'Deal maths'!AA638,'Deal maths'!AE638),IF(IF(DAY('Deal maths'!AA638+1)=1,EOMONTH('Deal maths'!AA638,-(INT(((YEAR('Deal maths'!AA638)-YEAR(IF('Deal maths'!Z638&gt;0,'Deal maths'!Z638,DATE(1990,1,1))))*12+MONTH('Deal maths'!AA638)-MONTH(IF('Deal maths'!Z638&gt;0,'Deal maths'!Z638,DATE(1990,1,1))))/D638))*D638),EDATE('Deal maths'!AA638,-(INT(((YEAR('Deal maths'!AA638)-YEAR(IF('Deal maths'!Z638&gt;0,'Deal maths'!Z638,DATE(1990,1,1))))*12+MONTH('Deal maths'!AA638)-MONTH(IF('Deal maths'!Z638&gt;0,'Deal maths'!Z638,DATE(1990,1,1))))/D638))*D638))&gt;IF('Deal maths'!Z638&gt;0,'Deal maths'!Z638,DATE(1990,1,1)),IF(DAY('Deal maths'!AA638+1)=1,EOMONTH('Deal maths'!AA638,-(INT(((YEAR('Deal maths'!AA638)-YEAR(IF('Deal maths'!Z638&gt;0,'Deal maths'!Z638,DATE(1990,1,1))))*12+MONTH('Deal maths'!AA638)-MONTH(IF('Deal maths'!Z638&gt;0,'Deal maths'!Z638,DATE(1990,1,1))))/D638))*D638),EDATE('Deal maths'!AA638,-(INT(((YEAR('Deal maths'!AA638)-YEAR(IF('Deal maths'!Z638&gt;0,'Deal maths'!Z638,DATE(1990,1,1))))*12+MONTH('Deal maths'!AA638)-MONTH(IF('Deal maths'!Z638&gt;0,'Deal maths'!Z638,DATE(1990,1,1))))/D638))*D638)),IF(DAY('Deal maths'!AA638+1)=1,EOMONTH('Deal maths'!AA638,-(INT(((YEAR('Deal maths'!AA638)-YEAR(IF('Deal maths'!Z638&gt;0,'Deal maths'!Z638,DATE(1990,1,1))))*12+MONTH('Deal maths'!AA638)-MONTH(IF('Deal maths'!Z638&gt;0,'Deal maths'!Z638,DATE(1990,1,1))))/D638)-1)*D638),EDATE('Deal maths'!AA638,-(INT(((YEAR('Deal maths'!AA638)-YEAR(IF('Deal maths'!Z638&gt;0,'Deal maths'!Z638,DATE(1990,1,1))))*12+MONTH('Deal maths'!AA638)-MONTH(IF('Deal maths'!Z638&gt;0,'Deal maths'!Z638,DATE(1990,1,1))))/D638)-1)*D638))))),0)</f>
        <v/>
      </c>
      <c r="F638" s="110">
        <f>IF(D638=0,0,'Deal maths'!AB638*D638/12)</f>
        <v/>
      </c>
      <c r="G638" s="108">
        <f>N638+O638</f>
        <v/>
      </c>
      <c r="H638" s="108">
        <f>IFERROR(IF(OR(D638=0,AsAt&lt;E638),0,MIN(N638,INT(((YEAR(AsAt)-YEAR(E638))*12+MONTH(AsAt)-MONTH(E638)-(DAY(AsAt)&lt;MIN(R638,DAY(EOMONTH(AsAt,0)))))/D638)+1)+O638*(AsAt&gt;='Deal maths'!AA638)),0)</f>
        <v/>
      </c>
      <c r="I638" s="108">
        <f>G638-H638</f>
        <v/>
      </c>
      <c r="J638" s="111">
        <f>IF(AND(C638="EIP",I638&gt;0),'Deal maths'!Y638/I638,0)</f>
        <v/>
      </c>
      <c r="K638" s="111">
        <f>IF(AND(C638="Annuity",I638&gt;0),IF(F638&gt;0,'Deal maths'!Y638*F638/(1-(1+F638)^-I638),'Deal maths'!Y638/I638),0)</f>
        <v/>
      </c>
      <c r="L638" s="111">
        <f>IF('Deal maths'!Y638="",0,'Deal maths'!Y638)</f>
        <v/>
      </c>
      <c r="M638" s="112">
        <f>F638+(F638=0)</f>
        <v/>
      </c>
      <c r="N638" s="108">
        <f>IFERROR(IF(D638=0,0,INT(((YEAR('Deal maths'!AA638)-YEAR(E638))*12+MONTH('Deal maths'!AA638)-MONTH(E638)-(DAY('Deal maths'!AA638)&lt;MIN(R638,DAY(EOMONTH('Deal maths'!AA638,0)))))/D638)+1),0)</f>
        <v/>
      </c>
      <c r="O638" s="108">
        <f>IFERROR(IF(D638=0,0,IF(IF(DAY(E638+1)=1,EOMONTH(E638,(N638-1)*D638),EDATE(E638,(N638-1)*D638))='Deal maths'!AA638,0,1)),0)</f>
        <v/>
      </c>
      <c r="P638" s="113">
        <f>IF(B638=0,0,IFERROR(IF(C638="EIP",((I638-O638)*((IF(DAY(E638+1)=1,EOMONTH(E638,H638*D638),EDATE(E638,H638*D638))-AsAt)/365.25+(IF(DAY(E638+1)=1,EOMONTH(E638,(N638-1)*D638),EDATE(E638,(N638-1)*D638))-AsAt)/365.25)/2+O638*('Deal maths'!AA638-AsAt)/365.25)/I638,IF(C638="Annuity",IF(F638&gt;0,((K638-L638*F638)*((IF(DAY(E638+1)=1,EOMONTH(E638,H638*D638),EDATE(E638,H638*D638))-AsAt)/365.25*((1+F638)^(I638-O638)-1)/F638+IF((I638-O638)&gt;1,((IF(DAY(E638+1)=1,EOMONTH(E638,(N638-1)*D638),EDATE(E638,(N638-1)*D638))-AsAt)/365.25-(IF(DAY(E638+1)=1,EOMONTH(E638,H638*D638),EDATE(E638,H638*D638))-AsAt)/365.25)/((I638-O638)-1),0)*(1+F638)*(1-(I638-O638)*(1+F638)^((I638-O638)-1)+((I638-O638)-1)*(1+F638)^(I638-O638))/F638^2)+O638*(K638-L638*F638)*(1+F638)^(I638-1)*('Deal maths'!AA638-AsAt)/365.25)/L638,((I638-O638)*((IF(DAY(E638+1)=1,EOMONTH(E638,H638*D638),EDATE(E638,H638*D638))-AsAt)/365.25+(IF(DAY(E638+1)=1,EOMONTH(E638,(N638-1)*D638),EDATE(E638,(N638-1)*D638))-AsAt)/365.25)/2+O638*('Deal maths'!AA638-AsAt)/365.25)/I638),(S638-AsAt)/365.25)),0))</f>
        <v/>
      </c>
      <c r="Q638" s="109">
        <f>IF(B638=1,'Deal maths'!AA638+ROW()/1000000,"")</f>
        <v/>
      </c>
      <c r="R638" s="108">
        <f>IF(D638=0,0,IF(DAY(E638+1)=1,31,DAY(E638)))</f>
        <v/>
      </c>
      <c r="S638" s="109">
        <f>IF(AND('Deal maths'!V638="LOBO",'Deal maths'!AG638&gt;AsAt,'Deal maths'!AG638&lt;'Deal maths'!AA638),'Deal maths'!AG638,'Deal maths'!AA638)</f>
        <v/>
      </c>
      <c r="T638" s="108">
        <f>('Deal maths'!AA638&gt;AsAt)*('Deal maths'!Y638&gt;0)</f>
        <v/>
      </c>
    </row>
    <row r="639">
      <c r="A639" s="91">
        <f>IF('Deal maths'!V639="","",'Deal maths'!W639)</f>
        <v/>
      </c>
      <c r="B639" s="108">
        <f>('Deal maths'!AA639&gt;AsAt)*('Deal maths'!Y639&gt;0)*('Deal maths'!Z639&lt;=AsAt)</f>
        <v/>
      </c>
      <c r="C639" s="91">
        <f>IF('Deal maths'!V639="","",IF('Deal maths'!AC639="","Maturity",'Deal maths'!AC639))</f>
        <v/>
      </c>
      <c r="D639" s="108">
        <f>IF(OR(C639="EIP",C639="Annuity"),IF('Deal maths'!AD639="Annual",12,IF('Deal maths'!AD639="Quarterly",3,6)),0)</f>
        <v/>
      </c>
      <c r="E639" s="109">
        <f>IFERROR(IF(D639=0,0,IF('Deal maths'!AE639&gt;0,IF('Deal maths'!AE639&gt;'Deal maths'!AA639,'Deal maths'!AA639,'Deal maths'!AE639),IF(IF(DAY('Deal maths'!AA639+1)=1,EOMONTH('Deal maths'!AA639,-(INT(((YEAR('Deal maths'!AA639)-YEAR(IF('Deal maths'!Z639&gt;0,'Deal maths'!Z639,DATE(1990,1,1))))*12+MONTH('Deal maths'!AA639)-MONTH(IF('Deal maths'!Z639&gt;0,'Deal maths'!Z639,DATE(1990,1,1))))/D639))*D639),EDATE('Deal maths'!AA639,-(INT(((YEAR('Deal maths'!AA639)-YEAR(IF('Deal maths'!Z639&gt;0,'Deal maths'!Z639,DATE(1990,1,1))))*12+MONTH('Deal maths'!AA639)-MONTH(IF('Deal maths'!Z639&gt;0,'Deal maths'!Z639,DATE(1990,1,1))))/D639))*D639))&gt;IF('Deal maths'!Z639&gt;0,'Deal maths'!Z639,DATE(1990,1,1)),IF(DAY('Deal maths'!AA639+1)=1,EOMONTH('Deal maths'!AA639,-(INT(((YEAR('Deal maths'!AA639)-YEAR(IF('Deal maths'!Z639&gt;0,'Deal maths'!Z639,DATE(1990,1,1))))*12+MONTH('Deal maths'!AA639)-MONTH(IF('Deal maths'!Z639&gt;0,'Deal maths'!Z639,DATE(1990,1,1))))/D639))*D639),EDATE('Deal maths'!AA639,-(INT(((YEAR('Deal maths'!AA639)-YEAR(IF('Deal maths'!Z639&gt;0,'Deal maths'!Z639,DATE(1990,1,1))))*12+MONTH('Deal maths'!AA639)-MONTH(IF('Deal maths'!Z639&gt;0,'Deal maths'!Z639,DATE(1990,1,1))))/D639))*D639)),IF(DAY('Deal maths'!AA639+1)=1,EOMONTH('Deal maths'!AA639,-(INT(((YEAR('Deal maths'!AA639)-YEAR(IF('Deal maths'!Z639&gt;0,'Deal maths'!Z639,DATE(1990,1,1))))*12+MONTH('Deal maths'!AA639)-MONTH(IF('Deal maths'!Z639&gt;0,'Deal maths'!Z639,DATE(1990,1,1))))/D639)-1)*D639),EDATE('Deal maths'!AA639,-(INT(((YEAR('Deal maths'!AA639)-YEAR(IF('Deal maths'!Z639&gt;0,'Deal maths'!Z639,DATE(1990,1,1))))*12+MONTH('Deal maths'!AA639)-MONTH(IF('Deal maths'!Z639&gt;0,'Deal maths'!Z639,DATE(1990,1,1))))/D639)-1)*D639))))),0)</f>
        <v/>
      </c>
      <c r="F639" s="110">
        <f>IF(D639=0,0,'Deal maths'!AB639*D639/12)</f>
        <v/>
      </c>
      <c r="G639" s="108">
        <f>N639+O639</f>
        <v/>
      </c>
      <c r="H639" s="108">
        <f>IFERROR(IF(OR(D639=0,AsAt&lt;E639),0,MIN(N639,INT(((YEAR(AsAt)-YEAR(E639))*12+MONTH(AsAt)-MONTH(E639)-(DAY(AsAt)&lt;MIN(R639,DAY(EOMONTH(AsAt,0)))))/D639)+1)+O639*(AsAt&gt;='Deal maths'!AA639)),0)</f>
        <v/>
      </c>
      <c r="I639" s="108">
        <f>G639-H639</f>
        <v/>
      </c>
      <c r="J639" s="111">
        <f>IF(AND(C639="EIP",I639&gt;0),'Deal maths'!Y639/I639,0)</f>
        <v/>
      </c>
      <c r="K639" s="111">
        <f>IF(AND(C639="Annuity",I639&gt;0),IF(F639&gt;0,'Deal maths'!Y639*F639/(1-(1+F639)^-I639),'Deal maths'!Y639/I639),0)</f>
        <v/>
      </c>
      <c r="L639" s="111">
        <f>IF('Deal maths'!Y639="",0,'Deal maths'!Y639)</f>
        <v/>
      </c>
      <c r="M639" s="112">
        <f>F639+(F639=0)</f>
        <v/>
      </c>
      <c r="N639" s="108">
        <f>IFERROR(IF(D639=0,0,INT(((YEAR('Deal maths'!AA639)-YEAR(E639))*12+MONTH('Deal maths'!AA639)-MONTH(E639)-(DAY('Deal maths'!AA639)&lt;MIN(R639,DAY(EOMONTH('Deal maths'!AA639,0)))))/D639)+1),0)</f>
        <v/>
      </c>
      <c r="O639" s="108">
        <f>IFERROR(IF(D639=0,0,IF(IF(DAY(E639+1)=1,EOMONTH(E639,(N639-1)*D639),EDATE(E639,(N639-1)*D639))='Deal maths'!AA639,0,1)),0)</f>
        <v/>
      </c>
      <c r="P639" s="113">
        <f>IF(B639=0,0,IFERROR(IF(C639="EIP",((I639-O639)*((IF(DAY(E639+1)=1,EOMONTH(E639,H639*D639),EDATE(E639,H639*D639))-AsAt)/365.25+(IF(DAY(E639+1)=1,EOMONTH(E639,(N639-1)*D639),EDATE(E639,(N639-1)*D639))-AsAt)/365.25)/2+O639*('Deal maths'!AA639-AsAt)/365.25)/I639,IF(C639="Annuity",IF(F639&gt;0,((K639-L639*F639)*((IF(DAY(E639+1)=1,EOMONTH(E639,H639*D639),EDATE(E639,H639*D639))-AsAt)/365.25*((1+F639)^(I639-O639)-1)/F639+IF((I639-O639)&gt;1,((IF(DAY(E639+1)=1,EOMONTH(E639,(N639-1)*D639),EDATE(E639,(N639-1)*D639))-AsAt)/365.25-(IF(DAY(E639+1)=1,EOMONTH(E639,H639*D639),EDATE(E639,H639*D639))-AsAt)/365.25)/((I639-O639)-1),0)*(1+F639)*(1-(I639-O639)*(1+F639)^((I639-O639)-1)+((I639-O639)-1)*(1+F639)^(I639-O639))/F639^2)+O639*(K639-L639*F639)*(1+F639)^(I639-1)*('Deal maths'!AA639-AsAt)/365.25)/L639,((I639-O639)*((IF(DAY(E639+1)=1,EOMONTH(E639,H639*D639),EDATE(E639,H639*D639))-AsAt)/365.25+(IF(DAY(E639+1)=1,EOMONTH(E639,(N639-1)*D639),EDATE(E639,(N639-1)*D639))-AsAt)/365.25)/2+O639*('Deal maths'!AA639-AsAt)/365.25)/I639),(S639-AsAt)/365.25)),0))</f>
        <v/>
      </c>
      <c r="Q639" s="109">
        <f>IF(B639=1,'Deal maths'!AA639+ROW()/1000000,"")</f>
        <v/>
      </c>
      <c r="R639" s="108">
        <f>IF(D639=0,0,IF(DAY(E639+1)=1,31,DAY(E639)))</f>
        <v/>
      </c>
      <c r="S639" s="109">
        <f>IF(AND('Deal maths'!V639="LOBO",'Deal maths'!AG639&gt;AsAt,'Deal maths'!AG639&lt;'Deal maths'!AA639),'Deal maths'!AG639,'Deal maths'!AA639)</f>
        <v/>
      </c>
      <c r="T639" s="108">
        <f>('Deal maths'!AA639&gt;AsAt)*('Deal maths'!Y639&gt;0)</f>
        <v/>
      </c>
    </row>
    <row r="640">
      <c r="A640" s="91">
        <f>IF('Deal maths'!V640="","",'Deal maths'!W640)</f>
        <v/>
      </c>
      <c r="B640" s="108">
        <f>('Deal maths'!AA640&gt;AsAt)*('Deal maths'!Y640&gt;0)*('Deal maths'!Z640&lt;=AsAt)</f>
        <v/>
      </c>
      <c r="C640" s="91">
        <f>IF('Deal maths'!V640="","",IF('Deal maths'!AC640="","Maturity",'Deal maths'!AC640))</f>
        <v/>
      </c>
      <c r="D640" s="108">
        <f>IF(OR(C640="EIP",C640="Annuity"),IF('Deal maths'!AD640="Annual",12,IF('Deal maths'!AD640="Quarterly",3,6)),0)</f>
        <v/>
      </c>
      <c r="E640" s="109">
        <f>IFERROR(IF(D640=0,0,IF('Deal maths'!AE640&gt;0,IF('Deal maths'!AE640&gt;'Deal maths'!AA640,'Deal maths'!AA640,'Deal maths'!AE640),IF(IF(DAY('Deal maths'!AA640+1)=1,EOMONTH('Deal maths'!AA640,-(INT(((YEAR('Deal maths'!AA640)-YEAR(IF('Deal maths'!Z640&gt;0,'Deal maths'!Z640,DATE(1990,1,1))))*12+MONTH('Deal maths'!AA640)-MONTH(IF('Deal maths'!Z640&gt;0,'Deal maths'!Z640,DATE(1990,1,1))))/D640))*D640),EDATE('Deal maths'!AA640,-(INT(((YEAR('Deal maths'!AA640)-YEAR(IF('Deal maths'!Z640&gt;0,'Deal maths'!Z640,DATE(1990,1,1))))*12+MONTH('Deal maths'!AA640)-MONTH(IF('Deal maths'!Z640&gt;0,'Deal maths'!Z640,DATE(1990,1,1))))/D640))*D640))&gt;IF('Deal maths'!Z640&gt;0,'Deal maths'!Z640,DATE(1990,1,1)),IF(DAY('Deal maths'!AA640+1)=1,EOMONTH('Deal maths'!AA640,-(INT(((YEAR('Deal maths'!AA640)-YEAR(IF('Deal maths'!Z640&gt;0,'Deal maths'!Z640,DATE(1990,1,1))))*12+MONTH('Deal maths'!AA640)-MONTH(IF('Deal maths'!Z640&gt;0,'Deal maths'!Z640,DATE(1990,1,1))))/D640))*D640),EDATE('Deal maths'!AA640,-(INT(((YEAR('Deal maths'!AA640)-YEAR(IF('Deal maths'!Z640&gt;0,'Deal maths'!Z640,DATE(1990,1,1))))*12+MONTH('Deal maths'!AA640)-MONTH(IF('Deal maths'!Z640&gt;0,'Deal maths'!Z640,DATE(1990,1,1))))/D640))*D640)),IF(DAY('Deal maths'!AA640+1)=1,EOMONTH('Deal maths'!AA640,-(INT(((YEAR('Deal maths'!AA640)-YEAR(IF('Deal maths'!Z640&gt;0,'Deal maths'!Z640,DATE(1990,1,1))))*12+MONTH('Deal maths'!AA640)-MONTH(IF('Deal maths'!Z640&gt;0,'Deal maths'!Z640,DATE(1990,1,1))))/D640)-1)*D640),EDATE('Deal maths'!AA640,-(INT(((YEAR('Deal maths'!AA640)-YEAR(IF('Deal maths'!Z640&gt;0,'Deal maths'!Z640,DATE(1990,1,1))))*12+MONTH('Deal maths'!AA640)-MONTH(IF('Deal maths'!Z640&gt;0,'Deal maths'!Z640,DATE(1990,1,1))))/D640)-1)*D640))))),0)</f>
        <v/>
      </c>
      <c r="F640" s="110">
        <f>IF(D640=0,0,'Deal maths'!AB640*D640/12)</f>
        <v/>
      </c>
      <c r="G640" s="108">
        <f>N640+O640</f>
        <v/>
      </c>
      <c r="H640" s="108">
        <f>IFERROR(IF(OR(D640=0,AsAt&lt;E640),0,MIN(N640,INT(((YEAR(AsAt)-YEAR(E640))*12+MONTH(AsAt)-MONTH(E640)-(DAY(AsAt)&lt;MIN(R640,DAY(EOMONTH(AsAt,0)))))/D640)+1)+O640*(AsAt&gt;='Deal maths'!AA640)),0)</f>
        <v/>
      </c>
      <c r="I640" s="108">
        <f>G640-H640</f>
        <v/>
      </c>
      <c r="J640" s="111">
        <f>IF(AND(C640="EIP",I640&gt;0),'Deal maths'!Y640/I640,0)</f>
        <v/>
      </c>
      <c r="K640" s="111">
        <f>IF(AND(C640="Annuity",I640&gt;0),IF(F640&gt;0,'Deal maths'!Y640*F640/(1-(1+F640)^-I640),'Deal maths'!Y640/I640),0)</f>
        <v/>
      </c>
      <c r="L640" s="111">
        <f>IF('Deal maths'!Y640="",0,'Deal maths'!Y640)</f>
        <v/>
      </c>
      <c r="M640" s="112">
        <f>F640+(F640=0)</f>
        <v/>
      </c>
      <c r="N640" s="108">
        <f>IFERROR(IF(D640=0,0,INT(((YEAR('Deal maths'!AA640)-YEAR(E640))*12+MONTH('Deal maths'!AA640)-MONTH(E640)-(DAY('Deal maths'!AA640)&lt;MIN(R640,DAY(EOMONTH('Deal maths'!AA640,0)))))/D640)+1),0)</f>
        <v/>
      </c>
      <c r="O640" s="108">
        <f>IFERROR(IF(D640=0,0,IF(IF(DAY(E640+1)=1,EOMONTH(E640,(N640-1)*D640),EDATE(E640,(N640-1)*D640))='Deal maths'!AA640,0,1)),0)</f>
        <v/>
      </c>
      <c r="P640" s="113">
        <f>IF(B640=0,0,IFERROR(IF(C640="EIP",((I640-O640)*((IF(DAY(E640+1)=1,EOMONTH(E640,H640*D640),EDATE(E640,H640*D640))-AsAt)/365.25+(IF(DAY(E640+1)=1,EOMONTH(E640,(N640-1)*D640),EDATE(E640,(N640-1)*D640))-AsAt)/365.25)/2+O640*('Deal maths'!AA640-AsAt)/365.25)/I640,IF(C640="Annuity",IF(F640&gt;0,((K640-L640*F640)*((IF(DAY(E640+1)=1,EOMONTH(E640,H640*D640),EDATE(E640,H640*D640))-AsAt)/365.25*((1+F640)^(I640-O640)-1)/F640+IF((I640-O640)&gt;1,((IF(DAY(E640+1)=1,EOMONTH(E640,(N640-1)*D640),EDATE(E640,(N640-1)*D640))-AsAt)/365.25-(IF(DAY(E640+1)=1,EOMONTH(E640,H640*D640),EDATE(E640,H640*D640))-AsAt)/365.25)/((I640-O640)-1),0)*(1+F640)*(1-(I640-O640)*(1+F640)^((I640-O640)-1)+((I640-O640)-1)*(1+F640)^(I640-O640))/F640^2)+O640*(K640-L640*F640)*(1+F640)^(I640-1)*('Deal maths'!AA640-AsAt)/365.25)/L640,((I640-O640)*((IF(DAY(E640+1)=1,EOMONTH(E640,H640*D640),EDATE(E640,H640*D640))-AsAt)/365.25+(IF(DAY(E640+1)=1,EOMONTH(E640,(N640-1)*D640),EDATE(E640,(N640-1)*D640))-AsAt)/365.25)/2+O640*('Deal maths'!AA640-AsAt)/365.25)/I640),(S640-AsAt)/365.25)),0))</f>
        <v/>
      </c>
      <c r="Q640" s="109">
        <f>IF(B640=1,'Deal maths'!AA640+ROW()/1000000,"")</f>
        <v/>
      </c>
      <c r="R640" s="108">
        <f>IF(D640=0,0,IF(DAY(E640+1)=1,31,DAY(E640)))</f>
        <v/>
      </c>
      <c r="S640" s="109">
        <f>IF(AND('Deal maths'!V640="LOBO",'Deal maths'!AG640&gt;AsAt,'Deal maths'!AG640&lt;'Deal maths'!AA640),'Deal maths'!AG640,'Deal maths'!AA640)</f>
        <v/>
      </c>
      <c r="T640" s="108">
        <f>('Deal maths'!AA640&gt;AsAt)*('Deal maths'!Y640&gt;0)</f>
        <v/>
      </c>
    </row>
    <row r="641">
      <c r="A641" s="91">
        <f>IF('Deal maths'!V641="","",'Deal maths'!W641)</f>
        <v/>
      </c>
      <c r="B641" s="108">
        <f>('Deal maths'!AA641&gt;AsAt)*('Deal maths'!Y641&gt;0)*('Deal maths'!Z641&lt;=AsAt)</f>
        <v/>
      </c>
      <c r="C641" s="91">
        <f>IF('Deal maths'!V641="","",IF('Deal maths'!AC641="","Maturity",'Deal maths'!AC641))</f>
        <v/>
      </c>
      <c r="D641" s="108">
        <f>IF(OR(C641="EIP",C641="Annuity"),IF('Deal maths'!AD641="Annual",12,IF('Deal maths'!AD641="Quarterly",3,6)),0)</f>
        <v/>
      </c>
      <c r="E641" s="109">
        <f>IFERROR(IF(D641=0,0,IF('Deal maths'!AE641&gt;0,IF('Deal maths'!AE641&gt;'Deal maths'!AA641,'Deal maths'!AA641,'Deal maths'!AE641),IF(IF(DAY('Deal maths'!AA641+1)=1,EOMONTH('Deal maths'!AA641,-(INT(((YEAR('Deal maths'!AA641)-YEAR(IF('Deal maths'!Z641&gt;0,'Deal maths'!Z641,DATE(1990,1,1))))*12+MONTH('Deal maths'!AA641)-MONTH(IF('Deal maths'!Z641&gt;0,'Deal maths'!Z641,DATE(1990,1,1))))/D641))*D641),EDATE('Deal maths'!AA641,-(INT(((YEAR('Deal maths'!AA641)-YEAR(IF('Deal maths'!Z641&gt;0,'Deal maths'!Z641,DATE(1990,1,1))))*12+MONTH('Deal maths'!AA641)-MONTH(IF('Deal maths'!Z641&gt;0,'Deal maths'!Z641,DATE(1990,1,1))))/D641))*D641))&gt;IF('Deal maths'!Z641&gt;0,'Deal maths'!Z641,DATE(1990,1,1)),IF(DAY('Deal maths'!AA641+1)=1,EOMONTH('Deal maths'!AA641,-(INT(((YEAR('Deal maths'!AA641)-YEAR(IF('Deal maths'!Z641&gt;0,'Deal maths'!Z641,DATE(1990,1,1))))*12+MONTH('Deal maths'!AA641)-MONTH(IF('Deal maths'!Z641&gt;0,'Deal maths'!Z641,DATE(1990,1,1))))/D641))*D641),EDATE('Deal maths'!AA641,-(INT(((YEAR('Deal maths'!AA641)-YEAR(IF('Deal maths'!Z641&gt;0,'Deal maths'!Z641,DATE(1990,1,1))))*12+MONTH('Deal maths'!AA641)-MONTH(IF('Deal maths'!Z641&gt;0,'Deal maths'!Z641,DATE(1990,1,1))))/D641))*D641)),IF(DAY('Deal maths'!AA641+1)=1,EOMONTH('Deal maths'!AA641,-(INT(((YEAR('Deal maths'!AA641)-YEAR(IF('Deal maths'!Z641&gt;0,'Deal maths'!Z641,DATE(1990,1,1))))*12+MONTH('Deal maths'!AA641)-MONTH(IF('Deal maths'!Z641&gt;0,'Deal maths'!Z641,DATE(1990,1,1))))/D641)-1)*D641),EDATE('Deal maths'!AA641,-(INT(((YEAR('Deal maths'!AA641)-YEAR(IF('Deal maths'!Z641&gt;0,'Deal maths'!Z641,DATE(1990,1,1))))*12+MONTH('Deal maths'!AA641)-MONTH(IF('Deal maths'!Z641&gt;0,'Deal maths'!Z641,DATE(1990,1,1))))/D641)-1)*D641))))),0)</f>
        <v/>
      </c>
      <c r="F641" s="110">
        <f>IF(D641=0,0,'Deal maths'!AB641*D641/12)</f>
        <v/>
      </c>
      <c r="G641" s="108">
        <f>N641+O641</f>
        <v/>
      </c>
      <c r="H641" s="108">
        <f>IFERROR(IF(OR(D641=0,AsAt&lt;E641),0,MIN(N641,INT(((YEAR(AsAt)-YEAR(E641))*12+MONTH(AsAt)-MONTH(E641)-(DAY(AsAt)&lt;MIN(R641,DAY(EOMONTH(AsAt,0)))))/D641)+1)+O641*(AsAt&gt;='Deal maths'!AA641)),0)</f>
        <v/>
      </c>
      <c r="I641" s="108">
        <f>G641-H641</f>
        <v/>
      </c>
      <c r="J641" s="111">
        <f>IF(AND(C641="EIP",I641&gt;0),'Deal maths'!Y641/I641,0)</f>
        <v/>
      </c>
      <c r="K641" s="111">
        <f>IF(AND(C641="Annuity",I641&gt;0),IF(F641&gt;0,'Deal maths'!Y641*F641/(1-(1+F641)^-I641),'Deal maths'!Y641/I641),0)</f>
        <v/>
      </c>
      <c r="L641" s="111">
        <f>IF('Deal maths'!Y641="",0,'Deal maths'!Y641)</f>
        <v/>
      </c>
      <c r="M641" s="112">
        <f>F641+(F641=0)</f>
        <v/>
      </c>
      <c r="N641" s="108">
        <f>IFERROR(IF(D641=0,0,INT(((YEAR('Deal maths'!AA641)-YEAR(E641))*12+MONTH('Deal maths'!AA641)-MONTH(E641)-(DAY('Deal maths'!AA641)&lt;MIN(R641,DAY(EOMONTH('Deal maths'!AA641,0)))))/D641)+1),0)</f>
        <v/>
      </c>
      <c r="O641" s="108">
        <f>IFERROR(IF(D641=0,0,IF(IF(DAY(E641+1)=1,EOMONTH(E641,(N641-1)*D641),EDATE(E641,(N641-1)*D641))='Deal maths'!AA641,0,1)),0)</f>
        <v/>
      </c>
      <c r="P641" s="113">
        <f>IF(B641=0,0,IFERROR(IF(C641="EIP",((I641-O641)*((IF(DAY(E641+1)=1,EOMONTH(E641,H641*D641),EDATE(E641,H641*D641))-AsAt)/365.25+(IF(DAY(E641+1)=1,EOMONTH(E641,(N641-1)*D641),EDATE(E641,(N641-1)*D641))-AsAt)/365.25)/2+O641*('Deal maths'!AA641-AsAt)/365.25)/I641,IF(C641="Annuity",IF(F641&gt;0,((K641-L641*F641)*((IF(DAY(E641+1)=1,EOMONTH(E641,H641*D641),EDATE(E641,H641*D641))-AsAt)/365.25*((1+F641)^(I641-O641)-1)/F641+IF((I641-O641)&gt;1,((IF(DAY(E641+1)=1,EOMONTH(E641,(N641-1)*D641),EDATE(E641,(N641-1)*D641))-AsAt)/365.25-(IF(DAY(E641+1)=1,EOMONTH(E641,H641*D641),EDATE(E641,H641*D641))-AsAt)/365.25)/((I641-O641)-1),0)*(1+F641)*(1-(I641-O641)*(1+F641)^((I641-O641)-1)+((I641-O641)-1)*(1+F641)^(I641-O641))/F641^2)+O641*(K641-L641*F641)*(1+F641)^(I641-1)*('Deal maths'!AA641-AsAt)/365.25)/L641,((I641-O641)*((IF(DAY(E641+1)=1,EOMONTH(E641,H641*D641),EDATE(E641,H641*D641))-AsAt)/365.25+(IF(DAY(E641+1)=1,EOMONTH(E641,(N641-1)*D641),EDATE(E641,(N641-1)*D641))-AsAt)/365.25)/2+O641*('Deal maths'!AA641-AsAt)/365.25)/I641),(S641-AsAt)/365.25)),0))</f>
        <v/>
      </c>
      <c r="Q641" s="109">
        <f>IF(B641=1,'Deal maths'!AA641+ROW()/1000000,"")</f>
        <v/>
      </c>
      <c r="R641" s="108">
        <f>IF(D641=0,0,IF(DAY(E641+1)=1,31,DAY(E641)))</f>
        <v/>
      </c>
      <c r="S641" s="109">
        <f>IF(AND('Deal maths'!V641="LOBO",'Deal maths'!AG641&gt;AsAt,'Deal maths'!AG641&lt;'Deal maths'!AA641),'Deal maths'!AG641,'Deal maths'!AA641)</f>
        <v/>
      </c>
      <c r="T641" s="108">
        <f>('Deal maths'!AA641&gt;AsAt)*('Deal maths'!Y641&gt;0)</f>
        <v/>
      </c>
    </row>
    <row r="642">
      <c r="A642" s="91">
        <f>IF('Deal maths'!V642="","",'Deal maths'!W642)</f>
        <v/>
      </c>
      <c r="B642" s="108">
        <f>('Deal maths'!AA642&gt;AsAt)*('Deal maths'!Y642&gt;0)*('Deal maths'!Z642&lt;=AsAt)</f>
        <v/>
      </c>
      <c r="C642" s="91">
        <f>IF('Deal maths'!V642="","",IF('Deal maths'!AC642="","Maturity",'Deal maths'!AC642))</f>
        <v/>
      </c>
      <c r="D642" s="108">
        <f>IF(OR(C642="EIP",C642="Annuity"),IF('Deal maths'!AD642="Annual",12,IF('Deal maths'!AD642="Quarterly",3,6)),0)</f>
        <v/>
      </c>
      <c r="E642" s="109">
        <f>IFERROR(IF(D642=0,0,IF('Deal maths'!AE642&gt;0,IF('Deal maths'!AE642&gt;'Deal maths'!AA642,'Deal maths'!AA642,'Deal maths'!AE642),IF(IF(DAY('Deal maths'!AA642+1)=1,EOMONTH('Deal maths'!AA642,-(INT(((YEAR('Deal maths'!AA642)-YEAR(IF('Deal maths'!Z642&gt;0,'Deal maths'!Z642,DATE(1990,1,1))))*12+MONTH('Deal maths'!AA642)-MONTH(IF('Deal maths'!Z642&gt;0,'Deal maths'!Z642,DATE(1990,1,1))))/D642))*D642),EDATE('Deal maths'!AA642,-(INT(((YEAR('Deal maths'!AA642)-YEAR(IF('Deal maths'!Z642&gt;0,'Deal maths'!Z642,DATE(1990,1,1))))*12+MONTH('Deal maths'!AA642)-MONTH(IF('Deal maths'!Z642&gt;0,'Deal maths'!Z642,DATE(1990,1,1))))/D642))*D642))&gt;IF('Deal maths'!Z642&gt;0,'Deal maths'!Z642,DATE(1990,1,1)),IF(DAY('Deal maths'!AA642+1)=1,EOMONTH('Deal maths'!AA642,-(INT(((YEAR('Deal maths'!AA642)-YEAR(IF('Deal maths'!Z642&gt;0,'Deal maths'!Z642,DATE(1990,1,1))))*12+MONTH('Deal maths'!AA642)-MONTH(IF('Deal maths'!Z642&gt;0,'Deal maths'!Z642,DATE(1990,1,1))))/D642))*D642),EDATE('Deal maths'!AA642,-(INT(((YEAR('Deal maths'!AA642)-YEAR(IF('Deal maths'!Z642&gt;0,'Deal maths'!Z642,DATE(1990,1,1))))*12+MONTH('Deal maths'!AA642)-MONTH(IF('Deal maths'!Z642&gt;0,'Deal maths'!Z642,DATE(1990,1,1))))/D642))*D642)),IF(DAY('Deal maths'!AA642+1)=1,EOMONTH('Deal maths'!AA642,-(INT(((YEAR('Deal maths'!AA642)-YEAR(IF('Deal maths'!Z642&gt;0,'Deal maths'!Z642,DATE(1990,1,1))))*12+MONTH('Deal maths'!AA642)-MONTH(IF('Deal maths'!Z642&gt;0,'Deal maths'!Z642,DATE(1990,1,1))))/D642)-1)*D642),EDATE('Deal maths'!AA642,-(INT(((YEAR('Deal maths'!AA642)-YEAR(IF('Deal maths'!Z642&gt;0,'Deal maths'!Z642,DATE(1990,1,1))))*12+MONTH('Deal maths'!AA642)-MONTH(IF('Deal maths'!Z642&gt;0,'Deal maths'!Z642,DATE(1990,1,1))))/D642)-1)*D642))))),0)</f>
        <v/>
      </c>
      <c r="F642" s="110">
        <f>IF(D642=0,0,'Deal maths'!AB642*D642/12)</f>
        <v/>
      </c>
      <c r="G642" s="108">
        <f>N642+O642</f>
        <v/>
      </c>
      <c r="H642" s="108">
        <f>IFERROR(IF(OR(D642=0,AsAt&lt;E642),0,MIN(N642,INT(((YEAR(AsAt)-YEAR(E642))*12+MONTH(AsAt)-MONTH(E642)-(DAY(AsAt)&lt;MIN(R642,DAY(EOMONTH(AsAt,0)))))/D642)+1)+O642*(AsAt&gt;='Deal maths'!AA642)),0)</f>
        <v/>
      </c>
      <c r="I642" s="108">
        <f>G642-H642</f>
        <v/>
      </c>
      <c r="J642" s="111">
        <f>IF(AND(C642="EIP",I642&gt;0),'Deal maths'!Y642/I642,0)</f>
        <v/>
      </c>
      <c r="K642" s="111">
        <f>IF(AND(C642="Annuity",I642&gt;0),IF(F642&gt;0,'Deal maths'!Y642*F642/(1-(1+F642)^-I642),'Deal maths'!Y642/I642),0)</f>
        <v/>
      </c>
      <c r="L642" s="111">
        <f>IF('Deal maths'!Y642="",0,'Deal maths'!Y642)</f>
        <v/>
      </c>
      <c r="M642" s="112">
        <f>F642+(F642=0)</f>
        <v/>
      </c>
      <c r="N642" s="108">
        <f>IFERROR(IF(D642=0,0,INT(((YEAR('Deal maths'!AA642)-YEAR(E642))*12+MONTH('Deal maths'!AA642)-MONTH(E642)-(DAY('Deal maths'!AA642)&lt;MIN(R642,DAY(EOMONTH('Deal maths'!AA642,0)))))/D642)+1),0)</f>
        <v/>
      </c>
      <c r="O642" s="108">
        <f>IFERROR(IF(D642=0,0,IF(IF(DAY(E642+1)=1,EOMONTH(E642,(N642-1)*D642),EDATE(E642,(N642-1)*D642))='Deal maths'!AA642,0,1)),0)</f>
        <v/>
      </c>
      <c r="P642" s="113">
        <f>IF(B642=0,0,IFERROR(IF(C642="EIP",((I642-O642)*((IF(DAY(E642+1)=1,EOMONTH(E642,H642*D642),EDATE(E642,H642*D642))-AsAt)/365.25+(IF(DAY(E642+1)=1,EOMONTH(E642,(N642-1)*D642),EDATE(E642,(N642-1)*D642))-AsAt)/365.25)/2+O642*('Deal maths'!AA642-AsAt)/365.25)/I642,IF(C642="Annuity",IF(F642&gt;0,((K642-L642*F642)*((IF(DAY(E642+1)=1,EOMONTH(E642,H642*D642),EDATE(E642,H642*D642))-AsAt)/365.25*((1+F642)^(I642-O642)-1)/F642+IF((I642-O642)&gt;1,((IF(DAY(E642+1)=1,EOMONTH(E642,(N642-1)*D642),EDATE(E642,(N642-1)*D642))-AsAt)/365.25-(IF(DAY(E642+1)=1,EOMONTH(E642,H642*D642),EDATE(E642,H642*D642))-AsAt)/365.25)/((I642-O642)-1),0)*(1+F642)*(1-(I642-O642)*(1+F642)^((I642-O642)-1)+((I642-O642)-1)*(1+F642)^(I642-O642))/F642^2)+O642*(K642-L642*F642)*(1+F642)^(I642-1)*('Deal maths'!AA642-AsAt)/365.25)/L642,((I642-O642)*((IF(DAY(E642+1)=1,EOMONTH(E642,H642*D642),EDATE(E642,H642*D642))-AsAt)/365.25+(IF(DAY(E642+1)=1,EOMONTH(E642,(N642-1)*D642),EDATE(E642,(N642-1)*D642))-AsAt)/365.25)/2+O642*('Deal maths'!AA642-AsAt)/365.25)/I642),(S642-AsAt)/365.25)),0))</f>
        <v/>
      </c>
      <c r="Q642" s="109">
        <f>IF(B642=1,'Deal maths'!AA642+ROW()/1000000,"")</f>
        <v/>
      </c>
      <c r="R642" s="108">
        <f>IF(D642=0,0,IF(DAY(E642+1)=1,31,DAY(E642)))</f>
        <v/>
      </c>
      <c r="S642" s="109">
        <f>IF(AND('Deal maths'!V642="LOBO",'Deal maths'!AG642&gt;AsAt,'Deal maths'!AG642&lt;'Deal maths'!AA642),'Deal maths'!AG642,'Deal maths'!AA642)</f>
        <v/>
      </c>
      <c r="T642" s="108">
        <f>('Deal maths'!AA642&gt;AsAt)*('Deal maths'!Y642&gt;0)</f>
        <v/>
      </c>
    </row>
    <row r="643">
      <c r="A643" s="91">
        <f>IF('Deal maths'!V643="","",'Deal maths'!W643)</f>
        <v/>
      </c>
      <c r="B643" s="108">
        <f>('Deal maths'!AA643&gt;AsAt)*('Deal maths'!Y643&gt;0)*('Deal maths'!Z643&lt;=AsAt)</f>
        <v/>
      </c>
      <c r="C643" s="91">
        <f>IF('Deal maths'!V643="","",IF('Deal maths'!AC643="","Maturity",'Deal maths'!AC643))</f>
        <v/>
      </c>
      <c r="D643" s="108">
        <f>IF(OR(C643="EIP",C643="Annuity"),IF('Deal maths'!AD643="Annual",12,IF('Deal maths'!AD643="Quarterly",3,6)),0)</f>
        <v/>
      </c>
      <c r="E643" s="109">
        <f>IFERROR(IF(D643=0,0,IF('Deal maths'!AE643&gt;0,IF('Deal maths'!AE643&gt;'Deal maths'!AA643,'Deal maths'!AA643,'Deal maths'!AE643),IF(IF(DAY('Deal maths'!AA643+1)=1,EOMONTH('Deal maths'!AA643,-(INT(((YEAR('Deal maths'!AA643)-YEAR(IF('Deal maths'!Z643&gt;0,'Deal maths'!Z643,DATE(1990,1,1))))*12+MONTH('Deal maths'!AA643)-MONTH(IF('Deal maths'!Z643&gt;0,'Deal maths'!Z643,DATE(1990,1,1))))/D643))*D643),EDATE('Deal maths'!AA643,-(INT(((YEAR('Deal maths'!AA643)-YEAR(IF('Deal maths'!Z643&gt;0,'Deal maths'!Z643,DATE(1990,1,1))))*12+MONTH('Deal maths'!AA643)-MONTH(IF('Deal maths'!Z643&gt;0,'Deal maths'!Z643,DATE(1990,1,1))))/D643))*D643))&gt;IF('Deal maths'!Z643&gt;0,'Deal maths'!Z643,DATE(1990,1,1)),IF(DAY('Deal maths'!AA643+1)=1,EOMONTH('Deal maths'!AA643,-(INT(((YEAR('Deal maths'!AA643)-YEAR(IF('Deal maths'!Z643&gt;0,'Deal maths'!Z643,DATE(1990,1,1))))*12+MONTH('Deal maths'!AA643)-MONTH(IF('Deal maths'!Z643&gt;0,'Deal maths'!Z643,DATE(1990,1,1))))/D643))*D643),EDATE('Deal maths'!AA643,-(INT(((YEAR('Deal maths'!AA643)-YEAR(IF('Deal maths'!Z643&gt;0,'Deal maths'!Z643,DATE(1990,1,1))))*12+MONTH('Deal maths'!AA643)-MONTH(IF('Deal maths'!Z643&gt;0,'Deal maths'!Z643,DATE(1990,1,1))))/D643))*D643)),IF(DAY('Deal maths'!AA643+1)=1,EOMONTH('Deal maths'!AA643,-(INT(((YEAR('Deal maths'!AA643)-YEAR(IF('Deal maths'!Z643&gt;0,'Deal maths'!Z643,DATE(1990,1,1))))*12+MONTH('Deal maths'!AA643)-MONTH(IF('Deal maths'!Z643&gt;0,'Deal maths'!Z643,DATE(1990,1,1))))/D643)-1)*D643),EDATE('Deal maths'!AA643,-(INT(((YEAR('Deal maths'!AA643)-YEAR(IF('Deal maths'!Z643&gt;0,'Deal maths'!Z643,DATE(1990,1,1))))*12+MONTH('Deal maths'!AA643)-MONTH(IF('Deal maths'!Z643&gt;0,'Deal maths'!Z643,DATE(1990,1,1))))/D643)-1)*D643))))),0)</f>
        <v/>
      </c>
      <c r="F643" s="110">
        <f>IF(D643=0,0,'Deal maths'!AB643*D643/12)</f>
        <v/>
      </c>
      <c r="G643" s="108">
        <f>N643+O643</f>
        <v/>
      </c>
      <c r="H643" s="108">
        <f>IFERROR(IF(OR(D643=0,AsAt&lt;E643),0,MIN(N643,INT(((YEAR(AsAt)-YEAR(E643))*12+MONTH(AsAt)-MONTH(E643)-(DAY(AsAt)&lt;MIN(R643,DAY(EOMONTH(AsAt,0)))))/D643)+1)+O643*(AsAt&gt;='Deal maths'!AA643)),0)</f>
        <v/>
      </c>
      <c r="I643" s="108">
        <f>G643-H643</f>
        <v/>
      </c>
      <c r="J643" s="111">
        <f>IF(AND(C643="EIP",I643&gt;0),'Deal maths'!Y643/I643,0)</f>
        <v/>
      </c>
      <c r="K643" s="111">
        <f>IF(AND(C643="Annuity",I643&gt;0),IF(F643&gt;0,'Deal maths'!Y643*F643/(1-(1+F643)^-I643),'Deal maths'!Y643/I643),0)</f>
        <v/>
      </c>
      <c r="L643" s="111">
        <f>IF('Deal maths'!Y643="",0,'Deal maths'!Y643)</f>
        <v/>
      </c>
      <c r="M643" s="112">
        <f>F643+(F643=0)</f>
        <v/>
      </c>
      <c r="N643" s="108">
        <f>IFERROR(IF(D643=0,0,INT(((YEAR('Deal maths'!AA643)-YEAR(E643))*12+MONTH('Deal maths'!AA643)-MONTH(E643)-(DAY('Deal maths'!AA643)&lt;MIN(R643,DAY(EOMONTH('Deal maths'!AA643,0)))))/D643)+1),0)</f>
        <v/>
      </c>
      <c r="O643" s="108">
        <f>IFERROR(IF(D643=0,0,IF(IF(DAY(E643+1)=1,EOMONTH(E643,(N643-1)*D643),EDATE(E643,(N643-1)*D643))='Deal maths'!AA643,0,1)),0)</f>
        <v/>
      </c>
      <c r="P643" s="113">
        <f>IF(B643=0,0,IFERROR(IF(C643="EIP",((I643-O643)*((IF(DAY(E643+1)=1,EOMONTH(E643,H643*D643),EDATE(E643,H643*D643))-AsAt)/365.25+(IF(DAY(E643+1)=1,EOMONTH(E643,(N643-1)*D643),EDATE(E643,(N643-1)*D643))-AsAt)/365.25)/2+O643*('Deal maths'!AA643-AsAt)/365.25)/I643,IF(C643="Annuity",IF(F643&gt;0,((K643-L643*F643)*((IF(DAY(E643+1)=1,EOMONTH(E643,H643*D643),EDATE(E643,H643*D643))-AsAt)/365.25*((1+F643)^(I643-O643)-1)/F643+IF((I643-O643)&gt;1,((IF(DAY(E643+1)=1,EOMONTH(E643,(N643-1)*D643),EDATE(E643,(N643-1)*D643))-AsAt)/365.25-(IF(DAY(E643+1)=1,EOMONTH(E643,H643*D643),EDATE(E643,H643*D643))-AsAt)/365.25)/((I643-O643)-1),0)*(1+F643)*(1-(I643-O643)*(1+F643)^((I643-O643)-1)+((I643-O643)-1)*(1+F643)^(I643-O643))/F643^2)+O643*(K643-L643*F643)*(1+F643)^(I643-1)*('Deal maths'!AA643-AsAt)/365.25)/L643,((I643-O643)*((IF(DAY(E643+1)=1,EOMONTH(E643,H643*D643),EDATE(E643,H643*D643))-AsAt)/365.25+(IF(DAY(E643+1)=1,EOMONTH(E643,(N643-1)*D643),EDATE(E643,(N643-1)*D643))-AsAt)/365.25)/2+O643*('Deal maths'!AA643-AsAt)/365.25)/I643),(S643-AsAt)/365.25)),0))</f>
        <v/>
      </c>
      <c r="Q643" s="109">
        <f>IF(B643=1,'Deal maths'!AA643+ROW()/1000000,"")</f>
        <v/>
      </c>
      <c r="R643" s="108">
        <f>IF(D643=0,0,IF(DAY(E643+1)=1,31,DAY(E643)))</f>
        <v/>
      </c>
      <c r="S643" s="109">
        <f>IF(AND('Deal maths'!V643="LOBO",'Deal maths'!AG643&gt;AsAt,'Deal maths'!AG643&lt;'Deal maths'!AA643),'Deal maths'!AG643,'Deal maths'!AA643)</f>
        <v/>
      </c>
      <c r="T643" s="108">
        <f>('Deal maths'!AA643&gt;AsAt)*('Deal maths'!Y643&gt;0)</f>
        <v/>
      </c>
    </row>
    <row r="644">
      <c r="A644" s="91">
        <f>IF('Deal maths'!V644="","",'Deal maths'!W644)</f>
        <v/>
      </c>
      <c r="B644" s="108">
        <f>('Deal maths'!AA644&gt;AsAt)*('Deal maths'!Y644&gt;0)*('Deal maths'!Z644&lt;=AsAt)</f>
        <v/>
      </c>
      <c r="C644" s="91">
        <f>IF('Deal maths'!V644="","",IF('Deal maths'!AC644="","Maturity",'Deal maths'!AC644))</f>
        <v/>
      </c>
      <c r="D644" s="108">
        <f>IF(OR(C644="EIP",C644="Annuity"),IF('Deal maths'!AD644="Annual",12,IF('Deal maths'!AD644="Quarterly",3,6)),0)</f>
        <v/>
      </c>
      <c r="E644" s="109">
        <f>IFERROR(IF(D644=0,0,IF('Deal maths'!AE644&gt;0,IF('Deal maths'!AE644&gt;'Deal maths'!AA644,'Deal maths'!AA644,'Deal maths'!AE644),IF(IF(DAY('Deal maths'!AA644+1)=1,EOMONTH('Deal maths'!AA644,-(INT(((YEAR('Deal maths'!AA644)-YEAR(IF('Deal maths'!Z644&gt;0,'Deal maths'!Z644,DATE(1990,1,1))))*12+MONTH('Deal maths'!AA644)-MONTH(IF('Deal maths'!Z644&gt;0,'Deal maths'!Z644,DATE(1990,1,1))))/D644))*D644),EDATE('Deal maths'!AA644,-(INT(((YEAR('Deal maths'!AA644)-YEAR(IF('Deal maths'!Z644&gt;0,'Deal maths'!Z644,DATE(1990,1,1))))*12+MONTH('Deal maths'!AA644)-MONTH(IF('Deal maths'!Z644&gt;0,'Deal maths'!Z644,DATE(1990,1,1))))/D644))*D644))&gt;IF('Deal maths'!Z644&gt;0,'Deal maths'!Z644,DATE(1990,1,1)),IF(DAY('Deal maths'!AA644+1)=1,EOMONTH('Deal maths'!AA644,-(INT(((YEAR('Deal maths'!AA644)-YEAR(IF('Deal maths'!Z644&gt;0,'Deal maths'!Z644,DATE(1990,1,1))))*12+MONTH('Deal maths'!AA644)-MONTH(IF('Deal maths'!Z644&gt;0,'Deal maths'!Z644,DATE(1990,1,1))))/D644))*D644),EDATE('Deal maths'!AA644,-(INT(((YEAR('Deal maths'!AA644)-YEAR(IF('Deal maths'!Z644&gt;0,'Deal maths'!Z644,DATE(1990,1,1))))*12+MONTH('Deal maths'!AA644)-MONTH(IF('Deal maths'!Z644&gt;0,'Deal maths'!Z644,DATE(1990,1,1))))/D644))*D644)),IF(DAY('Deal maths'!AA644+1)=1,EOMONTH('Deal maths'!AA644,-(INT(((YEAR('Deal maths'!AA644)-YEAR(IF('Deal maths'!Z644&gt;0,'Deal maths'!Z644,DATE(1990,1,1))))*12+MONTH('Deal maths'!AA644)-MONTH(IF('Deal maths'!Z644&gt;0,'Deal maths'!Z644,DATE(1990,1,1))))/D644)-1)*D644),EDATE('Deal maths'!AA644,-(INT(((YEAR('Deal maths'!AA644)-YEAR(IF('Deal maths'!Z644&gt;0,'Deal maths'!Z644,DATE(1990,1,1))))*12+MONTH('Deal maths'!AA644)-MONTH(IF('Deal maths'!Z644&gt;0,'Deal maths'!Z644,DATE(1990,1,1))))/D644)-1)*D644))))),0)</f>
        <v/>
      </c>
      <c r="F644" s="110">
        <f>IF(D644=0,0,'Deal maths'!AB644*D644/12)</f>
        <v/>
      </c>
      <c r="G644" s="108">
        <f>N644+O644</f>
        <v/>
      </c>
      <c r="H644" s="108">
        <f>IFERROR(IF(OR(D644=0,AsAt&lt;E644),0,MIN(N644,INT(((YEAR(AsAt)-YEAR(E644))*12+MONTH(AsAt)-MONTH(E644)-(DAY(AsAt)&lt;MIN(R644,DAY(EOMONTH(AsAt,0)))))/D644)+1)+O644*(AsAt&gt;='Deal maths'!AA644)),0)</f>
        <v/>
      </c>
      <c r="I644" s="108">
        <f>G644-H644</f>
        <v/>
      </c>
      <c r="J644" s="111">
        <f>IF(AND(C644="EIP",I644&gt;0),'Deal maths'!Y644/I644,0)</f>
        <v/>
      </c>
      <c r="K644" s="111">
        <f>IF(AND(C644="Annuity",I644&gt;0),IF(F644&gt;0,'Deal maths'!Y644*F644/(1-(1+F644)^-I644),'Deal maths'!Y644/I644),0)</f>
        <v/>
      </c>
      <c r="L644" s="111">
        <f>IF('Deal maths'!Y644="",0,'Deal maths'!Y644)</f>
        <v/>
      </c>
      <c r="M644" s="112">
        <f>F644+(F644=0)</f>
        <v/>
      </c>
      <c r="N644" s="108">
        <f>IFERROR(IF(D644=0,0,INT(((YEAR('Deal maths'!AA644)-YEAR(E644))*12+MONTH('Deal maths'!AA644)-MONTH(E644)-(DAY('Deal maths'!AA644)&lt;MIN(R644,DAY(EOMONTH('Deal maths'!AA644,0)))))/D644)+1),0)</f>
        <v/>
      </c>
      <c r="O644" s="108">
        <f>IFERROR(IF(D644=0,0,IF(IF(DAY(E644+1)=1,EOMONTH(E644,(N644-1)*D644),EDATE(E644,(N644-1)*D644))='Deal maths'!AA644,0,1)),0)</f>
        <v/>
      </c>
      <c r="P644" s="113">
        <f>IF(B644=0,0,IFERROR(IF(C644="EIP",((I644-O644)*((IF(DAY(E644+1)=1,EOMONTH(E644,H644*D644),EDATE(E644,H644*D644))-AsAt)/365.25+(IF(DAY(E644+1)=1,EOMONTH(E644,(N644-1)*D644),EDATE(E644,(N644-1)*D644))-AsAt)/365.25)/2+O644*('Deal maths'!AA644-AsAt)/365.25)/I644,IF(C644="Annuity",IF(F644&gt;0,((K644-L644*F644)*((IF(DAY(E644+1)=1,EOMONTH(E644,H644*D644),EDATE(E644,H644*D644))-AsAt)/365.25*((1+F644)^(I644-O644)-1)/F644+IF((I644-O644)&gt;1,((IF(DAY(E644+1)=1,EOMONTH(E644,(N644-1)*D644),EDATE(E644,(N644-1)*D644))-AsAt)/365.25-(IF(DAY(E644+1)=1,EOMONTH(E644,H644*D644),EDATE(E644,H644*D644))-AsAt)/365.25)/((I644-O644)-1),0)*(1+F644)*(1-(I644-O644)*(1+F644)^((I644-O644)-1)+((I644-O644)-1)*(1+F644)^(I644-O644))/F644^2)+O644*(K644-L644*F644)*(1+F644)^(I644-1)*('Deal maths'!AA644-AsAt)/365.25)/L644,((I644-O644)*((IF(DAY(E644+1)=1,EOMONTH(E644,H644*D644),EDATE(E644,H644*D644))-AsAt)/365.25+(IF(DAY(E644+1)=1,EOMONTH(E644,(N644-1)*D644),EDATE(E644,(N644-1)*D644))-AsAt)/365.25)/2+O644*('Deal maths'!AA644-AsAt)/365.25)/I644),(S644-AsAt)/365.25)),0))</f>
        <v/>
      </c>
      <c r="Q644" s="109">
        <f>IF(B644=1,'Deal maths'!AA644+ROW()/1000000,"")</f>
        <v/>
      </c>
      <c r="R644" s="108">
        <f>IF(D644=0,0,IF(DAY(E644+1)=1,31,DAY(E644)))</f>
        <v/>
      </c>
      <c r="S644" s="109">
        <f>IF(AND('Deal maths'!V644="LOBO",'Deal maths'!AG644&gt;AsAt,'Deal maths'!AG644&lt;'Deal maths'!AA644),'Deal maths'!AG644,'Deal maths'!AA644)</f>
        <v/>
      </c>
      <c r="T644" s="108">
        <f>('Deal maths'!AA644&gt;AsAt)*('Deal maths'!Y644&gt;0)</f>
        <v/>
      </c>
    </row>
    <row r="645">
      <c r="A645" s="91">
        <f>IF('Deal maths'!V645="","",'Deal maths'!W645)</f>
        <v/>
      </c>
      <c r="B645" s="108">
        <f>('Deal maths'!AA645&gt;AsAt)*('Deal maths'!Y645&gt;0)*('Deal maths'!Z645&lt;=AsAt)</f>
        <v/>
      </c>
      <c r="C645" s="91">
        <f>IF('Deal maths'!V645="","",IF('Deal maths'!AC645="","Maturity",'Deal maths'!AC645))</f>
        <v/>
      </c>
      <c r="D645" s="108">
        <f>IF(OR(C645="EIP",C645="Annuity"),IF('Deal maths'!AD645="Annual",12,IF('Deal maths'!AD645="Quarterly",3,6)),0)</f>
        <v/>
      </c>
      <c r="E645" s="109">
        <f>IFERROR(IF(D645=0,0,IF('Deal maths'!AE645&gt;0,IF('Deal maths'!AE645&gt;'Deal maths'!AA645,'Deal maths'!AA645,'Deal maths'!AE645),IF(IF(DAY('Deal maths'!AA645+1)=1,EOMONTH('Deal maths'!AA645,-(INT(((YEAR('Deal maths'!AA645)-YEAR(IF('Deal maths'!Z645&gt;0,'Deal maths'!Z645,DATE(1990,1,1))))*12+MONTH('Deal maths'!AA645)-MONTH(IF('Deal maths'!Z645&gt;0,'Deal maths'!Z645,DATE(1990,1,1))))/D645))*D645),EDATE('Deal maths'!AA645,-(INT(((YEAR('Deal maths'!AA645)-YEAR(IF('Deal maths'!Z645&gt;0,'Deal maths'!Z645,DATE(1990,1,1))))*12+MONTH('Deal maths'!AA645)-MONTH(IF('Deal maths'!Z645&gt;0,'Deal maths'!Z645,DATE(1990,1,1))))/D645))*D645))&gt;IF('Deal maths'!Z645&gt;0,'Deal maths'!Z645,DATE(1990,1,1)),IF(DAY('Deal maths'!AA645+1)=1,EOMONTH('Deal maths'!AA645,-(INT(((YEAR('Deal maths'!AA645)-YEAR(IF('Deal maths'!Z645&gt;0,'Deal maths'!Z645,DATE(1990,1,1))))*12+MONTH('Deal maths'!AA645)-MONTH(IF('Deal maths'!Z645&gt;0,'Deal maths'!Z645,DATE(1990,1,1))))/D645))*D645),EDATE('Deal maths'!AA645,-(INT(((YEAR('Deal maths'!AA645)-YEAR(IF('Deal maths'!Z645&gt;0,'Deal maths'!Z645,DATE(1990,1,1))))*12+MONTH('Deal maths'!AA645)-MONTH(IF('Deal maths'!Z645&gt;0,'Deal maths'!Z645,DATE(1990,1,1))))/D645))*D645)),IF(DAY('Deal maths'!AA645+1)=1,EOMONTH('Deal maths'!AA645,-(INT(((YEAR('Deal maths'!AA645)-YEAR(IF('Deal maths'!Z645&gt;0,'Deal maths'!Z645,DATE(1990,1,1))))*12+MONTH('Deal maths'!AA645)-MONTH(IF('Deal maths'!Z645&gt;0,'Deal maths'!Z645,DATE(1990,1,1))))/D645)-1)*D645),EDATE('Deal maths'!AA645,-(INT(((YEAR('Deal maths'!AA645)-YEAR(IF('Deal maths'!Z645&gt;0,'Deal maths'!Z645,DATE(1990,1,1))))*12+MONTH('Deal maths'!AA645)-MONTH(IF('Deal maths'!Z645&gt;0,'Deal maths'!Z645,DATE(1990,1,1))))/D645)-1)*D645))))),0)</f>
        <v/>
      </c>
      <c r="F645" s="110">
        <f>IF(D645=0,0,'Deal maths'!AB645*D645/12)</f>
        <v/>
      </c>
      <c r="G645" s="108">
        <f>N645+O645</f>
        <v/>
      </c>
      <c r="H645" s="108">
        <f>IFERROR(IF(OR(D645=0,AsAt&lt;E645),0,MIN(N645,INT(((YEAR(AsAt)-YEAR(E645))*12+MONTH(AsAt)-MONTH(E645)-(DAY(AsAt)&lt;MIN(R645,DAY(EOMONTH(AsAt,0)))))/D645)+1)+O645*(AsAt&gt;='Deal maths'!AA645)),0)</f>
        <v/>
      </c>
      <c r="I645" s="108">
        <f>G645-H645</f>
        <v/>
      </c>
      <c r="J645" s="111">
        <f>IF(AND(C645="EIP",I645&gt;0),'Deal maths'!Y645/I645,0)</f>
        <v/>
      </c>
      <c r="K645" s="111">
        <f>IF(AND(C645="Annuity",I645&gt;0),IF(F645&gt;0,'Deal maths'!Y645*F645/(1-(1+F645)^-I645),'Deal maths'!Y645/I645),0)</f>
        <v/>
      </c>
      <c r="L645" s="111">
        <f>IF('Deal maths'!Y645="",0,'Deal maths'!Y645)</f>
        <v/>
      </c>
      <c r="M645" s="112">
        <f>F645+(F645=0)</f>
        <v/>
      </c>
      <c r="N645" s="108">
        <f>IFERROR(IF(D645=0,0,INT(((YEAR('Deal maths'!AA645)-YEAR(E645))*12+MONTH('Deal maths'!AA645)-MONTH(E645)-(DAY('Deal maths'!AA645)&lt;MIN(R645,DAY(EOMONTH('Deal maths'!AA645,0)))))/D645)+1),0)</f>
        <v/>
      </c>
      <c r="O645" s="108">
        <f>IFERROR(IF(D645=0,0,IF(IF(DAY(E645+1)=1,EOMONTH(E645,(N645-1)*D645),EDATE(E645,(N645-1)*D645))='Deal maths'!AA645,0,1)),0)</f>
        <v/>
      </c>
      <c r="P645" s="113">
        <f>IF(B645=0,0,IFERROR(IF(C645="EIP",((I645-O645)*((IF(DAY(E645+1)=1,EOMONTH(E645,H645*D645),EDATE(E645,H645*D645))-AsAt)/365.25+(IF(DAY(E645+1)=1,EOMONTH(E645,(N645-1)*D645),EDATE(E645,(N645-1)*D645))-AsAt)/365.25)/2+O645*('Deal maths'!AA645-AsAt)/365.25)/I645,IF(C645="Annuity",IF(F645&gt;0,((K645-L645*F645)*((IF(DAY(E645+1)=1,EOMONTH(E645,H645*D645),EDATE(E645,H645*D645))-AsAt)/365.25*((1+F645)^(I645-O645)-1)/F645+IF((I645-O645)&gt;1,((IF(DAY(E645+1)=1,EOMONTH(E645,(N645-1)*D645),EDATE(E645,(N645-1)*D645))-AsAt)/365.25-(IF(DAY(E645+1)=1,EOMONTH(E645,H645*D645),EDATE(E645,H645*D645))-AsAt)/365.25)/((I645-O645)-1),0)*(1+F645)*(1-(I645-O645)*(1+F645)^((I645-O645)-1)+((I645-O645)-1)*(1+F645)^(I645-O645))/F645^2)+O645*(K645-L645*F645)*(1+F645)^(I645-1)*('Deal maths'!AA645-AsAt)/365.25)/L645,((I645-O645)*((IF(DAY(E645+1)=1,EOMONTH(E645,H645*D645),EDATE(E645,H645*D645))-AsAt)/365.25+(IF(DAY(E645+1)=1,EOMONTH(E645,(N645-1)*D645),EDATE(E645,(N645-1)*D645))-AsAt)/365.25)/2+O645*('Deal maths'!AA645-AsAt)/365.25)/I645),(S645-AsAt)/365.25)),0))</f>
        <v/>
      </c>
      <c r="Q645" s="109">
        <f>IF(B645=1,'Deal maths'!AA645+ROW()/1000000,"")</f>
        <v/>
      </c>
      <c r="R645" s="108">
        <f>IF(D645=0,0,IF(DAY(E645+1)=1,31,DAY(E645)))</f>
        <v/>
      </c>
      <c r="S645" s="109">
        <f>IF(AND('Deal maths'!V645="LOBO",'Deal maths'!AG645&gt;AsAt,'Deal maths'!AG645&lt;'Deal maths'!AA645),'Deal maths'!AG645,'Deal maths'!AA645)</f>
        <v/>
      </c>
      <c r="T645" s="108">
        <f>('Deal maths'!AA645&gt;AsAt)*('Deal maths'!Y645&gt;0)</f>
        <v/>
      </c>
    </row>
    <row r="646">
      <c r="A646" s="91">
        <f>IF('Deal maths'!V646="","",'Deal maths'!W646)</f>
        <v/>
      </c>
      <c r="B646" s="108">
        <f>('Deal maths'!AA646&gt;AsAt)*('Deal maths'!Y646&gt;0)*('Deal maths'!Z646&lt;=AsAt)</f>
        <v/>
      </c>
      <c r="C646" s="91">
        <f>IF('Deal maths'!V646="","",IF('Deal maths'!AC646="","Maturity",'Deal maths'!AC646))</f>
        <v/>
      </c>
      <c r="D646" s="108">
        <f>IF(OR(C646="EIP",C646="Annuity"),IF('Deal maths'!AD646="Annual",12,IF('Deal maths'!AD646="Quarterly",3,6)),0)</f>
        <v/>
      </c>
      <c r="E646" s="109">
        <f>IFERROR(IF(D646=0,0,IF('Deal maths'!AE646&gt;0,IF('Deal maths'!AE646&gt;'Deal maths'!AA646,'Deal maths'!AA646,'Deal maths'!AE646),IF(IF(DAY('Deal maths'!AA646+1)=1,EOMONTH('Deal maths'!AA646,-(INT(((YEAR('Deal maths'!AA646)-YEAR(IF('Deal maths'!Z646&gt;0,'Deal maths'!Z646,DATE(1990,1,1))))*12+MONTH('Deal maths'!AA646)-MONTH(IF('Deal maths'!Z646&gt;0,'Deal maths'!Z646,DATE(1990,1,1))))/D646))*D646),EDATE('Deal maths'!AA646,-(INT(((YEAR('Deal maths'!AA646)-YEAR(IF('Deal maths'!Z646&gt;0,'Deal maths'!Z646,DATE(1990,1,1))))*12+MONTH('Deal maths'!AA646)-MONTH(IF('Deal maths'!Z646&gt;0,'Deal maths'!Z646,DATE(1990,1,1))))/D646))*D646))&gt;IF('Deal maths'!Z646&gt;0,'Deal maths'!Z646,DATE(1990,1,1)),IF(DAY('Deal maths'!AA646+1)=1,EOMONTH('Deal maths'!AA646,-(INT(((YEAR('Deal maths'!AA646)-YEAR(IF('Deal maths'!Z646&gt;0,'Deal maths'!Z646,DATE(1990,1,1))))*12+MONTH('Deal maths'!AA646)-MONTH(IF('Deal maths'!Z646&gt;0,'Deal maths'!Z646,DATE(1990,1,1))))/D646))*D646),EDATE('Deal maths'!AA646,-(INT(((YEAR('Deal maths'!AA646)-YEAR(IF('Deal maths'!Z646&gt;0,'Deal maths'!Z646,DATE(1990,1,1))))*12+MONTH('Deal maths'!AA646)-MONTH(IF('Deal maths'!Z646&gt;0,'Deal maths'!Z646,DATE(1990,1,1))))/D646))*D646)),IF(DAY('Deal maths'!AA646+1)=1,EOMONTH('Deal maths'!AA646,-(INT(((YEAR('Deal maths'!AA646)-YEAR(IF('Deal maths'!Z646&gt;0,'Deal maths'!Z646,DATE(1990,1,1))))*12+MONTH('Deal maths'!AA646)-MONTH(IF('Deal maths'!Z646&gt;0,'Deal maths'!Z646,DATE(1990,1,1))))/D646)-1)*D646),EDATE('Deal maths'!AA646,-(INT(((YEAR('Deal maths'!AA646)-YEAR(IF('Deal maths'!Z646&gt;0,'Deal maths'!Z646,DATE(1990,1,1))))*12+MONTH('Deal maths'!AA646)-MONTH(IF('Deal maths'!Z646&gt;0,'Deal maths'!Z646,DATE(1990,1,1))))/D646)-1)*D646))))),0)</f>
        <v/>
      </c>
      <c r="F646" s="110">
        <f>IF(D646=0,0,'Deal maths'!AB646*D646/12)</f>
        <v/>
      </c>
      <c r="G646" s="108">
        <f>N646+O646</f>
        <v/>
      </c>
      <c r="H646" s="108">
        <f>IFERROR(IF(OR(D646=0,AsAt&lt;E646),0,MIN(N646,INT(((YEAR(AsAt)-YEAR(E646))*12+MONTH(AsAt)-MONTH(E646)-(DAY(AsAt)&lt;MIN(R646,DAY(EOMONTH(AsAt,0)))))/D646)+1)+O646*(AsAt&gt;='Deal maths'!AA646)),0)</f>
        <v/>
      </c>
      <c r="I646" s="108">
        <f>G646-H646</f>
        <v/>
      </c>
      <c r="J646" s="111">
        <f>IF(AND(C646="EIP",I646&gt;0),'Deal maths'!Y646/I646,0)</f>
        <v/>
      </c>
      <c r="K646" s="111">
        <f>IF(AND(C646="Annuity",I646&gt;0),IF(F646&gt;0,'Deal maths'!Y646*F646/(1-(1+F646)^-I646),'Deal maths'!Y646/I646),0)</f>
        <v/>
      </c>
      <c r="L646" s="111">
        <f>IF('Deal maths'!Y646="",0,'Deal maths'!Y646)</f>
        <v/>
      </c>
      <c r="M646" s="112">
        <f>F646+(F646=0)</f>
        <v/>
      </c>
      <c r="N646" s="108">
        <f>IFERROR(IF(D646=0,0,INT(((YEAR('Deal maths'!AA646)-YEAR(E646))*12+MONTH('Deal maths'!AA646)-MONTH(E646)-(DAY('Deal maths'!AA646)&lt;MIN(R646,DAY(EOMONTH('Deal maths'!AA646,0)))))/D646)+1),0)</f>
        <v/>
      </c>
      <c r="O646" s="108">
        <f>IFERROR(IF(D646=0,0,IF(IF(DAY(E646+1)=1,EOMONTH(E646,(N646-1)*D646),EDATE(E646,(N646-1)*D646))='Deal maths'!AA646,0,1)),0)</f>
        <v/>
      </c>
      <c r="P646" s="113">
        <f>IF(B646=0,0,IFERROR(IF(C646="EIP",((I646-O646)*((IF(DAY(E646+1)=1,EOMONTH(E646,H646*D646),EDATE(E646,H646*D646))-AsAt)/365.25+(IF(DAY(E646+1)=1,EOMONTH(E646,(N646-1)*D646),EDATE(E646,(N646-1)*D646))-AsAt)/365.25)/2+O646*('Deal maths'!AA646-AsAt)/365.25)/I646,IF(C646="Annuity",IF(F646&gt;0,((K646-L646*F646)*((IF(DAY(E646+1)=1,EOMONTH(E646,H646*D646),EDATE(E646,H646*D646))-AsAt)/365.25*((1+F646)^(I646-O646)-1)/F646+IF((I646-O646)&gt;1,((IF(DAY(E646+1)=1,EOMONTH(E646,(N646-1)*D646),EDATE(E646,(N646-1)*D646))-AsAt)/365.25-(IF(DAY(E646+1)=1,EOMONTH(E646,H646*D646),EDATE(E646,H646*D646))-AsAt)/365.25)/((I646-O646)-1),0)*(1+F646)*(1-(I646-O646)*(1+F646)^((I646-O646)-1)+((I646-O646)-1)*(1+F646)^(I646-O646))/F646^2)+O646*(K646-L646*F646)*(1+F646)^(I646-1)*('Deal maths'!AA646-AsAt)/365.25)/L646,((I646-O646)*((IF(DAY(E646+1)=1,EOMONTH(E646,H646*D646),EDATE(E646,H646*D646))-AsAt)/365.25+(IF(DAY(E646+1)=1,EOMONTH(E646,(N646-1)*D646),EDATE(E646,(N646-1)*D646))-AsAt)/365.25)/2+O646*('Deal maths'!AA646-AsAt)/365.25)/I646),(S646-AsAt)/365.25)),0))</f>
        <v/>
      </c>
      <c r="Q646" s="109">
        <f>IF(B646=1,'Deal maths'!AA646+ROW()/1000000,"")</f>
        <v/>
      </c>
      <c r="R646" s="108">
        <f>IF(D646=0,0,IF(DAY(E646+1)=1,31,DAY(E646)))</f>
        <v/>
      </c>
      <c r="S646" s="109">
        <f>IF(AND('Deal maths'!V646="LOBO",'Deal maths'!AG646&gt;AsAt,'Deal maths'!AG646&lt;'Deal maths'!AA646),'Deal maths'!AG646,'Deal maths'!AA646)</f>
        <v/>
      </c>
      <c r="T646" s="108">
        <f>('Deal maths'!AA646&gt;AsAt)*('Deal maths'!Y646&gt;0)</f>
        <v/>
      </c>
    </row>
    <row r="647">
      <c r="A647" s="91">
        <f>IF('Deal maths'!V647="","",'Deal maths'!W647)</f>
        <v/>
      </c>
      <c r="B647" s="108">
        <f>('Deal maths'!AA647&gt;AsAt)*('Deal maths'!Y647&gt;0)*('Deal maths'!Z647&lt;=AsAt)</f>
        <v/>
      </c>
      <c r="C647" s="91">
        <f>IF('Deal maths'!V647="","",IF('Deal maths'!AC647="","Maturity",'Deal maths'!AC647))</f>
        <v/>
      </c>
      <c r="D647" s="108">
        <f>IF(OR(C647="EIP",C647="Annuity"),IF('Deal maths'!AD647="Annual",12,IF('Deal maths'!AD647="Quarterly",3,6)),0)</f>
        <v/>
      </c>
      <c r="E647" s="109">
        <f>IFERROR(IF(D647=0,0,IF('Deal maths'!AE647&gt;0,IF('Deal maths'!AE647&gt;'Deal maths'!AA647,'Deal maths'!AA647,'Deal maths'!AE647),IF(IF(DAY('Deal maths'!AA647+1)=1,EOMONTH('Deal maths'!AA647,-(INT(((YEAR('Deal maths'!AA647)-YEAR(IF('Deal maths'!Z647&gt;0,'Deal maths'!Z647,DATE(1990,1,1))))*12+MONTH('Deal maths'!AA647)-MONTH(IF('Deal maths'!Z647&gt;0,'Deal maths'!Z647,DATE(1990,1,1))))/D647))*D647),EDATE('Deal maths'!AA647,-(INT(((YEAR('Deal maths'!AA647)-YEAR(IF('Deal maths'!Z647&gt;0,'Deal maths'!Z647,DATE(1990,1,1))))*12+MONTH('Deal maths'!AA647)-MONTH(IF('Deal maths'!Z647&gt;0,'Deal maths'!Z647,DATE(1990,1,1))))/D647))*D647))&gt;IF('Deal maths'!Z647&gt;0,'Deal maths'!Z647,DATE(1990,1,1)),IF(DAY('Deal maths'!AA647+1)=1,EOMONTH('Deal maths'!AA647,-(INT(((YEAR('Deal maths'!AA647)-YEAR(IF('Deal maths'!Z647&gt;0,'Deal maths'!Z647,DATE(1990,1,1))))*12+MONTH('Deal maths'!AA647)-MONTH(IF('Deal maths'!Z647&gt;0,'Deal maths'!Z647,DATE(1990,1,1))))/D647))*D647),EDATE('Deal maths'!AA647,-(INT(((YEAR('Deal maths'!AA647)-YEAR(IF('Deal maths'!Z647&gt;0,'Deal maths'!Z647,DATE(1990,1,1))))*12+MONTH('Deal maths'!AA647)-MONTH(IF('Deal maths'!Z647&gt;0,'Deal maths'!Z647,DATE(1990,1,1))))/D647))*D647)),IF(DAY('Deal maths'!AA647+1)=1,EOMONTH('Deal maths'!AA647,-(INT(((YEAR('Deal maths'!AA647)-YEAR(IF('Deal maths'!Z647&gt;0,'Deal maths'!Z647,DATE(1990,1,1))))*12+MONTH('Deal maths'!AA647)-MONTH(IF('Deal maths'!Z647&gt;0,'Deal maths'!Z647,DATE(1990,1,1))))/D647)-1)*D647),EDATE('Deal maths'!AA647,-(INT(((YEAR('Deal maths'!AA647)-YEAR(IF('Deal maths'!Z647&gt;0,'Deal maths'!Z647,DATE(1990,1,1))))*12+MONTH('Deal maths'!AA647)-MONTH(IF('Deal maths'!Z647&gt;0,'Deal maths'!Z647,DATE(1990,1,1))))/D647)-1)*D647))))),0)</f>
        <v/>
      </c>
      <c r="F647" s="110">
        <f>IF(D647=0,0,'Deal maths'!AB647*D647/12)</f>
        <v/>
      </c>
      <c r="G647" s="108">
        <f>N647+O647</f>
        <v/>
      </c>
      <c r="H647" s="108">
        <f>IFERROR(IF(OR(D647=0,AsAt&lt;E647),0,MIN(N647,INT(((YEAR(AsAt)-YEAR(E647))*12+MONTH(AsAt)-MONTH(E647)-(DAY(AsAt)&lt;MIN(R647,DAY(EOMONTH(AsAt,0)))))/D647)+1)+O647*(AsAt&gt;='Deal maths'!AA647)),0)</f>
        <v/>
      </c>
      <c r="I647" s="108">
        <f>G647-H647</f>
        <v/>
      </c>
      <c r="J647" s="111">
        <f>IF(AND(C647="EIP",I647&gt;0),'Deal maths'!Y647/I647,0)</f>
        <v/>
      </c>
      <c r="K647" s="111">
        <f>IF(AND(C647="Annuity",I647&gt;0),IF(F647&gt;0,'Deal maths'!Y647*F647/(1-(1+F647)^-I647),'Deal maths'!Y647/I647),0)</f>
        <v/>
      </c>
      <c r="L647" s="111">
        <f>IF('Deal maths'!Y647="",0,'Deal maths'!Y647)</f>
        <v/>
      </c>
      <c r="M647" s="112">
        <f>F647+(F647=0)</f>
        <v/>
      </c>
      <c r="N647" s="108">
        <f>IFERROR(IF(D647=0,0,INT(((YEAR('Deal maths'!AA647)-YEAR(E647))*12+MONTH('Deal maths'!AA647)-MONTH(E647)-(DAY('Deal maths'!AA647)&lt;MIN(R647,DAY(EOMONTH('Deal maths'!AA647,0)))))/D647)+1),0)</f>
        <v/>
      </c>
      <c r="O647" s="108">
        <f>IFERROR(IF(D647=0,0,IF(IF(DAY(E647+1)=1,EOMONTH(E647,(N647-1)*D647),EDATE(E647,(N647-1)*D647))='Deal maths'!AA647,0,1)),0)</f>
        <v/>
      </c>
      <c r="P647" s="113">
        <f>IF(B647=0,0,IFERROR(IF(C647="EIP",((I647-O647)*((IF(DAY(E647+1)=1,EOMONTH(E647,H647*D647),EDATE(E647,H647*D647))-AsAt)/365.25+(IF(DAY(E647+1)=1,EOMONTH(E647,(N647-1)*D647),EDATE(E647,(N647-1)*D647))-AsAt)/365.25)/2+O647*('Deal maths'!AA647-AsAt)/365.25)/I647,IF(C647="Annuity",IF(F647&gt;0,((K647-L647*F647)*((IF(DAY(E647+1)=1,EOMONTH(E647,H647*D647),EDATE(E647,H647*D647))-AsAt)/365.25*((1+F647)^(I647-O647)-1)/F647+IF((I647-O647)&gt;1,((IF(DAY(E647+1)=1,EOMONTH(E647,(N647-1)*D647),EDATE(E647,(N647-1)*D647))-AsAt)/365.25-(IF(DAY(E647+1)=1,EOMONTH(E647,H647*D647),EDATE(E647,H647*D647))-AsAt)/365.25)/((I647-O647)-1),0)*(1+F647)*(1-(I647-O647)*(1+F647)^((I647-O647)-1)+((I647-O647)-1)*(1+F647)^(I647-O647))/F647^2)+O647*(K647-L647*F647)*(1+F647)^(I647-1)*('Deal maths'!AA647-AsAt)/365.25)/L647,((I647-O647)*((IF(DAY(E647+1)=1,EOMONTH(E647,H647*D647),EDATE(E647,H647*D647))-AsAt)/365.25+(IF(DAY(E647+1)=1,EOMONTH(E647,(N647-1)*D647),EDATE(E647,(N647-1)*D647))-AsAt)/365.25)/2+O647*('Deal maths'!AA647-AsAt)/365.25)/I647),(S647-AsAt)/365.25)),0))</f>
        <v/>
      </c>
      <c r="Q647" s="109">
        <f>IF(B647=1,'Deal maths'!AA647+ROW()/1000000,"")</f>
        <v/>
      </c>
      <c r="R647" s="108">
        <f>IF(D647=0,0,IF(DAY(E647+1)=1,31,DAY(E647)))</f>
        <v/>
      </c>
      <c r="S647" s="109">
        <f>IF(AND('Deal maths'!V647="LOBO",'Deal maths'!AG647&gt;AsAt,'Deal maths'!AG647&lt;'Deal maths'!AA647),'Deal maths'!AG647,'Deal maths'!AA647)</f>
        <v/>
      </c>
      <c r="T647" s="108">
        <f>('Deal maths'!AA647&gt;AsAt)*('Deal maths'!Y647&gt;0)</f>
        <v/>
      </c>
    </row>
    <row r="648">
      <c r="A648" s="91">
        <f>IF('Deal maths'!V648="","",'Deal maths'!W648)</f>
        <v/>
      </c>
      <c r="B648" s="108">
        <f>('Deal maths'!AA648&gt;AsAt)*('Deal maths'!Y648&gt;0)*('Deal maths'!Z648&lt;=AsAt)</f>
        <v/>
      </c>
      <c r="C648" s="91">
        <f>IF('Deal maths'!V648="","",IF('Deal maths'!AC648="","Maturity",'Deal maths'!AC648))</f>
        <v/>
      </c>
      <c r="D648" s="108">
        <f>IF(OR(C648="EIP",C648="Annuity"),IF('Deal maths'!AD648="Annual",12,IF('Deal maths'!AD648="Quarterly",3,6)),0)</f>
        <v/>
      </c>
      <c r="E648" s="109">
        <f>IFERROR(IF(D648=0,0,IF('Deal maths'!AE648&gt;0,IF('Deal maths'!AE648&gt;'Deal maths'!AA648,'Deal maths'!AA648,'Deal maths'!AE648),IF(IF(DAY('Deal maths'!AA648+1)=1,EOMONTH('Deal maths'!AA648,-(INT(((YEAR('Deal maths'!AA648)-YEAR(IF('Deal maths'!Z648&gt;0,'Deal maths'!Z648,DATE(1990,1,1))))*12+MONTH('Deal maths'!AA648)-MONTH(IF('Deal maths'!Z648&gt;0,'Deal maths'!Z648,DATE(1990,1,1))))/D648))*D648),EDATE('Deal maths'!AA648,-(INT(((YEAR('Deal maths'!AA648)-YEAR(IF('Deal maths'!Z648&gt;0,'Deal maths'!Z648,DATE(1990,1,1))))*12+MONTH('Deal maths'!AA648)-MONTH(IF('Deal maths'!Z648&gt;0,'Deal maths'!Z648,DATE(1990,1,1))))/D648))*D648))&gt;IF('Deal maths'!Z648&gt;0,'Deal maths'!Z648,DATE(1990,1,1)),IF(DAY('Deal maths'!AA648+1)=1,EOMONTH('Deal maths'!AA648,-(INT(((YEAR('Deal maths'!AA648)-YEAR(IF('Deal maths'!Z648&gt;0,'Deal maths'!Z648,DATE(1990,1,1))))*12+MONTH('Deal maths'!AA648)-MONTH(IF('Deal maths'!Z648&gt;0,'Deal maths'!Z648,DATE(1990,1,1))))/D648))*D648),EDATE('Deal maths'!AA648,-(INT(((YEAR('Deal maths'!AA648)-YEAR(IF('Deal maths'!Z648&gt;0,'Deal maths'!Z648,DATE(1990,1,1))))*12+MONTH('Deal maths'!AA648)-MONTH(IF('Deal maths'!Z648&gt;0,'Deal maths'!Z648,DATE(1990,1,1))))/D648))*D648)),IF(DAY('Deal maths'!AA648+1)=1,EOMONTH('Deal maths'!AA648,-(INT(((YEAR('Deal maths'!AA648)-YEAR(IF('Deal maths'!Z648&gt;0,'Deal maths'!Z648,DATE(1990,1,1))))*12+MONTH('Deal maths'!AA648)-MONTH(IF('Deal maths'!Z648&gt;0,'Deal maths'!Z648,DATE(1990,1,1))))/D648)-1)*D648),EDATE('Deal maths'!AA648,-(INT(((YEAR('Deal maths'!AA648)-YEAR(IF('Deal maths'!Z648&gt;0,'Deal maths'!Z648,DATE(1990,1,1))))*12+MONTH('Deal maths'!AA648)-MONTH(IF('Deal maths'!Z648&gt;0,'Deal maths'!Z648,DATE(1990,1,1))))/D648)-1)*D648))))),0)</f>
        <v/>
      </c>
      <c r="F648" s="110">
        <f>IF(D648=0,0,'Deal maths'!AB648*D648/12)</f>
        <v/>
      </c>
      <c r="G648" s="108">
        <f>N648+O648</f>
        <v/>
      </c>
      <c r="H648" s="108">
        <f>IFERROR(IF(OR(D648=0,AsAt&lt;E648),0,MIN(N648,INT(((YEAR(AsAt)-YEAR(E648))*12+MONTH(AsAt)-MONTH(E648)-(DAY(AsAt)&lt;MIN(R648,DAY(EOMONTH(AsAt,0)))))/D648)+1)+O648*(AsAt&gt;='Deal maths'!AA648)),0)</f>
        <v/>
      </c>
      <c r="I648" s="108">
        <f>G648-H648</f>
        <v/>
      </c>
      <c r="J648" s="111">
        <f>IF(AND(C648="EIP",I648&gt;0),'Deal maths'!Y648/I648,0)</f>
        <v/>
      </c>
      <c r="K648" s="111">
        <f>IF(AND(C648="Annuity",I648&gt;0),IF(F648&gt;0,'Deal maths'!Y648*F648/(1-(1+F648)^-I648),'Deal maths'!Y648/I648),0)</f>
        <v/>
      </c>
      <c r="L648" s="111">
        <f>IF('Deal maths'!Y648="",0,'Deal maths'!Y648)</f>
        <v/>
      </c>
      <c r="M648" s="112">
        <f>F648+(F648=0)</f>
        <v/>
      </c>
      <c r="N648" s="108">
        <f>IFERROR(IF(D648=0,0,INT(((YEAR('Deal maths'!AA648)-YEAR(E648))*12+MONTH('Deal maths'!AA648)-MONTH(E648)-(DAY('Deal maths'!AA648)&lt;MIN(R648,DAY(EOMONTH('Deal maths'!AA648,0)))))/D648)+1),0)</f>
        <v/>
      </c>
      <c r="O648" s="108">
        <f>IFERROR(IF(D648=0,0,IF(IF(DAY(E648+1)=1,EOMONTH(E648,(N648-1)*D648),EDATE(E648,(N648-1)*D648))='Deal maths'!AA648,0,1)),0)</f>
        <v/>
      </c>
      <c r="P648" s="113">
        <f>IF(B648=0,0,IFERROR(IF(C648="EIP",((I648-O648)*((IF(DAY(E648+1)=1,EOMONTH(E648,H648*D648),EDATE(E648,H648*D648))-AsAt)/365.25+(IF(DAY(E648+1)=1,EOMONTH(E648,(N648-1)*D648),EDATE(E648,(N648-1)*D648))-AsAt)/365.25)/2+O648*('Deal maths'!AA648-AsAt)/365.25)/I648,IF(C648="Annuity",IF(F648&gt;0,((K648-L648*F648)*((IF(DAY(E648+1)=1,EOMONTH(E648,H648*D648),EDATE(E648,H648*D648))-AsAt)/365.25*((1+F648)^(I648-O648)-1)/F648+IF((I648-O648)&gt;1,((IF(DAY(E648+1)=1,EOMONTH(E648,(N648-1)*D648),EDATE(E648,(N648-1)*D648))-AsAt)/365.25-(IF(DAY(E648+1)=1,EOMONTH(E648,H648*D648),EDATE(E648,H648*D648))-AsAt)/365.25)/((I648-O648)-1),0)*(1+F648)*(1-(I648-O648)*(1+F648)^((I648-O648)-1)+((I648-O648)-1)*(1+F648)^(I648-O648))/F648^2)+O648*(K648-L648*F648)*(1+F648)^(I648-1)*('Deal maths'!AA648-AsAt)/365.25)/L648,((I648-O648)*((IF(DAY(E648+1)=1,EOMONTH(E648,H648*D648),EDATE(E648,H648*D648))-AsAt)/365.25+(IF(DAY(E648+1)=1,EOMONTH(E648,(N648-1)*D648),EDATE(E648,(N648-1)*D648))-AsAt)/365.25)/2+O648*('Deal maths'!AA648-AsAt)/365.25)/I648),(S648-AsAt)/365.25)),0))</f>
        <v/>
      </c>
      <c r="Q648" s="109">
        <f>IF(B648=1,'Deal maths'!AA648+ROW()/1000000,"")</f>
        <v/>
      </c>
      <c r="R648" s="108">
        <f>IF(D648=0,0,IF(DAY(E648+1)=1,31,DAY(E648)))</f>
        <v/>
      </c>
      <c r="S648" s="109">
        <f>IF(AND('Deal maths'!V648="LOBO",'Deal maths'!AG648&gt;AsAt,'Deal maths'!AG648&lt;'Deal maths'!AA648),'Deal maths'!AG648,'Deal maths'!AA648)</f>
        <v/>
      </c>
      <c r="T648" s="108">
        <f>('Deal maths'!AA648&gt;AsAt)*('Deal maths'!Y648&gt;0)</f>
        <v/>
      </c>
    </row>
    <row r="649">
      <c r="A649" s="91">
        <f>IF('Deal maths'!V649="","",'Deal maths'!W649)</f>
        <v/>
      </c>
      <c r="B649" s="108">
        <f>('Deal maths'!AA649&gt;AsAt)*('Deal maths'!Y649&gt;0)*('Deal maths'!Z649&lt;=AsAt)</f>
        <v/>
      </c>
      <c r="C649" s="91">
        <f>IF('Deal maths'!V649="","",IF('Deal maths'!AC649="","Maturity",'Deal maths'!AC649))</f>
        <v/>
      </c>
      <c r="D649" s="108">
        <f>IF(OR(C649="EIP",C649="Annuity"),IF('Deal maths'!AD649="Annual",12,IF('Deal maths'!AD649="Quarterly",3,6)),0)</f>
        <v/>
      </c>
      <c r="E649" s="109">
        <f>IFERROR(IF(D649=0,0,IF('Deal maths'!AE649&gt;0,IF('Deal maths'!AE649&gt;'Deal maths'!AA649,'Deal maths'!AA649,'Deal maths'!AE649),IF(IF(DAY('Deal maths'!AA649+1)=1,EOMONTH('Deal maths'!AA649,-(INT(((YEAR('Deal maths'!AA649)-YEAR(IF('Deal maths'!Z649&gt;0,'Deal maths'!Z649,DATE(1990,1,1))))*12+MONTH('Deal maths'!AA649)-MONTH(IF('Deal maths'!Z649&gt;0,'Deal maths'!Z649,DATE(1990,1,1))))/D649))*D649),EDATE('Deal maths'!AA649,-(INT(((YEAR('Deal maths'!AA649)-YEAR(IF('Deal maths'!Z649&gt;0,'Deal maths'!Z649,DATE(1990,1,1))))*12+MONTH('Deal maths'!AA649)-MONTH(IF('Deal maths'!Z649&gt;0,'Deal maths'!Z649,DATE(1990,1,1))))/D649))*D649))&gt;IF('Deal maths'!Z649&gt;0,'Deal maths'!Z649,DATE(1990,1,1)),IF(DAY('Deal maths'!AA649+1)=1,EOMONTH('Deal maths'!AA649,-(INT(((YEAR('Deal maths'!AA649)-YEAR(IF('Deal maths'!Z649&gt;0,'Deal maths'!Z649,DATE(1990,1,1))))*12+MONTH('Deal maths'!AA649)-MONTH(IF('Deal maths'!Z649&gt;0,'Deal maths'!Z649,DATE(1990,1,1))))/D649))*D649),EDATE('Deal maths'!AA649,-(INT(((YEAR('Deal maths'!AA649)-YEAR(IF('Deal maths'!Z649&gt;0,'Deal maths'!Z649,DATE(1990,1,1))))*12+MONTH('Deal maths'!AA649)-MONTH(IF('Deal maths'!Z649&gt;0,'Deal maths'!Z649,DATE(1990,1,1))))/D649))*D649)),IF(DAY('Deal maths'!AA649+1)=1,EOMONTH('Deal maths'!AA649,-(INT(((YEAR('Deal maths'!AA649)-YEAR(IF('Deal maths'!Z649&gt;0,'Deal maths'!Z649,DATE(1990,1,1))))*12+MONTH('Deal maths'!AA649)-MONTH(IF('Deal maths'!Z649&gt;0,'Deal maths'!Z649,DATE(1990,1,1))))/D649)-1)*D649),EDATE('Deal maths'!AA649,-(INT(((YEAR('Deal maths'!AA649)-YEAR(IF('Deal maths'!Z649&gt;0,'Deal maths'!Z649,DATE(1990,1,1))))*12+MONTH('Deal maths'!AA649)-MONTH(IF('Deal maths'!Z649&gt;0,'Deal maths'!Z649,DATE(1990,1,1))))/D649)-1)*D649))))),0)</f>
        <v/>
      </c>
      <c r="F649" s="110">
        <f>IF(D649=0,0,'Deal maths'!AB649*D649/12)</f>
        <v/>
      </c>
      <c r="G649" s="108">
        <f>N649+O649</f>
        <v/>
      </c>
      <c r="H649" s="108">
        <f>IFERROR(IF(OR(D649=0,AsAt&lt;E649),0,MIN(N649,INT(((YEAR(AsAt)-YEAR(E649))*12+MONTH(AsAt)-MONTH(E649)-(DAY(AsAt)&lt;MIN(R649,DAY(EOMONTH(AsAt,0)))))/D649)+1)+O649*(AsAt&gt;='Deal maths'!AA649)),0)</f>
        <v/>
      </c>
      <c r="I649" s="108">
        <f>G649-H649</f>
        <v/>
      </c>
      <c r="J649" s="111">
        <f>IF(AND(C649="EIP",I649&gt;0),'Deal maths'!Y649/I649,0)</f>
        <v/>
      </c>
      <c r="K649" s="111">
        <f>IF(AND(C649="Annuity",I649&gt;0),IF(F649&gt;0,'Deal maths'!Y649*F649/(1-(1+F649)^-I649),'Deal maths'!Y649/I649),0)</f>
        <v/>
      </c>
      <c r="L649" s="111">
        <f>IF('Deal maths'!Y649="",0,'Deal maths'!Y649)</f>
        <v/>
      </c>
      <c r="M649" s="112">
        <f>F649+(F649=0)</f>
        <v/>
      </c>
      <c r="N649" s="108">
        <f>IFERROR(IF(D649=0,0,INT(((YEAR('Deal maths'!AA649)-YEAR(E649))*12+MONTH('Deal maths'!AA649)-MONTH(E649)-(DAY('Deal maths'!AA649)&lt;MIN(R649,DAY(EOMONTH('Deal maths'!AA649,0)))))/D649)+1),0)</f>
        <v/>
      </c>
      <c r="O649" s="108">
        <f>IFERROR(IF(D649=0,0,IF(IF(DAY(E649+1)=1,EOMONTH(E649,(N649-1)*D649),EDATE(E649,(N649-1)*D649))='Deal maths'!AA649,0,1)),0)</f>
        <v/>
      </c>
      <c r="P649" s="113">
        <f>IF(B649=0,0,IFERROR(IF(C649="EIP",((I649-O649)*((IF(DAY(E649+1)=1,EOMONTH(E649,H649*D649),EDATE(E649,H649*D649))-AsAt)/365.25+(IF(DAY(E649+1)=1,EOMONTH(E649,(N649-1)*D649),EDATE(E649,(N649-1)*D649))-AsAt)/365.25)/2+O649*('Deal maths'!AA649-AsAt)/365.25)/I649,IF(C649="Annuity",IF(F649&gt;0,((K649-L649*F649)*((IF(DAY(E649+1)=1,EOMONTH(E649,H649*D649),EDATE(E649,H649*D649))-AsAt)/365.25*((1+F649)^(I649-O649)-1)/F649+IF((I649-O649)&gt;1,((IF(DAY(E649+1)=1,EOMONTH(E649,(N649-1)*D649),EDATE(E649,(N649-1)*D649))-AsAt)/365.25-(IF(DAY(E649+1)=1,EOMONTH(E649,H649*D649),EDATE(E649,H649*D649))-AsAt)/365.25)/((I649-O649)-1),0)*(1+F649)*(1-(I649-O649)*(1+F649)^((I649-O649)-1)+((I649-O649)-1)*(1+F649)^(I649-O649))/F649^2)+O649*(K649-L649*F649)*(1+F649)^(I649-1)*('Deal maths'!AA649-AsAt)/365.25)/L649,((I649-O649)*((IF(DAY(E649+1)=1,EOMONTH(E649,H649*D649),EDATE(E649,H649*D649))-AsAt)/365.25+(IF(DAY(E649+1)=1,EOMONTH(E649,(N649-1)*D649),EDATE(E649,(N649-1)*D649))-AsAt)/365.25)/2+O649*('Deal maths'!AA649-AsAt)/365.25)/I649),(S649-AsAt)/365.25)),0))</f>
        <v/>
      </c>
      <c r="Q649" s="109">
        <f>IF(B649=1,'Deal maths'!AA649+ROW()/1000000,"")</f>
        <v/>
      </c>
      <c r="R649" s="108">
        <f>IF(D649=0,0,IF(DAY(E649+1)=1,31,DAY(E649)))</f>
        <v/>
      </c>
      <c r="S649" s="109">
        <f>IF(AND('Deal maths'!V649="LOBO",'Deal maths'!AG649&gt;AsAt,'Deal maths'!AG649&lt;'Deal maths'!AA649),'Deal maths'!AG649,'Deal maths'!AA649)</f>
        <v/>
      </c>
      <c r="T649" s="108">
        <f>('Deal maths'!AA649&gt;AsAt)*('Deal maths'!Y649&gt;0)</f>
        <v/>
      </c>
    </row>
    <row r="650">
      <c r="A650" s="91">
        <f>IF('Deal maths'!V650="","",'Deal maths'!W650)</f>
        <v/>
      </c>
      <c r="B650" s="108">
        <f>('Deal maths'!AA650&gt;AsAt)*('Deal maths'!Y650&gt;0)*('Deal maths'!Z650&lt;=AsAt)</f>
        <v/>
      </c>
      <c r="C650" s="91">
        <f>IF('Deal maths'!V650="","",IF('Deal maths'!AC650="","Maturity",'Deal maths'!AC650))</f>
        <v/>
      </c>
      <c r="D650" s="108">
        <f>IF(OR(C650="EIP",C650="Annuity"),IF('Deal maths'!AD650="Annual",12,IF('Deal maths'!AD650="Quarterly",3,6)),0)</f>
        <v/>
      </c>
      <c r="E650" s="109">
        <f>IFERROR(IF(D650=0,0,IF('Deal maths'!AE650&gt;0,IF('Deal maths'!AE650&gt;'Deal maths'!AA650,'Deal maths'!AA650,'Deal maths'!AE650),IF(IF(DAY('Deal maths'!AA650+1)=1,EOMONTH('Deal maths'!AA650,-(INT(((YEAR('Deal maths'!AA650)-YEAR(IF('Deal maths'!Z650&gt;0,'Deal maths'!Z650,DATE(1990,1,1))))*12+MONTH('Deal maths'!AA650)-MONTH(IF('Deal maths'!Z650&gt;0,'Deal maths'!Z650,DATE(1990,1,1))))/D650))*D650),EDATE('Deal maths'!AA650,-(INT(((YEAR('Deal maths'!AA650)-YEAR(IF('Deal maths'!Z650&gt;0,'Deal maths'!Z650,DATE(1990,1,1))))*12+MONTH('Deal maths'!AA650)-MONTH(IF('Deal maths'!Z650&gt;0,'Deal maths'!Z650,DATE(1990,1,1))))/D650))*D650))&gt;IF('Deal maths'!Z650&gt;0,'Deal maths'!Z650,DATE(1990,1,1)),IF(DAY('Deal maths'!AA650+1)=1,EOMONTH('Deal maths'!AA650,-(INT(((YEAR('Deal maths'!AA650)-YEAR(IF('Deal maths'!Z650&gt;0,'Deal maths'!Z650,DATE(1990,1,1))))*12+MONTH('Deal maths'!AA650)-MONTH(IF('Deal maths'!Z650&gt;0,'Deal maths'!Z650,DATE(1990,1,1))))/D650))*D650),EDATE('Deal maths'!AA650,-(INT(((YEAR('Deal maths'!AA650)-YEAR(IF('Deal maths'!Z650&gt;0,'Deal maths'!Z650,DATE(1990,1,1))))*12+MONTH('Deal maths'!AA650)-MONTH(IF('Deal maths'!Z650&gt;0,'Deal maths'!Z650,DATE(1990,1,1))))/D650))*D650)),IF(DAY('Deal maths'!AA650+1)=1,EOMONTH('Deal maths'!AA650,-(INT(((YEAR('Deal maths'!AA650)-YEAR(IF('Deal maths'!Z650&gt;0,'Deal maths'!Z650,DATE(1990,1,1))))*12+MONTH('Deal maths'!AA650)-MONTH(IF('Deal maths'!Z650&gt;0,'Deal maths'!Z650,DATE(1990,1,1))))/D650)-1)*D650),EDATE('Deal maths'!AA650,-(INT(((YEAR('Deal maths'!AA650)-YEAR(IF('Deal maths'!Z650&gt;0,'Deal maths'!Z650,DATE(1990,1,1))))*12+MONTH('Deal maths'!AA650)-MONTH(IF('Deal maths'!Z650&gt;0,'Deal maths'!Z650,DATE(1990,1,1))))/D650)-1)*D650))))),0)</f>
        <v/>
      </c>
      <c r="F650" s="110">
        <f>IF(D650=0,0,'Deal maths'!AB650*D650/12)</f>
        <v/>
      </c>
      <c r="G650" s="108">
        <f>N650+O650</f>
        <v/>
      </c>
      <c r="H650" s="108">
        <f>IFERROR(IF(OR(D650=0,AsAt&lt;E650),0,MIN(N650,INT(((YEAR(AsAt)-YEAR(E650))*12+MONTH(AsAt)-MONTH(E650)-(DAY(AsAt)&lt;MIN(R650,DAY(EOMONTH(AsAt,0)))))/D650)+1)+O650*(AsAt&gt;='Deal maths'!AA650)),0)</f>
        <v/>
      </c>
      <c r="I650" s="108">
        <f>G650-H650</f>
        <v/>
      </c>
      <c r="J650" s="111">
        <f>IF(AND(C650="EIP",I650&gt;0),'Deal maths'!Y650/I650,0)</f>
        <v/>
      </c>
      <c r="K650" s="111">
        <f>IF(AND(C650="Annuity",I650&gt;0),IF(F650&gt;0,'Deal maths'!Y650*F650/(1-(1+F650)^-I650),'Deal maths'!Y650/I650),0)</f>
        <v/>
      </c>
      <c r="L650" s="111">
        <f>IF('Deal maths'!Y650="",0,'Deal maths'!Y650)</f>
        <v/>
      </c>
      <c r="M650" s="112">
        <f>F650+(F650=0)</f>
        <v/>
      </c>
      <c r="N650" s="108">
        <f>IFERROR(IF(D650=0,0,INT(((YEAR('Deal maths'!AA650)-YEAR(E650))*12+MONTH('Deal maths'!AA650)-MONTH(E650)-(DAY('Deal maths'!AA650)&lt;MIN(R650,DAY(EOMONTH('Deal maths'!AA650,0)))))/D650)+1),0)</f>
        <v/>
      </c>
      <c r="O650" s="108">
        <f>IFERROR(IF(D650=0,0,IF(IF(DAY(E650+1)=1,EOMONTH(E650,(N650-1)*D650),EDATE(E650,(N650-1)*D650))='Deal maths'!AA650,0,1)),0)</f>
        <v/>
      </c>
      <c r="P650" s="113">
        <f>IF(B650=0,0,IFERROR(IF(C650="EIP",((I650-O650)*((IF(DAY(E650+1)=1,EOMONTH(E650,H650*D650),EDATE(E650,H650*D650))-AsAt)/365.25+(IF(DAY(E650+1)=1,EOMONTH(E650,(N650-1)*D650),EDATE(E650,(N650-1)*D650))-AsAt)/365.25)/2+O650*('Deal maths'!AA650-AsAt)/365.25)/I650,IF(C650="Annuity",IF(F650&gt;0,((K650-L650*F650)*((IF(DAY(E650+1)=1,EOMONTH(E650,H650*D650),EDATE(E650,H650*D650))-AsAt)/365.25*((1+F650)^(I650-O650)-1)/F650+IF((I650-O650)&gt;1,((IF(DAY(E650+1)=1,EOMONTH(E650,(N650-1)*D650),EDATE(E650,(N650-1)*D650))-AsAt)/365.25-(IF(DAY(E650+1)=1,EOMONTH(E650,H650*D650),EDATE(E650,H650*D650))-AsAt)/365.25)/((I650-O650)-1),0)*(1+F650)*(1-(I650-O650)*(1+F650)^((I650-O650)-1)+((I650-O650)-1)*(1+F650)^(I650-O650))/F650^2)+O650*(K650-L650*F650)*(1+F650)^(I650-1)*('Deal maths'!AA650-AsAt)/365.25)/L650,((I650-O650)*((IF(DAY(E650+1)=1,EOMONTH(E650,H650*D650),EDATE(E650,H650*D650))-AsAt)/365.25+(IF(DAY(E650+1)=1,EOMONTH(E650,(N650-1)*D650),EDATE(E650,(N650-1)*D650))-AsAt)/365.25)/2+O650*('Deal maths'!AA650-AsAt)/365.25)/I650),(S650-AsAt)/365.25)),0))</f>
        <v/>
      </c>
      <c r="Q650" s="109">
        <f>IF(B650=1,'Deal maths'!AA650+ROW()/1000000,"")</f>
        <v/>
      </c>
      <c r="R650" s="108">
        <f>IF(D650=0,0,IF(DAY(E650+1)=1,31,DAY(E650)))</f>
        <v/>
      </c>
      <c r="S650" s="109">
        <f>IF(AND('Deal maths'!V650="LOBO",'Deal maths'!AG650&gt;AsAt,'Deal maths'!AG650&lt;'Deal maths'!AA650),'Deal maths'!AG650,'Deal maths'!AA650)</f>
        <v/>
      </c>
      <c r="T650" s="108">
        <f>('Deal maths'!AA650&gt;AsAt)*('Deal maths'!Y650&gt;0)</f>
        <v/>
      </c>
    </row>
    <row r="651">
      <c r="A651" s="91">
        <f>IF('Deal maths'!V651="","",'Deal maths'!W651)</f>
        <v/>
      </c>
      <c r="B651" s="108">
        <f>('Deal maths'!AA651&gt;AsAt)*('Deal maths'!Y651&gt;0)*('Deal maths'!Z651&lt;=AsAt)</f>
        <v/>
      </c>
      <c r="C651" s="91">
        <f>IF('Deal maths'!V651="","",IF('Deal maths'!AC651="","Maturity",'Deal maths'!AC651))</f>
        <v/>
      </c>
      <c r="D651" s="108">
        <f>IF(OR(C651="EIP",C651="Annuity"),IF('Deal maths'!AD651="Annual",12,IF('Deal maths'!AD651="Quarterly",3,6)),0)</f>
        <v/>
      </c>
      <c r="E651" s="109">
        <f>IFERROR(IF(D651=0,0,IF('Deal maths'!AE651&gt;0,IF('Deal maths'!AE651&gt;'Deal maths'!AA651,'Deal maths'!AA651,'Deal maths'!AE651),IF(IF(DAY('Deal maths'!AA651+1)=1,EOMONTH('Deal maths'!AA651,-(INT(((YEAR('Deal maths'!AA651)-YEAR(IF('Deal maths'!Z651&gt;0,'Deal maths'!Z651,DATE(1990,1,1))))*12+MONTH('Deal maths'!AA651)-MONTH(IF('Deal maths'!Z651&gt;0,'Deal maths'!Z651,DATE(1990,1,1))))/D651))*D651),EDATE('Deal maths'!AA651,-(INT(((YEAR('Deal maths'!AA651)-YEAR(IF('Deal maths'!Z651&gt;0,'Deal maths'!Z651,DATE(1990,1,1))))*12+MONTH('Deal maths'!AA651)-MONTH(IF('Deal maths'!Z651&gt;0,'Deal maths'!Z651,DATE(1990,1,1))))/D651))*D651))&gt;IF('Deal maths'!Z651&gt;0,'Deal maths'!Z651,DATE(1990,1,1)),IF(DAY('Deal maths'!AA651+1)=1,EOMONTH('Deal maths'!AA651,-(INT(((YEAR('Deal maths'!AA651)-YEAR(IF('Deal maths'!Z651&gt;0,'Deal maths'!Z651,DATE(1990,1,1))))*12+MONTH('Deal maths'!AA651)-MONTH(IF('Deal maths'!Z651&gt;0,'Deal maths'!Z651,DATE(1990,1,1))))/D651))*D651),EDATE('Deal maths'!AA651,-(INT(((YEAR('Deal maths'!AA651)-YEAR(IF('Deal maths'!Z651&gt;0,'Deal maths'!Z651,DATE(1990,1,1))))*12+MONTH('Deal maths'!AA651)-MONTH(IF('Deal maths'!Z651&gt;0,'Deal maths'!Z651,DATE(1990,1,1))))/D651))*D651)),IF(DAY('Deal maths'!AA651+1)=1,EOMONTH('Deal maths'!AA651,-(INT(((YEAR('Deal maths'!AA651)-YEAR(IF('Deal maths'!Z651&gt;0,'Deal maths'!Z651,DATE(1990,1,1))))*12+MONTH('Deal maths'!AA651)-MONTH(IF('Deal maths'!Z651&gt;0,'Deal maths'!Z651,DATE(1990,1,1))))/D651)-1)*D651),EDATE('Deal maths'!AA651,-(INT(((YEAR('Deal maths'!AA651)-YEAR(IF('Deal maths'!Z651&gt;0,'Deal maths'!Z651,DATE(1990,1,1))))*12+MONTH('Deal maths'!AA651)-MONTH(IF('Deal maths'!Z651&gt;0,'Deal maths'!Z651,DATE(1990,1,1))))/D651)-1)*D651))))),0)</f>
        <v/>
      </c>
      <c r="F651" s="110">
        <f>IF(D651=0,0,'Deal maths'!AB651*D651/12)</f>
        <v/>
      </c>
      <c r="G651" s="108">
        <f>N651+O651</f>
        <v/>
      </c>
      <c r="H651" s="108">
        <f>IFERROR(IF(OR(D651=0,AsAt&lt;E651),0,MIN(N651,INT(((YEAR(AsAt)-YEAR(E651))*12+MONTH(AsAt)-MONTH(E651)-(DAY(AsAt)&lt;MIN(R651,DAY(EOMONTH(AsAt,0)))))/D651)+1)+O651*(AsAt&gt;='Deal maths'!AA651)),0)</f>
        <v/>
      </c>
      <c r="I651" s="108">
        <f>G651-H651</f>
        <v/>
      </c>
      <c r="J651" s="111">
        <f>IF(AND(C651="EIP",I651&gt;0),'Deal maths'!Y651/I651,0)</f>
        <v/>
      </c>
      <c r="K651" s="111">
        <f>IF(AND(C651="Annuity",I651&gt;0),IF(F651&gt;0,'Deal maths'!Y651*F651/(1-(1+F651)^-I651),'Deal maths'!Y651/I651),0)</f>
        <v/>
      </c>
      <c r="L651" s="111">
        <f>IF('Deal maths'!Y651="",0,'Deal maths'!Y651)</f>
        <v/>
      </c>
      <c r="M651" s="112">
        <f>F651+(F651=0)</f>
        <v/>
      </c>
      <c r="N651" s="108">
        <f>IFERROR(IF(D651=0,0,INT(((YEAR('Deal maths'!AA651)-YEAR(E651))*12+MONTH('Deal maths'!AA651)-MONTH(E651)-(DAY('Deal maths'!AA651)&lt;MIN(R651,DAY(EOMONTH('Deal maths'!AA651,0)))))/D651)+1),0)</f>
        <v/>
      </c>
      <c r="O651" s="108">
        <f>IFERROR(IF(D651=0,0,IF(IF(DAY(E651+1)=1,EOMONTH(E651,(N651-1)*D651),EDATE(E651,(N651-1)*D651))='Deal maths'!AA651,0,1)),0)</f>
        <v/>
      </c>
      <c r="P651" s="113">
        <f>IF(B651=0,0,IFERROR(IF(C651="EIP",((I651-O651)*((IF(DAY(E651+1)=1,EOMONTH(E651,H651*D651),EDATE(E651,H651*D651))-AsAt)/365.25+(IF(DAY(E651+1)=1,EOMONTH(E651,(N651-1)*D651),EDATE(E651,(N651-1)*D651))-AsAt)/365.25)/2+O651*('Deal maths'!AA651-AsAt)/365.25)/I651,IF(C651="Annuity",IF(F651&gt;0,((K651-L651*F651)*((IF(DAY(E651+1)=1,EOMONTH(E651,H651*D651),EDATE(E651,H651*D651))-AsAt)/365.25*((1+F651)^(I651-O651)-1)/F651+IF((I651-O651)&gt;1,((IF(DAY(E651+1)=1,EOMONTH(E651,(N651-1)*D651),EDATE(E651,(N651-1)*D651))-AsAt)/365.25-(IF(DAY(E651+1)=1,EOMONTH(E651,H651*D651),EDATE(E651,H651*D651))-AsAt)/365.25)/((I651-O651)-1),0)*(1+F651)*(1-(I651-O651)*(1+F651)^((I651-O651)-1)+((I651-O651)-1)*(1+F651)^(I651-O651))/F651^2)+O651*(K651-L651*F651)*(1+F651)^(I651-1)*('Deal maths'!AA651-AsAt)/365.25)/L651,((I651-O651)*((IF(DAY(E651+1)=1,EOMONTH(E651,H651*D651),EDATE(E651,H651*D651))-AsAt)/365.25+(IF(DAY(E651+1)=1,EOMONTH(E651,(N651-1)*D651),EDATE(E651,(N651-1)*D651))-AsAt)/365.25)/2+O651*('Deal maths'!AA651-AsAt)/365.25)/I651),(S651-AsAt)/365.25)),0))</f>
        <v/>
      </c>
      <c r="Q651" s="109">
        <f>IF(B651=1,'Deal maths'!AA651+ROW()/1000000,"")</f>
        <v/>
      </c>
      <c r="R651" s="108">
        <f>IF(D651=0,0,IF(DAY(E651+1)=1,31,DAY(E651)))</f>
        <v/>
      </c>
      <c r="S651" s="109">
        <f>IF(AND('Deal maths'!V651="LOBO",'Deal maths'!AG651&gt;AsAt,'Deal maths'!AG651&lt;'Deal maths'!AA651),'Deal maths'!AG651,'Deal maths'!AA651)</f>
        <v/>
      </c>
      <c r="T651" s="108">
        <f>('Deal maths'!AA651&gt;AsAt)*('Deal maths'!Y651&gt;0)</f>
        <v/>
      </c>
    </row>
    <row r="652">
      <c r="A652" s="91">
        <f>IF('Deal maths'!V652="","",'Deal maths'!W652)</f>
        <v/>
      </c>
      <c r="B652" s="108">
        <f>('Deal maths'!AA652&gt;AsAt)*('Deal maths'!Y652&gt;0)*('Deal maths'!Z652&lt;=AsAt)</f>
        <v/>
      </c>
      <c r="C652" s="91">
        <f>IF('Deal maths'!V652="","",IF('Deal maths'!AC652="","Maturity",'Deal maths'!AC652))</f>
        <v/>
      </c>
      <c r="D652" s="108">
        <f>IF(OR(C652="EIP",C652="Annuity"),IF('Deal maths'!AD652="Annual",12,IF('Deal maths'!AD652="Quarterly",3,6)),0)</f>
        <v/>
      </c>
      <c r="E652" s="109">
        <f>IFERROR(IF(D652=0,0,IF('Deal maths'!AE652&gt;0,IF('Deal maths'!AE652&gt;'Deal maths'!AA652,'Deal maths'!AA652,'Deal maths'!AE652),IF(IF(DAY('Deal maths'!AA652+1)=1,EOMONTH('Deal maths'!AA652,-(INT(((YEAR('Deal maths'!AA652)-YEAR(IF('Deal maths'!Z652&gt;0,'Deal maths'!Z652,DATE(1990,1,1))))*12+MONTH('Deal maths'!AA652)-MONTH(IF('Deal maths'!Z652&gt;0,'Deal maths'!Z652,DATE(1990,1,1))))/D652))*D652),EDATE('Deal maths'!AA652,-(INT(((YEAR('Deal maths'!AA652)-YEAR(IF('Deal maths'!Z652&gt;0,'Deal maths'!Z652,DATE(1990,1,1))))*12+MONTH('Deal maths'!AA652)-MONTH(IF('Deal maths'!Z652&gt;0,'Deal maths'!Z652,DATE(1990,1,1))))/D652))*D652))&gt;IF('Deal maths'!Z652&gt;0,'Deal maths'!Z652,DATE(1990,1,1)),IF(DAY('Deal maths'!AA652+1)=1,EOMONTH('Deal maths'!AA652,-(INT(((YEAR('Deal maths'!AA652)-YEAR(IF('Deal maths'!Z652&gt;0,'Deal maths'!Z652,DATE(1990,1,1))))*12+MONTH('Deal maths'!AA652)-MONTH(IF('Deal maths'!Z652&gt;0,'Deal maths'!Z652,DATE(1990,1,1))))/D652))*D652),EDATE('Deal maths'!AA652,-(INT(((YEAR('Deal maths'!AA652)-YEAR(IF('Deal maths'!Z652&gt;0,'Deal maths'!Z652,DATE(1990,1,1))))*12+MONTH('Deal maths'!AA652)-MONTH(IF('Deal maths'!Z652&gt;0,'Deal maths'!Z652,DATE(1990,1,1))))/D652))*D652)),IF(DAY('Deal maths'!AA652+1)=1,EOMONTH('Deal maths'!AA652,-(INT(((YEAR('Deal maths'!AA652)-YEAR(IF('Deal maths'!Z652&gt;0,'Deal maths'!Z652,DATE(1990,1,1))))*12+MONTH('Deal maths'!AA652)-MONTH(IF('Deal maths'!Z652&gt;0,'Deal maths'!Z652,DATE(1990,1,1))))/D652)-1)*D652),EDATE('Deal maths'!AA652,-(INT(((YEAR('Deal maths'!AA652)-YEAR(IF('Deal maths'!Z652&gt;0,'Deal maths'!Z652,DATE(1990,1,1))))*12+MONTH('Deal maths'!AA652)-MONTH(IF('Deal maths'!Z652&gt;0,'Deal maths'!Z652,DATE(1990,1,1))))/D652)-1)*D652))))),0)</f>
        <v/>
      </c>
      <c r="F652" s="110">
        <f>IF(D652=0,0,'Deal maths'!AB652*D652/12)</f>
        <v/>
      </c>
      <c r="G652" s="108">
        <f>N652+O652</f>
        <v/>
      </c>
      <c r="H652" s="108">
        <f>IFERROR(IF(OR(D652=0,AsAt&lt;E652),0,MIN(N652,INT(((YEAR(AsAt)-YEAR(E652))*12+MONTH(AsAt)-MONTH(E652)-(DAY(AsAt)&lt;MIN(R652,DAY(EOMONTH(AsAt,0)))))/D652)+1)+O652*(AsAt&gt;='Deal maths'!AA652)),0)</f>
        <v/>
      </c>
      <c r="I652" s="108">
        <f>G652-H652</f>
        <v/>
      </c>
      <c r="J652" s="111">
        <f>IF(AND(C652="EIP",I652&gt;0),'Deal maths'!Y652/I652,0)</f>
        <v/>
      </c>
      <c r="K652" s="111">
        <f>IF(AND(C652="Annuity",I652&gt;0),IF(F652&gt;0,'Deal maths'!Y652*F652/(1-(1+F652)^-I652),'Deal maths'!Y652/I652),0)</f>
        <v/>
      </c>
      <c r="L652" s="111">
        <f>IF('Deal maths'!Y652="",0,'Deal maths'!Y652)</f>
        <v/>
      </c>
      <c r="M652" s="112">
        <f>F652+(F652=0)</f>
        <v/>
      </c>
      <c r="N652" s="108">
        <f>IFERROR(IF(D652=0,0,INT(((YEAR('Deal maths'!AA652)-YEAR(E652))*12+MONTH('Deal maths'!AA652)-MONTH(E652)-(DAY('Deal maths'!AA652)&lt;MIN(R652,DAY(EOMONTH('Deal maths'!AA652,0)))))/D652)+1),0)</f>
        <v/>
      </c>
      <c r="O652" s="108">
        <f>IFERROR(IF(D652=0,0,IF(IF(DAY(E652+1)=1,EOMONTH(E652,(N652-1)*D652),EDATE(E652,(N652-1)*D652))='Deal maths'!AA652,0,1)),0)</f>
        <v/>
      </c>
      <c r="P652" s="113">
        <f>IF(B652=0,0,IFERROR(IF(C652="EIP",((I652-O652)*((IF(DAY(E652+1)=1,EOMONTH(E652,H652*D652),EDATE(E652,H652*D652))-AsAt)/365.25+(IF(DAY(E652+1)=1,EOMONTH(E652,(N652-1)*D652),EDATE(E652,(N652-1)*D652))-AsAt)/365.25)/2+O652*('Deal maths'!AA652-AsAt)/365.25)/I652,IF(C652="Annuity",IF(F652&gt;0,((K652-L652*F652)*((IF(DAY(E652+1)=1,EOMONTH(E652,H652*D652),EDATE(E652,H652*D652))-AsAt)/365.25*((1+F652)^(I652-O652)-1)/F652+IF((I652-O652)&gt;1,((IF(DAY(E652+1)=1,EOMONTH(E652,(N652-1)*D652),EDATE(E652,(N652-1)*D652))-AsAt)/365.25-(IF(DAY(E652+1)=1,EOMONTH(E652,H652*D652),EDATE(E652,H652*D652))-AsAt)/365.25)/((I652-O652)-1),0)*(1+F652)*(1-(I652-O652)*(1+F652)^((I652-O652)-1)+((I652-O652)-1)*(1+F652)^(I652-O652))/F652^2)+O652*(K652-L652*F652)*(1+F652)^(I652-1)*('Deal maths'!AA652-AsAt)/365.25)/L652,((I652-O652)*((IF(DAY(E652+1)=1,EOMONTH(E652,H652*D652),EDATE(E652,H652*D652))-AsAt)/365.25+(IF(DAY(E652+1)=1,EOMONTH(E652,(N652-1)*D652),EDATE(E652,(N652-1)*D652))-AsAt)/365.25)/2+O652*('Deal maths'!AA652-AsAt)/365.25)/I652),(S652-AsAt)/365.25)),0))</f>
        <v/>
      </c>
      <c r="Q652" s="109">
        <f>IF(B652=1,'Deal maths'!AA652+ROW()/1000000,"")</f>
        <v/>
      </c>
      <c r="R652" s="108">
        <f>IF(D652=0,0,IF(DAY(E652+1)=1,31,DAY(E652)))</f>
        <v/>
      </c>
      <c r="S652" s="109">
        <f>IF(AND('Deal maths'!V652="LOBO",'Deal maths'!AG652&gt;AsAt,'Deal maths'!AG652&lt;'Deal maths'!AA652),'Deal maths'!AG652,'Deal maths'!AA652)</f>
        <v/>
      </c>
      <c r="T652" s="108">
        <f>('Deal maths'!AA652&gt;AsAt)*('Deal maths'!Y652&gt;0)</f>
        <v/>
      </c>
    </row>
    <row r="653">
      <c r="A653" s="91">
        <f>IF('Deal maths'!V653="","",'Deal maths'!W653)</f>
        <v/>
      </c>
      <c r="B653" s="108">
        <f>('Deal maths'!AA653&gt;AsAt)*('Deal maths'!Y653&gt;0)*('Deal maths'!Z653&lt;=AsAt)</f>
        <v/>
      </c>
      <c r="C653" s="91">
        <f>IF('Deal maths'!V653="","",IF('Deal maths'!AC653="","Maturity",'Deal maths'!AC653))</f>
        <v/>
      </c>
      <c r="D653" s="108">
        <f>IF(OR(C653="EIP",C653="Annuity"),IF('Deal maths'!AD653="Annual",12,IF('Deal maths'!AD653="Quarterly",3,6)),0)</f>
        <v/>
      </c>
      <c r="E653" s="109">
        <f>IFERROR(IF(D653=0,0,IF('Deal maths'!AE653&gt;0,IF('Deal maths'!AE653&gt;'Deal maths'!AA653,'Deal maths'!AA653,'Deal maths'!AE653),IF(IF(DAY('Deal maths'!AA653+1)=1,EOMONTH('Deal maths'!AA653,-(INT(((YEAR('Deal maths'!AA653)-YEAR(IF('Deal maths'!Z653&gt;0,'Deal maths'!Z653,DATE(1990,1,1))))*12+MONTH('Deal maths'!AA653)-MONTH(IF('Deal maths'!Z653&gt;0,'Deal maths'!Z653,DATE(1990,1,1))))/D653))*D653),EDATE('Deal maths'!AA653,-(INT(((YEAR('Deal maths'!AA653)-YEAR(IF('Deal maths'!Z653&gt;0,'Deal maths'!Z653,DATE(1990,1,1))))*12+MONTH('Deal maths'!AA653)-MONTH(IF('Deal maths'!Z653&gt;0,'Deal maths'!Z653,DATE(1990,1,1))))/D653))*D653))&gt;IF('Deal maths'!Z653&gt;0,'Deal maths'!Z653,DATE(1990,1,1)),IF(DAY('Deal maths'!AA653+1)=1,EOMONTH('Deal maths'!AA653,-(INT(((YEAR('Deal maths'!AA653)-YEAR(IF('Deal maths'!Z653&gt;0,'Deal maths'!Z653,DATE(1990,1,1))))*12+MONTH('Deal maths'!AA653)-MONTH(IF('Deal maths'!Z653&gt;0,'Deal maths'!Z653,DATE(1990,1,1))))/D653))*D653),EDATE('Deal maths'!AA653,-(INT(((YEAR('Deal maths'!AA653)-YEAR(IF('Deal maths'!Z653&gt;0,'Deal maths'!Z653,DATE(1990,1,1))))*12+MONTH('Deal maths'!AA653)-MONTH(IF('Deal maths'!Z653&gt;0,'Deal maths'!Z653,DATE(1990,1,1))))/D653))*D653)),IF(DAY('Deal maths'!AA653+1)=1,EOMONTH('Deal maths'!AA653,-(INT(((YEAR('Deal maths'!AA653)-YEAR(IF('Deal maths'!Z653&gt;0,'Deal maths'!Z653,DATE(1990,1,1))))*12+MONTH('Deal maths'!AA653)-MONTH(IF('Deal maths'!Z653&gt;0,'Deal maths'!Z653,DATE(1990,1,1))))/D653)-1)*D653),EDATE('Deal maths'!AA653,-(INT(((YEAR('Deal maths'!AA653)-YEAR(IF('Deal maths'!Z653&gt;0,'Deal maths'!Z653,DATE(1990,1,1))))*12+MONTH('Deal maths'!AA653)-MONTH(IF('Deal maths'!Z653&gt;0,'Deal maths'!Z653,DATE(1990,1,1))))/D653)-1)*D653))))),0)</f>
        <v/>
      </c>
      <c r="F653" s="110">
        <f>IF(D653=0,0,'Deal maths'!AB653*D653/12)</f>
        <v/>
      </c>
      <c r="G653" s="108">
        <f>N653+O653</f>
        <v/>
      </c>
      <c r="H653" s="108">
        <f>IFERROR(IF(OR(D653=0,AsAt&lt;E653),0,MIN(N653,INT(((YEAR(AsAt)-YEAR(E653))*12+MONTH(AsAt)-MONTH(E653)-(DAY(AsAt)&lt;MIN(R653,DAY(EOMONTH(AsAt,0)))))/D653)+1)+O653*(AsAt&gt;='Deal maths'!AA653)),0)</f>
        <v/>
      </c>
      <c r="I653" s="108">
        <f>G653-H653</f>
        <v/>
      </c>
      <c r="J653" s="111">
        <f>IF(AND(C653="EIP",I653&gt;0),'Deal maths'!Y653/I653,0)</f>
        <v/>
      </c>
      <c r="K653" s="111">
        <f>IF(AND(C653="Annuity",I653&gt;0),IF(F653&gt;0,'Deal maths'!Y653*F653/(1-(1+F653)^-I653),'Deal maths'!Y653/I653),0)</f>
        <v/>
      </c>
      <c r="L653" s="111">
        <f>IF('Deal maths'!Y653="",0,'Deal maths'!Y653)</f>
        <v/>
      </c>
      <c r="M653" s="112">
        <f>F653+(F653=0)</f>
        <v/>
      </c>
      <c r="N653" s="108">
        <f>IFERROR(IF(D653=0,0,INT(((YEAR('Deal maths'!AA653)-YEAR(E653))*12+MONTH('Deal maths'!AA653)-MONTH(E653)-(DAY('Deal maths'!AA653)&lt;MIN(R653,DAY(EOMONTH('Deal maths'!AA653,0)))))/D653)+1),0)</f>
        <v/>
      </c>
      <c r="O653" s="108">
        <f>IFERROR(IF(D653=0,0,IF(IF(DAY(E653+1)=1,EOMONTH(E653,(N653-1)*D653),EDATE(E653,(N653-1)*D653))='Deal maths'!AA653,0,1)),0)</f>
        <v/>
      </c>
      <c r="P653" s="113">
        <f>IF(B653=0,0,IFERROR(IF(C653="EIP",((I653-O653)*((IF(DAY(E653+1)=1,EOMONTH(E653,H653*D653),EDATE(E653,H653*D653))-AsAt)/365.25+(IF(DAY(E653+1)=1,EOMONTH(E653,(N653-1)*D653),EDATE(E653,(N653-1)*D653))-AsAt)/365.25)/2+O653*('Deal maths'!AA653-AsAt)/365.25)/I653,IF(C653="Annuity",IF(F653&gt;0,((K653-L653*F653)*((IF(DAY(E653+1)=1,EOMONTH(E653,H653*D653),EDATE(E653,H653*D653))-AsAt)/365.25*((1+F653)^(I653-O653)-1)/F653+IF((I653-O653)&gt;1,((IF(DAY(E653+1)=1,EOMONTH(E653,(N653-1)*D653),EDATE(E653,(N653-1)*D653))-AsAt)/365.25-(IF(DAY(E653+1)=1,EOMONTH(E653,H653*D653),EDATE(E653,H653*D653))-AsAt)/365.25)/((I653-O653)-1),0)*(1+F653)*(1-(I653-O653)*(1+F653)^((I653-O653)-1)+((I653-O653)-1)*(1+F653)^(I653-O653))/F653^2)+O653*(K653-L653*F653)*(1+F653)^(I653-1)*('Deal maths'!AA653-AsAt)/365.25)/L653,((I653-O653)*((IF(DAY(E653+1)=1,EOMONTH(E653,H653*D653),EDATE(E653,H653*D653))-AsAt)/365.25+(IF(DAY(E653+1)=1,EOMONTH(E653,(N653-1)*D653),EDATE(E653,(N653-1)*D653))-AsAt)/365.25)/2+O653*('Deal maths'!AA653-AsAt)/365.25)/I653),(S653-AsAt)/365.25)),0))</f>
        <v/>
      </c>
      <c r="Q653" s="109">
        <f>IF(B653=1,'Deal maths'!AA653+ROW()/1000000,"")</f>
        <v/>
      </c>
      <c r="R653" s="108">
        <f>IF(D653=0,0,IF(DAY(E653+1)=1,31,DAY(E653)))</f>
        <v/>
      </c>
      <c r="S653" s="109">
        <f>IF(AND('Deal maths'!V653="LOBO",'Deal maths'!AG653&gt;AsAt,'Deal maths'!AG653&lt;'Deal maths'!AA653),'Deal maths'!AG653,'Deal maths'!AA653)</f>
        <v/>
      </c>
      <c r="T653" s="108">
        <f>('Deal maths'!AA653&gt;AsAt)*('Deal maths'!Y653&gt;0)</f>
        <v/>
      </c>
    </row>
    <row r="654">
      <c r="A654" s="91">
        <f>IF('Deal maths'!V654="","",'Deal maths'!W654)</f>
        <v/>
      </c>
      <c r="B654" s="108">
        <f>('Deal maths'!AA654&gt;AsAt)*('Deal maths'!Y654&gt;0)*('Deal maths'!Z654&lt;=AsAt)</f>
        <v/>
      </c>
      <c r="C654" s="91">
        <f>IF('Deal maths'!V654="","",IF('Deal maths'!AC654="","Maturity",'Deal maths'!AC654))</f>
        <v/>
      </c>
      <c r="D654" s="108">
        <f>IF(OR(C654="EIP",C654="Annuity"),IF('Deal maths'!AD654="Annual",12,IF('Deal maths'!AD654="Quarterly",3,6)),0)</f>
        <v/>
      </c>
      <c r="E654" s="109">
        <f>IFERROR(IF(D654=0,0,IF('Deal maths'!AE654&gt;0,IF('Deal maths'!AE654&gt;'Deal maths'!AA654,'Deal maths'!AA654,'Deal maths'!AE654),IF(IF(DAY('Deal maths'!AA654+1)=1,EOMONTH('Deal maths'!AA654,-(INT(((YEAR('Deal maths'!AA654)-YEAR(IF('Deal maths'!Z654&gt;0,'Deal maths'!Z654,DATE(1990,1,1))))*12+MONTH('Deal maths'!AA654)-MONTH(IF('Deal maths'!Z654&gt;0,'Deal maths'!Z654,DATE(1990,1,1))))/D654))*D654),EDATE('Deal maths'!AA654,-(INT(((YEAR('Deal maths'!AA654)-YEAR(IF('Deal maths'!Z654&gt;0,'Deal maths'!Z654,DATE(1990,1,1))))*12+MONTH('Deal maths'!AA654)-MONTH(IF('Deal maths'!Z654&gt;0,'Deal maths'!Z654,DATE(1990,1,1))))/D654))*D654))&gt;IF('Deal maths'!Z654&gt;0,'Deal maths'!Z654,DATE(1990,1,1)),IF(DAY('Deal maths'!AA654+1)=1,EOMONTH('Deal maths'!AA654,-(INT(((YEAR('Deal maths'!AA654)-YEAR(IF('Deal maths'!Z654&gt;0,'Deal maths'!Z654,DATE(1990,1,1))))*12+MONTH('Deal maths'!AA654)-MONTH(IF('Deal maths'!Z654&gt;0,'Deal maths'!Z654,DATE(1990,1,1))))/D654))*D654),EDATE('Deal maths'!AA654,-(INT(((YEAR('Deal maths'!AA654)-YEAR(IF('Deal maths'!Z654&gt;0,'Deal maths'!Z654,DATE(1990,1,1))))*12+MONTH('Deal maths'!AA654)-MONTH(IF('Deal maths'!Z654&gt;0,'Deal maths'!Z654,DATE(1990,1,1))))/D654))*D654)),IF(DAY('Deal maths'!AA654+1)=1,EOMONTH('Deal maths'!AA654,-(INT(((YEAR('Deal maths'!AA654)-YEAR(IF('Deal maths'!Z654&gt;0,'Deal maths'!Z654,DATE(1990,1,1))))*12+MONTH('Deal maths'!AA654)-MONTH(IF('Deal maths'!Z654&gt;0,'Deal maths'!Z654,DATE(1990,1,1))))/D654)-1)*D654),EDATE('Deal maths'!AA654,-(INT(((YEAR('Deal maths'!AA654)-YEAR(IF('Deal maths'!Z654&gt;0,'Deal maths'!Z654,DATE(1990,1,1))))*12+MONTH('Deal maths'!AA654)-MONTH(IF('Deal maths'!Z654&gt;0,'Deal maths'!Z654,DATE(1990,1,1))))/D654)-1)*D654))))),0)</f>
        <v/>
      </c>
      <c r="F654" s="110">
        <f>IF(D654=0,0,'Deal maths'!AB654*D654/12)</f>
        <v/>
      </c>
      <c r="G654" s="108">
        <f>N654+O654</f>
        <v/>
      </c>
      <c r="H654" s="108">
        <f>IFERROR(IF(OR(D654=0,AsAt&lt;E654),0,MIN(N654,INT(((YEAR(AsAt)-YEAR(E654))*12+MONTH(AsAt)-MONTH(E654)-(DAY(AsAt)&lt;MIN(R654,DAY(EOMONTH(AsAt,0)))))/D654)+1)+O654*(AsAt&gt;='Deal maths'!AA654)),0)</f>
        <v/>
      </c>
      <c r="I654" s="108">
        <f>G654-H654</f>
        <v/>
      </c>
      <c r="J654" s="111">
        <f>IF(AND(C654="EIP",I654&gt;0),'Deal maths'!Y654/I654,0)</f>
        <v/>
      </c>
      <c r="K654" s="111">
        <f>IF(AND(C654="Annuity",I654&gt;0),IF(F654&gt;0,'Deal maths'!Y654*F654/(1-(1+F654)^-I654),'Deal maths'!Y654/I654),0)</f>
        <v/>
      </c>
      <c r="L654" s="111">
        <f>IF('Deal maths'!Y654="",0,'Deal maths'!Y654)</f>
        <v/>
      </c>
      <c r="M654" s="112">
        <f>F654+(F654=0)</f>
        <v/>
      </c>
      <c r="N654" s="108">
        <f>IFERROR(IF(D654=0,0,INT(((YEAR('Deal maths'!AA654)-YEAR(E654))*12+MONTH('Deal maths'!AA654)-MONTH(E654)-(DAY('Deal maths'!AA654)&lt;MIN(R654,DAY(EOMONTH('Deal maths'!AA654,0)))))/D654)+1),0)</f>
        <v/>
      </c>
      <c r="O654" s="108">
        <f>IFERROR(IF(D654=0,0,IF(IF(DAY(E654+1)=1,EOMONTH(E654,(N654-1)*D654),EDATE(E654,(N654-1)*D654))='Deal maths'!AA654,0,1)),0)</f>
        <v/>
      </c>
      <c r="P654" s="113">
        <f>IF(B654=0,0,IFERROR(IF(C654="EIP",((I654-O654)*((IF(DAY(E654+1)=1,EOMONTH(E654,H654*D654),EDATE(E654,H654*D654))-AsAt)/365.25+(IF(DAY(E654+1)=1,EOMONTH(E654,(N654-1)*D654),EDATE(E654,(N654-1)*D654))-AsAt)/365.25)/2+O654*('Deal maths'!AA654-AsAt)/365.25)/I654,IF(C654="Annuity",IF(F654&gt;0,((K654-L654*F654)*((IF(DAY(E654+1)=1,EOMONTH(E654,H654*D654),EDATE(E654,H654*D654))-AsAt)/365.25*((1+F654)^(I654-O654)-1)/F654+IF((I654-O654)&gt;1,((IF(DAY(E654+1)=1,EOMONTH(E654,(N654-1)*D654),EDATE(E654,(N654-1)*D654))-AsAt)/365.25-(IF(DAY(E654+1)=1,EOMONTH(E654,H654*D654),EDATE(E654,H654*D654))-AsAt)/365.25)/((I654-O654)-1),0)*(1+F654)*(1-(I654-O654)*(1+F654)^((I654-O654)-1)+((I654-O654)-1)*(1+F654)^(I654-O654))/F654^2)+O654*(K654-L654*F654)*(1+F654)^(I654-1)*('Deal maths'!AA654-AsAt)/365.25)/L654,((I654-O654)*((IF(DAY(E654+1)=1,EOMONTH(E654,H654*D654),EDATE(E654,H654*D654))-AsAt)/365.25+(IF(DAY(E654+1)=1,EOMONTH(E654,(N654-1)*D654),EDATE(E654,(N654-1)*D654))-AsAt)/365.25)/2+O654*('Deal maths'!AA654-AsAt)/365.25)/I654),(S654-AsAt)/365.25)),0))</f>
        <v/>
      </c>
      <c r="Q654" s="109">
        <f>IF(B654=1,'Deal maths'!AA654+ROW()/1000000,"")</f>
        <v/>
      </c>
      <c r="R654" s="108">
        <f>IF(D654=0,0,IF(DAY(E654+1)=1,31,DAY(E654)))</f>
        <v/>
      </c>
      <c r="S654" s="109">
        <f>IF(AND('Deal maths'!V654="LOBO",'Deal maths'!AG654&gt;AsAt,'Deal maths'!AG654&lt;'Deal maths'!AA654),'Deal maths'!AG654,'Deal maths'!AA654)</f>
        <v/>
      </c>
      <c r="T654" s="108">
        <f>('Deal maths'!AA654&gt;AsAt)*('Deal maths'!Y654&gt;0)</f>
        <v/>
      </c>
    </row>
    <row r="655">
      <c r="A655" s="91">
        <f>IF('Deal maths'!V655="","",'Deal maths'!W655)</f>
        <v/>
      </c>
      <c r="B655" s="108">
        <f>('Deal maths'!AA655&gt;AsAt)*('Deal maths'!Y655&gt;0)*('Deal maths'!Z655&lt;=AsAt)</f>
        <v/>
      </c>
      <c r="C655" s="91">
        <f>IF('Deal maths'!V655="","",IF('Deal maths'!AC655="","Maturity",'Deal maths'!AC655))</f>
        <v/>
      </c>
      <c r="D655" s="108">
        <f>IF(OR(C655="EIP",C655="Annuity"),IF('Deal maths'!AD655="Annual",12,IF('Deal maths'!AD655="Quarterly",3,6)),0)</f>
        <v/>
      </c>
      <c r="E655" s="109">
        <f>IFERROR(IF(D655=0,0,IF('Deal maths'!AE655&gt;0,IF('Deal maths'!AE655&gt;'Deal maths'!AA655,'Deal maths'!AA655,'Deal maths'!AE655),IF(IF(DAY('Deal maths'!AA655+1)=1,EOMONTH('Deal maths'!AA655,-(INT(((YEAR('Deal maths'!AA655)-YEAR(IF('Deal maths'!Z655&gt;0,'Deal maths'!Z655,DATE(1990,1,1))))*12+MONTH('Deal maths'!AA655)-MONTH(IF('Deal maths'!Z655&gt;0,'Deal maths'!Z655,DATE(1990,1,1))))/D655))*D655),EDATE('Deal maths'!AA655,-(INT(((YEAR('Deal maths'!AA655)-YEAR(IF('Deal maths'!Z655&gt;0,'Deal maths'!Z655,DATE(1990,1,1))))*12+MONTH('Deal maths'!AA655)-MONTH(IF('Deal maths'!Z655&gt;0,'Deal maths'!Z655,DATE(1990,1,1))))/D655))*D655))&gt;IF('Deal maths'!Z655&gt;0,'Deal maths'!Z655,DATE(1990,1,1)),IF(DAY('Deal maths'!AA655+1)=1,EOMONTH('Deal maths'!AA655,-(INT(((YEAR('Deal maths'!AA655)-YEAR(IF('Deal maths'!Z655&gt;0,'Deal maths'!Z655,DATE(1990,1,1))))*12+MONTH('Deal maths'!AA655)-MONTH(IF('Deal maths'!Z655&gt;0,'Deal maths'!Z655,DATE(1990,1,1))))/D655))*D655),EDATE('Deal maths'!AA655,-(INT(((YEAR('Deal maths'!AA655)-YEAR(IF('Deal maths'!Z655&gt;0,'Deal maths'!Z655,DATE(1990,1,1))))*12+MONTH('Deal maths'!AA655)-MONTH(IF('Deal maths'!Z655&gt;0,'Deal maths'!Z655,DATE(1990,1,1))))/D655))*D655)),IF(DAY('Deal maths'!AA655+1)=1,EOMONTH('Deal maths'!AA655,-(INT(((YEAR('Deal maths'!AA655)-YEAR(IF('Deal maths'!Z655&gt;0,'Deal maths'!Z655,DATE(1990,1,1))))*12+MONTH('Deal maths'!AA655)-MONTH(IF('Deal maths'!Z655&gt;0,'Deal maths'!Z655,DATE(1990,1,1))))/D655)-1)*D655),EDATE('Deal maths'!AA655,-(INT(((YEAR('Deal maths'!AA655)-YEAR(IF('Deal maths'!Z655&gt;0,'Deal maths'!Z655,DATE(1990,1,1))))*12+MONTH('Deal maths'!AA655)-MONTH(IF('Deal maths'!Z655&gt;0,'Deal maths'!Z655,DATE(1990,1,1))))/D655)-1)*D655))))),0)</f>
        <v/>
      </c>
      <c r="F655" s="110">
        <f>IF(D655=0,0,'Deal maths'!AB655*D655/12)</f>
        <v/>
      </c>
      <c r="G655" s="108">
        <f>N655+O655</f>
        <v/>
      </c>
      <c r="H655" s="108">
        <f>IFERROR(IF(OR(D655=0,AsAt&lt;E655),0,MIN(N655,INT(((YEAR(AsAt)-YEAR(E655))*12+MONTH(AsAt)-MONTH(E655)-(DAY(AsAt)&lt;MIN(R655,DAY(EOMONTH(AsAt,0)))))/D655)+1)+O655*(AsAt&gt;='Deal maths'!AA655)),0)</f>
        <v/>
      </c>
      <c r="I655" s="108">
        <f>G655-H655</f>
        <v/>
      </c>
      <c r="J655" s="111">
        <f>IF(AND(C655="EIP",I655&gt;0),'Deal maths'!Y655/I655,0)</f>
        <v/>
      </c>
      <c r="K655" s="111">
        <f>IF(AND(C655="Annuity",I655&gt;0),IF(F655&gt;0,'Deal maths'!Y655*F655/(1-(1+F655)^-I655),'Deal maths'!Y655/I655),0)</f>
        <v/>
      </c>
      <c r="L655" s="111">
        <f>IF('Deal maths'!Y655="",0,'Deal maths'!Y655)</f>
        <v/>
      </c>
      <c r="M655" s="112">
        <f>F655+(F655=0)</f>
        <v/>
      </c>
      <c r="N655" s="108">
        <f>IFERROR(IF(D655=0,0,INT(((YEAR('Deal maths'!AA655)-YEAR(E655))*12+MONTH('Deal maths'!AA655)-MONTH(E655)-(DAY('Deal maths'!AA655)&lt;MIN(R655,DAY(EOMONTH('Deal maths'!AA655,0)))))/D655)+1),0)</f>
        <v/>
      </c>
      <c r="O655" s="108">
        <f>IFERROR(IF(D655=0,0,IF(IF(DAY(E655+1)=1,EOMONTH(E655,(N655-1)*D655),EDATE(E655,(N655-1)*D655))='Deal maths'!AA655,0,1)),0)</f>
        <v/>
      </c>
      <c r="P655" s="113">
        <f>IF(B655=0,0,IFERROR(IF(C655="EIP",((I655-O655)*((IF(DAY(E655+1)=1,EOMONTH(E655,H655*D655),EDATE(E655,H655*D655))-AsAt)/365.25+(IF(DAY(E655+1)=1,EOMONTH(E655,(N655-1)*D655),EDATE(E655,(N655-1)*D655))-AsAt)/365.25)/2+O655*('Deal maths'!AA655-AsAt)/365.25)/I655,IF(C655="Annuity",IF(F655&gt;0,((K655-L655*F655)*((IF(DAY(E655+1)=1,EOMONTH(E655,H655*D655),EDATE(E655,H655*D655))-AsAt)/365.25*((1+F655)^(I655-O655)-1)/F655+IF((I655-O655)&gt;1,((IF(DAY(E655+1)=1,EOMONTH(E655,(N655-1)*D655),EDATE(E655,(N655-1)*D655))-AsAt)/365.25-(IF(DAY(E655+1)=1,EOMONTH(E655,H655*D655),EDATE(E655,H655*D655))-AsAt)/365.25)/((I655-O655)-1),0)*(1+F655)*(1-(I655-O655)*(1+F655)^((I655-O655)-1)+((I655-O655)-1)*(1+F655)^(I655-O655))/F655^2)+O655*(K655-L655*F655)*(1+F655)^(I655-1)*('Deal maths'!AA655-AsAt)/365.25)/L655,((I655-O655)*((IF(DAY(E655+1)=1,EOMONTH(E655,H655*D655),EDATE(E655,H655*D655))-AsAt)/365.25+(IF(DAY(E655+1)=1,EOMONTH(E655,(N655-1)*D655),EDATE(E655,(N655-1)*D655))-AsAt)/365.25)/2+O655*('Deal maths'!AA655-AsAt)/365.25)/I655),(S655-AsAt)/365.25)),0))</f>
        <v/>
      </c>
      <c r="Q655" s="109">
        <f>IF(B655=1,'Deal maths'!AA655+ROW()/1000000,"")</f>
        <v/>
      </c>
      <c r="R655" s="108">
        <f>IF(D655=0,0,IF(DAY(E655+1)=1,31,DAY(E655)))</f>
        <v/>
      </c>
      <c r="S655" s="109">
        <f>IF(AND('Deal maths'!V655="LOBO",'Deal maths'!AG655&gt;AsAt,'Deal maths'!AG655&lt;'Deal maths'!AA655),'Deal maths'!AG655,'Deal maths'!AA655)</f>
        <v/>
      </c>
      <c r="T655" s="108">
        <f>('Deal maths'!AA655&gt;AsAt)*('Deal maths'!Y655&gt;0)</f>
        <v/>
      </c>
    </row>
    <row r="656">
      <c r="A656" s="91">
        <f>IF('Deal maths'!V656="","",'Deal maths'!W656)</f>
        <v/>
      </c>
      <c r="B656" s="108">
        <f>('Deal maths'!AA656&gt;AsAt)*('Deal maths'!Y656&gt;0)*('Deal maths'!Z656&lt;=AsAt)</f>
        <v/>
      </c>
      <c r="C656" s="91">
        <f>IF('Deal maths'!V656="","",IF('Deal maths'!AC656="","Maturity",'Deal maths'!AC656))</f>
        <v/>
      </c>
      <c r="D656" s="108">
        <f>IF(OR(C656="EIP",C656="Annuity"),IF('Deal maths'!AD656="Annual",12,IF('Deal maths'!AD656="Quarterly",3,6)),0)</f>
        <v/>
      </c>
      <c r="E656" s="109">
        <f>IFERROR(IF(D656=0,0,IF('Deal maths'!AE656&gt;0,IF('Deal maths'!AE656&gt;'Deal maths'!AA656,'Deal maths'!AA656,'Deal maths'!AE656),IF(IF(DAY('Deal maths'!AA656+1)=1,EOMONTH('Deal maths'!AA656,-(INT(((YEAR('Deal maths'!AA656)-YEAR(IF('Deal maths'!Z656&gt;0,'Deal maths'!Z656,DATE(1990,1,1))))*12+MONTH('Deal maths'!AA656)-MONTH(IF('Deal maths'!Z656&gt;0,'Deal maths'!Z656,DATE(1990,1,1))))/D656))*D656),EDATE('Deal maths'!AA656,-(INT(((YEAR('Deal maths'!AA656)-YEAR(IF('Deal maths'!Z656&gt;0,'Deal maths'!Z656,DATE(1990,1,1))))*12+MONTH('Deal maths'!AA656)-MONTH(IF('Deal maths'!Z656&gt;0,'Deal maths'!Z656,DATE(1990,1,1))))/D656))*D656))&gt;IF('Deal maths'!Z656&gt;0,'Deal maths'!Z656,DATE(1990,1,1)),IF(DAY('Deal maths'!AA656+1)=1,EOMONTH('Deal maths'!AA656,-(INT(((YEAR('Deal maths'!AA656)-YEAR(IF('Deal maths'!Z656&gt;0,'Deal maths'!Z656,DATE(1990,1,1))))*12+MONTH('Deal maths'!AA656)-MONTH(IF('Deal maths'!Z656&gt;0,'Deal maths'!Z656,DATE(1990,1,1))))/D656))*D656),EDATE('Deal maths'!AA656,-(INT(((YEAR('Deal maths'!AA656)-YEAR(IF('Deal maths'!Z656&gt;0,'Deal maths'!Z656,DATE(1990,1,1))))*12+MONTH('Deal maths'!AA656)-MONTH(IF('Deal maths'!Z656&gt;0,'Deal maths'!Z656,DATE(1990,1,1))))/D656))*D656)),IF(DAY('Deal maths'!AA656+1)=1,EOMONTH('Deal maths'!AA656,-(INT(((YEAR('Deal maths'!AA656)-YEAR(IF('Deal maths'!Z656&gt;0,'Deal maths'!Z656,DATE(1990,1,1))))*12+MONTH('Deal maths'!AA656)-MONTH(IF('Deal maths'!Z656&gt;0,'Deal maths'!Z656,DATE(1990,1,1))))/D656)-1)*D656),EDATE('Deal maths'!AA656,-(INT(((YEAR('Deal maths'!AA656)-YEAR(IF('Deal maths'!Z656&gt;0,'Deal maths'!Z656,DATE(1990,1,1))))*12+MONTH('Deal maths'!AA656)-MONTH(IF('Deal maths'!Z656&gt;0,'Deal maths'!Z656,DATE(1990,1,1))))/D656)-1)*D656))))),0)</f>
        <v/>
      </c>
      <c r="F656" s="110">
        <f>IF(D656=0,0,'Deal maths'!AB656*D656/12)</f>
        <v/>
      </c>
      <c r="G656" s="108">
        <f>N656+O656</f>
        <v/>
      </c>
      <c r="H656" s="108">
        <f>IFERROR(IF(OR(D656=0,AsAt&lt;E656),0,MIN(N656,INT(((YEAR(AsAt)-YEAR(E656))*12+MONTH(AsAt)-MONTH(E656)-(DAY(AsAt)&lt;MIN(R656,DAY(EOMONTH(AsAt,0)))))/D656)+1)+O656*(AsAt&gt;='Deal maths'!AA656)),0)</f>
        <v/>
      </c>
      <c r="I656" s="108">
        <f>G656-H656</f>
        <v/>
      </c>
      <c r="J656" s="111">
        <f>IF(AND(C656="EIP",I656&gt;0),'Deal maths'!Y656/I656,0)</f>
        <v/>
      </c>
      <c r="K656" s="111">
        <f>IF(AND(C656="Annuity",I656&gt;0),IF(F656&gt;0,'Deal maths'!Y656*F656/(1-(1+F656)^-I656),'Deal maths'!Y656/I656),0)</f>
        <v/>
      </c>
      <c r="L656" s="111">
        <f>IF('Deal maths'!Y656="",0,'Deal maths'!Y656)</f>
        <v/>
      </c>
      <c r="M656" s="112">
        <f>F656+(F656=0)</f>
        <v/>
      </c>
      <c r="N656" s="108">
        <f>IFERROR(IF(D656=0,0,INT(((YEAR('Deal maths'!AA656)-YEAR(E656))*12+MONTH('Deal maths'!AA656)-MONTH(E656)-(DAY('Deal maths'!AA656)&lt;MIN(R656,DAY(EOMONTH('Deal maths'!AA656,0)))))/D656)+1),0)</f>
        <v/>
      </c>
      <c r="O656" s="108">
        <f>IFERROR(IF(D656=0,0,IF(IF(DAY(E656+1)=1,EOMONTH(E656,(N656-1)*D656),EDATE(E656,(N656-1)*D656))='Deal maths'!AA656,0,1)),0)</f>
        <v/>
      </c>
      <c r="P656" s="113">
        <f>IF(B656=0,0,IFERROR(IF(C656="EIP",((I656-O656)*((IF(DAY(E656+1)=1,EOMONTH(E656,H656*D656),EDATE(E656,H656*D656))-AsAt)/365.25+(IF(DAY(E656+1)=1,EOMONTH(E656,(N656-1)*D656),EDATE(E656,(N656-1)*D656))-AsAt)/365.25)/2+O656*('Deal maths'!AA656-AsAt)/365.25)/I656,IF(C656="Annuity",IF(F656&gt;0,((K656-L656*F656)*((IF(DAY(E656+1)=1,EOMONTH(E656,H656*D656),EDATE(E656,H656*D656))-AsAt)/365.25*((1+F656)^(I656-O656)-1)/F656+IF((I656-O656)&gt;1,((IF(DAY(E656+1)=1,EOMONTH(E656,(N656-1)*D656),EDATE(E656,(N656-1)*D656))-AsAt)/365.25-(IF(DAY(E656+1)=1,EOMONTH(E656,H656*D656),EDATE(E656,H656*D656))-AsAt)/365.25)/((I656-O656)-1),0)*(1+F656)*(1-(I656-O656)*(1+F656)^((I656-O656)-1)+((I656-O656)-1)*(1+F656)^(I656-O656))/F656^2)+O656*(K656-L656*F656)*(1+F656)^(I656-1)*('Deal maths'!AA656-AsAt)/365.25)/L656,((I656-O656)*((IF(DAY(E656+1)=1,EOMONTH(E656,H656*D656),EDATE(E656,H656*D656))-AsAt)/365.25+(IF(DAY(E656+1)=1,EOMONTH(E656,(N656-1)*D656),EDATE(E656,(N656-1)*D656))-AsAt)/365.25)/2+O656*('Deal maths'!AA656-AsAt)/365.25)/I656),(S656-AsAt)/365.25)),0))</f>
        <v/>
      </c>
      <c r="Q656" s="109">
        <f>IF(B656=1,'Deal maths'!AA656+ROW()/1000000,"")</f>
        <v/>
      </c>
      <c r="R656" s="108">
        <f>IF(D656=0,0,IF(DAY(E656+1)=1,31,DAY(E656)))</f>
        <v/>
      </c>
      <c r="S656" s="109">
        <f>IF(AND('Deal maths'!V656="LOBO",'Deal maths'!AG656&gt;AsAt,'Deal maths'!AG656&lt;'Deal maths'!AA656),'Deal maths'!AG656,'Deal maths'!AA656)</f>
        <v/>
      </c>
      <c r="T656" s="108">
        <f>('Deal maths'!AA656&gt;AsAt)*('Deal maths'!Y656&gt;0)</f>
        <v/>
      </c>
    </row>
    <row r="657">
      <c r="A657" s="91">
        <f>IF('Deal maths'!V657="","",'Deal maths'!W657)</f>
        <v/>
      </c>
      <c r="B657" s="108">
        <f>('Deal maths'!AA657&gt;AsAt)*('Deal maths'!Y657&gt;0)*('Deal maths'!Z657&lt;=AsAt)</f>
        <v/>
      </c>
      <c r="C657" s="91">
        <f>IF('Deal maths'!V657="","",IF('Deal maths'!AC657="","Maturity",'Deal maths'!AC657))</f>
        <v/>
      </c>
      <c r="D657" s="108">
        <f>IF(OR(C657="EIP",C657="Annuity"),IF('Deal maths'!AD657="Annual",12,IF('Deal maths'!AD657="Quarterly",3,6)),0)</f>
        <v/>
      </c>
      <c r="E657" s="109">
        <f>IFERROR(IF(D657=0,0,IF('Deal maths'!AE657&gt;0,IF('Deal maths'!AE657&gt;'Deal maths'!AA657,'Deal maths'!AA657,'Deal maths'!AE657),IF(IF(DAY('Deal maths'!AA657+1)=1,EOMONTH('Deal maths'!AA657,-(INT(((YEAR('Deal maths'!AA657)-YEAR(IF('Deal maths'!Z657&gt;0,'Deal maths'!Z657,DATE(1990,1,1))))*12+MONTH('Deal maths'!AA657)-MONTH(IF('Deal maths'!Z657&gt;0,'Deal maths'!Z657,DATE(1990,1,1))))/D657))*D657),EDATE('Deal maths'!AA657,-(INT(((YEAR('Deal maths'!AA657)-YEAR(IF('Deal maths'!Z657&gt;0,'Deal maths'!Z657,DATE(1990,1,1))))*12+MONTH('Deal maths'!AA657)-MONTH(IF('Deal maths'!Z657&gt;0,'Deal maths'!Z657,DATE(1990,1,1))))/D657))*D657))&gt;IF('Deal maths'!Z657&gt;0,'Deal maths'!Z657,DATE(1990,1,1)),IF(DAY('Deal maths'!AA657+1)=1,EOMONTH('Deal maths'!AA657,-(INT(((YEAR('Deal maths'!AA657)-YEAR(IF('Deal maths'!Z657&gt;0,'Deal maths'!Z657,DATE(1990,1,1))))*12+MONTH('Deal maths'!AA657)-MONTH(IF('Deal maths'!Z657&gt;0,'Deal maths'!Z657,DATE(1990,1,1))))/D657))*D657),EDATE('Deal maths'!AA657,-(INT(((YEAR('Deal maths'!AA657)-YEAR(IF('Deal maths'!Z657&gt;0,'Deal maths'!Z657,DATE(1990,1,1))))*12+MONTH('Deal maths'!AA657)-MONTH(IF('Deal maths'!Z657&gt;0,'Deal maths'!Z657,DATE(1990,1,1))))/D657))*D657)),IF(DAY('Deal maths'!AA657+1)=1,EOMONTH('Deal maths'!AA657,-(INT(((YEAR('Deal maths'!AA657)-YEAR(IF('Deal maths'!Z657&gt;0,'Deal maths'!Z657,DATE(1990,1,1))))*12+MONTH('Deal maths'!AA657)-MONTH(IF('Deal maths'!Z657&gt;0,'Deal maths'!Z657,DATE(1990,1,1))))/D657)-1)*D657),EDATE('Deal maths'!AA657,-(INT(((YEAR('Deal maths'!AA657)-YEAR(IF('Deal maths'!Z657&gt;0,'Deal maths'!Z657,DATE(1990,1,1))))*12+MONTH('Deal maths'!AA657)-MONTH(IF('Deal maths'!Z657&gt;0,'Deal maths'!Z657,DATE(1990,1,1))))/D657)-1)*D657))))),0)</f>
        <v/>
      </c>
      <c r="F657" s="110">
        <f>IF(D657=0,0,'Deal maths'!AB657*D657/12)</f>
        <v/>
      </c>
      <c r="G657" s="108">
        <f>N657+O657</f>
        <v/>
      </c>
      <c r="H657" s="108">
        <f>IFERROR(IF(OR(D657=0,AsAt&lt;E657),0,MIN(N657,INT(((YEAR(AsAt)-YEAR(E657))*12+MONTH(AsAt)-MONTH(E657)-(DAY(AsAt)&lt;MIN(R657,DAY(EOMONTH(AsAt,0)))))/D657)+1)+O657*(AsAt&gt;='Deal maths'!AA657)),0)</f>
        <v/>
      </c>
      <c r="I657" s="108">
        <f>G657-H657</f>
        <v/>
      </c>
      <c r="J657" s="111">
        <f>IF(AND(C657="EIP",I657&gt;0),'Deal maths'!Y657/I657,0)</f>
        <v/>
      </c>
      <c r="K657" s="111">
        <f>IF(AND(C657="Annuity",I657&gt;0),IF(F657&gt;0,'Deal maths'!Y657*F657/(1-(1+F657)^-I657),'Deal maths'!Y657/I657),0)</f>
        <v/>
      </c>
      <c r="L657" s="111">
        <f>IF('Deal maths'!Y657="",0,'Deal maths'!Y657)</f>
        <v/>
      </c>
      <c r="M657" s="112">
        <f>F657+(F657=0)</f>
        <v/>
      </c>
      <c r="N657" s="108">
        <f>IFERROR(IF(D657=0,0,INT(((YEAR('Deal maths'!AA657)-YEAR(E657))*12+MONTH('Deal maths'!AA657)-MONTH(E657)-(DAY('Deal maths'!AA657)&lt;MIN(R657,DAY(EOMONTH('Deal maths'!AA657,0)))))/D657)+1),0)</f>
        <v/>
      </c>
      <c r="O657" s="108">
        <f>IFERROR(IF(D657=0,0,IF(IF(DAY(E657+1)=1,EOMONTH(E657,(N657-1)*D657),EDATE(E657,(N657-1)*D657))='Deal maths'!AA657,0,1)),0)</f>
        <v/>
      </c>
      <c r="P657" s="113">
        <f>IF(B657=0,0,IFERROR(IF(C657="EIP",((I657-O657)*((IF(DAY(E657+1)=1,EOMONTH(E657,H657*D657),EDATE(E657,H657*D657))-AsAt)/365.25+(IF(DAY(E657+1)=1,EOMONTH(E657,(N657-1)*D657),EDATE(E657,(N657-1)*D657))-AsAt)/365.25)/2+O657*('Deal maths'!AA657-AsAt)/365.25)/I657,IF(C657="Annuity",IF(F657&gt;0,((K657-L657*F657)*((IF(DAY(E657+1)=1,EOMONTH(E657,H657*D657),EDATE(E657,H657*D657))-AsAt)/365.25*((1+F657)^(I657-O657)-1)/F657+IF((I657-O657)&gt;1,((IF(DAY(E657+1)=1,EOMONTH(E657,(N657-1)*D657),EDATE(E657,(N657-1)*D657))-AsAt)/365.25-(IF(DAY(E657+1)=1,EOMONTH(E657,H657*D657),EDATE(E657,H657*D657))-AsAt)/365.25)/((I657-O657)-1),0)*(1+F657)*(1-(I657-O657)*(1+F657)^((I657-O657)-1)+((I657-O657)-1)*(1+F657)^(I657-O657))/F657^2)+O657*(K657-L657*F657)*(1+F657)^(I657-1)*('Deal maths'!AA657-AsAt)/365.25)/L657,((I657-O657)*((IF(DAY(E657+1)=1,EOMONTH(E657,H657*D657),EDATE(E657,H657*D657))-AsAt)/365.25+(IF(DAY(E657+1)=1,EOMONTH(E657,(N657-1)*D657),EDATE(E657,(N657-1)*D657))-AsAt)/365.25)/2+O657*('Deal maths'!AA657-AsAt)/365.25)/I657),(S657-AsAt)/365.25)),0))</f>
        <v/>
      </c>
      <c r="Q657" s="109">
        <f>IF(B657=1,'Deal maths'!AA657+ROW()/1000000,"")</f>
        <v/>
      </c>
      <c r="R657" s="108">
        <f>IF(D657=0,0,IF(DAY(E657+1)=1,31,DAY(E657)))</f>
        <v/>
      </c>
      <c r="S657" s="109">
        <f>IF(AND('Deal maths'!V657="LOBO",'Deal maths'!AG657&gt;AsAt,'Deal maths'!AG657&lt;'Deal maths'!AA657),'Deal maths'!AG657,'Deal maths'!AA657)</f>
        <v/>
      </c>
      <c r="T657" s="108">
        <f>('Deal maths'!AA657&gt;AsAt)*('Deal maths'!Y657&gt;0)</f>
        <v/>
      </c>
    </row>
    <row r="658">
      <c r="A658" s="91">
        <f>IF('Deal maths'!V658="","",'Deal maths'!W658)</f>
        <v/>
      </c>
      <c r="B658" s="108">
        <f>('Deal maths'!AA658&gt;AsAt)*('Deal maths'!Y658&gt;0)*('Deal maths'!Z658&lt;=AsAt)</f>
        <v/>
      </c>
      <c r="C658" s="91">
        <f>IF('Deal maths'!V658="","",IF('Deal maths'!AC658="","Maturity",'Deal maths'!AC658))</f>
        <v/>
      </c>
      <c r="D658" s="108">
        <f>IF(OR(C658="EIP",C658="Annuity"),IF('Deal maths'!AD658="Annual",12,IF('Deal maths'!AD658="Quarterly",3,6)),0)</f>
        <v/>
      </c>
      <c r="E658" s="109">
        <f>IFERROR(IF(D658=0,0,IF('Deal maths'!AE658&gt;0,IF('Deal maths'!AE658&gt;'Deal maths'!AA658,'Deal maths'!AA658,'Deal maths'!AE658),IF(IF(DAY('Deal maths'!AA658+1)=1,EOMONTH('Deal maths'!AA658,-(INT(((YEAR('Deal maths'!AA658)-YEAR(IF('Deal maths'!Z658&gt;0,'Deal maths'!Z658,DATE(1990,1,1))))*12+MONTH('Deal maths'!AA658)-MONTH(IF('Deal maths'!Z658&gt;0,'Deal maths'!Z658,DATE(1990,1,1))))/D658))*D658),EDATE('Deal maths'!AA658,-(INT(((YEAR('Deal maths'!AA658)-YEAR(IF('Deal maths'!Z658&gt;0,'Deal maths'!Z658,DATE(1990,1,1))))*12+MONTH('Deal maths'!AA658)-MONTH(IF('Deal maths'!Z658&gt;0,'Deal maths'!Z658,DATE(1990,1,1))))/D658))*D658))&gt;IF('Deal maths'!Z658&gt;0,'Deal maths'!Z658,DATE(1990,1,1)),IF(DAY('Deal maths'!AA658+1)=1,EOMONTH('Deal maths'!AA658,-(INT(((YEAR('Deal maths'!AA658)-YEAR(IF('Deal maths'!Z658&gt;0,'Deal maths'!Z658,DATE(1990,1,1))))*12+MONTH('Deal maths'!AA658)-MONTH(IF('Deal maths'!Z658&gt;0,'Deal maths'!Z658,DATE(1990,1,1))))/D658))*D658),EDATE('Deal maths'!AA658,-(INT(((YEAR('Deal maths'!AA658)-YEAR(IF('Deal maths'!Z658&gt;0,'Deal maths'!Z658,DATE(1990,1,1))))*12+MONTH('Deal maths'!AA658)-MONTH(IF('Deal maths'!Z658&gt;0,'Deal maths'!Z658,DATE(1990,1,1))))/D658))*D658)),IF(DAY('Deal maths'!AA658+1)=1,EOMONTH('Deal maths'!AA658,-(INT(((YEAR('Deal maths'!AA658)-YEAR(IF('Deal maths'!Z658&gt;0,'Deal maths'!Z658,DATE(1990,1,1))))*12+MONTH('Deal maths'!AA658)-MONTH(IF('Deal maths'!Z658&gt;0,'Deal maths'!Z658,DATE(1990,1,1))))/D658)-1)*D658),EDATE('Deal maths'!AA658,-(INT(((YEAR('Deal maths'!AA658)-YEAR(IF('Deal maths'!Z658&gt;0,'Deal maths'!Z658,DATE(1990,1,1))))*12+MONTH('Deal maths'!AA658)-MONTH(IF('Deal maths'!Z658&gt;0,'Deal maths'!Z658,DATE(1990,1,1))))/D658)-1)*D658))))),0)</f>
        <v/>
      </c>
      <c r="F658" s="110">
        <f>IF(D658=0,0,'Deal maths'!AB658*D658/12)</f>
        <v/>
      </c>
      <c r="G658" s="108">
        <f>N658+O658</f>
        <v/>
      </c>
      <c r="H658" s="108">
        <f>IFERROR(IF(OR(D658=0,AsAt&lt;E658),0,MIN(N658,INT(((YEAR(AsAt)-YEAR(E658))*12+MONTH(AsAt)-MONTH(E658)-(DAY(AsAt)&lt;MIN(R658,DAY(EOMONTH(AsAt,0)))))/D658)+1)+O658*(AsAt&gt;='Deal maths'!AA658)),0)</f>
        <v/>
      </c>
      <c r="I658" s="108">
        <f>G658-H658</f>
        <v/>
      </c>
      <c r="J658" s="111">
        <f>IF(AND(C658="EIP",I658&gt;0),'Deal maths'!Y658/I658,0)</f>
        <v/>
      </c>
      <c r="K658" s="111">
        <f>IF(AND(C658="Annuity",I658&gt;0),IF(F658&gt;0,'Deal maths'!Y658*F658/(1-(1+F658)^-I658),'Deal maths'!Y658/I658),0)</f>
        <v/>
      </c>
      <c r="L658" s="111">
        <f>IF('Deal maths'!Y658="",0,'Deal maths'!Y658)</f>
        <v/>
      </c>
      <c r="M658" s="112">
        <f>F658+(F658=0)</f>
        <v/>
      </c>
      <c r="N658" s="108">
        <f>IFERROR(IF(D658=0,0,INT(((YEAR('Deal maths'!AA658)-YEAR(E658))*12+MONTH('Deal maths'!AA658)-MONTH(E658)-(DAY('Deal maths'!AA658)&lt;MIN(R658,DAY(EOMONTH('Deal maths'!AA658,0)))))/D658)+1),0)</f>
        <v/>
      </c>
      <c r="O658" s="108">
        <f>IFERROR(IF(D658=0,0,IF(IF(DAY(E658+1)=1,EOMONTH(E658,(N658-1)*D658),EDATE(E658,(N658-1)*D658))='Deal maths'!AA658,0,1)),0)</f>
        <v/>
      </c>
      <c r="P658" s="113">
        <f>IF(B658=0,0,IFERROR(IF(C658="EIP",((I658-O658)*((IF(DAY(E658+1)=1,EOMONTH(E658,H658*D658),EDATE(E658,H658*D658))-AsAt)/365.25+(IF(DAY(E658+1)=1,EOMONTH(E658,(N658-1)*D658),EDATE(E658,(N658-1)*D658))-AsAt)/365.25)/2+O658*('Deal maths'!AA658-AsAt)/365.25)/I658,IF(C658="Annuity",IF(F658&gt;0,((K658-L658*F658)*((IF(DAY(E658+1)=1,EOMONTH(E658,H658*D658),EDATE(E658,H658*D658))-AsAt)/365.25*((1+F658)^(I658-O658)-1)/F658+IF((I658-O658)&gt;1,((IF(DAY(E658+1)=1,EOMONTH(E658,(N658-1)*D658),EDATE(E658,(N658-1)*D658))-AsAt)/365.25-(IF(DAY(E658+1)=1,EOMONTH(E658,H658*D658),EDATE(E658,H658*D658))-AsAt)/365.25)/((I658-O658)-1),0)*(1+F658)*(1-(I658-O658)*(1+F658)^((I658-O658)-1)+((I658-O658)-1)*(1+F658)^(I658-O658))/F658^2)+O658*(K658-L658*F658)*(1+F658)^(I658-1)*('Deal maths'!AA658-AsAt)/365.25)/L658,((I658-O658)*((IF(DAY(E658+1)=1,EOMONTH(E658,H658*D658),EDATE(E658,H658*D658))-AsAt)/365.25+(IF(DAY(E658+1)=1,EOMONTH(E658,(N658-1)*D658),EDATE(E658,(N658-1)*D658))-AsAt)/365.25)/2+O658*('Deal maths'!AA658-AsAt)/365.25)/I658),(S658-AsAt)/365.25)),0))</f>
        <v/>
      </c>
      <c r="Q658" s="109">
        <f>IF(B658=1,'Deal maths'!AA658+ROW()/1000000,"")</f>
        <v/>
      </c>
      <c r="R658" s="108">
        <f>IF(D658=0,0,IF(DAY(E658+1)=1,31,DAY(E658)))</f>
        <v/>
      </c>
      <c r="S658" s="109">
        <f>IF(AND('Deal maths'!V658="LOBO",'Deal maths'!AG658&gt;AsAt,'Deal maths'!AG658&lt;'Deal maths'!AA658),'Deal maths'!AG658,'Deal maths'!AA658)</f>
        <v/>
      </c>
      <c r="T658" s="108">
        <f>('Deal maths'!AA658&gt;AsAt)*('Deal maths'!Y658&gt;0)</f>
        <v/>
      </c>
    </row>
    <row r="659">
      <c r="A659" s="91">
        <f>IF('Deal maths'!V659="","",'Deal maths'!W659)</f>
        <v/>
      </c>
      <c r="B659" s="108">
        <f>('Deal maths'!AA659&gt;AsAt)*('Deal maths'!Y659&gt;0)*('Deal maths'!Z659&lt;=AsAt)</f>
        <v/>
      </c>
      <c r="C659" s="91">
        <f>IF('Deal maths'!V659="","",IF('Deal maths'!AC659="","Maturity",'Deal maths'!AC659))</f>
        <v/>
      </c>
      <c r="D659" s="108">
        <f>IF(OR(C659="EIP",C659="Annuity"),IF('Deal maths'!AD659="Annual",12,IF('Deal maths'!AD659="Quarterly",3,6)),0)</f>
        <v/>
      </c>
      <c r="E659" s="109">
        <f>IFERROR(IF(D659=0,0,IF('Deal maths'!AE659&gt;0,IF('Deal maths'!AE659&gt;'Deal maths'!AA659,'Deal maths'!AA659,'Deal maths'!AE659),IF(IF(DAY('Deal maths'!AA659+1)=1,EOMONTH('Deal maths'!AA659,-(INT(((YEAR('Deal maths'!AA659)-YEAR(IF('Deal maths'!Z659&gt;0,'Deal maths'!Z659,DATE(1990,1,1))))*12+MONTH('Deal maths'!AA659)-MONTH(IF('Deal maths'!Z659&gt;0,'Deal maths'!Z659,DATE(1990,1,1))))/D659))*D659),EDATE('Deal maths'!AA659,-(INT(((YEAR('Deal maths'!AA659)-YEAR(IF('Deal maths'!Z659&gt;0,'Deal maths'!Z659,DATE(1990,1,1))))*12+MONTH('Deal maths'!AA659)-MONTH(IF('Deal maths'!Z659&gt;0,'Deal maths'!Z659,DATE(1990,1,1))))/D659))*D659))&gt;IF('Deal maths'!Z659&gt;0,'Deal maths'!Z659,DATE(1990,1,1)),IF(DAY('Deal maths'!AA659+1)=1,EOMONTH('Deal maths'!AA659,-(INT(((YEAR('Deal maths'!AA659)-YEAR(IF('Deal maths'!Z659&gt;0,'Deal maths'!Z659,DATE(1990,1,1))))*12+MONTH('Deal maths'!AA659)-MONTH(IF('Deal maths'!Z659&gt;0,'Deal maths'!Z659,DATE(1990,1,1))))/D659))*D659),EDATE('Deal maths'!AA659,-(INT(((YEAR('Deal maths'!AA659)-YEAR(IF('Deal maths'!Z659&gt;0,'Deal maths'!Z659,DATE(1990,1,1))))*12+MONTH('Deal maths'!AA659)-MONTH(IF('Deal maths'!Z659&gt;0,'Deal maths'!Z659,DATE(1990,1,1))))/D659))*D659)),IF(DAY('Deal maths'!AA659+1)=1,EOMONTH('Deal maths'!AA659,-(INT(((YEAR('Deal maths'!AA659)-YEAR(IF('Deal maths'!Z659&gt;0,'Deal maths'!Z659,DATE(1990,1,1))))*12+MONTH('Deal maths'!AA659)-MONTH(IF('Deal maths'!Z659&gt;0,'Deal maths'!Z659,DATE(1990,1,1))))/D659)-1)*D659),EDATE('Deal maths'!AA659,-(INT(((YEAR('Deal maths'!AA659)-YEAR(IF('Deal maths'!Z659&gt;0,'Deal maths'!Z659,DATE(1990,1,1))))*12+MONTH('Deal maths'!AA659)-MONTH(IF('Deal maths'!Z659&gt;0,'Deal maths'!Z659,DATE(1990,1,1))))/D659)-1)*D659))))),0)</f>
        <v/>
      </c>
      <c r="F659" s="110">
        <f>IF(D659=0,0,'Deal maths'!AB659*D659/12)</f>
        <v/>
      </c>
      <c r="G659" s="108">
        <f>N659+O659</f>
        <v/>
      </c>
      <c r="H659" s="108">
        <f>IFERROR(IF(OR(D659=0,AsAt&lt;E659),0,MIN(N659,INT(((YEAR(AsAt)-YEAR(E659))*12+MONTH(AsAt)-MONTH(E659)-(DAY(AsAt)&lt;MIN(R659,DAY(EOMONTH(AsAt,0)))))/D659)+1)+O659*(AsAt&gt;='Deal maths'!AA659)),0)</f>
        <v/>
      </c>
      <c r="I659" s="108">
        <f>G659-H659</f>
        <v/>
      </c>
      <c r="J659" s="111">
        <f>IF(AND(C659="EIP",I659&gt;0),'Deal maths'!Y659/I659,0)</f>
        <v/>
      </c>
      <c r="K659" s="111">
        <f>IF(AND(C659="Annuity",I659&gt;0),IF(F659&gt;0,'Deal maths'!Y659*F659/(1-(1+F659)^-I659),'Deal maths'!Y659/I659),0)</f>
        <v/>
      </c>
      <c r="L659" s="111">
        <f>IF('Deal maths'!Y659="",0,'Deal maths'!Y659)</f>
        <v/>
      </c>
      <c r="M659" s="112">
        <f>F659+(F659=0)</f>
        <v/>
      </c>
      <c r="N659" s="108">
        <f>IFERROR(IF(D659=0,0,INT(((YEAR('Deal maths'!AA659)-YEAR(E659))*12+MONTH('Deal maths'!AA659)-MONTH(E659)-(DAY('Deal maths'!AA659)&lt;MIN(R659,DAY(EOMONTH('Deal maths'!AA659,0)))))/D659)+1),0)</f>
        <v/>
      </c>
      <c r="O659" s="108">
        <f>IFERROR(IF(D659=0,0,IF(IF(DAY(E659+1)=1,EOMONTH(E659,(N659-1)*D659),EDATE(E659,(N659-1)*D659))='Deal maths'!AA659,0,1)),0)</f>
        <v/>
      </c>
      <c r="P659" s="113">
        <f>IF(B659=0,0,IFERROR(IF(C659="EIP",((I659-O659)*((IF(DAY(E659+1)=1,EOMONTH(E659,H659*D659),EDATE(E659,H659*D659))-AsAt)/365.25+(IF(DAY(E659+1)=1,EOMONTH(E659,(N659-1)*D659),EDATE(E659,(N659-1)*D659))-AsAt)/365.25)/2+O659*('Deal maths'!AA659-AsAt)/365.25)/I659,IF(C659="Annuity",IF(F659&gt;0,((K659-L659*F659)*((IF(DAY(E659+1)=1,EOMONTH(E659,H659*D659),EDATE(E659,H659*D659))-AsAt)/365.25*((1+F659)^(I659-O659)-1)/F659+IF((I659-O659)&gt;1,((IF(DAY(E659+1)=1,EOMONTH(E659,(N659-1)*D659),EDATE(E659,(N659-1)*D659))-AsAt)/365.25-(IF(DAY(E659+1)=1,EOMONTH(E659,H659*D659),EDATE(E659,H659*D659))-AsAt)/365.25)/((I659-O659)-1),0)*(1+F659)*(1-(I659-O659)*(1+F659)^((I659-O659)-1)+((I659-O659)-1)*(1+F659)^(I659-O659))/F659^2)+O659*(K659-L659*F659)*(1+F659)^(I659-1)*('Deal maths'!AA659-AsAt)/365.25)/L659,((I659-O659)*((IF(DAY(E659+1)=1,EOMONTH(E659,H659*D659),EDATE(E659,H659*D659))-AsAt)/365.25+(IF(DAY(E659+1)=1,EOMONTH(E659,(N659-1)*D659),EDATE(E659,(N659-1)*D659))-AsAt)/365.25)/2+O659*('Deal maths'!AA659-AsAt)/365.25)/I659),(S659-AsAt)/365.25)),0))</f>
        <v/>
      </c>
      <c r="Q659" s="109">
        <f>IF(B659=1,'Deal maths'!AA659+ROW()/1000000,"")</f>
        <v/>
      </c>
      <c r="R659" s="108">
        <f>IF(D659=0,0,IF(DAY(E659+1)=1,31,DAY(E659)))</f>
        <v/>
      </c>
      <c r="S659" s="109">
        <f>IF(AND('Deal maths'!V659="LOBO",'Deal maths'!AG659&gt;AsAt,'Deal maths'!AG659&lt;'Deal maths'!AA659),'Deal maths'!AG659,'Deal maths'!AA659)</f>
        <v/>
      </c>
      <c r="T659" s="108">
        <f>('Deal maths'!AA659&gt;AsAt)*('Deal maths'!Y659&gt;0)</f>
        <v/>
      </c>
    </row>
    <row r="660">
      <c r="A660" s="91">
        <f>IF('Deal maths'!V660="","",'Deal maths'!W660)</f>
        <v/>
      </c>
      <c r="B660" s="108">
        <f>('Deal maths'!AA660&gt;AsAt)*('Deal maths'!Y660&gt;0)*('Deal maths'!Z660&lt;=AsAt)</f>
        <v/>
      </c>
      <c r="C660" s="91">
        <f>IF('Deal maths'!V660="","",IF('Deal maths'!AC660="","Maturity",'Deal maths'!AC660))</f>
        <v/>
      </c>
      <c r="D660" s="108">
        <f>IF(OR(C660="EIP",C660="Annuity"),IF('Deal maths'!AD660="Annual",12,IF('Deal maths'!AD660="Quarterly",3,6)),0)</f>
        <v/>
      </c>
      <c r="E660" s="109">
        <f>IFERROR(IF(D660=0,0,IF('Deal maths'!AE660&gt;0,IF('Deal maths'!AE660&gt;'Deal maths'!AA660,'Deal maths'!AA660,'Deal maths'!AE660),IF(IF(DAY('Deal maths'!AA660+1)=1,EOMONTH('Deal maths'!AA660,-(INT(((YEAR('Deal maths'!AA660)-YEAR(IF('Deal maths'!Z660&gt;0,'Deal maths'!Z660,DATE(1990,1,1))))*12+MONTH('Deal maths'!AA660)-MONTH(IF('Deal maths'!Z660&gt;0,'Deal maths'!Z660,DATE(1990,1,1))))/D660))*D660),EDATE('Deal maths'!AA660,-(INT(((YEAR('Deal maths'!AA660)-YEAR(IF('Deal maths'!Z660&gt;0,'Deal maths'!Z660,DATE(1990,1,1))))*12+MONTH('Deal maths'!AA660)-MONTH(IF('Deal maths'!Z660&gt;0,'Deal maths'!Z660,DATE(1990,1,1))))/D660))*D660))&gt;IF('Deal maths'!Z660&gt;0,'Deal maths'!Z660,DATE(1990,1,1)),IF(DAY('Deal maths'!AA660+1)=1,EOMONTH('Deal maths'!AA660,-(INT(((YEAR('Deal maths'!AA660)-YEAR(IF('Deal maths'!Z660&gt;0,'Deal maths'!Z660,DATE(1990,1,1))))*12+MONTH('Deal maths'!AA660)-MONTH(IF('Deal maths'!Z660&gt;0,'Deal maths'!Z660,DATE(1990,1,1))))/D660))*D660),EDATE('Deal maths'!AA660,-(INT(((YEAR('Deal maths'!AA660)-YEAR(IF('Deal maths'!Z660&gt;0,'Deal maths'!Z660,DATE(1990,1,1))))*12+MONTH('Deal maths'!AA660)-MONTH(IF('Deal maths'!Z660&gt;0,'Deal maths'!Z660,DATE(1990,1,1))))/D660))*D660)),IF(DAY('Deal maths'!AA660+1)=1,EOMONTH('Deal maths'!AA660,-(INT(((YEAR('Deal maths'!AA660)-YEAR(IF('Deal maths'!Z660&gt;0,'Deal maths'!Z660,DATE(1990,1,1))))*12+MONTH('Deal maths'!AA660)-MONTH(IF('Deal maths'!Z660&gt;0,'Deal maths'!Z660,DATE(1990,1,1))))/D660)-1)*D660),EDATE('Deal maths'!AA660,-(INT(((YEAR('Deal maths'!AA660)-YEAR(IF('Deal maths'!Z660&gt;0,'Deal maths'!Z660,DATE(1990,1,1))))*12+MONTH('Deal maths'!AA660)-MONTH(IF('Deal maths'!Z660&gt;0,'Deal maths'!Z660,DATE(1990,1,1))))/D660)-1)*D660))))),0)</f>
        <v/>
      </c>
      <c r="F660" s="110">
        <f>IF(D660=0,0,'Deal maths'!AB660*D660/12)</f>
        <v/>
      </c>
      <c r="G660" s="108">
        <f>N660+O660</f>
        <v/>
      </c>
      <c r="H660" s="108">
        <f>IFERROR(IF(OR(D660=0,AsAt&lt;E660),0,MIN(N660,INT(((YEAR(AsAt)-YEAR(E660))*12+MONTH(AsAt)-MONTH(E660)-(DAY(AsAt)&lt;MIN(R660,DAY(EOMONTH(AsAt,0)))))/D660)+1)+O660*(AsAt&gt;='Deal maths'!AA660)),0)</f>
        <v/>
      </c>
      <c r="I660" s="108">
        <f>G660-H660</f>
        <v/>
      </c>
      <c r="J660" s="111">
        <f>IF(AND(C660="EIP",I660&gt;0),'Deal maths'!Y660/I660,0)</f>
        <v/>
      </c>
      <c r="K660" s="111">
        <f>IF(AND(C660="Annuity",I660&gt;0),IF(F660&gt;0,'Deal maths'!Y660*F660/(1-(1+F660)^-I660),'Deal maths'!Y660/I660),0)</f>
        <v/>
      </c>
      <c r="L660" s="111">
        <f>IF('Deal maths'!Y660="",0,'Deal maths'!Y660)</f>
        <v/>
      </c>
      <c r="M660" s="112">
        <f>F660+(F660=0)</f>
        <v/>
      </c>
      <c r="N660" s="108">
        <f>IFERROR(IF(D660=0,0,INT(((YEAR('Deal maths'!AA660)-YEAR(E660))*12+MONTH('Deal maths'!AA660)-MONTH(E660)-(DAY('Deal maths'!AA660)&lt;MIN(R660,DAY(EOMONTH('Deal maths'!AA660,0)))))/D660)+1),0)</f>
        <v/>
      </c>
      <c r="O660" s="108">
        <f>IFERROR(IF(D660=0,0,IF(IF(DAY(E660+1)=1,EOMONTH(E660,(N660-1)*D660),EDATE(E660,(N660-1)*D660))='Deal maths'!AA660,0,1)),0)</f>
        <v/>
      </c>
      <c r="P660" s="113">
        <f>IF(B660=0,0,IFERROR(IF(C660="EIP",((I660-O660)*((IF(DAY(E660+1)=1,EOMONTH(E660,H660*D660),EDATE(E660,H660*D660))-AsAt)/365.25+(IF(DAY(E660+1)=1,EOMONTH(E660,(N660-1)*D660),EDATE(E660,(N660-1)*D660))-AsAt)/365.25)/2+O660*('Deal maths'!AA660-AsAt)/365.25)/I660,IF(C660="Annuity",IF(F660&gt;0,((K660-L660*F660)*((IF(DAY(E660+1)=1,EOMONTH(E660,H660*D660),EDATE(E660,H660*D660))-AsAt)/365.25*((1+F660)^(I660-O660)-1)/F660+IF((I660-O660)&gt;1,((IF(DAY(E660+1)=1,EOMONTH(E660,(N660-1)*D660),EDATE(E660,(N660-1)*D660))-AsAt)/365.25-(IF(DAY(E660+1)=1,EOMONTH(E660,H660*D660),EDATE(E660,H660*D660))-AsAt)/365.25)/((I660-O660)-1),0)*(1+F660)*(1-(I660-O660)*(1+F660)^((I660-O660)-1)+((I660-O660)-1)*(1+F660)^(I660-O660))/F660^2)+O660*(K660-L660*F660)*(1+F660)^(I660-1)*('Deal maths'!AA660-AsAt)/365.25)/L660,((I660-O660)*((IF(DAY(E660+1)=1,EOMONTH(E660,H660*D660),EDATE(E660,H660*D660))-AsAt)/365.25+(IF(DAY(E660+1)=1,EOMONTH(E660,(N660-1)*D660),EDATE(E660,(N660-1)*D660))-AsAt)/365.25)/2+O660*('Deal maths'!AA660-AsAt)/365.25)/I660),(S660-AsAt)/365.25)),0))</f>
        <v/>
      </c>
      <c r="Q660" s="109">
        <f>IF(B660=1,'Deal maths'!AA660+ROW()/1000000,"")</f>
        <v/>
      </c>
      <c r="R660" s="108">
        <f>IF(D660=0,0,IF(DAY(E660+1)=1,31,DAY(E660)))</f>
        <v/>
      </c>
      <c r="S660" s="109">
        <f>IF(AND('Deal maths'!V660="LOBO",'Deal maths'!AG660&gt;AsAt,'Deal maths'!AG660&lt;'Deal maths'!AA660),'Deal maths'!AG660,'Deal maths'!AA660)</f>
        <v/>
      </c>
      <c r="T660" s="108">
        <f>('Deal maths'!AA660&gt;AsAt)*('Deal maths'!Y660&gt;0)</f>
        <v/>
      </c>
    </row>
    <row r="661">
      <c r="A661" s="91">
        <f>IF('Deal maths'!V661="","",'Deal maths'!W661)</f>
        <v/>
      </c>
      <c r="B661" s="108">
        <f>('Deal maths'!AA661&gt;AsAt)*('Deal maths'!Y661&gt;0)*('Deal maths'!Z661&lt;=AsAt)</f>
        <v/>
      </c>
      <c r="C661" s="91">
        <f>IF('Deal maths'!V661="","",IF('Deal maths'!AC661="","Maturity",'Deal maths'!AC661))</f>
        <v/>
      </c>
      <c r="D661" s="108">
        <f>IF(OR(C661="EIP",C661="Annuity"),IF('Deal maths'!AD661="Annual",12,IF('Deal maths'!AD661="Quarterly",3,6)),0)</f>
        <v/>
      </c>
      <c r="E661" s="109">
        <f>IFERROR(IF(D661=0,0,IF('Deal maths'!AE661&gt;0,IF('Deal maths'!AE661&gt;'Deal maths'!AA661,'Deal maths'!AA661,'Deal maths'!AE661),IF(IF(DAY('Deal maths'!AA661+1)=1,EOMONTH('Deal maths'!AA661,-(INT(((YEAR('Deal maths'!AA661)-YEAR(IF('Deal maths'!Z661&gt;0,'Deal maths'!Z661,DATE(1990,1,1))))*12+MONTH('Deal maths'!AA661)-MONTH(IF('Deal maths'!Z661&gt;0,'Deal maths'!Z661,DATE(1990,1,1))))/D661))*D661),EDATE('Deal maths'!AA661,-(INT(((YEAR('Deal maths'!AA661)-YEAR(IF('Deal maths'!Z661&gt;0,'Deal maths'!Z661,DATE(1990,1,1))))*12+MONTH('Deal maths'!AA661)-MONTH(IF('Deal maths'!Z661&gt;0,'Deal maths'!Z661,DATE(1990,1,1))))/D661))*D661))&gt;IF('Deal maths'!Z661&gt;0,'Deal maths'!Z661,DATE(1990,1,1)),IF(DAY('Deal maths'!AA661+1)=1,EOMONTH('Deal maths'!AA661,-(INT(((YEAR('Deal maths'!AA661)-YEAR(IF('Deal maths'!Z661&gt;0,'Deal maths'!Z661,DATE(1990,1,1))))*12+MONTH('Deal maths'!AA661)-MONTH(IF('Deal maths'!Z661&gt;0,'Deal maths'!Z661,DATE(1990,1,1))))/D661))*D661),EDATE('Deal maths'!AA661,-(INT(((YEAR('Deal maths'!AA661)-YEAR(IF('Deal maths'!Z661&gt;0,'Deal maths'!Z661,DATE(1990,1,1))))*12+MONTH('Deal maths'!AA661)-MONTH(IF('Deal maths'!Z661&gt;0,'Deal maths'!Z661,DATE(1990,1,1))))/D661))*D661)),IF(DAY('Deal maths'!AA661+1)=1,EOMONTH('Deal maths'!AA661,-(INT(((YEAR('Deal maths'!AA661)-YEAR(IF('Deal maths'!Z661&gt;0,'Deal maths'!Z661,DATE(1990,1,1))))*12+MONTH('Deal maths'!AA661)-MONTH(IF('Deal maths'!Z661&gt;0,'Deal maths'!Z661,DATE(1990,1,1))))/D661)-1)*D661),EDATE('Deal maths'!AA661,-(INT(((YEAR('Deal maths'!AA661)-YEAR(IF('Deal maths'!Z661&gt;0,'Deal maths'!Z661,DATE(1990,1,1))))*12+MONTH('Deal maths'!AA661)-MONTH(IF('Deal maths'!Z661&gt;0,'Deal maths'!Z661,DATE(1990,1,1))))/D661)-1)*D661))))),0)</f>
        <v/>
      </c>
      <c r="F661" s="110">
        <f>IF(D661=0,0,'Deal maths'!AB661*D661/12)</f>
        <v/>
      </c>
      <c r="G661" s="108">
        <f>N661+O661</f>
        <v/>
      </c>
      <c r="H661" s="108">
        <f>IFERROR(IF(OR(D661=0,AsAt&lt;E661),0,MIN(N661,INT(((YEAR(AsAt)-YEAR(E661))*12+MONTH(AsAt)-MONTH(E661)-(DAY(AsAt)&lt;MIN(R661,DAY(EOMONTH(AsAt,0)))))/D661)+1)+O661*(AsAt&gt;='Deal maths'!AA661)),0)</f>
        <v/>
      </c>
      <c r="I661" s="108">
        <f>G661-H661</f>
        <v/>
      </c>
      <c r="J661" s="111">
        <f>IF(AND(C661="EIP",I661&gt;0),'Deal maths'!Y661/I661,0)</f>
        <v/>
      </c>
      <c r="K661" s="111">
        <f>IF(AND(C661="Annuity",I661&gt;0),IF(F661&gt;0,'Deal maths'!Y661*F661/(1-(1+F661)^-I661),'Deal maths'!Y661/I661),0)</f>
        <v/>
      </c>
      <c r="L661" s="111">
        <f>IF('Deal maths'!Y661="",0,'Deal maths'!Y661)</f>
        <v/>
      </c>
      <c r="M661" s="112">
        <f>F661+(F661=0)</f>
        <v/>
      </c>
      <c r="N661" s="108">
        <f>IFERROR(IF(D661=0,0,INT(((YEAR('Deal maths'!AA661)-YEAR(E661))*12+MONTH('Deal maths'!AA661)-MONTH(E661)-(DAY('Deal maths'!AA661)&lt;MIN(R661,DAY(EOMONTH('Deal maths'!AA661,0)))))/D661)+1),0)</f>
        <v/>
      </c>
      <c r="O661" s="108">
        <f>IFERROR(IF(D661=0,0,IF(IF(DAY(E661+1)=1,EOMONTH(E661,(N661-1)*D661),EDATE(E661,(N661-1)*D661))='Deal maths'!AA661,0,1)),0)</f>
        <v/>
      </c>
      <c r="P661" s="113">
        <f>IF(B661=0,0,IFERROR(IF(C661="EIP",((I661-O661)*((IF(DAY(E661+1)=1,EOMONTH(E661,H661*D661),EDATE(E661,H661*D661))-AsAt)/365.25+(IF(DAY(E661+1)=1,EOMONTH(E661,(N661-1)*D661),EDATE(E661,(N661-1)*D661))-AsAt)/365.25)/2+O661*('Deal maths'!AA661-AsAt)/365.25)/I661,IF(C661="Annuity",IF(F661&gt;0,((K661-L661*F661)*((IF(DAY(E661+1)=1,EOMONTH(E661,H661*D661),EDATE(E661,H661*D661))-AsAt)/365.25*((1+F661)^(I661-O661)-1)/F661+IF((I661-O661)&gt;1,((IF(DAY(E661+1)=1,EOMONTH(E661,(N661-1)*D661),EDATE(E661,(N661-1)*D661))-AsAt)/365.25-(IF(DAY(E661+1)=1,EOMONTH(E661,H661*D661),EDATE(E661,H661*D661))-AsAt)/365.25)/((I661-O661)-1),0)*(1+F661)*(1-(I661-O661)*(1+F661)^((I661-O661)-1)+((I661-O661)-1)*(1+F661)^(I661-O661))/F661^2)+O661*(K661-L661*F661)*(1+F661)^(I661-1)*('Deal maths'!AA661-AsAt)/365.25)/L661,((I661-O661)*((IF(DAY(E661+1)=1,EOMONTH(E661,H661*D661),EDATE(E661,H661*D661))-AsAt)/365.25+(IF(DAY(E661+1)=1,EOMONTH(E661,(N661-1)*D661),EDATE(E661,(N661-1)*D661))-AsAt)/365.25)/2+O661*('Deal maths'!AA661-AsAt)/365.25)/I661),(S661-AsAt)/365.25)),0))</f>
        <v/>
      </c>
      <c r="Q661" s="109">
        <f>IF(B661=1,'Deal maths'!AA661+ROW()/1000000,"")</f>
        <v/>
      </c>
      <c r="R661" s="108">
        <f>IF(D661=0,0,IF(DAY(E661+1)=1,31,DAY(E661)))</f>
        <v/>
      </c>
      <c r="S661" s="109">
        <f>IF(AND('Deal maths'!V661="LOBO",'Deal maths'!AG661&gt;AsAt,'Deal maths'!AG661&lt;'Deal maths'!AA661),'Deal maths'!AG661,'Deal maths'!AA661)</f>
        <v/>
      </c>
      <c r="T661" s="108">
        <f>('Deal maths'!AA661&gt;AsAt)*('Deal maths'!Y661&gt;0)</f>
        <v/>
      </c>
    </row>
    <row r="662">
      <c r="A662" s="91">
        <f>IF('Deal maths'!V662="","",'Deal maths'!W662)</f>
        <v/>
      </c>
      <c r="B662" s="108">
        <f>('Deal maths'!AA662&gt;AsAt)*('Deal maths'!Y662&gt;0)*('Deal maths'!Z662&lt;=AsAt)</f>
        <v/>
      </c>
      <c r="C662" s="91">
        <f>IF('Deal maths'!V662="","",IF('Deal maths'!AC662="","Maturity",'Deal maths'!AC662))</f>
        <v/>
      </c>
      <c r="D662" s="108">
        <f>IF(OR(C662="EIP",C662="Annuity"),IF('Deal maths'!AD662="Annual",12,IF('Deal maths'!AD662="Quarterly",3,6)),0)</f>
        <v/>
      </c>
      <c r="E662" s="109">
        <f>IFERROR(IF(D662=0,0,IF('Deal maths'!AE662&gt;0,IF('Deal maths'!AE662&gt;'Deal maths'!AA662,'Deal maths'!AA662,'Deal maths'!AE662),IF(IF(DAY('Deal maths'!AA662+1)=1,EOMONTH('Deal maths'!AA662,-(INT(((YEAR('Deal maths'!AA662)-YEAR(IF('Deal maths'!Z662&gt;0,'Deal maths'!Z662,DATE(1990,1,1))))*12+MONTH('Deal maths'!AA662)-MONTH(IF('Deal maths'!Z662&gt;0,'Deal maths'!Z662,DATE(1990,1,1))))/D662))*D662),EDATE('Deal maths'!AA662,-(INT(((YEAR('Deal maths'!AA662)-YEAR(IF('Deal maths'!Z662&gt;0,'Deal maths'!Z662,DATE(1990,1,1))))*12+MONTH('Deal maths'!AA662)-MONTH(IF('Deal maths'!Z662&gt;0,'Deal maths'!Z662,DATE(1990,1,1))))/D662))*D662))&gt;IF('Deal maths'!Z662&gt;0,'Deal maths'!Z662,DATE(1990,1,1)),IF(DAY('Deal maths'!AA662+1)=1,EOMONTH('Deal maths'!AA662,-(INT(((YEAR('Deal maths'!AA662)-YEAR(IF('Deal maths'!Z662&gt;0,'Deal maths'!Z662,DATE(1990,1,1))))*12+MONTH('Deal maths'!AA662)-MONTH(IF('Deal maths'!Z662&gt;0,'Deal maths'!Z662,DATE(1990,1,1))))/D662))*D662),EDATE('Deal maths'!AA662,-(INT(((YEAR('Deal maths'!AA662)-YEAR(IF('Deal maths'!Z662&gt;0,'Deal maths'!Z662,DATE(1990,1,1))))*12+MONTH('Deal maths'!AA662)-MONTH(IF('Deal maths'!Z662&gt;0,'Deal maths'!Z662,DATE(1990,1,1))))/D662))*D662)),IF(DAY('Deal maths'!AA662+1)=1,EOMONTH('Deal maths'!AA662,-(INT(((YEAR('Deal maths'!AA662)-YEAR(IF('Deal maths'!Z662&gt;0,'Deal maths'!Z662,DATE(1990,1,1))))*12+MONTH('Deal maths'!AA662)-MONTH(IF('Deal maths'!Z662&gt;0,'Deal maths'!Z662,DATE(1990,1,1))))/D662)-1)*D662),EDATE('Deal maths'!AA662,-(INT(((YEAR('Deal maths'!AA662)-YEAR(IF('Deal maths'!Z662&gt;0,'Deal maths'!Z662,DATE(1990,1,1))))*12+MONTH('Deal maths'!AA662)-MONTH(IF('Deal maths'!Z662&gt;0,'Deal maths'!Z662,DATE(1990,1,1))))/D662)-1)*D662))))),0)</f>
        <v/>
      </c>
      <c r="F662" s="110">
        <f>IF(D662=0,0,'Deal maths'!AB662*D662/12)</f>
        <v/>
      </c>
      <c r="G662" s="108">
        <f>N662+O662</f>
        <v/>
      </c>
      <c r="H662" s="108">
        <f>IFERROR(IF(OR(D662=0,AsAt&lt;E662),0,MIN(N662,INT(((YEAR(AsAt)-YEAR(E662))*12+MONTH(AsAt)-MONTH(E662)-(DAY(AsAt)&lt;MIN(R662,DAY(EOMONTH(AsAt,0)))))/D662)+1)+O662*(AsAt&gt;='Deal maths'!AA662)),0)</f>
        <v/>
      </c>
      <c r="I662" s="108">
        <f>G662-H662</f>
        <v/>
      </c>
      <c r="J662" s="111">
        <f>IF(AND(C662="EIP",I662&gt;0),'Deal maths'!Y662/I662,0)</f>
        <v/>
      </c>
      <c r="K662" s="111">
        <f>IF(AND(C662="Annuity",I662&gt;0),IF(F662&gt;0,'Deal maths'!Y662*F662/(1-(1+F662)^-I662),'Deal maths'!Y662/I662),0)</f>
        <v/>
      </c>
      <c r="L662" s="111">
        <f>IF('Deal maths'!Y662="",0,'Deal maths'!Y662)</f>
        <v/>
      </c>
      <c r="M662" s="112">
        <f>F662+(F662=0)</f>
        <v/>
      </c>
      <c r="N662" s="108">
        <f>IFERROR(IF(D662=0,0,INT(((YEAR('Deal maths'!AA662)-YEAR(E662))*12+MONTH('Deal maths'!AA662)-MONTH(E662)-(DAY('Deal maths'!AA662)&lt;MIN(R662,DAY(EOMONTH('Deal maths'!AA662,0)))))/D662)+1),0)</f>
        <v/>
      </c>
      <c r="O662" s="108">
        <f>IFERROR(IF(D662=0,0,IF(IF(DAY(E662+1)=1,EOMONTH(E662,(N662-1)*D662),EDATE(E662,(N662-1)*D662))='Deal maths'!AA662,0,1)),0)</f>
        <v/>
      </c>
      <c r="P662" s="113">
        <f>IF(B662=0,0,IFERROR(IF(C662="EIP",((I662-O662)*((IF(DAY(E662+1)=1,EOMONTH(E662,H662*D662),EDATE(E662,H662*D662))-AsAt)/365.25+(IF(DAY(E662+1)=1,EOMONTH(E662,(N662-1)*D662),EDATE(E662,(N662-1)*D662))-AsAt)/365.25)/2+O662*('Deal maths'!AA662-AsAt)/365.25)/I662,IF(C662="Annuity",IF(F662&gt;0,((K662-L662*F662)*((IF(DAY(E662+1)=1,EOMONTH(E662,H662*D662),EDATE(E662,H662*D662))-AsAt)/365.25*((1+F662)^(I662-O662)-1)/F662+IF((I662-O662)&gt;1,((IF(DAY(E662+1)=1,EOMONTH(E662,(N662-1)*D662),EDATE(E662,(N662-1)*D662))-AsAt)/365.25-(IF(DAY(E662+1)=1,EOMONTH(E662,H662*D662),EDATE(E662,H662*D662))-AsAt)/365.25)/((I662-O662)-1),0)*(1+F662)*(1-(I662-O662)*(1+F662)^((I662-O662)-1)+((I662-O662)-1)*(1+F662)^(I662-O662))/F662^2)+O662*(K662-L662*F662)*(1+F662)^(I662-1)*('Deal maths'!AA662-AsAt)/365.25)/L662,((I662-O662)*((IF(DAY(E662+1)=1,EOMONTH(E662,H662*D662),EDATE(E662,H662*D662))-AsAt)/365.25+(IF(DAY(E662+1)=1,EOMONTH(E662,(N662-1)*D662),EDATE(E662,(N662-1)*D662))-AsAt)/365.25)/2+O662*('Deal maths'!AA662-AsAt)/365.25)/I662),(S662-AsAt)/365.25)),0))</f>
        <v/>
      </c>
      <c r="Q662" s="109">
        <f>IF(B662=1,'Deal maths'!AA662+ROW()/1000000,"")</f>
        <v/>
      </c>
      <c r="R662" s="108">
        <f>IF(D662=0,0,IF(DAY(E662+1)=1,31,DAY(E662)))</f>
        <v/>
      </c>
      <c r="S662" s="109">
        <f>IF(AND('Deal maths'!V662="LOBO",'Deal maths'!AG662&gt;AsAt,'Deal maths'!AG662&lt;'Deal maths'!AA662),'Deal maths'!AG662,'Deal maths'!AA662)</f>
        <v/>
      </c>
      <c r="T662" s="108">
        <f>('Deal maths'!AA662&gt;AsAt)*('Deal maths'!Y662&gt;0)</f>
        <v/>
      </c>
    </row>
    <row r="663">
      <c r="A663" s="91">
        <f>IF('Deal maths'!V663="","",'Deal maths'!W663)</f>
        <v/>
      </c>
      <c r="B663" s="108">
        <f>('Deal maths'!AA663&gt;AsAt)*('Deal maths'!Y663&gt;0)*('Deal maths'!Z663&lt;=AsAt)</f>
        <v/>
      </c>
      <c r="C663" s="91">
        <f>IF('Deal maths'!V663="","",IF('Deal maths'!AC663="","Maturity",'Deal maths'!AC663))</f>
        <v/>
      </c>
      <c r="D663" s="108">
        <f>IF(OR(C663="EIP",C663="Annuity"),IF('Deal maths'!AD663="Annual",12,IF('Deal maths'!AD663="Quarterly",3,6)),0)</f>
        <v/>
      </c>
      <c r="E663" s="109">
        <f>IFERROR(IF(D663=0,0,IF('Deal maths'!AE663&gt;0,IF('Deal maths'!AE663&gt;'Deal maths'!AA663,'Deal maths'!AA663,'Deal maths'!AE663),IF(IF(DAY('Deal maths'!AA663+1)=1,EOMONTH('Deal maths'!AA663,-(INT(((YEAR('Deal maths'!AA663)-YEAR(IF('Deal maths'!Z663&gt;0,'Deal maths'!Z663,DATE(1990,1,1))))*12+MONTH('Deal maths'!AA663)-MONTH(IF('Deal maths'!Z663&gt;0,'Deal maths'!Z663,DATE(1990,1,1))))/D663))*D663),EDATE('Deal maths'!AA663,-(INT(((YEAR('Deal maths'!AA663)-YEAR(IF('Deal maths'!Z663&gt;0,'Deal maths'!Z663,DATE(1990,1,1))))*12+MONTH('Deal maths'!AA663)-MONTH(IF('Deal maths'!Z663&gt;0,'Deal maths'!Z663,DATE(1990,1,1))))/D663))*D663))&gt;IF('Deal maths'!Z663&gt;0,'Deal maths'!Z663,DATE(1990,1,1)),IF(DAY('Deal maths'!AA663+1)=1,EOMONTH('Deal maths'!AA663,-(INT(((YEAR('Deal maths'!AA663)-YEAR(IF('Deal maths'!Z663&gt;0,'Deal maths'!Z663,DATE(1990,1,1))))*12+MONTH('Deal maths'!AA663)-MONTH(IF('Deal maths'!Z663&gt;0,'Deal maths'!Z663,DATE(1990,1,1))))/D663))*D663),EDATE('Deal maths'!AA663,-(INT(((YEAR('Deal maths'!AA663)-YEAR(IF('Deal maths'!Z663&gt;0,'Deal maths'!Z663,DATE(1990,1,1))))*12+MONTH('Deal maths'!AA663)-MONTH(IF('Deal maths'!Z663&gt;0,'Deal maths'!Z663,DATE(1990,1,1))))/D663))*D663)),IF(DAY('Deal maths'!AA663+1)=1,EOMONTH('Deal maths'!AA663,-(INT(((YEAR('Deal maths'!AA663)-YEAR(IF('Deal maths'!Z663&gt;0,'Deal maths'!Z663,DATE(1990,1,1))))*12+MONTH('Deal maths'!AA663)-MONTH(IF('Deal maths'!Z663&gt;0,'Deal maths'!Z663,DATE(1990,1,1))))/D663)-1)*D663),EDATE('Deal maths'!AA663,-(INT(((YEAR('Deal maths'!AA663)-YEAR(IF('Deal maths'!Z663&gt;0,'Deal maths'!Z663,DATE(1990,1,1))))*12+MONTH('Deal maths'!AA663)-MONTH(IF('Deal maths'!Z663&gt;0,'Deal maths'!Z663,DATE(1990,1,1))))/D663)-1)*D663))))),0)</f>
        <v/>
      </c>
      <c r="F663" s="110">
        <f>IF(D663=0,0,'Deal maths'!AB663*D663/12)</f>
        <v/>
      </c>
      <c r="G663" s="108">
        <f>N663+O663</f>
        <v/>
      </c>
      <c r="H663" s="108">
        <f>IFERROR(IF(OR(D663=0,AsAt&lt;E663),0,MIN(N663,INT(((YEAR(AsAt)-YEAR(E663))*12+MONTH(AsAt)-MONTH(E663)-(DAY(AsAt)&lt;MIN(R663,DAY(EOMONTH(AsAt,0)))))/D663)+1)+O663*(AsAt&gt;='Deal maths'!AA663)),0)</f>
        <v/>
      </c>
      <c r="I663" s="108">
        <f>G663-H663</f>
        <v/>
      </c>
      <c r="J663" s="111">
        <f>IF(AND(C663="EIP",I663&gt;0),'Deal maths'!Y663/I663,0)</f>
        <v/>
      </c>
      <c r="K663" s="111">
        <f>IF(AND(C663="Annuity",I663&gt;0),IF(F663&gt;0,'Deal maths'!Y663*F663/(1-(1+F663)^-I663),'Deal maths'!Y663/I663),0)</f>
        <v/>
      </c>
      <c r="L663" s="111">
        <f>IF('Deal maths'!Y663="",0,'Deal maths'!Y663)</f>
        <v/>
      </c>
      <c r="M663" s="112">
        <f>F663+(F663=0)</f>
        <v/>
      </c>
      <c r="N663" s="108">
        <f>IFERROR(IF(D663=0,0,INT(((YEAR('Deal maths'!AA663)-YEAR(E663))*12+MONTH('Deal maths'!AA663)-MONTH(E663)-(DAY('Deal maths'!AA663)&lt;MIN(R663,DAY(EOMONTH('Deal maths'!AA663,0)))))/D663)+1),0)</f>
        <v/>
      </c>
      <c r="O663" s="108">
        <f>IFERROR(IF(D663=0,0,IF(IF(DAY(E663+1)=1,EOMONTH(E663,(N663-1)*D663),EDATE(E663,(N663-1)*D663))='Deal maths'!AA663,0,1)),0)</f>
        <v/>
      </c>
      <c r="P663" s="113">
        <f>IF(B663=0,0,IFERROR(IF(C663="EIP",((I663-O663)*((IF(DAY(E663+1)=1,EOMONTH(E663,H663*D663),EDATE(E663,H663*D663))-AsAt)/365.25+(IF(DAY(E663+1)=1,EOMONTH(E663,(N663-1)*D663),EDATE(E663,(N663-1)*D663))-AsAt)/365.25)/2+O663*('Deal maths'!AA663-AsAt)/365.25)/I663,IF(C663="Annuity",IF(F663&gt;0,((K663-L663*F663)*((IF(DAY(E663+1)=1,EOMONTH(E663,H663*D663),EDATE(E663,H663*D663))-AsAt)/365.25*((1+F663)^(I663-O663)-1)/F663+IF((I663-O663)&gt;1,((IF(DAY(E663+1)=1,EOMONTH(E663,(N663-1)*D663),EDATE(E663,(N663-1)*D663))-AsAt)/365.25-(IF(DAY(E663+1)=1,EOMONTH(E663,H663*D663),EDATE(E663,H663*D663))-AsAt)/365.25)/((I663-O663)-1),0)*(1+F663)*(1-(I663-O663)*(1+F663)^((I663-O663)-1)+((I663-O663)-1)*(1+F663)^(I663-O663))/F663^2)+O663*(K663-L663*F663)*(1+F663)^(I663-1)*('Deal maths'!AA663-AsAt)/365.25)/L663,((I663-O663)*((IF(DAY(E663+1)=1,EOMONTH(E663,H663*D663),EDATE(E663,H663*D663))-AsAt)/365.25+(IF(DAY(E663+1)=1,EOMONTH(E663,(N663-1)*D663),EDATE(E663,(N663-1)*D663))-AsAt)/365.25)/2+O663*('Deal maths'!AA663-AsAt)/365.25)/I663),(S663-AsAt)/365.25)),0))</f>
        <v/>
      </c>
      <c r="Q663" s="109">
        <f>IF(B663=1,'Deal maths'!AA663+ROW()/1000000,"")</f>
        <v/>
      </c>
      <c r="R663" s="108">
        <f>IF(D663=0,0,IF(DAY(E663+1)=1,31,DAY(E663)))</f>
        <v/>
      </c>
      <c r="S663" s="109">
        <f>IF(AND('Deal maths'!V663="LOBO",'Deal maths'!AG663&gt;AsAt,'Deal maths'!AG663&lt;'Deal maths'!AA663),'Deal maths'!AG663,'Deal maths'!AA663)</f>
        <v/>
      </c>
      <c r="T663" s="108">
        <f>('Deal maths'!AA663&gt;AsAt)*('Deal maths'!Y663&gt;0)</f>
        <v/>
      </c>
    </row>
    <row r="664">
      <c r="A664" s="91">
        <f>IF('Deal maths'!V664="","",'Deal maths'!W664)</f>
        <v/>
      </c>
      <c r="B664" s="108">
        <f>('Deal maths'!AA664&gt;AsAt)*('Deal maths'!Y664&gt;0)*('Deal maths'!Z664&lt;=AsAt)</f>
        <v/>
      </c>
      <c r="C664" s="91">
        <f>IF('Deal maths'!V664="","",IF('Deal maths'!AC664="","Maturity",'Deal maths'!AC664))</f>
        <v/>
      </c>
      <c r="D664" s="108">
        <f>IF(OR(C664="EIP",C664="Annuity"),IF('Deal maths'!AD664="Annual",12,IF('Deal maths'!AD664="Quarterly",3,6)),0)</f>
        <v/>
      </c>
      <c r="E664" s="109">
        <f>IFERROR(IF(D664=0,0,IF('Deal maths'!AE664&gt;0,IF('Deal maths'!AE664&gt;'Deal maths'!AA664,'Deal maths'!AA664,'Deal maths'!AE664),IF(IF(DAY('Deal maths'!AA664+1)=1,EOMONTH('Deal maths'!AA664,-(INT(((YEAR('Deal maths'!AA664)-YEAR(IF('Deal maths'!Z664&gt;0,'Deal maths'!Z664,DATE(1990,1,1))))*12+MONTH('Deal maths'!AA664)-MONTH(IF('Deal maths'!Z664&gt;0,'Deal maths'!Z664,DATE(1990,1,1))))/D664))*D664),EDATE('Deal maths'!AA664,-(INT(((YEAR('Deal maths'!AA664)-YEAR(IF('Deal maths'!Z664&gt;0,'Deal maths'!Z664,DATE(1990,1,1))))*12+MONTH('Deal maths'!AA664)-MONTH(IF('Deal maths'!Z664&gt;0,'Deal maths'!Z664,DATE(1990,1,1))))/D664))*D664))&gt;IF('Deal maths'!Z664&gt;0,'Deal maths'!Z664,DATE(1990,1,1)),IF(DAY('Deal maths'!AA664+1)=1,EOMONTH('Deal maths'!AA664,-(INT(((YEAR('Deal maths'!AA664)-YEAR(IF('Deal maths'!Z664&gt;0,'Deal maths'!Z664,DATE(1990,1,1))))*12+MONTH('Deal maths'!AA664)-MONTH(IF('Deal maths'!Z664&gt;0,'Deal maths'!Z664,DATE(1990,1,1))))/D664))*D664),EDATE('Deal maths'!AA664,-(INT(((YEAR('Deal maths'!AA664)-YEAR(IF('Deal maths'!Z664&gt;0,'Deal maths'!Z664,DATE(1990,1,1))))*12+MONTH('Deal maths'!AA664)-MONTH(IF('Deal maths'!Z664&gt;0,'Deal maths'!Z664,DATE(1990,1,1))))/D664))*D664)),IF(DAY('Deal maths'!AA664+1)=1,EOMONTH('Deal maths'!AA664,-(INT(((YEAR('Deal maths'!AA664)-YEAR(IF('Deal maths'!Z664&gt;0,'Deal maths'!Z664,DATE(1990,1,1))))*12+MONTH('Deal maths'!AA664)-MONTH(IF('Deal maths'!Z664&gt;0,'Deal maths'!Z664,DATE(1990,1,1))))/D664)-1)*D664),EDATE('Deal maths'!AA664,-(INT(((YEAR('Deal maths'!AA664)-YEAR(IF('Deal maths'!Z664&gt;0,'Deal maths'!Z664,DATE(1990,1,1))))*12+MONTH('Deal maths'!AA664)-MONTH(IF('Deal maths'!Z664&gt;0,'Deal maths'!Z664,DATE(1990,1,1))))/D664)-1)*D664))))),0)</f>
        <v/>
      </c>
      <c r="F664" s="110">
        <f>IF(D664=0,0,'Deal maths'!AB664*D664/12)</f>
        <v/>
      </c>
      <c r="G664" s="108">
        <f>N664+O664</f>
        <v/>
      </c>
      <c r="H664" s="108">
        <f>IFERROR(IF(OR(D664=0,AsAt&lt;E664),0,MIN(N664,INT(((YEAR(AsAt)-YEAR(E664))*12+MONTH(AsAt)-MONTH(E664)-(DAY(AsAt)&lt;MIN(R664,DAY(EOMONTH(AsAt,0)))))/D664)+1)+O664*(AsAt&gt;='Deal maths'!AA664)),0)</f>
        <v/>
      </c>
      <c r="I664" s="108">
        <f>G664-H664</f>
        <v/>
      </c>
      <c r="J664" s="111">
        <f>IF(AND(C664="EIP",I664&gt;0),'Deal maths'!Y664/I664,0)</f>
        <v/>
      </c>
      <c r="K664" s="111">
        <f>IF(AND(C664="Annuity",I664&gt;0),IF(F664&gt;0,'Deal maths'!Y664*F664/(1-(1+F664)^-I664),'Deal maths'!Y664/I664),0)</f>
        <v/>
      </c>
      <c r="L664" s="111">
        <f>IF('Deal maths'!Y664="",0,'Deal maths'!Y664)</f>
        <v/>
      </c>
      <c r="M664" s="112">
        <f>F664+(F664=0)</f>
        <v/>
      </c>
      <c r="N664" s="108">
        <f>IFERROR(IF(D664=0,0,INT(((YEAR('Deal maths'!AA664)-YEAR(E664))*12+MONTH('Deal maths'!AA664)-MONTH(E664)-(DAY('Deal maths'!AA664)&lt;MIN(R664,DAY(EOMONTH('Deal maths'!AA664,0)))))/D664)+1),0)</f>
        <v/>
      </c>
      <c r="O664" s="108">
        <f>IFERROR(IF(D664=0,0,IF(IF(DAY(E664+1)=1,EOMONTH(E664,(N664-1)*D664),EDATE(E664,(N664-1)*D664))='Deal maths'!AA664,0,1)),0)</f>
        <v/>
      </c>
      <c r="P664" s="113">
        <f>IF(B664=0,0,IFERROR(IF(C664="EIP",((I664-O664)*((IF(DAY(E664+1)=1,EOMONTH(E664,H664*D664),EDATE(E664,H664*D664))-AsAt)/365.25+(IF(DAY(E664+1)=1,EOMONTH(E664,(N664-1)*D664),EDATE(E664,(N664-1)*D664))-AsAt)/365.25)/2+O664*('Deal maths'!AA664-AsAt)/365.25)/I664,IF(C664="Annuity",IF(F664&gt;0,((K664-L664*F664)*((IF(DAY(E664+1)=1,EOMONTH(E664,H664*D664),EDATE(E664,H664*D664))-AsAt)/365.25*((1+F664)^(I664-O664)-1)/F664+IF((I664-O664)&gt;1,((IF(DAY(E664+1)=1,EOMONTH(E664,(N664-1)*D664),EDATE(E664,(N664-1)*D664))-AsAt)/365.25-(IF(DAY(E664+1)=1,EOMONTH(E664,H664*D664),EDATE(E664,H664*D664))-AsAt)/365.25)/((I664-O664)-1),0)*(1+F664)*(1-(I664-O664)*(1+F664)^((I664-O664)-1)+((I664-O664)-1)*(1+F664)^(I664-O664))/F664^2)+O664*(K664-L664*F664)*(1+F664)^(I664-1)*('Deal maths'!AA664-AsAt)/365.25)/L664,((I664-O664)*((IF(DAY(E664+1)=1,EOMONTH(E664,H664*D664),EDATE(E664,H664*D664))-AsAt)/365.25+(IF(DAY(E664+1)=1,EOMONTH(E664,(N664-1)*D664),EDATE(E664,(N664-1)*D664))-AsAt)/365.25)/2+O664*('Deal maths'!AA664-AsAt)/365.25)/I664),(S664-AsAt)/365.25)),0))</f>
        <v/>
      </c>
      <c r="Q664" s="109">
        <f>IF(B664=1,'Deal maths'!AA664+ROW()/1000000,"")</f>
        <v/>
      </c>
      <c r="R664" s="108">
        <f>IF(D664=0,0,IF(DAY(E664+1)=1,31,DAY(E664)))</f>
        <v/>
      </c>
      <c r="S664" s="109">
        <f>IF(AND('Deal maths'!V664="LOBO",'Deal maths'!AG664&gt;AsAt,'Deal maths'!AG664&lt;'Deal maths'!AA664),'Deal maths'!AG664,'Deal maths'!AA664)</f>
        <v/>
      </c>
      <c r="T664" s="108">
        <f>('Deal maths'!AA664&gt;AsAt)*('Deal maths'!Y664&gt;0)</f>
        <v/>
      </c>
    </row>
    <row r="665">
      <c r="A665" s="91">
        <f>IF('Deal maths'!V665="","",'Deal maths'!W665)</f>
        <v/>
      </c>
      <c r="B665" s="108">
        <f>('Deal maths'!AA665&gt;AsAt)*('Deal maths'!Y665&gt;0)*('Deal maths'!Z665&lt;=AsAt)</f>
        <v/>
      </c>
      <c r="C665" s="91">
        <f>IF('Deal maths'!V665="","",IF('Deal maths'!AC665="","Maturity",'Deal maths'!AC665))</f>
        <v/>
      </c>
      <c r="D665" s="108">
        <f>IF(OR(C665="EIP",C665="Annuity"),IF('Deal maths'!AD665="Annual",12,IF('Deal maths'!AD665="Quarterly",3,6)),0)</f>
        <v/>
      </c>
      <c r="E665" s="109">
        <f>IFERROR(IF(D665=0,0,IF('Deal maths'!AE665&gt;0,IF('Deal maths'!AE665&gt;'Deal maths'!AA665,'Deal maths'!AA665,'Deal maths'!AE665),IF(IF(DAY('Deal maths'!AA665+1)=1,EOMONTH('Deal maths'!AA665,-(INT(((YEAR('Deal maths'!AA665)-YEAR(IF('Deal maths'!Z665&gt;0,'Deal maths'!Z665,DATE(1990,1,1))))*12+MONTH('Deal maths'!AA665)-MONTH(IF('Deal maths'!Z665&gt;0,'Deal maths'!Z665,DATE(1990,1,1))))/D665))*D665),EDATE('Deal maths'!AA665,-(INT(((YEAR('Deal maths'!AA665)-YEAR(IF('Deal maths'!Z665&gt;0,'Deal maths'!Z665,DATE(1990,1,1))))*12+MONTH('Deal maths'!AA665)-MONTH(IF('Deal maths'!Z665&gt;0,'Deal maths'!Z665,DATE(1990,1,1))))/D665))*D665))&gt;IF('Deal maths'!Z665&gt;0,'Deal maths'!Z665,DATE(1990,1,1)),IF(DAY('Deal maths'!AA665+1)=1,EOMONTH('Deal maths'!AA665,-(INT(((YEAR('Deal maths'!AA665)-YEAR(IF('Deal maths'!Z665&gt;0,'Deal maths'!Z665,DATE(1990,1,1))))*12+MONTH('Deal maths'!AA665)-MONTH(IF('Deal maths'!Z665&gt;0,'Deal maths'!Z665,DATE(1990,1,1))))/D665))*D665),EDATE('Deal maths'!AA665,-(INT(((YEAR('Deal maths'!AA665)-YEAR(IF('Deal maths'!Z665&gt;0,'Deal maths'!Z665,DATE(1990,1,1))))*12+MONTH('Deal maths'!AA665)-MONTH(IF('Deal maths'!Z665&gt;0,'Deal maths'!Z665,DATE(1990,1,1))))/D665))*D665)),IF(DAY('Deal maths'!AA665+1)=1,EOMONTH('Deal maths'!AA665,-(INT(((YEAR('Deal maths'!AA665)-YEAR(IF('Deal maths'!Z665&gt;0,'Deal maths'!Z665,DATE(1990,1,1))))*12+MONTH('Deal maths'!AA665)-MONTH(IF('Deal maths'!Z665&gt;0,'Deal maths'!Z665,DATE(1990,1,1))))/D665)-1)*D665),EDATE('Deal maths'!AA665,-(INT(((YEAR('Deal maths'!AA665)-YEAR(IF('Deal maths'!Z665&gt;0,'Deal maths'!Z665,DATE(1990,1,1))))*12+MONTH('Deal maths'!AA665)-MONTH(IF('Deal maths'!Z665&gt;0,'Deal maths'!Z665,DATE(1990,1,1))))/D665)-1)*D665))))),0)</f>
        <v/>
      </c>
      <c r="F665" s="110">
        <f>IF(D665=0,0,'Deal maths'!AB665*D665/12)</f>
        <v/>
      </c>
      <c r="G665" s="108">
        <f>N665+O665</f>
        <v/>
      </c>
      <c r="H665" s="108">
        <f>IFERROR(IF(OR(D665=0,AsAt&lt;E665),0,MIN(N665,INT(((YEAR(AsAt)-YEAR(E665))*12+MONTH(AsAt)-MONTH(E665)-(DAY(AsAt)&lt;MIN(R665,DAY(EOMONTH(AsAt,0)))))/D665)+1)+O665*(AsAt&gt;='Deal maths'!AA665)),0)</f>
        <v/>
      </c>
      <c r="I665" s="108">
        <f>G665-H665</f>
        <v/>
      </c>
      <c r="J665" s="111">
        <f>IF(AND(C665="EIP",I665&gt;0),'Deal maths'!Y665/I665,0)</f>
        <v/>
      </c>
      <c r="K665" s="111">
        <f>IF(AND(C665="Annuity",I665&gt;0),IF(F665&gt;0,'Deal maths'!Y665*F665/(1-(1+F665)^-I665),'Deal maths'!Y665/I665),0)</f>
        <v/>
      </c>
      <c r="L665" s="111">
        <f>IF('Deal maths'!Y665="",0,'Deal maths'!Y665)</f>
        <v/>
      </c>
      <c r="M665" s="112">
        <f>F665+(F665=0)</f>
        <v/>
      </c>
      <c r="N665" s="108">
        <f>IFERROR(IF(D665=0,0,INT(((YEAR('Deal maths'!AA665)-YEAR(E665))*12+MONTH('Deal maths'!AA665)-MONTH(E665)-(DAY('Deal maths'!AA665)&lt;MIN(R665,DAY(EOMONTH('Deal maths'!AA665,0)))))/D665)+1),0)</f>
        <v/>
      </c>
      <c r="O665" s="108">
        <f>IFERROR(IF(D665=0,0,IF(IF(DAY(E665+1)=1,EOMONTH(E665,(N665-1)*D665),EDATE(E665,(N665-1)*D665))='Deal maths'!AA665,0,1)),0)</f>
        <v/>
      </c>
      <c r="P665" s="113">
        <f>IF(B665=0,0,IFERROR(IF(C665="EIP",((I665-O665)*((IF(DAY(E665+1)=1,EOMONTH(E665,H665*D665),EDATE(E665,H665*D665))-AsAt)/365.25+(IF(DAY(E665+1)=1,EOMONTH(E665,(N665-1)*D665),EDATE(E665,(N665-1)*D665))-AsAt)/365.25)/2+O665*('Deal maths'!AA665-AsAt)/365.25)/I665,IF(C665="Annuity",IF(F665&gt;0,((K665-L665*F665)*((IF(DAY(E665+1)=1,EOMONTH(E665,H665*D665),EDATE(E665,H665*D665))-AsAt)/365.25*((1+F665)^(I665-O665)-1)/F665+IF((I665-O665)&gt;1,((IF(DAY(E665+1)=1,EOMONTH(E665,(N665-1)*D665),EDATE(E665,(N665-1)*D665))-AsAt)/365.25-(IF(DAY(E665+1)=1,EOMONTH(E665,H665*D665),EDATE(E665,H665*D665))-AsAt)/365.25)/((I665-O665)-1),0)*(1+F665)*(1-(I665-O665)*(1+F665)^((I665-O665)-1)+((I665-O665)-1)*(1+F665)^(I665-O665))/F665^2)+O665*(K665-L665*F665)*(1+F665)^(I665-1)*('Deal maths'!AA665-AsAt)/365.25)/L665,((I665-O665)*((IF(DAY(E665+1)=1,EOMONTH(E665,H665*D665),EDATE(E665,H665*D665))-AsAt)/365.25+(IF(DAY(E665+1)=1,EOMONTH(E665,(N665-1)*D665),EDATE(E665,(N665-1)*D665))-AsAt)/365.25)/2+O665*('Deal maths'!AA665-AsAt)/365.25)/I665),(S665-AsAt)/365.25)),0))</f>
        <v/>
      </c>
      <c r="Q665" s="109">
        <f>IF(B665=1,'Deal maths'!AA665+ROW()/1000000,"")</f>
        <v/>
      </c>
      <c r="R665" s="108">
        <f>IF(D665=0,0,IF(DAY(E665+1)=1,31,DAY(E665)))</f>
        <v/>
      </c>
      <c r="S665" s="109">
        <f>IF(AND('Deal maths'!V665="LOBO",'Deal maths'!AG665&gt;AsAt,'Deal maths'!AG665&lt;'Deal maths'!AA665),'Deal maths'!AG665,'Deal maths'!AA665)</f>
        <v/>
      </c>
      <c r="T665" s="108">
        <f>('Deal maths'!AA665&gt;AsAt)*('Deal maths'!Y665&gt;0)</f>
        <v/>
      </c>
    </row>
    <row r="666">
      <c r="A666" s="91">
        <f>IF('Deal maths'!V666="","",'Deal maths'!W666)</f>
        <v/>
      </c>
      <c r="B666" s="108">
        <f>('Deal maths'!AA666&gt;AsAt)*('Deal maths'!Y666&gt;0)*('Deal maths'!Z666&lt;=AsAt)</f>
        <v/>
      </c>
      <c r="C666" s="91">
        <f>IF('Deal maths'!V666="","",IF('Deal maths'!AC666="","Maturity",'Deal maths'!AC666))</f>
        <v/>
      </c>
      <c r="D666" s="108">
        <f>IF(OR(C666="EIP",C666="Annuity"),IF('Deal maths'!AD666="Annual",12,IF('Deal maths'!AD666="Quarterly",3,6)),0)</f>
        <v/>
      </c>
      <c r="E666" s="109">
        <f>IFERROR(IF(D666=0,0,IF('Deal maths'!AE666&gt;0,IF('Deal maths'!AE666&gt;'Deal maths'!AA666,'Deal maths'!AA666,'Deal maths'!AE666),IF(IF(DAY('Deal maths'!AA666+1)=1,EOMONTH('Deal maths'!AA666,-(INT(((YEAR('Deal maths'!AA666)-YEAR(IF('Deal maths'!Z666&gt;0,'Deal maths'!Z666,DATE(1990,1,1))))*12+MONTH('Deal maths'!AA666)-MONTH(IF('Deal maths'!Z666&gt;0,'Deal maths'!Z666,DATE(1990,1,1))))/D666))*D666),EDATE('Deal maths'!AA666,-(INT(((YEAR('Deal maths'!AA666)-YEAR(IF('Deal maths'!Z666&gt;0,'Deal maths'!Z666,DATE(1990,1,1))))*12+MONTH('Deal maths'!AA666)-MONTH(IF('Deal maths'!Z666&gt;0,'Deal maths'!Z666,DATE(1990,1,1))))/D666))*D666))&gt;IF('Deal maths'!Z666&gt;0,'Deal maths'!Z666,DATE(1990,1,1)),IF(DAY('Deal maths'!AA666+1)=1,EOMONTH('Deal maths'!AA666,-(INT(((YEAR('Deal maths'!AA666)-YEAR(IF('Deal maths'!Z666&gt;0,'Deal maths'!Z666,DATE(1990,1,1))))*12+MONTH('Deal maths'!AA666)-MONTH(IF('Deal maths'!Z666&gt;0,'Deal maths'!Z666,DATE(1990,1,1))))/D666))*D666),EDATE('Deal maths'!AA666,-(INT(((YEAR('Deal maths'!AA666)-YEAR(IF('Deal maths'!Z666&gt;0,'Deal maths'!Z666,DATE(1990,1,1))))*12+MONTH('Deal maths'!AA666)-MONTH(IF('Deal maths'!Z666&gt;0,'Deal maths'!Z666,DATE(1990,1,1))))/D666))*D666)),IF(DAY('Deal maths'!AA666+1)=1,EOMONTH('Deal maths'!AA666,-(INT(((YEAR('Deal maths'!AA666)-YEAR(IF('Deal maths'!Z666&gt;0,'Deal maths'!Z666,DATE(1990,1,1))))*12+MONTH('Deal maths'!AA666)-MONTH(IF('Deal maths'!Z666&gt;0,'Deal maths'!Z666,DATE(1990,1,1))))/D666)-1)*D666),EDATE('Deal maths'!AA666,-(INT(((YEAR('Deal maths'!AA666)-YEAR(IF('Deal maths'!Z666&gt;0,'Deal maths'!Z666,DATE(1990,1,1))))*12+MONTH('Deal maths'!AA666)-MONTH(IF('Deal maths'!Z666&gt;0,'Deal maths'!Z666,DATE(1990,1,1))))/D666)-1)*D666))))),0)</f>
        <v/>
      </c>
      <c r="F666" s="110">
        <f>IF(D666=0,0,'Deal maths'!AB666*D666/12)</f>
        <v/>
      </c>
      <c r="G666" s="108">
        <f>N666+O666</f>
        <v/>
      </c>
      <c r="H666" s="108">
        <f>IFERROR(IF(OR(D666=0,AsAt&lt;E666),0,MIN(N666,INT(((YEAR(AsAt)-YEAR(E666))*12+MONTH(AsAt)-MONTH(E666)-(DAY(AsAt)&lt;MIN(R666,DAY(EOMONTH(AsAt,0)))))/D666)+1)+O666*(AsAt&gt;='Deal maths'!AA666)),0)</f>
        <v/>
      </c>
      <c r="I666" s="108">
        <f>G666-H666</f>
        <v/>
      </c>
      <c r="J666" s="111">
        <f>IF(AND(C666="EIP",I666&gt;0),'Deal maths'!Y666/I666,0)</f>
        <v/>
      </c>
      <c r="K666" s="111">
        <f>IF(AND(C666="Annuity",I666&gt;0),IF(F666&gt;0,'Deal maths'!Y666*F666/(1-(1+F666)^-I666),'Deal maths'!Y666/I666),0)</f>
        <v/>
      </c>
      <c r="L666" s="111">
        <f>IF('Deal maths'!Y666="",0,'Deal maths'!Y666)</f>
        <v/>
      </c>
      <c r="M666" s="112">
        <f>F666+(F666=0)</f>
        <v/>
      </c>
      <c r="N666" s="108">
        <f>IFERROR(IF(D666=0,0,INT(((YEAR('Deal maths'!AA666)-YEAR(E666))*12+MONTH('Deal maths'!AA666)-MONTH(E666)-(DAY('Deal maths'!AA666)&lt;MIN(R666,DAY(EOMONTH('Deal maths'!AA666,0)))))/D666)+1),0)</f>
        <v/>
      </c>
      <c r="O666" s="108">
        <f>IFERROR(IF(D666=0,0,IF(IF(DAY(E666+1)=1,EOMONTH(E666,(N666-1)*D666),EDATE(E666,(N666-1)*D666))='Deal maths'!AA666,0,1)),0)</f>
        <v/>
      </c>
      <c r="P666" s="113">
        <f>IF(B666=0,0,IFERROR(IF(C666="EIP",((I666-O666)*((IF(DAY(E666+1)=1,EOMONTH(E666,H666*D666),EDATE(E666,H666*D666))-AsAt)/365.25+(IF(DAY(E666+1)=1,EOMONTH(E666,(N666-1)*D666),EDATE(E666,(N666-1)*D666))-AsAt)/365.25)/2+O666*('Deal maths'!AA666-AsAt)/365.25)/I666,IF(C666="Annuity",IF(F666&gt;0,((K666-L666*F666)*((IF(DAY(E666+1)=1,EOMONTH(E666,H666*D666),EDATE(E666,H666*D666))-AsAt)/365.25*((1+F666)^(I666-O666)-1)/F666+IF((I666-O666)&gt;1,((IF(DAY(E666+1)=1,EOMONTH(E666,(N666-1)*D666),EDATE(E666,(N666-1)*D666))-AsAt)/365.25-(IF(DAY(E666+1)=1,EOMONTH(E666,H666*D666),EDATE(E666,H666*D666))-AsAt)/365.25)/((I666-O666)-1),0)*(1+F666)*(1-(I666-O666)*(1+F666)^((I666-O666)-1)+((I666-O666)-1)*(1+F666)^(I666-O666))/F666^2)+O666*(K666-L666*F666)*(1+F666)^(I666-1)*('Deal maths'!AA666-AsAt)/365.25)/L666,((I666-O666)*((IF(DAY(E666+1)=1,EOMONTH(E666,H666*D666),EDATE(E666,H666*D666))-AsAt)/365.25+(IF(DAY(E666+1)=1,EOMONTH(E666,(N666-1)*D666),EDATE(E666,(N666-1)*D666))-AsAt)/365.25)/2+O666*('Deal maths'!AA666-AsAt)/365.25)/I666),(S666-AsAt)/365.25)),0))</f>
        <v/>
      </c>
      <c r="Q666" s="109">
        <f>IF(B666=1,'Deal maths'!AA666+ROW()/1000000,"")</f>
        <v/>
      </c>
      <c r="R666" s="108">
        <f>IF(D666=0,0,IF(DAY(E666+1)=1,31,DAY(E666)))</f>
        <v/>
      </c>
      <c r="S666" s="109">
        <f>IF(AND('Deal maths'!V666="LOBO",'Deal maths'!AG666&gt;AsAt,'Deal maths'!AG666&lt;'Deal maths'!AA666),'Deal maths'!AG666,'Deal maths'!AA666)</f>
        <v/>
      </c>
      <c r="T666" s="108">
        <f>('Deal maths'!AA666&gt;AsAt)*('Deal maths'!Y666&gt;0)</f>
        <v/>
      </c>
    </row>
    <row r="667">
      <c r="A667" s="91">
        <f>IF('Deal maths'!V667="","",'Deal maths'!W667)</f>
        <v/>
      </c>
      <c r="B667" s="108">
        <f>('Deal maths'!AA667&gt;AsAt)*('Deal maths'!Y667&gt;0)*('Deal maths'!Z667&lt;=AsAt)</f>
        <v/>
      </c>
      <c r="C667" s="91">
        <f>IF('Deal maths'!V667="","",IF('Deal maths'!AC667="","Maturity",'Deal maths'!AC667))</f>
        <v/>
      </c>
      <c r="D667" s="108">
        <f>IF(OR(C667="EIP",C667="Annuity"),IF('Deal maths'!AD667="Annual",12,IF('Deal maths'!AD667="Quarterly",3,6)),0)</f>
        <v/>
      </c>
      <c r="E667" s="109">
        <f>IFERROR(IF(D667=0,0,IF('Deal maths'!AE667&gt;0,IF('Deal maths'!AE667&gt;'Deal maths'!AA667,'Deal maths'!AA667,'Deal maths'!AE667),IF(IF(DAY('Deal maths'!AA667+1)=1,EOMONTH('Deal maths'!AA667,-(INT(((YEAR('Deal maths'!AA667)-YEAR(IF('Deal maths'!Z667&gt;0,'Deal maths'!Z667,DATE(1990,1,1))))*12+MONTH('Deal maths'!AA667)-MONTH(IF('Deal maths'!Z667&gt;0,'Deal maths'!Z667,DATE(1990,1,1))))/D667))*D667),EDATE('Deal maths'!AA667,-(INT(((YEAR('Deal maths'!AA667)-YEAR(IF('Deal maths'!Z667&gt;0,'Deal maths'!Z667,DATE(1990,1,1))))*12+MONTH('Deal maths'!AA667)-MONTH(IF('Deal maths'!Z667&gt;0,'Deal maths'!Z667,DATE(1990,1,1))))/D667))*D667))&gt;IF('Deal maths'!Z667&gt;0,'Deal maths'!Z667,DATE(1990,1,1)),IF(DAY('Deal maths'!AA667+1)=1,EOMONTH('Deal maths'!AA667,-(INT(((YEAR('Deal maths'!AA667)-YEAR(IF('Deal maths'!Z667&gt;0,'Deal maths'!Z667,DATE(1990,1,1))))*12+MONTH('Deal maths'!AA667)-MONTH(IF('Deal maths'!Z667&gt;0,'Deal maths'!Z667,DATE(1990,1,1))))/D667))*D667),EDATE('Deal maths'!AA667,-(INT(((YEAR('Deal maths'!AA667)-YEAR(IF('Deal maths'!Z667&gt;0,'Deal maths'!Z667,DATE(1990,1,1))))*12+MONTH('Deal maths'!AA667)-MONTH(IF('Deal maths'!Z667&gt;0,'Deal maths'!Z667,DATE(1990,1,1))))/D667))*D667)),IF(DAY('Deal maths'!AA667+1)=1,EOMONTH('Deal maths'!AA667,-(INT(((YEAR('Deal maths'!AA667)-YEAR(IF('Deal maths'!Z667&gt;0,'Deal maths'!Z667,DATE(1990,1,1))))*12+MONTH('Deal maths'!AA667)-MONTH(IF('Deal maths'!Z667&gt;0,'Deal maths'!Z667,DATE(1990,1,1))))/D667)-1)*D667),EDATE('Deal maths'!AA667,-(INT(((YEAR('Deal maths'!AA667)-YEAR(IF('Deal maths'!Z667&gt;0,'Deal maths'!Z667,DATE(1990,1,1))))*12+MONTH('Deal maths'!AA667)-MONTH(IF('Deal maths'!Z667&gt;0,'Deal maths'!Z667,DATE(1990,1,1))))/D667)-1)*D667))))),0)</f>
        <v/>
      </c>
      <c r="F667" s="110">
        <f>IF(D667=0,0,'Deal maths'!AB667*D667/12)</f>
        <v/>
      </c>
      <c r="G667" s="108">
        <f>N667+O667</f>
        <v/>
      </c>
      <c r="H667" s="108">
        <f>IFERROR(IF(OR(D667=0,AsAt&lt;E667),0,MIN(N667,INT(((YEAR(AsAt)-YEAR(E667))*12+MONTH(AsAt)-MONTH(E667)-(DAY(AsAt)&lt;MIN(R667,DAY(EOMONTH(AsAt,0)))))/D667)+1)+O667*(AsAt&gt;='Deal maths'!AA667)),0)</f>
        <v/>
      </c>
      <c r="I667" s="108">
        <f>G667-H667</f>
        <v/>
      </c>
      <c r="J667" s="111">
        <f>IF(AND(C667="EIP",I667&gt;0),'Deal maths'!Y667/I667,0)</f>
        <v/>
      </c>
      <c r="K667" s="111">
        <f>IF(AND(C667="Annuity",I667&gt;0),IF(F667&gt;0,'Deal maths'!Y667*F667/(1-(1+F667)^-I667),'Deal maths'!Y667/I667),0)</f>
        <v/>
      </c>
      <c r="L667" s="111">
        <f>IF('Deal maths'!Y667="",0,'Deal maths'!Y667)</f>
        <v/>
      </c>
      <c r="M667" s="112">
        <f>F667+(F667=0)</f>
        <v/>
      </c>
      <c r="N667" s="108">
        <f>IFERROR(IF(D667=0,0,INT(((YEAR('Deal maths'!AA667)-YEAR(E667))*12+MONTH('Deal maths'!AA667)-MONTH(E667)-(DAY('Deal maths'!AA667)&lt;MIN(R667,DAY(EOMONTH('Deal maths'!AA667,0)))))/D667)+1),0)</f>
        <v/>
      </c>
      <c r="O667" s="108">
        <f>IFERROR(IF(D667=0,0,IF(IF(DAY(E667+1)=1,EOMONTH(E667,(N667-1)*D667),EDATE(E667,(N667-1)*D667))='Deal maths'!AA667,0,1)),0)</f>
        <v/>
      </c>
      <c r="P667" s="113">
        <f>IF(B667=0,0,IFERROR(IF(C667="EIP",((I667-O667)*((IF(DAY(E667+1)=1,EOMONTH(E667,H667*D667),EDATE(E667,H667*D667))-AsAt)/365.25+(IF(DAY(E667+1)=1,EOMONTH(E667,(N667-1)*D667),EDATE(E667,(N667-1)*D667))-AsAt)/365.25)/2+O667*('Deal maths'!AA667-AsAt)/365.25)/I667,IF(C667="Annuity",IF(F667&gt;0,((K667-L667*F667)*((IF(DAY(E667+1)=1,EOMONTH(E667,H667*D667),EDATE(E667,H667*D667))-AsAt)/365.25*((1+F667)^(I667-O667)-1)/F667+IF((I667-O667)&gt;1,((IF(DAY(E667+1)=1,EOMONTH(E667,(N667-1)*D667),EDATE(E667,(N667-1)*D667))-AsAt)/365.25-(IF(DAY(E667+1)=1,EOMONTH(E667,H667*D667),EDATE(E667,H667*D667))-AsAt)/365.25)/((I667-O667)-1),0)*(1+F667)*(1-(I667-O667)*(1+F667)^((I667-O667)-1)+((I667-O667)-1)*(1+F667)^(I667-O667))/F667^2)+O667*(K667-L667*F667)*(1+F667)^(I667-1)*('Deal maths'!AA667-AsAt)/365.25)/L667,((I667-O667)*((IF(DAY(E667+1)=1,EOMONTH(E667,H667*D667),EDATE(E667,H667*D667))-AsAt)/365.25+(IF(DAY(E667+1)=1,EOMONTH(E667,(N667-1)*D667),EDATE(E667,(N667-1)*D667))-AsAt)/365.25)/2+O667*('Deal maths'!AA667-AsAt)/365.25)/I667),(S667-AsAt)/365.25)),0))</f>
        <v/>
      </c>
      <c r="Q667" s="109">
        <f>IF(B667=1,'Deal maths'!AA667+ROW()/1000000,"")</f>
        <v/>
      </c>
      <c r="R667" s="108">
        <f>IF(D667=0,0,IF(DAY(E667+1)=1,31,DAY(E667)))</f>
        <v/>
      </c>
      <c r="S667" s="109">
        <f>IF(AND('Deal maths'!V667="LOBO",'Deal maths'!AG667&gt;AsAt,'Deal maths'!AG667&lt;'Deal maths'!AA667),'Deal maths'!AG667,'Deal maths'!AA667)</f>
        <v/>
      </c>
      <c r="T667" s="108">
        <f>('Deal maths'!AA667&gt;AsAt)*('Deal maths'!Y667&gt;0)</f>
        <v/>
      </c>
    </row>
    <row r="668">
      <c r="A668" s="91">
        <f>IF('Deal maths'!V668="","",'Deal maths'!W668)</f>
        <v/>
      </c>
      <c r="B668" s="108">
        <f>('Deal maths'!AA668&gt;AsAt)*('Deal maths'!Y668&gt;0)*('Deal maths'!Z668&lt;=AsAt)</f>
        <v/>
      </c>
      <c r="C668" s="91">
        <f>IF('Deal maths'!V668="","",IF('Deal maths'!AC668="","Maturity",'Deal maths'!AC668))</f>
        <v/>
      </c>
      <c r="D668" s="108">
        <f>IF(OR(C668="EIP",C668="Annuity"),IF('Deal maths'!AD668="Annual",12,IF('Deal maths'!AD668="Quarterly",3,6)),0)</f>
        <v/>
      </c>
      <c r="E668" s="109">
        <f>IFERROR(IF(D668=0,0,IF('Deal maths'!AE668&gt;0,IF('Deal maths'!AE668&gt;'Deal maths'!AA668,'Deal maths'!AA668,'Deal maths'!AE668),IF(IF(DAY('Deal maths'!AA668+1)=1,EOMONTH('Deal maths'!AA668,-(INT(((YEAR('Deal maths'!AA668)-YEAR(IF('Deal maths'!Z668&gt;0,'Deal maths'!Z668,DATE(1990,1,1))))*12+MONTH('Deal maths'!AA668)-MONTH(IF('Deal maths'!Z668&gt;0,'Deal maths'!Z668,DATE(1990,1,1))))/D668))*D668),EDATE('Deal maths'!AA668,-(INT(((YEAR('Deal maths'!AA668)-YEAR(IF('Deal maths'!Z668&gt;0,'Deal maths'!Z668,DATE(1990,1,1))))*12+MONTH('Deal maths'!AA668)-MONTH(IF('Deal maths'!Z668&gt;0,'Deal maths'!Z668,DATE(1990,1,1))))/D668))*D668))&gt;IF('Deal maths'!Z668&gt;0,'Deal maths'!Z668,DATE(1990,1,1)),IF(DAY('Deal maths'!AA668+1)=1,EOMONTH('Deal maths'!AA668,-(INT(((YEAR('Deal maths'!AA668)-YEAR(IF('Deal maths'!Z668&gt;0,'Deal maths'!Z668,DATE(1990,1,1))))*12+MONTH('Deal maths'!AA668)-MONTH(IF('Deal maths'!Z668&gt;0,'Deal maths'!Z668,DATE(1990,1,1))))/D668))*D668),EDATE('Deal maths'!AA668,-(INT(((YEAR('Deal maths'!AA668)-YEAR(IF('Deal maths'!Z668&gt;0,'Deal maths'!Z668,DATE(1990,1,1))))*12+MONTH('Deal maths'!AA668)-MONTH(IF('Deal maths'!Z668&gt;0,'Deal maths'!Z668,DATE(1990,1,1))))/D668))*D668)),IF(DAY('Deal maths'!AA668+1)=1,EOMONTH('Deal maths'!AA668,-(INT(((YEAR('Deal maths'!AA668)-YEAR(IF('Deal maths'!Z668&gt;0,'Deal maths'!Z668,DATE(1990,1,1))))*12+MONTH('Deal maths'!AA668)-MONTH(IF('Deal maths'!Z668&gt;0,'Deal maths'!Z668,DATE(1990,1,1))))/D668)-1)*D668),EDATE('Deal maths'!AA668,-(INT(((YEAR('Deal maths'!AA668)-YEAR(IF('Deal maths'!Z668&gt;0,'Deal maths'!Z668,DATE(1990,1,1))))*12+MONTH('Deal maths'!AA668)-MONTH(IF('Deal maths'!Z668&gt;0,'Deal maths'!Z668,DATE(1990,1,1))))/D668)-1)*D668))))),0)</f>
        <v/>
      </c>
      <c r="F668" s="110">
        <f>IF(D668=0,0,'Deal maths'!AB668*D668/12)</f>
        <v/>
      </c>
      <c r="G668" s="108">
        <f>N668+O668</f>
        <v/>
      </c>
      <c r="H668" s="108">
        <f>IFERROR(IF(OR(D668=0,AsAt&lt;E668),0,MIN(N668,INT(((YEAR(AsAt)-YEAR(E668))*12+MONTH(AsAt)-MONTH(E668)-(DAY(AsAt)&lt;MIN(R668,DAY(EOMONTH(AsAt,0)))))/D668)+1)+O668*(AsAt&gt;='Deal maths'!AA668)),0)</f>
        <v/>
      </c>
      <c r="I668" s="108">
        <f>G668-H668</f>
        <v/>
      </c>
      <c r="J668" s="111">
        <f>IF(AND(C668="EIP",I668&gt;0),'Deal maths'!Y668/I668,0)</f>
        <v/>
      </c>
      <c r="K668" s="111">
        <f>IF(AND(C668="Annuity",I668&gt;0),IF(F668&gt;0,'Deal maths'!Y668*F668/(1-(1+F668)^-I668),'Deal maths'!Y668/I668),0)</f>
        <v/>
      </c>
      <c r="L668" s="111">
        <f>IF('Deal maths'!Y668="",0,'Deal maths'!Y668)</f>
        <v/>
      </c>
      <c r="M668" s="112">
        <f>F668+(F668=0)</f>
        <v/>
      </c>
      <c r="N668" s="108">
        <f>IFERROR(IF(D668=0,0,INT(((YEAR('Deal maths'!AA668)-YEAR(E668))*12+MONTH('Deal maths'!AA668)-MONTH(E668)-(DAY('Deal maths'!AA668)&lt;MIN(R668,DAY(EOMONTH('Deal maths'!AA668,0)))))/D668)+1),0)</f>
        <v/>
      </c>
      <c r="O668" s="108">
        <f>IFERROR(IF(D668=0,0,IF(IF(DAY(E668+1)=1,EOMONTH(E668,(N668-1)*D668),EDATE(E668,(N668-1)*D668))='Deal maths'!AA668,0,1)),0)</f>
        <v/>
      </c>
      <c r="P668" s="113">
        <f>IF(B668=0,0,IFERROR(IF(C668="EIP",((I668-O668)*((IF(DAY(E668+1)=1,EOMONTH(E668,H668*D668),EDATE(E668,H668*D668))-AsAt)/365.25+(IF(DAY(E668+1)=1,EOMONTH(E668,(N668-1)*D668),EDATE(E668,(N668-1)*D668))-AsAt)/365.25)/2+O668*('Deal maths'!AA668-AsAt)/365.25)/I668,IF(C668="Annuity",IF(F668&gt;0,((K668-L668*F668)*((IF(DAY(E668+1)=1,EOMONTH(E668,H668*D668),EDATE(E668,H668*D668))-AsAt)/365.25*((1+F668)^(I668-O668)-1)/F668+IF((I668-O668)&gt;1,((IF(DAY(E668+1)=1,EOMONTH(E668,(N668-1)*D668),EDATE(E668,(N668-1)*D668))-AsAt)/365.25-(IF(DAY(E668+1)=1,EOMONTH(E668,H668*D668),EDATE(E668,H668*D668))-AsAt)/365.25)/((I668-O668)-1),0)*(1+F668)*(1-(I668-O668)*(1+F668)^((I668-O668)-1)+((I668-O668)-1)*(1+F668)^(I668-O668))/F668^2)+O668*(K668-L668*F668)*(1+F668)^(I668-1)*('Deal maths'!AA668-AsAt)/365.25)/L668,((I668-O668)*((IF(DAY(E668+1)=1,EOMONTH(E668,H668*D668),EDATE(E668,H668*D668))-AsAt)/365.25+(IF(DAY(E668+1)=1,EOMONTH(E668,(N668-1)*D668),EDATE(E668,(N668-1)*D668))-AsAt)/365.25)/2+O668*('Deal maths'!AA668-AsAt)/365.25)/I668),(S668-AsAt)/365.25)),0))</f>
        <v/>
      </c>
      <c r="Q668" s="109">
        <f>IF(B668=1,'Deal maths'!AA668+ROW()/1000000,"")</f>
        <v/>
      </c>
      <c r="R668" s="108">
        <f>IF(D668=0,0,IF(DAY(E668+1)=1,31,DAY(E668)))</f>
        <v/>
      </c>
      <c r="S668" s="109">
        <f>IF(AND('Deal maths'!V668="LOBO",'Deal maths'!AG668&gt;AsAt,'Deal maths'!AG668&lt;'Deal maths'!AA668),'Deal maths'!AG668,'Deal maths'!AA668)</f>
        <v/>
      </c>
      <c r="T668" s="108">
        <f>('Deal maths'!AA668&gt;AsAt)*('Deal maths'!Y668&gt;0)</f>
        <v/>
      </c>
    </row>
    <row r="669">
      <c r="A669" s="91">
        <f>IF('Deal maths'!V669="","",'Deal maths'!W669)</f>
        <v/>
      </c>
      <c r="B669" s="108">
        <f>('Deal maths'!AA669&gt;AsAt)*('Deal maths'!Y669&gt;0)*('Deal maths'!Z669&lt;=AsAt)</f>
        <v/>
      </c>
      <c r="C669" s="91">
        <f>IF('Deal maths'!V669="","",IF('Deal maths'!AC669="","Maturity",'Deal maths'!AC669))</f>
        <v/>
      </c>
      <c r="D669" s="108">
        <f>IF(OR(C669="EIP",C669="Annuity"),IF('Deal maths'!AD669="Annual",12,IF('Deal maths'!AD669="Quarterly",3,6)),0)</f>
        <v/>
      </c>
      <c r="E669" s="109">
        <f>IFERROR(IF(D669=0,0,IF('Deal maths'!AE669&gt;0,IF('Deal maths'!AE669&gt;'Deal maths'!AA669,'Deal maths'!AA669,'Deal maths'!AE669),IF(IF(DAY('Deal maths'!AA669+1)=1,EOMONTH('Deal maths'!AA669,-(INT(((YEAR('Deal maths'!AA669)-YEAR(IF('Deal maths'!Z669&gt;0,'Deal maths'!Z669,DATE(1990,1,1))))*12+MONTH('Deal maths'!AA669)-MONTH(IF('Deal maths'!Z669&gt;0,'Deal maths'!Z669,DATE(1990,1,1))))/D669))*D669),EDATE('Deal maths'!AA669,-(INT(((YEAR('Deal maths'!AA669)-YEAR(IF('Deal maths'!Z669&gt;0,'Deal maths'!Z669,DATE(1990,1,1))))*12+MONTH('Deal maths'!AA669)-MONTH(IF('Deal maths'!Z669&gt;0,'Deal maths'!Z669,DATE(1990,1,1))))/D669))*D669))&gt;IF('Deal maths'!Z669&gt;0,'Deal maths'!Z669,DATE(1990,1,1)),IF(DAY('Deal maths'!AA669+1)=1,EOMONTH('Deal maths'!AA669,-(INT(((YEAR('Deal maths'!AA669)-YEAR(IF('Deal maths'!Z669&gt;0,'Deal maths'!Z669,DATE(1990,1,1))))*12+MONTH('Deal maths'!AA669)-MONTH(IF('Deal maths'!Z669&gt;0,'Deal maths'!Z669,DATE(1990,1,1))))/D669))*D669),EDATE('Deal maths'!AA669,-(INT(((YEAR('Deal maths'!AA669)-YEAR(IF('Deal maths'!Z669&gt;0,'Deal maths'!Z669,DATE(1990,1,1))))*12+MONTH('Deal maths'!AA669)-MONTH(IF('Deal maths'!Z669&gt;0,'Deal maths'!Z669,DATE(1990,1,1))))/D669))*D669)),IF(DAY('Deal maths'!AA669+1)=1,EOMONTH('Deal maths'!AA669,-(INT(((YEAR('Deal maths'!AA669)-YEAR(IF('Deal maths'!Z669&gt;0,'Deal maths'!Z669,DATE(1990,1,1))))*12+MONTH('Deal maths'!AA669)-MONTH(IF('Deal maths'!Z669&gt;0,'Deal maths'!Z669,DATE(1990,1,1))))/D669)-1)*D669),EDATE('Deal maths'!AA669,-(INT(((YEAR('Deal maths'!AA669)-YEAR(IF('Deal maths'!Z669&gt;0,'Deal maths'!Z669,DATE(1990,1,1))))*12+MONTH('Deal maths'!AA669)-MONTH(IF('Deal maths'!Z669&gt;0,'Deal maths'!Z669,DATE(1990,1,1))))/D669)-1)*D669))))),0)</f>
        <v/>
      </c>
      <c r="F669" s="110">
        <f>IF(D669=0,0,'Deal maths'!AB669*D669/12)</f>
        <v/>
      </c>
      <c r="G669" s="108">
        <f>N669+O669</f>
        <v/>
      </c>
      <c r="H669" s="108">
        <f>IFERROR(IF(OR(D669=0,AsAt&lt;E669),0,MIN(N669,INT(((YEAR(AsAt)-YEAR(E669))*12+MONTH(AsAt)-MONTH(E669)-(DAY(AsAt)&lt;MIN(R669,DAY(EOMONTH(AsAt,0)))))/D669)+1)+O669*(AsAt&gt;='Deal maths'!AA669)),0)</f>
        <v/>
      </c>
      <c r="I669" s="108">
        <f>G669-H669</f>
        <v/>
      </c>
      <c r="J669" s="111">
        <f>IF(AND(C669="EIP",I669&gt;0),'Deal maths'!Y669/I669,0)</f>
        <v/>
      </c>
      <c r="K669" s="111">
        <f>IF(AND(C669="Annuity",I669&gt;0),IF(F669&gt;0,'Deal maths'!Y669*F669/(1-(1+F669)^-I669),'Deal maths'!Y669/I669),0)</f>
        <v/>
      </c>
      <c r="L669" s="111">
        <f>IF('Deal maths'!Y669="",0,'Deal maths'!Y669)</f>
        <v/>
      </c>
      <c r="M669" s="112">
        <f>F669+(F669=0)</f>
        <v/>
      </c>
      <c r="N669" s="108">
        <f>IFERROR(IF(D669=0,0,INT(((YEAR('Deal maths'!AA669)-YEAR(E669))*12+MONTH('Deal maths'!AA669)-MONTH(E669)-(DAY('Deal maths'!AA669)&lt;MIN(R669,DAY(EOMONTH('Deal maths'!AA669,0)))))/D669)+1),0)</f>
        <v/>
      </c>
      <c r="O669" s="108">
        <f>IFERROR(IF(D669=0,0,IF(IF(DAY(E669+1)=1,EOMONTH(E669,(N669-1)*D669),EDATE(E669,(N669-1)*D669))='Deal maths'!AA669,0,1)),0)</f>
        <v/>
      </c>
      <c r="P669" s="113">
        <f>IF(B669=0,0,IFERROR(IF(C669="EIP",((I669-O669)*((IF(DAY(E669+1)=1,EOMONTH(E669,H669*D669),EDATE(E669,H669*D669))-AsAt)/365.25+(IF(DAY(E669+1)=1,EOMONTH(E669,(N669-1)*D669),EDATE(E669,(N669-1)*D669))-AsAt)/365.25)/2+O669*('Deal maths'!AA669-AsAt)/365.25)/I669,IF(C669="Annuity",IF(F669&gt;0,((K669-L669*F669)*((IF(DAY(E669+1)=1,EOMONTH(E669,H669*D669),EDATE(E669,H669*D669))-AsAt)/365.25*((1+F669)^(I669-O669)-1)/F669+IF((I669-O669)&gt;1,((IF(DAY(E669+1)=1,EOMONTH(E669,(N669-1)*D669),EDATE(E669,(N669-1)*D669))-AsAt)/365.25-(IF(DAY(E669+1)=1,EOMONTH(E669,H669*D669),EDATE(E669,H669*D669))-AsAt)/365.25)/((I669-O669)-1),0)*(1+F669)*(1-(I669-O669)*(1+F669)^((I669-O669)-1)+((I669-O669)-1)*(1+F669)^(I669-O669))/F669^2)+O669*(K669-L669*F669)*(1+F669)^(I669-1)*('Deal maths'!AA669-AsAt)/365.25)/L669,((I669-O669)*((IF(DAY(E669+1)=1,EOMONTH(E669,H669*D669),EDATE(E669,H669*D669))-AsAt)/365.25+(IF(DAY(E669+1)=1,EOMONTH(E669,(N669-1)*D669),EDATE(E669,(N669-1)*D669))-AsAt)/365.25)/2+O669*('Deal maths'!AA669-AsAt)/365.25)/I669),(S669-AsAt)/365.25)),0))</f>
        <v/>
      </c>
      <c r="Q669" s="109">
        <f>IF(B669=1,'Deal maths'!AA669+ROW()/1000000,"")</f>
        <v/>
      </c>
      <c r="R669" s="108">
        <f>IF(D669=0,0,IF(DAY(E669+1)=1,31,DAY(E669)))</f>
        <v/>
      </c>
      <c r="S669" s="109">
        <f>IF(AND('Deal maths'!V669="LOBO",'Deal maths'!AG669&gt;AsAt,'Deal maths'!AG669&lt;'Deal maths'!AA669),'Deal maths'!AG669,'Deal maths'!AA669)</f>
        <v/>
      </c>
      <c r="T669" s="108">
        <f>('Deal maths'!AA669&gt;AsAt)*('Deal maths'!Y669&gt;0)</f>
        <v/>
      </c>
    </row>
    <row r="670">
      <c r="A670" s="91">
        <f>IF('Deal maths'!V670="","",'Deal maths'!W670)</f>
        <v/>
      </c>
      <c r="B670" s="108">
        <f>('Deal maths'!AA670&gt;AsAt)*('Deal maths'!Y670&gt;0)*('Deal maths'!Z670&lt;=AsAt)</f>
        <v/>
      </c>
      <c r="C670" s="91">
        <f>IF('Deal maths'!V670="","",IF('Deal maths'!AC670="","Maturity",'Deal maths'!AC670))</f>
        <v/>
      </c>
      <c r="D670" s="108">
        <f>IF(OR(C670="EIP",C670="Annuity"),IF('Deal maths'!AD670="Annual",12,IF('Deal maths'!AD670="Quarterly",3,6)),0)</f>
        <v/>
      </c>
      <c r="E670" s="109">
        <f>IFERROR(IF(D670=0,0,IF('Deal maths'!AE670&gt;0,IF('Deal maths'!AE670&gt;'Deal maths'!AA670,'Deal maths'!AA670,'Deal maths'!AE670),IF(IF(DAY('Deal maths'!AA670+1)=1,EOMONTH('Deal maths'!AA670,-(INT(((YEAR('Deal maths'!AA670)-YEAR(IF('Deal maths'!Z670&gt;0,'Deal maths'!Z670,DATE(1990,1,1))))*12+MONTH('Deal maths'!AA670)-MONTH(IF('Deal maths'!Z670&gt;0,'Deal maths'!Z670,DATE(1990,1,1))))/D670))*D670),EDATE('Deal maths'!AA670,-(INT(((YEAR('Deal maths'!AA670)-YEAR(IF('Deal maths'!Z670&gt;0,'Deal maths'!Z670,DATE(1990,1,1))))*12+MONTH('Deal maths'!AA670)-MONTH(IF('Deal maths'!Z670&gt;0,'Deal maths'!Z670,DATE(1990,1,1))))/D670))*D670))&gt;IF('Deal maths'!Z670&gt;0,'Deal maths'!Z670,DATE(1990,1,1)),IF(DAY('Deal maths'!AA670+1)=1,EOMONTH('Deal maths'!AA670,-(INT(((YEAR('Deal maths'!AA670)-YEAR(IF('Deal maths'!Z670&gt;0,'Deal maths'!Z670,DATE(1990,1,1))))*12+MONTH('Deal maths'!AA670)-MONTH(IF('Deal maths'!Z670&gt;0,'Deal maths'!Z670,DATE(1990,1,1))))/D670))*D670),EDATE('Deal maths'!AA670,-(INT(((YEAR('Deal maths'!AA670)-YEAR(IF('Deal maths'!Z670&gt;0,'Deal maths'!Z670,DATE(1990,1,1))))*12+MONTH('Deal maths'!AA670)-MONTH(IF('Deal maths'!Z670&gt;0,'Deal maths'!Z670,DATE(1990,1,1))))/D670))*D670)),IF(DAY('Deal maths'!AA670+1)=1,EOMONTH('Deal maths'!AA670,-(INT(((YEAR('Deal maths'!AA670)-YEAR(IF('Deal maths'!Z670&gt;0,'Deal maths'!Z670,DATE(1990,1,1))))*12+MONTH('Deal maths'!AA670)-MONTH(IF('Deal maths'!Z670&gt;0,'Deal maths'!Z670,DATE(1990,1,1))))/D670)-1)*D670),EDATE('Deal maths'!AA670,-(INT(((YEAR('Deal maths'!AA670)-YEAR(IF('Deal maths'!Z670&gt;0,'Deal maths'!Z670,DATE(1990,1,1))))*12+MONTH('Deal maths'!AA670)-MONTH(IF('Deal maths'!Z670&gt;0,'Deal maths'!Z670,DATE(1990,1,1))))/D670)-1)*D670))))),0)</f>
        <v/>
      </c>
      <c r="F670" s="110">
        <f>IF(D670=0,0,'Deal maths'!AB670*D670/12)</f>
        <v/>
      </c>
      <c r="G670" s="108">
        <f>N670+O670</f>
        <v/>
      </c>
      <c r="H670" s="108">
        <f>IFERROR(IF(OR(D670=0,AsAt&lt;E670),0,MIN(N670,INT(((YEAR(AsAt)-YEAR(E670))*12+MONTH(AsAt)-MONTH(E670)-(DAY(AsAt)&lt;MIN(R670,DAY(EOMONTH(AsAt,0)))))/D670)+1)+O670*(AsAt&gt;='Deal maths'!AA670)),0)</f>
        <v/>
      </c>
      <c r="I670" s="108">
        <f>G670-H670</f>
        <v/>
      </c>
      <c r="J670" s="111">
        <f>IF(AND(C670="EIP",I670&gt;0),'Deal maths'!Y670/I670,0)</f>
        <v/>
      </c>
      <c r="K670" s="111">
        <f>IF(AND(C670="Annuity",I670&gt;0),IF(F670&gt;0,'Deal maths'!Y670*F670/(1-(1+F670)^-I670),'Deal maths'!Y670/I670),0)</f>
        <v/>
      </c>
      <c r="L670" s="111">
        <f>IF('Deal maths'!Y670="",0,'Deal maths'!Y670)</f>
        <v/>
      </c>
      <c r="M670" s="112">
        <f>F670+(F670=0)</f>
        <v/>
      </c>
      <c r="N670" s="108">
        <f>IFERROR(IF(D670=0,0,INT(((YEAR('Deal maths'!AA670)-YEAR(E670))*12+MONTH('Deal maths'!AA670)-MONTH(E670)-(DAY('Deal maths'!AA670)&lt;MIN(R670,DAY(EOMONTH('Deal maths'!AA670,0)))))/D670)+1),0)</f>
        <v/>
      </c>
      <c r="O670" s="108">
        <f>IFERROR(IF(D670=0,0,IF(IF(DAY(E670+1)=1,EOMONTH(E670,(N670-1)*D670),EDATE(E670,(N670-1)*D670))='Deal maths'!AA670,0,1)),0)</f>
        <v/>
      </c>
      <c r="P670" s="113">
        <f>IF(B670=0,0,IFERROR(IF(C670="EIP",((I670-O670)*((IF(DAY(E670+1)=1,EOMONTH(E670,H670*D670),EDATE(E670,H670*D670))-AsAt)/365.25+(IF(DAY(E670+1)=1,EOMONTH(E670,(N670-1)*D670),EDATE(E670,(N670-1)*D670))-AsAt)/365.25)/2+O670*('Deal maths'!AA670-AsAt)/365.25)/I670,IF(C670="Annuity",IF(F670&gt;0,((K670-L670*F670)*((IF(DAY(E670+1)=1,EOMONTH(E670,H670*D670),EDATE(E670,H670*D670))-AsAt)/365.25*((1+F670)^(I670-O670)-1)/F670+IF((I670-O670)&gt;1,((IF(DAY(E670+1)=1,EOMONTH(E670,(N670-1)*D670),EDATE(E670,(N670-1)*D670))-AsAt)/365.25-(IF(DAY(E670+1)=1,EOMONTH(E670,H670*D670),EDATE(E670,H670*D670))-AsAt)/365.25)/((I670-O670)-1),0)*(1+F670)*(1-(I670-O670)*(1+F670)^((I670-O670)-1)+((I670-O670)-1)*(1+F670)^(I670-O670))/F670^2)+O670*(K670-L670*F670)*(1+F670)^(I670-1)*('Deal maths'!AA670-AsAt)/365.25)/L670,((I670-O670)*((IF(DAY(E670+1)=1,EOMONTH(E670,H670*D670),EDATE(E670,H670*D670))-AsAt)/365.25+(IF(DAY(E670+1)=1,EOMONTH(E670,(N670-1)*D670),EDATE(E670,(N670-1)*D670))-AsAt)/365.25)/2+O670*('Deal maths'!AA670-AsAt)/365.25)/I670),(S670-AsAt)/365.25)),0))</f>
        <v/>
      </c>
      <c r="Q670" s="109">
        <f>IF(B670=1,'Deal maths'!AA670+ROW()/1000000,"")</f>
        <v/>
      </c>
      <c r="R670" s="108">
        <f>IF(D670=0,0,IF(DAY(E670+1)=1,31,DAY(E670)))</f>
        <v/>
      </c>
      <c r="S670" s="109">
        <f>IF(AND('Deal maths'!V670="LOBO",'Deal maths'!AG670&gt;AsAt,'Deal maths'!AG670&lt;'Deal maths'!AA670),'Deal maths'!AG670,'Deal maths'!AA670)</f>
        <v/>
      </c>
      <c r="T670" s="108">
        <f>('Deal maths'!AA670&gt;AsAt)*('Deal maths'!Y670&gt;0)</f>
        <v/>
      </c>
    </row>
    <row r="671">
      <c r="A671" s="91">
        <f>IF('Deal maths'!V671="","",'Deal maths'!W671)</f>
        <v/>
      </c>
      <c r="B671" s="108">
        <f>('Deal maths'!AA671&gt;AsAt)*('Deal maths'!Y671&gt;0)*('Deal maths'!Z671&lt;=AsAt)</f>
        <v/>
      </c>
      <c r="C671" s="91">
        <f>IF('Deal maths'!V671="","",IF('Deal maths'!AC671="","Maturity",'Deal maths'!AC671))</f>
        <v/>
      </c>
      <c r="D671" s="108">
        <f>IF(OR(C671="EIP",C671="Annuity"),IF('Deal maths'!AD671="Annual",12,IF('Deal maths'!AD671="Quarterly",3,6)),0)</f>
        <v/>
      </c>
      <c r="E671" s="109">
        <f>IFERROR(IF(D671=0,0,IF('Deal maths'!AE671&gt;0,IF('Deal maths'!AE671&gt;'Deal maths'!AA671,'Deal maths'!AA671,'Deal maths'!AE671),IF(IF(DAY('Deal maths'!AA671+1)=1,EOMONTH('Deal maths'!AA671,-(INT(((YEAR('Deal maths'!AA671)-YEAR(IF('Deal maths'!Z671&gt;0,'Deal maths'!Z671,DATE(1990,1,1))))*12+MONTH('Deal maths'!AA671)-MONTH(IF('Deal maths'!Z671&gt;0,'Deal maths'!Z671,DATE(1990,1,1))))/D671))*D671),EDATE('Deal maths'!AA671,-(INT(((YEAR('Deal maths'!AA671)-YEAR(IF('Deal maths'!Z671&gt;0,'Deal maths'!Z671,DATE(1990,1,1))))*12+MONTH('Deal maths'!AA671)-MONTH(IF('Deal maths'!Z671&gt;0,'Deal maths'!Z671,DATE(1990,1,1))))/D671))*D671))&gt;IF('Deal maths'!Z671&gt;0,'Deal maths'!Z671,DATE(1990,1,1)),IF(DAY('Deal maths'!AA671+1)=1,EOMONTH('Deal maths'!AA671,-(INT(((YEAR('Deal maths'!AA671)-YEAR(IF('Deal maths'!Z671&gt;0,'Deal maths'!Z671,DATE(1990,1,1))))*12+MONTH('Deal maths'!AA671)-MONTH(IF('Deal maths'!Z671&gt;0,'Deal maths'!Z671,DATE(1990,1,1))))/D671))*D671),EDATE('Deal maths'!AA671,-(INT(((YEAR('Deal maths'!AA671)-YEAR(IF('Deal maths'!Z671&gt;0,'Deal maths'!Z671,DATE(1990,1,1))))*12+MONTH('Deal maths'!AA671)-MONTH(IF('Deal maths'!Z671&gt;0,'Deal maths'!Z671,DATE(1990,1,1))))/D671))*D671)),IF(DAY('Deal maths'!AA671+1)=1,EOMONTH('Deal maths'!AA671,-(INT(((YEAR('Deal maths'!AA671)-YEAR(IF('Deal maths'!Z671&gt;0,'Deal maths'!Z671,DATE(1990,1,1))))*12+MONTH('Deal maths'!AA671)-MONTH(IF('Deal maths'!Z671&gt;0,'Deal maths'!Z671,DATE(1990,1,1))))/D671)-1)*D671),EDATE('Deal maths'!AA671,-(INT(((YEAR('Deal maths'!AA671)-YEAR(IF('Deal maths'!Z671&gt;0,'Deal maths'!Z671,DATE(1990,1,1))))*12+MONTH('Deal maths'!AA671)-MONTH(IF('Deal maths'!Z671&gt;0,'Deal maths'!Z671,DATE(1990,1,1))))/D671)-1)*D671))))),0)</f>
        <v/>
      </c>
      <c r="F671" s="110">
        <f>IF(D671=0,0,'Deal maths'!AB671*D671/12)</f>
        <v/>
      </c>
      <c r="G671" s="108">
        <f>N671+O671</f>
        <v/>
      </c>
      <c r="H671" s="108">
        <f>IFERROR(IF(OR(D671=0,AsAt&lt;E671),0,MIN(N671,INT(((YEAR(AsAt)-YEAR(E671))*12+MONTH(AsAt)-MONTH(E671)-(DAY(AsAt)&lt;MIN(R671,DAY(EOMONTH(AsAt,0)))))/D671)+1)+O671*(AsAt&gt;='Deal maths'!AA671)),0)</f>
        <v/>
      </c>
      <c r="I671" s="108">
        <f>G671-H671</f>
        <v/>
      </c>
      <c r="J671" s="111">
        <f>IF(AND(C671="EIP",I671&gt;0),'Deal maths'!Y671/I671,0)</f>
        <v/>
      </c>
      <c r="K671" s="111">
        <f>IF(AND(C671="Annuity",I671&gt;0),IF(F671&gt;0,'Deal maths'!Y671*F671/(1-(1+F671)^-I671),'Deal maths'!Y671/I671),0)</f>
        <v/>
      </c>
      <c r="L671" s="111">
        <f>IF('Deal maths'!Y671="",0,'Deal maths'!Y671)</f>
        <v/>
      </c>
      <c r="M671" s="112">
        <f>F671+(F671=0)</f>
        <v/>
      </c>
      <c r="N671" s="108">
        <f>IFERROR(IF(D671=0,0,INT(((YEAR('Deal maths'!AA671)-YEAR(E671))*12+MONTH('Deal maths'!AA671)-MONTH(E671)-(DAY('Deal maths'!AA671)&lt;MIN(R671,DAY(EOMONTH('Deal maths'!AA671,0)))))/D671)+1),0)</f>
        <v/>
      </c>
      <c r="O671" s="108">
        <f>IFERROR(IF(D671=0,0,IF(IF(DAY(E671+1)=1,EOMONTH(E671,(N671-1)*D671),EDATE(E671,(N671-1)*D671))='Deal maths'!AA671,0,1)),0)</f>
        <v/>
      </c>
      <c r="P671" s="113">
        <f>IF(B671=0,0,IFERROR(IF(C671="EIP",((I671-O671)*((IF(DAY(E671+1)=1,EOMONTH(E671,H671*D671),EDATE(E671,H671*D671))-AsAt)/365.25+(IF(DAY(E671+1)=1,EOMONTH(E671,(N671-1)*D671),EDATE(E671,(N671-1)*D671))-AsAt)/365.25)/2+O671*('Deal maths'!AA671-AsAt)/365.25)/I671,IF(C671="Annuity",IF(F671&gt;0,((K671-L671*F671)*((IF(DAY(E671+1)=1,EOMONTH(E671,H671*D671),EDATE(E671,H671*D671))-AsAt)/365.25*((1+F671)^(I671-O671)-1)/F671+IF((I671-O671)&gt;1,((IF(DAY(E671+1)=1,EOMONTH(E671,(N671-1)*D671),EDATE(E671,(N671-1)*D671))-AsAt)/365.25-(IF(DAY(E671+1)=1,EOMONTH(E671,H671*D671),EDATE(E671,H671*D671))-AsAt)/365.25)/((I671-O671)-1),0)*(1+F671)*(1-(I671-O671)*(1+F671)^((I671-O671)-1)+((I671-O671)-1)*(1+F671)^(I671-O671))/F671^2)+O671*(K671-L671*F671)*(1+F671)^(I671-1)*('Deal maths'!AA671-AsAt)/365.25)/L671,((I671-O671)*((IF(DAY(E671+1)=1,EOMONTH(E671,H671*D671),EDATE(E671,H671*D671))-AsAt)/365.25+(IF(DAY(E671+1)=1,EOMONTH(E671,(N671-1)*D671),EDATE(E671,(N671-1)*D671))-AsAt)/365.25)/2+O671*('Deal maths'!AA671-AsAt)/365.25)/I671),(S671-AsAt)/365.25)),0))</f>
        <v/>
      </c>
      <c r="Q671" s="109">
        <f>IF(B671=1,'Deal maths'!AA671+ROW()/1000000,"")</f>
        <v/>
      </c>
      <c r="R671" s="108">
        <f>IF(D671=0,0,IF(DAY(E671+1)=1,31,DAY(E671)))</f>
        <v/>
      </c>
      <c r="S671" s="109">
        <f>IF(AND('Deal maths'!V671="LOBO",'Deal maths'!AG671&gt;AsAt,'Deal maths'!AG671&lt;'Deal maths'!AA671),'Deal maths'!AG671,'Deal maths'!AA671)</f>
        <v/>
      </c>
      <c r="T671" s="108">
        <f>('Deal maths'!AA671&gt;AsAt)*('Deal maths'!Y671&gt;0)</f>
        <v/>
      </c>
    </row>
    <row r="672">
      <c r="A672" s="91">
        <f>IF('Deal maths'!V672="","",'Deal maths'!W672)</f>
        <v/>
      </c>
      <c r="B672" s="108">
        <f>('Deal maths'!AA672&gt;AsAt)*('Deal maths'!Y672&gt;0)*('Deal maths'!Z672&lt;=AsAt)</f>
        <v/>
      </c>
      <c r="C672" s="91">
        <f>IF('Deal maths'!V672="","",IF('Deal maths'!AC672="","Maturity",'Deal maths'!AC672))</f>
        <v/>
      </c>
      <c r="D672" s="108">
        <f>IF(OR(C672="EIP",C672="Annuity"),IF('Deal maths'!AD672="Annual",12,IF('Deal maths'!AD672="Quarterly",3,6)),0)</f>
        <v/>
      </c>
      <c r="E672" s="109">
        <f>IFERROR(IF(D672=0,0,IF('Deal maths'!AE672&gt;0,IF('Deal maths'!AE672&gt;'Deal maths'!AA672,'Deal maths'!AA672,'Deal maths'!AE672),IF(IF(DAY('Deal maths'!AA672+1)=1,EOMONTH('Deal maths'!AA672,-(INT(((YEAR('Deal maths'!AA672)-YEAR(IF('Deal maths'!Z672&gt;0,'Deal maths'!Z672,DATE(1990,1,1))))*12+MONTH('Deal maths'!AA672)-MONTH(IF('Deal maths'!Z672&gt;0,'Deal maths'!Z672,DATE(1990,1,1))))/D672))*D672),EDATE('Deal maths'!AA672,-(INT(((YEAR('Deal maths'!AA672)-YEAR(IF('Deal maths'!Z672&gt;0,'Deal maths'!Z672,DATE(1990,1,1))))*12+MONTH('Deal maths'!AA672)-MONTH(IF('Deal maths'!Z672&gt;0,'Deal maths'!Z672,DATE(1990,1,1))))/D672))*D672))&gt;IF('Deal maths'!Z672&gt;0,'Deal maths'!Z672,DATE(1990,1,1)),IF(DAY('Deal maths'!AA672+1)=1,EOMONTH('Deal maths'!AA672,-(INT(((YEAR('Deal maths'!AA672)-YEAR(IF('Deal maths'!Z672&gt;0,'Deal maths'!Z672,DATE(1990,1,1))))*12+MONTH('Deal maths'!AA672)-MONTH(IF('Deal maths'!Z672&gt;0,'Deal maths'!Z672,DATE(1990,1,1))))/D672))*D672),EDATE('Deal maths'!AA672,-(INT(((YEAR('Deal maths'!AA672)-YEAR(IF('Deal maths'!Z672&gt;0,'Deal maths'!Z672,DATE(1990,1,1))))*12+MONTH('Deal maths'!AA672)-MONTH(IF('Deal maths'!Z672&gt;0,'Deal maths'!Z672,DATE(1990,1,1))))/D672))*D672)),IF(DAY('Deal maths'!AA672+1)=1,EOMONTH('Deal maths'!AA672,-(INT(((YEAR('Deal maths'!AA672)-YEAR(IF('Deal maths'!Z672&gt;0,'Deal maths'!Z672,DATE(1990,1,1))))*12+MONTH('Deal maths'!AA672)-MONTH(IF('Deal maths'!Z672&gt;0,'Deal maths'!Z672,DATE(1990,1,1))))/D672)-1)*D672),EDATE('Deal maths'!AA672,-(INT(((YEAR('Deal maths'!AA672)-YEAR(IF('Deal maths'!Z672&gt;0,'Deal maths'!Z672,DATE(1990,1,1))))*12+MONTH('Deal maths'!AA672)-MONTH(IF('Deal maths'!Z672&gt;0,'Deal maths'!Z672,DATE(1990,1,1))))/D672)-1)*D672))))),0)</f>
        <v/>
      </c>
      <c r="F672" s="110">
        <f>IF(D672=0,0,'Deal maths'!AB672*D672/12)</f>
        <v/>
      </c>
      <c r="G672" s="108">
        <f>N672+O672</f>
        <v/>
      </c>
      <c r="H672" s="108">
        <f>IFERROR(IF(OR(D672=0,AsAt&lt;E672),0,MIN(N672,INT(((YEAR(AsAt)-YEAR(E672))*12+MONTH(AsAt)-MONTH(E672)-(DAY(AsAt)&lt;MIN(R672,DAY(EOMONTH(AsAt,0)))))/D672)+1)+O672*(AsAt&gt;='Deal maths'!AA672)),0)</f>
        <v/>
      </c>
      <c r="I672" s="108">
        <f>G672-H672</f>
        <v/>
      </c>
      <c r="J672" s="111">
        <f>IF(AND(C672="EIP",I672&gt;0),'Deal maths'!Y672/I672,0)</f>
        <v/>
      </c>
      <c r="K672" s="111">
        <f>IF(AND(C672="Annuity",I672&gt;0),IF(F672&gt;0,'Deal maths'!Y672*F672/(1-(1+F672)^-I672),'Deal maths'!Y672/I672),0)</f>
        <v/>
      </c>
      <c r="L672" s="111">
        <f>IF('Deal maths'!Y672="",0,'Deal maths'!Y672)</f>
        <v/>
      </c>
      <c r="M672" s="112">
        <f>F672+(F672=0)</f>
        <v/>
      </c>
      <c r="N672" s="108">
        <f>IFERROR(IF(D672=0,0,INT(((YEAR('Deal maths'!AA672)-YEAR(E672))*12+MONTH('Deal maths'!AA672)-MONTH(E672)-(DAY('Deal maths'!AA672)&lt;MIN(R672,DAY(EOMONTH('Deal maths'!AA672,0)))))/D672)+1),0)</f>
        <v/>
      </c>
      <c r="O672" s="108">
        <f>IFERROR(IF(D672=0,0,IF(IF(DAY(E672+1)=1,EOMONTH(E672,(N672-1)*D672),EDATE(E672,(N672-1)*D672))='Deal maths'!AA672,0,1)),0)</f>
        <v/>
      </c>
      <c r="P672" s="113">
        <f>IF(B672=0,0,IFERROR(IF(C672="EIP",((I672-O672)*((IF(DAY(E672+1)=1,EOMONTH(E672,H672*D672),EDATE(E672,H672*D672))-AsAt)/365.25+(IF(DAY(E672+1)=1,EOMONTH(E672,(N672-1)*D672),EDATE(E672,(N672-1)*D672))-AsAt)/365.25)/2+O672*('Deal maths'!AA672-AsAt)/365.25)/I672,IF(C672="Annuity",IF(F672&gt;0,((K672-L672*F672)*((IF(DAY(E672+1)=1,EOMONTH(E672,H672*D672),EDATE(E672,H672*D672))-AsAt)/365.25*((1+F672)^(I672-O672)-1)/F672+IF((I672-O672)&gt;1,((IF(DAY(E672+1)=1,EOMONTH(E672,(N672-1)*D672),EDATE(E672,(N672-1)*D672))-AsAt)/365.25-(IF(DAY(E672+1)=1,EOMONTH(E672,H672*D672),EDATE(E672,H672*D672))-AsAt)/365.25)/((I672-O672)-1),0)*(1+F672)*(1-(I672-O672)*(1+F672)^((I672-O672)-1)+((I672-O672)-1)*(1+F672)^(I672-O672))/F672^2)+O672*(K672-L672*F672)*(1+F672)^(I672-1)*('Deal maths'!AA672-AsAt)/365.25)/L672,((I672-O672)*((IF(DAY(E672+1)=1,EOMONTH(E672,H672*D672),EDATE(E672,H672*D672))-AsAt)/365.25+(IF(DAY(E672+1)=1,EOMONTH(E672,(N672-1)*D672),EDATE(E672,(N672-1)*D672))-AsAt)/365.25)/2+O672*('Deal maths'!AA672-AsAt)/365.25)/I672),(S672-AsAt)/365.25)),0))</f>
        <v/>
      </c>
      <c r="Q672" s="109">
        <f>IF(B672=1,'Deal maths'!AA672+ROW()/1000000,"")</f>
        <v/>
      </c>
      <c r="R672" s="108">
        <f>IF(D672=0,0,IF(DAY(E672+1)=1,31,DAY(E672)))</f>
        <v/>
      </c>
      <c r="S672" s="109">
        <f>IF(AND('Deal maths'!V672="LOBO",'Deal maths'!AG672&gt;AsAt,'Deal maths'!AG672&lt;'Deal maths'!AA672),'Deal maths'!AG672,'Deal maths'!AA672)</f>
        <v/>
      </c>
      <c r="T672" s="108">
        <f>('Deal maths'!AA672&gt;AsAt)*('Deal maths'!Y672&gt;0)</f>
        <v/>
      </c>
    </row>
    <row r="673">
      <c r="A673" s="91">
        <f>IF('Deal maths'!V673="","",'Deal maths'!W673)</f>
        <v/>
      </c>
      <c r="B673" s="108">
        <f>('Deal maths'!AA673&gt;AsAt)*('Deal maths'!Y673&gt;0)*('Deal maths'!Z673&lt;=AsAt)</f>
        <v/>
      </c>
      <c r="C673" s="91">
        <f>IF('Deal maths'!V673="","",IF('Deal maths'!AC673="","Maturity",'Deal maths'!AC673))</f>
        <v/>
      </c>
      <c r="D673" s="108">
        <f>IF(OR(C673="EIP",C673="Annuity"),IF('Deal maths'!AD673="Annual",12,IF('Deal maths'!AD673="Quarterly",3,6)),0)</f>
        <v/>
      </c>
      <c r="E673" s="109">
        <f>IFERROR(IF(D673=0,0,IF('Deal maths'!AE673&gt;0,IF('Deal maths'!AE673&gt;'Deal maths'!AA673,'Deal maths'!AA673,'Deal maths'!AE673),IF(IF(DAY('Deal maths'!AA673+1)=1,EOMONTH('Deal maths'!AA673,-(INT(((YEAR('Deal maths'!AA673)-YEAR(IF('Deal maths'!Z673&gt;0,'Deal maths'!Z673,DATE(1990,1,1))))*12+MONTH('Deal maths'!AA673)-MONTH(IF('Deal maths'!Z673&gt;0,'Deal maths'!Z673,DATE(1990,1,1))))/D673))*D673),EDATE('Deal maths'!AA673,-(INT(((YEAR('Deal maths'!AA673)-YEAR(IF('Deal maths'!Z673&gt;0,'Deal maths'!Z673,DATE(1990,1,1))))*12+MONTH('Deal maths'!AA673)-MONTH(IF('Deal maths'!Z673&gt;0,'Deal maths'!Z673,DATE(1990,1,1))))/D673))*D673))&gt;IF('Deal maths'!Z673&gt;0,'Deal maths'!Z673,DATE(1990,1,1)),IF(DAY('Deal maths'!AA673+1)=1,EOMONTH('Deal maths'!AA673,-(INT(((YEAR('Deal maths'!AA673)-YEAR(IF('Deal maths'!Z673&gt;0,'Deal maths'!Z673,DATE(1990,1,1))))*12+MONTH('Deal maths'!AA673)-MONTH(IF('Deal maths'!Z673&gt;0,'Deal maths'!Z673,DATE(1990,1,1))))/D673))*D673),EDATE('Deal maths'!AA673,-(INT(((YEAR('Deal maths'!AA673)-YEAR(IF('Deal maths'!Z673&gt;0,'Deal maths'!Z673,DATE(1990,1,1))))*12+MONTH('Deal maths'!AA673)-MONTH(IF('Deal maths'!Z673&gt;0,'Deal maths'!Z673,DATE(1990,1,1))))/D673))*D673)),IF(DAY('Deal maths'!AA673+1)=1,EOMONTH('Deal maths'!AA673,-(INT(((YEAR('Deal maths'!AA673)-YEAR(IF('Deal maths'!Z673&gt;0,'Deal maths'!Z673,DATE(1990,1,1))))*12+MONTH('Deal maths'!AA673)-MONTH(IF('Deal maths'!Z673&gt;0,'Deal maths'!Z673,DATE(1990,1,1))))/D673)-1)*D673),EDATE('Deal maths'!AA673,-(INT(((YEAR('Deal maths'!AA673)-YEAR(IF('Deal maths'!Z673&gt;0,'Deal maths'!Z673,DATE(1990,1,1))))*12+MONTH('Deal maths'!AA673)-MONTH(IF('Deal maths'!Z673&gt;0,'Deal maths'!Z673,DATE(1990,1,1))))/D673)-1)*D673))))),0)</f>
        <v/>
      </c>
      <c r="F673" s="110">
        <f>IF(D673=0,0,'Deal maths'!AB673*D673/12)</f>
        <v/>
      </c>
      <c r="G673" s="108">
        <f>N673+O673</f>
        <v/>
      </c>
      <c r="H673" s="108">
        <f>IFERROR(IF(OR(D673=0,AsAt&lt;E673),0,MIN(N673,INT(((YEAR(AsAt)-YEAR(E673))*12+MONTH(AsAt)-MONTH(E673)-(DAY(AsAt)&lt;MIN(R673,DAY(EOMONTH(AsAt,0)))))/D673)+1)+O673*(AsAt&gt;='Deal maths'!AA673)),0)</f>
        <v/>
      </c>
      <c r="I673" s="108">
        <f>G673-H673</f>
        <v/>
      </c>
      <c r="J673" s="111">
        <f>IF(AND(C673="EIP",I673&gt;0),'Deal maths'!Y673/I673,0)</f>
        <v/>
      </c>
      <c r="K673" s="111">
        <f>IF(AND(C673="Annuity",I673&gt;0),IF(F673&gt;0,'Deal maths'!Y673*F673/(1-(1+F673)^-I673),'Deal maths'!Y673/I673),0)</f>
        <v/>
      </c>
      <c r="L673" s="111">
        <f>IF('Deal maths'!Y673="",0,'Deal maths'!Y673)</f>
        <v/>
      </c>
      <c r="M673" s="112">
        <f>F673+(F673=0)</f>
        <v/>
      </c>
      <c r="N673" s="108">
        <f>IFERROR(IF(D673=0,0,INT(((YEAR('Deal maths'!AA673)-YEAR(E673))*12+MONTH('Deal maths'!AA673)-MONTH(E673)-(DAY('Deal maths'!AA673)&lt;MIN(R673,DAY(EOMONTH('Deal maths'!AA673,0)))))/D673)+1),0)</f>
        <v/>
      </c>
      <c r="O673" s="108">
        <f>IFERROR(IF(D673=0,0,IF(IF(DAY(E673+1)=1,EOMONTH(E673,(N673-1)*D673),EDATE(E673,(N673-1)*D673))='Deal maths'!AA673,0,1)),0)</f>
        <v/>
      </c>
      <c r="P673" s="113">
        <f>IF(B673=0,0,IFERROR(IF(C673="EIP",((I673-O673)*((IF(DAY(E673+1)=1,EOMONTH(E673,H673*D673),EDATE(E673,H673*D673))-AsAt)/365.25+(IF(DAY(E673+1)=1,EOMONTH(E673,(N673-1)*D673),EDATE(E673,(N673-1)*D673))-AsAt)/365.25)/2+O673*('Deal maths'!AA673-AsAt)/365.25)/I673,IF(C673="Annuity",IF(F673&gt;0,((K673-L673*F673)*((IF(DAY(E673+1)=1,EOMONTH(E673,H673*D673),EDATE(E673,H673*D673))-AsAt)/365.25*((1+F673)^(I673-O673)-1)/F673+IF((I673-O673)&gt;1,((IF(DAY(E673+1)=1,EOMONTH(E673,(N673-1)*D673),EDATE(E673,(N673-1)*D673))-AsAt)/365.25-(IF(DAY(E673+1)=1,EOMONTH(E673,H673*D673),EDATE(E673,H673*D673))-AsAt)/365.25)/((I673-O673)-1),0)*(1+F673)*(1-(I673-O673)*(1+F673)^((I673-O673)-1)+((I673-O673)-1)*(1+F673)^(I673-O673))/F673^2)+O673*(K673-L673*F673)*(1+F673)^(I673-1)*('Deal maths'!AA673-AsAt)/365.25)/L673,((I673-O673)*((IF(DAY(E673+1)=1,EOMONTH(E673,H673*D673),EDATE(E673,H673*D673))-AsAt)/365.25+(IF(DAY(E673+1)=1,EOMONTH(E673,(N673-1)*D673),EDATE(E673,(N673-1)*D673))-AsAt)/365.25)/2+O673*('Deal maths'!AA673-AsAt)/365.25)/I673),(S673-AsAt)/365.25)),0))</f>
        <v/>
      </c>
      <c r="Q673" s="109">
        <f>IF(B673=1,'Deal maths'!AA673+ROW()/1000000,"")</f>
        <v/>
      </c>
      <c r="R673" s="108">
        <f>IF(D673=0,0,IF(DAY(E673+1)=1,31,DAY(E673)))</f>
        <v/>
      </c>
      <c r="S673" s="109">
        <f>IF(AND('Deal maths'!V673="LOBO",'Deal maths'!AG673&gt;AsAt,'Deal maths'!AG673&lt;'Deal maths'!AA673),'Deal maths'!AG673,'Deal maths'!AA673)</f>
        <v/>
      </c>
      <c r="T673" s="108">
        <f>('Deal maths'!AA673&gt;AsAt)*('Deal maths'!Y673&gt;0)</f>
        <v/>
      </c>
    </row>
    <row r="674">
      <c r="A674" s="91">
        <f>IF('Deal maths'!V674="","",'Deal maths'!W674)</f>
        <v/>
      </c>
      <c r="B674" s="108">
        <f>('Deal maths'!AA674&gt;AsAt)*('Deal maths'!Y674&gt;0)*('Deal maths'!Z674&lt;=AsAt)</f>
        <v/>
      </c>
      <c r="C674" s="91">
        <f>IF('Deal maths'!V674="","",IF('Deal maths'!AC674="","Maturity",'Deal maths'!AC674))</f>
        <v/>
      </c>
      <c r="D674" s="108">
        <f>IF(OR(C674="EIP",C674="Annuity"),IF('Deal maths'!AD674="Annual",12,IF('Deal maths'!AD674="Quarterly",3,6)),0)</f>
        <v/>
      </c>
      <c r="E674" s="109">
        <f>IFERROR(IF(D674=0,0,IF('Deal maths'!AE674&gt;0,IF('Deal maths'!AE674&gt;'Deal maths'!AA674,'Deal maths'!AA674,'Deal maths'!AE674),IF(IF(DAY('Deal maths'!AA674+1)=1,EOMONTH('Deal maths'!AA674,-(INT(((YEAR('Deal maths'!AA674)-YEAR(IF('Deal maths'!Z674&gt;0,'Deal maths'!Z674,DATE(1990,1,1))))*12+MONTH('Deal maths'!AA674)-MONTH(IF('Deal maths'!Z674&gt;0,'Deal maths'!Z674,DATE(1990,1,1))))/D674))*D674),EDATE('Deal maths'!AA674,-(INT(((YEAR('Deal maths'!AA674)-YEAR(IF('Deal maths'!Z674&gt;0,'Deal maths'!Z674,DATE(1990,1,1))))*12+MONTH('Deal maths'!AA674)-MONTH(IF('Deal maths'!Z674&gt;0,'Deal maths'!Z674,DATE(1990,1,1))))/D674))*D674))&gt;IF('Deal maths'!Z674&gt;0,'Deal maths'!Z674,DATE(1990,1,1)),IF(DAY('Deal maths'!AA674+1)=1,EOMONTH('Deal maths'!AA674,-(INT(((YEAR('Deal maths'!AA674)-YEAR(IF('Deal maths'!Z674&gt;0,'Deal maths'!Z674,DATE(1990,1,1))))*12+MONTH('Deal maths'!AA674)-MONTH(IF('Deal maths'!Z674&gt;0,'Deal maths'!Z674,DATE(1990,1,1))))/D674))*D674),EDATE('Deal maths'!AA674,-(INT(((YEAR('Deal maths'!AA674)-YEAR(IF('Deal maths'!Z674&gt;0,'Deal maths'!Z674,DATE(1990,1,1))))*12+MONTH('Deal maths'!AA674)-MONTH(IF('Deal maths'!Z674&gt;0,'Deal maths'!Z674,DATE(1990,1,1))))/D674))*D674)),IF(DAY('Deal maths'!AA674+1)=1,EOMONTH('Deal maths'!AA674,-(INT(((YEAR('Deal maths'!AA674)-YEAR(IF('Deal maths'!Z674&gt;0,'Deal maths'!Z674,DATE(1990,1,1))))*12+MONTH('Deal maths'!AA674)-MONTH(IF('Deal maths'!Z674&gt;0,'Deal maths'!Z674,DATE(1990,1,1))))/D674)-1)*D674),EDATE('Deal maths'!AA674,-(INT(((YEAR('Deal maths'!AA674)-YEAR(IF('Deal maths'!Z674&gt;0,'Deal maths'!Z674,DATE(1990,1,1))))*12+MONTH('Deal maths'!AA674)-MONTH(IF('Deal maths'!Z674&gt;0,'Deal maths'!Z674,DATE(1990,1,1))))/D674)-1)*D674))))),0)</f>
        <v/>
      </c>
      <c r="F674" s="110">
        <f>IF(D674=0,0,'Deal maths'!AB674*D674/12)</f>
        <v/>
      </c>
      <c r="G674" s="108">
        <f>N674+O674</f>
        <v/>
      </c>
      <c r="H674" s="108">
        <f>IFERROR(IF(OR(D674=0,AsAt&lt;E674),0,MIN(N674,INT(((YEAR(AsAt)-YEAR(E674))*12+MONTH(AsAt)-MONTH(E674)-(DAY(AsAt)&lt;MIN(R674,DAY(EOMONTH(AsAt,0)))))/D674)+1)+O674*(AsAt&gt;='Deal maths'!AA674)),0)</f>
        <v/>
      </c>
      <c r="I674" s="108">
        <f>G674-H674</f>
        <v/>
      </c>
      <c r="J674" s="111">
        <f>IF(AND(C674="EIP",I674&gt;0),'Deal maths'!Y674/I674,0)</f>
        <v/>
      </c>
      <c r="K674" s="111">
        <f>IF(AND(C674="Annuity",I674&gt;0),IF(F674&gt;0,'Deal maths'!Y674*F674/(1-(1+F674)^-I674),'Deal maths'!Y674/I674),0)</f>
        <v/>
      </c>
      <c r="L674" s="111">
        <f>IF('Deal maths'!Y674="",0,'Deal maths'!Y674)</f>
        <v/>
      </c>
      <c r="M674" s="112">
        <f>F674+(F674=0)</f>
        <v/>
      </c>
      <c r="N674" s="108">
        <f>IFERROR(IF(D674=0,0,INT(((YEAR('Deal maths'!AA674)-YEAR(E674))*12+MONTH('Deal maths'!AA674)-MONTH(E674)-(DAY('Deal maths'!AA674)&lt;MIN(R674,DAY(EOMONTH('Deal maths'!AA674,0)))))/D674)+1),0)</f>
        <v/>
      </c>
      <c r="O674" s="108">
        <f>IFERROR(IF(D674=0,0,IF(IF(DAY(E674+1)=1,EOMONTH(E674,(N674-1)*D674),EDATE(E674,(N674-1)*D674))='Deal maths'!AA674,0,1)),0)</f>
        <v/>
      </c>
      <c r="P674" s="113">
        <f>IF(B674=0,0,IFERROR(IF(C674="EIP",((I674-O674)*((IF(DAY(E674+1)=1,EOMONTH(E674,H674*D674),EDATE(E674,H674*D674))-AsAt)/365.25+(IF(DAY(E674+1)=1,EOMONTH(E674,(N674-1)*D674),EDATE(E674,(N674-1)*D674))-AsAt)/365.25)/2+O674*('Deal maths'!AA674-AsAt)/365.25)/I674,IF(C674="Annuity",IF(F674&gt;0,((K674-L674*F674)*((IF(DAY(E674+1)=1,EOMONTH(E674,H674*D674),EDATE(E674,H674*D674))-AsAt)/365.25*((1+F674)^(I674-O674)-1)/F674+IF((I674-O674)&gt;1,((IF(DAY(E674+1)=1,EOMONTH(E674,(N674-1)*D674),EDATE(E674,(N674-1)*D674))-AsAt)/365.25-(IF(DAY(E674+1)=1,EOMONTH(E674,H674*D674),EDATE(E674,H674*D674))-AsAt)/365.25)/((I674-O674)-1),0)*(1+F674)*(1-(I674-O674)*(1+F674)^((I674-O674)-1)+((I674-O674)-1)*(1+F674)^(I674-O674))/F674^2)+O674*(K674-L674*F674)*(1+F674)^(I674-1)*('Deal maths'!AA674-AsAt)/365.25)/L674,((I674-O674)*((IF(DAY(E674+1)=1,EOMONTH(E674,H674*D674),EDATE(E674,H674*D674))-AsAt)/365.25+(IF(DAY(E674+1)=1,EOMONTH(E674,(N674-1)*D674),EDATE(E674,(N674-1)*D674))-AsAt)/365.25)/2+O674*('Deal maths'!AA674-AsAt)/365.25)/I674),(S674-AsAt)/365.25)),0))</f>
        <v/>
      </c>
      <c r="Q674" s="109">
        <f>IF(B674=1,'Deal maths'!AA674+ROW()/1000000,"")</f>
        <v/>
      </c>
      <c r="R674" s="108">
        <f>IF(D674=0,0,IF(DAY(E674+1)=1,31,DAY(E674)))</f>
        <v/>
      </c>
      <c r="S674" s="109">
        <f>IF(AND('Deal maths'!V674="LOBO",'Deal maths'!AG674&gt;AsAt,'Deal maths'!AG674&lt;'Deal maths'!AA674),'Deal maths'!AG674,'Deal maths'!AA674)</f>
        <v/>
      </c>
      <c r="T674" s="108">
        <f>('Deal maths'!AA674&gt;AsAt)*('Deal maths'!Y674&gt;0)</f>
        <v/>
      </c>
    </row>
    <row r="675">
      <c r="A675" s="91">
        <f>IF('Deal maths'!V675="","",'Deal maths'!W675)</f>
        <v/>
      </c>
      <c r="B675" s="108">
        <f>('Deal maths'!AA675&gt;AsAt)*('Deal maths'!Y675&gt;0)*('Deal maths'!Z675&lt;=AsAt)</f>
        <v/>
      </c>
      <c r="C675" s="91">
        <f>IF('Deal maths'!V675="","",IF('Deal maths'!AC675="","Maturity",'Deal maths'!AC675))</f>
        <v/>
      </c>
      <c r="D675" s="108">
        <f>IF(OR(C675="EIP",C675="Annuity"),IF('Deal maths'!AD675="Annual",12,IF('Deal maths'!AD675="Quarterly",3,6)),0)</f>
        <v/>
      </c>
      <c r="E675" s="109">
        <f>IFERROR(IF(D675=0,0,IF('Deal maths'!AE675&gt;0,IF('Deal maths'!AE675&gt;'Deal maths'!AA675,'Deal maths'!AA675,'Deal maths'!AE675),IF(IF(DAY('Deal maths'!AA675+1)=1,EOMONTH('Deal maths'!AA675,-(INT(((YEAR('Deal maths'!AA675)-YEAR(IF('Deal maths'!Z675&gt;0,'Deal maths'!Z675,DATE(1990,1,1))))*12+MONTH('Deal maths'!AA675)-MONTH(IF('Deal maths'!Z675&gt;0,'Deal maths'!Z675,DATE(1990,1,1))))/D675))*D675),EDATE('Deal maths'!AA675,-(INT(((YEAR('Deal maths'!AA675)-YEAR(IF('Deal maths'!Z675&gt;0,'Deal maths'!Z675,DATE(1990,1,1))))*12+MONTH('Deal maths'!AA675)-MONTH(IF('Deal maths'!Z675&gt;0,'Deal maths'!Z675,DATE(1990,1,1))))/D675))*D675))&gt;IF('Deal maths'!Z675&gt;0,'Deal maths'!Z675,DATE(1990,1,1)),IF(DAY('Deal maths'!AA675+1)=1,EOMONTH('Deal maths'!AA675,-(INT(((YEAR('Deal maths'!AA675)-YEAR(IF('Deal maths'!Z675&gt;0,'Deal maths'!Z675,DATE(1990,1,1))))*12+MONTH('Deal maths'!AA675)-MONTH(IF('Deal maths'!Z675&gt;0,'Deal maths'!Z675,DATE(1990,1,1))))/D675))*D675),EDATE('Deal maths'!AA675,-(INT(((YEAR('Deal maths'!AA675)-YEAR(IF('Deal maths'!Z675&gt;0,'Deal maths'!Z675,DATE(1990,1,1))))*12+MONTH('Deal maths'!AA675)-MONTH(IF('Deal maths'!Z675&gt;0,'Deal maths'!Z675,DATE(1990,1,1))))/D675))*D675)),IF(DAY('Deal maths'!AA675+1)=1,EOMONTH('Deal maths'!AA675,-(INT(((YEAR('Deal maths'!AA675)-YEAR(IF('Deal maths'!Z675&gt;0,'Deal maths'!Z675,DATE(1990,1,1))))*12+MONTH('Deal maths'!AA675)-MONTH(IF('Deal maths'!Z675&gt;0,'Deal maths'!Z675,DATE(1990,1,1))))/D675)-1)*D675),EDATE('Deal maths'!AA675,-(INT(((YEAR('Deal maths'!AA675)-YEAR(IF('Deal maths'!Z675&gt;0,'Deal maths'!Z675,DATE(1990,1,1))))*12+MONTH('Deal maths'!AA675)-MONTH(IF('Deal maths'!Z675&gt;0,'Deal maths'!Z675,DATE(1990,1,1))))/D675)-1)*D675))))),0)</f>
        <v/>
      </c>
      <c r="F675" s="110">
        <f>IF(D675=0,0,'Deal maths'!AB675*D675/12)</f>
        <v/>
      </c>
      <c r="G675" s="108">
        <f>N675+O675</f>
        <v/>
      </c>
      <c r="H675" s="108">
        <f>IFERROR(IF(OR(D675=0,AsAt&lt;E675),0,MIN(N675,INT(((YEAR(AsAt)-YEAR(E675))*12+MONTH(AsAt)-MONTH(E675)-(DAY(AsAt)&lt;MIN(R675,DAY(EOMONTH(AsAt,0)))))/D675)+1)+O675*(AsAt&gt;='Deal maths'!AA675)),0)</f>
        <v/>
      </c>
      <c r="I675" s="108">
        <f>G675-H675</f>
        <v/>
      </c>
      <c r="J675" s="111">
        <f>IF(AND(C675="EIP",I675&gt;0),'Deal maths'!Y675/I675,0)</f>
        <v/>
      </c>
      <c r="K675" s="111">
        <f>IF(AND(C675="Annuity",I675&gt;0),IF(F675&gt;0,'Deal maths'!Y675*F675/(1-(1+F675)^-I675),'Deal maths'!Y675/I675),0)</f>
        <v/>
      </c>
      <c r="L675" s="111">
        <f>IF('Deal maths'!Y675="",0,'Deal maths'!Y675)</f>
        <v/>
      </c>
      <c r="M675" s="112">
        <f>F675+(F675=0)</f>
        <v/>
      </c>
      <c r="N675" s="108">
        <f>IFERROR(IF(D675=0,0,INT(((YEAR('Deal maths'!AA675)-YEAR(E675))*12+MONTH('Deal maths'!AA675)-MONTH(E675)-(DAY('Deal maths'!AA675)&lt;MIN(R675,DAY(EOMONTH('Deal maths'!AA675,0)))))/D675)+1),0)</f>
        <v/>
      </c>
      <c r="O675" s="108">
        <f>IFERROR(IF(D675=0,0,IF(IF(DAY(E675+1)=1,EOMONTH(E675,(N675-1)*D675),EDATE(E675,(N675-1)*D675))='Deal maths'!AA675,0,1)),0)</f>
        <v/>
      </c>
      <c r="P675" s="113">
        <f>IF(B675=0,0,IFERROR(IF(C675="EIP",((I675-O675)*((IF(DAY(E675+1)=1,EOMONTH(E675,H675*D675),EDATE(E675,H675*D675))-AsAt)/365.25+(IF(DAY(E675+1)=1,EOMONTH(E675,(N675-1)*D675),EDATE(E675,(N675-1)*D675))-AsAt)/365.25)/2+O675*('Deal maths'!AA675-AsAt)/365.25)/I675,IF(C675="Annuity",IF(F675&gt;0,((K675-L675*F675)*((IF(DAY(E675+1)=1,EOMONTH(E675,H675*D675),EDATE(E675,H675*D675))-AsAt)/365.25*((1+F675)^(I675-O675)-1)/F675+IF((I675-O675)&gt;1,((IF(DAY(E675+1)=1,EOMONTH(E675,(N675-1)*D675),EDATE(E675,(N675-1)*D675))-AsAt)/365.25-(IF(DAY(E675+1)=1,EOMONTH(E675,H675*D675),EDATE(E675,H675*D675))-AsAt)/365.25)/((I675-O675)-1),0)*(1+F675)*(1-(I675-O675)*(1+F675)^((I675-O675)-1)+((I675-O675)-1)*(1+F675)^(I675-O675))/F675^2)+O675*(K675-L675*F675)*(1+F675)^(I675-1)*('Deal maths'!AA675-AsAt)/365.25)/L675,((I675-O675)*((IF(DAY(E675+1)=1,EOMONTH(E675,H675*D675),EDATE(E675,H675*D675))-AsAt)/365.25+(IF(DAY(E675+1)=1,EOMONTH(E675,(N675-1)*D675),EDATE(E675,(N675-1)*D675))-AsAt)/365.25)/2+O675*('Deal maths'!AA675-AsAt)/365.25)/I675),(S675-AsAt)/365.25)),0))</f>
        <v/>
      </c>
      <c r="Q675" s="109">
        <f>IF(B675=1,'Deal maths'!AA675+ROW()/1000000,"")</f>
        <v/>
      </c>
      <c r="R675" s="108">
        <f>IF(D675=0,0,IF(DAY(E675+1)=1,31,DAY(E675)))</f>
        <v/>
      </c>
      <c r="S675" s="109">
        <f>IF(AND('Deal maths'!V675="LOBO",'Deal maths'!AG675&gt;AsAt,'Deal maths'!AG675&lt;'Deal maths'!AA675),'Deal maths'!AG675,'Deal maths'!AA675)</f>
        <v/>
      </c>
      <c r="T675" s="108">
        <f>('Deal maths'!AA675&gt;AsAt)*('Deal maths'!Y675&gt;0)</f>
        <v/>
      </c>
    </row>
    <row r="676">
      <c r="A676" s="91">
        <f>IF('Deal maths'!V676="","",'Deal maths'!W676)</f>
        <v/>
      </c>
      <c r="B676" s="108">
        <f>('Deal maths'!AA676&gt;AsAt)*('Deal maths'!Y676&gt;0)*('Deal maths'!Z676&lt;=AsAt)</f>
        <v/>
      </c>
      <c r="C676" s="91">
        <f>IF('Deal maths'!V676="","",IF('Deal maths'!AC676="","Maturity",'Deal maths'!AC676))</f>
        <v/>
      </c>
      <c r="D676" s="108">
        <f>IF(OR(C676="EIP",C676="Annuity"),IF('Deal maths'!AD676="Annual",12,IF('Deal maths'!AD676="Quarterly",3,6)),0)</f>
        <v/>
      </c>
      <c r="E676" s="109">
        <f>IFERROR(IF(D676=0,0,IF('Deal maths'!AE676&gt;0,IF('Deal maths'!AE676&gt;'Deal maths'!AA676,'Deal maths'!AA676,'Deal maths'!AE676),IF(IF(DAY('Deal maths'!AA676+1)=1,EOMONTH('Deal maths'!AA676,-(INT(((YEAR('Deal maths'!AA676)-YEAR(IF('Deal maths'!Z676&gt;0,'Deal maths'!Z676,DATE(1990,1,1))))*12+MONTH('Deal maths'!AA676)-MONTH(IF('Deal maths'!Z676&gt;0,'Deal maths'!Z676,DATE(1990,1,1))))/D676))*D676),EDATE('Deal maths'!AA676,-(INT(((YEAR('Deal maths'!AA676)-YEAR(IF('Deal maths'!Z676&gt;0,'Deal maths'!Z676,DATE(1990,1,1))))*12+MONTH('Deal maths'!AA676)-MONTH(IF('Deal maths'!Z676&gt;0,'Deal maths'!Z676,DATE(1990,1,1))))/D676))*D676))&gt;IF('Deal maths'!Z676&gt;0,'Deal maths'!Z676,DATE(1990,1,1)),IF(DAY('Deal maths'!AA676+1)=1,EOMONTH('Deal maths'!AA676,-(INT(((YEAR('Deal maths'!AA676)-YEAR(IF('Deal maths'!Z676&gt;0,'Deal maths'!Z676,DATE(1990,1,1))))*12+MONTH('Deal maths'!AA676)-MONTH(IF('Deal maths'!Z676&gt;0,'Deal maths'!Z676,DATE(1990,1,1))))/D676))*D676),EDATE('Deal maths'!AA676,-(INT(((YEAR('Deal maths'!AA676)-YEAR(IF('Deal maths'!Z676&gt;0,'Deal maths'!Z676,DATE(1990,1,1))))*12+MONTH('Deal maths'!AA676)-MONTH(IF('Deal maths'!Z676&gt;0,'Deal maths'!Z676,DATE(1990,1,1))))/D676))*D676)),IF(DAY('Deal maths'!AA676+1)=1,EOMONTH('Deal maths'!AA676,-(INT(((YEAR('Deal maths'!AA676)-YEAR(IF('Deal maths'!Z676&gt;0,'Deal maths'!Z676,DATE(1990,1,1))))*12+MONTH('Deal maths'!AA676)-MONTH(IF('Deal maths'!Z676&gt;0,'Deal maths'!Z676,DATE(1990,1,1))))/D676)-1)*D676),EDATE('Deal maths'!AA676,-(INT(((YEAR('Deal maths'!AA676)-YEAR(IF('Deal maths'!Z676&gt;0,'Deal maths'!Z676,DATE(1990,1,1))))*12+MONTH('Deal maths'!AA676)-MONTH(IF('Deal maths'!Z676&gt;0,'Deal maths'!Z676,DATE(1990,1,1))))/D676)-1)*D676))))),0)</f>
        <v/>
      </c>
      <c r="F676" s="110">
        <f>IF(D676=0,0,'Deal maths'!AB676*D676/12)</f>
        <v/>
      </c>
      <c r="G676" s="108">
        <f>N676+O676</f>
        <v/>
      </c>
      <c r="H676" s="108">
        <f>IFERROR(IF(OR(D676=0,AsAt&lt;E676),0,MIN(N676,INT(((YEAR(AsAt)-YEAR(E676))*12+MONTH(AsAt)-MONTH(E676)-(DAY(AsAt)&lt;MIN(R676,DAY(EOMONTH(AsAt,0)))))/D676)+1)+O676*(AsAt&gt;='Deal maths'!AA676)),0)</f>
        <v/>
      </c>
      <c r="I676" s="108">
        <f>G676-H676</f>
        <v/>
      </c>
      <c r="J676" s="111">
        <f>IF(AND(C676="EIP",I676&gt;0),'Deal maths'!Y676/I676,0)</f>
        <v/>
      </c>
      <c r="K676" s="111">
        <f>IF(AND(C676="Annuity",I676&gt;0),IF(F676&gt;0,'Deal maths'!Y676*F676/(1-(1+F676)^-I676),'Deal maths'!Y676/I676),0)</f>
        <v/>
      </c>
      <c r="L676" s="111">
        <f>IF('Deal maths'!Y676="",0,'Deal maths'!Y676)</f>
        <v/>
      </c>
      <c r="M676" s="112">
        <f>F676+(F676=0)</f>
        <v/>
      </c>
      <c r="N676" s="108">
        <f>IFERROR(IF(D676=0,0,INT(((YEAR('Deal maths'!AA676)-YEAR(E676))*12+MONTH('Deal maths'!AA676)-MONTH(E676)-(DAY('Deal maths'!AA676)&lt;MIN(R676,DAY(EOMONTH('Deal maths'!AA676,0)))))/D676)+1),0)</f>
        <v/>
      </c>
      <c r="O676" s="108">
        <f>IFERROR(IF(D676=0,0,IF(IF(DAY(E676+1)=1,EOMONTH(E676,(N676-1)*D676),EDATE(E676,(N676-1)*D676))='Deal maths'!AA676,0,1)),0)</f>
        <v/>
      </c>
      <c r="P676" s="113">
        <f>IF(B676=0,0,IFERROR(IF(C676="EIP",((I676-O676)*((IF(DAY(E676+1)=1,EOMONTH(E676,H676*D676),EDATE(E676,H676*D676))-AsAt)/365.25+(IF(DAY(E676+1)=1,EOMONTH(E676,(N676-1)*D676),EDATE(E676,(N676-1)*D676))-AsAt)/365.25)/2+O676*('Deal maths'!AA676-AsAt)/365.25)/I676,IF(C676="Annuity",IF(F676&gt;0,((K676-L676*F676)*((IF(DAY(E676+1)=1,EOMONTH(E676,H676*D676),EDATE(E676,H676*D676))-AsAt)/365.25*((1+F676)^(I676-O676)-1)/F676+IF((I676-O676)&gt;1,((IF(DAY(E676+1)=1,EOMONTH(E676,(N676-1)*D676),EDATE(E676,(N676-1)*D676))-AsAt)/365.25-(IF(DAY(E676+1)=1,EOMONTH(E676,H676*D676),EDATE(E676,H676*D676))-AsAt)/365.25)/((I676-O676)-1),0)*(1+F676)*(1-(I676-O676)*(1+F676)^((I676-O676)-1)+((I676-O676)-1)*(1+F676)^(I676-O676))/F676^2)+O676*(K676-L676*F676)*(1+F676)^(I676-1)*('Deal maths'!AA676-AsAt)/365.25)/L676,((I676-O676)*((IF(DAY(E676+1)=1,EOMONTH(E676,H676*D676),EDATE(E676,H676*D676))-AsAt)/365.25+(IF(DAY(E676+1)=1,EOMONTH(E676,(N676-1)*D676),EDATE(E676,(N676-1)*D676))-AsAt)/365.25)/2+O676*('Deal maths'!AA676-AsAt)/365.25)/I676),(S676-AsAt)/365.25)),0))</f>
        <v/>
      </c>
      <c r="Q676" s="109">
        <f>IF(B676=1,'Deal maths'!AA676+ROW()/1000000,"")</f>
        <v/>
      </c>
      <c r="R676" s="108">
        <f>IF(D676=0,0,IF(DAY(E676+1)=1,31,DAY(E676)))</f>
        <v/>
      </c>
      <c r="S676" s="109">
        <f>IF(AND('Deal maths'!V676="LOBO",'Deal maths'!AG676&gt;AsAt,'Deal maths'!AG676&lt;'Deal maths'!AA676),'Deal maths'!AG676,'Deal maths'!AA676)</f>
        <v/>
      </c>
      <c r="T676" s="108">
        <f>('Deal maths'!AA676&gt;AsAt)*('Deal maths'!Y676&gt;0)</f>
        <v/>
      </c>
    </row>
    <row r="677">
      <c r="A677" s="91">
        <f>IF('Deal maths'!V677="","",'Deal maths'!W677)</f>
        <v/>
      </c>
      <c r="B677" s="108">
        <f>('Deal maths'!AA677&gt;AsAt)*('Deal maths'!Y677&gt;0)*('Deal maths'!Z677&lt;=AsAt)</f>
        <v/>
      </c>
      <c r="C677" s="91">
        <f>IF('Deal maths'!V677="","",IF('Deal maths'!AC677="","Maturity",'Deal maths'!AC677))</f>
        <v/>
      </c>
      <c r="D677" s="108">
        <f>IF(OR(C677="EIP",C677="Annuity"),IF('Deal maths'!AD677="Annual",12,IF('Deal maths'!AD677="Quarterly",3,6)),0)</f>
        <v/>
      </c>
      <c r="E677" s="109">
        <f>IFERROR(IF(D677=0,0,IF('Deal maths'!AE677&gt;0,IF('Deal maths'!AE677&gt;'Deal maths'!AA677,'Deal maths'!AA677,'Deal maths'!AE677),IF(IF(DAY('Deal maths'!AA677+1)=1,EOMONTH('Deal maths'!AA677,-(INT(((YEAR('Deal maths'!AA677)-YEAR(IF('Deal maths'!Z677&gt;0,'Deal maths'!Z677,DATE(1990,1,1))))*12+MONTH('Deal maths'!AA677)-MONTH(IF('Deal maths'!Z677&gt;0,'Deal maths'!Z677,DATE(1990,1,1))))/D677))*D677),EDATE('Deal maths'!AA677,-(INT(((YEAR('Deal maths'!AA677)-YEAR(IF('Deal maths'!Z677&gt;0,'Deal maths'!Z677,DATE(1990,1,1))))*12+MONTH('Deal maths'!AA677)-MONTH(IF('Deal maths'!Z677&gt;0,'Deal maths'!Z677,DATE(1990,1,1))))/D677))*D677))&gt;IF('Deal maths'!Z677&gt;0,'Deal maths'!Z677,DATE(1990,1,1)),IF(DAY('Deal maths'!AA677+1)=1,EOMONTH('Deal maths'!AA677,-(INT(((YEAR('Deal maths'!AA677)-YEAR(IF('Deal maths'!Z677&gt;0,'Deal maths'!Z677,DATE(1990,1,1))))*12+MONTH('Deal maths'!AA677)-MONTH(IF('Deal maths'!Z677&gt;0,'Deal maths'!Z677,DATE(1990,1,1))))/D677))*D677),EDATE('Deal maths'!AA677,-(INT(((YEAR('Deal maths'!AA677)-YEAR(IF('Deal maths'!Z677&gt;0,'Deal maths'!Z677,DATE(1990,1,1))))*12+MONTH('Deal maths'!AA677)-MONTH(IF('Deal maths'!Z677&gt;0,'Deal maths'!Z677,DATE(1990,1,1))))/D677))*D677)),IF(DAY('Deal maths'!AA677+1)=1,EOMONTH('Deal maths'!AA677,-(INT(((YEAR('Deal maths'!AA677)-YEAR(IF('Deal maths'!Z677&gt;0,'Deal maths'!Z677,DATE(1990,1,1))))*12+MONTH('Deal maths'!AA677)-MONTH(IF('Deal maths'!Z677&gt;0,'Deal maths'!Z677,DATE(1990,1,1))))/D677)-1)*D677),EDATE('Deal maths'!AA677,-(INT(((YEAR('Deal maths'!AA677)-YEAR(IF('Deal maths'!Z677&gt;0,'Deal maths'!Z677,DATE(1990,1,1))))*12+MONTH('Deal maths'!AA677)-MONTH(IF('Deal maths'!Z677&gt;0,'Deal maths'!Z677,DATE(1990,1,1))))/D677)-1)*D677))))),0)</f>
        <v/>
      </c>
      <c r="F677" s="110">
        <f>IF(D677=0,0,'Deal maths'!AB677*D677/12)</f>
        <v/>
      </c>
      <c r="G677" s="108">
        <f>N677+O677</f>
        <v/>
      </c>
      <c r="H677" s="108">
        <f>IFERROR(IF(OR(D677=0,AsAt&lt;E677),0,MIN(N677,INT(((YEAR(AsAt)-YEAR(E677))*12+MONTH(AsAt)-MONTH(E677)-(DAY(AsAt)&lt;MIN(R677,DAY(EOMONTH(AsAt,0)))))/D677)+1)+O677*(AsAt&gt;='Deal maths'!AA677)),0)</f>
        <v/>
      </c>
      <c r="I677" s="108">
        <f>G677-H677</f>
        <v/>
      </c>
      <c r="J677" s="111">
        <f>IF(AND(C677="EIP",I677&gt;0),'Deal maths'!Y677/I677,0)</f>
        <v/>
      </c>
      <c r="K677" s="111">
        <f>IF(AND(C677="Annuity",I677&gt;0),IF(F677&gt;0,'Deal maths'!Y677*F677/(1-(1+F677)^-I677),'Deal maths'!Y677/I677),0)</f>
        <v/>
      </c>
      <c r="L677" s="111">
        <f>IF('Deal maths'!Y677="",0,'Deal maths'!Y677)</f>
        <v/>
      </c>
      <c r="M677" s="112">
        <f>F677+(F677=0)</f>
        <v/>
      </c>
      <c r="N677" s="108">
        <f>IFERROR(IF(D677=0,0,INT(((YEAR('Deal maths'!AA677)-YEAR(E677))*12+MONTH('Deal maths'!AA677)-MONTH(E677)-(DAY('Deal maths'!AA677)&lt;MIN(R677,DAY(EOMONTH('Deal maths'!AA677,0)))))/D677)+1),0)</f>
        <v/>
      </c>
      <c r="O677" s="108">
        <f>IFERROR(IF(D677=0,0,IF(IF(DAY(E677+1)=1,EOMONTH(E677,(N677-1)*D677),EDATE(E677,(N677-1)*D677))='Deal maths'!AA677,0,1)),0)</f>
        <v/>
      </c>
      <c r="P677" s="113">
        <f>IF(B677=0,0,IFERROR(IF(C677="EIP",((I677-O677)*((IF(DAY(E677+1)=1,EOMONTH(E677,H677*D677),EDATE(E677,H677*D677))-AsAt)/365.25+(IF(DAY(E677+1)=1,EOMONTH(E677,(N677-1)*D677),EDATE(E677,(N677-1)*D677))-AsAt)/365.25)/2+O677*('Deal maths'!AA677-AsAt)/365.25)/I677,IF(C677="Annuity",IF(F677&gt;0,((K677-L677*F677)*((IF(DAY(E677+1)=1,EOMONTH(E677,H677*D677),EDATE(E677,H677*D677))-AsAt)/365.25*((1+F677)^(I677-O677)-1)/F677+IF((I677-O677)&gt;1,((IF(DAY(E677+1)=1,EOMONTH(E677,(N677-1)*D677),EDATE(E677,(N677-1)*D677))-AsAt)/365.25-(IF(DAY(E677+1)=1,EOMONTH(E677,H677*D677),EDATE(E677,H677*D677))-AsAt)/365.25)/((I677-O677)-1),0)*(1+F677)*(1-(I677-O677)*(1+F677)^((I677-O677)-1)+((I677-O677)-1)*(1+F677)^(I677-O677))/F677^2)+O677*(K677-L677*F677)*(1+F677)^(I677-1)*('Deal maths'!AA677-AsAt)/365.25)/L677,((I677-O677)*((IF(DAY(E677+1)=1,EOMONTH(E677,H677*D677),EDATE(E677,H677*D677))-AsAt)/365.25+(IF(DAY(E677+1)=1,EOMONTH(E677,(N677-1)*D677),EDATE(E677,(N677-1)*D677))-AsAt)/365.25)/2+O677*('Deal maths'!AA677-AsAt)/365.25)/I677),(S677-AsAt)/365.25)),0))</f>
        <v/>
      </c>
      <c r="Q677" s="109">
        <f>IF(B677=1,'Deal maths'!AA677+ROW()/1000000,"")</f>
        <v/>
      </c>
      <c r="R677" s="108">
        <f>IF(D677=0,0,IF(DAY(E677+1)=1,31,DAY(E677)))</f>
        <v/>
      </c>
      <c r="S677" s="109">
        <f>IF(AND('Deal maths'!V677="LOBO",'Deal maths'!AG677&gt;AsAt,'Deal maths'!AG677&lt;'Deal maths'!AA677),'Deal maths'!AG677,'Deal maths'!AA677)</f>
        <v/>
      </c>
      <c r="T677" s="108">
        <f>('Deal maths'!AA677&gt;AsAt)*('Deal maths'!Y677&gt;0)</f>
        <v/>
      </c>
    </row>
    <row r="678">
      <c r="A678" s="91">
        <f>IF('Deal maths'!V678="","",'Deal maths'!W678)</f>
        <v/>
      </c>
      <c r="B678" s="108">
        <f>('Deal maths'!AA678&gt;AsAt)*('Deal maths'!Y678&gt;0)*('Deal maths'!Z678&lt;=AsAt)</f>
        <v/>
      </c>
      <c r="C678" s="91">
        <f>IF('Deal maths'!V678="","",IF('Deal maths'!AC678="","Maturity",'Deal maths'!AC678))</f>
        <v/>
      </c>
      <c r="D678" s="108">
        <f>IF(OR(C678="EIP",C678="Annuity"),IF('Deal maths'!AD678="Annual",12,IF('Deal maths'!AD678="Quarterly",3,6)),0)</f>
        <v/>
      </c>
      <c r="E678" s="109">
        <f>IFERROR(IF(D678=0,0,IF('Deal maths'!AE678&gt;0,IF('Deal maths'!AE678&gt;'Deal maths'!AA678,'Deal maths'!AA678,'Deal maths'!AE678),IF(IF(DAY('Deal maths'!AA678+1)=1,EOMONTH('Deal maths'!AA678,-(INT(((YEAR('Deal maths'!AA678)-YEAR(IF('Deal maths'!Z678&gt;0,'Deal maths'!Z678,DATE(1990,1,1))))*12+MONTH('Deal maths'!AA678)-MONTH(IF('Deal maths'!Z678&gt;0,'Deal maths'!Z678,DATE(1990,1,1))))/D678))*D678),EDATE('Deal maths'!AA678,-(INT(((YEAR('Deal maths'!AA678)-YEAR(IF('Deal maths'!Z678&gt;0,'Deal maths'!Z678,DATE(1990,1,1))))*12+MONTH('Deal maths'!AA678)-MONTH(IF('Deal maths'!Z678&gt;0,'Deal maths'!Z678,DATE(1990,1,1))))/D678))*D678))&gt;IF('Deal maths'!Z678&gt;0,'Deal maths'!Z678,DATE(1990,1,1)),IF(DAY('Deal maths'!AA678+1)=1,EOMONTH('Deal maths'!AA678,-(INT(((YEAR('Deal maths'!AA678)-YEAR(IF('Deal maths'!Z678&gt;0,'Deal maths'!Z678,DATE(1990,1,1))))*12+MONTH('Deal maths'!AA678)-MONTH(IF('Deal maths'!Z678&gt;0,'Deal maths'!Z678,DATE(1990,1,1))))/D678))*D678),EDATE('Deal maths'!AA678,-(INT(((YEAR('Deal maths'!AA678)-YEAR(IF('Deal maths'!Z678&gt;0,'Deal maths'!Z678,DATE(1990,1,1))))*12+MONTH('Deal maths'!AA678)-MONTH(IF('Deal maths'!Z678&gt;0,'Deal maths'!Z678,DATE(1990,1,1))))/D678))*D678)),IF(DAY('Deal maths'!AA678+1)=1,EOMONTH('Deal maths'!AA678,-(INT(((YEAR('Deal maths'!AA678)-YEAR(IF('Deal maths'!Z678&gt;0,'Deal maths'!Z678,DATE(1990,1,1))))*12+MONTH('Deal maths'!AA678)-MONTH(IF('Deal maths'!Z678&gt;0,'Deal maths'!Z678,DATE(1990,1,1))))/D678)-1)*D678),EDATE('Deal maths'!AA678,-(INT(((YEAR('Deal maths'!AA678)-YEAR(IF('Deal maths'!Z678&gt;0,'Deal maths'!Z678,DATE(1990,1,1))))*12+MONTH('Deal maths'!AA678)-MONTH(IF('Deal maths'!Z678&gt;0,'Deal maths'!Z678,DATE(1990,1,1))))/D678)-1)*D678))))),0)</f>
        <v/>
      </c>
      <c r="F678" s="110">
        <f>IF(D678=0,0,'Deal maths'!AB678*D678/12)</f>
        <v/>
      </c>
      <c r="G678" s="108">
        <f>N678+O678</f>
        <v/>
      </c>
      <c r="H678" s="108">
        <f>IFERROR(IF(OR(D678=0,AsAt&lt;E678),0,MIN(N678,INT(((YEAR(AsAt)-YEAR(E678))*12+MONTH(AsAt)-MONTH(E678)-(DAY(AsAt)&lt;MIN(R678,DAY(EOMONTH(AsAt,0)))))/D678)+1)+O678*(AsAt&gt;='Deal maths'!AA678)),0)</f>
        <v/>
      </c>
      <c r="I678" s="108">
        <f>G678-H678</f>
        <v/>
      </c>
      <c r="J678" s="111">
        <f>IF(AND(C678="EIP",I678&gt;0),'Deal maths'!Y678/I678,0)</f>
        <v/>
      </c>
      <c r="K678" s="111">
        <f>IF(AND(C678="Annuity",I678&gt;0),IF(F678&gt;0,'Deal maths'!Y678*F678/(1-(1+F678)^-I678),'Deal maths'!Y678/I678),0)</f>
        <v/>
      </c>
      <c r="L678" s="111">
        <f>IF('Deal maths'!Y678="",0,'Deal maths'!Y678)</f>
        <v/>
      </c>
      <c r="M678" s="112">
        <f>F678+(F678=0)</f>
        <v/>
      </c>
      <c r="N678" s="108">
        <f>IFERROR(IF(D678=0,0,INT(((YEAR('Deal maths'!AA678)-YEAR(E678))*12+MONTH('Deal maths'!AA678)-MONTH(E678)-(DAY('Deal maths'!AA678)&lt;MIN(R678,DAY(EOMONTH('Deal maths'!AA678,0)))))/D678)+1),0)</f>
        <v/>
      </c>
      <c r="O678" s="108">
        <f>IFERROR(IF(D678=0,0,IF(IF(DAY(E678+1)=1,EOMONTH(E678,(N678-1)*D678),EDATE(E678,(N678-1)*D678))='Deal maths'!AA678,0,1)),0)</f>
        <v/>
      </c>
      <c r="P678" s="113">
        <f>IF(B678=0,0,IFERROR(IF(C678="EIP",((I678-O678)*((IF(DAY(E678+1)=1,EOMONTH(E678,H678*D678),EDATE(E678,H678*D678))-AsAt)/365.25+(IF(DAY(E678+1)=1,EOMONTH(E678,(N678-1)*D678),EDATE(E678,(N678-1)*D678))-AsAt)/365.25)/2+O678*('Deal maths'!AA678-AsAt)/365.25)/I678,IF(C678="Annuity",IF(F678&gt;0,((K678-L678*F678)*((IF(DAY(E678+1)=1,EOMONTH(E678,H678*D678),EDATE(E678,H678*D678))-AsAt)/365.25*((1+F678)^(I678-O678)-1)/F678+IF((I678-O678)&gt;1,((IF(DAY(E678+1)=1,EOMONTH(E678,(N678-1)*D678),EDATE(E678,(N678-1)*D678))-AsAt)/365.25-(IF(DAY(E678+1)=1,EOMONTH(E678,H678*D678),EDATE(E678,H678*D678))-AsAt)/365.25)/((I678-O678)-1),0)*(1+F678)*(1-(I678-O678)*(1+F678)^((I678-O678)-1)+((I678-O678)-1)*(1+F678)^(I678-O678))/F678^2)+O678*(K678-L678*F678)*(1+F678)^(I678-1)*('Deal maths'!AA678-AsAt)/365.25)/L678,((I678-O678)*((IF(DAY(E678+1)=1,EOMONTH(E678,H678*D678),EDATE(E678,H678*D678))-AsAt)/365.25+(IF(DAY(E678+1)=1,EOMONTH(E678,(N678-1)*D678),EDATE(E678,(N678-1)*D678))-AsAt)/365.25)/2+O678*('Deal maths'!AA678-AsAt)/365.25)/I678),(S678-AsAt)/365.25)),0))</f>
        <v/>
      </c>
      <c r="Q678" s="109">
        <f>IF(B678=1,'Deal maths'!AA678+ROW()/1000000,"")</f>
        <v/>
      </c>
      <c r="R678" s="108">
        <f>IF(D678=0,0,IF(DAY(E678+1)=1,31,DAY(E678)))</f>
        <v/>
      </c>
      <c r="S678" s="109">
        <f>IF(AND('Deal maths'!V678="LOBO",'Deal maths'!AG678&gt;AsAt,'Deal maths'!AG678&lt;'Deal maths'!AA678),'Deal maths'!AG678,'Deal maths'!AA678)</f>
        <v/>
      </c>
      <c r="T678" s="108">
        <f>('Deal maths'!AA678&gt;AsAt)*('Deal maths'!Y678&gt;0)</f>
        <v/>
      </c>
    </row>
    <row r="679">
      <c r="A679" s="91">
        <f>IF('Deal maths'!V679="","",'Deal maths'!W679)</f>
        <v/>
      </c>
      <c r="B679" s="108">
        <f>('Deal maths'!AA679&gt;AsAt)*('Deal maths'!Y679&gt;0)*('Deal maths'!Z679&lt;=AsAt)</f>
        <v/>
      </c>
      <c r="C679" s="91">
        <f>IF('Deal maths'!V679="","",IF('Deal maths'!AC679="","Maturity",'Deal maths'!AC679))</f>
        <v/>
      </c>
      <c r="D679" s="108">
        <f>IF(OR(C679="EIP",C679="Annuity"),IF('Deal maths'!AD679="Annual",12,IF('Deal maths'!AD679="Quarterly",3,6)),0)</f>
        <v/>
      </c>
      <c r="E679" s="109">
        <f>IFERROR(IF(D679=0,0,IF('Deal maths'!AE679&gt;0,IF('Deal maths'!AE679&gt;'Deal maths'!AA679,'Deal maths'!AA679,'Deal maths'!AE679),IF(IF(DAY('Deal maths'!AA679+1)=1,EOMONTH('Deal maths'!AA679,-(INT(((YEAR('Deal maths'!AA679)-YEAR(IF('Deal maths'!Z679&gt;0,'Deal maths'!Z679,DATE(1990,1,1))))*12+MONTH('Deal maths'!AA679)-MONTH(IF('Deal maths'!Z679&gt;0,'Deal maths'!Z679,DATE(1990,1,1))))/D679))*D679),EDATE('Deal maths'!AA679,-(INT(((YEAR('Deal maths'!AA679)-YEAR(IF('Deal maths'!Z679&gt;0,'Deal maths'!Z679,DATE(1990,1,1))))*12+MONTH('Deal maths'!AA679)-MONTH(IF('Deal maths'!Z679&gt;0,'Deal maths'!Z679,DATE(1990,1,1))))/D679))*D679))&gt;IF('Deal maths'!Z679&gt;0,'Deal maths'!Z679,DATE(1990,1,1)),IF(DAY('Deal maths'!AA679+1)=1,EOMONTH('Deal maths'!AA679,-(INT(((YEAR('Deal maths'!AA679)-YEAR(IF('Deal maths'!Z679&gt;0,'Deal maths'!Z679,DATE(1990,1,1))))*12+MONTH('Deal maths'!AA679)-MONTH(IF('Deal maths'!Z679&gt;0,'Deal maths'!Z679,DATE(1990,1,1))))/D679))*D679),EDATE('Deal maths'!AA679,-(INT(((YEAR('Deal maths'!AA679)-YEAR(IF('Deal maths'!Z679&gt;0,'Deal maths'!Z679,DATE(1990,1,1))))*12+MONTH('Deal maths'!AA679)-MONTH(IF('Deal maths'!Z679&gt;0,'Deal maths'!Z679,DATE(1990,1,1))))/D679))*D679)),IF(DAY('Deal maths'!AA679+1)=1,EOMONTH('Deal maths'!AA679,-(INT(((YEAR('Deal maths'!AA679)-YEAR(IF('Deal maths'!Z679&gt;0,'Deal maths'!Z679,DATE(1990,1,1))))*12+MONTH('Deal maths'!AA679)-MONTH(IF('Deal maths'!Z679&gt;0,'Deal maths'!Z679,DATE(1990,1,1))))/D679)-1)*D679),EDATE('Deal maths'!AA679,-(INT(((YEAR('Deal maths'!AA679)-YEAR(IF('Deal maths'!Z679&gt;0,'Deal maths'!Z679,DATE(1990,1,1))))*12+MONTH('Deal maths'!AA679)-MONTH(IF('Deal maths'!Z679&gt;0,'Deal maths'!Z679,DATE(1990,1,1))))/D679)-1)*D679))))),0)</f>
        <v/>
      </c>
      <c r="F679" s="110">
        <f>IF(D679=0,0,'Deal maths'!AB679*D679/12)</f>
        <v/>
      </c>
      <c r="G679" s="108">
        <f>N679+O679</f>
        <v/>
      </c>
      <c r="H679" s="108">
        <f>IFERROR(IF(OR(D679=0,AsAt&lt;E679),0,MIN(N679,INT(((YEAR(AsAt)-YEAR(E679))*12+MONTH(AsAt)-MONTH(E679)-(DAY(AsAt)&lt;MIN(R679,DAY(EOMONTH(AsAt,0)))))/D679)+1)+O679*(AsAt&gt;='Deal maths'!AA679)),0)</f>
        <v/>
      </c>
      <c r="I679" s="108">
        <f>G679-H679</f>
        <v/>
      </c>
      <c r="J679" s="111">
        <f>IF(AND(C679="EIP",I679&gt;0),'Deal maths'!Y679/I679,0)</f>
        <v/>
      </c>
      <c r="K679" s="111">
        <f>IF(AND(C679="Annuity",I679&gt;0),IF(F679&gt;0,'Deal maths'!Y679*F679/(1-(1+F679)^-I679),'Deal maths'!Y679/I679),0)</f>
        <v/>
      </c>
      <c r="L679" s="111">
        <f>IF('Deal maths'!Y679="",0,'Deal maths'!Y679)</f>
        <v/>
      </c>
      <c r="M679" s="112">
        <f>F679+(F679=0)</f>
        <v/>
      </c>
      <c r="N679" s="108">
        <f>IFERROR(IF(D679=0,0,INT(((YEAR('Deal maths'!AA679)-YEAR(E679))*12+MONTH('Deal maths'!AA679)-MONTH(E679)-(DAY('Deal maths'!AA679)&lt;MIN(R679,DAY(EOMONTH('Deal maths'!AA679,0)))))/D679)+1),0)</f>
        <v/>
      </c>
      <c r="O679" s="108">
        <f>IFERROR(IF(D679=0,0,IF(IF(DAY(E679+1)=1,EOMONTH(E679,(N679-1)*D679),EDATE(E679,(N679-1)*D679))='Deal maths'!AA679,0,1)),0)</f>
        <v/>
      </c>
      <c r="P679" s="113">
        <f>IF(B679=0,0,IFERROR(IF(C679="EIP",((I679-O679)*((IF(DAY(E679+1)=1,EOMONTH(E679,H679*D679),EDATE(E679,H679*D679))-AsAt)/365.25+(IF(DAY(E679+1)=1,EOMONTH(E679,(N679-1)*D679),EDATE(E679,(N679-1)*D679))-AsAt)/365.25)/2+O679*('Deal maths'!AA679-AsAt)/365.25)/I679,IF(C679="Annuity",IF(F679&gt;0,((K679-L679*F679)*((IF(DAY(E679+1)=1,EOMONTH(E679,H679*D679),EDATE(E679,H679*D679))-AsAt)/365.25*((1+F679)^(I679-O679)-1)/F679+IF((I679-O679)&gt;1,((IF(DAY(E679+1)=1,EOMONTH(E679,(N679-1)*D679),EDATE(E679,(N679-1)*D679))-AsAt)/365.25-(IF(DAY(E679+1)=1,EOMONTH(E679,H679*D679),EDATE(E679,H679*D679))-AsAt)/365.25)/((I679-O679)-1),0)*(1+F679)*(1-(I679-O679)*(1+F679)^((I679-O679)-1)+((I679-O679)-1)*(1+F679)^(I679-O679))/F679^2)+O679*(K679-L679*F679)*(1+F679)^(I679-1)*('Deal maths'!AA679-AsAt)/365.25)/L679,((I679-O679)*((IF(DAY(E679+1)=1,EOMONTH(E679,H679*D679),EDATE(E679,H679*D679))-AsAt)/365.25+(IF(DAY(E679+1)=1,EOMONTH(E679,(N679-1)*D679),EDATE(E679,(N679-1)*D679))-AsAt)/365.25)/2+O679*('Deal maths'!AA679-AsAt)/365.25)/I679),(S679-AsAt)/365.25)),0))</f>
        <v/>
      </c>
      <c r="Q679" s="109">
        <f>IF(B679=1,'Deal maths'!AA679+ROW()/1000000,"")</f>
        <v/>
      </c>
      <c r="R679" s="108">
        <f>IF(D679=0,0,IF(DAY(E679+1)=1,31,DAY(E679)))</f>
        <v/>
      </c>
      <c r="S679" s="109">
        <f>IF(AND('Deal maths'!V679="LOBO",'Deal maths'!AG679&gt;AsAt,'Deal maths'!AG679&lt;'Deal maths'!AA679),'Deal maths'!AG679,'Deal maths'!AA679)</f>
        <v/>
      </c>
      <c r="T679" s="108">
        <f>('Deal maths'!AA679&gt;AsAt)*('Deal maths'!Y679&gt;0)</f>
        <v/>
      </c>
    </row>
    <row r="680">
      <c r="A680" s="91">
        <f>IF('Deal maths'!V680="","",'Deal maths'!W680)</f>
        <v/>
      </c>
      <c r="B680" s="108">
        <f>('Deal maths'!AA680&gt;AsAt)*('Deal maths'!Y680&gt;0)*('Deal maths'!Z680&lt;=AsAt)</f>
        <v/>
      </c>
      <c r="C680" s="91">
        <f>IF('Deal maths'!V680="","",IF('Deal maths'!AC680="","Maturity",'Deal maths'!AC680))</f>
        <v/>
      </c>
      <c r="D680" s="108">
        <f>IF(OR(C680="EIP",C680="Annuity"),IF('Deal maths'!AD680="Annual",12,IF('Deal maths'!AD680="Quarterly",3,6)),0)</f>
        <v/>
      </c>
      <c r="E680" s="109">
        <f>IFERROR(IF(D680=0,0,IF('Deal maths'!AE680&gt;0,IF('Deal maths'!AE680&gt;'Deal maths'!AA680,'Deal maths'!AA680,'Deal maths'!AE680),IF(IF(DAY('Deal maths'!AA680+1)=1,EOMONTH('Deal maths'!AA680,-(INT(((YEAR('Deal maths'!AA680)-YEAR(IF('Deal maths'!Z680&gt;0,'Deal maths'!Z680,DATE(1990,1,1))))*12+MONTH('Deal maths'!AA680)-MONTH(IF('Deal maths'!Z680&gt;0,'Deal maths'!Z680,DATE(1990,1,1))))/D680))*D680),EDATE('Deal maths'!AA680,-(INT(((YEAR('Deal maths'!AA680)-YEAR(IF('Deal maths'!Z680&gt;0,'Deal maths'!Z680,DATE(1990,1,1))))*12+MONTH('Deal maths'!AA680)-MONTH(IF('Deal maths'!Z680&gt;0,'Deal maths'!Z680,DATE(1990,1,1))))/D680))*D680))&gt;IF('Deal maths'!Z680&gt;0,'Deal maths'!Z680,DATE(1990,1,1)),IF(DAY('Deal maths'!AA680+1)=1,EOMONTH('Deal maths'!AA680,-(INT(((YEAR('Deal maths'!AA680)-YEAR(IF('Deal maths'!Z680&gt;0,'Deal maths'!Z680,DATE(1990,1,1))))*12+MONTH('Deal maths'!AA680)-MONTH(IF('Deal maths'!Z680&gt;0,'Deal maths'!Z680,DATE(1990,1,1))))/D680))*D680),EDATE('Deal maths'!AA680,-(INT(((YEAR('Deal maths'!AA680)-YEAR(IF('Deal maths'!Z680&gt;0,'Deal maths'!Z680,DATE(1990,1,1))))*12+MONTH('Deal maths'!AA680)-MONTH(IF('Deal maths'!Z680&gt;0,'Deal maths'!Z680,DATE(1990,1,1))))/D680))*D680)),IF(DAY('Deal maths'!AA680+1)=1,EOMONTH('Deal maths'!AA680,-(INT(((YEAR('Deal maths'!AA680)-YEAR(IF('Deal maths'!Z680&gt;0,'Deal maths'!Z680,DATE(1990,1,1))))*12+MONTH('Deal maths'!AA680)-MONTH(IF('Deal maths'!Z680&gt;0,'Deal maths'!Z680,DATE(1990,1,1))))/D680)-1)*D680),EDATE('Deal maths'!AA680,-(INT(((YEAR('Deal maths'!AA680)-YEAR(IF('Deal maths'!Z680&gt;0,'Deal maths'!Z680,DATE(1990,1,1))))*12+MONTH('Deal maths'!AA680)-MONTH(IF('Deal maths'!Z680&gt;0,'Deal maths'!Z680,DATE(1990,1,1))))/D680)-1)*D680))))),0)</f>
        <v/>
      </c>
      <c r="F680" s="110">
        <f>IF(D680=0,0,'Deal maths'!AB680*D680/12)</f>
        <v/>
      </c>
      <c r="G680" s="108">
        <f>N680+O680</f>
        <v/>
      </c>
      <c r="H680" s="108">
        <f>IFERROR(IF(OR(D680=0,AsAt&lt;E680),0,MIN(N680,INT(((YEAR(AsAt)-YEAR(E680))*12+MONTH(AsAt)-MONTH(E680)-(DAY(AsAt)&lt;MIN(R680,DAY(EOMONTH(AsAt,0)))))/D680)+1)+O680*(AsAt&gt;='Deal maths'!AA680)),0)</f>
        <v/>
      </c>
      <c r="I680" s="108">
        <f>G680-H680</f>
        <v/>
      </c>
      <c r="J680" s="111">
        <f>IF(AND(C680="EIP",I680&gt;0),'Deal maths'!Y680/I680,0)</f>
        <v/>
      </c>
      <c r="K680" s="111">
        <f>IF(AND(C680="Annuity",I680&gt;0),IF(F680&gt;0,'Deal maths'!Y680*F680/(1-(1+F680)^-I680),'Deal maths'!Y680/I680),0)</f>
        <v/>
      </c>
      <c r="L680" s="111">
        <f>IF('Deal maths'!Y680="",0,'Deal maths'!Y680)</f>
        <v/>
      </c>
      <c r="M680" s="112">
        <f>F680+(F680=0)</f>
        <v/>
      </c>
      <c r="N680" s="108">
        <f>IFERROR(IF(D680=0,0,INT(((YEAR('Deal maths'!AA680)-YEAR(E680))*12+MONTH('Deal maths'!AA680)-MONTH(E680)-(DAY('Deal maths'!AA680)&lt;MIN(R680,DAY(EOMONTH('Deal maths'!AA680,0)))))/D680)+1),0)</f>
        <v/>
      </c>
      <c r="O680" s="108">
        <f>IFERROR(IF(D680=0,0,IF(IF(DAY(E680+1)=1,EOMONTH(E680,(N680-1)*D680),EDATE(E680,(N680-1)*D680))='Deal maths'!AA680,0,1)),0)</f>
        <v/>
      </c>
      <c r="P680" s="113">
        <f>IF(B680=0,0,IFERROR(IF(C680="EIP",((I680-O680)*((IF(DAY(E680+1)=1,EOMONTH(E680,H680*D680),EDATE(E680,H680*D680))-AsAt)/365.25+(IF(DAY(E680+1)=1,EOMONTH(E680,(N680-1)*D680),EDATE(E680,(N680-1)*D680))-AsAt)/365.25)/2+O680*('Deal maths'!AA680-AsAt)/365.25)/I680,IF(C680="Annuity",IF(F680&gt;0,((K680-L680*F680)*((IF(DAY(E680+1)=1,EOMONTH(E680,H680*D680),EDATE(E680,H680*D680))-AsAt)/365.25*((1+F680)^(I680-O680)-1)/F680+IF((I680-O680)&gt;1,((IF(DAY(E680+1)=1,EOMONTH(E680,(N680-1)*D680),EDATE(E680,(N680-1)*D680))-AsAt)/365.25-(IF(DAY(E680+1)=1,EOMONTH(E680,H680*D680),EDATE(E680,H680*D680))-AsAt)/365.25)/((I680-O680)-1),0)*(1+F680)*(1-(I680-O680)*(1+F680)^((I680-O680)-1)+((I680-O680)-1)*(1+F680)^(I680-O680))/F680^2)+O680*(K680-L680*F680)*(1+F680)^(I680-1)*('Deal maths'!AA680-AsAt)/365.25)/L680,((I680-O680)*((IF(DAY(E680+1)=1,EOMONTH(E680,H680*D680),EDATE(E680,H680*D680))-AsAt)/365.25+(IF(DAY(E680+1)=1,EOMONTH(E680,(N680-1)*D680),EDATE(E680,(N680-1)*D680))-AsAt)/365.25)/2+O680*('Deal maths'!AA680-AsAt)/365.25)/I680),(S680-AsAt)/365.25)),0))</f>
        <v/>
      </c>
      <c r="Q680" s="109">
        <f>IF(B680=1,'Deal maths'!AA680+ROW()/1000000,"")</f>
        <v/>
      </c>
      <c r="R680" s="108">
        <f>IF(D680=0,0,IF(DAY(E680+1)=1,31,DAY(E680)))</f>
        <v/>
      </c>
      <c r="S680" s="109">
        <f>IF(AND('Deal maths'!V680="LOBO",'Deal maths'!AG680&gt;AsAt,'Deal maths'!AG680&lt;'Deal maths'!AA680),'Deal maths'!AG680,'Deal maths'!AA680)</f>
        <v/>
      </c>
      <c r="T680" s="108">
        <f>('Deal maths'!AA680&gt;AsAt)*('Deal maths'!Y680&gt;0)</f>
        <v/>
      </c>
    </row>
    <row r="681">
      <c r="A681" s="91">
        <f>IF('Deal maths'!V681="","",'Deal maths'!W681)</f>
        <v/>
      </c>
      <c r="B681" s="108">
        <f>('Deal maths'!AA681&gt;AsAt)*('Deal maths'!Y681&gt;0)*('Deal maths'!Z681&lt;=AsAt)</f>
        <v/>
      </c>
      <c r="C681" s="91">
        <f>IF('Deal maths'!V681="","",IF('Deal maths'!AC681="","Maturity",'Deal maths'!AC681))</f>
        <v/>
      </c>
      <c r="D681" s="108">
        <f>IF(OR(C681="EIP",C681="Annuity"),IF('Deal maths'!AD681="Annual",12,IF('Deal maths'!AD681="Quarterly",3,6)),0)</f>
        <v/>
      </c>
      <c r="E681" s="109">
        <f>IFERROR(IF(D681=0,0,IF('Deal maths'!AE681&gt;0,IF('Deal maths'!AE681&gt;'Deal maths'!AA681,'Deal maths'!AA681,'Deal maths'!AE681),IF(IF(DAY('Deal maths'!AA681+1)=1,EOMONTH('Deal maths'!AA681,-(INT(((YEAR('Deal maths'!AA681)-YEAR(IF('Deal maths'!Z681&gt;0,'Deal maths'!Z681,DATE(1990,1,1))))*12+MONTH('Deal maths'!AA681)-MONTH(IF('Deal maths'!Z681&gt;0,'Deal maths'!Z681,DATE(1990,1,1))))/D681))*D681),EDATE('Deal maths'!AA681,-(INT(((YEAR('Deal maths'!AA681)-YEAR(IF('Deal maths'!Z681&gt;0,'Deal maths'!Z681,DATE(1990,1,1))))*12+MONTH('Deal maths'!AA681)-MONTH(IF('Deal maths'!Z681&gt;0,'Deal maths'!Z681,DATE(1990,1,1))))/D681))*D681))&gt;IF('Deal maths'!Z681&gt;0,'Deal maths'!Z681,DATE(1990,1,1)),IF(DAY('Deal maths'!AA681+1)=1,EOMONTH('Deal maths'!AA681,-(INT(((YEAR('Deal maths'!AA681)-YEAR(IF('Deal maths'!Z681&gt;0,'Deal maths'!Z681,DATE(1990,1,1))))*12+MONTH('Deal maths'!AA681)-MONTH(IF('Deal maths'!Z681&gt;0,'Deal maths'!Z681,DATE(1990,1,1))))/D681))*D681),EDATE('Deal maths'!AA681,-(INT(((YEAR('Deal maths'!AA681)-YEAR(IF('Deal maths'!Z681&gt;0,'Deal maths'!Z681,DATE(1990,1,1))))*12+MONTH('Deal maths'!AA681)-MONTH(IF('Deal maths'!Z681&gt;0,'Deal maths'!Z681,DATE(1990,1,1))))/D681))*D681)),IF(DAY('Deal maths'!AA681+1)=1,EOMONTH('Deal maths'!AA681,-(INT(((YEAR('Deal maths'!AA681)-YEAR(IF('Deal maths'!Z681&gt;0,'Deal maths'!Z681,DATE(1990,1,1))))*12+MONTH('Deal maths'!AA681)-MONTH(IF('Deal maths'!Z681&gt;0,'Deal maths'!Z681,DATE(1990,1,1))))/D681)-1)*D681),EDATE('Deal maths'!AA681,-(INT(((YEAR('Deal maths'!AA681)-YEAR(IF('Deal maths'!Z681&gt;0,'Deal maths'!Z681,DATE(1990,1,1))))*12+MONTH('Deal maths'!AA681)-MONTH(IF('Deal maths'!Z681&gt;0,'Deal maths'!Z681,DATE(1990,1,1))))/D681)-1)*D681))))),0)</f>
        <v/>
      </c>
      <c r="F681" s="110">
        <f>IF(D681=0,0,'Deal maths'!AB681*D681/12)</f>
        <v/>
      </c>
      <c r="G681" s="108">
        <f>N681+O681</f>
        <v/>
      </c>
      <c r="H681" s="108">
        <f>IFERROR(IF(OR(D681=0,AsAt&lt;E681),0,MIN(N681,INT(((YEAR(AsAt)-YEAR(E681))*12+MONTH(AsAt)-MONTH(E681)-(DAY(AsAt)&lt;MIN(R681,DAY(EOMONTH(AsAt,0)))))/D681)+1)+O681*(AsAt&gt;='Deal maths'!AA681)),0)</f>
        <v/>
      </c>
      <c r="I681" s="108">
        <f>G681-H681</f>
        <v/>
      </c>
      <c r="J681" s="111">
        <f>IF(AND(C681="EIP",I681&gt;0),'Deal maths'!Y681/I681,0)</f>
        <v/>
      </c>
      <c r="K681" s="111">
        <f>IF(AND(C681="Annuity",I681&gt;0),IF(F681&gt;0,'Deal maths'!Y681*F681/(1-(1+F681)^-I681),'Deal maths'!Y681/I681),0)</f>
        <v/>
      </c>
      <c r="L681" s="111">
        <f>IF('Deal maths'!Y681="",0,'Deal maths'!Y681)</f>
        <v/>
      </c>
      <c r="M681" s="112">
        <f>F681+(F681=0)</f>
        <v/>
      </c>
      <c r="N681" s="108">
        <f>IFERROR(IF(D681=0,0,INT(((YEAR('Deal maths'!AA681)-YEAR(E681))*12+MONTH('Deal maths'!AA681)-MONTH(E681)-(DAY('Deal maths'!AA681)&lt;MIN(R681,DAY(EOMONTH('Deal maths'!AA681,0)))))/D681)+1),0)</f>
        <v/>
      </c>
      <c r="O681" s="108">
        <f>IFERROR(IF(D681=0,0,IF(IF(DAY(E681+1)=1,EOMONTH(E681,(N681-1)*D681),EDATE(E681,(N681-1)*D681))='Deal maths'!AA681,0,1)),0)</f>
        <v/>
      </c>
      <c r="P681" s="113">
        <f>IF(B681=0,0,IFERROR(IF(C681="EIP",((I681-O681)*((IF(DAY(E681+1)=1,EOMONTH(E681,H681*D681),EDATE(E681,H681*D681))-AsAt)/365.25+(IF(DAY(E681+1)=1,EOMONTH(E681,(N681-1)*D681),EDATE(E681,(N681-1)*D681))-AsAt)/365.25)/2+O681*('Deal maths'!AA681-AsAt)/365.25)/I681,IF(C681="Annuity",IF(F681&gt;0,((K681-L681*F681)*((IF(DAY(E681+1)=1,EOMONTH(E681,H681*D681),EDATE(E681,H681*D681))-AsAt)/365.25*((1+F681)^(I681-O681)-1)/F681+IF((I681-O681)&gt;1,((IF(DAY(E681+1)=1,EOMONTH(E681,(N681-1)*D681),EDATE(E681,(N681-1)*D681))-AsAt)/365.25-(IF(DAY(E681+1)=1,EOMONTH(E681,H681*D681),EDATE(E681,H681*D681))-AsAt)/365.25)/((I681-O681)-1),0)*(1+F681)*(1-(I681-O681)*(1+F681)^((I681-O681)-1)+((I681-O681)-1)*(1+F681)^(I681-O681))/F681^2)+O681*(K681-L681*F681)*(1+F681)^(I681-1)*('Deal maths'!AA681-AsAt)/365.25)/L681,((I681-O681)*((IF(DAY(E681+1)=1,EOMONTH(E681,H681*D681),EDATE(E681,H681*D681))-AsAt)/365.25+(IF(DAY(E681+1)=1,EOMONTH(E681,(N681-1)*D681),EDATE(E681,(N681-1)*D681))-AsAt)/365.25)/2+O681*('Deal maths'!AA681-AsAt)/365.25)/I681),(S681-AsAt)/365.25)),0))</f>
        <v/>
      </c>
      <c r="Q681" s="109">
        <f>IF(B681=1,'Deal maths'!AA681+ROW()/1000000,"")</f>
        <v/>
      </c>
      <c r="R681" s="108">
        <f>IF(D681=0,0,IF(DAY(E681+1)=1,31,DAY(E681)))</f>
        <v/>
      </c>
      <c r="S681" s="109">
        <f>IF(AND('Deal maths'!V681="LOBO",'Deal maths'!AG681&gt;AsAt,'Deal maths'!AG681&lt;'Deal maths'!AA681),'Deal maths'!AG681,'Deal maths'!AA681)</f>
        <v/>
      </c>
      <c r="T681" s="108">
        <f>('Deal maths'!AA681&gt;AsAt)*('Deal maths'!Y681&gt;0)</f>
        <v/>
      </c>
    </row>
    <row r="682">
      <c r="A682" s="91">
        <f>IF('Deal maths'!V682="","",'Deal maths'!W682)</f>
        <v/>
      </c>
      <c r="B682" s="108">
        <f>('Deal maths'!AA682&gt;AsAt)*('Deal maths'!Y682&gt;0)*('Deal maths'!Z682&lt;=AsAt)</f>
        <v/>
      </c>
      <c r="C682" s="91">
        <f>IF('Deal maths'!V682="","",IF('Deal maths'!AC682="","Maturity",'Deal maths'!AC682))</f>
        <v/>
      </c>
      <c r="D682" s="108">
        <f>IF(OR(C682="EIP",C682="Annuity"),IF('Deal maths'!AD682="Annual",12,IF('Deal maths'!AD682="Quarterly",3,6)),0)</f>
        <v/>
      </c>
      <c r="E682" s="109">
        <f>IFERROR(IF(D682=0,0,IF('Deal maths'!AE682&gt;0,IF('Deal maths'!AE682&gt;'Deal maths'!AA682,'Deal maths'!AA682,'Deal maths'!AE682),IF(IF(DAY('Deal maths'!AA682+1)=1,EOMONTH('Deal maths'!AA682,-(INT(((YEAR('Deal maths'!AA682)-YEAR(IF('Deal maths'!Z682&gt;0,'Deal maths'!Z682,DATE(1990,1,1))))*12+MONTH('Deal maths'!AA682)-MONTH(IF('Deal maths'!Z682&gt;0,'Deal maths'!Z682,DATE(1990,1,1))))/D682))*D682),EDATE('Deal maths'!AA682,-(INT(((YEAR('Deal maths'!AA682)-YEAR(IF('Deal maths'!Z682&gt;0,'Deal maths'!Z682,DATE(1990,1,1))))*12+MONTH('Deal maths'!AA682)-MONTH(IF('Deal maths'!Z682&gt;0,'Deal maths'!Z682,DATE(1990,1,1))))/D682))*D682))&gt;IF('Deal maths'!Z682&gt;0,'Deal maths'!Z682,DATE(1990,1,1)),IF(DAY('Deal maths'!AA682+1)=1,EOMONTH('Deal maths'!AA682,-(INT(((YEAR('Deal maths'!AA682)-YEAR(IF('Deal maths'!Z682&gt;0,'Deal maths'!Z682,DATE(1990,1,1))))*12+MONTH('Deal maths'!AA682)-MONTH(IF('Deal maths'!Z682&gt;0,'Deal maths'!Z682,DATE(1990,1,1))))/D682))*D682),EDATE('Deal maths'!AA682,-(INT(((YEAR('Deal maths'!AA682)-YEAR(IF('Deal maths'!Z682&gt;0,'Deal maths'!Z682,DATE(1990,1,1))))*12+MONTH('Deal maths'!AA682)-MONTH(IF('Deal maths'!Z682&gt;0,'Deal maths'!Z682,DATE(1990,1,1))))/D682))*D682)),IF(DAY('Deal maths'!AA682+1)=1,EOMONTH('Deal maths'!AA682,-(INT(((YEAR('Deal maths'!AA682)-YEAR(IF('Deal maths'!Z682&gt;0,'Deal maths'!Z682,DATE(1990,1,1))))*12+MONTH('Deal maths'!AA682)-MONTH(IF('Deal maths'!Z682&gt;0,'Deal maths'!Z682,DATE(1990,1,1))))/D682)-1)*D682),EDATE('Deal maths'!AA682,-(INT(((YEAR('Deal maths'!AA682)-YEAR(IF('Deal maths'!Z682&gt;0,'Deal maths'!Z682,DATE(1990,1,1))))*12+MONTH('Deal maths'!AA682)-MONTH(IF('Deal maths'!Z682&gt;0,'Deal maths'!Z682,DATE(1990,1,1))))/D682)-1)*D682))))),0)</f>
        <v/>
      </c>
      <c r="F682" s="110">
        <f>IF(D682=0,0,'Deal maths'!AB682*D682/12)</f>
        <v/>
      </c>
      <c r="G682" s="108">
        <f>N682+O682</f>
        <v/>
      </c>
      <c r="H682" s="108">
        <f>IFERROR(IF(OR(D682=0,AsAt&lt;E682),0,MIN(N682,INT(((YEAR(AsAt)-YEAR(E682))*12+MONTH(AsAt)-MONTH(E682)-(DAY(AsAt)&lt;MIN(R682,DAY(EOMONTH(AsAt,0)))))/D682)+1)+O682*(AsAt&gt;='Deal maths'!AA682)),0)</f>
        <v/>
      </c>
      <c r="I682" s="108">
        <f>G682-H682</f>
        <v/>
      </c>
      <c r="J682" s="111">
        <f>IF(AND(C682="EIP",I682&gt;0),'Deal maths'!Y682/I682,0)</f>
        <v/>
      </c>
      <c r="K682" s="111">
        <f>IF(AND(C682="Annuity",I682&gt;0),IF(F682&gt;0,'Deal maths'!Y682*F682/(1-(1+F682)^-I682),'Deal maths'!Y682/I682),0)</f>
        <v/>
      </c>
      <c r="L682" s="111">
        <f>IF('Deal maths'!Y682="",0,'Deal maths'!Y682)</f>
        <v/>
      </c>
      <c r="M682" s="112">
        <f>F682+(F682=0)</f>
        <v/>
      </c>
      <c r="N682" s="108">
        <f>IFERROR(IF(D682=0,0,INT(((YEAR('Deal maths'!AA682)-YEAR(E682))*12+MONTH('Deal maths'!AA682)-MONTH(E682)-(DAY('Deal maths'!AA682)&lt;MIN(R682,DAY(EOMONTH('Deal maths'!AA682,0)))))/D682)+1),0)</f>
        <v/>
      </c>
      <c r="O682" s="108">
        <f>IFERROR(IF(D682=0,0,IF(IF(DAY(E682+1)=1,EOMONTH(E682,(N682-1)*D682),EDATE(E682,(N682-1)*D682))='Deal maths'!AA682,0,1)),0)</f>
        <v/>
      </c>
      <c r="P682" s="113">
        <f>IF(B682=0,0,IFERROR(IF(C682="EIP",((I682-O682)*((IF(DAY(E682+1)=1,EOMONTH(E682,H682*D682),EDATE(E682,H682*D682))-AsAt)/365.25+(IF(DAY(E682+1)=1,EOMONTH(E682,(N682-1)*D682),EDATE(E682,(N682-1)*D682))-AsAt)/365.25)/2+O682*('Deal maths'!AA682-AsAt)/365.25)/I682,IF(C682="Annuity",IF(F682&gt;0,((K682-L682*F682)*((IF(DAY(E682+1)=1,EOMONTH(E682,H682*D682),EDATE(E682,H682*D682))-AsAt)/365.25*((1+F682)^(I682-O682)-1)/F682+IF((I682-O682)&gt;1,((IF(DAY(E682+1)=1,EOMONTH(E682,(N682-1)*D682),EDATE(E682,(N682-1)*D682))-AsAt)/365.25-(IF(DAY(E682+1)=1,EOMONTH(E682,H682*D682),EDATE(E682,H682*D682))-AsAt)/365.25)/((I682-O682)-1),0)*(1+F682)*(1-(I682-O682)*(1+F682)^((I682-O682)-1)+((I682-O682)-1)*(1+F682)^(I682-O682))/F682^2)+O682*(K682-L682*F682)*(1+F682)^(I682-1)*('Deal maths'!AA682-AsAt)/365.25)/L682,((I682-O682)*((IF(DAY(E682+1)=1,EOMONTH(E682,H682*D682),EDATE(E682,H682*D682))-AsAt)/365.25+(IF(DAY(E682+1)=1,EOMONTH(E682,(N682-1)*D682),EDATE(E682,(N682-1)*D682))-AsAt)/365.25)/2+O682*('Deal maths'!AA682-AsAt)/365.25)/I682),(S682-AsAt)/365.25)),0))</f>
        <v/>
      </c>
      <c r="Q682" s="109">
        <f>IF(B682=1,'Deal maths'!AA682+ROW()/1000000,"")</f>
        <v/>
      </c>
      <c r="R682" s="108">
        <f>IF(D682=0,0,IF(DAY(E682+1)=1,31,DAY(E682)))</f>
        <v/>
      </c>
      <c r="S682" s="109">
        <f>IF(AND('Deal maths'!V682="LOBO",'Deal maths'!AG682&gt;AsAt,'Deal maths'!AG682&lt;'Deal maths'!AA682),'Deal maths'!AG682,'Deal maths'!AA682)</f>
        <v/>
      </c>
      <c r="T682" s="108">
        <f>('Deal maths'!AA682&gt;AsAt)*('Deal maths'!Y682&gt;0)</f>
        <v/>
      </c>
    </row>
    <row r="683">
      <c r="A683" s="91">
        <f>IF('Deal maths'!V683="","",'Deal maths'!W683)</f>
        <v/>
      </c>
      <c r="B683" s="108">
        <f>('Deal maths'!AA683&gt;AsAt)*('Deal maths'!Y683&gt;0)*('Deal maths'!Z683&lt;=AsAt)</f>
        <v/>
      </c>
      <c r="C683" s="91">
        <f>IF('Deal maths'!V683="","",IF('Deal maths'!AC683="","Maturity",'Deal maths'!AC683))</f>
        <v/>
      </c>
      <c r="D683" s="108">
        <f>IF(OR(C683="EIP",C683="Annuity"),IF('Deal maths'!AD683="Annual",12,IF('Deal maths'!AD683="Quarterly",3,6)),0)</f>
        <v/>
      </c>
      <c r="E683" s="109">
        <f>IFERROR(IF(D683=0,0,IF('Deal maths'!AE683&gt;0,IF('Deal maths'!AE683&gt;'Deal maths'!AA683,'Deal maths'!AA683,'Deal maths'!AE683),IF(IF(DAY('Deal maths'!AA683+1)=1,EOMONTH('Deal maths'!AA683,-(INT(((YEAR('Deal maths'!AA683)-YEAR(IF('Deal maths'!Z683&gt;0,'Deal maths'!Z683,DATE(1990,1,1))))*12+MONTH('Deal maths'!AA683)-MONTH(IF('Deal maths'!Z683&gt;0,'Deal maths'!Z683,DATE(1990,1,1))))/D683))*D683),EDATE('Deal maths'!AA683,-(INT(((YEAR('Deal maths'!AA683)-YEAR(IF('Deal maths'!Z683&gt;0,'Deal maths'!Z683,DATE(1990,1,1))))*12+MONTH('Deal maths'!AA683)-MONTH(IF('Deal maths'!Z683&gt;0,'Deal maths'!Z683,DATE(1990,1,1))))/D683))*D683))&gt;IF('Deal maths'!Z683&gt;0,'Deal maths'!Z683,DATE(1990,1,1)),IF(DAY('Deal maths'!AA683+1)=1,EOMONTH('Deal maths'!AA683,-(INT(((YEAR('Deal maths'!AA683)-YEAR(IF('Deal maths'!Z683&gt;0,'Deal maths'!Z683,DATE(1990,1,1))))*12+MONTH('Deal maths'!AA683)-MONTH(IF('Deal maths'!Z683&gt;0,'Deal maths'!Z683,DATE(1990,1,1))))/D683))*D683),EDATE('Deal maths'!AA683,-(INT(((YEAR('Deal maths'!AA683)-YEAR(IF('Deal maths'!Z683&gt;0,'Deal maths'!Z683,DATE(1990,1,1))))*12+MONTH('Deal maths'!AA683)-MONTH(IF('Deal maths'!Z683&gt;0,'Deal maths'!Z683,DATE(1990,1,1))))/D683))*D683)),IF(DAY('Deal maths'!AA683+1)=1,EOMONTH('Deal maths'!AA683,-(INT(((YEAR('Deal maths'!AA683)-YEAR(IF('Deal maths'!Z683&gt;0,'Deal maths'!Z683,DATE(1990,1,1))))*12+MONTH('Deal maths'!AA683)-MONTH(IF('Deal maths'!Z683&gt;0,'Deal maths'!Z683,DATE(1990,1,1))))/D683)-1)*D683),EDATE('Deal maths'!AA683,-(INT(((YEAR('Deal maths'!AA683)-YEAR(IF('Deal maths'!Z683&gt;0,'Deal maths'!Z683,DATE(1990,1,1))))*12+MONTH('Deal maths'!AA683)-MONTH(IF('Deal maths'!Z683&gt;0,'Deal maths'!Z683,DATE(1990,1,1))))/D683)-1)*D683))))),0)</f>
        <v/>
      </c>
      <c r="F683" s="110">
        <f>IF(D683=0,0,'Deal maths'!AB683*D683/12)</f>
        <v/>
      </c>
      <c r="G683" s="108">
        <f>N683+O683</f>
        <v/>
      </c>
      <c r="H683" s="108">
        <f>IFERROR(IF(OR(D683=0,AsAt&lt;E683),0,MIN(N683,INT(((YEAR(AsAt)-YEAR(E683))*12+MONTH(AsAt)-MONTH(E683)-(DAY(AsAt)&lt;MIN(R683,DAY(EOMONTH(AsAt,0)))))/D683)+1)+O683*(AsAt&gt;='Deal maths'!AA683)),0)</f>
        <v/>
      </c>
      <c r="I683" s="108">
        <f>G683-H683</f>
        <v/>
      </c>
      <c r="J683" s="111">
        <f>IF(AND(C683="EIP",I683&gt;0),'Deal maths'!Y683/I683,0)</f>
        <v/>
      </c>
      <c r="K683" s="111">
        <f>IF(AND(C683="Annuity",I683&gt;0),IF(F683&gt;0,'Deal maths'!Y683*F683/(1-(1+F683)^-I683),'Deal maths'!Y683/I683),0)</f>
        <v/>
      </c>
      <c r="L683" s="111">
        <f>IF('Deal maths'!Y683="",0,'Deal maths'!Y683)</f>
        <v/>
      </c>
      <c r="M683" s="112">
        <f>F683+(F683=0)</f>
        <v/>
      </c>
      <c r="N683" s="108">
        <f>IFERROR(IF(D683=0,0,INT(((YEAR('Deal maths'!AA683)-YEAR(E683))*12+MONTH('Deal maths'!AA683)-MONTH(E683)-(DAY('Deal maths'!AA683)&lt;MIN(R683,DAY(EOMONTH('Deal maths'!AA683,0)))))/D683)+1),0)</f>
        <v/>
      </c>
      <c r="O683" s="108">
        <f>IFERROR(IF(D683=0,0,IF(IF(DAY(E683+1)=1,EOMONTH(E683,(N683-1)*D683),EDATE(E683,(N683-1)*D683))='Deal maths'!AA683,0,1)),0)</f>
        <v/>
      </c>
      <c r="P683" s="113">
        <f>IF(B683=0,0,IFERROR(IF(C683="EIP",((I683-O683)*((IF(DAY(E683+1)=1,EOMONTH(E683,H683*D683),EDATE(E683,H683*D683))-AsAt)/365.25+(IF(DAY(E683+1)=1,EOMONTH(E683,(N683-1)*D683),EDATE(E683,(N683-1)*D683))-AsAt)/365.25)/2+O683*('Deal maths'!AA683-AsAt)/365.25)/I683,IF(C683="Annuity",IF(F683&gt;0,((K683-L683*F683)*((IF(DAY(E683+1)=1,EOMONTH(E683,H683*D683),EDATE(E683,H683*D683))-AsAt)/365.25*((1+F683)^(I683-O683)-1)/F683+IF((I683-O683)&gt;1,((IF(DAY(E683+1)=1,EOMONTH(E683,(N683-1)*D683),EDATE(E683,(N683-1)*D683))-AsAt)/365.25-(IF(DAY(E683+1)=1,EOMONTH(E683,H683*D683),EDATE(E683,H683*D683))-AsAt)/365.25)/((I683-O683)-1),0)*(1+F683)*(1-(I683-O683)*(1+F683)^((I683-O683)-1)+((I683-O683)-1)*(1+F683)^(I683-O683))/F683^2)+O683*(K683-L683*F683)*(1+F683)^(I683-1)*('Deal maths'!AA683-AsAt)/365.25)/L683,((I683-O683)*((IF(DAY(E683+1)=1,EOMONTH(E683,H683*D683),EDATE(E683,H683*D683))-AsAt)/365.25+(IF(DAY(E683+1)=1,EOMONTH(E683,(N683-1)*D683),EDATE(E683,(N683-1)*D683))-AsAt)/365.25)/2+O683*('Deal maths'!AA683-AsAt)/365.25)/I683),(S683-AsAt)/365.25)),0))</f>
        <v/>
      </c>
      <c r="Q683" s="109">
        <f>IF(B683=1,'Deal maths'!AA683+ROW()/1000000,"")</f>
        <v/>
      </c>
      <c r="R683" s="108">
        <f>IF(D683=0,0,IF(DAY(E683+1)=1,31,DAY(E683)))</f>
        <v/>
      </c>
      <c r="S683" s="109">
        <f>IF(AND('Deal maths'!V683="LOBO",'Deal maths'!AG683&gt;AsAt,'Deal maths'!AG683&lt;'Deal maths'!AA683),'Deal maths'!AG683,'Deal maths'!AA683)</f>
        <v/>
      </c>
      <c r="T683" s="108">
        <f>('Deal maths'!AA683&gt;AsAt)*('Deal maths'!Y683&gt;0)</f>
        <v/>
      </c>
    </row>
    <row r="684">
      <c r="A684" s="91">
        <f>IF('Deal maths'!V684="","",'Deal maths'!W684)</f>
        <v/>
      </c>
      <c r="B684" s="108">
        <f>('Deal maths'!AA684&gt;AsAt)*('Deal maths'!Y684&gt;0)*('Deal maths'!Z684&lt;=AsAt)</f>
        <v/>
      </c>
      <c r="C684" s="91">
        <f>IF('Deal maths'!V684="","",IF('Deal maths'!AC684="","Maturity",'Deal maths'!AC684))</f>
        <v/>
      </c>
      <c r="D684" s="108">
        <f>IF(OR(C684="EIP",C684="Annuity"),IF('Deal maths'!AD684="Annual",12,IF('Deal maths'!AD684="Quarterly",3,6)),0)</f>
        <v/>
      </c>
      <c r="E684" s="109">
        <f>IFERROR(IF(D684=0,0,IF('Deal maths'!AE684&gt;0,IF('Deal maths'!AE684&gt;'Deal maths'!AA684,'Deal maths'!AA684,'Deal maths'!AE684),IF(IF(DAY('Deal maths'!AA684+1)=1,EOMONTH('Deal maths'!AA684,-(INT(((YEAR('Deal maths'!AA684)-YEAR(IF('Deal maths'!Z684&gt;0,'Deal maths'!Z684,DATE(1990,1,1))))*12+MONTH('Deal maths'!AA684)-MONTH(IF('Deal maths'!Z684&gt;0,'Deal maths'!Z684,DATE(1990,1,1))))/D684))*D684),EDATE('Deal maths'!AA684,-(INT(((YEAR('Deal maths'!AA684)-YEAR(IF('Deal maths'!Z684&gt;0,'Deal maths'!Z684,DATE(1990,1,1))))*12+MONTH('Deal maths'!AA684)-MONTH(IF('Deal maths'!Z684&gt;0,'Deal maths'!Z684,DATE(1990,1,1))))/D684))*D684))&gt;IF('Deal maths'!Z684&gt;0,'Deal maths'!Z684,DATE(1990,1,1)),IF(DAY('Deal maths'!AA684+1)=1,EOMONTH('Deal maths'!AA684,-(INT(((YEAR('Deal maths'!AA684)-YEAR(IF('Deal maths'!Z684&gt;0,'Deal maths'!Z684,DATE(1990,1,1))))*12+MONTH('Deal maths'!AA684)-MONTH(IF('Deal maths'!Z684&gt;0,'Deal maths'!Z684,DATE(1990,1,1))))/D684))*D684),EDATE('Deal maths'!AA684,-(INT(((YEAR('Deal maths'!AA684)-YEAR(IF('Deal maths'!Z684&gt;0,'Deal maths'!Z684,DATE(1990,1,1))))*12+MONTH('Deal maths'!AA684)-MONTH(IF('Deal maths'!Z684&gt;0,'Deal maths'!Z684,DATE(1990,1,1))))/D684))*D684)),IF(DAY('Deal maths'!AA684+1)=1,EOMONTH('Deal maths'!AA684,-(INT(((YEAR('Deal maths'!AA684)-YEAR(IF('Deal maths'!Z684&gt;0,'Deal maths'!Z684,DATE(1990,1,1))))*12+MONTH('Deal maths'!AA684)-MONTH(IF('Deal maths'!Z684&gt;0,'Deal maths'!Z684,DATE(1990,1,1))))/D684)-1)*D684),EDATE('Deal maths'!AA684,-(INT(((YEAR('Deal maths'!AA684)-YEAR(IF('Deal maths'!Z684&gt;0,'Deal maths'!Z684,DATE(1990,1,1))))*12+MONTH('Deal maths'!AA684)-MONTH(IF('Deal maths'!Z684&gt;0,'Deal maths'!Z684,DATE(1990,1,1))))/D684)-1)*D684))))),0)</f>
        <v/>
      </c>
      <c r="F684" s="110">
        <f>IF(D684=0,0,'Deal maths'!AB684*D684/12)</f>
        <v/>
      </c>
      <c r="G684" s="108">
        <f>N684+O684</f>
        <v/>
      </c>
      <c r="H684" s="108">
        <f>IFERROR(IF(OR(D684=0,AsAt&lt;E684),0,MIN(N684,INT(((YEAR(AsAt)-YEAR(E684))*12+MONTH(AsAt)-MONTH(E684)-(DAY(AsAt)&lt;MIN(R684,DAY(EOMONTH(AsAt,0)))))/D684)+1)+O684*(AsAt&gt;='Deal maths'!AA684)),0)</f>
        <v/>
      </c>
      <c r="I684" s="108">
        <f>G684-H684</f>
        <v/>
      </c>
      <c r="J684" s="111">
        <f>IF(AND(C684="EIP",I684&gt;0),'Deal maths'!Y684/I684,0)</f>
        <v/>
      </c>
      <c r="K684" s="111">
        <f>IF(AND(C684="Annuity",I684&gt;0),IF(F684&gt;0,'Deal maths'!Y684*F684/(1-(1+F684)^-I684),'Deal maths'!Y684/I684),0)</f>
        <v/>
      </c>
      <c r="L684" s="111">
        <f>IF('Deal maths'!Y684="",0,'Deal maths'!Y684)</f>
        <v/>
      </c>
      <c r="M684" s="112">
        <f>F684+(F684=0)</f>
        <v/>
      </c>
      <c r="N684" s="108">
        <f>IFERROR(IF(D684=0,0,INT(((YEAR('Deal maths'!AA684)-YEAR(E684))*12+MONTH('Deal maths'!AA684)-MONTH(E684)-(DAY('Deal maths'!AA684)&lt;MIN(R684,DAY(EOMONTH('Deal maths'!AA684,0)))))/D684)+1),0)</f>
        <v/>
      </c>
      <c r="O684" s="108">
        <f>IFERROR(IF(D684=0,0,IF(IF(DAY(E684+1)=1,EOMONTH(E684,(N684-1)*D684),EDATE(E684,(N684-1)*D684))='Deal maths'!AA684,0,1)),0)</f>
        <v/>
      </c>
      <c r="P684" s="113">
        <f>IF(B684=0,0,IFERROR(IF(C684="EIP",((I684-O684)*((IF(DAY(E684+1)=1,EOMONTH(E684,H684*D684),EDATE(E684,H684*D684))-AsAt)/365.25+(IF(DAY(E684+1)=1,EOMONTH(E684,(N684-1)*D684),EDATE(E684,(N684-1)*D684))-AsAt)/365.25)/2+O684*('Deal maths'!AA684-AsAt)/365.25)/I684,IF(C684="Annuity",IF(F684&gt;0,((K684-L684*F684)*((IF(DAY(E684+1)=1,EOMONTH(E684,H684*D684),EDATE(E684,H684*D684))-AsAt)/365.25*((1+F684)^(I684-O684)-1)/F684+IF((I684-O684)&gt;1,((IF(DAY(E684+1)=1,EOMONTH(E684,(N684-1)*D684),EDATE(E684,(N684-1)*D684))-AsAt)/365.25-(IF(DAY(E684+1)=1,EOMONTH(E684,H684*D684),EDATE(E684,H684*D684))-AsAt)/365.25)/((I684-O684)-1),0)*(1+F684)*(1-(I684-O684)*(1+F684)^((I684-O684)-1)+((I684-O684)-1)*(1+F684)^(I684-O684))/F684^2)+O684*(K684-L684*F684)*(1+F684)^(I684-1)*('Deal maths'!AA684-AsAt)/365.25)/L684,((I684-O684)*((IF(DAY(E684+1)=1,EOMONTH(E684,H684*D684),EDATE(E684,H684*D684))-AsAt)/365.25+(IF(DAY(E684+1)=1,EOMONTH(E684,(N684-1)*D684),EDATE(E684,(N684-1)*D684))-AsAt)/365.25)/2+O684*('Deal maths'!AA684-AsAt)/365.25)/I684),(S684-AsAt)/365.25)),0))</f>
        <v/>
      </c>
      <c r="Q684" s="109">
        <f>IF(B684=1,'Deal maths'!AA684+ROW()/1000000,"")</f>
        <v/>
      </c>
      <c r="R684" s="108">
        <f>IF(D684=0,0,IF(DAY(E684+1)=1,31,DAY(E684)))</f>
        <v/>
      </c>
      <c r="S684" s="109">
        <f>IF(AND('Deal maths'!V684="LOBO",'Deal maths'!AG684&gt;AsAt,'Deal maths'!AG684&lt;'Deal maths'!AA684),'Deal maths'!AG684,'Deal maths'!AA684)</f>
        <v/>
      </c>
      <c r="T684" s="108">
        <f>('Deal maths'!AA684&gt;AsAt)*('Deal maths'!Y684&gt;0)</f>
        <v/>
      </c>
    </row>
    <row r="685">
      <c r="A685" s="91">
        <f>IF('Deal maths'!V685="","",'Deal maths'!W685)</f>
        <v/>
      </c>
      <c r="B685" s="108">
        <f>('Deal maths'!AA685&gt;AsAt)*('Deal maths'!Y685&gt;0)*('Deal maths'!Z685&lt;=AsAt)</f>
        <v/>
      </c>
      <c r="C685" s="91">
        <f>IF('Deal maths'!V685="","",IF('Deal maths'!AC685="","Maturity",'Deal maths'!AC685))</f>
        <v/>
      </c>
      <c r="D685" s="108">
        <f>IF(OR(C685="EIP",C685="Annuity"),IF('Deal maths'!AD685="Annual",12,IF('Deal maths'!AD685="Quarterly",3,6)),0)</f>
        <v/>
      </c>
      <c r="E685" s="109">
        <f>IFERROR(IF(D685=0,0,IF('Deal maths'!AE685&gt;0,IF('Deal maths'!AE685&gt;'Deal maths'!AA685,'Deal maths'!AA685,'Deal maths'!AE685),IF(IF(DAY('Deal maths'!AA685+1)=1,EOMONTH('Deal maths'!AA685,-(INT(((YEAR('Deal maths'!AA685)-YEAR(IF('Deal maths'!Z685&gt;0,'Deal maths'!Z685,DATE(1990,1,1))))*12+MONTH('Deal maths'!AA685)-MONTH(IF('Deal maths'!Z685&gt;0,'Deal maths'!Z685,DATE(1990,1,1))))/D685))*D685),EDATE('Deal maths'!AA685,-(INT(((YEAR('Deal maths'!AA685)-YEAR(IF('Deal maths'!Z685&gt;0,'Deal maths'!Z685,DATE(1990,1,1))))*12+MONTH('Deal maths'!AA685)-MONTH(IF('Deal maths'!Z685&gt;0,'Deal maths'!Z685,DATE(1990,1,1))))/D685))*D685))&gt;IF('Deal maths'!Z685&gt;0,'Deal maths'!Z685,DATE(1990,1,1)),IF(DAY('Deal maths'!AA685+1)=1,EOMONTH('Deal maths'!AA685,-(INT(((YEAR('Deal maths'!AA685)-YEAR(IF('Deal maths'!Z685&gt;0,'Deal maths'!Z685,DATE(1990,1,1))))*12+MONTH('Deal maths'!AA685)-MONTH(IF('Deal maths'!Z685&gt;0,'Deal maths'!Z685,DATE(1990,1,1))))/D685))*D685),EDATE('Deal maths'!AA685,-(INT(((YEAR('Deal maths'!AA685)-YEAR(IF('Deal maths'!Z685&gt;0,'Deal maths'!Z685,DATE(1990,1,1))))*12+MONTH('Deal maths'!AA685)-MONTH(IF('Deal maths'!Z685&gt;0,'Deal maths'!Z685,DATE(1990,1,1))))/D685))*D685)),IF(DAY('Deal maths'!AA685+1)=1,EOMONTH('Deal maths'!AA685,-(INT(((YEAR('Deal maths'!AA685)-YEAR(IF('Deal maths'!Z685&gt;0,'Deal maths'!Z685,DATE(1990,1,1))))*12+MONTH('Deal maths'!AA685)-MONTH(IF('Deal maths'!Z685&gt;0,'Deal maths'!Z685,DATE(1990,1,1))))/D685)-1)*D685),EDATE('Deal maths'!AA685,-(INT(((YEAR('Deal maths'!AA685)-YEAR(IF('Deal maths'!Z685&gt;0,'Deal maths'!Z685,DATE(1990,1,1))))*12+MONTH('Deal maths'!AA685)-MONTH(IF('Deal maths'!Z685&gt;0,'Deal maths'!Z685,DATE(1990,1,1))))/D685)-1)*D685))))),0)</f>
        <v/>
      </c>
      <c r="F685" s="110">
        <f>IF(D685=0,0,'Deal maths'!AB685*D685/12)</f>
        <v/>
      </c>
      <c r="G685" s="108">
        <f>N685+O685</f>
        <v/>
      </c>
      <c r="H685" s="108">
        <f>IFERROR(IF(OR(D685=0,AsAt&lt;E685),0,MIN(N685,INT(((YEAR(AsAt)-YEAR(E685))*12+MONTH(AsAt)-MONTH(E685)-(DAY(AsAt)&lt;MIN(R685,DAY(EOMONTH(AsAt,0)))))/D685)+1)+O685*(AsAt&gt;='Deal maths'!AA685)),0)</f>
        <v/>
      </c>
      <c r="I685" s="108">
        <f>G685-H685</f>
        <v/>
      </c>
      <c r="J685" s="111">
        <f>IF(AND(C685="EIP",I685&gt;0),'Deal maths'!Y685/I685,0)</f>
        <v/>
      </c>
      <c r="K685" s="111">
        <f>IF(AND(C685="Annuity",I685&gt;0),IF(F685&gt;0,'Deal maths'!Y685*F685/(1-(1+F685)^-I685),'Deal maths'!Y685/I685),0)</f>
        <v/>
      </c>
      <c r="L685" s="111">
        <f>IF('Deal maths'!Y685="",0,'Deal maths'!Y685)</f>
        <v/>
      </c>
      <c r="M685" s="112">
        <f>F685+(F685=0)</f>
        <v/>
      </c>
      <c r="N685" s="108">
        <f>IFERROR(IF(D685=0,0,INT(((YEAR('Deal maths'!AA685)-YEAR(E685))*12+MONTH('Deal maths'!AA685)-MONTH(E685)-(DAY('Deal maths'!AA685)&lt;MIN(R685,DAY(EOMONTH('Deal maths'!AA685,0)))))/D685)+1),0)</f>
        <v/>
      </c>
      <c r="O685" s="108">
        <f>IFERROR(IF(D685=0,0,IF(IF(DAY(E685+1)=1,EOMONTH(E685,(N685-1)*D685),EDATE(E685,(N685-1)*D685))='Deal maths'!AA685,0,1)),0)</f>
        <v/>
      </c>
      <c r="P685" s="113">
        <f>IF(B685=0,0,IFERROR(IF(C685="EIP",((I685-O685)*((IF(DAY(E685+1)=1,EOMONTH(E685,H685*D685),EDATE(E685,H685*D685))-AsAt)/365.25+(IF(DAY(E685+1)=1,EOMONTH(E685,(N685-1)*D685),EDATE(E685,(N685-1)*D685))-AsAt)/365.25)/2+O685*('Deal maths'!AA685-AsAt)/365.25)/I685,IF(C685="Annuity",IF(F685&gt;0,((K685-L685*F685)*((IF(DAY(E685+1)=1,EOMONTH(E685,H685*D685),EDATE(E685,H685*D685))-AsAt)/365.25*((1+F685)^(I685-O685)-1)/F685+IF((I685-O685)&gt;1,((IF(DAY(E685+1)=1,EOMONTH(E685,(N685-1)*D685),EDATE(E685,(N685-1)*D685))-AsAt)/365.25-(IF(DAY(E685+1)=1,EOMONTH(E685,H685*D685),EDATE(E685,H685*D685))-AsAt)/365.25)/((I685-O685)-1),0)*(1+F685)*(1-(I685-O685)*(1+F685)^((I685-O685)-1)+((I685-O685)-1)*(1+F685)^(I685-O685))/F685^2)+O685*(K685-L685*F685)*(1+F685)^(I685-1)*('Deal maths'!AA685-AsAt)/365.25)/L685,((I685-O685)*((IF(DAY(E685+1)=1,EOMONTH(E685,H685*D685),EDATE(E685,H685*D685))-AsAt)/365.25+(IF(DAY(E685+1)=1,EOMONTH(E685,(N685-1)*D685),EDATE(E685,(N685-1)*D685))-AsAt)/365.25)/2+O685*('Deal maths'!AA685-AsAt)/365.25)/I685),(S685-AsAt)/365.25)),0))</f>
        <v/>
      </c>
      <c r="Q685" s="109">
        <f>IF(B685=1,'Deal maths'!AA685+ROW()/1000000,"")</f>
        <v/>
      </c>
      <c r="R685" s="108">
        <f>IF(D685=0,0,IF(DAY(E685+1)=1,31,DAY(E685)))</f>
        <v/>
      </c>
      <c r="S685" s="109">
        <f>IF(AND('Deal maths'!V685="LOBO",'Deal maths'!AG685&gt;AsAt,'Deal maths'!AG685&lt;'Deal maths'!AA685),'Deal maths'!AG685,'Deal maths'!AA685)</f>
        <v/>
      </c>
      <c r="T685" s="108">
        <f>('Deal maths'!AA685&gt;AsAt)*('Deal maths'!Y685&gt;0)</f>
        <v/>
      </c>
    </row>
    <row r="686">
      <c r="A686" s="91">
        <f>IF('Deal maths'!V686="","",'Deal maths'!W686)</f>
        <v/>
      </c>
      <c r="B686" s="108">
        <f>('Deal maths'!AA686&gt;AsAt)*('Deal maths'!Y686&gt;0)*('Deal maths'!Z686&lt;=AsAt)</f>
        <v/>
      </c>
      <c r="C686" s="91">
        <f>IF('Deal maths'!V686="","",IF('Deal maths'!AC686="","Maturity",'Deal maths'!AC686))</f>
        <v/>
      </c>
      <c r="D686" s="108">
        <f>IF(OR(C686="EIP",C686="Annuity"),IF('Deal maths'!AD686="Annual",12,IF('Deal maths'!AD686="Quarterly",3,6)),0)</f>
        <v/>
      </c>
      <c r="E686" s="109">
        <f>IFERROR(IF(D686=0,0,IF('Deal maths'!AE686&gt;0,IF('Deal maths'!AE686&gt;'Deal maths'!AA686,'Deal maths'!AA686,'Deal maths'!AE686),IF(IF(DAY('Deal maths'!AA686+1)=1,EOMONTH('Deal maths'!AA686,-(INT(((YEAR('Deal maths'!AA686)-YEAR(IF('Deal maths'!Z686&gt;0,'Deal maths'!Z686,DATE(1990,1,1))))*12+MONTH('Deal maths'!AA686)-MONTH(IF('Deal maths'!Z686&gt;0,'Deal maths'!Z686,DATE(1990,1,1))))/D686))*D686),EDATE('Deal maths'!AA686,-(INT(((YEAR('Deal maths'!AA686)-YEAR(IF('Deal maths'!Z686&gt;0,'Deal maths'!Z686,DATE(1990,1,1))))*12+MONTH('Deal maths'!AA686)-MONTH(IF('Deal maths'!Z686&gt;0,'Deal maths'!Z686,DATE(1990,1,1))))/D686))*D686))&gt;IF('Deal maths'!Z686&gt;0,'Deal maths'!Z686,DATE(1990,1,1)),IF(DAY('Deal maths'!AA686+1)=1,EOMONTH('Deal maths'!AA686,-(INT(((YEAR('Deal maths'!AA686)-YEAR(IF('Deal maths'!Z686&gt;0,'Deal maths'!Z686,DATE(1990,1,1))))*12+MONTH('Deal maths'!AA686)-MONTH(IF('Deal maths'!Z686&gt;0,'Deal maths'!Z686,DATE(1990,1,1))))/D686))*D686),EDATE('Deal maths'!AA686,-(INT(((YEAR('Deal maths'!AA686)-YEAR(IF('Deal maths'!Z686&gt;0,'Deal maths'!Z686,DATE(1990,1,1))))*12+MONTH('Deal maths'!AA686)-MONTH(IF('Deal maths'!Z686&gt;0,'Deal maths'!Z686,DATE(1990,1,1))))/D686))*D686)),IF(DAY('Deal maths'!AA686+1)=1,EOMONTH('Deal maths'!AA686,-(INT(((YEAR('Deal maths'!AA686)-YEAR(IF('Deal maths'!Z686&gt;0,'Deal maths'!Z686,DATE(1990,1,1))))*12+MONTH('Deal maths'!AA686)-MONTH(IF('Deal maths'!Z686&gt;0,'Deal maths'!Z686,DATE(1990,1,1))))/D686)-1)*D686),EDATE('Deal maths'!AA686,-(INT(((YEAR('Deal maths'!AA686)-YEAR(IF('Deal maths'!Z686&gt;0,'Deal maths'!Z686,DATE(1990,1,1))))*12+MONTH('Deal maths'!AA686)-MONTH(IF('Deal maths'!Z686&gt;0,'Deal maths'!Z686,DATE(1990,1,1))))/D686)-1)*D686))))),0)</f>
        <v/>
      </c>
      <c r="F686" s="110">
        <f>IF(D686=0,0,'Deal maths'!AB686*D686/12)</f>
        <v/>
      </c>
      <c r="G686" s="108">
        <f>N686+O686</f>
        <v/>
      </c>
      <c r="H686" s="108">
        <f>IFERROR(IF(OR(D686=0,AsAt&lt;E686),0,MIN(N686,INT(((YEAR(AsAt)-YEAR(E686))*12+MONTH(AsAt)-MONTH(E686)-(DAY(AsAt)&lt;MIN(R686,DAY(EOMONTH(AsAt,0)))))/D686)+1)+O686*(AsAt&gt;='Deal maths'!AA686)),0)</f>
        <v/>
      </c>
      <c r="I686" s="108">
        <f>G686-H686</f>
        <v/>
      </c>
      <c r="J686" s="111">
        <f>IF(AND(C686="EIP",I686&gt;0),'Deal maths'!Y686/I686,0)</f>
        <v/>
      </c>
      <c r="K686" s="111">
        <f>IF(AND(C686="Annuity",I686&gt;0),IF(F686&gt;0,'Deal maths'!Y686*F686/(1-(1+F686)^-I686),'Deal maths'!Y686/I686),0)</f>
        <v/>
      </c>
      <c r="L686" s="111">
        <f>IF('Deal maths'!Y686="",0,'Deal maths'!Y686)</f>
        <v/>
      </c>
      <c r="M686" s="112">
        <f>F686+(F686=0)</f>
        <v/>
      </c>
      <c r="N686" s="108">
        <f>IFERROR(IF(D686=0,0,INT(((YEAR('Deal maths'!AA686)-YEAR(E686))*12+MONTH('Deal maths'!AA686)-MONTH(E686)-(DAY('Deal maths'!AA686)&lt;MIN(R686,DAY(EOMONTH('Deal maths'!AA686,0)))))/D686)+1),0)</f>
        <v/>
      </c>
      <c r="O686" s="108">
        <f>IFERROR(IF(D686=0,0,IF(IF(DAY(E686+1)=1,EOMONTH(E686,(N686-1)*D686),EDATE(E686,(N686-1)*D686))='Deal maths'!AA686,0,1)),0)</f>
        <v/>
      </c>
      <c r="P686" s="113">
        <f>IF(B686=0,0,IFERROR(IF(C686="EIP",((I686-O686)*((IF(DAY(E686+1)=1,EOMONTH(E686,H686*D686),EDATE(E686,H686*D686))-AsAt)/365.25+(IF(DAY(E686+1)=1,EOMONTH(E686,(N686-1)*D686),EDATE(E686,(N686-1)*D686))-AsAt)/365.25)/2+O686*('Deal maths'!AA686-AsAt)/365.25)/I686,IF(C686="Annuity",IF(F686&gt;0,((K686-L686*F686)*((IF(DAY(E686+1)=1,EOMONTH(E686,H686*D686),EDATE(E686,H686*D686))-AsAt)/365.25*((1+F686)^(I686-O686)-1)/F686+IF((I686-O686)&gt;1,((IF(DAY(E686+1)=1,EOMONTH(E686,(N686-1)*D686),EDATE(E686,(N686-1)*D686))-AsAt)/365.25-(IF(DAY(E686+1)=1,EOMONTH(E686,H686*D686),EDATE(E686,H686*D686))-AsAt)/365.25)/((I686-O686)-1),0)*(1+F686)*(1-(I686-O686)*(1+F686)^((I686-O686)-1)+((I686-O686)-1)*(1+F686)^(I686-O686))/F686^2)+O686*(K686-L686*F686)*(1+F686)^(I686-1)*('Deal maths'!AA686-AsAt)/365.25)/L686,((I686-O686)*((IF(DAY(E686+1)=1,EOMONTH(E686,H686*D686),EDATE(E686,H686*D686))-AsAt)/365.25+(IF(DAY(E686+1)=1,EOMONTH(E686,(N686-1)*D686),EDATE(E686,(N686-1)*D686))-AsAt)/365.25)/2+O686*('Deal maths'!AA686-AsAt)/365.25)/I686),(S686-AsAt)/365.25)),0))</f>
        <v/>
      </c>
      <c r="Q686" s="109">
        <f>IF(B686=1,'Deal maths'!AA686+ROW()/1000000,"")</f>
        <v/>
      </c>
      <c r="R686" s="108">
        <f>IF(D686=0,0,IF(DAY(E686+1)=1,31,DAY(E686)))</f>
        <v/>
      </c>
      <c r="S686" s="109">
        <f>IF(AND('Deal maths'!V686="LOBO",'Deal maths'!AG686&gt;AsAt,'Deal maths'!AG686&lt;'Deal maths'!AA686),'Deal maths'!AG686,'Deal maths'!AA686)</f>
        <v/>
      </c>
      <c r="T686" s="108">
        <f>('Deal maths'!AA686&gt;AsAt)*('Deal maths'!Y686&gt;0)</f>
        <v/>
      </c>
    </row>
    <row r="687">
      <c r="A687" s="91">
        <f>IF('Deal maths'!V687="","",'Deal maths'!W687)</f>
        <v/>
      </c>
      <c r="B687" s="108">
        <f>('Deal maths'!AA687&gt;AsAt)*('Deal maths'!Y687&gt;0)*('Deal maths'!Z687&lt;=AsAt)</f>
        <v/>
      </c>
      <c r="C687" s="91">
        <f>IF('Deal maths'!V687="","",IF('Deal maths'!AC687="","Maturity",'Deal maths'!AC687))</f>
        <v/>
      </c>
      <c r="D687" s="108">
        <f>IF(OR(C687="EIP",C687="Annuity"),IF('Deal maths'!AD687="Annual",12,IF('Deal maths'!AD687="Quarterly",3,6)),0)</f>
        <v/>
      </c>
      <c r="E687" s="109">
        <f>IFERROR(IF(D687=0,0,IF('Deal maths'!AE687&gt;0,IF('Deal maths'!AE687&gt;'Deal maths'!AA687,'Deal maths'!AA687,'Deal maths'!AE687),IF(IF(DAY('Deal maths'!AA687+1)=1,EOMONTH('Deal maths'!AA687,-(INT(((YEAR('Deal maths'!AA687)-YEAR(IF('Deal maths'!Z687&gt;0,'Deal maths'!Z687,DATE(1990,1,1))))*12+MONTH('Deal maths'!AA687)-MONTH(IF('Deal maths'!Z687&gt;0,'Deal maths'!Z687,DATE(1990,1,1))))/D687))*D687),EDATE('Deal maths'!AA687,-(INT(((YEAR('Deal maths'!AA687)-YEAR(IF('Deal maths'!Z687&gt;0,'Deal maths'!Z687,DATE(1990,1,1))))*12+MONTH('Deal maths'!AA687)-MONTH(IF('Deal maths'!Z687&gt;0,'Deal maths'!Z687,DATE(1990,1,1))))/D687))*D687))&gt;IF('Deal maths'!Z687&gt;0,'Deal maths'!Z687,DATE(1990,1,1)),IF(DAY('Deal maths'!AA687+1)=1,EOMONTH('Deal maths'!AA687,-(INT(((YEAR('Deal maths'!AA687)-YEAR(IF('Deal maths'!Z687&gt;0,'Deal maths'!Z687,DATE(1990,1,1))))*12+MONTH('Deal maths'!AA687)-MONTH(IF('Deal maths'!Z687&gt;0,'Deal maths'!Z687,DATE(1990,1,1))))/D687))*D687),EDATE('Deal maths'!AA687,-(INT(((YEAR('Deal maths'!AA687)-YEAR(IF('Deal maths'!Z687&gt;0,'Deal maths'!Z687,DATE(1990,1,1))))*12+MONTH('Deal maths'!AA687)-MONTH(IF('Deal maths'!Z687&gt;0,'Deal maths'!Z687,DATE(1990,1,1))))/D687))*D687)),IF(DAY('Deal maths'!AA687+1)=1,EOMONTH('Deal maths'!AA687,-(INT(((YEAR('Deal maths'!AA687)-YEAR(IF('Deal maths'!Z687&gt;0,'Deal maths'!Z687,DATE(1990,1,1))))*12+MONTH('Deal maths'!AA687)-MONTH(IF('Deal maths'!Z687&gt;0,'Deal maths'!Z687,DATE(1990,1,1))))/D687)-1)*D687),EDATE('Deal maths'!AA687,-(INT(((YEAR('Deal maths'!AA687)-YEAR(IF('Deal maths'!Z687&gt;0,'Deal maths'!Z687,DATE(1990,1,1))))*12+MONTH('Deal maths'!AA687)-MONTH(IF('Deal maths'!Z687&gt;0,'Deal maths'!Z687,DATE(1990,1,1))))/D687)-1)*D687))))),0)</f>
        <v/>
      </c>
      <c r="F687" s="110">
        <f>IF(D687=0,0,'Deal maths'!AB687*D687/12)</f>
        <v/>
      </c>
      <c r="G687" s="108">
        <f>N687+O687</f>
        <v/>
      </c>
      <c r="H687" s="108">
        <f>IFERROR(IF(OR(D687=0,AsAt&lt;E687),0,MIN(N687,INT(((YEAR(AsAt)-YEAR(E687))*12+MONTH(AsAt)-MONTH(E687)-(DAY(AsAt)&lt;MIN(R687,DAY(EOMONTH(AsAt,0)))))/D687)+1)+O687*(AsAt&gt;='Deal maths'!AA687)),0)</f>
        <v/>
      </c>
      <c r="I687" s="108">
        <f>G687-H687</f>
        <v/>
      </c>
      <c r="J687" s="111">
        <f>IF(AND(C687="EIP",I687&gt;0),'Deal maths'!Y687/I687,0)</f>
        <v/>
      </c>
      <c r="K687" s="111">
        <f>IF(AND(C687="Annuity",I687&gt;0),IF(F687&gt;0,'Deal maths'!Y687*F687/(1-(1+F687)^-I687),'Deal maths'!Y687/I687),0)</f>
        <v/>
      </c>
      <c r="L687" s="111">
        <f>IF('Deal maths'!Y687="",0,'Deal maths'!Y687)</f>
        <v/>
      </c>
      <c r="M687" s="112">
        <f>F687+(F687=0)</f>
        <v/>
      </c>
      <c r="N687" s="108">
        <f>IFERROR(IF(D687=0,0,INT(((YEAR('Deal maths'!AA687)-YEAR(E687))*12+MONTH('Deal maths'!AA687)-MONTH(E687)-(DAY('Deal maths'!AA687)&lt;MIN(R687,DAY(EOMONTH('Deal maths'!AA687,0)))))/D687)+1),0)</f>
        <v/>
      </c>
      <c r="O687" s="108">
        <f>IFERROR(IF(D687=0,0,IF(IF(DAY(E687+1)=1,EOMONTH(E687,(N687-1)*D687),EDATE(E687,(N687-1)*D687))='Deal maths'!AA687,0,1)),0)</f>
        <v/>
      </c>
      <c r="P687" s="113">
        <f>IF(B687=0,0,IFERROR(IF(C687="EIP",((I687-O687)*((IF(DAY(E687+1)=1,EOMONTH(E687,H687*D687),EDATE(E687,H687*D687))-AsAt)/365.25+(IF(DAY(E687+1)=1,EOMONTH(E687,(N687-1)*D687),EDATE(E687,(N687-1)*D687))-AsAt)/365.25)/2+O687*('Deal maths'!AA687-AsAt)/365.25)/I687,IF(C687="Annuity",IF(F687&gt;0,((K687-L687*F687)*((IF(DAY(E687+1)=1,EOMONTH(E687,H687*D687),EDATE(E687,H687*D687))-AsAt)/365.25*((1+F687)^(I687-O687)-1)/F687+IF((I687-O687)&gt;1,((IF(DAY(E687+1)=1,EOMONTH(E687,(N687-1)*D687),EDATE(E687,(N687-1)*D687))-AsAt)/365.25-(IF(DAY(E687+1)=1,EOMONTH(E687,H687*D687),EDATE(E687,H687*D687))-AsAt)/365.25)/((I687-O687)-1),0)*(1+F687)*(1-(I687-O687)*(1+F687)^((I687-O687)-1)+((I687-O687)-1)*(1+F687)^(I687-O687))/F687^2)+O687*(K687-L687*F687)*(1+F687)^(I687-1)*('Deal maths'!AA687-AsAt)/365.25)/L687,((I687-O687)*((IF(DAY(E687+1)=1,EOMONTH(E687,H687*D687),EDATE(E687,H687*D687))-AsAt)/365.25+(IF(DAY(E687+1)=1,EOMONTH(E687,(N687-1)*D687),EDATE(E687,(N687-1)*D687))-AsAt)/365.25)/2+O687*('Deal maths'!AA687-AsAt)/365.25)/I687),(S687-AsAt)/365.25)),0))</f>
        <v/>
      </c>
      <c r="Q687" s="109">
        <f>IF(B687=1,'Deal maths'!AA687+ROW()/1000000,"")</f>
        <v/>
      </c>
      <c r="R687" s="108">
        <f>IF(D687=0,0,IF(DAY(E687+1)=1,31,DAY(E687)))</f>
        <v/>
      </c>
      <c r="S687" s="109">
        <f>IF(AND('Deal maths'!V687="LOBO",'Deal maths'!AG687&gt;AsAt,'Deal maths'!AG687&lt;'Deal maths'!AA687),'Deal maths'!AG687,'Deal maths'!AA687)</f>
        <v/>
      </c>
      <c r="T687" s="108">
        <f>('Deal maths'!AA687&gt;AsAt)*('Deal maths'!Y687&gt;0)</f>
        <v/>
      </c>
    </row>
    <row r="688">
      <c r="A688" s="91">
        <f>IF('Deal maths'!V688="","",'Deal maths'!W688)</f>
        <v/>
      </c>
      <c r="B688" s="108">
        <f>('Deal maths'!AA688&gt;AsAt)*('Deal maths'!Y688&gt;0)*('Deal maths'!Z688&lt;=AsAt)</f>
        <v/>
      </c>
      <c r="C688" s="91">
        <f>IF('Deal maths'!V688="","",IF('Deal maths'!AC688="","Maturity",'Deal maths'!AC688))</f>
        <v/>
      </c>
      <c r="D688" s="108">
        <f>IF(OR(C688="EIP",C688="Annuity"),IF('Deal maths'!AD688="Annual",12,IF('Deal maths'!AD688="Quarterly",3,6)),0)</f>
        <v/>
      </c>
      <c r="E688" s="109">
        <f>IFERROR(IF(D688=0,0,IF('Deal maths'!AE688&gt;0,IF('Deal maths'!AE688&gt;'Deal maths'!AA688,'Deal maths'!AA688,'Deal maths'!AE688),IF(IF(DAY('Deal maths'!AA688+1)=1,EOMONTH('Deal maths'!AA688,-(INT(((YEAR('Deal maths'!AA688)-YEAR(IF('Deal maths'!Z688&gt;0,'Deal maths'!Z688,DATE(1990,1,1))))*12+MONTH('Deal maths'!AA688)-MONTH(IF('Deal maths'!Z688&gt;0,'Deal maths'!Z688,DATE(1990,1,1))))/D688))*D688),EDATE('Deal maths'!AA688,-(INT(((YEAR('Deal maths'!AA688)-YEAR(IF('Deal maths'!Z688&gt;0,'Deal maths'!Z688,DATE(1990,1,1))))*12+MONTH('Deal maths'!AA688)-MONTH(IF('Deal maths'!Z688&gt;0,'Deal maths'!Z688,DATE(1990,1,1))))/D688))*D688))&gt;IF('Deal maths'!Z688&gt;0,'Deal maths'!Z688,DATE(1990,1,1)),IF(DAY('Deal maths'!AA688+1)=1,EOMONTH('Deal maths'!AA688,-(INT(((YEAR('Deal maths'!AA688)-YEAR(IF('Deal maths'!Z688&gt;0,'Deal maths'!Z688,DATE(1990,1,1))))*12+MONTH('Deal maths'!AA688)-MONTH(IF('Deal maths'!Z688&gt;0,'Deal maths'!Z688,DATE(1990,1,1))))/D688))*D688),EDATE('Deal maths'!AA688,-(INT(((YEAR('Deal maths'!AA688)-YEAR(IF('Deal maths'!Z688&gt;0,'Deal maths'!Z688,DATE(1990,1,1))))*12+MONTH('Deal maths'!AA688)-MONTH(IF('Deal maths'!Z688&gt;0,'Deal maths'!Z688,DATE(1990,1,1))))/D688))*D688)),IF(DAY('Deal maths'!AA688+1)=1,EOMONTH('Deal maths'!AA688,-(INT(((YEAR('Deal maths'!AA688)-YEAR(IF('Deal maths'!Z688&gt;0,'Deal maths'!Z688,DATE(1990,1,1))))*12+MONTH('Deal maths'!AA688)-MONTH(IF('Deal maths'!Z688&gt;0,'Deal maths'!Z688,DATE(1990,1,1))))/D688)-1)*D688),EDATE('Deal maths'!AA688,-(INT(((YEAR('Deal maths'!AA688)-YEAR(IF('Deal maths'!Z688&gt;0,'Deal maths'!Z688,DATE(1990,1,1))))*12+MONTH('Deal maths'!AA688)-MONTH(IF('Deal maths'!Z688&gt;0,'Deal maths'!Z688,DATE(1990,1,1))))/D688)-1)*D688))))),0)</f>
        <v/>
      </c>
      <c r="F688" s="110">
        <f>IF(D688=0,0,'Deal maths'!AB688*D688/12)</f>
        <v/>
      </c>
      <c r="G688" s="108">
        <f>N688+O688</f>
        <v/>
      </c>
      <c r="H688" s="108">
        <f>IFERROR(IF(OR(D688=0,AsAt&lt;E688),0,MIN(N688,INT(((YEAR(AsAt)-YEAR(E688))*12+MONTH(AsAt)-MONTH(E688)-(DAY(AsAt)&lt;MIN(R688,DAY(EOMONTH(AsAt,0)))))/D688)+1)+O688*(AsAt&gt;='Deal maths'!AA688)),0)</f>
        <v/>
      </c>
      <c r="I688" s="108">
        <f>G688-H688</f>
        <v/>
      </c>
      <c r="J688" s="111">
        <f>IF(AND(C688="EIP",I688&gt;0),'Deal maths'!Y688/I688,0)</f>
        <v/>
      </c>
      <c r="K688" s="111">
        <f>IF(AND(C688="Annuity",I688&gt;0),IF(F688&gt;0,'Deal maths'!Y688*F688/(1-(1+F688)^-I688),'Deal maths'!Y688/I688),0)</f>
        <v/>
      </c>
      <c r="L688" s="111">
        <f>IF('Deal maths'!Y688="",0,'Deal maths'!Y688)</f>
        <v/>
      </c>
      <c r="M688" s="112">
        <f>F688+(F688=0)</f>
        <v/>
      </c>
      <c r="N688" s="108">
        <f>IFERROR(IF(D688=0,0,INT(((YEAR('Deal maths'!AA688)-YEAR(E688))*12+MONTH('Deal maths'!AA688)-MONTH(E688)-(DAY('Deal maths'!AA688)&lt;MIN(R688,DAY(EOMONTH('Deal maths'!AA688,0)))))/D688)+1),0)</f>
        <v/>
      </c>
      <c r="O688" s="108">
        <f>IFERROR(IF(D688=0,0,IF(IF(DAY(E688+1)=1,EOMONTH(E688,(N688-1)*D688),EDATE(E688,(N688-1)*D688))='Deal maths'!AA688,0,1)),0)</f>
        <v/>
      </c>
      <c r="P688" s="113">
        <f>IF(B688=0,0,IFERROR(IF(C688="EIP",((I688-O688)*((IF(DAY(E688+1)=1,EOMONTH(E688,H688*D688),EDATE(E688,H688*D688))-AsAt)/365.25+(IF(DAY(E688+1)=1,EOMONTH(E688,(N688-1)*D688),EDATE(E688,(N688-1)*D688))-AsAt)/365.25)/2+O688*('Deal maths'!AA688-AsAt)/365.25)/I688,IF(C688="Annuity",IF(F688&gt;0,((K688-L688*F688)*((IF(DAY(E688+1)=1,EOMONTH(E688,H688*D688),EDATE(E688,H688*D688))-AsAt)/365.25*((1+F688)^(I688-O688)-1)/F688+IF((I688-O688)&gt;1,((IF(DAY(E688+1)=1,EOMONTH(E688,(N688-1)*D688),EDATE(E688,(N688-1)*D688))-AsAt)/365.25-(IF(DAY(E688+1)=1,EOMONTH(E688,H688*D688),EDATE(E688,H688*D688))-AsAt)/365.25)/((I688-O688)-1),0)*(1+F688)*(1-(I688-O688)*(1+F688)^((I688-O688)-1)+((I688-O688)-1)*(1+F688)^(I688-O688))/F688^2)+O688*(K688-L688*F688)*(1+F688)^(I688-1)*('Deal maths'!AA688-AsAt)/365.25)/L688,((I688-O688)*((IF(DAY(E688+1)=1,EOMONTH(E688,H688*D688),EDATE(E688,H688*D688))-AsAt)/365.25+(IF(DAY(E688+1)=1,EOMONTH(E688,(N688-1)*D688),EDATE(E688,(N688-1)*D688))-AsAt)/365.25)/2+O688*('Deal maths'!AA688-AsAt)/365.25)/I688),(S688-AsAt)/365.25)),0))</f>
        <v/>
      </c>
      <c r="Q688" s="109">
        <f>IF(B688=1,'Deal maths'!AA688+ROW()/1000000,"")</f>
        <v/>
      </c>
      <c r="R688" s="108">
        <f>IF(D688=0,0,IF(DAY(E688+1)=1,31,DAY(E688)))</f>
        <v/>
      </c>
      <c r="S688" s="109">
        <f>IF(AND('Deal maths'!V688="LOBO",'Deal maths'!AG688&gt;AsAt,'Deal maths'!AG688&lt;'Deal maths'!AA688),'Deal maths'!AG688,'Deal maths'!AA688)</f>
        <v/>
      </c>
      <c r="T688" s="108">
        <f>('Deal maths'!AA688&gt;AsAt)*('Deal maths'!Y688&gt;0)</f>
        <v/>
      </c>
    </row>
    <row r="689">
      <c r="A689" s="91">
        <f>IF('Deal maths'!V689="","",'Deal maths'!W689)</f>
        <v/>
      </c>
      <c r="B689" s="108">
        <f>('Deal maths'!AA689&gt;AsAt)*('Deal maths'!Y689&gt;0)*('Deal maths'!Z689&lt;=AsAt)</f>
        <v/>
      </c>
      <c r="C689" s="91">
        <f>IF('Deal maths'!V689="","",IF('Deal maths'!AC689="","Maturity",'Deal maths'!AC689))</f>
        <v/>
      </c>
      <c r="D689" s="108">
        <f>IF(OR(C689="EIP",C689="Annuity"),IF('Deal maths'!AD689="Annual",12,IF('Deal maths'!AD689="Quarterly",3,6)),0)</f>
        <v/>
      </c>
      <c r="E689" s="109">
        <f>IFERROR(IF(D689=0,0,IF('Deal maths'!AE689&gt;0,IF('Deal maths'!AE689&gt;'Deal maths'!AA689,'Deal maths'!AA689,'Deal maths'!AE689),IF(IF(DAY('Deal maths'!AA689+1)=1,EOMONTH('Deal maths'!AA689,-(INT(((YEAR('Deal maths'!AA689)-YEAR(IF('Deal maths'!Z689&gt;0,'Deal maths'!Z689,DATE(1990,1,1))))*12+MONTH('Deal maths'!AA689)-MONTH(IF('Deal maths'!Z689&gt;0,'Deal maths'!Z689,DATE(1990,1,1))))/D689))*D689),EDATE('Deal maths'!AA689,-(INT(((YEAR('Deal maths'!AA689)-YEAR(IF('Deal maths'!Z689&gt;0,'Deal maths'!Z689,DATE(1990,1,1))))*12+MONTH('Deal maths'!AA689)-MONTH(IF('Deal maths'!Z689&gt;0,'Deal maths'!Z689,DATE(1990,1,1))))/D689))*D689))&gt;IF('Deal maths'!Z689&gt;0,'Deal maths'!Z689,DATE(1990,1,1)),IF(DAY('Deal maths'!AA689+1)=1,EOMONTH('Deal maths'!AA689,-(INT(((YEAR('Deal maths'!AA689)-YEAR(IF('Deal maths'!Z689&gt;0,'Deal maths'!Z689,DATE(1990,1,1))))*12+MONTH('Deal maths'!AA689)-MONTH(IF('Deal maths'!Z689&gt;0,'Deal maths'!Z689,DATE(1990,1,1))))/D689))*D689),EDATE('Deal maths'!AA689,-(INT(((YEAR('Deal maths'!AA689)-YEAR(IF('Deal maths'!Z689&gt;0,'Deal maths'!Z689,DATE(1990,1,1))))*12+MONTH('Deal maths'!AA689)-MONTH(IF('Deal maths'!Z689&gt;0,'Deal maths'!Z689,DATE(1990,1,1))))/D689))*D689)),IF(DAY('Deal maths'!AA689+1)=1,EOMONTH('Deal maths'!AA689,-(INT(((YEAR('Deal maths'!AA689)-YEAR(IF('Deal maths'!Z689&gt;0,'Deal maths'!Z689,DATE(1990,1,1))))*12+MONTH('Deal maths'!AA689)-MONTH(IF('Deal maths'!Z689&gt;0,'Deal maths'!Z689,DATE(1990,1,1))))/D689)-1)*D689),EDATE('Deal maths'!AA689,-(INT(((YEAR('Deal maths'!AA689)-YEAR(IF('Deal maths'!Z689&gt;0,'Deal maths'!Z689,DATE(1990,1,1))))*12+MONTH('Deal maths'!AA689)-MONTH(IF('Deal maths'!Z689&gt;0,'Deal maths'!Z689,DATE(1990,1,1))))/D689)-1)*D689))))),0)</f>
        <v/>
      </c>
      <c r="F689" s="110">
        <f>IF(D689=0,0,'Deal maths'!AB689*D689/12)</f>
        <v/>
      </c>
      <c r="G689" s="108">
        <f>N689+O689</f>
        <v/>
      </c>
      <c r="H689" s="108">
        <f>IFERROR(IF(OR(D689=0,AsAt&lt;E689),0,MIN(N689,INT(((YEAR(AsAt)-YEAR(E689))*12+MONTH(AsAt)-MONTH(E689)-(DAY(AsAt)&lt;MIN(R689,DAY(EOMONTH(AsAt,0)))))/D689)+1)+O689*(AsAt&gt;='Deal maths'!AA689)),0)</f>
        <v/>
      </c>
      <c r="I689" s="108">
        <f>G689-H689</f>
        <v/>
      </c>
      <c r="J689" s="111">
        <f>IF(AND(C689="EIP",I689&gt;0),'Deal maths'!Y689/I689,0)</f>
        <v/>
      </c>
      <c r="K689" s="111">
        <f>IF(AND(C689="Annuity",I689&gt;0),IF(F689&gt;0,'Deal maths'!Y689*F689/(1-(1+F689)^-I689),'Deal maths'!Y689/I689),0)</f>
        <v/>
      </c>
      <c r="L689" s="111">
        <f>IF('Deal maths'!Y689="",0,'Deal maths'!Y689)</f>
        <v/>
      </c>
      <c r="M689" s="112">
        <f>F689+(F689=0)</f>
        <v/>
      </c>
      <c r="N689" s="108">
        <f>IFERROR(IF(D689=0,0,INT(((YEAR('Deal maths'!AA689)-YEAR(E689))*12+MONTH('Deal maths'!AA689)-MONTH(E689)-(DAY('Deal maths'!AA689)&lt;MIN(R689,DAY(EOMONTH('Deal maths'!AA689,0)))))/D689)+1),0)</f>
        <v/>
      </c>
      <c r="O689" s="108">
        <f>IFERROR(IF(D689=0,0,IF(IF(DAY(E689+1)=1,EOMONTH(E689,(N689-1)*D689),EDATE(E689,(N689-1)*D689))='Deal maths'!AA689,0,1)),0)</f>
        <v/>
      </c>
      <c r="P689" s="113">
        <f>IF(B689=0,0,IFERROR(IF(C689="EIP",((I689-O689)*((IF(DAY(E689+1)=1,EOMONTH(E689,H689*D689),EDATE(E689,H689*D689))-AsAt)/365.25+(IF(DAY(E689+1)=1,EOMONTH(E689,(N689-1)*D689),EDATE(E689,(N689-1)*D689))-AsAt)/365.25)/2+O689*('Deal maths'!AA689-AsAt)/365.25)/I689,IF(C689="Annuity",IF(F689&gt;0,((K689-L689*F689)*((IF(DAY(E689+1)=1,EOMONTH(E689,H689*D689),EDATE(E689,H689*D689))-AsAt)/365.25*((1+F689)^(I689-O689)-1)/F689+IF((I689-O689)&gt;1,((IF(DAY(E689+1)=1,EOMONTH(E689,(N689-1)*D689),EDATE(E689,(N689-1)*D689))-AsAt)/365.25-(IF(DAY(E689+1)=1,EOMONTH(E689,H689*D689),EDATE(E689,H689*D689))-AsAt)/365.25)/((I689-O689)-1),0)*(1+F689)*(1-(I689-O689)*(1+F689)^((I689-O689)-1)+((I689-O689)-1)*(1+F689)^(I689-O689))/F689^2)+O689*(K689-L689*F689)*(1+F689)^(I689-1)*('Deal maths'!AA689-AsAt)/365.25)/L689,((I689-O689)*((IF(DAY(E689+1)=1,EOMONTH(E689,H689*D689),EDATE(E689,H689*D689))-AsAt)/365.25+(IF(DAY(E689+1)=1,EOMONTH(E689,(N689-1)*D689),EDATE(E689,(N689-1)*D689))-AsAt)/365.25)/2+O689*('Deal maths'!AA689-AsAt)/365.25)/I689),(S689-AsAt)/365.25)),0))</f>
        <v/>
      </c>
      <c r="Q689" s="109">
        <f>IF(B689=1,'Deal maths'!AA689+ROW()/1000000,"")</f>
        <v/>
      </c>
      <c r="R689" s="108">
        <f>IF(D689=0,0,IF(DAY(E689+1)=1,31,DAY(E689)))</f>
        <v/>
      </c>
      <c r="S689" s="109">
        <f>IF(AND('Deal maths'!V689="LOBO",'Deal maths'!AG689&gt;AsAt,'Deal maths'!AG689&lt;'Deal maths'!AA689),'Deal maths'!AG689,'Deal maths'!AA689)</f>
        <v/>
      </c>
      <c r="T689" s="108">
        <f>('Deal maths'!AA689&gt;AsAt)*('Deal maths'!Y689&gt;0)</f>
        <v/>
      </c>
    </row>
    <row r="690">
      <c r="A690" s="91">
        <f>IF('Deal maths'!V690="","",'Deal maths'!W690)</f>
        <v/>
      </c>
      <c r="B690" s="108">
        <f>('Deal maths'!AA690&gt;AsAt)*('Deal maths'!Y690&gt;0)*('Deal maths'!Z690&lt;=AsAt)</f>
        <v/>
      </c>
      <c r="C690" s="91">
        <f>IF('Deal maths'!V690="","",IF('Deal maths'!AC690="","Maturity",'Deal maths'!AC690))</f>
        <v/>
      </c>
      <c r="D690" s="108">
        <f>IF(OR(C690="EIP",C690="Annuity"),IF('Deal maths'!AD690="Annual",12,IF('Deal maths'!AD690="Quarterly",3,6)),0)</f>
        <v/>
      </c>
      <c r="E690" s="109">
        <f>IFERROR(IF(D690=0,0,IF('Deal maths'!AE690&gt;0,IF('Deal maths'!AE690&gt;'Deal maths'!AA690,'Deal maths'!AA690,'Deal maths'!AE690),IF(IF(DAY('Deal maths'!AA690+1)=1,EOMONTH('Deal maths'!AA690,-(INT(((YEAR('Deal maths'!AA690)-YEAR(IF('Deal maths'!Z690&gt;0,'Deal maths'!Z690,DATE(1990,1,1))))*12+MONTH('Deal maths'!AA690)-MONTH(IF('Deal maths'!Z690&gt;0,'Deal maths'!Z690,DATE(1990,1,1))))/D690))*D690),EDATE('Deal maths'!AA690,-(INT(((YEAR('Deal maths'!AA690)-YEAR(IF('Deal maths'!Z690&gt;0,'Deal maths'!Z690,DATE(1990,1,1))))*12+MONTH('Deal maths'!AA690)-MONTH(IF('Deal maths'!Z690&gt;0,'Deal maths'!Z690,DATE(1990,1,1))))/D690))*D690))&gt;IF('Deal maths'!Z690&gt;0,'Deal maths'!Z690,DATE(1990,1,1)),IF(DAY('Deal maths'!AA690+1)=1,EOMONTH('Deal maths'!AA690,-(INT(((YEAR('Deal maths'!AA690)-YEAR(IF('Deal maths'!Z690&gt;0,'Deal maths'!Z690,DATE(1990,1,1))))*12+MONTH('Deal maths'!AA690)-MONTH(IF('Deal maths'!Z690&gt;0,'Deal maths'!Z690,DATE(1990,1,1))))/D690))*D690),EDATE('Deal maths'!AA690,-(INT(((YEAR('Deal maths'!AA690)-YEAR(IF('Deal maths'!Z690&gt;0,'Deal maths'!Z690,DATE(1990,1,1))))*12+MONTH('Deal maths'!AA690)-MONTH(IF('Deal maths'!Z690&gt;0,'Deal maths'!Z690,DATE(1990,1,1))))/D690))*D690)),IF(DAY('Deal maths'!AA690+1)=1,EOMONTH('Deal maths'!AA690,-(INT(((YEAR('Deal maths'!AA690)-YEAR(IF('Deal maths'!Z690&gt;0,'Deal maths'!Z690,DATE(1990,1,1))))*12+MONTH('Deal maths'!AA690)-MONTH(IF('Deal maths'!Z690&gt;0,'Deal maths'!Z690,DATE(1990,1,1))))/D690)-1)*D690),EDATE('Deal maths'!AA690,-(INT(((YEAR('Deal maths'!AA690)-YEAR(IF('Deal maths'!Z690&gt;0,'Deal maths'!Z690,DATE(1990,1,1))))*12+MONTH('Deal maths'!AA690)-MONTH(IF('Deal maths'!Z690&gt;0,'Deal maths'!Z690,DATE(1990,1,1))))/D690)-1)*D690))))),0)</f>
        <v/>
      </c>
      <c r="F690" s="110">
        <f>IF(D690=0,0,'Deal maths'!AB690*D690/12)</f>
        <v/>
      </c>
      <c r="G690" s="108">
        <f>N690+O690</f>
        <v/>
      </c>
      <c r="H690" s="108">
        <f>IFERROR(IF(OR(D690=0,AsAt&lt;E690),0,MIN(N690,INT(((YEAR(AsAt)-YEAR(E690))*12+MONTH(AsAt)-MONTH(E690)-(DAY(AsAt)&lt;MIN(R690,DAY(EOMONTH(AsAt,0)))))/D690)+1)+O690*(AsAt&gt;='Deal maths'!AA690)),0)</f>
        <v/>
      </c>
      <c r="I690" s="108">
        <f>G690-H690</f>
        <v/>
      </c>
      <c r="J690" s="111">
        <f>IF(AND(C690="EIP",I690&gt;0),'Deal maths'!Y690/I690,0)</f>
        <v/>
      </c>
      <c r="K690" s="111">
        <f>IF(AND(C690="Annuity",I690&gt;0),IF(F690&gt;0,'Deal maths'!Y690*F690/(1-(1+F690)^-I690),'Deal maths'!Y690/I690),0)</f>
        <v/>
      </c>
      <c r="L690" s="111">
        <f>IF('Deal maths'!Y690="",0,'Deal maths'!Y690)</f>
        <v/>
      </c>
      <c r="M690" s="112">
        <f>F690+(F690=0)</f>
        <v/>
      </c>
      <c r="N690" s="108">
        <f>IFERROR(IF(D690=0,0,INT(((YEAR('Deal maths'!AA690)-YEAR(E690))*12+MONTH('Deal maths'!AA690)-MONTH(E690)-(DAY('Deal maths'!AA690)&lt;MIN(R690,DAY(EOMONTH('Deal maths'!AA690,0)))))/D690)+1),0)</f>
        <v/>
      </c>
      <c r="O690" s="108">
        <f>IFERROR(IF(D690=0,0,IF(IF(DAY(E690+1)=1,EOMONTH(E690,(N690-1)*D690),EDATE(E690,(N690-1)*D690))='Deal maths'!AA690,0,1)),0)</f>
        <v/>
      </c>
      <c r="P690" s="113">
        <f>IF(B690=0,0,IFERROR(IF(C690="EIP",((I690-O690)*((IF(DAY(E690+1)=1,EOMONTH(E690,H690*D690),EDATE(E690,H690*D690))-AsAt)/365.25+(IF(DAY(E690+1)=1,EOMONTH(E690,(N690-1)*D690),EDATE(E690,(N690-1)*D690))-AsAt)/365.25)/2+O690*('Deal maths'!AA690-AsAt)/365.25)/I690,IF(C690="Annuity",IF(F690&gt;0,((K690-L690*F690)*((IF(DAY(E690+1)=1,EOMONTH(E690,H690*D690),EDATE(E690,H690*D690))-AsAt)/365.25*((1+F690)^(I690-O690)-1)/F690+IF((I690-O690)&gt;1,((IF(DAY(E690+1)=1,EOMONTH(E690,(N690-1)*D690),EDATE(E690,(N690-1)*D690))-AsAt)/365.25-(IF(DAY(E690+1)=1,EOMONTH(E690,H690*D690),EDATE(E690,H690*D690))-AsAt)/365.25)/((I690-O690)-1),0)*(1+F690)*(1-(I690-O690)*(1+F690)^((I690-O690)-1)+((I690-O690)-1)*(1+F690)^(I690-O690))/F690^2)+O690*(K690-L690*F690)*(1+F690)^(I690-1)*('Deal maths'!AA690-AsAt)/365.25)/L690,((I690-O690)*((IF(DAY(E690+1)=1,EOMONTH(E690,H690*D690),EDATE(E690,H690*D690))-AsAt)/365.25+(IF(DAY(E690+1)=1,EOMONTH(E690,(N690-1)*D690),EDATE(E690,(N690-1)*D690))-AsAt)/365.25)/2+O690*('Deal maths'!AA690-AsAt)/365.25)/I690),(S690-AsAt)/365.25)),0))</f>
        <v/>
      </c>
      <c r="Q690" s="109">
        <f>IF(B690=1,'Deal maths'!AA690+ROW()/1000000,"")</f>
        <v/>
      </c>
      <c r="R690" s="108">
        <f>IF(D690=0,0,IF(DAY(E690+1)=1,31,DAY(E690)))</f>
        <v/>
      </c>
      <c r="S690" s="109">
        <f>IF(AND('Deal maths'!V690="LOBO",'Deal maths'!AG690&gt;AsAt,'Deal maths'!AG690&lt;'Deal maths'!AA690),'Deal maths'!AG690,'Deal maths'!AA690)</f>
        <v/>
      </c>
      <c r="T690" s="108">
        <f>('Deal maths'!AA690&gt;AsAt)*('Deal maths'!Y690&gt;0)</f>
        <v/>
      </c>
    </row>
    <row r="691">
      <c r="A691" s="91">
        <f>IF('Deal maths'!V691="","",'Deal maths'!W691)</f>
        <v/>
      </c>
      <c r="B691" s="108">
        <f>('Deal maths'!AA691&gt;AsAt)*('Deal maths'!Y691&gt;0)*('Deal maths'!Z691&lt;=AsAt)</f>
        <v/>
      </c>
      <c r="C691" s="91">
        <f>IF('Deal maths'!V691="","",IF('Deal maths'!AC691="","Maturity",'Deal maths'!AC691))</f>
        <v/>
      </c>
      <c r="D691" s="108">
        <f>IF(OR(C691="EIP",C691="Annuity"),IF('Deal maths'!AD691="Annual",12,IF('Deal maths'!AD691="Quarterly",3,6)),0)</f>
        <v/>
      </c>
      <c r="E691" s="109">
        <f>IFERROR(IF(D691=0,0,IF('Deal maths'!AE691&gt;0,IF('Deal maths'!AE691&gt;'Deal maths'!AA691,'Deal maths'!AA691,'Deal maths'!AE691),IF(IF(DAY('Deal maths'!AA691+1)=1,EOMONTH('Deal maths'!AA691,-(INT(((YEAR('Deal maths'!AA691)-YEAR(IF('Deal maths'!Z691&gt;0,'Deal maths'!Z691,DATE(1990,1,1))))*12+MONTH('Deal maths'!AA691)-MONTH(IF('Deal maths'!Z691&gt;0,'Deal maths'!Z691,DATE(1990,1,1))))/D691))*D691),EDATE('Deal maths'!AA691,-(INT(((YEAR('Deal maths'!AA691)-YEAR(IF('Deal maths'!Z691&gt;0,'Deal maths'!Z691,DATE(1990,1,1))))*12+MONTH('Deal maths'!AA691)-MONTH(IF('Deal maths'!Z691&gt;0,'Deal maths'!Z691,DATE(1990,1,1))))/D691))*D691))&gt;IF('Deal maths'!Z691&gt;0,'Deal maths'!Z691,DATE(1990,1,1)),IF(DAY('Deal maths'!AA691+1)=1,EOMONTH('Deal maths'!AA691,-(INT(((YEAR('Deal maths'!AA691)-YEAR(IF('Deal maths'!Z691&gt;0,'Deal maths'!Z691,DATE(1990,1,1))))*12+MONTH('Deal maths'!AA691)-MONTH(IF('Deal maths'!Z691&gt;0,'Deal maths'!Z691,DATE(1990,1,1))))/D691))*D691),EDATE('Deal maths'!AA691,-(INT(((YEAR('Deal maths'!AA691)-YEAR(IF('Deal maths'!Z691&gt;0,'Deal maths'!Z691,DATE(1990,1,1))))*12+MONTH('Deal maths'!AA691)-MONTH(IF('Deal maths'!Z691&gt;0,'Deal maths'!Z691,DATE(1990,1,1))))/D691))*D691)),IF(DAY('Deal maths'!AA691+1)=1,EOMONTH('Deal maths'!AA691,-(INT(((YEAR('Deal maths'!AA691)-YEAR(IF('Deal maths'!Z691&gt;0,'Deal maths'!Z691,DATE(1990,1,1))))*12+MONTH('Deal maths'!AA691)-MONTH(IF('Deal maths'!Z691&gt;0,'Deal maths'!Z691,DATE(1990,1,1))))/D691)-1)*D691),EDATE('Deal maths'!AA691,-(INT(((YEAR('Deal maths'!AA691)-YEAR(IF('Deal maths'!Z691&gt;0,'Deal maths'!Z691,DATE(1990,1,1))))*12+MONTH('Deal maths'!AA691)-MONTH(IF('Deal maths'!Z691&gt;0,'Deal maths'!Z691,DATE(1990,1,1))))/D691)-1)*D691))))),0)</f>
        <v/>
      </c>
      <c r="F691" s="110">
        <f>IF(D691=0,0,'Deal maths'!AB691*D691/12)</f>
        <v/>
      </c>
      <c r="G691" s="108">
        <f>N691+O691</f>
        <v/>
      </c>
      <c r="H691" s="108">
        <f>IFERROR(IF(OR(D691=0,AsAt&lt;E691),0,MIN(N691,INT(((YEAR(AsAt)-YEAR(E691))*12+MONTH(AsAt)-MONTH(E691)-(DAY(AsAt)&lt;MIN(R691,DAY(EOMONTH(AsAt,0)))))/D691)+1)+O691*(AsAt&gt;='Deal maths'!AA691)),0)</f>
        <v/>
      </c>
      <c r="I691" s="108">
        <f>G691-H691</f>
        <v/>
      </c>
      <c r="J691" s="111">
        <f>IF(AND(C691="EIP",I691&gt;0),'Deal maths'!Y691/I691,0)</f>
        <v/>
      </c>
      <c r="K691" s="111">
        <f>IF(AND(C691="Annuity",I691&gt;0),IF(F691&gt;0,'Deal maths'!Y691*F691/(1-(1+F691)^-I691),'Deal maths'!Y691/I691),0)</f>
        <v/>
      </c>
      <c r="L691" s="111">
        <f>IF('Deal maths'!Y691="",0,'Deal maths'!Y691)</f>
        <v/>
      </c>
      <c r="M691" s="112">
        <f>F691+(F691=0)</f>
        <v/>
      </c>
      <c r="N691" s="108">
        <f>IFERROR(IF(D691=0,0,INT(((YEAR('Deal maths'!AA691)-YEAR(E691))*12+MONTH('Deal maths'!AA691)-MONTH(E691)-(DAY('Deal maths'!AA691)&lt;MIN(R691,DAY(EOMONTH('Deal maths'!AA691,0)))))/D691)+1),0)</f>
        <v/>
      </c>
      <c r="O691" s="108">
        <f>IFERROR(IF(D691=0,0,IF(IF(DAY(E691+1)=1,EOMONTH(E691,(N691-1)*D691),EDATE(E691,(N691-1)*D691))='Deal maths'!AA691,0,1)),0)</f>
        <v/>
      </c>
      <c r="P691" s="113">
        <f>IF(B691=0,0,IFERROR(IF(C691="EIP",((I691-O691)*((IF(DAY(E691+1)=1,EOMONTH(E691,H691*D691),EDATE(E691,H691*D691))-AsAt)/365.25+(IF(DAY(E691+1)=1,EOMONTH(E691,(N691-1)*D691),EDATE(E691,(N691-1)*D691))-AsAt)/365.25)/2+O691*('Deal maths'!AA691-AsAt)/365.25)/I691,IF(C691="Annuity",IF(F691&gt;0,((K691-L691*F691)*((IF(DAY(E691+1)=1,EOMONTH(E691,H691*D691),EDATE(E691,H691*D691))-AsAt)/365.25*((1+F691)^(I691-O691)-1)/F691+IF((I691-O691)&gt;1,((IF(DAY(E691+1)=1,EOMONTH(E691,(N691-1)*D691),EDATE(E691,(N691-1)*D691))-AsAt)/365.25-(IF(DAY(E691+1)=1,EOMONTH(E691,H691*D691),EDATE(E691,H691*D691))-AsAt)/365.25)/((I691-O691)-1),0)*(1+F691)*(1-(I691-O691)*(1+F691)^((I691-O691)-1)+((I691-O691)-1)*(1+F691)^(I691-O691))/F691^2)+O691*(K691-L691*F691)*(1+F691)^(I691-1)*('Deal maths'!AA691-AsAt)/365.25)/L691,((I691-O691)*((IF(DAY(E691+1)=1,EOMONTH(E691,H691*D691),EDATE(E691,H691*D691))-AsAt)/365.25+(IF(DAY(E691+1)=1,EOMONTH(E691,(N691-1)*D691),EDATE(E691,(N691-1)*D691))-AsAt)/365.25)/2+O691*('Deal maths'!AA691-AsAt)/365.25)/I691),(S691-AsAt)/365.25)),0))</f>
        <v/>
      </c>
      <c r="Q691" s="109">
        <f>IF(B691=1,'Deal maths'!AA691+ROW()/1000000,"")</f>
        <v/>
      </c>
      <c r="R691" s="108">
        <f>IF(D691=0,0,IF(DAY(E691+1)=1,31,DAY(E691)))</f>
        <v/>
      </c>
      <c r="S691" s="109">
        <f>IF(AND('Deal maths'!V691="LOBO",'Deal maths'!AG691&gt;AsAt,'Deal maths'!AG691&lt;'Deal maths'!AA691),'Deal maths'!AG691,'Deal maths'!AA691)</f>
        <v/>
      </c>
      <c r="T691" s="108">
        <f>('Deal maths'!AA691&gt;AsAt)*('Deal maths'!Y691&gt;0)</f>
        <v/>
      </c>
    </row>
    <row r="692">
      <c r="A692" s="91">
        <f>IF('Deal maths'!V692="","",'Deal maths'!W692)</f>
        <v/>
      </c>
      <c r="B692" s="108">
        <f>('Deal maths'!AA692&gt;AsAt)*('Deal maths'!Y692&gt;0)*('Deal maths'!Z692&lt;=AsAt)</f>
        <v/>
      </c>
      <c r="C692" s="91">
        <f>IF('Deal maths'!V692="","",IF('Deal maths'!AC692="","Maturity",'Deal maths'!AC692))</f>
        <v/>
      </c>
      <c r="D692" s="108">
        <f>IF(OR(C692="EIP",C692="Annuity"),IF('Deal maths'!AD692="Annual",12,IF('Deal maths'!AD692="Quarterly",3,6)),0)</f>
        <v/>
      </c>
      <c r="E692" s="109">
        <f>IFERROR(IF(D692=0,0,IF('Deal maths'!AE692&gt;0,IF('Deal maths'!AE692&gt;'Deal maths'!AA692,'Deal maths'!AA692,'Deal maths'!AE692),IF(IF(DAY('Deal maths'!AA692+1)=1,EOMONTH('Deal maths'!AA692,-(INT(((YEAR('Deal maths'!AA692)-YEAR(IF('Deal maths'!Z692&gt;0,'Deal maths'!Z692,DATE(1990,1,1))))*12+MONTH('Deal maths'!AA692)-MONTH(IF('Deal maths'!Z692&gt;0,'Deal maths'!Z692,DATE(1990,1,1))))/D692))*D692),EDATE('Deal maths'!AA692,-(INT(((YEAR('Deal maths'!AA692)-YEAR(IF('Deal maths'!Z692&gt;0,'Deal maths'!Z692,DATE(1990,1,1))))*12+MONTH('Deal maths'!AA692)-MONTH(IF('Deal maths'!Z692&gt;0,'Deal maths'!Z692,DATE(1990,1,1))))/D692))*D692))&gt;IF('Deal maths'!Z692&gt;0,'Deal maths'!Z692,DATE(1990,1,1)),IF(DAY('Deal maths'!AA692+1)=1,EOMONTH('Deal maths'!AA692,-(INT(((YEAR('Deal maths'!AA692)-YEAR(IF('Deal maths'!Z692&gt;0,'Deal maths'!Z692,DATE(1990,1,1))))*12+MONTH('Deal maths'!AA692)-MONTH(IF('Deal maths'!Z692&gt;0,'Deal maths'!Z692,DATE(1990,1,1))))/D692))*D692),EDATE('Deal maths'!AA692,-(INT(((YEAR('Deal maths'!AA692)-YEAR(IF('Deal maths'!Z692&gt;0,'Deal maths'!Z692,DATE(1990,1,1))))*12+MONTH('Deal maths'!AA692)-MONTH(IF('Deal maths'!Z692&gt;0,'Deal maths'!Z692,DATE(1990,1,1))))/D692))*D692)),IF(DAY('Deal maths'!AA692+1)=1,EOMONTH('Deal maths'!AA692,-(INT(((YEAR('Deal maths'!AA692)-YEAR(IF('Deal maths'!Z692&gt;0,'Deal maths'!Z692,DATE(1990,1,1))))*12+MONTH('Deal maths'!AA692)-MONTH(IF('Deal maths'!Z692&gt;0,'Deal maths'!Z692,DATE(1990,1,1))))/D692)-1)*D692),EDATE('Deal maths'!AA692,-(INT(((YEAR('Deal maths'!AA692)-YEAR(IF('Deal maths'!Z692&gt;0,'Deal maths'!Z692,DATE(1990,1,1))))*12+MONTH('Deal maths'!AA692)-MONTH(IF('Deal maths'!Z692&gt;0,'Deal maths'!Z692,DATE(1990,1,1))))/D692)-1)*D692))))),0)</f>
        <v/>
      </c>
      <c r="F692" s="110">
        <f>IF(D692=0,0,'Deal maths'!AB692*D692/12)</f>
        <v/>
      </c>
      <c r="G692" s="108">
        <f>N692+O692</f>
        <v/>
      </c>
      <c r="H692" s="108">
        <f>IFERROR(IF(OR(D692=0,AsAt&lt;E692),0,MIN(N692,INT(((YEAR(AsAt)-YEAR(E692))*12+MONTH(AsAt)-MONTH(E692)-(DAY(AsAt)&lt;MIN(R692,DAY(EOMONTH(AsAt,0)))))/D692)+1)+O692*(AsAt&gt;='Deal maths'!AA692)),0)</f>
        <v/>
      </c>
      <c r="I692" s="108">
        <f>G692-H692</f>
        <v/>
      </c>
      <c r="J692" s="111">
        <f>IF(AND(C692="EIP",I692&gt;0),'Deal maths'!Y692/I692,0)</f>
        <v/>
      </c>
      <c r="K692" s="111">
        <f>IF(AND(C692="Annuity",I692&gt;0),IF(F692&gt;0,'Deal maths'!Y692*F692/(1-(1+F692)^-I692),'Deal maths'!Y692/I692),0)</f>
        <v/>
      </c>
      <c r="L692" s="111">
        <f>IF('Deal maths'!Y692="",0,'Deal maths'!Y692)</f>
        <v/>
      </c>
      <c r="M692" s="112">
        <f>F692+(F692=0)</f>
        <v/>
      </c>
      <c r="N692" s="108">
        <f>IFERROR(IF(D692=0,0,INT(((YEAR('Deal maths'!AA692)-YEAR(E692))*12+MONTH('Deal maths'!AA692)-MONTH(E692)-(DAY('Deal maths'!AA692)&lt;MIN(R692,DAY(EOMONTH('Deal maths'!AA692,0)))))/D692)+1),0)</f>
        <v/>
      </c>
      <c r="O692" s="108">
        <f>IFERROR(IF(D692=0,0,IF(IF(DAY(E692+1)=1,EOMONTH(E692,(N692-1)*D692),EDATE(E692,(N692-1)*D692))='Deal maths'!AA692,0,1)),0)</f>
        <v/>
      </c>
      <c r="P692" s="113">
        <f>IF(B692=0,0,IFERROR(IF(C692="EIP",((I692-O692)*((IF(DAY(E692+1)=1,EOMONTH(E692,H692*D692),EDATE(E692,H692*D692))-AsAt)/365.25+(IF(DAY(E692+1)=1,EOMONTH(E692,(N692-1)*D692),EDATE(E692,(N692-1)*D692))-AsAt)/365.25)/2+O692*('Deal maths'!AA692-AsAt)/365.25)/I692,IF(C692="Annuity",IF(F692&gt;0,((K692-L692*F692)*((IF(DAY(E692+1)=1,EOMONTH(E692,H692*D692),EDATE(E692,H692*D692))-AsAt)/365.25*((1+F692)^(I692-O692)-1)/F692+IF((I692-O692)&gt;1,((IF(DAY(E692+1)=1,EOMONTH(E692,(N692-1)*D692),EDATE(E692,(N692-1)*D692))-AsAt)/365.25-(IF(DAY(E692+1)=1,EOMONTH(E692,H692*D692),EDATE(E692,H692*D692))-AsAt)/365.25)/((I692-O692)-1),0)*(1+F692)*(1-(I692-O692)*(1+F692)^((I692-O692)-1)+((I692-O692)-1)*(1+F692)^(I692-O692))/F692^2)+O692*(K692-L692*F692)*(1+F692)^(I692-1)*('Deal maths'!AA692-AsAt)/365.25)/L692,((I692-O692)*((IF(DAY(E692+1)=1,EOMONTH(E692,H692*D692),EDATE(E692,H692*D692))-AsAt)/365.25+(IF(DAY(E692+1)=1,EOMONTH(E692,(N692-1)*D692),EDATE(E692,(N692-1)*D692))-AsAt)/365.25)/2+O692*('Deal maths'!AA692-AsAt)/365.25)/I692),(S692-AsAt)/365.25)),0))</f>
        <v/>
      </c>
      <c r="Q692" s="109">
        <f>IF(B692=1,'Deal maths'!AA692+ROW()/1000000,"")</f>
        <v/>
      </c>
      <c r="R692" s="108">
        <f>IF(D692=0,0,IF(DAY(E692+1)=1,31,DAY(E692)))</f>
        <v/>
      </c>
      <c r="S692" s="109">
        <f>IF(AND('Deal maths'!V692="LOBO",'Deal maths'!AG692&gt;AsAt,'Deal maths'!AG692&lt;'Deal maths'!AA692),'Deal maths'!AG692,'Deal maths'!AA692)</f>
        <v/>
      </c>
      <c r="T692" s="108">
        <f>('Deal maths'!AA692&gt;AsAt)*('Deal maths'!Y692&gt;0)</f>
        <v/>
      </c>
    </row>
    <row r="693">
      <c r="A693" s="91">
        <f>IF('Deal maths'!V693="","",'Deal maths'!W693)</f>
        <v/>
      </c>
      <c r="B693" s="108">
        <f>('Deal maths'!AA693&gt;AsAt)*('Deal maths'!Y693&gt;0)*('Deal maths'!Z693&lt;=AsAt)</f>
        <v/>
      </c>
      <c r="C693" s="91">
        <f>IF('Deal maths'!V693="","",IF('Deal maths'!AC693="","Maturity",'Deal maths'!AC693))</f>
        <v/>
      </c>
      <c r="D693" s="108">
        <f>IF(OR(C693="EIP",C693="Annuity"),IF('Deal maths'!AD693="Annual",12,IF('Deal maths'!AD693="Quarterly",3,6)),0)</f>
        <v/>
      </c>
      <c r="E693" s="109">
        <f>IFERROR(IF(D693=0,0,IF('Deal maths'!AE693&gt;0,IF('Deal maths'!AE693&gt;'Deal maths'!AA693,'Deal maths'!AA693,'Deal maths'!AE693),IF(IF(DAY('Deal maths'!AA693+1)=1,EOMONTH('Deal maths'!AA693,-(INT(((YEAR('Deal maths'!AA693)-YEAR(IF('Deal maths'!Z693&gt;0,'Deal maths'!Z693,DATE(1990,1,1))))*12+MONTH('Deal maths'!AA693)-MONTH(IF('Deal maths'!Z693&gt;0,'Deal maths'!Z693,DATE(1990,1,1))))/D693))*D693),EDATE('Deal maths'!AA693,-(INT(((YEAR('Deal maths'!AA693)-YEAR(IF('Deal maths'!Z693&gt;0,'Deal maths'!Z693,DATE(1990,1,1))))*12+MONTH('Deal maths'!AA693)-MONTH(IF('Deal maths'!Z693&gt;0,'Deal maths'!Z693,DATE(1990,1,1))))/D693))*D693))&gt;IF('Deal maths'!Z693&gt;0,'Deal maths'!Z693,DATE(1990,1,1)),IF(DAY('Deal maths'!AA693+1)=1,EOMONTH('Deal maths'!AA693,-(INT(((YEAR('Deal maths'!AA693)-YEAR(IF('Deal maths'!Z693&gt;0,'Deal maths'!Z693,DATE(1990,1,1))))*12+MONTH('Deal maths'!AA693)-MONTH(IF('Deal maths'!Z693&gt;0,'Deal maths'!Z693,DATE(1990,1,1))))/D693))*D693),EDATE('Deal maths'!AA693,-(INT(((YEAR('Deal maths'!AA693)-YEAR(IF('Deal maths'!Z693&gt;0,'Deal maths'!Z693,DATE(1990,1,1))))*12+MONTH('Deal maths'!AA693)-MONTH(IF('Deal maths'!Z693&gt;0,'Deal maths'!Z693,DATE(1990,1,1))))/D693))*D693)),IF(DAY('Deal maths'!AA693+1)=1,EOMONTH('Deal maths'!AA693,-(INT(((YEAR('Deal maths'!AA693)-YEAR(IF('Deal maths'!Z693&gt;0,'Deal maths'!Z693,DATE(1990,1,1))))*12+MONTH('Deal maths'!AA693)-MONTH(IF('Deal maths'!Z693&gt;0,'Deal maths'!Z693,DATE(1990,1,1))))/D693)-1)*D693),EDATE('Deal maths'!AA693,-(INT(((YEAR('Deal maths'!AA693)-YEAR(IF('Deal maths'!Z693&gt;0,'Deal maths'!Z693,DATE(1990,1,1))))*12+MONTH('Deal maths'!AA693)-MONTH(IF('Deal maths'!Z693&gt;0,'Deal maths'!Z693,DATE(1990,1,1))))/D693)-1)*D693))))),0)</f>
        <v/>
      </c>
      <c r="F693" s="110">
        <f>IF(D693=0,0,'Deal maths'!AB693*D693/12)</f>
        <v/>
      </c>
      <c r="G693" s="108">
        <f>N693+O693</f>
        <v/>
      </c>
      <c r="H693" s="108">
        <f>IFERROR(IF(OR(D693=0,AsAt&lt;E693),0,MIN(N693,INT(((YEAR(AsAt)-YEAR(E693))*12+MONTH(AsAt)-MONTH(E693)-(DAY(AsAt)&lt;MIN(R693,DAY(EOMONTH(AsAt,0)))))/D693)+1)+O693*(AsAt&gt;='Deal maths'!AA693)),0)</f>
        <v/>
      </c>
      <c r="I693" s="108">
        <f>G693-H693</f>
        <v/>
      </c>
      <c r="J693" s="111">
        <f>IF(AND(C693="EIP",I693&gt;0),'Deal maths'!Y693/I693,0)</f>
        <v/>
      </c>
      <c r="K693" s="111">
        <f>IF(AND(C693="Annuity",I693&gt;0),IF(F693&gt;0,'Deal maths'!Y693*F693/(1-(1+F693)^-I693),'Deal maths'!Y693/I693),0)</f>
        <v/>
      </c>
      <c r="L693" s="111">
        <f>IF('Deal maths'!Y693="",0,'Deal maths'!Y693)</f>
        <v/>
      </c>
      <c r="M693" s="112">
        <f>F693+(F693=0)</f>
        <v/>
      </c>
      <c r="N693" s="108">
        <f>IFERROR(IF(D693=0,0,INT(((YEAR('Deal maths'!AA693)-YEAR(E693))*12+MONTH('Deal maths'!AA693)-MONTH(E693)-(DAY('Deal maths'!AA693)&lt;MIN(R693,DAY(EOMONTH('Deal maths'!AA693,0)))))/D693)+1),0)</f>
        <v/>
      </c>
      <c r="O693" s="108">
        <f>IFERROR(IF(D693=0,0,IF(IF(DAY(E693+1)=1,EOMONTH(E693,(N693-1)*D693),EDATE(E693,(N693-1)*D693))='Deal maths'!AA693,0,1)),0)</f>
        <v/>
      </c>
      <c r="P693" s="113">
        <f>IF(B693=0,0,IFERROR(IF(C693="EIP",((I693-O693)*((IF(DAY(E693+1)=1,EOMONTH(E693,H693*D693),EDATE(E693,H693*D693))-AsAt)/365.25+(IF(DAY(E693+1)=1,EOMONTH(E693,(N693-1)*D693),EDATE(E693,(N693-1)*D693))-AsAt)/365.25)/2+O693*('Deal maths'!AA693-AsAt)/365.25)/I693,IF(C693="Annuity",IF(F693&gt;0,((K693-L693*F693)*((IF(DAY(E693+1)=1,EOMONTH(E693,H693*D693),EDATE(E693,H693*D693))-AsAt)/365.25*((1+F693)^(I693-O693)-1)/F693+IF((I693-O693)&gt;1,((IF(DAY(E693+1)=1,EOMONTH(E693,(N693-1)*D693),EDATE(E693,(N693-1)*D693))-AsAt)/365.25-(IF(DAY(E693+1)=1,EOMONTH(E693,H693*D693),EDATE(E693,H693*D693))-AsAt)/365.25)/((I693-O693)-1),0)*(1+F693)*(1-(I693-O693)*(1+F693)^((I693-O693)-1)+((I693-O693)-1)*(1+F693)^(I693-O693))/F693^2)+O693*(K693-L693*F693)*(1+F693)^(I693-1)*('Deal maths'!AA693-AsAt)/365.25)/L693,((I693-O693)*((IF(DAY(E693+1)=1,EOMONTH(E693,H693*D693),EDATE(E693,H693*D693))-AsAt)/365.25+(IF(DAY(E693+1)=1,EOMONTH(E693,(N693-1)*D693),EDATE(E693,(N693-1)*D693))-AsAt)/365.25)/2+O693*('Deal maths'!AA693-AsAt)/365.25)/I693),(S693-AsAt)/365.25)),0))</f>
        <v/>
      </c>
      <c r="Q693" s="109">
        <f>IF(B693=1,'Deal maths'!AA693+ROW()/1000000,"")</f>
        <v/>
      </c>
      <c r="R693" s="108">
        <f>IF(D693=0,0,IF(DAY(E693+1)=1,31,DAY(E693)))</f>
        <v/>
      </c>
      <c r="S693" s="109">
        <f>IF(AND('Deal maths'!V693="LOBO",'Deal maths'!AG693&gt;AsAt,'Deal maths'!AG693&lt;'Deal maths'!AA693),'Deal maths'!AG693,'Deal maths'!AA693)</f>
        <v/>
      </c>
      <c r="T693" s="108">
        <f>('Deal maths'!AA693&gt;AsAt)*('Deal maths'!Y693&gt;0)</f>
        <v/>
      </c>
    </row>
    <row r="694">
      <c r="A694" s="91">
        <f>IF('Deal maths'!V694="","",'Deal maths'!W694)</f>
        <v/>
      </c>
      <c r="B694" s="108">
        <f>('Deal maths'!AA694&gt;AsAt)*('Deal maths'!Y694&gt;0)*('Deal maths'!Z694&lt;=AsAt)</f>
        <v/>
      </c>
      <c r="C694" s="91">
        <f>IF('Deal maths'!V694="","",IF('Deal maths'!AC694="","Maturity",'Deal maths'!AC694))</f>
        <v/>
      </c>
      <c r="D694" s="108">
        <f>IF(OR(C694="EIP",C694="Annuity"),IF('Deal maths'!AD694="Annual",12,IF('Deal maths'!AD694="Quarterly",3,6)),0)</f>
        <v/>
      </c>
      <c r="E694" s="109">
        <f>IFERROR(IF(D694=0,0,IF('Deal maths'!AE694&gt;0,IF('Deal maths'!AE694&gt;'Deal maths'!AA694,'Deal maths'!AA694,'Deal maths'!AE694),IF(IF(DAY('Deal maths'!AA694+1)=1,EOMONTH('Deal maths'!AA694,-(INT(((YEAR('Deal maths'!AA694)-YEAR(IF('Deal maths'!Z694&gt;0,'Deal maths'!Z694,DATE(1990,1,1))))*12+MONTH('Deal maths'!AA694)-MONTH(IF('Deal maths'!Z694&gt;0,'Deal maths'!Z694,DATE(1990,1,1))))/D694))*D694),EDATE('Deal maths'!AA694,-(INT(((YEAR('Deal maths'!AA694)-YEAR(IF('Deal maths'!Z694&gt;0,'Deal maths'!Z694,DATE(1990,1,1))))*12+MONTH('Deal maths'!AA694)-MONTH(IF('Deal maths'!Z694&gt;0,'Deal maths'!Z694,DATE(1990,1,1))))/D694))*D694))&gt;IF('Deal maths'!Z694&gt;0,'Deal maths'!Z694,DATE(1990,1,1)),IF(DAY('Deal maths'!AA694+1)=1,EOMONTH('Deal maths'!AA694,-(INT(((YEAR('Deal maths'!AA694)-YEAR(IF('Deal maths'!Z694&gt;0,'Deal maths'!Z694,DATE(1990,1,1))))*12+MONTH('Deal maths'!AA694)-MONTH(IF('Deal maths'!Z694&gt;0,'Deal maths'!Z694,DATE(1990,1,1))))/D694))*D694),EDATE('Deal maths'!AA694,-(INT(((YEAR('Deal maths'!AA694)-YEAR(IF('Deal maths'!Z694&gt;0,'Deal maths'!Z694,DATE(1990,1,1))))*12+MONTH('Deal maths'!AA694)-MONTH(IF('Deal maths'!Z694&gt;0,'Deal maths'!Z694,DATE(1990,1,1))))/D694))*D694)),IF(DAY('Deal maths'!AA694+1)=1,EOMONTH('Deal maths'!AA694,-(INT(((YEAR('Deal maths'!AA694)-YEAR(IF('Deal maths'!Z694&gt;0,'Deal maths'!Z694,DATE(1990,1,1))))*12+MONTH('Deal maths'!AA694)-MONTH(IF('Deal maths'!Z694&gt;0,'Deal maths'!Z694,DATE(1990,1,1))))/D694)-1)*D694),EDATE('Deal maths'!AA694,-(INT(((YEAR('Deal maths'!AA694)-YEAR(IF('Deal maths'!Z694&gt;0,'Deal maths'!Z694,DATE(1990,1,1))))*12+MONTH('Deal maths'!AA694)-MONTH(IF('Deal maths'!Z694&gt;0,'Deal maths'!Z694,DATE(1990,1,1))))/D694)-1)*D694))))),0)</f>
        <v/>
      </c>
      <c r="F694" s="110">
        <f>IF(D694=0,0,'Deal maths'!AB694*D694/12)</f>
        <v/>
      </c>
      <c r="G694" s="108">
        <f>N694+O694</f>
        <v/>
      </c>
      <c r="H694" s="108">
        <f>IFERROR(IF(OR(D694=0,AsAt&lt;E694),0,MIN(N694,INT(((YEAR(AsAt)-YEAR(E694))*12+MONTH(AsAt)-MONTH(E694)-(DAY(AsAt)&lt;MIN(R694,DAY(EOMONTH(AsAt,0)))))/D694)+1)+O694*(AsAt&gt;='Deal maths'!AA694)),0)</f>
        <v/>
      </c>
      <c r="I694" s="108">
        <f>G694-H694</f>
        <v/>
      </c>
      <c r="J694" s="111">
        <f>IF(AND(C694="EIP",I694&gt;0),'Deal maths'!Y694/I694,0)</f>
        <v/>
      </c>
      <c r="K694" s="111">
        <f>IF(AND(C694="Annuity",I694&gt;0),IF(F694&gt;0,'Deal maths'!Y694*F694/(1-(1+F694)^-I694),'Deal maths'!Y694/I694),0)</f>
        <v/>
      </c>
      <c r="L694" s="111">
        <f>IF('Deal maths'!Y694="",0,'Deal maths'!Y694)</f>
        <v/>
      </c>
      <c r="M694" s="112">
        <f>F694+(F694=0)</f>
        <v/>
      </c>
      <c r="N694" s="108">
        <f>IFERROR(IF(D694=0,0,INT(((YEAR('Deal maths'!AA694)-YEAR(E694))*12+MONTH('Deal maths'!AA694)-MONTH(E694)-(DAY('Deal maths'!AA694)&lt;MIN(R694,DAY(EOMONTH('Deal maths'!AA694,0)))))/D694)+1),0)</f>
        <v/>
      </c>
      <c r="O694" s="108">
        <f>IFERROR(IF(D694=0,0,IF(IF(DAY(E694+1)=1,EOMONTH(E694,(N694-1)*D694),EDATE(E694,(N694-1)*D694))='Deal maths'!AA694,0,1)),0)</f>
        <v/>
      </c>
      <c r="P694" s="113">
        <f>IF(B694=0,0,IFERROR(IF(C694="EIP",((I694-O694)*((IF(DAY(E694+1)=1,EOMONTH(E694,H694*D694),EDATE(E694,H694*D694))-AsAt)/365.25+(IF(DAY(E694+1)=1,EOMONTH(E694,(N694-1)*D694),EDATE(E694,(N694-1)*D694))-AsAt)/365.25)/2+O694*('Deal maths'!AA694-AsAt)/365.25)/I694,IF(C694="Annuity",IF(F694&gt;0,((K694-L694*F694)*((IF(DAY(E694+1)=1,EOMONTH(E694,H694*D694),EDATE(E694,H694*D694))-AsAt)/365.25*((1+F694)^(I694-O694)-1)/F694+IF((I694-O694)&gt;1,((IF(DAY(E694+1)=1,EOMONTH(E694,(N694-1)*D694),EDATE(E694,(N694-1)*D694))-AsAt)/365.25-(IF(DAY(E694+1)=1,EOMONTH(E694,H694*D694),EDATE(E694,H694*D694))-AsAt)/365.25)/((I694-O694)-1),0)*(1+F694)*(1-(I694-O694)*(1+F694)^((I694-O694)-1)+((I694-O694)-1)*(1+F694)^(I694-O694))/F694^2)+O694*(K694-L694*F694)*(1+F694)^(I694-1)*('Deal maths'!AA694-AsAt)/365.25)/L694,((I694-O694)*((IF(DAY(E694+1)=1,EOMONTH(E694,H694*D694),EDATE(E694,H694*D694))-AsAt)/365.25+(IF(DAY(E694+1)=1,EOMONTH(E694,(N694-1)*D694),EDATE(E694,(N694-1)*D694))-AsAt)/365.25)/2+O694*('Deal maths'!AA694-AsAt)/365.25)/I694),(S694-AsAt)/365.25)),0))</f>
        <v/>
      </c>
      <c r="Q694" s="109">
        <f>IF(B694=1,'Deal maths'!AA694+ROW()/1000000,"")</f>
        <v/>
      </c>
      <c r="R694" s="108">
        <f>IF(D694=0,0,IF(DAY(E694+1)=1,31,DAY(E694)))</f>
        <v/>
      </c>
      <c r="S694" s="109">
        <f>IF(AND('Deal maths'!V694="LOBO",'Deal maths'!AG694&gt;AsAt,'Deal maths'!AG694&lt;'Deal maths'!AA694),'Deal maths'!AG694,'Deal maths'!AA694)</f>
        <v/>
      </c>
      <c r="T694" s="108">
        <f>('Deal maths'!AA694&gt;AsAt)*('Deal maths'!Y694&gt;0)</f>
        <v/>
      </c>
    </row>
    <row r="695">
      <c r="A695" s="91">
        <f>IF('Deal maths'!V695="","",'Deal maths'!W695)</f>
        <v/>
      </c>
      <c r="B695" s="108">
        <f>('Deal maths'!AA695&gt;AsAt)*('Deal maths'!Y695&gt;0)*('Deal maths'!Z695&lt;=AsAt)</f>
        <v/>
      </c>
      <c r="C695" s="91">
        <f>IF('Deal maths'!V695="","",IF('Deal maths'!AC695="","Maturity",'Deal maths'!AC695))</f>
        <v/>
      </c>
      <c r="D695" s="108">
        <f>IF(OR(C695="EIP",C695="Annuity"),IF('Deal maths'!AD695="Annual",12,IF('Deal maths'!AD695="Quarterly",3,6)),0)</f>
        <v/>
      </c>
      <c r="E695" s="109">
        <f>IFERROR(IF(D695=0,0,IF('Deal maths'!AE695&gt;0,IF('Deal maths'!AE695&gt;'Deal maths'!AA695,'Deal maths'!AA695,'Deal maths'!AE695),IF(IF(DAY('Deal maths'!AA695+1)=1,EOMONTH('Deal maths'!AA695,-(INT(((YEAR('Deal maths'!AA695)-YEAR(IF('Deal maths'!Z695&gt;0,'Deal maths'!Z695,DATE(1990,1,1))))*12+MONTH('Deal maths'!AA695)-MONTH(IF('Deal maths'!Z695&gt;0,'Deal maths'!Z695,DATE(1990,1,1))))/D695))*D695),EDATE('Deal maths'!AA695,-(INT(((YEAR('Deal maths'!AA695)-YEAR(IF('Deal maths'!Z695&gt;0,'Deal maths'!Z695,DATE(1990,1,1))))*12+MONTH('Deal maths'!AA695)-MONTH(IF('Deal maths'!Z695&gt;0,'Deal maths'!Z695,DATE(1990,1,1))))/D695))*D695))&gt;IF('Deal maths'!Z695&gt;0,'Deal maths'!Z695,DATE(1990,1,1)),IF(DAY('Deal maths'!AA695+1)=1,EOMONTH('Deal maths'!AA695,-(INT(((YEAR('Deal maths'!AA695)-YEAR(IF('Deal maths'!Z695&gt;0,'Deal maths'!Z695,DATE(1990,1,1))))*12+MONTH('Deal maths'!AA695)-MONTH(IF('Deal maths'!Z695&gt;0,'Deal maths'!Z695,DATE(1990,1,1))))/D695))*D695),EDATE('Deal maths'!AA695,-(INT(((YEAR('Deal maths'!AA695)-YEAR(IF('Deal maths'!Z695&gt;0,'Deal maths'!Z695,DATE(1990,1,1))))*12+MONTH('Deal maths'!AA695)-MONTH(IF('Deal maths'!Z695&gt;0,'Deal maths'!Z695,DATE(1990,1,1))))/D695))*D695)),IF(DAY('Deal maths'!AA695+1)=1,EOMONTH('Deal maths'!AA695,-(INT(((YEAR('Deal maths'!AA695)-YEAR(IF('Deal maths'!Z695&gt;0,'Deal maths'!Z695,DATE(1990,1,1))))*12+MONTH('Deal maths'!AA695)-MONTH(IF('Deal maths'!Z695&gt;0,'Deal maths'!Z695,DATE(1990,1,1))))/D695)-1)*D695),EDATE('Deal maths'!AA695,-(INT(((YEAR('Deal maths'!AA695)-YEAR(IF('Deal maths'!Z695&gt;0,'Deal maths'!Z695,DATE(1990,1,1))))*12+MONTH('Deal maths'!AA695)-MONTH(IF('Deal maths'!Z695&gt;0,'Deal maths'!Z695,DATE(1990,1,1))))/D695)-1)*D695))))),0)</f>
        <v/>
      </c>
      <c r="F695" s="110">
        <f>IF(D695=0,0,'Deal maths'!AB695*D695/12)</f>
        <v/>
      </c>
      <c r="G695" s="108">
        <f>N695+O695</f>
        <v/>
      </c>
      <c r="H695" s="108">
        <f>IFERROR(IF(OR(D695=0,AsAt&lt;E695),0,MIN(N695,INT(((YEAR(AsAt)-YEAR(E695))*12+MONTH(AsAt)-MONTH(E695)-(DAY(AsAt)&lt;MIN(R695,DAY(EOMONTH(AsAt,0)))))/D695)+1)+O695*(AsAt&gt;='Deal maths'!AA695)),0)</f>
        <v/>
      </c>
      <c r="I695" s="108">
        <f>G695-H695</f>
        <v/>
      </c>
      <c r="J695" s="111">
        <f>IF(AND(C695="EIP",I695&gt;0),'Deal maths'!Y695/I695,0)</f>
        <v/>
      </c>
      <c r="K695" s="111">
        <f>IF(AND(C695="Annuity",I695&gt;0),IF(F695&gt;0,'Deal maths'!Y695*F695/(1-(1+F695)^-I695),'Deal maths'!Y695/I695),0)</f>
        <v/>
      </c>
      <c r="L695" s="111">
        <f>IF('Deal maths'!Y695="",0,'Deal maths'!Y695)</f>
        <v/>
      </c>
      <c r="M695" s="112">
        <f>F695+(F695=0)</f>
        <v/>
      </c>
      <c r="N695" s="108">
        <f>IFERROR(IF(D695=0,0,INT(((YEAR('Deal maths'!AA695)-YEAR(E695))*12+MONTH('Deal maths'!AA695)-MONTH(E695)-(DAY('Deal maths'!AA695)&lt;MIN(R695,DAY(EOMONTH('Deal maths'!AA695,0)))))/D695)+1),0)</f>
        <v/>
      </c>
      <c r="O695" s="108">
        <f>IFERROR(IF(D695=0,0,IF(IF(DAY(E695+1)=1,EOMONTH(E695,(N695-1)*D695),EDATE(E695,(N695-1)*D695))='Deal maths'!AA695,0,1)),0)</f>
        <v/>
      </c>
      <c r="P695" s="113">
        <f>IF(B695=0,0,IFERROR(IF(C695="EIP",((I695-O695)*((IF(DAY(E695+1)=1,EOMONTH(E695,H695*D695),EDATE(E695,H695*D695))-AsAt)/365.25+(IF(DAY(E695+1)=1,EOMONTH(E695,(N695-1)*D695),EDATE(E695,(N695-1)*D695))-AsAt)/365.25)/2+O695*('Deal maths'!AA695-AsAt)/365.25)/I695,IF(C695="Annuity",IF(F695&gt;0,((K695-L695*F695)*((IF(DAY(E695+1)=1,EOMONTH(E695,H695*D695),EDATE(E695,H695*D695))-AsAt)/365.25*((1+F695)^(I695-O695)-1)/F695+IF((I695-O695)&gt;1,((IF(DAY(E695+1)=1,EOMONTH(E695,(N695-1)*D695),EDATE(E695,(N695-1)*D695))-AsAt)/365.25-(IF(DAY(E695+1)=1,EOMONTH(E695,H695*D695),EDATE(E695,H695*D695))-AsAt)/365.25)/((I695-O695)-1),0)*(1+F695)*(1-(I695-O695)*(1+F695)^((I695-O695)-1)+((I695-O695)-1)*(1+F695)^(I695-O695))/F695^2)+O695*(K695-L695*F695)*(1+F695)^(I695-1)*('Deal maths'!AA695-AsAt)/365.25)/L695,((I695-O695)*((IF(DAY(E695+1)=1,EOMONTH(E695,H695*D695),EDATE(E695,H695*D695))-AsAt)/365.25+(IF(DAY(E695+1)=1,EOMONTH(E695,(N695-1)*D695),EDATE(E695,(N695-1)*D695))-AsAt)/365.25)/2+O695*('Deal maths'!AA695-AsAt)/365.25)/I695),(S695-AsAt)/365.25)),0))</f>
        <v/>
      </c>
      <c r="Q695" s="109">
        <f>IF(B695=1,'Deal maths'!AA695+ROW()/1000000,"")</f>
        <v/>
      </c>
      <c r="R695" s="108">
        <f>IF(D695=0,0,IF(DAY(E695+1)=1,31,DAY(E695)))</f>
        <v/>
      </c>
      <c r="S695" s="109">
        <f>IF(AND('Deal maths'!V695="LOBO",'Deal maths'!AG695&gt;AsAt,'Deal maths'!AG695&lt;'Deal maths'!AA695),'Deal maths'!AG695,'Deal maths'!AA695)</f>
        <v/>
      </c>
      <c r="T695" s="108">
        <f>('Deal maths'!AA695&gt;AsAt)*('Deal maths'!Y695&gt;0)</f>
        <v/>
      </c>
    </row>
    <row r="696">
      <c r="A696" s="91">
        <f>IF('Deal maths'!V696="","",'Deal maths'!W696)</f>
        <v/>
      </c>
      <c r="B696" s="108">
        <f>('Deal maths'!AA696&gt;AsAt)*('Deal maths'!Y696&gt;0)*('Deal maths'!Z696&lt;=AsAt)</f>
        <v/>
      </c>
      <c r="C696" s="91">
        <f>IF('Deal maths'!V696="","",IF('Deal maths'!AC696="","Maturity",'Deal maths'!AC696))</f>
        <v/>
      </c>
      <c r="D696" s="108">
        <f>IF(OR(C696="EIP",C696="Annuity"),IF('Deal maths'!AD696="Annual",12,IF('Deal maths'!AD696="Quarterly",3,6)),0)</f>
        <v/>
      </c>
      <c r="E696" s="109">
        <f>IFERROR(IF(D696=0,0,IF('Deal maths'!AE696&gt;0,IF('Deal maths'!AE696&gt;'Deal maths'!AA696,'Deal maths'!AA696,'Deal maths'!AE696),IF(IF(DAY('Deal maths'!AA696+1)=1,EOMONTH('Deal maths'!AA696,-(INT(((YEAR('Deal maths'!AA696)-YEAR(IF('Deal maths'!Z696&gt;0,'Deal maths'!Z696,DATE(1990,1,1))))*12+MONTH('Deal maths'!AA696)-MONTH(IF('Deal maths'!Z696&gt;0,'Deal maths'!Z696,DATE(1990,1,1))))/D696))*D696),EDATE('Deal maths'!AA696,-(INT(((YEAR('Deal maths'!AA696)-YEAR(IF('Deal maths'!Z696&gt;0,'Deal maths'!Z696,DATE(1990,1,1))))*12+MONTH('Deal maths'!AA696)-MONTH(IF('Deal maths'!Z696&gt;0,'Deal maths'!Z696,DATE(1990,1,1))))/D696))*D696))&gt;IF('Deal maths'!Z696&gt;0,'Deal maths'!Z696,DATE(1990,1,1)),IF(DAY('Deal maths'!AA696+1)=1,EOMONTH('Deal maths'!AA696,-(INT(((YEAR('Deal maths'!AA696)-YEAR(IF('Deal maths'!Z696&gt;0,'Deal maths'!Z696,DATE(1990,1,1))))*12+MONTH('Deal maths'!AA696)-MONTH(IF('Deal maths'!Z696&gt;0,'Deal maths'!Z696,DATE(1990,1,1))))/D696))*D696),EDATE('Deal maths'!AA696,-(INT(((YEAR('Deal maths'!AA696)-YEAR(IF('Deal maths'!Z696&gt;0,'Deal maths'!Z696,DATE(1990,1,1))))*12+MONTH('Deal maths'!AA696)-MONTH(IF('Deal maths'!Z696&gt;0,'Deal maths'!Z696,DATE(1990,1,1))))/D696))*D696)),IF(DAY('Deal maths'!AA696+1)=1,EOMONTH('Deal maths'!AA696,-(INT(((YEAR('Deal maths'!AA696)-YEAR(IF('Deal maths'!Z696&gt;0,'Deal maths'!Z696,DATE(1990,1,1))))*12+MONTH('Deal maths'!AA696)-MONTH(IF('Deal maths'!Z696&gt;0,'Deal maths'!Z696,DATE(1990,1,1))))/D696)-1)*D696),EDATE('Deal maths'!AA696,-(INT(((YEAR('Deal maths'!AA696)-YEAR(IF('Deal maths'!Z696&gt;0,'Deal maths'!Z696,DATE(1990,1,1))))*12+MONTH('Deal maths'!AA696)-MONTH(IF('Deal maths'!Z696&gt;0,'Deal maths'!Z696,DATE(1990,1,1))))/D696)-1)*D696))))),0)</f>
        <v/>
      </c>
      <c r="F696" s="110">
        <f>IF(D696=0,0,'Deal maths'!AB696*D696/12)</f>
        <v/>
      </c>
      <c r="G696" s="108">
        <f>N696+O696</f>
        <v/>
      </c>
      <c r="H696" s="108">
        <f>IFERROR(IF(OR(D696=0,AsAt&lt;E696),0,MIN(N696,INT(((YEAR(AsAt)-YEAR(E696))*12+MONTH(AsAt)-MONTH(E696)-(DAY(AsAt)&lt;MIN(R696,DAY(EOMONTH(AsAt,0)))))/D696)+1)+O696*(AsAt&gt;='Deal maths'!AA696)),0)</f>
        <v/>
      </c>
      <c r="I696" s="108">
        <f>G696-H696</f>
        <v/>
      </c>
      <c r="J696" s="111">
        <f>IF(AND(C696="EIP",I696&gt;0),'Deal maths'!Y696/I696,0)</f>
        <v/>
      </c>
      <c r="K696" s="111">
        <f>IF(AND(C696="Annuity",I696&gt;0),IF(F696&gt;0,'Deal maths'!Y696*F696/(1-(1+F696)^-I696),'Deal maths'!Y696/I696),0)</f>
        <v/>
      </c>
      <c r="L696" s="111">
        <f>IF('Deal maths'!Y696="",0,'Deal maths'!Y696)</f>
        <v/>
      </c>
      <c r="M696" s="112">
        <f>F696+(F696=0)</f>
        <v/>
      </c>
      <c r="N696" s="108">
        <f>IFERROR(IF(D696=0,0,INT(((YEAR('Deal maths'!AA696)-YEAR(E696))*12+MONTH('Deal maths'!AA696)-MONTH(E696)-(DAY('Deal maths'!AA696)&lt;MIN(R696,DAY(EOMONTH('Deal maths'!AA696,0)))))/D696)+1),0)</f>
        <v/>
      </c>
      <c r="O696" s="108">
        <f>IFERROR(IF(D696=0,0,IF(IF(DAY(E696+1)=1,EOMONTH(E696,(N696-1)*D696),EDATE(E696,(N696-1)*D696))='Deal maths'!AA696,0,1)),0)</f>
        <v/>
      </c>
      <c r="P696" s="113">
        <f>IF(B696=0,0,IFERROR(IF(C696="EIP",((I696-O696)*((IF(DAY(E696+1)=1,EOMONTH(E696,H696*D696),EDATE(E696,H696*D696))-AsAt)/365.25+(IF(DAY(E696+1)=1,EOMONTH(E696,(N696-1)*D696),EDATE(E696,(N696-1)*D696))-AsAt)/365.25)/2+O696*('Deal maths'!AA696-AsAt)/365.25)/I696,IF(C696="Annuity",IF(F696&gt;0,((K696-L696*F696)*((IF(DAY(E696+1)=1,EOMONTH(E696,H696*D696),EDATE(E696,H696*D696))-AsAt)/365.25*((1+F696)^(I696-O696)-1)/F696+IF((I696-O696)&gt;1,((IF(DAY(E696+1)=1,EOMONTH(E696,(N696-1)*D696),EDATE(E696,(N696-1)*D696))-AsAt)/365.25-(IF(DAY(E696+1)=1,EOMONTH(E696,H696*D696),EDATE(E696,H696*D696))-AsAt)/365.25)/((I696-O696)-1),0)*(1+F696)*(1-(I696-O696)*(1+F696)^((I696-O696)-1)+((I696-O696)-1)*(1+F696)^(I696-O696))/F696^2)+O696*(K696-L696*F696)*(1+F696)^(I696-1)*('Deal maths'!AA696-AsAt)/365.25)/L696,((I696-O696)*((IF(DAY(E696+1)=1,EOMONTH(E696,H696*D696),EDATE(E696,H696*D696))-AsAt)/365.25+(IF(DAY(E696+1)=1,EOMONTH(E696,(N696-1)*D696),EDATE(E696,(N696-1)*D696))-AsAt)/365.25)/2+O696*('Deal maths'!AA696-AsAt)/365.25)/I696),(S696-AsAt)/365.25)),0))</f>
        <v/>
      </c>
      <c r="Q696" s="109">
        <f>IF(B696=1,'Deal maths'!AA696+ROW()/1000000,"")</f>
        <v/>
      </c>
      <c r="R696" s="108">
        <f>IF(D696=0,0,IF(DAY(E696+1)=1,31,DAY(E696)))</f>
        <v/>
      </c>
      <c r="S696" s="109">
        <f>IF(AND('Deal maths'!V696="LOBO",'Deal maths'!AG696&gt;AsAt,'Deal maths'!AG696&lt;'Deal maths'!AA696),'Deal maths'!AG696,'Deal maths'!AA696)</f>
        <v/>
      </c>
      <c r="T696" s="108">
        <f>('Deal maths'!AA696&gt;AsAt)*('Deal maths'!Y696&gt;0)</f>
        <v/>
      </c>
    </row>
    <row r="697">
      <c r="A697" s="91">
        <f>IF('Deal maths'!V697="","",'Deal maths'!W697)</f>
        <v/>
      </c>
      <c r="B697" s="108">
        <f>('Deal maths'!AA697&gt;AsAt)*('Deal maths'!Y697&gt;0)*('Deal maths'!Z697&lt;=AsAt)</f>
        <v/>
      </c>
      <c r="C697" s="91">
        <f>IF('Deal maths'!V697="","",IF('Deal maths'!AC697="","Maturity",'Deal maths'!AC697))</f>
        <v/>
      </c>
      <c r="D697" s="108">
        <f>IF(OR(C697="EIP",C697="Annuity"),IF('Deal maths'!AD697="Annual",12,IF('Deal maths'!AD697="Quarterly",3,6)),0)</f>
        <v/>
      </c>
      <c r="E697" s="109">
        <f>IFERROR(IF(D697=0,0,IF('Deal maths'!AE697&gt;0,IF('Deal maths'!AE697&gt;'Deal maths'!AA697,'Deal maths'!AA697,'Deal maths'!AE697),IF(IF(DAY('Deal maths'!AA697+1)=1,EOMONTH('Deal maths'!AA697,-(INT(((YEAR('Deal maths'!AA697)-YEAR(IF('Deal maths'!Z697&gt;0,'Deal maths'!Z697,DATE(1990,1,1))))*12+MONTH('Deal maths'!AA697)-MONTH(IF('Deal maths'!Z697&gt;0,'Deal maths'!Z697,DATE(1990,1,1))))/D697))*D697),EDATE('Deal maths'!AA697,-(INT(((YEAR('Deal maths'!AA697)-YEAR(IF('Deal maths'!Z697&gt;0,'Deal maths'!Z697,DATE(1990,1,1))))*12+MONTH('Deal maths'!AA697)-MONTH(IF('Deal maths'!Z697&gt;0,'Deal maths'!Z697,DATE(1990,1,1))))/D697))*D697))&gt;IF('Deal maths'!Z697&gt;0,'Deal maths'!Z697,DATE(1990,1,1)),IF(DAY('Deal maths'!AA697+1)=1,EOMONTH('Deal maths'!AA697,-(INT(((YEAR('Deal maths'!AA697)-YEAR(IF('Deal maths'!Z697&gt;0,'Deal maths'!Z697,DATE(1990,1,1))))*12+MONTH('Deal maths'!AA697)-MONTH(IF('Deal maths'!Z697&gt;0,'Deal maths'!Z697,DATE(1990,1,1))))/D697))*D697),EDATE('Deal maths'!AA697,-(INT(((YEAR('Deal maths'!AA697)-YEAR(IF('Deal maths'!Z697&gt;0,'Deal maths'!Z697,DATE(1990,1,1))))*12+MONTH('Deal maths'!AA697)-MONTH(IF('Deal maths'!Z697&gt;0,'Deal maths'!Z697,DATE(1990,1,1))))/D697))*D697)),IF(DAY('Deal maths'!AA697+1)=1,EOMONTH('Deal maths'!AA697,-(INT(((YEAR('Deal maths'!AA697)-YEAR(IF('Deal maths'!Z697&gt;0,'Deal maths'!Z697,DATE(1990,1,1))))*12+MONTH('Deal maths'!AA697)-MONTH(IF('Deal maths'!Z697&gt;0,'Deal maths'!Z697,DATE(1990,1,1))))/D697)-1)*D697),EDATE('Deal maths'!AA697,-(INT(((YEAR('Deal maths'!AA697)-YEAR(IF('Deal maths'!Z697&gt;0,'Deal maths'!Z697,DATE(1990,1,1))))*12+MONTH('Deal maths'!AA697)-MONTH(IF('Deal maths'!Z697&gt;0,'Deal maths'!Z697,DATE(1990,1,1))))/D697)-1)*D697))))),0)</f>
        <v/>
      </c>
      <c r="F697" s="110">
        <f>IF(D697=0,0,'Deal maths'!AB697*D697/12)</f>
        <v/>
      </c>
      <c r="G697" s="108">
        <f>N697+O697</f>
        <v/>
      </c>
      <c r="H697" s="108">
        <f>IFERROR(IF(OR(D697=0,AsAt&lt;E697),0,MIN(N697,INT(((YEAR(AsAt)-YEAR(E697))*12+MONTH(AsAt)-MONTH(E697)-(DAY(AsAt)&lt;MIN(R697,DAY(EOMONTH(AsAt,0)))))/D697)+1)+O697*(AsAt&gt;='Deal maths'!AA697)),0)</f>
        <v/>
      </c>
      <c r="I697" s="108">
        <f>G697-H697</f>
        <v/>
      </c>
      <c r="J697" s="111">
        <f>IF(AND(C697="EIP",I697&gt;0),'Deal maths'!Y697/I697,0)</f>
        <v/>
      </c>
      <c r="K697" s="111">
        <f>IF(AND(C697="Annuity",I697&gt;0),IF(F697&gt;0,'Deal maths'!Y697*F697/(1-(1+F697)^-I697),'Deal maths'!Y697/I697),0)</f>
        <v/>
      </c>
      <c r="L697" s="111">
        <f>IF('Deal maths'!Y697="",0,'Deal maths'!Y697)</f>
        <v/>
      </c>
      <c r="M697" s="112">
        <f>F697+(F697=0)</f>
        <v/>
      </c>
      <c r="N697" s="108">
        <f>IFERROR(IF(D697=0,0,INT(((YEAR('Deal maths'!AA697)-YEAR(E697))*12+MONTH('Deal maths'!AA697)-MONTH(E697)-(DAY('Deal maths'!AA697)&lt;MIN(R697,DAY(EOMONTH('Deal maths'!AA697,0)))))/D697)+1),0)</f>
        <v/>
      </c>
      <c r="O697" s="108">
        <f>IFERROR(IF(D697=0,0,IF(IF(DAY(E697+1)=1,EOMONTH(E697,(N697-1)*D697),EDATE(E697,(N697-1)*D697))='Deal maths'!AA697,0,1)),0)</f>
        <v/>
      </c>
      <c r="P697" s="113">
        <f>IF(B697=0,0,IFERROR(IF(C697="EIP",((I697-O697)*((IF(DAY(E697+1)=1,EOMONTH(E697,H697*D697),EDATE(E697,H697*D697))-AsAt)/365.25+(IF(DAY(E697+1)=1,EOMONTH(E697,(N697-1)*D697),EDATE(E697,(N697-1)*D697))-AsAt)/365.25)/2+O697*('Deal maths'!AA697-AsAt)/365.25)/I697,IF(C697="Annuity",IF(F697&gt;0,((K697-L697*F697)*((IF(DAY(E697+1)=1,EOMONTH(E697,H697*D697),EDATE(E697,H697*D697))-AsAt)/365.25*((1+F697)^(I697-O697)-1)/F697+IF((I697-O697)&gt;1,((IF(DAY(E697+1)=1,EOMONTH(E697,(N697-1)*D697),EDATE(E697,(N697-1)*D697))-AsAt)/365.25-(IF(DAY(E697+1)=1,EOMONTH(E697,H697*D697),EDATE(E697,H697*D697))-AsAt)/365.25)/((I697-O697)-1),0)*(1+F697)*(1-(I697-O697)*(1+F697)^((I697-O697)-1)+((I697-O697)-1)*(1+F697)^(I697-O697))/F697^2)+O697*(K697-L697*F697)*(1+F697)^(I697-1)*('Deal maths'!AA697-AsAt)/365.25)/L697,((I697-O697)*((IF(DAY(E697+1)=1,EOMONTH(E697,H697*D697),EDATE(E697,H697*D697))-AsAt)/365.25+(IF(DAY(E697+1)=1,EOMONTH(E697,(N697-1)*D697),EDATE(E697,(N697-1)*D697))-AsAt)/365.25)/2+O697*('Deal maths'!AA697-AsAt)/365.25)/I697),(S697-AsAt)/365.25)),0))</f>
        <v/>
      </c>
      <c r="Q697" s="109">
        <f>IF(B697=1,'Deal maths'!AA697+ROW()/1000000,"")</f>
        <v/>
      </c>
      <c r="R697" s="108">
        <f>IF(D697=0,0,IF(DAY(E697+1)=1,31,DAY(E697)))</f>
        <v/>
      </c>
      <c r="S697" s="109">
        <f>IF(AND('Deal maths'!V697="LOBO",'Deal maths'!AG697&gt;AsAt,'Deal maths'!AG697&lt;'Deal maths'!AA697),'Deal maths'!AG697,'Deal maths'!AA697)</f>
        <v/>
      </c>
      <c r="T697" s="108">
        <f>('Deal maths'!AA697&gt;AsAt)*('Deal maths'!Y697&gt;0)</f>
        <v/>
      </c>
    </row>
    <row r="698">
      <c r="A698" s="91">
        <f>IF('Deal maths'!V698="","",'Deal maths'!W698)</f>
        <v/>
      </c>
      <c r="B698" s="108">
        <f>('Deal maths'!AA698&gt;AsAt)*('Deal maths'!Y698&gt;0)*('Deal maths'!Z698&lt;=AsAt)</f>
        <v/>
      </c>
      <c r="C698" s="91">
        <f>IF('Deal maths'!V698="","",IF('Deal maths'!AC698="","Maturity",'Deal maths'!AC698))</f>
        <v/>
      </c>
      <c r="D698" s="108">
        <f>IF(OR(C698="EIP",C698="Annuity"),IF('Deal maths'!AD698="Annual",12,IF('Deal maths'!AD698="Quarterly",3,6)),0)</f>
        <v/>
      </c>
      <c r="E698" s="109">
        <f>IFERROR(IF(D698=0,0,IF('Deal maths'!AE698&gt;0,IF('Deal maths'!AE698&gt;'Deal maths'!AA698,'Deal maths'!AA698,'Deal maths'!AE698),IF(IF(DAY('Deal maths'!AA698+1)=1,EOMONTH('Deal maths'!AA698,-(INT(((YEAR('Deal maths'!AA698)-YEAR(IF('Deal maths'!Z698&gt;0,'Deal maths'!Z698,DATE(1990,1,1))))*12+MONTH('Deal maths'!AA698)-MONTH(IF('Deal maths'!Z698&gt;0,'Deal maths'!Z698,DATE(1990,1,1))))/D698))*D698),EDATE('Deal maths'!AA698,-(INT(((YEAR('Deal maths'!AA698)-YEAR(IF('Deal maths'!Z698&gt;0,'Deal maths'!Z698,DATE(1990,1,1))))*12+MONTH('Deal maths'!AA698)-MONTH(IF('Deal maths'!Z698&gt;0,'Deal maths'!Z698,DATE(1990,1,1))))/D698))*D698))&gt;IF('Deal maths'!Z698&gt;0,'Deal maths'!Z698,DATE(1990,1,1)),IF(DAY('Deal maths'!AA698+1)=1,EOMONTH('Deal maths'!AA698,-(INT(((YEAR('Deal maths'!AA698)-YEAR(IF('Deal maths'!Z698&gt;0,'Deal maths'!Z698,DATE(1990,1,1))))*12+MONTH('Deal maths'!AA698)-MONTH(IF('Deal maths'!Z698&gt;0,'Deal maths'!Z698,DATE(1990,1,1))))/D698))*D698),EDATE('Deal maths'!AA698,-(INT(((YEAR('Deal maths'!AA698)-YEAR(IF('Deal maths'!Z698&gt;0,'Deal maths'!Z698,DATE(1990,1,1))))*12+MONTH('Deal maths'!AA698)-MONTH(IF('Deal maths'!Z698&gt;0,'Deal maths'!Z698,DATE(1990,1,1))))/D698))*D698)),IF(DAY('Deal maths'!AA698+1)=1,EOMONTH('Deal maths'!AA698,-(INT(((YEAR('Deal maths'!AA698)-YEAR(IF('Deal maths'!Z698&gt;0,'Deal maths'!Z698,DATE(1990,1,1))))*12+MONTH('Deal maths'!AA698)-MONTH(IF('Deal maths'!Z698&gt;0,'Deal maths'!Z698,DATE(1990,1,1))))/D698)-1)*D698),EDATE('Deal maths'!AA698,-(INT(((YEAR('Deal maths'!AA698)-YEAR(IF('Deal maths'!Z698&gt;0,'Deal maths'!Z698,DATE(1990,1,1))))*12+MONTH('Deal maths'!AA698)-MONTH(IF('Deal maths'!Z698&gt;0,'Deal maths'!Z698,DATE(1990,1,1))))/D698)-1)*D698))))),0)</f>
        <v/>
      </c>
      <c r="F698" s="110">
        <f>IF(D698=0,0,'Deal maths'!AB698*D698/12)</f>
        <v/>
      </c>
      <c r="G698" s="108">
        <f>N698+O698</f>
        <v/>
      </c>
      <c r="H698" s="108">
        <f>IFERROR(IF(OR(D698=0,AsAt&lt;E698),0,MIN(N698,INT(((YEAR(AsAt)-YEAR(E698))*12+MONTH(AsAt)-MONTH(E698)-(DAY(AsAt)&lt;MIN(R698,DAY(EOMONTH(AsAt,0)))))/D698)+1)+O698*(AsAt&gt;='Deal maths'!AA698)),0)</f>
        <v/>
      </c>
      <c r="I698" s="108">
        <f>G698-H698</f>
        <v/>
      </c>
      <c r="J698" s="111">
        <f>IF(AND(C698="EIP",I698&gt;0),'Deal maths'!Y698/I698,0)</f>
        <v/>
      </c>
      <c r="K698" s="111">
        <f>IF(AND(C698="Annuity",I698&gt;0),IF(F698&gt;0,'Deal maths'!Y698*F698/(1-(1+F698)^-I698),'Deal maths'!Y698/I698),0)</f>
        <v/>
      </c>
      <c r="L698" s="111">
        <f>IF('Deal maths'!Y698="",0,'Deal maths'!Y698)</f>
        <v/>
      </c>
      <c r="M698" s="112">
        <f>F698+(F698=0)</f>
        <v/>
      </c>
      <c r="N698" s="108">
        <f>IFERROR(IF(D698=0,0,INT(((YEAR('Deal maths'!AA698)-YEAR(E698))*12+MONTH('Deal maths'!AA698)-MONTH(E698)-(DAY('Deal maths'!AA698)&lt;MIN(R698,DAY(EOMONTH('Deal maths'!AA698,0)))))/D698)+1),0)</f>
        <v/>
      </c>
      <c r="O698" s="108">
        <f>IFERROR(IF(D698=0,0,IF(IF(DAY(E698+1)=1,EOMONTH(E698,(N698-1)*D698),EDATE(E698,(N698-1)*D698))='Deal maths'!AA698,0,1)),0)</f>
        <v/>
      </c>
      <c r="P698" s="113">
        <f>IF(B698=0,0,IFERROR(IF(C698="EIP",((I698-O698)*((IF(DAY(E698+1)=1,EOMONTH(E698,H698*D698),EDATE(E698,H698*D698))-AsAt)/365.25+(IF(DAY(E698+1)=1,EOMONTH(E698,(N698-1)*D698),EDATE(E698,(N698-1)*D698))-AsAt)/365.25)/2+O698*('Deal maths'!AA698-AsAt)/365.25)/I698,IF(C698="Annuity",IF(F698&gt;0,((K698-L698*F698)*((IF(DAY(E698+1)=1,EOMONTH(E698,H698*D698),EDATE(E698,H698*D698))-AsAt)/365.25*((1+F698)^(I698-O698)-1)/F698+IF((I698-O698)&gt;1,((IF(DAY(E698+1)=1,EOMONTH(E698,(N698-1)*D698),EDATE(E698,(N698-1)*D698))-AsAt)/365.25-(IF(DAY(E698+1)=1,EOMONTH(E698,H698*D698),EDATE(E698,H698*D698))-AsAt)/365.25)/((I698-O698)-1),0)*(1+F698)*(1-(I698-O698)*(1+F698)^((I698-O698)-1)+((I698-O698)-1)*(1+F698)^(I698-O698))/F698^2)+O698*(K698-L698*F698)*(1+F698)^(I698-1)*('Deal maths'!AA698-AsAt)/365.25)/L698,((I698-O698)*((IF(DAY(E698+1)=1,EOMONTH(E698,H698*D698),EDATE(E698,H698*D698))-AsAt)/365.25+(IF(DAY(E698+1)=1,EOMONTH(E698,(N698-1)*D698),EDATE(E698,(N698-1)*D698))-AsAt)/365.25)/2+O698*('Deal maths'!AA698-AsAt)/365.25)/I698),(S698-AsAt)/365.25)),0))</f>
        <v/>
      </c>
      <c r="Q698" s="109">
        <f>IF(B698=1,'Deal maths'!AA698+ROW()/1000000,"")</f>
        <v/>
      </c>
      <c r="R698" s="108">
        <f>IF(D698=0,0,IF(DAY(E698+1)=1,31,DAY(E698)))</f>
        <v/>
      </c>
      <c r="S698" s="109">
        <f>IF(AND('Deal maths'!V698="LOBO",'Deal maths'!AG698&gt;AsAt,'Deal maths'!AG698&lt;'Deal maths'!AA698),'Deal maths'!AG698,'Deal maths'!AA698)</f>
        <v/>
      </c>
      <c r="T698" s="108">
        <f>('Deal maths'!AA698&gt;AsAt)*('Deal maths'!Y698&gt;0)</f>
        <v/>
      </c>
    </row>
    <row r="699">
      <c r="A699" s="91">
        <f>IF('Deal maths'!V699="","",'Deal maths'!W699)</f>
        <v/>
      </c>
      <c r="B699" s="108">
        <f>('Deal maths'!AA699&gt;AsAt)*('Deal maths'!Y699&gt;0)*('Deal maths'!Z699&lt;=AsAt)</f>
        <v/>
      </c>
      <c r="C699" s="91">
        <f>IF('Deal maths'!V699="","",IF('Deal maths'!AC699="","Maturity",'Deal maths'!AC699))</f>
        <v/>
      </c>
      <c r="D699" s="108">
        <f>IF(OR(C699="EIP",C699="Annuity"),IF('Deal maths'!AD699="Annual",12,IF('Deal maths'!AD699="Quarterly",3,6)),0)</f>
        <v/>
      </c>
      <c r="E699" s="109">
        <f>IFERROR(IF(D699=0,0,IF('Deal maths'!AE699&gt;0,IF('Deal maths'!AE699&gt;'Deal maths'!AA699,'Deal maths'!AA699,'Deal maths'!AE699),IF(IF(DAY('Deal maths'!AA699+1)=1,EOMONTH('Deal maths'!AA699,-(INT(((YEAR('Deal maths'!AA699)-YEAR(IF('Deal maths'!Z699&gt;0,'Deal maths'!Z699,DATE(1990,1,1))))*12+MONTH('Deal maths'!AA699)-MONTH(IF('Deal maths'!Z699&gt;0,'Deal maths'!Z699,DATE(1990,1,1))))/D699))*D699),EDATE('Deal maths'!AA699,-(INT(((YEAR('Deal maths'!AA699)-YEAR(IF('Deal maths'!Z699&gt;0,'Deal maths'!Z699,DATE(1990,1,1))))*12+MONTH('Deal maths'!AA699)-MONTH(IF('Deal maths'!Z699&gt;0,'Deal maths'!Z699,DATE(1990,1,1))))/D699))*D699))&gt;IF('Deal maths'!Z699&gt;0,'Deal maths'!Z699,DATE(1990,1,1)),IF(DAY('Deal maths'!AA699+1)=1,EOMONTH('Deal maths'!AA699,-(INT(((YEAR('Deal maths'!AA699)-YEAR(IF('Deal maths'!Z699&gt;0,'Deal maths'!Z699,DATE(1990,1,1))))*12+MONTH('Deal maths'!AA699)-MONTH(IF('Deal maths'!Z699&gt;0,'Deal maths'!Z699,DATE(1990,1,1))))/D699))*D699),EDATE('Deal maths'!AA699,-(INT(((YEAR('Deal maths'!AA699)-YEAR(IF('Deal maths'!Z699&gt;0,'Deal maths'!Z699,DATE(1990,1,1))))*12+MONTH('Deal maths'!AA699)-MONTH(IF('Deal maths'!Z699&gt;0,'Deal maths'!Z699,DATE(1990,1,1))))/D699))*D699)),IF(DAY('Deal maths'!AA699+1)=1,EOMONTH('Deal maths'!AA699,-(INT(((YEAR('Deal maths'!AA699)-YEAR(IF('Deal maths'!Z699&gt;0,'Deal maths'!Z699,DATE(1990,1,1))))*12+MONTH('Deal maths'!AA699)-MONTH(IF('Deal maths'!Z699&gt;0,'Deal maths'!Z699,DATE(1990,1,1))))/D699)-1)*D699),EDATE('Deal maths'!AA699,-(INT(((YEAR('Deal maths'!AA699)-YEAR(IF('Deal maths'!Z699&gt;0,'Deal maths'!Z699,DATE(1990,1,1))))*12+MONTH('Deal maths'!AA699)-MONTH(IF('Deal maths'!Z699&gt;0,'Deal maths'!Z699,DATE(1990,1,1))))/D699)-1)*D699))))),0)</f>
        <v/>
      </c>
      <c r="F699" s="110">
        <f>IF(D699=0,0,'Deal maths'!AB699*D699/12)</f>
        <v/>
      </c>
      <c r="G699" s="108">
        <f>N699+O699</f>
        <v/>
      </c>
      <c r="H699" s="108">
        <f>IFERROR(IF(OR(D699=0,AsAt&lt;E699),0,MIN(N699,INT(((YEAR(AsAt)-YEAR(E699))*12+MONTH(AsAt)-MONTH(E699)-(DAY(AsAt)&lt;MIN(R699,DAY(EOMONTH(AsAt,0)))))/D699)+1)+O699*(AsAt&gt;='Deal maths'!AA699)),0)</f>
        <v/>
      </c>
      <c r="I699" s="108">
        <f>G699-H699</f>
        <v/>
      </c>
      <c r="J699" s="111">
        <f>IF(AND(C699="EIP",I699&gt;0),'Deal maths'!Y699/I699,0)</f>
        <v/>
      </c>
      <c r="K699" s="111">
        <f>IF(AND(C699="Annuity",I699&gt;0),IF(F699&gt;0,'Deal maths'!Y699*F699/(1-(1+F699)^-I699),'Deal maths'!Y699/I699),0)</f>
        <v/>
      </c>
      <c r="L699" s="111">
        <f>IF('Deal maths'!Y699="",0,'Deal maths'!Y699)</f>
        <v/>
      </c>
      <c r="M699" s="112">
        <f>F699+(F699=0)</f>
        <v/>
      </c>
      <c r="N699" s="108">
        <f>IFERROR(IF(D699=0,0,INT(((YEAR('Deal maths'!AA699)-YEAR(E699))*12+MONTH('Deal maths'!AA699)-MONTH(E699)-(DAY('Deal maths'!AA699)&lt;MIN(R699,DAY(EOMONTH('Deal maths'!AA699,0)))))/D699)+1),0)</f>
        <v/>
      </c>
      <c r="O699" s="108">
        <f>IFERROR(IF(D699=0,0,IF(IF(DAY(E699+1)=1,EOMONTH(E699,(N699-1)*D699),EDATE(E699,(N699-1)*D699))='Deal maths'!AA699,0,1)),0)</f>
        <v/>
      </c>
      <c r="P699" s="113">
        <f>IF(B699=0,0,IFERROR(IF(C699="EIP",((I699-O699)*((IF(DAY(E699+1)=1,EOMONTH(E699,H699*D699),EDATE(E699,H699*D699))-AsAt)/365.25+(IF(DAY(E699+1)=1,EOMONTH(E699,(N699-1)*D699),EDATE(E699,(N699-1)*D699))-AsAt)/365.25)/2+O699*('Deal maths'!AA699-AsAt)/365.25)/I699,IF(C699="Annuity",IF(F699&gt;0,((K699-L699*F699)*((IF(DAY(E699+1)=1,EOMONTH(E699,H699*D699),EDATE(E699,H699*D699))-AsAt)/365.25*((1+F699)^(I699-O699)-1)/F699+IF((I699-O699)&gt;1,((IF(DAY(E699+1)=1,EOMONTH(E699,(N699-1)*D699),EDATE(E699,(N699-1)*D699))-AsAt)/365.25-(IF(DAY(E699+1)=1,EOMONTH(E699,H699*D699),EDATE(E699,H699*D699))-AsAt)/365.25)/((I699-O699)-1),0)*(1+F699)*(1-(I699-O699)*(1+F699)^((I699-O699)-1)+((I699-O699)-1)*(1+F699)^(I699-O699))/F699^2)+O699*(K699-L699*F699)*(1+F699)^(I699-1)*('Deal maths'!AA699-AsAt)/365.25)/L699,((I699-O699)*((IF(DAY(E699+1)=1,EOMONTH(E699,H699*D699),EDATE(E699,H699*D699))-AsAt)/365.25+(IF(DAY(E699+1)=1,EOMONTH(E699,(N699-1)*D699),EDATE(E699,(N699-1)*D699))-AsAt)/365.25)/2+O699*('Deal maths'!AA699-AsAt)/365.25)/I699),(S699-AsAt)/365.25)),0))</f>
        <v/>
      </c>
      <c r="Q699" s="109">
        <f>IF(B699=1,'Deal maths'!AA699+ROW()/1000000,"")</f>
        <v/>
      </c>
      <c r="R699" s="108">
        <f>IF(D699=0,0,IF(DAY(E699+1)=1,31,DAY(E699)))</f>
        <v/>
      </c>
      <c r="S699" s="109">
        <f>IF(AND('Deal maths'!V699="LOBO",'Deal maths'!AG699&gt;AsAt,'Deal maths'!AG699&lt;'Deal maths'!AA699),'Deal maths'!AG699,'Deal maths'!AA699)</f>
        <v/>
      </c>
      <c r="T699" s="108">
        <f>('Deal maths'!AA699&gt;AsAt)*('Deal maths'!Y699&gt;0)</f>
        <v/>
      </c>
    </row>
    <row r="700">
      <c r="A700" s="91">
        <f>IF('Deal maths'!V700="","",'Deal maths'!W700)</f>
        <v/>
      </c>
      <c r="B700" s="108">
        <f>('Deal maths'!AA700&gt;AsAt)*('Deal maths'!Y700&gt;0)*('Deal maths'!Z700&lt;=AsAt)</f>
        <v/>
      </c>
      <c r="C700" s="91">
        <f>IF('Deal maths'!V700="","",IF('Deal maths'!AC700="","Maturity",'Deal maths'!AC700))</f>
        <v/>
      </c>
      <c r="D700" s="108">
        <f>IF(OR(C700="EIP",C700="Annuity"),IF('Deal maths'!AD700="Annual",12,IF('Deal maths'!AD700="Quarterly",3,6)),0)</f>
        <v/>
      </c>
      <c r="E700" s="109">
        <f>IFERROR(IF(D700=0,0,IF('Deal maths'!AE700&gt;0,IF('Deal maths'!AE700&gt;'Deal maths'!AA700,'Deal maths'!AA700,'Deal maths'!AE700),IF(IF(DAY('Deal maths'!AA700+1)=1,EOMONTH('Deal maths'!AA700,-(INT(((YEAR('Deal maths'!AA700)-YEAR(IF('Deal maths'!Z700&gt;0,'Deal maths'!Z700,DATE(1990,1,1))))*12+MONTH('Deal maths'!AA700)-MONTH(IF('Deal maths'!Z700&gt;0,'Deal maths'!Z700,DATE(1990,1,1))))/D700))*D700),EDATE('Deal maths'!AA700,-(INT(((YEAR('Deal maths'!AA700)-YEAR(IF('Deal maths'!Z700&gt;0,'Deal maths'!Z700,DATE(1990,1,1))))*12+MONTH('Deal maths'!AA700)-MONTH(IF('Deal maths'!Z700&gt;0,'Deal maths'!Z700,DATE(1990,1,1))))/D700))*D700))&gt;IF('Deal maths'!Z700&gt;0,'Deal maths'!Z700,DATE(1990,1,1)),IF(DAY('Deal maths'!AA700+1)=1,EOMONTH('Deal maths'!AA700,-(INT(((YEAR('Deal maths'!AA700)-YEAR(IF('Deal maths'!Z700&gt;0,'Deal maths'!Z700,DATE(1990,1,1))))*12+MONTH('Deal maths'!AA700)-MONTH(IF('Deal maths'!Z700&gt;0,'Deal maths'!Z700,DATE(1990,1,1))))/D700))*D700),EDATE('Deal maths'!AA700,-(INT(((YEAR('Deal maths'!AA700)-YEAR(IF('Deal maths'!Z700&gt;0,'Deal maths'!Z700,DATE(1990,1,1))))*12+MONTH('Deal maths'!AA700)-MONTH(IF('Deal maths'!Z700&gt;0,'Deal maths'!Z700,DATE(1990,1,1))))/D700))*D700)),IF(DAY('Deal maths'!AA700+1)=1,EOMONTH('Deal maths'!AA700,-(INT(((YEAR('Deal maths'!AA700)-YEAR(IF('Deal maths'!Z700&gt;0,'Deal maths'!Z700,DATE(1990,1,1))))*12+MONTH('Deal maths'!AA700)-MONTH(IF('Deal maths'!Z700&gt;0,'Deal maths'!Z700,DATE(1990,1,1))))/D700)-1)*D700),EDATE('Deal maths'!AA700,-(INT(((YEAR('Deal maths'!AA700)-YEAR(IF('Deal maths'!Z700&gt;0,'Deal maths'!Z700,DATE(1990,1,1))))*12+MONTH('Deal maths'!AA700)-MONTH(IF('Deal maths'!Z700&gt;0,'Deal maths'!Z700,DATE(1990,1,1))))/D700)-1)*D700))))),0)</f>
        <v/>
      </c>
      <c r="F700" s="110">
        <f>IF(D700=0,0,'Deal maths'!AB700*D700/12)</f>
        <v/>
      </c>
      <c r="G700" s="108">
        <f>N700+O700</f>
        <v/>
      </c>
      <c r="H700" s="108">
        <f>IFERROR(IF(OR(D700=0,AsAt&lt;E700),0,MIN(N700,INT(((YEAR(AsAt)-YEAR(E700))*12+MONTH(AsAt)-MONTH(E700)-(DAY(AsAt)&lt;MIN(R700,DAY(EOMONTH(AsAt,0)))))/D700)+1)+O700*(AsAt&gt;='Deal maths'!AA700)),0)</f>
        <v/>
      </c>
      <c r="I700" s="108">
        <f>G700-H700</f>
        <v/>
      </c>
      <c r="J700" s="111">
        <f>IF(AND(C700="EIP",I700&gt;0),'Deal maths'!Y700/I700,0)</f>
        <v/>
      </c>
      <c r="K700" s="111">
        <f>IF(AND(C700="Annuity",I700&gt;0),IF(F700&gt;0,'Deal maths'!Y700*F700/(1-(1+F700)^-I700),'Deal maths'!Y700/I700),0)</f>
        <v/>
      </c>
      <c r="L700" s="111">
        <f>IF('Deal maths'!Y700="",0,'Deal maths'!Y700)</f>
        <v/>
      </c>
      <c r="M700" s="112">
        <f>F700+(F700=0)</f>
        <v/>
      </c>
      <c r="N700" s="108">
        <f>IFERROR(IF(D700=0,0,INT(((YEAR('Deal maths'!AA700)-YEAR(E700))*12+MONTH('Deal maths'!AA700)-MONTH(E700)-(DAY('Deal maths'!AA700)&lt;MIN(R700,DAY(EOMONTH('Deal maths'!AA700,0)))))/D700)+1),0)</f>
        <v/>
      </c>
      <c r="O700" s="108">
        <f>IFERROR(IF(D700=0,0,IF(IF(DAY(E700+1)=1,EOMONTH(E700,(N700-1)*D700),EDATE(E700,(N700-1)*D700))='Deal maths'!AA700,0,1)),0)</f>
        <v/>
      </c>
      <c r="P700" s="113">
        <f>IF(B700=0,0,IFERROR(IF(C700="EIP",((I700-O700)*((IF(DAY(E700+1)=1,EOMONTH(E700,H700*D700),EDATE(E700,H700*D700))-AsAt)/365.25+(IF(DAY(E700+1)=1,EOMONTH(E700,(N700-1)*D700),EDATE(E700,(N700-1)*D700))-AsAt)/365.25)/2+O700*('Deal maths'!AA700-AsAt)/365.25)/I700,IF(C700="Annuity",IF(F700&gt;0,((K700-L700*F700)*((IF(DAY(E700+1)=1,EOMONTH(E700,H700*D700),EDATE(E700,H700*D700))-AsAt)/365.25*((1+F700)^(I700-O700)-1)/F700+IF((I700-O700)&gt;1,((IF(DAY(E700+1)=1,EOMONTH(E700,(N700-1)*D700),EDATE(E700,(N700-1)*D700))-AsAt)/365.25-(IF(DAY(E700+1)=1,EOMONTH(E700,H700*D700),EDATE(E700,H700*D700))-AsAt)/365.25)/((I700-O700)-1),0)*(1+F700)*(1-(I700-O700)*(1+F700)^((I700-O700)-1)+((I700-O700)-1)*(1+F700)^(I700-O700))/F700^2)+O700*(K700-L700*F700)*(1+F700)^(I700-1)*('Deal maths'!AA700-AsAt)/365.25)/L700,((I700-O700)*((IF(DAY(E700+1)=1,EOMONTH(E700,H700*D700),EDATE(E700,H700*D700))-AsAt)/365.25+(IF(DAY(E700+1)=1,EOMONTH(E700,(N700-1)*D700),EDATE(E700,(N700-1)*D700))-AsAt)/365.25)/2+O700*('Deal maths'!AA700-AsAt)/365.25)/I700),(S700-AsAt)/365.25)),0))</f>
        <v/>
      </c>
      <c r="Q700" s="109">
        <f>IF(B700=1,'Deal maths'!AA700+ROW()/1000000,"")</f>
        <v/>
      </c>
      <c r="R700" s="108">
        <f>IF(D700=0,0,IF(DAY(E700+1)=1,31,DAY(E700)))</f>
        <v/>
      </c>
      <c r="S700" s="109">
        <f>IF(AND('Deal maths'!V700="LOBO",'Deal maths'!AG700&gt;AsAt,'Deal maths'!AG700&lt;'Deal maths'!AA700),'Deal maths'!AG700,'Deal maths'!AA700)</f>
        <v/>
      </c>
      <c r="T700" s="108">
        <f>('Deal maths'!AA700&gt;AsAt)*('Deal maths'!Y700&gt;0)</f>
        <v/>
      </c>
    </row>
    <row r="701">
      <c r="A701" s="91">
        <f>IF('Deal maths'!V701="","",'Deal maths'!W701)</f>
        <v/>
      </c>
      <c r="B701" s="108">
        <f>('Deal maths'!AA701&gt;AsAt)*('Deal maths'!Y701&gt;0)*('Deal maths'!Z701&lt;=AsAt)</f>
        <v/>
      </c>
      <c r="C701" s="91">
        <f>IF('Deal maths'!V701="","",IF('Deal maths'!AC701="","Maturity",'Deal maths'!AC701))</f>
        <v/>
      </c>
      <c r="D701" s="108">
        <f>IF(OR(C701="EIP",C701="Annuity"),IF('Deal maths'!AD701="Annual",12,IF('Deal maths'!AD701="Quarterly",3,6)),0)</f>
        <v/>
      </c>
      <c r="E701" s="109">
        <f>IFERROR(IF(D701=0,0,IF('Deal maths'!AE701&gt;0,IF('Deal maths'!AE701&gt;'Deal maths'!AA701,'Deal maths'!AA701,'Deal maths'!AE701),IF(IF(DAY('Deal maths'!AA701+1)=1,EOMONTH('Deal maths'!AA701,-(INT(((YEAR('Deal maths'!AA701)-YEAR(IF('Deal maths'!Z701&gt;0,'Deal maths'!Z701,DATE(1990,1,1))))*12+MONTH('Deal maths'!AA701)-MONTH(IF('Deal maths'!Z701&gt;0,'Deal maths'!Z701,DATE(1990,1,1))))/D701))*D701),EDATE('Deal maths'!AA701,-(INT(((YEAR('Deal maths'!AA701)-YEAR(IF('Deal maths'!Z701&gt;0,'Deal maths'!Z701,DATE(1990,1,1))))*12+MONTH('Deal maths'!AA701)-MONTH(IF('Deal maths'!Z701&gt;0,'Deal maths'!Z701,DATE(1990,1,1))))/D701))*D701))&gt;IF('Deal maths'!Z701&gt;0,'Deal maths'!Z701,DATE(1990,1,1)),IF(DAY('Deal maths'!AA701+1)=1,EOMONTH('Deal maths'!AA701,-(INT(((YEAR('Deal maths'!AA701)-YEAR(IF('Deal maths'!Z701&gt;0,'Deal maths'!Z701,DATE(1990,1,1))))*12+MONTH('Deal maths'!AA701)-MONTH(IF('Deal maths'!Z701&gt;0,'Deal maths'!Z701,DATE(1990,1,1))))/D701))*D701),EDATE('Deal maths'!AA701,-(INT(((YEAR('Deal maths'!AA701)-YEAR(IF('Deal maths'!Z701&gt;0,'Deal maths'!Z701,DATE(1990,1,1))))*12+MONTH('Deal maths'!AA701)-MONTH(IF('Deal maths'!Z701&gt;0,'Deal maths'!Z701,DATE(1990,1,1))))/D701))*D701)),IF(DAY('Deal maths'!AA701+1)=1,EOMONTH('Deal maths'!AA701,-(INT(((YEAR('Deal maths'!AA701)-YEAR(IF('Deal maths'!Z701&gt;0,'Deal maths'!Z701,DATE(1990,1,1))))*12+MONTH('Deal maths'!AA701)-MONTH(IF('Deal maths'!Z701&gt;0,'Deal maths'!Z701,DATE(1990,1,1))))/D701)-1)*D701),EDATE('Deal maths'!AA701,-(INT(((YEAR('Deal maths'!AA701)-YEAR(IF('Deal maths'!Z701&gt;0,'Deal maths'!Z701,DATE(1990,1,1))))*12+MONTH('Deal maths'!AA701)-MONTH(IF('Deal maths'!Z701&gt;0,'Deal maths'!Z701,DATE(1990,1,1))))/D701)-1)*D701))))),0)</f>
        <v/>
      </c>
      <c r="F701" s="110">
        <f>IF(D701=0,0,'Deal maths'!AB701*D701/12)</f>
        <v/>
      </c>
      <c r="G701" s="108">
        <f>N701+O701</f>
        <v/>
      </c>
      <c r="H701" s="108">
        <f>IFERROR(IF(OR(D701=0,AsAt&lt;E701),0,MIN(N701,INT(((YEAR(AsAt)-YEAR(E701))*12+MONTH(AsAt)-MONTH(E701)-(DAY(AsAt)&lt;MIN(R701,DAY(EOMONTH(AsAt,0)))))/D701)+1)+O701*(AsAt&gt;='Deal maths'!AA701)),0)</f>
        <v/>
      </c>
      <c r="I701" s="108">
        <f>G701-H701</f>
        <v/>
      </c>
      <c r="J701" s="111">
        <f>IF(AND(C701="EIP",I701&gt;0),'Deal maths'!Y701/I701,0)</f>
        <v/>
      </c>
      <c r="K701" s="111">
        <f>IF(AND(C701="Annuity",I701&gt;0),IF(F701&gt;0,'Deal maths'!Y701*F701/(1-(1+F701)^-I701),'Deal maths'!Y701/I701),0)</f>
        <v/>
      </c>
      <c r="L701" s="111">
        <f>IF('Deal maths'!Y701="",0,'Deal maths'!Y701)</f>
        <v/>
      </c>
      <c r="M701" s="112">
        <f>F701+(F701=0)</f>
        <v/>
      </c>
      <c r="N701" s="108">
        <f>IFERROR(IF(D701=0,0,INT(((YEAR('Deal maths'!AA701)-YEAR(E701))*12+MONTH('Deal maths'!AA701)-MONTH(E701)-(DAY('Deal maths'!AA701)&lt;MIN(R701,DAY(EOMONTH('Deal maths'!AA701,0)))))/D701)+1),0)</f>
        <v/>
      </c>
      <c r="O701" s="108">
        <f>IFERROR(IF(D701=0,0,IF(IF(DAY(E701+1)=1,EOMONTH(E701,(N701-1)*D701),EDATE(E701,(N701-1)*D701))='Deal maths'!AA701,0,1)),0)</f>
        <v/>
      </c>
      <c r="P701" s="113">
        <f>IF(B701=0,0,IFERROR(IF(C701="EIP",((I701-O701)*((IF(DAY(E701+1)=1,EOMONTH(E701,H701*D701),EDATE(E701,H701*D701))-AsAt)/365.25+(IF(DAY(E701+1)=1,EOMONTH(E701,(N701-1)*D701),EDATE(E701,(N701-1)*D701))-AsAt)/365.25)/2+O701*('Deal maths'!AA701-AsAt)/365.25)/I701,IF(C701="Annuity",IF(F701&gt;0,((K701-L701*F701)*((IF(DAY(E701+1)=1,EOMONTH(E701,H701*D701),EDATE(E701,H701*D701))-AsAt)/365.25*((1+F701)^(I701-O701)-1)/F701+IF((I701-O701)&gt;1,((IF(DAY(E701+1)=1,EOMONTH(E701,(N701-1)*D701),EDATE(E701,(N701-1)*D701))-AsAt)/365.25-(IF(DAY(E701+1)=1,EOMONTH(E701,H701*D701),EDATE(E701,H701*D701))-AsAt)/365.25)/((I701-O701)-1),0)*(1+F701)*(1-(I701-O701)*(1+F701)^((I701-O701)-1)+((I701-O701)-1)*(1+F701)^(I701-O701))/F701^2)+O701*(K701-L701*F701)*(1+F701)^(I701-1)*('Deal maths'!AA701-AsAt)/365.25)/L701,((I701-O701)*((IF(DAY(E701+1)=1,EOMONTH(E701,H701*D701),EDATE(E701,H701*D701))-AsAt)/365.25+(IF(DAY(E701+1)=1,EOMONTH(E701,(N701-1)*D701),EDATE(E701,(N701-1)*D701))-AsAt)/365.25)/2+O701*('Deal maths'!AA701-AsAt)/365.25)/I701),(S701-AsAt)/365.25)),0))</f>
        <v/>
      </c>
      <c r="Q701" s="109">
        <f>IF(B701=1,'Deal maths'!AA701+ROW()/1000000,"")</f>
        <v/>
      </c>
      <c r="R701" s="108">
        <f>IF(D701=0,0,IF(DAY(E701+1)=1,31,DAY(E701)))</f>
        <v/>
      </c>
      <c r="S701" s="109">
        <f>IF(AND('Deal maths'!V701="LOBO",'Deal maths'!AG701&gt;AsAt,'Deal maths'!AG701&lt;'Deal maths'!AA701),'Deal maths'!AG701,'Deal maths'!AA701)</f>
        <v/>
      </c>
      <c r="T701" s="108">
        <f>('Deal maths'!AA701&gt;AsAt)*('Deal maths'!Y701&gt;0)</f>
        <v/>
      </c>
    </row>
    <row r="702">
      <c r="A702" s="91">
        <f>IF('Deal maths'!V702="","",'Deal maths'!W702)</f>
        <v/>
      </c>
      <c r="B702" s="108">
        <f>('Deal maths'!AA702&gt;AsAt)*('Deal maths'!Y702&gt;0)*('Deal maths'!Z702&lt;=AsAt)</f>
        <v/>
      </c>
      <c r="C702" s="91">
        <f>IF('Deal maths'!V702="","",IF('Deal maths'!AC702="","Maturity",'Deal maths'!AC702))</f>
        <v/>
      </c>
      <c r="D702" s="108">
        <f>IF(OR(C702="EIP",C702="Annuity"),IF('Deal maths'!AD702="Annual",12,IF('Deal maths'!AD702="Quarterly",3,6)),0)</f>
        <v/>
      </c>
      <c r="E702" s="109">
        <f>IFERROR(IF(D702=0,0,IF('Deal maths'!AE702&gt;0,IF('Deal maths'!AE702&gt;'Deal maths'!AA702,'Deal maths'!AA702,'Deal maths'!AE702),IF(IF(DAY('Deal maths'!AA702+1)=1,EOMONTH('Deal maths'!AA702,-(INT(((YEAR('Deal maths'!AA702)-YEAR(IF('Deal maths'!Z702&gt;0,'Deal maths'!Z702,DATE(1990,1,1))))*12+MONTH('Deal maths'!AA702)-MONTH(IF('Deal maths'!Z702&gt;0,'Deal maths'!Z702,DATE(1990,1,1))))/D702))*D702),EDATE('Deal maths'!AA702,-(INT(((YEAR('Deal maths'!AA702)-YEAR(IF('Deal maths'!Z702&gt;0,'Deal maths'!Z702,DATE(1990,1,1))))*12+MONTH('Deal maths'!AA702)-MONTH(IF('Deal maths'!Z702&gt;0,'Deal maths'!Z702,DATE(1990,1,1))))/D702))*D702))&gt;IF('Deal maths'!Z702&gt;0,'Deal maths'!Z702,DATE(1990,1,1)),IF(DAY('Deal maths'!AA702+1)=1,EOMONTH('Deal maths'!AA702,-(INT(((YEAR('Deal maths'!AA702)-YEAR(IF('Deal maths'!Z702&gt;0,'Deal maths'!Z702,DATE(1990,1,1))))*12+MONTH('Deal maths'!AA702)-MONTH(IF('Deal maths'!Z702&gt;0,'Deal maths'!Z702,DATE(1990,1,1))))/D702))*D702),EDATE('Deal maths'!AA702,-(INT(((YEAR('Deal maths'!AA702)-YEAR(IF('Deal maths'!Z702&gt;0,'Deal maths'!Z702,DATE(1990,1,1))))*12+MONTH('Deal maths'!AA702)-MONTH(IF('Deal maths'!Z702&gt;0,'Deal maths'!Z702,DATE(1990,1,1))))/D702))*D702)),IF(DAY('Deal maths'!AA702+1)=1,EOMONTH('Deal maths'!AA702,-(INT(((YEAR('Deal maths'!AA702)-YEAR(IF('Deal maths'!Z702&gt;0,'Deal maths'!Z702,DATE(1990,1,1))))*12+MONTH('Deal maths'!AA702)-MONTH(IF('Deal maths'!Z702&gt;0,'Deal maths'!Z702,DATE(1990,1,1))))/D702)-1)*D702),EDATE('Deal maths'!AA702,-(INT(((YEAR('Deal maths'!AA702)-YEAR(IF('Deal maths'!Z702&gt;0,'Deal maths'!Z702,DATE(1990,1,1))))*12+MONTH('Deal maths'!AA702)-MONTH(IF('Deal maths'!Z702&gt;0,'Deal maths'!Z702,DATE(1990,1,1))))/D702)-1)*D702))))),0)</f>
        <v/>
      </c>
      <c r="F702" s="110">
        <f>IF(D702=0,0,'Deal maths'!AB702*D702/12)</f>
        <v/>
      </c>
      <c r="G702" s="108">
        <f>N702+O702</f>
        <v/>
      </c>
      <c r="H702" s="108">
        <f>IFERROR(IF(OR(D702=0,AsAt&lt;E702),0,MIN(N702,INT(((YEAR(AsAt)-YEAR(E702))*12+MONTH(AsAt)-MONTH(E702)-(DAY(AsAt)&lt;MIN(R702,DAY(EOMONTH(AsAt,0)))))/D702)+1)+O702*(AsAt&gt;='Deal maths'!AA702)),0)</f>
        <v/>
      </c>
      <c r="I702" s="108">
        <f>G702-H702</f>
        <v/>
      </c>
      <c r="J702" s="111">
        <f>IF(AND(C702="EIP",I702&gt;0),'Deal maths'!Y702/I702,0)</f>
        <v/>
      </c>
      <c r="K702" s="111">
        <f>IF(AND(C702="Annuity",I702&gt;0),IF(F702&gt;0,'Deal maths'!Y702*F702/(1-(1+F702)^-I702),'Deal maths'!Y702/I702),0)</f>
        <v/>
      </c>
      <c r="L702" s="111">
        <f>IF('Deal maths'!Y702="",0,'Deal maths'!Y702)</f>
        <v/>
      </c>
      <c r="M702" s="112">
        <f>F702+(F702=0)</f>
        <v/>
      </c>
      <c r="N702" s="108">
        <f>IFERROR(IF(D702=0,0,INT(((YEAR('Deal maths'!AA702)-YEAR(E702))*12+MONTH('Deal maths'!AA702)-MONTH(E702)-(DAY('Deal maths'!AA702)&lt;MIN(R702,DAY(EOMONTH('Deal maths'!AA702,0)))))/D702)+1),0)</f>
        <v/>
      </c>
      <c r="O702" s="108">
        <f>IFERROR(IF(D702=0,0,IF(IF(DAY(E702+1)=1,EOMONTH(E702,(N702-1)*D702),EDATE(E702,(N702-1)*D702))='Deal maths'!AA702,0,1)),0)</f>
        <v/>
      </c>
      <c r="P702" s="113">
        <f>IF(B702=0,0,IFERROR(IF(C702="EIP",((I702-O702)*((IF(DAY(E702+1)=1,EOMONTH(E702,H702*D702),EDATE(E702,H702*D702))-AsAt)/365.25+(IF(DAY(E702+1)=1,EOMONTH(E702,(N702-1)*D702),EDATE(E702,(N702-1)*D702))-AsAt)/365.25)/2+O702*('Deal maths'!AA702-AsAt)/365.25)/I702,IF(C702="Annuity",IF(F702&gt;0,((K702-L702*F702)*((IF(DAY(E702+1)=1,EOMONTH(E702,H702*D702),EDATE(E702,H702*D702))-AsAt)/365.25*((1+F702)^(I702-O702)-1)/F702+IF((I702-O702)&gt;1,((IF(DAY(E702+1)=1,EOMONTH(E702,(N702-1)*D702),EDATE(E702,(N702-1)*D702))-AsAt)/365.25-(IF(DAY(E702+1)=1,EOMONTH(E702,H702*D702),EDATE(E702,H702*D702))-AsAt)/365.25)/((I702-O702)-1),0)*(1+F702)*(1-(I702-O702)*(1+F702)^((I702-O702)-1)+((I702-O702)-1)*(1+F702)^(I702-O702))/F702^2)+O702*(K702-L702*F702)*(1+F702)^(I702-1)*('Deal maths'!AA702-AsAt)/365.25)/L702,((I702-O702)*((IF(DAY(E702+1)=1,EOMONTH(E702,H702*D702),EDATE(E702,H702*D702))-AsAt)/365.25+(IF(DAY(E702+1)=1,EOMONTH(E702,(N702-1)*D702),EDATE(E702,(N702-1)*D702))-AsAt)/365.25)/2+O702*('Deal maths'!AA702-AsAt)/365.25)/I702),(S702-AsAt)/365.25)),0))</f>
        <v/>
      </c>
      <c r="Q702" s="109">
        <f>IF(B702=1,'Deal maths'!AA702+ROW()/1000000,"")</f>
        <v/>
      </c>
      <c r="R702" s="108">
        <f>IF(D702=0,0,IF(DAY(E702+1)=1,31,DAY(E702)))</f>
        <v/>
      </c>
      <c r="S702" s="109">
        <f>IF(AND('Deal maths'!V702="LOBO",'Deal maths'!AG702&gt;AsAt,'Deal maths'!AG702&lt;'Deal maths'!AA702),'Deal maths'!AG702,'Deal maths'!AA702)</f>
        <v/>
      </c>
      <c r="T702" s="108">
        <f>('Deal maths'!AA702&gt;AsAt)*('Deal maths'!Y702&gt;0)</f>
        <v/>
      </c>
    </row>
    <row r="703">
      <c r="A703" s="91">
        <f>IF('Deal maths'!V703="","",'Deal maths'!W703)</f>
        <v/>
      </c>
      <c r="B703" s="108">
        <f>('Deal maths'!AA703&gt;AsAt)*('Deal maths'!Y703&gt;0)*('Deal maths'!Z703&lt;=AsAt)</f>
        <v/>
      </c>
      <c r="C703" s="91">
        <f>IF('Deal maths'!V703="","",IF('Deal maths'!AC703="","Maturity",'Deal maths'!AC703))</f>
        <v/>
      </c>
      <c r="D703" s="108">
        <f>IF(OR(C703="EIP",C703="Annuity"),IF('Deal maths'!AD703="Annual",12,IF('Deal maths'!AD703="Quarterly",3,6)),0)</f>
        <v/>
      </c>
      <c r="E703" s="109">
        <f>IFERROR(IF(D703=0,0,IF('Deal maths'!AE703&gt;0,IF('Deal maths'!AE703&gt;'Deal maths'!AA703,'Deal maths'!AA703,'Deal maths'!AE703),IF(IF(DAY('Deal maths'!AA703+1)=1,EOMONTH('Deal maths'!AA703,-(INT(((YEAR('Deal maths'!AA703)-YEAR(IF('Deal maths'!Z703&gt;0,'Deal maths'!Z703,DATE(1990,1,1))))*12+MONTH('Deal maths'!AA703)-MONTH(IF('Deal maths'!Z703&gt;0,'Deal maths'!Z703,DATE(1990,1,1))))/D703))*D703),EDATE('Deal maths'!AA703,-(INT(((YEAR('Deal maths'!AA703)-YEAR(IF('Deal maths'!Z703&gt;0,'Deal maths'!Z703,DATE(1990,1,1))))*12+MONTH('Deal maths'!AA703)-MONTH(IF('Deal maths'!Z703&gt;0,'Deal maths'!Z703,DATE(1990,1,1))))/D703))*D703))&gt;IF('Deal maths'!Z703&gt;0,'Deal maths'!Z703,DATE(1990,1,1)),IF(DAY('Deal maths'!AA703+1)=1,EOMONTH('Deal maths'!AA703,-(INT(((YEAR('Deal maths'!AA703)-YEAR(IF('Deal maths'!Z703&gt;0,'Deal maths'!Z703,DATE(1990,1,1))))*12+MONTH('Deal maths'!AA703)-MONTH(IF('Deal maths'!Z703&gt;0,'Deal maths'!Z703,DATE(1990,1,1))))/D703))*D703),EDATE('Deal maths'!AA703,-(INT(((YEAR('Deal maths'!AA703)-YEAR(IF('Deal maths'!Z703&gt;0,'Deal maths'!Z703,DATE(1990,1,1))))*12+MONTH('Deal maths'!AA703)-MONTH(IF('Deal maths'!Z703&gt;0,'Deal maths'!Z703,DATE(1990,1,1))))/D703))*D703)),IF(DAY('Deal maths'!AA703+1)=1,EOMONTH('Deal maths'!AA703,-(INT(((YEAR('Deal maths'!AA703)-YEAR(IF('Deal maths'!Z703&gt;0,'Deal maths'!Z703,DATE(1990,1,1))))*12+MONTH('Deal maths'!AA703)-MONTH(IF('Deal maths'!Z703&gt;0,'Deal maths'!Z703,DATE(1990,1,1))))/D703)-1)*D703),EDATE('Deal maths'!AA703,-(INT(((YEAR('Deal maths'!AA703)-YEAR(IF('Deal maths'!Z703&gt;0,'Deal maths'!Z703,DATE(1990,1,1))))*12+MONTH('Deal maths'!AA703)-MONTH(IF('Deal maths'!Z703&gt;0,'Deal maths'!Z703,DATE(1990,1,1))))/D703)-1)*D703))))),0)</f>
        <v/>
      </c>
      <c r="F703" s="110">
        <f>IF(D703=0,0,'Deal maths'!AB703*D703/12)</f>
        <v/>
      </c>
      <c r="G703" s="108">
        <f>N703+O703</f>
        <v/>
      </c>
      <c r="H703" s="108">
        <f>IFERROR(IF(OR(D703=0,AsAt&lt;E703),0,MIN(N703,INT(((YEAR(AsAt)-YEAR(E703))*12+MONTH(AsAt)-MONTH(E703)-(DAY(AsAt)&lt;MIN(R703,DAY(EOMONTH(AsAt,0)))))/D703)+1)+O703*(AsAt&gt;='Deal maths'!AA703)),0)</f>
        <v/>
      </c>
      <c r="I703" s="108">
        <f>G703-H703</f>
        <v/>
      </c>
      <c r="J703" s="111">
        <f>IF(AND(C703="EIP",I703&gt;0),'Deal maths'!Y703/I703,0)</f>
        <v/>
      </c>
      <c r="K703" s="111">
        <f>IF(AND(C703="Annuity",I703&gt;0),IF(F703&gt;0,'Deal maths'!Y703*F703/(1-(1+F703)^-I703),'Deal maths'!Y703/I703),0)</f>
        <v/>
      </c>
      <c r="L703" s="111">
        <f>IF('Deal maths'!Y703="",0,'Deal maths'!Y703)</f>
        <v/>
      </c>
      <c r="M703" s="112">
        <f>F703+(F703=0)</f>
        <v/>
      </c>
      <c r="N703" s="108">
        <f>IFERROR(IF(D703=0,0,INT(((YEAR('Deal maths'!AA703)-YEAR(E703))*12+MONTH('Deal maths'!AA703)-MONTH(E703)-(DAY('Deal maths'!AA703)&lt;MIN(R703,DAY(EOMONTH('Deal maths'!AA703,0)))))/D703)+1),0)</f>
        <v/>
      </c>
      <c r="O703" s="108">
        <f>IFERROR(IF(D703=0,0,IF(IF(DAY(E703+1)=1,EOMONTH(E703,(N703-1)*D703),EDATE(E703,(N703-1)*D703))='Deal maths'!AA703,0,1)),0)</f>
        <v/>
      </c>
      <c r="P703" s="113">
        <f>IF(B703=0,0,IFERROR(IF(C703="EIP",((I703-O703)*((IF(DAY(E703+1)=1,EOMONTH(E703,H703*D703),EDATE(E703,H703*D703))-AsAt)/365.25+(IF(DAY(E703+1)=1,EOMONTH(E703,(N703-1)*D703),EDATE(E703,(N703-1)*D703))-AsAt)/365.25)/2+O703*('Deal maths'!AA703-AsAt)/365.25)/I703,IF(C703="Annuity",IF(F703&gt;0,((K703-L703*F703)*((IF(DAY(E703+1)=1,EOMONTH(E703,H703*D703),EDATE(E703,H703*D703))-AsAt)/365.25*((1+F703)^(I703-O703)-1)/F703+IF((I703-O703)&gt;1,((IF(DAY(E703+1)=1,EOMONTH(E703,(N703-1)*D703),EDATE(E703,(N703-1)*D703))-AsAt)/365.25-(IF(DAY(E703+1)=1,EOMONTH(E703,H703*D703),EDATE(E703,H703*D703))-AsAt)/365.25)/((I703-O703)-1),0)*(1+F703)*(1-(I703-O703)*(1+F703)^((I703-O703)-1)+((I703-O703)-1)*(1+F703)^(I703-O703))/F703^2)+O703*(K703-L703*F703)*(1+F703)^(I703-1)*('Deal maths'!AA703-AsAt)/365.25)/L703,((I703-O703)*((IF(DAY(E703+1)=1,EOMONTH(E703,H703*D703),EDATE(E703,H703*D703))-AsAt)/365.25+(IF(DAY(E703+1)=1,EOMONTH(E703,(N703-1)*D703),EDATE(E703,(N703-1)*D703))-AsAt)/365.25)/2+O703*('Deal maths'!AA703-AsAt)/365.25)/I703),(S703-AsAt)/365.25)),0))</f>
        <v/>
      </c>
      <c r="Q703" s="109">
        <f>IF(B703=1,'Deal maths'!AA703+ROW()/1000000,"")</f>
        <v/>
      </c>
      <c r="R703" s="108">
        <f>IF(D703=0,0,IF(DAY(E703+1)=1,31,DAY(E703)))</f>
        <v/>
      </c>
      <c r="S703" s="109">
        <f>IF(AND('Deal maths'!V703="LOBO",'Deal maths'!AG703&gt;AsAt,'Deal maths'!AG703&lt;'Deal maths'!AA703),'Deal maths'!AG703,'Deal maths'!AA703)</f>
        <v/>
      </c>
      <c r="T703" s="108">
        <f>('Deal maths'!AA703&gt;AsAt)*('Deal maths'!Y703&gt;0)</f>
        <v/>
      </c>
    </row>
    <row r="704">
      <c r="A704" s="91">
        <f>IF('Deal maths'!V704="","",'Deal maths'!W704)</f>
        <v/>
      </c>
      <c r="B704" s="108">
        <f>('Deal maths'!AA704&gt;AsAt)*('Deal maths'!Y704&gt;0)*('Deal maths'!Z704&lt;=AsAt)</f>
        <v/>
      </c>
      <c r="C704" s="91">
        <f>IF('Deal maths'!V704="","",IF('Deal maths'!AC704="","Maturity",'Deal maths'!AC704))</f>
        <v/>
      </c>
      <c r="D704" s="108">
        <f>IF(OR(C704="EIP",C704="Annuity"),IF('Deal maths'!AD704="Annual",12,IF('Deal maths'!AD704="Quarterly",3,6)),0)</f>
        <v/>
      </c>
      <c r="E704" s="109">
        <f>IFERROR(IF(D704=0,0,IF('Deal maths'!AE704&gt;0,IF('Deal maths'!AE704&gt;'Deal maths'!AA704,'Deal maths'!AA704,'Deal maths'!AE704),IF(IF(DAY('Deal maths'!AA704+1)=1,EOMONTH('Deal maths'!AA704,-(INT(((YEAR('Deal maths'!AA704)-YEAR(IF('Deal maths'!Z704&gt;0,'Deal maths'!Z704,DATE(1990,1,1))))*12+MONTH('Deal maths'!AA704)-MONTH(IF('Deal maths'!Z704&gt;0,'Deal maths'!Z704,DATE(1990,1,1))))/D704))*D704),EDATE('Deal maths'!AA704,-(INT(((YEAR('Deal maths'!AA704)-YEAR(IF('Deal maths'!Z704&gt;0,'Deal maths'!Z704,DATE(1990,1,1))))*12+MONTH('Deal maths'!AA704)-MONTH(IF('Deal maths'!Z704&gt;0,'Deal maths'!Z704,DATE(1990,1,1))))/D704))*D704))&gt;IF('Deal maths'!Z704&gt;0,'Deal maths'!Z704,DATE(1990,1,1)),IF(DAY('Deal maths'!AA704+1)=1,EOMONTH('Deal maths'!AA704,-(INT(((YEAR('Deal maths'!AA704)-YEAR(IF('Deal maths'!Z704&gt;0,'Deal maths'!Z704,DATE(1990,1,1))))*12+MONTH('Deal maths'!AA704)-MONTH(IF('Deal maths'!Z704&gt;0,'Deal maths'!Z704,DATE(1990,1,1))))/D704))*D704),EDATE('Deal maths'!AA704,-(INT(((YEAR('Deal maths'!AA704)-YEAR(IF('Deal maths'!Z704&gt;0,'Deal maths'!Z704,DATE(1990,1,1))))*12+MONTH('Deal maths'!AA704)-MONTH(IF('Deal maths'!Z704&gt;0,'Deal maths'!Z704,DATE(1990,1,1))))/D704))*D704)),IF(DAY('Deal maths'!AA704+1)=1,EOMONTH('Deal maths'!AA704,-(INT(((YEAR('Deal maths'!AA704)-YEAR(IF('Deal maths'!Z704&gt;0,'Deal maths'!Z704,DATE(1990,1,1))))*12+MONTH('Deal maths'!AA704)-MONTH(IF('Deal maths'!Z704&gt;0,'Deal maths'!Z704,DATE(1990,1,1))))/D704)-1)*D704),EDATE('Deal maths'!AA704,-(INT(((YEAR('Deal maths'!AA704)-YEAR(IF('Deal maths'!Z704&gt;0,'Deal maths'!Z704,DATE(1990,1,1))))*12+MONTH('Deal maths'!AA704)-MONTH(IF('Deal maths'!Z704&gt;0,'Deal maths'!Z704,DATE(1990,1,1))))/D704)-1)*D704))))),0)</f>
        <v/>
      </c>
      <c r="F704" s="110">
        <f>IF(D704=0,0,'Deal maths'!AB704*D704/12)</f>
        <v/>
      </c>
      <c r="G704" s="108">
        <f>N704+O704</f>
        <v/>
      </c>
      <c r="H704" s="108">
        <f>IFERROR(IF(OR(D704=0,AsAt&lt;E704),0,MIN(N704,INT(((YEAR(AsAt)-YEAR(E704))*12+MONTH(AsAt)-MONTH(E704)-(DAY(AsAt)&lt;MIN(R704,DAY(EOMONTH(AsAt,0)))))/D704)+1)+O704*(AsAt&gt;='Deal maths'!AA704)),0)</f>
        <v/>
      </c>
      <c r="I704" s="108">
        <f>G704-H704</f>
        <v/>
      </c>
      <c r="J704" s="111">
        <f>IF(AND(C704="EIP",I704&gt;0),'Deal maths'!Y704/I704,0)</f>
        <v/>
      </c>
      <c r="K704" s="111">
        <f>IF(AND(C704="Annuity",I704&gt;0),IF(F704&gt;0,'Deal maths'!Y704*F704/(1-(1+F704)^-I704),'Deal maths'!Y704/I704),0)</f>
        <v/>
      </c>
      <c r="L704" s="111">
        <f>IF('Deal maths'!Y704="",0,'Deal maths'!Y704)</f>
        <v/>
      </c>
      <c r="M704" s="112">
        <f>F704+(F704=0)</f>
        <v/>
      </c>
      <c r="N704" s="108">
        <f>IFERROR(IF(D704=0,0,INT(((YEAR('Deal maths'!AA704)-YEAR(E704))*12+MONTH('Deal maths'!AA704)-MONTH(E704)-(DAY('Deal maths'!AA704)&lt;MIN(R704,DAY(EOMONTH('Deal maths'!AA704,0)))))/D704)+1),0)</f>
        <v/>
      </c>
      <c r="O704" s="108">
        <f>IFERROR(IF(D704=0,0,IF(IF(DAY(E704+1)=1,EOMONTH(E704,(N704-1)*D704),EDATE(E704,(N704-1)*D704))='Deal maths'!AA704,0,1)),0)</f>
        <v/>
      </c>
      <c r="P704" s="113">
        <f>IF(B704=0,0,IFERROR(IF(C704="EIP",((I704-O704)*((IF(DAY(E704+1)=1,EOMONTH(E704,H704*D704),EDATE(E704,H704*D704))-AsAt)/365.25+(IF(DAY(E704+1)=1,EOMONTH(E704,(N704-1)*D704),EDATE(E704,(N704-1)*D704))-AsAt)/365.25)/2+O704*('Deal maths'!AA704-AsAt)/365.25)/I704,IF(C704="Annuity",IF(F704&gt;0,((K704-L704*F704)*((IF(DAY(E704+1)=1,EOMONTH(E704,H704*D704),EDATE(E704,H704*D704))-AsAt)/365.25*((1+F704)^(I704-O704)-1)/F704+IF((I704-O704)&gt;1,((IF(DAY(E704+1)=1,EOMONTH(E704,(N704-1)*D704),EDATE(E704,(N704-1)*D704))-AsAt)/365.25-(IF(DAY(E704+1)=1,EOMONTH(E704,H704*D704),EDATE(E704,H704*D704))-AsAt)/365.25)/((I704-O704)-1),0)*(1+F704)*(1-(I704-O704)*(1+F704)^((I704-O704)-1)+((I704-O704)-1)*(1+F704)^(I704-O704))/F704^2)+O704*(K704-L704*F704)*(1+F704)^(I704-1)*('Deal maths'!AA704-AsAt)/365.25)/L704,((I704-O704)*((IF(DAY(E704+1)=1,EOMONTH(E704,H704*D704),EDATE(E704,H704*D704))-AsAt)/365.25+(IF(DAY(E704+1)=1,EOMONTH(E704,(N704-1)*D704),EDATE(E704,(N704-1)*D704))-AsAt)/365.25)/2+O704*('Deal maths'!AA704-AsAt)/365.25)/I704),(S704-AsAt)/365.25)),0))</f>
        <v/>
      </c>
      <c r="Q704" s="109">
        <f>IF(B704=1,'Deal maths'!AA704+ROW()/1000000,"")</f>
        <v/>
      </c>
      <c r="R704" s="108">
        <f>IF(D704=0,0,IF(DAY(E704+1)=1,31,DAY(E704)))</f>
        <v/>
      </c>
      <c r="S704" s="109">
        <f>IF(AND('Deal maths'!V704="LOBO",'Deal maths'!AG704&gt;AsAt,'Deal maths'!AG704&lt;'Deal maths'!AA704),'Deal maths'!AG704,'Deal maths'!AA704)</f>
        <v/>
      </c>
      <c r="T704" s="108">
        <f>('Deal maths'!AA704&gt;AsAt)*('Deal maths'!Y704&gt;0)</f>
        <v/>
      </c>
    </row>
    <row r="705">
      <c r="A705" s="91">
        <f>IF('Deal maths'!V705="","",'Deal maths'!W705)</f>
        <v/>
      </c>
      <c r="B705" s="108">
        <f>('Deal maths'!AA705&gt;AsAt)*('Deal maths'!Y705&gt;0)*('Deal maths'!Z705&lt;=AsAt)</f>
        <v/>
      </c>
      <c r="C705" s="91">
        <f>IF('Deal maths'!V705="","",IF('Deal maths'!AC705="","Maturity",'Deal maths'!AC705))</f>
        <v/>
      </c>
      <c r="D705" s="108">
        <f>IF(OR(C705="EIP",C705="Annuity"),IF('Deal maths'!AD705="Annual",12,IF('Deal maths'!AD705="Quarterly",3,6)),0)</f>
        <v/>
      </c>
      <c r="E705" s="109">
        <f>IFERROR(IF(D705=0,0,IF('Deal maths'!AE705&gt;0,IF('Deal maths'!AE705&gt;'Deal maths'!AA705,'Deal maths'!AA705,'Deal maths'!AE705),IF(IF(DAY('Deal maths'!AA705+1)=1,EOMONTH('Deal maths'!AA705,-(INT(((YEAR('Deal maths'!AA705)-YEAR(IF('Deal maths'!Z705&gt;0,'Deal maths'!Z705,DATE(1990,1,1))))*12+MONTH('Deal maths'!AA705)-MONTH(IF('Deal maths'!Z705&gt;0,'Deal maths'!Z705,DATE(1990,1,1))))/D705))*D705),EDATE('Deal maths'!AA705,-(INT(((YEAR('Deal maths'!AA705)-YEAR(IF('Deal maths'!Z705&gt;0,'Deal maths'!Z705,DATE(1990,1,1))))*12+MONTH('Deal maths'!AA705)-MONTH(IF('Deal maths'!Z705&gt;0,'Deal maths'!Z705,DATE(1990,1,1))))/D705))*D705))&gt;IF('Deal maths'!Z705&gt;0,'Deal maths'!Z705,DATE(1990,1,1)),IF(DAY('Deal maths'!AA705+1)=1,EOMONTH('Deal maths'!AA705,-(INT(((YEAR('Deal maths'!AA705)-YEAR(IF('Deal maths'!Z705&gt;0,'Deal maths'!Z705,DATE(1990,1,1))))*12+MONTH('Deal maths'!AA705)-MONTH(IF('Deal maths'!Z705&gt;0,'Deal maths'!Z705,DATE(1990,1,1))))/D705))*D705),EDATE('Deal maths'!AA705,-(INT(((YEAR('Deal maths'!AA705)-YEAR(IF('Deal maths'!Z705&gt;0,'Deal maths'!Z705,DATE(1990,1,1))))*12+MONTH('Deal maths'!AA705)-MONTH(IF('Deal maths'!Z705&gt;0,'Deal maths'!Z705,DATE(1990,1,1))))/D705))*D705)),IF(DAY('Deal maths'!AA705+1)=1,EOMONTH('Deal maths'!AA705,-(INT(((YEAR('Deal maths'!AA705)-YEAR(IF('Deal maths'!Z705&gt;0,'Deal maths'!Z705,DATE(1990,1,1))))*12+MONTH('Deal maths'!AA705)-MONTH(IF('Deal maths'!Z705&gt;0,'Deal maths'!Z705,DATE(1990,1,1))))/D705)-1)*D705),EDATE('Deal maths'!AA705,-(INT(((YEAR('Deal maths'!AA705)-YEAR(IF('Deal maths'!Z705&gt;0,'Deal maths'!Z705,DATE(1990,1,1))))*12+MONTH('Deal maths'!AA705)-MONTH(IF('Deal maths'!Z705&gt;0,'Deal maths'!Z705,DATE(1990,1,1))))/D705)-1)*D705))))),0)</f>
        <v/>
      </c>
      <c r="F705" s="110">
        <f>IF(D705=0,0,'Deal maths'!AB705*D705/12)</f>
        <v/>
      </c>
      <c r="G705" s="108">
        <f>N705+O705</f>
        <v/>
      </c>
      <c r="H705" s="108">
        <f>IFERROR(IF(OR(D705=0,AsAt&lt;E705),0,MIN(N705,INT(((YEAR(AsAt)-YEAR(E705))*12+MONTH(AsAt)-MONTH(E705)-(DAY(AsAt)&lt;MIN(R705,DAY(EOMONTH(AsAt,0)))))/D705)+1)+O705*(AsAt&gt;='Deal maths'!AA705)),0)</f>
        <v/>
      </c>
      <c r="I705" s="108">
        <f>G705-H705</f>
        <v/>
      </c>
      <c r="J705" s="111">
        <f>IF(AND(C705="EIP",I705&gt;0),'Deal maths'!Y705/I705,0)</f>
        <v/>
      </c>
      <c r="K705" s="111">
        <f>IF(AND(C705="Annuity",I705&gt;0),IF(F705&gt;0,'Deal maths'!Y705*F705/(1-(1+F705)^-I705),'Deal maths'!Y705/I705),0)</f>
        <v/>
      </c>
      <c r="L705" s="111">
        <f>IF('Deal maths'!Y705="",0,'Deal maths'!Y705)</f>
        <v/>
      </c>
      <c r="M705" s="112">
        <f>F705+(F705=0)</f>
        <v/>
      </c>
      <c r="N705" s="108">
        <f>IFERROR(IF(D705=0,0,INT(((YEAR('Deal maths'!AA705)-YEAR(E705))*12+MONTH('Deal maths'!AA705)-MONTH(E705)-(DAY('Deal maths'!AA705)&lt;MIN(R705,DAY(EOMONTH('Deal maths'!AA705,0)))))/D705)+1),0)</f>
        <v/>
      </c>
      <c r="O705" s="108">
        <f>IFERROR(IF(D705=0,0,IF(IF(DAY(E705+1)=1,EOMONTH(E705,(N705-1)*D705),EDATE(E705,(N705-1)*D705))='Deal maths'!AA705,0,1)),0)</f>
        <v/>
      </c>
      <c r="P705" s="113">
        <f>IF(B705=0,0,IFERROR(IF(C705="EIP",((I705-O705)*((IF(DAY(E705+1)=1,EOMONTH(E705,H705*D705),EDATE(E705,H705*D705))-AsAt)/365.25+(IF(DAY(E705+1)=1,EOMONTH(E705,(N705-1)*D705),EDATE(E705,(N705-1)*D705))-AsAt)/365.25)/2+O705*('Deal maths'!AA705-AsAt)/365.25)/I705,IF(C705="Annuity",IF(F705&gt;0,((K705-L705*F705)*((IF(DAY(E705+1)=1,EOMONTH(E705,H705*D705),EDATE(E705,H705*D705))-AsAt)/365.25*((1+F705)^(I705-O705)-1)/F705+IF((I705-O705)&gt;1,((IF(DAY(E705+1)=1,EOMONTH(E705,(N705-1)*D705),EDATE(E705,(N705-1)*D705))-AsAt)/365.25-(IF(DAY(E705+1)=1,EOMONTH(E705,H705*D705),EDATE(E705,H705*D705))-AsAt)/365.25)/((I705-O705)-1),0)*(1+F705)*(1-(I705-O705)*(1+F705)^((I705-O705)-1)+((I705-O705)-1)*(1+F705)^(I705-O705))/F705^2)+O705*(K705-L705*F705)*(1+F705)^(I705-1)*('Deal maths'!AA705-AsAt)/365.25)/L705,((I705-O705)*((IF(DAY(E705+1)=1,EOMONTH(E705,H705*D705),EDATE(E705,H705*D705))-AsAt)/365.25+(IF(DAY(E705+1)=1,EOMONTH(E705,(N705-1)*D705),EDATE(E705,(N705-1)*D705))-AsAt)/365.25)/2+O705*('Deal maths'!AA705-AsAt)/365.25)/I705),(S705-AsAt)/365.25)),0))</f>
        <v/>
      </c>
      <c r="Q705" s="109">
        <f>IF(B705=1,'Deal maths'!AA705+ROW()/1000000,"")</f>
        <v/>
      </c>
      <c r="R705" s="108">
        <f>IF(D705=0,0,IF(DAY(E705+1)=1,31,DAY(E705)))</f>
        <v/>
      </c>
      <c r="S705" s="109">
        <f>IF(AND('Deal maths'!V705="LOBO",'Deal maths'!AG705&gt;AsAt,'Deal maths'!AG705&lt;'Deal maths'!AA705),'Deal maths'!AG705,'Deal maths'!AA705)</f>
        <v/>
      </c>
      <c r="T705" s="108">
        <f>('Deal maths'!AA705&gt;AsAt)*('Deal maths'!Y705&gt;0)</f>
        <v/>
      </c>
    </row>
    <row r="706">
      <c r="A706" s="91">
        <f>IF('Deal maths'!V706="","",'Deal maths'!W706)</f>
        <v/>
      </c>
      <c r="B706" s="108">
        <f>('Deal maths'!AA706&gt;AsAt)*('Deal maths'!Y706&gt;0)*('Deal maths'!Z706&lt;=AsAt)</f>
        <v/>
      </c>
      <c r="C706" s="91">
        <f>IF('Deal maths'!V706="","",IF('Deal maths'!AC706="","Maturity",'Deal maths'!AC706))</f>
        <v/>
      </c>
      <c r="D706" s="108">
        <f>IF(OR(C706="EIP",C706="Annuity"),IF('Deal maths'!AD706="Annual",12,IF('Deal maths'!AD706="Quarterly",3,6)),0)</f>
        <v/>
      </c>
      <c r="E706" s="109">
        <f>IFERROR(IF(D706=0,0,IF('Deal maths'!AE706&gt;0,IF('Deal maths'!AE706&gt;'Deal maths'!AA706,'Deal maths'!AA706,'Deal maths'!AE706),IF(IF(DAY('Deal maths'!AA706+1)=1,EOMONTH('Deal maths'!AA706,-(INT(((YEAR('Deal maths'!AA706)-YEAR(IF('Deal maths'!Z706&gt;0,'Deal maths'!Z706,DATE(1990,1,1))))*12+MONTH('Deal maths'!AA706)-MONTH(IF('Deal maths'!Z706&gt;0,'Deal maths'!Z706,DATE(1990,1,1))))/D706))*D706),EDATE('Deal maths'!AA706,-(INT(((YEAR('Deal maths'!AA706)-YEAR(IF('Deal maths'!Z706&gt;0,'Deal maths'!Z706,DATE(1990,1,1))))*12+MONTH('Deal maths'!AA706)-MONTH(IF('Deal maths'!Z706&gt;0,'Deal maths'!Z706,DATE(1990,1,1))))/D706))*D706))&gt;IF('Deal maths'!Z706&gt;0,'Deal maths'!Z706,DATE(1990,1,1)),IF(DAY('Deal maths'!AA706+1)=1,EOMONTH('Deal maths'!AA706,-(INT(((YEAR('Deal maths'!AA706)-YEAR(IF('Deal maths'!Z706&gt;0,'Deal maths'!Z706,DATE(1990,1,1))))*12+MONTH('Deal maths'!AA706)-MONTH(IF('Deal maths'!Z706&gt;0,'Deal maths'!Z706,DATE(1990,1,1))))/D706))*D706),EDATE('Deal maths'!AA706,-(INT(((YEAR('Deal maths'!AA706)-YEAR(IF('Deal maths'!Z706&gt;0,'Deal maths'!Z706,DATE(1990,1,1))))*12+MONTH('Deal maths'!AA706)-MONTH(IF('Deal maths'!Z706&gt;0,'Deal maths'!Z706,DATE(1990,1,1))))/D706))*D706)),IF(DAY('Deal maths'!AA706+1)=1,EOMONTH('Deal maths'!AA706,-(INT(((YEAR('Deal maths'!AA706)-YEAR(IF('Deal maths'!Z706&gt;0,'Deal maths'!Z706,DATE(1990,1,1))))*12+MONTH('Deal maths'!AA706)-MONTH(IF('Deal maths'!Z706&gt;0,'Deal maths'!Z706,DATE(1990,1,1))))/D706)-1)*D706),EDATE('Deal maths'!AA706,-(INT(((YEAR('Deal maths'!AA706)-YEAR(IF('Deal maths'!Z706&gt;0,'Deal maths'!Z706,DATE(1990,1,1))))*12+MONTH('Deal maths'!AA706)-MONTH(IF('Deal maths'!Z706&gt;0,'Deal maths'!Z706,DATE(1990,1,1))))/D706)-1)*D706))))),0)</f>
        <v/>
      </c>
      <c r="F706" s="110">
        <f>IF(D706=0,0,'Deal maths'!AB706*D706/12)</f>
        <v/>
      </c>
      <c r="G706" s="108">
        <f>N706+O706</f>
        <v/>
      </c>
      <c r="H706" s="108">
        <f>IFERROR(IF(OR(D706=0,AsAt&lt;E706),0,MIN(N706,INT(((YEAR(AsAt)-YEAR(E706))*12+MONTH(AsAt)-MONTH(E706)-(DAY(AsAt)&lt;MIN(R706,DAY(EOMONTH(AsAt,0)))))/D706)+1)+O706*(AsAt&gt;='Deal maths'!AA706)),0)</f>
        <v/>
      </c>
      <c r="I706" s="108">
        <f>G706-H706</f>
        <v/>
      </c>
      <c r="J706" s="111">
        <f>IF(AND(C706="EIP",I706&gt;0),'Deal maths'!Y706/I706,0)</f>
        <v/>
      </c>
      <c r="K706" s="111">
        <f>IF(AND(C706="Annuity",I706&gt;0),IF(F706&gt;0,'Deal maths'!Y706*F706/(1-(1+F706)^-I706),'Deal maths'!Y706/I706),0)</f>
        <v/>
      </c>
      <c r="L706" s="111">
        <f>IF('Deal maths'!Y706="",0,'Deal maths'!Y706)</f>
        <v/>
      </c>
      <c r="M706" s="112">
        <f>F706+(F706=0)</f>
        <v/>
      </c>
      <c r="N706" s="108">
        <f>IFERROR(IF(D706=0,0,INT(((YEAR('Deal maths'!AA706)-YEAR(E706))*12+MONTH('Deal maths'!AA706)-MONTH(E706)-(DAY('Deal maths'!AA706)&lt;MIN(R706,DAY(EOMONTH('Deal maths'!AA706,0)))))/D706)+1),0)</f>
        <v/>
      </c>
      <c r="O706" s="108">
        <f>IFERROR(IF(D706=0,0,IF(IF(DAY(E706+1)=1,EOMONTH(E706,(N706-1)*D706),EDATE(E706,(N706-1)*D706))='Deal maths'!AA706,0,1)),0)</f>
        <v/>
      </c>
      <c r="P706" s="113">
        <f>IF(B706=0,0,IFERROR(IF(C706="EIP",((I706-O706)*((IF(DAY(E706+1)=1,EOMONTH(E706,H706*D706),EDATE(E706,H706*D706))-AsAt)/365.25+(IF(DAY(E706+1)=1,EOMONTH(E706,(N706-1)*D706),EDATE(E706,(N706-1)*D706))-AsAt)/365.25)/2+O706*('Deal maths'!AA706-AsAt)/365.25)/I706,IF(C706="Annuity",IF(F706&gt;0,((K706-L706*F706)*((IF(DAY(E706+1)=1,EOMONTH(E706,H706*D706),EDATE(E706,H706*D706))-AsAt)/365.25*((1+F706)^(I706-O706)-1)/F706+IF((I706-O706)&gt;1,((IF(DAY(E706+1)=1,EOMONTH(E706,(N706-1)*D706),EDATE(E706,(N706-1)*D706))-AsAt)/365.25-(IF(DAY(E706+1)=1,EOMONTH(E706,H706*D706),EDATE(E706,H706*D706))-AsAt)/365.25)/((I706-O706)-1),0)*(1+F706)*(1-(I706-O706)*(1+F706)^((I706-O706)-1)+((I706-O706)-1)*(1+F706)^(I706-O706))/F706^2)+O706*(K706-L706*F706)*(1+F706)^(I706-1)*('Deal maths'!AA706-AsAt)/365.25)/L706,((I706-O706)*((IF(DAY(E706+1)=1,EOMONTH(E706,H706*D706),EDATE(E706,H706*D706))-AsAt)/365.25+(IF(DAY(E706+1)=1,EOMONTH(E706,(N706-1)*D706),EDATE(E706,(N706-1)*D706))-AsAt)/365.25)/2+O706*('Deal maths'!AA706-AsAt)/365.25)/I706),(S706-AsAt)/365.25)),0))</f>
        <v/>
      </c>
      <c r="Q706" s="109">
        <f>IF(B706=1,'Deal maths'!AA706+ROW()/1000000,"")</f>
        <v/>
      </c>
      <c r="R706" s="108">
        <f>IF(D706=0,0,IF(DAY(E706+1)=1,31,DAY(E706)))</f>
        <v/>
      </c>
      <c r="S706" s="109">
        <f>IF(AND('Deal maths'!V706="LOBO",'Deal maths'!AG706&gt;AsAt,'Deal maths'!AG706&lt;'Deal maths'!AA706),'Deal maths'!AG706,'Deal maths'!AA706)</f>
        <v/>
      </c>
      <c r="T706" s="108">
        <f>('Deal maths'!AA706&gt;AsAt)*('Deal maths'!Y706&gt;0)</f>
        <v/>
      </c>
    </row>
    <row r="707">
      <c r="A707" s="91">
        <f>IF('Deal maths'!V707="","",'Deal maths'!W707)</f>
        <v/>
      </c>
      <c r="B707" s="108">
        <f>('Deal maths'!AA707&gt;AsAt)*('Deal maths'!Y707&gt;0)*('Deal maths'!Z707&lt;=AsAt)</f>
        <v/>
      </c>
      <c r="C707" s="91">
        <f>IF('Deal maths'!V707="","",IF('Deal maths'!AC707="","Maturity",'Deal maths'!AC707))</f>
        <v/>
      </c>
      <c r="D707" s="108">
        <f>IF(OR(C707="EIP",C707="Annuity"),IF('Deal maths'!AD707="Annual",12,IF('Deal maths'!AD707="Quarterly",3,6)),0)</f>
        <v/>
      </c>
      <c r="E707" s="109">
        <f>IFERROR(IF(D707=0,0,IF('Deal maths'!AE707&gt;0,IF('Deal maths'!AE707&gt;'Deal maths'!AA707,'Deal maths'!AA707,'Deal maths'!AE707),IF(IF(DAY('Deal maths'!AA707+1)=1,EOMONTH('Deal maths'!AA707,-(INT(((YEAR('Deal maths'!AA707)-YEAR(IF('Deal maths'!Z707&gt;0,'Deal maths'!Z707,DATE(1990,1,1))))*12+MONTH('Deal maths'!AA707)-MONTH(IF('Deal maths'!Z707&gt;0,'Deal maths'!Z707,DATE(1990,1,1))))/D707))*D707),EDATE('Deal maths'!AA707,-(INT(((YEAR('Deal maths'!AA707)-YEAR(IF('Deal maths'!Z707&gt;0,'Deal maths'!Z707,DATE(1990,1,1))))*12+MONTH('Deal maths'!AA707)-MONTH(IF('Deal maths'!Z707&gt;0,'Deal maths'!Z707,DATE(1990,1,1))))/D707))*D707))&gt;IF('Deal maths'!Z707&gt;0,'Deal maths'!Z707,DATE(1990,1,1)),IF(DAY('Deal maths'!AA707+1)=1,EOMONTH('Deal maths'!AA707,-(INT(((YEAR('Deal maths'!AA707)-YEAR(IF('Deal maths'!Z707&gt;0,'Deal maths'!Z707,DATE(1990,1,1))))*12+MONTH('Deal maths'!AA707)-MONTH(IF('Deal maths'!Z707&gt;0,'Deal maths'!Z707,DATE(1990,1,1))))/D707))*D707),EDATE('Deal maths'!AA707,-(INT(((YEAR('Deal maths'!AA707)-YEAR(IF('Deal maths'!Z707&gt;0,'Deal maths'!Z707,DATE(1990,1,1))))*12+MONTH('Deal maths'!AA707)-MONTH(IF('Deal maths'!Z707&gt;0,'Deal maths'!Z707,DATE(1990,1,1))))/D707))*D707)),IF(DAY('Deal maths'!AA707+1)=1,EOMONTH('Deal maths'!AA707,-(INT(((YEAR('Deal maths'!AA707)-YEAR(IF('Deal maths'!Z707&gt;0,'Deal maths'!Z707,DATE(1990,1,1))))*12+MONTH('Deal maths'!AA707)-MONTH(IF('Deal maths'!Z707&gt;0,'Deal maths'!Z707,DATE(1990,1,1))))/D707)-1)*D707),EDATE('Deal maths'!AA707,-(INT(((YEAR('Deal maths'!AA707)-YEAR(IF('Deal maths'!Z707&gt;0,'Deal maths'!Z707,DATE(1990,1,1))))*12+MONTH('Deal maths'!AA707)-MONTH(IF('Deal maths'!Z707&gt;0,'Deal maths'!Z707,DATE(1990,1,1))))/D707)-1)*D707))))),0)</f>
        <v/>
      </c>
      <c r="F707" s="110">
        <f>IF(D707=0,0,'Deal maths'!AB707*D707/12)</f>
        <v/>
      </c>
      <c r="G707" s="108">
        <f>N707+O707</f>
        <v/>
      </c>
      <c r="H707" s="108">
        <f>IFERROR(IF(OR(D707=0,AsAt&lt;E707),0,MIN(N707,INT(((YEAR(AsAt)-YEAR(E707))*12+MONTH(AsAt)-MONTH(E707)-(DAY(AsAt)&lt;MIN(R707,DAY(EOMONTH(AsAt,0)))))/D707)+1)+O707*(AsAt&gt;='Deal maths'!AA707)),0)</f>
        <v/>
      </c>
      <c r="I707" s="108">
        <f>G707-H707</f>
        <v/>
      </c>
      <c r="J707" s="111">
        <f>IF(AND(C707="EIP",I707&gt;0),'Deal maths'!Y707/I707,0)</f>
        <v/>
      </c>
      <c r="K707" s="111">
        <f>IF(AND(C707="Annuity",I707&gt;0),IF(F707&gt;0,'Deal maths'!Y707*F707/(1-(1+F707)^-I707),'Deal maths'!Y707/I707),0)</f>
        <v/>
      </c>
      <c r="L707" s="111">
        <f>IF('Deal maths'!Y707="",0,'Deal maths'!Y707)</f>
        <v/>
      </c>
      <c r="M707" s="112">
        <f>F707+(F707=0)</f>
        <v/>
      </c>
      <c r="N707" s="108">
        <f>IFERROR(IF(D707=0,0,INT(((YEAR('Deal maths'!AA707)-YEAR(E707))*12+MONTH('Deal maths'!AA707)-MONTH(E707)-(DAY('Deal maths'!AA707)&lt;MIN(R707,DAY(EOMONTH('Deal maths'!AA707,0)))))/D707)+1),0)</f>
        <v/>
      </c>
      <c r="O707" s="108">
        <f>IFERROR(IF(D707=0,0,IF(IF(DAY(E707+1)=1,EOMONTH(E707,(N707-1)*D707),EDATE(E707,(N707-1)*D707))='Deal maths'!AA707,0,1)),0)</f>
        <v/>
      </c>
      <c r="P707" s="113">
        <f>IF(B707=0,0,IFERROR(IF(C707="EIP",((I707-O707)*((IF(DAY(E707+1)=1,EOMONTH(E707,H707*D707),EDATE(E707,H707*D707))-AsAt)/365.25+(IF(DAY(E707+1)=1,EOMONTH(E707,(N707-1)*D707),EDATE(E707,(N707-1)*D707))-AsAt)/365.25)/2+O707*('Deal maths'!AA707-AsAt)/365.25)/I707,IF(C707="Annuity",IF(F707&gt;0,((K707-L707*F707)*((IF(DAY(E707+1)=1,EOMONTH(E707,H707*D707),EDATE(E707,H707*D707))-AsAt)/365.25*((1+F707)^(I707-O707)-1)/F707+IF((I707-O707)&gt;1,((IF(DAY(E707+1)=1,EOMONTH(E707,(N707-1)*D707),EDATE(E707,(N707-1)*D707))-AsAt)/365.25-(IF(DAY(E707+1)=1,EOMONTH(E707,H707*D707),EDATE(E707,H707*D707))-AsAt)/365.25)/((I707-O707)-1),0)*(1+F707)*(1-(I707-O707)*(1+F707)^((I707-O707)-1)+((I707-O707)-1)*(1+F707)^(I707-O707))/F707^2)+O707*(K707-L707*F707)*(1+F707)^(I707-1)*('Deal maths'!AA707-AsAt)/365.25)/L707,((I707-O707)*((IF(DAY(E707+1)=1,EOMONTH(E707,H707*D707),EDATE(E707,H707*D707))-AsAt)/365.25+(IF(DAY(E707+1)=1,EOMONTH(E707,(N707-1)*D707),EDATE(E707,(N707-1)*D707))-AsAt)/365.25)/2+O707*('Deal maths'!AA707-AsAt)/365.25)/I707),(S707-AsAt)/365.25)),0))</f>
        <v/>
      </c>
      <c r="Q707" s="109">
        <f>IF(B707=1,'Deal maths'!AA707+ROW()/1000000,"")</f>
        <v/>
      </c>
      <c r="R707" s="108">
        <f>IF(D707=0,0,IF(DAY(E707+1)=1,31,DAY(E707)))</f>
        <v/>
      </c>
      <c r="S707" s="109">
        <f>IF(AND('Deal maths'!V707="LOBO",'Deal maths'!AG707&gt;AsAt,'Deal maths'!AG707&lt;'Deal maths'!AA707),'Deal maths'!AG707,'Deal maths'!AA707)</f>
        <v/>
      </c>
      <c r="T707" s="108">
        <f>('Deal maths'!AA707&gt;AsAt)*('Deal maths'!Y707&gt;0)</f>
        <v/>
      </c>
    </row>
    <row r="708">
      <c r="A708" s="91">
        <f>IF('Deal maths'!V708="","",'Deal maths'!W708)</f>
        <v/>
      </c>
      <c r="B708" s="108">
        <f>('Deal maths'!AA708&gt;AsAt)*('Deal maths'!Y708&gt;0)*('Deal maths'!Z708&lt;=AsAt)</f>
        <v/>
      </c>
      <c r="C708" s="91">
        <f>IF('Deal maths'!V708="","",IF('Deal maths'!AC708="","Maturity",'Deal maths'!AC708))</f>
        <v/>
      </c>
      <c r="D708" s="108">
        <f>IF(OR(C708="EIP",C708="Annuity"),IF('Deal maths'!AD708="Annual",12,IF('Deal maths'!AD708="Quarterly",3,6)),0)</f>
        <v/>
      </c>
      <c r="E708" s="109">
        <f>IFERROR(IF(D708=0,0,IF('Deal maths'!AE708&gt;0,IF('Deal maths'!AE708&gt;'Deal maths'!AA708,'Deal maths'!AA708,'Deal maths'!AE708),IF(IF(DAY('Deal maths'!AA708+1)=1,EOMONTH('Deal maths'!AA708,-(INT(((YEAR('Deal maths'!AA708)-YEAR(IF('Deal maths'!Z708&gt;0,'Deal maths'!Z708,DATE(1990,1,1))))*12+MONTH('Deal maths'!AA708)-MONTH(IF('Deal maths'!Z708&gt;0,'Deal maths'!Z708,DATE(1990,1,1))))/D708))*D708),EDATE('Deal maths'!AA708,-(INT(((YEAR('Deal maths'!AA708)-YEAR(IF('Deal maths'!Z708&gt;0,'Deal maths'!Z708,DATE(1990,1,1))))*12+MONTH('Deal maths'!AA708)-MONTH(IF('Deal maths'!Z708&gt;0,'Deal maths'!Z708,DATE(1990,1,1))))/D708))*D708))&gt;IF('Deal maths'!Z708&gt;0,'Deal maths'!Z708,DATE(1990,1,1)),IF(DAY('Deal maths'!AA708+1)=1,EOMONTH('Deal maths'!AA708,-(INT(((YEAR('Deal maths'!AA708)-YEAR(IF('Deal maths'!Z708&gt;0,'Deal maths'!Z708,DATE(1990,1,1))))*12+MONTH('Deal maths'!AA708)-MONTH(IF('Deal maths'!Z708&gt;0,'Deal maths'!Z708,DATE(1990,1,1))))/D708))*D708),EDATE('Deal maths'!AA708,-(INT(((YEAR('Deal maths'!AA708)-YEAR(IF('Deal maths'!Z708&gt;0,'Deal maths'!Z708,DATE(1990,1,1))))*12+MONTH('Deal maths'!AA708)-MONTH(IF('Deal maths'!Z708&gt;0,'Deal maths'!Z708,DATE(1990,1,1))))/D708))*D708)),IF(DAY('Deal maths'!AA708+1)=1,EOMONTH('Deal maths'!AA708,-(INT(((YEAR('Deal maths'!AA708)-YEAR(IF('Deal maths'!Z708&gt;0,'Deal maths'!Z708,DATE(1990,1,1))))*12+MONTH('Deal maths'!AA708)-MONTH(IF('Deal maths'!Z708&gt;0,'Deal maths'!Z708,DATE(1990,1,1))))/D708)-1)*D708),EDATE('Deal maths'!AA708,-(INT(((YEAR('Deal maths'!AA708)-YEAR(IF('Deal maths'!Z708&gt;0,'Deal maths'!Z708,DATE(1990,1,1))))*12+MONTH('Deal maths'!AA708)-MONTH(IF('Deal maths'!Z708&gt;0,'Deal maths'!Z708,DATE(1990,1,1))))/D708)-1)*D708))))),0)</f>
        <v/>
      </c>
      <c r="F708" s="110">
        <f>IF(D708=0,0,'Deal maths'!AB708*D708/12)</f>
        <v/>
      </c>
      <c r="G708" s="108">
        <f>N708+O708</f>
        <v/>
      </c>
      <c r="H708" s="108">
        <f>IFERROR(IF(OR(D708=0,AsAt&lt;E708),0,MIN(N708,INT(((YEAR(AsAt)-YEAR(E708))*12+MONTH(AsAt)-MONTH(E708)-(DAY(AsAt)&lt;MIN(R708,DAY(EOMONTH(AsAt,0)))))/D708)+1)+O708*(AsAt&gt;='Deal maths'!AA708)),0)</f>
        <v/>
      </c>
      <c r="I708" s="108">
        <f>G708-H708</f>
        <v/>
      </c>
      <c r="J708" s="111">
        <f>IF(AND(C708="EIP",I708&gt;0),'Deal maths'!Y708/I708,0)</f>
        <v/>
      </c>
      <c r="K708" s="111">
        <f>IF(AND(C708="Annuity",I708&gt;0),IF(F708&gt;0,'Deal maths'!Y708*F708/(1-(1+F708)^-I708),'Deal maths'!Y708/I708),0)</f>
        <v/>
      </c>
      <c r="L708" s="111">
        <f>IF('Deal maths'!Y708="",0,'Deal maths'!Y708)</f>
        <v/>
      </c>
      <c r="M708" s="112">
        <f>F708+(F708=0)</f>
        <v/>
      </c>
      <c r="N708" s="108">
        <f>IFERROR(IF(D708=0,0,INT(((YEAR('Deal maths'!AA708)-YEAR(E708))*12+MONTH('Deal maths'!AA708)-MONTH(E708)-(DAY('Deal maths'!AA708)&lt;MIN(R708,DAY(EOMONTH('Deal maths'!AA708,0)))))/D708)+1),0)</f>
        <v/>
      </c>
      <c r="O708" s="108">
        <f>IFERROR(IF(D708=0,0,IF(IF(DAY(E708+1)=1,EOMONTH(E708,(N708-1)*D708),EDATE(E708,(N708-1)*D708))='Deal maths'!AA708,0,1)),0)</f>
        <v/>
      </c>
      <c r="P708" s="113">
        <f>IF(B708=0,0,IFERROR(IF(C708="EIP",((I708-O708)*((IF(DAY(E708+1)=1,EOMONTH(E708,H708*D708),EDATE(E708,H708*D708))-AsAt)/365.25+(IF(DAY(E708+1)=1,EOMONTH(E708,(N708-1)*D708),EDATE(E708,(N708-1)*D708))-AsAt)/365.25)/2+O708*('Deal maths'!AA708-AsAt)/365.25)/I708,IF(C708="Annuity",IF(F708&gt;0,((K708-L708*F708)*((IF(DAY(E708+1)=1,EOMONTH(E708,H708*D708),EDATE(E708,H708*D708))-AsAt)/365.25*((1+F708)^(I708-O708)-1)/F708+IF((I708-O708)&gt;1,((IF(DAY(E708+1)=1,EOMONTH(E708,(N708-1)*D708),EDATE(E708,(N708-1)*D708))-AsAt)/365.25-(IF(DAY(E708+1)=1,EOMONTH(E708,H708*D708),EDATE(E708,H708*D708))-AsAt)/365.25)/((I708-O708)-1),0)*(1+F708)*(1-(I708-O708)*(1+F708)^((I708-O708)-1)+((I708-O708)-1)*(1+F708)^(I708-O708))/F708^2)+O708*(K708-L708*F708)*(1+F708)^(I708-1)*('Deal maths'!AA708-AsAt)/365.25)/L708,((I708-O708)*((IF(DAY(E708+1)=1,EOMONTH(E708,H708*D708),EDATE(E708,H708*D708))-AsAt)/365.25+(IF(DAY(E708+1)=1,EOMONTH(E708,(N708-1)*D708),EDATE(E708,(N708-1)*D708))-AsAt)/365.25)/2+O708*('Deal maths'!AA708-AsAt)/365.25)/I708),(S708-AsAt)/365.25)),0))</f>
        <v/>
      </c>
      <c r="Q708" s="109">
        <f>IF(B708=1,'Deal maths'!AA708+ROW()/1000000,"")</f>
        <v/>
      </c>
      <c r="R708" s="108">
        <f>IF(D708=0,0,IF(DAY(E708+1)=1,31,DAY(E708)))</f>
        <v/>
      </c>
      <c r="S708" s="109">
        <f>IF(AND('Deal maths'!V708="LOBO",'Deal maths'!AG708&gt;AsAt,'Deal maths'!AG708&lt;'Deal maths'!AA708),'Deal maths'!AG708,'Deal maths'!AA708)</f>
        <v/>
      </c>
      <c r="T708" s="108">
        <f>('Deal maths'!AA708&gt;AsAt)*('Deal maths'!Y708&gt;0)</f>
        <v/>
      </c>
    </row>
    <row r="709">
      <c r="A709" s="91">
        <f>IF('Deal maths'!V709="","",'Deal maths'!W709)</f>
        <v/>
      </c>
      <c r="B709" s="108">
        <f>('Deal maths'!AA709&gt;AsAt)*('Deal maths'!Y709&gt;0)*('Deal maths'!Z709&lt;=AsAt)</f>
        <v/>
      </c>
      <c r="C709" s="91">
        <f>IF('Deal maths'!V709="","",IF('Deal maths'!AC709="","Maturity",'Deal maths'!AC709))</f>
        <v/>
      </c>
      <c r="D709" s="108">
        <f>IF(OR(C709="EIP",C709="Annuity"),IF('Deal maths'!AD709="Annual",12,IF('Deal maths'!AD709="Quarterly",3,6)),0)</f>
        <v/>
      </c>
      <c r="E709" s="109">
        <f>IFERROR(IF(D709=0,0,IF('Deal maths'!AE709&gt;0,IF('Deal maths'!AE709&gt;'Deal maths'!AA709,'Deal maths'!AA709,'Deal maths'!AE709),IF(IF(DAY('Deal maths'!AA709+1)=1,EOMONTH('Deal maths'!AA709,-(INT(((YEAR('Deal maths'!AA709)-YEAR(IF('Deal maths'!Z709&gt;0,'Deal maths'!Z709,DATE(1990,1,1))))*12+MONTH('Deal maths'!AA709)-MONTH(IF('Deal maths'!Z709&gt;0,'Deal maths'!Z709,DATE(1990,1,1))))/D709))*D709),EDATE('Deal maths'!AA709,-(INT(((YEAR('Deal maths'!AA709)-YEAR(IF('Deal maths'!Z709&gt;0,'Deal maths'!Z709,DATE(1990,1,1))))*12+MONTH('Deal maths'!AA709)-MONTH(IF('Deal maths'!Z709&gt;0,'Deal maths'!Z709,DATE(1990,1,1))))/D709))*D709))&gt;IF('Deal maths'!Z709&gt;0,'Deal maths'!Z709,DATE(1990,1,1)),IF(DAY('Deal maths'!AA709+1)=1,EOMONTH('Deal maths'!AA709,-(INT(((YEAR('Deal maths'!AA709)-YEAR(IF('Deal maths'!Z709&gt;0,'Deal maths'!Z709,DATE(1990,1,1))))*12+MONTH('Deal maths'!AA709)-MONTH(IF('Deal maths'!Z709&gt;0,'Deal maths'!Z709,DATE(1990,1,1))))/D709))*D709),EDATE('Deal maths'!AA709,-(INT(((YEAR('Deal maths'!AA709)-YEAR(IF('Deal maths'!Z709&gt;0,'Deal maths'!Z709,DATE(1990,1,1))))*12+MONTH('Deal maths'!AA709)-MONTH(IF('Deal maths'!Z709&gt;0,'Deal maths'!Z709,DATE(1990,1,1))))/D709))*D709)),IF(DAY('Deal maths'!AA709+1)=1,EOMONTH('Deal maths'!AA709,-(INT(((YEAR('Deal maths'!AA709)-YEAR(IF('Deal maths'!Z709&gt;0,'Deal maths'!Z709,DATE(1990,1,1))))*12+MONTH('Deal maths'!AA709)-MONTH(IF('Deal maths'!Z709&gt;0,'Deal maths'!Z709,DATE(1990,1,1))))/D709)-1)*D709),EDATE('Deal maths'!AA709,-(INT(((YEAR('Deal maths'!AA709)-YEAR(IF('Deal maths'!Z709&gt;0,'Deal maths'!Z709,DATE(1990,1,1))))*12+MONTH('Deal maths'!AA709)-MONTH(IF('Deal maths'!Z709&gt;0,'Deal maths'!Z709,DATE(1990,1,1))))/D709)-1)*D709))))),0)</f>
        <v/>
      </c>
      <c r="F709" s="110">
        <f>IF(D709=0,0,'Deal maths'!AB709*D709/12)</f>
        <v/>
      </c>
      <c r="G709" s="108">
        <f>N709+O709</f>
        <v/>
      </c>
      <c r="H709" s="108">
        <f>IFERROR(IF(OR(D709=0,AsAt&lt;E709),0,MIN(N709,INT(((YEAR(AsAt)-YEAR(E709))*12+MONTH(AsAt)-MONTH(E709)-(DAY(AsAt)&lt;MIN(R709,DAY(EOMONTH(AsAt,0)))))/D709)+1)+O709*(AsAt&gt;='Deal maths'!AA709)),0)</f>
        <v/>
      </c>
      <c r="I709" s="108">
        <f>G709-H709</f>
        <v/>
      </c>
      <c r="J709" s="111">
        <f>IF(AND(C709="EIP",I709&gt;0),'Deal maths'!Y709/I709,0)</f>
        <v/>
      </c>
      <c r="K709" s="111">
        <f>IF(AND(C709="Annuity",I709&gt;0),IF(F709&gt;0,'Deal maths'!Y709*F709/(1-(1+F709)^-I709),'Deal maths'!Y709/I709),0)</f>
        <v/>
      </c>
      <c r="L709" s="111">
        <f>IF('Deal maths'!Y709="",0,'Deal maths'!Y709)</f>
        <v/>
      </c>
      <c r="M709" s="112">
        <f>F709+(F709=0)</f>
        <v/>
      </c>
      <c r="N709" s="108">
        <f>IFERROR(IF(D709=0,0,INT(((YEAR('Deal maths'!AA709)-YEAR(E709))*12+MONTH('Deal maths'!AA709)-MONTH(E709)-(DAY('Deal maths'!AA709)&lt;MIN(R709,DAY(EOMONTH('Deal maths'!AA709,0)))))/D709)+1),0)</f>
        <v/>
      </c>
      <c r="O709" s="108">
        <f>IFERROR(IF(D709=0,0,IF(IF(DAY(E709+1)=1,EOMONTH(E709,(N709-1)*D709),EDATE(E709,(N709-1)*D709))='Deal maths'!AA709,0,1)),0)</f>
        <v/>
      </c>
      <c r="P709" s="113">
        <f>IF(B709=0,0,IFERROR(IF(C709="EIP",((I709-O709)*((IF(DAY(E709+1)=1,EOMONTH(E709,H709*D709),EDATE(E709,H709*D709))-AsAt)/365.25+(IF(DAY(E709+1)=1,EOMONTH(E709,(N709-1)*D709),EDATE(E709,(N709-1)*D709))-AsAt)/365.25)/2+O709*('Deal maths'!AA709-AsAt)/365.25)/I709,IF(C709="Annuity",IF(F709&gt;0,((K709-L709*F709)*((IF(DAY(E709+1)=1,EOMONTH(E709,H709*D709),EDATE(E709,H709*D709))-AsAt)/365.25*((1+F709)^(I709-O709)-1)/F709+IF((I709-O709)&gt;1,((IF(DAY(E709+1)=1,EOMONTH(E709,(N709-1)*D709),EDATE(E709,(N709-1)*D709))-AsAt)/365.25-(IF(DAY(E709+1)=1,EOMONTH(E709,H709*D709),EDATE(E709,H709*D709))-AsAt)/365.25)/((I709-O709)-1),0)*(1+F709)*(1-(I709-O709)*(1+F709)^((I709-O709)-1)+((I709-O709)-1)*(1+F709)^(I709-O709))/F709^2)+O709*(K709-L709*F709)*(1+F709)^(I709-1)*('Deal maths'!AA709-AsAt)/365.25)/L709,((I709-O709)*((IF(DAY(E709+1)=1,EOMONTH(E709,H709*D709),EDATE(E709,H709*D709))-AsAt)/365.25+(IF(DAY(E709+1)=1,EOMONTH(E709,(N709-1)*D709),EDATE(E709,(N709-1)*D709))-AsAt)/365.25)/2+O709*('Deal maths'!AA709-AsAt)/365.25)/I709),(S709-AsAt)/365.25)),0))</f>
        <v/>
      </c>
      <c r="Q709" s="109">
        <f>IF(B709=1,'Deal maths'!AA709+ROW()/1000000,"")</f>
        <v/>
      </c>
      <c r="R709" s="108">
        <f>IF(D709=0,0,IF(DAY(E709+1)=1,31,DAY(E709)))</f>
        <v/>
      </c>
      <c r="S709" s="109">
        <f>IF(AND('Deal maths'!V709="LOBO",'Deal maths'!AG709&gt;AsAt,'Deal maths'!AG709&lt;'Deal maths'!AA709),'Deal maths'!AG709,'Deal maths'!AA709)</f>
        <v/>
      </c>
      <c r="T709" s="108">
        <f>('Deal maths'!AA709&gt;AsAt)*('Deal maths'!Y709&gt;0)</f>
        <v/>
      </c>
    </row>
    <row r="710">
      <c r="A710" s="91">
        <f>IF('Deal maths'!V710="","",'Deal maths'!W710)</f>
        <v/>
      </c>
      <c r="B710" s="108">
        <f>('Deal maths'!AA710&gt;AsAt)*('Deal maths'!Y710&gt;0)*('Deal maths'!Z710&lt;=AsAt)</f>
        <v/>
      </c>
      <c r="C710" s="91">
        <f>IF('Deal maths'!V710="","",IF('Deal maths'!AC710="","Maturity",'Deal maths'!AC710))</f>
        <v/>
      </c>
      <c r="D710" s="108">
        <f>IF(OR(C710="EIP",C710="Annuity"),IF('Deal maths'!AD710="Annual",12,IF('Deal maths'!AD710="Quarterly",3,6)),0)</f>
        <v/>
      </c>
      <c r="E710" s="109">
        <f>IFERROR(IF(D710=0,0,IF('Deal maths'!AE710&gt;0,IF('Deal maths'!AE710&gt;'Deal maths'!AA710,'Deal maths'!AA710,'Deal maths'!AE710),IF(IF(DAY('Deal maths'!AA710+1)=1,EOMONTH('Deal maths'!AA710,-(INT(((YEAR('Deal maths'!AA710)-YEAR(IF('Deal maths'!Z710&gt;0,'Deal maths'!Z710,DATE(1990,1,1))))*12+MONTH('Deal maths'!AA710)-MONTH(IF('Deal maths'!Z710&gt;0,'Deal maths'!Z710,DATE(1990,1,1))))/D710))*D710),EDATE('Deal maths'!AA710,-(INT(((YEAR('Deal maths'!AA710)-YEAR(IF('Deal maths'!Z710&gt;0,'Deal maths'!Z710,DATE(1990,1,1))))*12+MONTH('Deal maths'!AA710)-MONTH(IF('Deal maths'!Z710&gt;0,'Deal maths'!Z710,DATE(1990,1,1))))/D710))*D710))&gt;IF('Deal maths'!Z710&gt;0,'Deal maths'!Z710,DATE(1990,1,1)),IF(DAY('Deal maths'!AA710+1)=1,EOMONTH('Deal maths'!AA710,-(INT(((YEAR('Deal maths'!AA710)-YEAR(IF('Deal maths'!Z710&gt;0,'Deal maths'!Z710,DATE(1990,1,1))))*12+MONTH('Deal maths'!AA710)-MONTH(IF('Deal maths'!Z710&gt;0,'Deal maths'!Z710,DATE(1990,1,1))))/D710))*D710),EDATE('Deal maths'!AA710,-(INT(((YEAR('Deal maths'!AA710)-YEAR(IF('Deal maths'!Z710&gt;0,'Deal maths'!Z710,DATE(1990,1,1))))*12+MONTH('Deal maths'!AA710)-MONTH(IF('Deal maths'!Z710&gt;0,'Deal maths'!Z710,DATE(1990,1,1))))/D710))*D710)),IF(DAY('Deal maths'!AA710+1)=1,EOMONTH('Deal maths'!AA710,-(INT(((YEAR('Deal maths'!AA710)-YEAR(IF('Deal maths'!Z710&gt;0,'Deal maths'!Z710,DATE(1990,1,1))))*12+MONTH('Deal maths'!AA710)-MONTH(IF('Deal maths'!Z710&gt;0,'Deal maths'!Z710,DATE(1990,1,1))))/D710)-1)*D710),EDATE('Deal maths'!AA710,-(INT(((YEAR('Deal maths'!AA710)-YEAR(IF('Deal maths'!Z710&gt;0,'Deal maths'!Z710,DATE(1990,1,1))))*12+MONTH('Deal maths'!AA710)-MONTH(IF('Deal maths'!Z710&gt;0,'Deal maths'!Z710,DATE(1990,1,1))))/D710)-1)*D710))))),0)</f>
        <v/>
      </c>
      <c r="F710" s="110">
        <f>IF(D710=0,0,'Deal maths'!AB710*D710/12)</f>
        <v/>
      </c>
      <c r="G710" s="108">
        <f>N710+O710</f>
        <v/>
      </c>
      <c r="H710" s="108">
        <f>IFERROR(IF(OR(D710=0,AsAt&lt;E710),0,MIN(N710,INT(((YEAR(AsAt)-YEAR(E710))*12+MONTH(AsAt)-MONTH(E710)-(DAY(AsAt)&lt;MIN(R710,DAY(EOMONTH(AsAt,0)))))/D710)+1)+O710*(AsAt&gt;='Deal maths'!AA710)),0)</f>
        <v/>
      </c>
      <c r="I710" s="108">
        <f>G710-H710</f>
        <v/>
      </c>
      <c r="J710" s="111">
        <f>IF(AND(C710="EIP",I710&gt;0),'Deal maths'!Y710/I710,0)</f>
        <v/>
      </c>
      <c r="K710" s="111">
        <f>IF(AND(C710="Annuity",I710&gt;0),IF(F710&gt;0,'Deal maths'!Y710*F710/(1-(1+F710)^-I710),'Deal maths'!Y710/I710),0)</f>
        <v/>
      </c>
      <c r="L710" s="111">
        <f>IF('Deal maths'!Y710="",0,'Deal maths'!Y710)</f>
        <v/>
      </c>
      <c r="M710" s="112">
        <f>F710+(F710=0)</f>
        <v/>
      </c>
      <c r="N710" s="108">
        <f>IFERROR(IF(D710=0,0,INT(((YEAR('Deal maths'!AA710)-YEAR(E710))*12+MONTH('Deal maths'!AA710)-MONTH(E710)-(DAY('Deal maths'!AA710)&lt;MIN(R710,DAY(EOMONTH('Deal maths'!AA710,0)))))/D710)+1),0)</f>
        <v/>
      </c>
      <c r="O710" s="108">
        <f>IFERROR(IF(D710=0,0,IF(IF(DAY(E710+1)=1,EOMONTH(E710,(N710-1)*D710),EDATE(E710,(N710-1)*D710))='Deal maths'!AA710,0,1)),0)</f>
        <v/>
      </c>
      <c r="P710" s="113">
        <f>IF(B710=0,0,IFERROR(IF(C710="EIP",((I710-O710)*((IF(DAY(E710+1)=1,EOMONTH(E710,H710*D710),EDATE(E710,H710*D710))-AsAt)/365.25+(IF(DAY(E710+1)=1,EOMONTH(E710,(N710-1)*D710),EDATE(E710,(N710-1)*D710))-AsAt)/365.25)/2+O710*('Deal maths'!AA710-AsAt)/365.25)/I710,IF(C710="Annuity",IF(F710&gt;0,((K710-L710*F710)*((IF(DAY(E710+1)=1,EOMONTH(E710,H710*D710),EDATE(E710,H710*D710))-AsAt)/365.25*((1+F710)^(I710-O710)-1)/F710+IF((I710-O710)&gt;1,((IF(DAY(E710+1)=1,EOMONTH(E710,(N710-1)*D710),EDATE(E710,(N710-1)*D710))-AsAt)/365.25-(IF(DAY(E710+1)=1,EOMONTH(E710,H710*D710),EDATE(E710,H710*D710))-AsAt)/365.25)/((I710-O710)-1),0)*(1+F710)*(1-(I710-O710)*(1+F710)^((I710-O710)-1)+((I710-O710)-1)*(1+F710)^(I710-O710))/F710^2)+O710*(K710-L710*F710)*(1+F710)^(I710-1)*('Deal maths'!AA710-AsAt)/365.25)/L710,((I710-O710)*((IF(DAY(E710+1)=1,EOMONTH(E710,H710*D710),EDATE(E710,H710*D710))-AsAt)/365.25+(IF(DAY(E710+1)=1,EOMONTH(E710,(N710-1)*D710),EDATE(E710,(N710-1)*D710))-AsAt)/365.25)/2+O710*('Deal maths'!AA710-AsAt)/365.25)/I710),(S710-AsAt)/365.25)),0))</f>
        <v/>
      </c>
      <c r="Q710" s="109">
        <f>IF(B710=1,'Deal maths'!AA710+ROW()/1000000,"")</f>
        <v/>
      </c>
      <c r="R710" s="108">
        <f>IF(D710=0,0,IF(DAY(E710+1)=1,31,DAY(E710)))</f>
        <v/>
      </c>
      <c r="S710" s="109">
        <f>IF(AND('Deal maths'!V710="LOBO",'Deal maths'!AG710&gt;AsAt,'Deal maths'!AG710&lt;'Deal maths'!AA710),'Deal maths'!AG710,'Deal maths'!AA710)</f>
        <v/>
      </c>
      <c r="T710" s="108">
        <f>('Deal maths'!AA710&gt;AsAt)*('Deal maths'!Y710&gt;0)</f>
        <v/>
      </c>
    </row>
    <row r="711">
      <c r="A711" s="91">
        <f>IF('Deal maths'!V711="","",'Deal maths'!W711)</f>
        <v/>
      </c>
      <c r="B711" s="108">
        <f>('Deal maths'!AA711&gt;AsAt)*('Deal maths'!Y711&gt;0)*('Deal maths'!Z711&lt;=AsAt)</f>
        <v/>
      </c>
      <c r="C711" s="91">
        <f>IF('Deal maths'!V711="","",IF('Deal maths'!AC711="","Maturity",'Deal maths'!AC711))</f>
        <v/>
      </c>
      <c r="D711" s="108">
        <f>IF(OR(C711="EIP",C711="Annuity"),IF('Deal maths'!AD711="Annual",12,IF('Deal maths'!AD711="Quarterly",3,6)),0)</f>
        <v/>
      </c>
      <c r="E711" s="109">
        <f>IFERROR(IF(D711=0,0,IF('Deal maths'!AE711&gt;0,IF('Deal maths'!AE711&gt;'Deal maths'!AA711,'Deal maths'!AA711,'Deal maths'!AE711),IF(IF(DAY('Deal maths'!AA711+1)=1,EOMONTH('Deal maths'!AA711,-(INT(((YEAR('Deal maths'!AA711)-YEAR(IF('Deal maths'!Z711&gt;0,'Deal maths'!Z711,DATE(1990,1,1))))*12+MONTH('Deal maths'!AA711)-MONTH(IF('Deal maths'!Z711&gt;0,'Deal maths'!Z711,DATE(1990,1,1))))/D711))*D711),EDATE('Deal maths'!AA711,-(INT(((YEAR('Deal maths'!AA711)-YEAR(IF('Deal maths'!Z711&gt;0,'Deal maths'!Z711,DATE(1990,1,1))))*12+MONTH('Deal maths'!AA711)-MONTH(IF('Deal maths'!Z711&gt;0,'Deal maths'!Z711,DATE(1990,1,1))))/D711))*D711))&gt;IF('Deal maths'!Z711&gt;0,'Deal maths'!Z711,DATE(1990,1,1)),IF(DAY('Deal maths'!AA711+1)=1,EOMONTH('Deal maths'!AA711,-(INT(((YEAR('Deal maths'!AA711)-YEAR(IF('Deal maths'!Z711&gt;0,'Deal maths'!Z711,DATE(1990,1,1))))*12+MONTH('Deal maths'!AA711)-MONTH(IF('Deal maths'!Z711&gt;0,'Deal maths'!Z711,DATE(1990,1,1))))/D711))*D711),EDATE('Deal maths'!AA711,-(INT(((YEAR('Deal maths'!AA711)-YEAR(IF('Deal maths'!Z711&gt;0,'Deal maths'!Z711,DATE(1990,1,1))))*12+MONTH('Deal maths'!AA711)-MONTH(IF('Deal maths'!Z711&gt;0,'Deal maths'!Z711,DATE(1990,1,1))))/D711))*D711)),IF(DAY('Deal maths'!AA711+1)=1,EOMONTH('Deal maths'!AA711,-(INT(((YEAR('Deal maths'!AA711)-YEAR(IF('Deal maths'!Z711&gt;0,'Deal maths'!Z711,DATE(1990,1,1))))*12+MONTH('Deal maths'!AA711)-MONTH(IF('Deal maths'!Z711&gt;0,'Deal maths'!Z711,DATE(1990,1,1))))/D711)-1)*D711),EDATE('Deal maths'!AA711,-(INT(((YEAR('Deal maths'!AA711)-YEAR(IF('Deal maths'!Z711&gt;0,'Deal maths'!Z711,DATE(1990,1,1))))*12+MONTH('Deal maths'!AA711)-MONTH(IF('Deal maths'!Z711&gt;0,'Deal maths'!Z711,DATE(1990,1,1))))/D711)-1)*D711))))),0)</f>
        <v/>
      </c>
      <c r="F711" s="110">
        <f>IF(D711=0,0,'Deal maths'!AB711*D711/12)</f>
        <v/>
      </c>
      <c r="G711" s="108">
        <f>N711+O711</f>
        <v/>
      </c>
      <c r="H711" s="108">
        <f>IFERROR(IF(OR(D711=0,AsAt&lt;E711),0,MIN(N711,INT(((YEAR(AsAt)-YEAR(E711))*12+MONTH(AsAt)-MONTH(E711)-(DAY(AsAt)&lt;MIN(R711,DAY(EOMONTH(AsAt,0)))))/D711)+1)+O711*(AsAt&gt;='Deal maths'!AA711)),0)</f>
        <v/>
      </c>
      <c r="I711" s="108">
        <f>G711-H711</f>
        <v/>
      </c>
      <c r="J711" s="111">
        <f>IF(AND(C711="EIP",I711&gt;0),'Deal maths'!Y711/I711,0)</f>
        <v/>
      </c>
      <c r="K711" s="111">
        <f>IF(AND(C711="Annuity",I711&gt;0),IF(F711&gt;0,'Deal maths'!Y711*F711/(1-(1+F711)^-I711),'Deal maths'!Y711/I711),0)</f>
        <v/>
      </c>
      <c r="L711" s="111">
        <f>IF('Deal maths'!Y711="",0,'Deal maths'!Y711)</f>
        <v/>
      </c>
      <c r="M711" s="112">
        <f>F711+(F711=0)</f>
        <v/>
      </c>
      <c r="N711" s="108">
        <f>IFERROR(IF(D711=0,0,INT(((YEAR('Deal maths'!AA711)-YEAR(E711))*12+MONTH('Deal maths'!AA711)-MONTH(E711)-(DAY('Deal maths'!AA711)&lt;MIN(R711,DAY(EOMONTH('Deal maths'!AA711,0)))))/D711)+1),0)</f>
        <v/>
      </c>
      <c r="O711" s="108">
        <f>IFERROR(IF(D711=0,0,IF(IF(DAY(E711+1)=1,EOMONTH(E711,(N711-1)*D711),EDATE(E711,(N711-1)*D711))='Deal maths'!AA711,0,1)),0)</f>
        <v/>
      </c>
      <c r="P711" s="113">
        <f>IF(B711=0,0,IFERROR(IF(C711="EIP",((I711-O711)*((IF(DAY(E711+1)=1,EOMONTH(E711,H711*D711),EDATE(E711,H711*D711))-AsAt)/365.25+(IF(DAY(E711+1)=1,EOMONTH(E711,(N711-1)*D711),EDATE(E711,(N711-1)*D711))-AsAt)/365.25)/2+O711*('Deal maths'!AA711-AsAt)/365.25)/I711,IF(C711="Annuity",IF(F711&gt;0,((K711-L711*F711)*((IF(DAY(E711+1)=1,EOMONTH(E711,H711*D711),EDATE(E711,H711*D711))-AsAt)/365.25*((1+F711)^(I711-O711)-1)/F711+IF((I711-O711)&gt;1,((IF(DAY(E711+1)=1,EOMONTH(E711,(N711-1)*D711),EDATE(E711,(N711-1)*D711))-AsAt)/365.25-(IF(DAY(E711+1)=1,EOMONTH(E711,H711*D711),EDATE(E711,H711*D711))-AsAt)/365.25)/((I711-O711)-1),0)*(1+F711)*(1-(I711-O711)*(1+F711)^((I711-O711)-1)+((I711-O711)-1)*(1+F711)^(I711-O711))/F711^2)+O711*(K711-L711*F711)*(1+F711)^(I711-1)*('Deal maths'!AA711-AsAt)/365.25)/L711,((I711-O711)*((IF(DAY(E711+1)=1,EOMONTH(E711,H711*D711),EDATE(E711,H711*D711))-AsAt)/365.25+(IF(DAY(E711+1)=1,EOMONTH(E711,(N711-1)*D711),EDATE(E711,(N711-1)*D711))-AsAt)/365.25)/2+O711*('Deal maths'!AA711-AsAt)/365.25)/I711),(S711-AsAt)/365.25)),0))</f>
        <v/>
      </c>
      <c r="Q711" s="109">
        <f>IF(B711=1,'Deal maths'!AA711+ROW()/1000000,"")</f>
        <v/>
      </c>
      <c r="R711" s="108">
        <f>IF(D711=0,0,IF(DAY(E711+1)=1,31,DAY(E711)))</f>
        <v/>
      </c>
      <c r="S711" s="109">
        <f>IF(AND('Deal maths'!V711="LOBO",'Deal maths'!AG711&gt;AsAt,'Deal maths'!AG711&lt;'Deal maths'!AA711),'Deal maths'!AG711,'Deal maths'!AA711)</f>
        <v/>
      </c>
      <c r="T711" s="108">
        <f>('Deal maths'!AA711&gt;AsAt)*('Deal maths'!Y711&gt;0)</f>
        <v/>
      </c>
    </row>
    <row r="712">
      <c r="A712" s="91">
        <f>IF('Deal maths'!V712="","",'Deal maths'!W712)</f>
        <v/>
      </c>
      <c r="B712" s="108">
        <f>('Deal maths'!AA712&gt;AsAt)*('Deal maths'!Y712&gt;0)*('Deal maths'!Z712&lt;=AsAt)</f>
        <v/>
      </c>
      <c r="C712" s="91">
        <f>IF('Deal maths'!V712="","",IF('Deal maths'!AC712="","Maturity",'Deal maths'!AC712))</f>
        <v/>
      </c>
      <c r="D712" s="108">
        <f>IF(OR(C712="EIP",C712="Annuity"),IF('Deal maths'!AD712="Annual",12,IF('Deal maths'!AD712="Quarterly",3,6)),0)</f>
        <v/>
      </c>
      <c r="E712" s="109">
        <f>IFERROR(IF(D712=0,0,IF('Deal maths'!AE712&gt;0,IF('Deal maths'!AE712&gt;'Deal maths'!AA712,'Deal maths'!AA712,'Deal maths'!AE712),IF(IF(DAY('Deal maths'!AA712+1)=1,EOMONTH('Deal maths'!AA712,-(INT(((YEAR('Deal maths'!AA712)-YEAR(IF('Deal maths'!Z712&gt;0,'Deal maths'!Z712,DATE(1990,1,1))))*12+MONTH('Deal maths'!AA712)-MONTH(IF('Deal maths'!Z712&gt;0,'Deal maths'!Z712,DATE(1990,1,1))))/D712))*D712),EDATE('Deal maths'!AA712,-(INT(((YEAR('Deal maths'!AA712)-YEAR(IF('Deal maths'!Z712&gt;0,'Deal maths'!Z712,DATE(1990,1,1))))*12+MONTH('Deal maths'!AA712)-MONTH(IF('Deal maths'!Z712&gt;0,'Deal maths'!Z712,DATE(1990,1,1))))/D712))*D712))&gt;IF('Deal maths'!Z712&gt;0,'Deal maths'!Z712,DATE(1990,1,1)),IF(DAY('Deal maths'!AA712+1)=1,EOMONTH('Deal maths'!AA712,-(INT(((YEAR('Deal maths'!AA712)-YEAR(IF('Deal maths'!Z712&gt;0,'Deal maths'!Z712,DATE(1990,1,1))))*12+MONTH('Deal maths'!AA712)-MONTH(IF('Deal maths'!Z712&gt;0,'Deal maths'!Z712,DATE(1990,1,1))))/D712))*D712),EDATE('Deal maths'!AA712,-(INT(((YEAR('Deal maths'!AA712)-YEAR(IF('Deal maths'!Z712&gt;0,'Deal maths'!Z712,DATE(1990,1,1))))*12+MONTH('Deal maths'!AA712)-MONTH(IF('Deal maths'!Z712&gt;0,'Deal maths'!Z712,DATE(1990,1,1))))/D712))*D712)),IF(DAY('Deal maths'!AA712+1)=1,EOMONTH('Deal maths'!AA712,-(INT(((YEAR('Deal maths'!AA712)-YEAR(IF('Deal maths'!Z712&gt;0,'Deal maths'!Z712,DATE(1990,1,1))))*12+MONTH('Deal maths'!AA712)-MONTH(IF('Deal maths'!Z712&gt;0,'Deal maths'!Z712,DATE(1990,1,1))))/D712)-1)*D712),EDATE('Deal maths'!AA712,-(INT(((YEAR('Deal maths'!AA712)-YEAR(IF('Deal maths'!Z712&gt;0,'Deal maths'!Z712,DATE(1990,1,1))))*12+MONTH('Deal maths'!AA712)-MONTH(IF('Deal maths'!Z712&gt;0,'Deal maths'!Z712,DATE(1990,1,1))))/D712)-1)*D712))))),0)</f>
        <v/>
      </c>
      <c r="F712" s="110">
        <f>IF(D712=0,0,'Deal maths'!AB712*D712/12)</f>
        <v/>
      </c>
      <c r="G712" s="108">
        <f>N712+O712</f>
        <v/>
      </c>
      <c r="H712" s="108">
        <f>IFERROR(IF(OR(D712=0,AsAt&lt;E712),0,MIN(N712,INT(((YEAR(AsAt)-YEAR(E712))*12+MONTH(AsAt)-MONTH(E712)-(DAY(AsAt)&lt;MIN(R712,DAY(EOMONTH(AsAt,0)))))/D712)+1)+O712*(AsAt&gt;='Deal maths'!AA712)),0)</f>
        <v/>
      </c>
      <c r="I712" s="108">
        <f>G712-H712</f>
        <v/>
      </c>
      <c r="J712" s="111">
        <f>IF(AND(C712="EIP",I712&gt;0),'Deal maths'!Y712/I712,0)</f>
        <v/>
      </c>
      <c r="K712" s="111">
        <f>IF(AND(C712="Annuity",I712&gt;0),IF(F712&gt;0,'Deal maths'!Y712*F712/(1-(1+F712)^-I712),'Deal maths'!Y712/I712),0)</f>
        <v/>
      </c>
      <c r="L712" s="111">
        <f>IF('Deal maths'!Y712="",0,'Deal maths'!Y712)</f>
        <v/>
      </c>
      <c r="M712" s="112">
        <f>F712+(F712=0)</f>
        <v/>
      </c>
      <c r="N712" s="108">
        <f>IFERROR(IF(D712=0,0,INT(((YEAR('Deal maths'!AA712)-YEAR(E712))*12+MONTH('Deal maths'!AA712)-MONTH(E712)-(DAY('Deal maths'!AA712)&lt;MIN(R712,DAY(EOMONTH('Deal maths'!AA712,0)))))/D712)+1),0)</f>
        <v/>
      </c>
      <c r="O712" s="108">
        <f>IFERROR(IF(D712=0,0,IF(IF(DAY(E712+1)=1,EOMONTH(E712,(N712-1)*D712),EDATE(E712,(N712-1)*D712))='Deal maths'!AA712,0,1)),0)</f>
        <v/>
      </c>
      <c r="P712" s="113">
        <f>IF(B712=0,0,IFERROR(IF(C712="EIP",((I712-O712)*((IF(DAY(E712+1)=1,EOMONTH(E712,H712*D712),EDATE(E712,H712*D712))-AsAt)/365.25+(IF(DAY(E712+1)=1,EOMONTH(E712,(N712-1)*D712),EDATE(E712,(N712-1)*D712))-AsAt)/365.25)/2+O712*('Deal maths'!AA712-AsAt)/365.25)/I712,IF(C712="Annuity",IF(F712&gt;0,((K712-L712*F712)*((IF(DAY(E712+1)=1,EOMONTH(E712,H712*D712),EDATE(E712,H712*D712))-AsAt)/365.25*((1+F712)^(I712-O712)-1)/F712+IF((I712-O712)&gt;1,((IF(DAY(E712+1)=1,EOMONTH(E712,(N712-1)*D712),EDATE(E712,(N712-1)*D712))-AsAt)/365.25-(IF(DAY(E712+1)=1,EOMONTH(E712,H712*D712),EDATE(E712,H712*D712))-AsAt)/365.25)/((I712-O712)-1),0)*(1+F712)*(1-(I712-O712)*(1+F712)^((I712-O712)-1)+((I712-O712)-1)*(1+F712)^(I712-O712))/F712^2)+O712*(K712-L712*F712)*(1+F712)^(I712-1)*('Deal maths'!AA712-AsAt)/365.25)/L712,((I712-O712)*((IF(DAY(E712+1)=1,EOMONTH(E712,H712*D712),EDATE(E712,H712*D712))-AsAt)/365.25+(IF(DAY(E712+1)=1,EOMONTH(E712,(N712-1)*D712),EDATE(E712,(N712-1)*D712))-AsAt)/365.25)/2+O712*('Deal maths'!AA712-AsAt)/365.25)/I712),(S712-AsAt)/365.25)),0))</f>
        <v/>
      </c>
      <c r="Q712" s="109">
        <f>IF(B712=1,'Deal maths'!AA712+ROW()/1000000,"")</f>
        <v/>
      </c>
      <c r="R712" s="108">
        <f>IF(D712=0,0,IF(DAY(E712+1)=1,31,DAY(E712)))</f>
        <v/>
      </c>
      <c r="S712" s="109">
        <f>IF(AND('Deal maths'!V712="LOBO",'Deal maths'!AG712&gt;AsAt,'Deal maths'!AG712&lt;'Deal maths'!AA712),'Deal maths'!AG712,'Deal maths'!AA712)</f>
        <v/>
      </c>
      <c r="T712" s="108">
        <f>('Deal maths'!AA712&gt;AsAt)*('Deal maths'!Y712&gt;0)</f>
        <v/>
      </c>
    </row>
    <row r="713">
      <c r="A713" s="91">
        <f>IF('Deal maths'!V713="","",'Deal maths'!W713)</f>
        <v/>
      </c>
      <c r="B713" s="108">
        <f>('Deal maths'!AA713&gt;AsAt)*('Deal maths'!Y713&gt;0)*('Deal maths'!Z713&lt;=AsAt)</f>
        <v/>
      </c>
      <c r="C713" s="91">
        <f>IF('Deal maths'!V713="","",IF('Deal maths'!AC713="","Maturity",'Deal maths'!AC713))</f>
        <v/>
      </c>
      <c r="D713" s="108">
        <f>IF(OR(C713="EIP",C713="Annuity"),IF('Deal maths'!AD713="Annual",12,IF('Deal maths'!AD713="Quarterly",3,6)),0)</f>
        <v/>
      </c>
      <c r="E713" s="109">
        <f>IFERROR(IF(D713=0,0,IF('Deal maths'!AE713&gt;0,IF('Deal maths'!AE713&gt;'Deal maths'!AA713,'Deal maths'!AA713,'Deal maths'!AE713),IF(IF(DAY('Deal maths'!AA713+1)=1,EOMONTH('Deal maths'!AA713,-(INT(((YEAR('Deal maths'!AA713)-YEAR(IF('Deal maths'!Z713&gt;0,'Deal maths'!Z713,DATE(1990,1,1))))*12+MONTH('Deal maths'!AA713)-MONTH(IF('Deal maths'!Z713&gt;0,'Deal maths'!Z713,DATE(1990,1,1))))/D713))*D713),EDATE('Deal maths'!AA713,-(INT(((YEAR('Deal maths'!AA713)-YEAR(IF('Deal maths'!Z713&gt;0,'Deal maths'!Z713,DATE(1990,1,1))))*12+MONTH('Deal maths'!AA713)-MONTH(IF('Deal maths'!Z713&gt;0,'Deal maths'!Z713,DATE(1990,1,1))))/D713))*D713))&gt;IF('Deal maths'!Z713&gt;0,'Deal maths'!Z713,DATE(1990,1,1)),IF(DAY('Deal maths'!AA713+1)=1,EOMONTH('Deal maths'!AA713,-(INT(((YEAR('Deal maths'!AA713)-YEAR(IF('Deal maths'!Z713&gt;0,'Deal maths'!Z713,DATE(1990,1,1))))*12+MONTH('Deal maths'!AA713)-MONTH(IF('Deal maths'!Z713&gt;0,'Deal maths'!Z713,DATE(1990,1,1))))/D713))*D713),EDATE('Deal maths'!AA713,-(INT(((YEAR('Deal maths'!AA713)-YEAR(IF('Deal maths'!Z713&gt;0,'Deal maths'!Z713,DATE(1990,1,1))))*12+MONTH('Deal maths'!AA713)-MONTH(IF('Deal maths'!Z713&gt;0,'Deal maths'!Z713,DATE(1990,1,1))))/D713))*D713)),IF(DAY('Deal maths'!AA713+1)=1,EOMONTH('Deal maths'!AA713,-(INT(((YEAR('Deal maths'!AA713)-YEAR(IF('Deal maths'!Z713&gt;0,'Deal maths'!Z713,DATE(1990,1,1))))*12+MONTH('Deal maths'!AA713)-MONTH(IF('Deal maths'!Z713&gt;0,'Deal maths'!Z713,DATE(1990,1,1))))/D713)-1)*D713),EDATE('Deal maths'!AA713,-(INT(((YEAR('Deal maths'!AA713)-YEAR(IF('Deal maths'!Z713&gt;0,'Deal maths'!Z713,DATE(1990,1,1))))*12+MONTH('Deal maths'!AA713)-MONTH(IF('Deal maths'!Z713&gt;0,'Deal maths'!Z713,DATE(1990,1,1))))/D713)-1)*D713))))),0)</f>
        <v/>
      </c>
      <c r="F713" s="110">
        <f>IF(D713=0,0,'Deal maths'!AB713*D713/12)</f>
        <v/>
      </c>
      <c r="G713" s="108">
        <f>N713+O713</f>
        <v/>
      </c>
      <c r="H713" s="108">
        <f>IFERROR(IF(OR(D713=0,AsAt&lt;E713),0,MIN(N713,INT(((YEAR(AsAt)-YEAR(E713))*12+MONTH(AsAt)-MONTH(E713)-(DAY(AsAt)&lt;MIN(R713,DAY(EOMONTH(AsAt,0)))))/D713)+1)+O713*(AsAt&gt;='Deal maths'!AA713)),0)</f>
        <v/>
      </c>
      <c r="I713" s="108">
        <f>G713-H713</f>
        <v/>
      </c>
      <c r="J713" s="111">
        <f>IF(AND(C713="EIP",I713&gt;0),'Deal maths'!Y713/I713,0)</f>
        <v/>
      </c>
      <c r="K713" s="111">
        <f>IF(AND(C713="Annuity",I713&gt;0),IF(F713&gt;0,'Deal maths'!Y713*F713/(1-(1+F713)^-I713),'Deal maths'!Y713/I713),0)</f>
        <v/>
      </c>
      <c r="L713" s="111">
        <f>IF('Deal maths'!Y713="",0,'Deal maths'!Y713)</f>
        <v/>
      </c>
      <c r="M713" s="112">
        <f>F713+(F713=0)</f>
        <v/>
      </c>
      <c r="N713" s="108">
        <f>IFERROR(IF(D713=0,0,INT(((YEAR('Deal maths'!AA713)-YEAR(E713))*12+MONTH('Deal maths'!AA713)-MONTH(E713)-(DAY('Deal maths'!AA713)&lt;MIN(R713,DAY(EOMONTH('Deal maths'!AA713,0)))))/D713)+1),0)</f>
        <v/>
      </c>
      <c r="O713" s="108">
        <f>IFERROR(IF(D713=0,0,IF(IF(DAY(E713+1)=1,EOMONTH(E713,(N713-1)*D713),EDATE(E713,(N713-1)*D713))='Deal maths'!AA713,0,1)),0)</f>
        <v/>
      </c>
      <c r="P713" s="113">
        <f>IF(B713=0,0,IFERROR(IF(C713="EIP",((I713-O713)*((IF(DAY(E713+1)=1,EOMONTH(E713,H713*D713),EDATE(E713,H713*D713))-AsAt)/365.25+(IF(DAY(E713+1)=1,EOMONTH(E713,(N713-1)*D713),EDATE(E713,(N713-1)*D713))-AsAt)/365.25)/2+O713*('Deal maths'!AA713-AsAt)/365.25)/I713,IF(C713="Annuity",IF(F713&gt;0,((K713-L713*F713)*((IF(DAY(E713+1)=1,EOMONTH(E713,H713*D713),EDATE(E713,H713*D713))-AsAt)/365.25*((1+F713)^(I713-O713)-1)/F713+IF((I713-O713)&gt;1,((IF(DAY(E713+1)=1,EOMONTH(E713,(N713-1)*D713),EDATE(E713,(N713-1)*D713))-AsAt)/365.25-(IF(DAY(E713+1)=1,EOMONTH(E713,H713*D713),EDATE(E713,H713*D713))-AsAt)/365.25)/((I713-O713)-1),0)*(1+F713)*(1-(I713-O713)*(1+F713)^((I713-O713)-1)+((I713-O713)-1)*(1+F713)^(I713-O713))/F713^2)+O713*(K713-L713*F713)*(1+F713)^(I713-1)*('Deal maths'!AA713-AsAt)/365.25)/L713,((I713-O713)*((IF(DAY(E713+1)=1,EOMONTH(E713,H713*D713),EDATE(E713,H713*D713))-AsAt)/365.25+(IF(DAY(E713+1)=1,EOMONTH(E713,(N713-1)*D713),EDATE(E713,(N713-1)*D713))-AsAt)/365.25)/2+O713*('Deal maths'!AA713-AsAt)/365.25)/I713),(S713-AsAt)/365.25)),0))</f>
        <v/>
      </c>
      <c r="Q713" s="109">
        <f>IF(B713=1,'Deal maths'!AA713+ROW()/1000000,"")</f>
        <v/>
      </c>
      <c r="R713" s="108">
        <f>IF(D713=0,0,IF(DAY(E713+1)=1,31,DAY(E713)))</f>
        <v/>
      </c>
      <c r="S713" s="109">
        <f>IF(AND('Deal maths'!V713="LOBO",'Deal maths'!AG713&gt;AsAt,'Deal maths'!AG713&lt;'Deal maths'!AA713),'Deal maths'!AG713,'Deal maths'!AA713)</f>
        <v/>
      </c>
      <c r="T713" s="108">
        <f>('Deal maths'!AA713&gt;AsAt)*('Deal maths'!Y713&gt;0)</f>
        <v/>
      </c>
    </row>
    <row r="714">
      <c r="A714" s="91">
        <f>IF('Deal maths'!V714="","",'Deal maths'!W714)</f>
        <v/>
      </c>
      <c r="B714" s="108">
        <f>('Deal maths'!AA714&gt;AsAt)*('Deal maths'!Y714&gt;0)*('Deal maths'!Z714&lt;=AsAt)</f>
        <v/>
      </c>
      <c r="C714" s="91">
        <f>IF('Deal maths'!V714="","",IF('Deal maths'!AC714="","Maturity",'Deal maths'!AC714))</f>
        <v/>
      </c>
      <c r="D714" s="108">
        <f>IF(OR(C714="EIP",C714="Annuity"),IF('Deal maths'!AD714="Annual",12,IF('Deal maths'!AD714="Quarterly",3,6)),0)</f>
        <v/>
      </c>
      <c r="E714" s="109">
        <f>IFERROR(IF(D714=0,0,IF('Deal maths'!AE714&gt;0,IF('Deal maths'!AE714&gt;'Deal maths'!AA714,'Deal maths'!AA714,'Deal maths'!AE714),IF(IF(DAY('Deal maths'!AA714+1)=1,EOMONTH('Deal maths'!AA714,-(INT(((YEAR('Deal maths'!AA714)-YEAR(IF('Deal maths'!Z714&gt;0,'Deal maths'!Z714,DATE(1990,1,1))))*12+MONTH('Deal maths'!AA714)-MONTH(IF('Deal maths'!Z714&gt;0,'Deal maths'!Z714,DATE(1990,1,1))))/D714))*D714),EDATE('Deal maths'!AA714,-(INT(((YEAR('Deal maths'!AA714)-YEAR(IF('Deal maths'!Z714&gt;0,'Deal maths'!Z714,DATE(1990,1,1))))*12+MONTH('Deal maths'!AA714)-MONTH(IF('Deal maths'!Z714&gt;0,'Deal maths'!Z714,DATE(1990,1,1))))/D714))*D714))&gt;IF('Deal maths'!Z714&gt;0,'Deal maths'!Z714,DATE(1990,1,1)),IF(DAY('Deal maths'!AA714+1)=1,EOMONTH('Deal maths'!AA714,-(INT(((YEAR('Deal maths'!AA714)-YEAR(IF('Deal maths'!Z714&gt;0,'Deal maths'!Z714,DATE(1990,1,1))))*12+MONTH('Deal maths'!AA714)-MONTH(IF('Deal maths'!Z714&gt;0,'Deal maths'!Z714,DATE(1990,1,1))))/D714))*D714),EDATE('Deal maths'!AA714,-(INT(((YEAR('Deal maths'!AA714)-YEAR(IF('Deal maths'!Z714&gt;0,'Deal maths'!Z714,DATE(1990,1,1))))*12+MONTH('Deal maths'!AA714)-MONTH(IF('Deal maths'!Z714&gt;0,'Deal maths'!Z714,DATE(1990,1,1))))/D714))*D714)),IF(DAY('Deal maths'!AA714+1)=1,EOMONTH('Deal maths'!AA714,-(INT(((YEAR('Deal maths'!AA714)-YEAR(IF('Deal maths'!Z714&gt;0,'Deal maths'!Z714,DATE(1990,1,1))))*12+MONTH('Deal maths'!AA714)-MONTH(IF('Deal maths'!Z714&gt;0,'Deal maths'!Z714,DATE(1990,1,1))))/D714)-1)*D714),EDATE('Deal maths'!AA714,-(INT(((YEAR('Deal maths'!AA714)-YEAR(IF('Deal maths'!Z714&gt;0,'Deal maths'!Z714,DATE(1990,1,1))))*12+MONTH('Deal maths'!AA714)-MONTH(IF('Deal maths'!Z714&gt;0,'Deal maths'!Z714,DATE(1990,1,1))))/D714)-1)*D714))))),0)</f>
        <v/>
      </c>
      <c r="F714" s="110">
        <f>IF(D714=0,0,'Deal maths'!AB714*D714/12)</f>
        <v/>
      </c>
      <c r="G714" s="108">
        <f>N714+O714</f>
        <v/>
      </c>
      <c r="H714" s="108">
        <f>IFERROR(IF(OR(D714=0,AsAt&lt;E714),0,MIN(N714,INT(((YEAR(AsAt)-YEAR(E714))*12+MONTH(AsAt)-MONTH(E714)-(DAY(AsAt)&lt;MIN(R714,DAY(EOMONTH(AsAt,0)))))/D714)+1)+O714*(AsAt&gt;='Deal maths'!AA714)),0)</f>
        <v/>
      </c>
      <c r="I714" s="108">
        <f>G714-H714</f>
        <v/>
      </c>
      <c r="J714" s="111">
        <f>IF(AND(C714="EIP",I714&gt;0),'Deal maths'!Y714/I714,0)</f>
        <v/>
      </c>
      <c r="K714" s="111">
        <f>IF(AND(C714="Annuity",I714&gt;0),IF(F714&gt;0,'Deal maths'!Y714*F714/(1-(1+F714)^-I714),'Deal maths'!Y714/I714),0)</f>
        <v/>
      </c>
      <c r="L714" s="111">
        <f>IF('Deal maths'!Y714="",0,'Deal maths'!Y714)</f>
        <v/>
      </c>
      <c r="M714" s="112">
        <f>F714+(F714=0)</f>
        <v/>
      </c>
      <c r="N714" s="108">
        <f>IFERROR(IF(D714=0,0,INT(((YEAR('Deal maths'!AA714)-YEAR(E714))*12+MONTH('Deal maths'!AA714)-MONTH(E714)-(DAY('Deal maths'!AA714)&lt;MIN(R714,DAY(EOMONTH('Deal maths'!AA714,0)))))/D714)+1),0)</f>
        <v/>
      </c>
      <c r="O714" s="108">
        <f>IFERROR(IF(D714=0,0,IF(IF(DAY(E714+1)=1,EOMONTH(E714,(N714-1)*D714),EDATE(E714,(N714-1)*D714))='Deal maths'!AA714,0,1)),0)</f>
        <v/>
      </c>
      <c r="P714" s="113">
        <f>IF(B714=0,0,IFERROR(IF(C714="EIP",((I714-O714)*((IF(DAY(E714+1)=1,EOMONTH(E714,H714*D714),EDATE(E714,H714*D714))-AsAt)/365.25+(IF(DAY(E714+1)=1,EOMONTH(E714,(N714-1)*D714),EDATE(E714,(N714-1)*D714))-AsAt)/365.25)/2+O714*('Deal maths'!AA714-AsAt)/365.25)/I714,IF(C714="Annuity",IF(F714&gt;0,((K714-L714*F714)*((IF(DAY(E714+1)=1,EOMONTH(E714,H714*D714),EDATE(E714,H714*D714))-AsAt)/365.25*((1+F714)^(I714-O714)-1)/F714+IF((I714-O714)&gt;1,((IF(DAY(E714+1)=1,EOMONTH(E714,(N714-1)*D714),EDATE(E714,(N714-1)*D714))-AsAt)/365.25-(IF(DAY(E714+1)=1,EOMONTH(E714,H714*D714),EDATE(E714,H714*D714))-AsAt)/365.25)/((I714-O714)-1),0)*(1+F714)*(1-(I714-O714)*(1+F714)^((I714-O714)-1)+((I714-O714)-1)*(1+F714)^(I714-O714))/F714^2)+O714*(K714-L714*F714)*(1+F714)^(I714-1)*('Deal maths'!AA714-AsAt)/365.25)/L714,((I714-O714)*((IF(DAY(E714+1)=1,EOMONTH(E714,H714*D714),EDATE(E714,H714*D714))-AsAt)/365.25+(IF(DAY(E714+1)=1,EOMONTH(E714,(N714-1)*D714),EDATE(E714,(N714-1)*D714))-AsAt)/365.25)/2+O714*('Deal maths'!AA714-AsAt)/365.25)/I714),(S714-AsAt)/365.25)),0))</f>
        <v/>
      </c>
      <c r="Q714" s="109">
        <f>IF(B714=1,'Deal maths'!AA714+ROW()/1000000,"")</f>
        <v/>
      </c>
      <c r="R714" s="108">
        <f>IF(D714=0,0,IF(DAY(E714+1)=1,31,DAY(E714)))</f>
        <v/>
      </c>
      <c r="S714" s="109">
        <f>IF(AND('Deal maths'!V714="LOBO",'Deal maths'!AG714&gt;AsAt,'Deal maths'!AG714&lt;'Deal maths'!AA714),'Deal maths'!AG714,'Deal maths'!AA714)</f>
        <v/>
      </c>
      <c r="T714" s="108">
        <f>('Deal maths'!AA714&gt;AsAt)*('Deal maths'!Y714&gt;0)</f>
        <v/>
      </c>
    </row>
    <row r="715">
      <c r="A715" s="91">
        <f>IF('Deal maths'!V715="","",'Deal maths'!W715)</f>
        <v/>
      </c>
      <c r="B715" s="108">
        <f>('Deal maths'!AA715&gt;AsAt)*('Deal maths'!Y715&gt;0)*('Deal maths'!Z715&lt;=AsAt)</f>
        <v/>
      </c>
      <c r="C715" s="91">
        <f>IF('Deal maths'!V715="","",IF('Deal maths'!AC715="","Maturity",'Deal maths'!AC715))</f>
        <v/>
      </c>
      <c r="D715" s="108">
        <f>IF(OR(C715="EIP",C715="Annuity"),IF('Deal maths'!AD715="Annual",12,IF('Deal maths'!AD715="Quarterly",3,6)),0)</f>
        <v/>
      </c>
      <c r="E715" s="109">
        <f>IFERROR(IF(D715=0,0,IF('Deal maths'!AE715&gt;0,IF('Deal maths'!AE715&gt;'Deal maths'!AA715,'Deal maths'!AA715,'Deal maths'!AE715),IF(IF(DAY('Deal maths'!AA715+1)=1,EOMONTH('Deal maths'!AA715,-(INT(((YEAR('Deal maths'!AA715)-YEAR(IF('Deal maths'!Z715&gt;0,'Deal maths'!Z715,DATE(1990,1,1))))*12+MONTH('Deal maths'!AA715)-MONTH(IF('Deal maths'!Z715&gt;0,'Deal maths'!Z715,DATE(1990,1,1))))/D715))*D715),EDATE('Deal maths'!AA715,-(INT(((YEAR('Deal maths'!AA715)-YEAR(IF('Deal maths'!Z715&gt;0,'Deal maths'!Z715,DATE(1990,1,1))))*12+MONTH('Deal maths'!AA715)-MONTH(IF('Deal maths'!Z715&gt;0,'Deal maths'!Z715,DATE(1990,1,1))))/D715))*D715))&gt;IF('Deal maths'!Z715&gt;0,'Deal maths'!Z715,DATE(1990,1,1)),IF(DAY('Deal maths'!AA715+1)=1,EOMONTH('Deal maths'!AA715,-(INT(((YEAR('Deal maths'!AA715)-YEAR(IF('Deal maths'!Z715&gt;0,'Deal maths'!Z715,DATE(1990,1,1))))*12+MONTH('Deal maths'!AA715)-MONTH(IF('Deal maths'!Z715&gt;0,'Deal maths'!Z715,DATE(1990,1,1))))/D715))*D715),EDATE('Deal maths'!AA715,-(INT(((YEAR('Deal maths'!AA715)-YEAR(IF('Deal maths'!Z715&gt;0,'Deal maths'!Z715,DATE(1990,1,1))))*12+MONTH('Deal maths'!AA715)-MONTH(IF('Deal maths'!Z715&gt;0,'Deal maths'!Z715,DATE(1990,1,1))))/D715))*D715)),IF(DAY('Deal maths'!AA715+1)=1,EOMONTH('Deal maths'!AA715,-(INT(((YEAR('Deal maths'!AA715)-YEAR(IF('Deal maths'!Z715&gt;0,'Deal maths'!Z715,DATE(1990,1,1))))*12+MONTH('Deal maths'!AA715)-MONTH(IF('Deal maths'!Z715&gt;0,'Deal maths'!Z715,DATE(1990,1,1))))/D715)-1)*D715),EDATE('Deal maths'!AA715,-(INT(((YEAR('Deal maths'!AA715)-YEAR(IF('Deal maths'!Z715&gt;0,'Deal maths'!Z715,DATE(1990,1,1))))*12+MONTH('Deal maths'!AA715)-MONTH(IF('Deal maths'!Z715&gt;0,'Deal maths'!Z715,DATE(1990,1,1))))/D715)-1)*D715))))),0)</f>
        <v/>
      </c>
      <c r="F715" s="110">
        <f>IF(D715=0,0,'Deal maths'!AB715*D715/12)</f>
        <v/>
      </c>
      <c r="G715" s="108">
        <f>N715+O715</f>
        <v/>
      </c>
      <c r="H715" s="108">
        <f>IFERROR(IF(OR(D715=0,AsAt&lt;E715),0,MIN(N715,INT(((YEAR(AsAt)-YEAR(E715))*12+MONTH(AsAt)-MONTH(E715)-(DAY(AsAt)&lt;MIN(R715,DAY(EOMONTH(AsAt,0)))))/D715)+1)+O715*(AsAt&gt;='Deal maths'!AA715)),0)</f>
        <v/>
      </c>
      <c r="I715" s="108">
        <f>G715-H715</f>
        <v/>
      </c>
      <c r="J715" s="111">
        <f>IF(AND(C715="EIP",I715&gt;0),'Deal maths'!Y715/I715,0)</f>
        <v/>
      </c>
      <c r="K715" s="111">
        <f>IF(AND(C715="Annuity",I715&gt;0),IF(F715&gt;0,'Deal maths'!Y715*F715/(1-(1+F715)^-I715),'Deal maths'!Y715/I715),0)</f>
        <v/>
      </c>
      <c r="L715" s="111">
        <f>IF('Deal maths'!Y715="",0,'Deal maths'!Y715)</f>
        <v/>
      </c>
      <c r="M715" s="112">
        <f>F715+(F715=0)</f>
        <v/>
      </c>
      <c r="N715" s="108">
        <f>IFERROR(IF(D715=0,0,INT(((YEAR('Deal maths'!AA715)-YEAR(E715))*12+MONTH('Deal maths'!AA715)-MONTH(E715)-(DAY('Deal maths'!AA715)&lt;MIN(R715,DAY(EOMONTH('Deal maths'!AA715,0)))))/D715)+1),0)</f>
        <v/>
      </c>
      <c r="O715" s="108">
        <f>IFERROR(IF(D715=0,0,IF(IF(DAY(E715+1)=1,EOMONTH(E715,(N715-1)*D715),EDATE(E715,(N715-1)*D715))='Deal maths'!AA715,0,1)),0)</f>
        <v/>
      </c>
      <c r="P715" s="113">
        <f>IF(B715=0,0,IFERROR(IF(C715="EIP",((I715-O715)*((IF(DAY(E715+1)=1,EOMONTH(E715,H715*D715),EDATE(E715,H715*D715))-AsAt)/365.25+(IF(DAY(E715+1)=1,EOMONTH(E715,(N715-1)*D715),EDATE(E715,(N715-1)*D715))-AsAt)/365.25)/2+O715*('Deal maths'!AA715-AsAt)/365.25)/I715,IF(C715="Annuity",IF(F715&gt;0,((K715-L715*F715)*((IF(DAY(E715+1)=1,EOMONTH(E715,H715*D715),EDATE(E715,H715*D715))-AsAt)/365.25*((1+F715)^(I715-O715)-1)/F715+IF((I715-O715)&gt;1,((IF(DAY(E715+1)=1,EOMONTH(E715,(N715-1)*D715),EDATE(E715,(N715-1)*D715))-AsAt)/365.25-(IF(DAY(E715+1)=1,EOMONTH(E715,H715*D715),EDATE(E715,H715*D715))-AsAt)/365.25)/((I715-O715)-1),0)*(1+F715)*(1-(I715-O715)*(1+F715)^((I715-O715)-1)+((I715-O715)-1)*(1+F715)^(I715-O715))/F715^2)+O715*(K715-L715*F715)*(1+F715)^(I715-1)*('Deal maths'!AA715-AsAt)/365.25)/L715,((I715-O715)*((IF(DAY(E715+1)=1,EOMONTH(E715,H715*D715),EDATE(E715,H715*D715))-AsAt)/365.25+(IF(DAY(E715+1)=1,EOMONTH(E715,(N715-1)*D715),EDATE(E715,(N715-1)*D715))-AsAt)/365.25)/2+O715*('Deal maths'!AA715-AsAt)/365.25)/I715),(S715-AsAt)/365.25)),0))</f>
        <v/>
      </c>
      <c r="Q715" s="109">
        <f>IF(B715=1,'Deal maths'!AA715+ROW()/1000000,"")</f>
        <v/>
      </c>
      <c r="R715" s="108">
        <f>IF(D715=0,0,IF(DAY(E715+1)=1,31,DAY(E715)))</f>
        <v/>
      </c>
      <c r="S715" s="109">
        <f>IF(AND('Deal maths'!V715="LOBO",'Deal maths'!AG715&gt;AsAt,'Deal maths'!AG715&lt;'Deal maths'!AA715),'Deal maths'!AG715,'Deal maths'!AA715)</f>
        <v/>
      </c>
      <c r="T715" s="108">
        <f>('Deal maths'!AA715&gt;AsAt)*('Deal maths'!Y715&gt;0)</f>
        <v/>
      </c>
    </row>
    <row r="716">
      <c r="A716" s="91">
        <f>IF('Deal maths'!V716="","",'Deal maths'!W716)</f>
        <v/>
      </c>
      <c r="B716" s="108">
        <f>('Deal maths'!AA716&gt;AsAt)*('Deal maths'!Y716&gt;0)*('Deal maths'!Z716&lt;=AsAt)</f>
        <v/>
      </c>
      <c r="C716" s="91">
        <f>IF('Deal maths'!V716="","",IF('Deal maths'!AC716="","Maturity",'Deal maths'!AC716))</f>
        <v/>
      </c>
      <c r="D716" s="108">
        <f>IF(OR(C716="EIP",C716="Annuity"),IF('Deal maths'!AD716="Annual",12,IF('Deal maths'!AD716="Quarterly",3,6)),0)</f>
        <v/>
      </c>
      <c r="E716" s="109">
        <f>IFERROR(IF(D716=0,0,IF('Deal maths'!AE716&gt;0,IF('Deal maths'!AE716&gt;'Deal maths'!AA716,'Deal maths'!AA716,'Deal maths'!AE716),IF(IF(DAY('Deal maths'!AA716+1)=1,EOMONTH('Deal maths'!AA716,-(INT(((YEAR('Deal maths'!AA716)-YEAR(IF('Deal maths'!Z716&gt;0,'Deal maths'!Z716,DATE(1990,1,1))))*12+MONTH('Deal maths'!AA716)-MONTH(IF('Deal maths'!Z716&gt;0,'Deal maths'!Z716,DATE(1990,1,1))))/D716))*D716),EDATE('Deal maths'!AA716,-(INT(((YEAR('Deal maths'!AA716)-YEAR(IF('Deal maths'!Z716&gt;0,'Deal maths'!Z716,DATE(1990,1,1))))*12+MONTH('Deal maths'!AA716)-MONTH(IF('Deal maths'!Z716&gt;0,'Deal maths'!Z716,DATE(1990,1,1))))/D716))*D716))&gt;IF('Deal maths'!Z716&gt;0,'Deal maths'!Z716,DATE(1990,1,1)),IF(DAY('Deal maths'!AA716+1)=1,EOMONTH('Deal maths'!AA716,-(INT(((YEAR('Deal maths'!AA716)-YEAR(IF('Deal maths'!Z716&gt;0,'Deal maths'!Z716,DATE(1990,1,1))))*12+MONTH('Deal maths'!AA716)-MONTH(IF('Deal maths'!Z716&gt;0,'Deal maths'!Z716,DATE(1990,1,1))))/D716))*D716),EDATE('Deal maths'!AA716,-(INT(((YEAR('Deal maths'!AA716)-YEAR(IF('Deal maths'!Z716&gt;0,'Deal maths'!Z716,DATE(1990,1,1))))*12+MONTH('Deal maths'!AA716)-MONTH(IF('Deal maths'!Z716&gt;0,'Deal maths'!Z716,DATE(1990,1,1))))/D716))*D716)),IF(DAY('Deal maths'!AA716+1)=1,EOMONTH('Deal maths'!AA716,-(INT(((YEAR('Deal maths'!AA716)-YEAR(IF('Deal maths'!Z716&gt;0,'Deal maths'!Z716,DATE(1990,1,1))))*12+MONTH('Deal maths'!AA716)-MONTH(IF('Deal maths'!Z716&gt;0,'Deal maths'!Z716,DATE(1990,1,1))))/D716)-1)*D716),EDATE('Deal maths'!AA716,-(INT(((YEAR('Deal maths'!AA716)-YEAR(IF('Deal maths'!Z716&gt;0,'Deal maths'!Z716,DATE(1990,1,1))))*12+MONTH('Deal maths'!AA716)-MONTH(IF('Deal maths'!Z716&gt;0,'Deal maths'!Z716,DATE(1990,1,1))))/D716)-1)*D716))))),0)</f>
        <v/>
      </c>
      <c r="F716" s="110">
        <f>IF(D716=0,0,'Deal maths'!AB716*D716/12)</f>
        <v/>
      </c>
      <c r="G716" s="108">
        <f>N716+O716</f>
        <v/>
      </c>
      <c r="H716" s="108">
        <f>IFERROR(IF(OR(D716=0,AsAt&lt;E716),0,MIN(N716,INT(((YEAR(AsAt)-YEAR(E716))*12+MONTH(AsAt)-MONTH(E716)-(DAY(AsAt)&lt;MIN(R716,DAY(EOMONTH(AsAt,0)))))/D716)+1)+O716*(AsAt&gt;='Deal maths'!AA716)),0)</f>
        <v/>
      </c>
      <c r="I716" s="108">
        <f>G716-H716</f>
        <v/>
      </c>
      <c r="J716" s="111">
        <f>IF(AND(C716="EIP",I716&gt;0),'Deal maths'!Y716/I716,0)</f>
        <v/>
      </c>
      <c r="K716" s="111">
        <f>IF(AND(C716="Annuity",I716&gt;0),IF(F716&gt;0,'Deal maths'!Y716*F716/(1-(1+F716)^-I716),'Deal maths'!Y716/I716),0)</f>
        <v/>
      </c>
      <c r="L716" s="111">
        <f>IF('Deal maths'!Y716="",0,'Deal maths'!Y716)</f>
        <v/>
      </c>
      <c r="M716" s="112">
        <f>F716+(F716=0)</f>
        <v/>
      </c>
      <c r="N716" s="108">
        <f>IFERROR(IF(D716=0,0,INT(((YEAR('Deal maths'!AA716)-YEAR(E716))*12+MONTH('Deal maths'!AA716)-MONTH(E716)-(DAY('Deal maths'!AA716)&lt;MIN(R716,DAY(EOMONTH('Deal maths'!AA716,0)))))/D716)+1),0)</f>
        <v/>
      </c>
      <c r="O716" s="108">
        <f>IFERROR(IF(D716=0,0,IF(IF(DAY(E716+1)=1,EOMONTH(E716,(N716-1)*D716),EDATE(E716,(N716-1)*D716))='Deal maths'!AA716,0,1)),0)</f>
        <v/>
      </c>
      <c r="P716" s="113">
        <f>IF(B716=0,0,IFERROR(IF(C716="EIP",((I716-O716)*((IF(DAY(E716+1)=1,EOMONTH(E716,H716*D716),EDATE(E716,H716*D716))-AsAt)/365.25+(IF(DAY(E716+1)=1,EOMONTH(E716,(N716-1)*D716),EDATE(E716,(N716-1)*D716))-AsAt)/365.25)/2+O716*('Deal maths'!AA716-AsAt)/365.25)/I716,IF(C716="Annuity",IF(F716&gt;0,((K716-L716*F716)*((IF(DAY(E716+1)=1,EOMONTH(E716,H716*D716),EDATE(E716,H716*D716))-AsAt)/365.25*((1+F716)^(I716-O716)-1)/F716+IF((I716-O716)&gt;1,((IF(DAY(E716+1)=1,EOMONTH(E716,(N716-1)*D716),EDATE(E716,(N716-1)*D716))-AsAt)/365.25-(IF(DAY(E716+1)=1,EOMONTH(E716,H716*D716),EDATE(E716,H716*D716))-AsAt)/365.25)/((I716-O716)-1),0)*(1+F716)*(1-(I716-O716)*(1+F716)^((I716-O716)-1)+((I716-O716)-1)*(1+F716)^(I716-O716))/F716^2)+O716*(K716-L716*F716)*(1+F716)^(I716-1)*('Deal maths'!AA716-AsAt)/365.25)/L716,((I716-O716)*((IF(DAY(E716+1)=1,EOMONTH(E716,H716*D716),EDATE(E716,H716*D716))-AsAt)/365.25+(IF(DAY(E716+1)=1,EOMONTH(E716,(N716-1)*D716),EDATE(E716,(N716-1)*D716))-AsAt)/365.25)/2+O716*('Deal maths'!AA716-AsAt)/365.25)/I716),(S716-AsAt)/365.25)),0))</f>
        <v/>
      </c>
      <c r="Q716" s="109">
        <f>IF(B716=1,'Deal maths'!AA716+ROW()/1000000,"")</f>
        <v/>
      </c>
      <c r="R716" s="108">
        <f>IF(D716=0,0,IF(DAY(E716+1)=1,31,DAY(E716)))</f>
        <v/>
      </c>
      <c r="S716" s="109">
        <f>IF(AND('Deal maths'!V716="LOBO",'Deal maths'!AG716&gt;AsAt,'Deal maths'!AG716&lt;'Deal maths'!AA716),'Deal maths'!AG716,'Deal maths'!AA716)</f>
        <v/>
      </c>
      <c r="T716" s="108">
        <f>('Deal maths'!AA716&gt;AsAt)*('Deal maths'!Y716&gt;0)</f>
        <v/>
      </c>
    </row>
    <row r="717">
      <c r="A717" s="91">
        <f>IF('Deal maths'!V717="","",'Deal maths'!W717)</f>
        <v/>
      </c>
      <c r="B717" s="108">
        <f>('Deal maths'!AA717&gt;AsAt)*('Deal maths'!Y717&gt;0)*('Deal maths'!Z717&lt;=AsAt)</f>
        <v/>
      </c>
      <c r="C717" s="91">
        <f>IF('Deal maths'!V717="","",IF('Deal maths'!AC717="","Maturity",'Deal maths'!AC717))</f>
        <v/>
      </c>
      <c r="D717" s="108">
        <f>IF(OR(C717="EIP",C717="Annuity"),IF('Deal maths'!AD717="Annual",12,IF('Deal maths'!AD717="Quarterly",3,6)),0)</f>
        <v/>
      </c>
      <c r="E717" s="109">
        <f>IFERROR(IF(D717=0,0,IF('Deal maths'!AE717&gt;0,IF('Deal maths'!AE717&gt;'Deal maths'!AA717,'Deal maths'!AA717,'Deal maths'!AE717),IF(IF(DAY('Deal maths'!AA717+1)=1,EOMONTH('Deal maths'!AA717,-(INT(((YEAR('Deal maths'!AA717)-YEAR(IF('Deal maths'!Z717&gt;0,'Deal maths'!Z717,DATE(1990,1,1))))*12+MONTH('Deal maths'!AA717)-MONTH(IF('Deal maths'!Z717&gt;0,'Deal maths'!Z717,DATE(1990,1,1))))/D717))*D717),EDATE('Deal maths'!AA717,-(INT(((YEAR('Deal maths'!AA717)-YEAR(IF('Deal maths'!Z717&gt;0,'Deal maths'!Z717,DATE(1990,1,1))))*12+MONTH('Deal maths'!AA717)-MONTH(IF('Deal maths'!Z717&gt;0,'Deal maths'!Z717,DATE(1990,1,1))))/D717))*D717))&gt;IF('Deal maths'!Z717&gt;0,'Deal maths'!Z717,DATE(1990,1,1)),IF(DAY('Deal maths'!AA717+1)=1,EOMONTH('Deal maths'!AA717,-(INT(((YEAR('Deal maths'!AA717)-YEAR(IF('Deal maths'!Z717&gt;0,'Deal maths'!Z717,DATE(1990,1,1))))*12+MONTH('Deal maths'!AA717)-MONTH(IF('Deal maths'!Z717&gt;0,'Deal maths'!Z717,DATE(1990,1,1))))/D717))*D717),EDATE('Deal maths'!AA717,-(INT(((YEAR('Deal maths'!AA717)-YEAR(IF('Deal maths'!Z717&gt;0,'Deal maths'!Z717,DATE(1990,1,1))))*12+MONTH('Deal maths'!AA717)-MONTH(IF('Deal maths'!Z717&gt;0,'Deal maths'!Z717,DATE(1990,1,1))))/D717))*D717)),IF(DAY('Deal maths'!AA717+1)=1,EOMONTH('Deal maths'!AA717,-(INT(((YEAR('Deal maths'!AA717)-YEAR(IF('Deal maths'!Z717&gt;0,'Deal maths'!Z717,DATE(1990,1,1))))*12+MONTH('Deal maths'!AA717)-MONTH(IF('Deal maths'!Z717&gt;0,'Deal maths'!Z717,DATE(1990,1,1))))/D717)-1)*D717),EDATE('Deal maths'!AA717,-(INT(((YEAR('Deal maths'!AA717)-YEAR(IF('Deal maths'!Z717&gt;0,'Deal maths'!Z717,DATE(1990,1,1))))*12+MONTH('Deal maths'!AA717)-MONTH(IF('Deal maths'!Z717&gt;0,'Deal maths'!Z717,DATE(1990,1,1))))/D717)-1)*D717))))),0)</f>
        <v/>
      </c>
      <c r="F717" s="110">
        <f>IF(D717=0,0,'Deal maths'!AB717*D717/12)</f>
        <v/>
      </c>
      <c r="G717" s="108">
        <f>N717+O717</f>
        <v/>
      </c>
      <c r="H717" s="108">
        <f>IFERROR(IF(OR(D717=0,AsAt&lt;E717),0,MIN(N717,INT(((YEAR(AsAt)-YEAR(E717))*12+MONTH(AsAt)-MONTH(E717)-(DAY(AsAt)&lt;MIN(R717,DAY(EOMONTH(AsAt,0)))))/D717)+1)+O717*(AsAt&gt;='Deal maths'!AA717)),0)</f>
        <v/>
      </c>
      <c r="I717" s="108">
        <f>G717-H717</f>
        <v/>
      </c>
      <c r="J717" s="111">
        <f>IF(AND(C717="EIP",I717&gt;0),'Deal maths'!Y717/I717,0)</f>
        <v/>
      </c>
      <c r="K717" s="111">
        <f>IF(AND(C717="Annuity",I717&gt;0),IF(F717&gt;0,'Deal maths'!Y717*F717/(1-(1+F717)^-I717),'Deal maths'!Y717/I717),0)</f>
        <v/>
      </c>
      <c r="L717" s="111">
        <f>IF('Deal maths'!Y717="",0,'Deal maths'!Y717)</f>
        <v/>
      </c>
      <c r="M717" s="112">
        <f>F717+(F717=0)</f>
        <v/>
      </c>
      <c r="N717" s="108">
        <f>IFERROR(IF(D717=0,0,INT(((YEAR('Deal maths'!AA717)-YEAR(E717))*12+MONTH('Deal maths'!AA717)-MONTH(E717)-(DAY('Deal maths'!AA717)&lt;MIN(R717,DAY(EOMONTH('Deal maths'!AA717,0)))))/D717)+1),0)</f>
        <v/>
      </c>
      <c r="O717" s="108">
        <f>IFERROR(IF(D717=0,0,IF(IF(DAY(E717+1)=1,EOMONTH(E717,(N717-1)*D717),EDATE(E717,(N717-1)*D717))='Deal maths'!AA717,0,1)),0)</f>
        <v/>
      </c>
      <c r="P717" s="113">
        <f>IF(B717=0,0,IFERROR(IF(C717="EIP",((I717-O717)*((IF(DAY(E717+1)=1,EOMONTH(E717,H717*D717),EDATE(E717,H717*D717))-AsAt)/365.25+(IF(DAY(E717+1)=1,EOMONTH(E717,(N717-1)*D717),EDATE(E717,(N717-1)*D717))-AsAt)/365.25)/2+O717*('Deal maths'!AA717-AsAt)/365.25)/I717,IF(C717="Annuity",IF(F717&gt;0,((K717-L717*F717)*((IF(DAY(E717+1)=1,EOMONTH(E717,H717*D717),EDATE(E717,H717*D717))-AsAt)/365.25*((1+F717)^(I717-O717)-1)/F717+IF((I717-O717)&gt;1,((IF(DAY(E717+1)=1,EOMONTH(E717,(N717-1)*D717),EDATE(E717,(N717-1)*D717))-AsAt)/365.25-(IF(DAY(E717+1)=1,EOMONTH(E717,H717*D717),EDATE(E717,H717*D717))-AsAt)/365.25)/((I717-O717)-1),0)*(1+F717)*(1-(I717-O717)*(1+F717)^((I717-O717)-1)+((I717-O717)-1)*(1+F717)^(I717-O717))/F717^2)+O717*(K717-L717*F717)*(1+F717)^(I717-1)*('Deal maths'!AA717-AsAt)/365.25)/L717,((I717-O717)*((IF(DAY(E717+1)=1,EOMONTH(E717,H717*D717),EDATE(E717,H717*D717))-AsAt)/365.25+(IF(DAY(E717+1)=1,EOMONTH(E717,(N717-1)*D717),EDATE(E717,(N717-1)*D717))-AsAt)/365.25)/2+O717*('Deal maths'!AA717-AsAt)/365.25)/I717),(S717-AsAt)/365.25)),0))</f>
        <v/>
      </c>
      <c r="Q717" s="109">
        <f>IF(B717=1,'Deal maths'!AA717+ROW()/1000000,"")</f>
        <v/>
      </c>
      <c r="R717" s="108">
        <f>IF(D717=0,0,IF(DAY(E717+1)=1,31,DAY(E717)))</f>
        <v/>
      </c>
      <c r="S717" s="109">
        <f>IF(AND('Deal maths'!V717="LOBO",'Deal maths'!AG717&gt;AsAt,'Deal maths'!AG717&lt;'Deal maths'!AA717),'Deal maths'!AG717,'Deal maths'!AA717)</f>
        <v/>
      </c>
      <c r="T717" s="108">
        <f>('Deal maths'!AA717&gt;AsAt)*('Deal maths'!Y717&gt;0)</f>
        <v/>
      </c>
    </row>
    <row r="718">
      <c r="A718" s="91">
        <f>IF('Deal maths'!V718="","",'Deal maths'!W718)</f>
        <v/>
      </c>
      <c r="B718" s="108">
        <f>('Deal maths'!AA718&gt;AsAt)*('Deal maths'!Y718&gt;0)*('Deal maths'!Z718&lt;=AsAt)</f>
        <v/>
      </c>
      <c r="C718" s="91">
        <f>IF('Deal maths'!V718="","",IF('Deal maths'!AC718="","Maturity",'Deal maths'!AC718))</f>
        <v/>
      </c>
      <c r="D718" s="108">
        <f>IF(OR(C718="EIP",C718="Annuity"),IF('Deal maths'!AD718="Annual",12,IF('Deal maths'!AD718="Quarterly",3,6)),0)</f>
        <v/>
      </c>
      <c r="E718" s="109">
        <f>IFERROR(IF(D718=0,0,IF('Deal maths'!AE718&gt;0,IF('Deal maths'!AE718&gt;'Deal maths'!AA718,'Deal maths'!AA718,'Deal maths'!AE718),IF(IF(DAY('Deal maths'!AA718+1)=1,EOMONTH('Deal maths'!AA718,-(INT(((YEAR('Deal maths'!AA718)-YEAR(IF('Deal maths'!Z718&gt;0,'Deal maths'!Z718,DATE(1990,1,1))))*12+MONTH('Deal maths'!AA718)-MONTH(IF('Deal maths'!Z718&gt;0,'Deal maths'!Z718,DATE(1990,1,1))))/D718))*D718),EDATE('Deal maths'!AA718,-(INT(((YEAR('Deal maths'!AA718)-YEAR(IF('Deal maths'!Z718&gt;0,'Deal maths'!Z718,DATE(1990,1,1))))*12+MONTH('Deal maths'!AA718)-MONTH(IF('Deal maths'!Z718&gt;0,'Deal maths'!Z718,DATE(1990,1,1))))/D718))*D718))&gt;IF('Deal maths'!Z718&gt;0,'Deal maths'!Z718,DATE(1990,1,1)),IF(DAY('Deal maths'!AA718+1)=1,EOMONTH('Deal maths'!AA718,-(INT(((YEAR('Deal maths'!AA718)-YEAR(IF('Deal maths'!Z718&gt;0,'Deal maths'!Z718,DATE(1990,1,1))))*12+MONTH('Deal maths'!AA718)-MONTH(IF('Deal maths'!Z718&gt;0,'Deal maths'!Z718,DATE(1990,1,1))))/D718))*D718),EDATE('Deal maths'!AA718,-(INT(((YEAR('Deal maths'!AA718)-YEAR(IF('Deal maths'!Z718&gt;0,'Deal maths'!Z718,DATE(1990,1,1))))*12+MONTH('Deal maths'!AA718)-MONTH(IF('Deal maths'!Z718&gt;0,'Deal maths'!Z718,DATE(1990,1,1))))/D718))*D718)),IF(DAY('Deal maths'!AA718+1)=1,EOMONTH('Deal maths'!AA718,-(INT(((YEAR('Deal maths'!AA718)-YEAR(IF('Deal maths'!Z718&gt;0,'Deal maths'!Z718,DATE(1990,1,1))))*12+MONTH('Deal maths'!AA718)-MONTH(IF('Deal maths'!Z718&gt;0,'Deal maths'!Z718,DATE(1990,1,1))))/D718)-1)*D718),EDATE('Deal maths'!AA718,-(INT(((YEAR('Deal maths'!AA718)-YEAR(IF('Deal maths'!Z718&gt;0,'Deal maths'!Z718,DATE(1990,1,1))))*12+MONTH('Deal maths'!AA718)-MONTH(IF('Deal maths'!Z718&gt;0,'Deal maths'!Z718,DATE(1990,1,1))))/D718)-1)*D718))))),0)</f>
        <v/>
      </c>
      <c r="F718" s="110">
        <f>IF(D718=0,0,'Deal maths'!AB718*D718/12)</f>
        <v/>
      </c>
      <c r="G718" s="108">
        <f>N718+O718</f>
        <v/>
      </c>
      <c r="H718" s="108">
        <f>IFERROR(IF(OR(D718=0,AsAt&lt;E718),0,MIN(N718,INT(((YEAR(AsAt)-YEAR(E718))*12+MONTH(AsAt)-MONTH(E718)-(DAY(AsAt)&lt;MIN(R718,DAY(EOMONTH(AsAt,0)))))/D718)+1)+O718*(AsAt&gt;='Deal maths'!AA718)),0)</f>
        <v/>
      </c>
      <c r="I718" s="108">
        <f>G718-H718</f>
        <v/>
      </c>
      <c r="J718" s="111">
        <f>IF(AND(C718="EIP",I718&gt;0),'Deal maths'!Y718/I718,0)</f>
        <v/>
      </c>
      <c r="K718" s="111">
        <f>IF(AND(C718="Annuity",I718&gt;0),IF(F718&gt;0,'Deal maths'!Y718*F718/(1-(1+F718)^-I718),'Deal maths'!Y718/I718),0)</f>
        <v/>
      </c>
      <c r="L718" s="111">
        <f>IF('Deal maths'!Y718="",0,'Deal maths'!Y718)</f>
        <v/>
      </c>
      <c r="M718" s="112">
        <f>F718+(F718=0)</f>
        <v/>
      </c>
      <c r="N718" s="108">
        <f>IFERROR(IF(D718=0,0,INT(((YEAR('Deal maths'!AA718)-YEAR(E718))*12+MONTH('Deal maths'!AA718)-MONTH(E718)-(DAY('Deal maths'!AA718)&lt;MIN(R718,DAY(EOMONTH('Deal maths'!AA718,0)))))/D718)+1),0)</f>
        <v/>
      </c>
      <c r="O718" s="108">
        <f>IFERROR(IF(D718=0,0,IF(IF(DAY(E718+1)=1,EOMONTH(E718,(N718-1)*D718),EDATE(E718,(N718-1)*D718))='Deal maths'!AA718,0,1)),0)</f>
        <v/>
      </c>
      <c r="P718" s="113">
        <f>IF(B718=0,0,IFERROR(IF(C718="EIP",((I718-O718)*((IF(DAY(E718+1)=1,EOMONTH(E718,H718*D718),EDATE(E718,H718*D718))-AsAt)/365.25+(IF(DAY(E718+1)=1,EOMONTH(E718,(N718-1)*D718),EDATE(E718,(N718-1)*D718))-AsAt)/365.25)/2+O718*('Deal maths'!AA718-AsAt)/365.25)/I718,IF(C718="Annuity",IF(F718&gt;0,((K718-L718*F718)*((IF(DAY(E718+1)=1,EOMONTH(E718,H718*D718),EDATE(E718,H718*D718))-AsAt)/365.25*((1+F718)^(I718-O718)-1)/F718+IF((I718-O718)&gt;1,((IF(DAY(E718+1)=1,EOMONTH(E718,(N718-1)*D718),EDATE(E718,(N718-1)*D718))-AsAt)/365.25-(IF(DAY(E718+1)=1,EOMONTH(E718,H718*D718),EDATE(E718,H718*D718))-AsAt)/365.25)/((I718-O718)-1),0)*(1+F718)*(1-(I718-O718)*(1+F718)^((I718-O718)-1)+((I718-O718)-1)*(1+F718)^(I718-O718))/F718^2)+O718*(K718-L718*F718)*(1+F718)^(I718-1)*('Deal maths'!AA718-AsAt)/365.25)/L718,((I718-O718)*((IF(DAY(E718+1)=1,EOMONTH(E718,H718*D718),EDATE(E718,H718*D718))-AsAt)/365.25+(IF(DAY(E718+1)=1,EOMONTH(E718,(N718-1)*D718),EDATE(E718,(N718-1)*D718))-AsAt)/365.25)/2+O718*('Deal maths'!AA718-AsAt)/365.25)/I718),(S718-AsAt)/365.25)),0))</f>
        <v/>
      </c>
      <c r="Q718" s="109">
        <f>IF(B718=1,'Deal maths'!AA718+ROW()/1000000,"")</f>
        <v/>
      </c>
      <c r="R718" s="108">
        <f>IF(D718=0,0,IF(DAY(E718+1)=1,31,DAY(E718)))</f>
        <v/>
      </c>
      <c r="S718" s="109">
        <f>IF(AND('Deal maths'!V718="LOBO",'Deal maths'!AG718&gt;AsAt,'Deal maths'!AG718&lt;'Deal maths'!AA718),'Deal maths'!AG718,'Deal maths'!AA718)</f>
        <v/>
      </c>
      <c r="T718" s="108">
        <f>('Deal maths'!AA718&gt;AsAt)*('Deal maths'!Y718&gt;0)</f>
        <v/>
      </c>
    </row>
    <row r="719">
      <c r="A719" s="91">
        <f>IF('Deal maths'!V719="","",'Deal maths'!W719)</f>
        <v/>
      </c>
      <c r="B719" s="108">
        <f>('Deal maths'!AA719&gt;AsAt)*('Deal maths'!Y719&gt;0)*('Deal maths'!Z719&lt;=AsAt)</f>
        <v/>
      </c>
      <c r="C719" s="91">
        <f>IF('Deal maths'!V719="","",IF('Deal maths'!AC719="","Maturity",'Deal maths'!AC719))</f>
        <v/>
      </c>
      <c r="D719" s="108">
        <f>IF(OR(C719="EIP",C719="Annuity"),IF('Deal maths'!AD719="Annual",12,IF('Deal maths'!AD719="Quarterly",3,6)),0)</f>
        <v/>
      </c>
      <c r="E719" s="109">
        <f>IFERROR(IF(D719=0,0,IF('Deal maths'!AE719&gt;0,IF('Deal maths'!AE719&gt;'Deal maths'!AA719,'Deal maths'!AA719,'Deal maths'!AE719),IF(IF(DAY('Deal maths'!AA719+1)=1,EOMONTH('Deal maths'!AA719,-(INT(((YEAR('Deal maths'!AA719)-YEAR(IF('Deal maths'!Z719&gt;0,'Deal maths'!Z719,DATE(1990,1,1))))*12+MONTH('Deal maths'!AA719)-MONTH(IF('Deal maths'!Z719&gt;0,'Deal maths'!Z719,DATE(1990,1,1))))/D719))*D719),EDATE('Deal maths'!AA719,-(INT(((YEAR('Deal maths'!AA719)-YEAR(IF('Deal maths'!Z719&gt;0,'Deal maths'!Z719,DATE(1990,1,1))))*12+MONTH('Deal maths'!AA719)-MONTH(IF('Deal maths'!Z719&gt;0,'Deal maths'!Z719,DATE(1990,1,1))))/D719))*D719))&gt;IF('Deal maths'!Z719&gt;0,'Deal maths'!Z719,DATE(1990,1,1)),IF(DAY('Deal maths'!AA719+1)=1,EOMONTH('Deal maths'!AA719,-(INT(((YEAR('Deal maths'!AA719)-YEAR(IF('Deal maths'!Z719&gt;0,'Deal maths'!Z719,DATE(1990,1,1))))*12+MONTH('Deal maths'!AA719)-MONTH(IF('Deal maths'!Z719&gt;0,'Deal maths'!Z719,DATE(1990,1,1))))/D719))*D719),EDATE('Deal maths'!AA719,-(INT(((YEAR('Deal maths'!AA719)-YEAR(IF('Deal maths'!Z719&gt;0,'Deal maths'!Z719,DATE(1990,1,1))))*12+MONTH('Deal maths'!AA719)-MONTH(IF('Deal maths'!Z719&gt;0,'Deal maths'!Z719,DATE(1990,1,1))))/D719))*D719)),IF(DAY('Deal maths'!AA719+1)=1,EOMONTH('Deal maths'!AA719,-(INT(((YEAR('Deal maths'!AA719)-YEAR(IF('Deal maths'!Z719&gt;0,'Deal maths'!Z719,DATE(1990,1,1))))*12+MONTH('Deal maths'!AA719)-MONTH(IF('Deal maths'!Z719&gt;0,'Deal maths'!Z719,DATE(1990,1,1))))/D719)-1)*D719),EDATE('Deal maths'!AA719,-(INT(((YEAR('Deal maths'!AA719)-YEAR(IF('Deal maths'!Z719&gt;0,'Deal maths'!Z719,DATE(1990,1,1))))*12+MONTH('Deal maths'!AA719)-MONTH(IF('Deal maths'!Z719&gt;0,'Deal maths'!Z719,DATE(1990,1,1))))/D719)-1)*D719))))),0)</f>
        <v/>
      </c>
      <c r="F719" s="110">
        <f>IF(D719=0,0,'Deal maths'!AB719*D719/12)</f>
        <v/>
      </c>
      <c r="G719" s="108">
        <f>N719+O719</f>
        <v/>
      </c>
      <c r="H719" s="108">
        <f>IFERROR(IF(OR(D719=0,AsAt&lt;E719),0,MIN(N719,INT(((YEAR(AsAt)-YEAR(E719))*12+MONTH(AsAt)-MONTH(E719)-(DAY(AsAt)&lt;MIN(R719,DAY(EOMONTH(AsAt,0)))))/D719)+1)+O719*(AsAt&gt;='Deal maths'!AA719)),0)</f>
        <v/>
      </c>
      <c r="I719" s="108">
        <f>G719-H719</f>
        <v/>
      </c>
      <c r="J719" s="111">
        <f>IF(AND(C719="EIP",I719&gt;0),'Deal maths'!Y719/I719,0)</f>
        <v/>
      </c>
      <c r="K719" s="111">
        <f>IF(AND(C719="Annuity",I719&gt;0),IF(F719&gt;0,'Deal maths'!Y719*F719/(1-(1+F719)^-I719),'Deal maths'!Y719/I719),0)</f>
        <v/>
      </c>
      <c r="L719" s="111">
        <f>IF('Deal maths'!Y719="",0,'Deal maths'!Y719)</f>
        <v/>
      </c>
      <c r="M719" s="112">
        <f>F719+(F719=0)</f>
        <v/>
      </c>
      <c r="N719" s="108">
        <f>IFERROR(IF(D719=0,0,INT(((YEAR('Deal maths'!AA719)-YEAR(E719))*12+MONTH('Deal maths'!AA719)-MONTH(E719)-(DAY('Deal maths'!AA719)&lt;MIN(R719,DAY(EOMONTH('Deal maths'!AA719,0)))))/D719)+1),0)</f>
        <v/>
      </c>
      <c r="O719" s="108">
        <f>IFERROR(IF(D719=0,0,IF(IF(DAY(E719+1)=1,EOMONTH(E719,(N719-1)*D719),EDATE(E719,(N719-1)*D719))='Deal maths'!AA719,0,1)),0)</f>
        <v/>
      </c>
      <c r="P719" s="113">
        <f>IF(B719=0,0,IFERROR(IF(C719="EIP",((I719-O719)*((IF(DAY(E719+1)=1,EOMONTH(E719,H719*D719),EDATE(E719,H719*D719))-AsAt)/365.25+(IF(DAY(E719+1)=1,EOMONTH(E719,(N719-1)*D719),EDATE(E719,(N719-1)*D719))-AsAt)/365.25)/2+O719*('Deal maths'!AA719-AsAt)/365.25)/I719,IF(C719="Annuity",IF(F719&gt;0,((K719-L719*F719)*((IF(DAY(E719+1)=1,EOMONTH(E719,H719*D719),EDATE(E719,H719*D719))-AsAt)/365.25*((1+F719)^(I719-O719)-1)/F719+IF((I719-O719)&gt;1,((IF(DAY(E719+1)=1,EOMONTH(E719,(N719-1)*D719),EDATE(E719,(N719-1)*D719))-AsAt)/365.25-(IF(DAY(E719+1)=1,EOMONTH(E719,H719*D719),EDATE(E719,H719*D719))-AsAt)/365.25)/((I719-O719)-1),0)*(1+F719)*(1-(I719-O719)*(1+F719)^((I719-O719)-1)+((I719-O719)-1)*(1+F719)^(I719-O719))/F719^2)+O719*(K719-L719*F719)*(1+F719)^(I719-1)*('Deal maths'!AA719-AsAt)/365.25)/L719,((I719-O719)*((IF(DAY(E719+1)=1,EOMONTH(E719,H719*D719),EDATE(E719,H719*D719))-AsAt)/365.25+(IF(DAY(E719+1)=1,EOMONTH(E719,(N719-1)*D719),EDATE(E719,(N719-1)*D719))-AsAt)/365.25)/2+O719*('Deal maths'!AA719-AsAt)/365.25)/I719),(S719-AsAt)/365.25)),0))</f>
        <v/>
      </c>
      <c r="Q719" s="109">
        <f>IF(B719=1,'Deal maths'!AA719+ROW()/1000000,"")</f>
        <v/>
      </c>
      <c r="R719" s="108">
        <f>IF(D719=0,0,IF(DAY(E719+1)=1,31,DAY(E719)))</f>
        <v/>
      </c>
      <c r="S719" s="109">
        <f>IF(AND('Deal maths'!V719="LOBO",'Deal maths'!AG719&gt;AsAt,'Deal maths'!AG719&lt;'Deal maths'!AA719),'Deal maths'!AG719,'Deal maths'!AA719)</f>
        <v/>
      </c>
      <c r="T719" s="108">
        <f>('Deal maths'!AA719&gt;AsAt)*('Deal maths'!Y719&gt;0)</f>
        <v/>
      </c>
    </row>
    <row r="720">
      <c r="A720" s="91">
        <f>IF('Deal maths'!V720="","",'Deal maths'!W720)</f>
        <v/>
      </c>
      <c r="B720" s="108">
        <f>('Deal maths'!AA720&gt;AsAt)*('Deal maths'!Y720&gt;0)*('Deal maths'!Z720&lt;=AsAt)</f>
        <v/>
      </c>
      <c r="C720" s="91">
        <f>IF('Deal maths'!V720="","",IF('Deal maths'!AC720="","Maturity",'Deal maths'!AC720))</f>
        <v/>
      </c>
      <c r="D720" s="108">
        <f>IF(OR(C720="EIP",C720="Annuity"),IF('Deal maths'!AD720="Annual",12,IF('Deal maths'!AD720="Quarterly",3,6)),0)</f>
        <v/>
      </c>
      <c r="E720" s="109">
        <f>IFERROR(IF(D720=0,0,IF('Deal maths'!AE720&gt;0,IF('Deal maths'!AE720&gt;'Deal maths'!AA720,'Deal maths'!AA720,'Deal maths'!AE720),IF(IF(DAY('Deal maths'!AA720+1)=1,EOMONTH('Deal maths'!AA720,-(INT(((YEAR('Deal maths'!AA720)-YEAR(IF('Deal maths'!Z720&gt;0,'Deal maths'!Z720,DATE(1990,1,1))))*12+MONTH('Deal maths'!AA720)-MONTH(IF('Deal maths'!Z720&gt;0,'Deal maths'!Z720,DATE(1990,1,1))))/D720))*D720),EDATE('Deal maths'!AA720,-(INT(((YEAR('Deal maths'!AA720)-YEAR(IF('Deal maths'!Z720&gt;0,'Deal maths'!Z720,DATE(1990,1,1))))*12+MONTH('Deal maths'!AA720)-MONTH(IF('Deal maths'!Z720&gt;0,'Deal maths'!Z720,DATE(1990,1,1))))/D720))*D720))&gt;IF('Deal maths'!Z720&gt;0,'Deal maths'!Z720,DATE(1990,1,1)),IF(DAY('Deal maths'!AA720+1)=1,EOMONTH('Deal maths'!AA720,-(INT(((YEAR('Deal maths'!AA720)-YEAR(IF('Deal maths'!Z720&gt;0,'Deal maths'!Z720,DATE(1990,1,1))))*12+MONTH('Deal maths'!AA720)-MONTH(IF('Deal maths'!Z720&gt;0,'Deal maths'!Z720,DATE(1990,1,1))))/D720))*D720),EDATE('Deal maths'!AA720,-(INT(((YEAR('Deal maths'!AA720)-YEAR(IF('Deal maths'!Z720&gt;0,'Deal maths'!Z720,DATE(1990,1,1))))*12+MONTH('Deal maths'!AA720)-MONTH(IF('Deal maths'!Z720&gt;0,'Deal maths'!Z720,DATE(1990,1,1))))/D720))*D720)),IF(DAY('Deal maths'!AA720+1)=1,EOMONTH('Deal maths'!AA720,-(INT(((YEAR('Deal maths'!AA720)-YEAR(IF('Deal maths'!Z720&gt;0,'Deal maths'!Z720,DATE(1990,1,1))))*12+MONTH('Deal maths'!AA720)-MONTH(IF('Deal maths'!Z720&gt;0,'Deal maths'!Z720,DATE(1990,1,1))))/D720)-1)*D720),EDATE('Deal maths'!AA720,-(INT(((YEAR('Deal maths'!AA720)-YEAR(IF('Deal maths'!Z720&gt;0,'Deal maths'!Z720,DATE(1990,1,1))))*12+MONTH('Deal maths'!AA720)-MONTH(IF('Deal maths'!Z720&gt;0,'Deal maths'!Z720,DATE(1990,1,1))))/D720)-1)*D720))))),0)</f>
        <v/>
      </c>
      <c r="F720" s="110">
        <f>IF(D720=0,0,'Deal maths'!AB720*D720/12)</f>
        <v/>
      </c>
      <c r="G720" s="108">
        <f>N720+O720</f>
        <v/>
      </c>
      <c r="H720" s="108">
        <f>IFERROR(IF(OR(D720=0,AsAt&lt;E720),0,MIN(N720,INT(((YEAR(AsAt)-YEAR(E720))*12+MONTH(AsAt)-MONTH(E720)-(DAY(AsAt)&lt;MIN(R720,DAY(EOMONTH(AsAt,0)))))/D720)+1)+O720*(AsAt&gt;='Deal maths'!AA720)),0)</f>
        <v/>
      </c>
      <c r="I720" s="108">
        <f>G720-H720</f>
        <v/>
      </c>
      <c r="J720" s="111">
        <f>IF(AND(C720="EIP",I720&gt;0),'Deal maths'!Y720/I720,0)</f>
        <v/>
      </c>
      <c r="K720" s="111">
        <f>IF(AND(C720="Annuity",I720&gt;0),IF(F720&gt;0,'Deal maths'!Y720*F720/(1-(1+F720)^-I720),'Deal maths'!Y720/I720),0)</f>
        <v/>
      </c>
      <c r="L720" s="111">
        <f>IF('Deal maths'!Y720="",0,'Deal maths'!Y720)</f>
        <v/>
      </c>
      <c r="M720" s="112">
        <f>F720+(F720=0)</f>
        <v/>
      </c>
      <c r="N720" s="108">
        <f>IFERROR(IF(D720=0,0,INT(((YEAR('Deal maths'!AA720)-YEAR(E720))*12+MONTH('Deal maths'!AA720)-MONTH(E720)-(DAY('Deal maths'!AA720)&lt;MIN(R720,DAY(EOMONTH('Deal maths'!AA720,0)))))/D720)+1),0)</f>
        <v/>
      </c>
      <c r="O720" s="108">
        <f>IFERROR(IF(D720=0,0,IF(IF(DAY(E720+1)=1,EOMONTH(E720,(N720-1)*D720),EDATE(E720,(N720-1)*D720))='Deal maths'!AA720,0,1)),0)</f>
        <v/>
      </c>
      <c r="P720" s="113">
        <f>IF(B720=0,0,IFERROR(IF(C720="EIP",((I720-O720)*((IF(DAY(E720+1)=1,EOMONTH(E720,H720*D720),EDATE(E720,H720*D720))-AsAt)/365.25+(IF(DAY(E720+1)=1,EOMONTH(E720,(N720-1)*D720),EDATE(E720,(N720-1)*D720))-AsAt)/365.25)/2+O720*('Deal maths'!AA720-AsAt)/365.25)/I720,IF(C720="Annuity",IF(F720&gt;0,((K720-L720*F720)*((IF(DAY(E720+1)=1,EOMONTH(E720,H720*D720),EDATE(E720,H720*D720))-AsAt)/365.25*((1+F720)^(I720-O720)-1)/F720+IF((I720-O720)&gt;1,((IF(DAY(E720+1)=1,EOMONTH(E720,(N720-1)*D720),EDATE(E720,(N720-1)*D720))-AsAt)/365.25-(IF(DAY(E720+1)=1,EOMONTH(E720,H720*D720),EDATE(E720,H720*D720))-AsAt)/365.25)/((I720-O720)-1),0)*(1+F720)*(1-(I720-O720)*(1+F720)^((I720-O720)-1)+((I720-O720)-1)*(1+F720)^(I720-O720))/F720^2)+O720*(K720-L720*F720)*(1+F720)^(I720-1)*('Deal maths'!AA720-AsAt)/365.25)/L720,((I720-O720)*((IF(DAY(E720+1)=1,EOMONTH(E720,H720*D720),EDATE(E720,H720*D720))-AsAt)/365.25+(IF(DAY(E720+1)=1,EOMONTH(E720,(N720-1)*D720),EDATE(E720,(N720-1)*D720))-AsAt)/365.25)/2+O720*('Deal maths'!AA720-AsAt)/365.25)/I720),(S720-AsAt)/365.25)),0))</f>
        <v/>
      </c>
      <c r="Q720" s="109">
        <f>IF(B720=1,'Deal maths'!AA720+ROW()/1000000,"")</f>
        <v/>
      </c>
      <c r="R720" s="108">
        <f>IF(D720=0,0,IF(DAY(E720+1)=1,31,DAY(E720)))</f>
        <v/>
      </c>
      <c r="S720" s="109">
        <f>IF(AND('Deal maths'!V720="LOBO",'Deal maths'!AG720&gt;AsAt,'Deal maths'!AG720&lt;'Deal maths'!AA720),'Deal maths'!AG720,'Deal maths'!AA720)</f>
        <v/>
      </c>
      <c r="T720" s="108">
        <f>('Deal maths'!AA720&gt;AsAt)*('Deal maths'!Y720&gt;0)</f>
        <v/>
      </c>
    </row>
    <row r="721">
      <c r="A721" s="91">
        <f>IF('Deal maths'!V721="","",'Deal maths'!W721)</f>
        <v/>
      </c>
      <c r="B721" s="108">
        <f>('Deal maths'!AA721&gt;AsAt)*('Deal maths'!Y721&gt;0)*('Deal maths'!Z721&lt;=AsAt)</f>
        <v/>
      </c>
      <c r="C721" s="91">
        <f>IF('Deal maths'!V721="","",IF('Deal maths'!AC721="","Maturity",'Deal maths'!AC721))</f>
        <v/>
      </c>
      <c r="D721" s="108">
        <f>IF(OR(C721="EIP",C721="Annuity"),IF('Deal maths'!AD721="Annual",12,IF('Deal maths'!AD721="Quarterly",3,6)),0)</f>
        <v/>
      </c>
      <c r="E721" s="109">
        <f>IFERROR(IF(D721=0,0,IF('Deal maths'!AE721&gt;0,IF('Deal maths'!AE721&gt;'Deal maths'!AA721,'Deal maths'!AA721,'Deal maths'!AE721),IF(IF(DAY('Deal maths'!AA721+1)=1,EOMONTH('Deal maths'!AA721,-(INT(((YEAR('Deal maths'!AA721)-YEAR(IF('Deal maths'!Z721&gt;0,'Deal maths'!Z721,DATE(1990,1,1))))*12+MONTH('Deal maths'!AA721)-MONTH(IF('Deal maths'!Z721&gt;0,'Deal maths'!Z721,DATE(1990,1,1))))/D721))*D721),EDATE('Deal maths'!AA721,-(INT(((YEAR('Deal maths'!AA721)-YEAR(IF('Deal maths'!Z721&gt;0,'Deal maths'!Z721,DATE(1990,1,1))))*12+MONTH('Deal maths'!AA721)-MONTH(IF('Deal maths'!Z721&gt;0,'Deal maths'!Z721,DATE(1990,1,1))))/D721))*D721))&gt;IF('Deal maths'!Z721&gt;0,'Deal maths'!Z721,DATE(1990,1,1)),IF(DAY('Deal maths'!AA721+1)=1,EOMONTH('Deal maths'!AA721,-(INT(((YEAR('Deal maths'!AA721)-YEAR(IF('Deal maths'!Z721&gt;0,'Deal maths'!Z721,DATE(1990,1,1))))*12+MONTH('Deal maths'!AA721)-MONTH(IF('Deal maths'!Z721&gt;0,'Deal maths'!Z721,DATE(1990,1,1))))/D721))*D721),EDATE('Deal maths'!AA721,-(INT(((YEAR('Deal maths'!AA721)-YEAR(IF('Deal maths'!Z721&gt;0,'Deal maths'!Z721,DATE(1990,1,1))))*12+MONTH('Deal maths'!AA721)-MONTH(IF('Deal maths'!Z721&gt;0,'Deal maths'!Z721,DATE(1990,1,1))))/D721))*D721)),IF(DAY('Deal maths'!AA721+1)=1,EOMONTH('Deal maths'!AA721,-(INT(((YEAR('Deal maths'!AA721)-YEAR(IF('Deal maths'!Z721&gt;0,'Deal maths'!Z721,DATE(1990,1,1))))*12+MONTH('Deal maths'!AA721)-MONTH(IF('Deal maths'!Z721&gt;0,'Deal maths'!Z721,DATE(1990,1,1))))/D721)-1)*D721),EDATE('Deal maths'!AA721,-(INT(((YEAR('Deal maths'!AA721)-YEAR(IF('Deal maths'!Z721&gt;0,'Deal maths'!Z721,DATE(1990,1,1))))*12+MONTH('Deal maths'!AA721)-MONTH(IF('Deal maths'!Z721&gt;0,'Deal maths'!Z721,DATE(1990,1,1))))/D721)-1)*D721))))),0)</f>
        <v/>
      </c>
      <c r="F721" s="110">
        <f>IF(D721=0,0,'Deal maths'!AB721*D721/12)</f>
        <v/>
      </c>
      <c r="G721" s="108">
        <f>N721+O721</f>
        <v/>
      </c>
      <c r="H721" s="108">
        <f>IFERROR(IF(OR(D721=0,AsAt&lt;E721),0,MIN(N721,INT(((YEAR(AsAt)-YEAR(E721))*12+MONTH(AsAt)-MONTH(E721)-(DAY(AsAt)&lt;MIN(R721,DAY(EOMONTH(AsAt,0)))))/D721)+1)+O721*(AsAt&gt;='Deal maths'!AA721)),0)</f>
        <v/>
      </c>
      <c r="I721" s="108">
        <f>G721-H721</f>
        <v/>
      </c>
      <c r="J721" s="111">
        <f>IF(AND(C721="EIP",I721&gt;0),'Deal maths'!Y721/I721,0)</f>
        <v/>
      </c>
      <c r="K721" s="111">
        <f>IF(AND(C721="Annuity",I721&gt;0),IF(F721&gt;0,'Deal maths'!Y721*F721/(1-(1+F721)^-I721),'Deal maths'!Y721/I721),0)</f>
        <v/>
      </c>
      <c r="L721" s="111">
        <f>IF('Deal maths'!Y721="",0,'Deal maths'!Y721)</f>
        <v/>
      </c>
      <c r="M721" s="112">
        <f>F721+(F721=0)</f>
        <v/>
      </c>
      <c r="N721" s="108">
        <f>IFERROR(IF(D721=0,0,INT(((YEAR('Deal maths'!AA721)-YEAR(E721))*12+MONTH('Deal maths'!AA721)-MONTH(E721)-(DAY('Deal maths'!AA721)&lt;MIN(R721,DAY(EOMONTH('Deal maths'!AA721,0)))))/D721)+1),0)</f>
        <v/>
      </c>
      <c r="O721" s="108">
        <f>IFERROR(IF(D721=0,0,IF(IF(DAY(E721+1)=1,EOMONTH(E721,(N721-1)*D721),EDATE(E721,(N721-1)*D721))='Deal maths'!AA721,0,1)),0)</f>
        <v/>
      </c>
      <c r="P721" s="113">
        <f>IF(B721=0,0,IFERROR(IF(C721="EIP",((I721-O721)*((IF(DAY(E721+1)=1,EOMONTH(E721,H721*D721),EDATE(E721,H721*D721))-AsAt)/365.25+(IF(DAY(E721+1)=1,EOMONTH(E721,(N721-1)*D721),EDATE(E721,(N721-1)*D721))-AsAt)/365.25)/2+O721*('Deal maths'!AA721-AsAt)/365.25)/I721,IF(C721="Annuity",IF(F721&gt;0,((K721-L721*F721)*((IF(DAY(E721+1)=1,EOMONTH(E721,H721*D721),EDATE(E721,H721*D721))-AsAt)/365.25*((1+F721)^(I721-O721)-1)/F721+IF((I721-O721)&gt;1,((IF(DAY(E721+1)=1,EOMONTH(E721,(N721-1)*D721),EDATE(E721,(N721-1)*D721))-AsAt)/365.25-(IF(DAY(E721+1)=1,EOMONTH(E721,H721*D721),EDATE(E721,H721*D721))-AsAt)/365.25)/((I721-O721)-1),0)*(1+F721)*(1-(I721-O721)*(1+F721)^((I721-O721)-1)+((I721-O721)-1)*(1+F721)^(I721-O721))/F721^2)+O721*(K721-L721*F721)*(1+F721)^(I721-1)*('Deal maths'!AA721-AsAt)/365.25)/L721,((I721-O721)*((IF(DAY(E721+1)=1,EOMONTH(E721,H721*D721),EDATE(E721,H721*D721))-AsAt)/365.25+(IF(DAY(E721+1)=1,EOMONTH(E721,(N721-1)*D721),EDATE(E721,(N721-1)*D721))-AsAt)/365.25)/2+O721*('Deal maths'!AA721-AsAt)/365.25)/I721),(S721-AsAt)/365.25)),0))</f>
        <v/>
      </c>
      <c r="Q721" s="109">
        <f>IF(B721=1,'Deal maths'!AA721+ROW()/1000000,"")</f>
        <v/>
      </c>
      <c r="R721" s="108">
        <f>IF(D721=0,0,IF(DAY(E721+1)=1,31,DAY(E721)))</f>
        <v/>
      </c>
      <c r="S721" s="109">
        <f>IF(AND('Deal maths'!V721="LOBO",'Deal maths'!AG721&gt;AsAt,'Deal maths'!AG721&lt;'Deal maths'!AA721),'Deal maths'!AG721,'Deal maths'!AA721)</f>
        <v/>
      </c>
      <c r="T721" s="108">
        <f>('Deal maths'!AA721&gt;AsAt)*('Deal maths'!Y721&gt;0)</f>
        <v/>
      </c>
    </row>
    <row r="722">
      <c r="A722" s="91">
        <f>IF('Deal maths'!V722="","",'Deal maths'!W722)</f>
        <v/>
      </c>
      <c r="B722" s="108">
        <f>('Deal maths'!AA722&gt;AsAt)*('Deal maths'!Y722&gt;0)*('Deal maths'!Z722&lt;=AsAt)</f>
        <v/>
      </c>
      <c r="C722" s="91">
        <f>IF('Deal maths'!V722="","",IF('Deal maths'!AC722="","Maturity",'Deal maths'!AC722))</f>
        <v/>
      </c>
      <c r="D722" s="108">
        <f>IF(OR(C722="EIP",C722="Annuity"),IF('Deal maths'!AD722="Annual",12,IF('Deal maths'!AD722="Quarterly",3,6)),0)</f>
        <v/>
      </c>
      <c r="E722" s="109">
        <f>IFERROR(IF(D722=0,0,IF('Deal maths'!AE722&gt;0,IF('Deal maths'!AE722&gt;'Deal maths'!AA722,'Deal maths'!AA722,'Deal maths'!AE722),IF(IF(DAY('Deal maths'!AA722+1)=1,EOMONTH('Deal maths'!AA722,-(INT(((YEAR('Deal maths'!AA722)-YEAR(IF('Deal maths'!Z722&gt;0,'Deal maths'!Z722,DATE(1990,1,1))))*12+MONTH('Deal maths'!AA722)-MONTH(IF('Deal maths'!Z722&gt;0,'Deal maths'!Z722,DATE(1990,1,1))))/D722))*D722),EDATE('Deal maths'!AA722,-(INT(((YEAR('Deal maths'!AA722)-YEAR(IF('Deal maths'!Z722&gt;0,'Deal maths'!Z722,DATE(1990,1,1))))*12+MONTH('Deal maths'!AA722)-MONTH(IF('Deal maths'!Z722&gt;0,'Deal maths'!Z722,DATE(1990,1,1))))/D722))*D722))&gt;IF('Deal maths'!Z722&gt;0,'Deal maths'!Z722,DATE(1990,1,1)),IF(DAY('Deal maths'!AA722+1)=1,EOMONTH('Deal maths'!AA722,-(INT(((YEAR('Deal maths'!AA722)-YEAR(IF('Deal maths'!Z722&gt;0,'Deal maths'!Z722,DATE(1990,1,1))))*12+MONTH('Deal maths'!AA722)-MONTH(IF('Deal maths'!Z722&gt;0,'Deal maths'!Z722,DATE(1990,1,1))))/D722))*D722),EDATE('Deal maths'!AA722,-(INT(((YEAR('Deal maths'!AA722)-YEAR(IF('Deal maths'!Z722&gt;0,'Deal maths'!Z722,DATE(1990,1,1))))*12+MONTH('Deal maths'!AA722)-MONTH(IF('Deal maths'!Z722&gt;0,'Deal maths'!Z722,DATE(1990,1,1))))/D722))*D722)),IF(DAY('Deal maths'!AA722+1)=1,EOMONTH('Deal maths'!AA722,-(INT(((YEAR('Deal maths'!AA722)-YEAR(IF('Deal maths'!Z722&gt;0,'Deal maths'!Z722,DATE(1990,1,1))))*12+MONTH('Deal maths'!AA722)-MONTH(IF('Deal maths'!Z722&gt;0,'Deal maths'!Z722,DATE(1990,1,1))))/D722)-1)*D722),EDATE('Deal maths'!AA722,-(INT(((YEAR('Deal maths'!AA722)-YEAR(IF('Deal maths'!Z722&gt;0,'Deal maths'!Z722,DATE(1990,1,1))))*12+MONTH('Deal maths'!AA722)-MONTH(IF('Deal maths'!Z722&gt;0,'Deal maths'!Z722,DATE(1990,1,1))))/D722)-1)*D722))))),0)</f>
        <v/>
      </c>
      <c r="F722" s="110">
        <f>IF(D722=0,0,'Deal maths'!AB722*D722/12)</f>
        <v/>
      </c>
      <c r="G722" s="108">
        <f>N722+O722</f>
        <v/>
      </c>
      <c r="H722" s="108">
        <f>IFERROR(IF(OR(D722=0,AsAt&lt;E722),0,MIN(N722,INT(((YEAR(AsAt)-YEAR(E722))*12+MONTH(AsAt)-MONTH(E722)-(DAY(AsAt)&lt;MIN(R722,DAY(EOMONTH(AsAt,0)))))/D722)+1)+O722*(AsAt&gt;='Deal maths'!AA722)),0)</f>
        <v/>
      </c>
      <c r="I722" s="108">
        <f>G722-H722</f>
        <v/>
      </c>
      <c r="J722" s="111">
        <f>IF(AND(C722="EIP",I722&gt;0),'Deal maths'!Y722/I722,0)</f>
        <v/>
      </c>
      <c r="K722" s="111">
        <f>IF(AND(C722="Annuity",I722&gt;0),IF(F722&gt;0,'Deal maths'!Y722*F722/(1-(1+F722)^-I722),'Deal maths'!Y722/I722),0)</f>
        <v/>
      </c>
      <c r="L722" s="111">
        <f>IF('Deal maths'!Y722="",0,'Deal maths'!Y722)</f>
        <v/>
      </c>
      <c r="M722" s="112">
        <f>F722+(F722=0)</f>
        <v/>
      </c>
      <c r="N722" s="108">
        <f>IFERROR(IF(D722=0,0,INT(((YEAR('Deal maths'!AA722)-YEAR(E722))*12+MONTH('Deal maths'!AA722)-MONTH(E722)-(DAY('Deal maths'!AA722)&lt;MIN(R722,DAY(EOMONTH('Deal maths'!AA722,0)))))/D722)+1),0)</f>
        <v/>
      </c>
      <c r="O722" s="108">
        <f>IFERROR(IF(D722=0,0,IF(IF(DAY(E722+1)=1,EOMONTH(E722,(N722-1)*D722),EDATE(E722,(N722-1)*D722))='Deal maths'!AA722,0,1)),0)</f>
        <v/>
      </c>
      <c r="P722" s="113">
        <f>IF(B722=0,0,IFERROR(IF(C722="EIP",((I722-O722)*((IF(DAY(E722+1)=1,EOMONTH(E722,H722*D722),EDATE(E722,H722*D722))-AsAt)/365.25+(IF(DAY(E722+1)=1,EOMONTH(E722,(N722-1)*D722),EDATE(E722,(N722-1)*D722))-AsAt)/365.25)/2+O722*('Deal maths'!AA722-AsAt)/365.25)/I722,IF(C722="Annuity",IF(F722&gt;0,((K722-L722*F722)*((IF(DAY(E722+1)=1,EOMONTH(E722,H722*D722),EDATE(E722,H722*D722))-AsAt)/365.25*((1+F722)^(I722-O722)-1)/F722+IF((I722-O722)&gt;1,((IF(DAY(E722+1)=1,EOMONTH(E722,(N722-1)*D722),EDATE(E722,(N722-1)*D722))-AsAt)/365.25-(IF(DAY(E722+1)=1,EOMONTH(E722,H722*D722),EDATE(E722,H722*D722))-AsAt)/365.25)/((I722-O722)-1),0)*(1+F722)*(1-(I722-O722)*(1+F722)^((I722-O722)-1)+((I722-O722)-1)*(1+F722)^(I722-O722))/F722^2)+O722*(K722-L722*F722)*(1+F722)^(I722-1)*('Deal maths'!AA722-AsAt)/365.25)/L722,((I722-O722)*((IF(DAY(E722+1)=1,EOMONTH(E722,H722*D722),EDATE(E722,H722*D722))-AsAt)/365.25+(IF(DAY(E722+1)=1,EOMONTH(E722,(N722-1)*D722),EDATE(E722,(N722-1)*D722))-AsAt)/365.25)/2+O722*('Deal maths'!AA722-AsAt)/365.25)/I722),(S722-AsAt)/365.25)),0))</f>
        <v/>
      </c>
      <c r="Q722" s="109">
        <f>IF(B722=1,'Deal maths'!AA722+ROW()/1000000,"")</f>
        <v/>
      </c>
      <c r="R722" s="108">
        <f>IF(D722=0,0,IF(DAY(E722+1)=1,31,DAY(E722)))</f>
        <v/>
      </c>
      <c r="S722" s="109">
        <f>IF(AND('Deal maths'!V722="LOBO",'Deal maths'!AG722&gt;AsAt,'Deal maths'!AG722&lt;'Deal maths'!AA722),'Deal maths'!AG722,'Deal maths'!AA722)</f>
        <v/>
      </c>
      <c r="T722" s="108">
        <f>('Deal maths'!AA722&gt;AsAt)*('Deal maths'!Y722&gt;0)</f>
        <v/>
      </c>
    </row>
    <row r="723">
      <c r="A723" s="91">
        <f>IF('Deal maths'!V723="","",'Deal maths'!W723)</f>
        <v/>
      </c>
      <c r="B723" s="108">
        <f>('Deal maths'!AA723&gt;AsAt)*('Deal maths'!Y723&gt;0)*('Deal maths'!Z723&lt;=AsAt)</f>
        <v/>
      </c>
      <c r="C723" s="91">
        <f>IF('Deal maths'!V723="","",IF('Deal maths'!AC723="","Maturity",'Deal maths'!AC723))</f>
        <v/>
      </c>
      <c r="D723" s="108">
        <f>IF(OR(C723="EIP",C723="Annuity"),IF('Deal maths'!AD723="Annual",12,IF('Deal maths'!AD723="Quarterly",3,6)),0)</f>
        <v/>
      </c>
      <c r="E723" s="109">
        <f>IFERROR(IF(D723=0,0,IF('Deal maths'!AE723&gt;0,IF('Deal maths'!AE723&gt;'Deal maths'!AA723,'Deal maths'!AA723,'Deal maths'!AE723),IF(IF(DAY('Deal maths'!AA723+1)=1,EOMONTH('Deal maths'!AA723,-(INT(((YEAR('Deal maths'!AA723)-YEAR(IF('Deal maths'!Z723&gt;0,'Deal maths'!Z723,DATE(1990,1,1))))*12+MONTH('Deal maths'!AA723)-MONTH(IF('Deal maths'!Z723&gt;0,'Deal maths'!Z723,DATE(1990,1,1))))/D723))*D723),EDATE('Deal maths'!AA723,-(INT(((YEAR('Deal maths'!AA723)-YEAR(IF('Deal maths'!Z723&gt;0,'Deal maths'!Z723,DATE(1990,1,1))))*12+MONTH('Deal maths'!AA723)-MONTH(IF('Deal maths'!Z723&gt;0,'Deal maths'!Z723,DATE(1990,1,1))))/D723))*D723))&gt;IF('Deal maths'!Z723&gt;0,'Deal maths'!Z723,DATE(1990,1,1)),IF(DAY('Deal maths'!AA723+1)=1,EOMONTH('Deal maths'!AA723,-(INT(((YEAR('Deal maths'!AA723)-YEAR(IF('Deal maths'!Z723&gt;0,'Deal maths'!Z723,DATE(1990,1,1))))*12+MONTH('Deal maths'!AA723)-MONTH(IF('Deal maths'!Z723&gt;0,'Deal maths'!Z723,DATE(1990,1,1))))/D723))*D723),EDATE('Deal maths'!AA723,-(INT(((YEAR('Deal maths'!AA723)-YEAR(IF('Deal maths'!Z723&gt;0,'Deal maths'!Z723,DATE(1990,1,1))))*12+MONTH('Deal maths'!AA723)-MONTH(IF('Deal maths'!Z723&gt;0,'Deal maths'!Z723,DATE(1990,1,1))))/D723))*D723)),IF(DAY('Deal maths'!AA723+1)=1,EOMONTH('Deal maths'!AA723,-(INT(((YEAR('Deal maths'!AA723)-YEAR(IF('Deal maths'!Z723&gt;0,'Deal maths'!Z723,DATE(1990,1,1))))*12+MONTH('Deal maths'!AA723)-MONTH(IF('Deal maths'!Z723&gt;0,'Deal maths'!Z723,DATE(1990,1,1))))/D723)-1)*D723),EDATE('Deal maths'!AA723,-(INT(((YEAR('Deal maths'!AA723)-YEAR(IF('Deal maths'!Z723&gt;0,'Deal maths'!Z723,DATE(1990,1,1))))*12+MONTH('Deal maths'!AA723)-MONTH(IF('Deal maths'!Z723&gt;0,'Deal maths'!Z723,DATE(1990,1,1))))/D723)-1)*D723))))),0)</f>
        <v/>
      </c>
      <c r="F723" s="110">
        <f>IF(D723=0,0,'Deal maths'!AB723*D723/12)</f>
        <v/>
      </c>
      <c r="G723" s="108">
        <f>N723+O723</f>
        <v/>
      </c>
      <c r="H723" s="108">
        <f>IFERROR(IF(OR(D723=0,AsAt&lt;E723),0,MIN(N723,INT(((YEAR(AsAt)-YEAR(E723))*12+MONTH(AsAt)-MONTH(E723)-(DAY(AsAt)&lt;MIN(R723,DAY(EOMONTH(AsAt,0)))))/D723)+1)+O723*(AsAt&gt;='Deal maths'!AA723)),0)</f>
        <v/>
      </c>
      <c r="I723" s="108">
        <f>G723-H723</f>
        <v/>
      </c>
      <c r="J723" s="111">
        <f>IF(AND(C723="EIP",I723&gt;0),'Deal maths'!Y723/I723,0)</f>
        <v/>
      </c>
      <c r="K723" s="111">
        <f>IF(AND(C723="Annuity",I723&gt;0),IF(F723&gt;0,'Deal maths'!Y723*F723/(1-(1+F723)^-I723),'Deal maths'!Y723/I723),0)</f>
        <v/>
      </c>
      <c r="L723" s="111">
        <f>IF('Deal maths'!Y723="",0,'Deal maths'!Y723)</f>
        <v/>
      </c>
      <c r="M723" s="112">
        <f>F723+(F723=0)</f>
        <v/>
      </c>
      <c r="N723" s="108">
        <f>IFERROR(IF(D723=0,0,INT(((YEAR('Deal maths'!AA723)-YEAR(E723))*12+MONTH('Deal maths'!AA723)-MONTH(E723)-(DAY('Deal maths'!AA723)&lt;MIN(R723,DAY(EOMONTH('Deal maths'!AA723,0)))))/D723)+1),0)</f>
        <v/>
      </c>
      <c r="O723" s="108">
        <f>IFERROR(IF(D723=0,0,IF(IF(DAY(E723+1)=1,EOMONTH(E723,(N723-1)*D723),EDATE(E723,(N723-1)*D723))='Deal maths'!AA723,0,1)),0)</f>
        <v/>
      </c>
      <c r="P723" s="113">
        <f>IF(B723=0,0,IFERROR(IF(C723="EIP",((I723-O723)*((IF(DAY(E723+1)=1,EOMONTH(E723,H723*D723),EDATE(E723,H723*D723))-AsAt)/365.25+(IF(DAY(E723+1)=1,EOMONTH(E723,(N723-1)*D723),EDATE(E723,(N723-1)*D723))-AsAt)/365.25)/2+O723*('Deal maths'!AA723-AsAt)/365.25)/I723,IF(C723="Annuity",IF(F723&gt;0,((K723-L723*F723)*((IF(DAY(E723+1)=1,EOMONTH(E723,H723*D723),EDATE(E723,H723*D723))-AsAt)/365.25*((1+F723)^(I723-O723)-1)/F723+IF((I723-O723)&gt;1,((IF(DAY(E723+1)=1,EOMONTH(E723,(N723-1)*D723),EDATE(E723,(N723-1)*D723))-AsAt)/365.25-(IF(DAY(E723+1)=1,EOMONTH(E723,H723*D723),EDATE(E723,H723*D723))-AsAt)/365.25)/((I723-O723)-1),0)*(1+F723)*(1-(I723-O723)*(1+F723)^((I723-O723)-1)+((I723-O723)-1)*(1+F723)^(I723-O723))/F723^2)+O723*(K723-L723*F723)*(1+F723)^(I723-1)*('Deal maths'!AA723-AsAt)/365.25)/L723,((I723-O723)*((IF(DAY(E723+1)=1,EOMONTH(E723,H723*D723),EDATE(E723,H723*D723))-AsAt)/365.25+(IF(DAY(E723+1)=1,EOMONTH(E723,(N723-1)*D723),EDATE(E723,(N723-1)*D723))-AsAt)/365.25)/2+O723*('Deal maths'!AA723-AsAt)/365.25)/I723),(S723-AsAt)/365.25)),0))</f>
        <v/>
      </c>
      <c r="Q723" s="109">
        <f>IF(B723=1,'Deal maths'!AA723+ROW()/1000000,"")</f>
        <v/>
      </c>
      <c r="R723" s="108">
        <f>IF(D723=0,0,IF(DAY(E723+1)=1,31,DAY(E723)))</f>
        <v/>
      </c>
      <c r="S723" s="109">
        <f>IF(AND('Deal maths'!V723="LOBO",'Deal maths'!AG723&gt;AsAt,'Deal maths'!AG723&lt;'Deal maths'!AA723),'Deal maths'!AG723,'Deal maths'!AA723)</f>
        <v/>
      </c>
      <c r="T723" s="108">
        <f>('Deal maths'!AA723&gt;AsAt)*('Deal maths'!Y723&gt;0)</f>
        <v/>
      </c>
    </row>
    <row r="724">
      <c r="A724" s="91">
        <f>IF('Deal maths'!V724="","",'Deal maths'!W724)</f>
        <v/>
      </c>
      <c r="B724" s="108">
        <f>('Deal maths'!AA724&gt;AsAt)*('Deal maths'!Y724&gt;0)*('Deal maths'!Z724&lt;=AsAt)</f>
        <v/>
      </c>
      <c r="C724" s="91">
        <f>IF('Deal maths'!V724="","",IF('Deal maths'!AC724="","Maturity",'Deal maths'!AC724))</f>
        <v/>
      </c>
      <c r="D724" s="108">
        <f>IF(OR(C724="EIP",C724="Annuity"),IF('Deal maths'!AD724="Annual",12,IF('Deal maths'!AD724="Quarterly",3,6)),0)</f>
        <v/>
      </c>
      <c r="E724" s="109">
        <f>IFERROR(IF(D724=0,0,IF('Deal maths'!AE724&gt;0,IF('Deal maths'!AE724&gt;'Deal maths'!AA724,'Deal maths'!AA724,'Deal maths'!AE724),IF(IF(DAY('Deal maths'!AA724+1)=1,EOMONTH('Deal maths'!AA724,-(INT(((YEAR('Deal maths'!AA724)-YEAR(IF('Deal maths'!Z724&gt;0,'Deal maths'!Z724,DATE(1990,1,1))))*12+MONTH('Deal maths'!AA724)-MONTH(IF('Deal maths'!Z724&gt;0,'Deal maths'!Z724,DATE(1990,1,1))))/D724))*D724),EDATE('Deal maths'!AA724,-(INT(((YEAR('Deal maths'!AA724)-YEAR(IF('Deal maths'!Z724&gt;0,'Deal maths'!Z724,DATE(1990,1,1))))*12+MONTH('Deal maths'!AA724)-MONTH(IF('Deal maths'!Z724&gt;0,'Deal maths'!Z724,DATE(1990,1,1))))/D724))*D724))&gt;IF('Deal maths'!Z724&gt;0,'Deal maths'!Z724,DATE(1990,1,1)),IF(DAY('Deal maths'!AA724+1)=1,EOMONTH('Deal maths'!AA724,-(INT(((YEAR('Deal maths'!AA724)-YEAR(IF('Deal maths'!Z724&gt;0,'Deal maths'!Z724,DATE(1990,1,1))))*12+MONTH('Deal maths'!AA724)-MONTH(IF('Deal maths'!Z724&gt;0,'Deal maths'!Z724,DATE(1990,1,1))))/D724))*D724),EDATE('Deal maths'!AA724,-(INT(((YEAR('Deal maths'!AA724)-YEAR(IF('Deal maths'!Z724&gt;0,'Deal maths'!Z724,DATE(1990,1,1))))*12+MONTH('Deal maths'!AA724)-MONTH(IF('Deal maths'!Z724&gt;0,'Deal maths'!Z724,DATE(1990,1,1))))/D724))*D724)),IF(DAY('Deal maths'!AA724+1)=1,EOMONTH('Deal maths'!AA724,-(INT(((YEAR('Deal maths'!AA724)-YEAR(IF('Deal maths'!Z724&gt;0,'Deal maths'!Z724,DATE(1990,1,1))))*12+MONTH('Deal maths'!AA724)-MONTH(IF('Deal maths'!Z724&gt;0,'Deal maths'!Z724,DATE(1990,1,1))))/D724)-1)*D724),EDATE('Deal maths'!AA724,-(INT(((YEAR('Deal maths'!AA724)-YEAR(IF('Deal maths'!Z724&gt;0,'Deal maths'!Z724,DATE(1990,1,1))))*12+MONTH('Deal maths'!AA724)-MONTH(IF('Deal maths'!Z724&gt;0,'Deal maths'!Z724,DATE(1990,1,1))))/D724)-1)*D724))))),0)</f>
        <v/>
      </c>
      <c r="F724" s="110">
        <f>IF(D724=0,0,'Deal maths'!AB724*D724/12)</f>
        <v/>
      </c>
      <c r="G724" s="108">
        <f>N724+O724</f>
        <v/>
      </c>
      <c r="H724" s="108">
        <f>IFERROR(IF(OR(D724=0,AsAt&lt;E724),0,MIN(N724,INT(((YEAR(AsAt)-YEAR(E724))*12+MONTH(AsAt)-MONTH(E724)-(DAY(AsAt)&lt;MIN(R724,DAY(EOMONTH(AsAt,0)))))/D724)+1)+O724*(AsAt&gt;='Deal maths'!AA724)),0)</f>
        <v/>
      </c>
      <c r="I724" s="108">
        <f>G724-H724</f>
        <v/>
      </c>
      <c r="J724" s="111">
        <f>IF(AND(C724="EIP",I724&gt;0),'Deal maths'!Y724/I724,0)</f>
        <v/>
      </c>
      <c r="K724" s="111">
        <f>IF(AND(C724="Annuity",I724&gt;0),IF(F724&gt;0,'Deal maths'!Y724*F724/(1-(1+F724)^-I724),'Deal maths'!Y724/I724),0)</f>
        <v/>
      </c>
      <c r="L724" s="111">
        <f>IF('Deal maths'!Y724="",0,'Deal maths'!Y724)</f>
        <v/>
      </c>
      <c r="M724" s="112">
        <f>F724+(F724=0)</f>
        <v/>
      </c>
      <c r="N724" s="108">
        <f>IFERROR(IF(D724=0,0,INT(((YEAR('Deal maths'!AA724)-YEAR(E724))*12+MONTH('Deal maths'!AA724)-MONTH(E724)-(DAY('Deal maths'!AA724)&lt;MIN(R724,DAY(EOMONTH('Deal maths'!AA724,0)))))/D724)+1),0)</f>
        <v/>
      </c>
      <c r="O724" s="108">
        <f>IFERROR(IF(D724=0,0,IF(IF(DAY(E724+1)=1,EOMONTH(E724,(N724-1)*D724),EDATE(E724,(N724-1)*D724))='Deal maths'!AA724,0,1)),0)</f>
        <v/>
      </c>
      <c r="P724" s="113">
        <f>IF(B724=0,0,IFERROR(IF(C724="EIP",((I724-O724)*((IF(DAY(E724+1)=1,EOMONTH(E724,H724*D724),EDATE(E724,H724*D724))-AsAt)/365.25+(IF(DAY(E724+1)=1,EOMONTH(E724,(N724-1)*D724),EDATE(E724,(N724-1)*D724))-AsAt)/365.25)/2+O724*('Deal maths'!AA724-AsAt)/365.25)/I724,IF(C724="Annuity",IF(F724&gt;0,((K724-L724*F724)*((IF(DAY(E724+1)=1,EOMONTH(E724,H724*D724),EDATE(E724,H724*D724))-AsAt)/365.25*((1+F724)^(I724-O724)-1)/F724+IF((I724-O724)&gt;1,((IF(DAY(E724+1)=1,EOMONTH(E724,(N724-1)*D724),EDATE(E724,(N724-1)*D724))-AsAt)/365.25-(IF(DAY(E724+1)=1,EOMONTH(E724,H724*D724),EDATE(E724,H724*D724))-AsAt)/365.25)/((I724-O724)-1),0)*(1+F724)*(1-(I724-O724)*(1+F724)^((I724-O724)-1)+((I724-O724)-1)*(1+F724)^(I724-O724))/F724^2)+O724*(K724-L724*F724)*(1+F724)^(I724-1)*('Deal maths'!AA724-AsAt)/365.25)/L724,((I724-O724)*((IF(DAY(E724+1)=1,EOMONTH(E724,H724*D724),EDATE(E724,H724*D724))-AsAt)/365.25+(IF(DAY(E724+1)=1,EOMONTH(E724,(N724-1)*D724),EDATE(E724,(N724-1)*D724))-AsAt)/365.25)/2+O724*('Deal maths'!AA724-AsAt)/365.25)/I724),(S724-AsAt)/365.25)),0))</f>
        <v/>
      </c>
      <c r="Q724" s="109">
        <f>IF(B724=1,'Deal maths'!AA724+ROW()/1000000,"")</f>
        <v/>
      </c>
      <c r="R724" s="108">
        <f>IF(D724=0,0,IF(DAY(E724+1)=1,31,DAY(E724)))</f>
        <v/>
      </c>
      <c r="S724" s="109">
        <f>IF(AND('Deal maths'!V724="LOBO",'Deal maths'!AG724&gt;AsAt,'Deal maths'!AG724&lt;'Deal maths'!AA724),'Deal maths'!AG724,'Deal maths'!AA724)</f>
        <v/>
      </c>
      <c r="T724" s="108">
        <f>('Deal maths'!AA724&gt;AsAt)*('Deal maths'!Y724&gt;0)</f>
        <v/>
      </c>
    </row>
    <row r="725">
      <c r="A725" s="91">
        <f>IF('Deal maths'!V725="","",'Deal maths'!W725)</f>
        <v/>
      </c>
      <c r="B725" s="108">
        <f>('Deal maths'!AA725&gt;AsAt)*('Deal maths'!Y725&gt;0)*('Deal maths'!Z725&lt;=AsAt)</f>
        <v/>
      </c>
      <c r="C725" s="91">
        <f>IF('Deal maths'!V725="","",IF('Deal maths'!AC725="","Maturity",'Deal maths'!AC725))</f>
        <v/>
      </c>
      <c r="D725" s="108">
        <f>IF(OR(C725="EIP",C725="Annuity"),IF('Deal maths'!AD725="Annual",12,IF('Deal maths'!AD725="Quarterly",3,6)),0)</f>
        <v/>
      </c>
      <c r="E725" s="109">
        <f>IFERROR(IF(D725=0,0,IF('Deal maths'!AE725&gt;0,IF('Deal maths'!AE725&gt;'Deal maths'!AA725,'Deal maths'!AA725,'Deal maths'!AE725),IF(IF(DAY('Deal maths'!AA725+1)=1,EOMONTH('Deal maths'!AA725,-(INT(((YEAR('Deal maths'!AA725)-YEAR(IF('Deal maths'!Z725&gt;0,'Deal maths'!Z725,DATE(1990,1,1))))*12+MONTH('Deal maths'!AA725)-MONTH(IF('Deal maths'!Z725&gt;0,'Deal maths'!Z725,DATE(1990,1,1))))/D725))*D725),EDATE('Deal maths'!AA725,-(INT(((YEAR('Deal maths'!AA725)-YEAR(IF('Deal maths'!Z725&gt;0,'Deal maths'!Z725,DATE(1990,1,1))))*12+MONTH('Deal maths'!AA725)-MONTH(IF('Deal maths'!Z725&gt;0,'Deal maths'!Z725,DATE(1990,1,1))))/D725))*D725))&gt;IF('Deal maths'!Z725&gt;0,'Deal maths'!Z725,DATE(1990,1,1)),IF(DAY('Deal maths'!AA725+1)=1,EOMONTH('Deal maths'!AA725,-(INT(((YEAR('Deal maths'!AA725)-YEAR(IF('Deal maths'!Z725&gt;0,'Deal maths'!Z725,DATE(1990,1,1))))*12+MONTH('Deal maths'!AA725)-MONTH(IF('Deal maths'!Z725&gt;0,'Deal maths'!Z725,DATE(1990,1,1))))/D725))*D725),EDATE('Deal maths'!AA725,-(INT(((YEAR('Deal maths'!AA725)-YEAR(IF('Deal maths'!Z725&gt;0,'Deal maths'!Z725,DATE(1990,1,1))))*12+MONTH('Deal maths'!AA725)-MONTH(IF('Deal maths'!Z725&gt;0,'Deal maths'!Z725,DATE(1990,1,1))))/D725))*D725)),IF(DAY('Deal maths'!AA725+1)=1,EOMONTH('Deal maths'!AA725,-(INT(((YEAR('Deal maths'!AA725)-YEAR(IF('Deal maths'!Z725&gt;0,'Deal maths'!Z725,DATE(1990,1,1))))*12+MONTH('Deal maths'!AA725)-MONTH(IF('Deal maths'!Z725&gt;0,'Deal maths'!Z725,DATE(1990,1,1))))/D725)-1)*D725),EDATE('Deal maths'!AA725,-(INT(((YEAR('Deal maths'!AA725)-YEAR(IF('Deal maths'!Z725&gt;0,'Deal maths'!Z725,DATE(1990,1,1))))*12+MONTH('Deal maths'!AA725)-MONTH(IF('Deal maths'!Z725&gt;0,'Deal maths'!Z725,DATE(1990,1,1))))/D725)-1)*D725))))),0)</f>
        <v/>
      </c>
      <c r="F725" s="110">
        <f>IF(D725=0,0,'Deal maths'!AB725*D725/12)</f>
        <v/>
      </c>
      <c r="G725" s="108">
        <f>N725+O725</f>
        <v/>
      </c>
      <c r="H725" s="108">
        <f>IFERROR(IF(OR(D725=0,AsAt&lt;E725),0,MIN(N725,INT(((YEAR(AsAt)-YEAR(E725))*12+MONTH(AsAt)-MONTH(E725)-(DAY(AsAt)&lt;MIN(R725,DAY(EOMONTH(AsAt,0)))))/D725)+1)+O725*(AsAt&gt;='Deal maths'!AA725)),0)</f>
        <v/>
      </c>
      <c r="I725" s="108">
        <f>G725-H725</f>
        <v/>
      </c>
      <c r="J725" s="111">
        <f>IF(AND(C725="EIP",I725&gt;0),'Deal maths'!Y725/I725,0)</f>
        <v/>
      </c>
      <c r="K725" s="111">
        <f>IF(AND(C725="Annuity",I725&gt;0),IF(F725&gt;0,'Deal maths'!Y725*F725/(1-(1+F725)^-I725),'Deal maths'!Y725/I725),0)</f>
        <v/>
      </c>
      <c r="L725" s="111">
        <f>IF('Deal maths'!Y725="",0,'Deal maths'!Y725)</f>
        <v/>
      </c>
      <c r="M725" s="112">
        <f>F725+(F725=0)</f>
        <v/>
      </c>
      <c r="N725" s="108">
        <f>IFERROR(IF(D725=0,0,INT(((YEAR('Deal maths'!AA725)-YEAR(E725))*12+MONTH('Deal maths'!AA725)-MONTH(E725)-(DAY('Deal maths'!AA725)&lt;MIN(R725,DAY(EOMONTH('Deal maths'!AA725,0)))))/D725)+1),0)</f>
        <v/>
      </c>
      <c r="O725" s="108">
        <f>IFERROR(IF(D725=0,0,IF(IF(DAY(E725+1)=1,EOMONTH(E725,(N725-1)*D725),EDATE(E725,(N725-1)*D725))='Deal maths'!AA725,0,1)),0)</f>
        <v/>
      </c>
      <c r="P725" s="113">
        <f>IF(B725=0,0,IFERROR(IF(C725="EIP",((I725-O725)*((IF(DAY(E725+1)=1,EOMONTH(E725,H725*D725),EDATE(E725,H725*D725))-AsAt)/365.25+(IF(DAY(E725+1)=1,EOMONTH(E725,(N725-1)*D725),EDATE(E725,(N725-1)*D725))-AsAt)/365.25)/2+O725*('Deal maths'!AA725-AsAt)/365.25)/I725,IF(C725="Annuity",IF(F725&gt;0,((K725-L725*F725)*((IF(DAY(E725+1)=1,EOMONTH(E725,H725*D725),EDATE(E725,H725*D725))-AsAt)/365.25*((1+F725)^(I725-O725)-1)/F725+IF((I725-O725)&gt;1,((IF(DAY(E725+1)=1,EOMONTH(E725,(N725-1)*D725),EDATE(E725,(N725-1)*D725))-AsAt)/365.25-(IF(DAY(E725+1)=1,EOMONTH(E725,H725*D725),EDATE(E725,H725*D725))-AsAt)/365.25)/((I725-O725)-1),0)*(1+F725)*(1-(I725-O725)*(1+F725)^((I725-O725)-1)+((I725-O725)-1)*(1+F725)^(I725-O725))/F725^2)+O725*(K725-L725*F725)*(1+F725)^(I725-1)*('Deal maths'!AA725-AsAt)/365.25)/L725,((I725-O725)*((IF(DAY(E725+1)=1,EOMONTH(E725,H725*D725),EDATE(E725,H725*D725))-AsAt)/365.25+(IF(DAY(E725+1)=1,EOMONTH(E725,(N725-1)*D725),EDATE(E725,(N725-1)*D725))-AsAt)/365.25)/2+O725*('Deal maths'!AA725-AsAt)/365.25)/I725),(S725-AsAt)/365.25)),0))</f>
        <v/>
      </c>
      <c r="Q725" s="109">
        <f>IF(B725=1,'Deal maths'!AA725+ROW()/1000000,"")</f>
        <v/>
      </c>
      <c r="R725" s="108">
        <f>IF(D725=0,0,IF(DAY(E725+1)=1,31,DAY(E725)))</f>
        <v/>
      </c>
      <c r="S725" s="109">
        <f>IF(AND('Deal maths'!V725="LOBO",'Deal maths'!AG725&gt;AsAt,'Deal maths'!AG725&lt;'Deal maths'!AA725),'Deal maths'!AG725,'Deal maths'!AA725)</f>
        <v/>
      </c>
      <c r="T725" s="108">
        <f>('Deal maths'!AA725&gt;AsAt)*('Deal maths'!Y725&gt;0)</f>
        <v/>
      </c>
    </row>
    <row r="726">
      <c r="A726" s="91">
        <f>IF('Deal maths'!V726="","",'Deal maths'!W726)</f>
        <v/>
      </c>
      <c r="B726" s="108">
        <f>('Deal maths'!AA726&gt;AsAt)*('Deal maths'!Y726&gt;0)*('Deal maths'!Z726&lt;=AsAt)</f>
        <v/>
      </c>
      <c r="C726" s="91">
        <f>IF('Deal maths'!V726="","",IF('Deal maths'!AC726="","Maturity",'Deal maths'!AC726))</f>
        <v/>
      </c>
      <c r="D726" s="108">
        <f>IF(OR(C726="EIP",C726="Annuity"),IF('Deal maths'!AD726="Annual",12,IF('Deal maths'!AD726="Quarterly",3,6)),0)</f>
        <v/>
      </c>
      <c r="E726" s="109">
        <f>IFERROR(IF(D726=0,0,IF('Deal maths'!AE726&gt;0,IF('Deal maths'!AE726&gt;'Deal maths'!AA726,'Deal maths'!AA726,'Deal maths'!AE726),IF(IF(DAY('Deal maths'!AA726+1)=1,EOMONTH('Deal maths'!AA726,-(INT(((YEAR('Deal maths'!AA726)-YEAR(IF('Deal maths'!Z726&gt;0,'Deal maths'!Z726,DATE(1990,1,1))))*12+MONTH('Deal maths'!AA726)-MONTH(IF('Deal maths'!Z726&gt;0,'Deal maths'!Z726,DATE(1990,1,1))))/D726))*D726),EDATE('Deal maths'!AA726,-(INT(((YEAR('Deal maths'!AA726)-YEAR(IF('Deal maths'!Z726&gt;0,'Deal maths'!Z726,DATE(1990,1,1))))*12+MONTH('Deal maths'!AA726)-MONTH(IF('Deal maths'!Z726&gt;0,'Deal maths'!Z726,DATE(1990,1,1))))/D726))*D726))&gt;IF('Deal maths'!Z726&gt;0,'Deal maths'!Z726,DATE(1990,1,1)),IF(DAY('Deal maths'!AA726+1)=1,EOMONTH('Deal maths'!AA726,-(INT(((YEAR('Deal maths'!AA726)-YEAR(IF('Deal maths'!Z726&gt;0,'Deal maths'!Z726,DATE(1990,1,1))))*12+MONTH('Deal maths'!AA726)-MONTH(IF('Deal maths'!Z726&gt;0,'Deal maths'!Z726,DATE(1990,1,1))))/D726))*D726),EDATE('Deal maths'!AA726,-(INT(((YEAR('Deal maths'!AA726)-YEAR(IF('Deal maths'!Z726&gt;0,'Deal maths'!Z726,DATE(1990,1,1))))*12+MONTH('Deal maths'!AA726)-MONTH(IF('Deal maths'!Z726&gt;0,'Deal maths'!Z726,DATE(1990,1,1))))/D726))*D726)),IF(DAY('Deal maths'!AA726+1)=1,EOMONTH('Deal maths'!AA726,-(INT(((YEAR('Deal maths'!AA726)-YEAR(IF('Deal maths'!Z726&gt;0,'Deal maths'!Z726,DATE(1990,1,1))))*12+MONTH('Deal maths'!AA726)-MONTH(IF('Deal maths'!Z726&gt;0,'Deal maths'!Z726,DATE(1990,1,1))))/D726)-1)*D726),EDATE('Deal maths'!AA726,-(INT(((YEAR('Deal maths'!AA726)-YEAR(IF('Deal maths'!Z726&gt;0,'Deal maths'!Z726,DATE(1990,1,1))))*12+MONTH('Deal maths'!AA726)-MONTH(IF('Deal maths'!Z726&gt;0,'Deal maths'!Z726,DATE(1990,1,1))))/D726)-1)*D726))))),0)</f>
        <v/>
      </c>
      <c r="F726" s="110">
        <f>IF(D726=0,0,'Deal maths'!AB726*D726/12)</f>
        <v/>
      </c>
      <c r="G726" s="108">
        <f>N726+O726</f>
        <v/>
      </c>
      <c r="H726" s="108">
        <f>IFERROR(IF(OR(D726=0,AsAt&lt;E726),0,MIN(N726,INT(((YEAR(AsAt)-YEAR(E726))*12+MONTH(AsAt)-MONTH(E726)-(DAY(AsAt)&lt;MIN(R726,DAY(EOMONTH(AsAt,0)))))/D726)+1)+O726*(AsAt&gt;='Deal maths'!AA726)),0)</f>
        <v/>
      </c>
      <c r="I726" s="108">
        <f>G726-H726</f>
        <v/>
      </c>
      <c r="J726" s="111">
        <f>IF(AND(C726="EIP",I726&gt;0),'Deal maths'!Y726/I726,0)</f>
        <v/>
      </c>
      <c r="K726" s="111">
        <f>IF(AND(C726="Annuity",I726&gt;0),IF(F726&gt;0,'Deal maths'!Y726*F726/(1-(1+F726)^-I726),'Deal maths'!Y726/I726),0)</f>
        <v/>
      </c>
      <c r="L726" s="111">
        <f>IF('Deal maths'!Y726="",0,'Deal maths'!Y726)</f>
        <v/>
      </c>
      <c r="M726" s="112">
        <f>F726+(F726=0)</f>
        <v/>
      </c>
      <c r="N726" s="108">
        <f>IFERROR(IF(D726=0,0,INT(((YEAR('Deal maths'!AA726)-YEAR(E726))*12+MONTH('Deal maths'!AA726)-MONTH(E726)-(DAY('Deal maths'!AA726)&lt;MIN(R726,DAY(EOMONTH('Deal maths'!AA726,0)))))/D726)+1),0)</f>
        <v/>
      </c>
      <c r="O726" s="108">
        <f>IFERROR(IF(D726=0,0,IF(IF(DAY(E726+1)=1,EOMONTH(E726,(N726-1)*D726),EDATE(E726,(N726-1)*D726))='Deal maths'!AA726,0,1)),0)</f>
        <v/>
      </c>
      <c r="P726" s="113">
        <f>IF(B726=0,0,IFERROR(IF(C726="EIP",((I726-O726)*((IF(DAY(E726+1)=1,EOMONTH(E726,H726*D726),EDATE(E726,H726*D726))-AsAt)/365.25+(IF(DAY(E726+1)=1,EOMONTH(E726,(N726-1)*D726),EDATE(E726,(N726-1)*D726))-AsAt)/365.25)/2+O726*('Deal maths'!AA726-AsAt)/365.25)/I726,IF(C726="Annuity",IF(F726&gt;0,((K726-L726*F726)*((IF(DAY(E726+1)=1,EOMONTH(E726,H726*D726),EDATE(E726,H726*D726))-AsAt)/365.25*((1+F726)^(I726-O726)-1)/F726+IF((I726-O726)&gt;1,((IF(DAY(E726+1)=1,EOMONTH(E726,(N726-1)*D726),EDATE(E726,(N726-1)*D726))-AsAt)/365.25-(IF(DAY(E726+1)=1,EOMONTH(E726,H726*D726),EDATE(E726,H726*D726))-AsAt)/365.25)/((I726-O726)-1),0)*(1+F726)*(1-(I726-O726)*(1+F726)^((I726-O726)-1)+((I726-O726)-1)*(1+F726)^(I726-O726))/F726^2)+O726*(K726-L726*F726)*(1+F726)^(I726-1)*('Deal maths'!AA726-AsAt)/365.25)/L726,((I726-O726)*((IF(DAY(E726+1)=1,EOMONTH(E726,H726*D726),EDATE(E726,H726*D726))-AsAt)/365.25+(IF(DAY(E726+1)=1,EOMONTH(E726,(N726-1)*D726),EDATE(E726,(N726-1)*D726))-AsAt)/365.25)/2+O726*('Deal maths'!AA726-AsAt)/365.25)/I726),(S726-AsAt)/365.25)),0))</f>
        <v/>
      </c>
      <c r="Q726" s="109">
        <f>IF(B726=1,'Deal maths'!AA726+ROW()/1000000,"")</f>
        <v/>
      </c>
      <c r="R726" s="108">
        <f>IF(D726=0,0,IF(DAY(E726+1)=1,31,DAY(E726)))</f>
        <v/>
      </c>
      <c r="S726" s="109">
        <f>IF(AND('Deal maths'!V726="LOBO",'Deal maths'!AG726&gt;AsAt,'Deal maths'!AG726&lt;'Deal maths'!AA726),'Deal maths'!AG726,'Deal maths'!AA726)</f>
        <v/>
      </c>
      <c r="T726" s="108">
        <f>('Deal maths'!AA726&gt;AsAt)*('Deal maths'!Y726&gt;0)</f>
        <v/>
      </c>
    </row>
    <row r="727">
      <c r="A727" s="91">
        <f>IF('Deal maths'!V727="","",'Deal maths'!W727)</f>
        <v/>
      </c>
      <c r="B727" s="108">
        <f>('Deal maths'!AA727&gt;AsAt)*('Deal maths'!Y727&gt;0)*('Deal maths'!Z727&lt;=AsAt)</f>
        <v/>
      </c>
      <c r="C727" s="91">
        <f>IF('Deal maths'!V727="","",IF('Deal maths'!AC727="","Maturity",'Deal maths'!AC727))</f>
        <v/>
      </c>
      <c r="D727" s="108">
        <f>IF(OR(C727="EIP",C727="Annuity"),IF('Deal maths'!AD727="Annual",12,IF('Deal maths'!AD727="Quarterly",3,6)),0)</f>
        <v/>
      </c>
      <c r="E727" s="109">
        <f>IFERROR(IF(D727=0,0,IF('Deal maths'!AE727&gt;0,IF('Deal maths'!AE727&gt;'Deal maths'!AA727,'Deal maths'!AA727,'Deal maths'!AE727),IF(IF(DAY('Deal maths'!AA727+1)=1,EOMONTH('Deal maths'!AA727,-(INT(((YEAR('Deal maths'!AA727)-YEAR(IF('Deal maths'!Z727&gt;0,'Deal maths'!Z727,DATE(1990,1,1))))*12+MONTH('Deal maths'!AA727)-MONTH(IF('Deal maths'!Z727&gt;0,'Deal maths'!Z727,DATE(1990,1,1))))/D727))*D727),EDATE('Deal maths'!AA727,-(INT(((YEAR('Deal maths'!AA727)-YEAR(IF('Deal maths'!Z727&gt;0,'Deal maths'!Z727,DATE(1990,1,1))))*12+MONTH('Deal maths'!AA727)-MONTH(IF('Deal maths'!Z727&gt;0,'Deal maths'!Z727,DATE(1990,1,1))))/D727))*D727))&gt;IF('Deal maths'!Z727&gt;0,'Deal maths'!Z727,DATE(1990,1,1)),IF(DAY('Deal maths'!AA727+1)=1,EOMONTH('Deal maths'!AA727,-(INT(((YEAR('Deal maths'!AA727)-YEAR(IF('Deal maths'!Z727&gt;0,'Deal maths'!Z727,DATE(1990,1,1))))*12+MONTH('Deal maths'!AA727)-MONTH(IF('Deal maths'!Z727&gt;0,'Deal maths'!Z727,DATE(1990,1,1))))/D727))*D727),EDATE('Deal maths'!AA727,-(INT(((YEAR('Deal maths'!AA727)-YEAR(IF('Deal maths'!Z727&gt;0,'Deal maths'!Z727,DATE(1990,1,1))))*12+MONTH('Deal maths'!AA727)-MONTH(IF('Deal maths'!Z727&gt;0,'Deal maths'!Z727,DATE(1990,1,1))))/D727))*D727)),IF(DAY('Deal maths'!AA727+1)=1,EOMONTH('Deal maths'!AA727,-(INT(((YEAR('Deal maths'!AA727)-YEAR(IF('Deal maths'!Z727&gt;0,'Deal maths'!Z727,DATE(1990,1,1))))*12+MONTH('Deal maths'!AA727)-MONTH(IF('Deal maths'!Z727&gt;0,'Deal maths'!Z727,DATE(1990,1,1))))/D727)-1)*D727),EDATE('Deal maths'!AA727,-(INT(((YEAR('Deal maths'!AA727)-YEAR(IF('Deal maths'!Z727&gt;0,'Deal maths'!Z727,DATE(1990,1,1))))*12+MONTH('Deal maths'!AA727)-MONTH(IF('Deal maths'!Z727&gt;0,'Deal maths'!Z727,DATE(1990,1,1))))/D727)-1)*D727))))),0)</f>
        <v/>
      </c>
      <c r="F727" s="110">
        <f>IF(D727=0,0,'Deal maths'!AB727*D727/12)</f>
        <v/>
      </c>
      <c r="G727" s="108">
        <f>N727+O727</f>
        <v/>
      </c>
      <c r="H727" s="108">
        <f>IFERROR(IF(OR(D727=0,AsAt&lt;E727),0,MIN(N727,INT(((YEAR(AsAt)-YEAR(E727))*12+MONTH(AsAt)-MONTH(E727)-(DAY(AsAt)&lt;MIN(R727,DAY(EOMONTH(AsAt,0)))))/D727)+1)+O727*(AsAt&gt;='Deal maths'!AA727)),0)</f>
        <v/>
      </c>
      <c r="I727" s="108">
        <f>G727-H727</f>
        <v/>
      </c>
      <c r="J727" s="111">
        <f>IF(AND(C727="EIP",I727&gt;0),'Deal maths'!Y727/I727,0)</f>
        <v/>
      </c>
      <c r="K727" s="111">
        <f>IF(AND(C727="Annuity",I727&gt;0),IF(F727&gt;0,'Deal maths'!Y727*F727/(1-(1+F727)^-I727),'Deal maths'!Y727/I727),0)</f>
        <v/>
      </c>
      <c r="L727" s="111">
        <f>IF('Deal maths'!Y727="",0,'Deal maths'!Y727)</f>
        <v/>
      </c>
      <c r="M727" s="112">
        <f>F727+(F727=0)</f>
        <v/>
      </c>
      <c r="N727" s="108">
        <f>IFERROR(IF(D727=0,0,INT(((YEAR('Deal maths'!AA727)-YEAR(E727))*12+MONTH('Deal maths'!AA727)-MONTH(E727)-(DAY('Deal maths'!AA727)&lt;MIN(R727,DAY(EOMONTH('Deal maths'!AA727,0)))))/D727)+1),0)</f>
        <v/>
      </c>
      <c r="O727" s="108">
        <f>IFERROR(IF(D727=0,0,IF(IF(DAY(E727+1)=1,EOMONTH(E727,(N727-1)*D727),EDATE(E727,(N727-1)*D727))='Deal maths'!AA727,0,1)),0)</f>
        <v/>
      </c>
      <c r="P727" s="113">
        <f>IF(B727=0,0,IFERROR(IF(C727="EIP",((I727-O727)*((IF(DAY(E727+1)=1,EOMONTH(E727,H727*D727),EDATE(E727,H727*D727))-AsAt)/365.25+(IF(DAY(E727+1)=1,EOMONTH(E727,(N727-1)*D727),EDATE(E727,(N727-1)*D727))-AsAt)/365.25)/2+O727*('Deal maths'!AA727-AsAt)/365.25)/I727,IF(C727="Annuity",IF(F727&gt;0,((K727-L727*F727)*((IF(DAY(E727+1)=1,EOMONTH(E727,H727*D727),EDATE(E727,H727*D727))-AsAt)/365.25*((1+F727)^(I727-O727)-1)/F727+IF((I727-O727)&gt;1,((IF(DAY(E727+1)=1,EOMONTH(E727,(N727-1)*D727),EDATE(E727,(N727-1)*D727))-AsAt)/365.25-(IF(DAY(E727+1)=1,EOMONTH(E727,H727*D727),EDATE(E727,H727*D727))-AsAt)/365.25)/((I727-O727)-1),0)*(1+F727)*(1-(I727-O727)*(1+F727)^((I727-O727)-1)+((I727-O727)-1)*(1+F727)^(I727-O727))/F727^2)+O727*(K727-L727*F727)*(1+F727)^(I727-1)*('Deal maths'!AA727-AsAt)/365.25)/L727,((I727-O727)*((IF(DAY(E727+1)=1,EOMONTH(E727,H727*D727),EDATE(E727,H727*D727))-AsAt)/365.25+(IF(DAY(E727+1)=1,EOMONTH(E727,(N727-1)*D727),EDATE(E727,(N727-1)*D727))-AsAt)/365.25)/2+O727*('Deal maths'!AA727-AsAt)/365.25)/I727),(S727-AsAt)/365.25)),0))</f>
        <v/>
      </c>
      <c r="Q727" s="109">
        <f>IF(B727=1,'Deal maths'!AA727+ROW()/1000000,"")</f>
        <v/>
      </c>
      <c r="R727" s="108">
        <f>IF(D727=0,0,IF(DAY(E727+1)=1,31,DAY(E727)))</f>
        <v/>
      </c>
      <c r="S727" s="109">
        <f>IF(AND('Deal maths'!V727="LOBO",'Deal maths'!AG727&gt;AsAt,'Deal maths'!AG727&lt;'Deal maths'!AA727),'Deal maths'!AG727,'Deal maths'!AA727)</f>
        <v/>
      </c>
      <c r="T727" s="108">
        <f>('Deal maths'!AA727&gt;AsAt)*('Deal maths'!Y727&gt;0)</f>
        <v/>
      </c>
    </row>
    <row r="728">
      <c r="A728" s="91">
        <f>IF('Deal maths'!V728="","",'Deal maths'!W728)</f>
        <v/>
      </c>
      <c r="B728" s="108">
        <f>('Deal maths'!AA728&gt;AsAt)*('Deal maths'!Y728&gt;0)*('Deal maths'!Z728&lt;=AsAt)</f>
        <v/>
      </c>
      <c r="C728" s="91">
        <f>IF('Deal maths'!V728="","",IF('Deal maths'!AC728="","Maturity",'Deal maths'!AC728))</f>
        <v/>
      </c>
      <c r="D728" s="108">
        <f>IF(OR(C728="EIP",C728="Annuity"),IF('Deal maths'!AD728="Annual",12,IF('Deal maths'!AD728="Quarterly",3,6)),0)</f>
        <v/>
      </c>
      <c r="E728" s="109">
        <f>IFERROR(IF(D728=0,0,IF('Deal maths'!AE728&gt;0,IF('Deal maths'!AE728&gt;'Deal maths'!AA728,'Deal maths'!AA728,'Deal maths'!AE728),IF(IF(DAY('Deal maths'!AA728+1)=1,EOMONTH('Deal maths'!AA728,-(INT(((YEAR('Deal maths'!AA728)-YEAR(IF('Deal maths'!Z728&gt;0,'Deal maths'!Z728,DATE(1990,1,1))))*12+MONTH('Deal maths'!AA728)-MONTH(IF('Deal maths'!Z728&gt;0,'Deal maths'!Z728,DATE(1990,1,1))))/D728))*D728),EDATE('Deal maths'!AA728,-(INT(((YEAR('Deal maths'!AA728)-YEAR(IF('Deal maths'!Z728&gt;0,'Deal maths'!Z728,DATE(1990,1,1))))*12+MONTH('Deal maths'!AA728)-MONTH(IF('Deal maths'!Z728&gt;0,'Deal maths'!Z728,DATE(1990,1,1))))/D728))*D728))&gt;IF('Deal maths'!Z728&gt;0,'Deal maths'!Z728,DATE(1990,1,1)),IF(DAY('Deal maths'!AA728+1)=1,EOMONTH('Deal maths'!AA728,-(INT(((YEAR('Deal maths'!AA728)-YEAR(IF('Deal maths'!Z728&gt;0,'Deal maths'!Z728,DATE(1990,1,1))))*12+MONTH('Deal maths'!AA728)-MONTH(IF('Deal maths'!Z728&gt;0,'Deal maths'!Z728,DATE(1990,1,1))))/D728))*D728),EDATE('Deal maths'!AA728,-(INT(((YEAR('Deal maths'!AA728)-YEAR(IF('Deal maths'!Z728&gt;0,'Deal maths'!Z728,DATE(1990,1,1))))*12+MONTH('Deal maths'!AA728)-MONTH(IF('Deal maths'!Z728&gt;0,'Deal maths'!Z728,DATE(1990,1,1))))/D728))*D728)),IF(DAY('Deal maths'!AA728+1)=1,EOMONTH('Deal maths'!AA728,-(INT(((YEAR('Deal maths'!AA728)-YEAR(IF('Deal maths'!Z728&gt;0,'Deal maths'!Z728,DATE(1990,1,1))))*12+MONTH('Deal maths'!AA728)-MONTH(IF('Deal maths'!Z728&gt;0,'Deal maths'!Z728,DATE(1990,1,1))))/D728)-1)*D728),EDATE('Deal maths'!AA728,-(INT(((YEAR('Deal maths'!AA728)-YEAR(IF('Deal maths'!Z728&gt;0,'Deal maths'!Z728,DATE(1990,1,1))))*12+MONTH('Deal maths'!AA728)-MONTH(IF('Deal maths'!Z728&gt;0,'Deal maths'!Z728,DATE(1990,1,1))))/D728)-1)*D728))))),0)</f>
        <v/>
      </c>
      <c r="F728" s="110">
        <f>IF(D728=0,0,'Deal maths'!AB728*D728/12)</f>
        <v/>
      </c>
      <c r="G728" s="108">
        <f>N728+O728</f>
        <v/>
      </c>
      <c r="H728" s="108">
        <f>IFERROR(IF(OR(D728=0,AsAt&lt;E728),0,MIN(N728,INT(((YEAR(AsAt)-YEAR(E728))*12+MONTH(AsAt)-MONTH(E728)-(DAY(AsAt)&lt;MIN(R728,DAY(EOMONTH(AsAt,0)))))/D728)+1)+O728*(AsAt&gt;='Deal maths'!AA728)),0)</f>
        <v/>
      </c>
      <c r="I728" s="108">
        <f>G728-H728</f>
        <v/>
      </c>
      <c r="J728" s="111">
        <f>IF(AND(C728="EIP",I728&gt;0),'Deal maths'!Y728/I728,0)</f>
        <v/>
      </c>
      <c r="K728" s="111">
        <f>IF(AND(C728="Annuity",I728&gt;0),IF(F728&gt;0,'Deal maths'!Y728*F728/(1-(1+F728)^-I728),'Deal maths'!Y728/I728),0)</f>
        <v/>
      </c>
      <c r="L728" s="111">
        <f>IF('Deal maths'!Y728="",0,'Deal maths'!Y728)</f>
        <v/>
      </c>
      <c r="M728" s="112">
        <f>F728+(F728=0)</f>
        <v/>
      </c>
      <c r="N728" s="108">
        <f>IFERROR(IF(D728=0,0,INT(((YEAR('Deal maths'!AA728)-YEAR(E728))*12+MONTH('Deal maths'!AA728)-MONTH(E728)-(DAY('Deal maths'!AA728)&lt;MIN(R728,DAY(EOMONTH('Deal maths'!AA728,0)))))/D728)+1),0)</f>
        <v/>
      </c>
      <c r="O728" s="108">
        <f>IFERROR(IF(D728=0,0,IF(IF(DAY(E728+1)=1,EOMONTH(E728,(N728-1)*D728),EDATE(E728,(N728-1)*D728))='Deal maths'!AA728,0,1)),0)</f>
        <v/>
      </c>
      <c r="P728" s="113">
        <f>IF(B728=0,0,IFERROR(IF(C728="EIP",((I728-O728)*((IF(DAY(E728+1)=1,EOMONTH(E728,H728*D728),EDATE(E728,H728*D728))-AsAt)/365.25+(IF(DAY(E728+1)=1,EOMONTH(E728,(N728-1)*D728),EDATE(E728,(N728-1)*D728))-AsAt)/365.25)/2+O728*('Deal maths'!AA728-AsAt)/365.25)/I728,IF(C728="Annuity",IF(F728&gt;0,((K728-L728*F728)*((IF(DAY(E728+1)=1,EOMONTH(E728,H728*D728),EDATE(E728,H728*D728))-AsAt)/365.25*((1+F728)^(I728-O728)-1)/F728+IF((I728-O728)&gt;1,((IF(DAY(E728+1)=1,EOMONTH(E728,(N728-1)*D728),EDATE(E728,(N728-1)*D728))-AsAt)/365.25-(IF(DAY(E728+1)=1,EOMONTH(E728,H728*D728),EDATE(E728,H728*D728))-AsAt)/365.25)/((I728-O728)-1),0)*(1+F728)*(1-(I728-O728)*(1+F728)^((I728-O728)-1)+((I728-O728)-1)*(1+F728)^(I728-O728))/F728^2)+O728*(K728-L728*F728)*(1+F728)^(I728-1)*('Deal maths'!AA728-AsAt)/365.25)/L728,((I728-O728)*((IF(DAY(E728+1)=1,EOMONTH(E728,H728*D728),EDATE(E728,H728*D728))-AsAt)/365.25+(IF(DAY(E728+1)=1,EOMONTH(E728,(N728-1)*D728),EDATE(E728,(N728-1)*D728))-AsAt)/365.25)/2+O728*('Deal maths'!AA728-AsAt)/365.25)/I728),(S728-AsAt)/365.25)),0))</f>
        <v/>
      </c>
      <c r="Q728" s="109">
        <f>IF(B728=1,'Deal maths'!AA728+ROW()/1000000,"")</f>
        <v/>
      </c>
      <c r="R728" s="108">
        <f>IF(D728=0,0,IF(DAY(E728+1)=1,31,DAY(E728)))</f>
        <v/>
      </c>
      <c r="S728" s="109">
        <f>IF(AND('Deal maths'!V728="LOBO",'Deal maths'!AG728&gt;AsAt,'Deal maths'!AG728&lt;'Deal maths'!AA728),'Deal maths'!AG728,'Deal maths'!AA728)</f>
        <v/>
      </c>
      <c r="T728" s="108">
        <f>('Deal maths'!AA728&gt;AsAt)*('Deal maths'!Y728&gt;0)</f>
        <v/>
      </c>
    </row>
    <row r="729">
      <c r="A729" s="91">
        <f>IF('Deal maths'!V729="","",'Deal maths'!W729)</f>
        <v/>
      </c>
      <c r="B729" s="108">
        <f>('Deal maths'!AA729&gt;AsAt)*('Deal maths'!Y729&gt;0)*('Deal maths'!Z729&lt;=AsAt)</f>
        <v/>
      </c>
      <c r="C729" s="91">
        <f>IF('Deal maths'!V729="","",IF('Deal maths'!AC729="","Maturity",'Deal maths'!AC729))</f>
        <v/>
      </c>
      <c r="D729" s="108">
        <f>IF(OR(C729="EIP",C729="Annuity"),IF('Deal maths'!AD729="Annual",12,IF('Deal maths'!AD729="Quarterly",3,6)),0)</f>
        <v/>
      </c>
      <c r="E729" s="109">
        <f>IFERROR(IF(D729=0,0,IF('Deal maths'!AE729&gt;0,IF('Deal maths'!AE729&gt;'Deal maths'!AA729,'Deal maths'!AA729,'Deal maths'!AE729),IF(IF(DAY('Deal maths'!AA729+1)=1,EOMONTH('Deal maths'!AA729,-(INT(((YEAR('Deal maths'!AA729)-YEAR(IF('Deal maths'!Z729&gt;0,'Deal maths'!Z729,DATE(1990,1,1))))*12+MONTH('Deal maths'!AA729)-MONTH(IF('Deal maths'!Z729&gt;0,'Deal maths'!Z729,DATE(1990,1,1))))/D729))*D729),EDATE('Deal maths'!AA729,-(INT(((YEAR('Deal maths'!AA729)-YEAR(IF('Deal maths'!Z729&gt;0,'Deal maths'!Z729,DATE(1990,1,1))))*12+MONTH('Deal maths'!AA729)-MONTH(IF('Deal maths'!Z729&gt;0,'Deal maths'!Z729,DATE(1990,1,1))))/D729))*D729))&gt;IF('Deal maths'!Z729&gt;0,'Deal maths'!Z729,DATE(1990,1,1)),IF(DAY('Deal maths'!AA729+1)=1,EOMONTH('Deal maths'!AA729,-(INT(((YEAR('Deal maths'!AA729)-YEAR(IF('Deal maths'!Z729&gt;0,'Deal maths'!Z729,DATE(1990,1,1))))*12+MONTH('Deal maths'!AA729)-MONTH(IF('Deal maths'!Z729&gt;0,'Deal maths'!Z729,DATE(1990,1,1))))/D729))*D729),EDATE('Deal maths'!AA729,-(INT(((YEAR('Deal maths'!AA729)-YEAR(IF('Deal maths'!Z729&gt;0,'Deal maths'!Z729,DATE(1990,1,1))))*12+MONTH('Deal maths'!AA729)-MONTH(IF('Deal maths'!Z729&gt;0,'Deal maths'!Z729,DATE(1990,1,1))))/D729))*D729)),IF(DAY('Deal maths'!AA729+1)=1,EOMONTH('Deal maths'!AA729,-(INT(((YEAR('Deal maths'!AA729)-YEAR(IF('Deal maths'!Z729&gt;0,'Deal maths'!Z729,DATE(1990,1,1))))*12+MONTH('Deal maths'!AA729)-MONTH(IF('Deal maths'!Z729&gt;0,'Deal maths'!Z729,DATE(1990,1,1))))/D729)-1)*D729),EDATE('Deal maths'!AA729,-(INT(((YEAR('Deal maths'!AA729)-YEAR(IF('Deal maths'!Z729&gt;0,'Deal maths'!Z729,DATE(1990,1,1))))*12+MONTH('Deal maths'!AA729)-MONTH(IF('Deal maths'!Z729&gt;0,'Deal maths'!Z729,DATE(1990,1,1))))/D729)-1)*D729))))),0)</f>
        <v/>
      </c>
      <c r="F729" s="110">
        <f>IF(D729=0,0,'Deal maths'!AB729*D729/12)</f>
        <v/>
      </c>
      <c r="G729" s="108">
        <f>N729+O729</f>
        <v/>
      </c>
      <c r="H729" s="108">
        <f>IFERROR(IF(OR(D729=0,AsAt&lt;E729),0,MIN(N729,INT(((YEAR(AsAt)-YEAR(E729))*12+MONTH(AsAt)-MONTH(E729)-(DAY(AsAt)&lt;MIN(R729,DAY(EOMONTH(AsAt,0)))))/D729)+1)+O729*(AsAt&gt;='Deal maths'!AA729)),0)</f>
        <v/>
      </c>
      <c r="I729" s="108">
        <f>G729-H729</f>
        <v/>
      </c>
      <c r="J729" s="111">
        <f>IF(AND(C729="EIP",I729&gt;0),'Deal maths'!Y729/I729,0)</f>
        <v/>
      </c>
      <c r="K729" s="111">
        <f>IF(AND(C729="Annuity",I729&gt;0),IF(F729&gt;0,'Deal maths'!Y729*F729/(1-(1+F729)^-I729),'Deal maths'!Y729/I729),0)</f>
        <v/>
      </c>
      <c r="L729" s="111">
        <f>IF('Deal maths'!Y729="",0,'Deal maths'!Y729)</f>
        <v/>
      </c>
      <c r="M729" s="112">
        <f>F729+(F729=0)</f>
        <v/>
      </c>
      <c r="N729" s="108">
        <f>IFERROR(IF(D729=0,0,INT(((YEAR('Deal maths'!AA729)-YEAR(E729))*12+MONTH('Deal maths'!AA729)-MONTH(E729)-(DAY('Deal maths'!AA729)&lt;MIN(R729,DAY(EOMONTH('Deal maths'!AA729,0)))))/D729)+1),0)</f>
        <v/>
      </c>
      <c r="O729" s="108">
        <f>IFERROR(IF(D729=0,0,IF(IF(DAY(E729+1)=1,EOMONTH(E729,(N729-1)*D729),EDATE(E729,(N729-1)*D729))='Deal maths'!AA729,0,1)),0)</f>
        <v/>
      </c>
      <c r="P729" s="113">
        <f>IF(B729=0,0,IFERROR(IF(C729="EIP",((I729-O729)*((IF(DAY(E729+1)=1,EOMONTH(E729,H729*D729),EDATE(E729,H729*D729))-AsAt)/365.25+(IF(DAY(E729+1)=1,EOMONTH(E729,(N729-1)*D729),EDATE(E729,(N729-1)*D729))-AsAt)/365.25)/2+O729*('Deal maths'!AA729-AsAt)/365.25)/I729,IF(C729="Annuity",IF(F729&gt;0,((K729-L729*F729)*((IF(DAY(E729+1)=1,EOMONTH(E729,H729*D729),EDATE(E729,H729*D729))-AsAt)/365.25*((1+F729)^(I729-O729)-1)/F729+IF((I729-O729)&gt;1,((IF(DAY(E729+1)=1,EOMONTH(E729,(N729-1)*D729),EDATE(E729,(N729-1)*D729))-AsAt)/365.25-(IF(DAY(E729+1)=1,EOMONTH(E729,H729*D729),EDATE(E729,H729*D729))-AsAt)/365.25)/((I729-O729)-1),0)*(1+F729)*(1-(I729-O729)*(1+F729)^((I729-O729)-1)+((I729-O729)-1)*(1+F729)^(I729-O729))/F729^2)+O729*(K729-L729*F729)*(1+F729)^(I729-1)*('Deal maths'!AA729-AsAt)/365.25)/L729,((I729-O729)*((IF(DAY(E729+1)=1,EOMONTH(E729,H729*D729),EDATE(E729,H729*D729))-AsAt)/365.25+(IF(DAY(E729+1)=1,EOMONTH(E729,(N729-1)*D729),EDATE(E729,(N729-1)*D729))-AsAt)/365.25)/2+O729*('Deal maths'!AA729-AsAt)/365.25)/I729),(S729-AsAt)/365.25)),0))</f>
        <v/>
      </c>
      <c r="Q729" s="109">
        <f>IF(B729=1,'Deal maths'!AA729+ROW()/1000000,"")</f>
        <v/>
      </c>
      <c r="R729" s="108">
        <f>IF(D729=0,0,IF(DAY(E729+1)=1,31,DAY(E729)))</f>
        <v/>
      </c>
      <c r="S729" s="109">
        <f>IF(AND('Deal maths'!V729="LOBO",'Deal maths'!AG729&gt;AsAt,'Deal maths'!AG729&lt;'Deal maths'!AA729),'Deal maths'!AG729,'Deal maths'!AA729)</f>
        <v/>
      </c>
      <c r="T729" s="108">
        <f>('Deal maths'!AA729&gt;AsAt)*('Deal maths'!Y729&gt;0)</f>
        <v/>
      </c>
    </row>
    <row r="730">
      <c r="A730" s="91">
        <f>IF('Deal maths'!V730="","",'Deal maths'!W730)</f>
        <v/>
      </c>
      <c r="B730" s="108">
        <f>('Deal maths'!AA730&gt;AsAt)*('Deal maths'!Y730&gt;0)*('Deal maths'!Z730&lt;=AsAt)</f>
        <v/>
      </c>
      <c r="C730" s="91">
        <f>IF('Deal maths'!V730="","",IF('Deal maths'!AC730="","Maturity",'Deal maths'!AC730))</f>
        <v/>
      </c>
      <c r="D730" s="108">
        <f>IF(OR(C730="EIP",C730="Annuity"),IF('Deal maths'!AD730="Annual",12,IF('Deal maths'!AD730="Quarterly",3,6)),0)</f>
        <v/>
      </c>
      <c r="E730" s="109">
        <f>IFERROR(IF(D730=0,0,IF('Deal maths'!AE730&gt;0,IF('Deal maths'!AE730&gt;'Deal maths'!AA730,'Deal maths'!AA730,'Deal maths'!AE730),IF(IF(DAY('Deal maths'!AA730+1)=1,EOMONTH('Deal maths'!AA730,-(INT(((YEAR('Deal maths'!AA730)-YEAR(IF('Deal maths'!Z730&gt;0,'Deal maths'!Z730,DATE(1990,1,1))))*12+MONTH('Deal maths'!AA730)-MONTH(IF('Deal maths'!Z730&gt;0,'Deal maths'!Z730,DATE(1990,1,1))))/D730))*D730),EDATE('Deal maths'!AA730,-(INT(((YEAR('Deal maths'!AA730)-YEAR(IF('Deal maths'!Z730&gt;0,'Deal maths'!Z730,DATE(1990,1,1))))*12+MONTH('Deal maths'!AA730)-MONTH(IF('Deal maths'!Z730&gt;0,'Deal maths'!Z730,DATE(1990,1,1))))/D730))*D730))&gt;IF('Deal maths'!Z730&gt;0,'Deal maths'!Z730,DATE(1990,1,1)),IF(DAY('Deal maths'!AA730+1)=1,EOMONTH('Deal maths'!AA730,-(INT(((YEAR('Deal maths'!AA730)-YEAR(IF('Deal maths'!Z730&gt;0,'Deal maths'!Z730,DATE(1990,1,1))))*12+MONTH('Deal maths'!AA730)-MONTH(IF('Deal maths'!Z730&gt;0,'Deal maths'!Z730,DATE(1990,1,1))))/D730))*D730),EDATE('Deal maths'!AA730,-(INT(((YEAR('Deal maths'!AA730)-YEAR(IF('Deal maths'!Z730&gt;0,'Deal maths'!Z730,DATE(1990,1,1))))*12+MONTH('Deal maths'!AA730)-MONTH(IF('Deal maths'!Z730&gt;0,'Deal maths'!Z730,DATE(1990,1,1))))/D730))*D730)),IF(DAY('Deal maths'!AA730+1)=1,EOMONTH('Deal maths'!AA730,-(INT(((YEAR('Deal maths'!AA730)-YEAR(IF('Deal maths'!Z730&gt;0,'Deal maths'!Z730,DATE(1990,1,1))))*12+MONTH('Deal maths'!AA730)-MONTH(IF('Deal maths'!Z730&gt;0,'Deal maths'!Z730,DATE(1990,1,1))))/D730)-1)*D730),EDATE('Deal maths'!AA730,-(INT(((YEAR('Deal maths'!AA730)-YEAR(IF('Deal maths'!Z730&gt;0,'Deal maths'!Z730,DATE(1990,1,1))))*12+MONTH('Deal maths'!AA730)-MONTH(IF('Deal maths'!Z730&gt;0,'Deal maths'!Z730,DATE(1990,1,1))))/D730)-1)*D730))))),0)</f>
        <v/>
      </c>
      <c r="F730" s="110">
        <f>IF(D730=0,0,'Deal maths'!AB730*D730/12)</f>
        <v/>
      </c>
      <c r="G730" s="108">
        <f>N730+O730</f>
        <v/>
      </c>
      <c r="H730" s="108">
        <f>IFERROR(IF(OR(D730=0,AsAt&lt;E730),0,MIN(N730,INT(((YEAR(AsAt)-YEAR(E730))*12+MONTH(AsAt)-MONTH(E730)-(DAY(AsAt)&lt;MIN(R730,DAY(EOMONTH(AsAt,0)))))/D730)+1)+O730*(AsAt&gt;='Deal maths'!AA730)),0)</f>
        <v/>
      </c>
      <c r="I730" s="108">
        <f>G730-H730</f>
        <v/>
      </c>
      <c r="J730" s="111">
        <f>IF(AND(C730="EIP",I730&gt;0),'Deal maths'!Y730/I730,0)</f>
        <v/>
      </c>
      <c r="K730" s="111">
        <f>IF(AND(C730="Annuity",I730&gt;0),IF(F730&gt;0,'Deal maths'!Y730*F730/(1-(1+F730)^-I730),'Deal maths'!Y730/I730),0)</f>
        <v/>
      </c>
      <c r="L730" s="111">
        <f>IF('Deal maths'!Y730="",0,'Deal maths'!Y730)</f>
        <v/>
      </c>
      <c r="M730" s="112">
        <f>F730+(F730=0)</f>
        <v/>
      </c>
      <c r="N730" s="108">
        <f>IFERROR(IF(D730=0,0,INT(((YEAR('Deal maths'!AA730)-YEAR(E730))*12+MONTH('Deal maths'!AA730)-MONTH(E730)-(DAY('Deal maths'!AA730)&lt;MIN(R730,DAY(EOMONTH('Deal maths'!AA730,0)))))/D730)+1),0)</f>
        <v/>
      </c>
      <c r="O730" s="108">
        <f>IFERROR(IF(D730=0,0,IF(IF(DAY(E730+1)=1,EOMONTH(E730,(N730-1)*D730),EDATE(E730,(N730-1)*D730))='Deal maths'!AA730,0,1)),0)</f>
        <v/>
      </c>
      <c r="P730" s="113">
        <f>IF(B730=0,0,IFERROR(IF(C730="EIP",((I730-O730)*((IF(DAY(E730+1)=1,EOMONTH(E730,H730*D730),EDATE(E730,H730*D730))-AsAt)/365.25+(IF(DAY(E730+1)=1,EOMONTH(E730,(N730-1)*D730),EDATE(E730,(N730-1)*D730))-AsAt)/365.25)/2+O730*('Deal maths'!AA730-AsAt)/365.25)/I730,IF(C730="Annuity",IF(F730&gt;0,((K730-L730*F730)*((IF(DAY(E730+1)=1,EOMONTH(E730,H730*D730),EDATE(E730,H730*D730))-AsAt)/365.25*((1+F730)^(I730-O730)-1)/F730+IF((I730-O730)&gt;1,((IF(DAY(E730+1)=1,EOMONTH(E730,(N730-1)*D730),EDATE(E730,(N730-1)*D730))-AsAt)/365.25-(IF(DAY(E730+1)=1,EOMONTH(E730,H730*D730),EDATE(E730,H730*D730))-AsAt)/365.25)/((I730-O730)-1),0)*(1+F730)*(1-(I730-O730)*(1+F730)^((I730-O730)-1)+((I730-O730)-1)*(1+F730)^(I730-O730))/F730^2)+O730*(K730-L730*F730)*(1+F730)^(I730-1)*('Deal maths'!AA730-AsAt)/365.25)/L730,((I730-O730)*((IF(DAY(E730+1)=1,EOMONTH(E730,H730*D730),EDATE(E730,H730*D730))-AsAt)/365.25+(IF(DAY(E730+1)=1,EOMONTH(E730,(N730-1)*D730),EDATE(E730,(N730-1)*D730))-AsAt)/365.25)/2+O730*('Deal maths'!AA730-AsAt)/365.25)/I730),(S730-AsAt)/365.25)),0))</f>
        <v/>
      </c>
      <c r="Q730" s="109">
        <f>IF(B730=1,'Deal maths'!AA730+ROW()/1000000,"")</f>
        <v/>
      </c>
      <c r="R730" s="108">
        <f>IF(D730=0,0,IF(DAY(E730+1)=1,31,DAY(E730)))</f>
        <v/>
      </c>
      <c r="S730" s="109">
        <f>IF(AND('Deal maths'!V730="LOBO",'Deal maths'!AG730&gt;AsAt,'Deal maths'!AG730&lt;'Deal maths'!AA730),'Deal maths'!AG730,'Deal maths'!AA730)</f>
        <v/>
      </c>
      <c r="T730" s="108">
        <f>('Deal maths'!AA730&gt;AsAt)*('Deal maths'!Y730&gt;0)</f>
        <v/>
      </c>
    </row>
    <row r="731">
      <c r="A731" s="91">
        <f>IF('Deal maths'!V731="","",'Deal maths'!W731)</f>
        <v/>
      </c>
      <c r="B731" s="108">
        <f>('Deal maths'!AA731&gt;AsAt)*('Deal maths'!Y731&gt;0)*('Deal maths'!Z731&lt;=AsAt)</f>
        <v/>
      </c>
      <c r="C731" s="91">
        <f>IF('Deal maths'!V731="","",IF('Deal maths'!AC731="","Maturity",'Deal maths'!AC731))</f>
        <v/>
      </c>
      <c r="D731" s="108">
        <f>IF(OR(C731="EIP",C731="Annuity"),IF('Deal maths'!AD731="Annual",12,IF('Deal maths'!AD731="Quarterly",3,6)),0)</f>
        <v/>
      </c>
      <c r="E731" s="109">
        <f>IFERROR(IF(D731=0,0,IF('Deal maths'!AE731&gt;0,IF('Deal maths'!AE731&gt;'Deal maths'!AA731,'Deal maths'!AA731,'Deal maths'!AE731),IF(IF(DAY('Deal maths'!AA731+1)=1,EOMONTH('Deal maths'!AA731,-(INT(((YEAR('Deal maths'!AA731)-YEAR(IF('Deal maths'!Z731&gt;0,'Deal maths'!Z731,DATE(1990,1,1))))*12+MONTH('Deal maths'!AA731)-MONTH(IF('Deal maths'!Z731&gt;0,'Deal maths'!Z731,DATE(1990,1,1))))/D731))*D731),EDATE('Deal maths'!AA731,-(INT(((YEAR('Deal maths'!AA731)-YEAR(IF('Deal maths'!Z731&gt;0,'Deal maths'!Z731,DATE(1990,1,1))))*12+MONTH('Deal maths'!AA731)-MONTH(IF('Deal maths'!Z731&gt;0,'Deal maths'!Z731,DATE(1990,1,1))))/D731))*D731))&gt;IF('Deal maths'!Z731&gt;0,'Deal maths'!Z731,DATE(1990,1,1)),IF(DAY('Deal maths'!AA731+1)=1,EOMONTH('Deal maths'!AA731,-(INT(((YEAR('Deal maths'!AA731)-YEAR(IF('Deal maths'!Z731&gt;0,'Deal maths'!Z731,DATE(1990,1,1))))*12+MONTH('Deal maths'!AA731)-MONTH(IF('Deal maths'!Z731&gt;0,'Deal maths'!Z731,DATE(1990,1,1))))/D731))*D731),EDATE('Deal maths'!AA731,-(INT(((YEAR('Deal maths'!AA731)-YEAR(IF('Deal maths'!Z731&gt;0,'Deal maths'!Z731,DATE(1990,1,1))))*12+MONTH('Deal maths'!AA731)-MONTH(IF('Deal maths'!Z731&gt;0,'Deal maths'!Z731,DATE(1990,1,1))))/D731))*D731)),IF(DAY('Deal maths'!AA731+1)=1,EOMONTH('Deal maths'!AA731,-(INT(((YEAR('Deal maths'!AA731)-YEAR(IF('Deal maths'!Z731&gt;0,'Deal maths'!Z731,DATE(1990,1,1))))*12+MONTH('Deal maths'!AA731)-MONTH(IF('Deal maths'!Z731&gt;0,'Deal maths'!Z731,DATE(1990,1,1))))/D731)-1)*D731),EDATE('Deal maths'!AA731,-(INT(((YEAR('Deal maths'!AA731)-YEAR(IF('Deal maths'!Z731&gt;0,'Deal maths'!Z731,DATE(1990,1,1))))*12+MONTH('Deal maths'!AA731)-MONTH(IF('Deal maths'!Z731&gt;0,'Deal maths'!Z731,DATE(1990,1,1))))/D731)-1)*D731))))),0)</f>
        <v/>
      </c>
      <c r="F731" s="110">
        <f>IF(D731=0,0,'Deal maths'!AB731*D731/12)</f>
        <v/>
      </c>
      <c r="G731" s="108">
        <f>N731+O731</f>
        <v/>
      </c>
      <c r="H731" s="108">
        <f>IFERROR(IF(OR(D731=0,AsAt&lt;E731),0,MIN(N731,INT(((YEAR(AsAt)-YEAR(E731))*12+MONTH(AsAt)-MONTH(E731)-(DAY(AsAt)&lt;MIN(R731,DAY(EOMONTH(AsAt,0)))))/D731)+1)+O731*(AsAt&gt;='Deal maths'!AA731)),0)</f>
        <v/>
      </c>
      <c r="I731" s="108">
        <f>G731-H731</f>
        <v/>
      </c>
      <c r="J731" s="111">
        <f>IF(AND(C731="EIP",I731&gt;0),'Deal maths'!Y731/I731,0)</f>
        <v/>
      </c>
      <c r="K731" s="111">
        <f>IF(AND(C731="Annuity",I731&gt;0),IF(F731&gt;0,'Deal maths'!Y731*F731/(1-(1+F731)^-I731),'Deal maths'!Y731/I731),0)</f>
        <v/>
      </c>
      <c r="L731" s="111">
        <f>IF('Deal maths'!Y731="",0,'Deal maths'!Y731)</f>
        <v/>
      </c>
      <c r="M731" s="112">
        <f>F731+(F731=0)</f>
        <v/>
      </c>
      <c r="N731" s="108">
        <f>IFERROR(IF(D731=0,0,INT(((YEAR('Deal maths'!AA731)-YEAR(E731))*12+MONTH('Deal maths'!AA731)-MONTH(E731)-(DAY('Deal maths'!AA731)&lt;MIN(R731,DAY(EOMONTH('Deal maths'!AA731,0)))))/D731)+1),0)</f>
        <v/>
      </c>
      <c r="O731" s="108">
        <f>IFERROR(IF(D731=0,0,IF(IF(DAY(E731+1)=1,EOMONTH(E731,(N731-1)*D731),EDATE(E731,(N731-1)*D731))='Deal maths'!AA731,0,1)),0)</f>
        <v/>
      </c>
      <c r="P731" s="113">
        <f>IF(B731=0,0,IFERROR(IF(C731="EIP",((I731-O731)*((IF(DAY(E731+1)=1,EOMONTH(E731,H731*D731),EDATE(E731,H731*D731))-AsAt)/365.25+(IF(DAY(E731+1)=1,EOMONTH(E731,(N731-1)*D731),EDATE(E731,(N731-1)*D731))-AsAt)/365.25)/2+O731*('Deal maths'!AA731-AsAt)/365.25)/I731,IF(C731="Annuity",IF(F731&gt;0,((K731-L731*F731)*((IF(DAY(E731+1)=1,EOMONTH(E731,H731*D731),EDATE(E731,H731*D731))-AsAt)/365.25*((1+F731)^(I731-O731)-1)/F731+IF((I731-O731)&gt;1,((IF(DAY(E731+1)=1,EOMONTH(E731,(N731-1)*D731),EDATE(E731,(N731-1)*D731))-AsAt)/365.25-(IF(DAY(E731+1)=1,EOMONTH(E731,H731*D731),EDATE(E731,H731*D731))-AsAt)/365.25)/((I731-O731)-1),0)*(1+F731)*(1-(I731-O731)*(1+F731)^((I731-O731)-1)+((I731-O731)-1)*(1+F731)^(I731-O731))/F731^2)+O731*(K731-L731*F731)*(1+F731)^(I731-1)*('Deal maths'!AA731-AsAt)/365.25)/L731,((I731-O731)*((IF(DAY(E731+1)=1,EOMONTH(E731,H731*D731),EDATE(E731,H731*D731))-AsAt)/365.25+(IF(DAY(E731+1)=1,EOMONTH(E731,(N731-1)*D731),EDATE(E731,(N731-1)*D731))-AsAt)/365.25)/2+O731*('Deal maths'!AA731-AsAt)/365.25)/I731),(S731-AsAt)/365.25)),0))</f>
        <v/>
      </c>
      <c r="Q731" s="109">
        <f>IF(B731=1,'Deal maths'!AA731+ROW()/1000000,"")</f>
        <v/>
      </c>
      <c r="R731" s="108">
        <f>IF(D731=0,0,IF(DAY(E731+1)=1,31,DAY(E731)))</f>
        <v/>
      </c>
      <c r="S731" s="109">
        <f>IF(AND('Deal maths'!V731="LOBO",'Deal maths'!AG731&gt;AsAt,'Deal maths'!AG731&lt;'Deal maths'!AA731),'Deal maths'!AG731,'Deal maths'!AA731)</f>
        <v/>
      </c>
      <c r="T731" s="108">
        <f>('Deal maths'!AA731&gt;AsAt)*('Deal maths'!Y731&gt;0)</f>
        <v/>
      </c>
    </row>
    <row r="732">
      <c r="A732" s="91">
        <f>IF('Deal maths'!V732="","",'Deal maths'!W732)</f>
        <v/>
      </c>
      <c r="B732" s="108">
        <f>('Deal maths'!AA732&gt;AsAt)*('Deal maths'!Y732&gt;0)*('Deal maths'!Z732&lt;=AsAt)</f>
        <v/>
      </c>
      <c r="C732" s="91">
        <f>IF('Deal maths'!V732="","",IF('Deal maths'!AC732="","Maturity",'Deal maths'!AC732))</f>
        <v/>
      </c>
      <c r="D732" s="108">
        <f>IF(OR(C732="EIP",C732="Annuity"),IF('Deal maths'!AD732="Annual",12,IF('Deal maths'!AD732="Quarterly",3,6)),0)</f>
        <v/>
      </c>
      <c r="E732" s="109">
        <f>IFERROR(IF(D732=0,0,IF('Deal maths'!AE732&gt;0,IF('Deal maths'!AE732&gt;'Deal maths'!AA732,'Deal maths'!AA732,'Deal maths'!AE732),IF(IF(DAY('Deal maths'!AA732+1)=1,EOMONTH('Deal maths'!AA732,-(INT(((YEAR('Deal maths'!AA732)-YEAR(IF('Deal maths'!Z732&gt;0,'Deal maths'!Z732,DATE(1990,1,1))))*12+MONTH('Deal maths'!AA732)-MONTH(IF('Deal maths'!Z732&gt;0,'Deal maths'!Z732,DATE(1990,1,1))))/D732))*D732),EDATE('Deal maths'!AA732,-(INT(((YEAR('Deal maths'!AA732)-YEAR(IF('Deal maths'!Z732&gt;0,'Deal maths'!Z732,DATE(1990,1,1))))*12+MONTH('Deal maths'!AA732)-MONTH(IF('Deal maths'!Z732&gt;0,'Deal maths'!Z732,DATE(1990,1,1))))/D732))*D732))&gt;IF('Deal maths'!Z732&gt;0,'Deal maths'!Z732,DATE(1990,1,1)),IF(DAY('Deal maths'!AA732+1)=1,EOMONTH('Deal maths'!AA732,-(INT(((YEAR('Deal maths'!AA732)-YEAR(IF('Deal maths'!Z732&gt;0,'Deal maths'!Z732,DATE(1990,1,1))))*12+MONTH('Deal maths'!AA732)-MONTH(IF('Deal maths'!Z732&gt;0,'Deal maths'!Z732,DATE(1990,1,1))))/D732))*D732),EDATE('Deal maths'!AA732,-(INT(((YEAR('Deal maths'!AA732)-YEAR(IF('Deal maths'!Z732&gt;0,'Deal maths'!Z732,DATE(1990,1,1))))*12+MONTH('Deal maths'!AA732)-MONTH(IF('Deal maths'!Z732&gt;0,'Deal maths'!Z732,DATE(1990,1,1))))/D732))*D732)),IF(DAY('Deal maths'!AA732+1)=1,EOMONTH('Deal maths'!AA732,-(INT(((YEAR('Deal maths'!AA732)-YEAR(IF('Deal maths'!Z732&gt;0,'Deal maths'!Z732,DATE(1990,1,1))))*12+MONTH('Deal maths'!AA732)-MONTH(IF('Deal maths'!Z732&gt;0,'Deal maths'!Z732,DATE(1990,1,1))))/D732)-1)*D732),EDATE('Deal maths'!AA732,-(INT(((YEAR('Deal maths'!AA732)-YEAR(IF('Deal maths'!Z732&gt;0,'Deal maths'!Z732,DATE(1990,1,1))))*12+MONTH('Deal maths'!AA732)-MONTH(IF('Deal maths'!Z732&gt;0,'Deal maths'!Z732,DATE(1990,1,1))))/D732)-1)*D732))))),0)</f>
        <v/>
      </c>
      <c r="F732" s="110">
        <f>IF(D732=0,0,'Deal maths'!AB732*D732/12)</f>
        <v/>
      </c>
      <c r="G732" s="108">
        <f>N732+O732</f>
        <v/>
      </c>
      <c r="H732" s="108">
        <f>IFERROR(IF(OR(D732=0,AsAt&lt;E732),0,MIN(N732,INT(((YEAR(AsAt)-YEAR(E732))*12+MONTH(AsAt)-MONTH(E732)-(DAY(AsAt)&lt;MIN(R732,DAY(EOMONTH(AsAt,0)))))/D732)+1)+O732*(AsAt&gt;='Deal maths'!AA732)),0)</f>
        <v/>
      </c>
      <c r="I732" s="108">
        <f>G732-H732</f>
        <v/>
      </c>
      <c r="J732" s="111">
        <f>IF(AND(C732="EIP",I732&gt;0),'Deal maths'!Y732/I732,0)</f>
        <v/>
      </c>
      <c r="K732" s="111">
        <f>IF(AND(C732="Annuity",I732&gt;0),IF(F732&gt;0,'Deal maths'!Y732*F732/(1-(1+F732)^-I732),'Deal maths'!Y732/I732),0)</f>
        <v/>
      </c>
      <c r="L732" s="111">
        <f>IF('Deal maths'!Y732="",0,'Deal maths'!Y732)</f>
        <v/>
      </c>
      <c r="M732" s="112">
        <f>F732+(F732=0)</f>
        <v/>
      </c>
      <c r="N732" s="108">
        <f>IFERROR(IF(D732=0,0,INT(((YEAR('Deal maths'!AA732)-YEAR(E732))*12+MONTH('Deal maths'!AA732)-MONTH(E732)-(DAY('Deal maths'!AA732)&lt;MIN(R732,DAY(EOMONTH('Deal maths'!AA732,0)))))/D732)+1),0)</f>
        <v/>
      </c>
      <c r="O732" s="108">
        <f>IFERROR(IF(D732=0,0,IF(IF(DAY(E732+1)=1,EOMONTH(E732,(N732-1)*D732),EDATE(E732,(N732-1)*D732))='Deal maths'!AA732,0,1)),0)</f>
        <v/>
      </c>
      <c r="P732" s="113">
        <f>IF(B732=0,0,IFERROR(IF(C732="EIP",((I732-O732)*((IF(DAY(E732+1)=1,EOMONTH(E732,H732*D732),EDATE(E732,H732*D732))-AsAt)/365.25+(IF(DAY(E732+1)=1,EOMONTH(E732,(N732-1)*D732),EDATE(E732,(N732-1)*D732))-AsAt)/365.25)/2+O732*('Deal maths'!AA732-AsAt)/365.25)/I732,IF(C732="Annuity",IF(F732&gt;0,((K732-L732*F732)*((IF(DAY(E732+1)=1,EOMONTH(E732,H732*D732),EDATE(E732,H732*D732))-AsAt)/365.25*((1+F732)^(I732-O732)-1)/F732+IF((I732-O732)&gt;1,((IF(DAY(E732+1)=1,EOMONTH(E732,(N732-1)*D732),EDATE(E732,(N732-1)*D732))-AsAt)/365.25-(IF(DAY(E732+1)=1,EOMONTH(E732,H732*D732),EDATE(E732,H732*D732))-AsAt)/365.25)/((I732-O732)-1),0)*(1+F732)*(1-(I732-O732)*(1+F732)^((I732-O732)-1)+((I732-O732)-1)*(1+F732)^(I732-O732))/F732^2)+O732*(K732-L732*F732)*(1+F732)^(I732-1)*('Deal maths'!AA732-AsAt)/365.25)/L732,((I732-O732)*((IF(DAY(E732+1)=1,EOMONTH(E732,H732*D732),EDATE(E732,H732*D732))-AsAt)/365.25+(IF(DAY(E732+1)=1,EOMONTH(E732,(N732-1)*D732),EDATE(E732,(N732-1)*D732))-AsAt)/365.25)/2+O732*('Deal maths'!AA732-AsAt)/365.25)/I732),(S732-AsAt)/365.25)),0))</f>
        <v/>
      </c>
      <c r="Q732" s="109">
        <f>IF(B732=1,'Deal maths'!AA732+ROW()/1000000,"")</f>
        <v/>
      </c>
      <c r="R732" s="108">
        <f>IF(D732=0,0,IF(DAY(E732+1)=1,31,DAY(E732)))</f>
        <v/>
      </c>
      <c r="S732" s="109">
        <f>IF(AND('Deal maths'!V732="LOBO",'Deal maths'!AG732&gt;AsAt,'Deal maths'!AG732&lt;'Deal maths'!AA732),'Deal maths'!AG732,'Deal maths'!AA732)</f>
        <v/>
      </c>
      <c r="T732" s="108">
        <f>('Deal maths'!AA732&gt;AsAt)*('Deal maths'!Y732&gt;0)</f>
        <v/>
      </c>
    </row>
    <row r="733">
      <c r="A733" s="91">
        <f>IF('Deal maths'!V733="","",'Deal maths'!W733)</f>
        <v/>
      </c>
      <c r="B733" s="108">
        <f>('Deal maths'!AA733&gt;AsAt)*('Deal maths'!Y733&gt;0)*('Deal maths'!Z733&lt;=AsAt)</f>
        <v/>
      </c>
      <c r="C733" s="91">
        <f>IF('Deal maths'!V733="","",IF('Deal maths'!AC733="","Maturity",'Deal maths'!AC733))</f>
        <v/>
      </c>
      <c r="D733" s="108">
        <f>IF(OR(C733="EIP",C733="Annuity"),IF('Deal maths'!AD733="Annual",12,IF('Deal maths'!AD733="Quarterly",3,6)),0)</f>
        <v/>
      </c>
      <c r="E733" s="109">
        <f>IFERROR(IF(D733=0,0,IF('Deal maths'!AE733&gt;0,IF('Deal maths'!AE733&gt;'Deal maths'!AA733,'Deal maths'!AA733,'Deal maths'!AE733),IF(IF(DAY('Deal maths'!AA733+1)=1,EOMONTH('Deal maths'!AA733,-(INT(((YEAR('Deal maths'!AA733)-YEAR(IF('Deal maths'!Z733&gt;0,'Deal maths'!Z733,DATE(1990,1,1))))*12+MONTH('Deal maths'!AA733)-MONTH(IF('Deal maths'!Z733&gt;0,'Deal maths'!Z733,DATE(1990,1,1))))/D733))*D733),EDATE('Deal maths'!AA733,-(INT(((YEAR('Deal maths'!AA733)-YEAR(IF('Deal maths'!Z733&gt;0,'Deal maths'!Z733,DATE(1990,1,1))))*12+MONTH('Deal maths'!AA733)-MONTH(IF('Deal maths'!Z733&gt;0,'Deal maths'!Z733,DATE(1990,1,1))))/D733))*D733))&gt;IF('Deal maths'!Z733&gt;0,'Deal maths'!Z733,DATE(1990,1,1)),IF(DAY('Deal maths'!AA733+1)=1,EOMONTH('Deal maths'!AA733,-(INT(((YEAR('Deal maths'!AA733)-YEAR(IF('Deal maths'!Z733&gt;0,'Deal maths'!Z733,DATE(1990,1,1))))*12+MONTH('Deal maths'!AA733)-MONTH(IF('Deal maths'!Z733&gt;0,'Deal maths'!Z733,DATE(1990,1,1))))/D733))*D733),EDATE('Deal maths'!AA733,-(INT(((YEAR('Deal maths'!AA733)-YEAR(IF('Deal maths'!Z733&gt;0,'Deal maths'!Z733,DATE(1990,1,1))))*12+MONTH('Deal maths'!AA733)-MONTH(IF('Deal maths'!Z733&gt;0,'Deal maths'!Z733,DATE(1990,1,1))))/D733))*D733)),IF(DAY('Deal maths'!AA733+1)=1,EOMONTH('Deal maths'!AA733,-(INT(((YEAR('Deal maths'!AA733)-YEAR(IF('Deal maths'!Z733&gt;0,'Deal maths'!Z733,DATE(1990,1,1))))*12+MONTH('Deal maths'!AA733)-MONTH(IF('Deal maths'!Z733&gt;0,'Deal maths'!Z733,DATE(1990,1,1))))/D733)-1)*D733),EDATE('Deal maths'!AA733,-(INT(((YEAR('Deal maths'!AA733)-YEAR(IF('Deal maths'!Z733&gt;0,'Deal maths'!Z733,DATE(1990,1,1))))*12+MONTH('Deal maths'!AA733)-MONTH(IF('Deal maths'!Z733&gt;0,'Deal maths'!Z733,DATE(1990,1,1))))/D733)-1)*D733))))),0)</f>
        <v/>
      </c>
      <c r="F733" s="110">
        <f>IF(D733=0,0,'Deal maths'!AB733*D733/12)</f>
        <v/>
      </c>
      <c r="G733" s="108">
        <f>N733+O733</f>
        <v/>
      </c>
      <c r="H733" s="108">
        <f>IFERROR(IF(OR(D733=0,AsAt&lt;E733),0,MIN(N733,INT(((YEAR(AsAt)-YEAR(E733))*12+MONTH(AsAt)-MONTH(E733)-(DAY(AsAt)&lt;MIN(R733,DAY(EOMONTH(AsAt,0)))))/D733)+1)+O733*(AsAt&gt;='Deal maths'!AA733)),0)</f>
        <v/>
      </c>
      <c r="I733" s="108">
        <f>G733-H733</f>
        <v/>
      </c>
      <c r="J733" s="111">
        <f>IF(AND(C733="EIP",I733&gt;0),'Deal maths'!Y733/I733,0)</f>
        <v/>
      </c>
      <c r="K733" s="111">
        <f>IF(AND(C733="Annuity",I733&gt;0),IF(F733&gt;0,'Deal maths'!Y733*F733/(1-(1+F733)^-I733),'Deal maths'!Y733/I733),0)</f>
        <v/>
      </c>
      <c r="L733" s="111">
        <f>IF('Deal maths'!Y733="",0,'Deal maths'!Y733)</f>
        <v/>
      </c>
      <c r="M733" s="112">
        <f>F733+(F733=0)</f>
        <v/>
      </c>
      <c r="N733" s="108">
        <f>IFERROR(IF(D733=0,0,INT(((YEAR('Deal maths'!AA733)-YEAR(E733))*12+MONTH('Deal maths'!AA733)-MONTH(E733)-(DAY('Deal maths'!AA733)&lt;MIN(R733,DAY(EOMONTH('Deal maths'!AA733,0)))))/D733)+1),0)</f>
        <v/>
      </c>
      <c r="O733" s="108">
        <f>IFERROR(IF(D733=0,0,IF(IF(DAY(E733+1)=1,EOMONTH(E733,(N733-1)*D733),EDATE(E733,(N733-1)*D733))='Deal maths'!AA733,0,1)),0)</f>
        <v/>
      </c>
      <c r="P733" s="113">
        <f>IF(B733=0,0,IFERROR(IF(C733="EIP",((I733-O733)*((IF(DAY(E733+1)=1,EOMONTH(E733,H733*D733),EDATE(E733,H733*D733))-AsAt)/365.25+(IF(DAY(E733+1)=1,EOMONTH(E733,(N733-1)*D733),EDATE(E733,(N733-1)*D733))-AsAt)/365.25)/2+O733*('Deal maths'!AA733-AsAt)/365.25)/I733,IF(C733="Annuity",IF(F733&gt;0,((K733-L733*F733)*((IF(DAY(E733+1)=1,EOMONTH(E733,H733*D733),EDATE(E733,H733*D733))-AsAt)/365.25*((1+F733)^(I733-O733)-1)/F733+IF((I733-O733)&gt;1,((IF(DAY(E733+1)=1,EOMONTH(E733,(N733-1)*D733),EDATE(E733,(N733-1)*D733))-AsAt)/365.25-(IF(DAY(E733+1)=1,EOMONTH(E733,H733*D733),EDATE(E733,H733*D733))-AsAt)/365.25)/((I733-O733)-1),0)*(1+F733)*(1-(I733-O733)*(1+F733)^((I733-O733)-1)+((I733-O733)-1)*(1+F733)^(I733-O733))/F733^2)+O733*(K733-L733*F733)*(1+F733)^(I733-1)*('Deal maths'!AA733-AsAt)/365.25)/L733,((I733-O733)*((IF(DAY(E733+1)=1,EOMONTH(E733,H733*D733),EDATE(E733,H733*D733))-AsAt)/365.25+(IF(DAY(E733+1)=1,EOMONTH(E733,(N733-1)*D733),EDATE(E733,(N733-1)*D733))-AsAt)/365.25)/2+O733*('Deal maths'!AA733-AsAt)/365.25)/I733),(S733-AsAt)/365.25)),0))</f>
        <v/>
      </c>
      <c r="Q733" s="109">
        <f>IF(B733=1,'Deal maths'!AA733+ROW()/1000000,"")</f>
        <v/>
      </c>
      <c r="R733" s="108">
        <f>IF(D733=0,0,IF(DAY(E733+1)=1,31,DAY(E733)))</f>
        <v/>
      </c>
      <c r="S733" s="109">
        <f>IF(AND('Deal maths'!V733="LOBO",'Deal maths'!AG733&gt;AsAt,'Deal maths'!AG733&lt;'Deal maths'!AA733),'Deal maths'!AG733,'Deal maths'!AA733)</f>
        <v/>
      </c>
      <c r="T733" s="108">
        <f>('Deal maths'!AA733&gt;AsAt)*('Deal maths'!Y733&gt;0)</f>
        <v/>
      </c>
    </row>
    <row r="734">
      <c r="A734" s="91">
        <f>IF('Deal maths'!V734="","",'Deal maths'!W734)</f>
        <v/>
      </c>
      <c r="B734" s="108">
        <f>('Deal maths'!AA734&gt;AsAt)*('Deal maths'!Y734&gt;0)*('Deal maths'!Z734&lt;=AsAt)</f>
        <v/>
      </c>
      <c r="C734" s="91">
        <f>IF('Deal maths'!V734="","",IF('Deal maths'!AC734="","Maturity",'Deal maths'!AC734))</f>
        <v/>
      </c>
      <c r="D734" s="108">
        <f>IF(OR(C734="EIP",C734="Annuity"),IF('Deal maths'!AD734="Annual",12,IF('Deal maths'!AD734="Quarterly",3,6)),0)</f>
        <v/>
      </c>
      <c r="E734" s="109">
        <f>IFERROR(IF(D734=0,0,IF('Deal maths'!AE734&gt;0,IF('Deal maths'!AE734&gt;'Deal maths'!AA734,'Deal maths'!AA734,'Deal maths'!AE734),IF(IF(DAY('Deal maths'!AA734+1)=1,EOMONTH('Deal maths'!AA734,-(INT(((YEAR('Deal maths'!AA734)-YEAR(IF('Deal maths'!Z734&gt;0,'Deal maths'!Z734,DATE(1990,1,1))))*12+MONTH('Deal maths'!AA734)-MONTH(IF('Deal maths'!Z734&gt;0,'Deal maths'!Z734,DATE(1990,1,1))))/D734))*D734),EDATE('Deal maths'!AA734,-(INT(((YEAR('Deal maths'!AA734)-YEAR(IF('Deal maths'!Z734&gt;0,'Deal maths'!Z734,DATE(1990,1,1))))*12+MONTH('Deal maths'!AA734)-MONTH(IF('Deal maths'!Z734&gt;0,'Deal maths'!Z734,DATE(1990,1,1))))/D734))*D734))&gt;IF('Deal maths'!Z734&gt;0,'Deal maths'!Z734,DATE(1990,1,1)),IF(DAY('Deal maths'!AA734+1)=1,EOMONTH('Deal maths'!AA734,-(INT(((YEAR('Deal maths'!AA734)-YEAR(IF('Deal maths'!Z734&gt;0,'Deal maths'!Z734,DATE(1990,1,1))))*12+MONTH('Deal maths'!AA734)-MONTH(IF('Deal maths'!Z734&gt;0,'Deal maths'!Z734,DATE(1990,1,1))))/D734))*D734),EDATE('Deal maths'!AA734,-(INT(((YEAR('Deal maths'!AA734)-YEAR(IF('Deal maths'!Z734&gt;0,'Deal maths'!Z734,DATE(1990,1,1))))*12+MONTH('Deal maths'!AA734)-MONTH(IF('Deal maths'!Z734&gt;0,'Deal maths'!Z734,DATE(1990,1,1))))/D734))*D734)),IF(DAY('Deal maths'!AA734+1)=1,EOMONTH('Deal maths'!AA734,-(INT(((YEAR('Deal maths'!AA734)-YEAR(IF('Deal maths'!Z734&gt;0,'Deal maths'!Z734,DATE(1990,1,1))))*12+MONTH('Deal maths'!AA734)-MONTH(IF('Deal maths'!Z734&gt;0,'Deal maths'!Z734,DATE(1990,1,1))))/D734)-1)*D734),EDATE('Deal maths'!AA734,-(INT(((YEAR('Deal maths'!AA734)-YEAR(IF('Deal maths'!Z734&gt;0,'Deal maths'!Z734,DATE(1990,1,1))))*12+MONTH('Deal maths'!AA734)-MONTH(IF('Deal maths'!Z734&gt;0,'Deal maths'!Z734,DATE(1990,1,1))))/D734)-1)*D734))))),0)</f>
        <v/>
      </c>
      <c r="F734" s="110">
        <f>IF(D734=0,0,'Deal maths'!AB734*D734/12)</f>
        <v/>
      </c>
      <c r="G734" s="108">
        <f>N734+O734</f>
        <v/>
      </c>
      <c r="H734" s="108">
        <f>IFERROR(IF(OR(D734=0,AsAt&lt;E734),0,MIN(N734,INT(((YEAR(AsAt)-YEAR(E734))*12+MONTH(AsAt)-MONTH(E734)-(DAY(AsAt)&lt;MIN(R734,DAY(EOMONTH(AsAt,0)))))/D734)+1)+O734*(AsAt&gt;='Deal maths'!AA734)),0)</f>
        <v/>
      </c>
      <c r="I734" s="108">
        <f>G734-H734</f>
        <v/>
      </c>
      <c r="J734" s="111">
        <f>IF(AND(C734="EIP",I734&gt;0),'Deal maths'!Y734/I734,0)</f>
        <v/>
      </c>
      <c r="K734" s="111">
        <f>IF(AND(C734="Annuity",I734&gt;0),IF(F734&gt;0,'Deal maths'!Y734*F734/(1-(1+F734)^-I734),'Deal maths'!Y734/I734),0)</f>
        <v/>
      </c>
      <c r="L734" s="111">
        <f>IF('Deal maths'!Y734="",0,'Deal maths'!Y734)</f>
        <v/>
      </c>
      <c r="M734" s="112">
        <f>F734+(F734=0)</f>
        <v/>
      </c>
      <c r="N734" s="108">
        <f>IFERROR(IF(D734=0,0,INT(((YEAR('Deal maths'!AA734)-YEAR(E734))*12+MONTH('Deal maths'!AA734)-MONTH(E734)-(DAY('Deal maths'!AA734)&lt;MIN(R734,DAY(EOMONTH('Deal maths'!AA734,0)))))/D734)+1),0)</f>
        <v/>
      </c>
      <c r="O734" s="108">
        <f>IFERROR(IF(D734=0,0,IF(IF(DAY(E734+1)=1,EOMONTH(E734,(N734-1)*D734),EDATE(E734,(N734-1)*D734))='Deal maths'!AA734,0,1)),0)</f>
        <v/>
      </c>
      <c r="P734" s="113">
        <f>IF(B734=0,0,IFERROR(IF(C734="EIP",((I734-O734)*((IF(DAY(E734+1)=1,EOMONTH(E734,H734*D734),EDATE(E734,H734*D734))-AsAt)/365.25+(IF(DAY(E734+1)=1,EOMONTH(E734,(N734-1)*D734),EDATE(E734,(N734-1)*D734))-AsAt)/365.25)/2+O734*('Deal maths'!AA734-AsAt)/365.25)/I734,IF(C734="Annuity",IF(F734&gt;0,((K734-L734*F734)*((IF(DAY(E734+1)=1,EOMONTH(E734,H734*D734),EDATE(E734,H734*D734))-AsAt)/365.25*((1+F734)^(I734-O734)-1)/F734+IF((I734-O734)&gt;1,((IF(DAY(E734+1)=1,EOMONTH(E734,(N734-1)*D734),EDATE(E734,(N734-1)*D734))-AsAt)/365.25-(IF(DAY(E734+1)=1,EOMONTH(E734,H734*D734),EDATE(E734,H734*D734))-AsAt)/365.25)/((I734-O734)-1),0)*(1+F734)*(1-(I734-O734)*(1+F734)^((I734-O734)-1)+((I734-O734)-1)*(1+F734)^(I734-O734))/F734^2)+O734*(K734-L734*F734)*(1+F734)^(I734-1)*('Deal maths'!AA734-AsAt)/365.25)/L734,((I734-O734)*((IF(DAY(E734+1)=1,EOMONTH(E734,H734*D734),EDATE(E734,H734*D734))-AsAt)/365.25+(IF(DAY(E734+1)=1,EOMONTH(E734,(N734-1)*D734),EDATE(E734,(N734-1)*D734))-AsAt)/365.25)/2+O734*('Deal maths'!AA734-AsAt)/365.25)/I734),(S734-AsAt)/365.25)),0))</f>
        <v/>
      </c>
      <c r="Q734" s="109">
        <f>IF(B734=1,'Deal maths'!AA734+ROW()/1000000,"")</f>
        <v/>
      </c>
      <c r="R734" s="108">
        <f>IF(D734=0,0,IF(DAY(E734+1)=1,31,DAY(E734)))</f>
        <v/>
      </c>
      <c r="S734" s="109">
        <f>IF(AND('Deal maths'!V734="LOBO",'Deal maths'!AG734&gt;AsAt,'Deal maths'!AG734&lt;'Deal maths'!AA734),'Deal maths'!AG734,'Deal maths'!AA734)</f>
        <v/>
      </c>
      <c r="T734" s="108">
        <f>('Deal maths'!AA734&gt;AsAt)*('Deal maths'!Y734&gt;0)</f>
        <v/>
      </c>
    </row>
    <row r="735">
      <c r="A735" s="91">
        <f>IF('Deal maths'!V735="","",'Deal maths'!W735)</f>
        <v/>
      </c>
      <c r="B735" s="108">
        <f>('Deal maths'!AA735&gt;AsAt)*('Deal maths'!Y735&gt;0)*('Deal maths'!Z735&lt;=AsAt)</f>
        <v/>
      </c>
      <c r="C735" s="91">
        <f>IF('Deal maths'!V735="","",IF('Deal maths'!AC735="","Maturity",'Deal maths'!AC735))</f>
        <v/>
      </c>
      <c r="D735" s="108">
        <f>IF(OR(C735="EIP",C735="Annuity"),IF('Deal maths'!AD735="Annual",12,IF('Deal maths'!AD735="Quarterly",3,6)),0)</f>
        <v/>
      </c>
      <c r="E735" s="109">
        <f>IFERROR(IF(D735=0,0,IF('Deal maths'!AE735&gt;0,IF('Deal maths'!AE735&gt;'Deal maths'!AA735,'Deal maths'!AA735,'Deal maths'!AE735),IF(IF(DAY('Deal maths'!AA735+1)=1,EOMONTH('Deal maths'!AA735,-(INT(((YEAR('Deal maths'!AA735)-YEAR(IF('Deal maths'!Z735&gt;0,'Deal maths'!Z735,DATE(1990,1,1))))*12+MONTH('Deal maths'!AA735)-MONTH(IF('Deal maths'!Z735&gt;0,'Deal maths'!Z735,DATE(1990,1,1))))/D735))*D735),EDATE('Deal maths'!AA735,-(INT(((YEAR('Deal maths'!AA735)-YEAR(IF('Deal maths'!Z735&gt;0,'Deal maths'!Z735,DATE(1990,1,1))))*12+MONTH('Deal maths'!AA735)-MONTH(IF('Deal maths'!Z735&gt;0,'Deal maths'!Z735,DATE(1990,1,1))))/D735))*D735))&gt;IF('Deal maths'!Z735&gt;0,'Deal maths'!Z735,DATE(1990,1,1)),IF(DAY('Deal maths'!AA735+1)=1,EOMONTH('Deal maths'!AA735,-(INT(((YEAR('Deal maths'!AA735)-YEAR(IF('Deal maths'!Z735&gt;0,'Deal maths'!Z735,DATE(1990,1,1))))*12+MONTH('Deal maths'!AA735)-MONTH(IF('Deal maths'!Z735&gt;0,'Deal maths'!Z735,DATE(1990,1,1))))/D735))*D735),EDATE('Deal maths'!AA735,-(INT(((YEAR('Deal maths'!AA735)-YEAR(IF('Deal maths'!Z735&gt;0,'Deal maths'!Z735,DATE(1990,1,1))))*12+MONTH('Deal maths'!AA735)-MONTH(IF('Deal maths'!Z735&gt;0,'Deal maths'!Z735,DATE(1990,1,1))))/D735))*D735)),IF(DAY('Deal maths'!AA735+1)=1,EOMONTH('Deal maths'!AA735,-(INT(((YEAR('Deal maths'!AA735)-YEAR(IF('Deal maths'!Z735&gt;0,'Deal maths'!Z735,DATE(1990,1,1))))*12+MONTH('Deal maths'!AA735)-MONTH(IF('Deal maths'!Z735&gt;0,'Deal maths'!Z735,DATE(1990,1,1))))/D735)-1)*D735),EDATE('Deal maths'!AA735,-(INT(((YEAR('Deal maths'!AA735)-YEAR(IF('Deal maths'!Z735&gt;0,'Deal maths'!Z735,DATE(1990,1,1))))*12+MONTH('Deal maths'!AA735)-MONTH(IF('Deal maths'!Z735&gt;0,'Deal maths'!Z735,DATE(1990,1,1))))/D735)-1)*D735))))),0)</f>
        <v/>
      </c>
      <c r="F735" s="110">
        <f>IF(D735=0,0,'Deal maths'!AB735*D735/12)</f>
        <v/>
      </c>
      <c r="G735" s="108">
        <f>N735+O735</f>
        <v/>
      </c>
      <c r="H735" s="108">
        <f>IFERROR(IF(OR(D735=0,AsAt&lt;E735),0,MIN(N735,INT(((YEAR(AsAt)-YEAR(E735))*12+MONTH(AsAt)-MONTH(E735)-(DAY(AsAt)&lt;MIN(R735,DAY(EOMONTH(AsAt,0)))))/D735)+1)+O735*(AsAt&gt;='Deal maths'!AA735)),0)</f>
        <v/>
      </c>
      <c r="I735" s="108">
        <f>G735-H735</f>
        <v/>
      </c>
      <c r="J735" s="111">
        <f>IF(AND(C735="EIP",I735&gt;0),'Deal maths'!Y735/I735,0)</f>
        <v/>
      </c>
      <c r="K735" s="111">
        <f>IF(AND(C735="Annuity",I735&gt;0),IF(F735&gt;0,'Deal maths'!Y735*F735/(1-(1+F735)^-I735),'Deal maths'!Y735/I735),0)</f>
        <v/>
      </c>
      <c r="L735" s="111">
        <f>IF('Deal maths'!Y735="",0,'Deal maths'!Y735)</f>
        <v/>
      </c>
      <c r="M735" s="112">
        <f>F735+(F735=0)</f>
        <v/>
      </c>
      <c r="N735" s="108">
        <f>IFERROR(IF(D735=0,0,INT(((YEAR('Deal maths'!AA735)-YEAR(E735))*12+MONTH('Deal maths'!AA735)-MONTH(E735)-(DAY('Deal maths'!AA735)&lt;MIN(R735,DAY(EOMONTH('Deal maths'!AA735,0)))))/D735)+1),0)</f>
        <v/>
      </c>
      <c r="O735" s="108">
        <f>IFERROR(IF(D735=0,0,IF(IF(DAY(E735+1)=1,EOMONTH(E735,(N735-1)*D735),EDATE(E735,(N735-1)*D735))='Deal maths'!AA735,0,1)),0)</f>
        <v/>
      </c>
      <c r="P735" s="113">
        <f>IF(B735=0,0,IFERROR(IF(C735="EIP",((I735-O735)*((IF(DAY(E735+1)=1,EOMONTH(E735,H735*D735),EDATE(E735,H735*D735))-AsAt)/365.25+(IF(DAY(E735+1)=1,EOMONTH(E735,(N735-1)*D735),EDATE(E735,(N735-1)*D735))-AsAt)/365.25)/2+O735*('Deal maths'!AA735-AsAt)/365.25)/I735,IF(C735="Annuity",IF(F735&gt;0,((K735-L735*F735)*((IF(DAY(E735+1)=1,EOMONTH(E735,H735*D735),EDATE(E735,H735*D735))-AsAt)/365.25*((1+F735)^(I735-O735)-1)/F735+IF((I735-O735)&gt;1,((IF(DAY(E735+1)=1,EOMONTH(E735,(N735-1)*D735),EDATE(E735,(N735-1)*D735))-AsAt)/365.25-(IF(DAY(E735+1)=1,EOMONTH(E735,H735*D735),EDATE(E735,H735*D735))-AsAt)/365.25)/((I735-O735)-1),0)*(1+F735)*(1-(I735-O735)*(1+F735)^((I735-O735)-1)+((I735-O735)-1)*(1+F735)^(I735-O735))/F735^2)+O735*(K735-L735*F735)*(1+F735)^(I735-1)*('Deal maths'!AA735-AsAt)/365.25)/L735,((I735-O735)*((IF(DAY(E735+1)=1,EOMONTH(E735,H735*D735),EDATE(E735,H735*D735))-AsAt)/365.25+(IF(DAY(E735+1)=1,EOMONTH(E735,(N735-1)*D735),EDATE(E735,(N735-1)*D735))-AsAt)/365.25)/2+O735*('Deal maths'!AA735-AsAt)/365.25)/I735),(S735-AsAt)/365.25)),0))</f>
        <v/>
      </c>
      <c r="Q735" s="109">
        <f>IF(B735=1,'Deal maths'!AA735+ROW()/1000000,"")</f>
        <v/>
      </c>
      <c r="R735" s="108">
        <f>IF(D735=0,0,IF(DAY(E735+1)=1,31,DAY(E735)))</f>
        <v/>
      </c>
      <c r="S735" s="109">
        <f>IF(AND('Deal maths'!V735="LOBO",'Deal maths'!AG735&gt;AsAt,'Deal maths'!AG735&lt;'Deal maths'!AA735),'Deal maths'!AG735,'Deal maths'!AA735)</f>
        <v/>
      </c>
      <c r="T735" s="108">
        <f>('Deal maths'!AA735&gt;AsAt)*('Deal maths'!Y735&gt;0)</f>
        <v/>
      </c>
    </row>
    <row r="736">
      <c r="A736" s="91">
        <f>IF('Deal maths'!V736="","",'Deal maths'!W736)</f>
        <v/>
      </c>
      <c r="B736" s="108">
        <f>('Deal maths'!AA736&gt;AsAt)*('Deal maths'!Y736&gt;0)*('Deal maths'!Z736&lt;=AsAt)</f>
        <v/>
      </c>
      <c r="C736" s="91">
        <f>IF('Deal maths'!V736="","",IF('Deal maths'!AC736="","Maturity",'Deal maths'!AC736))</f>
        <v/>
      </c>
      <c r="D736" s="108">
        <f>IF(OR(C736="EIP",C736="Annuity"),IF('Deal maths'!AD736="Annual",12,IF('Deal maths'!AD736="Quarterly",3,6)),0)</f>
        <v/>
      </c>
      <c r="E736" s="109">
        <f>IFERROR(IF(D736=0,0,IF('Deal maths'!AE736&gt;0,IF('Deal maths'!AE736&gt;'Deal maths'!AA736,'Deal maths'!AA736,'Deal maths'!AE736),IF(IF(DAY('Deal maths'!AA736+1)=1,EOMONTH('Deal maths'!AA736,-(INT(((YEAR('Deal maths'!AA736)-YEAR(IF('Deal maths'!Z736&gt;0,'Deal maths'!Z736,DATE(1990,1,1))))*12+MONTH('Deal maths'!AA736)-MONTH(IF('Deal maths'!Z736&gt;0,'Deal maths'!Z736,DATE(1990,1,1))))/D736))*D736),EDATE('Deal maths'!AA736,-(INT(((YEAR('Deal maths'!AA736)-YEAR(IF('Deal maths'!Z736&gt;0,'Deal maths'!Z736,DATE(1990,1,1))))*12+MONTH('Deal maths'!AA736)-MONTH(IF('Deal maths'!Z736&gt;0,'Deal maths'!Z736,DATE(1990,1,1))))/D736))*D736))&gt;IF('Deal maths'!Z736&gt;0,'Deal maths'!Z736,DATE(1990,1,1)),IF(DAY('Deal maths'!AA736+1)=1,EOMONTH('Deal maths'!AA736,-(INT(((YEAR('Deal maths'!AA736)-YEAR(IF('Deal maths'!Z736&gt;0,'Deal maths'!Z736,DATE(1990,1,1))))*12+MONTH('Deal maths'!AA736)-MONTH(IF('Deal maths'!Z736&gt;0,'Deal maths'!Z736,DATE(1990,1,1))))/D736))*D736),EDATE('Deal maths'!AA736,-(INT(((YEAR('Deal maths'!AA736)-YEAR(IF('Deal maths'!Z736&gt;0,'Deal maths'!Z736,DATE(1990,1,1))))*12+MONTH('Deal maths'!AA736)-MONTH(IF('Deal maths'!Z736&gt;0,'Deal maths'!Z736,DATE(1990,1,1))))/D736))*D736)),IF(DAY('Deal maths'!AA736+1)=1,EOMONTH('Deal maths'!AA736,-(INT(((YEAR('Deal maths'!AA736)-YEAR(IF('Deal maths'!Z736&gt;0,'Deal maths'!Z736,DATE(1990,1,1))))*12+MONTH('Deal maths'!AA736)-MONTH(IF('Deal maths'!Z736&gt;0,'Deal maths'!Z736,DATE(1990,1,1))))/D736)-1)*D736),EDATE('Deal maths'!AA736,-(INT(((YEAR('Deal maths'!AA736)-YEAR(IF('Deal maths'!Z736&gt;0,'Deal maths'!Z736,DATE(1990,1,1))))*12+MONTH('Deal maths'!AA736)-MONTH(IF('Deal maths'!Z736&gt;0,'Deal maths'!Z736,DATE(1990,1,1))))/D736)-1)*D736))))),0)</f>
        <v/>
      </c>
      <c r="F736" s="110">
        <f>IF(D736=0,0,'Deal maths'!AB736*D736/12)</f>
        <v/>
      </c>
      <c r="G736" s="108">
        <f>N736+O736</f>
        <v/>
      </c>
      <c r="H736" s="108">
        <f>IFERROR(IF(OR(D736=0,AsAt&lt;E736),0,MIN(N736,INT(((YEAR(AsAt)-YEAR(E736))*12+MONTH(AsAt)-MONTH(E736)-(DAY(AsAt)&lt;MIN(R736,DAY(EOMONTH(AsAt,0)))))/D736)+1)+O736*(AsAt&gt;='Deal maths'!AA736)),0)</f>
        <v/>
      </c>
      <c r="I736" s="108">
        <f>G736-H736</f>
        <v/>
      </c>
      <c r="J736" s="111">
        <f>IF(AND(C736="EIP",I736&gt;0),'Deal maths'!Y736/I736,0)</f>
        <v/>
      </c>
      <c r="K736" s="111">
        <f>IF(AND(C736="Annuity",I736&gt;0),IF(F736&gt;0,'Deal maths'!Y736*F736/(1-(1+F736)^-I736),'Deal maths'!Y736/I736),0)</f>
        <v/>
      </c>
      <c r="L736" s="111">
        <f>IF('Deal maths'!Y736="",0,'Deal maths'!Y736)</f>
        <v/>
      </c>
      <c r="M736" s="112">
        <f>F736+(F736=0)</f>
        <v/>
      </c>
      <c r="N736" s="108">
        <f>IFERROR(IF(D736=0,0,INT(((YEAR('Deal maths'!AA736)-YEAR(E736))*12+MONTH('Deal maths'!AA736)-MONTH(E736)-(DAY('Deal maths'!AA736)&lt;MIN(R736,DAY(EOMONTH('Deal maths'!AA736,0)))))/D736)+1),0)</f>
        <v/>
      </c>
      <c r="O736" s="108">
        <f>IFERROR(IF(D736=0,0,IF(IF(DAY(E736+1)=1,EOMONTH(E736,(N736-1)*D736),EDATE(E736,(N736-1)*D736))='Deal maths'!AA736,0,1)),0)</f>
        <v/>
      </c>
      <c r="P736" s="113">
        <f>IF(B736=0,0,IFERROR(IF(C736="EIP",((I736-O736)*((IF(DAY(E736+1)=1,EOMONTH(E736,H736*D736),EDATE(E736,H736*D736))-AsAt)/365.25+(IF(DAY(E736+1)=1,EOMONTH(E736,(N736-1)*D736),EDATE(E736,(N736-1)*D736))-AsAt)/365.25)/2+O736*('Deal maths'!AA736-AsAt)/365.25)/I736,IF(C736="Annuity",IF(F736&gt;0,((K736-L736*F736)*((IF(DAY(E736+1)=1,EOMONTH(E736,H736*D736),EDATE(E736,H736*D736))-AsAt)/365.25*((1+F736)^(I736-O736)-1)/F736+IF((I736-O736)&gt;1,((IF(DAY(E736+1)=1,EOMONTH(E736,(N736-1)*D736),EDATE(E736,(N736-1)*D736))-AsAt)/365.25-(IF(DAY(E736+1)=1,EOMONTH(E736,H736*D736),EDATE(E736,H736*D736))-AsAt)/365.25)/((I736-O736)-1),0)*(1+F736)*(1-(I736-O736)*(1+F736)^((I736-O736)-1)+((I736-O736)-1)*(1+F736)^(I736-O736))/F736^2)+O736*(K736-L736*F736)*(1+F736)^(I736-1)*('Deal maths'!AA736-AsAt)/365.25)/L736,((I736-O736)*((IF(DAY(E736+1)=1,EOMONTH(E736,H736*D736),EDATE(E736,H736*D736))-AsAt)/365.25+(IF(DAY(E736+1)=1,EOMONTH(E736,(N736-1)*D736),EDATE(E736,(N736-1)*D736))-AsAt)/365.25)/2+O736*('Deal maths'!AA736-AsAt)/365.25)/I736),(S736-AsAt)/365.25)),0))</f>
        <v/>
      </c>
      <c r="Q736" s="109">
        <f>IF(B736=1,'Deal maths'!AA736+ROW()/1000000,"")</f>
        <v/>
      </c>
      <c r="R736" s="108">
        <f>IF(D736=0,0,IF(DAY(E736+1)=1,31,DAY(E736)))</f>
        <v/>
      </c>
      <c r="S736" s="109">
        <f>IF(AND('Deal maths'!V736="LOBO",'Deal maths'!AG736&gt;AsAt,'Deal maths'!AG736&lt;'Deal maths'!AA736),'Deal maths'!AG736,'Deal maths'!AA736)</f>
        <v/>
      </c>
      <c r="T736" s="108">
        <f>('Deal maths'!AA736&gt;AsAt)*('Deal maths'!Y736&gt;0)</f>
        <v/>
      </c>
    </row>
    <row r="737">
      <c r="A737" s="91">
        <f>IF('Deal maths'!V737="","",'Deal maths'!W737)</f>
        <v/>
      </c>
      <c r="B737" s="108">
        <f>('Deal maths'!AA737&gt;AsAt)*('Deal maths'!Y737&gt;0)*('Deal maths'!Z737&lt;=AsAt)</f>
        <v/>
      </c>
      <c r="C737" s="91">
        <f>IF('Deal maths'!V737="","",IF('Deal maths'!AC737="","Maturity",'Deal maths'!AC737))</f>
        <v/>
      </c>
      <c r="D737" s="108">
        <f>IF(OR(C737="EIP",C737="Annuity"),IF('Deal maths'!AD737="Annual",12,IF('Deal maths'!AD737="Quarterly",3,6)),0)</f>
        <v/>
      </c>
      <c r="E737" s="109">
        <f>IFERROR(IF(D737=0,0,IF('Deal maths'!AE737&gt;0,IF('Deal maths'!AE737&gt;'Deal maths'!AA737,'Deal maths'!AA737,'Deal maths'!AE737),IF(IF(DAY('Deal maths'!AA737+1)=1,EOMONTH('Deal maths'!AA737,-(INT(((YEAR('Deal maths'!AA737)-YEAR(IF('Deal maths'!Z737&gt;0,'Deal maths'!Z737,DATE(1990,1,1))))*12+MONTH('Deal maths'!AA737)-MONTH(IF('Deal maths'!Z737&gt;0,'Deal maths'!Z737,DATE(1990,1,1))))/D737))*D737),EDATE('Deal maths'!AA737,-(INT(((YEAR('Deal maths'!AA737)-YEAR(IF('Deal maths'!Z737&gt;0,'Deal maths'!Z737,DATE(1990,1,1))))*12+MONTH('Deal maths'!AA737)-MONTH(IF('Deal maths'!Z737&gt;0,'Deal maths'!Z737,DATE(1990,1,1))))/D737))*D737))&gt;IF('Deal maths'!Z737&gt;0,'Deal maths'!Z737,DATE(1990,1,1)),IF(DAY('Deal maths'!AA737+1)=1,EOMONTH('Deal maths'!AA737,-(INT(((YEAR('Deal maths'!AA737)-YEAR(IF('Deal maths'!Z737&gt;0,'Deal maths'!Z737,DATE(1990,1,1))))*12+MONTH('Deal maths'!AA737)-MONTH(IF('Deal maths'!Z737&gt;0,'Deal maths'!Z737,DATE(1990,1,1))))/D737))*D737),EDATE('Deal maths'!AA737,-(INT(((YEAR('Deal maths'!AA737)-YEAR(IF('Deal maths'!Z737&gt;0,'Deal maths'!Z737,DATE(1990,1,1))))*12+MONTH('Deal maths'!AA737)-MONTH(IF('Deal maths'!Z737&gt;0,'Deal maths'!Z737,DATE(1990,1,1))))/D737))*D737)),IF(DAY('Deal maths'!AA737+1)=1,EOMONTH('Deal maths'!AA737,-(INT(((YEAR('Deal maths'!AA737)-YEAR(IF('Deal maths'!Z737&gt;0,'Deal maths'!Z737,DATE(1990,1,1))))*12+MONTH('Deal maths'!AA737)-MONTH(IF('Deal maths'!Z737&gt;0,'Deal maths'!Z737,DATE(1990,1,1))))/D737)-1)*D737),EDATE('Deal maths'!AA737,-(INT(((YEAR('Deal maths'!AA737)-YEAR(IF('Deal maths'!Z737&gt;0,'Deal maths'!Z737,DATE(1990,1,1))))*12+MONTH('Deal maths'!AA737)-MONTH(IF('Deal maths'!Z737&gt;0,'Deal maths'!Z737,DATE(1990,1,1))))/D737)-1)*D737))))),0)</f>
        <v/>
      </c>
      <c r="F737" s="110">
        <f>IF(D737=0,0,'Deal maths'!AB737*D737/12)</f>
        <v/>
      </c>
      <c r="G737" s="108">
        <f>N737+O737</f>
        <v/>
      </c>
      <c r="H737" s="108">
        <f>IFERROR(IF(OR(D737=0,AsAt&lt;E737),0,MIN(N737,INT(((YEAR(AsAt)-YEAR(E737))*12+MONTH(AsAt)-MONTH(E737)-(DAY(AsAt)&lt;MIN(R737,DAY(EOMONTH(AsAt,0)))))/D737)+1)+O737*(AsAt&gt;='Deal maths'!AA737)),0)</f>
        <v/>
      </c>
      <c r="I737" s="108">
        <f>G737-H737</f>
        <v/>
      </c>
      <c r="J737" s="111">
        <f>IF(AND(C737="EIP",I737&gt;0),'Deal maths'!Y737/I737,0)</f>
        <v/>
      </c>
      <c r="K737" s="111">
        <f>IF(AND(C737="Annuity",I737&gt;0),IF(F737&gt;0,'Deal maths'!Y737*F737/(1-(1+F737)^-I737),'Deal maths'!Y737/I737),0)</f>
        <v/>
      </c>
      <c r="L737" s="111">
        <f>IF('Deal maths'!Y737="",0,'Deal maths'!Y737)</f>
        <v/>
      </c>
      <c r="M737" s="112">
        <f>F737+(F737=0)</f>
        <v/>
      </c>
      <c r="N737" s="108">
        <f>IFERROR(IF(D737=0,0,INT(((YEAR('Deal maths'!AA737)-YEAR(E737))*12+MONTH('Deal maths'!AA737)-MONTH(E737)-(DAY('Deal maths'!AA737)&lt;MIN(R737,DAY(EOMONTH('Deal maths'!AA737,0)))))/D737)+1),0)</f>
        <v/>
      </c>
      <c r="O737" s="108">
        <f>IFERROR(IF(D737=0,0,IF(IF(DAY(E737+1)=1,EOMONTH(E737,(N737-1)*D737),EDATE(E737,(N737-1)*D737))='Deal maths'!AA737,0,1)),0)</f>
        <v/>
      </c>
      <c r="P737" s="113">
        <f>IF(B737=0,0,IFERROR(IF(C737="EIP",((I737-O737)*((IF(DAY(E737+1)=1,EOMONTH(E737,H737*D737),EDATE(E737,H737*D737))-AsAt)/365.25+(IF(DAY(E737+1)=1,EOMONTH(E737,(N737-1)*D737),EDATE(E737,(N737-1)*D737))-AsAt)/365.25)/2+O737*('Deal maths'!AA737-AsAt)/365.25)/I737,IF(C737="Annuity",IF(F737&gt;0,((K737-L737*F737)*((IF(DAY(E737+1)=1,EOMONTH(E737,H737*D737),EDATE(E737,H737*D737))-AsAt)/365.25*((1+F737)^(I737-O737)-1)/F737+IF((I737-O737)&gt;1,((IF(DAY(E737+1)=1,EOMONTH(E737,(N737-1)*D737),EDATE(E737,(N737-1)*D737))-AsAt)/365.25-(IF(DAY(E737+1)=1,EOMONTH(E737,H737*D737),EDATE(E737,H737*D737))-AsAt)/365.25)/((I737-O737)-1),0)*(1+F737)*(1-(I737-O737)*(1+F737)^((I737-O737)-1)+((I737-O737)-1)*(1+F737)^(I737-O737))/F737^2)+O737*(K737-L737*F737)*(1+F737)^(I737-1)*('Deal maths'!AA737-AsAt)/365.25)/L737,((I737-O737)*((IF(DAY(E737+1)=1,EOMONTH(E737,H737*D737),EDATE(E737,H737*D737))-AsAt)/365.25+(IF(DAY(E737+1)=1,EOMONTH(E737,(N737-1)*D737),EDATE(E737,(N737-1)*D737))-AsAt)/365.25)/2+O737*('Deal maths'!AA737-AsAt)/365.25)/I737),(S737-AsAt)/365.25)),0))</f>
        <v/>
      </c>
      <c r="Q737" s="109">
        <f>IF(B737=1,'Deal maths'!AA737+ROW()/1000000,"")</f>
        <v/>
      </c>
      <c r="R737" s="108">
        <f>IF(D737=0,0,IF(DAY(E737+1)=1,31,DAY(E737)))</f>
        <v/>
      </c>
      <c r="S737" s="109">
        <f>IF(AND('Deal maths'!V737="LOBO",'Deal maths'!AG737&gt;AsAt,'Deal maths'!AG737&lt;'Deal maths'!AA737),'Deal maths'!AG737,'Deal maths'!AA737)</f>
        <v/>
      </c>
      <c r="T737" s="108">
        <f>('Deal maths'!AA737&gt;AsAt)*('Deal maths'!Y737&gt;0)</f>
        <v/>
      </c>
    </row>
    <row r="738">
      <c r="A738" s="91">
        <f>IF('Deal maths'!V738="","",'Deal maths'!W738)</f>
        <v/>
      </c>
      <c r="B738" s="108">
        <f>('Deal maths'!AA738&gt;AsAt)*('Deal maths'!Y738&gt;0)*('Deal maths'!Z738&lt;=AsAt)</f>
        <v/>
      </c>
      <c r="C738" s="91">
        <f>IF('Deal maths'!V738="","",IF('Deal maths'!AC738="","Maturity",'Deal maths'!AC738))</f>
        <v/>
      </c>
      <c r="D738" s="108">
        <f>IF(OR(C738="EIP",C738="Annuity"),IF('Deal maths'!AD738="Annual",12,IF('Deal maths'!AD738="Quarterly",3,6)),0)</f>
        <v/>
      </c>
      <c r="E738" s="109">
        <f>IFERROR(IF(D738=0,0,IF('Deal maths'!AE738&gt;0,IF('Deal maths'!AE738&gt;'Deal maths'!AA738,'Deal maths'!AA738,'Deal maths'!AE738),IF(IF(DAY('Deal maths'!AA738+1)=1,EOMONTH('Deal maths'!AA738,-(INT(((YEAR('Deal maths'!AA738)-YEAR(IF('Deal maths'!Z738&gt;0,'Deal maths'!Z738,DATE(1990,1,1))))*12+MONTH('Deal maths'!AA738)-MONTH(IF('Deal maths'!Z738&gt;0,'Deal maths'!Z738,DATE(1990,1,1))))/D738))*D738),EDATE('Deal maths'!AA738,-(INT(((YEAR('Deal maths'!AA738)-YEAR(IF('Deal maths'!Z738&gt;0,'Deal maths'!Z738,DATE(1990,1,1))))*12+MONTH('Deal maths'!AA738)-MONTH(IF('Deal maths'!Z738&gt;0,'Deal maths'!Z738,DATE(1990,1,1))))/D738))*D738))&gt;IF('Deal maths'!Z738&gt;0,'Deal maths'!Z738,DATE(1990,1,1)),IF(DAY('Deal maths'!AA738+1)=1,EOMONTH('Deal maths'!AA738,-(INT(((YEAR('Deal maths'!AA738)-YEAR(IF('Deal maths'!Z738&gt;0,'Deal maths'!Z738,DATE(1990,1,1))))*12+MONTH('Deal maths'!AA738)-MONTH(IF('Deal maths'!Z738&gt;0,'Deal maths'!Z738,DATE(1990,1,1))))/D738))*D738),EDATE('Deal maths'!AA738,-(INT(((YEAR('Deal maths'!AA738)-YEAR(IF('Deal maths'!Z738&gt;0,'Deal maths'!Z738,DATE(1990,1,1))))*12+MONTH('Deal maths'!AA738)-MONTH(IF('Deal maths'!Z738&gt;0,'Deal maths'!Z738,DATE(1990,1,1))))/D738))*D738)),IF(DAY('Deal maths'!AA738+1)=1,EOMONTH('Deal maths'!AA738,-(INT(((YEAR('Deal maths'!AA738)-YEAR(IF('Deal maths'!Z738&gt;0,'Deal maths'!Z738,DATE(1990,1,1))))*12+MONTH('Deal maths'!AA738)-MONTH(IF('Deal maths'!Z738&gt;0,'Deal maths'!Z738,DATE(1990,1,1))))/D738)-1)*D738),EDATE('Deal maths'!AA738,-(INT(((YEAR('Deal maths'!AA738)-YEAR(IF('Deal maths'!Z738&gt;0,'Deal maths'!Z738,DATE(1990,1,1))))*12+MONTH('Deal maths'!AA738)-MONTH(IF('Deal maths'!Z738&gt;0,'Deal maths'!Z738,DATE(1990,1,1))))/D738)-1)*D738))))),0)</f>
        <v/>
      </c>
      <c r="F738" s="110">
        <f>IF(D738=0,0,'Deal maths'!AB738*D738/12)</f>
        <v/>
      </c>
      <c r="G738" s="108">
        <f>N738+O738</f>
        <v/>
      </c>
      <c r="H738" s="108">
        <f>IFERROR(IF(OR(D738=0,AsAt&lt;E738),0,MIN(N738,INT(((YEAR(AsAt)-YEAR(E738))*12+MONTH(AsAt)-MONTH(E738)-(DAY(AsAt)&lt;MIN(R738,DAY(EOMONTH(AsAt,0)))))/D738)+1)+O738*(AsAt&gt;='Deal maths'!AA738)),0)</f>
        <v/>
      </c>
      <c r="I738" s="108">
        <f>G738-H738</f>
        <v/>
      </c>
      <c r="J738" s="111">
        <f>IF(AND(C738="EIP",I738&gt;0),'Deal maths'!Y738/I738,0)</f>
        <v/>
      </c>
      <c r="K738" s="111">
        <f>IF(AND(C738="Annuity",I738&gt;0),IF(F738&gt;0,'Deal maths'!Y738*F738/(1-(1+F738)^-I738),'Deal maths'!Y738/I738),0)</f>
        <v/>
      </c>
      <c r="L738" s="111">
        <f>IF('Deal maths'!Y738="",0,'Deal maths'!Y738)</f>
        <v/>
      </c>
      <c r="M738" s="112">
        <f>F738+(F738=0)</f>
        <v/>
      </c>
      <c r="N738" s="108">
        <f>IFERROR(IF(D738=0,0,INT(((YEAR('Deal maths'!AA738)-YEAR(E738))*12+MONTH('Deal maths'!AA738)-MONTH(E738)-(DAY('Deal maths'!AA738)&lt;MIN(R738,DAY(EOMONTH('Deal maths'!AA738,0)))))/D738)+1),0)</f>
        <v/>
      </c>
      <c r="O738" s="108">
        <f>IFERROR(IF(D738=0,0,IF(IF(DAY(E738+1)=1,EOMONTH(E738,(N738-1)*D738),EDATE(E738,(N738-1)*D738))='Deal maths'!AA738,0,1)),0)</f>
        <v/>
      </c>
      <c r="P738" s="113">
        <f>IF(B738=0,0,IFERROR(IF(C738="EIP",((I738-O738)*((IF(DAY(E738+1)=1,EOMONTH(E738,H738*D738),EDATE(E738,H738*D738))-AsAt)/365.25+(IF(DAY(E738+1)=1,EOMONTH(E738,(N738-1)*D738),EDATE(E738,(N738-1)*D738))-AsAt)/365.25)/2+O738*('Deal maths'!AA738-AsAt)/365.25)/I738,IF(C738="Annuity",IF(F738&gt;0,((K738-L738*F738)*((IF(DAY(E738+1)=1,EOMONTH(E738,H738*D738),EDATE(E738,H738*D738))-AsAt)/365.25*((1+F738)^(I738-O738)-1)/F738+IF((I738-O738)&gt;1,((IF(DAY(E738+1)=1,EOMONTH(E738,(N738-1)*D738),EDATE(E738,(N738-1)*D738))-AsAt)/365.25-(IF(DAY(E738+1)=1,EOMONTH(E738,H738*D738),EDATE(E738,H738*D738))-AsAt)/365.25)/((I738-O738)-1),0)*(1+F738)*(1-(I738-O738)*(1+F738)^((I738-O738)-1)+((I738-O738)-1)*(1+F738)^(I738-O738))/F738^2)+O738*(K738-L738*F738)*(1+F738)^(I738-1)*('Deal maths'!AA738-AsAt)/365.25)/L738,((I738-O738)*((IF(DAY(E738+1)=1,EOMONTH(E738,H738*D738),EDATE(E738,H738*D738))-AsAt)/365.25+(IF(DAY(E738+1)=1,EOMONTH(E738,(N738-1)*D738),EDATE(E738,(N738-1)*D738))-AsAt)/365.25)/2+O738*('Deal maths'!AA738-AsAt)/365.25)/I738),(S738-AsAt)/365.25)),0))</f>
        <v/>
      </c>
      <c r="Q738" s="109">
        <f>IF(B738=1,'Deal maths'!AA738+ROW()/1000000,"")</f>
        <v/>
      </c>
      <c r="R738" s="108">
        <f>IF(D738=0,0,IF(DAY(E738+1)=1,31,DAY(E738)))</f>
        <v/>
      </c>
      <c r="S738" s="109">
        <f>IF(AND('Deal maths'!V738="LOBO",'Deal maths'!AG738&gt;AsAt,'Deal maths'!AG738&lt;'Deal maths'!AA738),'Deal maths'!AG738,'Deal maths'!AA738)</f>
        <v/>
      </c>
      <c r="T738" s="108">
        <f>('Deal maths'!AA738&gt;AsAt)*('Deal maths'!Y738&gt;0)</f>
        <v/>
      </c>
    </row>
    <row r="739">
      <c r="A739" s="91">
        <f>IF('Deal maths'!V739="","",'Deal maths'!W739)</f>
        <v/>
      </c>
      <c r="B739" s="108">
        <f>('Deal maths'!AA739&gt;AsAt)*('Deal maths'!Y739&gt;0)*('Deal maths'!Z739&lt;=AsAt)</f>
        <v/>
      </c>
      <c r="C739" s="91">
        <f>IF('Deal maths'!V739="","",IF('Deal maths'!AC739="","Maturity",'Deal maths'!AC739))</f>
        <v/>
      </c>
      <c r="D739" s="108">
        <f>IF(OR(C739="EIP",C739="Annuity"),IF('Deal maths'!AD739="Annual",12,IF('Deal maths'!AD739="Quarterly",3,6)),0)</f>
        <v/>
      </c>
      <c r="E739" s="109">
        <f>IFERROR(IF(D739=0,0,IF('Deal maths'!AE739&gt;0,IF('Deal maths'!AE739&gt;'Deal maths'!AA739,'Deal maths'!AA739,'Deal maths'!AE739),IF(IF(DAY('Deal maths'!AA739+1)=1,EOMONTH('Deal maths'!AA739,-(INT(((YEAR('Deal maths'!AA739)-YEAR(IF('Deal maths'!Z739&gt;0,'Deal maths'!Z739,DATE(1990,1,1))))*12+MONTH('Deal maths'!AA739)-MONTH(IF('Deal maths'!Z739&gt;0,'Deal maths'!Z739,DATE(1990,1,1))))/D739))*D739),EDATE('Deal maths'!AA739,-(INT(((YEAR('Deal maths'!AA739)-YEAR(IF('Deal maths'!Z739&gt;0,'Deal maths'!Z739,DATE(1990,1,1))))*12+MONTH('Deal maths'!AA739)-MONTH(IF('Deal maths'!Z739&gt;0,'Deal maths'!Z739,DATE(1990,1,1))))/D739))*D739))&gt;IF('Deal maths'!Z739&gt;0,'Deal maths'!Z739,DATE(1990,1,1)),IF(DAY('Deal maths'!AA739+1)=1,EOMONTH('Deal maths'!AA739,-(INT(((YEAR('Deal maths'!AA739)-YEAR(IF('Deal maths'!Z739&gt;0,'Deal maths'!Z739,DATE(1990,1,1))))*12+MONTH('Deal maths'!AA739)-MONTH(IF('Deal maths'!Z739&gt;0,'Deal maths'!Z739,DATE(1990,1,1))))/D739))*D739),EDATE('Deal maths'!AA739,-(INT(((YEAR('Deal maths'!AA739)-YEAR(IF('Deal maths'!Z739&gt;0,'Deal maths'!Z739,DATE(1990,1,1))))*12+MONTH('Deal maths'!AA739)-MONTH(IF('Deal maths'!Z739&gt;0,'Deal maths'!Z739,DATE(1990,1,1))))/D739))*D739)),IF(DAY('Deal maths'!AA739+1)=1,EOMONTH('Deal maths'!AA739,-(INT(((YEAR('Deal maths'!AA739)-YEAR(IF('Deal maths'!Z739&gt;0,'Deal maths'!Z739,DATE(1990,1,1))))*12+MONTH('Deal maths'!AA739)-MONTH(IF('Deal maths'!Z739&gt;0,'Deal maths'!Z739,DATE(1990,1,1))))/D739)-1)*D739),EDATE('Deal maths'!AA739,-(INT(((YEAR('Deal maths'!AA739)-YEAR(IF('Deal maths'!Z739&gt;0,'Deal maths'!Z739,DATE(1990,1,1))))*12+MONTH('Deal maths'!AA739)-MONTH(IF('Deal maths'!Z739&gt;0,'Deal maths'!Z739,DATE(1990,1,1))))/D739)-1)*D739))))),0)</f>
        <v/>
      </c>
      <c r="F739" s="110">
        <f>IF(D739=0,0,'Deal maths'!AB739*D739/12)</f>
        <v/>
      </c>
      <c r="G739" s="108">
        <f>N739+O739</f>
        <v/>
      </c>
      <c r="H739" s="108">
        <f>IFERROR(IF(OR(D739=0,AsAt&lt;E739),0,MIN(N739,INT(((YEAR(AsAt)-YEAR(E739))*12+MONTH(AsAt)-MONTH(E739)-(DAY(AsAt)&lt;MIN(R739,DAY(EOMONTH(AsAt,0)))))/D739)+1)+O739*(AsAt&gt;='Deal maths'!AA739)),0)</f>
        <v/>
      </c>
      <c r="I739" s="108">
        <f>G739-H739</f>
        <v/>
      </c>
      <c r="J739" s="111">
        <f>IF(AND(C739="EIP",I739&gt;0),'Deal maths'!Y739/I739,0)</f>
        <v/>
      </c>
      <c r="K739" s="111">
        <f>IF(AND(C739="Annuity",I739&gt;0),IF(F739&gt;0,'Deal maths'!Y739*F739/(1-(1+F739)^-I739),'Deal maths'!Y739/I739),0)</f>
        <v/>
      </c>
      <c r="L739" s="111">
        <f>IF('Deal maths'!Y739="",0,'Deal maths'!Y739)</f>
        <v/>
      </c>
      <c r="M739" s="112">
        <f>F739+(F739=0)</f>
        <v/>
      </c>
      <c r="N739" s="108">
        <f>IFERROR(IF(D739=0,0,INT(((YEAR('Deal maths'!AA739)-YEAR(E739))*12+MONTH('Deal maths'!AA739)-MONTH(E739)-(DAY('Deal maths'!AA739)&lt;MIN(R739,DAY(EOMONTH('Deal maths'!AA739,0)))))/D739)+1),0)</f>
        <v/>
      </c>
      <c r="O739" s="108">
        <f>IFERROR(IF(D739=0,0,IF(IF(DAY(E739+1)=1,EOMONTH(E739,(N739-1)*D739),EDATE(E739,(N739-1)*D739))='Deal maths'!AA739,0,1)),0)</f>
        <v/>
      </c>
      <c r="P739" s="113">
        <f>IF(B739=0,0,IFERROR(IF(C739="EIP",((I739-O739)*((IF(DAY(E739+1)=1,EOMONTH(E739,H739*D739),EDATE(E739,H739*D739))-AsAt)/365.25+(IF(DAY(E739+1)=1,EOMONTH(E739,(N739-1)*D739),EDATE(E739,(N739-1)*D739))-AsAt)/365.25)/2+O739*('Deal maths'!AA739-AsAt)/365.25)/I739,IF(C739="Annuity",IF(F739&gt;0,((K739-L739*F739)*((IF(DAY(E739+1)=1,EOMONTH(E739,H739*D739),EDATE(E739,H739*D739))-AsAt)/365.25*((1+F739)^(I739-O739)-1)/F739+IF((I739-O739)&gt;1,((IF(DAY(E739+1)=1,EOMONTH(E739,(N739-1)*D739),EDATE(E739,(N739-1)*D739))-AsAt)/365.25-(IF(DAY(E739+1)=1,EOMONTH(E739,H739*D739),EDATE(E739,H739*D739))-AsAt)/365.25)/((I739-O739)-1),0)*(1+F739)*(1-(I739-O739)*(1+F739)^((I739-O739)-1)+((I739-O739)-1)*(1+F739)^(I739-O739))/F739^2)+O739*(K739-L739*F739)*(1+F739)^(I739-1)*('Deal maths'!AA739-AsAt)/365.25)/L739,((I739-O739)*((IF(DAY(E739+1)=1,EOMONTH(E739,H739*D739),EDATE(E739,H739*D739))-AsAt)/365.25+(IF(DAY(E739+1)=1,EOMONTH(E739,(N739-1)*D739),EDATE(E739,(N739-1)*D739))-AsAt)/365.25)/2+O739*('Deal maths'!AA739-AsAt)/365.25)/I739),(S739-AsAt)/365.25)),0))</f>
        <v/>
      </c>
      <c r="Q739" s="109">
        <f>IF(B739=1,'Deal maths'!AA739+ROW()/1000000,"")</f>
        <v/>
      </c>
      <c r="R739" s="108">
        <f>IF(D739=0,0,IF(DAY(E739+1)=1,31,DAY(E739)))</f>
        <v/>
      </c>
      <c r="S739" s="109">
        <f>IF(AND('Deal maths'!V739="LOBO",'Deal maths'!AG739&gt;AsAt,'Deal maths'!AG739&lt;'Deal maths'!AA739),'Deal maths'!AG739,'Deal maths'!AA739)</f>
        <v/>
      </c>
      <c r="T739" s="108">
        <f>('Deal maths'!AA739&gt;AsAt)*('Deal maths'!Y739&gt;0)</f>
        <v/>
      </c>
    </row>
    <row r="740">
      <c r="A740" s="91">
        <f>IF('Deal maths'!V740="","",'Deal maths'!W740)</f>
        <v/>
      </c>
      <c r="B740" s="108">
        <f>('Deal maths'!AA740&gt;AsAt)*('Deal maths'!Y740&gt;0)*('Deal maths'!Z740&lt;=AsAt)</f>
        <v/>
      </c>
      <c r="C740" s="91">
        <f>IF('Deal maths'!V740="","",IF('Deal maths'!AC740="","Maturity",'Deal maths'!AC740))</f>
        <v/>
      </c>
      <c r="D740" s="108">
        <f>IF(OR(C740="EIP",C740="Annuity"),IF('Deal maths'!AD740="Annual",12,IF('Deal maths'!AD740="Quarterly",3,6)),0)</f>
        <v/>
      </c>
      <c r="E740" s="109">
        <f>IFERROR(IF(D740=0,0,IF('Deal maths'!AE740&gt;0,IF('Deal maths'!AE740&gt;'Deal maths'!AA740,'Deal maths'!AA740,'Deal maths'!AE740),IF(IF(DAY('Deal maths'!AA740+1)=1,EOMONTH('Deal maths'!AA740,-(INT(((YEAR('Deal maths'!AA740)-YEAR(IF('Deal maths'!Z740&gt;0,'Deal maths'!Z740,DATE(1990,1,1))))*12+MONTH('Deal maths'!AA740)-MONTH(IF('Deal maths'!Z740&gt;0,'Deal maths'!Z740,DATE(1990,1,1))))/D740))*D740),EDATE('Deal maths'!AA740,-(INT(((YEAR('Deal maths'!AA740)-YEAR(IF('Deal maths'!Z740&gt;0,'Deal maths'!Z740,DATE(1990,1,1))))*12+MONTH('Deal maths'!AA740)-MONTH(IF('Deal maths'!Z740&gt;0,'Deal maths'!Z740,DATE(1990,1,1))))/D740))*D740))&gt;IF('Deal maths'!Z740&gt;0,'Deal maths'!Z740,DATE(1990,1,1)),IF(DAY('Deal maths'!AA740+1)=1,EOMONTH('Deal maths'!AA740,-(INT(((YEAR('Deal maths'!AA740)-YEAR(IF('Deal maths'!Z740&gt;0,'Deal maths'!Z740,DATE(1990,1,1))))*12+MONTH('Deal maths'!AA740)-MONTH(IF('Deal maths'!Z740&gt;0,'Deal maths'!Z740,DATE(1990,1,1))))/D740))*D740),EDATE('Deal maths'!AA740,-(INT(((YEAR('Deal maths'!AA740)-YEAR(IF('Deal maths'!Z740&gt;0,'Deal maths'!Z740,DATE(1990,1,1))))*12+MONTH('Deal maths'!AA740)-MONTH(IF('Deal maths'!Z740&gt;0,'Deal maths'!Z740,DATE(1990,1,1))))/D740))*D740)),IF(DAY('Deal maths'!AA740+1)=1,EOMONTH('Deal maths'!AA740,-(INT(((YEAR('Deal maths'!AA740)-YEAR(IF('Deal maths'!Z740&gt;0,'Deal maths'!Z740,DATE(1990,1,1))))*12+MONTH('Deal maths'!AA740)-MONTH(IF('Deal maths'!Z740&gt;0,'Deal maths'!Z740,DATE(1990,1,1))))/D740)-1)*D740),EDATE('Deal maths'!AA740,-(INT(((YEAR('Deal maths'!AA740)-YEAR(IF('Deal maths'!Z740&gt;0,'Deal maths'!Z740,DATE(1990,1,1))))*12+MONTH('Deal maths'!AA740)-MONTH(IF('Deal maths'!Z740&gt;0,'Deal maths'!Z740,DATE(1990,1,1))))/D740)-1)*D740))))),0)</f>
        <v/>
      </c>
      <c r="F740" s="110">
        <f>IF(D740=0,0,'Deal maths'!AB740*D740/12)</f>
        <v/>
      </c>
      <c r="G740" s="108">
        <f>N740+O740</f>
        <v/>
      </c>
      <c r="H740" s="108">
        <f>IFERROR(IF(OR(D740=0,AsAt&lt;E740),0,MIN(N740,INT(((YEAR(AsAt)-YEAR(E740))*12+MONTH(AsAt)-MONTH(E740)-(DAY(AsAt)&lt;MIN(R740,DAY(EOMONTH(AsAt,0)))))/D740)+1)+O740*(AsAt&gt;='Deal maths'!AA740)),0)</f>
        <v/>
      </c>
      <c r="I740" s="108">
        <f>G740-H740</f>
        <v/>
      </c>
      <c r="J740" s="111">
        <f>IF(AND(C740="EIP",I740&gt;0),'Deal maths'!Y740/I740,0)</f>
        <v/>
      </c>
      <c r="K740" s="111">
        <f>IF(AND(C740="Annuity",I740&gt;0),IF(F740&gt;0,'Deal maths'!Y740*F740/(1-(1+F740)^-I740),'Deal maths'!Y740/I740),0)</f>
        <v/>
      </c>
      <c r="L740" s="111">
        <f>IF('Deal maths'!Y740="",0,'Deal maths'!Y740)</f>
        <v/>
      </c>
      <c r="M740" s="112">
        <f>F740+(F740=0)</f>
        <v/>
      </c>
      <c r="N740" s="108">
        <f>IFERROR(IF(D740=0,0,INT(((YEAR('Deal maths'!AA740)-YEAR(E740))*12+MONTH('Deal maths'!AA740)-MONTH(E740)-(DAY('Deal maths'!AA740)&lt;MIN(R740,DAY(EOMONTH('Deal maths'!AA740,0)))))/D740)+1),0)</f>
        <v/>
      </c>
      <c r="O740" s="108">
        <f>IFERROR(IF(D740=0,0,IF(IF(DAY(E740+1)=1,EOMONTH(E740,(N740-1)*D740),EDATE(E740,(N740-1)*D740))='Deal maths'!AA740,0,1)),0)</f>
        <v/>
      </c>
      <c r="P740" s="113">
        <f>IF(B740=0,0,IFERROR(IF(C740="EIP",((I740-O740)*((IF(DAY(E740+1)=1,EOMONTH(E740,H740*D740),EDATE(E740,H740*D740))-AsAt)/365.25+(IF(DAY(E740+1)=1,EOMONTH(E740,(N740-1)*D740),EDATE(E740,(N740-1)*D740))-AsAt)/365.25)/2+O740*('Deal maths'!AA740-AsAt)/365.25)/I740,IF(C740="Annuity",IF(F740&gt;0,((K740-L740*F740)*((IF(DAY(E740+1)=1,EOMONTH(E740,H740*D740),EDATE(E740,H740*D740))-AsAt)/365.25*((1+F740)^(I740-O740)-1)/F740+IF((I740-O740)&gt;1,((IF(DAY(E740+1)=1,EOMONTH(E740,(N740-1)*D740),EDATE(E740,(N740-1)*D740))-AsAt)/365.25-(IF(DAY(E740+1)=1,EOMONTH(E740,H740*D740),EDATE(E740,H740*D740))-AsAt)/365.25)/((I740-O740)-1),0)*(1+F740)*(1-(I740-O740)*(1+F740)^((I740-O740)-1)+((I740-O740)-1)*(1+F740)^(I740-O740))/F740^2)+O740*(K740-L740*F740)*(1+F740)^(I740-1)*('Deal maths'!AA740-AsAt)/365.25)/L740,((I740-O740)*((IF(DAY(E740+1)=1,EOMONTH(E740,H740*D740),EDATE(E740,H740*D740))-AsAt)/365.25+(IF(DAY(E740+1)=1,EOMONTH(E740,(N740-1)*D740),EDATE(E740,(N740-1)*D740))-AsAt)/365.25)/2+O740*('Deal maths'!AA740-AsAt)/365.25)/I740),(S740-AsAt)/365.25)),0))</f>
        <v/>
      </c>
      <c r="Q740" s="109">
        <f>IF(B740=1,'Deal maths'!AA740+ROW()/1000000,"")</f>
        <v/>
      </c>
      <c r="R740" s="108">
        <f>IF(D740=0,0,IF(DAY(E740+1)=1,31,DAY(E740)))</f>
        <v/>
      </c>
      <c r="S740" s="109">
        <f>IF(AND('Deal maths'!V740="LOBO",'Deal maths'!AG740&gt;AsAt,'Deal maths'!AG740&lt;'Deal maths'!AA740),'Deal maths'!AG740,'Deal maths'!AA740)</f>
        <v/>
      </c>
      <c r="T740" s="108">
        <f>('Deal maths'!AA740&gt;AsAt)*('Deal maths'!Y740&gt;0)</f>
        <v/>
      </c>
    </row>
    <row r="741">
      <c r="A741" s="91">
        <f>IF('Deal maths'!V741="","",'Deal maths'!W741)</f>
        <v/>
      </c>
      <c r="B741" s="108">
        <f>('Deal maths'!AA741&gt;AsAt)*('Deal maths'!Y741&gt;0)*('Deal maths'!Z741&lt;=AsAt)</f>
        <v/>
      </c>
      <c r="C741" s="91">
        <f>IF('Deal maths'!V741="","",IF('Deal maths'!AC741="","Maturity",'Deal maths'!AC741))</f>
        <v/>
      </c>
      <c r="D741" s="108">
        <f>IF(OR(C741="EIP",C741="Annuity"),IF('Deal maths'!AD741="Annual",12,IF('Deal maths'!AD741="Quarterly",3,6)),0)</f>
        <v/>
      </c>
      <c r="E741" s="109">
        <f>IFERROR(IF(D741=0,0,IF('Deal maths'!AE741&gt;0,IF('Deal maths'!AE741&gt;'Deal maths'!AA741,'Deal maths'!AA741,'Deal maths'!AE741),IF(IF(DAY('Deal maths'!AA741+1)=1,EOMONTH('Deal maths'!AA741,-(INT(((YEAR('Deal maths'!AA741)-YEAR(IF('Deal maths'!Z741&gt;0,'Deal maths'!Z741,DATE(1990,1,1))))*12+MONTH('Deal maths'!AA741)-MONTH(IF('Deal maths'!Z741&gt;0,'Deal maths'!Z741,DATE(1990,1,1))))/D741))*D741),EDATE('Deal maths'!AA741,-(INT(((YEAR('Deal maths'!AA741)-YEAR(IF('Deal maths'!Z741&gt;0,'Deal maths'!Z741,DATE(1990,1,1))))*12+MONTH('Deal maths'!AA741)-MONTH(IF('Deal maths'!Z741&gt;0,'Deal maths'!Z741,DATE(1990,1,1))))/D741))*D741))&gt;IF('Deal maths'!Z741&gt;0,'Deal maths'!Z741,DATE(1990,1,1)),IF(DAY('Deal maths'!AA741+1)=1,EOMONTH('Deal maths'!AA741,-(INT(((YEAR('Deal maths'!AA741)-YEAR(IF('Deal maths'!Z741&gt;0,'Deal maths'!Z741,DATE(1990,1,1))))*12+MONTH('Deal maths'!AA741)-MONTH(IF('Deal maths'!Z741&gt;0,'Deal maths'!Z741,DATE(1990,1,1))))/D741))*D741),EDATE('Deal maths'!AA741,-(INT(((YEAR('Deal maths'!AA741)-YEAR(IF('Deal maths'!Z741&gt;0,'Deal maths'!Z741,DATE(1990,1,1))))*12+MONTH('Deal maths'!AA741)-MONTH(IF('Deal maths'!Z741&gt;0,'Deal maths'!Z741,DATE(1990,1,1))))/D741))*D741)),IF(DAY('Deal maths'!AA741+1)=1,EOMONTH('Deal maths'!AA741,-(INT(((YEAR('Deal maths'!AA741)-YEAR(IF('Deal maths'!Z741&gt;0,'Deal maths'!Z741,DATE(1990,1,1))))*12+MONTH('Deal maths'!AA741)-MONTH(IF('Deal maths'!Z741&gt;0,'Deal maths'!Z741,DATE(1990,1,1))))/D741)-1)*D741),EDATE('Deal maths'!AA741,-(INT(((YEAR('Deal maths'!AA741)-YEAR(IF('Deal maths'!Z741&gt;0,'Deal maths'!Z741,DATE(1990,1,1))))*12+MONTH('Deal maths'!AA741)-MONTH(IF('Deal maths'!Z741&gt;0,'Deal maths'!Z741,DATE(1990,1,1))))/D741)-1)*D741))))),0)</f>
        <v/>
      </c>
      <c r="F741" s="110">
        <f>IF(D741=0,0,'Deal maths'!AB741*D741/12)</f>
        <v/>
      </c>
      <c r="G741" s="108">
        <f>N741+O741</f>
        <v/>
      </c>
      <c r="H741" s="108">
        <f>IFERROR(IF(OR(D741=0,AsAt&lt;E741),0,MIN(N741,INT(((YEAR(AsAt)-YEAR(E741))*12+MONTH(AsAt)-MONTH(E741)-(DAY(AsAt)&lt;MIN(R741,DAY(EOMONTH(AsAt,0)))))/D741)+1)+O741*(AsAt&gt;='Deal maths'!AA741)),0)</f>
        <v/>
      </c>
      <c r="I741" s="108">
        <f>G741-H741</f>
        <v/>
      </c>
      <c r="J741" s="111">
        <f>IF(AND(C741="EIP",I741&gt;0),'Deal maths'!Y741/I741,0)</f>
        <v/>
      </c>
      <c r="K741" s="111">
        <f>IF(AND(C741="Annuity",I741&gt;0),IF(F741&gt;0,'Deal maths'!Y741*F741/(1-(1+F741)^-I741),'Deal maths'!Y741/I741),0)</f>
        <v/>
      </c>
      <c r="L741" s="111">
        <f>IF('Deal maths'!Y741="",0,'Deal maths'!Y741)</f>
        <v/>
      </c>
      <c r="M741" s="112">
        <f>F741+(F741=0)</f>
        <v/>
      </c>
      <c r="N741" s="108">
        <f>IFERROR(IF(D741=0,0,INT(((YEAR('Deal maths'!AA741)-YEAR(E741))*12+MONTH('Deal maths'!AA741)-MONTH(E741)-(DAY('Deal maths'!AA741)&lt;MIN(R741,DAY(EOMONTH('Deal maths'!AA741,0)))))/D741)+1),0)</f>
        <v/>
      </c>
      <c r="O741" s="108">
        <f>IFERROR(IF(D741=0,0,IF(IF(DAY(E741+1)=1,EOMONTH(E741,(N741-1)*D741),EDATE(E741,(N741-1)*D741))='Deal maths'!AA741,0,1)),0)</f>
        <v/>
      </c>
      <c r="P741" s="113">
        <f>IF(B741=0,0,IFERROR(IF(C741="EIP",((I741-O741)*((IF(DAY(E741+1)=1,EOMONTH(E741,H741*D741),EDATE(E741,H741*D741))-AsAt)/365.25+(IF(DAY(E741+1)=1,EOMONTH(E741,(N741-1)*D741),EDATE(E741,(N741-1)*D741))-AsAt)/365.25)/2+O741*('Deal maths'!AA741-AsAt)/365.25)/I741,IF(C741="Annuity",IF(F741&gt;0,((K741-L741*F741)*((IF(DAY(E741+1)=1,EOMONTH(E741,H741*D741),EDATE(E741,H741*D741))-AsAt)/365.25*((1+F741)^(I741-O741)-1)/F741+IF((I741-O741)&gt;1,((IF(DAY(E741+1)=1,EOMONTH(E741,(N741-1)*D741),EDATE(E741,(N741-1)*D741))-AsAt)/365.25-(IF(DAY(E741+1)=1,EOMONTH(E741,H741*D741),EDATE(E741,H741*D741))-AsAt)/365.25)/((I741-O741)-1),0)*(1+F741)*(1-(I741-O741)*(1+F741)^((I741-O741)-1)+((I741-O741)-1)*(1+F741)^(I741-O741))/F741^2)+O741*(K741-L741*F741)*(1+F741)^(I741-1)*('Deal maths'!AA741-AsAt)/365.25)/L741,((I741-O741)*((IF(DAY(E741+1)=1,EOMONTH(E741,H741*D741),EDATE(E741,H741*D741))-AsAt)/365.25+(IF(DAY(E741+1)=1,EOMONTH(E741,(N741-1)*D741),EDATE(E741,(N741-1)*D741))-AsAt)/365.25)/2+O741*('Deal maths'!AA741-AsAt)/365.25)/I741),(S741-AsAt)/365.25)),0))</f>
        <v/>
      </c>
      <c r="Q741" s="109">
        <f>IF(B741=1,'Deal maths'!AA741+ROW()/1000000,"")</f>
        <v/>
      </c>
      <c r="R741" s="108">
        <f>IF(D741=0,0,IF(DAY(E741+1)=1,31,DAY(E741)))</f>
        <v/>
      </c>
      <c r="S741" s="109">
        <f>IF(AND('Deal maths'!V741="LOBO",'Deal maths'!AG741&gt;AsAt,'Deal maths'!AG741&lt;'Deal maths'!AA741),'Deal maths'!AG741,'Deal maths'!AA741)</f>
        <v/>
      </c>
      <c r="T741" s="108">
        <f>('Deal maths'!AA741&gt;AsAt)*('Deal maths'!Y741&gt;0)</f>
        <v/>
      </c>
    </row>
    <row r="742">
      <c r="A742" s="91">
        <f>IF('Deal maths'!V742="","",'Deal maths'!W742)</f>
        <v/>
      </c>
      <c r="B742" s="108">
        <f>('Deal maths'!AA742&gt;AsAt)*('Deal maths'!Y742&gt;0)*('Deal maths'!Z742&lt;=AsAt)</f>
        <v/>
      </c>
      <c r="C742" s="91">
        <f>IF('Deal maths'!V742="","",IF('Deal maths'!AC742="","Maturity",'Deal maths'!AC742))</f>
        <v/>
      </c>
      <c r="D742" s="108">
        <f>IF(OR(C742="EIP",C742="Annuity"),IF('Deal maths'!AD742="Annual",12,IF('Deal maths'!AD742="Quarterly",3,6)),0)</f>
        <v/>
      </c>
      <c r="E742" s="109">
        <f>IFERROR(IF(D742=0,0,IF('Deal maths'!AE742&gt;0,IF('Deal maths'!AE742&gt;'Deal maths'!AA742,'Deal maths'!AA742,'Deal maths'!AE742),IF(IF(DAY('Deal maths'!AA742+1)=1,EOMONTH('Deal maths'!AA742,-(INT(((YEAR('Deal maths'!AA742)-YEAR(IF('Deal maths'!Z742&gt;0,'Deal maths'!Z742,DATE(1990,1,1))))*12+MONTH('Deal maths'!AA742)-MONTH(IF('Deal maths'!Z742&gt;0,'Deal maths'!Z742,DATE(1990,1,1))))/D742))*D742),EDATE('Deal maths'!AA742,-(INT(((YEAR('Deal maths'!AA742)-YEAR(IF('Deal maths'!Z742&gt;0,'Deal maths'!Z742,DATE(1990,1,1))))*12+MONTH('Deal maths'!AA742)-MONTH(IF('Deal maths'!Z742&gt;0,'Deal maths'!Z742,DATE(1990,1,1))))/D742))*D742))&gt;IF('Deal maths'!Z742&gt;0,'Deal maths'!Z742,DATE(1990,1,1)),IF(DAY('Deal maths'!AA742+1)=1,EOMONTH('Deal maths'!AA742,-(INT(((YEAR('Deal maths'!AA742)-YEAR(IF('Deal maths'!Z742&gt;0,'Deal maths'!Z742,DATE(1990,1,1))))*12+MONTH('Deal maths'!AA742)-MONTH(IF('Deal maths'!Z742&gt;0,'Deal maths'!Z742,DATE(1990,1,1))))/D742))*D742),EDATE('Deal maths'!AA742,-(INT(((YEAR('Deal maths'!AA742)-YEAR(IF('Deal maths'!Z742&gt;0,'Deal maths'!Z742,DATE(1990,1,1))))*12+MONTH('Deal maths'!AA742)-MONTH(IF('Deal maths'!Z742&gt;0,'Deal maths'!Z742,DATE(1990,1,1))))/D742))*D742)),IF(DAY('Deal maths'!AA742+1)=1,EOMONTH('Deal maths'!AA742,-(INT(((YEAR('Deal maths'!AA742)-YEAR(IF('Deal maths'!Z742&gt;0,'Deal maths'!Z742,DATE(1990,1,1))))*12+MONTH('Deal maths'!AA742)-MONTH(IF('Deal maths'!Z742&gt;0,'Deal maths'!Z742,DATE(1990,1,1))))/D742)-1)*D742),EDATE('Deal maths'!AA742,-(INT(((YEAR('Deal maths'!AA742)-YEAR(IF('Deal maths'!Z742&gt;0,'Deal maths'!Z742,DATE(1990,1,1))))*12+MONTH('Deal maths'!AA742)-MONTH(IF('Deal maths'!Z742&gt;0,'Deal maths'!Z742,DATE(1990,1,1))))/D742)-1)*D742))))),0)</f>
        <v/>
      </c>
      <c r="F742" s="110">
        <f>IF(D742=0,0,'Deal maths'!AB742*D742/12)</f>
        <v/>
      </c>
      <c r="G742" s="108">
        <f>N742+O742</f>
        <v/>
      </c>
      <c r="H742" s="108">
        <f>IFERROR(IF(OR(D742=0,AsAt&lt;E742),0,MIN(N742,INT(((YEAR(AsAt)-YEAR(E742))*12+MONTH(AsAt)-MONTH(E742)-(DAY(AsAt)&lt;MIN(R742,DAY(EOMONTH(AsAt,0)))))/D742)+1)+O742*(AsAt&gt;='Deal maths'!AA742)),0)</f>
        <v/>
      </c>
      <c r="I742" s="108">
        <f>G742-H742</f>
        <v/>
      </c>
      <c r="J742" s="111">
        <f>IF(AND(C742="EIP",I742&gt;0),'Deal maths'!Y742/I742,0)</f>
        <v/>
      </c>
      <c r="K742" s="111">
        <f>IF(AND(C742="Annuity",I742&gt;0),IF(F742&gt;0,'Deal maths'!Y742*F742/(1-(1+F742)^-I742),'Deal maths'!Y742/I742),0)</f>
        <v/>
      </c>
      <c r="L742" s="111">
        <f>IF('Deal maths'!Y742="",0,'Deal maths'!Y742)</f>
        <v/>
      </c>
      <c r="M742" s="112">
        <f>F742+(F742=0)</f>
        <v/>
      </c>
      <c r="N742" s="108">
        <f>IFERROR(IF(D742=0,0,INT(((YEAR('Deal maths'!AA742)-YEAR(E742))*12+MONTH('Deal maths'!AA742)-MONTH(E742)-(DAY('Deal maths'!AA742)&lt;MIN(R742,DAY(EOMONTH('Deal maths'!AA742,0)))))/D742)+1),0)</f>
        <v/>
      </c>
      <c r="O742" s="108">
        <f>IFERROR(IF(D742=0,0,IF(IF(DAY(E742+1)=1,EOMONTH(E742,(N742-1)*D742),EDATE(E742,(N742-1)*D742))='Deal maths'!AA742,0,1)),0)</f>
        <v/>
      </c>
      <c r="P742" s="113">
        <f>IF(B742=0,0,IFERROR(IF(C742="EIP",((I742-O742)*((IF(DAY(E742+1)=1,EOMONTH(E742,H742*D742),EDATE(E742,H742*D742))-AsAt)/365.25+(IF(DAY(E742+1)=1,EOMONTH(E742,(N742-1)*D742),EDATE(E742,(N742-1)*D742))-AsAt)/365.25)/2+O742*('Deal maths'!AA742-AsAt)/365.25)/I742,IF(C742="Annuity",IF(F742&gt;0,((K742-L742*F742)*((IF(DAY(E742+1)=1,EOMONTH(E742,H742*D742),EDATE(E742,H742*D742))-AsAt)/365.25*((1+F742)^(I742-O742)-1)/F742+IF((I742-O742)&gt;1,((IF(DAY(E742+1)=1,EOMONTH(E742,(N742-1)*D742),EDATE(E742,(N742-1)*D742))-AsAt)/365.25-(IF(DAY(E742+1)=1,EOMONTH(E742,H742*D742),EDATE(E742,H742*D742))-AsAt)/365.25)/((I742-O742)-1),0)*(1+F742)*(1-(I742-O742)*(1+F742)^((I742-O742)-1)+((I742-O742)-1)*(1+F742)^(I742-O742))/F742^2)+O742*(K742-L742*F742)*(1+F742)^(I742-1)*('Deal maths'!AA742-AsAt)/365.25)/L742,((I742-O742)*((IF(DAY(E742+1)=1,EOMONTH(E742,H742*D742),EDATE(E742,H742*D742))-AsAt)/365.25+(IF(DAY(E742+1)=1,EOMONTH(E742,(N742-1)*D742),EDATE(E742,(N742-1)*D742))-AsAt)/365.25)/2+O742*('Deal maths'!AA742-AsAt)/365.25)/I742),(S742-AsAt)/365.25)),0))</f>
        <v/>
      </c>
      <c r="Q742" s="109">
        <f>IF(B742=1,'Deal maths'!AA742+ROW()/1000000,"")</f>
        <v/>
      </c>
      <c r="R742" s="108">
        <f>IF(D742=0,0,IF(DAY(E742+1)=1,31,DAY(E742)))</f>
        <v/>
      </c>
      <c r="S742" s="109">
        <f>IF(AND('Deal maths'!V742="LOBO",'Deal maths'!AG742&gt;AsAt,'Deal maths'!AG742&lt;'Deal maths'!AA742),'Deal maths'!AG742,'Deal maths'!AA742)</f>
        <v/>
      </c>
      <c r="T742" s="108">
        <f>('Deal maths'!AA742&gt;AsAt)*('Deal maths'!Y742&gt;0)</f>
        <v/>
      </c>
    </row>
    <row r="743">
      <c r="A743" s="91">
        <f>IF('Deal maths'!V743="","",'Deal maths'!W743)</f>
        <v/>
      </c>
      <c r="B743" s="108">
        <f>('Deal maths'!AA743&gt;AsAt)*('Deal maths'!Y743&gt;0)*('Deal maths'!Z743&lt;=AsAt)</f>
        <v/>
      </c>
      <c r="C743" s="91">
        <f>IF('Deal maths'!V743="","",IF('Deal maths'!AC743="","Maturity",'Deal maths'!AC743))</f>
        <v/>
      </c>
      <c r="D743" s="108">
        <f>IF(OR(C743="EIP",C743="Annuity"),IF('Deal maths'!AD743="Annual",12,IF('Deal maths'!AD743="Quarterly",3,6)),0)</f>
        <v/>
      </c>
      <c r="E743" s="109">
        <f>IFERROR(IF(D743=0,0,IF('Deal maths'!AE743&gt;0,IF('Deal maths'!AE743&gt;'Deal maths'!AA743,'Deal maths'!AA743,'Deal maths'!AE743),IF(IF(DAY('Deal maths'!AA743+1)=1,EOMONTH('Deal maths'!AA743,-(INT(((YEAR('Deal maths'!AA743)-YEAR(IF('Deal maths'!Z743&gt;0,'Deal maths'!Z743,DATE(1990,1,1))))*12+MONTH('Deal maths'!AA743)-MONTH(IF('Deal maths'!Z743&gt;0,'Deal maths'!Z743,DATE(1990,1,1))))/D743))*D743),EDATE('Deal maths'!AA743,-(INT(((YEAR('Deal maths'!AA743)-YEAR(IF('Deal maths'!Z743&gt;0,'Deal maths'!Z743,DATE(1990,1,1))))*12+MONTH('Deal maths'!AA743)-MONTH(IF('Deal maths'!Z743&gt;0,'Deal maths'!Z743,DATE(1990,1,1))))/D743))*D743))&gt;IF('Deal maths'!Z743&gt;0,'Deal maths'!Z743,DATE(1990,1,1)),IF(DAY('Deal maths'!AA743+1)=1,EOMONTH('Deal maths'!AA743,-(INT(((YEAR('Deal maths'!AA743)-YEAR(IF('Deal maths'!Z743&gt;0,'Deal maths'!Z743,DATE(1990,1,1))))*12+MONTH('Deal maths'!AA743)-MONTH(IF('Deal maths'!Z743&gt;0,'Deal maths'!Z743,DATE(1990,1,1))))/D743))*D743),EDATE('Deal maths'!AA743,-(INT(((YEAR('Deal maths'!AA743)-YEAR(IF('Deal maths'!Z743&gt;0,'Deal maths'!Z743,DATE(1990,1,1))))*12+MONTH('Deal maths'!AA743)-MONTH(IF('Deal maths'!Z743&gt;0,'Deal maths'!Z743,DATE(1990,1,1))))/D743))*D743)),IF(DAY('Deal maths'!AA743+1)=1,EOMONTH('Deal maths'!AA743,-(INT(((YEAR('Deal maths'!AA743)-YEAR(IF('Deal maths'!Z743&gt;0,'Deal maths'!Z743,DATE(1990,1,1))))*12+MONTH('Deal maths'!AA743)-MONTH(IF('Deal maths'!Z743&gt;0,'Deal maths'!Z743,DATE(1990,1,1))))/D743)-1)*D743),EDATE('Deal maths'!AA743,-(INT(((YEAR('Deal maths'!AA743)-YEAR(IF('Deal maths'!Z743&gt;0,'Deal maths'!Z743,DATE(1990,1,1))))*12+MONTH('Deal maths'!AA743)-MONTH(IF('Deal maths'!Z743&gt;0,'Deal maths'!Z743,DATE(1990,1,1))))/D743)-1)*D743))))),0)</f>
        <v/>
      </c>
      <c r="F743" s="110">
        <f>IF(D743=0,0,'Deal maths'!AB743*D743/12)</f>
        <v/>
      </c>
      <c r="G743" s="108">
        <f>N743+O743</f>
        <v/>
      </c>
      <c r="H743" s="108">
        <f>IFERROR(IF(OR(D743=0,AsAt&lt;E743),0,MIN(N743,INT(((YEAR(AsAt)-YEAR(E743))*12+MONTH(AsAt)-MONTH(E743)-(DAY(AsAt)&lt;MIN(R743,DAY(EOMONTH(AsAt,0)))))/D743)+1)+O743*(AsAt&gt;='Deal maths'!AA743)),0)</f>
        <v/>
      </c>
      <c r="I743" s="108">
        <f>G743-H743</f>
        <v/>
      </c>
      <c r="J743" s="111">
        <f>IF(AND(C743="EIP",I743&gt;0),'Deal maths'!Y743/I743,0)</f>
        <v/>
      </c>
      <c r="K743" s="111">
        <f>IF(AND(C743="Annuity",I743&gt;0),IF(F743&gt;0,'Deal maths'!Y743*F743/(1-(1+F743)^-I743),'Deal maths'!Y743/I743),0)</f>
        <v/>
      </c>
      <c r="L743" s="111">
        <f>IF('Deal maths'!Y743="",0,'Deal maths'!Y743)</f>
        <v/>
      </c>
      <c r="M743" s="112">
        <f>F743+(F743=0)</f>
        <v/>
      </c>
      <c r="N743" s="108">
        <f>IFERROR(IF(D743=0,0,INT(((YEAR('Deal maths'!AA743)-YEAR(E743))*12+MONTH('Deal maths'!AA743)-MONTH(E743)-(DAY('Deal maths'!AA743)&lt;MIN(R743,DAY(EOMONTH('Deal maths'!AA743,0)))))/D743)+1),0)</f>
        <v/>
      </c>
      <c r="O743" s="108">
        <f>IFERROR(IF(D743=0,0,IF(IF(DAY(E743+1)=1,EOMONTH(E743,(N743-1)*D743),EDATE(E743,(N743-1)*D743))='Deal maths'!AA743,0,1)),0)</f>
        <v/>
      </c>
      <c r="P743" s="113">
        <f>IF(B743=0,0,IFERROR(IF(C743="EIP",((I743-O743)*((IF(DAY(E743+1)=1,EOMONTH(E743,H743*D743),EDATE(E743,H743*D743))-AsAt)/365.25+(IF(DAY(E743+1)=1,EOMONTH(E743,(N743-1)*D743),EDATE(E743,(N743-1)*D743))-AsAt)/365.25)/2+O743*('Deal maths'!AA743-AsAt)/365.25)/I743,IF(C743="Annuity",IF(F743&gt;0,((K743-L743*F743)*((IF(DAY(E743+1)=1,EOMONTH(E743,H743*D743),EDATE(E743,H743*D743))-AsAt)/365.25*((1+F743)^(I743-O743)-1)/F743+IF((I743-O743)&gt;1,((IF(DAY(E743+1)=1,EOMONTH(E743,(N743-1)*D743),EDATE(E743,(N743-1)*D743))-AsAt)/365.25-(IF(DAY(E743+1)=1,EOMONTH(E743,H743*D743),EDATE(E743,H743*D743))-AsAt)/365.25)/((I743-O743)-1),0)*(1+F743)*(1-(I743-O743)*(1+F743)^((I743-O743)-1)+((I743-O743)-1)*(1+F743)^(I743-O743))/F743^2)+O743*(K743-L743*F743)*(1+F743)^(I743-1)*('Deal maths'!AA743-AsAt)/365.25)/L743,((I743-O743)*((IF(DAY(E743+1)=1,EOMONTH(E743,H743*D743),EDATE(E743,H743*D743))-AsAt)/365.25+(IF(DAY(E743+1)=1,EOMONTH(E743,(N743-1)*D743),EDATE(E743,(N743-1)*D743))-AsAt)/365.25)/2+O743*('Deal maths'!AA743-AsAt)/365.25)/I743),(S743-AsAt)/365.25)),0))</f>
        <v/>
      </c>
      <c r="Q743" s="109">
        <f>IF(B743=1,'Deal maths'!AA743+ROW()/1000000,"")</f>
        <v/>
      </c>
      <c r="R743" s="108">
        <f>IF(D743=0,0,IF(DAY(E743+1)=1,31,DAY(E743)))</f>
        <v/>
      </c>
      <c r="S743" s="109">
        <f>IF(AND('Deal maths'!V743="LOBO",'Deal maths'!AG743&gt;AsAt,'Deal maths'!AG743&lt;'Deal maths'!AA743),'Deal maths'!AG743,'Deal maths'!AA743)</f>
        <v/>
      </c>
      <c r="T743" s="108">
        <f>('Deal maths'!AA743&gt;AsAt)*('Deal maths'!Y743&gt;0)</f>
        <v/>
      </c>
    </row>
    <row r="744">
      <c r="A744" s="91">
        <f>IF('Deal maths'!V744="","",'Deal maths'!W744)</f>
        <v/>
      </c>
      <c r="B744" s="108">
        <f>('Deal maths'!AA744&gt;AsAt)*('Deal maths'!Y744&gt;0)*('Deal maths'!Z744&lt;=AsAt)</f>
        <v/>
      </c>
      <c r="C744" s="91">
        <f>IF('Deal maths'!V744="","",IF('Deal maths'!AC744="","Maturity",'Deal maths'!AC744))</f>
        <v/>
      </c>
      <c r="D744" s="108">
        <f>IF(OR(C744="EIP",C744="Annuity"),IF('Deal maths'!AD744="Annual",12,IF('Deal maths'!AD744="Quarterly",3,6)),0)</f>
        <v/>
      </c>
      <c r="E744" s="109">
        <f>IFERROR(IF(D744=0,0,IF('Deal maths'!AE744&gt;0,IF('Deal maths'!AE744&gt;'Deal maths'!AA744,'Deal maths'!AA744,'Deal maths'!AE744),IF(IF(DAY('Deal maths'!AA744+1)=1,EOMONTH('Deal maths'!AA744,-(INT(((YEAR('Deal maths'!AA744)-YEAR(IF('Deal maths'!Z744&gt;0,'Deal maths'!Z744,DATE(1990,1,1))))*12+MONTH('Deal maths'!AA744)-MONTH(IF('Deal maths'!Z744&gt;0,'Deal maths'!Z744,DATE(1990,1,1))))/D744))*D744),EDATE('Deal maths'!AA744,-(INT(((YEAR('Deal maths'!AA744)-YEAR(IF('Deal maths'!Z744&gt;0,'Deal maths'!Z744,DATE(1990,1,1))))*12+MONTH('Deal maths'!AA744)-MONTH(IF('Deal maths'!Z744&gt;0,'Deal maths'!Z744,DATE(1990,1,1))))/D744))*D744))&gt;IF('Deal maths'!Z744&gt;0,'Deal maths'!Z744,DATE(1990,1,1)),IF(DAY('Deal maths'!AA744+1)=1,EOMONTH('Deal maths'!AA744,-(INT(((YEAR('Deal maths'!AA744)-YEAR(IF('Deal maths'!Z744&gt;0,'Deal maths'!Z744,DATE(1990,1,1))))*12+MONTH('Deal maths'!AA744)-MONTH(IF('Deal maths'!Z744&gt;0,'Deal maths'!Z744,DATE(1990,1,1))))/D744))*D744),EDATE('Deal maths'!AA744,-(INT(((YEAR('Deal maths'!AA744)-YEAR(IF('Deal maths'!Z744&gt;0,'Deal maths'!Z744,DATE(1990,1,1))))*12+MONTH('Deal maths'!AA744)-MONTH(IF('Deal maths'!Z744&gt;0,'Deal maths'!Z744,DATE(1990,1,1))))/D744))*D744)),IF(DAY('Deal maths'!AA744+1)=1,EOMONTH('Deal maths'!AA744,-(INT(((YEAR('Deal maths'!AA744)-YEAR(IF('Deal maths'!Z744&gt;0,'Deal maths'!Z744,DATE(1990,1,1))))*12+MONTH('Deal maths'!AA744)-MONTH(IF('Deal maths'!Z744&gt;0,'Deal maths'!Z744,DATE(1990,1,1))))/D744)-1)*D744),EDATE('Deal maths'!AA744,-(INT(((YEAR('Deal maths'!AA744)-YEAR(IF('Deal maths'!Z744&gt;0,'Deal maths'!Z744,DATE(1990,1,1))))*12+MONTH('Deal maths'!AA744)-MONTH(IF('Deal maths'!Z744&gt;0,'Deal maths'!Z744,DATE(1990,1,1))))/D744)-1)*D744))))),0)</f>
        <v/>
      </c>
      <c r="F744" s="110">
        <f>IF(D744=0,0,'Deal maths'!AB744*D744/12)</f>
        <v/>
      </c>
      <c r="G744" s="108">
        <f>N744+O744</f>
        <v/>
      </c>
      <c r="H744" s="108">
        <f>IFERROR(IF(OR(D744=0,AsAt&lt;E744),0,MIN(N744,INT(((YEAR(AsAt)-YEAR(E744))*12+MONTH(AsAt)-MONTH(E744)-(DAY(AsAt)&lt;MIN(R744,DAY(EOMONTH(AsAt,0)))))/D744)+1)+O744*(AsAt&gt;='Deal maths'!AA744)),0)</f>
        <v/>
      </c>
      <c r="I744" s="108">
        <f>G744-H744</f>
        <v/>
      </c>
      <c r="J744" s="111">
        <f>IF(AND(C744="EIP",I744&gt;0),'Deal maths'!Y744/I744,0)</f>
        <v/>
      </c>
      <c r="K744" s="111">
        <f>IF(AND(C744="Annuity",I744&gt;0),IF(F744&gt;0,'Deal maths'!Y744*F744/(1-(1+F744)^-I744),'Deal maths'!Y744/I744),0)</f>
        <v/>
      </c>
      <c r="L744" s="111">
        <f>IF('Deal maths'!Y744="",0,'Deal maths'!Y744)</f>
        <v/>
      </c>
      <c r="M744" s="112">
        <f>F744+(F744=0)</f>
        <v/>
      </c>
      <c r="N744" s="108">
        <f>IFERROR(IF(D744=0,0,INT(((YEAR('Deal maths'!AA744)-YEAR(E744))*12+MONTH('Deal maths'!AA744)-MONTH(E744)-(DAY('Deal maths'!AA744)&lt;MIN(R744,DAY(EOMONTH('Deal maths'!AA744,0)))))/D744)+1),0)</f>
        <v/>
      </c>
      <c r="O744" s="108">
        <f>IFERROR(IF(D744=0,0,IF(IF(DAY(E744+1)=1,EOMONTH(E744,(N744-1)*D744),EDATE(E744,(N744-1)*D744))='Deal maths'!AA744,0,1)),0)</f>
        <v/>
      </c>
      <c r="P744" s="113">
        <f>IF(B744=0,0,IFERROR(IF(C744="EIP",((I744-O744)*((IF(DAY(E744+1)=1,EOMONTH(E744,H744*D744),EDATE(E744,H744*D744))-AsAt)/365.25+(IF(DAY(E744+1)=1,EOMONTH(E744,(N744-1)*D744),EDATE(E744,(N744-1)*D744))-AsAt)/365.25)/2+O744*('Deal maths'!AA744-AsAt)/365.25)/I744,IF(C744="Annuity",IF(F744&gt;0,((K744-L744*F744)*((IF(DAY(E744+1)=1,EOMONTH(E744,H744*D744),EDATE(E744,H744*D744))-AsAt)/365.25*((1+F744)^(I744-O744)-1)/F744+IF((I744-O744)&gt;1,((IF(DAY(E744+1)=1,EOMONTH(E744,(N744-1)*D744),EDATE(E744,(N744-1)*D744))-AsAt)/365.25-(IF(DAY(E744+1)=1,EOMONTH(E744,H744*D744),EDATE(E744,H744*D744))-AsAt)/365.25)/((I744-O744)-1),0)*(1+F744)*(1-(I744-O744)*(1+F744)^((I744-O744)-1)+((I744-O744)-1)*(1+F744)^(I744-O744))/F744^2)+O744*(K744-L744*F744)*(1+F744)^(I744-1)*('Deal maths'!AA744-AsAt)/365.25)/L744,((I744-O744)*((IF(DAY(E744+1)=1,EOMONTH(E744,H744*D744),EDATE(E744,H744*D744))-AsAt)/365.25+(IF(DAY(E744+1)=1,EOMONTH(E744,(N744-1)*D744),EDATE(E744,(N744-1)*D744))-AsAt)/365.25)/2+O744*('Deal maths'!AA744-AsAt)/365.25)/I744),(S744-AsAt)/365.25)),0))</f>
        <v/>
      </c>
      <c r="Q744" s="109">
        <f>IF(B744=1,'Deal maths'!AA744+ROW()/1000000,"")</f>
        <v/>
      </c>
      <c r="R744" s="108">
        <f>IF(D744=0,0,IF(DAY(E744+1)=1,31,DAY(E744)))</f>
        <v/>
      </c>
      <c r="S744" s="109">
        <f>IF(AND('Deal maths'!V744="LOBO",'Deal maths'!AG744&gt;AsAt,'Deal maths'!AG744&lt;'Deal maths'!AA744),'Deal maths'!AG744,'Deal maths'!AA744)</f>
        <v/>
      </c>
      <c r="T744" s="108">
        <f>('Deal maths'!AA744&gt;AsAt)*('Deal maths'!Y744&gt;0)</f>
        <v/>
      </c>
    </row>
    <row r="745">
      <c r="A745" s="91">
        <f>IF('Deal maths'!V745="","",'Deal maths'!W745)</f>
        <v/>
      </c>
      <c r="B745" s="108">
        <f>('Deal maths'!AA745&gt;AsAt)*('Deal maths'!Y745&gt;0)*('Deal maths'!Z745&lt;=AsAt)</f>
        <v/>
      </c>
      <c r="C745" s="91">
        <f>IF('Deal maths'!V745="","",IF('Deal maths'!AC745="","Maturity",'Deal maths'!AC745))</f>
        <v/>
      </c>
      <c r="D745" s="108">
        <f>IF(OR(C745="EIP",C745="Annuity"),IF('Deal maths'!AD745="Annual",12,IF('Deal maths'!AD745="Quarterly",3,6)),0)</f>
        <v/>
      </c>
      <c r="E745" s="109">
        <f>IFERROR(IF(D745=0,0,IF('Deal maths'!AE745&gt;0,IF('Deal maths'!AE745&gt;'Deal maths'!AA745,'Deal maths'!AA745,'Deal maths'!AE745),IF(IF(DAY('Deal maths'!AA745+1)=1,EOMONTH('Deal maths'!AA745,-(INT(((YEAR('Deal maths'!AA745)-YEAR(IF('Deal maths'!Z745&gt;0,'Deal maths'!Z745,DATE(1990,1,1))))*12+MONTH('Deal maths'!AA745)-MONTH(IF('Deal maths'!Z745&gt;0,'Deal maths'!Z745,DATE(1990,1,1))))/D745))*D745),EDATE('Deal maths'!AA745,-(INT(((YEAR('Deal maths'!AA745)-YEAR(IF('Deal maths'!Z745&gt;0,'Deal maths'!Z745,DATE(1990,1,1))))*12+MONTH('Deal maths'!AA745)-MONTH(IF('Deal maths'!Z745&gt;0,'Deal maths'!Z745,DATE(1990,1,1))))/D745))*D745))&gt;IF('Deal maths'!Z745&gt;0,'Deal maths'!Z745,DATE(1990,1,1)),IF(DAY('Deal maths'!AA745+1)=1,EOMONTH('Deal maths'!AA745,-(INT(((YEAR('Deal maths'!AA745)-YEAR(IF('Deal maths'!Z745&gt;0,'Deal maths'!Z745,DATE(1990,1,1))))*12+MONTH('Deal maths'!AA745)-MONTH(IF('Deal maths'!Z745&gt;0,'Deal maths'!Z745,DATE(1990,1,1))))/D745))*D745),EDATE('Deal maths'!AA745,-(INT(((YEAR('Deal maths'!AA745)-YEAR(IF('Deal maths'!Z745&gt;0,'Deal maths'!Z745,DATE(1990,1,1))))*12+MONTH('Deal maths'!AA745)-MONTH(IF('Deal maths'!Z745&gt;0,'Deal maths'!Z745,DATE(1990,1,1))))/D745))*D745)),IF(DAY('Deal maths'!AA745+1)=1,EOMONTH('Deal maths'!AA745,-(INT(((YEAR('Deal maths'!AA745)-YEAR(IF('Deal maths'!Z745&gt;0,'Deal maths'!Z745,DATE(1990,1,1))))*12+MONTH('Deal maths'!AA745)-MONTH(IF('Deal maths'!Z745&gt;0,'Deal maths'!Z745,DATE(1990,1,1))))/D745)-1)*D745),EDATE('Deal maths'!AA745,-(INT(((YEAR('Deal maths'!AA745)-YEAR(IF('Deal maths'!Z745&gt;0,'Deal maths'!Z745,DATE(1990,1,1))))*12+MONTH('Deal maths'!AA745)-MONTH(IF('Deal maths'!Z745&gt;0,'Deal maths'!Z745,DATE(1990,1,1))))/D745)-1)*D745))))),0)</f>
        <v/>
      </c>
      <c r="F745" s="110">
        <f>IF(D745=0,0,'Deal maths'!AB745*D745/12)</f>
        <v/>
      </c>
      <c r="G745" s="108">
        <f>N745+O745</f>
        <v/>
      </c>
      <c r="H745" s="108">
        <f>IFERROR(IF(OR(D745=0,AsAt&lt;E745),0,MIN(N745,INT(((YEAR(AsAt)-YEAR(E745))*12+MONTH(AsAt)-MONTH(E745)-(DAY(AsAt)&lt;MIN(R745,DAY(EOMONTH(AsAt,0)))))/D745)+1)+O745*(AsAt&gt;='Deal maths'!AA745)),0)</f>
        <v/>
      </c>
      <c r="I745" s="108">
        <f>G745-H745</f>
        <v/>
      </c>
      <c r="J745" s="111">
        <f>IF(AND(C745="EIP",I745&gt;0),'Deal maths'!Y745/I745,0)</f>
        <v/>
      </c>
      <c r="K745" s="111">
        <f>IF(AND(C745="Annuity",I745&gt;0),IF(F745&gt;0,'Deal maths'!Y745*F745/(1-(1+F745)^-I745),'Deal maths'!Y745/I745),0)</f>
        <v/>
      </c>
      <c r="L745" s="111">
        <f>IF('Deal maths'!Y745="",0,'Deal maths'!Y745)</f>
        <v/>
      </c>
      <c r="M745" s="112">
        <f>F745+(F745=0)</f>
        <v/>
      </c>
      <c r="N745" s="108">
        <f>IFERROR(IF(D745=0,0,INT(((YEAR('Deal maths'!AA745)-YEAR(E745))*12+MONTH('Deal maths'!AA745)-MONTH(E745)-(DAY('Deal maths'!AA745)&lt;MIN(R745,DAY(EOMONTH('Deal maths'!AA745,0)))))/D745)+1),0)</f>
        <v/>
      </c>
      <c r="O745" s="108">
        <f>IFERROR(IF(D745=0,0,IF(IF(DAY(E745+1)=1,EOMONTH(E745,(N745-1)*D745),EDATE(E745,(N745-1)*D745))='Deal maths'!AA745,0,1)),0)</f>
        <v/>
      </c>
      <c r="P745" s="113">
        <f>IF(B745=0,0,IFERROR(IF(C745="EIP",((I745-O745)*((IF(DAY(E745+1)=1,EOMONTH(E745,H745*D745),EDATE(E745,H745*D745))-AsAt)/365.25+(IF(DAY(E745+1)=1,EOMONTH(E745,(N745-1)*D745),EDATE(E745,(N745-1)*D745))-AsAt)/365.25)/2+O745*('Deal maths'!AA745-AsAt)/365.25)/I745,IF(C745="Annuity",IF(F745&gt;0,((K745-L745*F745)*((IF(DAY(E745+1)=1,EOMONTH(E745,H745*D745),EDATE(E745,H745*D745))-AsAt)/365.25*((1+F745)^(I745-O745)-1)/F745+IF((I745-O745)&gt;1,((IF(DAY(E745+1)=1,EOMONTH(E745,(N745-1)*D745),EDATE(E745,(N745-1)*D745))-AsAt)/365.25-(IF(DAY(E745+1)=1,EOMONTH(E745,H745*D745),EDATE(E745,H745*D745))-AsAt)/365.25)/((I745-O745)-1),0)*(1+F745)*(1-(I745-O745)*(1+F745)^((I745-O745)-1)+((I745-O745)-1)*(1+F745)^(I745-O745))/F745^2)+O745*(K745-L745*F745)*(1+F745)^(I745-1)*('Deal maths'!AA745-AsAt)/365.25)/L745,((I745-O745)*((IF(DAY(E745+1)=1,EOMONTH(E745,H745*D745),EDATE(E745,H745*D745))-AsAt)/365.25+(IF(DAY(E745+1)=1,EOMONTH(E745,(N745-1)*D745),EDATE(E745,(N745-1)*D745))-AsAt)/365.25)/2+O745*('Deal maths'!AA745-AsAt)/365.25)/I745),(S745-AsAt)/365.25)),0))</f>
        <v/>
      </c>
      <c r="Q745" s="109">
        <f>IF(B745=1,'Deal maths'!AA745+ROW()/1000000,"")</f>
        <v/>
      </c>
      <c r="R745" s="108">
        <f>IF(D745=0,0,IF(DAY(E745+1)=1,31,DAY(E745)))</f>
        <v/>
      </c>
      <c r="S745" s="109">
        <f>IF(AND('Deal maths'!V745="LOBO",'Deal maths'!AG745&gt;AsAt,'Deal maths'!AG745&lt;'Deal maths'!AA745),'Deal maths'!AG745,'Deal maths'!AA745)</f>
        <v/>
      </c>
      <c r="T745" s="108">
        <f>('Deal maths'!AA745&gt;AsAt)*('Deal maths'!Y745&gt;0)</f>
        <v/>
      </c>
    </row>
    <row r="746">
      <c r="A746" s="91">
        <f>IF('Deal maths'!V746="","",'Deal maths'!W746)</f>
        <v/>
      </c>
      <c r="B746" s="108">
        <f>('Deal maths'!AA746&gt;AsAt)*('Deal maths'!Y746&gt;0)*('Deal maths'!Z746&lt;=AsAt)</f>
        <v/>
      </c>
      <c r="C746" s="91">
        <f>IF('Deal maths'!V746="","",IF('Deal maths'!AC746="","Maturity",'Deal maths'!AC746))</f>
        <v/>
      </c>
      <c r="D746" s="108">
        <f>IF(OR(C746="EIP",C746="Annuity"),IF('Deal maths'!AD746="Annual",12,IF('Deal maths'!AD746="Quarterly",3,6)),0)</f>
        <v/>
      </c>
      <c r="E746" s="109">
        <f>IFERROR(IF(D746=0,0,IF('Deal maths'!AE746&gt;0,IF('Deal maths'!AE746&gt;'Deal maths'!AA746,'Deal maths'!AA746,'Deal maths'!AE746),IF(IF(DAY('Deal maths'!AA746+1)=1,EOMONTH('Deal maths'!AA746,-(INT(((YEAR('Deal maths'!AA746)-YEAR(IF('Deal maths'!Z746&gt;0,'Deal maths'!Z746,DATE(1990,1,1))))*12+MONTH('Deal maths'!AA746)-MONTH(IF('Deal maths'!Z746&gt;0,'Deal maths'!Z746,DATE(1990,1,1))))/D746))*D746),EDATE('Deal maths'!AA746,-(INT(((YEAR('Deal maths'!AA746)-YEAR(IF('Deal maths'!Z746&gt;0,'Deal maths'!Z746,DATE(1990,1,1))))*12+MONTH('Deal maths'!AA746)-MONTH(IF('Deal maths'!Z746&gt;0,'Deal maths'!Z746,DATE(1990,1,1))))/D746))*D746))&gt;IF('Deal maths'!Z746&gt;0,'Deal maths'!Z746,DATE(1990,1,1)),IF(DAY('Deal maths'!AA746+1)=1,EOMONTH('Deal maths'!AA746,-(INT(((YEAR('Deal maths'!AA746)-YEAR(IF('Deal maths'!Z746&gt;0,'Deal maths'!Z746,DATE(1990,1,1))))*12+MONTH('Deal maths'!AA746)-MONTH(IF('Deal maths'!Z746&gt;0,'Deal maths'!Z746,DATE(1990,1,1))))/D746))*D746),EDATE('Deal maths'!AA746,-(INT(((YEAR('Deal maths'!AA746)-YEAR(IF('Deal maths'!Z746&gt;0,'Deal maths'!Z746,DATE(1990,1,1))))*12+MONTH('Deal maths'!AA746)-MONTH(IF('Deal maths'!Z746&gt;0,'Deal maths'!Z746,DATE(1990,1,1))))/D746))*D746)),IF(DAY('Deal maths'!AA746+1)=1,EOMONTH('Deal maths'!AA746,-(INT(((YEAR('Deal maths'!AA746)-YEAR(IF('Deal maths'!Z746&gt;0,'Deal maths'!Z746,DATE(1990,1,1))))*12+MONTH('Deal maths'!AA746)-MONTH(IF('Deal maths'!Z746&gt;0,'Deal maths'!Z746,DATE(1990,1,1))))/D746)-1)*D746),EDATE('Deal maths'!AA746,-(INT(((YEAR('Deal maths'!AA746)-YEAR(IF('Deal maths'!Z746&gt;0,'Deal maths'!Z746,DATE(1990,1,1))))*12+MONTH('Deal maths'!AA746)-MONTH(IF('Deal maths'!Z746&gt;0,'Deal maths'!Z746,DATE(1990,1,1))))/D746)-1)*D746))))),0)</f>
        <v/>
      </c>
      <c r="F746" s="110">
        <f>IF(D746=0,0,'Deal maths'!AB746*D746/12)</f>
        <v/>
      </c>
      <c r="G746" s="108">
        <f>N746+O746</f>
        <v/>
      </c>
      <c r="H746" s="108">
        <f>IFERROR(IF(OR(D746=0,AsAt&lt;E746),0,MIN(N746,INT(((YEAR(AsAt)-YEAR(E746))*12+MONTH(AsAt)-MONTH(E746)-(DAY(AsAt)&lt;MIN(R746,DAY(EOMONTH(AsAt,0)))))/D746)+1)+O746*(AsAt&gt;='Deal maths'!AA746)),0)</f>
        <v/>
      </c>
      <c r="I746" s="108">
        <f>G746-H746</f>
        <v/>
      </c>
      <c r="J746" s="111">
        <f>IF(AND(C746="EIP",I746&gt;0),'Deal maths'!Y746/I746,0)</f>
        <v/>
      </c>
      <c r="K746" s="111">
        <f>IF(AND(C746="Annuity",I746&gt;0),IF(F746&gt;0,'Deal maths'!Y746*F746/(1-(1+F746)^-I746),'Deal maths'!Y746/I746),0)</f>
        <v/>
      </c>
      <c r="L746" s="111">
        <f>IF('Deal maths'!Y746="",0,'Deal maths'!Y746)</f>
        <v/>
      </c>
      <c r="M746" s="112">
        <f>F746+(F746=0)</f>
        <v/>
      </c>
      <c r="N746" s="108">
        <f>IFERROR(IF(D746=0,0,INT(((YEAR('Deal maths'!AA746)-YEAR(E746))*12+MONTH('Deal maths'!AA746)-MONTH(E746)-(DAY('Deal maths'!AA746)&lt;MIN(R746,DAY(EOMONTH('Deal maths'!AA746,0)))))/D746)+1),0)</f>
        <v/>
      </c>
      <c r="O746" s="108">
        <f>IFERROR(IF(D746=0,0,IF(IF(DAY(E746+1)=1,EOMONTH(E746,(N746-1)*D746),EDATE(E746,(N746-1)*D746))='Deal maths'!AA746,0,1)),0)</f>
        <v/>
      </c>
      <c r="P746" s="113">
        <f>IF(B746=0,0,IFERROR(IF(C746="EIP",((I746-O746)*((IF(DAY(E746+1)=1,EOMONTH(E746,H746*D746),EDATE(E746,H746*D746))-AsAt)/365.25+(IF(DAY(E746+1)=1,EOMONTH(E746,(N746-1)*D746),EDATE(E746,(N746-1)*D746))-AsAt)/365.25)/2+O746*('Deal maths'!AA746-AsAt)/365.25)/I746,IF(C746="Annuity",IF(F746&gt;0,((K746-L746*F746)*((IF(DAY(E746+1)=1,EOMONTH(E746,H746*D746),EDATE(E746,H746*D746))-AsAt)/365.25*((1+F746)^(I746-O746)-1)/F746+IF((I746-O746)&gt;1,((IF(DAY(E746+1)=1,EOMONTH(E746,(N746-1)*D746),EDATE(E746,(N746-1)*D746))-AsAt)/365.25-(IF(DAY(E746+1)=1,EOMONTH(E746,H746*D746),EDATE(E746,H746*D746))-AsAt)/365.25)/((I746-O746)-1),0)*(1+F746)*(1-(I746-O746)*(1+F746)^((I746-O746)-1)+((I746-O746)-1)*(1+F746)^(I746-O746))/F746^2)+O746*(K746-L746*F746)*(1+F746)^(I746-1)*('Deal maths'!AA746-AsAt)/365.25)/L746,((I746-O746)*((IF(DAY(E746+1)=1,EOMONTH(E746,H746*D746),EDATE(E746,H746*D746))-AsAt)/365.25+(IF(DAY(E746+1)=1,EOMONTH(E746,(N746-1)*D746),EDATE(E746,(N746-1)*D746))-AsAt)/365.25)/2+O746*('Deal maths'!AA746-AsAt)/365.25)/I746),(S746-AsAt)/365.25)),0))</f>
        <v/>
      </c>
      <c r="Q746" s="109">
        <f>IF(B746=1,'Deal maths'!AA746+ROW()/1000000,"")</f>
        <v/>
      </c>
      <c r="R746" s="108">
        <f>IF(D746=0,0,IF(DAY(E746+1)=1,31,DAY(E746)))</f>
        <v/>
      </c>
      <c r="S746" s="109">
        <f>IF(AND('Deal maths'!V746="LOBO",'Deal maths'!AG746&gt;AsAt,'Deal maths'!AG746&lt;'Deal maths'!AA746),'Deal maths'!AG746,'Deal maths'!AA746)</f>
        <v/>
      </c>
      <c r="T746" s="108">
        <f>('Deal maths'!AA746&gt;AsAt)*('Deal maths'!Y746&gt;0)</f>
        <v/>
      </c>
    </row>
    <row r="747">
      <c r="A747" s="91">
        <f>IF('Deal maths'!V747="","",'Deal maths'!W747)</f>
        <v/>
      </c>
      <c r="B747" s="108">
        <f>('Deal maths'!AA747&gt;AsAt)*('Deal maths'!Y747&gt;0)*('Deal maths'!Z747&lt;=AsAt)</f>
        <v/>
      </c>
      <c r="C747" s="91">
        <f>IF('Deal maths'!V747="","",IF('Deal maths'!AC747="","Maturity",'Deal maths'!AC747))</f>
        <v/>
      </c>
      <c r="D747" s="108">
        <f>IF(OR(C747="EIP",C747="Annuity"),IF('Deal maths'!AD747="Annual",12,IF('Deal maths'!AD747="Quarterly",3,6)),0)</f>
        <v/>
      </c>
      <c r="E747" s="109">
        <f>IFERROR(IF(D747=0,0,IF('Deal maths'!AE747&gt;0,IF('Deal maths'!AE747&gt;'Deal maths'!AA747,'Deal maths'!AA747,'Deal maths'!AE747),IF(IF(DAY('Deal maths'!AA747+1)=1,EOMONTH('Deal maths'!AA747,-(INT(((YEAR('Deal maths'!AA747)-YEAR(IF('Deal maths'!Z747&gt;0,'Deal maths'!Z747,DATE(1990,1,1))))*12+MONTH('Deal maths'!AA747)-MONTH(IF('Deal maths'!Z747&gt;0,'Deal maths'!Z747,DATE(1990,1,1))))/D747))*D747),EDATE('Deal maths'!AA747,-(INT(((YEAR('Deal maths'!AA747)-YEAR(IF('Deal maths'!Z747&gt;0,'Deal maths'!Z747,DATE(1990,1,1))))*12+MONTH('Deal maths'!AA747)-MONTH(IF('Deal maths'!Z747&gt;0,'Deal maths'!Z747,DATE(1990,1,1))))/D747))*D747))&gt;IF('Deal maths'!Z747&gt;0,'Deal maths'!Z747,DATE(1990,1,1)),IF(DAY('Deal maths'!AA747+1)=1,EOMONTH('Deal maths'!AA747,-(INT(((YEAR('Deal maths'!AA747)-YEAR(IF('Deal maths'!Z747&gt;0,'Deal maths'!Z747,DATE(1990,1,1))))*12+MONTH('Deal maths'!AA747)-MONTH(IF('Deal maths'!Z747&gt;0,'Deal maths'!Z747,DATE(1990,1,1))))/D747))*D747),EDATE('Deal maths'!AA747,-(INT(((YEAR('Deal maths'!AA747)-YEAR(IF('Deal maths'!Z747&gt;0,'Deal maths'!Z747,DATE(1990,1,1))))*12+MONTH('Deal maths'!AA747)-MONTH(IF('Deal maths'!Z747&gt;0,'Deal maths'!Z747,DATE(1990,1,1))))/D747))*D747)),IF(DAY('Deal maths'!AA747+1)=1,EOMONTH('Deal maths'!AA747,-(INT(((YEAR('Deal maths'!AA747)-YEAR(IF('Deal maths'!Z747&gt;0,'Deal maths'!Z747,DATE(1990,1,1))))*12+MONTH('Deal maths'!AA747)-MONTH(IF('Deal maths'!Z747&gt;0,'Deal maths'!Z747,DATE(1990,1,1))))/D747)-1)*D747),EDATE('Deal maths'!AA747,-(INT(((YEAR('Deal maths'!AA747)-YEAR(IF('Deal maths'!Z747&gt;0,'Deal maths'!Z747,DATE(1990,1,1))))*12+MONTH('Deal maths'!AA747)-MONTH(IF('Deal maths'!Z747&gt;0,'Deal maths'!Z747,DATE(1990,1,1))))/D747)-1)*D747))))),0)</f>
        <v/>
      </c>
      <c r="F747" s="110">
        <f>IF(D747=0,0,'Deal maths'!AB747*D747/12)</f>
        <v/>
      </c>
      <c r="G747" s="108">
        <f>N747+O747</f>
        <v/>
      </c>
      <c r="H747" s="108">
        <f>IFERROR(IF(OR(D747=0,AsAt&lt;E747),0,MIN(N747,INT(((YEAR(AsAt)-YEAR(E747))*12+MONTH(AsAt)-MONTH(E747)-(DAY(AsAt)&lt;MIN(R747,DAY(EOMONTH(AsAt,0)))))/D747)+1)+O747*(AsAt&gt;='Deal maths'!AA747)),0)</f>
        <v/>
      </c>
      <c r="I747" s="108">
        <f>G747-H747</f>
        <v/>
      </c>
      <c r="J747" s="111">
        <f>IF(AND(C747="EIP",I747&gt;0),'Deal maths'!Y747/I747,0)</f>
        <v/>
      </c>
      <c r="K747" s="111">
        <f>IF(AND(C747="Annuity",I747&gt;0),IF(F747&gt;0,'Deal maths'!Y747*F747/(1-(1+F747)^-I747),'Deal maths'!Y747/I747),0)</f>
        <v/>
      </c>
      <c r="L747" s="111">
        <f>IF('Deal maths'!Y747="",0,'Deal maths'!Y747)</f>
        <v/>
      </c>
      <c r="M747" s="112">
        <f>F747+(F747=0)</f>
        <v/>
      </c>
      <c r="N747" s="108">
        <f>IFERROR(IF(D747=0,0,INT(((YEAR('Deal maths'!AA747)-YEAR(E747))*12+MONTH('Deal maths'!AA747)-MONTH(E747)-(DAY('Deal maths'!AA747)&lt;MIN(R747,DAY(EOMONTH('Deal maths'!AA747,0)))))/D747)+1),0)</f>
        <v/>
      </c>
      <c r="O747" s="108">
        <f>IFERROR(IF(D747=0,0,IF(IF(DAY(E747+1)=1,EOMONTH(E747,(N747-1)*D747),EDATE(E747,(N747-1)*D747))='Deal maths'!AA747,0,1)),0)</f>
        <v/>
      </c>
      <c r="P747" s="113">
        <f>IF(B747=0,0,IFERROR(IF(C747="EIP",((I747-O747)*((IF(DAY(E747+1)=1,EOMONTH(E747,H747*D747),EDATE(E747,H747*D747))-AsAt)/365.25+(IF(DAY(E747+1)=1,EOMONTH(E747,(N747-1)*D747),EDATE(E747,(N747-1)*D747))-AsAt)/365.25)/2+O747*('Deal maths'!AA747-AsAt)/365.25)/I747,IF(C747="Annuity",IF(F747&gt;0,((K747-L747*F747)*((IF(DAY(E747+1)=1,EOMONTH(E747,H747*D747),EDATE(E747,H747*D747))-AsAt)/365.25*((1+F747)^(I747-O747)-1)/F747+IF((I747-O747)&gt;1,((IF(DAY(E747+1)=1,EOMONTH(E747,(N747-1)*D747),EDATE(E747,(N747-1)*D747))-AsAt)/365.25-(IF(DAY(E747+1)=1,EOMONTH(E747,H747*D747),EDATE(E747,H747*D747))-AsAt)/365.25)/((I747-O747)-1),0)*(1+F747)*(1-(I747-O747)*(1+F747)^((I747-O747)-1)+((I747-O747)-1)*(1+F747)^(I747-O747))/F747^2)+O747*(K747-L747*F747)*(1+F747)^(I747-1)*('Deal maths'!AA747-AsAt)/365.25)/L747,((I747-O747)*((IF(DAY(E747+1)=1,EOMONTH(E747,H747*D747),EDATE(E747,H747*D747))-AsAt)/365.25+(IF(DAY(E747+1)=1,EOMONTH(E747,(N747-1)*D747),EDATE(E747,(N747-1)*D747))-AsAt)/365.25)/2+O747*('Deal maths'!AA747-AsAt)/365.25)/I747),(S747-AsAt)/365.25)),0))</f>
        <v/>
      </c>
      <c r="Q747" s="109">
        <f>IF(B747=1,'Deal maths'!AA747+ROW()/1000000,"")</f>
        <v/>
      </c>
      <c r="R747" s="108">
        <f>IF(D747=0,0,IF(DAY(E747+1)=1,31,DAY(E747)))</f>
        <v/>
      </c>
      <c r="S747" s="109">
        <f>IF(AND('Deal maths'!V747="LOBO",'Deal maths'!AG747&gt;AsAt,'Deal maths'!AG747&lt;'Deal maths'!AA747),'Deal maths'!AG747,'Deal maths'!AA747)</f>
        <v/>
      </c>
      <c r="T747" s="108">
        <f>('Deal maths'!AA747&gt;AsAt)*('Deal maths'!Y747&gt;0)</f>
        <v/>
      </c>
    </row>
    <row r="748">
      <c r="A748" s="91">
        <f>IF('Deal maths'!V748="","",'Deal maths'!W748)</f>
        <v/>
      </c>
      <c r="B748" s="108">
        <f>('Deal maths'!AA748&gt;AsAt)*('Deal maths'!Y748&gt;0)*('Deal maths'!Z748&lt;=AsAt)</f>
        <v/>
      </c>
      <c r="C748" s="91">
        <f>IF('Deal maths'!V748="","",IF('Deal maths'!AC748="","Maturity",'Deal maths'!AC748))</f>
        <v/>
      </c>
      <c r="D748" s="108">
        <f>IF(OR(C748="EIP",C748="Annuity"),IF('Deal maths'!AD748="Annual",12,IF('Deal maths'!AD748="Quarterly",3,6)),0)</f>
        <v/>
      </c>
      <c r="E748" s="109">
        <f>IFERROR(IF(D748=0,0,IF('Deal maths'!AE748&gt;0,IF('Deal maths'!AE748&gt;'Deal maths'!AA748,'Deal maths'!AA748,'Deal maths'!AE748),IF(IF(DAY('Deal maths'!AA748+1)=1,EOMONTH('Deal maths'!AA748,-(INT(((YEAR('Deal maths'!AA748)-YEAR(IF('Deal maths'!Z748&gt;0,'Deal maths'!Z748,DATE(1990,1,1))))*12+MONTH('Deal maths'!AA748)-MONTH(IF('Deal maths'!Z748&gt;0,'Deal maths'!Z748,DATE(1990,1,1))))/D748))*D748),EDATE('Deal maths'!AA748,-(INT(((YEAR('Deal maths'!AA748)-YEAR(IF('Deal maths'!Z748&gt;0,'Deal maths'!Z748,DATE(1990,1,1))))*12+MONTH('Deal maths'!AA748)-MONTH(IF('Deal maths'!Z748&gt;0,'Deal maths'!Z748,DATE(1990,1,1))))/D748))*D748))&gt;IF('Deal maths'!Z748&gt;0,'Deal maths'!Z748,DATE(1990,1,1)),IF(DAY('Deal maths'!AA748+1)=1,EOMONTH('Deal maths'!AA748,-(INT(((YEAR('Deal maths'!AA748)-YEAR(IF('Deal maths'!Z748&gt;0,'Deal maths'!Z748,DATE(1990,1,1))))*12+MONTH('Deal maths'!AA748)-MONTH(IF('Deal maths'!Z748&gt;0,'Deal maths'!Z748,DATE(1990,1,1))))/D748))*D748),EDATE('Deal maths'!AA748,-(INT(((YEAR('Deal maths'!AA748)-YEAR(IF('Deal maths'!Z748&gt;0,'Deal maths'!Z748,DATE(1990,1,1))))*12+MONTH('Deal maths'!AA748)-MONTH(IF('Deal maths'!Z748&gt;0,'Deal maths'!Z748,DATE(1990,1,1))))/D748))*D748)),IF(DAY('Deal maths'!AA748+1)=1,EOMONTH('Deal maths'!AA748,-(INT(((YEAR('Deal maths'!AA748)-YEAR(IF('Deal maths'!Z748&gt;0,'Deal maths'!Z748,DATE(1990,1,1))))*12+MONTH('Deal maths'!AA748)-MONTH(IF('Deal maths'!Z748&gt;0,'Deal maths'!Z748,DATE(1990,1,1))))/D748)-1)*D748),EDATE('Deal maths'!AA748,-(INT(((YEAR('Deal maths'!AA748)-YEAR(IF('Deal maths'!Z748&gt;0,'Deal maths'!Z748,DATE(1990,1,1))))*12+MONTH('Deal maths'!AA748)-MONTH(IF('Deal maths'!Z748&gt;0,'Deal maths'!Z748,DATE(1990,1,1))))/D748)-1)*D748))))),0)</f>
        <v/>
      </c>
      <c r="F748" s="110">
        <f>IF(D748=0,0,'Deal maths'!AB748*D748/12)</f>
        <v/>
      </c>
      <c r="G748" s="108">
        <f>N748+O748</f>
        <v/>
      </c>
      <c r="H748" s="108">
        <f>IFERROR(IF(OR(D748=0,AsAt&lt;E748),0,MIN(N748,INT(((YEAR(AsAt)-YEAR(E748))*12+MONTH(AsAt)-MONTH(E748)-(DAY(AsAt)&lt;MIN(R748,DAY(EOMONTH(AsAt,0)))))/D748)+1)+O748*(AsAt&gt;='Deal maths'!AA748)),0)</f>
        <v/>
      </c>
      <c r="I748" s="108">
        <f>G748-H748</f>
        <v/>
      </c>
      <c r="J748" s="111">
        <f>IF(AND(C748="EIP",I748&gt;0),'Deal maths'!Y748/I748,0)</f>
        <v/>
      </c>
      <c r="K748" s="111">
        <f>IF(AND(C748="Annuity",I748&gt;0),IF(F748&gt;0,'Deal maths'!Y748*F748/(1-(1+F748)^-I748),'Deal maths'!Y748/I748),0)</f>
        <v/>
      </c>
      <c r="L748" s="111">
        <f>IF('Deal maths'!Y748="",0,'Deal maths'!Y748)</f>
        <v/>
      </c>
      <c r="M748" s="112">
        <f>F748+(F748=0)</f>
        <v/>
      </c>
      <c r="N748" s="108">
        <f>IFERROR(IF(D748=0,0,INT(((YEAR('Deal maths'!AA748)-YEAR(E748))*12+MONTH('Deal maths'!AA748)-MONTH(E748)-(DAY('Deal maths'!AA748)&lt;MIN(R748,DAY(EOMONTH('Deal maths'!AA748,0)))))/D748)+1),0)</f>
        <v/>
      </c>
      <c r="O748" s="108">
        <f>IFERROR(IF(D748=0,0,IF(IF(DAY(E748+1)=1,EOMONTH(E748,(N748-1)*D748),EDATE(E748,(N748-1)*D748))='Deal maths'!AA748,0,1)),0)</f>
        <v/>
      </c>
      <c r="P748" s="113">
        <f>IF(B748=0,0,IFERROR(IF(C748="EIP",((I748-O748)*((IF(DAY(E748+1)=1,EOMONTH(E748,H748*D748),EDATE(E748,H748*D748))-AsAt)/365.25+(IF(DAY(E748+1)=1,EOMONTH(E748,(N748-1)*D748),EDATE(E748,(N748-1)*D748))-AsAt)/365.25)/2+O748*('Deal maths'!AA748-AsAt)/365.25)/I748,IF(C748="Annuity",IF(F748&gt;0,((K748-L748*F748)*((IF(DAY(E748+1)=1,EOMONTH(E748,H748*D748),EDATE(E748,H748*D748))-AsAt)/365.25*((1+F748)^(I748-O748)-1)/F748+IF((I748-O748)&gt;1,((IF(DAY(E748+1)=1,EOMONTH(E748,(N748-1)*D748),EDATE(E748,(N748-1)*D748))-AsAt)/365.25-(IF(DAY(E748+1)=1,EOMONTH(E748,H748*D748),EDATE(E748,H748*D748))-AsAt)/365.25)/((I748-O748)-1),0)*(1+F748)*(1-(I748-O748)*(1+F748)^((I748-O748)-1)+((I748-O748)-1)*(1+F748)^(I748-O748))/F748^2)+O748*(K748-L748*F748)*(1+F748)^(I748-1)*('Deal maths'!AA748-AsAt)/365.25)/L748,((I748-O748)*((IF(DAY(E748+1)=1,EOMONTH(E748,H748*D748),EDATE(E748,H748*D748))-AsAt)/365.25+(IF(DAY(E748+1)=1,EOMONTH(E748,(N748-1)*D748),EDATE(E748,(N748-1)*D748))-AsAt)/365.25)/2+O748*('Deal maths'!AA748-AsAt)/365.25)/I748),(S748-AsAt)/365.25)),0))</f>
        <v/>
      </c>
      <c r="Q748" s="109">
        <f>IF(B748=1,'Deal maths'!AA748+ROW()/1000000,"")</f>
        <v/>
      </c>
      <c r="R748" s="108">
        <f>IF(D748=0,0,IF(DAY(E748+1)=1,31,DAY(E748)))</f>
        <v/>
      </c>
      <c r="S748" s="109">
        <f>IF(AND('Deal maths'!V748="LOBO",'Deal maths'!AG748&gt;AsAt,'Deal maths'!AG748&lt;'Deal maths'!AA748),'Deal maths'!AG748,'Deal maths'!AA748)</f>
        <v/>
      </c>
      <c r="T748" s="108">
        <f>('Deal maths'!AA748&gt;AsAt)*('Deal maths'!Y748&gt;0)</f>
        <v/>
      </c>
    </row>
    <row r="749">
      <c r="A749" s="91">
        <f>IF('Deal maths'!V749="","",'Deal maths'!W749)</f>
        <v/>
      </c>
      <c r="B749" s="108">
        <f>('Deal maths'!AA749&gt;AsAt)*('Deal maths'!Y749&gt;0)*('Deal maths'!Z749&lt;=AsAt)</f>
        <v/>
      </c>
      <c r="C749" s="91">
        <f>IF('Deal maths'!V749="","",IF('Deal maths'!AC749="","Maturity",'Deal maths'!AC749))</f>
        <v/>
      </c>
      <c r="D749" s="108">
        <f>IF(OR(C749="EIP",C749="Annuity"),IF('Deal maths'!AD749="Annual",12,IF('Deal maths'!AD749="Quarterly",3,6)),0)</f>
        <v/>
      </c>
      <c r="E749" s="109">
        <f>IFERROR(IF(D749=0,0,IF('Deal maths'!AE749&gt;0,IF('Deal maths'!AE749&gt;'Deal maths'!AA749,'Deal maths'!AA749,'Deal maths'!AE749),IF(IF(DAY('Deal maths'!AA749+1)=1,EOMONTH('Deal maths'!AA749,-(INT(((YEAR('Deal maths'!AA749)-YEAR(IF('Deal maths'!Z749&gt;0,'Deal maths'!Z749,DATE(1990,1,1))))*12+MONTH('Deal maths'!AA749)-MONTH(IF('Deal maths'!Z749&gt;0,'Deal maths'!Z749,DATE(1990,1,1))))/D749))*D749),EDATE('Deal maths'!AA749,-(INT(((YEAR('Deal maths'!AA749)-YEAR(IF('Deal maths'!Z749&gt;0,'Deal maths'!Z749,DATE(1990,1,1))))*12+MONTH('Deal maths'!AA749)-MONTH(IF('Deal maths'!Z749&gt;0,'Deal maths'!Z749,DATE(1990,1,1))))/D749))*D749))&gt;IF('Deal maths'!Z749&gt;0,'Deal maths'!Z749,DATE(1990,1,1)),IF(DAY('Deal maths'!AA749+1)=1,EOMONTH('Deal maths'!AA749,-(INT(((YEAR('Deal maths'!AA749)-YEAR(IF('Deal maths'!Z749&gt;0,'Deal maths'!Z749,DATE(1990,1,1))))*12+MONTH('Deal maths'!AA749)-MONTH(IF('Deal maths'!Z749&gt;0,'Deal maths'!Z749,DATE(1990,1,1))))/D749))*D749),EDATE('Deal maths'!AA749,-(INT(((YEAR('Deal maths'!AA749)-YEAR(IF('Deal maths'!Z749&gt;0,'Deal maths'!Z749,DATE(1990,1,1))))*12+MONTH('Deal maths'!AA749)-MONTH(IF('Deal maths'!Z749&gt;0,'Deal maths'!Z749,DATE(1990,1,1))))/D749))*D749)),IF(DAY('Deal maths'!AA749+1)=1,EOMONTH('Deal maths'!AA749,-(INT(((YEAR('Deal maths'!AA749)-YEAR(IF('Deal maths'!Z749&gt;0,'Deal maths'!Z749,DATE(1990,1,1))))*12+MONTH('Deal maths'!AA749)-MONTH(IF('Deal maths'!Z749&gt;0,'Deal maths'!Z749,DATE(1990,1,1))))/D749)-1)*D749),EDATE('Deal maths'!AA749,-(INT(((YEAR('Deal maths'!AA749)-YEAR(IF('Deal maths'!Z749&gt;0,'Deal maths'!Z749,DATE(1990,1,1))))*12+MONTH('Deal maths'!AA749)-MONTH(IF('Deal maths'!Z749&gt;0,'Deal maths'!Z749,DATE(1990,1,1))))/D749)-1)*D749))))),0)</f>
        <v/>
      </c>
      <c r="F749" s="110">
        <f>IF(D749=0,0,'Deal maths'!AB749*D749/12)</f>
        <v/>
      </c>
      <c r="G749" s="108">
        <f>N749+O749</f>
        <v/>
      </c>
      <c r="H749" s="108">
        <f>IFERROR(IF(OR(D749=0,AsAt&lt;E749),0,MIN(N749,INT(((YEAR(AsAt)-YEAR(E749))*12+MONTH(AsAt)-MONTH(E749)-(DAY(AsAt)&lt;MIN(R749,DAY(EOMONTH(AsAt,0)))))/D749)+1)+O749*(AsAt&gt;='Deal maths'!AA749)),0)</f>
        <v/>
      </c>
      <c r="I749" s="108">
        <f>G749-H749</f>
        <v/>
      </c>
      <c r="J749" s="111">
        <f>IF(AND(C749="EIP",I749&gt;0),'Deal maths'!Y749/I749,0)</f>
        <v/>
      </c>
      <c r="K749" s="111">
        <f>IF(AND(C749="Annuity",I749&gt;0),IF(F749&gt;0,'Deal maths'!Y749*F749/(1-(1+F749)^-I749),'Deal maths'!Y749/I749),0)</f>
        <v/>
      </c>
      <c r="L749" s="111">
        <f>IF('Deal maths'!Y749="",0,'Deal maths'!Y749)</f>
        <v/>
      </c>
      <c r="M749" s="112">
        <f>F749+(F749=0)</f>
        <v/>
      </c>
      <c r="N749" s="108">
        <f>IFERROR(IF(D749=0,0,INT(((YEAR('Deal maths'!AA749)-YEAR(E749))*12+MONTH('Deal maths'!AA749)-MONTH(E749)-(DAY('Deal maths'!AA749)&lt;MIN(R749,DAY(EOMONTH('Deal maths'!AA749,0)))))/D749)+1),0)</f>
        <v/>
      </c>
      <c r="O749" s="108">
        <f>IFERROR(IF(D749=0,0,IF(IF(DAY(E749+1)=1,EOMONTH(E749,(N749-1)*D749),EDATE(E749,(N749-1)*D749))='Deal maths'!AA749,0,1)),0)</f>
        <v/>
      </c>
      <c r="P749" s="113">
        <f>IF(B749=0,0,IFERROR(IF(C749="EIP",((I749-O749)*((IF(DAY(E749+1)=1,EOMONTH(E749,H749*D749),EDATE(E749,H749*D749))-AsAt)/365.25+(IF(DAY(E749+1)=1,EOMONTH(E749,(N749-1)*D749),EDATE(E749,(N749-1)*D749))-AsAt)/365.25)/2+O749*('Deal maths'!AA749-AsAt)/365.25)/I749,IF(C749="Annuity",IF(F749&gt;0,((K749-L749*F749)*((IF(DAY(E749+1)=1,EOMONTH(E749,H749*D749),EDATE(E749,H749*D749))-AsAt)/365.25*((1+F749)^(I749-O749)-1)/F749+IF((I749-O749)&gt;1,((IF(DAY(E749+1)=1,EOMONTH(E749,(N749-1)*D749),EDATE(E749,(N749-1)*D749))-AsAt)/365.25-(IF(DAY(E749+1)=1,EOMONTH(E749,H749*D749),EDATE(E749,H749*D749))-AsAt)/365.25)/((I749-O749)-1),0)*(1+F749)*(1-(I749-O749)*(1+F749)^((I749-O749)-1)+((I749-O749)-1)*(1+F749)^(I749-O749))/F749^2)+O749*(K749-L749*F749)*(1+F749)^(I749-1)*('Deal maths'!AA749-AsAt)/365.25)/L749,((I749-O749)*((IF(DAY(E749+1)=1,EOMONTH(E749,H749*D749),EDATE(E749,H749*D749))-AsAt)/365.25+(IF(DAY(E749+1)=1,EOMONTH(E749,(N749-1)*D749),EDATE(E749,(N749-1)*D749))-AsAt)/365.25)/2+O749*('Deal maths'!AA749-AsAt)/365.25)/I749),(S749-AsAt)/365.25)),0))</f>
        <v/>
      </c>
      <c r="Q749" s="109">
        <f>IF(B749=1,'Deal maths'!AA749+ROW()/1000000,"")</f>
        <v/>
      </c>
      <c r="R749" s="108">
        <f>IF(D749=0,0,IF(DAY(E749+1)=1,31,DAY(E749)))</f>
        <v/>
      </c>
      <c r="S749" s="109">
        <f>IF(AND('Deal maths'!V749="LOBO",'Deal maths'!AG749&gt;AsAt,'Deal maths'!AG749&lt;'Deal maths'!AA749),'Deal maths'!AG749,'Deal maths'!AA749)</f>
        <v/>
      </c>
      <c r="T749" s="108">
        <f>('Deal maths'!AA749&gt;AsAt)*('Deal maths'!Y749&gt;0)</f>
        <v/>
      </c>
    </row>
    <row r="750">
      <c r="A750" s="91">
        <f>IF('Deal maths'!V750="","",'Deal maths'!W750)</f>
        <v/>
      </c>
      <c r="B750" s="108">
        <f>('Deal maths'!AA750&gt;AsAt)*('Deal maths'!Y750&gt;0)*('Deal maths'!Z750&lt;=AsAt)</f>
        <v/>
      </c>
      <c r="C750" s="91">
        <f>IF('Deal maths'!V750="","",IF('Deal maths'!AC750="","Maturity",'Deal maths'!AC750))</f>
        <v/>
      </c>
      <c r="D750" s="108">
        <f>IF(OR(C750="EIP",C750="Annuity"),IF('Deal maths'!AD750="Annual",12,IF('Deal maths'!AD750="Quarterly",3,6)),0)</f>
        <v/>
      </c>
      <c r="E750" s="109">
        <f>IFERROR(IF(D750=0,0,IF('Deal maths'!AE750&gt;0,IF('Deal maths'!AE750&gt;'Deal maths'!AA750,'Deal maths'!AA750,'Deal maths'!AE750),IF(IF(DAY('Deal maths'!AA750+1)=1,EOMONTH('Deal maths'!AA750,-(INT(((YEAR('Deal maths'!AA750)-YEAR(IF('Deal maths'!Z750&gt;0,'Deal maths'!Z750,DATE(1990,1,1))))*12+MONTH('Deal maths'!AA750)-MONTH(IF('Deal maths'!Z750&gt;0,'Deal maths'!Z750,DATE(1990,1,1))))/D750))*D750),EDATE('Deal maths'!AA750,-(INT(((YEAR('Deal maths'!AA750)-YEAR(IF('Deal maths'!Z750&gt;0,'Deal maths'!Z750,DATE(1990,1,1))))*12+MONTH('Deal maths'!AA750)-MONTH(IF('Deal maths'!Z750&gt;0,'Deal maths'!Z750,DATE(1990,1,1))))/D750))*D750))&gt;IF('Deal maths'!Z750&gt;0,'Deal maths'!Z750,DATE(1990,1,1)),IF(DAY('Deal maths'!AA750+1)=1,EOMONTH('Deal maths'!AA750,-(INT(((YEAR('Deal maths'!AA750)-YEAR(IF('Deal maths'!Z750&gt;0,'Deal maths'!Z750,DATE(1990,1,1))))*12+MONTH('Deal maths'!AA750)-MONTH(IF('Deal maths'!Z750&gt;0,'Deal maths'!Z750,DATE(1990,1,1))))/D750))*D750),EDATE('Deal maths'!AA750,-(INT(((YEAR('Deal maths'!AA750)-YEAR(IF('Deal maths'!Z750&gt;0,'Deal maths'!Z750,DATE(1990,1,1))))*12+MONTH('Deal maths'!AA750)-MONTH(IF('Deal maths'!Z750&gt;0,'Deal maths'!Z750,DATE(1990,1,1))))/D750))*D750)),IF(DAY('Deal maths'!AA750+1)=1,EOMONTH('Deal maths'!AA750,-(INT(((YEAR('Deal maths'!AA750)-YEAR(IF('Deal maths'!Z750&gt;0,'Deal maths'!Z750,DATE(1990,1,1))))*12+MONTH('Deal maths'!AA750)-MONTH(IF('Deal maths'!Z750&gt;0,'Deal maths'!Z750,DATE(1990,1,1))))/D750)-1)*D750),EDATE('Deal maths'!AA750,-(INT(((YEAR('Deal maths'!AA750)-YEAR(IF('Deal maths'!Z750&gt;0,'Deal maths'!Z750,DATE(1990,1,1))))*12+MONTH('Deal maths'!AA750)-MONTH(IF('Deal maths'!Z750&gt;0,'Deal maths'!Z750,DATE(1990,1,1))))/D750)-1)*D750))))),0)</f>
        <v/>
      </c>
      <c r="F750" s="110">
        <f>IF(D750=0,0,'Deal maths'!AB750*D750/12)</f>
        <v/>
      </c>
      <c r="G750" s="108">
        <f>N750+O750</f>
        <v/>
      </c>
      <c r="H750" s="108">
        <f>IFERROR(IF(OR(D750=0,AsAt&lt;E750),0,MIN(N750,INT(((YEAR(AsAt)-YEAR(E750))*12+MONTH(AsAt)-MONTH(E750)-(DAY(AsAt)&lt;MIN(R750,DAY(EOMONTH(AsAt,0)))))/D750)+1)+O750*(AsAt&gt;='Deal maths'!AA750)),0)</f>
        <v/>
      </c>
      <c r="I750" s="108">
        <f>G750-H750</f>
        <v/>
      </c>
      <c r="J750" s="111">
        <f>IF(AND(C750="EIP",I750&gt;0),'Deal maths'!Y750/I750,0)</f>
        <v/>
      </c>
      <c r="K750" s="111">
        <f>IF(AND(C750="Annuity",I750&gt;0),IF(F750&gt;0,'Deal maths'!Y750*F750/(1-(1+F750)^-I750),'Deal maths'!Y750/I750),0)</f>
        <v/>
      </c>
      <c r="L750" s="111">
        <f>IF('Deal maths'!Y750="",0,'Deal maths'!Y750)</f>
        <v/>
      </c>
      <c r="M750" s="112">
        <f>F750+(F750=0)</f>
        <v/>
      </c>
      <c r="N750" s="108">
        <f>IFERROR(IF(D750=0,0,INT(((YEAR('Deal maths'!AA750)-YEAR(E750))*12+MONTH('Deal maths'!AA750)-MONTH(E750)-(DAY('Deal maths'!AA750)&lt;MIN(R750,DAY(EOMONTH('Deal maths'!AA750,0)))))/D750)+1),0)</f>
        <v/>
      </c>
      <c r="O750" s="108">
        <f>IFERROR(IF(D750=0,0,IF(IF(DAY(E750+1)=1,EOMONTH(E750,(N750-1)*D750),EDATE(E750,(N750-1)*D750))='Deal maths'!AA750,0,1)),0)</f>
        <v/>
      </c>
      <c r="P750" s="113">
        <f>IF(B750=0,0,IFERROR(IF(C750="EIP",((I750-O750)*((IF(DAY(E750+1)=1,EOMONTH(E750,H750*D750),EDATE(E750,H750*D750))-AsAt)/365.25+(IF(DAY(E750+1)=1,EOMONTH(E750,(N750-1)*D750),EDATE(E750,(N750-1)*D750))-AsAt)/365.25)/2+O750*('Deal maths'!AA750-AsAt)/365.25)/I750,IF(C750="Annuity",IF(F750&gt;0,((K750-L750*F750)*((IF(DAY(E750+1)=1,EOMONTH(E750,H750*D750),EDATE(E750,H750*D750))-AsAt)/365.25*((1+F750)^(I750-O750)-1)/F750+IF((I750-O750)&gt;1,((IF(DAY(E750+1)=1,EOMONTH(E750,(N750-1)*D750),EDATE(E750,(N750-1)*D750))-AsAt)/365.25-(IF(DAY(E750+1)=1,EOMONTH(E750,H750*D750),EDATE(E750,H750*D750))-AsAt)/365.25)/((I750-O750)-1),0)*(1+F750)*(1-(I750-O750)*(1+F750)^((I750-O750)-1)+((I750-O750)-1)*(1+F750)^(I750-O750))/F750^2)+O750*(K750-L750*F750)*(1+F750)^(I750-1)*('Deal maths'!AA750-AsAt)/365.25)/L750,((I750-O750)*((IF(DAY(E750+1)=1,EOMONTH(E750,H750*D750),EDATE(E750,H750*D750))-AsAt)/365.25+(IF(DAY(E750+1)=1,EOMONTH(E750,(N750-1)*D750),EDATE(E750,(N750-1)*D750))-AsAt)/365.25)/2+O750*('Deal maths'!AA750-AsAt)/365.25)/I750),(S750-AsAt)/365.25)),0))</f>
        <v/>
      </c>
      <c r="Q750" s="109">
        <f>IF(B750=1,'Deal maths'!AA750+ROW()/1000000,"")</f>
        <v/>
      </c>
      <c r="R750" s="108">
        <f>IF(D750=0,0,IF(DAY(E750+1)=1,31,DAY(E750)))</f>
        <v/>
      </c>
      <c r="S750" s="109">
        <f>IF(AND('Deal maths'!V750="LOBO",'Deal maths'!AG750&gt;AsAt,'Deal maths'!AG750&lt;'Deal maths'!AA750),'Deal maths'!AG750,'Deal maths'!AA750)</f>
        <v/>
      </c>
      <c r="T750" s="108">
        <f>('Deal maths'!AA750&gt;AsAt)*('Deal maths'!Y750&gt;0)</f>
        <v/>
      </c>
    </row>
    <row r="751">
      <c r="A751" s="91">
        <f>IF('Deal maths'!V751="","",'Deal maths'!W751)</f>
        <v/>
      </c>
      <c r="B751" s="108">
        <f>('Deal maths'!AA751&gt;AsAt)*('Deal maths'!Y751&gt;0)*('Deal maths'!Z751&lt;=AsAt)</f>
        <v/>
      </c>
      <c r="C751" s="91">
        <f>IF('Deal maths'!V751="","",IF('Deal maths'!AC751="","Maturity",'Deal maths'!AC751))</f>
        <v/>
      </c>
      <c r="D751" s="108">
        <f>IF(OR(C751="EIP",C751="Annuity"),IF('Deal maths'!AD751="Annual",12,IF('Deal maths'!AD751="Quarterly",3,6)),0)</f>
        <v/>
      </c>
      <c r="E751" s="109">
        <f>IFERROR(IF(D751=0,0,IF('Deal maths'!AE751&gt;0,IF('Deal maths'!AE751&gt;'Deal maths'!AA751,'Deal maths'!AA751,'Deal maths'!AE751),IF(IF(DAY('Deal maths'!AA751+1)=1,EOMONTH('Deal maths'!AA751,-(INT(((YEAR('Deal maths'!AA751)-YEAR(IF('Deal maths'!Z751&gt;0,'Deal maths'!Z751,DATE(1990,1,1))))*12+MONTH('Deal maths'!AA751)-MONTH(IF('Deal maths'!Z751&gt;0,'Deal maths'!Z751,DATE(1990,1,1))))/D751))*D751),EDATE('Deal maths'!AA751,-(INT(((YEAR('Deal maths'!AA751)-YEAR(IF('Deal maths'!Z751&gt;0,'Deal maths'!Z751,DATE(1990,1,1))))*12+MONTH('Deal maths'!AA751)-MONTH(IF('Deal maths'!Z751&gt;0,'Deal maths'!Z751,DATE(1990,1,1))))/D751))*D751))&gt;IF('Deal maths'!Z751&gt;0,'Deal maths'!Z751,DATE(1990,1,1)),IF(DAY('Deal maths'!AA751+1)=1,EOMONTH('Deal maths'!AA751,-(INT(((YEAR('Deal maths'!AA751)-YEAR(IF('Deal maths'!Z751&gt;0,'Deal maths'!Z751,DATE(1990,1,1))))*12+MONTH('Deal maths'!AA751)-MONTH(IF('Deal maths'!Z751&gt;0,'Deal maths'!Z751,DATE(1990,1,1))))/D751))*D751),EDATE('Deal maths'!AA751,-(INT(((YEAR('Deal maths'!AA751)-YEAR(IF('Deal maths'!Z751&gt;0,'Deal maths'!Z751,DATE(1990,1,1))))*12+MONTH('Deal maths'!AA751)-MONTH(IF('Deal maths'!Z751&gt;0,'Deal maths'!Z751,DATE(1990,1,1))))/D751))*D751)),IF(DAY('Deal maths'!AA751+1)=1,EOMONTH('Deal maths'!AA751,-(INT(((YEAR('Deal maths'!AA751)-YEAR(IF('Deal maths'!Z751&gt;0,'Deal maths'!Z751,DATE(1990,1,1))))*12+MONTH('Deal maths'!AA751)-MONTH(IF('Deal maths'!Z751&gt;0,'Deal maths'!Z751,DATE(1990,1,1))))/D751)-1)*D751),EDATE('Deal maths'!AA751,-(INT(((YEAR('Deal maths'!AA751)-YEAR(IF('Deal maths'!Z751&gt;0,'Deal maths'!Z751,DATE(1990,1,1))))*12+MONTH('Deal maths'!AA751)-MONTH(IF('Deal maths'!Z751&gt;0,'Deal maths'!Z751,DATE(1990,1,1))))/D751)-1)*D751))))),0)</f>
        <v/>
      </c>
      <c r="F751" s="110">
        <f>IF(D751=0,0,'Deal maths'!AB751*D751/12)</f>
        <v/>
      </c>
      <c r="G751" s="108">
        <f>N751+O751</f>
        <v/>
      </c>
      <c r="H751" s="108">
        <f>IFERROR(IF(OR(D751=0,AsAt&lt;E751),0,MIN(N751,INT(((YEAR(AsAt)-YEAR(E751))*12+MONTH(AsAt)-MONTH(E751)-(DAY(AsAt)&lt;MIN(R751,DAY(EOMONTH(AsAt,0)))))/D751)+1)+O751*(AsAt&gt;='Deal maths'!AA751)),0)</f>
        <v/>
      </c>
      <c r="I751" s="108">
        <f>G751-H751</f>
        <v/>
      </c>
      <c r="J751" s="111">
        <f>IF(AND(C751="EIP",I751&gt;0),'Deal maths'!Y751/I751,0)</f>
        <v/>
      </c>
      <c r="K751" s="111">
        <f>IF(AND(C751="Annuity",I751&gt;0),IF(F751&gt;0,'Deal maths'!Y751*F751/(1-(1+F751)^-I751),'Deal maths'!Y751/I751),0)</f>
        <v/>
      </c>
      <c r="L751" s="111">
        <f>IF('Deal maths'!Y751="",0,'Deal maths'!Y751)</f>
        <v/>
      </c>
      <c r="M751" s="112">
        <f>F751+(F751=0)</f>
        <v/>
      </c>
      <c r="N751" s="108">
        <f>IFERROR(IF(D751=0,0,INT(((YEAR('Deal maths'!AA751)-YEAR(E751))*12+MONTH('Deal maths'!AA751)-MONTH(E751)-(DAY('Deal maths'!AA751)&lt;MIN(R751,DAY(EOMONTH('Deal maths'!AA751,0)))))/D751)+1),0)</f>
        <v/>
      </c>
      <c r="O751" s="108">
        <f>IFERROR(IF(D751=0,0,IF(IF(DAY(E751+1)=1,EOMONTH(E751,(N751-1)*D751),EDATE(E751,(N751-1)*D751))='Deal maths'!AA751,0,1)),0)</f>
        <v/>
      </c>
      <c r="P751" s="113">
        <f>IF(B751=0,0,IFERROR(IF(C751="EIP",((I751-O751)*((IF(DAY(E751+1)=1,EOMONTH(E751,H751*D751),EDATE(E751,H751*D751))-AsAt)/365.25+(IF(DAY(E751+1)=1,EOMONTH(E751,(N751-1)*D751),EDATE(E751,(N751-1)*D751))-AsAt)/365.25)/2+O751*('Deal maths'!AA751-AsAt)/365.25)/I751,IF(C751="Annuity",IF(F751&gt;0,((K751-L751*F751)*((IF(DAY(E751+1)=1,EOMONTH(E751,H751*D751),EDATE(E751,H751*D751))-AsAt)/365.25*((1+F751)^(I751-O751)-1)/F751+IF((I751-O751)&gt;1,((IF(DAY(E751+1)=1,EOMONTH(E751,(N751-1)*D751),EDATE(E751,(N751-1)*D751))-AsAt)/365.25-(IF(DAY(E751+1)=1,EOMONTH(E751,H751*D751),EDATE(E751,H751*D751))-AsAt)/365.25)/((I751-O751)-1),0)*(1+F751)*(1-(I751-O751)*(1+F751)^((I751-O751)-1)+((I751-O751)-1)*(1+F751)^(I751-O751))/F751^2)+O751*(K751-L751*F751)*(1+F751)^(I751-1)*('Deal maths'!AA751-AsAt)/365.25)/L751,((I751-O751)*((IF(DAY(E751+1)=1,EOMONTH(E751,H751*D751),EDATE(E751,H751*D751))-AsAt)/365.25+(IF(DAY(E751+1)=1,EOMONTH(E751,(N751-1)*D751),EDATE(E751,(N751-1)*D751))-AsAt)/365.25)/2+O751*('Deal maths'!AA751-AsAt)/365.25)/I751),(S751-AsAt)/365.25)),0))</f>
        <v/>
      </c>
      <c r="Q751" s="109">
        <f>IF(B751=1,'Deal maths'!AA751+ROW()/1000000,"")</f>
        <v/>
      </c>
      <c r="R751" s="108">
        <f>IF(D751=0,0,IF(DAY(E751+1)=1,31,DAY(E751)))</f>
        <v/>
      </c>
      <c r="S751" s="109">
        <f>IF(AND('Deal maths'!V751="LOBO",'Deal maths'!AG751&gt;AsAt,'Deal maths'!AG751&lt;'Deal maths'!AA751),'Deal maths'!AG751,'Deal maths'!AA751)</f>
        <v/>
      </c>
      <c r="T751" s="108">
        <f>('Deal maths'!AA751&gt;AsAt)*('Deal maths'!Y751&gt;0)</f>
        <v/>
      </c>
    </row>
    <row r="752">
      <c r="A752" s="91">
        <f>IF('Deal maths'!V752="","",'Deal maths'!W752)</f>
        <v/>
      </c>
      <c r="B752" s="108">
        <f>('Deal maths'!AA752&gt;AsAt)*('Deal maths'!Y752&gt;0)*('Deal maths'!Z752&lt;=AsAt)</f>
        <v/>
      </c>
      <c r="C752" s="91">
        <f>IF('Deal maths'!V752="","",IF('Deal maths'!AC752="","Maturity",'Deal maths'!AC752))</f>
        <v/>
      </c>
      <c r="D752" s="108">
        <f>IF(OR(C752="EIP",C752="Annuity"),IF('Deal maths'!AD752="Annual",12,IF('Deal maths'!AD752="Quarterly",3,6)),0)</f>
        <v/>
      </c>
      <c r="E752" s="109">
        <f>IFERROR(IF(D752=0,0,IF('Deal maths'!AE752&gt;0,IF('Deal maths'!AE752&gt;'Deal maths'!AA752,'Deal maths'!AA752,'Deal maths'!AE752),IF(IF(DAY('Deal maths'!AA752+1)=1,EOMONTH('Deal maths'!AA752,-(INT(((YEAR('Deal maths'!AA752)-YEAR(IF('Deal maths'!Z752&gt;0,'Deal maths'!Z752,DATE(1990,1,1))))*12+MONTH('Deal maths'!AA752)-MONTH(IF('Deal maths'!Z752&gt;0,'Deal maths'!Z752,DATE(1990,1,1))))/D752))*D752),EDATE('Deal maths'!AA752,-(INT(((YEAR('Deal maths'!AA752)-YEAR(IF('Deal maths'!Z752&gt;0,'Deal maths'!Z752,DATE(1990,1,1))))*12+MONTH('Deal maths'!AA752)-MONTH(IF('Deal maths'!Z752&gt;0,'Deal maths'!Z752,DATE(1990,1,1))))/D752))*D752))&gt;IF('Deal maths'!Z752&gt;0,'Deal maths'!Z752,DATE(1990,1,1)),IF(DAY('Deal maths'!AA752+1)=1,EOMONTH('Deal maths'!AA752,-(INT(((YEAR('Deal maths'!AA752)-YEAR(IF('Deal maths'!Z752&gt;0,'Deal maths'!Z752,DATE(1990,1,1))))*12+MONTH('Deal maths'!AA752)-MONTH(IF('Deal maths'!Z752&gt;0,'Deal maths'!Z752,DATE(1990,1,1))))/D752))*D752),EDATE('Deal maths'!AA752,-(INT(((YEAR('Deal maths'!AA752)-YEAR(IF('Deal maths'!Z752&gt;0,'Deal maths'!Z752,DATE(1990,1,1))))*12+MONTH('Deal maths'!AA752)-MONTH(IF('Deal maths'!Z752&gt;0,'Deal maths'!Z752,DATE(1990,1,1))))/D752))*D752)),IF(DAY('Deal maths'!AA752+1)=1,EOMONTH('Deal maths'!AA752,-(INT(((YEAR('Deal maths'!AA752)-YEAR(IF('Deal maths'!Z752&gt;0,'Deal maths'!Z752,DATE(1990,1,1))))*12+MONTH('Deal maths'!AA752)-MONTH(IF('Deal maths'!Z752&gt;0,'Deal maths'!Z752,DATE(1990,1,1))))/D752)-1)*D752),EDATE('Deal maths'!AA752,-(INT(((YEAR('Deal maths'!AA752)-YEAR(IF('Deal maths'!Z752&gt;0,'Deal maths'!Z752,DATE(1990,1,1))))*12+MONTH('Deal maths'!AA752)-MONTH(IF('Deal maths'!Z752&gt;0,'Deal maths'!Z752,DATE(1990,1,1))))/D752)-1)*D752))))),0)</f>
        <v/>
      </c>
      <c r="F752" s="110">
        <f>IF(D752=0,0,'Deal maths'!AB752*D752/12)</f>
        <v/>
      </c>
      <c r="G752" s="108">
        <f>N752+O752</f>
        <v/>
      </c>
      <c r="H752" s="108">
        <f>IFERROR(IF(OR(D752=0,AsAt&lt;E752),0,MIN(N752,INT(((YEAR(AsAt)-YEAR(E752))*12+MONTH(AsAt)-MONTH(E752)-(DAY(AsAt)&lt;MIN(R752,DAY(EOMONTH(AsAt,0)))))/D752)+1)+O752*(AsAt&gt;='Deal maths'!AA752)),0)</f>
        <v/>
      </c>
      <c r="I752" s="108">
        <f>G752-H752</f>
        <v/>
      </c>
      <c r="J752" s="111">
        <f>IF(AND(C752="EIP",I752&gt;0),'Deal maths'!Y752/I752,0)</f>
        <v/>
      </c>
      <c r="K752" s="111">
        <f>IF(AND(C752="Annuity",I752&gt;0),IF(F752&gt;0,'Deal maths'!Y752*F752/(1-(1+F752)^-I752),'Deal maths'!Y752/I752),0)</f>
        <v/>
      </c>
      <c r="L752" s="111">
        <f>IF('Deal maths'!Y752="",0,'Deal maths'!Y752)</f>
        <v/>
      </c>
      <c r="M752" s="112">
        <f>F752+(F752=0)</f>
        <v/>
      </c>
      <c r="N752" s="108">
        <f>IFERROR(IF(D752=0,0,INT(((YEAR('Deal maths'!AA752)-YEAR(E752))*12+MONTH('Deal maths'!AA752)-MONTH(E752)-(DAY('Deal maths'!AA752)&lt;MIN(R752,DAY(EOMONTH('Deal maths'!AA752,0)))))/D752)+1),0)</f>
        <v/>
      </c>
      <c r="O752" s="108">
        <f>IFERROR(IF(D752=0,0,IF(IF(DAY(E752+1)=1,EOMONTH(E752,(N752-1)*D752),EDATE(E752,(N752-1)*D752))='Deal maths'!AA752,0,1)),0)</f>
        <v/>
      </c>
      <c r="P752" s="113">
        <f>IF(B752=0,0,IFERROR(IF(C752="EIP",((I752-O752)*((IF(DAY(E752+1)=1,EOMONTH(E752,H752*D752),EDATE(E752,H752*D752))-AsAt)/365.25+(IF(DAY(E752+1)=1,EOMONTH(E752,(N752-1)*D752),EDATE(E752,(N752-1)*D752))-AsAt)/365.25)/2+O752*('Deal maths'!AA752-AsAt)/365.25)/I752,IF(C752="Annuity",IF(F752&gt;0,((K752-L752*F752)*((IF(DAY(E752+1)=1,EOMONTH(E752,H752*D752),EDATE(E752,H752*D752))-AsAt)/365.25*((1+F752)^(I752-O752)-1)/F752+IF((I752-O752)&gt;1,((IF(DAY(E752+1)=1,EOMONTH(E752,(N752-1)*D752),EDATE(E752,(N752-1)*D752))-AsAt)/365.25-(IF(DAY(E752+1)=1,EOMONTH(E752,H752*D752),EDATE(E752,H752*D752))-AsAt)/365.25)/((I752-O752)-1),0)*(1+F752)*(1-(I752-O752)*(1+F752)^((I752-O752)-1)+((I752-O752)-1)*(1+F752)^(I752-O752))/F752^2)+O752*(K752-L752*F752)*(1+F752)^(I752-1)*('Deal maths'!AA752-AsAt)/365.25)/L752,((I752-O752)*((IF(DAY(E752+1)=1,EOMONTH(E752,H752*D752),EDATE(E752,H752*D752))-AsAt)/365.25+(IF(DAY(E752+1)=1,EOMONTH(E752,(N752-1)*D752),EDATE(E752,(N752-1)*D752))-AsAt)/365.25)/2+O752*('Deal maths'!AA752-AsAt)/365.25)/I752),(S752-AsAt)/365.25)),0))</f>
        <v/>
      </c>
      <c r="Q752" s="109">
        <f>IF(B752=1,'Deal maths'!AA752+ROW()/1000000,"")</f>
        <v/>
      </c>
      <c r="R752" s="108">
        <f>IF(D752=0,0,IF(DAY(E752+1)=1,31,DAY(E752)))</f>
        <v/>
      </c>
      <c r="S752" s="109">
        <f>IF(AND('Deal maths'!V752="LOBO",'Deal maths'!AG752&gt;AsAt,'Deal maths'!AG752&lt;'Deal maths'!AA752),'Deal maths'!AG752,'Deal maths'!AA752)</f>
        <v/>
      </c>
      <c r="T752" s="108">
        <f>('Deal maths'!AA752&gt;AsAt)*('Deal maths'!Y752&gt;0)</f>
        <v/>
      </c>
    </row>
    <row r="753">
      <c r="A753" s="91">
        <f>IF('Deal maths'!V753="","",'Deal maths'!W753)</f>
        <v/>
      </c>
      <c r="B753" s="108">
        <f>('Deal maths'!AA753&gt;AsAt)*('Deal maths'!Y753&gt;0)*('Deal maths'!Z753&lt;=AsAt)</f>
        <v/>
      </c>
      <c r="C753" s="91">
        <f>IF('Deal maths'!V753="","",IF('Deal maths'!AC753="","Maturity",'Deal maths'!AC753))</f>
        <v/>
      </c>
      <c r="D753" s="108">
        <f>IF(OR(C753="EIP",C753="Annuity"),IF('Deal maths'!AD753="Annual",12,IF('Deal maths'!AD753="Quarterly",3,6)),0)</f>
        <v/>
      </c>
      <c r="E753" s="109">
        <f>IFERROR(IF(D753=0,0,IF('Deal maths'!AE753&gt;0,IF('Deal maths'!AE753&gt;'Deal maths'!AA753,'Deal maths'!AA753,'Deal maths'!AE753),IF(IF(DAY('Deal maths'!AA753+1)=1,EOMONTH('Deal maths'!AA753,-(INT(((YEAR('Deal maths'!AA753)-YEAR(IF('Deal maths'!Z753&gt;0,'Deal maths'!Z753,DATE(1990,1,1))))*12+MONTH('Deal maths'!AA753)-MONTH(IF('Deal maths'!Z753&gt;0,'Deal maths'!Z753,DATE(1990,1,1))))/D753))*D753),EDATE('Deal maths'!AA753,-(INT(((YEAR('Deal maths'!AA753)-YEAR(IF('Deal maths'!Z753&gt;0,'Deal maths'!Z753,DATE(1990,1,1))))*12+MONTH('Deal maths'!AA753)-MONTH(IF('Deal maths'!Z753&gt;0,'Deal maths'!Z753,DATE(1990,1,1))))/D753))*D753))&gt;IF('Deal maths'!Z753&gt;0,'Deal maths'!Z753,DATE(1990,1,1)),IF(DAY('Deal maths'!AA753+1)=1,EOMONTH('Deal maths'!AA753,-(INT(((YEAR('Deal maths'!AA753)-YEAR(IF('Deal maths'!Z753&gt;0,'Deal maths'!Z753,DATE(1990,1,1))))*12+MONTH('Deal maths'!AA753)-MONTH(IF('Deal maths'!Z753&gt;0,'Deal maths'!Z753,DATE(1990,1,1))))/D753))*D753),EDATE('Deal maths'!AA753,-(INT(((YEAR('Deal maths'!AA753)-YEAR(IF('Deal maths'!Z753&gt;0,'Deal maths'!Z753,DATE(1990,1,1))))*12+MONTH('Deal maths'!AA753)-MONTH(IF('Deal maths'!Z753&gt;0,'Deal maths'!Z753,DATE(1990,1,1))))/D753))*D753)),IF(DAY('Deal maths'!AA753+1)=1,EOMONTH('Deal maths'!AA753,-(INT(((YEAR('Deal maths'!AA753)-YEAR(IF('Deal maths'!Z753&gt;0,'Deal maths'!Z753,DATE(1990,1,1))))*12+MONTH('Deal maths'!AA753)-MONTH(IF('Deal maths'!Z753&gt;0,'Deal maths'!Z753,DATE(1990,1,1))))/D753)-1)*D753),EDATE('Deal maths'!AA753,-(INT(((YEAR('Deal maths'!AA753)-YEAR(IF('Deal maths'!Z753&gt;0,'Deal maths'!Z753,DATE(1990,1,1))))*12+MONTH('Deal maths'!AA753)-MONTH(IF('Deal maths'!Z753&gt;0,'Deal maths'!Z753,DATE(1990,1,1))))/D753)-1)*D753))))),0)</f>
        <v/>
      </c>
      <c r="F753" s="110">
        <f>IF(D753=0,0,'Deal maths'!AB753*D753/12)</f>
        <v/>
      </c>
      <c r="G753" s="108">
        <f>N753+O753</f>
        <v/>
      </c>
      <c r="H753" s="108">
        <f>IFERROR(IF(OR(D753=0,AsAt&lt;E753),0,MIN(N753,INT(((YEAR(AsAt)-YEAR(E753))*12+MONTH(AsAt)-MONTH(E753)-(DAY(AsAt)&lt;MIN(R753,DAY(EOMONTH(AsAt,0)))))/D753)+1)+O753*(AsAt&gt;='Deal maths'!AA753)),0)</f>
        <v/>
      </c>
      <c r="I753" s="108">
        <f>G753-H753</f>
        <v/>
      </c>
      <c r="J753" s="111">
        <f>IF(AND(C753="EIP",I753&gt;0),'Deal maths'!Y753/I753,0)</f>
        <v/>
      </c>
      <c r="K753" s="111">
        <f>IF(AND(C753="Annuity",I753&gt;0),IF(F753&gt;0,'Deal maths'!Y753*F753/(1-(1+F753)^-I753),'Deal maths'!Y753/I753),0)</f>
        <v/>
      </c>
      <c r="L753" s="111">
        <f>IF('Deal maths'!Y753="",0,'Deal maths'!Y753)</f>
        <v/>
      </c>
      <c r="M753" s="112">
        <f>F753+(F753=0)</f>
        <v/>
      </c>
      <c r="N753" s="108">
        <f>IFERROR(IF(D753=0,0,INT(((YEAR('Deal maths'!AA753)-YEAR(E753))*12+MONTH('Deal maths'!AA753)-MONTH(E753)-(DAY('Deal maths'!AA753)&lt;MIN(R753,DAY(EOMONTH('Deal maths'!AA753,0)))))/D753)+1),0)</f>
        <v/>
      </c>
      <c r="O753" s="108">
        <f>IFERROR(IF(D753=0,0,IF(IF(DAY(E753+1)=1,EOMONTH(E753,(N753-1)*D753),EDATE(E753,(N753-1)*D753))='Deal maths'!AA753,0,1)),0)</f>
        <v/>
      </c>
      <c r="P753" s="113">
        <f>IF(B753=0,0,IFERROR(IF(C753="EIP",((I753-O753)*((IF(DAY(E753+1)=1,EOMONTH(E753,H753*D753),EDATE(E753,H753*D753))-AsAt)/365.25+(IF(DAY(E753+1)=1,EOMONTH(E753,(N753-1)*D753),EDATE(E753,(N753-1)*D753))-AsAt)/365.25)/2+O753*('Deal maths'!AA753-AsAt)/365.25)/I753,IF(C753="Annuity",IF(F753&gt;0,((K753-L753*F753)*((IF(DAY(E753+1)=1,EOMONTH(E753,H753*D753),EDATE(E753,H753*D753))-AsAt)/365.25*((1+F753)^(I753-O753)-1)/F753+IF((I753-O753)&gt;1,((IF(DAY(E753+1)=1,EOMONTH(E753,(N753-1)*D753),EDATE(E753,(N753-1)*D753))-AsAt)/365.25-(IF(DAY(E753+1)=1,EOMONTH(E753,H753*D753),EDATE(E753,H753*D753))-AsAt)/365.25)/((I753-O753)-1),0)*(1+F753)*(1-(I753-O753)*(1+F753)^((I753-O753)-1)+((I753-O753)-1)*(1+F753)^(I753-O753))/F753^2)+O753*(K753-L753*F753)*(1+F753)^(I753-1)*('Deal maths'!AA753-AsAt)/365.25)/L753,((I753-O753)*((IF(DAY(E753+1)=1,EOMONTH(E753,H753*D753),EDATE(E753,H753*D753))-AsAt)/365.25+(IF(DAY(E753+1)=1,EOMONTH(E753,(N753-1)*D753),EDATE(E753,(N753-1)*D753))-AsAt)/365.25)/2+O753*('Deal maths'!AA753-AsAt)/365.25)/I753),(S753-AsAt)/365.25)),0))</f>
        <v/>
      </c>
      <c r="Q753" s="109">
        <f>IF(B753=1,'Deal maths'!AA753+ROW()/1000000,"")</f>
        <v/>
      </c>
      <c r="R753" s="108">
        <f>IF(D753=0,0,IF(DAY(E753+1)=1,31,DAY(E753)))</f>
        <v/>
      </c>
      <c r="S753" s="109">
        <f>IF(AND('Deal maths'!V753="LOBO",'Deal maths'!AG753&gt;AsAt,'Deal maths'!AG753&lt;'Deal maths'!AA753),'Deal maths'!AG753,'Deal maths'!AA753)</f>
        <v/>
      </c>
      <c r="T753" s="108">
        <f>('Deal maths'!AA753&gt;AsAt)*('Deal maths'!Y753&gt;0)</f>
        <v/>
      </c>
    </row>
    <row r="754">
      <c r="A754" s="91">
        <f>IF('Deal maths'!V754="","",'Deal maths'!W754)</f>
        <v/>
      </c>
      <c r="B754" s="108">
        <f>('Deal maths'!AA754&gt;AsAt)*('Deal maths'!Y754&gt;0)*('Deal maths'!Z754&lt;=AsAt)</f>
        <v/>
      </c>
      <c r="C754" s="91">
        <f>IF('Deal maths'!V754="","",IF('Deal maths'!AC754="","Maturity",'Deal maths'!AC754))</f>
        <v/>
      </c>
      <c r="D754" s="108">
        <f>IF(OR(C754="EIP",C754="Annuity"),IF('Deal maths'!AD754="Annual",12,IF('Deal maths'!AD754="Quarterly",3,6)),0)</f>
        <v/>
      </c>
      <c r="E754" s="109">
        <f>IFERROR(IF(D754=0,0,IF('Deal maths'!AE754&gt;0,IF('Deal maths'!AE754&gt;'Deal maths'!AA754,'Deal maths'!AA754,'Deal maths'!AE754),IF(IF(DAY('Deal maths'!AA754+1)=1,EOMONTH('Deal maths'!AA754,-(INT(((YEAR('Deal maths'!AA754)-YEAR(IF('Deal maths'!Z754&gt;0,'Deal maths'!Z754,DATE(1990,1,1))))*12+MONTH('Deal maths'!AA754)-MONTH(IF('Deal maths'!Z754&gt;0,'Deal maths'!Z754,DATE(1990,1,1))))/D754))*D754),EDATE('Deal maths'!AA754,-(INT(((YEAR('Deal maths'!AA754)-YEAR(IF('Deal maths'!Z754&gt;0,'Deal maths'!Z754,DATE(1990,1,1))))*12+MONTH('Deal maths'!AA754)-MONTH(IF('Deal maths'!Z754&gt;0,'Deal maths'!Z754,DATE(1990,1,1))))/D754))*D754))&gt;IF('Deal maths'!Z754&gt;0,'Deal maths'!Z754,DATE(1990,1,1)),IF(DAY('Deal maths'!AA754+1)=1,EOMONTH('Deal maths'!AA754,-(INT(((YEAR('Deal maths'!AA754)-YEAR(IF('Deal maths'!Z754&gt;0,'Deal maths'!Z754,DATE(1990,1,1))))*12+MONTH('Deal maths'!AA754)-MONTH(IF('Deal maths'!Z754&gt;0,'Deal maths'!Z754,DATE(1990,1,1))))/D754))*D754),EDATE('Deal maths'!AA754,-(INT(((YEAR('Deal maths'!AA754)-YEAR(IF('Deal maths'!Z754&gt;0,'Deal maths'!Z754,DATE(1990,1,1))))*12+MONTH('Deal maths'!AA754)-MONTH(IF('Deal maths'!Z754&gt;0,'Deal maths'!Z754,DATE(1990,1,1))))/D754))*D754)),IF(DAY('Deal maths'!AA754+1)=1,EOMONTH('Deal maths'!AA754,-(INT(((YEAR('Deal maths'!AA754)-YEAR(IF('Deal maths'!Z754&gt;0,'Deal maths'!Z754,DATE(1990,1,1))))*12+MONTH('Deal maths'!AA754)-MONTH(IF('Deal maths'!Z754&gt;0,'Deal maths'!Z754,DATE(1990,1,1))))/D754)-1)*D754),EDATE('Deal maths'!AA754,-(INT(((YEAR('Deal maths'!AA754)-YEAR(IF('Deal maths'!Z754&gt;0,'Deal maths'!Z754,DATE(1990,1,1))))*12+MONTH('Deal maths'!AA754)-MONTH(IF('Deal maths'!Z754&gt;0,'Deal maths'!Z754,DATE(1990,1,1))))/D754)-1)*D754))))),0)</f>
        <v/>
      </c>
      <c r="F754" s="110">
        <f>IF(D754=0,0,'Deal maths'!AB754*D754/12)</f>
        <v/>
      </c>
      <c r="G754" s="108">
        <f>N754+O754</f>
        <v/>
      </c>
      <c r="H754" s="108">
        <f>IFERROR(IF(OR(D754=0,AsAt&lt;E754),0,MIN(N754,INT(((YEAR(AsAt)-YEAR(E754))*12+MONTH(AsAt)-MONTH(E754)-(DAY(AsAt)&lt;MIN(R754,DAY(EOMONTH(AsAt,0)))))/D754)+1)+O754*(AsAt&gt;='Deal maths'!AA754)),0)</f>
        <v/>
      </c>
      <c r="I754" s="108">
        <f>G754-H754</f>
        <v/>
      </c>
      <c r="J754" s="111">
        <f>IF(AND(C754="EIP",I754&gt;0),'Deal maths'!Y754/I754,0)</f>
        <v/>
      </c>
      <c r="K754" s="111">
        <f>IF(AND(C754="Annuity",I754&gt;0),IF(F754&gt;0,'Deal maths'!Y754*F754/(1-(1+F754)^-I754),'Deal maths'!Y754/I754),0)</f>
        <v/>
      </c>
      <c r="L754" s="111">
        <f>IF('Deal maths'!Y754="",0,'Deal maths'!Y754)</f>
        <v/>
      </c>
      <c r="M754" s="112">
        <f>F754+(F754=0)</f>
        <v/>
      </c>
      <c r="N754" s="108">
        <f>IFERROR(IF(D754=0,0,INT(((YEAR('Deal maths'!AA754)-YEAR(E754))*12+MONTH('Deal maths'!AA754)-MONTH(E754)-(DAY('Deal maths'!AA754)&lt;MIN(R754,DAY(EOMONTH('Deal maths'!AA754,0)))))/D754)+1),0)</f>
        <v/>
      </c>
      <c r="O754" s="108">
        <f>IFERROR(IF(D754=0,0,IF(IF(DAY(E754+1)=1,EOMONTH(E754,(N754-1)*D754),EDATE(E754,(N754-1)*D754))='Deal maths'!AA754,0,1)),0)</f>
        <v/>
      </c>
      <c r="P754" s="113">
        <f>IF(B754=0,0,IFERROR(IF(C754="EIP",((I754-O754)*((IF(DAY(E754+1)=1,EOMONTH(E754,H754*D754),EDATE(E754,H754*D754))-AsAt)/365.25+(IF(DAY(E754+1)=1,EOMONTH(E754,(N754-1)*D754),EDATE(E754,(N754-1)*D754))-AsAt)/365.25)/2+O754*('Deal maths'!AA754-AsAt)/365.25)/I754,IF(C754="Annuity",IF(F754&gt;0,((K754-L754*F754)*((IF(DAY(E754+1)=1,EOMONTH(E754,H754*D754),EDATE(E754,H754*D754))-AsAt)/365.25*((1+F754)^(I754-O754)-1)/F754+IF((I754-O754)&gt;1,((IF(DAY(E754+1)=1,EOMONTH(E754,(N754-1)*D754),EDATE(E754,(N754-1)*D754))-AsAt)/365.25-(IF(DAY(E754+1)=1,EOMONTH(E754,H754*D754),EDATE(E754,H754*D754))-AsAt)/365.25)/((I754-O754)-1),0)*(1+F754)*(1-(I754-O754)*(1+F754)^((I754-O754)-1)+((I754-O754)-1)*(1+F754)^(I754-O754))/F754^2)+O754*(K754-L754*F754)*(1+F754)^(I754-1)*('Deal maths'!AA754-AsAt)/365.25)/L754,((I754-O754)*((IF(DAY(E754+1)=1,EOMONTH(E754,H754*D754),EDATE(E754,H754*D754))-AsAt)/365.25+(IF(DAY(E754+1)=1,EOMONTH(E754,(N754-1)*D754),EDATE(E754,(N754-1)*D754))-AsAt)/365.25)/2+O754*('Deal maths'!AA754-AsAt)/365.25)/I754),(S754-AsAt)/365.25)),0))</f>
        <v/>
      </c>
      <c r="Q754" s="109">
        <f>IF(B754=1,'Deal maths'!AA754+ROW()/1000000,"")</f>
        <v/>
      </c>
      <c r="R754" s="108">
        <f>IF(D754=0,0,IF(DAY(E754+1)=1,31,DAY(E754)))</f>
        <v/>
      </c>
      <c r="S754" s="109">
        <f>IF(AND('Deal maths'!V754="LOBO",'Deal maths'!AG754&gt;AsAt,'Deal maths'!AG754&lt;'Deal maths'!AA754),'Deal maths'!AG754,'Deal maths'!AA754)</f>
        <v/>
      </c>
      <c r="T754" s="108">
        <f>('Deal maths'!AA754&gt;AsAt)*('Deal maths'!Y754&gt;0)</f>
        <v/>
      </c>
    </row>
    <row r="755">
      <c r="A755" s="91">
        <f>IF('Deal maths'!V755="","",'Deal maths'!W755)</f>
        <v/>
      </c>
      <c r="B755" s="108">
        <f>('Deal maths'!AA755&gt;AsAt)*('Deal maths'!Y755&gt;0)*('Deal maths'!Z755&lt;=AsAt)</f>
        <v/>
      </c>
      <c r="C755" s="91">
        <f>IF('Deal maths'!V755="","",IF('Deal maths'!AC755="","Maturity",'Deal maths'!AC755))</f>
        <v/>
      </c>
      <c r="D755" s="108">
        <f>IF(OR(C755="EIP",C755="Annuity"),IF('Deal maths'!AD755="Annual",12,IF('Deal maths'!AD755="Quarterly",3,6)),0)</f>
        <v/>
      </c>
      <c r="E755" s="109">
        <f>IFERROR(IF(D755=0,0,IF('Deal maths'!AE755&gt;0,IF('Deal maths'!AE755&gt;'Deal maths'!AA755,'Deal maths'!AA755,'Deal maths'!AE755),IF(IF(DAY('Deal maths'!AA755+1)=1,EOMONTH('Deal maths'!AA755,-(INT(((YEAR('Deal maths'!AA755)-YEAR(IF('Deal maths'!Z755&gt;0,'Deal maths'!Z755,DATE(1990,1,1))))*12+MONTH('Deal maths'!AA755)-MONTH(IF('Deal maths'!Z755&gt;0,'Deal maths'!Z755,DATE(1990,1,1))))/D755))*D755),EDATE('Deal maths'!AA755,-(INT(((YEAR('Deal maths'!AA755)-YEAR(IF('Deal maths'!Z755&gt;0,'Deal maths'!Z755,DATE(1990,1,1))))*12+MONTH('Deal maths'!AA755)-MONTH(IF('Deal maths'!Z755&gt;0,'Deal maths'!Z755,DATE(1990,1,1))))/D755))*D755))&gt;IF('Deal maths'!Z755&gt;0,'Deal maths'!Z755,DATE(1990,1,1)),IF(DAY('Deal maths'!AA755+1)=1,EOMONTH('Deal maths'!AA755,-(INT(((YEAR('Deal maths'!AA755)-YEAR(IF('Deal maths'!Z755&gt;0,'Deal maths'!Z755,DATE(1990,1,1))))*12+MONTH('Deal maths'!AA755)-MONTH(IF('Deal maths'!Z755&gt;0,'Deal maths'!Z755,DATE(1990,1,1))))/D755))*D755),EDATE('Deal maths'!AA755,-(INT(((YEAR('Deal maths'!AA755)-YEAR(IF('Deal maths'!Z755&gt;0,'Deal maths'!Z755,DATE(1990,1,1))))*12+MONTH('Deal maths'!AA755)-MONTH(IF('Deal maths'!Z755&gt;0,'Deal maths'!Z755,DATE(1990,1,1))))/D755))*D755)),IF(DAY('Deal maths'!AA755+1)=1,EOMONTH('Deal maths'!AA755,-(INT(((YEAR('Deal maths'!AA755)-YEAR(IF('Deal maths'!Z755&gt;0,'Deal maths'!Z755,DATE(1990,1,1))))*12+MONTH('Deal maths'!AA755)-MONTH(IF('Deal maths'!Z755&gt;0,'Deal maths'!Z755,DATE(1990,1,1))))/D755)-1)*D755),EDATE('Deal maths'!AA755,-(INT(((YEAR('Deal maths'!AA755)-YEAR(IF('Deal maths'!Z755&gt;0,'Deal maths'!Z755,DATE(1990,1,1))))*12+MONTH('Deal maths'!AA755)-MONTH(IF('Deal maths'!Z755&gt;0,'Deal maths'!Z755,DATE(1990,1,1))))/D755)-1)*D755))))),0)</f>
        <v/>
      </c>
      <c r="F755" s="110">
        <f>IF(D755=0,0,'Deal maths'!AB755*D755/12)</f>
        <v/>
      </c>
      <c r="G755" s="108">
        <f>N755+O755</f>
        <v/>
      </c>
      <c r="H755" s="108">
        <f>IFERROR(IF(OR(D755=0,AsAt&lt;E755),0,MIN(N755,INT(((YEAR(AsAt)-YEAR(E755))*12+MONTH(AsAt)-MONTH(E755)-(DAY(AsAt)&lt;MIN(R755,DAY(EOMONTH(AsAt,0)))))/D755)+1)+O755*(AsAt&gt;='Deal maths'!AA755)),0)</f>
        <v/>
      </c>
      <c r="I755" s="108">
        <f>G755-H755</f>
        <v/>
      </c>
      <c r="J755" s="111">
        <f>IF(AND(C755="EIP",I755&gt;0),'Deal maths'!Y755/I755,0)</f>
        <v/>
      </c>
      <c r="K755" s="111">
        <f>IF(AND(C755="Annuity",I755&gt;0),IF(F755&gt;0,'Deal maths'!Y755*F755/(1-(1+F755)^-I755),'Deal maths'!Y755/I755),0)</f>
        <v/>
      </c>
      <c r="L755" s="111">
        <f>IF('Deal maths'!Y755="",0,'Deal maths'!Y755)</f>
        <v/>
      </c>
      <c r="M755" s="112">
        <f>F755+(F755=0)</f>
        <v/>
      </c>
      <c r="N755" s="108">
        <f>IFERROR(IF(D755=0,0,INT(((YEAR('Deal maths'!AA755)-YEAR(E755))*12+MONTH('Deal maths'!AA755)-MONTH(E755)-(DAY('Deal maths'!AA755)&lt;MIN(R755,DAY(EOMONTH('Deal maths'!AA755,0)))))/D755)+1),0)</f>
        <v/>
      </c>
      <c r="O755" s="108">
        <f>IFERROR(IF(D755=0,0,IF(IF(DAY(E755+1)=1,EOMONTH(E755,(N755-1)*D755),EDATE(E755,(N755-1)*D755))='Deal maths'!AA755,0,1)),0)</f>
        <v/>
      </c>
      <c r="P755" s="113">
        <f>IF(B755=0,0,IFERROR(IF(C755="EIP",((I755-O755)*((IF(DAY(E755+1)=1,EOMONTH(E755,H755*D755),EDATE(E755,H755*D755))-AsAt)/365.25+(IF(DAY(E755+1)=1,EOMONTH(E755,(N755-1)*D755),EDATE(E755,(N755-1)*D755))-AsAt)/365.25)/2+O755*('Deal maths'!AA755-AsAt)/365.25)/I755,IF(C755="Annuity",IF(F755&gt;0,((K755-L755*F755)*((IF(DAY(E755+1)=1,EOMONTH(E755,H755*D755),EDATE(E755,H755*D755))-AsAt)/365.25*((1+F755)^(I755-O755)-1)/F755+IF((I755-O755)&gt;1,((IF(DAY(E755+1)=1,EOMONTH(E755,(N755-1)*D755),EDATE(E755,(N755-1)*D755))-AsAt)/365.25-(IF(DAY(E755+1)=1,EOMONTH(E755,H755*D755),EDATE(E755,H755*D755))-AsAt)/365.25)/((I755-O755)-1),0)*(1+F755)*(1-(I755-O755)*(1+F755)^((I755-O755)-1)+((I755-O755)-1)*(1+F755)^(I755-O755))/F755^2)+O755*(K755-L755*F755)*(1+F755)^(I755-1)*('Deal maths'!AA755-AsAt)/365.25)/L755,((I755-O755)*((IF(DAY(E755+1)=1,EOMONTH(E755,H755*D755),EDATE(E755,H755*D755))-AsAt)/365.25+(IF(DAY(E755+1)=1,EOMONTH(E755,(N755-1)*D755),EDATE(E755,(N755-1)*D755))-AsAt)/365.25)/2+O755*('Deal maths'!AA755-AsAt)/365.25)/I755),(S755-AsAt)/365.25)),0))</f>
        <v/>
      </c>
      <c r="Q755" s="109">
        <f>IF(B755=1,'Deal maths'!AA755+ROW()/1000000,"")</f>
        <v/>
      </c>
      <c r="R755" s="108">
        <f>IF(D755=0,0,IF(DAY(E755+1)=1,31,DAY(E755)))</f>
        <v/>
      </c>
      <c r="S755" s="109">
        <f>IF(AND('Deal maths'!V755="LOBO",'Deal maths'!AG755&gt;AsAt,'Deal maths'!AG755&lt;'Deal maths'!AA755),'Deal maths'!AG755,'Deal maths'!AA755)</f>
        <v/>
      </c>
      <c r="T755" s="108">
        <f>('Deal maths'!AA755&gt;AsAt)*('Deal maths'!Y755&gt;0)</f>
        <v/>
      </c>
    </row>
    <row r="756">
      <c r="A756" s="91">
        <f>IF('Deal maths'!V756="","",'Deal maths'!W756)</f>
        <v/>
      </c>
      <c r="B756" s="108">
        <f>('Deal maths'!AA756&gt;AsAt)*('Deal maths'!Y756&gt;0)*('Deal maths'!Z756&lt;=AsAt)</f>
        <v/>
      </c>
      <c r="C756" s="91">
        <f>IF('Deal maths'!V756="","",IF('Deal maths'!AC756="","Maturity",'Deal maths'!AC756))</f>
        <v/>
      </c>
      <c r="D756" s="108">
        <f>IF(OR(C756="EIP",C756="Annuity"),IF('Deal maths'!AD756="Annual",12,IF('Deal maths'!AD756="Quarterly",3,6)),0)</f>
        <v/>
      </c>
      <c r="E756" s="109">
        <f>IFERROR(IF(D756=0,0,IF('Deal maths'!AE756&gt;0,IF('Deal maths'!AE756&gt;'Deal maths'!AA756,'Deal maths'!AA756,'Deal maths'!AE756),IF(IF(DAY('Deal maths'!AA756+1)=1,EOMONTH('Deal maths'!AA756,-(INT(((YEAR('Deal maths'!AA756)-YEAR(IF('Deal maths'!Z756&gt;0,'Deal maths'!Z756,DATE(1990,1,1))))*12+MONTH('Deal maths'!AA756)-MONTH(IF('Deal maths'!Z756&gt;0,'Deal maths'!Z756,DATE(1990,1,1))))/D756))*D756),EDATE('Deal maths'!AA756,-(INT(((YEAR('Deal maths'!AA756)-YEAR(IF('Deal maths'!Z756&gt;0,'Deal maths'!Z756,DATE(1990,1,1))))*12+MONTH('Deal maths'!AA756)-MONTH(IF('Deal maths'!Z756&gt;0,'Deal maths'!Z756,DATE(1990,1,1))))/D756))*D756))&gt;IF('Deal maths'!Z756&gt;0,'Deal maths'!Z756,DATE(1990,1,1)),IF(DAY('Deal maths'!AA756+1)=1,EOMONTH('Deal maths'!AA756,-(INT(((YEAR('Deal maths'!AA756)-YEAR(IF('Deal maths'!Z756&gt;0,'Deal maths'!Z756,DATE(1990,1,1))))*12+MONTH('Deal maths'!AA756)-MONTH(IF('Deal maths'!Z756&gt;0,'Deal maths'!Z756,DATE(1990,1,1))))/D756))*D756),EDATE('Deal maths'!AA756,-(INT(((YEAR('Deal maths'!AA756)-YEAR(IF('Deal maths'!Z756&gt;0,'Deal maths'!Z756,DATE(1990,1,1))))*12+MONTH('Deal maths'!AA756)-MONTH(IF('Deal maths'!Z756&gt;0,'Deal maths'!Z756,DATE(1990,1,1))))/D756))*D756)),IF(DAY('Deal maths'!AA756+1)=1,EOMONTH('Deal maths'!AA756,-(INT(((YEAR('Deal maths'!AA756)-YEAR(IF('Deal maths'!Z756&gt;0,'Deal maths'!Z756,DATE(1990,1,1))))*12+MONTH('Deal maths'!AA756)-MONTH(IF('Deal maths'!Z756&gt;0,'Deal maths'!Z756,DATE(1990,1,1))))/D756)-1)*D756),EDATE('Deal maths'!AA756,-(INT(((YEAR('Deal maths'!AA756)-YEAR(IF('Deal maths'!Z756&gt;0,'Deal maths'!Z756,DATE(1990,1,1))))*12+MONTH('Deal maths'!AA756)-MONTH(IF('Deal maths'!Z756&gt;0,'Deal maths'!Z756,DATE(1990,1,1))))/D756)-1)*D756))))),0)</f>
        <v/>
      </c>
      <c r="F756" s="110">
        <f>IF(D756=0,0,'Deal maths'!AB756*D756/12)</f>
        <v/>
      </c>
      <c r="G756" s="108">
        <f>N756+O756</f>
        <v/>
      </c>
      <c r="H756" s="108">
        <f>IFERROR(IF(OR(D756=0,AsAt&lt;E756),0,MIN(N756,INT(((YEAR(AsAt)-YEAR(E756))*12+MONTH(AsAt)-MONTH(E756)-(DAY(AsAt)&lt;MIN(R756,DAY(EOMONTH(AsAt,0)))))/D756)+1)+O756*(AsAt&gt;='Deal maths'!AA756)),0)</f>
        <v/>
      </c>
      <c r="I756" s="108">
        <f>G756-H756</f>
        <v/>
      </c>
      <c r="J756" s="111">
        <f>IF(AND(C756="EIP",I756&gt;0),'Deal maths'!Y756/I756,0)</f>
        <v/>
      </c>
      <c r="K756" s="111">
        <f>IF(AND(C756="Annuity",I756&gt;0),IF(F756&gt;0,'Deal maths'!Y756*F756/(1-(1+F756)^-I756),'Deal maths'!Y756/I756),0)</f>
        <v/>
      </c>
      <c r="L756" s="111">
        <f>IF('Deal maths'!Y756="",0,'Deal maths'!Y756)</f>
        <v/>
      </c>
      <c r="M756" s="112">
        <f>F756+(F756=0)</f>
        <v/>
      </c>
      <c r="N756" s="108">
        <f>IFERROR(IF(D756=0,0,INT(((YEAR('Deal maths'!AA756)-YEAR(E756))*12+MONTH('Deal maths'!AA756)-MONTH(E756)-(DAY('Deal maths'!AA756)&lt;MIN(R756,DAY(EOMONTH('Deal maths'!AA756,0)))))/D756)+1),0)</f>
        <v/>
      </c>
      <c r="O756" s="108">
        <f>IFERROR(IF(D756=0,0,IF(IF(DAY(E756+1)=1,EOMONTH(E756,(N756-1)*D756),EDATE(E756,(N756-1)*D756))='Deal maths'!AA756,0,1)),0)</f>
        <v/>
      </c>
      <c r="P756" s="113">
        <f>IF(B756=0,0,IFERROR(IF(C756="EIP",((I756-O756)*((IF(DAY(E756+1)=1,EOMONTH(E756,H756*D756),EDATE(E756,H756*D756))-AsAt)/365.25+(IF(DAY(E756+1)=1,EOMONTH(E756,(N756-1)*D756),EDATE(E756,(N756-1)*D756))-AsAt)/365.25)/2+O756*('Deal maths'!AA756-AsAt)/365.25)/I756,IF(C756="Annuity",IF(F756&gt;0,((K756-L756*F756)*((IF(DAY(E756+1)=1,EOMONTH(E756,H756*D756),EDATE(E756,H756*D756))-AsAt)/365.25*((1+F756)^(I756-O756)-1)/F756+IF((I756-O756)&gt;1,((IF(DAY(E756+1)=1,EOMONTH(E756,(N756-1)*D756),EDATE(E756,(N756-1)*D756))-AsAt)/365.25-(IF(DAY(E756+1)=1,EOMONTH(E756,H756*D756),EDATE(E756,H756*D756))-AsAt)/365.25)/((I756-O756)-1),0)*(1+F756)*(1-(I756-O756)*(1+F756)^((I756-O756)-1)+((I756-O756)-1)*(1+F756)^(I756-O756))/F756^2)+O756*(K756-L756*F756)*(1+F756)^(I756-1)*('Deal maths'!AA756-AsAt)/365.25)/L756,((I756-O756)*((IF(DAY(E756+1)=1,EOMONTH(E756,H756*D756),EDATE(E756,H756*D756))-AsAt)/365.25+(IF(DAY(E756+1)=1,EOMONTH(E756,(N756-1)*D756),EDATE(E756,(N756-1)*D756))-AsAt)/365.25)/2+O756*('Deal maths'!AA756-AsAt)/365.25)/I756),(S756-AsAt)/365.25)),0))</f>
        <v/>
      </c>
      <c r="Q756" s="109">
        <f>IF(B756=1,'Deal maths'!AA756+ROW()/1000000,"")</f>
        <v/>
      </c>
      <c r="R756" s="108">
        <f>IF(D756=0,0,IF(DAY(E756+1)=1,31,DAY(E756)))</f>
        <v/>
      </c>
      <c r="S756" s="109">
        <f>IF(AND('Deal maths'!V756="LOBO",'Deal maths'!AG756&gt;AsAt,'Deal maths'!AG756&lt;'Deal maths'!AA756),'Deal maths'!AG756,'Deal maths'!AA756)</f>
        <v/>
      </c>
      <c r="T756" s="108">
        <f>('Deal maths'!AA756&gt;AsAt)*('Deal maths'!Y756&gt;0)</f>
        <v/>
      </c>
    </row>
    <row r="757">
      <c r="A757" s="91">
        <f>IF('Deal maths'!V757="","",'Deal maths'!W757)</f>
        <v/>
      </c>
      <c r="B757" s="108">
        <f>('Deal maths'!AA757&gt;AsAt)*('Deal maths'!Y757&gt;0)*('Deal maths'!Z757&lt;=AsAt)</f>
        <v/>
      </c>
      <c r="C757" s="91">
        <f>IF('Deal maths'!V757="","",IF('Deal maths'!AC757="","Maturity",'Deal maths'!AC757))</f>
        <v/>
      </c>
      <c r="D757" s="108">
        <f>IF(OR(C757="EIP",C757="Annuity"),IF('Deal maths'!AD757="Annual",12,IF('Deal maths'!AD757="Quarterly",3,6)),0)</f>
        <v/>
      </c>
      <c r="E757" s="109">
        <f>IFERROR(IF(D757=0,0,IF('Deal maths'!AE757&gt;0,IF('Deal maths'!AE757&gt;'Deal maths'!AA757,'Deal maths'!AA757,'Deal maths'!AE757),IF(IF(DAY('Deal maths'!AA757+1)=1,EOMONTH('Deal maths'!AA757,-(INT(((YEAR('Deal maths'!AA757)-YEAR(IF('Deal maths'!Z757&gt;0,'Deal maths'!Z757,DATE(1990,1,1))))*12+MONTH('Deal maths'!AA757)-MONTH(IF('Deal maths'!Z757&gt;0,'Deal maths'!Z757,DATE(1990,1,1))))/D757))*D757),EDATE('Deal maths'!AA757,-(INT(((YEAR('Deal maths'!AA757)-YEAR(IF('Deal maths'!Z757&gt;0,'Deal maths'!Z757,DATE(1990,1,1))))*12+MONTH('Deal maths'!AA757)-MONTH(IF('Deal maths'!Z757&gt;0,'Deal maths'!Z757,DATE(1990,1,1))))/D757))*D757))&gt;IF('Deal maths'!Z757&gt;0,'Deal maths'!Z757,DATE(1990,1,1)),IF(DAY('Deal maths'!AA757+1)=1,EOMONTH('Deal maths'!AA757,-(INT(((YEAR('Deal maths'!AA757)-YEAR(IF('Deal maths'!Z757&gt;0,'Deal maths'!Z757,DATE(1990,1,1))))*12+MONTH('Deal maths'!AA757)-MONTH(IF('Deal maths'!Z757&gt;0,'Deal maths'!Z757,DATE(1990,1,1))))/D757))*D757),EDATE('Deal maths'!AA757,-(INT(((YEAR('Deal maths'!AA757)-YEAR(IF('Deal maths'!Z757&gt;0,'Deal maths'!Z757,DATE(1990,1,1))))*12+MONTH('Deal maths'!AA757)-MONTH(IF('Deal maths'!Z757&gt;0,'Deal maths'!Z757,DATE(1990,1,1))))/D757))*D757)),IF(DAY('Deal maths'!AA757+1)=1,EOMONTH('Deal maths'!AA757,-(INT(((YEAR('Deal maths'!AA757)-YEAR(IF('Deal maths'!Z757&gt;0,'Deal maths'!Z757,DATE(1990,1,1))))*12+MONTH('Deal maths'!AA757)-MONTH(IF('Deal maths'!Z757&gt;0,'Deal maths'!Z757,DATE(1990,1,1))))/D757)-1)*D757),EDATE('Deal maths'!AA757,-(INT(((YEAR('Deal maths'!AA757)-YEAR(IF('Deal maths'!Z757&gt;0,'Deal maths'!Z757,DATE(1990,1,1))))*12+MONTH('Deal maths'!AA757)-MONTH(IF('Deal maths'!Z757&gt;0,'Deal maths'!Z757,DATE(1990,1,1))))/D757)-1)*D757))))),0)</f>
        <v/>
      </c>
      <c r="F757" s="110">
        <f>IF(D757=0,0,'Deal maths'!AB757*D757/12)</f>
        <v/>
      </c>
      <c r="G757" s="108">
        <f>N757+O757</f>
        <v/>
      </c>
      <c r="H757" s="108">
        <f>IFERROR(IF(OR(D757=0,AsAt&lt;E757),0,MIN(N757,INT(((YEAR(AsAt)-YEAR(E757))*12+MONTH(AsAt)-MONTH(E757)-(DAY(AsAt)&lt;MIN(R757,DAY(EOMONTH(AsAt,0)))))/D757)+1)+O757*(AsAt&gt;='Deal maths'!AA757)),0)</f>
        <v/>
      </c>
      <c r="I757" s="108">
        <f>G757-H757</f>
        <v/>
      </c>
      <c r="J757" s="111">
        <f>IF(AND(C757="EIP",I757&gt;0),'Deal maths'!Y757/I757,0)</f>
        <v/>
      </c>
      <c r="K757" s="111">
        <f>IF(AND(C757="Annuity",I757&gt;0),IF(F757&gt;0,'Deal maths'!Y757*F757/(1-(1+F757)^-I757),'Deal maths'!Y757/I757),0)</f>
        <v/>
      </c>
      <c r="L757" s="111">
        <f>IF('Deal maths'!Y757="",0,'Deal maths'!Y757)</f>
        <v/>
      </c>
      <c r="M757" s="112">
        <f>F757+(F757=0)</f>
        <v/>
      </c>
      <c r="N757" s="108">
        <f>IFERROR(IF(D757=0,0,INT(((YEAR('Deal maths'!AA757)-YEAR(E757))*12+MONTH('Deal maths'!AA757)-MONTH(E757)-(DAY('Deal maths'!AA757)&lt;MIN(R757,DAY(EOMONTH('Deal maths'!AA757,0)))))/D757)+1),0)</f>
        <v/>
      </c>
      <c r="O757" s="108">
        <f>IFERROR(IF(D757=0,0,IF(IF(DAY(E757+1)=1,EOMONTH(E757,(N757-1)*D757),EDATE(E757,(N757-1)*D757))='Deal maths'!AA757,0,1)),0)</f>
        <v/>
      </c>
      <c r="P757" s="113">
        <f>IF(B757=0,0,IFERROR(IF(C757="EIP",((I757-O757)*((IF(DAY(E757+1)=1,EOMONTH(E757,H757*D757),EDATE(E757,H757*D757))-AsAt)/365.25+(IF(DAY(E757+1)=1,EOMONTH(E757,(N757-1)*D757),EDATE(E757,(N757-1)*D757))-AsAt)/365.25)/2+O757*('Deal maths'!AA757-AsAt)/365.25)/I757,IF(C757="Annuity",IF(F757&gt;0,((K757-L757*F757)*((IF(DAY(E757+1)=1,EOMONTH(E757,H757*D757),EDATE(E757,H757*D757))-AsAt)/365.25*((1+F757)^(I757-O757)-1)/F757+IF((I757-O757)&gt;1,((IF(DAY(E757+1)=1,EOMONTH(E757,(N757-1)*D757),EDATE(E757,(N757-1)*D757))-AsAt)/365.25-(IF(DAY(E757+1)=1,EOMONTH(E757,H757*D757),EDATE(E757,H757*D757))-AsAt)/365.25)/((I757-O757)-1),0)*(1+F757)*(1-(I757-O757)*(1+F757)^((I757-O757)-1)+((I757-O757)-1)*(1+F757)^(I757-O757))/F757^2)+O757*(K757-L757*F757)*(1+F757)^(I757-1)*('Deal maths'!AA757-AsAt)/365.25)/L757,((I757-O757)*((IF(DAY(E757+1)=1,EOMONTH(E757,H757*D757),EDATE(E757,H757*D757))-AsAt)/365.25+(IF(DAY(E757+1)=1,EOMONTH(E757,(N757-1)*D757),EDATE(E757,(N757-1)*D757))-AsAt)/365.25)/2+O757*('Deal maths'!AA757-AsAt)/365.25)/I757),(S757-AsAt)/365.25)),0))</f>
        <v/>
      </c>
      <c r="Q757" s="109">
        <f>IF(B757=1,'Deal maths'!AA757+ROW()/1000000,"")</f>
        <v/>
      </c>
      <c r="R757" s="108">
        <f>IF(D757=0,0,IF(DAY(E757+1)=1,31,DAY(E757)))</f>
        <v/>
      </c>
      <c r="S757" s="109">
        <f>IF(AND('Deal maths'!V757="LOBO",'Deal maths'!AG757&gt;AsAt,'Deal maths'!AG757&lt;'Deal maths'!AA757),'Deal maths'!AG757,'Deal maths'!AA757)</f>
        <v/>
      </c>
      <c r="T757" s="108">
        <f>('Deal maths'!AA757&gt;AsAt)*('Deal maths'!Y757&gt;0)</f>
        <v/>
      </c>
    </row>
    <row r="758">
      <c r="A758" s="91">
        <f>IF('Deal maths'!V758="","",'Deal maths'!W758)</f>
        <v/>
      </c>
      <c r="B758" s="108">
        <f>('Deal maths'!AA758&gt;AsAt)*('Deal maths'!Y758&gt;0)*('Deal maths'!Z758&lt;=AsAt)</f>
        <v/>
      </c>
      <c r="C758" s="91">
        <f>IF('Deal maths'!V758="","",IF('Deal maths'!AC758="","Maturity",'Deal maths'!AC758))</f>
        <v/>
      </c>
      <c r="D758" s="108">
        <f>IF(OR(C758="EIP",C758="Annuity"),IF('Deal maths'!AD758="Annual",12,IF('Deal maths'!AD758="Quarterly",3,6)),0)</f>
        <v/>
      </c>
      <c r="E758" s="109">
        <f>IFERROR(IF(D758=0,0,IF('Deal maths'!AE758&gt;0,IF('Deal maths'!AE758&gt;'Deal maths'!AA758,'Deal maths'!AA758,'Deal maths'!AE758),IF(IF(DAY('Deal maths'!AA758+1)=1,EOMONTH('Deal maths'!AA758,-(INT(((YEAR('Deal maths'!AA758)-YEAR(IF('Deal maths'!Z758&gt;0,'Deal maths'!Z758,DATE(1990,1,1))))*12+MONTH('Deal maths'!AA758)-MONTH(IF('Deal maths'!Z758&gt;0,'Deal maths'!Z758,DATE(1990,1,1))))/D758))*D758),EDATE('Deal maths'!AA758,-(INT(((YEAR('Deal maths'!AA758)-YEAR(IF('Deal maths'!Z758&gt;0,'Deal maths'!Z758,DATE(1990,1,1))))*12+MONTH('Deal maths'!AA758)-MONTH(IF('Deal maths'!Z758&gt;0,'Deal maths'!Z758,DATE(1990,1,1))))/D758))*D758))&gt;IF('Deal maths'!Z758&gt;0,'Deal maths'!Z758,DATE(1990,1,1)),IF(DAY('Deal maths'!AA758+1)=1,EOMONTH('Deal maths'!AA758,-(INT(((YEAR('Deal maths'!AA758)-YEAR(IF('Deal maths'!Z758&gt;0,'Deal maths'!Z758,DATE(1990,1,1))))*12+MONTH('Deal maths'!AA758)-MONTH(IF('Deal maths'!Z758&gt;0,'Deal maths'!Z758,DATE(1990,1,1))))/D758))*D758),EDATE('Deal maths'!AA758,-(INT(((YEAR('Deal maths'!AA758)-YEAR(IF('Deal maths'!Z758&gt;0,'Deal maths'!Z758,DATE(1990,1,1))))*12+MONTH('Deal maths'!AA758)-MONTH(IF('Deal maths'!Z758&gt;0,'Deal maths'!Z758,DATE(1990,1,1))))/D758))*D758)),IF(DAY('Deal maths'!AA758+1)=1,EOMONTH('Deal maths'!AA758,-(INT(((YEAR('Deal maths'!AA758)-YEAR(IF('Deal maths'!Z758&gt;0,'Deal maths'!Z758,DATE(1990,1,1))))*12+MONTH('Deal maths'!AA758)-MONTH(IF('Deal maths'!Z758&gt;0,'Deal maths'!Z758,DATE(1990,1,1))))/D758)-1)*D758),EDATE('Deal maths'!AA758,-(INT(((YEAR('Deal maths'!AA758)-YEAR(IF('Deal maths'!Z758&gt;0,'Deal maths'!Z758,DATE(1990,1,1))))*12+MONTH('Deal maths'!AA758)-MONTH(IF('Deal maths'!Z758&gt;0,'Deal maths'!Z758,DATE(1990,1,1))))/D758)-1)*D758))))),0)</f>
        <v/>
      </c>
      <c r="F758" s="110">
        <f>IF(D758=0,0,'Deal maths'!AB758*D758/12)</f>
        <v/>
      </c>
      <c r="G758" s="108">
        <f>N758+O758</f>
        <v/>
      </c>
      <c r="H758" s="108">
        <f>IFERROR(IF(OR(D758=0,AsAt&lt;E758),0,MIN(N758,INT(((YEAR(AsAt)-YEAR(E758))*12+MONTH(AsAt)-MONTH(E758)-(DAY(AsAt)&lt;MIN(R758,DAY(EOMONTH(AsAt,0)))))/D758)+1)+O758*(AsAt&gt;='Deal maths'!AA758)),0)</f>
        <v/>
      </c>
      <c r="I758" s="108">
        <f>G758-H758</f>
        <v/>
      </c>
      <c r="J758" s="111">
        <f>IF(AND(C758="EIP",I758&gt;0),'Deal maths'!Y758/I758,0)</f>
        <v/>
      </c>
      <c r="K758" s="111">
        <f>IF(AND(C758="Annuity",I758&gt;0),IF(F758&gt;0,'Deal maths'!Y758*F758/(1-(1+F758)^-I758),'Deal maths'!Y758/I758),0)</f>
        <v/>
      </c>
      <c r="L758" s="111">
        <f>IF('Deal maths'!Y758="",0,'Deal maths'!Y758)</f>
        <v/>
      </c>
      <c r="M758" s="112">
        <f>F758+(F758=0)</f>
        <v/>
      </c>
      <c r="N758" s="108">
        <f>IFERROR(IF(D758=0,0,INT(((YEAR('Deal maths'!AA758)-YEAR(E758))*12+MONTH('Deal maths'!AA758)-MONTH(E758)-(DAY('Deal maths'!AA758)&lt;MIN(R758,DAY(EOMONTH('Deal maths'!AA758,0)))))/D758)+1),0)</f>
        <v/>
      </c>
      <c r="O758" s="108">
        <f>IFERROR(IF(D758=0,0,IF(IF(DAY(E758+1)=1,EOMONTH(E758,(N758-1)*D758),EDATE(E758,(N758-1)*D758))='Deal maths'!AA758,0,1)),0)</f>
        <v/>
      </c>
      <c r="P758" s="113">
        <f>IF(B758=0,0,IFERROR(IF(C758="EIP",((I758-O758)*((IF(DAY(E758+1)=1,EOMONTH(E758,H758*D758),EDATE(E758,H758*D758))-AsAt)/365.25+(IF(DAY(E758+1)=1,EOMONTH(E758,(N758-1)*D758),EDATE(E758,(N758-1)*D758))-AsAt)/365.25)/2+O758*('Deal maths'!AA758-AsAt)/365.25)/I758,IF(C758="Annuity",IF(F758&gt;0,((K758-L758*F758)*((IF(DAY(E758+1)=1,EOMONTH(E758,H758*D758),EDATE(E758,H758*D758))-AsAt)/365.25*((1+F758)^(I758-O758)-1)/F758+IF((I758-O758)&gt;1,((IF(DAY(E758+1)=1,EOMONTH(E758,(N758-1)*D758),EDATE(E758,(N758-1)*D758))-AsAt)/365.25-(IF(DAY(E758+1)=1,EOMONTH(E758,H758*D758),EDATE(E758,H758*D758))-AsAt)/365.25)/((I758-O758)-1),0)*(1+F758)*(1-(I758-O758)*(1+F758)^((I758-O758)-1)+((I758-O758)-1)*(1+F758)^(I758-O758))/F758^2)+O758*(K758-L758*F758)*(1+F758)^(I758-1)*('Deal maths'!AA758-AsAt)/365.25)/L758,((I758-O758)*((IF(DAY(E758+1)=1,EOMONTH(E758,H758*D758),EDATE(E758,H758*D758))-AsAt)/365.25+(IF(DAY(E758+1)=1,EOMONTH(E758,(N758-1)*D758),EDATE(E758,(N758-1)*D758))-AsAt)/365.25)/2+O758*('Deal maths'!AA758-AsAt)/365.25)/I758),(S758-AsAt)/365.25)),0))</f>
        <v/>
      </c>
      <c r="Q758" s="109">
        <f>IF(B758=1,'Deal maths'!AA758+ROW()/1000000,"")</f>
        <v/>
      </c>
      <c r="R758" s="108">
        <f>IF(D758=0,0,IF(DAY(E758+1)=1,31,DAY(E758)))</f>
        <v/>
      </c>
      <c r="S758" s="109">
        <f>IF(AND('Deal maths'!V758="LOBO",'Deal maths'!AG758&gt;AsAt,'Deal maths'!AG758&lt;'Deal maths'!AA758),'Deal maths'!AG758,'Deal maths'!AA758)</f>
        <v/>
      </c>
      <c r="T758" s="108">
        <f>('Deal maths'!AA758&gt;AsAt)*('Deal maths'!Y758&gt;0)</f>
        <v/>
      </c>
    </row>
    <row r="759">
      <c r="A759" s="91">
        <f>IF('Deal maths'!V759="","",'Deal maths'!W759)</f>
        <v/>
      </c>
      <c r="B759" s="108">
        <f>('Deal maths'!AA759&gt;AsAt)*('Deal maths'!Y759&gt;0)*('Deal maths'!Z759&lt;=AsAt)</f>
        <v/>
      </c>
      <c r="C759" s="91">
        <f>IF('Deal maths'!V759="","",IF('Deal maths'!AC759="","Maturity",'Deal maths'!AC759))</f>
        <v/>
      </c>
      <c r="D759" s="108">
        <f>IF(OR(C759="EIP",C759="Annuity"),IF('Deal maths'!AD759="Annual",12,IF('Deal maths'!AD759="Quarterly",3,6)),0)</f>
        <v/>
      </c>
      <c r="E759" s="109">
        <f>IFERROR(IF(D759=0,0,IF('Deal maths'!AE759&gt;0,IF('Deal maths'!AE759&gt;'Deal maths'!AA759,'Deal maths'!AA759,'Deal maths'!AE759),IF(IF(DAY('Deal maths'!AA759+1)=1,EOMONTH('Deal maths'!AA759,-(INT(((YEAR('Deal maths'!AA759)-YEAR(IF('Deal maths'!Z759&gt;0,'Deal maths'!Z759,DATE(1990,1,1))))*12+MONTH('Deal maths'!AA759)-MONTH(IF('Deal maths'!Z759&gt;0,'Deal maths'!Z759,DATE(1990,1,1))))/D759))*D759),EDATE('Deal maths'!AA759,-(INT(((YEAR('Deal maths'!AA759)-YEAR(IF('Deal maths'!Z759&gt;0,'Deal maths'!Z759,DATE(1990,1,1))))*12+MONTH('Deal maths'!AA759)-MONTH(IF('Deal maths'!Z759&gt;0,'Deal maths'!Z759,DATE(1990,1,1))))/D759))*D759))&gt;IF('Deal maths'!Z759&gt;0,'Deal maths'!Z759,DATE(1990,1,1)),IF(DAY('Deal maths'!AA759+1)=1,EOMONTH('Deal maths'!AA759,-(INT(((YEAR('Deal maths'!AA759)-YEAR(IF('Deal maths'!Z759&gt;0,'Deal maths'!Z759,DATE(1990,1,1))))*12+MONTH('Deal maths'!AA759)-MONTH(IF('Deal maths'!Z759&gt;0,'Deal maths'!Z759,DATE(1990,1,1))))/D759))*D759),EDATE('Deal maths'!AA759,-(INT(((YEAR('Deal maths'!AA759)-YEAR(IF('Deal maths'!Z759&gt;0,'Deal maths'!Z759,DATE(1990,1,1))))*12+MONTH('Deal maths'!AA759)-MONTH(IF('Deal maths'!Z759&gt;0,'Deal maths'!Z759,DATE(1990,1,1))))/D759))*D759)),IF(DAY('Deal maths'!AA759+1)=1,EOMONTH('Deal maths'!AA759,-(INT(((YEAR('Deal maths'!AA759)-YEAR(IF('Deal maths'!Z759&gt;0,'Deal maths'!Z759,DATE(1990,1,1))))*12+MONTH('Deal maths'!AA759)-MONTH(IF('Deal maths'!Z759&gt;0,'Deal maths'!Z759,DATE(1990,1,1))))/D759)-1)*D759),EDATE('Deal maths'!AA759,-(INT(((YEAR('Deal maths'!AA759)-YEAR(IF('Deal maths'!Z759&gt;0,'Deal maths'!Z759,DATE(1990,1,1))))*12+MONTH('Deal maths'!AA759)-MONTH(IF('Deal maths'!Z759&gt;0,'Deal maths'!Z759,DATE(1990,1,1))))/D759)-1)*D759))))),0)</f>
        <v/>
      </c>
      <c r="F759" s="110">
        <f>IF(D759=0,0,'Deal maths'!AB759*D759/12)</f>
        <v/>
      </c>
      <c r="G759" s="108">
        <f>N759+O759</f>
        <v/>
      </c>
      <c r="H759" s="108">
        <f>IFERROR(IF(OR(D759=0,AsAt&lt;E759),0,MIN(N759,INT(((YEAR(AsAt)-YEAR(E759))*12+MONTH(AsAt)-MONTH(E759)-(DAY(AsAt)&lt;MIN(R759,DAY(EOMONTH(AsAt,0)))))/D759)+1)+O759*(AsAt&gt;='Deal maths'!AA759)),0)</f>
        <v/>
      </c>
      <c r="I759" s="108">
        <f>G759-H759</f>
        <v/>
      </c>
      <c r="J759" s="111">
        <f>IF(AND(C759="EIP",I759&gt;0),'Deal maths'!Y759/I759,0)</f>
        <v/>
      </c>
      <c r="K759" s="111">
        <f>IF(AND(C759="Annuity",I759&gt;0),IF(F759&gt;0,'Deal maths'!Y759*F759/(1-(1+F759)^-I759),'Deal maths'!Y759/I759),0)</f>
        <v/>
      </c>
      <c r="L759" s="111">
        <f>IF('Deal maths'!Y759="",0,'Deal maths'!Y759)</f>
        <v/>
      </c>
      <c r="M759" s="112">
        <f>F759+(F759=0)</f>
        <v/>
      </c>
      <c r="N759" s="108">
        <f>IFERROR(IF(D759=0,0,INT(((YEAR('Deal maths'!AA759)-YEAR(E759))*12+MONTH('Deal maths'!AA759)-MONTH(E759)-(DAY('Deal maths'!AA759)&lt;MIN(R759,DAY(EOMONTH('Deal maths'!AA759,0)))))/D759)+1),0)</f>
        <v/>
      </c>
      <c r="O759" s="108">
        <f>IFERROR(IF(D759=0,0,IF(IF(DAY(E759+1)=1,EOMONTH(E759,(N759-1)*D759),EDATE(E759,(N759-1)*D759))='Deal maths'!AA759,0,1)),0)</f>
        <v/>
      </c>
      <c r="P759" s="113">
        <f>IF(B759=0,0,IFERROR(IF(C759="EIP",((I759-O759)*((IF(DAY(E759+1)=1,EOMONTH(E759,H759*D759),EDATE(E759,H759*D759))-AsAt)/365.25+(IF(DAY(E759+1)=1,EOMONTH(E759,(N759-1)*D759),EDATE(E759,(N759-1)*D759))-AsAt)/365.25)/2+O759*('Deal maths'!AA759-AsAt)/365.25)/I759,IF(C759="Annuity",IF(F759&gt;0,((K759-L759*F759)*((IF(DAY(E759+1)=1,EOMONTH(E759,H759*D759),EDATE(E759,H759*D759))-AsAt)/365.25*((1+F759)^(I759-O759)-1)/F759+IF((I759-O759)&gt;1,((IF(DAY(E759+1)=1,EOMONTH(E759,(N759-1)*D759),EDATE(E759,(N759-1)*D759))-AsAt)/365.25-(IF(DAY(E759+1)=1,EOMONTH(E759,H759*D759),EDATE(E759,H759*D759))-AsAt)/365.25)/((I759-O759)-1),0)*(1+F759)*(1-(I759-O759)*(1+F759)^((I759-O759)-1)+((I759-O759)-1)*(1+F759)^(I759-O759))/F759^2)+O759*(K759-L759*F759)*(1+F759)^(I759-1)*('Deal maths'!AA759-AsAt)/365.25)/L759,((I759-O759)*((IF(DAY(E759+1)=1,EOMONTH(E759,H759*D759),EDATE(E759,H759*D759))-AsAt)/365.25+(IF(DAY(E759+1)=1,EOMONTH(E759,(N759-1)*D759),EDATE(E759,(N759-1)*D759))-AsAt)/365.25)/2+O759*('Deal maths'!AA759-AsAt)/365.25)/I759),(S759-AsAt)/365.25)),0))</f>
        <v/>
      </c>
      <c r="Q759" s="109">
        <f>IF(B759=1,'Deal maths'!AA759+ROW()/1000000,"")</f>
        <v/>
      </c>
      <c r="R759" s="108">
        <f>IF(D759=0,0,IF(DAY(E759+1)=1,31,DAY(E759)))</f>
        <v/>
      </c>
      <c r="S759" s="109">
        <f>IF(AND('Deal maths'!V759="LOBO",'Deal maths'!AG759&gt;AsAt,'Deal maths'!AG759&lt;'Deal maths'!AA759),'Deal maths'!AG759,'Deal maths'!AA759)</f>
        <v/>
      </c>
      <c r="T759" s="108">
        <f>('Deal maths'!AA759&gt;AsAt)*('Deal maths'!Y759&gt;0)</f>
        <v/>
      </c>
    </row>
    <row r="760">
      <c r="A760" s="91">
        <f>IF('Deal maths'!V760="","",'Deal maths'!W760)</f>
        <v/>
      </c>
      <c r="B760" s="108">
        <f>('Deal maths'!AA760&gt;AsAt)*('Deal maths'!Y760&gt;0)*('Deal maths'!Z760&lt;=AsAt)</f>
        <v/>
      </c>
      <c r="C760" s="91">
        <f>IF('Deal maths'!V760="","",IF('Deal maths'!AC760="","Maturity",'Deal maths'!AC760))</f>
        <v/>
      </c>
      <c r="D760" s="108">
        <f>IF(OR(C760="EIP",C760="Annuity"),IF('Deal maths'!AD760="Annual",12,IF('Deal maths'!AD760="Quarterly",3,6)),0)</f>
        <v/>
      </c>
      <c r="E760" s="109">
        <f>IFERROR(IF(D760=0,0,IF('Deal maths'!AE760&gt;0,IF('Deal maths'!AE760&gt;'Deal maths'!AA760,'Deal maths'!AA760,'Deal maths'!AE760),IF(IF(DAY('Deal maths'!AA760+1)=1,EOMONTH('Deal maths'!AA760,-(INT(((YEAR('Deal maths'!AA760)-YEAR(IF('Deal maths'!Z760&gt;0,'Deal maths'!Z760,DATE(1990,1,1))))*12+MONTH('Deal maths'!AA760)-MONTH(IF('Deal maths'!Z760&gt;0,'Deal maths'!Z760,DATE(1990,1,1))))/D760))*D760),EDATE('Deal maths'!AA760,-(INT(((YEAR('Deal maths'!AA760)-YEAR(IF('Deal maths'!Z760&gt;0,'Deal maths'!Z760,DATE(1990,1,1))))*12+MONTH('Deal maths'!AA760)-MONTH(IF('Deal maths'!Z760&gt;0,'Deal maths'!Z760,DATE(1990,1,1))))/D760))*D760))&gt;IF('Deal maths'!Z760&gt;0,'Deal maths'!Z760,DATE(1990,1,1)),IF(DAY('Deal maths'!AA760+1)=1,EOMONTH('Deal maths'!AA760,-(INT(((YEAR('Deal maths'!AA760)-YEAR(IF('Deal maths'!Z760&gt;0,'Deal maths'!Z760,DATE(1990,1,1))))*12+MONTH('Deal maths'!AA760)-MONTH(IF('Deal maths'!Z760&gt;0,'Deal maths'!Z760,DATE(1990,1,1))))/D760))*D760),EDATE('Deal maths'!AA760,-(INT(((YEAR('Deal maths'!AA760)-YEAR(IF('Deal maths'!Z760&gt;0,'Deal maths'!Z760,DATE(1990,1,1))))*12+MONTH('Deal maths'!AA760)-MONTH(IF('Deal maths'!Z760&gt;0,'Deal maths'!Z760,DATE(1990,1,1))))/D760))*D760)),IF(DAY('Deal maths'!AA760+1)=1,EOMONTH('Deal maths'!AA760,-(INT(((YEAR('Deal maths'!AA760)-YEAR(IF('Deal maths'!Z760&gt;0,'Deal maths'!Z760,DATE(1990,1,1))))*12+MONTH('Deal maths'!AA760)-MONTH(IF('Deal maths'!Z760&gt;0,'Deal maths'!Z760,DATE(1990,1,1))))/D760)-1)*D760),EDATE('Deal maths'!AA760,-(INT(((YEAR('Deal maths'!AA760)-YEAR(IF('Deal maths'!Z760&gt;0,'Deal maths'!Z760,DATE(1990,1,1))))*12+MONTH('Deal maths'!AA760)-MONTH(IF('Deal maths'!Z760&gt;0,'Deal maths'!Z760,DATE(1990,1,1))))/D760)-1)*D760))))),0)</f>
        <v/>
      </c>
      <c r="F760" s="110">
        <f>IF(D760=0,0,'Deal maths'!AB760*D760/12)</f>
        <v/>
      </c>
      <c r="G760" s="108">
        <f>N760+O760</f>
        <v/>
      </c>
      <c r="H760" s="108">
        <f>IFERROR(IF(OR(D760=0,AsAt&lt;E760),0,MIN(N760,INT(((YEAR(AsAt)-YEAR(E760))*12+MONTH(AsAt)-MONTH(E760)-(DAY(AsAt)&lt;MIN(R760,DAY(EOMONTH(AsAt,0)))))/D760)+1)+O760*(AsAt&gt;='Deal maths'!AA760)),0)</f>
        <v/>
      </c>
      <c r="I760" s="108">
        <f>G760-H760</f>
        <v/>
      </c>
      <c r="J760" s="111">
        <f>IF(AND(C760="EIP",I760&gt;0),'Deal maths'!Y760/I760,0)</f>
        <v/>
      </c>
      <c r="K760" s="111">
        <f>IF(AND(C760="Annuity",I760&gt;0),IF(F760&gt;0,'Deal maths'!Y760*F760/(1-(1+F760)^-I760),'Deal maths'!Y760/I760),0)</f>
        <v/>
      </c>
      <c r="L760" s="111">
        <f>IF('Deal maths'!Y760="",0,'Deal maths'!Y760)</f>
        <v/>
      </c>
      <c r="M760" s="112">
        <f>F760+(F760=0)</f>
        <v/>
      </c>
      <c r="N760" s="108">
        <f>IFERROR(IF(D760=0,0,INT(((YEAR('Deal maths'!AA760)-YEAR(E760))*12+MONTH('Deal maths'!AA760)-MONTH(E760)-(DAY('Deal maths'!AA760)&lt;MIN(R760,DAY(EOMONTH('Deal maths'!AA760,0)))))/D760)+1),0)</f>
        <v/>
      </c>
      <c r="O760" s="108">
        <f>IFERROR(IF(D760=0,0,IF(IF(DAY(E760+1)=1,EOMONTH(E760,(N760-1)*D760),EDATE(E760,(N760-1)*D760))='Deal maths'!AA760,0,1)),0)</f>
        <v/>
      </c>
      <c r="P760" s="113">
        <f>IF(B760=0,0,IFERROR(IF(C760="EIP",((I760-O760)*((IF(DAY(E760+1)=1,EOMONTH(E760,H760*D760),EDATE(E760,H760*D760))-AsAt)/365.25+(IF(DAY(E760+1)=1,EOMONTH(E760,(N760-1)*D760),EDATE(E760,(N760-1)*D760))-AsAt)/365.25)/2+O760*('Deal maths'!AA760-AsAt)/365.25)/I760,IF(C760="Annuity",IF(F760&gt;0,((K760-L760*F760)*((IF(DAY(E760+1)=1,EOMONTH(E760,H760*D760),EDATE(E760,H760*D760))-AsAt)/365.25*((1+F760)^(I760-O760)-1)/F760+IF((I760-O760)&gt;1,((IF(DAY(E760+1)=1,EOMONTH(E760,(N760-1)*D760),EDATE(E760,(N760-1)*D760))-AsAt)/365.25-(IF(DAY(E760+1)=1,EOMONTH(E760,H760*D760),EDATE(E760,H760*D760))-AsAt)/365.25)/((I760-O760)-1),0)*(1+F760)*(1-(I760-O760)*(1+F760)^((I760-O760)-1)+((I760-O760)-1)*(1+F760)^(I760-O760))/F760^2)+O760*(K760-L760*F760)*(1+F760)^(I760-1)*('Deal maths'!AA760-AsAt)/365.25)/L760,((I760-O760)*((IF(DAY(E760+1)=1,EOMONTH(E760,H760*D760),EDATE(E760,H760*D760))-AsAt)/365.25+(IF(DAY(E760+1)=1,EOMONTH(E760,(N760-1)*D760),EDATE(E760,(N760-1)*D760))-AsAt)/365.25)/2+O760*('Deal maths'!AA760-AsAt)/365.25)/I760),(S760-AsAt)/365.25)),0))</f>
        <v/>
      </c>
      <c r="Q760" s="109">
        <f>IF(B760=1,'Deal maths'!AA760+ROW()/1000000,"")</f>
        <v/>
      </c>
      <c r="R760" s="108">
        <f>IF(D760=0,0,IF(DAY(E760+1)=1,31,DAY(E760)))</f>
        <v/>
      </c>
      <c r="S760" s="109">
        <f>IF(AND('Deal maths'!V760="LOBO",'Deal maths'!AG760&gt;AsAt,'Deal maths'!AG760&lt;'Deal maths'!AA760),'Deal maths'!AG760,'Deal maths'!AA760)</f>
        <v/>
      </c>
      <c r="T760" s="108">
        <f>('Deal maths'!AA760&gt;AsAt)*('Deal maths'!Y760&gt;0)</f>
        <v/>
      </c>
    </row>
    <row r="761">
      <c r="A761" s="91">
        <f>IF('Deal maths'!V761="","",'Deal maths'!W761)</f>
        <v/>
      </c>
      <c r="B761" s="108">
        <f>('Deal maths'!AA761&gt;AsAt)*('Deal maths'!Y761&gt;0)*('Deal maths'!Z761&lt;=AsAt)</f>
        <v/>
      </c>
      <c r="C761" s="91">
        <f>IF('Deal maths'!V761="","",IF('Deal maths'!AC761="","Maturity",'Deal maths'!AC761))</f>
        <v/>
      </c>
      <c r="D761" s="108">
        <f>IF(OR(C761="EIP",C761="Annuity"),IF('Deal maths'!AD761="Annual",12,IF('Deal maths'!AD761="Quarterly",3,6)),0)</f>
        <v/>
      </c>
      <c r="E761" s="109">
        <f>IFERROR(IF(D761=0,0,IF('Deal maths'!AE761&gt;0,IF('Deal maths'!AE761&gt;'Deal maths'!AA761,'Deal maths'!AA761,'Deal maths'!AE761),IF(IF(DAY('Deal maths'!AA761+1)=1,EOMONTH('Deal maths'!AA761,-(INT(((YEAR('Deal maths'!AA761)-YEAR(IF('Deal maths'!Z761&gt;0,'Deal maths'!Z761,DATE(1990,1,1))))*12+MONTH('Deal maths'!AA761)-MONTH(IF('Deal maths'!Z761&gt;0,'Deal maths'!Z761,DATE(1990,1,1))))/D761))*D761),EDATE('Deal maths'!AA761,-(INT(((YEAR('Deal maths'!AA761)-YEAR(IF('Deal maths'!Z761&gt;0,'Deal maths'!Z761,DATE(1990,1,1))))*12+MONTH('Deal maths'!AA761)-MONTH(IF('Deal maths'!Z761&gt;0,'Deal maths'!Z761,DATE(1990,1,1))))/D761))*D761))&gt;IF('Deal maths'!Z761&gt;0,'Deal maths'!Z761,DATE(1990,1,1)),IF(DAY('Deal maths'!AA761+1)=1,EOMONTH('Deal maths'!AA761,-(INT(((YEAR('Deal maths'!AA761)-YEAR(IF('Deal maths'!Z761&gt;0,'Deal maths'!Z761,DATE(1990,1,1))))*12+MONTH('Deal maths'!AA761)-MONTH(IF('Deal maths'!Z761&gt;0,'Deal maths'!Z761,DATE(1990,1,1))))/D761))*D761),EDATE('Deal maths'!AA761,-(INT(((YEAR('Deal maths'!AA761)-YEAR(IF('Deal maths'!Z761&gt;0,'Deal maths'!Z761,DATE(1990,1,1))))*12+MONTH('Deal maths'!AA761)-MONTH(IF('Deal maths'!Z761&gt;0,'Deal maths'!Z761,DATE(1990,1,1))))/D761))*D761)),IF(DAY('Deal maths'!AA761+1)=1,EOMONTH('Deal maths'!AA761,-(INT(((YEAR('Deal maths'!AA761)-YEAR(IF('Deal maths'!Z761&gt;0,'Deal maths'!Z761,DATE(1990,1,1))))*12+MONTH('Deal maths'!AA761)-MONTH(IF('Deal maths'!Z761&gt;0,'Deal maths'!Z761,DATE(1990,1,1))))/D761)-1)*D761),EDATE('Deal maths'!AA761,-(INT(((YEAR('Deal maths'!AA761)-YEAR(IF('Deal maths'!Z761&gt;0,'Deal maths'!Z761,DATE(1990,1,1))))*12+MONTH('Deal maths'!AA761)-MONTH(IF('Deal maths'!Z761&gt;0,'Deal maths'!Z761,DATE(1990,1,1))))/D761)-1)*D761))))),0)</f>
        <v/>
      </c>
      <c r="F761" s="110">
        <f>IF(D761=0,0,'Deal maths'!AB761*D761/12)</f>
        <v/>
      </c>
      <c r="G761" s="108">
        <f>N761+O761</f>
        <v/>
      </c>
      <c r="H761" s="108">
        <f>IFERROR(IF(OR(D761=0,AsAt&lt;E761),0,MIN(N761,INT(((YEAR(AsAt)-YEAR(E761))*12+MONTH(AsAt)-MONTH(E761)-(DAY(AsAt)&lt;MIN(R761,DAY(EOMONTH(AsAt,0)))))/D761)+1)+O761*(AsAt&gt;='Deal maths'!AA761)),0)</f>
        <v/>
      </c>
      <c r="I761" s="108">
        <f>G761-H761</f>
        <v/>
      </c>
      <c r="J761" s="111">
        <f>IF(AND(C761="EIP",I761&gt;0),'Deal maths'!Y761/I761,0)</f>
        <v/>
      </c>
      <c r="K761" s="111">
        <f>IF(AND(C761="Annuity",I761&gt;0),IF(F761&gt;0,'Deal maths'!Y761*F761/(1-(1+F761)^-I761),'Deal maths'!Y761/I761),0)</f>
        <v/>
      </c>
      <c r="L761" s="111">
        <f>IF('Deal maths'!Y761="",0,'Deal maths'!Y761)</f>
        <v/>
      </c>
      <c r="M761" s="112">
        <f>F761+(F761=0)</f>
        <v/>
      </c>
      <c r="N761" s="108">
        <f>IFERROR(IF(D761=0,0,INT(((YEAR('Deal maths'!AA761)-YEAR(E761))*12+MONTH('Deal maths'!AA761)-MONTH(E761)-(DAY('Deal maths'!AA761)&lt;MIN(R761,DAY(EOMONTH('Deal maths'!AA761,0)))))/D761)+1),0)</f>
        <v/>
      </c>
      <c r="O761" s="108">
        <f>IFERROR(IF(D761=0,0,IF(IF(DAY(E761+1)=1,EOMONTH(E761,(N761-1)*D761),EDATE(E761,(N761-1)*D761))='Deal maths'!AA761,0,1)),0)</f>
        <v/>
      </c>
      <c r="P761" s="113">
        <f>IF(B761=0,0,IFERROR(IF(C761="EIP",((I761-O761)*((IF(DAY(E761+1)=1,EOMONTH(E761,H761*D761),EDATE(E761,H761*D761))-AsAt)/365.25+(IF(DAY(E761+1)=1,EOMONTH(E761,(N761-1)*D761),EDATE(E761,(N761-1)*D761))-AsAt)/365.25)/2+O761*('Deal maths'!AA761-AsAt)/365.25)/I761,IF(C761="Annuity",IF(F761&gt;0,((K761-L761*F761)*((IF(DAY(E761+1)=1,EOMONTH(E761,H761*D761),EDATE(E761,H761*D761))-AsAt)/365.25*((1+F761)^(I761-O761)-1)/F761+IF((I761-O761)&gt;1,((IF(DAY(E761+1)=1,EOMONTH(E761,(N761-1)*D761),EDATE(E761,(N761-1)*D761))-AsAt)/365.25-(IF(DAY(E761+1)=1,EOMONTH(E761,H761*D761),EDATE(E761,H761*D761))-AsAt)/365.25)/((I761-O761)-1),0)*(1+F761)*(1-(I761-O761)*(1+F761)^((I761-O761)-1)+((I761-O761)-1)*(1+F761)^(I761-O761))/F761^2)+O761*(K761-L761*F761)*(1+F761)^(I761-1)*('Deal maths'!AA761-AsAt)/365.25)/L761,((I761-O761)*((IF(DAY(E761+1)=1,EOMONTH(E761,H761*D761),EDATE(E761,H761*D761))-AsAt)/365.25+(IF(DAY(E761+1)=1,EOMONTH(E761,(N761-1)*D761),EDATE(E761,(N761-1)*D761))-AsAt)/365.25)/2+O761*('Deal maths'!AA761-AsAt)/365.25)/I761),(S761-AsAt)/365.25)),0))</f>
        <v/>
      </c>
      <c r="Q761" s="109">
        <f>IF(B761=1,'Deal maths'!AA761+ROW()/1000000,"")</f>
        <v/>
      </c>
      <c r="R761" s="108">
        <f>IF(D761=0,0,IF(DAY(E761+1)=1,31,DAY(E761)))</f>
        <v/>
      </c>
      <c r="S761" s="109">
        <f>IF(AND('Deal maths'!V761="LOBO",'Deal maths'!AG761&gt;AsAt,'Deal maths'!AG761&lt;'Deal maths'!AA761),'Deal maths'!AG761,'Deal maths'!AA761)</f>
        <v/>
      </c>
      <c r="T761" s="108">
        <f>('Deal maths'!AA761&gt;AsAt)*('Deal maths'!Y761&gt;0)</f>
        <v/>
      </c>
    </row>
    <row r="762">
      <c r="A762" s="91">
        <f>IF('Deal maths'!V762="","",'Deal maths'!W762)</f>
        <v/>
      </c>
      <c r="B762" s="108">
        <f>('Deal maths'!AA762&gt;AsAt)*('Deal maths'!Y762&gt;0)*('Deal maths'!Z762&lt;=AsAt)</f>
        <v/>
      </c>
      <c r="C762" s="91">
        <f>IF('Deal maths'!V762="","",IF('Deal maths'!AC762="","Maturity",'Deal maths'!AC762))</f>
        <v/>
      </c>
      <c r="D762" s="108">
        <f>IF(OR(C762="EIP",C762="Annuity"),IF('Deal maths'!AD762="Annual",12,IF('Deal maths'!AD762="Quarterly",3,6)),0)</f>
        <v/>
      </c>
      <c r="E762" s="109">
        <f>IFERROR(IF(D762=0,0,IF('Deal maths'!AE762&gt;0,IF('Deal maths'!AE762&gt;'Deal maths'!AA762,'Deal maths'!AA762,'Deal maths'!AE762),IF(IF(DAY('Deal maths'!AA762+1)=1,EOMONTH('Deal maths'!AA762,-(INT(((YEAR('Deal maths'!AA762)-YEAR(IF('Deal maths'!Z762&gt;0,'Deal maths'!Z762,DATE(1990,1,1))))*12+MONTH('Deal maths'!AA762)-MONTH(IF('Deal maths'!Z762&gt;0,'Deal maths'!Z762,DATE(1990,1,1))))/D762))*D762),EDATE('Deal maths'!AA762,-(INT(((YEAR('Deal maths'!AA762)-YEAR(IF('Deal maths'!Z762&gt;0,'Deal maths'!Z762,DATE(1990,1,1))))*12+MONTH('Deal maths'!AA762)-MONTH(IF('Deal maths'!Z762&gt;0,'Deal maths'!Z762,DATE(1990,1,1))))/D762))*D762))&gt;IF('Deal maths'!Z762&gt;0,'Deal maths'!Z762,DATE(1990,1,1)),IF(DAY('Deal maths'!AA762+1)=1,EOMONTH('Deal maths'!AA762,-(INT(((YEAR('Deal maths'!AA762)-YEAR(IF('Deal maths'!Z762&gt;0,'Deal maths'!Z762,DATE(1990,1,1))))*12+MONTH('Deal maths'!AA762)-MONTH(IF('Deal maths'!Z762&gt;0,'Deal maths'!Z762,DATE(1990,1,1))))/D762))*D762),EDATE('Deal maths'!AA762,-(INT(((YEAR('Deal maths'!AA762)-YEAR(IF('Deal maths'!Z762&gt;0,'Deal maths'!Z762,DATE(1990,1,1))))*12+MONTH('Deal maths'!AA762)-MONTH(IF('Deal maths'!Z762&gt;0,'Deal maths'!Z762,DATE(1990,1,1))))/D762))*D762)),IF(DAY('Deal maths'!AA762+1)=1,EOMONTH('Deal maths'!AA762,-(INT(((YEAR('Deal maths'!AA762)-YEAR(IF('Deal maths'!Z762&gt;0,'Deal maths'!Z762,DATE(1990,1,1))))*12+MONTH('Deal maths'!AA762)-MONTH(IF('Deal maths'!Z762&gt;0,'Deal maths'!Z762,DATE(1990,1,1))))/D762)-1)*D762),EDATE('Deal maths'!AA762,-(INT(((YEAR('Deal maths'!AA762)-YEAR(IF('Deal maths'!Z762&gt;0,'Deal maths'!Z762,DATE(1990,1,1))))*12+MONTH('Deal maths'!AA762)-MONTH(IF('Deal maths'!Z762&gt;0,'Deal maths'!Z762,DATE(1990,1,1))))/D762)-1)*D762))))),0)</f>
        <v/>
      </c>
      <c r="F762" s="110">
        <f>IF(D762=0,0,'Deal maths'!AB762*D762/12)</f>
        <v/>
      </c>
      <c r="G762" s="108">
        <f>N762+O762</f>
        <v/>
      </c>
      <c r="H762" s="108">
        <f>IFERROR(IF(OR(D762=0,AsAt&lt;E762),0,MIN(N762,INT(((YEAR(AsAt)-YEAR(E762))*12+MONTH(AsAt)-MONTH(E762)-(DAY(AsAt)&lt;MIN(R762,DAY(EOMONTH(AsAt,0)))))/D762)+1)+O762*(AsAt&gt;='Deal maths'!AA762)),0)</f>
        <v/>
      </c>
      <c r="I762" s="108">
        <f>G762-H762</f>
        <v/>
      </c>
      <c r="J762" s="111">
        <f>IF(AND(C762="EIP",I762&gt;0),'Deal maths'!Y762/I762,0)</f>
        <v/>
      </c>
      <c r="K762" s="111">
        <f>IF(AND(C762="Annuity",I762&gt;0),IF(F762&gt;0,'Deal maths'!Y762*F762/(1-(1+F762)^-I762),'Deal maths'!Y762/I762),0)</f>
        <v/>
      </c>
      <c r="L762" s="111">
        <f>IF('Deal maths'!Y762="",0,'Deal maths'!Y762)</f>
        <v/>
      </c>
      <c r="M762" s="112">
        <f>F762+(F762=0)</f>
        <v/>
      </c>
      <c r="N762" s="108">
        <f>IFERROR(IF(D762=0,0,INT(((YEAR('Deal maths'!AA762)-YEAR(E762))*12+MONTH('Deal maths'!AA762)-MONTH(E762)-(DAY('Deal maths'!AA762)&lt;MIN(R762,DAY(EOMONTH('Deal maths'!AA762,0)))))/D762)+1),0)</f>
        <v/>
      </c>
      <c r="O762" s="108">
        <f>IFERROR(IF(D762=0,0,IF(IF(DAY(E762+1)=1,EOMONTH(E762,(N762-1)*D762),EDATE(E762,(N762-1)*D762))='Deal maths'!AA762,0,1)),0)</f>
        <v/>
      </c>
      <c r="P762" s="113">
        <f>IF(B762=0,0,IFERROR(IF(C762="EIP",((I762-O762)*((IF(DAY(E762+1)=1,EOMONTH(E762,H762*D762),EDATE(E762,H762*D762))-AsAt)/365.25+(IF(DAY(E762+1)=1,EOMONTH(E762,(N762-1)*D762),EDATE(E762,(N762-1)*D762))-AsAt)/365.25)/2+O762*('Deal maths'!AA762-AsAt)/365.25)/I762,IF(C762="Annuity",IF(F762&gt;0,((K762-L762*F762)*((IF(DAY(E762+1)=1,EOMONTH(E762,H762*D762),EDATE(E762,H762*D762))-AsAt)/365.25*((1+F762)^(I762-O762)-1)/F762+IF((I762-O762)&gt;1,((IF(DAY(E762+1)=1,EOMONTH(E762,(N762-1)*D762),EDATE(E762,(N762-1)*D762))-AsAt)/365.25-(IF(DAY(E762+1)=1,EOMONTH(E762,H762*D762),EDATE(E762,H762*D762))-AsAt)/365.25)/((I762-O762)-1),0)*(1+F762)*(1-(I762-O762)*(1+F762)^((I762-O762)-1)+((I762-O762)-1)*(1+F762)^(I762-O762))/F762^2)+O762*(K762-L762*F762)*(1+F762)^(I762-1)*('Deal maths'!AA762-AsAt)/365.25)/L762,((I762-O762)*((IF(DAY(E762+1)=1,EOMONTH(E762,H762*D762),EDATE(E762,H762*D762))-AsAt)/365.25+(IF(DAY(E762+1)=1,EOMONTH(E762,(N762-1)*D762),EDATE(E762,(N762-1)*D762))-AsAt)/365.25)/2+O762*('Deal maths'!AA762-AsAt)/365.25)/I762),(S762-AsAt)/365.25)),0))</f>
        <v/>
      </c>
      <c r="Q762" s="109">
        <f>IF(B762=1,'Deal maths'!AA762+ROW()/1000000,"")</f>
        <v/>
      </c>
      <c r="R762" s="108">
        <f>IF(D762=0,0,IF(DAY(E762+1)=1,31,DAY(E762)))</f>
        <v/>
      </c>
      <c r="S762" s="109">
        <f>IF(AND('Deal maths'!V762="LOBO",'Deal maths'!AG762&gt;AsAt,'Deal maths'!AG762&lt;'Deal maths'!AA762),'Deal maths'!AG762,'Deal maths'!AA762)</f>
        <v/>
      </c>
      <c r="T762" s="108">
        <f>('Deal maths'!AA762&gt;AsAt)*('Deal maths'!Y762&gt;0)</f>
        <v/>
      </c>
    </row>
    <row r="763">
      <c r="A763" s="91">
        <f>IF('Deal maths'!V763="","",'Deal maths'!W763)</f>
        <v/>
      </c>
      <c r="B763" s="108">
        <f>('Deal maths'!AA763&gt;AsAt)*('Deal maths'!Y763&gt;0)*('Deal maths'!Z763&lt;=AsAt)</f>
        <v/>
      </c>
      <c r="C763" s="91">
        <f>IF('Deal maths'!V763="","",IF('Deal maths'!AC763="","Maturity",'Deal maths'!AC763))</f>
        <v/>
      </c>
      <c r="D763" s="108">
        <f>IF(OR(C763="EIP",C763="Annuity"),IF('Deal maths'!AD763="Annual",12,IF('Deal maths'!AD763="Quarterly",3,6)),0)</f>
        <v/>
      </c>
      <c r="E763" s="109">
        <f>IFERROR(IF(D763=0,0,IF('Deal maths'!AE763&gt;0,IF('Deal maths'!AE763&gt;'Deal maths'!AA763,'Deal maths'!AA763,'Deal maths'!AE763),IF(IF(DAY('Deal maths'!AA763+1)=1,EOMONTH('Deal maths'!AA763,-(INT(((YEAR('Deal maths'!AA763)-YEAR(IF('Deal maths'!Z763&gt;0,'Deal maths'!Z763,DATE(1990,1,1))))*12+MONTH('Deal maths'!AA763)-MONTH(IF('Deal maths'!Z763&gt;0,'Deal maths'!Z763,DATE(1990,1,1))))/D763))*D763),EDATE('Deal maths'!AA763,-(INT(((YEAR('Deal maths'!AA763)-YEAR(IF('Deal maths'!Z763&gt;0,'Deal maths'!Z763,DATE(1990,1,1))))*12+MONTH('Deal maths'!AA763)-MONTH(IF('Deal maths'!Z763&gt;0,'Deal maths'!Z763,DATE(1990,1,1))))/D763))*D763))&gt;IF('Deal maths'!Z763&gt;0,'Deal maths'!Z763,DATE(1990,1,1)),IF(DAY('Deal maths'!AA763+1)=1,EOMONTH('Deal maths'!AA763,-(INT(((YEAR('Deal maths'!AA763)-YEAR(IF('Deal maths'!Z763&gt;0,'Deal maths'!Z763,DATE(1990,1,1))))*12+MONTH('Deal maths'!AA763)-MONTH(IF('Deal maths'!Z763&gt;0,'Deal maths'!Z763,DATE(1990,1,1))))/D763))*D763),EDATE('Deal maths'!AA763,-(INT(((YEAR('Deal maths'!AA763)-YEAR(IF('Deal maths'!Z763&gt;0,'Deal maths'!Z763,DATE(1990,1,1))))*12+MONTH('Deal maths'!AA763)-MONTH(IF('Deal maths'!Z763&gt;0,'Deal maths'!Z763,DATE(1990,1,1))))/D763))*D763)),IF(DAY('Deal maths'!AA763+1)=1,EOMONTH('Deal maths'!AA763,-(INT(((YEAR('Deal maths'!AA763)-YEAR(IF('Deal maths'!Z763&gt;0,'Deal maths'!Z763,DATE(1990,1,1))))*12+MONTH('Deal maths'!AA763)-MONTH(IF('Deal maths'!Z763&gt;0,'Deal maths'!Z763,DATE(1990,1,1))))/D763)-1)*D763),EDATE('Deal maths'!AA763,-(INT(((YEAR('Deal maths'!AA763)-YEAR(IF('Deal maths'!Z763&gt;0,'Deal maths'!Z763,DATE(1990,1,1))))*12+MONTH('Deal maths'!AA763)-MONTH(IF('Deal maths'!Z763&gt;0,'Deal maths'!Z763,DATE(1990,1,1))))/D763)-1)*D763))))),0)</f>
        <v/>
      </c>
      <c r="F763" s="110">
        <f>IF(D763=0,0,'Deal maths'!AB763*D763/12)</f>
        <v/>
      </c>
      <c r="G763" s="108">
        <f>N763+O763</f>
        <v/>
      </c>
      <c r="H763" s="108">
        <f>IFERROR(IF(OR(D763=0,AsAt&lt;E763),0,MIN(N763,INT(((YEAR(AsAt)-YEAR(E763))*12+MONTH(AsAt)-MONTH(E763)-(DAY(AsAt)&lt;MIN(R763,DAY(EOMONTH(AsAt,0)))))/D763)+1)+O763*(AsAt&gt;='Deal maths'!AA763)),0)</f>
        <v/>
      </c>
      <c r="I763" s="108">
        <f>G763-H763</f>
        <v/>
      </c>
      <c r="J763" s="111">
        <f>IF(AND(C763="EIP",I763&gt;0),'Deal maths'!Y763/I763,0)</f>
        <v/>
      </c>
      <c r="K763" s="111">
        <f>IF(AND(C763="Annuity",I763&gt;0),IF(F763&gt;0,'Deal maths'!Y763*F763/(1-(1+F763)^-I763),'Deal maths'!Y763/I763),0)</f>
        <v/>
      </c>
      <c r="L763" s="111">
        <f>IF('Deal maths'!Y763="",0,'Deal maths'!Y763)</f>
        <v/>
      </c>
      <c r="M763" s="112">
        <f>F763+(F763=0)</f>
        <v/>
      </c>
      <c r="N763" s="108">
        <f>IFERROR(IF(D763=0,0,INT(((YEAR('Deal maths'!AA763)-YEAR(E763))*12+MONTH('Deal maths'!AA763)-MONTH(E763)-(DAY('Deal maths'!AA763)&lt;MIN(R763,DAY(EOMONTH('Deal maths'!AA763,0)))))/D763)+1),0)</f>
        <v/>
      </c>
      <c r="O763" s="108">
        <f>IFERROR(IF(D763=0,0,IF(IF(DAY(E763+1)=1,EOMONTH(E763,(N763-1)*D763),EDATE(E763,(N763-1)*D763))='Deal maths'!AA763,0,1)),0)</f>
        <v/>
      </c>
      <c r="P763" s="113">
        <f>IF(B763=0,0,IFERROR(IF(C763="EIP",((I763-O763)*((IF(DAY(E763+1)=1,EOMONTH(E763,H763*D763),EDATE(E763,H763*D763))-AsAt)/365.25+(IF(DAY(E763+1)=1,EOMONTH(E763,(N763-1)*D763),EDATE(E763,(N763-1)*D763))-AsAt)/365.25)/2+O763*('Deal maths'!AA763-AsAt)/365.25)/I763,IF(C763="Annuity",IF(F763&gt;0,((K763-L763*F763)*((IF(DAY(E763+1)=1,EOMONTH(E763,H763*D763),EDATE(E763,H763*D763))-AsAt)/365.25*((1+F763)^(I763-O763)-1)/F763+IF((I763-O763)&gt;1,((IF(DAY(E763+1)=1,EOMONTH(E763,(N763-1)*D763),EDATE(E763,(N763-1)*D763))-AsAt)/365.25-(IF(DAY(E763+1)=1,EOMONTH(E763,H763*D763),EDATE(E763,H763*D763))-AsAt)/365.25)/((I763-O763)-1),0)*(1+F763)*(1-(I763-O763)*(1+F763)^((I763-O763)-1)+((I763-O763)-1)*(1+F763)^(I763-O763))/F763^2)+O763*(K763-L763*F763)*(1+F763)^(I763-1)*('Deal maths'!AA763-AsAt)/365.25)/L763,((I763-O763)*((IF(DAY(E763+1)=1,EOMONTH(E763,H763*D763),EDATE(E763,H763*D763))-AsAt)/365.25+(IF(DAY(E763+1)=1,EOMONTH(E763,(N763-1)*D763),EDATE(E763,(N763-1)*D763))-AsAt)/365.25)/2+O763*('Deal maths'!AA763-AsAt)/365.25)/I763),(S763-AsAt)/365.25)),0))</f>
        <v/>
      </c>
      <c r="Q763" s="109">
        <f>IF(B763=1,'Deal maths'!AA763+ROW()/1000000,"")</f>
        <v/>
      </c>
      <c r="R763" s="108">
        <f>IF(D763=0,0,IF(DAY(E763+1)=1,31,DAY(E763)))</f>
        <v/>
      </c>
      <c r="S763" s="109">
        <f>IF(AND('Deal maths'!V763="LOBO",'Deal maths'!AG763&gt;AsAt,'Deal maths'!AG763&lt;'Deal maths'!AA763),'Deal maths'!AG763,'Deal maths'!AA763)</f>
        <v/>
      </c>
      <c r="T763" s="108">
        <f>('Deal maths'!AA763&gt;AsAt)*('Deal maths'!Y763&gt;0)</f>
        <v/>
      </c>
    </row>
    <row r="764">
      <c r="A764" s="91">
        <f>IF('Deal maths'!V764="","",'Deal maths'!W764)</f>
        <v/>
      </c>
      <c r="B764" s="108">
        <f>('Deal maths'!AA764&gt;AsAt)*('Deal maths'!Y764&gt;0)*('Deal maths'!Z764&lt;=AsAt)</f>
        <v/>
      </c>
      <c r="C764" s="91">
        <f>IF('Deal maths'!V764="","",IF('Deal maths'!AC764="","Maturity",'Deal maths'!AC764))</f>
        <v/>
      </c>
      <c r="D764" s="108">
        <f>IF(OR(C764="EIP",C764="Annuity"),IF('Deal maths'!AD764="Annual",12,IF('Deal maths'!AD764="Quarterly",3,6)),0)</f>
        <v/>
      </c>
      <c r="E764" s="109">
        <f>IFERROR(IF(D764=0,0,IF('Deal maths'!AE764&gt;0,IF('Deal maths'!AE764&gt;'Deal maths'!AA764,'Deal maths'!AA764,'Deal maths'!AE764),IF(IF(DAY('Deal maths'!AA764+1)=1,EOMONTH('Deal maths'!AA764,-(INT(((YEAR('Deal maths'!AA764)-YEAR(IF('Deal maths'!Z764&gt;0,'Deal maths'!Z764,DATE(1990,1,1))))*12+MONTH('Deal maths'!AA764)-MONTH(IF('Deal maths'!Z764&gt;0,'Deal maths'!Z764,DATE(1990,1,1))))/D764))*D764),EDATE('Deal maths'!AA764,-(INT(((YEAR('Deal maths'!AA764)-YEAR(IF('Deal maths'!Z764&gt;0,'Deal maths'!Z764,DATE(1990,1,1))))*12+MONTH('Deal maths'!AA764)-MONTH(IF('Deal maths'!Z764&gt;0,'Deal maths'!Z764,DATE(1990,1,1))))/D764))*D764))&gt;IF('Deal maths'!Z764&gt;0,'Deal maths'!Z764,DATE(1990,1,1)),IF(DAY('Deal maths'!AA764+1)=1,EOMONTH('Deal maths'!AA764,-(INT(((YEAR('Deal maths'!AA764)-YEAR(IF('Deal maths'!Z764&gt;0,'Deal maths'!Z764,DATE(1990,1,1))))*12+MONTH('Deal maths'!AA764)-MONTH(IF('Deal maths'!Z764&gt;0,'Deal maths'!Z764,DATE(1990,1,1))))/D764))*D764),EDATE('Deal maths'!AA764,-(INT(((YEAR('Deal maths'!AA764)-YEAR(IF('Deal maths'!Z764&gt;0,'Deal maths'!Z764,DATE(1990,1,1))))*12+MONTH('Deal maths'!AA764)-MONTH(IF('Deal maths'!Z764&gt;0,'Deal maths'!Z764,DATE(1990,1,1))))/D764))*D764)),IF(DAY('Deal maths'!AA764+1)=1,EOMONTH('Deal maths'!AA764,-(INT(((YEAR('Deal maths'!AA764)-YEAR(IF('Deal maths'!Z764&gt;0,'Deal maths'!Z764,DATE(1990,1,1))))*12+MONTH('Deal maths'!AA764)-MONTH(IF('Deal maths'!Z764&gt;0,'Deal maths'!Z764,DATE(1990,1,1))))/D764)-1)*D764),EDATE('Deal maths'!AA764,-(INT(((YEAR('Deal maths'!AA764)-YEAR(IF('Deal maths'!Z764&gt;0,'Deal maths'!Z764,DATE(1990,1,1))))*12+MONTH('Deal maths'!AA764)-MONTH(IF('Deal maths'!Z764&gt;0,'Deal maths'!Z764,DATE(1990,1,1))))/D764)-1)*D764))))),0)</f>
        <v/>
      </c>
      <c r="F764" s="110">
        <f>IF(D764=0,0,'Deal maths'!AB764*D764/12)</f>
        <v/>
      </c>
      <c r="G764" s="108">
        <f>N764+O764</f>
        <v/>
      </c>
      <c r="H764" s="108">
        <f>IFERROR(IF(OR(D764=0,AsAt&lt;E764),0,MIN(N764,INT(((YEAR(AsAt)-YEAR(E764))*12+MONTH(AsAt)-MONTH(E764)-(DAY(AsAt)&lt;MIN(R764,DAY(EOMONTH(AsAt,0)))))/D764)+1)+O764*(AsAt&gt;='Deal maths'!AA764)),0)</f>
        <v/>
      </c>
      <c r="I764" s="108">
        <f>G764-H764</f>
        <v/>
      </c>
      <c r="J764" s="111">
        <f>IF(AND(C764="EIP",I764&gt;0),'Deal maths'!Y764/I764,0)</f>
        <v/>
      </c>
      <c r="K764" s="111">
        <f>IF(AND(C764="Annuity",I764&gt;0),IF(F764&gt;0,'Deal maths'!Y764*F764/(1-(1+F764)^-I764),'Deal maths'!Y764/I764),0)</f>
        <v/>
      </c>
      <c r="L764" s="111">
        <f>IF('Deal maths'!Y764="",0,'Deal maths'!Y764)</f>
        <v/>
      </c>
      <c r="M764" s="112">
        <f>F764+(F764=0)</f>
        <v/>
      </c>
      <c r="N764" s="108">
        <f>IFERROR(IF(D764=0,0,INT(((YEAR('Deal maths'!AA764)-YEAR(E764))*12+MONTH('Deal maths'!AA764)-MONTH(E764)-(DAY('Deal maths'!AA764)&lt;MIN(R764,DAY(EOMONTH('Deal maths'!AA764,0)))))/D764)+1),0)</f>
        <v/>
      </c>
      <c r="O764" s="108">
        <f>IFERROR(IF(D764=0,0,IF(IF(DAY(E764+1)=1,EOMONTH(E764,(N764-1)*D764),EDATE(E764,(N764-1)*D764))='Deal maths'!AA764,0,1)),0)</f>
        <v/>
      </c>
      <c r="P764" s="113">
        <f>IF(B764=0,0,IFERROR(IF(C764="EIP",((I764-O764)*((IF(DAY(E764+1)=1,EOMONTH(E764,H764*D764),EDATE(E764,H764*D764))-AsAt)/365.25+(IF(DAY(E764+1)=1,EOMONTH(E764,(N764-1)*D764),EDATE(E764,(N764-1)*D764))-AsAt)/365.25)/2+O764*('Deal maths'!AA764-AsAt)/365.25)/I764,IF(C764="Annuity",IF(F764&gt;0,((K764-L764*F764)*((IF(DAY(E764+1)=1,EOMONTH(E764,H764*D764),EDATE(E764,H764*D764))-AsAt)/365.25*((1+F764)^(I764-O764)-1)/F764+IF((I764-O764)&gt;1,((IF(DAY(E764+1)=1,EOMONTH(E764,(N764-1)*D764),EDATE(E764,(N764-1)*D764))-AsAt)/365.25-(IF(DAY(E764+1)=1,EOMONTH(E764,H764*D764),EDATE(E764,H764*D764))-AsAt)/365.25)/((I764-O764)-1),0)*(1+F764)*(1-(I764-O764)*(1+F764)^((I764-O764)-1)+((I764-O764)-1)*(1+F764)^(I764-O764))/F764^2)+O764*(K764-L764*F764)*(1+F764)^(I764-1)*('Deal maths'!AA764-AsAt)/365.25)/L764,((I764-O764)*((IF(DAY(E764+1)=1,EOMONTH(E764,H764*D764),EDATE(E764,H764*D764))-AsAt)/365.25+(IF(DAY(E764+1)=1,EOMONTH(E764,(N764-1)*D764),EDATE(E764,(N764-1)*D764))-AsAt)/365.25)/2+O764*('Deal maths'!AA764-AsAt)/365.25)/I764),(S764-AsAt)/365.25)),0))</f>
        <v/>
      </c>
      <c r="Q764" s="109">
        <f>IF(B764=1,'Deal maths'!AA764+ROW()/1000000,"")</f>
        <v/>
      </c>
      <c r="R764" s="108">
        <f>IF(D764=0,0,IF(DAY(E764+1)=1,31,DAY(E764)))</f>
        <v/>
      </c>
      <c r="S764" s="109">
        <f>IF(AND('Deal maths'!V764="LOBO",'Deal maths'!AG764&gt;AsAt,'Deal maths'!AG764&lt;'Deal maths'!AA764),'Deal maths'!AG764,'Deal maths'!AA764)</f>
        <v/>
      </c>
      <c r="T764" s="108">
        <f>('Deal maths'!AA764&gt;AsAt)*('Deal maths'!Y764&gt;0)</f>
        <v/>
      </c>
    </row>
    <row r="765">
      <c r="A765" s="91">
        <f>IF('Deal maths'!V765="","",'Deal maths'!W765)</f>
        <v/>
      </c>
      <c r="B765" s="108">
        <f>('Deal maths'!AA765&gt;AsAt)*('Deal maths'!Y765&gt;0)*('Deal maths'!Z765&lt;=AsAt)</f>
        <v/>
      </c>
      <c r="C765" s="91">
        <f>IF('Deal maths'!V765="","",IF('Deal maths'!AC765="","Maturity",'Deal maths'!AC765))</f>
        <v/>
      </c>
      <c r="D765" s="108">
        <f>IF(OR(C765="EIP",C765="Annuity"),IF('Deal maths'!AD765="Annual",12,IF('Deal maths'!AD765="Quarterly",3,6)),0)</f>
        <v/>
      </c>
      <c r="E765" s="109">
        <f>IFERROR(IF(D765=0,0,IF('Deal maths'!AE765&gt;0,IF('Deal maths'!AE765&gt;'Deal maths'!AA765,'Deal maths'!AA765,'Deal maths'!AE765),IF(IF(DAY('Deal maths'!AA765+1)=1,EOMONTH('Deal maths'!AA765,-(INT(((YEAR('Deal maths'!AA765)-YEAR(IF('Deal maths'!Z765&gt;0,'Deal maths'!Z765,DATE(1990,1,1))))*12+MONTH('Deal maths'!AA765)-MONTH(IF('Deal maths'!Z765&gt;0,'Deal maths'!Z765,DATE(1990,1,1))))/D765))*D765),EDATE('Deal maths'!AA765,-(INT(((YEAR('Deal maths'!AA765)-YEAR(IF('Deal maths'!Z765&gt;0,'Deal maths'!Z765,DATE(1990,1,1))))*12+MONTH('Deal maths'!AA765)-MONTH(IF('Deal maths'!Z765&gt;0,'Deal maths'!Z765,DATE(1990,1,1))))/D765))*D765))&gt;IF('Deal maths'!Z765&gt;0,'Deal maths'!Z765,DATE(1990,1,1)),IF(DAY('Deal maths'!AA765+1)=1,EOMONTH('Deal maths'!AA765,-(INT(((YEAR('Deal maths'!AA765)-YEAR(IF('Deal maths'!Z765&gt;0,'Deal maths'!Z765,DATE(1990,1,1))))*12+MONTH('Deal maths'!AA765)-MONTH(IF('Deal maths'!Z765&gt;0,'Deal maths'!Z765,DATE(1990,1,1))))/D765))*D765),EDATE('Deal maths'!AA765,-(INT(((YEAR('Deal maths'!AA765)-YEAR(IF('Deal maths'!Z765&gt;0,'Deal maths'!Z765,DATE(1990,1,1))))*12+MONTH('Deal maths'!AA765)-MONTH(IF('Deal maths'!Z765&gt;0,'Deal maths'!Z765,DATE(1990,1,1))))/D765))*D765)),IF(DAY('Deal maths'!AA765+1)=1,EOMONTH('Deal maths'!AA765,-(INT(((YEAR('Deal maths'!AA765)-YEAR(IF('Deal maths'!Z765&gt;0,'Deal maths'!Z765,DATE(1990,1,1))))*12+MONTH('Deal maths'!AA765)-MONTH(IF('Deal maths'!Z765&gt;0,'Deal maths'!Z765,DATE(1990,1,1))))/D765)-1)*D765),EDATE('Deal maths'!AA765,-(INT(((YEAR('Deal maths'!AA765)-YEAR(IF('Deal maths'!Z765&gt;0,'Deal maths'!Z765,DATE(1990,1,1))))*12+MONTH('Deal maths'!AA765)-MONTH(IF('Deal maths'!Z765&gt;0,'Deal maths'!Z765,DATE(1990,1,1))))/D765)-1)*D765))))),0)</f>
        <v/>
      </c>
      <c r="F765" s="110">
        <f>IF(D765=0,0,'Deal maths'!AB765*D765/12)</f>
        <v/>
      </c>
      <c r="G765" s="108">
        <f>N765+O765</f>
        <v/>
      </c>
      <c r="H765" s="108">
        <f>IFERROR(IF(OR(D765=0,AsAt&lt;E765),0,MIN(N765,INT(((YEAR(AsAt)-YEAR(E765))*12+MONTH(AsAt)-MONTH(E765)-(DAY(AsAt)&lt;MIN(R765,DAY(EOMONTH(AsAt,0)))))/D765)+1)+O765*(AsAt&gt;='Deal maths'!AA765)),0)</f>
        <v/>
      </c>
      <c r="I765" s="108">
        <f>G765-H765</f>
        <v/>
      </c>
      <c r="J765" s="111">
        <f>IF(AND(C765="EIP",I765&gt;0),'Deal maths'!Y765/I765,0)</f>
        <v/>
      </c>
      <c r="K765" s="111">
        <f>IF(AND(C765="Annuity",I765&gt;0),IF(F765&gt;0,'Deal maths'!Y765*F765/(1-(1+F765)^-I765),'Deal maths'!Y765/I765),0)</f>
        <v/>
      </c>
      <c r="L765" s="111">
        <f>IF('Deal maths'!Y765="",0,'Deal maths'!Y765)</f>
        <v/>
      </c>
      <c r="M765" s="112">
        <f>F765+(F765=0)</f>
        <v/>
      </c>
      <c r="N765" s="108">
        <f>IFERROR(IF(D765=0,0,INT(((YEAR('Deal maths'!AA765)-YEAR(E765))*12+MONTH('Deal maths'!AA765)-MONTH(E765)-(DAY('Deal maths'!AA765)&lt;MIN(R765,DAY(EOMONTH('Deal maths'!AA765,0)))))/D765)+1),0)</f>
        <v/>
      </c>
      <c r="O765" s="108">
        <f>IFERROR(IF(D765=0,0,IF(IF(DAY(E765+1)=1,EOMONTH(E765,(N765-1)*D765),EDATE(E765,(N765-1)*D765))='Deal maths'!AA765,0,1)),0)</f>
        <v/>
      </c>
      <c r="P765" s="113">
        <f>IF(B765=0,0,IFERROR(IF(C765="EIP",((I765-O765)*((IF(DAY(E765+1)=1,EOMONTH(E765,H765*D765),EDATE(E765,H765*D765))-AsAt)/365.25+(IF(DAY(E765+1)=1,EOMONTH(E765,(N765-1)*D765),EDATE(E765,(N765-1)*D765))-AsAt)/365.25)/2+O765*('Deal maths'!AA765-AsAt)/365.25)/I765,IF(C765="Annuity",IF(F765&gt;0,((K765-L765*F765)*((IF(DAY(E765+1)=1,EOMONTH(E765,H765*D765),EDATE(E765,H765*D765))-AsAt)/365.25*((1+F765)^(I765-O765)-1)/F765+IF((I765-O765)&gt;1,((IF(DAY(E765+1)=1,EOMONTH(E765,(N765-1)*D765),EDATE(E765,(N765-1)*D765))-AsAt)/365.25-(IF(DAY(E765+1)=1,EOMONTH(E765,H765*D765),EDATE(E765,H765*D765))-AsAt)/365.25)/((I765-O765)-1),0)*(1+F765)*(1-(I765-O765)*(1+F765)^((I765-O765)-1)+((I765-O765)-1)*(1+F765)^(I765-O765))/F765^2)+O765*(K765-L765*F765)*(1+F765)^(I765-1)*('Deal maths'!AA765-AsAt)/365.25)/L765,((I765-O765)*((IF(DAY(E765+1)=1,EOMONTH(E765,H765*D765),EDATE(E765,H765*D765))-AsAt)/365.25+(IF(DAY(E765+1)=1,EOMONTH(E765,(N765-1)*D765),EDATE(E765,(N765-1)*D765))-AsAt)/365.25)/2+O765*('Deal maths'!AA765-AsAt)/365.25)/I765),(S765-AsAt)/365.25)),0))</f>
        <v/>
      </c>
      <c r="Q765" s="109">
        <f>IF(B765=1,'Deal maths'!AA765+ROW()/1000000,"")</f>
        <v/>
      </c>
      <c r="R765" s="108">
        <f>IF(D765=0,0,IF(DAY(E765+1)=1,31,DAY(E765)))</f>
        <v/>
      </c>
      <c r="S765" s="109">
        <f>IF(AND('Deal maths'!V765="LOBO",'Deal maths'!AG765&gt;AsAt,'Deal maths'!AG765&lt;'Deal maths'!AA765),'Deal maths'!AG765,'Deal maths'!AA765)</f>
        <v/>
      </c>
      <c r="T765" s="108">
        <f>('Deal maths'!AA765&gt;AsAt)*('Deal maths'!Y765&gt;0)</f>
        <v/>
      </c>
    </row>
    <row r="766">
      <c r="A766" s="91">
        <f>IF('Deal maths'!V766="","",'Deal maths'!W766)</f>
        <v/>
      </c>
      <c r="B766" s="108">
        <f>('Deal maths'!AA766&gt;AsAt)*('Deal maths'!Y766&gt;0)*('Deal maths'!Z766&lt;=AsAt)</f>
        <v/>
      </c>
      <c r="C766" s="91">
        <f>IF('Deal maths'!V766="","",IF('Deal maths'!AC766="","Maturity",'Deal maths'!AC766))</f>
        <v/>
      </c>
      <c r="D766" s="108">
        <f>IF(OR(C766="EIP",C766="Annuity"),IF('Deal maths'!AD766="Annual",12,IF('Deal maths'!AD766="Quarterly",3,6)),0)</f>
        <v/>
      </c>
      <c r="E766" s="109">
        <f>IFERROR(IF(D766=0,0,IF('Deal maths'!AE766&gt;0,IF('Deal maths'!AE766&gt;'Deal maths'!AA766,'Deal maths'!AA766,'Deal maths'!AE766),IF(IF(DAY('Deal maths'!AA766+1)=1,EOMONTH('Deal maths'!AA766,-(INT(((YEAR('Deal maths'!AA766)-YEAR(IF('Deal maths'!Z766&gt;0,'Deal maths'!Z766,DATE(1990,1,1))))*12+MONTH('Deal maths'!AA766)-MONTH(IF('Deal maths'!Z766&gt;0,'Deal maths'!Z766,DATE(1990,1,1))))/D766))*D766),EDATE('Deal maths'!AA766,-(INT(((YEAR('Deal maths'!AA766)-YEAR(IF('Deal maths'!Z766&gt;0,'Deal maths'!Z766,DATE(1990,1,1))))*12+MONTH('Deal maths'!AA766)-MONTH(IF('Deal maths'!Z766&gt;0,'Deal maths'!Z766,DATE(1990,1,1))))/D766))*D766))&gt;IF('Deal maths'!Z766&gt;0,'Deal maths'!Z766,DATE(1990,1,1)),IF(DAY('Deal maths'!AA766+1)=1,EOMONTH('Deal maths'!AA766,-(INT(((YEAR('Deal maths'!AA766)-YEAR(IF('Deal maths'!Z766&gt;0,'Deal maths'!Z766,DATE(1990,1,1))))*12+MONTH('Deal maths'!AA766)-MONTH(IF('Deal maths'!Z766&gt;0,'Deal maths'!Z766,DATE(1990,1,1))))/D766))*D766),EDATE('Deal maths'!AA766,-(INT(((YEAR('Deal maths'!AA766)-YEAR(IF('Deal maths'!Z766&gt;0,'Deal maths'!Z766,DATE(1990,1,1))))*12+MONTH('Deal maths'!AA766)-MONTH(IF('Deal maths'!Z766&gt;0,'Deal maths'!Z766,DATE(1990,1,1))))/D766))*D766)),IF(DAY('Deal maths'!AA766+1)=1,EOMONTH('Deal maths'!AA766,-(INT(((YEAR('Deal maths'!AA766)-YEAR(IF('Deal maths'!Z766&gt;0,'Deal maths'!Z766,DATE(1990,1,1))))*12+MONTH('Deal maths'!AA766)-MONTH(IF('Deal maths'!Z766&gt;0,'Deal maths'!Z766,DATE(1990,1,1))))/D766)-1)*D766),EDATE('Deal maths'!AA766,-(INT(((YEAR('Deal maths'!AA766)-YEAR(IF('Deal maths'!Z766&gt;0,'Deal maths'!Z766,DATE(1990,1,1))))*12+MONTH('Deal maths'!AA766)-MONTH(IF('Deal maths'!Z766&gt;0,'Deal maths'!Z766,DATE(1990,1,1))))/D766)-1)*D766))))),0)</f>
        <v/>
      </c>
      <c r="F766" s="110">
        <f>IF(D766=0,0,'Deal maths'!AB766*D766/12)</f>
        <v/>
      </c>
      <c r="G766" s="108">
        <f>N766+O766</f>
        <v/>
      </c>
      <c r="H766" s="108">
        <f>IFERROR(IF(OR(D766=0,AsAt&lt;E766),0,MIN(N766,INT(((YEAR(AsAt)-YEAR(E766))*12+MONTH(AsAt)-MONTH(E766)-(DAY(AsAt)&lt;MIN(R766,DAY(EOMONTH(AsAt,0)))))/D766)+1)+O766*(AsAt&gt;='Deal maths'!AA766)),0)</f>
        <v/>
      </c>
      <c r="I766" s="108">
        <f>G766-H766</f>
        <v/>
      </c>
      <c r="J766" s="111">
        <f>IF(AND(C766="EIP",I766&gt;0),'Deal maths'!Y766/I766,0)</f>
        <v/>
      </c>
      <c r="K766" s="111">
        <f>IF(AND(C766="Annuity",I766&gt;0),IF(F766&gt;0,'Deal maths'!Y766*F766/(1-(1+F766)^-I766),'Deal maths'!Y766/I766),0)</f>
        <v/>
      </c>
      <c r="L766" s="111">
        <f>IF('Deal maths'!Y766="",0,'Deal maths'!Y766)</f>
        <v/>
      </c>
      <c r="M766" s="112">
        <f>F766+(F766=0)</f>
        <v/>
      </c>
      <c r="N766" s="108">
        <f>IFERROR(IF(D766=0,0,INT(((YEAR('Deal maths'!AA766)-YEAR(E766))*12+MONTH('Deal maths'!AA766)-MONTH(E766)-(DAY('Deal maths'!AA766)&lt;MIN(R766,DAY(EOMONTH('Deal maths'!AA766,0)))))/D766)+1),0)</f>
        <v/>
      </c>
      <c r="O766" s="108">
        <f>IFERROR(IF(D766=0,0,IF(IF(DAY(E766+1)=1,EOMONTH(E766,(N766-1)*D766),EDATE(E766,(N766-1)*D766))='Deal maths'!AA766,0,1)),0)</f>
        <v/>
      </c>
      <c r="P766" s="113">
        <f>IF(B766=0,0,IFERROR(IF(C766="EIP",((I766-O766)*((IF(DAY(E766+1)=1,EOMONTH(E766,H766*D766),EDATE(E766,H766*D766))-AsAt)/365.25+(IF(DAY(E766+1)=1,EOMONTH(E766,(N766-1)*D766),EDATE(E766,(N766-1)*D766))-AsAt)/365.25)/2+O766*('Deal maths'!AA766-AsAt)/365.25)/I766,IF(C766="Annuity",IF(F766&gt;0,((K766-L766*F766)*((IF(DAY(E766+1)=1,EOMONTH(E766,H766*D766),EDATE(E766,H766*D766))-AsAt)/365.25*((1+F766)^(I766-O766)-1)/F766+IF((I766-O766)&gt;1,((IF(DAY(E766+1)=1,EOMONTH(E766,(N766-1)*D766),EDATE(E766,(N766-1)*D766))-AsAt)/365.25-(IF(DAY(E766+1)=1,EOMONTH(E766,H766*D766),EDATE(E766,H766*D766))-AsAt)/365.25)/((I766-O766)-1),0)*(1+F766)*(1-(I766-O766)*(1+F766)^((I766-O766)-1)+((I766-O766)-1)*(1+F766)^(I766-O766))/F766^2)+O766*(K766-L766*F766)*(1+F766)^(I766-1)*('Deal maths'!AA766-AsAt)/365.25)/L766,((I766-O766)*((IF(DAY(E766+1)=1,EOMONTH(E766,H766*D766),EDATE(E766,H766*D766))-AsAt)/365.25+(IF(DAY(E766+1)=1,EOMONTH(E766,(N766-1)*D766),EDATE(E766,(N766-1)*D766))-AsAt)/365.25)/2+O766*('Deal maths'!AA766-AsAt)/365.25)/I766),(S766-AsAt)/365.25)),0))</f>
        <v/>
      </c>
      <c r="Q766" s="109">
        <f>IF(B766=1,'Deal maths'!AA766+ROW()/1000000,"")</f>
        <v/>
      </c>
      <c r="R766" s="108">
        <f>IF(D766=0,0,IF(DAY(E766+1)=1,31,DAY(E766)))</f>
        <v/>
      </c>
      <c r="S766" s="109">
        <f>IF(AND('Deal maths'!V766="LOBO",'Deal maths'!AG766&gt;AsAt,'Deal maths'!AG766&lt;'Deal maths'!AA766),'Deal maths'!AG766,'Deal maths'!AA766)</f>
        <v/>
      </c>
      <c r="T766" s="108">
        <f>('Deal maths'!AA766&gt;AsAt)*('Deal maths'!Y766&gt;0)</f>
        <v/>
      </c>
    </row>
    <row r="767">
      <c r="A767" s="91">
        <f>IF('Deal maths'!V767="","",'Deal maths'!W767)</f>
        <v/>
      </c>
      <c r="B767" s="108">
        <f>('Deal maths'!AA767&gt;AsAt)*('Deal maths'!Y767&gt;0)*('Deal maths'!Z767&lt;=AsAt)</f>
        <v/>
      </c>
      <c r="C767" s="91">
        <f>IF('Deal maths'!V767="","",IF('Deal maths'!AC767="","Maturity",'Deal maths'!AC767))</f>
        <v/>
      </c>
      <c r="D767" s="108">
        <f>IF(OR(C767="EIP",C767="Annuity"),IF('Deal maths'!AD767="Annual",12,IF('Deal maths'!AD767="Quarterly",3,6)),0)</f>
        <v/>
      </c>
      <c r="E767" s="109">
        <f>IFERROR(IF(D767=0,0,IF('Deal maths'!AE767&gt;0,IF('Deal maths'!AE767&gt;'Deal maths'!AA767,'Deal maths'!AA767,'Deal maths'!AE767),IF(IF(DAY('Deal maths'!AA767+1)=1,EOMONTH('Deal maths'!AA767,-(INT(((YEAR('Deal maths'!AA767)-YEAR(IF('Deal maths'!Z767&gt;0,'Deal maths'!Z767,DATE(1990,1,1))))*12+MONTH('Deal maths'!AA767)-MONTH(IF('Deal maths'!Z767&gt;0,'Deal maths'!Z767,DATE(1990,1,1))))/D767))*D767),EDATE('Deal maths'!AA767,-(INT(((YEAR('Deal maths'!AA767)-YEAR(IF('Deal maths'!Z767&gt;0,'Deal maths'!Z767,DATE(1990,1,1))))*12+MONTH('Deal maths'!AA767)-MONTH(IF('Deal maths'!Z767&gt;0,'Deal maths'!Z767,DATE(1990,1,1))))/D767))*D767))&gt;IF('Deal maths'!Z767&gt;0,'Deal maths'!Z767,DATE(1990,1,1)),IF(DAY('Deal maths'!AA767+1)=1,EOMONTH('Deal maths'!AA767,-(INT(((YEAR('Deal maths'!AA767)-YEAR(IF('Deal maths'!Z767&gt;0,'Deal maths'!Z767,DATE(1990,1,1))))*12+MONTH('Deal maths'!AA767)-MONTH(IF('Deal maths'!Z767&gt;0,'Deal maths'!Z767,DATE(1990,1,1))))/D767))*D767),EDATE('Deal maths'!AA767,-(INT(((YEAR('Deal maths'!AA767)-YEAR(IF('Deal maths'!Z767&gt;0,'Deal maths'!Z767,DATE(1990,1,1))))*12+MONTH('Deal maths'!AA767)-MONTH(IF('Deal maths'!Z767&gt;0,'Deal maths'!Z767,DATE(1990,1,1))))/D767))*D767)),IF(DAY('Deal maths'!AA767+1)=1,EOMONTH('Deal maths'!AA767,-(INT(((YEAR('Deal maths'!AA767)-YEAR(IF('Deal maths'!Z767&gt;0,'Deal maths'!Z767,DATE(1990,1,1))))*12+MONTH('Deal maths'!AA767)-MONTH(IF('Deal maths'!Z767&gt;0,'Deal maths'!Z767,DATE(1990,1,1))))/D767)-1)*D767),EDATE('Deal maths'!AA767,-(INT(((YEAR('Deal maths'!AA767)-YEAR(IF('Deal maths'!Z767&gt;0,'Deal maths'!Z767,DATE(1990,1,1))))*12+MONTH('Deal maths'!AA767)-MONTH(IF('Deal maths'!Z767&gt;0,'Deal maths'!Z767,DATE(1990,1,1))))/D767)-1)*D767))))),0)</f>
        <v/>
      </c>
      <c r="F767" s="110">
        <f>IF(D767=0,0,'Deal maths'!AB767*D767/12)</f>
        <v/>
      </c>
      <c r="G767" s="108">
        <f>N767+O767</f>
        <v/>
      </c>
      <c r="H767" s="108">
        <f>IFERROR(IF(OR(D767=0,AsAt&lt;E767),0,MIN(N767,INT(((YEAR(AsAt)-YEAR(E767))*12+MONTH(AsAt)-MONTH(E767)-(DAY(AsAt)&lt;MIN(R767,DAY(EOMONTH(AsAt,0)))))/D767)+1)+O767*(AsAt&gt;='Deal maths'!AA767)),0)</f>
        <v/>
      </c>
      <c r="I767" s="108">
        <f>G767-H767</f>
        <v/>
      </c>
      <c r="J767" s="111">
        <f>IF(AND(C767="EIP",I767&gt;0),'Deal maths'!Y767/I767,0)</f>
        <v/>
      </c>
      <c r="K767" s="111">
        <f>IF(AND(C767="Annuity",I767&gt;0),IF(F767&gt;0,'Deal maths'!Y767*F767/(1-(1+F767)^-I767),'Deal maths'!Y767/I767),0)</f>
        <v/>
      </c>
      <c r="L767" s="111">
        <f>IF('Deal maths'!Y767="",0,'Deal maths'!Y767)</f>
        <v/>
      </c>
      <c r="M767" s="112">
        <f>F767+(F767=0)</f>
        <v/>
      </c>
      <c r="N767" s="108">
        <f>IFERROR(IF(D767=0,0,INT(((YEAR('Deal maths'!AA767)-YEAR(E767))*12+MONTH('Deal maths'!AA767)-MONTH(E767)-(DAY('Deal maths'!AA767)&lt;MIN(R767,DAY(EOMONTH('Deal maths'!AA767,0)))))/D767)+1),0)</f>
        <v/>
      </c>
      <c r="O767" s="108">
        <f>IFERROR(IF(D767=0,0,IF(IF(DAY(E767+1)=1,EOMONTH(E767,(N767-1)*D767),EDATE(E767,(N767-1)*D767))='Deal maths'!AA767,0,1)),0)</f>
        <v/>
      </c>
      <c r="P767" s="113">
        <f>IF(B767=0,0,IFERROR(IF(C767="EIP",((I767-O767)*((IF(DAY(E767+1)=1,EOMONTH(E767,H767*D767),EDATE(E767,H767*D767))-AsAt)/365.25+(IF(DAY(E767+1)=1,EOMONTH(E767,(N767-1)*D767),EDATE(E767,(N767-1)*D767))-AsAt)/365.25)/2+O767*('Deal maths'!AA767-AsAt)/365.25)/I767,IF(C767="Annuity",IF(F767&gt;0,((K767-L767*F767)*((IF(DAY(E767+1)=1,EOMONTH(E767,H767*D767),EDATE(E767,H767*D767))-AsAt)/365.25*((1+F767)^(I767-O767)-1)/F767+IF((I767-O767)&gt;1,((IF(DAY(E767+1)=1,EOMONTH(E767,(N767-1)*D767),EDATE(E767,(N767-1)*D767))-AsAt)/365.25-(IF(DAY(E767+1)=1,EOMONTH(E767,H767*D767),EDATE(E767,H767*D767))-AsAt)/365.25)/((I767-O767)-1),0)*(1+F767)*(1-(I767-O767)*(1+F767)^((I767-O767)-1)+((I767-O767)-1)*(1+F767)^(I767-O767))/F767^2)+O767*(K767-L767*F767)*(1+F767)^(I767-1)*('Deal maths'!AA767-AsAt)/365.25)/L767,((I767-O767)*((IF(DAY(E767+1)=1,EOMONTH(E767,H767*D767),EDATE(E767,H767*D767))-AsAt)/365.25+(IF(DAY(E767+1)=1,EOMONTH(E767,(N767-1)*D767),EDATE(E767,(N767-1)*D767))-AsAt)/365.25)/2+O767*('Deal maths'!AA767-AsAt)/365.25)/I767),(S767-AsAt)/365.25)),0))</f>
        <v/>
      </c>
      <c r="Q767" s="109">
        <f>IF(B767=1,'Deal maths'!AA767+ROW()/1000000,"")</f>
        <v/>
      </c>
      <c r="R767" s="108">
        <f>IF(D767=0,0,IF(DAY(E767+1)=1,31,DAY(E767)))</f>
        <v/>
      </c>
      <c r="S767" s="109">
        <f>IF(AND('Deal maths'!V767="LOBO",'Deal maths'!AG767&gt;AsAt,'Deal maths'!AG767&lt;'Deal maths'!AA767),'Deal maths'!AG767,'Deal maths'!AA767)</f>
        <v/>
      </c>
      <c r="T767" s="108">
        <f>('Deal maths'!AA767&gt;AsAt)*('Deal maths'!Y767&gt;0)</f>
        <v/>
      </c>
    </row>
    <row r="768">
      <c r="A768" s="91">
        <f>IF('Deal maths'!V768="","",'Deal maths'!W768)</f>
        <v/>
      </c>
      <c r="B768" s="108">
        <f>('Deal maths'!AA768&gt;AsAt)*('Deal maths'!Y768&gt;0)*('Deal maths'!Z768&lt;=AsAt)</f>
        <v/>
      </c>
      <c r="C768" s="91">
        <f>IF('Deal maths'!V768="","",IF('Deal maths'!AC768="","Maturity",'Deal maths'!AC768))</f>
        <v/>
      </c>
      <c r="D768" s="108">
        <f>IF(OR(C768="EIP",C768="Annuity"),IF('Deal maths'!AD768="Annual",12,IF('Deal maths'!AD768="Quarterly",3,6)),0)</f>
        <v/>
      </c>
      <c r="E768" s="109">
        <f>IFERROR(IF(D768=0,0,IF('Deal maths'!AE768&gt;0,IF('Deal maths'!AE768&gt;'Deal maths'!AA768,'Deal maths'!AA768,'Deal maths'!AE768),IF(IF(DAY('Deal maths'!AA768+1)=1,EOMONTH('Deal maths'!AA768,-(INT(((YEAR('Deal maths'!AA768)-YEAR(IF('Deal maths'!Z768&gt;0,'Deal maths'!Z768,DATE(1990,1,1))))*12+MONTH('Deal maths'!AA768)-MONTH(IF('Deal maths'!Z768&gt;0,'Deal maths'!Z768,DATE(1990,1,1))))/D768))*D768),EDATE('Deal maths'!AA768,-(INT(((YEAR('Deal maths'!AA768)-YEAR(IF('Deal maths'!Z768&gt;0,'Deal maths'!Z768,DATE(1990,1,1))))*12+MONTH('Deal maths'!AA768)-MONTH(IF('Deal maths'!Z768&gt;0,'Deal maths'!Z768,DATE(1990,1,1))))/D768))*D768))&gt;IF('Deal maths'!Z768&gt;0,'Deal maths'!Z768,DATE(1990,1,1)),IF(DAY('Deal maths'!AA768+1)=1,EOMONTH('Deal maths'!AA768,-(INT(((YEAR('Deal maths'!AA768)-YEAR(IF('Deal maths'!Z768&gt;0,'Deal maths'!Z768,DATE(1990,1,1))))*12+MONTH('Deal maths'!AA768)-MONTH(IF('Deal maths'!Z768&gt;0,'Deal maths'!Z768,DATE(1990,1,1))))/D768))*D768),EDATE('Deal maths'!AA768,-(INT(((YEAR('Deal maths'!AA768)-YEAR(IF('Deal maths'!Z768&gt;0,'Deal maths'!Z768,DATE(1990,1,1))))*12+MONTH('Deal maths'!AA768)-MONTH(IF('Deal maths'!Z768&gt;0,'Deal maths'!Z768,DATE(1990,1,1))))/D768))*D768)),IF(DAY('Deal maths'!AA768+1)=1,EOMONTH('Deal maths'!AA768,-(INT(((YEAR('Deal maths'!AA768)-YEAR(IF('Deal maths'!Z768&gt;0,'Deal maths'!Z768,DATE(1990,1,1))))*12+MONTH('Deal maths'!AA768)-MONTH(IF('Deal maths'!Z768&gt;0,'Deal maths'!Z768,DATE(1990,1,1))))/D768)-1)*D768),EDATE('Deal maths'!AA768,-(INT(((YEAR('Deal maths'!AA768)-YEAR(IF('Deal maths'!Z768&gt;0,'Deal maths'!Z768,DATE(1990,1,1))))*12+MONTH('Deal maths'!AA768)-MONTH(IF('Deal maths'!Z768&gt;0,'Deal maths'!Z768,DATE(1990,1,1))))/D768)-1)*D768))))),0)</f>
        <v/>
      </c>
      <c r="F768" s="110">
        <f>IF(D768=0,0,'Deal maths'!AB768*D768/12)</f>
        <v/>
      </c>
      <c r="G768" s="108">
        <f>N768+O768</f>
        <v/>
      </c>
      <c r="H768" s="108">
        <f>IFERROR(IF(OR(D768=0,AsAt&lt;E768),0,MIN(N768,INT(((YEAR(AsAt)-YEAR(E768))*12+MONTH(AsAt)-MONTH(E768)-(DAY(AsAt)&lt;MIN(R768,DAY(EOMONTH(AsAt,0)))))/D768)+1)+O768*(AsAt&gt;='Deal maths'!AA768)),0)</f>
        <v/>
      </c>
      <c r="I768" s="108">
        <f>G768-H768</f>
        <v/>
      </c>
      <c r="J768" s="111">
        <f>IF(AND(C768="EIP",I768&gt;0),'Deal maths'!Y768/I768,0)</f>
        <v/>
      </c>
      <c r="K768" s="111">
        <f>IF(AND(C768="Annuity",I768&gt;0),IF(F768&gt;0,'Deal maths'!Y768*F768/(1-(1+F768)^-I768),'Deal maths'!Y768/I768),0)</f>
        <v/>
      </c>
      <c r="L768" s="111">
        <f>IF('Deal maths'!Y768="",0,'Deal maths'!Y768)</f>
        <v/>
      </c>
      <c r="M768" s="112">
        <f>F768+(F768=0)</f>
        <v/>
      </c>
      <c r="N768" s="108">
        <f>IFERROR(IF(D768=0,0,INT(((YEAR('Deal maths'!AA768)-YEAR(E768))*12+MONTH('Deal maths'!AA768)-MONTH(E768)-(DAY('Deal maths'!AA768)&lt;MIN(R768,DAY(EOMONTH('Deal maths'!AA768,0)))))/D768)+1),0)</f>
        <v/>
      </c>
      <c r="O768" s="108">
        <f>IFERROR(IF(D768=0,0,IF(IF(DAY(E768+1)=1,EOMONTH(E768,(N768-1)*D768),EDATE(E768,(N768-1)*D768))='Deal maths'!AA768,0,1)),0)</f>
        <v/>
      </c>
      <c r="P768" s="113">
        <f>IF(B768=0,0,IFERROR(IF(C768="EIP",((I768-O768)*((IF(DAY(E768+1)=1,EOMONTH(E768,H768*D768),EDATE(E768,H768*D768))-AsAt)/365.25+(IF(DAY(E768+1)=1,EOMONTH(E768,(N768-1)*D768),EDATE(E768,(N768-1)*D768))-AsAt)/365.25)/2+O768*('Deal maths'!AA768-AsAt)/365.25)/I768,IF(C768="Annuity",IF(F768&gt;0,((K768-L768*F768)*((IF(DAY(E768+1)=1,EOMONTH(E768,H768*D768),EDATE(E768,H768*D768))-AsAt)/365.25*((1+F768)^(I768-O768)-1)/F768+IF((I768-O768)&gt;1,((IF(DAY(E768+1)=1,EOMONTH(E768,(N768-1)*D768),EDATE(E768,(N768-1)*D768))-AsAt)/365.25-(IF(DAY(E768+1)=1,EOMONTH(E768,H768*D768),EDATE(E768,H768*D768))-AsAt)/365.25)/((I768-O768)-1),0)*(1+F768)*(1-(I768-O768)*(1+F768)^((I768-O768)-1)+((I768-O768)-1)*(1+F768)^(I768-O768))/F768^2)+O768*(K768-L768*F768)*(1+F768)^(I768-1)*('Deal maths'!AA768-AsAt)/365.25)/L768,((I768-O768)*((IF(DAY(E768+1)=1,EOMONTH(E768,H768*D768),EDATE(E768,H768*D768))-AsAt)/365.25+(IF(DAY(E768+1)=1,EOMONTH(E768,(N768-1)*D768),EDATE(E768,(N768-1)*D768))-AsAt)/365.25)/2+O768*('Deal maths'!AA768-AsAt)/365.25)/I768),(S768-AsAt)/365.25)),0))</f>
        <v/>
      </c>
      <c r="Q768" s="109">
        <f>IF(B768=1,'Deal maths'!AA768+ROW()/1000000,"")</f>
        <v/>
      </c>
      <c r="R768" s="108">
        <f>IF(D768=0,0,IF(DAY(E768+1)=1,31,DAY(E768)))</f>
        <v/>
      </c>
      <c r="S768" s="109">
        <f>IF(AND('Deal maths'!V768="LOBO",'Deal maths'!AG768&gt;AsAt,'Deal maths'!AG768&lt;'Deal maths'!AA768),'Deal maths'!AG768,'Deal maths'!AA768)</f>
        <v/>
      </c>
      <c r="T768" s="108">
        <f>('Deal maths'!AA768&gt;AsAt)*('Deal maths'!Y768&gt;0)</f>
        <v/>
      </c>
    </row>
    <row r="769">
      <c r="A769" s="91">
        <f>IF('Deal maths'!V769="","",'Deal maths'!W769)</f>
        <v/>
      </c>
      <c r="B769" s="108">
        <f>('Deal maths'!AA769&gt;AsAt)*('Deal maths'!Y769&gt;0)*('Deal maths'!Z769&lt;=AsAt)</f>
        <v/>
      </c>
      <c r="C769" s="91">
        <f>IF('Deal maths'!V769="","",IF('Deal maths'!AC769="","Maturity",'Deal maths'!AC769))</f>
        <v/>
      </c>
      <c r="D769" s="108">
        <f>IF(OR(C769="EIP",C769="Annuity"),IF('Deal maths'!AD769="Annual",12,IF('Deal maths'!AD769="Quarterly",3,6)),0)</f>
        <v/>
      </c>
      <c r="E769" s="109">
        <f>IFERROR(IF(D769=0,0,IF('Deal maths'!AE769&gt;0,IF('Deal maths'!AE769&gt;'Deal maths'!AA769,'Deal maths'!AA769,'Deal maths'!AE769),IF(IF(DAY('Deal maths'!AA769+1)=1,EOMONTH('Deal maths'!AA769,-(INT(((YEAR('Deal maths'!AA769)-YEAR(IF('Deal maths'!Z769&gt;0,'Deal maths'!Z769,DATE(1990,1,1))))*12+MONTH('Deal maths'!AA769)-MONTH(IF('Deal maths'!Z769&gt;0,'Deal maths'!Z769,DATE(1990,1,1))))/D769))*D769),EDATE('Deal maths'!AA769,-(INT(((YEAR('Deal maths'!AA769)-YEAR(IF('Deal maths'!Z769&gt;0,'Deal maths'!Z769,DATE(1990,1,1))))*12+MONTH('Deal maths'!AA769)-MONTH(IF('Deal maths'!Z769&gt;0,'Deal maths'!Z769,DATE(1990,1,1))))/D769))*D769))&gt;IF('Deal maths'!Z769&gt;0,'Deal maths'!Z769,DATE(1990,1,1)),IF(DAY('Deal maths'!AA769+1)=1,EOMONTH('Deal maths'!AA769,-(INT(((YEAR('Deal maths'!AA769)-YEAR(IF('Deal maths'!Z769&gt;0,'Deal maths'!Z769,DATE(1990,1,1))))*12+MONTH('Deal maths'!AA769)-MONTH(IF('Deal maths'!Z769&gt;0,'Deal maths'!Z769,DATE(1990,1,1))))/D769))*D769),EDATE('Deal maths'!AA769,-(INT(((YEAR('Deal maths'!AA769)-YEAR(IF('Deal maths'!Z769&gt;0,'Deal maths'!Z769,DATE(1990,1,1))))*12+MONTH('Deal maths'!AA769)-MONTH(IF('Deal maths'!Z769&gt;0,'Deal maths'!Z769,DATE(1990,1,1))))/D769))*D769)),IF(DAY('Deal maths'!AA769+1)=1,EOMONTH('Deal maths'!AA769,-(INT(((YEAR('Deal maths'!AA769)-YEAR(IF('Deal maths'!Z769&gt;0,'Deal maths'!Z769,DATE(1990,1,1))))*12+MONTH('Deal maths'!AA769)-MONTH(IF('Deal maths'!Z769&gt;0,'Deal maths'!Z769,DATE(1990,1,1))))/D769)-1)*D769),EDATE('Deal maths'!AA769,-(INT(((YEAR('Deal maths'!AA769)-YEAR(IF('Deal maths'!Z769&gt;0,'Deal maths'!Z769,DATE(1990,1,1))))*12+MONTH('Deal maths'!AA769)-MONTH(IF('Deal maths'!Z769&gt;0,'Deal maths'!Z769,DATE(1990,1,1))))/D769)-1)*D769))))),0)</f>
        <v/>
      </c>
      <c r="F769" s="110">
        <f>IF(D769=0,0,'Deal maths'!AB769*D769/12)</f>
        <v/>
      </c>
      <c r="G769" s="108">
        <f>N769+O769</f>
        <v/>
      </c>
      <c r="H769" s="108">
        <f>IFERROR(IF(OR(D769=0,AsAt&lt;E769),0,MIN(N769,INT(((YEAR(AsAt)-YEAR(E769))*12+MONTH(AsAt)-MONTH(E769)-(DAY(AsAt)&lt;MIN(R769,DAY(EOMONTH(AsAt,0)))))/D769)+1)+O769*(AsAt&gt;='Deal maths'!AA769)),0)</f>
        <v/>
      </c>
      <c r="I769" s="108">
        <f>G769-H769</f>
        <v/>
      </c>
      <c r="J769" s="111">
        <f>IF(AND(C769="EIP",I769&gt;0),'Deal maths'!Y769/I769,0)</f>
        <v/>
      </c>
      <c r="K769" s="111">
        <f>IF(AND(C769="Annuity",I769&gt;0),IF(F769&gt;0,'Deal maths'!Y769*F769/(1-(1+F769)^-I769),'Deal maths'!Y769/I769),0)</f>
        <v/>
      </c>
      <c r="L769" s="111">
        <f>IF('Deal maths'!Y769="",0,'Deal maths'!Y769)</f>
        <v/>
      </c>
      <c r="M769" s="112">
        <f>F769+(F769=0)</f>
        <v/>
      </c>
      <c r="N769" s="108">
        <f>IFERROR(IF(D769=0,0,INT(((YEAR('Deal maths'!AA769)-YEAR(E769))*12+MONTH('Deal maths'!AA769)-MONTH(E769)-(DAY('Deal maths'!AA769)&lt;MIN(R769,DAY(EOMONTH('Deal maths'!AA769,0)))))/D769)+1),0)</f>
        <v/>
      </c>
      <c r="O769" s="108">
        <f>IFERROR(IF(D769=0,0,IF(IF(DAY(E769+1)=1,EOMONTH(E769,(N769-1)*D769),EDATE(E769,(N769-1)*D769))='Deal maths'!AA769,0,1)),0)</f>
        <v/>
      </c>
      <c r="P769" s="113">
        <f>IF(B769=0,0,IFERROR(IF(C769="EIP",((I769-O769)*((IF(DAY(E769+1)=1,EOMONTH(E769,H769*D769),EDATE(E769,H769*D769))-AsAt)/365.25+(IF(DAY(E769+1)=1,EOMONTH(E769,(N769-1)*D769),EDATE(E769,(N769-1)*D769))-AsAt)/365.25)/2+O769*('Deal maths'!AA769-AsAt)/365.25)/I769,IF(C769="Annuity",IF(F769&gt;0,((K769-L769*F769)*((IF(DAY(E769+1)=1,EOMONTH(E769,H769*D769),EDATE(E769,H769*D769))-AsAt)/365.25*((1+F769)^(I769-O769)-1)/F769+IF((I769-O769)&gt;1,((IF(DAY(E769+1)=1,EOMONTH(E769,(N769-1)*D769),EDATE(E769,(N769-1)*D769))-AsAt)/365.25-(IF(DAY(E769+1)=1,EOMONTH(E769,H769*D769),EDATE(E769,H769*D769))-AsAt)/365.25)/((I769-O769)-1),0)*(1+F769)*(1-(I769-O769)*(1+F769)^((I769-O769)-1)+((I769-O769)-1)*(1+F769)^(I769-O769))/F769^2)+O769*(K769-L769*F769)*(1+F769)^(I769-1)*('Deal maths'!AA769-AsAt)/365.25)/L769,((I769-O769)*((IF(DAY(E769+1)=1,EOMONTH(E769,H769*D769),EDATE(E769,H769*D769))-AsAt)/365.25+(IF(DAY(E769+1)=1,EOMONTH(E769,(N769-1)*D769),EDATE(E769,(N769-1)*D769))-AsAt)/365.25)/2+O769*('Deal maths'!AA769-AsAt)/365.25)/I769),(S769-AsAt)/365.25)),0))</f>
        <v/>
      </c>
      <c r="Q769" s="109">
        <f>IF(B769=1,'Deal maths'!AA769+ROW()/1000000,"")</f>
        <v/>
      </c>
      <c r="R769" s="108">
        <f>IF(D769=0,0,IF(DAY(E769+1)=1,31,DAY(E769)))</f>
        <v/>
      </c>
      <c r="S769" s="109">
        <f>IF(AND('Deal maths'!V769="LOBO",'Deal maths'!AG769&gt;AsAt,'Deal maths'!AG769&lt;'Deal maths'!AA769),'Deal maths'!AG769,'Deal maths'!AA769)</f>
        <v/>
      </c>
      <c r="T769" s="108">
        <f>('Deal maths'!AA769&gt;AsAt)*('Deal maths'!Y769&gt;0)</f>
        <v/>
      </c>
    </row>
    <row r="770">
      <c r="A770" s="91">
        <f>IF('Deal maths'!V770="","",'Deal maths'!W770)</f>
        <v/>
      </c>
      <c r="B770" s="108">
        <f>('Deal maths'!AA770&gt;AsAt)*('Deal maths'!Y770&gt;0)*('Deal maths'!Z770&lt;=AsAt)</f>
        <v/>
      </c>
      <c r="C770" s="91">
        <f>IF('Deal maths'!V770="","",IF('Deal maths'!AC770="","Maturity",'Deal maths'!AC770))</f>
        <v/>
      </c>
      <c r="D770" s="108">
        <f>IF(OR(C770="EIP",C770="Annuity"),IF('Deal maths'!AD770="Annual",12,IF('Deal maths'!AD770="Quarterly",3,6)),0)</f>
        <v/>
      </c>
      <c r="E770" s="109">
        <f>IFERROR(IF(D770=0,0,IF('Deal maths'!AE770&gt;0,IF('Deal maths'!AE770&gt;'Deal maths'!AA770,'Deal maths'!AA770,'Deal maths'!AE770),IF(IF(DAY('Deal maths'!AA770+1)=1,EOMONTH('Deal maths'!AA770,-(INT(((YEAR('Deal maths'!AA770)-YEAR(IF('Deal maths'!Z770&gt;0,'Deal maths'!Z770,DATE(1990,1,1))))*12+MONTH('Deal maths'!AA770)-MONTH(IF('Deal maths'!Z770&gt;0,'Deal maths'!Z770,DATE(1990,1,1))))/D770))*D770),EDATE('Deal maths'!AA770,-(INT(((YEAR('Deal maths'!AA770)-YEAR(IF('Deal maths'!Z770&gt;0,'Deal maths'!Z770,DATE(1990,1,1))))*12+MONTH('Deal maths'!AA770)-MONTH(IF('Deal maths'!Z770&gt;0,'Deal maths'!Z770,DATE(1990,1,1))))/D770))*D770))&gt;IF('Deal maths'!Z770&gt;0,'Deal maths'!Z770,DATE(1990,1,1)),IF(DAY('Deal maths'!AA770+1)=1,EOMONTH('Deal maths'!AA770,-(INT(((YEAR('Deal maths'!AA770)-YEAR(IF('Deal maths'!Z770&gt;0,'Deal maths'!Z770,DATE(1990,1,1))))*12+MONTH('Deal maths'!AA770)-MONTH(IF('Deal maths'!Z770&gt;0,'Deal maths'!Z770,DATE(1990,1,1))))/D770))*D770),EDATE('Deal maths'!AA770,-(INT(((YEAR('Deal maths'!AA770)-YEAR(IF('Deal maths'!Z770&gt;0,'Deal maths'!Z770,DATE(1990,1,1))))*12+MONTH('Deal maths'!AA770)-MONTH(IF('Deal maths'!Z770&gt;0,'Deal maths'!Z770,DATE(1990,1,1))))/D770))*D770)),IF(DAY('Deal maths'!AA770+1)=1,EOMONTH('Deal maths'!AA770,-(INT(((YEAR('Deal maths'!AA770)-YEAR(IF('Deal maths'!Z770&gt;0,'Deal maths'!Z770,DATE(1990,1,1))))*12+MONTH('Deal maths'!AA770)-MONTH(IF('Deal maths'!Z770&gt;0,'Deal maths'!Z770,DATE(1990,1,1))))/D770)-1)*D770),EDATE('Deal maths'!AA770,-(INT(((YEAR('Deal maths'!AA770)-YEAR(IF('Deal maths'!Z770&gt;0,'Deal maths'!Z770,DATE(1990,1,1))))*12+MONTH('Deal maths'!AA770)-MONTH(IF('Deal maths'!Z770&gt;0,'Deal maths'!Z770,DATE(1990,1,1))))/D770)-1)*D770))))),0)</f>
        <v/>
      </c>
      <c r="F770" s="110">
        <f>IF(D770=0,0,'Deal maths'!AB770*D770/12)</f>
        <v/>
      </c>
      <c r="G770" s="108">
        <f>N770+O770</f>
        <v/>
      </c>
      <c r="H770" s="108">
        <f>IFERROR(IF(OR(D770=0,AsAt&lt;E770),0,MIN(N770,INT(((YEAR(AsAt)-YEAR(E770))*12+MONTH(AsAt)-MONTH(E770)-(DAY(AsAt)&lt;MIN(R770,DAY(EOMONTH(AsAt,0)))))/D770)+1)+O770*(AsAt&gt;='Deal maths'!AA770)),0)</f>
        <v/>
      </c>
      <c r="I770" s="108">
        <f>G770-H770</f>
        <v/>
      </c>
      <c r="J770" s="111">
        <f>IF(AND(C770="EIP",I770&gt;0),'Deal maths'!Y770/I770,0)</f>
        <v/>
      </c>
      <c r="K770" s="111">
        <f>IF(AND(C770="Annuity",I770&gt;0),IF(F770&gt;0,'Deal maths'!Y770*F770/(1-(1+F770)^-I770),'Deal maths'!Y770/I770),0)</f>
        <v/>
      </c>
      <c r="L770" s="111">
        <f>IF('Deal maths'!Y770="",0,'Deal maths'!Y770)</f>
        <v/>
      </c>
      <c r="M770" s="112">
        <f>F770+(F770=0)</f>
        <v/>
      </c>
      <c r="N770" s="108">
        <f>IFERROR(IF(D770=0,0,INT(((YEAR('Deal maths'!AA770)-YEAR(E770))*12+MONTH('Deal maths'!AA770)-MONTH(E770)-(DAY('Deal maths'!AA770)&lt;MIN(R770,DAY(EOMONTH('Deal maths'!AA770,0)))))/D770)+1),0)</f>
        <v/>
      </c>
      <c r="O770" s="108">
        <f>IFERROR(IF(D770=0,0,IF(IF(DAY(E770+1)=1,EOMONTH(E770,(N770-1)*D770),EDATE(E770,(N770-1)*D770))='Deal maths'!AA770,0,1)),0)</f>
        <v/>
      </c>
      <c r="P770" s="113">
        <f>IF(B770=0,0,IFERROR(IF(C770="EIP",((I770-O770)*((IF(DAY(E770+1)=1,EOMONTH(E770,H770*D770),EDATE(E770,H770*D770))-AsAt)/365.25+(IF(DAY(E770+1)=1,EOMONTH(E770,(N770-1)*D770),EDATE(E770,(N770-1)*D770))-AsAt)/365.25)/2+O770*('Deal maths'!AA770-AsAt)/365.25)/I770,IF(C770="Annuity",IF(F770&gt;0,((K770-L770*F770)*((IF(DAY(E770+1)=1,EOMONTH(E770,H770*D770),EDATE(E770,H770*D770))-AsAt)/365.25*((1+F770)^(I770-O770)-1)/F770+IF((I770-O770)&gt;1,((IF(DAY(E770+1)=1,EOMONTH(E770,(N770-1)*D770),EDATE(E770,(N770-1)*D770))-AsAt)/365.25-(IF(DAY(E770+1)=1,EOMONTH(E770,H770*D770),EDATE(E770,H770*D770))-AsAt)/365.25)/((I770-O770)-1),0)*(1+F770)*(1-(I770-O770)*(1+F770)^((I770-O770)-1)+((I770-O770)-1)*(1+F770)^(I770-O770))/F770^2)+O770*(K770-L770*F770)*(1+F770)^(I770-1)*('Deal maths'!AA770-AsAt)/365.25)/L770,((I770-O770)*((IF(DAY(E770+1)=1,EOMONTH(E770,H770*D770),EDATE(E770,H770*D770))-AsAt)/365.25+(IF(DAY(E770+1)=1,EOMONTH(E770,(N770-1)*D770),EDATE(E770,(N770-1)*D770))-AsAt)/365.25)/2+O770*('Deal maths'!AA770-AsAt)/365.25)/I770),(S770-AsAt)/365.25)),0))</f>
        <v/>
      </c>
      <c r="Q770" s="109">
        <f>IF(B770=1,'Deal maths'!AA770+ROW()/1000000,"")</f>
        <v/>
      </c>
      <c r="R770" s="108">
        <f>IF(D770=0,0,IF(DAY(E770+1)=1,31,DAY(E770)))</f>
        <v/>
      </c>
      <c r="S770" s="109">
        <f>IF(AND('Deal maths'!V770="LOBO",'Deal maths'!AG770&gt;AsAt,'Deal maths'!AG770&lt;'Deal maths'!AA770),'Deal maths'!AG770,'Deal maths'!AA770)</f>
        <v/>
      </c>
      <c r="T770" s="108">
        <f>('Deal maths'!AA770&gt;AsAt)*('Deal maths'!Y770&gt;0)</f>
        <v/>
      </c>
    </row>
    <row r="771">
      <c r="A771" s="91">
        <f>IF('Deal maths'!V771="","",'Deal maths'!W771)</f>
        <v/>
      </c>
      <c r="B771" s="108">
        <f>('Deal maths'!AA771&gt;AsAt)*('Deal maths'!Y771&gt;0)*('Deal maths'!Z771&lt;=AsAt)</f>
        <v/>
      </c>
      <c r="C771" s="91">
        <f>IF('Deal maths'!V771="","",IF('Deal maths'!AC771="","Maturity",'Deal maths'!AC771))</f>
        <v/>
      </c>
      <c r="D771" s="108">
        <f>IF(OR(C771="EIP",C771="Annuity"),IF('Deal maths'!AD771="Annual",12,IF('Deal maths'!AD771="Quarterly",3,6)),0)</f>
        <v/>
      </c>
      <c r="E771" s="109">
        <f>IFERROR(IF(D771=0,0,IF('Deal maths'!AE771&gt;0,IF('Deal maths'!AE771&gt;'Deal maths'!AA771,'Deal maths'!AA771,'Deal maths'!AE771),IF(IF(DAY('Deal maths'!AA771+1)=1,EOMONTH('Deal maths'!AA771,-(INT(((YEAR('Deal maths'!AA771)-YEAR(IF('Deal maths'!Z771&gt;0,'Deal maths'!Z771,DATE(1990,1,1))))*12+MONTH('Deal maths'!AA771)-MONTH(IF('Deal maths'!Z771&gt;0,'Deal maths'!Z771,DATE(1990,1,1))))/D771))*D771),EDATE('Deal maths'!AA771,-(INT(((YEAR('Deal maths'!AA771)-YEAR(IF('Deal maths'!Z771&gt;0,'Deal maths'!Z771,DATE(1990,1,1))))*12+MONTH('Deal maths'!AA771)-MONTH(IF('Deal maths'!Z771&gt;0,'Deal maths'!Z771,DATE(1990,1,1))))/D771))*D771))&gt;IF('Deal maths'!Z771&gt;0,'Deal maths'!Z771,DATE(1990,1,1)),IF(DAY('Deal maths'!AA771+1)=1,EOMONTH('Deal maths'!AA771,-(INT(((YEAR('Deal maths'!AA771)-YEAR(IF('Deal maths'!Z771&gt;0,'Deal maths'!Z771,DATE(1990,1,1))))*12+MONTH('Deal maths'!AA771)-MONTH(IF('Deal maths'!Z771&gt;0,'Deal maths'!Z771,DATE(1990,1,1))))/D771))*D771),EDATE('Deal maths'!AA771,-(INT(((YEAR('Deal maths'!AA771)-YEAR(IF('Deal maths'!Z771&gt;0,'Deal maths'!Z771,DATE(1990,1,1))))*12+MONTH('Deal maths'!AA771)-MONTH(IF('Deal maths'!Z771&gt;0,'Deal maths'!Z771,DATE(1990,1,1))))/D771))*D771)),IF(DAY('Deal maths'!AA771+1)=1,EOMONTH('Deal maths'!AA771,-(INT(((YEAR('Deal maths'!AA771)-YEAR(IF('Deal maths'!Z771&gt;0,'Deal maths'!Z771,DATE(1990,1,1))))*12+MONTH('Deal maths'!AA771)-MONTH(IF('Deal maths'!Z771&gt;0,'Deal maths'!Z771,DATE(1990,1,1))))/D771)-1)*D771),EDATE('Deal maths'!AA771,-(INT(((YEAR('Deal maths'!AA771)-YEAR(IF('Deal maths'!Z771&gt;0,'Deal maths'!Z771,DATE(1990,1,1))))*12+MONTH('Deal maths'!AA771)-MONTH(IF('Deal maths'!Z771&gt;0,'Deal maths'!Z771,DATE(1990,1,1))))/D771)-1)*D771))))),0)</f>
        <v/>
      </c>
      <c r="F771" s="110">
        <f>IF(D771=0,0,'Deal maths'!AB771*D771/12)</f>
        <v/>
      </c>
      <c r="G771" s="108">
        <f>N771+O771</f>
        <v/>
      </c>
      <c r="H771" s="108">
        <f>IFERROR(IF(OR(D771=0,AsAt&lt;E771),0,MIN(N771,INT(((YEAR(AsAt)-YEAR(E771))*12+MONTH(AsAt)-MONTH(E771)-(DAY(AsAt)&lt;MIN(R771,DAY(EOMONTH(AsAt,0)))))/D771)+1)+O771*(AsAt&gt;='Deal maths'!AA771)),0)</f>
        <v/>
      </c>
      <c r="I771" s="108">
        <f>G771-H771</f>
        <v/>
      </c>
      <c r="J771" s="111">
        <f>IF(AND(C771="EIP",I771&gt;0),'Deal maths'!Y771/I771,0)</f>
        <v/>
      </c>
      <c r="K771" s="111">
        <f>IF(AND(C771="Annuity",I771&gt;0),IF(F771&gt;0,'Deal maths'!Y771*F771/(1-(1+F771)^-I771),'Deal maths'!Y771/I771),0)</f>
        <v/>
      </c>
      <c r="L771" s="111">
        <f>IF('Deal maths'!Y771="",0,'Deal maths'!Y771)</f>
        <v/>
      </c>
      <c r="M771" s="112">
        <f>F771+(F771=0)</f>
        <v/>
      </c>
      <c r="N771" s="108">
        <f>IFERROR(IF(D771=0,0,INT(((YEAR('Deal maths'!AA771)-YEAR(E771))*12+MONTH('Deal maths'!AA771)-MONTH(E771)-(DAY('Deal maths'!AA771)&lt;MIN(R771,DAY(EOMONTH('Deal maths'!AA771,0)))))/D771)+1),0)</f>
        <v/>
      </c>
      <c r="O771" s="108">
        <f>IFERROR(IF(D771=0,0,IF(IF(DAY(E771+1)=1,EOMONTH(E771,(N771-1)*D771),EDATE(E771,(N771-1)*D771))='Deal maths'!AA771,0,1)),0)</f>
        <v/>
      </c>
      <c r="P771" s="113">
        <f>IF(B771=0,0,IFERROR(IF(C771="EIP",((I771-O771)*((IF(DAY(E771+1)=1,EOMONTH(E771,H771*D771),EDATE(E771,H771*D771))-AsAt)/365.25+(IF(DAY(E771+1)=1,EOMONTH(E771,(N771-1)*D771),EDATE(E771,(N771-1)*D771))-AsAt)/365.25)/2+O771*('Deal maths'!AA771-AsAt)/365.25)/I771,IF(C771="Annuity",IF(F771&gt;0,((K771-L771*F771)*((IF(DAY(E771+1)=1,EOMONTH(E771,H771*D771),EDATE(E771,H771*D771))-AsAt)/365.25*((1+F771)^(I771-O771)-1)/F771+IF((I771-O771)&gt;1,((IF(DAY(E771+1)=1,EOMONTH(E771,(N771-1)*D771),EDATE(E771,(N771-1)*D771))-AsAt)/365.25-(IF(DAY(E771+1)=1,EOMONTH(E771,H771*D771),EDATE(E771,H771*D771))-AsAt)/365.25)/((I771-O771)-1),0)*(1+F771)*(1-(I771-O771)*(1+F771)^((I771-O771)-1)+((I771-O771)-1)*(1+F771)^(I771-O771))/F771^2)+O771*(K771-L771*F771)*(1+F771)^(I771-1)*('Deal maths'!AA771-AsAt)/365.25)/L771,((I771-O771)*((IF(DAY(E771+1)=1,EOMONTH(E771,H771*D771),EDATE(E771,H771*D771))-AsAt)/365.25+(IF(DAY(E771+1)=1,EOMONTH(E771,(N771-1)*D771),EDATE(E771,(N771-1)*D771))-AsAt)/365.25)/2+O771*('Deal maths'!AA771-AsAt)/365.25)/I771),(S771-AsAt)/365.25)),0))</f>
        <v/>
      </c>
      <c r="Q771" s="109">
        <f>IF(B771=1,'Deal maths'!AA771+ROW()/1000000,"")</f>
        <v/>
      </c>
      <c r="R771" s="108">
        <f>IF(D771=0,0,IF(DAY(E771+1)=1,31,DAY(E771)))</f>
        <v/>
      </c>
      <c r="S771" s="109">
        <f>IF(AND('Deal maths'!V771="LOBO",'Deal maths'!AG771&gt;AsAt,'Deal maths'!AG771&lt;'Deal maths'!AA771),'Deal maths'!AG771,'Deal maths'!AA771)</f>
        <v/>
      </c>
      <c r="T771" s="108">
        <f>('Deal maths'!AA771&gt;AsAt)*('Deal maths'!Y771&gt;0)</f>
        <v/>
      </c>
    </row>
    <row r="772">
      <c r="A772" s="91">
        <f>IF('Deal maths'!V772="","",'Deal maths'!W772)</f>
        <v/>
      </c>
      <c r="B772" s="108">
        <f>('Deal maths'!AA772&gt;AsAt)*('Deal maths'!Y772&gt;0)*('Deal maths'!Z772&lt;=AsAt)</f>
        <v/>
      </c>
      <c r="C772" s="91">
        <f>IF('Deal maths'!V772="","",IF('Deal maths'!AC772="","Maturity",'Deal maths'!AC772))</f>
        <v/>
      </c>
      <c r="D772" s="108">
        <f>IF(OR(C772="EIP",C772="Annuity"),IF('Deal maths'!AD772="Annual",12,IF('Deal maths'!AD772="Quarterly",3,6)),0)</f>
        <v/>
      </c>
      <c r="E772" s="109">
        <f>IFERROR(IF(D772=0,0,IF('Deal maths'!AE772&gt;0,IF('Deal maths'!AE772&gt;'Deal maths'!AA772,'Deal maths'!AA772,'Deal maths'!AE772),IF(IF(DAY('Deal maths'!AA772+1)=1,EOMONTH('Deal maths'!AA772,-(INT(((YEAR('Deal maths'!AA772)-YEAR(IF('Deal maths'!Z772&gt;0,'Deal maths'!Z772,DATE(1990,1,1))))*12+MONTH('Deal maths'!AA772)-MONTH(IF('Deal maths'!Z772&gt;0,'Deal maths'!Z772,DATE(1990,1,1))))/D772))*D772),EDATE('Deal maths'!AA772,-(INT(((YEAR('Deal maths'!AA772)-YEAR(IF('Deal maths'!Z772&gt;0,'Deal maths'!Z772,DATE(1990,1,1))))*12+MONTH('Deal maths'!AA772)-MONTH(IF('Deal maths'!Z772&gt;0,'Deal maths'!Z772,DATE(1990,1,1))))/D772))*D772))&gt;IF('Deal maths'!Z772&gt;0,'Deal maths'!Z772,DATE(1990,1,1)),IF(DAY('Deal maths'!AA772+1)=1,EOMONTH('Deal maths'!AA772,-(INT(((YEAR('Deal maths'!AA772)-YEAR(IF('Deal maths'!Z772&gt;0,'Deal maths'!Z772,DATE(1990,1,1))))*12+MONTH('Deal maths'!AA772)-MONTH(IF('Deal maths'!Z772&gt;0,'Deal maths'!Z772,DATE(1990,1,1))))/D772))*D772),EDATE('Deal maths'!AA772,-(INT(((YEAR('Deal maths'!AA772)-YEAR(IF('Deal maths'!Z772&gt;0,'Deal maths'!Z772,DATE(1990,1,1))))*12+MONTH('Deal maths'!AA772)-MONTH(IF('Deal maths'!Z772&gt;0,'Deal maths'!Z772,DATE(1990,1,1))))/D772))*D772)),IF(DAY('Deal maths'!AA772+1)=1,EOMONTH('Deal maths'!AA772,-(INT(((YEAR('Deal maths'!AA772)-YEAR(IF('Deal maths'!Z772&gt;0,'Deal maths'!Z772,DATE(1990,1,1))))*12+MONTH('Deal maths'!AA772)-MONTH(IF('Deal maths'!Z772&gt;0,'Deal maths'!Z772,DATE(1990,1,1))))/D772)-1)*D772),EDATE('Deal maths'!AA772,-(INT(((YEAR('Deal maths'!AA772)-YEAR(IF('Deal maths'!Z772&gt;0,'Deal maths'!Z772,DATE(1990,1,1))))*12+MONTH('Deal maths'!AA772)-MONTH(IF('Deal maths'!Z772&gt;0,'Deal maths'!Z772,DATE(1990,1,1))))/D772)-1)*D772))))),0)</f>
        <v/>
      </c>
      <c r="F772" s="110">
        <f>IF(D772=0,0,'Deal maths'!AB772*D772/12)</f>
        <v/>
      </c>
      <c r="G772" s="108">
        <f>N772+O772</f>
        <v/>
      </c>
      <c r="H772" s="108">
        <f>IFERROR(IF(OR(D772=0,AsAt&lt;E772),0,MIN(N772,INT(((YEAR(AsAt)-YEAR(E772))*12+MONTH(AsAt)-MONTH(E772)-(DAY(AsAt)&lt;MIN(R772,DAY(EOMONTH(AsAt,0)))))/D772)+1)+O772*(AsAt&gt;='Deal maths'!AA772)),0)</f>
        <v/>
      </c>
      <c r="I772" s="108">
        <f>G772-H772</f>
        <v/>
      </c>
      <c r="J772" s="111">
        <f>IF(AND(C772="EIP",I772&gt;0),'Deal maths'!Y772/I772,0)</f>
        <v/>
      </c>
      <c r="K772" s="111">
        <f>IF(AND(C772="Annuity",I772&gt;0),IF(F772&gt;0,'Deal maths'!Y772*F772/(1-(1+F772)^-I772),'Deal maths'!Y772/I772),0)</f>
        <v/>
      </c>
      <c r="L772" s="111">
        <f>IF('Deal maths'!Y772="",0,'Deal maths'!Y772)</f>
        <v/>
      </c>
      <c r="M772" s="112">
        <f>F772+(F772=0)</f>
        <v/>
      </c>
      <c r="N772" s="108">
        <f>IFERROR(IF(D772=0,0,INT(((YEAR('Deal maths'!AA772)-YEAR(E772))*12+MONTH('Deal maths'!AA772)-MONTH(E772)-(DAY('Deal maths'!AA772)&lt;MIN(R772,DAY(EOMONTH('Deal maths'!AA772,0)))))/D772)+1),0)</f>
        <v/>
      </c>
      <c r="O772" s="108">
        <f>IFERROR(IF(D772=0,0,IF(IF(DAY(E772+1)=1,EOMONTH(E772,(N772-1)*D772),EDATE(E772,(N772-1)*D772))='Deal maths'!AA772,0,1)),0)</f>
        <v/>
      </c>
      <c r="P772" s="113">
        <f>IF(B772=0,0,IFERROR(IF(C772="EIP",((I772-O772)*((IF(DAY(E772+1)=1,EOMONTH(E772,H772*D772),EDATE(E772,H772*D772))-AsAt)/365.25+(IF(DAY(E772+1)=1,EOMONTH(E772,(N772-1)*D772),EDATE(E772,(N772-1)*D772))-AsAt)/365.25)/2+O772*('Deal maths'!AA772-AsAt)/365.25)/I772,IF(C772="Annuity",IF(F772&gt;0,((K772-L772*F772)*((IF(DAY(E772+1)=1,EOMONTH(E772,H772*D772),EDATE(E772,H772*D772))-AsAt)/365.25*((1+F772)^(I772-O772)-1)/F772+IF((I772-O772)&gt;1,((IF(DAY(E772+1)=1,EOMONTH(E772,(N772-1)*D772),EDATE(E772,(N772-1)*D772))-AsAt)/365.25-(IF(DAY(E772+1)=1,EOMONTH(E772,H772*D772),EDATE(E772,H772*D772))-AsAt)/365.25)/((I772-O772)-1),0)*(1+F772)*(1-(I772-O772)*(1+F772)^((I772-O772)-1)+((I772-O772)-1)*(1+F772)^(I772-O772))/F772^2)+O772*(K772-L772*F772)*(1+F772)^(I772-1)*('Deal maths'!AA772-AsAt)/365.25)/L772,((I772-O772)*((IF(DAY(E772+1)=1,EOMONTH(E772,H772*D772),EDATE(E772,H772*D772))-AsAt)/365.25+(IF(DAY(E772+1)=1,EOMONTH(E772,(N772-1)*D772),EDATE(E772,(N772-1)*D772))-AsAt)/365.25)/2+O772*('Deal maths'!AA772-AsAt)/365.25)/I772),(S772-AsAt)/365.25)),0))</f>
        <v/>
      </c>
      <c r="Q772" s="109">
        <f>IF(B772=1,'Deal maths'!AA772+ROW()/1000000,"")</f>
        <v/>
      </c>
      <c r="R772" s="108">
        <f>IF(D772=0,0,IF(DAY(E772+1)=1,31,DAY(E772)))</f>
        <v/>
      </c>
      <c r="S772" s="109">
        <f>IF(AND('Deal maths'!V772="LOBO",'Deal maths'!AG772&gt;AsAt,'Deal maths'!AG772&lt;'Deal maths'!AA772),'Deal maths'!AG772,'Deal maths'!AA772)</f>
        <v/>
      </c>
      <c r="T772" s="108">
        <f>('Deal maths'!AA772&gt;AsAt)*('Deal maths'!Y772&gt;0)</f>
        <v/>
      </c>
    </row>
    <row r="773">
      <c r="A773" s="91">
        <f>IF('Deal maths'!V773="","",'Deal maths'!W773)</f>
        <v/>
      </c>
      <c r="B773" s="108">
        <f>('Deal maths'!AA773&gt;AsAt)*('Deal maths'!Y773&gt;0)*('Deal maths'!Z773&lt;=AsAt)</f>
        <v/>
      </c>
      <c r="C773" s="91">
        <f>IF('Deal maths'!V773="","",IF('Deal maths'!AC773="","Maturity",'Deal maths'!AC773))</f>
        <v/>
      </c>
      <c r="D773" s="108">
        <f>IF(OR(C773="EIP",C773="Annuity"),IF('Deal maths'!AD773="Annual",12,IF('Deal maths'!AD773="Quarterly",3,6)),0)</f>
        <v/>
      </c>
      <c r="E773" s="109">
        <f>IFERROR(IF(D773=0,0,IF('Deal maths'!AE773&gt;0,IF('Deal maths'!AE773&gt;'Deal maths'!AA773,'Deal maths'!AA773,'Deal maths'!AE773),IF(IF(DAY('Deal maths'!AA773+1)=1,EOMONTH('Deal maths'!AA773,-(INT(((YEAR('Deal maths'!AA773)-YEAR(IF('Deal maths'!Z773&gt;0,'Deal maths'!Z773,DATE(1990,1,1))))*12+MONTH('Deal maths'!AA773)-MONTH(IF('Deal maths'!Z773&gt;0,'Deal maths'!Z773,DATE(1990,1,1))))/D773))*D773),EDATE('Deal maths'!AA773,-(INT(((YEAR('Deal maths'!AA773)-YEAR(IF('Deal maths'!Z773&gt;0,'Deal maths'!Z773,DATE(1990,1,1))))*12+MONTH('Deal maths'!AA773)-MONTH(IF('Deal maths'!Z773&gt;0,'Deal maths'!Z773,DATE(1990,1,1))))/D773))*D773))&gt;IF('Deal maths'!Z773&gt;0,'Deal maths'!Z773,DATE(1990,1,1)),IF(DAY('Deal maths'!AA773+1)=1,EOMONTH('Deal maths'!AA773,-(INT(((YEAR('Deal maths'!AA773)-YEAR(IF('Deal maths'!Z773&gt;0,'Deal maths'!Z773,DATE(1990,1,1))))*12+MONTH('Deal maths'!AA773)-MONTH(IF('Deal maths'!Z773&gt;0,'Deal maths'!Z773,DATE(1990,1,1))))/D773))*D773),EDATE('Deal maths'!AA773,-(INT(((YEAR('Deal maths'!AA773)-YEAR(IF('Deal maths'!Z773&gt;0,'Deal maths'!Z773,DATE(1990,1,1))))*12+MONTH('Deal maths'!AA773)-MONTH(IF('Deal maths'!Z773&gt;0,'Deal maths'!Z773,DATE(1990,1,1))))/D773))*D773)),IF(DAY('Deal maths'!AA773+1)=1,EOMONTH('Deal maths'!AA773,-(INT(((YEAR('Deal maths'!AA773)-YEAR(IF('Deal maths'!Z773&gt;0,'Deal maths'!Z773,DATE(1990,1,1))))*12+MONTH('Deal maths'!AA773)-MONTH(IF('Deal maths'!Z773&gt;0,'Deal maths'!Z773,DATE(1990,1,1))))/D773)-1)*D773),EDATE('Deal maths'!AA773,-(INT(((YEAR('Deal maths'!AA773)-YEAR(IF('Deal maths'!Z773&gt;0,'Deal maths'!Z773,DATE(1990,1,1))))*12+MONTH('Deal maths'!AA773)-MONTH(IF('Deal maths'!Z773&gt;0,'Deal maths'!Z773,DATE(1990,1,1))))/D773)-1)*D773))))),0)</f>
        <v/>
      </c>
      <c r="F773" s="110">
        <f>IF(D773=0,0,'Deal maths'!AB773*D773/12)</f>
        <v/>
      </c>
      <c r="G773" s="108">
        <f>N773+O773</f>
        <v/>
      </c>
      <c r="H773" s="108">
        <f>IFERROR(IF(OR(D773=0,AsAt&lt;E773),0,MIN(N773,INT(((YEAR(AsAt)-YEAR(E773))*12+MONTH(AsAt)-MONTH(E773)-(DAY(AsAt)&lt;MIN(R773,DAY(EOMONTH(AsAt,0)))))/D773)+1)+O773*(AsAt&gt;='Deal maths'!AA773)),0)</f>
        <v/>
      </c>
      <c r="I773" s="108">
        <f>G773-H773</f>
        <v/>
      </c>
      <c r="J773" s="111">
        <f>IF(AND(C773="EIP",I773&gt;0),'Deal maths'!Y773/I773,0)</f>
        <v/>
      </c>
      <c r="K773" s="111">
        <f>IF(AND(C773="Annuity",I773&gt;0),IF(F773&gt;0,'Deal maths'!Y773*F773/(1-(1+F773)^-I773),'Deal maths'!Y773/I773),0)</f>
        <v/>
      </c>
      <c r="L773" s="111">
        <f>IF('Deal maths'!Y773="",0,'Deal maths'!Y773)</f>
        <v/>
      </c>
      <c r="M773" s="112">
        <f>F773+(F773=0)</f>
        <v/>
      </c>
      <c r="N773" s="108">
        <f>IFERROR(IF(D773=0,0,INT(((YEAR('Deal maths'!AA773)-YEAR(E773))*12+MONTH('Deal maths'!AA773)-MONTH(E773)-(DAY('Deal maths'!AA773)&lt;MIN(R773,DAY(EOMONTH('Deal maths'!AA773,0)))))/D773)+1),0)</f>
        <v/>
      </c>
      <c r="O773" s="108">
        <f>IFERROR(IF(D773=0,0,IF(IF(DAY(E773+1)=1,EOMONTH(E773,(N773-1)*D773),EDATE(E773,(N773-1)*D773))='Deal maths'!AA773,0,1)),0)</f>
        <v/>
      </c>
      <c r="P773" s="113">
        <f>IF(B773=0,0,IFERROR(IF(C773="EIP",((I773-O773)*((IF(DAY(E773+1)=1,EOMONTH(E773,H773*D773),EDATE(E773,H773*D773))-AsAt)/365.25+(IF(DAY(E773+1)=1,EOMONTH(E773,(N773-1)*D773),EDATE(E773,(N773-1)*D773))-AsAt)/365.25)/2+O773*('Deal maths'!AA773-AsAt)/365.25)/I773,IF(C773="Annuity",IF(F773&gt;0,((K773-L773*F773)*((IF(DAY(E773+1)=1,EOMONTH(E773,H773*D773),EDATE(E773,H773*D773))-AsAt)/365.25*((1+F773)^(I773-O773)-1)/F773+IF((I773-O773)&gt;1,((IF(DAY(E773+1)=1,EOMONTH(E773,(N773-1)*D773),EDATE(E773,(N773-1)*D773))-AsAt)/365.25-(IF(DAY(E773+1)=1,EOMONTH(E773,H773*D773),EDATE(E773,H773*D773))-AsAt)/365.25)/((I773-O773)-1),0)*(1+F773)*(1-(I773-O773)*(1+F773)^((I773-O773)-1)+((I773-O773)-1)*(1+F773)^(I773-O773))/F773^2)+O773*(K773-L773*F773)*(1+F773)^(I773-1)*('Deal maths'!AA773-AsAt)/365.25)/L773,((I773-O773)*((IF(DAY(E773+1)=1,EOMONTH(E773,H773*D773),EDATE(E773,H773*D773))-AsAt)/365.25+(IF(DAY(E773+1)=1,EOMONTH(E773,(N773-1)*D773),EDATE(E773,(N773-1)*D773))-AsAt)/365.25)/2+O773*('Deal maths'!AA773-AsAt)/365.25)/I773),(S773-AsAt)/365.25)),0))</f>
        <v/>
      </c>
      <c r="Q773" s="109">
        <f>IF(B773=1,'Deal maths'!AA773+ROW()/1000000,"")</f>
        <v/>
      </c>
      <c r="R773" s="108">
        <f>IF(D773=0,0,IF(DAY(E773+1)=1,31,DAY(E773)))</f>
        <v/>
      </c>
      <c r="S773" s="109">
        <f>IF(AND('Deal maths'!V773="LOBO",'Deal maths'!AG773&gt;AsAt,'Deal maths'!AG773&lt;'Deal maths'!AA773),'Deal maths'!AG773,'Deal maths'!AA773)</f>
        <v/>
      </c>
      <c r="T773" s="108">
        <f>('Deal maths'!AA773&gt;AsAt)*('Deal maths'!Y773&gt;0)</f>
        <v/>
      </c>
    </row>
    <row r="774">
      <c r="A774" s="91">
        <f>IF('Deal maths'!V774="","",'Deal maths'!W774)</f>
        <v/>
      </c>
      <c r="B774" s="108">
        <f>('Deal maths'!AA774&gt;AsAt)*('Deal maths'!Y774&gt;0)*('Deal maths'!Z774&lt;=AsAt)</f>
        <v/>
      </c>
      <c r="C774" s="91">
        <f>IF('Deal maths'!V774="","",IF('Deal maths'!AC774="","Maturity",'Deal maths'!AC774))</f>
        <v/>
      </c>
      <c r="D774" s="108">
        <f>IF(OR(C774="EIP",C774="Annuity"),IF('Deal maths'!AD774="Annual",12,IF('Deal maths'!AD774="Quarterly",3,6)),0)</f>
        <v/>
      </c>
      <c r="E774" s="109">
        <f>IFERROR(IF(D774=0,0,IF('Deal maths'!AE774&gt;0,IF('Deal maths'!AE774&gt;'Deal maths'!AA774,'Deal maths'!AA774,'Deal maths'!AE774),IF(IF(DAY('Deal maths'!AA774+1)=1,EOMONTH('Deal maths'!AA774,-(INT(((YEAR('Deal maths'!AA774)-YEAR(IF('Deal maths'!Z774&gt;0,'Deal maths'!Z774,DATE(1990,1,1))))*12+MONTH('Deal maths'!AA774)-MONTH(IF('Deal maths'!Z774&gt;0,'Deal maths'!Z774,DATE(1990,1,1))))/D774))*D774),EDATE('Deal maths'!AA774,-(INT(((YEAR('Deal maths'!AA774)-YEAR(IF('Deal maths'!Z774&gt;0,'Deal maths'!Z774,DATE(1990,1,1))))*12+MONTH('Deal maths'!AA774)-MONTH(IF('Deal maths'!Z774&gt;0,'Deal maths'!Z774,DATE(1990,1,1))))/D774))*D774))&gt;IF('Deal maths'!Z774&gt;0,'Deal maths'!Z774,DATE(1990,1,1)),IF(DAY('Deal maths'!AA774+1)=1,EOMONTH('Deal maths'!AA774,-(INT(((YEAR('Deal maths'!AA774)-YEAR(IF('Deal maths'!Z774&gt;0,'Deal maths'!Z774,DATE(1990,1,1))))*12+MONTH('Deal maths'!AA774)-MONTH(IF('Deal maths'!Z774&gt;0,'Deal maths'!Z774,DATE(1990,1,1))))/D774))*D774),EDATE('Deal maths'!AA774,-(INT(((YEAR('Deal maths'!AA774)-YEAR(IF('Deal maths'!Z774&gt;0,'Deal maths'!Z774,DATE(1990,1,1))))*12+MONTH('Deal maths'!AA774)-MONTH(IF('Deal maths'!Z774&gt;0,'Deal maths'!Z774,DATE(1990,1,1))))/D774))*D774)),IF(DAY('Deal maths'!AA774+1)=1,EOMONTH('Deal maths'!AA774,-(INT(((YEAR('Deal maths'!AA774)-YEAR(IF('Deal maths'!Z774&gt;0,'Deal maths'!Z774,DATE(1990,1,1))))*12+MONTH('Deal maths'!AA774)-MONTH(IF('Deal maths'!Z774&gt;0,'Deal maths'!Z774,DATE(1990,1,1))))/D774)-1)*D774),EDATE('Deal maths'!AA774,-(INT(((YEAR('Deal maths'!AA774)-YEAR(IF('Deal maths'!Z774&gt;0,'Deal maths'!Z774,DATE(1990,1,1))))*12+MONTH('Deal maths'!AA774)-MONTH(IF('Deal maths'!Z774&gt;0,'Deal maths'!Z774,DATE(1990,1,1))))/D774)-1)*D774))))),0)</f>
        <v/>
      </c>
      <c r="F774" s="110">
        <f>IF(D774=0,0,'Deal maths'!AB774*D774/12)</f>
        <v/>
      </c>
      <c r="G774" s="108">
        <f>N774+O774</f>
        <v/>
      </c>
      <c r="H774" s="108">
        <f>IFERROR(IF(OR(D774=0,AsAt&lt;E774),0,MIN(N774,INT(((YEAR(AsAt)-YEAR(E774))*12+MONTH(AsAt)-MONTH(E774)-(DAY(AsAt)&lt;MIN(R774,DAY(EOMONTH(AsAt,0)))))/D774)+1)+O774*(AsAt&gt;='Deal maths'!AA774)),0)</f>
        <v/>
      </c>
      <c r="I774" s="108">
        <f>G774-H774</f>
        <v/>
      </c>
      <c r="J774" s="111">
        <f>IF(AND(C774="EIP",I774&gt;0),'Deal maths'!Y774/I774,0)</f>
        <v/>
      </c>
      <c r="K774" s="111">
        <f>IF(AND(C774="Annuity",I774&gt;0),IF(F774&gt;0,'Deal maths'!Y774*F774/(1-(1+F774)^-I774),'Deal maths'!Y774/I774),0)</f>
        <v/>
      </c>
      <c r="L774" s="111">
        <f>IF('Deal maths'!Y774="",0,'Deal maths'!Y774)</f>
        <v/>
      </c>
      <c r="M774" s="112">
        <f>F774+(F774=0)</f>
        <v/>
      </c>
      <c r="N774" s="108">
        <f>IFERROR(IF(D774=0,0,INT(((YEAR('Deal maths'!AA774)-YEAR(E774))*12+MONTH('Deal maths'!AA774)-MONTH(E774)-(DAY('Deal maths'!AA774)&lt;MIN(R774,DAY(EOMONTH('Deal maths'!AA774,0)))))/D774)+1),0)</f>
        <v/>
      </c>
      <c r="O774" s="108">
        <f>IFERROR(IF(D774=0,0,IF(IF(DAY(E774+1)=1,EOMONTH(E774,(N774-1)*D774),EDATE(E774,(N774-1)*D774))='Deal maths'!AA774,0,1)),0)</f>
        <v/>
      </c>
      <c r="P774" s="113">
        <f>IF(B774=0,0,IFERROR(IF(C774="EIP",((I774-O774)*((IF(DAY(E774+1)=1,EOMONTH(E774,H774*D774),EDATE(E774,H774*D774))-AsAt)/365.25+(IF(DAY(E774+1)=1,EOMONTH(E774,(N774-1)*D774),EDATE(E774,(N774-1)*D774))-AsAt)/365.25)/2+O774*('Deal maths'!AA774-AsAt)/365.25)/I774,IF(C774="Annuity",IF(F774&gt;0,((K774-L774*F774)*((IF(DAY(E774+1)=1,EOMONTH(E774,H774*D774),EDATE(E774,H774*D774))-AsAt)/365.25*((1+F774)^(I774-O774)-1)/F774+IF((I774-O774)&gt;1,((IF(DAY(E774+1)=1,EOMONTH(E774,(N774-1)*D774),EDATE(E774,(N774-1)*D774))-AsAt)/365.25-(IF(DAY(E774+1)=1,EOMONTH(E774,H774*D774),EDATE(E774,H774*D774))-AsAt)/365.25)/((I774-O774)-1),0)*(1+F774)*(1-(I774-O774)*(1+F774)^((I774-O774)-1)+((I774-O774)-1)*(1+F774)^(I774-O774))/F774^2)+O774*(K774-L774*F774)*(1+F774)^(I774-1)*('Deal maths'!AA774-AsAt)/365.25)/L774,((I774-O774)*((IF(DAY(E774+1)=1,EOMONTH(E774,H774*D774),EDATE(E774,H774*D774))-AsAt)/365.25+(IF(DAY(E774+1)=1,EOMONTH(E774,(N774-1)*D774),EDATE(E774,(N774-1)*D774))-AsAt)/365.25)/2+O774*('Deal maths'!AA774-AsAt)/365.25)/I774),(S774-AsAt)/365.25)),0))</f>
        <v/>
      </c>
      <c r="Q774" s="109">
        <f>IF(B774=1,'Deal maths'!AA774+ROW()/1000000,"")</f>
        <v/>
      </c>
      <c r="R774" s="108">
        <f>IF(D774=0,0,IF(DAY(E774+1)=1,31,DAY(E774)))</f>
        <v/>
      </c>
      <c r="S774" s="109">
        <f>IF(AND('Deal maths'!V774="LOBO",'Deal maths'!AG774&gt;AsAt,'Deal maths'!AG774&lt;'Deal maths'!AA774),'Deal maths'!AG774,'Deal maths'!AA774)</f>
        <v/>
      </c>
      <c r="T774" s="108">
        <f>('Deal maths'!AA774&gt;AsAt)*('Deal maths'!Y774&gt;0)</f>
        <v/>
      </c>
    </row>
    <row r="775">
      <c r="A775" s="91">
        <f>IF('Deal maths'!V775="","",'Deal maths'!W775)</f>
        <v/>
      </c>
      <c r="B775" s="108">
        <f>('Deal maths'!AA775&gt;AsAt)*('Deal maths'!Y775&gt;0)*('Deal maths'!Z775&lt;=AsAt)</f>
        <v/>
      </c>
      <c r="C775" s="91">
        <f>IF('Deal maths'!V775="","",IF('Deal maths'!AC775="","Maturity",'Deal maths'!AC775))</f>
        <v/>
      </c>
      <c r="D775" s="108">
        <f>IF(OR(C775="EIP",C775="Annuity"),IF('Deal maths'!AD775="Annual",12,IF('Deal maths'!AD775="Quarterly",3,6)),0)</f>
        <v/>
      </c>
      <c r="E775" s="109">
        <f>IFERROR(IF(D775=0,0,IF('Deal maths'!AE775&gt;0,IF('Deal maths'!AE775&gt;'Deal maths'!AA775,'Deal maths'!AA775,'Deal maths'!AE775),IF(IF(DAY('Deal maths'!AA775+1)=1,EOMONTH('Deal maths'!AA775,-(INT(((YEAR('Deal maths'!AA775)-YEAR(IF('Deal maths'!Z775&gt;0,'Deal maths'!Z775,DATE(1990,1,1))))*12+MONTH('Deal maths'!AA775)-MONTH(IF('Deal maths'!Z775&gt;0,'Deal maths'!Z775,DATE(1990,1,1))))/D775))*D775),EDATE('Deal maths'!AA775,-(INT(((YEAR('Deal maths'!AA775)-YEAR(IF('Deal maths'!Z775&gt;0,'Deal maths'!Z775,DATE(1990,1,1))))*12+MONTH('Deal maths'!AA775)-MONTH(IF('Deal maths'!Z775&gt;0,'Deal maths'!Z775,DATE(1990,1,1))))/D775))*D775))&gt;IF('Deal maths'!Z775&gt;0,'Deal maths'!Z775,DATE(1990,1,1)),IF(DAY('Deal maths'!AA775+1)=1,EOMONTH('Deal maths'!AA775,-(INT(((YEAR('Deal maths'!AA775)-YEAR(IF('Deal maths'!Z775&gt;0,'Deal maths'!Z775,DATE(1990,1,1))))*12+MONTH('Deal maths'!AA775)-MONTH(IF('Deal maths'!Z775&gt;0,'Deal maths'!Z775,DATE(1990,1,1))))/D775))*D775),EDATE('Deal maths'!AA775,-(INT(((YEAR('Deal maths'!AA775)-YEAR(IF('Deal maths'!Z775&gt;0,'Deal maths'!Z775,DATE(1990,1,1))))*12+MONTH('Deal maths'!AA775)-MONTH(IF('Deal maths'!Z775&gt;0,'Deal maths'!Z775,DATE(1990,1,1))))/D775))*D775)),IF(DAY('Deal maths'!AA775+1)=1,EOMONTH('Deal maths'!AA775,-(INT(((YEAR('Deal maths'!AA775)-YEAR(IF('Deal maths'!Z775&gt;0,'Deal maths'!Z775,DATE(1990,1,1))))*12+MONTH('Deal maths'!AA775)-MONTH(IF('Deal maths'!Z775&gt;0,'Deal maths'!Z775,DATE(1990,1,1))))/D775)-1)*D775),EDATE('Deal maths'!AA775,-(INT(((YEAR('Deal maths'!AA775)-YEAR(IF('Deal maths'!Z775&gt;0,'Deal maths'!Z775,DATE(1990,1,1))))*12+MONTH('Deal maths'!AA775)-MONTH(IF('Deal maths'!Z775&gt;0,'Deal maths'!Z775,DATE(1990,1,1))))/D775)-1)*D775))))),0)</f>
        <v/>
      </c>
      <c r="F775" s="110">
        <f>IF(D775=0,0,'Deal maths'!AB775*D775/12)</f>
        <v/>
      </c>
      <c r="G775" s="108">
        <f>N775+O775</f>
        <v/>
      </c>
      <c r="H775" s="108">
        <f>IFERROR(IF(OR(D775=0,AsAt&lt;E775),0,MIN(N775,INT(((YEAR(AsAt)-YEAR(E775))*12+MONTH(AsAt)-MONTH(E775)-(DAY(AsAt)&lt;MIN(R775,DAY(EOMONTH(AsAt,0)))))/D775)+1)+O775*(AsAt&gt;='Deal maths'!AA775)),0)</f>
        <v/>
      </c>
      <c r="I775" s="108">
        <f>G775-H775</f>
        <v/>
      </c>
      <c r="J775" s="111">
        <f>IF(AND(C775="EIP",I775&gt;0),'Deal maths'!Y775/I775,0)</f>
        <v/>
      </c>
      <c r="K775" s="111">
        <f>IF(AND(C775="Annuity",I775&gt;0),IF(F775&gt;0,'Deal maths'!Y775*F775/(1-(1+F775)^-I775),'Deal maths'!Y775/I775),0)</f>
        <v/>
      </c>
      <c r="L775" s="111">
        <f>IF('Deal maths'!Y775="",0,'Deal maths'!Y775)</f>
        <v/>
      </c>
      <c r="M775" s="112">
        <f>F775+(F775=0)</f>
        <v/>
      </c>
      <c r="N775" s="108">
        <f>IFERROR(IF(D775=0,0,INT(((YEAR('Deal maths'!AA775)-YEAR(E775))*12+MONTH('Deal maths'!AA775)-MONTH(E775)-(DAY('Deal maths'!AA775)&lt;MIN(R775,DAY(EOMONTH('Deal maths'!AA775,0)))))/D775)+1),0)</f>
        <v/>
      </c>
      <c r="O775" s="108">
        <f>IFERROR(IF(D775=0,0,IF(IF(DAY(E775+1)=1,EOMONTH(E775,(N775-1)*D775),EDATE(E775,(N775-1)*D775))='Deal maths'!AA775,0,1)),0)</f>
        <v/>
      </c>
      <c r="P775" s="113">
        <f>IF(B775=0,0,IFERROR(IF(C775="EIP",((I775-O775)*((IF(DAY(E775+1)=1,EOMONTH(E775,H775*D775),EDATE(E775,H775*D775))-AsAt)/365.25+(IF(DAY(E775+1)=1,EOMONTH(E775,(N775-1)*D775),EDATE(E775,(N775-1)*D775))-AsAt)/365.25)/2+O775*('Deal maths'!AA775-AsAt)/365.25)/I775,IF(C775="Annuity",IF(F775&gt;0,((K775-L775*F775)*((IF(DAY(E775+1)=1,EOMONTH(E775,H775*D775),EDATE(E775,H775*D775))-AsAt)/365.25*((1+F775)^(I775-O775)-1)/F775+IF((I775-O775)&gt;1,((IF(DAY(E775+1)=1,EOMONTH(E775,(N775-1)*D775),EDATE(E775,(N775-1)*D775))-AsAt)/365.25-(IF(DAY(E775+1)=1,EOMONTH(E775,H775*D775),EDATE(E775,H775*D775))-AsAt)/365.25)/((I775-O775)-1),0)*(1+F775)*(1-(I775-O775)*(1+F775)^((I775-O775)-1)+((I775-O775)-1)*(1+F775)^(I775-O775))/F775^2)+O775*(K775-L775*F775)*(1+F775)^(I775-1)*('Deal maths'!AA775-AsAt)/365.25)/L775,((I775-O775)*((IF(DAY(E775+1)=1,EOMONTH(E775,H775*D775),EDATE(E775,H775*D775))-AsAt)/365.25+(IF(DAY(E775+1)=1,EOMONTH(E775,(N775-1)*D775),EDATE(E775,(N775-1)*D775))-AsAt)/365.25)/2+O775*('Deal maths'!AA775-AsAt)/365.25)/I775),(S775-AsAt)/365.25)),0))</f>
        <v/>
      </c>
      <c r="Q775" s="109">
        <f>IF(B775=1,'Deal maths'!AA775+ROW()/1000000,"")</f>
        <v/>
      </c>
      <c r="R775" s="108">
        <f>IF(D775=0,0,IF(DAY(E775+1)=1,31,DAY(E775)))</f>
        <v/>
      </c>
      <c r="S775" s="109">
        <f>IF(AND('Deal maths'!V775="LOBO",'Deal maths'!AG775&gt;AsAt,'Deal maths'!AG775&lt;'Deal maths'!AA775),'Deal maths'!AG775,'Deal maths'!AA775)</f>
        <v/>
      </c>
      <c r="T775" s="108">
        <f>('Deal maths'!AA775&gt;AsAt)*('Deal maths'!Y775&gt;0)</f>
        <v/>
      </c>
    </row>
    <row r="776">
      <c r="A776" s="91">
        <f>IF('Deal maths'!V776="","",'Deal maths'!W776)</f>
        <v/>
      </c>
      <c r="B776" s="108">
        <f>('Deal maths'!AA776&gt;AsAt)*('Deal maths'!Y776&gt;0)*('Deal maths'!Z776&lt;=AsAt)</f>
        <v/>
      </c>
      <c r="C776" s="91">
        <f>IF('Deal maths'!V776="","",IF('Deal maths'!AC776="","Maturity",'Deal maths'!AC776))</f>
        <v/>
      </c>
      <c r="D776" s="108">
        <f>IF(OR(C776="EIP",C776="Annuity"),IF('Deal maths'!AD776="Annual",12,IF('Deal maths'!AD776="Quarterly",3,6)),0)</f>
        <v/>
      </c>
      <c r="E776" s="109">
        <f>IFERROR(IF(D776=0,0,IF('Deal maths'!AE776&gt;0,IF('Deal maths'!AE776&gt;'Deal maths'!AA776,'Deal maths'!AA776,'Deal maths'!AE776),IF(IF(DAY('Deal maths'!AA776+1)=1,EOMONTH('Deal maths'!AA776,-(INT(((YEAR('Deal maths'!AA776)-YEAR(IF('Deal maths'!Z776&gt;0,'Deal maths'!Z776,DATE(1990,1,1))))*12+MONTH('Deal maths'!AA776)-MONTH(IF('Deal maths'!Z776&gt;0,'Deal maths'!Z776,DATE(1990,1,1))))/D776))*D776),EDATE('Deal maths'!AA776,-(INT(((YEAR('Deal maths'!AA776)-YEAR(IF('Deal maths'!Z776&gt;0,'Deal maths'!Z776,DATE(1990,1,1))))*12+MONTH('Deal maths'!AA776)-MONTH(IF('Deal maths'!Z776&gt;0,'Deal maths'!Z776,DATE(1990,1,1))))/D776))*D776))&gt;IF('Deal maths'!Z776&gt;0,'Deal maths'!Z776,DATE(1990,1,1)),IF(DAY('Deal maths'!AA776+1)=1,EOMONTH('Deal maths'!AA776,-(INT(((YEAR('Deal maths'!AA776)-YEAR(IF('Deal maths'!Z776&gt;0,'Deal maths'!Z776,DATE(1990,1,1))))*12+MONTH('Deal maths'!AA776)-MONTH(IF('Deal maths'!Z776&gt;0,'Deal maths'!Z776,DATE(1990,1,1))))/D776))*D776),EDATE('Deal maths'!AA776,-(INT(((YEAR('Deal maths'!AA776)-YEAR(IF('Deal maths'!Z776&gt;0,'Deal maths'!Z776,DATE(1990,1,1))))*12+MONTH('Deal maths'!AA776)-MONTH(IF('Deal maths'!Z776&gt;0,'Deal maths'!Z776,DATE(1990,1,1))))/D776))*D776)),IF(DAY('Deal maths'!AA776+1)=1,EOMONTH('Deal maths'!AA776,-(INT(((YEAR('Deal maths'!AA776)-YEAR(IF('Deal maths'!Z776&gt;0,'Deal maths'!Z776,DATE(1990,1,1))))*12+MONTH('Deal maths'!AA776)-MONTH(IF('Deal maths'!Z776&gt;0,'Deal maths'!Z776,DATE(1990,1,1))))/D776)-1)*D776),EDATE('Deal maths'!AA776,-(INT(((YEAR('Deal maths'!AA776)-YEAR(IF('Deal maths'!Z776&gt;0,'Deal maths'!Z776,DATE(1990,1,1))))*12+MONTH('Deal maths'!AA776)-MONTH(IF('Deal maths'!Z776&gt;0,'Deal maths'!Z776,DATE(1990,1,1))))/D776)-1)*D776))))),0)</f>
        <v/>
      </c>
      <c r="F776" s="110">
        <f>IF(D776=0,0,'Deal maths'!AB776*D776/12)</f>
        <v/>
      </c>
      <c r="G776" s="108">
        <f>N776+O776</f>
        <v/>
      </c>
      <c r="H776" s="108">
        <f>IFERROR(IF(OR(D776=0,AsAt&lt;E776),0,MIN(N776,INT(((YEAR(AsAt)-YEAR(E776))*12+MONTH(AsAt)-MONTH(E776)-(DAY(AsAt)&lt;MIN(R776,DAY(EOMONTH(AsAt,0)))))/D776)+1)+O776*(AsAt&gt;='Deal maths'!AA776)),0)</f>
        <v/>
      </c>
      <c r="I776" s="108">
        <f>G776-H776</f>
        <v/>
      </c>
      <c r="J776" s="111">
        <f>IF(AND(C776="EIP",I776&gt;0),'Deal maths'!Y776/I776,0)</f>
        <v/>
      </c>
      <c r="K776" s="111">
        <f>IF(AND(C776="Annuity",I776&gt;0),IF(F776&gt;0,'Deal maths'!Y776*F776/(1-(1+F776)^-I776),'Deal maths'!Y776/I776),0)</f>
        <v/>
      </c>
      <c r="L776" s="111">
        <f>IF('Deal maths'!Y776="",0,'Deal maths'!Y776)</f>
        <v/>
      </c>
      <c r="M776" s="112">
        <f>F776+(F776=0)</f>
        <v/>
      </c>
      <c r="N776" s="108">
        <f>IFERROR(IF(D776=0,0,INT(((YEAR('Deal maths'!AA776)-YEAR(E776))*12+MONTH('Deal maths'!AA776)-MONTH(E776)-(DAY('Deal maths'!AA776)&lt;MIN(R776,DAY(EOMONTH('Deal maths'!AA776,0)))))/D776)+1),0)</f>
        <v/>
      </c>
      <c r="O776" s="108">
        <f>IFERROR(IF(D776=0,0,IF(IF(DAY(E776+1)=1,EOMONTH(E776,(N776-1)*D776),EDATE(E776,(N776-1)*D776))='Deal maths'!AA776,0,1)),0)</f>
        <v/>
      </c>
      <c r="P776" s="113">
        <f>IF(B776=0,0,IFERROR(IF(C776="EIP",((I776-O776)*((IF(DAY(E776+1)=1,EOMONTH(E776,H776*D776),EDATE(E776,H776*D776))-AsAt)/365.25+(IF(DAY(E776+1)=1,EOMONTH(E776,(N776-1)*D776),EDATE(E776,(N776-1)*D776))-AsAt)/365.25)/2+O776*('Deal maths'!AA776-AsAt)/365.25)/I776,IF(C776="Annuity",IF(F776&gt;0,((K776-L776*F776)*((IF(DAY(E776+1)=1,EOMONTH(E776,H776*D776),EDATE(E776,H776*D776))-AsAt)/365.25*((1+F776)^(I776-O776)-1)/F776+IF((I776-O776)&gt;1,((IF(DAY(E776+1)=1,EOMONTH(E776,(N776-1)*D776),EDATE(E776,(N776-1)*D776))-AsAt)/365.25-(IF(DAY(E776+1)=1,EOMONTH(E776,H776*D776),EDATE(E776,H776*D776))-AsAt)/365.25)/((I776-O776)-1),0)*(1+F776)*(1-(I776-O776)*(1+F776)^((I776-O776)-1)+((I776-O776)-1)*(1+F776)^(I776-O776))/F776^2)+O776*(K776-L776*F776)*(1+F776)^(I776-1)*('Deal maths'!AA776-AsAt)/365.25)/L776,((I776-O776)*((IF(DAY(E776+1)=1,EOMONTH(E776,H776*D776),EDATE(E776,H776*D776))-AsAt)/365.25+(IF(DAY(E776+1)=1,EOMONTH(E776,(N776-1)*D776),EDATE(E776,(N776-1)*D776))-AsAt)/365.25)/2+O776*('Deal maths'!AA776-AsAt)/365.25)/I776),(S776-AsAt)/365.25)),0))</f>
        <v/>
      </c>
      <c r="Q776" s="109">
        <f>IF(B776=1,'Deal maths'!AA776+ROW()/1000000,"")</f>
        <v/>
      </c>
      <c r="R776" s="108">
        <f>IF(D776=0,0,IF(DAY(E776+1)=1,31,DAY(E776)))</f>
        <v/>
      </c>
      <c r="S776" s="109">
        <f>IF(AND('Deal maths'!V776="LOBO",'Deal maths'!AG776&gt;AsAt,'Deal maths'!AG776&lt;'Deal maths'!AA776),'Deal maths'!AG776,'Deal maths'!AA776)</f>
        <v/>
      </c>
      <c r="T776" s="108">
        <f>('Deal maths'!AA776&gt;AsAt)*('Deal maths'!Y776&gt;0)</f>
        <v/>
      </c>
    </row>
    <row r="777">
      <c r="A777" s="91">
        <f>IF('Deal maths'!V777="","",'Deal maths'!W777)</f>
        <v/>
      </c>
      <c r="B777" s="108">
        <f>('Deal maths'!AA777&gt;AsAt)*('Deal maths'!Y777&gt;0)*('Deal maths'!Z777&lt;=AsAt)</f>
        <v/>
      </c>
      <c r="C777" s="91">
        <f>IF('Deal maths'!V777="","",IF('Deal maths'!AC777="","Maturity",'Deal maths'!AC777))</f>
        <v/>
      </c>
      <c r="D777" s="108">
        <f>IF(OR(C777="EIP",C777="Annuity"),IF('Deal maths'!AD777="Annual",12,IF('Deal maths'!AD777="Quarterly",3,6)),0)</f>
        <v/>
      </c>
      <c r="E777" s="109">
        <f>IFERROR(IF(D777=0,0,IF('Deal maths'!AE777&gt;0,IF('Deal maths'!AE777&gt;'Deal maths'!AA777,'Deal maths'!AA777,'Deal maths'!AE777),IF(IF(DAY('Deal maths'!AA777+1)=1,EOMONTH('Deal maths'!AA777,-(INT(((YEAR('Deal maths'!AA777)-YEAR(IF('Deal maths'!Z777&gt;0,'Deal maths'!Z777,DATE(1990,1,1))))*12+MONTH('Deal maths'!AA777)-MONTH(IF('Deal maths'!Z777&gt;0,'Deal maths'!Z777,DATE(1990,1,1))))/D777))*D777),EDATE('Deal maths'!AA777,-(INT(((YEAR('Deal maths'!AA777)-YEAR(IF('Deal maths'!Z777&gt;0,'Deal maths'!Z777,DATE(1990,1,1))))*12+MONTH('Deal maths'!AA777)-MONTH(IF('Deal maths'!Z777&gt;0,'Deal maths'!Z777,DATE(1990,1,1))))/D777))*D777))&gt;IF('Deal maths'!Z777&gt;0,'Deal maths'!Z777,DATE(1990,1,1)),IF(DAY('Deal maths'!AA777+1)=1,EOMONTH('Deal maths'!AA777,-(INT(((YEAR('Deal maths'!AA777)-YEAR(IF('Deal maths'!Z777&gt;0,'Deal maths'!Z777,DATE(1990,1,1))))*12+MONTH('Deal maths'!AA777)-MONTH(IF('Deal maths'!Z777&gt;0,'Deal maths'!Z777,DATE(1990,1,1))))/D777))*D777),EDATE('Deal maths'!AA777,-(INT(((YEAR('Deal maths'!AA777)-YEAR(IF('Deal maths'!Z777&gt;0,'Deal maths'!Z777,DATE(1990,1,1))))*12+MONTH('Deal maths'!AA777)-MONTH(IF('Deal maths'!Z777&gt;0,'Deal maths'!Z777,DATE(1990,1,1))))/D777))*D777)),IF(DAY('Deal maths'!AA777+1)=1,EOMONTH('Deal maths'!AA777,-(INT(((YEAR('Deal maths'!AA777)-YEAR(IF('Deal maths'!Z777&gt;0,'Deal maths'!Z777,DATE(1990,1,1))))*12+MONTH('Deal maths'!AA777)-MONTH(IF('Deal maths'!Z777&gt;0,'Deal maths'!Z777,DATE(1990,1,1))))/D777)-1)*D777),EDATE('Deal maths'!AA777,-(INT(((YEAR('Deal maths'!AA777)-YEAR(IF('Deal maths'!Z777&gt;0,'Deal maths'!Z777,DATE(1990,1,1))))*12+MONTH('Deal maths'!AA777)-MONTH(IF('Deal maths'!Z777&gt;0,'Deal maths'!Z777,DATE(1990,1,1))))/D777)-1)*D777))))),0)</f>
        <v/>
      </c>
      <c r="F777" s="110">
        <f>IF(D777=0,0,'Deal maths'!AB777*D777/12)</f>
        <v/>
      </c>
      <c r="G777" s="108">
        <f>N777+O777</f>
        <v/>
      </c>
      <c r="H777" s="108">
        <f>IFERROR(IF(OR(D777=0,AsAt&lt;E777),0,MIN(N777,INT(((YEAR(AsAt)-YEAR(E777))*12+MONTH(AsAt)-MONTH(E777)-(DAY(AsAt)&lt;MIN(R777,DAY(EOMONTH(AsAt,0)))))/D777)+1)+O777*(AsAt&gt;='Deal maths'!AA777)),0)</f>
        <v/>
      </c>
      <c r="I777" s="108">
        <f>G777-H777</f>
        <v/>
      </c>
      <c r="J777" s="111">
        <f>IF(AND(C777="EIP",I777&gt;0),'Deal maths'!Y777/I777,0)</f>
        <v/>
      </c>
      <c r="K777" s="111">
        <f>IF(AND(C777="Annuity",I777&gt;0),IF(F777&gt;0,'Deal maths'!Y777*F777/(1-(1+F777)^-I777),'Deal maths'!Y777/I777),0)</f>
        <v/>
      </c>
      <c r="L777" s="111">
        <f>IF('Deal maths'!Y777="",0,'Deal maths'!Y777)</f>
        <v/>
      </c>
      <c r="M777" s="112">
        <f>F777+(F777=0)</f>
        <v/>
      </c>
      <c r="N777" s="108">
        <f>IFERROR(IF(D777=0,0,INT(((YEAR('Deal maths'!AA777)-YEAR(E777))*12+MONTH('Deal maths'!AA777)-MONTH(E777)-(DAY('Deal maths'!AA777)&lt;MIN(R777,DAY(EOMONTH('Deal maths'!AA777,0)))))/D777)+1),0)</f>
        <v/>
      </c>
      <c r="O777" s="108">
        <f>IFERROR(IF(D777=0,0,IF(IF(DAY(E777+1)=1,EOMONTH(E777,(N777-1)*D777),EDATE(E777,(N777-1)*D777))='Deal maths'!AA777,0,1)),0)</f>
        <v/>
      </c>
      <c r="P777" s="113">
        <f>IF(B777=0,0,IFERROR(IF(C777="EIP",((I777-O777)*((IF(DAY(E777+1)=1,EOMONTH(E777,H777*D777),EDATE(E777,H777*D777))-AsAt)/365.25+(IF(DAY(E777+1)=1,EOMONTH(E777,(N777-1)*D777),EDATE(E777,(N777-1)*D777))-AsAt)/365.25)/2+O777*('Deal maths'!AA777-AsAt)/365.25)/I777,IF(C777="Annuity",IF(F777&gt;0,((K777-L777*F777)*((IF(DAY(E777+1)=1,EOMONTH(E777,H777*D777),EDATE(E777,H777*D777))-AsAt)/365.25*((1+F777)^(I777-O777)-1)/F777+IF((I777-O777)&gt;1,((IF(DAY(E777+1)=1,EOMONTH(E777,(N777-1)*D777),EDATE(E777,(N777-1)*D777))-AsAt)/365.25-(IF(DAY(E777+1)=1,EOMONTH(E777,H777*D777),EDATE(E777,H777*D777))-AsAt)/365.25)/((I777-O777)-1),0)*(1+F777)*(1-(I777-O777)*(1+F777)^((I777-O777)-1)+((I777-O777)-1)*(1+F777)^(I777-O777))/F777^2)+O777*(K777-L777*F777)*(1+F777)^(I777-1)*('Deal maths'!AA777-AsAt)/365.25)/L777,((I777-O777)*((IF(DAY(E777+1)=1,EOMONTH(E777,H777*D777),EDATE(E777,H777*D777))-AsAt)/365.25+(IF(DAY(E777+1)=1,EOMONTH(E777,(N777-1)*D777),EDATE(E777,(N777-1)*D777))-AsAt)/365.25)/2+O777*('Deal maths'!AA777-AsAt)/365.25)/I777),(S777-AsAt)/365.25)),0))</f>
        <v/>
      </c>
      <c r="Q777" s="109">
        <f>IF(B777=1,'Deal maths'!AA777+ROW()/1000000,"")</f>
        <v/>
      </c>
      <c r="R777" s="108">
        <f>IF(D777=0,0,IF(DAY(E777+1)=1,31,DAY(E777)))</f>
        <v/>
      </c>
      <c r="S777" s="109">
        <f>IF(AND('Deal maths'!V777="LOBO",'Deal maths'!AG777&gt;AsAt,'Deal maths'!AG777&lt;'Deal maths'!AA777),'Deal maths'!AG777,'Deal maths'!AA777)</f>
        <v/>
      </c>
      <c r="T777" s="108">
        <f>('Deal maths'!AA777&gt;AsAt)*('Deal maths'!Y777&gt;0)</f>
        <v/>
      </c>
    </row>
    <row r="778">
      <c r="A778" s="91">
        <f>IF('Deal maths'!V778="","",'Deal maths'!W778)</f>
        <v/>
      </c>
      <c r="B778" s="108">
        <f>('Deal maths'!AA778&gt;AsAt)*('Deal maths'!Y778&gt;0)*('Deal maths'!Z778&lt;=AsAt)</f>
        <v/>
      </c>
      <c r="C778" s="91">
        <f>IF('Deal maths'!V778="","",IF('Deal maths'!AC778="","Maturity",'Deal maths'!AC778))</f>
        <v/>
      </c>
      <c r="D778" s="108">
        <f>IF(OR(C778="EIP",C778="Annuity"),IF('Deal maths'!AD778="Annual",12,IF('Deal maths'!AD778="Quarterly",3,6)),0)</f>
        <v/>
      </c>
      <c r="E778" s="109">
        <f>IFERROR(IF(D778=0,0,IF('Deal maths'!AE778&gt;0,IF('Deal maths'!AE778&gt;'Deal maths'!AA778,'Deal maths'!AA778,'Deal maths'!AE778),IF(IF(DAY('Deal maths'!AA778+1)=1,EOMONTH('Deal maths'!AA778,-(INT(((YEAR('Deal maths'!AA778)-YEAR(IF('Deal maths'!Z778&gt;0,'Deal maths'!Z778,DATE(1990,1,1))))*12+MONTH('Deal maths'!AA778)-MONTH(IF('Deal maths'!Z778&gt;0,'Deal maths'!Z778,DATE(1990,1,1))))/D778))*D778),EDATE('Deal maths'!AA778,-(INT(((YEAR('Deal maths'!AA778)-YEAR(IF('Deal maths'!Z778&gt;0,'Deal maths'!Z778,DATE(1990,1,1))))*12+MONTH('Deal maths'!AA778)-MONTH(IF('Deal maths'!Z778&gt;0,'Deal maths'!Z778,DATE(1990,1,1))))/D778))*D778))&gt;IF('Deal maths'!Z778&gt;0,'Deal maths'!Z778,DATE(1990,1,1)),IF(DAY('Deal maths'!AA778+1)=1,EOMONTH('Deal maths'!AA778,-(INT(((YEAR('Deal maths'!AA778)-YEAR(IF('Deal maths'!Z778&gt;0,'Deal maths'!Z778,DATE(1990,1,1))))*12+MONTH('Deal maths'!AA778)-MONTH(IF('Deal maths'!Z778&gt;0,'Deal maths'!Z778,DATE(1990,1,1))))/D778))*D778),EDATE('Deal maths'!AA778,-(INT(((YEAR('Deal maths'!AA778)-YEAR(IF('Deal maths'!Z778&gt;0,'Deal maths'!Z778,DATE(1990,1,1))))*12+MONTH('Deal maths'!AA778)-MONTH(IF('Deal maths'!Z778&gt;0,'Deal maths'!Z778,DATE(1990,1,1))))/D778))*D778)),IF(DAY('Deal maths'!AA778+1)=1,EOMONTH('Deal maths'!AA778,-(INT(((YEAR('Deal maths'!AA778)-YEAR(IF('Deal maths'!Z778&gt;0,'Deal maths'!Z778,DATE(1990,1,1))))*12+MONTH('Deal maths'!AA778)-MONTH(IF('Deal maths'!Z778&gt;0,'Deal maths'!Z778,DATE(1990,1,1))))/D778)-1)*D778),EDATE('Deal maths'!AA778,-(INT(((YEAR('Deal maths'!AA778)-YEAR(IF('Deal maths'!Z778&gt;0,'Deal maths'!Z778,DATE(1990,1,1))))*12+MONTH('Deal maths'!AA778)-MONTH(IF('Deal maths'!Z778&gt;0,'Deal maths'!Z778,DATE(1990,1,1))))/D778)-1)*D778))))),0)</f>
        <v/>
      </c>
      <c r="F778" s="110">
        <f>IF(D778=0,0,'Deal maths'!AB778*D778/12)</f>
        <v/>
      </c>
      <c r="G778" s="108">
        <f>N778+O778</f>
        <v/>
      </c>
      <c r="H778" s="108">
        <f>IFERROR(IF(OR(D778=0,AsAt&lt;E778),0,MIN(N778,INT(((YEAR(AsAt)-YEAR(E778))*12+MONTH(AsAt)-MONTH(E778)-(DAY(AsAt)&lt;MIN(R778,DAY(EOMONTH(AsAt,0)))))/D778)+1)+O778*(AsAt&gt;='Deal maths'!AA778)),0)</f>
        <v/>
      </c>
      <c r="I778" s="108">
        <f>G778-H778</f>
        <v/>
      </c>
      <c r="J778" s="111">
        <f>IF(AND(C778="EIP",I778&gt;0),'Deal maths'!Y778/I778,0)</f>
        <v/>
      </c>
      <c r="K778" s="111">
        <f>IF(AND(C778="Annuity",I778&gt;0),IF(F778&gt;0,'Deal maths'!Y778*F778/(1-(1+F778)^-I778),'Deal maths'!Y778/I778),0)</f>
        <v/>
      </c>
      <c r="L778" s="111">
        <f>IF('Deal maths'!Y778="",0,'Deal maths'!Y778)</f>
        <v/>
      </c>
      <c r="M778" s="112">
        <f>F778+(F778=0)</f>
        <v/>
      </c>
      <c r="N778" s="108">
        <f>IFERROR(IF(D778=0,0,INT(((YEAR('Deal maths'!AA778)-YEAR(E778))*12+MONTH('Deal maths'!AA778)-MONTH(E778)-(DAY('Deal maths'!AA778)&lt;MIN(R778,DAY(EOMONTH('Deal maths'!AA778,0)))))/D778)+1),0)</f>
        <v/>
      </c>
      <c r="O778" s="108">
        <f>IFERROR(IF(D778=0,0,IF(IF(DAY(E778+1)=1,EOMONTH(E778,(N778-1)*D778),EDATE(E778,(N778-1)*D778))='Deal maths'!AA778,0,1)),0)</f>
        <v/>
      </c>
      <c r="P778" s="113">
        <f>IF(B778=0,0,IFERROR(IF(C778="EIP",((I778-O778)*((IF(DAY(E778+1)=1,EOMONTH(E778,H778*D778),EDATE(E778,H778*D778))-AsAt)/365.25+(IF(DAY(E778+1)=1,EOMONTH(E778,(N778-1)*D778),EDATE(E778,(N778-1)*D778))-AsAt)/365.25)/2+O778*('Deal maths'!AA778-AsAt)/365.25)/I778,IF(C778="Annuity",IF(F778&gt;0,((K778-L778*F778)*((IF(DAY(E778+1)=1,EOMONTH(E778,H778*D778),EDATE(E778,H778*D778))-AsAt)/365.25*((1+F778)^(I778-O778)-1)/F778+IF((I778-O778)&gt;1,((IF(DAY(E778+1)=1,EOMONTH(E778,(N778-1)*D778),EDATE(E778,(N778-1)*D778))-AsAt)/365.25-(IF(DAY(E778+1)=1,EOMONTH(E778,H778*D778),EDATE(E778,H778*D778))-AsAt)/365.25)/((I778-O778)-1),0)*(1+F778)*(1-(I778-O778)*(1+F778)^((I778-O778)-1)+((I778-O778)-1)*(1+F778)^(I778-O778))/F778^2)+O778*(K778-L778*F778)*(1+F778)^(I778-1)*('Deal maths'!AA778-AsAt)/365.25)/L778,((I778-O778)*((IF(DAY(E778+1)=1,EOMONTH(E778,H778*D778),EDATE(E778,H778*D778))-AsAt)/365.25+(IF(DAY(E778+1)=1,EOMONTH(E778,(N778-1)*D778),EDATE(E778,(N778-1)*D778))-AsAt)/365.25)/2+O778*('Deal maths'!AA778-AsAt)/365.25)/I778),(S778-AsAt)/365.25)),0))</f>
        <v/>
      </c>
      <c r="Q778" s="109">
        <f>IF(B778=1,'Deal maths'!AA778+ROW()/1000000,"")</f>
        <v/>
      </c>
      <c r="R778" s="108">
        <f>IF(D778=0,0,IF(DAY(E778+1)=1,31,DAY(E778)))</f>
        <v/>
      </c>
      <c r="S778" s="109">
        <f>IF(AND('Deal maths'!V778="LOBO",'Deal maths'!AG778&gt;AsAt,'Deal maths'!AG778&lt;'Deal maths'!AA778),'Deal maths'!AG778,'Deal maths'!AA778)</f>
        <v/>
      </c>
      <c r="T778" s="108">
        <f>('Deal maths'!AA778&gt;AsAt)*('Deal maths'!Y778&gt;0)</f>
        <v/>
      </c>
    </row>
    <row r="779">
      <c r="A779" s="91">
        <f>IF('Deal maths'!V779="","",'Deal maths'!W779)</f>
        <v/>
      </c>
      <c r="B779" s="108">
        <f>('Deal maths'!AA779&gt;AsAt)*('Deal maths'!Y779&gt;0)*('Deal maths'!Z779&lt;=AsAt)</f>
        <v/>
      </c>
      <c r="C779" s="91">
        <f>IF('Deal maths'!V779="","",IF('Deal maths'!AC779="","Maturity",'Deal maths'!AC779))</f>
        <v/>
      </c>
      <c r="D779" s="108">
        <f>IF(OR(C779="EIP",C779="Annuity"),IF('Deal maths'!AD779="Annual",12,IF('Deal maths'!AD779="Quarterly",3,6)),0)</f>
        <v/>
      </c>
      <c r="E779" s="109">
        <f>IFERROR(IF(D779=0,0,IF('Deal maths'!AE779&gt;0,IF('Deal maths'!AE779&gt;'Deal maths'!AA779,'Deal maths'!AA779,'Deal maths'!AE779),IF(IF(DAY('Deal maths'!AA779+1)=1,EOMONTH('Deal maths'!AA779,-(INT(((YEAR('Deal maths'!AA779)-YEAR(IF('Deal maths'!Z779&gt;0,'Deal maths'!Z779,DATE(1990,1,1))))*12+MONTH('Deal maths'!AA779)-MONTH(IF('Deal maths'!Z779&gt;0,'Deal maths'!Z779,DATE(1990,1,1))))/D779))*D779),EDATE('Deal maths'!AA779,-(INT(((YEAR('Deal maths'!AA779)-YEAR(IF('Deal maths'!Z779&gt;0,'Deal maths'!Z779,DATE(1990,1,1))))*12+MONTH('Deal maths'!AA779)-MONTH(IF('Deal maths'!Z779&gt;0,'Deal maths'!Z779,DATE(1990,1,1))))/D779))*D779))&gt;IF('Deal maths'!Z779&gt;0,'Deal maths'!Z779,DATE(1990,1,1)),IF(DAY('Deal maths'!AA779+1)=1,EOMONTH('Deal maths'!AA779,-(INT(((YEAR('Deal maths'!AA779)-YEAR(IF('Deal maths'!Z779&gt;0,'Deal maths'!Z779,DATE(1990,1,1))))*12+MONTH('Deal maths'!AA779)-MONTH(IF('Deal maths'!Z779&gt;0,'Deal maths'!Z779,DATE(1990,1,1))))/D779))*D779),EDATE('Deal maths'!AA779,-(INT(((YEAR('Deal maths'!AA779)-YEAR(IF('Deal maths'!Z779&gt;0,'Deal maths'!Z779,DATE(1990,1,1))))*12+MONTH('Deal maths'!AA779)-MONTH(IF('Deal maths'!Z779&gt;0,'Deal maths'!Z779,DATE(1990,1,1))))/D779))*D779)),IF(DAY('Deal maths'!AA779+1)=1,EOMONTH('Deal maths'!AA779,-(INT(((YEAR('Deal maths'!AA779)-YEAR(IF('Deal maths'!Z779&gt;0,'Deal maths'!Z779,DATE(1990,1,1))))*12+MONTH('Deal maths'!AA779)-MONTH(IF('Deal maths'!Z779&gt;0,'Deal maths'!Z779,DATE(1990,1,1))))/D779)-1)*D779),EDATE('Deal maths'!AA779,-(INT(((YEAR('Deal maths'!AA779)-YEAR(IF('Deal maths'!Z779&gt;0,'Deal maths'!Z779,DATE(1990,1,1))))*12+MONTH('Deal maths'!AA779)-MONTH(IF('Deal maths'!Z779&gt;0,'Deal maths'!Z779,DATE(1990,1,1))))/D779)-1)*D779))))),0)</f>
        <v/>
      </c>
      <c r="F779" s="110">
        <f>IF(D779=0,0,'Deal maths'!AB779*D779/12)</f>
        <v/>
      </c>
      <c r="G779" s="108">
        <f>N779+O779</f>
        <v/>
      </c>
      <c r="H779" s="108">
        <f>IFERROR(IF(OR(D779=0,AsAt&lt;E779),0,MIN(N779,INT(((YEAR(AsAt)-YEAR(E779))*12+MONTH(AsAt)-MONTH(E779)-(DAY(AsAt)&lt;MIN(R779,DAY(EOMONTH(AsAt,0)))))/D779)+1)+O779*(AsAt&gt;='Deal maths'!AA779)),0)</f>
        <v/>
      </c>
      <c r="I779" s="108">
        <f>G779-H779</f>
        <v/>
      </c>
      <c r="J779" s="111">
        <f>IF(AND(C779="EIP",I779&gt;0),'Deal maths'!Y779/I779,0)</f>
        <v/>
      </c>
      <c r="K779" s="111">
        <f>IF(AND(C779="Annuity",I779&gt;0),IF(F779&gt;0,'Deal maths'!Y779*F779/(1-(1+F779)^-I779),'Deal maths'!Y779/I779),0)</f>
        <v/>
      </c>
      <c r="L779" s="111">
        <f>IF('Deal maths'!Y779="",0,'Deal maths'!Y779)</f>
        <v/>
      </c>
      <c r="M779" s="112">
        <f>F779+(F779=0)</f>
        <v/>
      </c>
      <c r="N779" s="108">
        <f>IFERROR(IF(D779=0,0,INT(((YEAR('Deal maths'!AA779)-YEAR(E779))*12+MONTH('Deal maths'!AA779)-MONTH(E779)-(DAY('Deal maths'!AA779)&lt;MIN(R779,DAY(EOMONTH('Deal maths'!AA779,0)))))/D779)+1),0)</f>
        <v/>
      </c>
      <c r="O779" s="108">
        <f>IFERROR(IF(D779=0,0,IF(IF(DAY(E779+1)=1,EOMONTH(E779,(N779-1)*D779),EDATE(E779,(N779-1)*D779))='Deal maths'!AA779,0,1)),0)</f>
        <v/>
      </c>
      <c r="P779" s="113">
        <f>IF(B779=0,0,IFERROR(IF(C779="EIP",((I779-O779)*((IF(DAY(E779+1)=1,EOMONTH(E779,H779*D779),EDATE(E779,H779*D779))-AsAt)/365.25+(IF(DAY(E779+1)=1,EOMONTH(E779,(N779-1)*D779),EDATE(E779,(N779-1)*D779))-AsAt)/365.25)/2+O779*('Deal maths'!AA779-AsAt)/365.25)/I779,IF(C779="Annuity",IF(F779&gt;0,((K779-L779*F779)*((IF(DAY(E779+1)=1,EOMONTH(E779,H779*D779),EDATE(E779,H779*D779))-AsAt)/365.25*((1+F779)^(I779-O779)-1)/F779+IF((I779-O779)&gt;1,((IF(DAY(E779+1)=1,EOMONTH(E779,(N779-1)*D779),EDATE(E779,(N779-1)*D779))-AsAt)/365.25-(IF(DAY(E779+1)=1,EOMONTH(E779,H779*D779),EDATE(E779,H779*D779))-AsAt)/365.25)/((I779-O779)-1),0)*(1+F779)*(1-(I779-O779)*(1+F779)^((I779-O779)-1)+((I779-O779)-1)*(1+F779)^(I779-O779))/F779^2)+O779*(K779-L779*F779)*(1+F779)^(I779-1)*('Deal maths'!AA779-AsAt)/365.25)/L779,((I779-O779)*((IF(DAY(E779+1)=1,EOMONTH(E779,H779*D779),EDATE(E779,H779*D779))-AsAt)/365.25+(IF(DAY(E779+1)=1,EOMONTH(E779,(N779-1)*D779),EDATE(E779,(N779-1)*D779))-AsAt)/365.25)/2+O779*('Deal maths'!AA779-AsAt)/365.25)/I779),(S779-AsAt)/365.25)),0))</f>
        <v/>
      </c>
      <c r="Q779" s="109">
        <f>IF(B779=1,'Deal maths'!AA779+ROW()/1000000,"")</f>
        <v/>
      </c>
      <c r="R779" s="108">
        <f>IF(D779=0,0,IF(DAY(E779+1)=1,31,DAY(E779)))</f>
        <v/>
      </c>
      <c r="S779" s="109">
        <f>IF(AND('Deal maths'!V779="LOBO",'Deal maths'!AG779&gt;AsAt,'Deal maths'!AG779&lt;'Deal maths'!AA779),'Deal maths'!AG779,'Deal maths'!AA779)</f>
        <v/>
      </c>
      <c r="T779" s="108">
        <f>('Deal maths'!AA779&gt;AsAt)*('Deal maths'!Y779&gt;0)</f>
        <v/>
      </c>
    </row>
    <row r="780">
      <c r="A780" s="91">
        <f>IF('Deal maths'!V780="","",'Deal maths'!W780)</f>
        <v/>
      </c>
      <c r="B780" s="108">
        <f>('Deal maths'!AA780&gt;AsAt)*('Deal maths'!Y780&gt;0)*('Deal maths'!Z780&lt;=AsAt)</f>
        <v/>
      </c>
      <c r="C780" s="91">
        <f>IF('Deal maths'!V780="","",IF('Deal maths'!AC780="","Maturity",'Deal maths'!AC780))</f>
        <v/>
      </c>
      <c r="D780" s="108">
        <f>IF(OR(C780="EIP",C780="Annuity"),IF('Deal maths'!AD780="Annual",12,IF('Deal maths'!AD780="Quarterly",3,6)),0)</f>
        <v/>
      </c>
      <c r="E780" s="109">
        <f>IFERROR(IF(D780=0,0,IF('Deal maths'!AE780&gt;0,IF('Deal maths'!AE780&gt;'Deal maths'!AA780,'Deal maths'!AA780,'Deal maths'!AE780),IF(IF(DAY('Deal maths'!AA780+1)=1,EOMONTH('Deal maths'!AA780,-(INT(((YEAR('Deal maths'!AA780)-YEAR(IF('Deal maths'!Z780&gt;0,'Deal maths'!Z780,DATE(1990,1,1))))*12+MONTH('Deal maths'!AA780)-MONTH(IF('Deal maths'!Z780&gt;0,'Deal maths'!Z780,DATE(1990,1,1))))/D780))*D780),EDATE('Deal maths'!AA780,-(INT(((YEAR('Deal maths'!AA780)-YEAR(IF('Deal maths'!Z780&gt;0,'Deal maths'!Z780,DATE(1990,1,1))))*12+MONTH('Deal maths'!AA780)-MONTH(IF('Deal maths'!Z780&gt;0,'Deal maths'!Z780,DATE(1990,1,1))))/D780))*D780))&gt;IF('Deal maths'!Z780&gt;0,'Deal maths'!Z780,DATE(1990,1,1)),IF(DAY('Deal maths'!AA780+1)=1,EOMONTH('Deal maths'!AA780,-(INT(((YEAR('Deal maths'!AA780)-YEAR(IF('Deal maths'!Z780&gt;0,'Deal maths'!Z780,DATE(1990,1,1))))*12+MONTH('Deal maths'!AA780)-MONTH(IF('Deal maths'!Z780&gt;0,'Deal maths'!Z780,DATE(1990,1,1))))/D780))*D780),EDATE('Deal maths'!AA780,-(INT(((YEAR('Deal maths'!AA780)-YEAR(IF('Deal maths'!Z780&gt;0,'Deal maths'!Z780,DATE(1990,1,1))))*12+MONTH('Deal maths'!AA780)-MONTH(IF('Deal maths'!Z780&gt;0,'Deal maths'!Z780,DATE(1990,1,1))))/D780))*D780)),IF(DAY('Deal maths'!AA780+1)=1,EOMONTH('Deal maths'!AA780,-(INT(((YEAR('Deal maths'!AA780)-YEAR(IF('Deal maths'!Z780&gt;0,'Deal maths'!Z780,DATE(1990,1,1))))*12+MONTH('Deal maths'!AA780)-MONTH(IF('Deal maths'!Z780&gt;0,'Deal maths'!Z780,DATE(1990,1,1))))/D780)-1)*D780),EDATE('Deal maths'!AA780,-(INT(((YEAR('Deal maths'!AA780)-YEAR(IF('Deal maths'!Z780&gt;0,'Deal maths'!Z780,DATE(1990,1,1))))*12+MONTH('Deal maths'!AA780)-MONTH(IF('Deal maths'!Z780&gt;0,'Deal maths'!Z780,DATE(1990,1,1))))/D780)-1)*D780))))),0)</f>
        <v/>
      </c>
      <c r="F780" s="110">
        <f>IF(D780=0,0,'Deal maths'!AB780*D780/12)</f>
        <v/>
      </c>
      <c r="G780" s="108">
        <f>N780+O780</f>
        <v/>
      </c>
      <c r="H780" s="108">
        <f>IFERROR(IF(OR(D780=0,AsAt&lt;E780),0,MIN(N780,INT(((YEAR(AsAt)-YEAR(E780))*12+MONTH(AsAt)-MONTH(E780)-(DAY(AsAt)&lt;MIN(R780,DAY(EOMONTH(AsAt,0)))))/D780)+1)+O780*(AsAt&gt;='Deal maths'!AA780)),0)</f>
        <v/>
      </c>
      <c r="I780" s="108">
        <f>G780-H780</f>
        <v/>
      </c>
      <c r="J780" s="111">
        <f>IF(AND(C780="EIP",I780&gt;0),'Deal maths'!Y780/I780,0)</f>
        <v/>
      </c>
      <c r="K780" s="111">
        <f>IF(AND(C780="Annuity",I780&gt;0),IF(F780&gt;0,'Deal maths'!Y780*F780/(1-(1+F780)^-I780),'Deal maths'!Y780/I780),0)</f>
        <v/>
      </c>
      <c r="L780" s="111">
        <f>IF('Deal maths'!Y780="",0,'Deal maths'!Y780)</f>
        <v/>
      </c>
      <c r="M780" s="112">
        <f>F780+(F780=0)</f>
        <v/>
      </c>
      <c r="N780" s="108">
        <f>IFERROR(IF(D780=0,0,INT(((YEAR('Deal maths'!AA780)-YEAR(E780))*12+MONTH('Deal maths'!AA780)-MONTH(E780)-(DAY('Deal maths'!AA780)&lt;MIN(R780,DAY(EOMONTH('Deal maths'!AA780,0)))))/D780)+1),0)</f>
        <v/>
      </c>
      <c r="O780" s="108">
        <f>IFERROR(IF(D780=0,0,IF(IF(DAY(E780+1)=1,EOMONTH(E780,(N780-1)*D780),EDATE(E780,(N780-1)*D780))='Deal maths'!AA780,0,1)),0)</f>
        <v/>
      </c>
      <c r="P780" s="113">
        <f>IF(B780=0,0,IFERROR(IF(C780="EIP",((I780-O780)*((IF(DAY(E780+1)=1,EOMONTH(E780,H780*D780),EDATE(E780,H780*D780))-AsAt)/365.25+(IF(DAY(E780+1)=1,EOMONTH(E780,(N780-1)*D780),EDATE(E780,(N780-1)*D780))-AsAt)/365.25)/2+O780*('Deal maths'!AA780-AsAt)/365.25)/I780,IF(C780="Annuity",IF(F780&gt;0,((K780-L780*F780)*((IF(DAY(E780+1)=1,EOMONTH(E780,H780*D780),EDATE(E780,H780*D780))-AsAt)/365.25*((1+F780)^(I780-O780)-1)/F780+IF((I780-O780)&gt;1,((IF(DAY(E780+1)=1,EOMONTH(E780,(N780-1)*D780),EDATE(E780,(N780-1)*D780))-AsAt)/365.25-(IF(DAY(E780+1)=1,EOMONTH(E780,H780*D780),EDATE(E780,H780*D780))-AsAt)/365.25)/((I780-O780)-1),0)*(1+F780)*(1-(I780-O780)*(1+F780)^((I780-O780)-1)+((I780-O780)-1)*(1+F780)^(I780-O780))/F780^2)+O780*(K780-L780*F780)*(1+F780)^(I780-1)*('Deal maths'!AA780-AsAt)/365.25)/L780,((I780-O780)*((IF(DAY(E780+1)=1,EOMONTH(E780,H780*D780),EDATE(E780,H780*D780))-AsAt)/365.25+(IF(DAY(E780+1)=1,EOMONTH(E780,(N780-1)*D780),EDATE(E780,(N780-1)*D780))-AsAt)/365.25)/2+O780*('Deal maths'!AA780-AsAt)/365.25)/I780),(S780-AsAt)/365.25)),0))</f>
        <v/>
      </c>
      <c r="Q780" s="109">
        <f>IF(B780=1,'Deal maths'!AA780+ROW()/1000000,"")</f>
        <v/>
      </c>
      <c r="R780" s="108">
        <f>IF(D780=0,0,IF(DAY(E780+1)=1,31,DAY(E780)))</f>
        <v/>
      </c>
      <c r="S780" s="109">
        <f>IF(AND('Deal maths'!V780="LOBO",'Deal maths'!AG780&gt;AsAt,'Deal maths'!AG780&lt;'Deal maths'!AA780),'Deal maths'!AG780,'Deal maths'!AA780)</f>
        <v/>
      </c>
      <c r="T780" s="108">
        <f>('Deal maths'!AA780&gt;AsAt)*('Deal maths'!Y780&gt;0)</f>
        <v/>
      </c>
    </row>
    <row r="781">
      <c r="A781" s="91">
        <f>IF('Deal maths'!V781="","",'Deal maths'!W781)</f>
        <v/>
      </c>
      <c r="B781" s="108">
        <f>('Deal maths'!AA781&gt;AsAt)*('Deal maths'!Y781&gt;0)*('Deal maths'!Z781&lt;=AsAt)</f>
        <v/>
      </c>
      <c r="C781" s="91">
        <f>IF('Deal maths'!V781="","",IF('Deal maths'!AC781="","Maturity",'Deal maths'!AC781))</f>
        <v/>
      </c>
      <c r="D781" s="108">
        <f>IF(OR(C781="EIP",C781="Annuity"),IF('Deal maths'!AD781="Annual",12,IF('Deal maths'!AD781="Quarterly",3,6)),0)</f>
        <v/>
      </c>
      <c r="E781" s="109">
        <f>IFERROR(IF(D781=0,0,IF('Deal maths'!AE781&gt;0,IF('Deal maths'!AE781&gt;'Deal maths'!AA781,'Deal maths'!AA781,'Deal maths'!AE781),IF(IF(DAY('Deal maths'!AA781+1)=1,EOMONTH('Deal maths'!AA781,-(INT(((YEAR('Deal maths'!AA781)-YEAR(IF('Deal maths'!Z781&gt;0,'Deal maths'!Z781,DATE(1990,1,1))))*12+MONTH('Deal maths'!AA781)-MONTH(IF('Deal maths'!Z781&gt;0,'Deal maths'!Z781,DATE(1990,1,1))))/D781))*D781),EDATE('Deal maths'!AA781,-(INT(((YEAR('Deal maths'!AA781)-YEAR(IF('Deal maths'!Z781&gt;0,'Deal maths'!Z781,DATE(1990,1,1))))*12+MONTH('Deal maths'!AA781)-MONTH(IF('Deal maths'!Z781&gt;0,'Deal maths'!Z781,DATE(1990,1,1))))/D781))*D781))&gt;IF('Deal maths'!Z781&gt;0,'Deal maths'!Z781,DATE(1990,1,1)),IF(DAY('Deal maths'!AA781+1)=1,EOMONTH('Deal maths'!AA781,-(INT(((YEAR('Deal maths'!AA781)-YEAR(IF('Deal maths'!Z781&gt;0,'Deal maths'!Z781,DATE(1990,1,1))))*12+MONTH('Deal maths'!AA781)-MONTH(IF('Deal maths'!Z781&gt;0,'Deal maths'!Z781,DATE(1990,1,1))))/D781))*D781),EDATE('Deal maths'!AA781,-(INT(((YEAR('Deal maths'!AA781)-YEAR(IF('Deal maths'!Z781&gt;0,'Deal maths'!Z781,DATE(1990,1,1))))*12+MONTH('Deal maths'!AA781)-MONTH(IF('Deal maths'!Z781&gt;0,'Deal maths'!Z781,DATE(1990,1,1))))/D781))*D781)),IF(DAY('Deal maths'!AA781+1)=1,EOMONTH('Deal maths'!AA781,-(INT(((YEAR('Deal maths'!AA781)-YEAR(IF('Deal maths'!Z781&gt;0,'Deal maths'!Z781,DATE(1990,1,1))))*12+MONTH('Deal maths'!AA781)-MONTH(IF('Deal maths'!Z781&gt;0,'Deal maths'!Z781,DATE(1990,1,1))))/D781)-1)*D781),EDATE('Deal maths'!AA781,-(INT(((YEAR('Deal maths'!AA781)-YEAR(IF('Deal maths'!Z781&gt;0,'Deal maths'!Z781,DATE(1990,1,1))))*12+MONTH('Deal maths'!AA781)-MONTH(IF('Deal maths'!Z781&gt;0,'Deal maths'!Z781,DATE(1990,1,1))))/D781)-1)*D781))))),0)</f>
        <v/>
      </c>
      <c r="F781" s="110">
        <f>IF(D781=0,0,'Deal maths'!AB781*D781/12)</f>
        <v/>
      </c>
      <c r="G781" s="108">
        <f>N781+O781</f>
        <v/>
      </c>
      <c r="H781" s="108">
        <f>IFERROR(IF(OR(D781=0,AsAt&lt;E781),0,MIN(N781,INT(((YEAR(AsAt)-YEAR(E781))*12+MONTH(AsAt)-MONTH(E781)-(DAY(AsAt)&lt;MIN(R781,DAY(EOMONTH(AsAt,0)))))/D781)+1)+O781*(AsAt&gt;='Deal maths'!AA781)),0)</f>
        <v/>
      </c>
      <c r="I781" s="108">
        <f>G781-H781</f>
        <v/>
      </c>
      <c r="J781" s="111">
        <f>IF(AND(C781="EIP",I781&gt;0),'Deal maths'!Y781/I781,0)</f>
        <v/>
      </c>
      <c r="K781" s="111">
        <f>IF(AND(C781="Annuity",I781&gt;0),IF(F781&gt;0,'Deal maths'!Y781*F781/(1-(1+F781)^-I781),'Deal maths'!Y781/I781),0)</f>
        <v/>
      </c>
      <c r="L781" s="111">
        <f>IF('Deal maths'!Y781="",0,'Deal maths'!Y781)</f>
        <v/>
      </c>
      <c r="M781" s="112">
        <f>F781+(F781=0)</f>
        <v/>
      </c>
      <c r="N781" s="108">
        <f>IFERROR(IF(D781=0,0,INT(((YEAR('Deal maths'!AA781)-YEAR(E781))*12+MONTH('Deal maths'!AA781)-MONTH(E781)-(DAY('Deal maths'!AA781)&lt;MIN(R781,DAY(EOMONTH('Deal maths'!AA781,0)))))/D781)+1),0)</f>
        <v/>
      </c>
      <c r="O781" s="108">
        <f>IFERROR(IF(D781=0,0,IF(IF(DAY(E781+1)=1,EOMONTH(E781,(N781-1)*D781),EDATE(E781,(N781-1)*D781))='Deal maths'!AA781,0,1)),0)</f>
        <v/>
      </c>
      <c r="P781" s="113">
        <f>IF(B781=0,0,IFERROR(IF(C781="EIP",((I781-O781)*((IF(DAY(E781+1)=1,EOMONTH(E781,H781*D781),EDATE(E781,H781*D781))-AsAt)/365.25+(IF(DAY(E781+1)=1,EOMONTH(E781,(N781-1)*D781),EDATE(E781,(N781-1)*D781))-AsAt)/365.25)/2+O781*('Deal maths'!AA781-AsAt)/365.25)/I781,IF(C781="Annuity",IF(F781&gt;0,((K781-L781*F781)*((IF(DAY(E781+1)=1,EOMONTH(E781,H781*D781),EDATE(E781,H781*D781))-AsAt)/365.25*((1+F781)^(I781-O781)-1)/F781+IF((I781-O781)&gt;1,((IF(DAY(E781+1)=1,EOMONTH(E781,(N781-1)*D781),EDATE(E781,(N781-1)*D781))-AsAt)/365.25-(IF(DAY(E781+1)=1,EOMONTH(E781,H781*D781),EDATE(E781,H781*D781))-AsAt)/365.25)/((I781-O781)-1),0)*(1+F781)*(1-(I781-O781)*(1+F781)^((I781-O781)-1)+((I781-O781)-1)*(1+F781)^(I781-O781))/F781^2)+O781*(K781-L781*F781)*(1+F781)^(I781-1)*('Deal maths'!AA781-AsAt)/365.25)/L781,((I781-O781)*((IF(DAY(E781+1)=1,EOMONTH(E781,H781*D781),EDATE(E781,H781*D781))-AsAt)/365.25+(IF(DAY(E781+1)=1,EOMONTH(E781,(N781-1)*D781),EDATE(E781,(N781-1)*D781))-AsAt)/365.25)/2+O781*('Deal maths'!AA781-AsAt)/365.25)/I781),(S781-AsAt)/365.25)),0))</f>
        <v/>
      </c>
      <c r="Q781" s="109">
        <f>IF(B781=1,'Deal maths'!AA781+ROW()/1000000,"")</f>
        <v/>
      </c>
      <c r="R781" s="108">
        <f>IF(D781=0,0,IF(DAY(E781+1)=1,31,DAY(E781)))</f>
        <v/>
      </c>
      <c r="S781" s="109">
        <f>IF(AND('Deal maths'!V781="LOBO",'Deal maths'!AG781&gt;AsAt,'Deal maths'!AG781&lt;'Deal maths'!AA781),'Deal maths'!AG781,'Deal maths'!AA781)</f>
        <v/>
      </c>
      <c r="T781" s="108">
        <f>('Deal maths'!AA781&gt;AsAt)*('Deal maths'!Y781&gt;0)</f>
        <v/>
      </c>
    </row>
    <row r="782">
      <c r="A782" s="91">
        <f>IF('Deal maths'!V782="","",'Deal maths'!W782)</f>
        <v/>
      </c>
      <c r="B782" s="108">
        <f>('Deal maths'!AA782&gt;AsAt)*('Deal maths'!Y782&gt;0)*('Deal maths'!Z782&lt;=AsAt)</f>
        <v/>
      </c>
      <c r="C782" s="91">
        <f>IF('Deal maths'!V782="","",IF('Deal maths'!AC782="","Maturity",'Deal maths'!AC782))</f>
        <v/>
      </c>
      <c r="D782" s="108">
        <f>IF(OR(C782="EIP",C782="Annuity"),IF('Deal maths'!AD782="Annual",12,IF('Deal maths'!AD782="Quarterly",3,6)),0)</f>
        <v/>
      </c>
      <c r="E782" s="109">
        <f>IFERROR(IF(D782=0,0,IF('Deal maths'!AE782&gt;0,IF('Deal maths'!AE782&gt;'Deal maths'!AA782,'Deal maths'!AA782,'Deal maths'!AE782),IF(IF(DAY('Deal maths'!AA782+1)=1,EOMONTH('Deal maths'!AA782,-(INT(((YEAR('Deal maths'!AA782)-YEAR(IF('Deal maths'!Z782&gt;0,'Deal maths'!Z782,DATE(1990,1,1))))*12+MONTH('Deal maths'!AA782)-MONTH(IF('Deal maths'!Z782&gt;0,'Deal maths'!Z782,DATE(1990,1,1))))/D782))*D782),EDATE('Deal maths'!AA782,-(INT(((YEAR('Deal maths'!AA782)-YEAR(IF('Deal maths'!Z782&gt;0,'Deal maths'!Z782,DATE(1990,1,1))))*12+MONTH('Deal maths'!AA782)-MONTH(IF('Deal maths'!Z782&gt;0,'Deal maths'!Z782,DATE(1990,1,1))))/D782))*D782))&gt;IF('Deal maths'!Z782&gt;0,'Deal maths'!Z782,DATE(1990,1,1)),IF(DAY('Deal maths'!AA782+1)=1,EOMONTH('Deal maths'!AA782,-(INT(((YEAR('Deal maths'!AA782)-YEAR(IF('Deal maths'!Z782&gt;0,'Deal maths'!Z782,DATE(1990,1,1))))*12+MONTH('Deal maths'!AA782)-MONTH(IF('Deal maths'!Z782&gt;0,'Deal maths'!Z782,DATE(1990,1,1))))/D782))*D782),EDATE('Deal maths'!AA782,-(INT(((YEAR('Deal maths'!AA782)-YEAR(IF('Deal maths'!Z782&gt;0,'Deal maths'!Z782,DATE(1990,1,1))))*12+MONTH('Deal maths'!AA782)-MONTH(IF('Deal maths'!Z782&gt;0,'Deal maths'!Z782,DATE(1990,1,1))))/D782))*D782)),IF(DAY('Deal maths'!AA782+1)=1,EOMONTH('Deal maths'!AA782,-(INT(((YEAR('Deal maths'!AA782)-YEAR(IF('Deal maths'!Z782&gt;0,'Deal maths'!Z782,DATE(1990,1,1))))*12+MONTH('Deal maths'!AA782)-MONTH(IF('Deal maths'!Z782&gt;0,'Deal maths'!Z782,DATE(1990,1,1))))/D782)-1)*D782),EDATE('Deal maths'!AA782,-(INT(((YEAR('Deal maths'!AA782)-YEAR(IF('Deal maths'!Z782&gt;0,'Deal maths'!Z782,DATE(1990,1,1))))*12+MONTH('Deal maths'!AA782)-MONTH(IF('Deal maths'!Z782&gt;0,'Deal maths'!Z782,DATE(1990,1,1))))/D782)-1)*D782))))),0)</f>
        <v/>
      </c>
      <c r="F782" s="110">
        <f>IF(D782=0,0,'Deal maths'!AB782*D782/12)</f>
        <v/>
      </c>
      <c r="G782" s="108">
        <f>N782+O782</f>
        <v/>
      </c>
      <c r="H782" s="108">
        <f>IFERROR(IF(OR(D782=0,AsAt&lt;E782),0,MIN(N782,INT(((YEAR(AsAt)-YEAR(E782))*12+MONTH(AsAt)-MONTH(E782)-(DAY(AsAt)&lt;MIN(R782,DAY(EOMONTH(AsAt,0)))))/D782)+1)+O782*(AsAt&gt;='Deal maths'!AA782)),0)</f>
        <v/>
      </c>
      <c r="I782" s="108">
        <f>G782-H782</f>
        <v/>
      </c>
      <c r="J782" s="111">
        <f>IF(AND(C782="EIP",I782&gt;0),'Deal maths'!Y782/I782,0)</f>
        <v/>
      </c>
      <c r="K782" s="111">
        <f>IF(AND(C782="Annuity",I782&gt;0),IF(F782&gt;0,'Deal maths'!Y782*F782/(1-(1+F782)^-I782),'Deal maths'!Y782/I782),0)</f>
        <v/>
      </c>
      <c r="L782" s="111">
        <f>IF('Deal maths'!Y782="",0,'Deal maths'!Y782)</f>
        <v/>
      </c>
      <c r="M782" s="112">
        <f>F782+(F782=0)</f>
        <v/>
      </c>
      <c r="N782" s="108">
        <f>IFERROR(IF(D782=0,0,INT(((YEAR('Deal maths'!AA782)-YEAR(E782))*12+MONTH('Deal maths'!AA782)-MONTH(E782)-(DAY('Deal maths'!AA782)&lt;MIN(R782,DAY(EOMONTH('Deal maths'!AA782,0)))))/D782)+1),0)</f>
        <v/>
      </c>
      <c r="O782" s="108">
        <f>IFERROR(IF(D782=0,0,IF(IF(DAY(E782+1)=1,EOMONTH(E782,(N782-1)*D782),EDATE(E782,(N782-1)*D782))='Deal maths'!AA782,0,1)),0)</f>
        <v/>
      </c>
      <c r="P782" s="113">
        <f>IF(B782=0,0,IFERROR(IF(C782="EIP",((I782-O782)*((IF(DAY(E782+1)=1,EOMONTH(E782,H782*D782),EDATE(E782,H782*D782))-AsAt)/365.25+(IF(DAY(E782+1)=1,EOMONTH(E782,(N782-1)*D782),EDATE(E782,(N782-1)*D782))-AsAt)/365.25)/2+O782*('Deal maths'!AA782-AsAt)/365.25)/I782,IF(C782="Annuity",IF(F782&gt;0,((K782-L782*F782)*((IF(DAY(E782+1)=1,EOMONTH(E782,H782*D782),EDATE(E782,H782*D782))-AsAt)/365.25*((1+F782)^(I782-O782)-1)/F782+IF((I782-O782)&gt;1,((IF(DAY(E782+1)=1,EOMONTH(E782,(N782-1)*D782),EDATE(E782,(N782-1)*D782))-AsAt)/365.25-(IF(DAY(E782+1)=1,EOMONTH(E782,H782*D782),EDATE(E782,H782*D782))-AsAt)/365.25)/((I782-O782)-1),0)*(1+F782)*(1-(I782-O782)*(1+F782)^((I782-O782)-1)+((I782-O782)-1)*(1+F782)^(I782-O782))/F782^2)+O782*(K782-L782*F782)*(1+F782)^(I782-1)*('Deal maths'!AA782-AsAt)/365.25)/L782,((I782-O782)*((IF(DAY(E782+1)=1,EOMONTH(E782,H782*D782),EDATE(E782,H782*D782))-AsAt)/365.25+(IF(DAY(E782+1)=1,EOMONTH(E782,(N782-1)*D782),EDATE(E782,(N782-1)*D782))-AsAt)/365.25)/2+O782*('Deal maths'!AA782-AsAt)/365.25)/I782),(S782-AsAt)/365.25)),0))</f>
        <v/>
      </c>
      <c r="Q782" s="109">
        <f>IF(B782=1,'Deal maths'!AA782+ROW()/1000000,"")</f>
        <v/>
      </c>
      <c r="R782" s="108">
        <f>IF(D782=0,0,IF(DAY(E782+1)=1,31,DAY(E782)))</f>
        <v/>
      </c>
      <c r="S782" s="109">
        <f>IF(AND('Deal maths'!V782="LOBO",'Deal maths'!AG782&gt;AsAt,'Deal maths'!AG782&lt;'Deal maths'!AA782),'Deal maths'!AG782,'Deal maths'!AA782)</f>
        <v/>
      </c>
      <c r="T782" s="108">
        <f>('Deal maths'!AA782&gt;AsAt)*('Deal maths'!Y782&gt;0)</f>
        <v/>
      </c>
    </row>
    <row r="783">
      <c r="A783" s="91">
        <f>IF('Deal maths'!V783="","",'Deal maths'!W783)</f>
        <v/>
      </c>
      <c r="B783" s="108">
        <f>('Deal maths'!AA783&gt;AsAt)*('Deal maths'!Y783&gt;0)*('Deal maths'!Z783&lt;=AsAt)</f>
        <v/>
      </c>
      <c r="C783" s="91">
        <f>IF('Deal maths'!V783="","",IF('Deal maths'!AC783="","Maturity",'Deal maths'!AC783))</f>
        <v/>
      </c>
      <c r="D783" s="108">
        <f>IF(OR(C783="EIP",C783="Annuity"),IF('Deal maths'!AD783="Annual",12,IF('Deal maths'!AD783="Quarterly",3,6)),0)</f>
        <v/>
      </c>
      <c r="E783" s="109">
        <f>IFERROR(IF(D783=0,0,IF('Deal maths'!AE783&gt;0,IF('Deal maths'!AE783&gt;'Deal maths'!AA783,'Deal maths'!AA783,'Deal maths'!AE783),IF(IF(DAY('Deal maths'!AA783+1)=1,EOMONTH('Deal maths'!AA783,-(INT(((YEAR('Deal maths'!AA783)-YEAR(IF('Deal maths'!Z783&gt;0,'Deal maths'!Z783,DATE(1990,1,1))))*12+MONTH('Deal maths'!AA783)-MONTH(IF('Deal maths'!Z783&gt;0,'Deal maths'!Z783,DATE(1990,1,1))))/D783))*D783),EDATE('Deal maths'!AA783,-(INT(((YEAR('Deal maths'!AA783)-YEAR(IF('Deal maths'!Z783&gt;0,'Deal maths'!Z783,DATE(1990,1,1))))*12+MONTH('Deal maths'!AA783)-MONTH(IF('Deal maths'!Z783&gt;0,'Deal maths'!Z783,DATE(1990,1,1))))/D783))*D783))&gt;IF('Deal maths'!Z783&gt;0,'Deal maths'!Z783,DATE(1990,1,1)),IF(DAY('Deal maths'!AA783+1)=1,EOMONTH('Deal maths'!AA783,-(INT(((YEAR('Deal maths'!AA783)-YEAR(IF('Deal maths'!Z783&gt;0,'Deal maths'!Z783,DATE(1990,1,1))))*12+MONTH('Deal maths'!AA783)-MONTH(IF('Deal maths'!Z783&gt;0,'Deal maths'!Z783,DATE(1990,1,1))))/D783))*D783),EDATE('Deal maths'!AA783,-(INT(((YEAR('Deal maths'!AA783)-YEAR(IF('Deal maths'!Z783&gt;0,'Deal maths'!Z783,DATE(1990,1,1))))*12+MONTH('Deal maths'!AA783)-MONTH(IF('Deal maths'!Z783&gt;0,'Deal maths'!Z783,DATE(1990,1,1))))/D783))*D783)),IF(DAY('Deal maths'!AA783+1)=1,EOMONTH('Deal maths'!AA783,-(INT(((YEAR('Deal maths'!AA783)-YEAR(IF('Deal maths'!Z783&gt;0,'Deal maths'!Z783,DATE(1990,1,1))))*12+MONTH('Deal maths'!AA783)-MONTH(IF('Deal maths'!Z783&gt;0,'Deal maths'!Z783,DATE(1990,1,1))))/D783)-1)*D783),EDATE('Deal maths'!AA783,-(INT(((YEAR('Deal maths'!AA783)-YEAR(IF('Deal maths'!Z783&gt;0,'Deal maths'!Z783,DATE(1990,1,1))))*12+MONTH('Deal maths'!AA783)-MONTH(IF('Deal maths'!Z783&gt;0,'Deal maths'!Z783,DATE(1990,1,1))))/D783)-1)*D783))))),0)</f>
        <v/>
      </c>
      <c r="F783" s="110">
        <f>IF(D783=0,0,'Deal maths'!AB783*D783/12)</f>
        <v/>
      </c>
      <c r="G783" s="108">
        <f>N783+O783</f>
        <v/>
      </c>
      <c r="H783" s="108">
        <f>IFERROR(IF(OR(D783=0,AsAt&lt;E783),0,MIN(N783,INT(((YEAR(AsAt)-YEAR(E783))*12+MONTH(AsAt)-MONTH(E783)-(DAY(AsAt)&lt;MIN(R783,DAY(EOMONTH(AsAt,0)))))/D783)+1)+O783*(AsAt&gt;='Deal maths'!AA783)),0)</f>
        <v/>
      </c>
      <c r="I783" s="108">
        <f>G783-H783</f>
        <v/>
      </c>
      <c r="J783" s="111">
        <f>IF(AND(C783="EIP",I783&gt;0),'Deal maths'!Y783/I783,0)</f>
        <v/>
      </c>
      <c r="K783" s="111">
        <f>IF(AND(C783="Annuity",I783&gt;0),IF(F783&gt;0,'Deal maths'!Y783*F783/(1-(1+F783)^-I783),'Deal maths'!Y783/I783),0)</f>
        <v/>
      </c>
      <c r="L783" s="111">
        <f>IF('Deal maths'!Y783="",0,'Deal maths'!Y783)</f>
        <v/>
      </c>
      <c r="M783" s="112">
        <f>F783+(F783=0)</f>
        <v/>
      </c>
      <c r="N783" s="108">
        <f>IFERROR(IF(D783=0,0,INT(((YEAR('Deal maths'!AA783)-YEAR(E783))*12+MONTH('Deal maths'!AA783)-MONTH(E783)-(DAY('Deal maths'!AA783)&lt;MIN(R783,DAY(EOMONTH('Deal maths'!AA783,0)))))/D783)+1),0)</f>
        <v/>
      </c>
      <c r="O783" s="108">
        <f>IFERROR(IF(D783=0,0,IF(IF(DAY(E783+1)=1,EOMONTH(E783,(N783-1)*D783),EDATE(E783,(N783-1)*D783))='Deal maths'!AA783,0,1)),0)</f>
        <v/>
      </c>
      <c r="P783" s="113">
        <f>IF(B783=0,0,IFERROR(IF(C783="EIP",((I783-O783)*((IF(DAY(E783+1)=1,EOMONTH(E783,H783*D783),EDATE(E783,H783*D783))-AsAt)/365.25+(IF(DAY(E783+1)=1,EOMONTH(E783,(N783-1)*D783),EDATE(E783,(N783-1)*D783))-AsAt)/365.25)/2+O783*('Deal maths'!AA783-AsAt)/365.25)/I783,IF(C783="Annuity",IF(F783&gt;0,((K783-L783*F783)*((IF(DAY(E783+1)=1,EOMONTH(E783,H783*D783),EDATE(E783,H783*D783))-AsAt)/365.25*((1+F783)^(I783-O783)-1)/F783+IF((I783-O783)&gt;1,((IF(DAY(E783+1)=1,EOMONTH(E783,(N783-1)*D783),EDATE(E783,(N783-1)*D783))-AsAt)/365.25-(IF(DAY(E783+1)=1,EOMONTH(E783,H783*D783),EDATE(E783,H783*D783))-AsAt)/365.25)/((I783-O783)-1),0)*(1+F783)*(1-(I783-O783)*(1+F783)^((I783-O783)-1)+((I783-O783)-1)*(1+F783)^(I783-O783))/F783^2)+O783*(K783-L783*F783)*(1+F783)^(I783-1)*('Deal maths'!AA783-AsAt)/365.25)/L783,((I783-O783)*((IF(DAY(E783+1)=1,EOMONTH(E783,H783*D783),EDATE(E783,H783*D783))-AsAt)/365.25+(IF(DAY(E783+1)=1,EOMONTH(E783,(N783-1)*D783),EDATE(E783,(N783-1)*D783))-AsAt)/365.25)/2+O783*('Deal maths'!AA783-AsAt)/365.25)/I783),(S783-AsAt)/365.25)),0))</f>
        <v/>
      </c>
      <c r="Q783" s="109">
        <f>IF(B783=1,'Deal maths'!AA783+ROW()/1000000,"")</f>
        <v/>
      </c>
      <c r="R783" s="108">
        <f>IF(D783=0,0,IF(DAY(E783+1)=1,31,DAY(E783)))</f>
        <v/>
      </c>
      <c r="S783" s="109">
        <f>IF(AND('Deal maths'!V783="LOBO",'Deal maths'!AG783&gt;AsAt,'Deal maths'!AG783&lt;'Deal maths'!AA783),'Deal maths'!AG783,'Deal maths'!AA783)</f>
        <v/>
      </c>
      <c r="T783" s="108">
        <f>('Deal maths'!AA783&gt;AsAt)*('Deal maths'!Y783&gt;0)</f>
        <v/>
      </c>
    </row>
    <row r="784">
      <c r="A784" s="91">
        <f>IF('Deal maths'!V784="","",'Deal maths'!W784)</f>
        <v/>
      </c>
      <c r="B784" s="108">
        <f>('Deal maths'!AA784&gt;AsAt)*('Deal maths'!Y784&gt;0)*('Deal maths'!Z784&lt;=AsAt)</f>
        <v/>
      </c>
      <c r="C784" s="91">
        <f>IF('Deal maths'!V784="","",IF('Deal maths'!AC784="","Maturity",'Deal maths'!AC784))</f>
        <v/>
      </c>
      <c r="D784" s="108">
        <f>IF(OR(C784="EIP",C784="Annuity"),IF('Deal maths'!AD784="Annual",12,IF('Deal maths'!AD784="Quarterly",3,6)),0)</f>
        <v/>
      </c>
      <c r="E784" s="109">
        <f>IFERROR(IF(D784=0,0,IF('Deal maths'!AE784&gt;0,IF('Deal maths'!AE784&gt;'Deal maths'!AA784,'Deal maths'!AA784,'Deal maths'!AE784),IF(IF(DAY('Deal maths'!AA784+1)=1,EOMONTH('Deal maths'!AA784,-(INT(((YEAR('Deal maths'!AA784)-YEAR(IF('Deal maths'!Z784&gt;0,'Deal maths'!Z784,DATE(1990,1,1))))*12+MONTH('Deal maths'!AA784)-MONTH(IF('Deal maths'!Z784&gt;0,'Deal maths'!Z784,DATE(1990,1,1))))/D784))*D784),EDATE('Deal maths'!AA784,-(INT(((YEAR('Deal maths'!AA784)-YEAR(IF('Deal maths'!Z784&gt;0,'Deal maths'!Z784,DATE(1990,1,1))))*12+MONTH('Deal maths'!AA784)-MONTH(IF('Deal maths'!Z784&gt;0,'Deal maths'!Z784,DATE(1990,1,1))))/D784))*D784))&gt;IF('Deal maths'!Z784&gt;0,'Deal maths'!Z784,DATE(1990,1,1)),IF(DAY('Deal maths'!AA784+1)=1,EOMONTH('Deal maths'!AA784,-(INT(((YEAR('Deal maths'!AA784)-YEAR(IF('Deal maths'!Z784&gt;0,'Deal maths'!Z784,DATE(1990,1,1))))*12+MONTH('Deal maths'!AA784)-MONTH(IF('Deal maths'!Z784&gt;0,'Deal maths'!Z784,DATE(1990,1,1))))/D784))*D784),EDATE('Deal maths'!AA784,-(INT(((YEAR('Deal maths'!AA784)-YEAR(IF('Deal maths'!Z784&gt;0,'Deal maths'!Z784,DATE(1990,1,1))))*12+MONTH('Deal maths'!AA784)-MONTH(IF('Deal maths'!Z784&gt;0,'Deal maths'!Z784,DATE(1990,1,1))))/D784))*D784)),IF(DAY('Deal maths'!AA784+1)=1,EOMONTH('Deal maths'!AA784,-(INT(((YEAR('Deal maths'!AA784)-YEAR(IF('Deal maths'!Z784&gt;0,'Deal maths'!Z784,DATE(1990,1,1))))*12+MONTH('Deal maths'!AA784)-MONTH(IF('Deal maths'!Z784&gt;0,'Deal maths'!Z784,DATE(1990,1,1))))/D784)-1)*D784),EDATE('Deal maths'!AA784,-(INT(((YEAR('Deal maths'!AA784)-YEAR(IF('Deal maths'!Z784&gt;0,'Deal maths'!Z784,DATE(1990,1,1))))*12+MONTH('Deal maths'!AA784)-MONTH(IF('Deal maths'!Z784&gt;0,'Deal maths'!Z784,DATE(1990,1,1))))/D784)-1)*D784))))),0)</f>
        <v/>
      </c>
      <c r="F784" s="110">
        <f>IF(D784=0,0,'Deal maths'!AB784*D784/12)</f>
        <v/>
      </c>
      <c r="G784" s="108">
        <f>N784+O784</f>
        <v/>
      </c>
      <c r="H784" s="108">
        <f>IFERROR(IF(OR(D784=0,AsAt&lt;E784),0,MIN(N784,INT(((YEAR(AsAt)-YEAR(E784))*12+MONTH(AsAt)-MONTH(E784)-(DAY(AsAt)&lt;MIN(R784,DAY(EOMONTH(AsAt,0)))))/D784)+1)+O784*(AsAt&gt;='Deal maths'!AA784)),0)</f>
        <v/>
      </c>
      <c r="I784" s="108">
        <f>G784-H784</f>
        <v/>
      </c>
      <c r="J784" s="111">
        <f>IF(AND(C784="EIP",I784&gt;0),'Deal maths'!Y784/I784,0)</f>
        <v/>
      </c>
      <c r="K784" s="111">
        <f>IF(AND(C784="Annuity",I784&gt;0),IF(F784&gt;0,'Deal maths'!Y784*F784/(1-(1+F784)^-I784),'Deal maths'!Y784/I784),0)</f>
        <v/>
      </c>
      <c r="L784" s="111">
        <f>IF('Deal maths'!Y784="",0,'Deal maths'!Y784)</f>
        <v/>
      </c>
      <c r="M784" s="112">
        <f>F784+(F784=0)</f>
        <v/>
      </c>
      <c r="N784" s="108">
        <f>IFERROR(IF(D784=0,0,INT(((YEAR('Deal maths'!AA784)-YEAR(E784))*12+MONTH('Deal maths'!AA784)-MONTH(E784)-(DAY('Deal maths'!AA784)&lt;MIN(R784,DAY(EOMONTH('Deal maths'!AA784,0)))))/D784)+1),0)</f>
        <v/>
      </c>
      <c r="O784" s="108">
        <f>IFERROR(IF(D784=0,0,IF(IF(DAY(E784+1)=1,EOMONTH(E784,(N784-1)*D784),EDATE(E784,(N784-1)*D784))='Deal maths'!AA784,0,1)),0)</f>
        <v/>
      </c>
      <c r="P784" s="113">
        <f>IF(B784=0,0,IFERROR(IF(C784="EIP",((I784-O784)*((IF(DAY(E784+1)=1,EOMONTH(E784,H784*D784),EDATE(E784,H784*D784))-AsAt)/365.25+(IF(DAY(E784+1)=1,EOMONTH(E784,(N784-1)*D784),EDATE(E784,(N784-1)*D784))-AsAt)/365.25)/2+O784*('Deal maths'!AA784-AsAt)/365.25)/I784,IF(C784="Annuity",IF(F784&gt;0,((K784-L784*F784)*((IF(DAY(E784+1)=1,EOMONTH(E784,H784*D784),EDATE(E784,H784*D784))-AsAt)/365.25*((1+F784)^(I784-O784)-1)/F784+IF((I784-O784)&gt;1,((IF(DAY(E784+1)=1,EOMONTH(E784,(N784-1)*D784),EDATE(E784,(N784-1)*D784))-AsAt)/365.25-(IF(DAY(E784+1)=1,EOMONTH(E784,H784*D784),EDATE(E784,H784*D784))-AsAt)/365.25)/((I784-O784)-1),0)*(1+F784)*(1-(I784-O784)*(1+F784)^((I784-O784)-1)+((I784-O784)-1)*(1+F784)^(I784-O784))/F784^2)+O784*(K784-L784*F784)*(1+F784)^(I784-1)*('Deal maths'!AA784-AsAt)/365.25)/L784,((I784-O784)*((IF(DAY(E784+1)=1,EOMONTH(E784,H784*D784),EDATE(E784,H784*D784))-AsAt)/365.25+(IF(DAY(E784+1)=1,EOMONTH(E784,(N784-1)*D784),EDATE(E784,(N784-1)*D784))-AsAt)/365.25)/2+O784*('Deal maths'!AA784-AsAt)/365.25)/I784),(S784-AsAt)/365.25)),0))</f>
        <v/>
      </c>
      <c r="Q784" s="109">
        <f>IF(B784=1,'Deal maths'!AA784+ROW()/1000000,"")</f>
        <v/>
      </c>
      <c r="R784" s="108">
        <f>IF(D784=0,0,IF(DAY(E784+1)=1,31,DAY(E784)))</f>
        <v/>
      </c>
      <c r="S784" s="109">
        <f>IF(AND('Deal maths'!V784="LOBO",'Deal maths'!AG784&gt;AsAt,'Deal maths'!AG784&lt;'Deal maths'!AA784),'Deal maths'!AG784,'Deal maths'!AA784)</f>
        <v/>
      </c>
      <c r="T784" s="108">
        <f>('Deal maths'!AA784&gt;AsAt)*('Deal maths'!Y784&gt;0)</f>
        <v/>
      </c>
    </row>
    <row r="785">
      <c r="A785" s="91">
        <f>IF('Deal maths'!V785="","",'Deal maths'!W785)</f>
        <v/>
      </c>
      <c r="B785" s="108">
        <f>('Deal maths'!AA785&gt;AsAt)*('Deal maths'!Y785&gt;0)*('Deal maths'!Z785&lt;=AsAt)</f>
        <v/>
      </c>
      <c r="C785" s="91">
        <f>IF('Deal maths'!V785="","",IF('Deal maths'!AC785="","Maturity",'Deal maths'!AC785))</f>
        <v/>
      </c>
      <c r="D785" s="108">
        <f>IF(OR(C785="EIP",C785="Annuity"),IF('Deal maths'!AD785="Annual",12,IF('Deal maths'!AD785="Quarterly",3,6)),0)</f>
        <v/>
      </c>
      <c r="E785" s="109">
        <f>IFERROR(IF(D785=0,0,IF('Deal maths'!AE785&gt;0,IF('Deal maths'!AE785&gt;'Deal maths'!AA785,'Deal maths'!AA785,'Deal maths'!AE785),IF(IF(DAY('Deal maths'!AA785+1)=1,EOMONTH('Deal maths'!AA785,-(INT(((YEAR('Deal maths'!AA785)-YEAR(IF('Deal maths'!Z785&gt;0,'Deal maths'!Z785,DATE(1990,1,1))))*12+MONTH('Deal maths'!AA785)-MONTH(IF('Deal maths'!Z785&gt;0,'Deal maths'!Z785,DATE(1990,1,1))))/D785))*D785),EDATE('Deal maths'!AA785,-(INT(((YEAR('Deal maths'!AA785)-YEAR(IF('Deal maths'!Z785&gt;0,'Deal maths'!Z785,DATE(1990,1,1))))*12+MONTH('Deal maths'!AA785)-MONTH(IF('Deal maths'!Z785&gt;0,'Deal maths'!Z785,DATE(1990,1,1))))/D785))*D785))&gt;IF('Deal maths'!Z785&gt;0,'Deal maths'!Z785,DATE(1990,1,1)),IF(DAY('Deal maths'!AA785+1)=1,EOMONTH('Deal maths'!AA785,-(INT(((YEAR('Deal maths'!AA785)-YEAR(IF('Deal maths'!Z785&gt;0,'Deal maths'!Z785,DATE(1990,1,1))))*12+MONTH('Deal maths'!AA785)-MONTH(IF('Deal maths'!Z785&gt;0,'Deal maths'!Z785,DATE(1990,1,1))))/D785))*D785),EDATE('Deal maths'!AA785,-(INT(((YEAR('Deal maths'!AA785)-YEAR(IF('Deal maths'!Z785&gt;0,'Deal maths'!Z785,DATE(1990,1,1))))*12+MONTH('Deal maths'!AA785)-MONTH(IF('Deal maths'!Z785&gt;0,'Deal maths'!Z785,DATE(1990,1,1))))/D785))*D785)),IF(DAY('Deal maths'!AA785+1)=1,EOMONTH('Deal maths'!AA785,-(INT(((YEAR('Deal maths'!AA785)-YEAR(IF('Deal maths'!Z785&gt;0,'Deal maths'!Z785,DATE(1990,1,1))))*12+MONTH('Deal maths'!AA785)-MONTH(IF('Deal maths'!Z785&gt;0,'Deal maths'!Z785,DATE(1990,1,1))))/D785)-1)*D785),EDATE('Deal maths'!AA785,-(INT(((YEAR('Deal maths'!AA785)-YEAR(IF('Deal maths'!Z785&gt;0,'Deal maths'!Z785,DATE(1990,1,1))))*12+MONTH('Deal maths'!AA785)-MONTH(IF('Deal maths'!Z785&gt;0,'Deal maths'!Z785,DATE(1990,1,1))))/D785)-1)*D785))))),0)</f>
        <v/>
      </c>
      <c r="F785" s="110">
        <f>IF(D785=0,0,'Deal maths'!AB785*D785/12)</f>
        <v/>
      </c>
      <c r="G785" s="108">
        <f>N785+O785</f>
        <v/>
      </c>
      <c r="H785" s="108">
        <f>IFERROR(IF(OR(D785=0,AsAt&lt;E785),0,MIN(N785,INT(((YEAR(AsAt)-YEAR(E785))*12+MONTH(AsAt)-MONTH(E785)-(DAY(AsAt)&lt;MIN(R785,DAY(EOMONTH(AsAt,0)))))/D785)+1)+O785*(AsAt&gt;='Deal maths'!AA785)),0)</f>
        <v/>
      </c>
      <c r="I785" s="108">
        <f>G785-H785</f>
        <v/>
      </c>
      <c r="J785" s="111">
        <f>IF(AND(C785="EIP",I785&gt;0),'Deal maths'!Y785/I785,0)</f>
        <v/>
      </c>
      <c r="K785" s="111">
        <f>IF(AND(C785="Annuity",I785&gt;0),IF(F785&gt;0,'Deal maths'!Y785*F785/(1-(1+F785)^-I785),'Deal maths'!Y785/I785),0)</f>
        <v/>
      </c>
      <c r="L785" s="111">
        <f>IF('Deal maths'!Y785="",0,'Deal maths'!Y785)</f>
        <v/>
      </c>
      <c r="M785" s="112">
        <f>F785+(F785=0)</f>
        <v/>
      </c>
      <c r="N785" s="108">
        <f>IFERROR(IF(D785=0,0,INT(((YEAR('Deal maths'!AA785)-YEAR(E785))*12+MONTH('Deal maths'!AA785)-MONTH(E785)-(DAY('Deal maths'!AA785)&lt;MIN(R785,DAY(EOMONTH('Deal maths'!AA785,0)))))/D785)+1),0)</f>
        <v/>
      </c>
      <c r="O785" s="108">
        <f>IFERROR(IF(D785=0,0,IF(IF(DAY(E785+1)=1,EOMONTH(E785,(N785-1)*D785),EDATE(E785,(N785-1)*D785))='Deal maths'!AA785,0,1)),0)</f>
        <v/>
      </c>
      <c r="P785" s="113">
        <f>IF(B785=0,0,IFERROR(IF(C785="EIP",((I785-O785)*((IF(DAY(E785+1)=1,EOMONTH(E785,H785*D785),EDATE(E785,H785*D785))-AsAt)/365.25+(IF(DAY(E785+1)=1,EOMONTH(E785,(N785-1)*D785),EDATE(E785,(N785-1)*D785))-AsAt)/365.25)/2+O785*('Deal maths'!AA785-AsAt)/365.25)/I785,IF(C785="Annuity",IF(F785&gt;0,((K785-L785*F785)*((IF(DAY(E785+1)=1,EOMONTH(E785,H785*D785),EDATE(E785,H785*D785))-AsAt)/365.25*((1+F785)^(I785-O785)-1)/F785+IF((I785-O785)&gt;1,((IF(DAY(E785+1)=1,EOMONTH(E785,(N785-1)*D785),EDATE(E785,(N785-1)*D785))-AsAt)/365.25-(IF(DAY(E785+1)=1,EOMONTH(E785,H785*D785),EDATE(E785,H785*D785))-AsAt)/365.25)/((I785-O785)-1),0)*(1+F785)*(1-(I785-O785)*(1+F785)^((I785-O785)-1)+((I785-O785)-1)*(1+F785)^(I785-O785))/F785^2)+O785*(K785-L785*F785)*(1+F785)^(I785-1)*('Deal maths'!AA785-AsAt)/365.25)/L785,((I785-O785)*((IF(DAY(E785+1)=1,EOMONTH(E785,H785*D785),EDATE(E785,H785*D785))-AsAt)/365.25+(IF(DAY(E785+1)=1,EOMONTH(E785,(N785-1)*D785),EDATE(E785,(N785-1)*D785))-AsAt)/365.25)/2+O785*('Deal maths'!AA785-AsAt)/365.25)/I785),(S785-AsAt)/365.25)),0))</f>
        <v/>
      </c>
      <c r="Q785" s="109">
        <f>IF(B785=1,'Deal maths'!AA785+ROW()/1000000,"")</f>
        <v/>
      </c>
      <c r="R785" s="108">
        <f>IF(D785=0,0,IF(DAY(E785+1)=1,31,DAY(E785)))</f>
        <v/>
      </c>
      <c r="S785" s="109">
        <f>IF(AND('Deal maths'!V785="LOBO",'Deal maths'!AG785&gt;AsAt,'Deal maths'!AG785&lt;'Deal maths'!AA785),'Deal maths'!AG785,'Deal maths'!AA785)</f>
        <v/>
      </c>
      <c r="T785" s="108">
        <f>('Deal maths'!AA785&gt;AsAt)*('Deal maths'!Y785&gt;0)</f>
        <v/>
      </c>
    </row>
    <row r="786">
      <c r="A786" s="91">
        <f>IF('Deal maths'!V786="","",'Deal maths'!W786)</f>
        <v/>
      </c>
      <c r="B786" s="108">
        <f>('Deal maths'!AA786&gt;AsAt)*('Deal maths'!Y786&gt;0)*('Deal maths'!Z786&lt;=AsAt)</f>
        <v/>
      </c>
      <c r="C786" s="91">
        <f>IF('Deal maths'!V786="","",IF('Deal maths'!AC786="","Maturity",'Deal maths'!AC786))</f>
        <v/>
      </c>
      <c r="D786" s="108">
        <f>IF(OR(C786="EIP",C786="Annuity"),IF('Deal maths'!AD786="Annual",12,IF('Deal maths'!AD786="Quarterly",3,6)),0)</f>
        <v/>
      </c>
      <c r="E786" s="109">
        <f>IFERROR(IF(D786=0,0,IF('Deal maths'!AE786&gt;0,IF('Deal maths'!AE786&gt;'Deal maths'!AA786,'Deal maths'!AA786,'Deal maths'!AE786),IF(IF(DAY('Deal maths'!AA786+1)=1,EOMONTH('Deal maths'!AA786,-(INT(((YEAR('Deal maths'!AA786)-YEAR(IF('Deal maths'!Z786&gt;0,'Deal maths'!Z786,DATE(1990,1,1))))*12+MONTH('Deal maths'!AA786)-MONTH(IF('Deal maths'!Z786&gt;0,'Deal maths'!Z786,DATE(1990,1,1))))/D786))*D786),EDATE('Deal maths'!AA786,-(INT(((YEAR('Deal maths'!AA786)-YEAR(IF('Deal maths'!Z786&gt;0,'Deal maths'!Z786,DATE(1990,1,1))))*12+MONTH('Deal maths'!AA786)-MONTH(IF('Deal maths'!Z786&gt;0,'Deal maths'!Z786,DATE(1990,1,1))))/D786))*D786))&gt;IF('Deal maths'!Z786&gt;0,'Deal maths'!Z786,DATE(1990,1,1)),IF(DAY('Deal maths'!AA786+1)=1,EOMONTH('Deal maths'!AA786,-(INT(((YEAR('Deal maths'!AA786)-YEAR(IF('Deal maths'!Z786&gt;0,'Deal maths'!Z786,DATE(1990,1,1))))*12+MONTH('Deal maths'!AA786)-MONTH(IF('Deal maths'!Z786&gt;0,'Deal maths'!Z786,DATE(1990,1,1))))/D786))*D786),EDATE('Deal maths'!AA786,-(INT(((YEAR('Deal maths'!AA786)-YEAR(IF('Deal maths'!Z786&gt;0,'Deal maths'!Z786,DATE(1990,1,1))))*12+MONTH('Deal maths'!AA786)-MONTH(IF('Deal maths'!Z786&gt;0,'Deal maths'!Z786,DATE(1990,1,1))))/D786))*D786)),IF(DAY('Deal maths'!AA786+1)=1,EOMONTH('Deal maths'!AA786,-(INT(((YEAR('Deal maths'!AA786)-YEAR(IF('Deal maths'!Z786&gt;0,'Deal maths'!Z786,DATE(1990,1,1))))*12+MONTH('Deal maths'!AA786)-MONTH(IF('Deal maths'!Z786&gt;0,'Deal maths'!Z786,DATE(1990,1,1))))/D786)-1)*D786),EDATE('Deal maths'!AA786,-(INT(((YEAR('Deal maths'!AA786)-YEAR(IF('Deal maths'!Z786&gt;0,'Deal maths'!Z786,DATE(1990,1,1))))*12+MONTH('Deal maths'!AA786)-MONTH(IF('Deal maths'!Z786&gt;0,'Deal maths'!Z786,DATE(1990,1,1))))/D786)-1)*D786))))),0)</f>
        <v/>
      </c>
      <c r="F786" s="110">
        <f>IF(D786=0,0,'Deal maths'!AB786*D786/12)</f>
        <v/>
      </c>
      <c r="G786" s="108">
        <f>N786+O786</f>
        <v/>
      </c>
      <c r="H786" s="108">
        <f>IFERROR(IF(OR(D786=0,AsAt&lt;E786),0,MIN(N786,INT(((YEAR(AsAt)-YEAR(E786))*12+MONTH(AsAt)-MONTH(E786)-(DAY(AsAt)&lt;MIN(R786,DAY(EOMONTH(AsAt,0)))))/D786)+1)+O786*(AsAt&gt;='Deal maths'!AA786)),0)</f>
        <v/>
      </c>
      <c r="I786" s="108">
        <f>G786-H786</f>
        <v/>
      </c>
      <c r="J786" s="111">
        <f>IF(AND(C786="EIP",I786&gt;0),'Deal maths'!Y786/I786,0)</f>
        <v/>
      </c>
      <c r="K786" s="111">
        <f>IF(AND(C786="Annuity",I786&gt;0),IF(F786&gt;0,'Deal maths'!Y786*F786/(1-(1+F786)^-I786),'Deal maths'!Y786/I786),0)</f>
        <v/>
      </c>
      <c r="L786" s="111">
        <f>IF('Deal maths'!Y786="",0,'Deal maths'!Y786)</f>
        <v/>
      </c>
      <c r="M786" s="112">
        <f>F786+(F786=0)</f>
        <v/>
      </c>
      <c r="N786" s="108">
        <f>IFERROR(IF(D786=0,0,INT(((YEAR('Deal maths'!AA786)-YEAR(E786))*12+MONTH('Deal maths'!AA786)-MONTH(E786)-(DAY('Deal maths'!AA786)&lt;MIN(R786,DAY(EOMONTH('Deal maths'!AA786,0)))))/D786)+1),0)</f>
        <v/>
      </c>
      <c r="O786" s="108">
        <f>IFERROR(IF(D786=0,0,IF(IF(DAY(E786+1)=1,EOMONTH(E786,(N786-1)*D786),EDATE(E786,(N786-1)*D786))='Deal maths'!AA786,0,1)),0)</f>
        <v/>
      </c>
      <c r="P786" s="113">
        <f>IF(B786=0,0,IFERROR(IF(C786="EIP",((I786-O786)*((IF(DAY(E786+1)=1,EOMONTH(E786,H786*D786),EDATE(E786,H786*D786))-AsAt)/365.25+(IF(DAY(E786+1)=1,EOMONTH(E786,(N786-1)*D786),EDATE(E786,(N786-1)*D786))-AsAt)/365.25)/2+O786*('Deal maths'!AA786-AsAt)/365.25)/I786,IF(C786="Annuity",IF(F786&gt;0,((K786-L786*F786)*((IF(DAY(E786+1)=1,EOMONTH(E786,H786*D786),EDATE(E786,H786*D786))-AsAt)/365.25*((1+F786)^(I786-O786)-1)/F786+IF((I786-O786)&gt;1,((IF(DAY(E786+1)=1,EOMONTH(E786,(N786-1)*D786),EDATE(E786,(N786-1)*D786))-AsAt)/365.25-(IF(DAY(E786+1)=1,EOMONTH(E786,H786*D786),EDATE(E786,H786*D786))-AsAt)/365.25)/((I786-O786)-1),0)*(1+F786)*(1-(I786-O786)*(1+F786)^((I786-O786)-1)+((I786-O786)-1)*(1+F786)^(I786-O786))/F786^2)+O786*(K786-L786*F786)*(1+F786)^(I786-1)*('Deal maths'!AA786-AsAt)/365.25)/L786,((I786-O786)*((IF(DAY(E786+1)=1,EOMONTH(E786,H786*D786),EDATE(E786,H786*D786))-AsAt)/365.25+(IF(DAY(E786+1)=1,EOMONTH(E786,(N786-1)*D786),EDATE(E786,(N786-1)*D786))-AsAt)/365.25)/2+O786*('Deal maths'!AA786-AsAt)/365.25)/I786),(S786-AsAt)/365.25)),0))</f>
        <v/>
      </c>
      <c r="Q786" s="109">
        <f>IF(B786=1,'Deal maths'!AA786+ROW()/1000000,"")</f>
        <v/>
      </c>
      <c r="R786" s="108">
        <f>IF(D786=0,0,IF(DAY(E786+1)=1,31,DAY(E786)))</f>
        <v/>
      </c>
      <c r="S786" s="109">
        <f>IF(AND('Deal maths'!V786="LOBO",'Deal maths'!AG786&gt;AsAt,'Deal maths'!AG786&lt;'Deal maths'!AA786),'Deal maths'!AG786,'Deal maths'!AA786)</f>
        <v/>
      </c>
      <c r="T786" s="108">
        <f>('Deal maths'!AA786&gt;AsAt)*('Deal maths'!Y786&gt;0)</f>
        <v/>
      </c>
    </row>
    <row r="787">
      <c r="A787" s="91">
        <f>IF('Deal maths'!V787="","",'Deal maths'!W787)</f>
        <v/>
      </c>
      <c r="B787" s="108">
        <f>('Deal maths'!AA787&gt;AsAt)*('Deal maths'!Y787&gt;0)*('Deal maths'!Z787&lt;=AsAt)</f>
        <v/>
      </c>
      <c r="C787" s="91">
        <f>IF('Deal maths'!V787="","",IF('Deal maths'!AC787="","Maturity",'Deal maths'!AC787))</f>
        <v/>
      </c>
      <c r="D787" s="108">
        <f>IF(OR(C787="EIP",C787="Annuity"),IF('Deal maths'!AD787="Annual",12,IF('Deal maths'!AD787="Quarterly",3,6)),0)</f>
        <v/>
      </c>
      <c r="E787" s="109">
        <f>IFERROR(IF(D787=0,0,IF('Deal maths'!AE787&gt;0,IF('Deal maths'!AE787&gt;'Deal maths'!AA787,'Deal maths'!AA787,'Deal maths'!AE787),IF(IF(DAY('Deal maths'!AA787+1)=1,EOMONTH('Deal maths'!AA787,-(INT(((YEAR('Deal maths'!AA787)-YEAR(IF('Deal maths'!Z787&gt;0,'Deal maths'!Z787,DATE(1990,1,1))))*12+MONTH('Deal maths'!AA787)-MONTH(IF('Deal maths'!Z787&gt;0,'Deal maths'!Z787,DATE(1990,1,1))))/D787))*D787),EDATE('Deal maths'!AA787,-(INT(((YEAR('Deal maths'!AA787)-YEAR(IF('Deal maths'!Z787&gt;0,'Deal maths'!Z787,DATE(1990,1,1))))*12+MONTH('Deal maths'!AA787)-MONTH(IF('Deal maths'!Z787&gt;0,'Deal maths'!Z787,DATE(1990,1,1))))/D787))*D787))&gt;IF('Deal maths'!Z787&gt;0,'Deal maths'!Z787,DATE(1990,1,1)),IF(DAY('Deal maths'!AA787+1)=1,EOMONTH('Deal maths'!AA787,-(INT(((YEAR('Deal maths'!AA787)-YEAR(IF('Deal maths'!Z787&gt;0,'Deal maths'!Z787,DATE(1990,1,1))))*12+MONTH('Deal maths'!AA787)-MONTH(IF('Deal maths'!Z787&gt;0,'Deal maths'!Z787,DATE(1990,1,1))))/D787))*D787),EDATE('Deal maths'!AA787,-(INT(((YEAR('Deal maths'!AA787)-YEAR(IF('Deal maths'!Z787&gt;0,'Deal maths'!Z787,DATE(1990,1,1))))*12+MONTH('Deal maths'!AA787)-MONTH(IF('Deal maths'!Z787&gt;0,'Deal maths'!Z787,DATE(1990,1,1))))/D787))*D787)),IF(DAY('Deal maths'!AA787+1)=1,EOMONTH('Deal maths'!AA787,-(INT(((YEAR('Deal maths'!AA787)-YEAR(IF('Deal maths'!Z787&gt;0,'Deal maths'!Z787,DATE(1990,1,1))))*12+MONTH('Deal maths'!AA787)-MONTH(IF('Deal maths'!Z787&gt;0,'Deal maths'!Z787,DATE(1990,1,1))))/D787)-1)*D787),EDATE('Deal maths'!AA787,-(INT(((YEAR('Deal maths'!AA787)-YEAR(IF('Deal maths'!Z787&gt;0,'Deal maths'!Z787,DATE(1990,1,1))))*12+MONTH('Deal maths'!AA787)-MONTH(IF('Deal maths'!Z787&gt;0,'Deal maths'!Z787,DATE(1990,1,1))))/D787)-1)*D787))))),0)</f>
        <v/>
      </c>
      <c r="F787" s="110">
        <f>IF(D787=0,0,'Deal maths'!AB787*D787/12)</f>
        <v/>
      </c>
      <c r="G787" s="108">
        <f>N787+O787</f>
        <v/>
      </c>
      <c r="H787" s="108">
        <f>IFERROR(IF(OR(D787=0,AsAt&lt;E787),0,MIN(N787,INT(((YEAR(AsAt)-YEAR(E787))*12+MONTH(AsAt)-MONTH(E787)-(DAY(AsAt)&lt;MIN(R787,DAY(EOMONTH(AsAt,0)))))/D787)+1)+O787*(AsAt&gt;='Deal maths'!AA787)),0)</f>
        <v/>
      </c>
      <c r="I787" s="108">
        <f>G787-H787</f>
        <v/>
      </c>
      <c r="J787" s="111">
        <f>IF(AND(C787="EIP",I787&gt;0),'Deal maths'!Y787/I787,0)</f>
        <v/>
      </c>
      <c r="K787" s="111">
        <f>IF(AND(C787="Annuity",I787&gt;0),IF(F787&gt;0,'Deal maths'!Y787*F787/(1-(1+F787)^-I787),'Deal maths'!Y787/I787),0)</f>
        <v/>
      </c>
      <c r="L787" s="111">
        <f>IF('Deal maths'!Y787="",0,'Deal maths'!Y787)</f>
        <v/>
      </c>
      <c r="M787" s="112">
        <f>F787+(F787=0)</f>
        <v/>
      </c>
      <c r="N787" s="108">
        <f>IFERROR(IF(D787=0,0,INT(((YEAR('Deal maths'!AA787)-YEAR(E787))*12+MONTH('Deal maths'!AA787)-MONTH(E787)-(DAY('Deal maths'!AA787)&lt;MIN(R787,DAY(EOMONTH('Deal maths'!AA787,0)))))/D787)+1),0)</f>
        <v/>
      </c>
      <c r="O787" s="108">
        <f>IFERROR(IF(D787=0,0,IF(IF(DAY(E787+1)=1,EOMONTH(E787,(N787-1)*D787),EDATE(E787,(N787-1)*D787))='Deal maths'!AA787,0,1)),0)</f>
        <v/>
      </c>
      <c r="P787" s="113">
        <f>IF(B787=0,0,IFERROR(IF(C787="EIP",((I787-O787)*((IF(DAY(E787+1)=1,EOMONTH(E787,H787*D787),EDATE(E787,H787*D787))-AsAt)/365.25+(IF(DAY(E787+1)=1,EOMONTH(E787,(N787-1)*D787),EDATE(E787,(N787-1)*D787))-AsAt)/365.25)/2+O787*('Deal maths'!AA787-AsAt)/365.25)/I787,IF(C787="Annuity",IF(F787&gt;0,((K787-L787*F787)*((IF(DAY(E787+1)=1,EOMONTH(E787,H787*D787),EDATE(E787,H787*D787))-AsAt)/365.25*((1+F787)^(I787-O787)-1)/F787+IF((I787-O787)&gt;1,((IF(DAY(E787+1)=1,EOMONTH(E787,(N787-1)*D787),EDATE(E787,(N787-1)*D787))-AsAt)/365.25-(IF(DAY(E787+1)=1,EOMONTH(E787,H787*D787),EDATE(E787,H787*D787))-AsAt)/365.25)/((I787-O787)-1),0)*(1+F787)*(1-(I787-O787)*(1+F787)^((I787-O787)-1)+((I787-O787)-1)*(1+F787)^(I787-O787))/F787^2)+O787*(K787-L787*F787)*(1+F787)^(I787-1)*('Deal maths'!AA787-AsAt)/365.25)/L787,((I787-O787)*((IF(DAY(E787+1)=1,EOMONTH(E787,H787*D787),EDATE(E787,H787*D787))-AsAt)/365.25+(IF(DAY(E787+1)=1,EOMONTH(E787,(N787-1)*D787),EDATE(E787,(N787-1)*D787))-AsAt)/365.25)/2+O787*('Deal maths'!AA787-AsAt)/365.25)/I787),(S787-AsAt)/365.25)),0))</f>
        <v/>
      </c>
      <c r="Q787" s="109">
        <f>IF(B787=1,'Deal maths'!AA787+ROW()/1000000,"")</f>
        <v/>
      </c>
      <c r="R787" s="108">
        <f>IF(D787=0,0,IF(DAY(E787+1)=1,31,DAY(E787)))</f>
        <v/>
      </c>
      <c r="S787" s="109">
        <f>IF(AND('Deal maths'!V787="LOBO",'Deal maths'!AG787&gt;AsAt,'Deal maths'!AG787&lt;'Deal maths'!AA787),'Deal maths'!AG787,'Deal maths'!AA787)</f>
        <v/>
      </c>
      <c r="T787" s="108">
        <f>('Deal maths'!AA787&gt;AsAt)*('Deal maths'!Y787&gt;0)</f>
        <v/>
      </c>
    </row>
    <row r="788">
      <c r="A788" s="91">
        <f>IF('Deal maths'!V788="","",'Deal maths'!W788)</f>
        <v/>
      </c>
      <c r="B788" s="108">
        <f>('Deal maths'!AA788&gt;AsAt)*('Deal maths'!Y788&gt;0)*('Deal maths'!Z788&lt;=AsAt)</f>
        <v/>
      </c>
      <c r="C788" s="91">
        <f>IF('Deal maths'!V788="","",IF('Deal maths'!AC788="","Maturity",'Deal maths'!AC788))</f>
        <v/>
      </c>
      <c r="D788" s="108">
        <f>IF(OR(C788="EIP",C788="Annuity"),IF('Deal maths'!AD788="Annual",12,IF('Deal maths'!AD788="Quarterly",3,6)),0)</f>
        <v/>
      </c>
      <c r="E788" s="109">
        <f>IFERROR(IF(D788=0,0,IF('Deal maths'!AE788&gt;0,IF('Deal maths'!AE788&gt;'Deal maths'!AA788,'Deal maths'!AA788,'Deal maths'!AE788),IF(IF(DAY('Deal maths'!AA788+1)=1,EOMONTH('Deal maths'!AA788,-(INT(((YEAR('Deal maths'!AA788)-YEAR(IF('Deal maths'!Z788&gt;0,'Deal maths'!Z788,DATE(1990,1,1))))*12+MONTH('Deal maths'!AA788)-MONTH(IF('Deal maths'!Z788&gt;0,'Deal maths'!Z788,DATE(1990,1,1))))/D788))*D788),EDATE('Deal maths'!AA788,-(INT(((YEAR('Deal maths'!AA788)-YEAR(IF('Deal maths'!Z788&gt;0,'Deal maths'!Z788,DATE(1990,1,1))))*12+MONTH('Deal maths'!AA788)-MONTH(IF('Deal maths'!Z788&gt;0,'Deal maths'!Z788,DATE(1990,1,1))))/D788))*D788))&gt;IF('Deal maths'!Z788&gt;0,'Deal maths'!Z788,DATE(1990,1,1)),IF(DAY('Deal maths'!AA788+1)=1,EOMONTH('Deal maths'!AA788,-(INT(((YEAR('Deal maths'!AA788)-YEAR(IF('Deal maths'!Z788&gt;0,'Deal maths'!Z788,DATE(1990,1,1))))*12+MONTH('Deal maths'!AA788)-MONTH(IF('Deal maths'!Z788&gt;0,'Deal maths'!Z788,DATE(1990,1,1))))/D788))*D788),EDATE('Deal maths'!AA788,-(INT(((YEAR('Deal maths'!AA788)-YEAR(IF('Deal maths'!Z788&gt;0,'Deal maths'!Z788,DATE(1990,1,1))))*12+MONTH('Deal maths'!AA788)-MONTH(IF('Deal maths'!Z788&gt;0,'Deal maths'!Z788,DATE(1990,1,1))))/D788))*D788)),IF(DAY('Deal maths'!AA788+1)=1,EOMONTH('Deal maths'!AA788,-(INT(((YEAR('Deal maths'!AA788)-YEAR(IF('Deal maths'!Z788&gt;0,'Deal maths'!Z788,DATE(1990,1,1))))*12+MONTH('Deal maths'!AA788)-MONTH(IF('Deal maths'!Z788&gt;0,'Deal maths'!Z788,DATE(1990,1,1))))/D788)-1)*D788),EDATE('Deal maths'!AA788,-(INT(((YEAR('Deal maths'!AA788)-YEAR(IF('Deal maths'!Z788&gt;0,'Deal maths'!Z788,DATE(1990,1,1))))*12+MONTH('Deal maths'!AA788)-MONTH(IF('Deal maths'!Z788&gt;0,'Deal maths'!Z788,DATE(1990,1,1))))/D788)-1)*D788))))),0)</f>
        <v/>
      </c>
      <c r="F788" s="110">
        <f>IF(D788=0,0,'Deal maths'!AB788*D788/12)</f>
        <v/>
      </c>
      <c r="G788" s="108">
        <f>N788+O788</f>
        <v/>
      </c>
      <c r="H788" s="108">
        <f>IFERROR(IF(OR(D788=0,AsAt&lt;E788),0,MIN(N788,INT(((YEAR(AsAt)-YEAR(E788))*12+MONTH(AsAt)-MONTH(E788)-(DAY(AsAt)&lt;MIN(R788,DAY(EOMONTH(AsAt,0)))))/D788)+1)+O788*(AsAt&gt;='Deal maths'!AA788)),0)</f>
        <v/>
      </c>
      <c r="I788" s="108">
        <f>G788-H788</f>
        <v/>
      </c>
      <c r="J788" s="111">
        <f>IF(AND(C788="EIP",I788&gt;0),'Deal maths'!Y788/I788,0)</f>
        <v/>
      </c>
      <c r="K788" s="111">
        <f>IF(AND(C788="Annuity",I788&gt;0),IF(F788&gt;0,'Deal maths'!Y788*F788/(1-(1+F788)^-I788),'Deal maths'!Y788/I788),0)</f>
        <v/>
      </c>
      <c r="L788" s="111">
        <f>IF('Deal maths'!Y788="",0,'Deal maths'!Y788)</f>
        <v/>
      </c>
      <c r="M788" s="112">
        <f>F788+(F788=0)</f>
        <v/>
      </c>
      <c r="N788" s="108">
        <f>IFERROR(IF(D788=0,0,INT(((YEAR('Deal maths'!AA788)-YEAR(E788))*12+MONTH('Deal maths'!AA788)-MONTH(E788)-(DAY('Deal maths'!AA788)&lt;MIN(R788,DAY(EOMONTH('Deal maths'!AA788,0)))))/D788)+1),0)</f>
        <v/>
      </c>
      <c r="O788" s="108">
        <f>IFERROR(IF(D788=0,0,IF(IF(DAY(E788+1)=1,EOMONTH(E788,(N788-1)*D788),EDATE(E788,(N788-1)*D788))='Deal maths'!AA788,0,1)),0)</f>
        <v/>
      </c>
      <c r="P788" s="113">
        <f>IF(B788=0,0,IFERROR(IF(C788="EIP",((I788-O788)*((IF(DAY(E788+1)=1,EOMONTH(E788,H788*D788),EDATE(E788,H788*D788))-AsAt)/365.25+(IF(DAY(E788+1)=1,EOMONTH(E788,(N788-1)*D788),EDATE(E788,(N788-1)*D788))-AsAt)/365.25)/2+O788*('Deal maths'!AA788-AsAt)/365.25)/I788,IF(C788="Annuity",IF(F788&gt;0,((K788-L788*F788)*((IF(DAY(E788+1)=1,EOMONTH(E788,H788*D788),EDATE(E788,H788*D788))-AsAt)/365.25*((1+F788)^(I788-O788)-1)/F788+IF((I788-O788)&gt;1,((IF(DAY(E788+1)=1,EOMONTH(E788,(N788-1)*D788),EDATE(E788,(N788-1)*D788))-AsAt)/365.25-(IF(DAY(E788+1)=1,EOMONTH(E788,H788*D788),EDATE(E788,H788*D788))-AsAt)/365.25)/((I788-O788)-1),0)*(1+F788)*(1-(I788-O788)*(1+F788)^((I788-O788)-1)+((I788-O788)-1)*(1+F788)^(I788-O788))/F788^2)+O788*(K788-L788*F788)*(1+F788)^(I788-1)*('Deal maths'!AA788-AsAt)/365.25)/L788,((I788-O788)*((IF(DAY(E788+1)=1,EOMONTH(E788,H788*D788),EDATE(E788,H788*D788))-AsAt)/365.25+(IF(DAY(E788+1)=1,EOMONTH(E788,(N788-1)*D788),EDATE(E788,(N788-1)*D788))-AsAt)/365.25)/2+O788*('Deal maths'!AA788-AsAt)/365.25)/I788),(S788-AsAt)/365.25)),0))</f>
        <v/>
      </c>
      <c r="Q788" s="109">
        <f>IF(B788=1,'Deal maths'!AA788+ROW()/1000000,"")</f>
        <v/>
      </c>
      <c r="R788" s="108">
        <f>IF(D788=0,0,IF(DAY(E788+1)=1,31,DAY(E788)))</f>
        <v/>
      </c>
      <c r="S788" s="109">
        <f>IF(AND('Deal maths'!V788="LOBO",'Deal maths'!AG788&gt;AsAt,'Deal maths'!AG788&lt;'Deal maths'!AA788),'Deal maths'!AG788,'Deal maths'!AA788)</f>
        <v/>
      </c>
      <c r="T788" s="108">
        <f>('Deal maths'!AA788&gt;AsAt)*('Deal maths'!Y788&gt;0)</f>
        <v/>
      </c>
    </row>
    <row r="789">
      <c r="A789" s="91">
        <f>IF('Deal maths'!V789="","",'Deal maths'!W789)</f>
        <v/>
      </c>
      <c r="B789" s="108">
        <f>('Deal maths'!AA789&gt;AsAt)*('Deal maths'!Y789&gt;0)*('Deal maths'!Z789&lt;=AsAt)</f>
        <v/>
      </c>
      <c r="C789" s="91">
        <f>IF('Deal maths'!V789="","",IF('Deal maths'!AC789="","Maturity",'Deal maths'!AC789))</f>
        <v/>
      </c>
      <c r="D789" s="108">
        <f>IF(OR(C789="EIP",C789="Annuity"),IF('Deal maths'!AD789="Annual",12,IF('Deal maths'!AD789="Quarterly",3,6)),0)</f>
        <v/>
      </c>
      <c r="E789" s="109">
        <f>IFERROR(IF(D789=0,0,IF('Deal maths'!AE789&gt;0,IF('Deal maths'!AE789&gt;'Deal maths'!AA789,'Deal maths'!AA789,'Deal maths'!AE789),IF(IF(DAY('Deal maths'!AA789+1)=1,EOMONTH('Deal maths'!AA789,-(INT(((YEAR('Deal maths'!AA789)-YEAR(IF('Deal maths'!Z789&gt;0,'Deal maths'!Z789,DATE(1990,1,1))))*12+MONTH('Deal maths'!AA789)-MONTH(IF('Deal maths'!Z789&gt;0,'Deal maths'!Z789,DATE(1990,1,1))))/D789))*D789),EDATE('Deal maths'!AA789,-(INT(((YEAR('Deal maths'!AA789)-YEAR(IF('Deal maths'!Z789&gt;0,'Deal maths'!Z789,DATE(1990,1,1))))*12+MONTH('Deal maths'!AA789)-MONTH(IF('Deal maths'!Z789&gt;0,'Deal maths'!Z789,DATE(1990,1,1))))/D789))*D789))&gt;IF('Deal maths'!Z789&gt;0,'Deal maths'!Z789,DATE(1990,1,1)),IF(DAY('Deal maths'!AA789+1)=1,EOMONTH('Deal maths'!AA789,-(INT(((YEAR('Deal maths'!AA789)-YEAR(IF('Deal maths'!Z789&gt;0,'Deal maths'!Z789,DATE(1990,1,1))))*12+MONTH('Deal maths'!AA789)-MONTH(IF('Deal maths'!Z789&gt;0,'Deal maths'!Z789,DATE(1990,1,1))))/D789))*D789),EDATE('Deal maths'!AA789,-(INT(((YEAR('Deal maths'!AA789)-YEAR(IF('Deal maths'!Z789&gt;0,'Deal maths'!Z789,DATE(1990,1,1))))*12+MONTH('Deal maths'!AA789)-MONTH(IF('Deal maths'!Z789&gt;0,'Deal maths'!Z789,DATE(1990,1,1))))/D789))*D789)),IF(DAY('Deal maths'!AA789+1)=1,EOMONTH('Deal maths'!AA789,-(INT(((YEAR('Deal maths'!AA789)-YEAR(IF('Deal maths'!Z789&gt;0,'Deal maths'!Z789,DATE(1990,1,1))))*12+MONTH('Deal maths'!AA789)-MONTH(IF('Deal maths'!Z789&gt;0,'Deal maths'!Z789,DATE(1990,1,1))))/D789)-1)*D789),EDATE('Deal maths'!AA789,-(INT(((YEAR('Deal maths'!AA789)-YEAR(IF('Deal maths'!Z789&gt;0,'Deal maths'!Z789,DATE(1990,1,1))))*12+MONTH('Deal maths'!AA789)-MONTH(IF('Deal maths'!Z789&gt;0,'Deal maths'!Z789,DATE(1990,1,1))))/D789)-1)*D789))))),0)</f>
        <v/>
      </c>
      <c r="F789" s="110">
        <f>IF(D789=0,0,'Deal maths'!AB789*D789/12)</f>
        <v/>
      </c>
      <c r="G789" s="108">
        <f>N789+O789</f>
        <v/>
      </c>
      <c r="H789" s="108">
        <f>IFERROR(IF(OR(D789=0,AsAt&lt;E789),0,MIN(N789,INT(((YEAR(AsAt)-YEAR(E789))*12+MONTH(AsAt)-MONTH(E789)-(DAY(AsAt)&lt;MIN(R789,DAY(EOMONTH(AsAt,0)))))/D789)+1)+O789*(AsAt&gt;='Deal maths'!AA789)),0)</f>
        <v/>
      </c>
      <c r="I789" s="108">
        <f>G789-H789</f>
        <v/>
      </c>
      <c r="J789" s="111">
        <f>IF(AND(C789="EIP",I789&gt;0),'Deal maths'!Y789/I789,0)</f>
        <v/>
      </c>
      <c r="K789" s="111">
        <f>IF(AND(C789="Annuity",I789&gt;0),IF(F789&gt;0,'Deal maths'!Y789*F789/(1-(1+F789)^-I789),'Deal maths'!Y789/I789),0)</f>
        <v/>
      </c>
      <c r="L789" s="111">
        <f>IF('Deal maths'!Y789="",0,'Deal maths'!Y789)</f>
        <v/>
      </c>
      <c r="M789" s="112">
        <f>F789+(F789=0)</f>
        <v/>
      </c>
      <c r="N789" s="108">
        <f>IFERROR(IF(D789=0,0,INT(((YEAR('Deal maths'!AA789)-YEAR(E789))*12+MONTH('Deal maths'!AA789)-MONTH(E789)-(DAY('Deal maths'!AA789)&lt;MIN(R789,DAY(EOMONTH('Deal maths'!AA789,0)))))/D789)+1),0)</f>
        <v/>
      </c>
      <c r="O789" s="108">
        <f>IFERROR(IF(D789=0,0,IF(IF(DAY(E789+1)=1,EOMONTH(E789,(N789-1)*D789),EDATE(E789,(N789-1)*D789))='Deal maths'!AA789,0,1)),0)</f>
        <v/>
      </c>
      <c r="P789" s="113">
        <f>IF(B789=0,0,IFERROR(IF(C789="EIP",((I789-O789)*((IF(DAY(E789+1)=1,EOMONTH(E789,H789*D789),EDATE(E789,H789*D789))-AsAt)/365.25+(IF(DAY(E789+1)=1,EOMONTH(E789,(N789-1)*D789),EDATE(E789,(N789-1)*D789))-AsAt)/365.25)/2+O789*('Deal maths'!AA789-AsAt)/365.25)/I789,IF(C789="Annuity",IF(F789&gt;0,((K789-L789*F789)*((IF(DAY(E789+1)=1,EOMONTH(E789,H789*D789),EDATE(E789,H789*D789))-AsAt)/365.25*((1+F789)^(I789-O789)-1)/F789+IF((I789-O789)&gt;1,((IF(DAY(E789+1)=1,EOMONTH(E789,(N789-1)*D789),EDATE(E789,(N789-1)*D789))-AsAt)/365.25-(IF(DAY(E789+1)=1,EOMONTH(E789,H789*D789),EDATE(E789,H789*D789))-AsAt)/365.25)/((I789-O789)-1),0)*(1+F789)*(1-(I789-O789)*(1+F789)^((I789-O789)-1)+((I789-O789)-1)*(1+F789)^(I789-O789))/F789^2)+O789*(K789-L789*F789)*(1+F789)^(I789-1)*('Deal maths'!AA789-AsAt)/365.25)/L789,((I789-O789)*((IF(DAY(E789+1)=1,EOMONTH(E789,H789*D789),EDATE(E789,H789*D789))-AsAt)/365.25+(IF(DAY(E789+1)=1,EOMONTH(E789,(N789-1)*D789),EDATE(E789,(N789-1)*D789))-AsAt)/365.25)/2+O789*('Deal maths'!AA789-AsAt)/365.25)/I789),(S789-AsAt)/365.25)),0))</f>
        <v/>
      </c>
      <c r="Q789" s="109">
        <f>IF(B789=1,'Deal maths'!AA789+ROW()/1000000,"")</f>
        <v/>
      </c>
      <c r="R789" s="108">
        <f>IF(D789=0,0,IF(DAY(E789+1)=1,31,DAY(E789)))</f>
        <v/>
      </c>
      <c r="S789" s="109">
        <f>IF(AND('Deal maths'!V789="LOBO",'Deal maths'!AG789&gt;AsAt,'Deal maths'!AG789&lt;'Deal maths'!AA789),'Deal maths'!AG789,'Deal maths'!AA789)</f>
        <v/>
      </c>
      <c r="T789" s="108">
        <f>('Deal maths'!AA789&gt;AsAt)*('Deal maths'!Y789&gt;0)</f>
        <v/>
      </c>
    </row>
    <row r="790">
      <c r="A790" s="91">
        <f>IF('Deal maths'!V790="","",'Deal maths'!W790)</f>
        <v/>
      </c>
      <c r="B790" s="108">
        <f>('Deal maths'!AA790&gt;AsAt)*('Deal maths'!Y790&gt;0)*('Deal maths'!Z790&lt;=AsAt)</f>
        <v/>
      </c>
      <c r="C790" s="91">
        <f>IF('Deal maths'!V790="","",IF('Deal maths'!AC790="","Maturity",'Deal maths'!AC790))</f>
        <v/>
      </c>
      <c r="D790" s="108">
        <f>IF(OR(C790="EIP",C790="Annuity"),IF('Deal maths'!AD790="Annual",12,IF('Deal maths'!AD790="Quarterly",3,6)),0)</f>
        <v/>
      </c>
      <c r="E790" s="109">
        <f>IFERROR(IF(D790=0,0,IF('Deal maths'!AE790&gt;0,IF('Deal maths'!AE790&gt;'Deal maths'!AA790,'Deal maths'!AA790,'Deal maths'!AE790),IF(IF(DAY('Deal maths'!AA790+1)=1,EOMONTH('Deal maths'!AA790,-(INT(((YEAR('Deal maths'!AA790)-YEAR(IF('Deal maths'!Z790&gt;0,'Deal maths'!Z790,DATE(1990,1,1))))*12+MONTH('Deal maths'!AA790)-MONTH(IF('Deal maths'!Z790&gt;0,'Deal maths'!Z790,DATE(1990,1,1))))/D790))*D790),EDATE('Deal maths'!AA790,-(INT(((YEAR('Deal maths'!AA790)-YEAR(IF('Deal maths'!Z790&gt;0,'Deal maths'!Z790,DATE(1990,1,1))))*12+MONTH('Deal maths'!AA790)-MONTH(IF('Deal maths'!Z790&gt;0,'Deal maths'!Z790,DATE(1990,1,1))))/D790))*D790))&gt;IF('Deal maths'!Z790&gt;0,'Deal maths'!Z790,DATE(1990,1,1)),IF(DAY('Deal maths'!AA790+1)=1,EOMONTH('Deal maths'!AA790,-(INT(((YEAR('Deal maths'!AA790)-YEAR(IF('Deal maths'!Z790&gt;0,'Deal maths'!Z790,DATE(1990,1,1))))*12+MONTH('Deal maths'!AA790)-MONTH(IF('Deal maths'!Z790&gt;0,'Deal maths'!Z790,DATE(1990,1,1))))/D790))*D790),EDATE('Deal maths'!AA790,-(INT(((YEAR('Deal maths'!AA790)-YEAR(IF('Deal maths'!Z790&gt;0,'Deal maths'!Z790,DATE(1990,1,1))))*12+MONTH('Deal maths'!AA790)-MONTH(IF('Deal maths'!Z790&gt;0,'Deal maths'!Z790,DATE(1990,1,1))))/D790))*D790)),IF(DAY('Deal maths'!AA790+1)=1,EOMONTH('Deal maths'!AA790,-(INT(((YEAR('Deal maths'!AA790)-YEAR(IF('Deal maths'!Z790&gt;0,'Deal maths'!Z790,DATE(1990,1,1))))*12+MONTH('Deal maths'!AA790)-MONTH(IF('Deal maths'!Z790&gt;0,'Deal maths'!Z790,DATE(1990,1,1))))/D790)-1)*D790),EDATE('Deal maths'!AA790,-(INT(((YEAR('Deal maths'!AA790)-YEAR(IF('Deal maths'!Z790&gt;0,'Deal maths'!Z790,DATE(1990,1,1))))*12+MONTH('Deal maths'!AA790)-MONTH(IF('Deal maths'!Z790&gt;0,'Deal maths'!Z790,DATE(1990,1,1))))/D790)-1)*D790))))),0)</f>
        <v/>
      </c>
      <c r="F790" s="110">
        <f>IF(D790=0,0,'Deal maths'!AB790*D790/12)</f>
        <v/>
      </c>
      <c r="G790" s="108">
        <f>N790+O790</f>
        <v/>
      </c>
      <c r="H790" s="108">
        <f>IFERROR(IF(OR(D790=0,AsAt&lt;E790),0,MIN(N790,INT(((YEAR(AsAt)-YEAR(E790))*12+MONTH(AsAt)-MONTH(E790)-(DAY(AsAt)&lt;MIN(R790,DAY(EOMONTH(AsAt,0)))))/D790)+1)+O790*(AsAt&gt;='Deal maths'!AA790)),0)</f>
        <v/>
      </c>
      <c r="I790" s="108">
        <f>G790-H790</f>
        <v/>
      </c>
      <c r="J790" s="111">
        <f>IF(AND(C790="EIP",I790&gt;0),'Deal maths'!Y790/I790,0)</f>
        <v/>
      </c>
      <c r="K790" s="111">
        <f>IF(AND(C790="Annuity",I790&gt;0),IF(F790&gt;0,'Deal maths'!Y790*F790/(1-(1+F790)^-I790),'Deal maths'!Y790/I790),0)</f>
        <v/>
      </c>
      <c r="L790" s="111">
        <f>IF('Deal maths'!Y790="",0,'Deal maths'!Y790)</f>
        <v/>
      </c>
      <c r="M790" s="112">
        <f>F790+(F790=0)</f>
        <v/>
      </c>
      <c r="N790" s="108">
        <f>IFERROR(IF(D790=0,0,INT(((YEAR('Deal maths'!AA790)-YEAR(E790))*12+MONTH('Deal maths'!AA790)-MONTH(E790)-(DAY('Deal maths'!AA790)&lt;MIN(R790,DAY(EOMONTH('Deal maths'!AA790,0)))))/D790)+1),0)</f>
        <v/>
      </c>
      <c r="O790" s="108">
        <f>IFERROR(IF(D790=0,0,IF(IF(DAY(E790+1)=1,EOMONTH(E790,(N790-1)*D790),EDATE(E790,(N790-1)*D790))='Deal maths'!AA790,0,1)),0)</f>
        <v/>
      </c>
      <c r="P790" s="113">
        <f>IF(B790=0,0,IFERROR(IF(C790="EIP",((I790-O790)*((IF(DAY(E790+1)=1,EOMONTH(E790,H790*D790),EDATE(E790,H790*D790))-AsAt)/365.25+(IF(DAY(E790+1)=1,EOMONTH(E790,(N790-1)*D790),EDATE(E790,(N790-1)*D790))-AsAt)/365.25)/2+O790*('Deal maths'!AA790-AsAt)/365.25)/I790,IF(C790="Annuity",IF(F790&gt;0,((K790-L790*F790)*((IF(DAY(E790+1)=1,EOMONTH(E790,H790*D790),EDATE(E790,H790*D790))-AsAt)/365.25*((1+F790)^(I790-O790)-1)/F790+IF((I790-O790)&gt;1,((IF(DAY(E790+1)=1,EOMONTH(E790,(N790-1)*D790),EDATE(E790,(N790-1)*D790))-AsAt)/365.25-(IF(DAY(E790+1)=1,EOMONTH(E790,H790*D790),EDATE(E790,H790*D790))-AsAt)/365.25)/((I790-O790)-1),0)*(1+F790)*(1-(I790-O790)*(1+F790)^((I790-O790)-1)+((I790-O790)-1)*(1+F790)^(I790-O790))/F790^2)+O790*(K790-L790*F790)*(1+F790)^(I790-1)*('Deal maths'!AA790-AsAt)/365.25)/L790,((I790-O790)*((IF(DAY(E790+1)=1,EOMONTH(E790,H790*D790),EDATE(E790,H790*D790))-AsAt)/365.25+(IF(DAY(E790+1)=1,EOMONTH(E790,(N790-1)*D790),EDATE(E790,(N790-1)*D790))-AsAt)/365.25)/2+O790*('Deal maths'!AA790-AsAt)/365.25)/I790),(S790-AsAt)/365.25)),0))</f>
        <v/>
      </c>
      <c r="Q790" s="109">
        <f>IF(B790=1,'Deal maths'!AA790+ROW()/1000000,"")</f>
        <v/>
      </c>
      <c r="R790" s="108">
        <f>IF(D790=0,0,IF(DAY(E790+1)=1,31,DAY(E790)))</f>
        <v/>
      </c>
      <c r="S790" s="109">
        <f>IF(AND('Deal maths'!V790="LOBO",'Deal maths'!AG790&gt;AsAt,'Deal maths'!AG790&lt;'Deal maths'!AA790),'Deal maths'!AG790,'Deal maths'!AA790)</f>
        <v/>
      </c>
      <c r="T790" s="108">
        <f>('Deal maths'!AA790&gt;AsAt)*('Deal maths'!Y790&gt;0)</f>
        <v/>
      </c>
    </row>
    <row r="791">
      <c r="A791" s="91">
        <f>IF('Deal maths'!V791="","",'Deal maths'!W791)</f>
        <v/>
      </c>
      <c r="B791" s="108">
        <f>('Deal maths'!AA791&gt;AsAt)*('Deal maths'!Y791&gt;0)*('Deal maths'!Z791&lt;=AsAt)</f>
        <v/>
      </c>
      <c r="C791" s="91">
        <f>IF('Deal maths'!V791="","",IF('Deal maths'!AC791="","Maturity",'Deal maths'!AC791))</f>
        <v/>
      </c>
      <c r="D791" s="108">
        <f>IF(OR(C791="EIP",C791="Annuity"),IF('Deal maths'!AD791="Annual",12,IF('Deal maths'!AD791="Quarterly",3,6)),0)</f>
        <v/>
      </c>
      <c r="E791" s="109">
        <f>IFERROR(IF(D791=0,0,IF('Deal maths'!AE791&gt;0,IF('Deal maths'!AE791&gt;'Deal maths'!AA791,'Deal maths'!AA791,'Deal maths'!AE791),IF(IF(DAY('Deal maths'!AA791+1)=1,EOMONTH('Deal maths'!AA791,-(INT(((YEAR('Deal maths'!AA791)-YEAR(IF('Deal maths'!Z791&gt;0,'Deal maths'!Z791,DATE(1990,1,1))))*12+MONTH('Deal maths'!AA791)-MONTH(IF('Deal maths'!Z791&gt;0,'Deal maths'!Z791,DATE(1990,1,1))))/D791))*D791),EDATE('Deal maths'!AA791,-(INT(((YEAR('Deal maths'!AA791)-YEAR(IF('Deal maths'!Z791&gt;0,'Deal maths'!Z791,DATE(1990,1,1))))*12+MONTH('Deal maths'!AA791)-MONTH(IF('Deal maths'!Z791&gt;0,'Deal maths'!Z791,DATE(1990,1,1))))/D791))*D791))&gt;IF('Deal maths'!Z791&gt;0,'Deal maths'!Z791,DATE(1990,1,1)),IF(DAY('Deal maths'!AA791+1)=1,EOMONTH('Deal maths'!AA791,-(INT(((YEAR('Deal maths'!AA791)-YEAR(IF('Deal maths'!Z791&gt;0,'Deal maths'!Z791,DATE(1990,1,1))))*12+MONTH('Deal maths'!AA791)-MONTH(IF('Deal maths'!Z791&gt;0,'Deal maths'!Z791,DATE(1990,1,1))))/D791))*D791),EDATE('Deal maths'!AA791,-(INT(((YEAR('Deal maths'!AA791)-YEAR(IF('Deal maths'!Z791&gt;0,'Deal maths'!Z791,DATE(1990,1,1))))*12+MONTH('Deal maths'!AA791)-MONTH(IF('Deal maths'!Z791&gt;0,'Deal maths'!Z791,DATE(1990,1,1))))/D791))*D791)),IF(DAY('Deal maths'!AA791+1)=1,EOMONTH('Deal maths'!AA791,-(INT(((YEAR('Deal maths'!AA791)-YEAR(IF('Deal maths'!Z791&gt;0,'Deal maths'!Z791,DATE(1990,1,1))))*12+MONTH('Deal maths'!AA791)-MONTH(IF('Deal maths'!Z791&gt;0,'Deal maths'!Z791,DATE(1990,1,1))))/D791)-1)*D791),EDATE('Deal maths'!AA791,-(INT(((YEAR('Deal maths'!AA791)-YEAR(IF('Deal maths'!Z791&gt;0,'Deal maths'!Z791,DATE(1990,1,1))))*12+MONTH('Deal maths'!AA791)-MONTH(IF('Deal maths'!Z791&gt;0,'Deal maths'!Z791,DATE(1990,1,1))))/D791)-1)*D791))))),0)</f>
        <v/>
      </c>
      <c r="F791" s="110">
        <f>IF(D791=0,0,'Deal maths'!AB791*D791/12)</f>
        <v/>
      </c>
      <c r="G791" s="108">
        <f>N791+O791</f>
        <v/>
      </c>
      <c r="H791" s="108">
        <f>IFERROR(IF(OR(D791=0,AsAt&lt;E791),0,MIN(N791,INT(((YEAR(AsAt)-YEAR(E791))*12+MONTH(AsAt)-MONTH(E791)-(DAY(AsAt)&lt;MIN(R791,DAY(EOMONTH(AsAt,0)))))/D791)+1)+O791*(AsAt&gt;='Deal maths'!AA791)),0)</f>
        <v/>
      </c>
      <c r="I791" s="108">
        <f>G791-H791</f>
        <v/>
      </c>
      <c r="J791" s="111">
        <f>IF(AND(C791="EIP",I791&gt;0),'Deal maths'!Y791/I791,0)</f>
        <v/>
      </c>
      <c r="K791" s="111">
        <f>IF(AND(C791="Annuity",I791&gt;0),IF(F791&gt;0,'Deal maths'!Y791*F791/(1-(1+F791)^-I791),'Deal maths'!Y791/I791),0)</f>
        <v/>
      </c>
      <c r="L791" s="111">
        <f>IF('Deal maths'!Y791="",0,'Deal maths'!Y791)</f>
        <v/>
      </c>
      <c r="M791" s="112">
        <f>F791+(F791=0)</f>
        <v/>
      </c>
      <c r="N791" s="108">
        <f>IFERROR(IF(D791=0,0,INT(((YEAR('Deal maths'!AA791)-YEAR(E791))*12+MONTH('Deal maths'!AA791)-MONTH(E791)-(DAY('Deal maths'!AA791)&lt;MIN(R791,DAY(EOMONTH('Deal maths'!AA791,0)))))/D791)+1),0)</f>
        <v/>
      </c>
      <c r="O791" s="108">
        <f>IFERROR(IF(D791=0,0,IF(IF(DAY(E791+1)=1,EOMONTH(E791,(N791-1)*D791),EDATE(E791,(N791-1)*D791))='Deal maths'!AA791,0,1)),0)</f>
        <v/>
      </c>
      <c r="P791" s="113">
        <f>IF(B791=0,0,IFERROR(IF(C791="EIP",((I791-O791)*((IF(DAY(E791+1)=1,EOMONTH(E791,H791*D791),EDATE(E791,H791*D791))-AsAt)/365.25+(IF(DAY(E791+1)=1,EOMONTH(E791,(N791-1)*D791),EDATE(E791,(N791-1)*D791))-AsAt)/365.25)/2+O791*('Deal maths'!AA791-AsAt)/365.25)/I791,IF(C791="Annuity",IF(F791&gt;0,((K791-L791*F791)*((IF(DAY(E791+1)=1,EOMONTH(E791,H791*D791),EDATE(E791,H791*D791))-AsAt)/365.25*((1+F791)^(I791-O791)-1)/F791+IF((I791-O791)&gt;1,((IF(DAY(E791+1)=1,EOMONTH(E791,(N791-1)*D791),EDATE(E791,(N791-1)*D791))-AsAt)/365.25-(IF(DAY(E791+1)=1,EOMONTH(E791,H791*D791),EDATE(E791,H791*D791))-AsAt)/365.25)/((I791-O791)-1),0)*(1+F791)*(1-(I791-O791)*(1+F791)^((I791-O791)-1)+((I791-O791)-1)*(1+F791)^(I791-O791))/F791^2)+O791*(K791-L791*F791)*(1+F791)^(I791-1)*('Deal maths'!AA791-AsAt)/365.25)/L791,((I791-O791)*((IF(DAY(E791+1)=1,EOMONTH(E791,H791*D791),EDATE(E791,H791*D791))-AsAt)/365.25+(IF(DAY(E791+1)=1,EOMONTH(E791,(N791-1)*D791),EDATE(E791,(N791-1)*D791))-AsAt)/365.25)/2+O791*('Deal maths'!AA791-AsAt)/365.25)/I791),(S791-AsAt)/365.25)),0))</f>
        <v/>
      </c>
      <c r="Q791" s="109">
        <f>IF(B791=1,'Deal maths'!AA791+ROW()/1000000,"")</f>
        <v/>
      </c>
      <c r="R791" s="108">
        <f>IF(D791=0,0,IF(DAY(E791+1)=1,31,DAY(E791)))</f>
        <v/>
      </c>
      <c r="S791" s="109">
        <f>IF(AND('Deal maths'!V791="LOBO",'Deal maths'!AG791&gt;AsAt,'Deal maths'!AG791&lt;'Deal maths'!AA791),'Deal maths'!AG791,'Deal maths'!AA791)</f>
        <v/>
      </c>
      <c r="T791" s="108">
        <f>('Deal maths'!AA791&gt;AsAt)*('Deal maths'!Y791&gt;0)</f>
        <v/>
      </c>
    </row>
    <row r="792">
      <c r="A792" s="91">
        <f>IF('Deal maths'!V792="","",'Deal maths'!W792)</f>
        <v/>
      </c>
      <c r="B792" s="108">
        <f>('Deal maths'!AA792&gt;AsAt)*('Deal maths'!Y792&gt;0)*('Deal maths'!Z792&lt;=AsAt)</f>
        <v/>
      </c>
      <c r="C792" s="91">
        <f>IF('Deal maths'!V792="","",IF('Deal maths'!AC792="","Maturity",'Deal maths'!AC792))</f>
        <v/>
      </c>
      <c r="D792" s="108">
        <f>IF(OR(C792="EIP",C792="Annuity"),IF('Deal maths'!AD792="Annual",12,IF('Deal maths'!AD792="Quarterly",3,6)),0)</f>
        <v/>
      </c>
      <c r="E792" s="109">
        <f>IFERROR(IF(D792=0,0,IF('Deal maths'!AE792&gt;0,IF('Deal maths'!AE792&gt;'Deal maths'!AA792,'Deal maths'!AA792,'Deal maths'!AE792),IF(IF(DAY('Deal maths'!AA792+1)=1,EOMONTH('Deal maths'!AA792,-(INT(((YEAR('Deal maths'!AA792)-YEAR(IF('Deal maths'!Z792&gt;0,'Deal maths'!Z792,DATE(1990,1,1))))*12+MONTH('Deal maths'!AA792)-MONTH(IF('Deal maths'!Z792&gt;0,'Deal maths'!Z792,DATE(1990,1,1))))/D792))*D792),EDATE('Deal maths'!AA792,-(INT(((YEAR('Deal maths'!AA792)-YEAR(IF('Deal maths'!Z792&gt;0,'Deal maths'!Z792,DATE(1990,1,1))))*12+MONTH('Deal maths'!AA792)-MONTH(IF('Deal maths'!Z792&gt;0,'Deal maths'!Z792,DATE(1990,1,1))))/D792))*D792))&gt;IF('Deal maths'!Z792&gt;0,'Deal maths'!Z792,DATE(1990,1,1)),IF(DAY('Deal maths'!AA792+1)=1,EOMONTH('Deal maths'!AA792,-(INT(((YEAR('Deal maths'!AA792)-YEAR(IF('Deal maths'!Z792&gt;0,'Deal maths'!Z792,DATE(1990,1,1))))*12+MONTH('Deal maths'!AA792)-MONTH(IF('Deal maths'!Z792&gt;0,'Deal maths'!Z792,DATE(1990,1,1))))/D792))*D792),EDATE('Deal maths'!AA792,-(INT(((YEAR('Deal maths'!AA792)-YEAR(IF('Deal maths'!Z792&gt;0,'Deal maths'!Z792,DATE(1990,1,1))))*12+MONTH('Deal maths'!AA792)-MONTH(IF('Deal maths'!Z792&gt;0,'Deal maths'!Z792,DATE(1990,1,1))))/D792))*D792)),IF(DAY('Deal maths'!AA792+1)=1,EOMONTH('Deal maths'!AA792,-(INT(((YEAR('Deal maths'!AA792)-YEAR(IF('Deal maths'!Z792&gt;0,'Deal maths'!Z792,DATE(1990,1,1))))*12+MONTH('Deal maths'!AA792)-MONTH(IF('Deal maths'!Z792&gt;0,'Deal maths'!Z792,DATE(1990,1,1))))/D792)-1)*D792),EDATE('Deal maths'!AA792,-(INT(((YEAR('Deal maths'!AA792)-YEAR(IF('Deal maths'!Z792&gt;0,'Deal maths'!Z792,DATE(1990,1,1))))*12+MONTH('Deal maths'!AA792)-MONTH(IF('Deal maths'!Z792&gt;0,'Deal maths'!Z792,DATE(1990,1,1))))/D792)-1)*D792))))),0)</f>
        <v/>
      </c>
      <c r="F792" s="110">
        <f>IF(D792=0,0,'Deal maths'!AB792*D792/12)</f>
        <v/>
      </c>
      <c r="G792" s="108">
        <f>N792+O792</f>
        <v/>
      </c>
      <c r="H792" s="108">
        <f>IFERROR(IF(OR(D792=0,AsAt&lt;E792),0,MIN(N792,INT(((YEAR(AsAt)-YEAR(E792))*12+MONTH(AsAt)-MONTH(E792)-(DAY(AsAt)&lt;MIN(R792,DAY(EOMONTH(AsAt,0)))))/D792)+1)+O792*(AsAt&gt;='Deal maths'!AA792)),0)</f>
        <v/>
      </c>
      <c r="I792" s="108">
        <f>G792-H792</f>
        <v/>
      </c>
      <c r="J792" s="111">
        <f>IF(AND(C792="EIP",I792&gt;0),'Deal maths'!Y792/I792,0)</f>
        <v/>
      </c>
      <c r="K792" s="111">
        <f>IF(AND(C792="Annuity",I792&gt;0),IF(F792&gt;0,'Deal maths'!Y792*F792/(1-(1+F792)^-I792),'Deal maths'!Y792/I792),0)</f>
        <v/>
      </c>
      <c r="L792" s="111">
        <f>IF('Deal maths'!Y792="",0,'Deal maths'!Y792)</f>
        <v/>
      </c>
      <c r="M792" s="112">
        <f>F792+(F792=0)</f>
        <v/>
      </c>
      <c r="N792" s="108">
        <f>IFERROR(IF(D792=0,0,INT(((YEAR('Deal maths'!AA792)-YEAR(E792))*12+MONTH('Deal maths'!AA792)-MONTH(E792)-(DAY('Deal maths'!AA792)&lt;MIN(R792,DAY(EOMONTH('Deal maths'!AA792,0)))))/D792)+1),0)</f>
        <v/>
      </c>
      <c r="O792" s="108">
        <f>IFERROR(IF(D792=0,0,IF(IF(DAY(E792+1)=1,EOMONTH(E792,(N792-1)*D792),EDATE(E792,(N792-1)*D792))='Deal maths'!AA792,0,1)),0)</f>
        <v/>
      </c>
      <c r="P792" s="113">
        <f>IF(B792=0,0,IFERROR(IF(C792="EIP",((I792-O792)*((IF(DAY(E792+1)=1,EOMONTH(E792,H792*D792),EDATE(E792,H792*D792))-AsAt)/365.25+(IF(DAY(E792+1)=1,EOMONTH(E792,(N792-1)*D792),EDATE(E792,(N792-1)*D792))-AsAt)/365.25)/2+O792*('Deal maths'!AA792-AsAt)/365.25)/I792,IF(C792="Annuity",IF(F792&gt;0,((K792-L792*F792)*((IF(DAY(E792+1)=1,EOMONTH(E792,H792*D792),EDATE(E792,H792*D792))-AsAt)/365.25*((1+F792)^(I792-O792)-1)/F792+IF((I792-O792)&gt;1,((IF(DAY(E792+1)=1,EOMONTH(E792,(N792-1)*D792),EDATE(E792,(N792-1)*D792))-AsAt)/365.25-(IF(DAY(E792+1)=1,EOMONTH(E792,H792*D792),EDATE(E792,H792*D792))-AsAt)/365.25)/((I792-O792)-1),0)*(1+F792)*(1-(I792-O792)*(1+F792)^((I792-O792)-1)+((I792-O792)-1)*(1+F792)^(I792-O792))/F792^2)+O792*(K792-L792*F792)*(1+F792)^(I792-1)*('Deal maths'!AA792-AsAt)/365.25)/L792,((I792-O792)*((IF(DAY(E792+1)=1,EOMONTH(E792,H792*D792),EDATE(E792,H792*D792))-AsAt)/365.25+(IF(DAY(E792+1)=1,EOMONTH(E792,(N792-1)*D792),EDATE(E792,(N792-1)*D792))-AsAt)/365.25)/2+O792*('Deal maths'!AA792-AsAt)/365.25)/I792),(S792-AsAt)/365.25)),0))</f>
        <v/>
      </c>
      <c r="Q792" s="109">
        <f>IF(B792=1,'Deal maths'!AA792+ROW()/1000000,"")</f>
        <v/>
      </c>
      <c r="R792" s="108">
        <f>IF(D792=0,0,IF(DAY(E792+1)=1,31,DAY(E792)))</f>
        <v/>
      </c>
      <c r="S792" s="109">
        <f>IF(AND('Deal maths'!V792="LOBO",'Deal maths'!AG792&gt;AsAt,'Deal maths'!AG792&lt;'Deal maths'!AA792),'Deal maths'!AG792,'Deal maths'!AA792)</f>
        <v/>
      </c>
      <c r="T792" s="108">
        <f>('Deal maths'!AA792&gt;AsAt)*('Deal maths'!Y792&gt;0)</f>
        <v/>
      </c>
    </row>
    <row r="793">
      <c r="A793" s="91">
        <f>IF('Deal maths'!V793="","",'Deal maths'!W793)</f>
        <v/>
      </c>
      <c r="B793" s="108">
        <f>('Deal maths'!AA793&gt;AsAt)*('Deal maths'!Y793&gt;0)*('Deal maths'!Z793&lt;=AsAt)</f>
        <v/>
      </c>
      <c r="C793" s="91">
        <f>IF('Deal maths'!V793="","",IF('Deal maths'!AC793="","Maturity",'Deal maths'!AC793))</f>
        <v/>
      </c>
      <c r="D793" s="108">
        <f>IF(OR(C793="EIP",C793="Annuity"),IF('Deal maths'!AD793="Annual",12,IF('Deal maths'!AD793="Quarterly",3,6)),0)</f>
        <v/>
      </c>
      <c r="E793" s="109">
        <f>IFERROR(IF(D793=0,0,IF('Deal maths'!AE793&gt;0,IF('Deal maths'!AE793&gt;'Deal maths'!AA793,'Deal maths'!AA793,'Deal maths'!AE793),IF(IF(DAY('Deal maths'!AA793+1)=1,EOMONTH('Deal maths'!AA793,-(INT(((YEAR('Deal maths'!AA793)-YEAR(IF('Deal maths'!Z793&gt;0,'Deal maths'!Z793,DATE(1990,1,1))))*12+MONTH('Deal maths'!AA793)-MONTH(IF('Deal maths'!Z793&gt;0,'Deal maths'!Z793,DATE(1990,1,1))))/D793))*D793),EDATE('Deal maths'!AA793,-(INT(((YEAR('Deal maths'!AA793)-YEAR(IF('Deal maths'!Z793&gt;0,'Deal maths'!Z793,DATE(1990,1,1))))*12+MONTH('Deal maths'!AA793)-MONTH(IF('Deal maths'!Z793&gt;0,'Deal maths'!Z793,DATE(1990,1,1))))/D793))*D793))&gt;IF('Deal maths'!Z793&gt;0,'Deal maths'!Z793,DATE(1990,1,1)),IF(DAY('Deal maths'!AA793+1)=1,EOMONTH('Deal maths'!AA793,-(INT(((YEAR('Deal maths'!AA793)-YEAR(IF('Deal maths'!Z793&gt;0,'Deal maths'!Z793,DATE(1990,1,1))))*12+MONTH('Deal maths'!AA793)-MONTH(IF('Deal maths'!Z793&gt;0,'Deal maths'!Z793,DATE(1990,1,1))))/D793))*D793),EDATE('Deal maths'!AA793,-(INT(((YEAR('Deal maths'!AA793)-YEAR(IF('Deal maths'!Z793&gt;0,'Deal maths'!Z793,DATE(1990,1,1))))*12+MONTH('Deal maths'!AA793)-MONTH(IF('Deal maths'!Z793&gt;0,'Deal maths'!Z793,DATE(1990,1,1))))/D793))*D793)),IF(DAY('Deal maths'!AA793+1)=1,EOMONTH('Deal maths'!AA793,-(INT(((YEAR('Deal maths'!AA793)-YEAR(IF('Deal maths'!Z793&gt;0,'Deal maths'!Z793,DATE(1990,1,1))))*12+MONTH('Deal maths'!AA793)-MONTH(IF('Deal maths'!Z793&gt;0,'Deal maths'!Z793,DATE(1990,1,1))))/D793)-1)*D793),EDATE('Deal maths'!AA793,-(INT(((YEAR('Deal maths'!AA793)-YEAR(IF('Deal maths'!Z793&gt;0,'Deal maths'!Z793,DATE(1990,1,1))))*12+MONTH('Deal maths'!AA793)-MONTH(IF('Deal maths'!Z793&gt;0,'Deal maths'!Z793,DATE(1990,1,1))))/D793)-1)*D793))))),0)</f>
        <v/>
      </c>
      <c r="F793" s="110">
        <f>IF(D793=0,0,'Deal maths'!AB793*D793/12)</f>
        <v/>
      </c>
      <c r="G793" s="108">
        <f>N793+O793</f>
        <v/>
      </c>
      <c r="H793" s="108">
        <f>IFERROR(IF(OR(D793=0,AsAt&lt;E793),0,MIN(N793,INT(((YEAR(AsAt)-YEAR(E793))*12+MONTH(AsAt)-MONTH(E793)-(DAY(AsAt)&lt;MIN(R793,DAY(EOMONTH(AsAt,0)))))/D793)+1)+O793*(AsAt&gt;='Deal maths'!AA793)),0)</f>
        <v/>
      </c>
      <c r="I793" s="108">
        <f>G793-H793</f>
        <v/>
      </c>
      <c r="J793" s="111">
        <f>IF(AND(C793="EIP",I793&gt;0),'Deal maths'!Y793/I793,0)</f>
        <v/>
      </c>
      <c r="K793" s="111">
        <f>IF(AND(C793="Annuity",I793&gt;0),IF(F793&gt;0,'Deal maths'!Y793*F793/(1-(1+F793)^-I793),'Deal maths'!Y793/I793),0)</f>
        <v/>
      </c>
      <c r="L793" s="111">
        <f>IF('Deal maths'!Y793="",0,'Deal maths'!Y793)</f>
        <v/>
      </c>
      <c r="M793" s="112">
        <f>F793+(F793=0)</f>
        <v/>
      </c>
      <c r="N793" s="108">
        <f>IFERROR(IF(D793=0,0,INT(((YEAR('Deal maths'!AA793)-YEAR(E793))*12+MONTH('Deal maths'!AA793)-MONTH(E793)-(DAY('Deal maths'!AA793)&lt;MIN(R793,DAY(EOMONTH('Deal maths'!AA793,0)))))/D793)+1),0)</f>
        <v/>
      </c>
      <c r="O793" s="108">
        <f>IFERROR(IF(D793=0,0,IF(IF(DAY(E793+1)=1,EOMONTH(E793,(N793-1)*D793),EDATE(E793,(N793-1)*D793))='Deal maths'!AA793,0,1)),0)</f>
        <v/>
      </c>
      <c r="P793" s="113">
        <f>IF(B793=0,0,IFERROR(IF(C793="EIP",((I793-O793)*((IF(DAY(E793+1)=1,EOMONTH(E793,H793*D793),EDATE(E793,H793*D793))-AsAt)/365.25+(IF(DAY(E793+1)=1,EOMONTH(E793,(N793-1)*D793),EDATE(E793,(N793-1)*D793))-AsAt)/365.25)/2+O793*('Deal maths'!AA793-AsAt)/365.25)/I793,IF(C793="Annuity",IF(F793&gt;0,((K793-L793*F793)*((IF(DAY(E793+1)=1,EOMONTH(E793,H793*D793),EDATE(E793,H793*D793))-AsAt)/365.25*((1+F793)^(I793-O793)-1)/F793+IF((I793-O793)&gt;1,((IF(DAY(E793+1)=1,EOMONTH(E793,(N793-1)*D793),EDATE(E793,(N793-1)*D793))-AsAt)/365.25-(IF(DAY(E793+1)=1,EOMONTH(E793,H793*D793),EDATE(E793,H793*D793))-AsAt)/365.25)/((I793-O793)-1),0)*(1+F793)*(1-(I793-O793)*(1+F793)^((I793-O793)-1)+((I793-O793)-1)*(1+F793)^(I793-O793))/F793^2)+O793*(K793-L793*F793)*(1+F793)^(I793-1)*('Deal maths'!AA793-AsAt)/365.25)/L793,((I793-O793)*((IF(DAY(E793+1)=1,EOMONTH(E793,H793*D793),EDATE(E793,H793*D793))-AsAt)/365.25+(IF(DAY(E793+1)=1,EOMONTH(E793,(N793-1)*D793),EDATE(E793,(N793-1)*D793))-AsAt)/365.25)/2+O793*('Deal maths'!AA793-AsAt)/365.25)/I793),(S793-AsAt)/365.25)),0))</f>
        <v/>
      </c>
      <c r="Q793" s="109">
        <f>IF(B793=1,'Deal maths'!AA793+ROW()/1000000,"")</f>
        <v/>
      </c>
      <c r="R793" s="108">
        <f>IF(D793=0,0,IF(DAY(E793+1)=1,31,DAY(E793)))</f>
        <v/>
      </c>
      <c r="S793" s="109">
        <f>IF(AND('Deal maths'!V793="LOBO",'Deal maths'!AG793&gt;AsAt,'Deal maths'!AG793&lt;'Deal maths'!AA793),'Deal maths'!AG793,'Deal maths'!AA793)</f>
        <v/>
      </c>
      <c r="T793" s="108">
        <f>('Deal maths'!AA793&gt;AsAt)*('Deal maths'!Y793&gt;0)</f>
        <v/>
      </c>
    </row>
    <row r="794">
      <c r="A794" s="91">
        <f>IF('Deal maths'!V794="","",'Deal maths'!W794)</f>
        <v/>
      </c>
      <c r="B794" s="108">
        <f>('Deal maths'!AA794&gt;AsAt)*('Deal maths'!Y794&gt;0)*('Deal maths'!Z794&lt;=AsAt)</f>
        <v/>
      </c>
      <c r="C794" s="91">
        <f>IF('Deal maths'!V794="","",IF('Deal maths'!AC794="","Maturity",'Deal maths'!AC794))</f>
        <v/>
      </c>
      <c r="D794" s="108">
        <f>IF(OR(C794="EIP",C794="Annuity"),IF('Deal maths'!AD794="Annual",12,IF('Deal maths'!AD794="Quarterly",3,6)),0)</f>
        <v/>
      </c>
      <c r="E794" s="109">
        <f>IFERROR(IF(D794=0,0,IF('Deal maths'!AE794&gt;0,IF('Deal maths'!AE794&gt;'Deal maths'!AA794,'Deal maths'!AA794,'Deal maths'!AE794),IF(IF(DAY('Deal maths'!AA794+1)=1,EOMONTH('Deal maths'!AA794,-(INT(((YEAR('Deal maths'!AA794)-YEAR(IF('Deal maths'!Z794&gt;0,'Deal maths'!Z794,DATE(1990,1,1))))*12+MONTH('Deal maths'!AA794)-MONTH(IF('Deal maths'!Z794&gt;0,'Deal maths'!Z794,DATE(1990,1,1))))/D794))*D794),EDATE('Deal maths'!AA794,-(INT(((YEAR('Deal maths'!AA794)-YEAR(IF('Deal maths'!Z794&gt;0,'Deal maths'!Z794,DATE(1990,1,1))))*12+MONTH('Deal maths'!AA794)-MONTH(IF('Deal maths'!Z794&gt;0,'Deal maths'!Z794,DATE(1990,1,1))))/D794))*D794))&gt;IF('Deal maths'!Z794&gt;0,'Deal maths'!Z794,DATE(1990,1,1)),IF(DAY('Deal maths'!AA794+1)=1,EOMONTH('Deal maths'!AA794,-(INT(((YEAR('Deal maths'!AA794)-YEAR(IF('Deal maths'!Z794&gt;0,'Deal maths'!Z794,DATE(1990,1,1))))*12+MONTH('Deal maths'!AA794)-MONTH(IF('Deal maths'!Z794&gt;0,'Deal maths'!Z794,DATE(1990,1,1))))/D794))*D794),EDATE('Deal maths'!AA794,-(INT(((YEAR('Deal maths'!AA794)-YEAR(IF('Deal maths'!Z794&gt;0,'Deal maths'!Z794,DATE(1990,1,1))))*12+MONTH('Deal maths'!AA794)-MONTH(IF('Deal maths'!Z794&gt;0,'Deal maths'!Z794,DATE(1990,1,1))))/D794))*D794)),IF(DAY('Deal maths'!AA794+1)=1,EOMONTH('Deal maths'!AA794,-(INT(((YEAR('Deal maths'!AA794)-YEAR(IF('Deal maths'!Z794&gt;0,'Deal maths'!Z794,DATE(1990,1,1))))*12+MONTH('Deal maths'!AA794)-MONTH(IF('Deal maths'!Z794&gt;0,'Deal maths'!Z794,DATE(1990,1,1))))/D794)-1)*D794),EDATE('Deal maths'!AA794,-(INT(((YEAR('Deal maths'!AA794)-YEAR(IF('Deal maths'!Z794&gt;0,'Deal maths'!Z794,DATE(1990,1,1))))*12+MONTH('Deal maths'!AA794)-MONTH(IF('Deal maths'!Z794&gt;0,'Deal maths'!Z794,DATE(1990,1,1))))/D794)-1)*D794))))),0)</f>
        <v/>
      </c>
      <c r="F794" s="110">
        <f>IF(D794=0,0,'Deal maths'!AB794*D794/12)</f>
        <v/>
      </c>
      <c r="G794" s="108">
        <f>N794+O794</f>
        <v/>
      </c>
      <c r="H794" s="108">
        <f>IFERROR(IF(OR(D794=0,AsAt&lt;E794),0,MIN(N794,INT(((YEAR(AsAt)-YEAR(E794))*12+MONTH(AsAt)-MONTH(E794)-(DAY(AsAt)&lt;MIN(R794,DAY(EOMONTH(AsAt,0)))))/D794)+1)+O794*(AsAt&gt;='Deal maths'!AA794)),0)</f>
        <v/>
      </c>
      <c r="I794" s="108">
        <f>G794-H794</f>
        <v/>
      </c>
      <c r="J794" s="111">
        <f>IF(AND(C794="EIP",I794&gt;0),'Deal maths'!Y794/I794,0)</f>
        <v/>
      </c>
      <c r="K794" s="111">
        <f>IF(AND(C794="Annuity",I794&gt;0),IF(F794&gt;0,'Deal maths'!Y794*F794/(1-(1+F794)^-I794),'Deal maths'!Y794/I794),0)</f>
        <v/>
      </c>
      <c r="L794" s="111">
        <f>IF('Deal maths'!Y794="",0,'Deal maths'!Y794)</f>
        <v/>
      </c>
      <c r="M794" s="112">
        <f>F794+(F794=0)</f>
        <v/>
      </c>
      <c r="N794" s="108">
        <f>IFERROR(IF(D794=0,0,INT(((YEAR('Deal maths'!AA794)-YEAR(E794))*12+MONTH('Deal maths'!AA794)-MONTH(E794)-(DAY('Deal maths'!AA794)&lt;MIN(R794,DAY(EOMONTH('Deal maths'!AA794,0)))))/D794)+1),0)</f>
        <v/>
      </c>
      <c r="O794" s="108">
        <f>IFERROR(IF(D794=0,0,IF(IF(DAY(E794+1)=1,EOMONTH(E794,(N794-1)*D794),EDATE(E794,(N794-1)*D794))='Deal maths'!AA794,0,1)),0)</f>
        <v/>
      </c>
      <c r="P794" s="113">
        <f>IF(B794=0,0,IFERROR(IF(C794="EIP",((I794-O794)*((IF(DAY(E794+1)=1,EOMONTH(E794,H794*D794),EDATE(E794,H794*D794))-AsAt)/365.25+(IF(DAY(E794+1)=1,EOMONTH(E794,(N794-1)*D794),EDATE(E794,(N794-1)*D794))-AsAt)/365.25)/2+O794*('Deal maths'!AA794-AsAt)/365.25)/I794,IF(C794="Annuity",IF(F794&gt;0,((K794-L794*F794)*((IF(DAY(E794+1)=1,EOMONTH(E794,H794*D794),EDATE(E794,H794*D794))-AsAt)/365.25*((1+F794)^(I794-O794)-1)/F794+IF((I794-O794)&gt;1,((IF(DAY(E794+1)=1,EOMONTH(E794,(N794-1)*D794),EDATE(E794,(N794-1)*D794))-AsAt)/365.25-(IF(DAY(E794+1)=1,EOMONTH(E794,H794*D794),EDATE(E794,H794*D794))-AsAt)/365.25)/((I794-O794)-1),0)*(1+F794)*(1-(I794-O794)*(1+F794)^((I794-O794)-1)+((I794-O794)-1)*(1+F794)^(I794-O794))/F794^2)+O794*(K794-L794*F794)*(1+F794)^(I794-1)*('Deal maths'!AA794-AsAt)/365.25)/L794,((I794-O794)*((IF(DAY(E794+1)=1,EOMONTH(E794,H794*D794),EDATE(E794,H794*D794))-AsAt)/365.25+(IF(DAY(E794+1)=1,EOMONTH(E794,(N794-1)*D794),EDATE(E794,(N794-1)*D794))-AsAt)/365.25)/2+O794*('Deal maths'!AA794-AsAt)/365.25)/I794),(S794-AsAt)/365.25)),0))</f>
        <v/>
      </c>
      <c r="Q794" s="109">
        <f>IF(B794=1,'Deal maths'!AA794+ROW()/1000000,"")</f>
        <v/>
      </c>
      <c r="R794" s="108">
        <f>IF(D794=0,0,IF(DAY(E794+1)=1,31,DAY(E794)))</f>
        <v/>
      </c>
      <c r="S794" s="109">
        <f>IF(AND('Deal maths'!V794="LOBO",'Deal maths'!AG794&gt;AsAt,'Deal maths'!AG794&lt;'Deal maths'!AA794),'Deal maths'!AG794,'Deal maths'!AA794)</f>
        <v/>
      </c>
      <c r="T794" s="108">
        <f>('Deal maths'!AA794&gt;AsAt)*('Deal maths'!Y794&gt;0)</f>
        <v/>
      </c>
    </row>
    <row r="795">
      <c r="A795" s="91">
        <f>IF('Deal maths'!V795="","",'Deal maths'!W795)</f>
        <v/>
      </c>
      <c r="B795" s="108">
        <f>('Deal maths'!AA795&gt;AsAt)*('Deal maths'!Y795&gt;0)*('Deal maths'!Z795&lt;=AsAt)</f>
        <v/>
      </c>
      <c r="C795" s="91">
        <f>IF('Deal maths'!V795="","",IF('Deal maths'!AC795="","Maturity",'Deal maths'!AC795))</f>
        <v/>
      </c>
      <c r="D795" s="108">
        <f>IF(OR(C795="EIP",C795="Annuity"),IF('Deal maths'!AD795="Annual",12,IF('Deal maths'!AD795="Quarterly",3,6)),0)</f>
        <v/>
      </c>
      <c r="E795" s="109">
        <f>IFERROR(IF(D795=0,0,IF('Deal maths'!AE795&gt;0,IF('Deal maths'!AE795&gt;'Deal maths'!AA795,'Deal maths'!AA795,'Deal maths'!AE795),IF(IF(DAY('Deal maths'!AA795+1)=1,EOMONTH('Deal maths'!AA795,-(INT(((YEAR('Deal maths'!AA795)-YEAR(IF('Deal maths'!Z795&gt;0,'Deal maths'!Z795,DATE(1990,1,1))))*12+MONTH('Deal maths'!AA795)-MONTH(IF('Deal maths'!Z795&gt;0,'Deal maths'!Z795,DATE(1990,1,1))))/D795))*D795),EDATE('Deal maths'!AA795,-(INT(((YEAR('Deal maths'!AA795)-YEAR(IF('Deal maths'!Z795&gt;0,'Deal maths'!Z795,DATE(1990,1,1))))*12+MONTH('Deal maths'!AA795)-MONTH(IF('Deal maths'!Z795&gt;0,'Deal maths'!Z795,DATE(1990,1,1))))/D795))*D795))&gt;IF('Deal maths'!Z795&gt;0,'Deal maths'!Z795,DATE(1990,1,1)),IF(DAY('Deal maths'!AA795+1)=1,EOMONTH('Deal maths'!AA795,-(INT(((YEAR('Deal maths'!AA795)-YEAR(IF('Deal maths'!Z795&gt;0,'Deal maths'!Z795,DATE(1990,1,1))))*12+MONTH('Deal maths'!AA795)-MONTH(IF('Deal maths'!Z795&gt;0,'Deal maths'!Z795,DATE(1990,1,1))))/D795))*D795),EDATE('Deal maths'!AA795,-(INT(((YEAR('Deal maths'!AA795)-YEAR(IF('Deal maths'!Z795&gt;0,'Deal maths'!Z795,DATE(1990,1,1))))*12+MONTH('Deal maths'!AA795)-MONTH(IF('Deal maths'!Z795&gt;0,'Deal maths'!Z795,DATE(1990,1,1))))/D795))*D795)),IF(DAY('Deal maths'!AA795+1)=1,EOMONTH('Deal maths'!AA795,-(INT(((YEAR('Deal maths'!AA795)-YEAR(IF('Deal maths'!Z795&gt;0,'Deal maths'!Z795,DATE(1990,1,1))))*12+MONTH('Deal maths'!AA795)-MONTH(IF('Deal maths'!Z795&gt;0,'Deal maths'!Z795,DATE(1990,1,1))))/D795)-1)*D795),EDATE('Deal maths'!AA795,-(INT(((YEAR('Deal maths'!AA795)-YEAR(IF('Deal maths'!Z795&gt;0,'Deal maths'!Z795,DATE(1990,1,1))))*12+MONTH('Deal maths'!AA795)-MONTH(IF('Deal maths'!Z795&gt;0,'Deal maths'!Z795,DATE(1990,1,1))))/D795)-1)*D795))))),0)</f>
        <v/>
      </c>
      <c r="F795" s="110">
        <f>IF(D795=0,0,'Deal maths'!AB795*D795/12)</f>
        <v/>
      </c>
      <c r="G795" s="108">
        <f>N795+O795</f>
        <v/>
      </c>
      <c r="H795" s="108">
        <f>IFERROR(IF(OR(D795=0,AsAt&lt;E795),0,MIN(N795,INT(((YEAR(AsAt)-YEAR(E795))*12+MONTH(AsAt)-MONTH(E795)-(DAY(AsAt)&lt;MIN(R795,DAY(EOMONTH(AsAt,0)))))/D795)+1)+O795*(AsAt&gt;='Deal maths'!AA795)),0)</f>
        <v/>
      </c>
      <c r="I795" s="108">
        <f>G795-H795</f>
        <v/>
      </c>
      <c r="J795" s="111">
        <f>IF(AND(C795="EIP",I795&gt;0),'Deal maths'!Y795/I795,0)</f>
        <v/>
      </c>
      <c r="K795" s="111">
        <f>IF(AND(C795="Annuity",I795&gt;0),IF(F795&gt;0,'Deal maths'!Y795*F795/(1-(1+F795)^-I795),'Deal maths'!Y795/I795),0)</f>
        <v/>
      </c>
      <c r="L795" s="111">
        <f>IF('Deal maths'!Y795="",0,'Deal maths'!Y795)</f>
        <v/>
      </c>
      <c r="M795" s="112">
        <f>F795+(F795=0)</f>
        <v/>
      </c>
      <c r="N795" s="108">
        <f>IFERROR(IF(D795=0,0,INT(((YEAR('Deal maths'!AA795)-YEAR(E795))*12+MONTH('Deal maths'!AA795)-MONTH(E795)-(DAY('Deal maths'!AA795)&lt;MIN(R795,DAY(EOMONTH('Deal maths'!AA795,0)))))/D795)+1),0)</f>
        <v/>
      </c>
      <c r="O795" s="108">
        <f>IFERROR(IF(D795=0,0,IF(IF(DAY(E795+1)=1,EOMONTH(E795,(N795-1)*D795),EDATE(E795,(N795-1)*D795))='Deal maths'!AA795,0,1)),0)</f>
        <v/>
      </c>
      <c r="P795" s="113">
        <f>IF(B795=0,0,IFERROR(IF(C795="EIP",((I795-O795)*((IF(DAY(E795+1)=1,EOMONTH(E795,H795*D795),EDATE(E795,H795*D795))-AsAt)/365.25+(IF(DAY(E795+1)=1,EOMONTH(E795,(N795-1)*D795),EDATE(E795,(N795-1)*D795))-AsAt)/365.25)/2+O795*('Deal maths'!AA795-AsAt)/365.25)/I795,IF(C795="Annuity",IF(F795&gt;0,((K795-L795*F795)*((IF(DAY(E795+1)=1,EOMONTH(E795,H795*D795),EDATE(E795,H795*D795))-AsAt)/365.25*((1+F795)^(I795-O795)-1)/F795+IF((I795-O795)&gt;1,((IF(DAY(E795+1)=1,EOMONTH(E795,(N795-1)*D795),EDATE(E795,(N795-1)*D795))-AsAt)/365.25-(IF(DAY(E795+1)=1,EOMONTH(E795,H795*D795),EDATE(E795,H795*D795))-AsAt)/365.25)/((I795-O795)-1),0)*(1+F795)*(1-(I795-O795)*(1+F795)^((I795-O795)-1)+((I795-O795)-1)*(1+F795)^(I795-O795))/F795^2)+O795*(K795-L795*F795)*(1+F795)^(I795-1)*('Deal maths'!AA795-AsAt)/365.25)/L795,((I795-O795)*((IF(DAY(E795+1)=1,EOMONTH(E795,H795*D795),EDATE(E795,H795*D795))-AsAt)/365.25+(IF(DAY(E795+1)=1,EOMONTH(E795,(N795-1)*D795),EDATE(E795,(N795-1)*D795))-AsAt)/365.25)/2+O795*('Deal maths'!AA795-AsAt)/365.25)/I795),(S795-AsAt)/365.25)),0))</f>
        <v/>
      </c>
      <c r="Q795" s="109">
        <f>IF(B795=1,'Deal maths'!AA795+ROW()/1000000,"")</f>
        <v/>
      </c>
      <c r="R795" s="108">
        <f>IF(D795=0,0,IF(DAY(E795+1)=1,31,DAY(E795)))</f>
        <v/>
      </c>
      <c r="S795" s="109">
        <f>IF(AND('Deal maths'!V795="LOBO",'Deal maths'!AG795&gt;AsAt,'Deal maths'!AG795&lt;'Deal maths'!AA795),'Deal maths'!AG795,'Deal maths'!AA795)</f>
        <v/>
      </c>
      <c r="T795" s="108">
        <f>('Deal maths'!AA795&gt;AsAt)*('Deal maths'!Y795&gt;0)</f>
        <v/>
      </c>
    </row>
    <row r="796">
      <c r="A796" s="91">
        <f>IF('Deal maths'!V796="","",'Deal maths'!W796)</f>
        <v/>
      </c>
      <c r="B796" s="108">
        <f>('Deal maths'!AA796&gt;AsAt)*('Deal maths'!Y796&gt;0)*('Deal maths'!Z796&lt;=AsAt)</f>
        <v/>
      </c>
      <c r="C796" s="91">
        <f>IF('Deal maths'!V796="","",IF('Deal maths'!AC796="","Maturity",'Deal maths'!AC796))</f>
        <v/>
      </c>
      <c r="D796" s="108">
        <f>IF(OR(C796="EIP",C796="Annuity"),IF('Deal maths'!AD796="Annual",12,IF('Deal maths'!AD796="Quarterly",3,6)),0)</f>
        <v/>
      </c>
      <c r="E796" s="109">
        <f>IFERROR(IF(D796=0,0,IF('Deal maths'!AE796&gt;0,IF('Deal maths'!AE796&gt;'Deal maths'!AA796,'Deal maths'!AA796,'Deal maths'!AE796),IF(IF(DAY('Deal maths'!AA796+1)=1,EOMONTH('Deal maths'!AA796,-(INT(((YEAR('Deal maths'!AA796)-YEAR(IF('Deal maths'!Z796&gt;0,'Deal maths'!Z796,DATE(1990,1,1))))*12+MONTH('Deal maths'!AA796)-MONTH(IF('Deal maths'!Z796&gt;0,'Deal maths'!Z796,DATE(1990,1,1))))/D796))*D796),EDATE('Deal maths'!AA796,-(INT(((YEAR('Deal maths'!AA796)-YEAR(IF('Deal maths'!Z796&gt;0,'Deal maths'!Z796,DATE(1990,1,1))))*12+MONTH('Deal maths'!AA796)-MONTH(IF('Deal maths'!Z796&gt;0,'Deal maths'!Z796,DATE(1990,1,1))))/D796))*D796))&gt;IF('Deal maths'!Z796&gt;0,'Deal maths'!Z796,DATE(1990,1,1)),IF(DAY('Deal maths'!AA796+1)=1,EOMONTH('Deal maths'!AA796,-(INT(((YEAR('Deal maths'!AA796)-YEAR(IF('Deal maths'!Z796&gt;0,'Deal maths'!Z796,DATE(1990,1,1))))*12+MONTH('Deal maths'!AA796)-MONTH(IF('Deal maths'!Z796&gt;0,'Deal maths'!Z796,DATE(1990,1,1))))/D796))*D796),EDATE('Deal maths'!AA796,-(INT(((YEAR('Deal maths'!AA796)-YEAR(IF('Deal maths'!Z796&gt;0,'Deal maths'!Z796,DATE(1990,1,1))))*12+MONTH('Deal maths'!AA796)-MONTH(IF('Deal maths'!Z796&gt;0,'Deal maths'!Z796,DATE(1990,1,1))))/D796))*D796)),IF(DAY('Deal maths'!AA796+1)=1,EOMONTH('Deal maths'!AA796,-(INT(((YEAR('Deal maths'!AA796)-YEAR(IF('Deal maths'!Z796&gt;0,'Deal maths'!Z796,DATE(1990,1,1))))*12+MONTH('Deal maths'!AA796)-MONTH(IF('Deal maths'!Z796&gt;0,'Deal maths'!Z796,DATE(1990,1,1))))/D796)-1)*D796),EDATE('Deal maths'!AA796,-(INT(((YEAR('Deal maths'!AA796)-YEAR(IF('Deal maths'!Z796&gt;0,'Deal maths'!Z796,DATE(1990,1,1))))*12+MONTH('Deal maths'!AA796)-MONTH(IF('Deal maths'!Z796&gt;0,'Deal maths'!Z796,DATE(1990,1,1))))/D796)-1)*D796))))),0)</f>
        <v/>
      </c>
      <c r="F796" s="110">
        <f>IF(D796=0,0,'Deal maths'!AB796*D796/12)</f>
        <v/>
      </c>
      <c r="G796" s="108">
        <f>N796+O796</f>
        <v/>
      </c>
      <c r="H796" s="108">
        <f>IFERROR(IF(OR(D796=0,AsAt&lt;E796),0,MIN(N796,INT(((YEAR(AsAt)-YEAR(E796))*12+MONTH(AsAt)-MONTH(E796)-(DAY(AsAt)&lt;MIN(R796,DAY(EOMONTH(AsAt,0)))))/D796)+1)+O796*(AsAt&gt;='Deal maths'!AA796)),0)</f>
        <v/>
      </c>
      <c r="I796" s="108">
        <f>G796-H796</f>
        <v/>
      </c>
      <c r="J796" s="111">
        <f>IF(AND(C796="EIP",I796&gt;0),'Deal maths'!Y796/I796,0)</f>
        <v/>
      </c>
      <c r="K796" s="111">
        <f>IF(AND(C796="Annuity",I796&gt;0),IF(F796&gt;0,'Deal maths'!Y796*F796/(1-(1+F796)^-I796),'Deal maths'!Y796/I796),0)</f>
        <v/>
      </c>
      <c r="L796" s="111">
        <f>IF('Deal maths'!Y796="",0,'Deal maths'!Y796)</f>
        <v/>
      </c>
      <c r="M796" s="112">
        <f>F796+(F796=0)</f>
        <v/>
      </c>
      <c r="N796" s="108">
        <f>IFERROR(IF(D796=0,0,INT(((YEAR('Deal maths'!AA796)-YEAR(E796))*12+MONTH('Deal maths'!AA796)-MONTH(E796)-(DAY('Deal maths'!AA796)&lt;MIN(R796,DAY(EOMONTH('Deal maths'!AA796,0)))))/D796)+1),0)</f>
        <v/>
      </c>
      <c r="O796" s="108">
        <f>IFERROR(IF(D796=0,0,IF(IF(DAY(E796+1)=1,EOMONTH(E796,(N796-1)*D796),EDATE(E796,(N796-1)*D796))='Deal maths'!AA796,0,1)),0)</f>
        <v/>
      </c>
      <c r="P796" s="113">
        <f>IF(B796=0,0,IFERROR(IF(C796="EIP",((I796-O796)*((IF(DAY(E796+1)=1,EOMONTH(E796,H796*D796),EDATE(E796,H796*D796))-AsAt)/365.25+(IF(DAY(E796+1)=1,EOMONTH(E796,(N796-1)*D796),EDATE(E796,(N796-1)*D796))-AsAt)/365.25)/2+O796*('Deal maths'!AA796-AsAt)/365.25)/I796,IF(C796="Annuity",IF(F796&gt;0,((K796-L796*F796)*((IF(DAY(E796+1)=1,EOMONTH(E796,H796*D796),EDATE(E796,H796*D796))-AsAt)/365.25*((1+F796)^(I796-O796)-1)/F796+IF((I796-O796)&gt;1,((IF(DAY(E796+1)=1,EOMONTH(E796,(N796-1)*D796),EDATE(E796,(N796-1)*D796))-AsAt)/365.25-(IF(DAY(E796+1)=1,EOMONTH(E796,H796*D796),EDATE(E796,H796*D796))-AsAt)/365.25)/((I796-O796)-1),0)*(1+F796)*(1-(I796-O796)*(1+F796)^((I796-O796)-1)+((I796-O796)-1)*(1+F796)^(I796-O796))/F796^2)+O796*(K796-L796*F796)*(1+F796)^(I796-1)*('Deal maths'!AA796-AsAt)/365.25)/L796,((I796-O796)*((IF(DAY(E796+1)=1,EOMONTH(E796,H796*D796),EDATE(E796,H796*D796))-AsAt)/365.25+(IF(DAY(E796+1)=1,EOMONTH(E796,(N796-1)*D796),EDATE(E796,(N796-1)*D796))-AsAt)/365.25)/2+O796*('Deal maths'!AA796-AsAt)/365.25)/I796),(S796-AsAt)/365.25)),0))</f>
        <v/>
      </c>
      <c r="Q796" s="109">
        <f>IF(B796=1,'Deal maths'!AA796+ROW()/1000000,"")</f>
        <v/>
      </c>
      <c r="R796" s="108">
        <f>IF(D796=0,0,IF(DAY(E796+1)=1,31,DAY(E796)))</f>
        <v/>
      </c>
      <c r="S796" s="109">
        <f>IF(AND('Deal maths'!V796="LOBO",'Deal maths'!AG796&gt;AsAt,'Deal maths'!AG796&lt;'Deal maths'!AA796),'Deal maths'!AG796,'Deal maths'!AA796)</f>
        <v/>
      </c>
      <c r="T796" s="108">
        <f>('Deal maths'!AA796&gt;AsAt)*('Deal maths'!Y796&gt;0)</f>
        <v/>
      </c>
    </row>
    <row r="797">
      <c r="A797" s="91">
        <f>IF('Deal maths'!V797="","",'Deal maths'!W797)</f>
        <v/>
      </c>
      <c r="B797" s="108">
        <f>('Deal maths'!AA797&gt;AsAt)*('Deal maths'!Y797&gt;0)*('Deal maths'!Z797&lt;=AsAt)</f>
        <v/>
      </c>
      <c r="C797" s="91">
        <f>IF('Deal maths'!V797="","",IF('Deal maths'!AC797="","Maturity",'Deal maths'!AC797))</f>
        <v/>
      </c>
      <c r="D797" s="108">
        <f>IF(OR(C797="EIP",C797="Annuity"),IF('Deal maths'!AD797="Annual",12,IF('Deal maths'!AD797="Quarterly",3,6)),0)</f>
        <v/>
      </c>
      <c r="E797" s="109">
        <f>IFERROR(IF(D797=0,0,IF('Deal maths'!AE797&gt;0,IF('Deal maths'!AE797&gt;'Deal maths'!AA797,'Deal maths'!AA797,'Deal maths'!AE797),IF(IF(DAY('Deal maths'!AA797+1)=1,EOMONTH('Deal maths'!AA797,-(INT(((YEAR('Deal maths'!AA797)-YEAR(IF('Deal maths'!Z797&gt;0,'Deal maths'!Z797,DATE(1990,1,1))))*12+MONTH('Deal maths'!AA797)-MONTH(IF('Deal maths'!Z797&gt;0,'Deal maths'!Z797,DATE(1990,1,1))))/D797))*D797),EDATE('Deal maths'!AA797,-(INT(((YEAR('Deal maths'!AA797)-YEAR(IF('Deal maths'!Z797&gt;0,'Deal maths'!Z797,DATE(1990,1,1))))*12+MONTH('Deal maths'!AA797)-MONTH(IF('Deal maths'!Z797&gt;0,'Deal maths'!Z797,DATE(1990,1,1))))/D797))*D797))&gt;IF('Deal maths'!Z797&gt;0,'Deal maths'!Z797,DATE(1990,1,1)),IF(DAY('Deal maths'!AA797+1)=1,EOMONTH('Deal maths'!AA797,-(INT(((YEAR('Deal maths'!AA797)-YEAR(IF('Deal maths'!Z797&gt;0,'Deal maths'!Z797,DATE(1990,1,1))))*12+MONTH('Deal maths'!AA797)-MONTH(IF('Deal maths'!Z797&gt;0,'Deal maths'!Z797,DATE(1990,1,1))))/D797))*D797),EDATE('Deal maths'!AA797,-(INT(((YEAR('Deal maths'!AA797)-YEAR(IF('Deal maths'!Z797&gt;0,'Deal maths'!Z797,DATE(1990,1,1))))*12+MONTH('Deal maths'!AA797)-MONTH(IF('Deal maths'!Z797&gt;0,'Deal maths'!Z797,DATE(1990,1,1))))/D797))*D797)),IF(DAY('Deal maths'!AA797+1)=1,EOMONTH('Deal maths'!AA797,-(INT(((YEAR('Deal maths'!AA797)-YEAR(IF('Deal maths'!Z797&gt;0,'Deal maths'!Z797,DATE(1990,1,1))))*12+MONTH('Deal maths'!AA797)-MONTH(IF('Deal maths'!Z797&gt;0,'Deal maths'!Z797,DATE(1990,1,1))))/D797)-1)*D797),EDATE('Deal maths'!AA797,-(INT(((YEAR('Deal maths'!AA797)-YEAR(IF('Deal maths'!Z797&gt;0,'Deal maths'!Z797,DATE(1990,1,1))))*12+MONTH('Deal maths'!AA797)-MONTH(IF('Deal maths'!Z797&gt;0,'Deal maths'!Z797,DATE(1990,1,1))))/D797)-1)*D797))))),0)</f>
        <v/>
      </c>
      <c r="F797" s="110">
        <f>IF(D797=0,0,'Deal maths'!AB797*D797/12)</f>
        <v/>
      </c>
      <c r="G797" s="108">
        <f>N797+O797</f>
        <v/>
      </c>
      <c r="H797" s="108">
        <f>IFERROR(IF(OR(D797=0,AsAt&lt;E797),0,MIN(N797,INT(((YEAR(AsAt)-YEAR(E797))*12+MONTH(AsAt)-MONTH(E797)-(DAY(AsAt)&lt;MIN(R797,DAY(EOMONTH(AsAt,0)))))/D797)+1)+O797*(AsAt&gt;='Deal maths'!AA797)),0)</f>
        <v/>
      </c>
      <c r="I797" s="108">
        <f>G797-H797</f>
        <v/>
      </c>
      <c r="J797" s="111">
        <f>IF(AND(C797="EIP",I797&gt;0),'Deal maths'!Y797/I797,0)</f>
        <v/>
      </c>
      <c r="K797" s="111">
        <f>IF(AND(C797="Annuity",I797&gt;0),IF(F797&gt;0,'Deal maths'!Y797*F797/(1-(1+F797)^-I797),'Deal maths'!Y797/I797),0)</f>
        <v/>
      </c>
      <c r="L797" s="111">
        <f>IF('Deal maths'!Y797="",0,'Deal maths'!Y797)</f>
        <v/>
      </c>
      <c r="M797" s="112">
        <f>F797+(F797=0)</f>
        <v/>
      </c>
      <c r="N797" s="108">
        <f>IFERROR(IF(D797=0,0,INT(((YEAR('Deal maths'!AA797)-YEAR(E797))*12+MONTH('Deal maths'!AA797)-MONTH(E797)-(DAY('Deal maths'!AA797)&lt;MIN(R797,DAY(EOMONTH('Deal maths'!AA797,0)))))/D797)+1),0)</f>
        <v/>
      </c>
      <c r="O797" s="108">
        <f>IFERROR(IF(D797=0,0,IF(IF(DAY(E797+1)=1,EOMONTH(E797,(N797-1)*D797),EDATE(E797,(N797-1)*D797))='Deal maths'!AA797,0,1)),0)</f>
        <v/>
      </c>
      <c r="P797" s="113">
        <f>IF(B797=0,0,IFERROR(IF(C797="EIP",((I797-O797)*((IF(DAY(E797+1)=1,EOMONTH(E797,H797*D797),EDATE(E797,H797*D797))-AsAt)/365.25+(IF(DAY(E797+1)=1,EOMONTH(E797,(N797-1)*D797),EDATE(E797,(N797-1)*D797))-AsAt)/365.25)/2+O797*('Deal maths'!AA797-AsAt)/365.25)/I797,IF(C797="Annuity",IF(F797&gt;0,((K797-L797*F797)*((IF(DAY(E797+1)=1,EOMONTH(E797,H797*D797),EDATE(E797,H797*D797))-AsAt)/365.25*((1+F797)^(I797-O797)-1)/F797+IF((I797-O797)&gt;1,((IF(DAY(E797+1)=1,EOMONTH(E797,(N797-1)*D797),EDATE(E797,(N797-1)*D797))-AsAt)/365.25-(IF(DAY(E797+1)=1,EOMONTH(E797,H797*D797),EDATE(E797,H797*D797))-AsAt)/365.25)/((I797-O797)-1),0)*(1+F797)*(1-(I797-O797)*(1+F797)^((I797-O797)-1)+((I797-O797)-1)*(1+F797)^(I797-O797))/F797^2)+O797*(K797-L797*F797)*(1+F797)^(I797-1)*('Deal maths'!AA797-AsAt)/365.25)/L797,((I797-O797)*((IF(DAY(E797+1)=1,EOMONTH(E797,H797*D797),EDATE(E797,H797*D797))-AsAt)/365.25+(IF(DAY(E797+1)=1,EOMONTH(E797,(N797-1)*D797),EDATE(E797,(N797-1)*D797))-AsAt)/365.25)/2+O797*('Deal maths'!AA797-AsAt)/365.25)/I797),(S797-AsAt)/365.25)),0))</f>
        <v/>
      </c>
      <c r="Q797" s="109">
        <f>IF(B797=1,'Deal maths'!AA797+ROW()/1000000,"")</f>
        <v/>
      </c>
      <c r="R797" s="108">
        <f>IF(D797=0,0,IF(DAY(E797+1)=1,31,DAY(E797)))</f>
        <v/>
      </c>
      <c r="S797" s="109">
        <f>IF(AND('Deal maths'!V797="LOBO",'Deal maths'!AG797&gt;AsAt,'Deal maths'!AG797&lt;'Deal maths'!AA797),'Deal maths'!AG797,'Deal maths'!AA797)</f>
        <v/>
      </c>
      <c r="T797" s="108">
        <f>('Deal maths'!AA797&gt;AsAt)*('Deal maths'!Y797&gt;0)</f>
        <v/>
      </c>
    </row>
    <row r="798">
      <c r="A798" s="91">
        <f>IF('Deal maths'!V798="","",'Deal maths'!W798)</f>
        <v/>
      </c>
      <c r="B798" s="108">
        <f>('Deal maths'!AA798&gt;AsAt)*('Deal maths'!Y798&gt;0)*('Deal maths'!Z798&lt;=AsAt)</f>
        <v/>
      </c>
      <c r="C798" s="91">
        <f>IF('Deal maths'!V798="","",IF('Deal maths'!AC798="","Maturity",'Deal maths'!AC798))</f>
        <v/>
      </c>
      <c r="D798" s="108">
        <f>IF(OR(C798="EIP",C798="Annuity"),IF('Deal maths'!AD798="Annual",12,IF('Deal maths'!AD798="Quarterly",3,6)),0)</f>
        <v/>
      </c>
      <c r="E798" s="109">
        <f>IFERROR(IF(D798=0,0,IF('Deal maths'!AE798&gt;0,IF('Deal maths'!AE798&gt;'Deal maths'!AA798,'Deal maths'!AA798,'Deal maths'!AE798),IF(IF(DAY('Deal maths'!AA798+1)=1,EOMONTH('Deal maths'!AA798,-(INT(((YEAR('Deal maths'!AA798)-YEAR(IF('Deal maths'!Z798&gt;0,'Deal maths'!Z798,DATE(1990,1,1))))*12+MONTH('Deal maths'!AA798)-MONTH(IF('Deal maths'!Z798&gt;0,'Deal maths'!Z798,DATE(1990,1,1))))/D798))*D798),EDATE('Deal maths'!AA798,-(INT(((YEAR('Deal maths'!AA798)-YEAR(IF('Deal maths'!Z798&gt;0,'Deal maths'!Z798,DATE(1990,1,1))))*12+MONTH('Deal maths'!AA798)-MONTH(IF('Deal maths'!Z798&gt;0,'Deal maths'!Z798,DATE(1990,1,1))))/D798))*D798))&gt;IF('Deal maths'!Z798&gt;0,'Deal maths'!Z798,DATE(1990,1,1)),IF(DAY('Deal maths'!AA798+1)=1,EOMONTH('Deal maths'!AA798,-(INT(((YEAR('Deal maths'!AA798)-YEAR(IF('Deal maths'!Z798&gt;0,'Deal maths'!Z798,DATE(1990,1,1))))*12+MONTH('Deal maths'!AA798)-MONTH(IF('Deal maths'!Z798&gt;0,'Deal maths'!Z798,DATE(1990,1,1))))/D798))*D798),EDATE('Deal maths'!AA798,-(INT(((YEAR('Deal maths'!AA798)-YEAR(IF('Deal maths'!Z798&gt;0,'Deal maths'!Z798,DATE(1990,1,1))))*12+MONTH('Deal maths'!AA798)-MONTH(IF('Deal maths'!Z798&gt;0,'Deal maths'!Z798,DATE(1990,1,1))))/D798))*D798)),IF(DAY('Deal maths'!AA798+1)=1,EOMONTH('Deal maths'!AA798,-(INT(((YEAR('Deal maths'!AA798)-YEAR(IF('Deal maths'!Z798&gt;0,'Deal maths'!Z798,DATE(1990,1,1))))*12+MONTH('Deal maths'!AA798)-MONTH(IF('Deal maths'!Z798&gt;0,'Deal maths'!Z798,DATE(1990,1,1))))/D798)-1)*D798),EDATE('Deal maths'!AA798,-(INT(((YEAR('Deal maths'!AA798)-YEAR(IF('Deal maths'!Z798&gt;0,'Deal maths'!Z798,DATE(1990,1,1))))*12+MONTH('Deal maths'!AA798)-MONTH(IF('Deal maths'!Z798&gt;0,'Deal maths'!Z798,DATE(1990,1,1))))/D798)-1)*D798))))),0)</f>
        <v/>
      </c>
      <c r="F798" s="110">
        <f>IF(D798=0,0,'Deal maths'!AB798*D798/12)</f>
        <v/>
      </c>
      <c r="G798" s="108">
        <f>N798+O798</f>
        <v/>
      </c>
      <c r="H798" s="108">
        <f>IFERROR(IF(OR(D798=0,AsAt&lt;E798),0,MIN(N798,INT(((YEAR(AsAt)-YEAR(E798))*12+MONTH(AsAt)-MONTH(E798)-(DAY(AsAt)&lt;MIN(R798,DAY(EOMONTH(AsAt,0)))))/D798)+1)+O798*(AsAt&gt;='Deal maths'!AA798)),0)</f>
        <v/>
      </c>
      <c r="I798" s="108">
        <f>G798-H798</f>
        <v/>
      </c>
      <c r="J798" s="111">
        <f>IF(AND(C798="EIP",I798&gt;0),'Deal maths'!Y798/I798,0)</f>
        <v/>
      </c>
      <c r="K798" s="111">
        <f>IF(AND(C798="Annuity",I798&gt;0),IF(F798&gt;0,'Deal maths'!Y798*F798/(1-(1+F798)^-I798),'Deal maths'!Y798/I798),0)</f>
        <v/>
      </c>
      <c r="L798" s="111">
        <f>IF('Deal maths'!Y798="",0,'Deal maths'!Y798)</f>
        <v/>
      </c>
      <c r="M798" s="112">
        <f>F798+(F798=0)</f>
        <v/>
      </c>
      <c r="N798" s="108">
        <f>IFERROR(IF(D798=0,0,INT(((YEAR('Deal maths'!AA798)-YEAR(E798))*12+MONTH('Deal maths'!AA798)-MONTH(E798)-(DAY('Deal maths'!AA798)&lt;MIN(R798,DAY(EOMONTH('Deal maths'!AA798,0)))))/D798)+1),0)</f>
        <v/>
      </c>
      <c r="O798" s="108">
        <f>IFERROR(IF(D798=0,0,IF(IF(DAY(E798+1)=1,EOMONTH(E798,(N798-1)*D798),EDATE(E798,(N798-1)*D798))='Deal maths'!AA798,0,1)),0)</f>
        <v/>
      </c>
      <c r="P798" s="113">
        <f>IF(B798=0,0,IFERROR(IF(C798="EIP",((I798-O798)*((IF(DAY(E798+1)=1,EOMONTH(E798,H798*D798),EDATE(E798,H798*D798))-AsAt)/365.25+(IF(DAY(E798+1)=1,EOMONTH(E798,(N798-1)*D798),EDATE(E798,(N798-1)*D798))-AsAt)/365.25)/2+O798*('Deal maths'!AA798-AsAt)/365.25)/I798,IF(C798="Annuity",IF(F798&gt;0,((K798-L798*F798)*((IF(DAY(E798+1)=1,EOMONTH(E798,H798*D798),EDATE(E798,H798*D798))-AsAt)/365.25*((1+F798)^(I798-O798)-1)/F798+IF((I798-O798)&gt;1,((IF(DAY(E798+1)=1,EOMONTH(E798,(N798-1)*D798),EDATE(E798,(N798-1)*D798))-AsAt)/365.25-(IF(DAY(E798+1)=1,EOMONTH(E798,H798*D798),EDATE(E798,H798*D798))-AsAt)/365.25)/((I798-O798)-1),0)*(1+F798)*(1-(I798-O798)*(1+F798)^((I798-O798)-1)+((I798-O798)-1)*(1+F798)^(I798-O798))/F798^2)+O798*(K798-L798*F798)*(1+F798)^(I798-1)*('Deal maths'!AA798-AsAt)/365.25)/L798,((I798-O798)*((IF(DAY(E798+1)=1,EOMONTH(E798,H798*D798),EDATE(E798,H798*D798))-AsAt)/365.25+(IF(DAY(E798+1)=1,EOMONTH(E798,(N798-1)*D798),EDATE(E798,(N798-1)*D798))-AsAt)/365.25)/2+O798*('Deal maths'!AA798-AsAt)/365.25)/I798),(S798-AsAt)/365.25)),0))</f>
        <v/>
      </c>
      <c r="Q798" s="109">
        <f>IF(B798=1,'Deal maths'!AA798+ROW()/1000000,"")</f>
        <v/>
      </c>
      <c r="R798" s="108">
        <f>IF(D798=0,0,IF(DAY(E798+1)=1,31,DAY(E798)))</f>
        <v/>
      </c>
      <c r="S798" s="109">
        <f>IF(AND('Deal maths'!V798="LOBO",'Deal maths'!AG798&gt;AsAt,'Deal maths'!AG798&lt;'Deal maths'!AA798),'Deal maths'!AG798,'Deal maths'!AA798)</f>
        <v/>
      </c>
      <c r="T798" s="108">
        <f>('Deal maths'!AA798&gt;AsAt)*('Deal maths'!Y798&gt;0)</f>
        <v/>
      </c>
    </row>
    <row r="799">
      <c r="A799" s="91">
        <f>IF('Deal maths'!V799="","",'Deal maths'!W799)</f>
        <v/>
      </c>
      <c r="B799" s="108">
        <f>('Deal maths'!AA799&gt;AsAt)*('Deal maths'!Y799&gt;0)*('Deal maths'!Z799&lt;=AsAt)</f>
        <v/>
      </c>
      <c r="C799" s="91">
        <f>IF('Deal maths'!V799="","",IF('Deal maths'!AC799="","Maturity",'Deal maths'!AC799))</f>
        <v/>
      </c>
      <c r="D799" s="108">
        <f>IF(OR(C799="EIP",C799="Annuity"),IF('Deal maths'!AD799="Annual",12,IF('Deal maths'!AD799="Quarterly",3,6)),0)</f>
        <v/>
      </c>
      <c r="E799" s="109">
        <f>IFERROR(IF(D799=0,0,IF('Deal maths'!AE799&gt;0,IF('Deal maths'!AE799&gt;'Deal maths'!AA799,'Deal maths'!AA799,'Deal maths'!AE799),IF(IF(DAY('Deal maths'!AA799+1)=1,EOMONTH('Deal maths'!AA799,-(INT(((YEAR('Deal maths'!AA799)-YEAR(IF('Deal maths'!Z799&gt;0,'Deal maths'!Z799,DATE(1990,1,1))))*12+MONTH('Deal maths'!AA799)-MONTH(IF('Deal maths'!Z799&gt;0,'Deal maths'!Z799,DATE(1990,1,1))))/D799))*D799),EDATE('Deal maths'!AA799,-(INT(((YEAR('Deal maths'!AA799)-YEAR(IF('Deal maths'!Z799&gt;0,'Deal maths'!Z799,DATE(1990,1,1))))*12+MONTH('Deal maths'!AA799)-MONTH(IF('Deal maths'!Z799&gt;0,'Deal maths'!Z799,DATE(1990,1,1))))/D799))*D799))&gt;IF('Deal maths'!Z799&gt;0,'Deal maths'!Z799,DATE(1990,1,1)),IF(DAY('Deal maths'!AA799+1)=1,EOMONTH('Deal maths'!AA799,-(INT(((YEAR('Deal maths'!AA799)-YEAR(IF('Deal maths'!Z799&gt;0,'Deal maths'!Z799,DATE(1990,1,1))))*12+MONTH('Deal maths'!AA799)-MONTH(IF('Deal maths'!Z799&gt;0,'Deal maths'!Z799,DATE(1990,1,1))))/D799))*D799),EDATE('Deal maths'!AA799,-(INT(((YEAR('Deal maths'!AA799)-YEAR(IF('Deal maths'!Z799&gt;0,'Deal maths'!Z799,DATE(1990,1,1))))*12+MONTH('Deal maths'!AA799)-MONTH(IF('Deal maths'!Z799&gt;0,'Deal maths'!Z799,DATE(1990,1,1))))/D799))*D799)),IF(DAY('Deal maths'!AA799+1)=1,EOMONTH('Deal maths'!AA799,-(INT(((YEAR('Deal maths'!AA799)-YEAR(IF('Deal maths'!Z799&gt;0,'Deal maths'!Z799,DATE(1990,1,1))))*12+MONTH('Deal maths'!AA799)-MONTH(IF('Deal maths'!Z799&gt;0,'Deal maths'!Z799,DATE(1990,1,1))))/D799)-1)*D799),EDATE('Deal maths'!AA799,-(INT(((YEAR('Deal maths'!AA799)-YEAR(IF('Deal maths'!Z799&gt;0,'Deal maths'!Z799,DATE(1990,1,1))))*12+MONTH('Deal maths'!AA799)-MONTH(IF('Deal maths'!Z799&gt;0,'Deal maths'!Z799,DATE(1990,1,1))))/D799)-1)*D799))))),0)</f>
        <v/>
      </c>
      <c r="F799" s="110">
        <f>IF(D799=0,0,'Deal maths'!AB799*D799/12)</f>
        <v/>
      </c>
      <c r="G799" s="108">
        <f>N799+O799</f>
        <v/>
      </c>
      <c r="H799" s="108">
        <f>IFERROR(IF(OR(D799=0,AsAt&lt;E799),0,MIN(N799,INT(((YEAR(AsAt)-YEAR(E799))*12+MONTH(AsAt)-MONTH(E799)-(DAY(AsAt)&lt;MIN(R799,DAY(EOMONTH(AsAt,0)))))/D799)+1)+O799*(AsAt&gt;='Deal maths'!AA799)),0)</f>
        <v/>
      </c>
      <c r="I799" s="108">
        <f>G799-H799</f>
        <v/>
      </c>
      <c r="J799" s="111">
        <f>IF(AND(C799="EIP",I799&gt;0),'Deal maths'!Y799/I799,0)</f>
        <v/>
      </c>
      <c r="K799" s="111">
        <f>IF(AND(C799="Annuity",I799&gt;0),IF(F799&gt;0,'Deal maths'!Y799*F799/(1-(1+F799)^-I799),'Deal maths'!Y799/I799),0)</f>
        <v/>
      </c>
      <c r="L799" s="111">
        <f>IF('Deal maths'!Y799="",0,'Deal maths'!Y799)</f>
        <v/>
      </c>
      <c r="M799" s="112">
        <f>F799+(F799=0)</f>
        <v/>
      </c>
      <c r="N799" s="108">
        <f>IFERROR(IF(D799=0,0,INT(((YEAR('Deal maths'!AA799)-YEAR(E799))*12+MONTH('Deal maths'!AA799)-MONTH(E799)-(DAY('Deal maths'!AA799)&lt;MIN(R799,DAY(EOMONTH('Deal maths'!AA799,0)))))/D799)+1),0)</f>
        <v/>
      </c>
      <c r="O799" s="108">
        <f>IFERROR(IF(D799=0,0,IF(IF(DAY(E799+1)=1,EOMONTH(E799,(N799-1)*D799),EDATE(E799,(N799-1)*D799))='Deal maths'!AA799,0,1)),0)</f>
        <v/>
      </c>
      <c r="P799" s="113">
        <f>IF(B799=0,0,IFERROR(IF(C799="EIP",((I799-O799)*((IF(DAY(E799+1)=1,EOMONTH(E799,H799*D799),EDATE(E799,H799*D799))-AsAt)/365.25+(IF(DAY(E799+1)=1,EOMONTH(E799,(N799-1)*D799),EDATE(E799,(N799-1)*D799))-AsAt)/365.25)/2+O799*('Deal maths'!AA799-AsAt)/365.25)/I799,IF(C799="Annuity",IF(F799&gt;0,((K799-L799*F799)*((IF(DAY(E799+1)=1,EOMONTH(E799,H799*D799),EDATE(E799,H799*D799))-AsAt)/365.25*((1+F799)^(I799-O799)-1)/F799+IF((I799-O799)&gt;1,((IF(DAY(E799+1)=1,EOMONTH(E799,(N799-1)*D799),EDATE(E799,(N799-1)*D799))-AsAt)/365.25-(IF(DAY(E799+1)=1,EOMONTH(E799,H799*D799),EDATE(E799,H799*D799))-AsAt)/365.25)/((I799-O799)-1),0)*(1+F799)*(1-(I799-O799)*(1+F799)^((I799-O799)-1)+((I799-O799)-1)*(1+F799)^(I799-O799))/F799^2)+O799*(K799-L799*F799)*(1+F799)^(I799-1)*('Deal maths'!AA799-AsAt)/365.25)/L799,((I799-O799)*((IF(DAY(E799+1)=1,EOMONTH(E799,H799*D799),EDATE(E799,H799*D799))-AsAt)/365.25+(IF(DAY(E799+1)=1,EOMONTH(E799,(N799-1)*D799),EDATE(E799,(N799-1)*D799))-AsAt)/365.25)/2+O799*('Deal maths'!AA799-AsAt)/365.25)/I799),(S799-AsAt)/365.25)),0))</f>
        <v/>
      </c>
      <c r="Q799" s="109">
        <f>IF(B799=1,'Deal maths'!AA799+ROW()/1000000,"")</f>
        <v/>
      </c>
      <c r="R799" s="108">
        <f>IF(D799=0,0,IF(DAY(E799+1)=1,31,DAY(E799)))</f>
        <v/>
      </c>
      <c r="S799" s="109">
        <f>IF(AND('Deal maths'!V799="LOBO",'Deal maths'!AG799&gt;AsAt,'Deal maths'!AG799&lt;'Deal maths'!AA799),'Deal maths'!AG799,'Deal maths'!AA799)</f>
        <v/>
      </c>
      <c r="T799" s="108">
        <f>('Deal maths'!AA799&gt;AsAt)*('Deal maths'!Y799&gt;0)</f>
        <v/>
      </c>
    </row>
    <row r="800">
      <c r="A800" s="91">
        <f>IF('Deal maths'!V800="","",'Deal maths'!W800)</f>
        <v/>
      </c>
      <c r="B800" s="108">
        <f>('Deal maths'!AA800&gt;AsAt)*('Deal maths'!Y800&gt;0)*('Deal maths'!Z800&lt;=AsAt)</f>
        <v/>
      </c>
      <c r="C800" s="91">
        <f>IF('Deal maths'!V800="","",IF('Deal maths'!AC800="","Maturity",'Deal maths'!AC800))</f>
        <v/>
      </c>
      <c r="D800" s="108">
        <f>IF(OR(C800="EIP",C800="Annuity"),IF('Deal maths'!AD800="Annual",12,IF('Deal maths'!AD800="Quarterly",3,6)),0)</f>
        <v/>
      </c>
      <c r="E800" s="109">
        <f>IFERROR(IF(D800=0,0,IF('Deal maths'!AE800&gt;0,IF('Deal maths'!AE800&gt;'Deal maths'!AA800,'Deal maths'!AA800,'Deal maths'!AE800),IF(IF(DAY('Deal maths'!AA800+1)=1,EOMONTH('Deal maths'!AA800,-(INT(((YEAR('Deal maths'!AA800)-YEAR(IF('Deal maths'!Z800&gt;0,'Deal maths'!Z800,DATE(1990,1,1))))*12+MONTH('Deal maths'!AA800)-MONTH(IF('Deal maths'!Z800&gt;0,'Deal maths'!Z800,DATE(1990,1,1))))/D800))*D800),EDATE('Deal maths'!AA800,-(INT(((YEAR('Deal maths'!AA800)-YEAR(IF('Deal maths'!Z800&gt;0,'Deal maths'!Z800,DATE(1990,1,1))))*12+MONTH('Deal maths'!AA800)-MONTH(IF('Deal maths'!Z800&gt;0,'Deal maths'!Z800,DATE(1990,1,1))))/D800))*D800))&gt;IF('Deal maths'!Z800&gt;0,'Deal maths'!Z800,DATE(1990,1,1)),IF(DAY('Deal maths'!AA800+1)=1,EOMONTH('Deal maths'!AA800,-(INT(((YEAR('Deal maths'!AA800)-YEAR(IF('Deal maths'!Z800&gt;0,'Deal maths'!Z800,DATE(1990,1,1))))*12+MONTH('Deal maths'!AA800)-MONTH(IF('Deal maths'!Z800&gt;0,'Deal maths'!Z800,DATE(1990,1,1))))/D800))*D800),EDATE('Deal maths'!AA800,-(INT(((YEAR('Deal maths'!AA800)-YEAR(IF('Deal maths'!Z800&gt;0,'Deal maths'!Z800,DATE(1990,1,1))))*12+MONTH('Deal maths'!AA800)-MONTH(IF('Deal maths'!Z800&gt;0,'Deal maths'!Z800,DATE(1990,1,1))))/D800))*D800)),IF(DAY('Deal maths'!AA800+1)=1,EOMONTH('Deal maths'!AA800,-(INT(((YEAR('Deal maths'!AA800)-YEAR(IF('Deal maths'!Z800&gt;0,'Deal maths'!Z800,DATE(1990,1,1))))*12+MONTH('Deal maths'!AA800)-MONTH(IF('Deal maths'!Z800&gt;0,'Deal maths'!Z800,DATE(1990,1,1))))/D800)-1)*D800),EDATE('Deal maths'!AA800,-(INT(((YEAR('Deal maths'!AA800)-YEAR(IF('Deal maths'!Z800&gt;0,'Deal maths'!Z800,DATE(1990,1,1))))*12+MONTH('Deal maths'!AA800)-MONTH(IF('Deal maths'!Z800&gt;0,'Deal maths'!Z800,DATE(1990,1,1))))/D800)-1)*D800))))),0)</f>
        <v/>
      </c>
      <c r="F800" s="110">
        <f>IF(D800=0,0,'Deal maths'!AB800*D800/12)</f>
        <v/>
      </c>
      <c r="G800" s="108">
        <f>N800+O800</f>
        <v/>
      </c>
      <c r="H800" s="108">
        <f>IFERROR(IF(OR(D800=0,AsAt&lt;E800),0,MIN(N800,INT(((YEAR(AsAt)-YEAR(E800))*12+MONTH(AsAt)-MONTH(E800)-(DAY(AsAt)&lt;MIN(R800,DAY(EOMONTH(AsAt,0)))))/D800)+1)+O800*(AsAt&gt;='Deal maths'!AA800)),0)</f>
        <v/>
      </c>
      <c r="I800" s="108">
        <f>G800-H800</f>
        <v/>
      </c>
      <c r="J800" s="111">
        <f>IF(AND(C800="EIP",I800&gt;0),'Deal maths'!Y800/I800,0)</f>
        <v/>
      </c>
      <c r="K800" s="111">
        <f>IF(AND(C800="Annuity",I800&gt;0),IF(F800&gt;0,'Deal maths'!Y800*F800/(1-(1+F800)^-I800),'Deal maths'!Y800/I800),0)</f>
        <v/>
      </c>
      <c r="L800" s="111">
        <f>IF('Deal maths'!Y800="",0,'Deal maths'!Y800)</f>
        <v/>
      </c>
      <c r="M800" s="112">
        <f>F800+(F800=0)</f>
        <v/>
      </c>
      <c r="N800" s="108">
        <f>IFERROR(IF(D800=0,0,INT(((YEAR('Deal maths'!AA800)-YEAR(E800))*12+MONTH('Deal maths'!AA800)-MONTH(E800)-(DAY('Deal maths'!AA800)&lt;MIN(R800,DAY(EOMONTH('Deal maths'!AA800,0)))))/D800)+1),0)</f>
        <v/>
      </c>
      <c r="O800" s="108">
        <f>IFERROR(IF(D800=0,0,IF(IF(DAY(E800+1)=1,EOMONTH(E800,(N800-1)*D800),EDATE(E800,(N800-1)*D800))='Deal maths'!AA800,0,1)),0)</f>
        <v/>
      </c>
      <c r="P800" s="113">
        <f>IF(B800=0,0,IFERROR(IF(C800="EIP",((I800-O800)*((IF(DAY(E800+1)=1,EOMONTH(E800,H800*D800),EDATE(E800,H800*D800))-AsAt)/365.25+(IF(DAY(E800+1)=1,EOMONTH(E800,(N800-1)*D800),EDATE(E800,(N800-1)*D800))-AsAt)/365.25)/2+O800*('Deal maths'!AA800-AsAt)/365.25)/I800,IF(C800="Annuity",IF(F800&gt;0,((K800-L800*F800)*((IF(DAY(E800+1)=1,EOMONTH(E800,H800*D800),EDATE(E800,H800*D800))-AsAt)/365.25*((1+F800)^(I800-O800)-1)/F800+IF((I800-O800)&gt;1,((IF(DAY(E800+1)=1,EOMONTH(E800,(N800-1)*D800),EDATE(E800,(N800-1)*D800))-AsAt)/365.25-(IF(DAY(E800+1)=1,EOMONTH(E800,H800*D800),EDATE(E800,H800*D800))-AsAt)/365.25)/((I800-O800)-1),0)*(1+F800)*(1-(I800-O800)*(1+F800)^((I800-O800)-1)+((I800-O800)-1)*(1+F800)^(I800-O800))/F800^2)+O800*(K800-L800*F800)*(1+F800)^(I800-1)*('Deal maths'!AA800-AsAt)/365.25)/L800,((I800-O800)*((IF(DAY(E800+1)=1,EOMONTH(E800,H800*D800),EDATE(E800,H800*D800))-AsAt)/365.25+(IF(DAY(E800+1)=1,EOMONTH(E800,(N800-1)*D800),EDATE(E800,(N800-1)*D800))-AsAt)/365.25)/2+O800*('Deal maths'!AA800-AsAt)/365.25)/I800),(S800-AsAt)/365.25)),0))</f>
        <v/>
      </c>
      <c r="Q800" s="109">
        <f>IF(B800=1,'Deal maths'!AA800+ROW()/1000000,"")</f>
        <v/>
      </c>
      <c r="R800" s="108">
        <f>IF(D800=0,0,IF(DAY(E800+1)=1,31,DAY(E800)))</f>
        <v/>
      </c>
      <c r="S800" s="109">
        <f>IF(AND('Deal maths'!V800="LOBO",'Deal maths'!AG800&gt;AsAt,'Deal maths'!AG800&lt;'Deal maths'!AA800),'Deal maths'!AG800,'Deal maths'!AA800)</f>
        <v/>
      </c>
      <c r="T800" s="108">
        <f>('Deal maths'!AA800&gt;AsAt)*('Deal maths'!Y800&gt;0)</f>
        <v/>
      </c>
    </row>
    <row r="801">
      <c r="A801" s="91">
        <f>IF('Deal maths'!V801="","",'Deal maths'!W801)</f>
        <v/>
      </c>
      <c r="B801" s="108">
        <f>('Deal maths'!AA801&gt;AsAt)*('Deal maths'!Y801&gt;0)*('Deal maths'!Z801&lt;=AsAt)</f>
        <v/>
      </c>
      <c r="C801" s="91">
        <f>IF('Deal maths'!V801="","",IF('Deal maths'!AC801="","Maturity",'Deal maths'!AC801))</f>
        <v/>
      </c>
      <c r="D801" s="108">
        <f>IF(OR(C801="EIP",C801="Annuity"),IF('Deal maths'!AD801="Annual",12,IF('Deal maths'!AD801="Quarterly",3,6)),0)</f>
        <v/>
      </c>
      <c r="E801" s="109">
        <f>IFERROR(IF(D801=0,0,IF('Deal maths'!AE801&gt;0,IF('Deal maths'!AE801&gt;'Deal maths'!AA801,'Deal maths'!AA801,'Deal maths'!AE801),IF(IF(DAY('Deal maths'!AA801+1)=1,EOMONTH('Deal maths'!AA801,-(INT(((YEAR('Deal maths'!AA801)-YEAR(IF('Deal maths'!Z801&gt;0,'Deal maths'!Z801,DATE(1990,1,1))))*12+MONTH('Deal maths'!AA801)-MONTH(IF('Deal maths'!Z801&gt;0,'Deal maths'!Z801,DATE(1990,1,1))))/D801))*D801),EDATE('Deal maths'!AA801,-(INT(((YEAR('Deal maths'!AA801)-YEAR(IF('Deal maths'!Z801&gt;0,'Deal maths'!Z801,DATE(1990,1,1))))*12+MONTH('Deal maths'!AA801)-MONTH(IF('Deal maths'!Z801&gt;0,'Deal maths'!Z801,DATE(1990,1,1))))/D801))*D801))&gt;IF('Deal maths'!Z801&gt;0,'Deal maths'!Z801,DATE(1990,1,1)),IF(DAY('Deal maths'!AA801+1)=1,EOMONTH('Deal maths'!AA801,-(INT(((YEAR('Deal maths'!AA801)-YEAR(IF('Deal maths'!Z801&gt;0,'Deal maths'!Z801,DATE(1990,1,1))))*12+MONTH('Deal maths'!AA801)-MONTH(IF('Deal maths'!Z801&gt;0,'Deal maths'!Z801,DATE(1990,1,1))))/D801))*D801),EDATE('Deal maths'!AA801,-(INT(((YEAR('Deal maths'!AA801)-YEAR(IF('Deal maths'!Z801&gt;0,'Deal maths'!Z801,DATE(1990,1,1))))*12+MONTH('Deal maths'!AA801)-MONTH(IF('Deal maths'!Z801&gt;0,'Deal maths'!Z801,DATE(1990,1,1))))/D801))*D801)),IF(DAY('Deal maths'!AA801+1)=1,EOMONTH('Deal maths'!AA801,-(INT(((YEAR('Deal maths'!AA801)-YEAR(IF('Deal maths'!Z801&gt;0,'Deal maths'!Z801,DATE(1990,1,1))))*12+MONTH('Deal maths'!AA801)-MONTH(IF('Deal maths'!Z801&gt;0,'Deal maths'!Z801,DATE(1990,1,1))))/D801)-1)*D801),EDATE('Deal maths'!AA801,-(INT(((YEAR('Deal maths'!AA801)-YEAR(IF('Deal maths'!Z801&gt;0,'Deal maths'!Z801,DATE(1990,1,1))))*12+MONTH('Deal maths'!AA801)-MONTH(IF('Deal maths'!Z801&gt;0,'Deal maths'!Z801,DATE(1990,1,1))))/D801)-1)*D801))))),0)</f>
        <v/>
      </c>
      <c r="F801" s="110">
        <f>IF(D801=0,0,'Deal maths'!AB801*D801/12)</f>
        <v/>
      </c>
      <c r="G801" s="108">
        <f>N801+O801</f>
        <v/>
      </c>
      <c r="H801" s="108">
        <f>IFERROR(IF(OR(D801=0,AsAt&lt;E801),0,MIN(N801,INT(((YEAR(AsAt)-YEAR(E801))*12+MONTH(AsAt)-MONTH(E801)-(DAY(AsAt)&lt;MIN(R801,DAY(EOMONTH(AsAt,0)))))/D801)+1)+O801*(AsAt&gt;='Deal maths'!AA801)),0)</f>
        <v/>
      </c>
      <c r="I801" s="108">
        <f>G801-H801</f>
        <v/>
      </c>
      <c r="J801" s="111">
        <f>IF(AND(C801="EIP",I801&gt;0),'Deal maths'!Y801/I801,0)</f>
        <v/>
      </c>
      <c r="K801" s="111">
        <f>IF(AND(C801="Annuity",I801&gt;0),IF(F801&gt;0,'Deal maths'!Y801*F801/(1-(1+F801)^-I801),'Deal maths'!Y801/I801),0)</f>
        <v/>
      </c>
      <c r="L801" s="111">
        <f>IF('Deal maths'!Y801="",0,'Deal maths'!Y801)</f>
        <v/>
      </c>
      <c r="M801" s="112">
        <f>F801+(F801=0)</f>
        <v/>
      </c>
      <c r="N801" s="108">
        <f>IFERROR(IF(D801=0,0,INT(((YEAR('Deal maths'!AA801)-YEAR(E801))*12+MONTH('Deal maths'!AA801)-MONTH(E801)-(DAY('Deal maths'!AA801)&lt;MIN(R801,DAY(EOMONTH('Deal maths'!AA801,0)))))/D801)+1),0)</f>
        <v/>
      </c>
      <c r="O801" s="108">
        <f>IFERROR(IF(D801=0,0,IF(IF(DAY(E801+1)=1,EOMONTH(E801,(N801-1)*D801),EDATE(E801,(N801-1)*D801))='Deal maths'!AA801,0,1)),0)</f>
        <v/>
      </c>
      <c r="P801" s="113">
        <f>IF(B801=0,0,IFERROR(IF(C801="EIP",((I801-O801)*((IF(DAY(E801+1)=1,EOMONTH(E801,H801*D801),EDATE(E801,H801*D801))-AsAt)/365.25+(IF(DAY(E801+1)=1,EOMONTH(E801,(N801-1)*D801),EDATE(E801,(N801-1)*D801))-AsAt)/365.25)/2+O801*('Deal maths'!AA801-AsAt)/365.25)/I801,IF(C801="Annuity",IF(F801&gt;0,((K801-L801*F801)*((IF(DAY(E801+1)=1,EOMONTH(E801,H801*D801),EDATE(E801,H801*D801))-AsAt)/365.25*((1+F801)^(I801-O801)-1)/F801+IF((I801-O801)&gt;1,((IF(DAY(E801+1)=1,EOMONTH(E801,(N801-1)*D801),EDATE(E801,(N801-1)*D801))-AsAt)/365.25-(IF(DAY(E801+1)=1,EOMONTH(E801,H801*D801),EDATE(E801,H801*D801))-AsAt)/365.25)/((I801-O801)-1),0)*(1+F801)*(1-(I801-O801)*(1+F801)^((I801-O801)-1)+((I801-O801)-1)*(1+F801)^(I801-O801))/F801^2)+O801*(K801-L801*F801)*(1+F801)^(I801-1)*('Deal maths'!AA801-AsAt)/365.25)/L801,((I801-O801)*((IF(DAY(E801+1)=1,EOMONTH(E801,H801*D801),EDATE(E801,H801*D801))-AsAt)/365.25+(IF(DAY(E801+1)=1,EOMONTH(E801,(N801-1)*D801),EDATE(E801,(N801-1)*D801))-AsAt)/365.25)/2+O801*('Deal maths'!AA801-AsAt)/365.25)/I801),(S801-AsAt)/365.25)),0))</f>
        <v/>
      </c>
      <c r="Q801" s="109">
        <f>IF(B801=1,'Deal maths'!AA801+ROW()/1000000,"")</f>
        <v/>
      </c>
      <c r="R801" s="108">
        <f>IF(D801=0,0,IF(DAY(E801+1)=1,31,DAY(E801)))</f>
        <v/>
      </c>
      <c r="S801" s="109">
        <f>IF(AND('Deal maths'!V801="LOBO",'Deal maths'!AG801&gt;AsAt,'Deal maths'!AG801&lt;'Deal maths'!AA801),'Deal maths'!AG801,'Deal maths'!AA801)</f>
        <v/>
      </c>
      <c r="T801" s="108">
        <f>('Deal maths'!AA801&gt;AsAt)*('Deal maths'!Y801&gt;0)</f>
        <v/>
      </c>
    </row>
    <row r="802">
      <c r="A802" s="91">
        <f>IF('Deal maths'!V802="","",'Deal maths'!W802)</f>
        <v/>
      </c>
      <c r="B802" s="108">
        <f>('Deal maths'!AA802&gt;AsAt)*('Deal maths'!Y802&gt;0)*('Deal maths'!Z802&lt;=AsAt)</f>
        <v/>
      </c>
      <c r="C802" s="91">
        <f>IF('Deal maths'!V802="","",IF('Deal maths'!AC802="","Maturity",'Deal maths'!AC802))</f>
        <v/>
      </c>
      <c r="D802" s="108">
        <f>IF(OR(C802="EIP",C802="Annuity"),IF('Deal maths'!AD802="Annual",12,IF('Deal maths'!AD802="Quarterly",3,6)),0)</f>
        <v/>
      </c>
      <c r="E802" s="109">
        <f>IFERROR(IF(D802=0,0,IF('Deal maths'!AE802&gt;0,IF('Deal maths'!AE802&gt;'Deal maths'!AA802,'Deal maths'!AA802,'Deal maths'!AE802),IF(IF(DAY('Deal maths'!AA802+1)=1,EOMONTH('Deal maths'!AA802,-(INT(((YEAR('Deal maths'!AA802)-YEAR(IF('Deal maths'!Z802&gt;0,'Deal maths'!Z802,DATE(1990,1,1))))*12+MONTH('Deal maths'!AA802)-MONTH(IF('Deal maths'!Z802&gt;0,'Deal maths'!Z802,DATE(1990,1,1))))/D802))*D802),EDATE('Deal maths'!AA802,-(INT(((YEAR('Deal maths'!AA802)-YEAR(IF('Deal maths'!Z802&gt;0,'Deal maths'!Z802,DATE(1990,1,1))))*12+MONTH('Deal maths'!AA802)-MONTH(IF('Deal maths'!Z802&gt;0,'Deal maths'!Z802,DATE(1990,1,1))))/D802))*D802))&gt;IF('Deal maths'!Z802&gt;0,'Deal maths'!Z802,DATE(1990,1,1)),IF(DAY('Deal maths'!AA802+1)=1,EOMONTH('Deal maths'!AA802,-(INT(((YEAR('Deal maths'!AA802)-YEAR(IF('Deal maths'!Z802&gt;0,'Deal maths'!Z802,DATE(1990,1,1))))*12+MONTH('Deal maths'!AA802)-MONTH(IF('Deal maths'!Z802&gt;0,'Deal maths'!Z802,DATE(1990,1,1))))/D802))*D802),EDATE('Deal maths'!AA802,-(INT(((YEAR('Deal maths'!AA802)-YEAR(IF('Deal maths'!Z802&gt;0,'Deal maths'!Z802,DATE(1990,1,1))))*12+MONTH('Deal maths'!AA802)-MONTH(IF('Deal maths'!Z802&gt;0,'Deal maths'!Z802,DATE(1990,1,1))))/D802))*D802)),IF(DAY('Deal maths'!AA802+1)=1,EOMONTH('Deal maths'!AA802,-(INT(((YEAR('Deal maths'!AA802)-YEAR(IF('Deal maths'!Z802&gt;0,'Deal maths'!Z802,DATE(1990,1,1))))*12+MONTH('Deal maths'!AA802)-MONTH(IF('Deal maths'!Z802&gt;0,'Deal maths'!Z802,DATE(1990,1,1))))/D802)-1)*D802),EDATE('Deal maths'!AA802,-(INT(((YEAR('Deal maths'!AA802)-YEAR(IF('Deal maths'!Z802&gt;0,'Deal maths'!Z802,DATE(1990,1,1))))*12+MONTH('Deal maths'!AA802)-MONTH(IF('Deal maths'!Z802&gt;0,'Deal maths'!Z802,DATE(1990,1,1))))/D802)-1)*D802))))),0)</f>
        <v/>
      </c>
      <c r="F802" s="110">
        <f>IF(D802=0,0,'Deal maths'!AB802*D802/12)</f>
        <v/>
      </c>
      <c r="G802" s="108">
        <f>N802+O802</f>
        <v/>
      </c>
      <c r="H802" s="108">
        <f>IFERROR(IF(OR(D802=0,AsAt&lt;E802),0,MIN(N802,INT(((YEAR(AsAt)-YEAR(E802))*12+MONTH(AsAt)-MONTH(E802)-(DAY(AsAt)&lt;MIN(R802,DAY(EOMONTH(AsAt,0)))))/D802)+1)+O802*(AsAt&gt;='Deal maths'!AA802)),0)</f>
        <v/>
      </c>
      <c r="I802" s="108">
        <f>G802-H802</f>
        <v/>
      </c>
      <c r="J802" s="111">
        <f>IF(AND(C802="EIP",I802&gt;0),'Deal maths'!Y802/I802,0)</f>
        <v/>
      </c>
      <c r="K802" s="111">
        <f>IF(AND(C802="Annuity",I802&gt;0),IF(F802&gt;0,'Deal maths'!Y802*F802/(1-(1+F802)^-I802),'Deal maths'!Y802/I802),0)</f>
        <v/>
      </c>
      <c r="L802" s="111">
        <f>IF('Deal maths'!Y802="",0,'Deal maths'!Y802)</f>
        <v/>
      </c>
      <c r="M802" s="112">
        <f>F802+(F802=0)</f>
        <v/>
      </c>
      <c r="N802" s="108">
        <f>IFERROR(IF(D802=0,0,INT(((YEAR('Deal maths'!AA802)-YEAR(E802))*12+MONTH('Deal maths'!AA802)-MONTH(E802)-(DAY('Deal maths'!AA802)&lt;MIN(R802,DAY(EOMONTH('Deal maths'!AA802,0)))))/D802)+1),0)</f>
        <v/>
      </c>
      <c r="O802" s="108">
        <f>IFERROR(IF(D802=0,0,IF(IF(DAY(E802+1)=1,EOMONTH(E802,(N802-1)*D802),EDATE(E802,(N802-1)*D802))='Deal maths'!AA802,0,1)),0)</f>
        <v/>
      </c>
      <c r="P802" s="113">
        <f>IF(B802=0,0,IFERROR(IF(C802="EIP",((I802-O802)*((IF(DAY(E802+1)=1,EOMONTH(E802,H802*D802),EDATE(E802,H802*D802))-AsAt)/365.25+(IF(DAY(E802+1)=1,EOMONTH(E802,(N802-1)*D802),EDATE(E802,(N802-1)*D802))-AsAt)/365.25)/2+O802*('Deal maths'!AA802-AsAt)/365.25)/I802,IF(C802="Annuity",IF(F802&gt;0,((K802-L802*F802)*((IF(DAY(E802+1)=1,EOMONTH(E802,H802*D802),EDATE(E802,H802*D802))-AsAt)/365.25*((1+F802)^(I802-O802)-1)/F802+IF((I802-O802)&gt;1,((IF(DAY(E802+1)=1,EOMONTH(E802,(N802-1)*D802),EDATE(E802,(N802-1)*D802))-AsAt)/365.25-(IF(DAY(E802+1)=1,EOMONTH(E802,H802*D802),EDATE(E802,H802*D802))-AsAt)/365.25)/((I802-O802)-1),0)*(1+F802)*(1-(I802-O802)*(1+F802)^((I802-O802)-1)+((I802-O802)-1)*(1+F802)^(I802-O802))/F802^2)+O802*(K802-L802*F802)*(1+F802)^(I802-1)*('Deal maths'!AA802-AsAt)/365.25)/L802,((I802-O802)*((IF(DAY(E802+1)=1,EOMONTH(E802,H802*D802),EDATE(E802,H802*D802))-AsAt)/365.25+(IF(DAY(E802+1)=1,EOMONTH(E802,(N802-1)*D802),EDATE(E802,(N802-1)*D802))-AsAt)/365.25)/2+O802*('Deal maths'!AA802-AsAt)/365.25)/I802),(S802-AsAt)/365.25)),0))</f>
        <v/>
      </c>
      <c r="Q802" s="109">
        <f>IF(B802=1,'Deal maths'!AA802+ROW()/1000000,"")</f>
        <v/>
      </c>
      <c r="R802" s="108">
        <f>IF(D802=0,0,IF(DAY(E802+1)=1,31,DAY(E802)))</f>
        <v/>
      </c>
      <c r="S802" s="109">
        <f>IF(AND('Deal maths'!V802="LOBO",'Deal maths'!AG802&gt;AsAt,'Deal maths'!AG802&lt;'Deal maths'!AA802),'Deal maths'!AG802,'Deal maths'!AA802)</f>
        <v/>
      </c>
      <c r="T802" s="108">
        <f>('Deal maths'!AA802&gt;AsAt)*('Deal maths'!Y802&gt;0)</f>
        <v/>
      </c>
    </row>
    <row r="803">
      <c r="A803" s="91">
        <f>IF('Deal maths'!V803="","",'Deal maths'!W803)</f>
        <v/>
      </c>
      <c r="B803" s="108">
        <f>('Deal maths'!AA803&gt;AsAt)*('Deal maths'!Y803&gt;0)*('Deal maths'!Z803&lt;=AsAt)</f>
        <v/>
      </c>
      <c r="C803" s="91">
        <f>IF('Deal maths'!V803="","",IF('Deal maths'!AC803="","Maturity",'Deal maths'!AC803))</f>
        <v/>
      </c>
      <c r="D803" s="108">
        <f>IF(OR(C803="EIP",C803="Annuity"),IF('Deal maths'!AD803="Annual",12,IF('Deal maths'!AD803="Quarterly",3,6)),0)</f>
        <v/>
      </c>
      <c r="E803" s="109">
        <f>IFERROR(IF(D803=0,0,IF('Deal maths'!AE803&gt;0,IF('Deal maths'!AE803&gt;'Deal maths'!AA803,'Deal maths'!AA803,'Deal maths'!AE803),IF(IF(DAY('Deal maths'!AA803+1)=1,EOMONTH('Deal maths'!AA803,-(INT(((YEAR('Deal maths'!AA803)-YEAR(IF('Deal maths'!Z803&gt;0,'Deal maths'!Z803,DATE(1990,1,1))))*12+MONTH('Deal maths'!AA803)-MONTH(IF('Deal maths'!Z803&gt;0,'Deal maths'!Z803,DATE(1990,1,1))))/D803))*D803),EDATE('Deal maths'!AA803,-(INT(((YEAR('Deal maths'!AA803)-YEAR(IF('Deal maths'!Z803&gt;0,'Deal maths'!Z803,DATE(1990,1,1))))*12+MONTH('Deal maths'!AA803)-MONTH(IF('Deal maths'!Z803&gt;0,'Deal maths'!Z803,DATE(1990,1,1))))/D803))*D803))&gt;IF('Deal maths'!Z803&gt;0,'Deal maths'!Z803,DATE(1990,1,1)),IF(DAY('Deal maths'!AA803+1)=1,EOMONTH('Deal maths'!AA803,-(INT(((YEAR('Deal maths'!AA803)-YEAR(IF('Deal maths'!Z803&gt;0,'Deal maths'!Z803,DATE(1990,1,1))))*12+MONTH('Deal maths'!AA803)-MONTH(IF('Deal maths'!Z803&gt;0,'Deal maths'!Z803,DATE(1990,1,1))))/D803))*D803),EDATE('Deal maths'!AA803,-(INT(((YEAR('Deal maths'!AA803)-YEAR(IF('Deal maths'!Z803&gt;0,'Deal maths'!Z803,DATE(1990,1,1))))*12+MONTH('Deal maths'!AA803)-MONTH(IF('Deal maths'!Z803&gt;0,'Deal maths'!Z803,DATE(1990,1,1))))/D803))*D803)),IF(DAY('Deal maths'!AA803+1)=1,EOMONTH('Deal maths'!AA803,-(INT(((YEAR('Deal maths'!AA803)-YEAR(IF('Deal maths'!Z803&gt;0,'Deal maths'!Z803,DATE(1990,1,1))))*12+MONTH('Deal maths'!AA803)-MONTH(IF('Deal maths'!Z803&gt;0,'Deal maths'!Z803,DATE(1990,1,1))))/D803)-1)*D803),EDATE('Deal maths'!AA803,-(INT(((YEAR('Deal maths'!AA803)-YEAR(IF('Deal maths'!Z803&gt;0,'Deal maths'!Z803,DATE(1990,1,1))))*12+MONTH('Deal maths'!AA803)-MONTH(IF('Deal maths'!Z803&gt;0,'Deal maths'!Z803,DATE(1990,1,1))))/D803)-1)*D803))))),0)</f>
        <v/>
      </c>
      <c r="F803" s="110">
        <f>IF(D803=0,0,'Deal maths'!AB803*D803/12)</f>
        <v/>
      </c>
      <c r="G803" s="108">
        <f>N803+O803</f>
        <v/>
      </c>
      <c r="H803" s="108">
        <f>IFERROR(IF(OR(D803=0,AsAt&lt;E803),0,MIN(N803,INT(((YEAR(AsAt)-YEAR(E803))*12+MONTH(AsAt)-MONTH(E803)-(DAY(AsAt)&lt;MIN(R803,DAY(EOMONTH(AsAt,0)))))/D803)+1)+O803*(AsAt&gt;='Deal maths'!AA803)),0)</f>
        <v/>
      </c>
      <c r="I803" s="108">
        <f>G803-H803</f>
        <v/>
      </c>
      <c r="J803" s="111">
        <f>IF(AND(C803="EIP",I803&gt;0),'Deal maths'!Y803/I803,0)</f>
        <v/>
      </c>
      <c r="K803" s="111">
        <f>IF(AND(C803="Annuity",I803&gt;0),IF(F803&gt;0,'Deal maths'!Y803*F803/(1-(1+F803)^-I803),'Deal maths'!Y803/I803),0)</f>
        <v/>
      </c>
      <c r="L803" s="111">
        <f>IF('Deal maths'!Y803="",0,'Deal maths'!Y803)</f>
        <v/>
      </c>
      <c r="M803" s="112">
        <f>F803+(F803=0)</f>
        <v/>
      </c>
      <c r="N803" s="108">
        <f>IFERROR(IF(D803=0,0,INT(((YEAR('Deal maths'!AA803)-YEAR(E803))*12+MONTH('Deal maths'!AA803)-MONTH(E803)-(DAY('Deal maths'!AA803)&lt;MIN(R803,DAY(EOMONTH('Deal maths'!AA803,0)))))/D803)+1),0)</f>
        <v/>
      </c>
      <c r="O803" s="108">
        <f>IFERROR(IF(D803=0,0,IF(IF(DAY(E803+1)=1,EOMONTH(E803,(N803-1)*D803),EDATE(E803,(N803-1)*D803))='Deal maths'!AA803,0,1)),0)</f>
        <v/>
      </c>
      <c r="P803" s="113">
        <f>IF(B803=0,0,IFERROR(IF(C803="EIP",((I803-O803)*((IF(DAY(E803+1)=1,EOMONTH(E803,H803*D803),EDATE(E803,H803*D803))-AsAt)/365.25+(IF(DAY(E803+1)=1,EOMONTH(E803,(N803-1)*D803),EDATE(E803,(N803-1)*D803))-AsAt)/365.25)/2+O803*('Deal maths'!AA803-AsAt)/365.25)/I803,IF(C803="Annuity",IF(F803&gt;0,((K803-L803*F803)*((IF(DAY(E803+1)=1,EOMONTH(E803,H803*D803),EDATE(E803,H803*D803))-AsAt)/365.25*((1+F803)^(I803-O803)-1)/F803+IF((I803-O803)&gt;1,((IF(DAY(E803+1)=1,EOMONTH(E803,(N803-1)*D803),EDATE(E803,(N803-1)*D803))-AsAt)/365.25-(IF(DAY(E803+1)=1,EOMONTH(E803,H803*D803),EDATE(E803,H803*D803))-AsAt)/365.25)/((I803-O803)-1),0)*(1+F803)*(1-(I803-O803)*(1+F803)^((I803-O803)-1)+((I803-O803)-1)*(1+F803)^(I803-O803))/F803^2)+O803*(K803-L803*F803)*(1+F803)^(I803-1)*('Deal maths'!AA803-AsAt)/365.25)/L803,((I803-O803)*((IF(DAY(E803+1)=1,EOMONTH(E803,H803*D803),EDATE(E803,H803*D803))-AsAt)/365.25+(IF(DAY(E803+1)=1,EOMONTH(E803,(N803-1)*D803),EDATE(E803,(N803-1)*D803))-AsAt)/365.25)/2+O803*('Deal maths'!AA803-AsAt)/365.25)/I803),(S803-AsAt)/365.25)),0))</f>
        <v/>
      </c>
      <c r="Q803" s="109">
        <f>IF(B803=1,'Deal maths'!AA803+ROW()/1000000,"")</f>
        <v/>
      </c>
      <c r="R803" s="108">
        <f>IF(D803=0,0,IF(DAY(E803+1)=1,31,DAY(E803)))</f>
        <v/>
      </c>
      <c r="S803" s="109">
        <f>IF(AND('Deal maths'!V803="LOBO",'Deal maths'!AG803&gt;AsAt,'Deal maths'!AG803&lt;'Deal maths'!AA803),'Deal maths'!AG803,'Deal maths'!AA803)</f>
        <v/>
      </c>
      <c r="T803" s="108">
        <f>('Deal maths'!AA803&gt;AsAt)*('Deal maths'!Y803&gt;0)</f>
        <v/>
      </c>
    </row>
    <row r="804">
      <c r="A804" s="91">
        <f>IF('Deal maths'!V804="","",'Deal maths'!W804)</f>
        <v/>
      </c>
      <c r="B804" s="108">
        <f>('Deal maths'!AA804&gt;AsAt)*('Deal maths'!Y804&gt;0)*('Deal maths'!Z804&lt;=AsAt)</f>
        <v/>
      </c>
      <c r="C804" s="91">
        <f>IF('Deal maths'!V804="","",IF('Deal maths'!AC804="","Maturity",'Deal maths'!AC804))</f>
        <v/>
      </c>
      <c r="D804" s="108">
        <f>IF(OR(C804="EIP",C804="Annuity"),IF('Deal maths'!AD804="Annual",12,IF('Deal maths'!AD804="Quarterly",3,6)),0)</f>
        <v/>
      </c>
      <c r="E804" s="109">
        <f>IFERROR(IF(D804=0,0,IF('Deal maths'!AE804&gt;0,IF('Deal maths'!AE804&gt;'Deal maths'!AA804,'Deal maths'!AA804,'Deal maths'!AE804),IF(IF(DAY('Deal maths'!AA804+1)=1,EOMONTH('Deal maths'!AA804,-(INT(((YEAR('Deal maths'!AA804)-YEAR(IF('Deal maths'!Z804&gt;0,'Deal maths'!Z804,DATE(1990,1,1))))*12+MONTH('Deal maths'!AA804)-MONTH(IF('Deal maths'!Z804&gt;0,'Deal maths'!Z804,DATE(1990,1,1))))/D804))*D804),EDATE('Deal maths'!AA804,-(INT(((YEAR('Deal maths'!AA804)-YEAR(IF('Deal maths'!Z804&gt;0,'Deal maths'!Z804,DATE(1990,1,1))))*12+MONTH('Deal maths'!AA804)-MONTH(IF('Deal maths'!Z804&gt;0,'Deal maths'!Z804,DATE(1990,1,1))))/D804))*D804))&gt;IF('Deal maths'!Z804&gt;0,'Deal maths'!Z804,DATE(1990,1,1)),IF(DAY('Deal maths'!AA804+1)=1,EOMONTH('Deal maths'!AA804,-(INT(((YEAR('Deal maths'!AA804)-YEAR(IF('Deal maths'!Z804&gt;0,'Deal maths'!Z804,DATE(1990,1,1))))*12+MONTH('Deal maths'!AA804)-MONTH(IF('Deal maths'!Z804&gt;0,'Deal maths'!Z804,DATE(1990,1,1))))/D804))*D804),EDATE('Deal maths'!AA804,-(INT(((YEAR('Deal maths'!AA804)-YEAR(IF('Deal maths'!Z804&gt;0,'Deal maths'!Z804,DATE(1990,1,1))))*12+MONTH('Deal maths'!AA804)-MONTH(IF('Deal maths'!Z804&gt;0,'Deal maths'!Z804,DATE(1990,1,1))))/D804))*D804)),IF(DAY('Deal maths'!AA804+1)=1,EOMONTH('Deal maths'!AA804,-(INT(((YEAR('Deal maths'!AA804)-YEAR(IF('Deal maths'!Z804&gt;0,'Deal maths'!Z804,DATE(1990,1,1))))*12+MONTH('Deal maths'!AA804)-MONTH(IF('Deal maths'!Z804&gt;0,'Deal maths'!Z804,DATE(1990,1,1))))/D804)-1)*D804),EDATE('Deal maths'!AA804,-(INT(((YEAR('Deal maths'!AA804)-YEAR(IF('Deal maths'!Z804&gt;0,'Deal maths'!Z804,DATE(1990,1,1))))*12+MONTH('Deal maths'!AA804)-MONTH(IF('Deal maths'!Z804&gt;0,'Deal maths'!Z804,DATE(1990,1,1))))/D804)-1)*D804))))),0)</f>
        <v/>
      </c>
      <c r="F804" s="110">
        <f>IF(D804=0,0,'Deal maths'!AB804*D804/12)</f>
        <v/>
      </c>
      <c r="G804" s="108">
        <f>N804+O804</f>
        <v/>
      </c>
      <c r="H804" s="108">
        <f>IFERROR(IF(OR(D804=0,AsAt&lt;E804),0,MIN(N804,INT(((YEAR(AsAt)-YEAR(E804))*12+MONTH(AsAt)-MONTH(E804)-(DAY(AsAt)&lt;MIN(R804,DAY(EOMONTH(AsAt,0)))))/D804)+1)+O804*(AsAt&gt;='Deal maths'!AA804)),0)</f>
        <v/>
      </c>
      <c r="I804" s="108">
        <f>G804-H804</f>
        <v/>
      </c>
      <c r="J804" s="111">
        <f>IF(AND(C804="EIP",I804&gt;0),'Deal maths'!Y804/I804,0)</f>
        <v/>
      </c>
      <c r="K804" s="111">
        <f>IF(AND(C804="Annuity",I804&gt;0),IF(F804&gt;0,'Deal maths'!Y804*F804/(1-(1+F804)^-I804),'Deal maths'!Y804/I804),0)</f>
        <v/>
      </c>
      <c r="L804" s="111">
        <f>IF('Deal maths'!Y804="",0,'Deal maths'!Y804)</f>
        <v/>
      </c>
      <c r="M804" s="112">
        <f>F804+(F804=0)</f>
        <v/>
      </c>
      <c r="N804" s="108">
        <f>IFERROR(IF(D804=0,0,INT(((YEAR('Deal maths'!AA804)-YEAR(E804))*12+MONTH('Deal maths'!AA804)-MONTH(E804)-(DAY('Deal maths'!AA804)&lt;MIN(R804,DAY(EOMONTH('Deal maths'!AA804,0)))))/D804)+1),0)</f>
        <v/>
      </c>
      <c r="O804" s="108">
        <f>IFERROR(IF(D804=0,0,IF(IF(DAY(E804+1)=1,EOMONTH(E804,(N804-1)*D804),EDATE(E804,(N804-1)*D804))='Deal maths'!AA804,0,1)),0)</f>
        <v/>
      </c>
      <c r="P804" s="113">
        <f>IF(B804=0,0,IFERROR(IF(C804="EIP",((I804-O804)*((IF(DAY(E804+1)=1,EOMONTH(E804,H804*D804),EDATE(E804,H804*D804))-AsAt)/365.25+(IF(DAY(E804+1)=1,EOMONTH(E804,(N804-1)*D804),EDATE(E804,(N804-1)*D804))-AsAt)/365.25)/2+O804*('Deal maths'!AA804-AsAt)/365.25)/I804,IF(C804="Annuity",IF(F804&gt;0,((K804-L804*F804)*((IF(DAY(E804+1)=1,EOMONTH(E804,H804*D804),EDATE(E804,H804*D804))-AsAt)/365.25*((1+F804)^(I804-O804)-1)/F804+IF((I804-O804)&gt;1,((IF(DAY(E804+1)=1,EOMONTH(E804,(N804-1)*D804),EDATE(E804,(N804-1)*D804))-AsAt)/365.25-(IF(DAY(E804+1)=1,EOMONTH(E804,H804*D804),EDATE(E804,H804*D804))-AsAt)/365.25)/((I804-O804)-1),0)*(1+F804)*(1-(I804-O804)*(1+F804)^((I804-O804)-1)+((I804-O804)-1)*(1+F804)^(I804-O804))/F804^2)+O804*(K804-L804*F804)*(1+F804)^(I804-1)*('Deal maths'!AA804-AsAt)/365.25)/L804,((I804-O804)*((IF(DAY(E804+1)=1,EOMONTH(E804,H804*D804),EDATE(E804,H804*D804))-AsAt)/365.25+(IF(DAY(E804+1)=1,EOMONTH(E804,(N804-1)*D804),EDATE(E804,(N804-1)*D804))-AsAt)/365.25)/2+O804*('Deal maths'!AA804-AsAt)/365.25)/I804),(S804-AsAt)/365.25)),0))</f>
        <v/>
      </c>
      <c r="Q804" s="109">
        <f>IF(B804=1,'Deal maths'!AA804+ROW()/1000000,"")</f>
        <v/>
      </c>
      <c r="R804" s="108">
        <f>IF(D804=0,0,IF(DAY(E804+1)=1,31,DAY(E804)))</f>
        <v/>
      </c>
      <c r="S804" s="109">
        <f>IF(AND('Deal maths'!V804="LOBO",'Deal maths'!AG804&gt;AsAt,'Deal maths'!AG804&lt;'Deal maths'!AA804),'Deal maths'!AG804,'Deal maths'!AA804)</f>
        <v/>
      </c>
      <c r="T804" s="108">
        <f>('Deal maths'!AA804&gt;AsAt)*('Deal maths'!Y804&gt;0)</f>
        <v/>
      </c>
    </row>
    <row r="805">
      <c r="A805" s="91">
        <f>IF('Deal maths'!V805="","",'Deal maths'!W805)</f>
        <v/>
      </c>
      <c r="B805" s="108">
        <f>('Deal maths'!AA805&gt;AsAt)*('Deal maths'!Y805&gt;0)*('Deal maths'!Z805&lt;=AsAt)</f>
        <v/>
      </c>
      <c r="C805" s="91">
        <f>IF('Deal maths'!V805="","",IF('Deal maths'!AC805="","Maturity",'Deal maths'!AC805))</f>
        <v/>
      </c>
      <c r="D805" s="108">
        <f>IF(OR(C805="EIP",C805="Annuity"),IF('Deal maths'!AD805="Annual",12,IF('Deal maths'!AD805="Quarterly",3,6)),0)</f>
        <v/>
      </c>
      <c r="E805" s="109">
        <f>IFERROR(IF(D805=0,0,IF('Deal maths'!AE805&gt;0,IF('Deal maths'!AE805&gt;'Deal maths'!AA805,'Deal maths'!AA805,'Deal maths'!AE805),IF(IF(DAY('Deal maths'!AA805+1)=1,EOMONTH('Deal maths'!AA805,-(INT(((YEAR('Deal maths'!AA805)-YEAR(IF('Deal maths'!Z805&gt;0,'Deal maths'!Z805,DATE(1990,1,1))))*12+MONTH('Deal maths'!AA805)-MONTH(IF('Deal maths'!Z805&gt;0,'Deal maths'!Z805,DATE(1990,1,1))))/D805))*D805),EDATE('Deal maths'!AA805,-(INT(((YEAR('Deal maths'!AA805)-YEAR(IF('Deal maths'!Z805&gt;0,'Deal maths'!Z805,DATE(1990,1,1))))*12+MONTH('Deal maths'!AA805)-MONTH(IF('Deal maths'!Z805&gt;0,'Deal maths'!Z805,DATE(1990,1,1))))/D805))*D805))&gt;IF('Deal maths'!Z805&gt;0,'Deal maths'!Z805,DATE(1990,1,1)),IF(DAY('Deal maths'!AA805+1)=1,EOMONTH('Deal maths'!AA805,-(INT(((YEAR('Deal maths'!AA805)-YEAR(IF('Deal maths'!Z805&gt;0,'Deal maths'!Z805,DATE(1990,1,1))))*12+MONTH('Deal maths'!AA805)-MONTH(IF('Deal maths'!Z805&gt;0,'Deal maths'!Z805,DATE(1990,1,1))))/D805))*D805),EDATE('Deal maths'!AA805,-(INT(((YEAR('Deal maths'!AA805)-YEAR(IF('Deal maths'!Z805&gt;0,'Deal maths'!Z805,DATE(1990,1,1))))*12+MONTH('Deal maths'!AA805)-MONTH(IF('Deal maths'!Z805&gt;0,'Deal maths'!Z805,DATE(1990,1,1))))/D805))*D805)),IF(DAY('Deal maths'!AA805+1)=1,EOMONTH('Deal maths'!AA805,-(INT(((YEAR('Deal maths'!AA805)-YEAR(IF('Deal maths'!Z805&gt;0,'Deal maths'!Z805,DATE(1990,1,1))))*12+MONTH('Deal maths'!AA805)-MONTH(IF('Deal maths'!Z805&gt;0,'Deal maths'!Z805,DATE(1990,1,1))))/D805)-1)*D805),EDATE('Deal maths'!AA805,-(INT(((YEAR('Deal maths'!AA805)-YEAR(IF('Deal maths'!Z805&gt;0,'Deal maths'!Z805,DATE(1990,1,1))))*12+MONTH('Deal maths'!AA805)-MONTH(IF('Deal maths'!Z805&gt;0,'Deal maths'!Z805,DATE(1990,1,1))))/D805)-1)*D805))))),0)</f>
        <v/>
      </c>
      <c r="F805" s="110">
        <f>IF(D805=0,0,'Deal maths'!AB805*D805/12)</f>
        <v/>
      </c>
      <c r="G805" s="108">
        <f>N805+O805</f>
        <v/>
      </c>
      <c r="H805" s="108">
        <f>IFERROR(IF(OR(D805=0,AsAt&lt;E805),0,MIN(N805,INT(((YEAR(AsAt)-YEAR(E805))*12+MONTH(AsAt)-MONTH(E805)-(DAY(AsAt)&lt;MIN(R805,DAY(EOMONTH(AsAt,0)))))/D805)+1)+O805*(AsAt&gt;='Deal maths'!AA805)),0)</f>
        <v/>
      </c>
      <c r="I805" s="108">
        <f>G805-H805</f>
        <v/>
      </c>
      <c r="J805" s="111">
        <f>IF(AND(C805="EIP",I805&gt;0),'Deal maths'!Y805/I805,0)</f>
        <v/>
      </c>
      <c r="K805" s="111">
        <f>IF(AND(C805="Annuity",I805&gt;0),IF(F805&gt;0,'Deal maths'!Y805*F805/(1-(1+F805)^-I805),'Deal maths'!Y805/I805),0)</f>
        <v/>
      </c>
      <c r="L805" s="111">
        <f>IF('Deal maths'!Y805="",0,'Deal maths'!Y805)</f>
        <v/>
      </c>
      <c r="M805" s="112">
        <f>F805+(F805=0)</f>
        <v/>
      </c>
      <c r="N805" s="108">
        <f>IFERROR(IF(D805=0,0,INT(((YEAR('Deal maths'!AA805)-YEAR(E805))*12+MONTH('Deal maths'!AA805)-MONTH(E805)-(DAY('Deal maths'!AA805)&lt;MIN(R805,DAY(EOMONTH('Deal maths'!AA805,0)))))/D805)+1),0)</f>
        <v/>
      </c>
      <c r="O805" s="108">
        <f>IFERROR(IF(D805=0,0,IF(IF(DAY(E805+1)=1,EOMONTH(E805,(N805-1)*D805),EDATE(E805,(N805-1)*D805))='Deal maths'!AA805,0,1)),0)</f>
        <v/>
      </c>
      <c r="P805" s="113">
        <f>IF(B805=0,0,IFERROR(IF(C805="EIP",((I805-O805)*((IF(DAY(E805+1)=1,EOMONTH(E805,H805*D805),EDATE(E805,H805*D805))-AsAt)/365.25+(IF(DAY(E805+1)=1,EOMONTH(E805,(N805-1)*D805),EDATE(E805,(N805-1)*D805))-AsAt)/365.25)/2+O805*('Deal maths'!AA805-AsAt)/365.25)/I805,IF(C805="Annuity",IF(F805&gt;0,((K805-L805*F805)*((IF(DAY(E805+1)=1,EOMONTH(E805,H805*D805),EDATE(E805,H805*D805))-AsAt)/365.25*((1+F805)^(I805-O805)-1)/F805+IF((I805-O805)&gt;1,((IF(DAY(E805+1)=1,EOMONTH(E805,(N805-1)*D805),EDATE(E805,(N805-1)*D805))-AsAt)/365.25-(IF(DAY(E805+1)=1,EOMONTH(E805,H805*D805),EDATE(E805,H805*D805))-AsAt)/365.25)/((I805-O805)-1),0)*(1+F805)*(1-(I805-O805)*(1+F805)^((I805-O805)-1)+((I805-O805)-1)*(1+F805)^(I805-O805))/F805^2)+O805*(K805-L805*F805)*(1+F805)^(I805-1)*('Deal maths'!AA805-AsAt)/365.25)/L805,((I805-O805)*((IF(DAY(E805+1)=1,EOMONTH(E805,H805*D805),EDATE(E805,H805*D805))-AsAt)/365.25+(IF(DAY(E805+1)=1,EOMONTH(E805,(N805-1)*D805),EDATE(E805,(N805-1)*D805))-AsAt)/365.25)/2+O805*('Deal maths'!AA805-AsAt)/365.25)/I805),(S805-AsAt)/365.25)),0))</f>
        <v/>
      </c>
      <c r="Q805" s="109">
        <f>IF(B805=1,'Deal maths'!AA805+ROW()/1000000,"")</f>
        <v/>
      </c>
      <c r="R805" s="108">
        <f>IF(D805=0,0,IF(DAY(E805+1)=1,31,DAY(E805)))</f>
        <v/>
      </c>
      <c r="S805" s="109">
        <f>IF(AND('Deal maths'!V805="LOBO",'Deal maths'!AG805&gt;AsAt,'Deal maths'!AG805&lt;'Deal maths'!AA805),'Deal maths'!AG805,'Deal maths'!AA805)</f>
        <v/>
      </c>
      <c r="T805" s="108">
        <f>('Deal maths'!AA805&gt;AsAt)*('Deal maths'!Y805&gt;0)</f>
        <v/>
      </c>
    </row>
    <row r="806">
      <c r="A806" s="91">
        <f>IF('Deal maths'!V806="","",'Deal maths'!W806)</f>
        <v/>
      </c>
      <c r="B806" s="108">
        <f>('Deal maths'!AA806&gt;AsAt)*('Deal maths'!Y806&gt;0)*('Deal maths'!Z806&lt;=AsAt)</f>
        <v/>
      </c>
      <c r="C806" s="91">
        <f>IF('Deal maths'!V806="","",IF('Deal maths'!AC806="","Maturity",'Deal maths'!AC806))</f>
        <v/>
      </c>
      <c r="D806" s="108">
        <f>IF(OR(C806="EIP",C806="Annuity"),IF('Deal maths'!AD806="Annual",12,IF('Deal maths'!AD806="Quarterly",3,6)),0)</f>
        <v/>
      </c>
      <c r="E806" s="109">
        <f>IFERROR(IF(D806=0,0,IF('Deal maths'!AE806&gt;0,IF('Deal maths'!AE806&gt;'Deal maths'!AA806,'Deal maths'!AA806,'Deal maths'!AE806),IF(IF(DAY('Deal maths'!AA806+1)=1,EOMONTH('Deal maths'!AA806,-(INT(((YEAR('Deal maths'!AA806)-YEAR(IF('Deal maths'!Z806&gt;0,'Deal maths'!Z806,DATE(1990,1,1))))*12+MONTH('Deal maths'!AA806)-MONTH(IF('Deal maths'!Z806&gt;0,'Deal maths'!Z806,DATE(1990,1,1))))/D806))*D806),EDATE('Deal maths'!AA806,-(INT(((YEAR('Deal maths'!AA806)-YEAR(IF('Deal maths'!Z806&gt;0,'Deal maths'!Z806,DATE(1990,1,1))))*12+MONTH('Deal maths'!AA806)-MONTH(IF('Deal maths'!Z806&gt;0,'Deal maths'!Z806,DATE(1990,1,1))))/D806))*D806))&gt;IF('Deal maths'!Z806&gt;0,'Deal maths'!Z806,DATE(1990,1,1)),IF(DAY('Deal maths'!AA806+1)=1,EOMONTH('Deal maths'!AA806,-(INT(((YEAR('Deal maths'!AA806)-YEAR(IF('Deal maths'!Z806&gt;0,'Deal maths'!Z806,DATE(1990,1,1))))*12+MONTH('Deal maths'!AA806)-MONTH(IF('Deal maths'!Z806&gt;0,'Deal maths'!Z806,DATE(1990,1,1))))/D806))*D806),EDATE('Deal maths'!AA806,-(INT(((YEAR('Deal maths'!AA806)-YEAR(IF('Deal maths'!Z806&gt;0,'Deal maths'!Z806,DATE(1990,1,1))))*12+MONTH('Deal maths'!AA806)-MONTH(IF('Deal maths'!Z806&gt;0,'Deal maths'!Z806,DATE(1990,1,1))))/D806))*D806)),IF(DAY('Deal maths'!AA806+1)=1,EOMONTH('Deal maths'!AA806,-(INT(((YEAR('Deal maths'!AA806)-YEAR(IF('Deal maths'!Z806&gt;0,'Deal maths'!Z806,DATE(1990,1,1))))*12+MONTH('Deal maths'!AA806)-MONTH(IF('Deal maths'!Z806&gt;0,'Deal maths'!Z806,DATE(1990,1,1))))/D806)-1)*D806),EDATE('Deal maths'!AA806,-(INT(((YEAR('Deal maths'!AA806)-YEAR(IF('Deal maths'!Z806&gt;0,'Deal maths'!Z806,DATE(1990,1,1))))*12+MONTH('Deal maths'!AA806)-MONTH(IF('Deal maths'!Z806&gt;0,'Deal maths'!Z806,DATE(1990,1,1))))/D806)-1)*D806))))),0)</f>
        <v/>
      </c>
      <c r="F806" s="110">
        <f>IF(D806=0,0,'Deal maths'!AB806*D806/12)</f>
        <v/>
      </c>
      <c r="G806" s="108">
        <f>N806+O806</f>
        <v/>
      </c>
      <c r="H806" s="108">
        <f>IFERROR(IF(OR(D806=0,AsAt&lt;E806),0,MIN(N806,INT(((YEAR(AsAt)-YEAR(E806))*12+MONTH(AsAt)-MONTH(E806)-(DAY(AsAt)&lt;MIN(R806,DAY(EOMONTH(AsAt,0)))))/D806)+1)+O806*(AsAt&gt;='Deal maths'!AA806)),0)</f>
        <v/>
      </c>
      <c r="I806" s="108">
        <f>G806-H806</f>
        <v/>
      </c>
      <c r="J806" s="111">
        <f>IF(AND(C806="EIP",I806&gt;0),'Deal maths'!Y806/I806,0)</f>
        <v/>
      </c>
      <c r="K806" s="111">
        <f>IF(AND(C806="Annuity",I806&gt;0),IF(F806&gt;0,'Deal maths'!Y806*F806/(1-(1+F806)^-I806),'Deal maths'!Y806/I806),0)</f>
        <v/>
      </c>
      <c r="L806" s="111">
        <f>IF('Deal maths'!Y806="",0,'Deal maths'!Y806)</f>
        <v/>
      </c>
      <c r="M806" s="112">
        <f>F806+(F806=0)</f>
        <v/>
      </c>
      <c r="N806" s="108">
        <f>IFERROR(IF(D806=0,0,INT(((YEAR('Deal maths'!AA806)-YEAR(E806))*12+MONTH('Deal maths'!AA806)-MONTH(E806)-(DAY('Deal maths'!AA806)&lt;MIN(R806,DAY(EOMONTH('Deal maths'!AA806,0)))))/D806)+1),0)</f>
        <v/>
      </c>
      <c r="O806" s="108">
        <f>IFERROR(IF(D806=0,0,IF(IF(DAY(E806+1)=1,EOMONTH(E806,(N806-1)*D806),EDATE(E806,(N806-1)*D806))='Deal maths'!AA806,0,1)),0)</f>
        <v/>
      </c>
      <c r="P806" s="113">
        <f>IF(B806=0,0,IFERROR(IF(C806="EIP",((I806-O806)*((IF(DAY(E806+1)=1,EOMONTH(E806,H806*D806),EDATE(E806,H806*D806))-AsAt)/365.25+(IF(DAY(E806+1)=1,EOMONTH(E806,(N806-1)*D806),EDATE(E806,(N806-1)*D806))-AsAt)/365.25)/2+O806*('Deal maths'!AA806-AsAt)/365.25)/I806,IF(C806="Annuity",IF(F806&gt;0,((K806-L806*F806)*((IF(DAY(E806+1)=1,EOMONTH(E806,H806*D806),EDATE(E806,H806*D806))-AsAt)/365.25*((1+F806)^(I806-O806)-1)/F806+IF((I806-O806)&gt;1,((IF(DAY(E806+1)=1,EOMONTH(E806,(N806-1)*D806),EDATE(E806,(N806-1)*D806))-AsAt)/365.25-(IF(DAY(E806+1)=1,EOMONTH(E806,H806*D806),EDATE(E806,H806*D806))-AsAt)/365.25)/((I806-O806)-1),0)*(1+F806)*(1-(I806-O806)*(1+F806)^((I806-O806)-1)+((I806-O806)-1)*(1+F806)^(I806-O806))/F806^2)+O806*(K806-L806*F806)*(1+F806)^(I806-1)*('Deal maths'!AA806-AsAt)/365.25)/L806,((I806-O806)*((IF(DAY(E806+1)=1,EOMONTH(E806,H806*D806),EDATE(E806,H806*D806))-AsAt)/365.25+(IF(DAY(E806+1)=1,EOMONTH(E806,(N806-1)*D806),EDATE(E806,(N806-1)*D806))-AsAt)/365.25)/2+O806*('Deal maths'!AA806-AsAt)/365.25)/I806),(S806-AsAt)/365.25)),0))</f>
        <v/>
      </c>
      <c r="Q806" s="109">
        <f>IF(B806=1,'Deal maths'!AA806+ROW()/1000000,"")</f>
        <v/>
      </c>
      <c r="R806" s="108">
        <f>IF(D806=0,0,IF(DAY(E806+1)=1,31,DAY(E806)))</f>
        <v/>
      </c>
      <c r="S806" s="109">
        <f>IF(AND('Deal maths'!V806="LOBO",'Deal maths'!AG806&gt;AsAt,'Deal maths'!AG806&lt;'Deal maths'!AA806),'Deal maths'!AG806,'Deal maths'!AA806)</f>
        <v/>
      </c>
      <c r="T806" s="108">
        <f>('Deal maths'!AA806&gt;AsAt)*('Deal maths'!Y806&gt;0)</f>
        <v/>
      </c>
    </row>
    <row r="807">
      <c r="A807" s="91">
        <f>IF('Deal maths'!V807="","",'Deal maths'!W807)</f>
        <v/>
      </c>
      <c r="B807" s="108">
        <f>('Deal maths'!AA807&gt;AsAt)*('Deal maths'!Y807&gt;0)*('Deal maths'!Z807&lt;=AsAt)</f>
        <v/>
      </c>
      <c r="C807" s="91">
        <f>IF('Deal maths'!V807="","",IF('Deal maths'!AC807="","Maturity",'Deal maths'!AC807))</f>
        <v/>
      </c>
      <c r="D807" s="108">
        <f>IF(OR(C807="EIP",C807="Annuity"),IF('Deal maths'!AD807="Annual",12,IF('Deal maths'!AD807="Quarterly",3,6)),0)</f>
        <v/>
      </c>
      <c r="E807" s="109">
        <f>IFERROR(IF(D807=0,0,IF('Deal maths'!AE807&gt;0,IF('Deal maths'!AE807&gt;'Deal maths'!AA807,'Deal maths'!AA807,'Deal maths'!AE807),IF(IF(DAY('Deal maths'!AA807+1)=1,EOMONTH('Deal maths'!AA807,-(INT(((YEAR('Deal maths'!AA807)-YEAR(IF('Deal maths'!Z807&gt;0,'Deal maths'!Z807,DATE(1990,1,1))))*12+MONTH('Deal maths'!AA807)-MONTH(IF('Deal maths'!Z807&gt;0,'Deal maths'!Z807,DATE(1990,1,1))))/D807))*D807),EDATE('Deal maths'!AA807,-(INT(((YEAR('Deal maths'!AA807)-YEAR(IF('Deal maths'!Z807&gt;0,'Deal maths'!Z807,DATE(1990,1,1))))*12+MONTH('Deal maths'!AA807)-MONTH(IF('Deal maths'!Z807&gt;0,'Deal maths'!Z807,DATE(1990,1,1))))/D807))*D807))&gt;IF('Deal maths'!Z807&gt;0,'Deal maths'!Z807,DATE(1990,1,1)),IF(DAY('Deal maths'!AA807+1)=1,EOMONTH('Deal maths'!AA807,-(INT(((YEAR('Deal maths'!AA807)-YEAR(IF('Deal maths'!Z807&gt;0,'Deal maths'!Z807,DATE(1990,1,1))))*12+MONTH('Deal maths'!AA807)-MONTH(IF('Deal maths'!Z807&gt;0,'Deal maths'!Z807,DATE(1990,1,1))))/D807))*D807),EDATE('Deal maths'!AA807,-(INT(((YEAR('Deal maths'!AA807)-YEAR(IF('Deal maths'!Z807&gt;0,'Deal maths'!Z807,DATE(1990,1,1))))*12+MONTH('Deal maths'!AA807)-MONTH(IF('Deal maths'!Z807&gt;0,'Deal maths'!Z807,DATE(1990,1,1))))/D807))*D807)),IF(DAY('Deal maths'!AA807+1)=1,EOMONTH('Deal maths'!AA807,-(INT(((YEAR('Deal maths'!AA807)-YEAR(IF('Deal maths'!Z807&gt;0,'Deal maths'!Z807,DATE(1990,1,1))))*12+MONTH('Deal maths'!AA807)-MONTH(IF('Deal maths'!Z807&gt;0,'Deal maths'!Z807,DATE(1990,1,1))))/D807)-1)*D807),EDATE('Deal maths'!AA807,-(INT(((YEAR('Deal maths'!AA807)-YEAR(IF('Deal maths'!Z807&gt;0,'Deal maths'!Z807,DATE(1990,1,1))))*12+MONTH('Deal maths'!AA807)-MONTH(IF('Deal maths'!Z807&gt;0,'Deal maths'!Z807,DATE(1990,1,1))))/D807)-1)*D807))))),0)</f>
        <v/>
      </c>
      <c r="F807" s="110">
        <f>IF(D807=0,0,'Deal maths'!AB807*D807/12)</f>
        <v/>
      </c>
      <c r="G807" s="108">
        <f>N807+O807</f>
        <v/>
      </c>
      <c r="H807" s="108">
        <f>IFERROR(IF(OR(D807=0,AsAt&lt;E807),0,MIN(N807,INT(((YEAR(AsAt)-YEAR(E807))*12+MONTH(AsAt)-MONTH(E807)-(DAY(AsAt)&lt;MIN(R807,DAY(EOMONTH(AsAt,0)))))/D807)+1)+O807*(AsAt&gt;='Deal maths'!AA807)),0)</f>
        <v/>
      </c>
      <c r="I807" s="108">
        <f>G807-H807</f>
        <v/>
      </c>
      <c r="J807" s="111">
        <f>IF(AND(C807="EIP",I807&gt;0),'Deal maths'!Y807/I807,0)</f>
        <v/>
      </c>
      <c r="K807" s="111">
        <f>IF(AND(C807="Annuity",I807&gt;0),IF(F807&gt;0,'Deal maths'!Y807*F807/(1-(1+F807)^-I807),'Deal maths'!Y807/I807),0)</f>
        <v/>
      </c>
      <c r="L807" s="111">
        <f>IF('Deal maths'!Y807="",0,'Deal maths'!Y807)</f>
        <v/>
      </c>
      <c r="M807" s="112">
        <f>F807+(F807=0)</f>
        <v/>
      </c>
      <c r="N807" s="108">
        <f>IFERROR(IF(D807=0,0,INT(((YEAR('Deal maths'!AA807)-YEAR(E807))*12+MONTH('Deal maths'!AA807)-MONTH(E807)-(DAY('Deal maths'!AA807)&lt;MIN(R807,DAY(EOMONTH('Deal maths'!AA807,0)))))/D807)+1),0)</f>
        <v/>
      </c>
      <c r="O807" s="108">
        <f>IFERROR(IF(D807=0,0,IF(IF(DAY(E807+1)=1,EOMONTH(E807,(N807-1)*D807),EDATE(E807,(N807-1)*D807))='Deal maths'!AA807,0,1)),0)</f>
        <v/>
      </c>
      <c r="P807" s="113">
        <f>IF(B807=0,0,IFERROR(IF(C807="EIP",((I807-O807)*((IF(DAY(E807+1)=1,EOMONTH(E807,H807*D807),EDATE(E807,H807*D807))-AsAt)/365.25+(IF(DAY(E807+1)=1,EOMONTH(E807,(N807-1)*D807),EDATE(E807,(N807-1)*D807))-AsAt)/365.25)/2+O807*('Deal maths'!AA807-AsAt)/365.25)/I807,IF(C807="Annuity",IF(F807&gt;0,((K807-L807*F807)*((IF(DAY(E807+1)=1,EOMONTH(E807,H807*D807),EDATE(E807,H807*D807))-AsAt)/365.25*((1+F807)^(I807-O807)-1)/F807+IF((I807-O807)&gt;1,((IF(DAY(E807+1)=1,EOMONTH(E807,(N807-1)*D807),EDATE(E807,(N807-1)*D807))-AsAt)/365.25-(IF(DAY(E807+1)=1,EOMONTH(E807,H807*D807),EDATE(E807,H807*D807))-AsAt)/365.25)/((I807-O807)-1),0)*(1+F807)*(1-(I807-O807)*(1+F807)^((I807-O807)-1)+((I807-O807)-1)*(1+F807)^(I807-O807))/F807^2)+O807*(K807-L807*F807)*(1+F807)^(I807-1)*('Deal maths'!AA807-AsAt)/365.25)/L807,((I807-O807)*((IF(DAY(E807+1)=1,EOMONTH(E807,H807*D807),EDATE(E807,H807*D807))-AsAt)/365.25+(IF(DAY(E807+1)=1,EOMONTH(E807,(N807-1)*D807),EDATE(E807,(N807-1)*D807))-AsAt)/365.25)/2+O807*('Deal maths'!AA807-AsAt)/365.25)/I807),(S807-AsAt)/365.25)),0))</f>
        <v/>
      </c>
      <c r="Q807" s="109">
        <f>IF(B807=1,'Deal maths'!AA807+ROW()/1000000,"")</f>
        <v/>
      </c>
      <c r="R807" s="108">
        <f>IF(D807=0,0,IF(DAY(E807+1)=1,31,DAY(E807)))</f>
        <v/>
      </c>
      <c r="S807" s="109">
        <f>IF(AND('Deal maths'!V807="LOBO",'Deal maths'!AG807&gt;AsAt,'Deal maths'!AG807&lt;'Deal maths'!AA807),'Deal maths'!AG807,'Deal maths'!AA807)</f>
        <v/>
      </c>
      <c r="T807" s="108">
        <f>('Deal maths'!AA807&gt;AsAt)*('Deal maths'!Y807&gt;0)</f>
        <v/>
      </c>
    </row>
    <row r="808">
      <c r="A808" s="91">
        <f>IF('Deal maths'!V808="","",'Deal maths'!W808)</f>
        <v/>
      </c>
      <c r="B808" s="108">
        <f>('Deal maths'!AA808&gt;AsAt)*('Deal maths'!Y808&gt;0)*('Deal maths'!Z808&lt;=AsAt)</f>
        <v/>
      </c>
      <c r="C808" s="91">
        <f>IF('Deal maths'!V808="","",IF('Deal maths'!AC808="","Maturity",'Deal maths'!AC808))</f>
        <v/>
      </c>
      <c r="D808" s="108">
        <f>IF(OR(C808="EIP",C808="Annuity"),IF('Deal maths'!AD808="Annual",12,IF('Deal maths'!AD808="Quarterly",3,6)),0)</f>
        <v/>
      </c>
      <c r="E808" s="109">
        <f>IFERROR(IF(D808=0,0,IF('Deal maths'!AE808&gt;0,IF('Deal maths'!AE808&gt;'Deal maths'!AA808,'Deal maths'!AA808,'Deal maths'!AE808),IF(IF(DAY('Deal maths'!AA808+1)=1,EOMONTH('Deal maths'!AA808,-(INT(((YEAR('Deal maths'!AA808)-YEAR(IF('Deal maths'!Z808&gt;0,'Deal maths'!Z808,DATE(1990,1,1))))*12+MONTH('Deal maths'!AA808)-MONTH(IF('Deal maths'!Z808&gt;0,'Deal maths'!Z808,DATE(1990,1,1))))/D808))*D808),EDATE('Deal maths'!AA808,-(INT(((YEAR('Deal maths'!AA808)-YEAR(IF('Deal maths'!Z808&gt;0,'Deal maths'!Z808,DATE(1990,1,1))))*12+MONTH('Deal maths'!AA808)-MONTH(IF('Deal maths'!Z808&gt;0,'Deal maths'!Z808,DATE(1990,1,1))))/D808))*D808))&gt;IF('Deal maths'!Z808&gt;0,'Deal maths'!Z808,DATE(1990,1,1)),IF(DAY('Deal maths'!AA808+1)=1,EOMONTH('Deal maths'!AA808,-(INT(((YEAR('Deal maths'!AA808)-YEAR(IF('Deal maths'!Z808&gt;0,'Deal maths'!Z808,DATE(1990,1,1))))*12+MONTH('Deal maths'!AA808)-MONTH(IF('Deal maths'!Z808&gt;0,'Deal maths'!Z808,DATE(1990,1,1))))/D808))*D808),EDATE('Deal maths'!AA808,-(INT(((YEAR('Deal maths'!AA808)-YEAR(IF('Deal maths'!Z808&gt;0,'Deal maths'!Z808,DATE(1990,1,1))))*12+MONTH('Deal maths'!AA808)-MONTH(IF('Deal maths'!Z808&gt;0,'Deal maths'!Z808,DATE(1990,1,1))))/D808))*D808)),IF(DAY('Deal maths'!AA808+1)=1,EOMONTH('Deal maths'!AA808,-(INT(((YEAR('Deal maths'!AA808)-YEAR(IF('Deal maths'!Z808&gt;0,'Deal maths'!Z808,DATE(1990,1,1))))*12+MONTH('Deal maths'!AA808)-MONTH(IF('Deal maths'!Z808&gt;0,'Deal maths'!Z808,DATE(1990,1,1))))/D808)-1)*D808),EDATE('Deal maths'!AA808,-(INT(((YEAR('Deal maths'!AA808)-YEAR(IF('Deal maths'!Z808&gt;0,'Deal maths'!Z808,DATE(1990,1,1))))*12+MONTH('Deal maths'!AA808)-MONTH(IF('Deal maths'!Z808&gt;0,'Deal maths'!Z808,DATE(1990,1,1))))/D808)-1)*D808))))),0)</f>
        <v/>
      </c>
      <c r="F808" s="110">
        <f>IF(D808=0,0,'Deal maths'!AB808*D808/12)</f>
        <v/>
      </c>
      <c r="G808" s="108">
        <f>N808+O808</f>
        <v/>
      </c>
      <c r="H808" s="108">
        <f>IFERROR(IF(OR(D808=0,AsAt&lt;E808),0,MIN(N808,INT(((YEAR(AsAt)-YEAR(E808))*12+MONTH(AsAt)-MONTH(E808)-(DAY(AsAt)&lt;MIN(R808,DAY(EOMONTH(AsAt,0)))))/D808)+1)+O808*(AsAt&gt;='Deal maths'!AA808)),0)</f>
        <v/>
      </c>
      <c r="I808" s="108">
        <f>G808-H808</f>
        <v/>
      </c>
      <c r="J808" s="111">
        <f>IF(AND(C808="EIP",I808&gt;0),'Deal maths'!Y808/I808,0)</f>
        <v/>
      </c>
      <c r="K808" s="111">
        <f>IF(AND(C808="Annuity",I808&gt;0),IF(F808&gt;0,'Deal maths'!Y808*F808/(1-(1+F808)^-I808),'Deal maths'!Y808/I808),0)</f>
        <v/>
      </c>
      <c r="L808" s="111">
        <f>IF('Deal maths'!Y808="",0,'Deal maths'!Y808)</f>
        <v/>
      </c>
      <c r="M808" s="112">
        <f>F808+(F808=0)</f>
        <v/>
      </c>
      <c r="N808" s="108">
        <f>IFERROR(IF(D808=0,0,INT(((YEAR('Deal maths'!AA808)-YEAR(E808))*12+MONTH('Deal maths'!AA808)-MONTH(E808)-(DAY('Deal maths'!AA808)&lt;MIN(R808,DAY(EOMONTH('Deal maths'!AA808,0)))))/D808)+1),0)</f>
        <v/>
      </c>
      <c r="O808" s="108">
        <f>IFERROR(IF(D808=0,0,IF(IF(DAY(E808+1)=1,EOMONTH(E808,(N808-1)*D808),EDATE(E808,(N808-1)*D808))='Deal maths'!AA808,0,1)),0)</f>
        <v/>
      </c>
      <c r="P808" s="113">
        <f>IF(B808=0,0,IFERROR(IF(C808="EIP",((I808-O808)*((IF(DAY(E808+1)=1,EOMONTH(E808,H808*D808),EDATE(E808,H808*D808))-AsAt)/365.25+(IF(DAY(E808+1)=1,EOMONTH(E808,(N808-1)*D808),EDATE(E808,(N808-1)*D808))-AsAt)/365.25)/2+O808*('Deal maths'!AA808-AsAt)/365.25)/I808,IF(C808="Annuity",IF(F808&gt;0,((K808-L808*F808)*((IF(DAY(E808+1)=1,EOMONTH(E808,H808*D808),EDATE(E808,H808*D808))-AsAt)/365.25*((1+F808)^(I808-O808)-1)/F808+IF((I808-O808)&gt;1,((IF(DAY(E808+1)=1,EOMONTH(E808,(N808-1)*D808),EDATE(E808,(N808-1)*D808))-AsAt)/365.25-(IF(DAY(E808+1)=1,EOMONTH(E808,H808*D808),EDATE(E808,H808*D808))-AsAt)/365.25)/((I808-O808)-1),0)*(1+F808)*(1-(I808-O808)*(1+F808)^((I808-O808)-1)+((I808-O808)-1)*(1+F808)^(I808-O808))/F808^2)+O808*(K808-L808*F808)*(1+F808)^(I808-1)*('Deal maths'!AA808-AsAt)/365.25)/L808,((I808-O808)*((IF(DAY(E808+1)=1,EOMONTH(E808,H808*D808),EDATE(E808,H808*D808))-AsAt)/365.25+(IF(DAY(E808+1)=1,EOMONTH(E808,(N808-1)*D808),EDATE(E808,(N808-1)*D808))-AsAt)/365.25)/2+O808*('Deal maths'!AA808-AsAt)/365.25)/I808),(S808-AsAt)/365.25)),0))</f>
        <v/>
      </c>
      <c r="Q808" s="109">
        <f>IF(B808=1,'Deal maths'!AA808+ROW()/1000000,"")</f>
        <v/>
      </c>
      <c r="R808" s="108">
        <f>IF(D808=0,0,IF(DAY(E808+1)=1,31,DAY(E808)))</f>
        <v/>
      </c>
      <c r="S808" s="109">
        <f>IF(AND('Deal maths'!V808="LOBO",'Deal maths'!AG808&gt;AsAt,'Deal maths'!AG808&lt;'Deal maths'!AA808),'Deal maths'!AG808,'Deal maths'!AA808)</f>
        <v/>
      </c>
      <c r="T808" s="108">
        <f>('Deal maths'!AA808&gt;AsAt)*('Deal maths'!Y808&gt;0)</f>
        <v/>
      </c>
    </row>
    <row r="809">
      <c r="A809" s="91">
        <f>IF('Deal maths'!V809="","",'Deal maths'!W809)</f>
        <v/>
      </c>
      <c r="B809" s="108">
        <f>('Deal maths'!AA809&gt;AsAt)*('Deal maths'!Y809&gt;0)*('Deal maths'!Z809&lt;=AsAt)</f>
        <v/>
      </c>
      <c r="C809" s="91">
        <f>IF('Deal maths'!V809="","",IF('Deal maths'!AC809="","Maturity",'Deal maths'!AC809))</f>
        <v/>
      </c>
      <c r="D809" s="108">
        <f>IF(OR(C809="EIP",C809="Annuity"),IF('Deal maths'!AD809="Annual",12,IF('Deal maths'!AD809="Quarterly",3,6)),0)</f>
        <v/>
      </c>
      <c r="E809" s="109">
        <f>IFERROR(IF(D809=0,0,IF('Deal maths'!AE809&gt;0,IF('Deal maths'!AE809&gt;'Deal maths'!AA809,'Deal maths'!AA809,'Deal maths'!AE809),IF(IF(DAY('Deal maths'!AA809+1)=1,EOMONTH('Deal maths'!AA809,-(INT(((YEAR('Deal maths'!AA809)-YEAR(IF('Deal maths'!Z809&gt;0,'Deal maths'!Z809,DATE(1990,1,1))))*12+MONTH('Deal maths'!AA809)-MONTH(IF('Deal maths'!Z809&gt;0,'Deal maths'!Z809,DATE(1990,1,1))))/D809))*D809),EDATE('Deal maths'!AA809,-(INT(((YEAR('Deal maths'!AA809)-YEAR(IF('Deal maths'!Z809&gt;0,'Deal maths'!Z809,DATE(1990,1,1))))*12+MONTH('Deal maths'!AA809)-MONTH(IF('Deal maths'!Z809&gt;0,'Deal maths'!Z809,DATE(1990,1,1))))/D809))*D809))&gt;IF('Deal maths'!Z809&gt;0,'Deal maths'!Z809,DATE(1990,1,1)),IF(DAY('Deal maths'!AA809+1)=1,EOMONTH('Deal maths'!AA809,-(INT(((YEAR('Deal maths'!AA809)-YEAR(IF('Deal maths'!Z809&gt;0,'Deal maths'!Z809,DATE(1990,1,1))))*12+MONTH('Deal maths'!AA809)-MONTH(IF('Deal maths'!Z809&gt;0,'Deal maths'!Z809,DATE(1990,1,1))))/D809))*D809),EDATE('Deal maths'!AA809,-(INT(((YEAR('Deal maths'!AA809)-YEAR(IF('Deal maths'!Z809&gt;0,'Deal maths'!Z809,DATE(1990,1,1))))*12+MONTH('Deal maths'!AA809)-MONTH(IF('Deal maths'!Z809&gt;0,'Deal maths'!Z809,DATE(1990,1,1))))/D809))*D809)),IF(DAY('Deal maths'!AA809+1)=1,EOMONTH('Deal maths'!AA809,-(INT(((YEAR('Deal maths'!AA809)-YEAR(IF('Deal maths'!Z809&gt;0,'Deal maths'!Z809,DATE(1990,1,1))))*12+MONTH('Deal maths'!AA809)-MONTH(IF('Deal maths'!Z809&gt;0,'Deal maths'!Z809,DATE(1990,1,1))))/D809)-1)*D809),EDATE('Deal maths'!AA809,-(INT(((YEAR('Deal maths'!AA809)-YEAR(IF('Deal maths'!Z809&gt;0,'Deal maths'!Z809,DATE(1990,1,1))))*12+MONTH('Deal maths'!AA809)-MONTH(IF('Deal maths'!Z809&gt;0,'Deal maths'!Z809,DATE(1990,1,1))))/D809)-1)*D809))))),0)</f>
        <v/>
      </c>
      <c r="F809" s="110">
        <f>IF(D809=0,0,'Deal maths'!AB809*D809/12)</f>
        <v/>
      </c>
      <c r="G809" s="108">
        <f>N809+O809</f>
        <v/>
      </c>
      <c r="H809" s="108">
        <f>IFERROR(IF(OR(D809=0,AsAt&lt;E809),0,MIN(N809,INT(((YEAR(AsAt)-YEAR(E809))*12+MONTH(AsAt)-MONTH(E809)-(DAY(AsAt)&lt;MIN(R809,DAY(EOMONTH(AsAt,0)))))/D809)+1)+O809*(AsAt&gt;='Deal maths'!AA809)),0)</f>
        <v/>
      </c>
      <c r="I809" s="108">
        <f>G809-H809</f>
        <v/>
      </c>
      <c r="J809" s="111">
        <f>IF(AND(C809="EIP",I809&gt;0),'Deal maths'!Y809/I809,0)</f>
        <v/>
      </c>
      <c r="K809" s="111">
        <f>IF(AND(C809="Annuity",I809&gt;0),IF(F809&gt;0,'Deal maths'!Y809*F809/(1-(1+F809)^-I809),'Deal maths'!Y809/I809),0)</f>
        <v/>
      </c>
      <c r="L809" s="111">
        <f>IF('Deal maths'!Y809="",0,'Deal maths'!Y809)</f>
        <v/>
      </c>
      <c r="M809" s="112">
        <f>F809+(F809=0)</f>
        <v/>
      </c>
      <c r="N809" s="108">
        <f>IFERROR(IF(D809=0,0,INT(((YEAR('Deal maths'!AA809)-YEAR(E809))*12+MONTH('Deal maths'!AA809)-MONTH(E809)-(DAY('Deal maths'!AA809)&lt;MIN(R809,DAY(EOMONTH('Deal maths'!AA809,0)))))/D809)+1),0)</f>
        <v/>
      </c>
      <c r="O809" s="108">
        <f>IFERROR(IF(D809=0,0,IF(IF(DAY(E809+1)=1,EOMONTH(E809,(N809-1)*D809),EDATE(E809,(N809-1)*D809))='Deal maths'!AA809,0,1)),0)</f>
        <v/>
      </c>
      <c r="P809" s="113">
        <f>IF(B809=0,0,IFERROR(IF(C809="EIP",((I809-O809)*((IF(DAY(E809+1)=1,EOMONTH(E809,H809*D809),EDATE(E809,H809*D809))-AsAt)/365.25+(IF(DAY(E809+1)=1,EOMONTH(E809,(N809-1)*D809),EDATE(E809,(N809-1)*D809))-AsAt)/365.25)/2+O809*('Deal maths'!AA809-AsAt)/365.25)/I809,IF(C809="Annuity",IF(F809&gt;0,((K809-L809*F809)*((IF(DAY(E809+1)=1,EOMONTH(E809,H809*D809),EDATE(E809,H809*D809))-AsAt)/365.25*((1+F809)^(I809-O809)-1)/F809+IF((I809-O809)&gt;1,((IF(DAY(E809+1)=1,EOMONTH(E809,(N809-1)*D809),EDATE(E809,(N809-1)*D809))-AsAt)/365.25-(IF(DAY(E809+1)=1,EOMONTH(E809,H809*D809),EDATE(E809,H809*D809))-AsAt)/365.25)/((I809-O809)-1),0)*(1+F809)*(1-(I809-O809)*(1+F809)^((I809-O809)-1)+((I809-O809)-1)*(1+F809)^(I809-O809))/F809^2)+O809*(K809-L809*F809)*(1+F809)^(I809-1)*('Deal maths'!AA809-AsAt)/365.25)/L809,((I809-O809)*((IF(DAY(E809+1)=1,EOMONTH(E809,H809*D809),EDATE(E809,H809*D809))-AsAt)/365.25+(IF(DAY(E809+1)=1,EOMONTH(E809,(N809-1)*D809),EDATE(E809,(N809-1)*D809))-AsAt)/365.25)/2+O809*('Deal maths'!AA809-AsAt)/365.25)/I809),(S809-AsAt)/365.25)),0))</f>
        <v/>
      </c>
      <c r="Q809" s="109">
        <f>IF(B809=1,'Deal maths'!AA809+ROW()/1000000,"")</f>
        <v/>
      </c>
      <c r="R809" s="108">
        <f>IF(D809=0,0,IF(DAY(E809+1)=1,31,DAY(E809)))</f>
        <v/>
      </c>
      <c r="S809" s="109">
        <f>IF(AND('Deal maths'!V809="LOBO",'Deal maths'!AG809&gt;AsAt,'Deal maths'!AG809&lt;'Deal maths'!AA809),'Deal maths'!AG809,'Deal maths'!AA809)</f>
        <v/>
      </c>
      <c r="T809" s="108">
        <f>('Deal maths'!AA809&gt;AsAt)*('Deal maths'!Y809&gt;0)</f>
        <v/>
      </c>
    </row>
    <row r="810">
      <c r="A810" s="91">
        <f>IF('Deal maths'!V810="","",'Deal maths'!W810)</f>
        <v/>
      </c>
      <c r="B810" s="108">
        <f>('Deal maths'!AA810&gt;AsAt)*('Deal maths'!Y810&gt;0)*('Deal maths'!Z810&lt;=AsAt)</f>
        <v/>
      </c>
      <c r="C810" s="91">
        <f>IF('Deal maths'!V810="","",IF('Deal maths'!AC810="","Maturity",'Deal maths'!AC810))</f>
        <v/>
      </c>
      <c r="D810" s="108">
        <f>IF(OR(C810="EIP",C810="Annuity"),IF('Deal maths'!AD810="Annual",12,IF('Deal maths'!AD810="Quarterly",3,6)),0)</f>
        <v/>
      </c>
      <c r="E810" s="109">
        <f>IFERROR(IF(D810=0,0,IF('Deal maths'!AE810&gt;0,IF('Deal maths'!AE810&gt;'Deal maths'!AA810,'Deal maths'!AA810,'Deal maths'!AE810),IF(IF(DAY('Deal maths'!AA810+1)=1,EOMONTH('Deal maths'!AA810,-(INT(((YEAR('Deal maths'!AA810)-YEAR(IF('Deal maths'!Z810&gt;0,'Deal maths'!Z810,DATE(1990,1,1))))*12+MONTH('Deal maths'!AA810)-MONTH(IF('Deal maths'!Z810&gt;0,'Deal maths'!Z810,DATE(1990,1,1))))/D810))*D810),EDATE('Deal maths'!AA810,-(INT(((YEAR('Deal maths'!AA810)-YEAR(IF('Deal maths'!Z810&gt;0,'Deal maths'!Z810,DATE(1990,1,1))))*12+MONTH('Deal maths'!AA810)-MONTH(IF('Deal maths'!Z810&gt;0,'Deal maths'!Z810,DATE(1990,1,1))))/D810))*D810))&gt;IF('Deal maths'!Z810&gt;0,'Deal maths'!Z810,DATE(1990,1,1)),IF(DAY('Deal maths'!AA810+1)=1,EOMONTH('Deal maths'!AA810,-(INT(((YEAR('Deal maths'!AA810)-YEAR(IF('Deal maths'!Z810&gt;0,'Deal maths'!Z810,DATE(1990,1,1))))*12+MONTH('Deal maths'!AA810)-MONTH(IF('Deal maths'!Z810&gt;0,'Deal maths'!Z810,DATE(1990,1,1))))/D810))*D810),EDATE('Deal maths'!AA810,-(INT(((YEAR('Deal maths'!AA810)-YEAR(IF('Deal maths'!Z810&gt;0,'Deal maths'!Z810,DATE(1990,1,1))))*12+MONTH('Deal maths'!AA810)-MONTH(IF('Deal maths'!Z810&gt;0,'Deal maths'!Z810,DATE(1990,1,1))))/D810))*D810)),IF(DAY('Deal maths'!AA810+1)=1,EOMONTH('Deal maths'!AA810,-(INT(((YEAR('Deal maths'!AA810)-YEAR(IF('Deal maths'!Z810&gt;0,'Deal maths'!Z810,DATE(1990,1,1))))*12+MONTH('Deal maths'!AA810)-MONTH(IF('Deal maths'!Z810&gt;0,'Deal maths'!Z810,DATE(1990,1,1))))/D810)-1)*D810),EDATE('Deal maths'!AA810,-(INT(((YEAR('Deal maths'!AA810)-YEAR(IF('Deal maths'!Z810&gt;0,'Deal maths'!Z810,DATE(1990,1,1))))*12+MONTH('Deal maths'!AA810)-MONTH(IF('Deal maths'!Z810&gt;0,'Deal maths'!Z810,DATE(1990,1,1))))/D810)-1)*D810))))),0)</f>
        <v/>
      </c>
      <c r="F810" s="110">
        <f>IF(D810=0,0,'Deal maths'!AB810*D810/12)</f>
        <v/>
      </c>
      <c r="G810" s="108">
        <f>N810+O810</f>
        <v/>
      </c>
      <c r="H810" s="108">
        <f>IFERROR(IF(OR(D810=0,AsAt&lt;E810),0,MIN(N810,INT(((YEAR(AsAt)-YEAR(E810))*12+MONTH(AsAt)-MONTH(E810)-(DAY(AsAt)&lt;MIN(R810,DAY(EOMONTH(AsAt,0)))))/D810)+1)+O810*(AsAt&gt;='Deal maths'!AA810)),0)</f>
        <v/>
      </c>
      <c r="I810" s="108">
        <f>G810-H810</f>
        <v/>
      </c>
      <c r="J810" s="111">
        <f>IF(AND(C810="EIP",I810&gt;0),'Deal maths'!Y810/I810,0)</f>
        <v/>
      </c>
      <c r="K810" s="111">
        <f>IF(AND(C810="Annuity",I810&gt;0),IF(F810&gt;0,'Deal maths'!Y810*F810/(1-(1+F810)^-I810),'Deal maths'!Y810/I810),0)</f>
        <v/>
      </c>
      <c r="L810" s="111">
        <f>IF('Deal maths'!Y810="",0,'Deal maths'!Y810)</f>
        <v/>
      </c>
      <c r="M810" s="112">
        <f>F810+(F810=0)</f>
        <v/>
      </c>
      <c r="N810" s="108">
        <f>IFERROR(IF(D810=0,0,INT(((YEAR('Deal maths'!AA810)-YEAR(E810))*12+MONTH('Deal maths'!AA810)-MONTH(E810)-(DAY('Deal maths'!AA810)&lt;MIN(R810,DAY(EOMONTH('Deal maths'!AA810,0)))))/D810)+1),0)</f>
        <v/>
      </c>
      <c r="O810" s="108">
        <f>IFERROR(IF(D810=0,0,IF(IF(DAY(E810+1)=1,EOMONTH(E810,(N810-1)*D810),EDATE(E810,(N810-1)*D810))='Deal maths'!AA810,0,1)),0)</f>
        <v/>
      </c>
      <c r="P810" s="113">
        <f>IF(B810=0,0,IFERROR(IF(C810="EIP",((I810-O810)*((IF(DAY(E810+1)=1,EOMONTH(E810,H810*D810),EDATE(E810,H810*D810))-AsAt)/365.25+(IF(DAY(E810+1)=1,EOMONTH(E810,(N810-1)*D810),EDATE(E810,(N810-1)*D810))-AsAt)/365.25)/2+O810*('Deal maths'!AA810-AsAt)/365.25)/I810,IF(C810="Annuity",IF(F810&gt;0,((K810-L810*F810)*((IF(DAY(E810+1)=1,EOMONTH(E810,H810*D810),EDATE(E810,H810*D810))-AsAt)/365.25*((1+F810)^(I810-O810)-1)/F810+IF((I810-O810)&gt;1,((IF(DAY(E810+1)=1,EOMONTH(E810,(N810-1)*D810),EDATE(E810,(N810-1)*D810))-AsAt)/365.25-(IF(DAY(E810+1)=1,EOMONTH(E810,H810*D810),EDATE(E810,H810*D810))-AsAt)/365.25)/((I810-O810)-1),0)*(1+F810)*(1-(I810-O810)*(1+F810)^((I810-O810)-1)+((I810-O810)-1)*(1+F810)^(I810-O810))/F810^2)+O810*(K810-L810*F810)*(1+F810)^(I810-1)*('Deal maths'!AA810-AsAt)/365.25)/L810,((I810-O810)*((IF(DAY(E810+1)=1,EOMONTH(E810,H810*D810),EDATE(E810,H810*D810))-AsAt)/365.25+(IF(DAY(E810+1)=1,EOMONTH(E810,(N810-1)*D810),EDATE(E810,(N810-1)*D810))-AsAt)/365.25)/2+O810*('Deal maths'!AA810-AsAt)/365.25)/I810),(S810-AsAt)/365.25)),0))</f>
        <v/>
      </c>
      <c r="Q810" s="109">
        <f>IF(B810=1,'Deal maths'!AA810+ROW()/1000000,"")</f>
        <v/>
      </c>
      <c r="R810" s="108">
        <f>IF(D810=0,0,IF(DAY(E810+1)=1,31,DAY(E810)))</f>
        <v/>
      </c>
      <c r="S810" s="109">
        <f>IF(AND('Deal maths'!V810="LOBO",'Deal maths'!AG810&gt;AsAt,'Deal maths'!AG810&lt;'Deal maths'!AA810),'Deal maths'!AG810,'Deal maths'!AA810)</f>
        <v/>
      </c>
      <c r="T810" s="108">
        <f>('Deal maths'!AA810&gt;AsAt)*('Deal maths'!Y810&gt;0)</f>
        <v/>
      </c>
    </row>
    <row r="811">
      <c r="A811" s="91">
        <f>IF('Deal maths'!V811="","",'Deal maths'!W811)</f>
        <v/>
      </c>
      <c r="B811" s="108">
        <f>('Deal maths'!AA811&gt;AsAt)*('Deal maths'!Y811&gt;0)*('Deal maths'!Z811&lt;=AsAt)</f>
        <v/>
      </c>
      <c r="C811" s="91">
        <f>IF('Deal maths'!V811="","",IF('Deal maths'!AC811="","Maturity",'Deal maths'!AC811))</f>
        <v/>
      </c>
      <c r="D811" s="108">
        <f>IF(OR(C811="EIP",C811="Annuity"),IF('Deal maths'!AD811="Annual",12,IF('Deal maths'!AD811="Quarterly",3,6)),0)</f>
        <v/>
      </c>
      <c r="E811" s="109">
        <f>IFERROR(IF(D811=0,0,IF('Deal maths'!AE811&gt;0,IF('Deal maths'!AE811&gt;'Deal maths'!AA811,'Deal maths'!AA811,'Deal maths'!AE811),IF(IF(DAY('Deal maths'!AA811+1)=1,EOMONTH('Deal maths'!AA811,-(INT(((YEAR('Deal maths'!AA811)-YEAR(IF('Deal maths'!Z811&gt;0,'Deal maths'!Z811,DATE(1990,1,1))))*12+MONTH('Deal maths'!AA811)-MONTH(IF('Deal maths'!Z811&gt;0,'Deal maths'!Z811,DATE(1990,1,1))))/D811))*D811),EDATE('Deal maths'!AA811,-(INT(((YEAR('Deal maths'!AA811)-YEAR(IF('Deal maths'!Z811&gt;0,'Deal maths'!Z811,DATE(1990,1,1))))*12+MONTH('Deal maths'!AA811)-MONTH(IF('Deal maths'!Z811&gt;0,'Deal maths'!Z811,DATE(1990,1,1))))/D811))*D811))&gt;IF('Deal maths'!Z811&gt;0,'Deal maths'!Z811,DATE(1990,1,1)),IF(DAY('Deal maths'!AA811+1)=1,EOMONTH('Deal maths'!AA811,-(INT(((YEAR('Deal maths'!AA811)-YEAR(IF('Deal maths'!Z811&gt;0,'Deal maths'!Z811,DATE(1990,1,1))))*12+MONTH('Deal maths'!AA811)-MONTH(IF('Deal maths'!Z811&gt;0,'Deal maths'!Z811,DATE(1990,1,1))))/D811))*D811),EDATE('Deal maths'!AA811,-(INT(((YEAR('Deal maths'!AA811)-YEAR(IF('Deal maths'!Z811&gt;0,'Deal maths'!Z811,DATE(1990,1,1))))*12+MONTH('Deal maths'!AA811)-MONTH(IF('Deal maths'!Z811&gt;0,'Deal maths'!Z811,DATE(1990,1,1))))/D811))*D811)),IF(DAY('Deal maths'!AA811+1)=1,EOMONTH('Deal maths'!AA811,-(INT(((YEAR('Deal maths'!AA811)-YEAR(IF('Deal maths'!Z811&gt;0,'Deal maths'!Z811,DATE(1990,1,1))))*12+MONTH('Deal maths'!AA811)-MONTH(IF('Deal maths'!Z811&gt;0,'Deal maths'!Z811,DATE(1990,1,1))))/D811)-1)*D811),EDATE('Deal maths'!AA811,-(INT(((YEAR('Deal maths'!AA811)-YEAR(IF('Deal maths'!Z811&gt;0,'Deal maths'!Z811,DATE(1990,1,1))))*12+MONTH('Deal maths'!AA811)-MONTH(IF('Deal maths'!Z811&gt;0,'Deal maths'!Z811,DATE(1990,1,1))))/D811)-1)*D811))))),0)</f>
        <v/>
      </c>
      <c r="F811" s="110">
        <f>IF(D811=0,0,'Deal maths'!AB811*D811/12)</f>
        <v/>
      </c>
      <c r="G811" s="108">
        <f>N811+O811</f>
        <v/>
      </c>
      <c r="H811" s="108">
        <f>IFERROR(IF(OR(D811=0,AsAt&lt;E811),0,MIN(N811,INT(((YEAR(AsAt)-YEAR(E811))*12+MONTH(AsAt)-MONTH(E811)-(DAY(AsAt)&lt;MIN(R811,DAY(EOMONTH(AsAt,0)))))/D811)+1)+O811*(AsAt&gt;='Deal maths'!AA811)),0)</f>
        <v/>
      </c>
      <c r="I811" s="108">
        <f>G811-H811</f>
        <v/>
      </c>
      <c r="J811" s="111">
        <f>IF(AND(C811="EIP",I811&gt;0),'Deal maths'!Y811/I811,0)</f>
        <v/>
      </c>
      <c r="K811" s="111">
        <f>IF(AND(C811="Annuity",I811&gt;0),IF(F811&gt;0,'Deal maths'!Y811*F811/(1-(1+F811)^-I811),'Deal maths'!Y811/I811),0)</f>
        <v/>
      </c>
      <c r="L811" s="111">
        <f>IF('Deal maths'!Y811="",0,'Deal maths'!Y811)</f>
        <v/>
      </c>
      <c r="M811" s="112">
        <f>F811+(F811=0)</f>
        <v/>
      </c>
      <c r="N811" s="108">
        <f>IFERROR(IF(D811=0,0,INT(((YEAR('Deal maths'!AA811)-YEAR(E811))*12+MONTH('Deal maths'!AA811)-MONTH(E811)-(DAY('Deal maths'!AA811)&lt;MIN(R811,DAY(EOMONTH('Deal maths'!AA811,0)))))/D811)+1),0)</f>
        <v/>
      </c>
      <c r="O811" s="108">
        <f>IFERROR(IF(D811=0,0,IF(IF(DAY(E811+1)=1,EOMONTH(E811,(N811-1)*D811),EDATE(E811,(N811-1)*D811))='Deal maths'!AA811,0,1)),0)</f>
        <v/>
      </c>
      <c r="P811" s="113">
        <f>IF(B811=0,0,IFERROR(IF(C811="EIP",((I811-O811)*((IF(DAY(E811+1)=1,EOMONTH(E811,H811*D811),EDATE(E811,H811*D811))-AsAt)/365.25+(IF(DAY(E811+1)=1,EOMONTH(E811,(N811-1)*D811),EDATE(E811,(N811-1)*D811))-AsAt)/365.25)/2+O811*('Deal maths'!AA811-AsAt)/365.25)/I811,IF(C811="Annuity",IF(F811&gt;0,((K811-L811*F811)*((IF(DAY(E811+1)=1,EOMONTH(E811,H811*D811),EDATE(E811,H811*D811))-AsAt)/365.25*((1+F811)^(I811-O811)-1)/F811+IF((I811-O811)&gt;1,((IF(DAY(E811+1)=1,EOMONTH(E811,(N811-1)*D811),EDATE(E811,(N811-1)*D811))-AsAt)/365.25-(IF(DAY(E811+1)=1,EOMONTH(E811,H811*D811),EDATE(E811,H811*D811))-AsAt)/365.25)/((I811-O811)-1),0)*(1+F811)*(1-(I811-O811)*(1+F811)^((I811-O811)-1)+((I811-O811)-1)*(1+F811)^(I811-O811))/F811^2)+O811*(K811-L811*F811)*(1+F811)^(I811-1)*('Deal maths'!AA811-AsAt)/365.25)/L811,((I811-O811)*((IF(DAY(E811+1)=1,EOMONTH(E811,H811*D811),EDATE(E811,H811*D811))-AsAt)/365.25+(IF(DAY(E811+1)=1,EOMONTH(E811,(N811-1)*D811),EDATE(E811,(N811-1)*D811))-AsAt)/365.25)/2+O811*('Deal maths'!AA811-AsAt)/365.25)/I811),(S811-AsAt)/365.25)),0))</f>
        <v/>
      </c>
      <c r="Q811" s="109">
        <f>IF(B811=1,'Deal maths'!AA811+ROW()/1000000,"")</f>
        <v/>
      </c>
      <c r="R811" s="108">
        <f>IF(D811=0,0,IF(DAY(E811+1)=1,31,DAY(E811)))</f>
        <v/>
      </c>
      <c r="S811" s="109">
        <f>IF(AND('Deal maths'!V811="LOBO",'Deal maths'!AG811&gt;AsAt,'Deal maths'!AG811&lt;'Deal maths'!AA811),'Deal maths'!AG811,'Deal maths'!AA811)</f>
        <v/>
      </c>
      <c r="T811" s="108">
        <f>('Deal maths'!AA811&gt;AsAt)*('Deal maths'!Y811&gt;0)</f>
        <v/>
      </c>
    </row>
    <row r="812">
      <c r="A812" s="91">
        <f>IF('Deal maths'!V812="","",'Deal maths'!W812)</f>
        <v/>
      </c>
      <c r="B812" s="108">
        <f>('Deal maths'!AA812&gt;AsAt)*('Deal maths'!Y812&gt;0)*('Deal maths'!Z812&lt;=AsAt)</f>
        <v/>
      </c>
      <c r="C812" s="91">
        <f>IF('Deal maths'!V812="","",IF('Deal maths'!AC812="","Maturity",'Deal maths'!AC812))</f>
        <v/>
      </c>
      <c r="D812" s="108">
        <f>IF(OR(C812="EIP",C812="Annuity"),IF('Deal maths'!AD812="Annual",12,IF('Deal maths'!AD812="Quarterly",3,6)),0)</f>
        <v/>
      </c>
      <c r="E812" s="109">
        <f>IFERROR(IF(D812=0,0,IF('Deal maths'!AE812&gt;0,IF('Deal maths'!AE812&gt;'Deal maths'!AA812,'Deal maths'!AA812,'Deal maths'!AE812),IF(IF(DAY('Deal maths'!AA812+1)=1,EOMONTH('Deal maths'!AA812,-(INT(((YEAR('Deal maths'!AA812)-YEAR(IF('Deal maths'!Z812&gt;0,'Deal maths'!Z812,DATE(1990,1,1))))*12+MONTH('Deal maths'!AA812)-MONTH(IF('Deal maths'!Z812&gt;0,'Deal maths'!Z812,DATE(1990,1,1))))/D812))*D812),EDATE('Deal maths'!AA812,-(INT(((YEAR('Deal maths'!AA812)-YEAR(IF('Deal maths'!Z812&gt;0,'Deal maths'!Z812,DATE(1990,1,1))))*12+MONTH('Deal maths'!AA812)-MONTH(IF('Deal maths'!Z812&gt;0,'Deal maths'!Z812,DATE(1990,1,1))))/D812))*D812))&gt;IF('Deal maths'!Z812&gt;0,'Deal maths'!Z812,DATE(1990,1,1)),IF(DAY('Deal maths'!AA812+1)=1,EOMONTH('Deal maths'!AA812,-(INT(((YEAR('Deal maths'!AA812)-YEAR(IF('Deal maths'!Z812&gt;0,'Deal maths'!Z812,DATE(1990,1,1))))*12+MONTH('Deal maths'!AA812)-MONTH(IF('Deal maths'!Z812&gt;0,'Deal maths'!Z812,DATE(1990,1,1))))/D812))*D812),EDATE('Deal maths'!AA812,-(INT(((YEAR('Deal maths'!AA812)-YEAR(IF('Deal maths'!Z812&gt;0,'Deal maths'!Z812,DATE(1990,1,1))))*12+MONTH('Deal maths'!AA812)-MONTH(IF('Deal maths'!Z812&gt;0,'Deal maths'!Z812,DATE(1990,1,1))))/D812))*D812)),IF(DAY('Deal maths'!AA812+1)=1,EOMONTH('Deal maths'!AA812,-(INT(((YEAR('Deal maths'!AA812)-YEAR(IF('Deal maths'!Z812&gt;0,'Deal maths'!Z812,DATE(1990,1,1))))*12+MONTH('Deal maths'!AA812)-MONTH(IF('Deal maths'!Z812&gt;0,'Deal maths'!Z812,DATE(1990,1,1))))/D812)-1)*D812),EDATE('Deal maths'!AA812,-(INT(((YEAR('Deal maths'!AA812)-YEAR(IF('Deal maths'!Z812&gt;0,'Deal maths'!Z812,DATE(1990,1,1))))*12+MONTH('Deal maths'!AA812)-MONTH(IF('Deal maths'!Z812&gt;0,'Deal maths'!Z812,DATE(1990,1,1))))/D812)-1)*D812))))),0)</f>
        <v/>
      </c>
      <c r="F812" s="110">
        <f>IF(D812=0,0,'Deal maths'!AB812*D812/12)</f>
        <v/>
      </c>
      <c r="G812" s="108">
        <f>N812+O812</f>
        <v/>
      </c>
      <c r="H812" s="108">
        <f>IFERROR(IF(OR(D812=0,AsAt&lt;E812),0,MIN(N812,INT(((YEAR(AsAt)-YEAR(E812))*12+MONTH(AsAt)-MONTH(E812)-(DAY(AsAt)&lt;MIN(R812,DAY(EOMONTH(AsAt,0)))))/D812)+1)+O812*(AsAt&gt;='Deal maths'!AA812)),0)</f>
        <v/>
      </c>
      <c r="I812" s="108">
        <f>G812-H812</f>
        <v/>
      </c>
      <c r="J812" s="111">
        <f>IF(AND(C812="EIP",I812&gt;0),'Deal maths'!Y812/I812,0)</f>
        <v/>
      </c>
      <c r="K812" s="111">
        <f>IF(AND(C812="Annuity",I812&gt;0),IF(F812&gt;0,'Deal maths'!Y812*F812/(1-(1+F812)^-I812),'Deal maths'!Y812/I812),0)</f>
        <v/>
      </c>
      <c r="L812" s="111">
        <f>IF('Deal maths'!Y812="",0,'Deal maths'!Y812)</f>
        <v/>
      </c>
      <c r="M812" s="112">
        <f>F812+(F812=0)</f>
        <v/>
      </c>
      <c r="N812" s="108">
        <f>IFERROR(IF(D812=0,0,INT(((YEAR('Deal maths'!AA812)-YEAR(E812))*12+MONTH('Deal maths'!AA812)-MONTH(E812)-(DAY('Deal maths'!AA812)&lt;MIN(R812,DAY(EOMONTH('Deal maths'!AA812,0)))))/D812)+1),0)</f>
        <v/>
      </c>
      <c r="O812" s="108">
        <f>IFERROR(IF(D812=0,0,IF(IF(DAY(E812+1)=1,EOMONTH(E812,(N812-1)*D812),EDATE(E812,(N812-1)*D812))='Deal maths'!AA812,0,1)),0)</f>
        <v/>
      </c>
      <c r="P812" s="113">
        <f>IF(B812=0,0,IFERROR(IF(C812="EIP",((I812-O812)*((IF(DAY(E812+1)=1,EOMONTH(E812,H812*D812),EDATE(E812,H812*D812))-AsAt)/365.25+(IF(DAY(E812+1)=1,EOMONTH(E812,(N812-1)*D812),EDATE(E812,(N812-1)*D812))-AsAt)/365.25)/2+O812*('Deal maths'!AA812-AsAt)/365.25)/I812,IF(C812="Annuity",IF(F812&gt;0,((K812-L812*F812)*((IF(DAY(E812+1)=1,EOMONTH(E812,H812*D812),EDATE(E812,H812*D812))-AsAt)/365.25*((1+F812)^(I812-O812)-1)/F812+IF((I812-O812)&gt;1,((IF(DAY(E812+1)=1,EOMONTH(E812,(N812-1)*D812),EDATE(E812,(N812-1)*D812))-AsAt)/365.25-(IF(DAY(E812+1)=1,EOMONTH(E812,H812*D812),EDATE(E812,H812*D812))-AsAt)/365.25)/((I812-O812)-1),0)*(1+F812)*(1-(I812-O812)*(1+F812)^((I812-O812)-1)+((I812-O812)-1)*(1+F812)^(I812-O812))/F812^2)+O812*(K812-L812*F812)*(1+F812)^(I812-1)*('Deal maths'!AA812-AsAt)/365.25)/L812,((I812-O812)*((IF(DAY(E812+1)=1,EOMONTH(E812,H812*D812),EDATE(E812,H812*D812))-AsAt)/365.25+(IF(DAY(E812+1)=1,EOMONTH(E812,(N812-1)*D812),EDATE(E812,(N812-1)*D812))-AsAt)/365.25)/2+O812*('Deal maths'!AA812-AsAt)/365.25)/I812),(S812-AsAt)/365.25)),0))</f>
        <v/>
      </c>
      <c r="Q812" s="109">
        <f>IF(B812=1,'Deal maths'!AA812+ROW()/1000000,"")</f>
        <v/>
      </c>
      <c r="R812" s="108">
        <f>IF(D812=0,0,IF(DAY(E812+1)=1,31,DAY(E812)))</f>
        <v/>
      </c>
      <c r="S812" s="109">
        <f>IF(AND('Deal maths'!V812="LOBO",'Deal maths'!AG812&gt;AsAt,'Deal maths'!AG812&lt;'Deal maths'!AA812),'Deal maths'!AG812,'Deal maths'!AA812)</f>
        <v/>
      </c>
      <c r="T812" s="108">
        <f>('Deal maths'!AA812&gt;AsAt)*('Deal maths'!Y812&gt;0)</f>
        <v/>
      </c>
    </row>
    <row r="813">
      <c r="A813" s="91">
        <f>IF('Deal maths'!V813="","",'Deal maths'!W813)</f>
        <v/>
      </c>
      <c r="B813" s="108">
        <f>('Deal maths'!AA813&gt;AsAt)*('Deal maths'!Y813&gt;0)*('Deal maths'!Z813&lt;=AsAt)</f>
        <v/>
      </c>
      <c r="C813" s="91">
        <f>IF('Deal maths'!V813="","",IF('Deal maths'!AC813="","Maturity",'Deal maths'!AC813))</f>
        <v/>
      </c>
      <c r="D813" s="108">
        <f>IF(OR(C813="EIP",C813="Annuity"),IF('Deal maths'!AD813="Annual",12,IF('Deal maths'!AD813="Quarterly",3,6)),0)</f>
        <v/>
      </c>
      <c r="E813" s="109">
        <f>IFERROR(IF(D813=0,0,IF('Deal maths'!AE813&gt;0,IF('Deal maths'!AE813&gt;'Deal maths'!AA813,'Deal maths'!AA813,'Deal maths'!AE813),IF(IF(DAY('Deal maths'!AA813+1)=1,EOMONTH('Deal maths'!AA813,-(INT(((YEAR('Deal maths'!AA813)-YEAR(IF('Deal maths'!Z813&gt;0,'Deal maths'!Z813,DATE(1990,1,1))))*12+MONTH('Deal maths'!AA813)-MONTH(IF('Deal maths'!Z813&gt;0,'Deal maths'!Z813,DATE(1990,1,1))))/D813))*D813),EDATE('Deal maths'!AA813,-(INT(((YEAR('Deal maths'!AA813)-YEAR(IF('Deal maths'!Z813&gt;0,'Deal maths'!Z813,DATE(1990,1,1))))*12+MONTH('Deal maths'!AA813)-MONTH(IF('Deal maths'!Z813&gt;0,'Deal maths'!Z813,DATE(1990,1,1))))/D813))*D813))&gt;IF('Deal maths'!Z813&gt;0,'Deal maths'!Z813,DATE(1990,1,1)),IF(DAY('Deal maths'!AA813+1)=1,EOMONTH('Deal maths'!AA813,-(INT(((YEAR('Deal maths'!AA813)-YEAR(IF('Deal maths'!Z813&gt;0,'Deal maths'!Z813,DATE(1990,1,1))))*12+MONTH('Deal maths'!AA813)-MONTH(IF('Deal maths'!Z813&gt;0,'Deal maths'!Z813,DATE(1990,1,1))))/D813))*D813),EDATE('Deal maths'!AA813,-(INT(((YEAR('Deal maths'!AA813)-YEAR(IF('Deal maths'!Z813&gt;0,'Deal maths'!Z813,DATE(1990,1,1))))*12+MONTH('Deal maths'!AA813)-MONTH(IF('Deal maths'!Z813&gt;0,'Deal maths'!Z813,DATE(1990,1,1))))/D813))*D813)),IF(DAY('Deal maths'!AA813+1)=1,EOMONTH('Deal maths'!AA813,-(INT(((YEAR('Deal maths'!AA813)-YEAR(IF('Deal maths'!Z813&gt;0,'Deal maths'!Z813,DATE(1990,1,1))))*12+MONTH('Deal maths'!AA813)-MONTH(IF('Deal maths'!Z813&gt;0,'Deal maths'!Z813,DATE(1990,1,1))))/D813)-1)*D813),EDATE('Deal maths'!AA813,-(INT(((YEAR('Deal maths'!AA813)-YEAR(IF('Deal maths'!Z813&gt;0,'Deal maths'!Z813,DATE(1990,1,1))))*12+MONTH('Deal maths'!AA813)-MONTH(IF('Deal maths'!Z813&gt;0,'Deal maths'!Z813,DATE(1990,1,1))))/D813)-1)*D813))))),0)</f>
        <v/>
      </c>
      <c r="F813" s="110">
        <f>IF(D813=0,0,'Deal maths'!AB813*D813/12)</f>
        <v/>
      </c>
      <c r="G813" s="108">
        <f>N813+O813</f>
        <v/>
      </c>
      <c r="H813" s="108">
        <f>IFERROR(IF(OR(D813=0,AsAt&lt;E813),0,MIN(N813,INT(((YEAR(AsAt)-YEAR(E813))*12+MONTH(AsAt)-MONTH(E813)-(DAY(AsAt)&lt;MIN(R813,DAY(EOMONTH(AsAt,0)))))/D813)+1)+O813*(AsAt&gt;='Deal maths'!AA813)),0)</f>
        <v/>
      </c>
      <c r="I813" s="108">
        <f>G813-H813</f>
        <v/>
      </c>
      <c r="J813" s="111">
        <f>IF(AND(C813="EIP",I813&gt;0),'Deal maths'!Y813/I813,0)</f>
        <v/>
      </c>
      <c r="K813" s="111">
        <f>IF(AND(C813="Annuity",I813&gt;0),IF(F813&gt;0,'Deal maths'!Y813*F813/(1-(1+F813)^-I813),'Deal maths'!Y813/I813),0)</f>
        <v/>
      </c>
      <c r="L813" s="111">
        <f>IF('Deal maths'!Y813="",0,'Deal maths'!Y813)</f>
        <v/>
      </c>
      <c r="M813" s="112">
        <f>F813+(F813=0)</f>
        <v/>
      </c>
      <c r="N813" s="108">
        <f>IFERROR(IF(D813=0,0,INT(((YEAR('Deal maths'!AA813)-YEAR(E813))*12+MONTH('Deal maths'!AA813)-MONTH(E813)-(DAY('Deal maths'!AA813)&lt;MIN(R813,DAY(EOMONTH('Deal maths'!AA813,0)))))/D813)+1),0)</f>
        <v/>
      </c>
      <c r="O813" s="108">
        <f>IFERROR(IF(D813=0,0,IF(IF(DAY(E813+1)=1,EOMONTH(E813,(N813-1)*D813),EDATE(E813,(N813-1)*D813))='Deal maths'!AA813,0,1)),0)</f>
        <v/>
      </c>
      <c r="P813" s="113">
        <f>IF(B813=0,0,IFERROR(IF(C813="EIP",((I813-O813)*((IF(DAY(E813+1)=1,EOMONTH(E813,H813*D813),EDATE(E813,H813*D813))-AsAt)/365.25+(IF(DAY(E813+1)=1,EOMONTH(E813,(N813-1)*D813),EDATE(E813,(N813-1)*D813))-AsAt)/365.25)/2+O813*('Deal maths'!AA813-AsAt)/365.25)/I813,IF(C813="Annuity",IF(F813&gt;0,((K813-L813*F813)*((IF(DAY(E813+1)=1,EOMONTH(E813,H813*D813),EDATE(E813,H813*D813))-AsAt)/365.25*((1+F813)^(I813-O813)-1)/F813+IF((I813-O813)&gt;1,((IF(DAY(E813+1)=1,EOMONTH(E813,(N813-1)*D813),EDATE(E813,(N813-1)*D813))-AsAt)/365.25-(IF(DAY(E813+1)=1,EOMONTH(E813,H813*D813),EDATE(E813,H813*D813))-AsAt)/365.25)/((I813-O813)-1),0)*(1+F813)*(1-(I813-O813)*(1+F813)^((I813-O813)-1)+((I813-O813)-1)*(1+F813)^(I813-O813))/F813^2)+O813*(K813-L813*F813)*(1+F813)^(I813-1)*('Deal maths'!AA813-AsAt)/365.25)/L813,((I813-O813)*((IF(DAY(E813+1)=1,EOMONTH(E813,H813*D813),EDATE(E813,H813*D813))-AsAt)/365.25+(IF(DAY(E813+1)=1,EOMONTH(E813,(N813-1)*D813),EDATE(E813,(N813-1)*D813))-AsAt)/365.25)/2+O813*('Deal maths'!AA813-AsAt)/365.25)/I813),(S813-AsAt)/365.25)),0))</f>
        <v/>
      </c>
      <c r="Q813" s="109">
        <f>IF(B813=1,'Deal maths'!AA813+ROW()/1000000,"")</f>
        <v/>
      </c>
      <c r="R813" s="108">
        <f>IF(D813=0,0,IF(DAY(E813+1)=1,31,DAY(E813)))</f>
        <v/>
      </c>
      <c r="S813" s="109">
        <f>IF(AND('Deal maths'!V813="LOBO",'Deal maths'!AG813&gt;AsAt,'Deal maths'!AG813&lt;'Deal maths'!AA813),'Deal maths'!AG813,'Deal maths'!AA813)</f>
        <v/>
      </c>
      <c r="T813" s="108">
        <f>('Deal maths'!AA813&gt;AsAt)*('Deal maths'!Y813&gt;0)</f>
        <v/>
      </c>
    </row>
    <row r="814">
      <c r="A814" s="91">
        <f>IF('Deal maths'!V814="","",'Deal maths'!W814)</f>
        <v/>
      </c>
      <c r="B814" s="108">
        <f>('Deal maths'!AA814&gt;AsAt)*('Deal maths'!Y814&gt;0)*('Deal maths'!Z814&lt;=AsAt)</f>
        <v/>
      </c>
      <c r="C814" s="91">
        <f>IF('Deal maths'!V814="","",IF('Deal maths'!AC814="","Maturity",'Deal maths'!AC814))</f>
        <v/>
      </c>
      <c r="D814" s="108">
        <f>IF(OR(C814="EIP",C814="Annuity"),IF('Deal maths'!AD814="Annual",12,IF('Deal maths'!AD814="Quarterly",3,6)),0)</f>
        <v/>
      </c>
      <c r="E814" s="109">
        <f>IFERROR(IF(D814=0,0,IF('Deal maths'!AE814&gt;0,IF('Deal maths'!AE814&gt;'Deal maths'!AA814,'Deal maths'!AA814,'Deal maths'!AE814),IF(IF(DAY('Deal maths'!AA814+1)=1,EOMONTH('Deal maths'!AA814,-(INT(((YEAR('Deal maths'!AA814)-YEAR(IF('Deal maths'!Z814&gt;0,'Deal maths'!Z814,DATE(1990,1,1))))*12+MONTH('Deal maths'!AA814)-MONTH(IF('Deal maths'!Z814&gt;0,'Deal maths'!Z814,DATE(1990,1,1))))/D814))*D814),EDATE('Deal maths'!AA814,-(INT(((YEAR('Deal maths'!AA814)-YEAR(IF('Deal maths'!Z814&gt;0,'Deal maths'!Z814,DATE(1990,1,1))))*12+MONTH('Deal maths'!AA814)-MONTH(IF('Deal maths'!Z814&gt;0,'Deal maths'!Z814,DATE(1990,1,1))))/D814))*D814))&gt;IF('Deal maths'!Z814&gt;0,'Deal maths'!Z814,DATE(1990,1,1)),IF(DAY('Deal maths'!AA814+1)=1,EOMONTH('Deal maths'!AA814,-(INT(((YEAR('Deal maths'!AA814)-YEAR(IF('Deal maths'!Z814&gt;0,'Deal maths'!Z814,DATE(1990,1,1))))*12+MONTH('Deal maths'!AA814)-MONTH(IF('Deal maths'!Z814&gt;0,'Deal maths'!Z814,DATE(1990,1,1))))/D814))*D814),EDATE('Deal maths'!AA814,-(INT(((YEAR('Deal maths'!AA814)-YEAR(IF('Deal maths'!Z814&gt;0,'Deal maths'!Z814,DATE(1990,1,1))))*12+MONTH('Deal maths'!AA814)-MONTH(IF('Deal maths'!Z814&gt;0,'Deal maths'!Z814,DATE(1990,1,1))))/D814))*D814)),IF(DAY('Deal maths'!AA814+1)=1,EOMONTH('Deal maths'!AA814,-(INT(((YEAR('Deal maths'!AA814)-YEAR(IF('Deal maths'!Z814&gt;0,'Deal maths'!Z814,DATE(1990,1,1))))*12+MONTH('Deal maths'!AA814)-MONTH(IF('Deal maths'!Z814&gt;0,'Deal maths'!Z814,DATE(1990,1,1))))/D814)-1)*D814),EDATE('Deal maths'!AA814,-(INT(((YEAR('Deal maths'!AA814)-YEAR(IF('Deal maths'!Z814&gt;0,'Deal maths'!Z814,DATE(1990,1,1))))*12+MONTH('Deal maths'!AA814)-MONTH(IF('Deal maths'!Z814&gt;0,'Deal maths'!Z814,DATE(1990,1,1))))/D814)-1)*D814))))),0)</f>
        <v/>
      </c>
      <c r="F814" s="110">
        <f>IF(D814=0,0,'Deal maths'!AB814*D814/12)</f>
        <v/>
      </c>
      <c r="G814" s="108">
        <f>N814+O814</f>
        <v/>
      </c>
      <c r="H814" s="108">
        <f>IFERROR(IF(OR(D814=0,AsAt&lt;E814),0,MIN(N814,INT(((YEAR(AsAt)-YEAR(E814))*12+MONTH(AsAt)-MONTH(E814)-(DAY(AsAt)&lt;MIN(R814,DAY(EOMONTH(AsAt,0)))))/D814)+1)+O814*(AsAt&gt;='Deal maths'!AA814)),0)</f>
        <v/>
      </c>
      <c r="I814" s="108">
        <f>G814-H814</f>
        <v/>
      </c>
      <c r="J814" s="111">
        <f>IF(AND(C814="EIP",I814&gt;0),'Deal maths'!Y814/I814,0)</f>
        <v/>
      </c>
      <c r="K814" s="111">
        <f>IF(AND(C814="Annuity",I814&gt;0),IF(F814&gt;0,'Deal maths'!Y814*F814/(1-(1+F814)^-I814),'Deal maths'!Y814/I814),0)</f>
        <v/>
      </c>
      <c r="L814" s="111">
        <f>IF('Deal maths'!Y814="",0,'Deal maths'!Y814)</f>
        <v/>
      </c>
      <c r="M814" s="112">
        <f>F814+(F814=0)</f>
        <v/>
      </c>
      <c r="N814" s="108">
        <f>IFERROR(IF(D814=0,0,INT(((YEAR('Deal maths'!AA814)-YEAR(E814))*12+MONTH('Deal maths'!AA814)-MONTH(E814)-(DAY('Deal maths'!AA814)&lt;MIN(R814,DAY(EOMONTH('Deal maths'!AA814,0)))))/D814)+1),0)</f>
        <v/>
      </c>
      <c r="O814" s="108">
        <f>IFERROR(IF(D814=0,0,IF(IF(DAY(E814+1)=1,EOMONTH(E814,(N814-1)*D814),EDATE(E814,(N814-1)*D814))='Deal maths'!AA814,0,1)),0)</f>
        <v/>
      </c>
      <c r="P814" s="113">
        <f>IF(B814=0,0,IFERROR(IF(C814="EIP",((I814-O814)*((IF(DAY(E814+1)=1,EOMONTH(E814,H814*D814),EDATE(E814,H814*D814))-AsAt)/365.25+(IF(DAY(E814+1)=1,EOMONTH(E814,(N814-1)*D814),EDATE(E814,(N814-1)*D814))-AsAt)/365.25)/2+O814*('Deal maths'!AA814-AsAt)/365.25)/I814,IF(C814="Annuity",IF(F814&gt;0,((K814-L814*F814)*((IF(DAY(E814+1)=1,EOMONTH(E814,H814*D814),EDATE(E814,H814*D814))-AsAt)/365.25*((1+F814)^(I814-O814)-1)/F814+IF((I814-O814)&gt;1,((IF(DAY(E814+1)=1,EOMONTH(E814,(N814-1)*D814),EDATE(E814,(N814-1)*D814))-AsAt)/365.25-(IF(DAY(E814+1)=1,EOMONTH(E814,H814*D814),EDATE(E814,H814*D814))-AsAt)/365.25)/((I814-O814)-1),0)*(1+F814)*(1-(I814-O814)*(1+F814)^((I814-O814)-1)+((I814-O814)-1)*(1+F814)^(I814-O814))/F814^2)+O814*(K814-L814*F814)*(1+F814)^(I814-1)*('Deal maths'!AA814-AsAt)/365.25)/L814,((I814-O814)*((IF(DAY(E814+1)=1,EOMONTH(E814,H814*D814),EDATE(E814,H814*D814))-AsAt)/365.25+(IF(DAY(E814+1)=1,EOMONTH(E814,(N814-1)*D814),EDATE(E814,(N814-1)*D814))-AsAt)/365.25)/2+O814*('Deal maths'!AA814-AsAt)/365.25)/I814),(S814-AsAt)/365.25)),0))</f>
        <v/>
      </c>
      <c r="Q814" s="109">
        <f>IF(B814=1,'Deal maths'!AA814+ROW()/1000000,"")</f>
        <v/>
      </c>
      <c r="R814" s="108">
        <f>IF(D814=0,0,IF(DAY(E814+1)=1,31,DAY(E814)))</f>
        <v/>
      </c>
      <c r="S814" s="109">
        <f>IF(AND('Deal maths'!V814="LOBO",'Deal maths'!AG814&gt;AsAt,'Deal maths'!AG814&lt;'Deal maths'!AA814),'Deal maths'!AG814,'Deal maths'!AA814)</f>
        <v/>
      </c>
      <c r="T814" s="108">
        <f>('Deal maths'!AA814&gt;AsAt)*('Deal maths'!Y814&gt;0)</f>
        <v/>
      </c>
    </row>
    <row r="815">
      <c r="A815" s="91">
        <f>IF('Deal maths'!V815="","",'Deal maths'!W815)</f>
        <v/>
      </c>
      <c r="B815" s="108">
        <f>('Deal maths'!AA815&gt;AsAt)*('Deal maths'!Y815&gt;0)*('Deal maths'!Z815&lt;=AsAt)</f>
        <v/>
      </c>
      <c r="C815" s="91">
        <f>IF('Deal maths'!V815="","",IF('Deal maths'!AC815="","Maturity",'Deal maths'!AC815))</f>
        <v/>
      </c>
      <c r="D815" s="108">
        <f>IF(OR(C815="EIP",C815="Annuity"),IF('Deal maths'!AD815="Annual",12,IF('Deal maths'!AD815="Quarterly",3,6)),0)</f>
        <v/>
      </c>
      <c r="E815" s="109">
        <f>IFERROR(IF(D815=0,0,IF('Deal maths'!AE815&gt;0,IF('Deal maths'!AE815&gt;'Deal maths'!AA815,'Deal maths'!AA815,'Deal maths'!AE815),IF(IF(DAY('Deal maths'!AA815+1)=1,EOMONTH('Deal maths'!AA815,-(INT(((YEAR('Deal maths'!AA815)-YEAR(IF('Deal maths'!Z815&gt;0,'Deal maths'!Z815,DATE(1990,1,1))))*12+MONTH('Deal maths'!AA815)-MONTH(IF('Deal maths'!Z815&gt;0,'Deal maths'!Z815,DATE(1990,1,1))))/D815))*D815),EDATE('Deal maths'!AA815,-(INT(((YEAR('Deal maths'!AA815)-YEAR(IF('Deal maths'!Z815&gt;0,'Deal maths'!Z815,DATE(1990,1,1))))*12+MONTH('Deal maths'!AA815)-MONTH(IF('Deal maths'!Z815&gt;0,'Deal maths'!Z815,DATE(1990,1,1))))/D815))*D815))&gt;IF('Deal maths'!Z815&gt;0,'Deal maths'!Z815,DATE(1990,1,1)),IF(DAY('Deal maths'!AA815+1)=1,EOMONTH('Deal maths'!AA815,-(INT(((YEAR('Deal maths'!AA815)-YEAR(IF('Deal maths'!Z815&gt;0,'Deal maths'!Z815,DATE(1990,1,1))))*12+MONTH('Deal maths'!AA815)-MONTH(IF('Deal maths'!Z815&gt;0,'Deal maths'!Z815,DATE(1990,1,1))))/D815))*D815),EDATE('Deal maths'!AA815,-(INT(((YEAR('Deal maths'!AA815)-YEAR(IF('Deal maths'!Z815&gt;0,'Deal maths'!Z815,DATE(1990,1,1))))*12+MONTH('Deal maths'!AA815)-MONTH(IF('Deal maths'!Z815&gt;0,'Deal maths'!Z815,DATE(1990,1,1))))/D815))*D815)),IF(DAY('Deal maths'!AA815+1)=1,EOMONTH('Deal maths'!AA815,-(INT(((YEAR('Deal maths'!AA815)-YEAR(IF('Deal maths'!Z815&gt;0,'Deal maths'!Z815,DATE(1990,1,1))))*12+MONTH('Deal maths'!AA815)-MONTH(IF('Deal maths'!Z815&gt;0,'Deal maths'!Z815,DATE(1990,1,1))))/D815)-1)*D815),EDATE('Deal maths'!AA815,-(INT(((YEAR('Deal maths'!AA815)-YEAR(IF('Deal maths'!Z815&gt;0,'Deal maths'!Z815,DATE(1990,1,1))))*12+MONTH('Deal maths'!AA815)-MONTH(IF('Deal maths'!Z815&gt;0,'Deal maths'!Z815,DATE(1990,1,1))))/D815)-1)*D815))))),0)</f>
        <v/>
      </c>
      <c r="F815" s="110">
        <f>IF(D815=0,0,'Deal maths'!AB815*D815/12)</f>
        <v/>
      </c>
      <c r="G815" s="108">
        <f>N815+O815</f>
        <v/>
      </c>
      <c r="H815" s="108">
        <f>IFERROR(IF(OR(D815=0,AsAt&lt;E815),0,MIN(N815,INT(((YEAR(AsAt)-YEAR(E815))*12+MONTH(AsAt)-MONTH(E815)-(DAY(AsAt)&lt;MIN(R815,DAY(EOMONTH(AsAt,0)))))/D815)+1)+O815*(AsAt&gt;='Deal maths'!AA815)),0)</f>
        <v/>
      </c>
      <c r="I815" s="108">
        <f>G815-H815</f>
        <v/>
      </c>
      <c r="J815" s="111">
        <f>IF(AND(C815="EIP",I815&gt;0),'Deal maths'!Y815/I815,0)</f>
        <v/>
      </c>
      <c r="K815" s="111">
        <f>IF(AND(C815="Annuity",I815&gt;0),IF(F815&gt;0,'Deal maths'!Y815*F815/(1-(1+F815)^-I815),'Deal maths'!Y815/I815),0)</f>
        <v/>
      </c>
      <c r="L815" s="111">
        <f>IF('Deal maths'!Y815="",0,'Deal maths'!Y815)</f>
        <v/>
      </c>
      <c r="M815" s="112">
        <f>F815+(F815=0)</f>
        <v/>
      </c>
      <c r="N815" s="108">
        <f>IFERROR(IF(D815=0,0,INT(((YEAR('Deal maths'!AA815)-YEAR(E815))*12+MONTH('Deal maths'!AA815)-MONTH(E815)-(DAY('Deal maths'!AA815)&lt;MIN(R815,DAY(EOMONTH('Deal maths'!AA815,0)))))/D815)+1),0)</f>
        <v/>
      </c>
      <c r="O815" s="108">
        <f>IFERROR(IF(D815=0,0,IF(IF(DAY(E815+1)=1,EOMONTH(E815,(N815-1)*D815),EDATE(E815,(N815-1)*D815))='Deal maths'!AA815,0,1)),0)</f>
        <v/>
      </c>
      <c r="P815" s="113">
        <f>IF(B815=0,0,IFERROR(IF(C815="EIP",((I815-O815)*((IF(DAY(E815+1)=1,EOMONTH(E815,H815*D815),EDATE(E815,H815*D815))-AsAt)/365.25+(IF(DAY(E815+1)=1,EOMONTH(E815,(N815-1)*D815),EDATE(E815,(N815-1)*D815))-AsAt)/365.25)/2+O815*('Deal maths'!AA815-AsAt)/365.25)/I815,IF(C815="Annuity",IF(F815&gt;0,((K815-L815*F815)*((IF(DAY(E815+1)=1,EOMONTH(E815,H815*D815),EDATE(E815,H815*D815))-AsAt)/365.25*((1+F815)^(I815-O815)-1)/F815+IF((I815-O815)&gt;1,((IF(DAY(E815+1)=1,EOMONTH(E815,(N815-1)*D815),EDATE(E815,(N815-1)*D815))-AsAt)/365.25-(IF(DAY(E815+1)=1,EOMONTH(E815,H815*D815),EDATE(E815,H815*D815))-AsAt)/365.25)/((I815-O815)-1),0)*(1+F815)*(1-(I815-O815)*(1+F815)^((I815-O815)-1)+((I815-O815)-1)*(1+F815)^(I815-O815))/F815^2)+O815*(K815-L815*F815)*(1+F815)^(I815-1)*('Deal maths'!AA815-AsAt)/365.25)/L815,((I815-O815)*((IF(DAY(E815+1)=1,EOMONTH(E815,H815*D815),EDATE(E815,H815*D815))-AsAt)/365.25+(IF(DAY(E815+1)=1,EOMONTH(E815,(N815-1)*D815),EDATE(E815,(N815-1)*D815))-AsAt)/365.25)/2+O815*('Deal maths'!AA815-AsAt)/365.25)/I815),(S815-AsAt)/365.25)),0))</f>
        <v/>
      </c>
      <c r="Q815" s="109">
        <f>IF(B815=1,'Deal maths'!AA815+ROW()/1000000,"")</f>
        <v/>
      </c>
      <c r="R815" s="108">
        <f>IF(D815=0,0,IF(DAY(E815+1)=1,31,DAY(E815)))</f>
        <v/>
      </c>
      <c r="S815" s="109">
        <f>IF(AND('Deal maths'!V815="LOBO",'Deal maths'!AG815&gt;AsAt,'Deal maths'!AG815&lt;'Deal maths'!AA815),'Deal maths'!AG815,'Deal maths'!AA815)</f>
        <v/>
      </c>
      <c r="T815" s="108">
        <f>('Deal maths'!AA815&gt;AsAt)*('Deal maths'!Y815&gt;0)</f>
        <v/>
      </c>
    </row>
    <row r="816">
      <c r="A816" s="91">
        <f>IF('Deal maths'!V816="","",'Deal maths'!W816)</f>
        <v/>
      </c>
      <c r="B816" s="108">
        <f>('Deal maths'!AA816&gt;AsAt)*('Deal maths'!Y816&gt;0)*('Deal maths'!Z816&lt;=AsAt)</f>
        <v/>
      </c>
      <c r="C816" s="91">
        <f>IF('Deal maths'!V816="","",IF('Deal maths'!AC816="","Maturity",'Deal maths'!AC816))</f>
        <v/>
      </c>
      <c r="D816" s="108">
        <f>IF(OR(C816="EIP",C816="Annuity"),IF('Deal maths'!AD816="Annual",12,IF('Deal maths'!AD816="Quarterly",3,6)),0)</f>
        <v/>
      </c>
      <c r="E816" s="109">
        <f>IFERROR(IF(D816=0,0,IF('Deal maths'!AE816&gt;0,IF('Deal maths'!AE816&gt;'Deal maths'!AA816,'Deal maths'!AA816,'Deal maths'!AE816),IF(IF(DAY('Deal maths'!AA816+1)=1,EOMONTH('Deal maths'!AA816,-(INT(((YEAR('Deal maths'!AA816)-YEAR(IF('Deal maths'!Z816&gt;0,'Deal maths'!Z816,DATE(1990,1,1))))*12+MONTH('Deal maths'!AA816)-MONTH(IF('Deal maths'!Z816&gt;0,'Deal maths'!Z816,DATE(1990,1,1))))/D816))*D816),EDATE('Deal maths'!AA816,-(INT(((YEAR('Deal maths'!AA816)-YEAR(IF('Deal maths'!Z816&gt;0,'Deal maths'!Z816,DATE(1990,1,1))))*12+MONTH('Deal maths'!AA816)-MONTH(IF('Deal maths'!Z816&gt;0,'Deal maths'!Z816,DATE(1990,1,1))))/D816))*D816))&gt;IF('Deal maths'!Z816&gt;0,'Deal maths'!Z816,DATE(1990,1,1)),IF(DAY('Deal maths'!AA816+1)=1,EOMONTH('Deal maths'!AA816,-(INT(((YEAR('Deal maths'!AA816)-YEAR(IF('Deal maths'!Z816&gt;0,'Deal maths'!Z816,DATE(1990,1,1))))*12+MONTH('Deal maths'!AA816)-MONTH(IF('Deal maths'!Z816&gt;0,'Deal maths'!Z816,DATE(1990,1,1))))/D816))*D816),EDATE('Deal maths'!AA816,-(INT(((YEAR('Deal maths'!AA816)-YEAR(IF('Deal maths'!Z816&gt;0,'Deal maths'!Z816,DATE(1990,1,1))))*12+MONTH('Deal maths'!AA816)-MONTH(IF('Deal maths'!Z816&gt;0,'Deal maths'!Z816,DATE(1990,1,1))))/D816))*D816)),IF(DAY('Deal maths'!AA816+1)=1,EOMONTH('Deal maths'!AA816,-(INT(((YEAR('Deal maths'!AA816)-YEAR(IF('Deal maths'!Z816&gt;0,'Deal maths'!Z816,DATE(1990,1,1))))*12+MONTH('Deal maths'!AA816)-MONTH(IF('Deal maths'!Z816&gt;0,'Deal maths'!Z816,DATE(1990,1,1))))/D816)-1)*D816),EDATE('Deal maths'!AA816,-(INT(((YEAR('Deal maths'!AA816)-YEAR(IF('Deal maths'!Z816&gt;0,'Deal maths'!Z816,DATE(1990,1,1))))*12+MONTH('Deal maths'!AA816)-MONTH(IF('Deal maths'!Z816&gt;0,'Deal maths'!Z816,DATE(1990,1,1))))/D816)-1)*D816))))),0)</f>
        <v/>
      </c>
      <c r="F816" s="110">
        <f>IF(D816=0,0,'Deal maths'!AB816*D816/12)</f>
        <v/>
      </c>
      <c r="G816" s="108">
        <f>N816+O816</f>
        <v/>
      </c>
      <c r="H816" s="108">
        <f>IFERROR(IF(OR(D816=0,AsAt&lt;E816),0,MIN(N816,INT(((YEAR(AsAt)-YEAR(E816))*12+MONTH(AsAt)-MONTH(E816)-(DAY(AsAt)&lt;MIN(R816,DAY(EOMONTH(AsAt,0)))))/D816)+1)+O816*(AsAt&gt;='Deal maths'!AA816)),0)</f>
        <v/>
      </c>
      <c r="I816" s="108">
        <f>G816-H816</f>
        <v/>
      </c>
      <c r="J816" s="111">
        <f>IF(AND(C816="EIP",I816&gt;0),'Deal maths'!Y816/I816,0)</f>
        <v/>
      </c>
      <c r="K816" s="111">
        <f>IF(AND(C816="Annuity",I816&gt;0),IF(F816&gt;0,'Deal maths'!Y816*F816/(1-(1+F816)^-I816),'Deal maths'!Y816/I816),0)</f>
        <v/>
      </c>
      <c r="L816" s="111">
        <f>IF('Deal maths'!Y816="",0,'Deal maths'!Y816)</f>
        <v/>
      </c>
      <c r="M816" s="112">
        <f>F816+(F816=0)</f>
        <v/>
      </c>
      <c r="N816" s="108">
        <f>IFERROR(IF(D816=0,0,INT(((YEAR('Deal maths'!AA816)-YEAR(E816))*12+MONTH('Deal maths'!AA816)-MONTH(E816)-(DAY('Deal maths'!AA816)&lt;MIN(R816,DAY(EOMONTH('Deal maths'!AA816,0)))))/D816)+1),0)</f>
        <v/>
      </c>
      <c r="O816" s="108">
        <f>IFERROR(IF(D816=0,0,IF(IF(DAY(E816+1)=1,EOMONTH(E816,(N816-1)*D816),EDATE(E816,(N816-1)*D816))='Deal maths'!AA816,0,1)),0)</f>
        <v/>
      </c>
      <c r="P816" s="113">
        <f>IF(B816=0,0,IFERROR(IF(C816="EIP",((I816-O816)*((IF(DAY(E816+1)=1,EOMONTH(E816,H816*D816),EDATE(E816,H816*D816))-AsAt)/365.25+(IF(DAY(E816+1)=1,EOMONTH(E816,(N816-1)*D816),EDATE(E816,(N816-1)*D816))-AsAt)/365.25)/2+O816*('Deal maths'!AA816-AsAt)/365.25)/I816,IF(C816="Annuity",IF(F816&gt;0,((K816-L816*F816)*((IF(DAY(E816+1)=1,EOMONTH(E816,H816*D816),EDATE(E816,H816*D816))-AsAt)/365.25*((1+F816)^(I816-O816)-1)/F816+IF((I816-O816)&gt;1,((IF(DAY(E816+1)=1,EOMONTH(E816,(N816-1)*D816),EDATE(E816,(N816-1)*D816))-AsAt)/365.25-(IF(DAY(E816+1)=1,EOMONTH(E816,H816*D816),EDATE(E816,H816*D816))-AsAt)/365.25)/((I816-O816)-1),0)*(1+F816)*(1-(I816-O816)*(1+F816)^((I816-O816)-1)+((I816-O816)-1)*(1+F816)^(I816-O816))/F816^2)+O816*(K816-L816*F816)*(1+F816)^(I816-1)*('Deal maths'!AA816-AsAt)/365.25)/L816,((I816-O816)*((IF(DAY(E816+1)=1,EOMONTH(E816,H816*D816),EDATE(E816,H816*D816))-AsAt)/365.25+(IF(DAY(E816+1)=1,EOMONTH(E816,(N816-1)*D816),EDATE(E816,(N816-1)*D816))-AsAt)/365.25)/2+O816*('Deal maths'!AA816-AsAt)/365.25)/I816),(S816-AsAt)/365.25)),0))</f>
        <v/>
      </c>
      <c r="Q816" s="109">
        <f>IF(B816=1,'Deal maths'!AA816+ROW()/1000000,"")</f>
        <v/>
      </c>
      <c r="R816" s="108">
        <f>IF(D816=0,0,IF(DAY(E816+1)=1,31,DAY(E816)))</f>
        <v/>
      </c>
      <c r="S816" s="109">
        <f>IF(AND('Deal maths'!V816="LOBO",'Deal maths'!AG816&gt;AsAt,'Deal maths'!AG816&lt;'Deal maths'!AA816),'Deal maths'!AG816,'Deal maths'!AA816)</f>
        <v/>
      </c>
      <c r="T816" s="108">
        <f>('Deal maths'!AA816&gt;AsAt)*('Deal maths'!Y816&gt;0)</f>
        <v/>
      </c>
    </row>
    <row r="817">
      <c r="A817" s="91">
        <f>IF('Deal maths'!V817="","",'Deal maths'!W817)</f>
        <v/>
      </c>
      <c r="B817" s="108">
        <f>('Deal maths'!AA817&gt;AsAt)*('Deal maths'!Y817&gt;0)*('Deal maths'!Z817&lt;=AsAt)</f>
        <v/>
      </c>
      <c r="C817" s="91">
        <f>IF('Deal maths'!V817="","",IF('Deal maths'!AC817="","Maturity",'Deal maths'!AC817))</f>
        <v/>
      </c>
      <c r="D817" s="108">
        <f>IF(OR(C817="EIP",C817="Annuity"),IF('Deal maths'!AD817="Annual",12,IF('Deal maths'!AD817="Quarterly",3,6)),0)</f>
        <v/>
      </c>
      <c r="E817" s="109">
        <f>IFERROR(IF(D817=0,0,IF('Deal maths'!AE817&gt;0,IF('Deal maths'!AE817&gt;'Deal maths'!AA817,'Deal maths'!AA817,'Deal maths'!AE817),IF(IF(DAY('Deal maths'!AA817+1)=1,EOMONTH('Deal maths'!AA817,-(INT(((YEAR('Deal maths'!AA817)-YEAR(IF('Deal maths'!Z817&gt;0,'Deal maths'!Z817,DATE(1990,1,1))))*12+MONTH('Deal maths'!AA817)-MONTH(IF('Deal maths'!Z817&gt;0,'Deal maths'!Z817,DATE(1990,1,1))))/D817))*D817),EDATE('Deal maths'!AA817,-(INT(((YEAR('Deal maths'!AA817)-YEAR(IF('Deal maths'!Z817&gt;0,'Deal maths'!Z817,DATE(1990,1,1))))*12+MONTH('Deal maths'!AA817)-MONTH(IF('Deal maths'!Z817&gt;0,'Deal maths'!Z817,DATE(1990,1,1))))/D817))*D817))&gt;IF('Deal maths'!Z817&gt;0,'Deal maths'!Z817,DATE(1990,1,1)),IF(DAY('Deal maths'!AA817+1)=1,EOMONTH('Deal maths'!AA817,-(INT(((YEAR('Deal maths'!AA817)-YEAR(IF('Deal maths'!Z817&gt;0,'Deal maths'!Z817,DATE(1990,1,1))))*12+MONTH('Deal maths'!AA817)-MONTH(IF('Deal maths'!Z817&gt;0,'Deal maths'!Z817,DATE(1990,1,1))))/D817))*D817),EDATE('Deal maths'!AA817,-(INT(((YEAR('Deal maths'!AA817)-YEAR(IF('Deal maths'!Z817&gt;0,'Deal maths'!Z817,DATE(1990,1,1))))*12+MONTH('Deal maths'!AA817)-MONTH(IF('Deal maths'!Z817&gt;0,'Deal maths'!Z817,DATE(1990,1,1))))/D817))*D817)),IF(DAY('Deal maths'!AA817+1)=1,EOMONTH('Deal maths'!AA817,-(INT(((YEAR('Deal maths'!AA817)-YEAR(IF('Deal maths'!Z817&gt;0,'Deal maths'!Z817,DATE(1990,1,1))))*12+MONTH('Deal maths'!AA817)-MONTH(IF('Deal maths'!Z817&gt;0,'Deal maths'!Z817,DATE(1990,1,1))))/D817)-1)*D817),EDATE('Deal maths'!AA817,-(INT(((YEAR('Deal maths'!AA817)-YEAR(IF('Deal maths'!Z817&gt;0,'Deal maths'!Z817,DATE(1990,1,1))))*12+MONTH('Deal maths'!AA817)-MONTH(IF('Deal maths'!Z817&gt;0,'Deal maths'!Z817,DATE(1990,1,1))))/D817)-1)*D817))))),0)</f>
        <v/>
      </c>
      <c r="F817" s="110">
        <f>IF(D817=0,0,'Deal maths'!AB817*D817/12)</f>
        <v/>
      </c>
      <c r="G817" s="108">
        <f>N817+O817</f>
        <v/>
      </c>
      <c r="H817" s="108">
        <f>IFERROR(IF(OR(D817=0,AsAt&lt;E817),0,MIN(N817,INT(((YEAR(AsAt)-YEAR(E817))*12+MONTH(AsAt)-MONTH(E817)-(DAY(AsAt)&lt;MIN(R817,DAY(EOMONTH(AsAt,0)))))/D817)+1)+O817*(AsAt&gt;='Deal maths'!AA817)),0)</f>
        <v/>
      </c>
      <c r="I817" s="108">
        <f>G817-H817</f>
        <v/>
      </c>
      <c r="J817" s="111">
        <f>IF(AND(C817="EIP",I817&gt;0),'Deal maths'!Y817/I817,0)</f>
        <v/>
      </c>
      <c r="K817" s="111">
        <f>IF(AND(C817="Annuity",I817&gt;0),IF(F817&gt;0,'Deal maths'!Y817*F817/(1-(1+F817)^-I817),'Deal maths'!Y817/I817),0)</f>
        <v/>
      </c>
      <c r="L817" s="111">
        <f>IF('Deal maths'!Y817="",0,'Deal maths'!Y817)</f>
        <v/>
      </c>
      <c r="M817" s="112">
        <f>F817+(F817=0)</f>
        <v/>
      </c>
      <c r="N817" s="108">
        <f>IFERROR(IF(D817=0,0,INT(((YEAR('Deal maths'!AA817)-YEAR(E817))*12+MONTH('Deal maths'!AA817)-MONTH(E817)-(DAY('Deal maths'!AA817)&lt;MIN(R817,DAY(EOMONTH('Deal maths'!AA817,0)))))/D817)+1),0)</f>
        <v/>
      </c>
      <c r="O817" s="108">
        <f>IFERROR(IF(D817=0,0,IF(IF(DAY(E817+1)=1,EOMONTH(E817,(N817-1)*D817),EDATE(E817,(N817-1)*D817))='Deal maths'!AA817,0,1)),0)</f>
        <v/>
      </c>
      <c r="P817" s="113">
        <f>IF(B817=0,0,IFERROR(IF(C817="EIP",((I817-O817)*((IF(DAY(E817+1)=1,EOMONTH(E817,H817*D817),EDATE(E817,H817*D817))-AsAt)/365.25+(IF(DAY(E817+1)=1,EOMONTH(E817,(N817-1)*D817),EDATE(E817,(N817-1)*D817))-AsAt)/365.25)/2+O817*('Deal maths'!AA817-AsAt)/365.25)/I817,IF(C817="Annuity",IF(F817&gt;0,((K817-L817*F817)*((IF(DAY(E817+1)=1,EOMONTH(E817,H817*D817),EDATE(E817,H817*D817))-AsAt)/365.25*((1+F817)^(I817-O817)-1)/F817+IF((I817-O817)&gt;1,((IF(DAY(E817+1)=1,EOMONTH(E817,(N817-1)*D817),EDATE(E817,(N817-1)*D817))-AsAt)/365.25-(IF(DAY(E817+1)=1,EOMONTH(E817,H817*D817),EDATE(E817,H817*D817))-AsAt)/365.25)/((I817-O817)-1),0)*(1+F817)*(1-(I817-O817)*(1+F817)^((I817-O817)-1)+((I817-O817)-1)*(1+F817)^(I817-O817))/F817^2)+O817*(K817-L817*F817)*(1+F817)^(I817-1)*('Deal maths'!AA817-AsAt)/365.25)/L817,((I817-O817)*((IF(DAY(E817+1)=1,EOMONTH(E817,H817*D817),EDATE(E817,H817*D817))-AsAt)/365.25+(IF(DAY(E817+1)=1,EOMONTH(E817,(N817-1)*D817),EDATE(E817,(N817-1)*D817))-AsAt)/365.25)/2+O817*('Deal maths'!AA817-AsAt)/365.25)/I817),(S817-AsAt)/365.25)),0))</f>
        <v/>
      </c>
      <c r="Q817" s="109">
        <f>IF(B817=1,'Deal maths'!AA817+ROW()/1000000,"")</f>
        <v/>
      </c>
      <c r="R817" s="108">
        <f>IF(D817=0,0,IF(DAY(E817+1)=1,31,DAY(E817)))</f>
        <v/>
      </c>
      <c r="S817" s="109">
        <f>IF(AND('Deal maths'!V817="LOBO",'Deal maths'!AG817&gt;AsAt,'Deal maths'!AG817&lt;'Deal maths'!AA817),'Deal maths'!AG817,'Deal maths'!AA817)</f>
        <v/>
      </c>
      <c r="T817" s="108">
        <f>('Deal maths'!AA817&gt;AsAt)*('Deal maths'!Y817&gt;0)</f>
        <v/>
      </c>
    </row>
    <row r="818">
      <c r="A818" s="91">
        <f>IF('Deal maths'!V818="","",'Deal maths'!W818)</f>
        <v/>
      </c>
      <c r="B818" s="108">
        <f>('Deal maths'!AA818&gt;AsAt)*('Deal maths'!Y818&gt;0)*('Deal maths'!Z818&lt;=AsAt)</f>
        <v/>
      </c>
      <c r="C818" s="91">
        <f>IF('Deal maths'!V818="","",IF('Deal maths'!AC818="","Maturity",'Deal maths'!AC818))</f>
        <v/>
      </c>
      <c r="D818" s="108">
        <f>IF(OR(C818="EIP",C818="Annuity"),IF('Deal maths'!AD818="Annual",12,IF('Deal maths'!AD818="Quarterly",3,6)),0)</f>
        <v/>
      </c>
      <c r="E818" s="109">
        <f>IFERROR(IF(D818=0,0,IF('Deal maths'!AE818&gt;0,IF('Deal maths'!AE818&gt;'Deal maths'!AA818,'Deal maths'!AA818,'Deal maths'!AE818),IF(IF(DAY('Deal maths'!AA818+1)=1,EOMONTH('Deal maths'!AA818,-(INT(((YEAR('Deal maths'!AA818)-YEAR(IF('Deal maths'!Z818&gt;0,'Deal maths'!Z818,DATE(1990,1,1))))*12+MONTH('Deal maths'!AA818)-MONTH(IF('Deal maths'!Z818&gt;0,'Deal maths'!Z818,DATE(1990,1,1))))/D818))*D818),EDATE('Deal maths'!AA818,-(INT(((YEAR('Deal maths'!AA818)-YEAR(IF('Deal maths'!Z818&gt;0,'Deal maths'!Z818,DATE(1990,1,1))))*12+MONTH('Deal maths'!AA818)-MONTH(IF('Deal maths'!Z818&gt;0,'Deal maths'!Z818,DATE(1990,1,1))))/D818))*D818))&gt;IF('Deal maths'!Z818&gt;0,'Deal maths'!Z818,DATE(1990,1,1)),IF(DAY('Deal maths'!AA818+1)=1,EOMONTH('Deal maths'!AA818,-(INT(((YEAR('Deal maths'!AA818)-YEAR(IF('Deal maths'!Z818&gt;0,'Deal maths'!Z818,DATE(1990,1,1))))*12+MONTH('Deal maths'!AA818)-MONTH(IF('Deal maths'!Z818&gt;0,'Deal maths'!Z818,DATE(1990,1,1))))/D818))*D818),EDATE('Deal maths'!AA818,-(INT(((YEAR('Deal maths'!AA818)-YEAR(IF('Deal maths'!Z818&gt;0,'Deal maths'!Z818,DATE(1990,1,1))))*12+MONTH('Deal maths'!AA818)-MONTH(IF('Deal maths'!Z818&gt;0,'Deal maths'!Z818,DATE(1990,1,1))))/D818))*D818)),IF(DAY('Deal maths'!AA818+1)=1,EOMONTH('Deal maths'!AA818,-(INT(((YEAR('Deal maths'!AA818)-YEAR(IF('Deal maths'!Z818&gt;0,'Deal maths'!Z818,DATE(1990,1,1))))*12+MONTH('Deal maths'!AA818)-MONTH(IF('Deal maths'!Z818&gt;0,'Deal maths'!Z818,DATE(1990,1,1))))/D818)-1)*D818),EDATE('Deal maths'!AA818,-(INT(((YEAR('Deal maths'!AA818)-YEAR(IF('Deal maths'!Z818&gt;0,'Deal maths'!Z818,DATE(1990,1,1))))*12+MONTH('Deal maths'!AA818)-MONTH(IF('Deal maths'!Z818&gt;0,'Deal maths'!Z818,DATE(1990,1,1))))/D818)-1)*D818))))),0)</f>
        <v/>
      </c>
      <c r="F818" s="110">
        <f>IF(D818=0,0,'Deal maths'!AB818*D818/12)</f>
        <v/>
      </c>
      <c r="G818" s="108">
        <f>N818+O818</f>
        <v/>
      </c>
      <c r="H818" s="108">
        <f>IFERROR(IF(OR(D818=0,AsAt&lt;E818),0,MIN(N818,INT(((YEAR(AsAt)-YEAR(E818))*12+MONTH(AsAt)-MONTH(E818)-(DAY(AsAt)&lt;MIN(R818,DAY(EOMONTH(AsAt,0)))))/D818)+1)+O818*(AsAt&gt;='Deal maths'!AA818)),0)</f>
        <v/>
      </c>
      <c r="I818" s="108">
        <f>G818-H818</f>
        <v/>
      </c>
      <c r="J818" s="111">
        <f>IF(AND(C818="EIP",I818&gt;0),'Deal maths'!Y818/I818,0)</f>
        <v/>
      </c>
      <c r="K818" s="111">
        <f>IF(AND(C818="Annuity",I818&gt;0),IF(F818&gt;0,'Deal maths'!Y818*F818/(1-(1+F818)^-I818),'Deal maths'!Y818/I818),0)</f>
        <v/>
      </c>
      <c r="L818" s="111">
        <f>IF('Deal maths'!Y818="",0,'Deal maths'!Y818)</f>
        <v/>
      </c>
      <c r="M818" s="112">
        <f>F818+(F818=0)</f>
        <v/>
      </c>
      <c r="N818" s="108">
        <f>IFERROR(IF(D818=0,0,INT(((YEAR('Deal maths'!AA818)-YEAR(E818))*12+MONTH('Deal maths'!AA818)-MONTH(E818)-(DAY('Deal maths'!AA818)&lt;MIN(R818,DAY(EOMONTH('Deal maths'!AA818,0)))))/D818)+1),0)</f>
        <v/>
      </c>
      <c r="O818" s="108">
        <f>IFERROR(IF(D818=0,0,IF(IF(DAY(E818+1)=1,EOMONTH(E818,(N818-1)*D818),EDATE(E818,(N818-1)*D818))='Deal maths'!AA818,0,1)),0)</f>
        <v/>
      </c>
      <c r="P818" s="113">
        <f>IF(B818=0,0,IFERROR(IF(C818="EIP",((I818-O818)*((IF(DAY(E818+1)=1,EOMONTH(E818,H818*D818),EDATE(E818,H818*D818))-AsAt)/365.25+(IF(DAY(E818+1)=1,EOMONTH(E818,(N818-1)*D818),EDATE(E818,(N818-1)*D818))-AsAt)/365.25)/2+O818*('Deal maths'!AA818-AsAt)/365.25)/I818,IF(C818="Annuity",IF(F818&gt;0,((K818-L818*F818)*((IF(DAY(E818+1)=1,EOMONTH(E818,H818*D818),EDATE(E818,H818*D818))-AsAt)/365.25*((1+F818)^(I818-O818)-1)/F818+IF((I818-O818)&gt;1,((IF(DAY(E818+1)=1,EOMONTH(E818,(N818-1)*D818),EDATE(E818,(N818-1)*D818))-AsAt)/365.25-(IF(DAY(E818+1)=1,EOMONTH(E818,H818*D818),EDATE(E818,H818*D818))-AsAt)/365.25)/((I818-O818)-1),0)*(1+F818)*(1-(I818-O818)*(1+F818)^((I818-O818)-1)+((I818-O818)-1)*(1+F818)^(I818-O818))/F818^2)+O818*(K818-L818*F818)*(1+F818)^(I818-1)*('Deal maths'!AA818-AsAt)/365.25)/L818,((I818-O818)*((IF(DAY(E818+1)=1,EOMONTH(E818,H818*D818),EDATE(E818,H818*D818))-AsAt)/365.25+(IF(DAY(E818+1)=1,EOMONTH(E818,(N818-1)*D818),EDATE(E818,(N818-1)*D818))-AsAt)/365.25)/2+O818*('Deal maths'!AA818-AsAt)/365.25)/I818),(S818-AsAt)/365.25)),0))</f>
        <v/>
      </c>
      <c r="Q818" s="109">
        <f>IF(B818=1,'Deal maths'!AA818+ROW()/1000000,"")</f>
        <v/>
      </c>
      <c r="R818" s="108">
        <f>IF(D818=0,0,IF(DAY(E818+1)=1,31,DAY(E818)))</f>
        <v/>
      </c>
      <c r="S818" s="109">
        <f>IF(AND('Deal maths'!V818="LOBO",'Deal maths'!AG818&gt;AsAt,'Deal maths'!AG818&lt;'Deal maths'!AA818),'Deal maths'!AG818,'Deal maths'!AA818)</f>
        <v/>
      </c>
      <c r="T818" s="108">
        <f>('Deal maths'!AA818&gt;AsAt)*('Deal maths'!Y818&gt;0)</f>
        <v/>
      </c>
    </row>
    <row r="819">
      <c r="A819" s="91">
        <f>IF('Deal maths'!V819="","",'Deal maths'!W819)</f>
        <v/>
      </c>
      <c r="B819" s="108">
        <f>('Deal maths'!AA819&gt;AsAt)*('Deal maths'!Y819&gt;0)*('Deal maths'!Z819&lt;=AsAt)</f>
        <v/>
      </c>
      <c r="C819" s="91">
        <f>IF('Deal maths'!V819="","",IF('Deal maths'!AC819="","Maturity",'Deal maths'!AC819))</f>
        <v/>
      </c>
      <c r="D819" s="108">
        <f>IF(OR(C819="EIP",C819="Annuity"),IF('Deal maths'!AD819="Annual",12,IF('Deal maths'!AD819="Quarterly",3,6)),0)</f>
        <v/>
      </c>
      <c r="E819" s="109">
        <f>IFERROR(IF(D819=0,0,IF('Deal maths'!AE819&gt;0,IF('Deal maths'!AE819&gt;'Deal maths'!AA819,'Deal maths'!AA819,'Deal maths'!AE819),IF(IF(DAY('Deal maths'!AA819+1)=1,EOMONTH('Deal maths'!AA819,-(INT(((YEAR('Deal maths'!AA819)-YEAR(IF('Deal maths'!Z819&gt;0,'Deal maths'!Z819,DATE(1990,1,1))))*12+MONTH('Deal maths'!AA819)-MONTH(IF('Deal maths'!Z819&gt;0,'Deal maths'!Z819,DATE(1990,1,1))))/D819))*D819),EDATE('Deal maths'!AA819,-(INT(((YEAR('Deal maths'!AA819)-YEAR(IF('Deal maths'!Z819&gt;0,'Deal maths'!Z819,DATE(1990,1,1))))*12+MONTH('Deal maths'!AA819)-MONTH(IF('Deal maths'!Z819&gt;0,'Deal maths'!Z819,DATE(1990,1,1))))/D819))*D819))&gt;IF('Deal maths'!Z819&gt;0,'Deal maths'!Z819,DATE(1990,1,1)),IF(DAY('Deal maths'!AA819+1)=1,EOMONTH('Deal maths'!AA819,-(INT(((YEAR('Deal maths'!AA819)-YEAR(IF('Deal maths'!Z819&gt;0,'Deal maths'!Z819,DATE(1990,1,1))))*12+MONTH('Deal maths'!AA819)-MONTH(IF('Deal maths'!Z819&gt;0,'Deal maths'!Z819,DATE(1990,1,1))))/D819))*D819),EDATE('Deal maths'!AA819,-(INT(((YEAR('Deal maths'!AA819)-YEAR(IF('Deal maths'!Z819&gt;0,'Deal maths'!Z819,DATE(1990,1,1))))*12+MONTH('Deal maths'!AA819)-MONTH(IF('Deal maths'!Z819&gt;0,'Deal maths'!Z819,DATE(1990,1,1))))/D819))*D819)),IF(DAY('Deal maths'!AA819+1)=1,EOMONTH('Deal maths'!AA819,-(INT(((YEAR('Deal maths'!AA819)-YEAR(IF('Deal maths'!Z819&gt;0,'Deal maths'!Z819,DATE(1990,1,1))))*12+MONTH('Deal maths'!AA819)-MONTH(IF('Deal maths'!Z819&gt;0,'Deal maths'!Z819,DATE(1990,1,1))))/D819)-1)*D819),EDATE('Deal maths'!AA819,-(INT(((YEAR('Deal maths'!AA819)-YEAR(IF('Deal maths'!Z819&gt;0,'Deal maths'!Z819,DATE(1990,1,1))))*12+MONTH('Deal maths'!AA819)-MONTH(IF('Deal maths'!Z819&gt;0,'Deal maths'!Z819,DATE(1990,1,1))))/D819)-1)*D819))))),0)</f>
        <v/>
      </c>
      <c r="F819" s="110">
        <f>IF(D819=0,0,'Deal maths'!AB819*D819/12)</f>
        <v/>
      </c>
      <c r="G819" s="108">
        <f>N819+O819</f>
        <v/>
      </c>
      <c r="H819" s="108">
        <f>IFERROR(IF(OR(D819=0,AsAt&lt;E819),0,MIN(N819,INT(((YEAR(AsAt)-YEAR(E819))*12+MONTH(AsAt)-MONTH(E819)-(DAY(AsAt)&lt;MIN(R819,DAY(EOMONTH(AsAt,0)))))/D819)+1)+O819*(AsAt&gt;='Deal maths'!AA819)),0)</f>
        <v/>
      </c>
      <c r="I819" s="108">
        <f>G819-H819</f>
        <v/>
      </c>
      <c r="J819" s="111">
        <f>IF(AND(C819="EIP",I819&gt;0),'Deal maths'!Y819/I819,0)</f>
        <v/>
      </c>
      <c r="K819" s="111">
        <f>IF(AND(C819="Annuity",I819&gt;0),IF(F819&gt;0,'Deal maths'!Y819*F819/(1-(1+F819)^-I819),'Deal maths'!Y819/I819),0)</f>
        <v/>
      </c>
      <c r="L819" s="111">
        <f>IF('Deal maths'!Y819="",0,'Deal maths'!Y819)</f>
        <v/>
      </c>
      <c r="M819" s="112">
        <f>F819+(F819=0)</f>
        <v/>
      </c>
      <c r="N819" s="108">
        <f>IFERROR(IF(D819=0,0,INT(((YEAR('Deal maths'!AA819)-YEAR(E819))*12+MONTH('Deal maths'!AA819)-MONTH(E819)-(DAY('Deal maths'!AA819)&lt;MIN(R819,DAY(EOMONTH('Deal maths'!AA819,0)))))/D819)+1),0)</f>
        <v/>
      </c>
      <c r="O819" s="108">
        <f>IFERROR(IF(D819=0,0,IF(IF(DAY(E819+1)=1,EOMONTH(E819,(N819-1)*D819),EDATE(E819,(N819-1)*D819))='Deal maths'!AA819,0,1)),0)</f>
        <v/>
      </c>
      <c r="P819" s="113">
        <f>IF(B819=0,0,IFERROR(IF(C819="EIP",((I819-O819)*((IF(DAY(E819+1)=1,EOMONTH(E819,H819*D819),EDATE(E819,H819*D819))-AsAt)/365.25+(IF(DAY(E819+1)=1,EOMONTH(E819,(N819-1)*D819),EDATE(E819,(N819-1)*D819))-AsAt)/365.25)/2+O819*('Deal maths'!AA819-AsAt)/365.25)/I819,IF(C819="Annuity",IF(F819&gt;0,((K819-L819*F819)*((IF(DAY(E819+1)=1,EOMONTH(E819,H819*D819),EDATE(E819,H819*D819))-AsAt)/365.25*((1+F819)^(I819-O819)-1)/F819+IF((I819-O819)&gt;1,((IF(DAY(E819+1)=1,EOMONTH(E819,(N819-1)*D819),EDATE(E819,(N819-1)*D819))-AsAt)/365.25-(IF(DAY(E819+1)=1,EOMONTH(E819,H819*D819),EDATE(E819,H819*D819))-AsAt)/365.25)/((I819-O819)-1),0)*(1+F819)*(1-(I819-O819)*(1+F819)^((I819-O819)-1)+((I819-O819)-1)*(1+F819)^(I819-O819))/F819^2)+O819*(K819-L819*F819)*(1+F819)^(I819-1)*('Deal maths'!AA819-AsAt)/365.25)/L819,((I819-O819)*((IF(DAY(E819+1)=1,EOMONTH(E819,H819*D819),EDATE(E819,H819*D819))-AsAt)/365.25+(IF(DAY(E819+1)=1,EOMONTH(E819,(N819-1)*D819),EDATE(E819,(N819-1)*D819))-AsAt)/365.25)/2+O819*('Deal maths'!AA819-AsAt)/365.25)/I819),(S819-AsAt)/365.25)),0))</f>
        <v/>
      </c>
      <c r="Q819" s="109">
        <f>IF(B819=1,'Deal maths'!AA819+ROW()/1000000,"")</f>
        <v/>
      </c>
      <c r="R819" s="108">
        <f>IF(D819=0,0,IF(DAY(E819+1)=1,31,DAY(E819)))</f>
        <v/>
      </c>
      <c r="S819" s="109">
        <f>IF(AND('Deal maths'!V819="LOBO",'Deal maths'!AG819&gt;AsAt,'Deal maths'!AG819&lt;'Deal maths'!AA819),'Deal maths'!AG819,'Deal maths'!AA819)</f>
        <v/>
      </c>
      <c r="T819" s="108">
        <f>('Deal maths'!AA819&gt;AsAt)*('Deal maths'!Y819&gt;0)</f>
        <v/>
      </c>
    </row>
    <row r="820">
      <c r="A820" s="91">
        <f>IF('Deal maths'!V820="","",'Deal maths'!W820)</f>
        <v/>
      </c>
      <c r="B820" s="108">
        <f>('Deal maths'!AA820&gt;AsAt)*('Deal maths'!Y820&gt;0)*('Deal maths'!Z820&lt;=AsAt)</f>
        <v/>
      </c>
      <c r="C820" s="91">
        <f>IF('Deal maths'!V820="","",IF('Deal maths'!AC820="","Maturity",'Deal maths'!AC820))</f>
        <v/>
      </c>
      <c r="D820" s="108">
        <f>IF(OR(C820="EIP",C820="Annuity"),IF('Deal maths'!AD820="Annual",12,IF('Deal maths'!AD820="Quarterly",3,6)),0)</f>
        <v/>
      </c>
      <c r="E820" s="109">
        <f>IFERROR(IF(D820=0,0,IF('Deal maths'!AE820&gt;0,IF('Deal maths'!AE820&gt;'Deal maths'!AA820,'Deal maths'!AA820,'Deal maths'!AE820),IF(IF(DAY('Deal maths'!AA820+1)=1,EOMONTH('Deal maths'!AA820,-(INT(((YEAR('Deal maths'!AA820)-YEAR(IF('Deal maths'!Z820&gt;0,'Deal maths'!Z820,DATE(1990,1,1))))*12+MONTH('Deal maths'!AA820)-MONTH(IF('Deal maths'!Z820&gt;0,'Deal maths'!Z820,DATE(1990,1,1))))/D820))*D820),EDATE('Deal maths'!AA820,-(INT(((YEAR('Deal maths'!AA820)-YEAR(IF('Deal maths'!Z820&gt;0,'Deal maths'!Z820,DATE(1990,1,1))))*12+MONTH('Deal maths'!AA820)-MONTH(IF('Deal maths'!Z820&gt;0,'Deal maths'!Z820,DATE(1990,1,1))))/D820))*D820))&gt;IF('Deal maths'!Z820&gt;0,'Deal maths'!Z820,DATE(1990,1,1)),IF(DAY('Deal maths'!AA820+1)=1,EOMONTH('Deal maths'!AA820,-(INT(((YEAR('Deal maths'!AA820)-YEAR(IF('Deal maths'!Z820&gt;0,'Deal maths'!Z820,DATE(1990,1,1))))*12+MONTH('Deal maths'!AA820)-MONTH(IF('Deal maths'!Z820&gt;0,'Deal maths'!Z820,DATE(1990,1,1))))/D820))*D820),EDATE('Deal maths'!AA820,-(INT(((YEAR('Deal maths'!AA820)-YEAR(IF('Deal maths'!Z820&gt;0,'Deal maths'!Z820,DATE(1990,1,1))))*12+MONTH('Deal maths'!AA820)-MONTH(IF('Deal maths'!Z820&gt;0,'Deal maths'!Z820,DATE(1990,1,1))))/D820))*D820)),IF(DAY('Deal maths'!AA820+1)=1,EOMONTH('Deal maths'!AA820,-(INT(((YEAR('Deal maths'!AA820)-YEAR(IF('Deal maths'!Z820&gt;0,'Deal maths'!Z820,DATE(1990,1,1))))*12+MONTH('Deal maths'!AA820)-MONTH(IF('Deal maths'!Z820&gt;0,'Deal maths'!Z820,DATE(1990,1,1))))/D820)-1)*D820),EDATE('Deal maths'!AA820,-(INT(((YEAR('Deal maths'!AA820)-YEAR(IF('Deal maths'!Z820&gt;0,'Deal maths'!Z820,DATE(1990,1,1))))*12+MONTH('Deal maths'!AA820)-MONTH(IF('Deal maths'!Z820&gt;0,'Deal maths'!Z820,DATE(1990,1,1))))/D820)-1)*D820))))),0)</f>
        <v/>
      </c>
      <c r="F820" s="110">
        <f>IF(D820=0,0,'Deal maths'!AB820*D820/12)</f>
        <v/>
      </c>
      <c r="G820" s="108">
        <f>N820+O820</f>
        <v/>
      </c>
      <c r="H820" s="108">
        <f>IFERROR(IF(OR(D820=0,AsAt&lt;E820),0,MIN(N820,INT(((YEAR(AsAt)-YEAR(E820))*12+MONTH(AsAt)-MONTH(E820)-(DAY(AsAt)&lt;MIN(R820,DAY(EOMONTH(AsAt,0)))))/D820)+1)+O820*(AsAt&gt;='Deal maths'!AA820)),0)</f>
        <v/>
      </c>
      <c r="I820" s="108">
        <f>G820-H820</f>
        <v/>
      </c>
      <c r="J820" s="111">
        <f>IF(AND(C820="EIP",I820&gt;0),'Deal maths'!Y820/I820,0)</f>
        <v/>
      </c>
      <c r="K820" s="111">
        <f>IF(AND(C820="Annuity",I820&gt;0),IF(F820&gt;0,'Deal maths'!Y820*F820/(1-(1+F820)^-I820),'Deal maths'!Y820/I820),0)</f>
        <v/>
      </c>
      <c r="L820" s="111">
        <f>IF('Deal maths'!Y820="",0,'Deal maths'!Y820)</f>
        <v/>
      </c>
      <c r="M820" s="112">
        <f>F820+(F820=0)</f>
        <v/>
      </c>
      <c r="N820" s="108">
        <f>IFERROR(IF(D820=0,0,INT(((YEAR('Deal maths'!AA820)-YEAR(E820))*12+MONTH('Deal maths'!AA820)-MONTH(E820)-(DAY('Deal maths'!AA820)&lt;MIN(R820,DAY(EOMONTH('Deal maths'!AA820,0)))))/D820)+1),0)</f>
        <v/>
      </c>
      <c r="O820" s="108">
        <f>IFERROR(IF(D820=0,0,IF(IF(DAY(E820+1)=1,EOMONTH(E820,(N820-1)*D820),EDATE(E820,(N820-1)*D820))='Deal maths'!AA820,0,1)),0)</f>
        <v/>
      </c>
      <c r="P820" s="113">
        <f>IF(B820=0,0,IFERROR(IF(C820="EIP",((I820-O820)*((IF(DAY(E820+1)=1,EOMONTH(E820,H820*D820),EDATE(E820,H820*D820))-AsAt)/365.25+(IF(DAY(E820+1)=1,EOMONTH(E820,(N820-1)*D820),EDATE(E820,(N820-1)*D820))-AsAt)/365.25)/2+O820*('Deal maths'!AA820-AsAt)/365.25)/I820,IF(C820="Annuity",IF(F820&gt;0,((K820-L820*F820)*((IF(DAY(E820+1)=1,EOMONTH(E820,H820*D820),EDATE(E820,H820*D820))-AsAt)/365.25*((1+F820)^(I820-O820)-1)/F820+IF((I820-O820)&gt;1,((IF(DAY(E820+1)=1,EOMONTH(E820,(N820-1)*D820),EDATE(E820,(N820-1)*D820))-AsAt)/365.25-(IF(DAY(E820+1)=1,EOMONTH(E820,H820*D820),EDATE(E820,H820*D820))-AsAt)/365.25)/((I820-O820)-1),0)*(1+F820)*(1-(I820-O820)*(1+F820)^((I820-O820)-1)+((I820-O820)-1)*(1+F820)^(I820-O820))/F820^2)+O820*(K820-L820*F820)*(1+F820)^(I820-1)*('Deal maths'!AA820-AsAt)/365.25)/L820,((I820-O820)*((IF(DAY(E820+1)=1,EOMONTH(E820,H820*D820),EDATE(E820,H820*D820))-AsAt)/365.25+(IF(DAY(E820+1)=1,EOMONTH(E820,(N820-1)*D820),EDATE(E820,(N820-1)*D820))-AsAt)/365.25)/2+O820*('Deal maths'!AA820-AsAt)/365.25)/I820),(S820-AsAt)/365.25)),0))</f>
        <v/>
      </c>
      <c r="Q820" s="109">
        <f>IF(B820=1,'Deal maths'!AA820+ROW()/1000000,"")</f>
        <v/>
      </c>
      <c r="R820" s="108">
        <f>IF(D820=0,0,IF(DAY(E820+1)=1,31,DAY(E820)))</f>
        <v/>
      </c>
      <c r="S820" s="109">
        <f>IF(AND('Deal maths'!V820="LOBO",'Deal maths'!AG820&gt;AsAt,'Deal maths'!AG820&lt;'Deal maths'!AA820),'Deal maths'!AG820,'Deal maths'!AA820)</f>
        <v/>
      </c>
      <c r="T820" s="108">
        <f>('Deal maths'!AA820&gt;AsAt)*('Deal maths'!Y820&gt;0)</f>
        <v/>
      </c>
    </row>
    <row r="821">
      <c r="A821" s="91">
        <f>IF('Deal maths'!V821="","",'Deal maths'!W821)</f>
        <v/>
      </c>
      <c r="B821" s="108">
        <f>('Deal maths'!AA821&gt;AsAt)*('Deal maths'!Y821&gt;0)*('Deal maths'!Z821&lt;=AsAt)</f>
        <v/>
      </c>
      <c r="C821" s="91">
        <f>IF('Deal maths'!V821="","",IF('Deal maths'!AC821="","Maturity",'Deal maths'!AC821))</f>
        <v/>
      </c>
      <c r="D821" s="108">
        <f>IF(OR(C821="EIP",C821="Annuity"),IF('Deal maths'!AD821="Annual",12,IF('Deal maths'!AD821="Quarterly",3,6)),0)</f>
        <v/>
      </c>
      <c r="E821" s="109">
        <f>IFERROR(IF(D821=0,0,IF('Deal maths'!AE821&gt;0,IF('Deal maths'!AE821&gt;'Deal maths'!AA821,'Deal maths'!AA821,'Deal maths'!AE821),IF(IF(DAY('Deal maths'!AA821+1)=1,EOMONTH('Deal maths'!AA821,-(INT(((YEAR('Deal maths'!AA821)-YEAR(IF('Deal maths'!Z821&gt;0,'Deal maths'!Z821,DATE(1990,1,1))))*12+MONTH('Deal maths'!AA821)-MONTH(IF('Deal maths'!Z821&gt;0,'Deal maths'!Z821,DATE(1990,1,1))))/D821))*D821),EDATE('Deal maths'!AA821,-(INT(((YEAR('Deal maths'!AA821)-YEAR(IF('Deal maths'!Z821&gt;0,'Deal maths'!Z821,DATE(1990,1,1))))*12+MONTH('Deal maths'!AA821)-MONTH(IF('Deal maths'!Z821&gt;0,'Deal maths'!Z821,DATE(1990,1,1))))/D821))*D821))&gt;IF('Deal maths'!Z821&gt;0,'Deal maths'!Z821,DATE(1990,1,1)),IF(DAY('Deal maths'!AA821+1)=1,EOMONTH('Deal maths'!AA821,-(INT(((YEAR('Deal maths'!AA821)-YEAR(IF('Deal maths'!Z821&gt;0,'Deal maths'!Z821,DATE(1990,1,1))))*12+MONTH('Deal maths'!AA821)-MONTH(IF('Deal maths'!Z821&gt;0,'Deal maths'!Z821,DATE(1990,1,1))))/D821))*D821),EDATE('Deal maths'!AA821,-(INT(((YEAR('Deal maths'!AA821)-YEAR(IF('Deal maths'!Z821&gt;0,'Deal maths'!Z821,DATE(1990,1,1))))*12+MONTH('Deal maths'!AA821)-MONTH(IF('Deal maths'!Z821&gt;0,'Deal maths'!Z821,DATE(1990,1,1))))/D821))*D821)),IF(DAY('Deal maths'!AA821+1)=1,EOMONTH('Deal maths'!AA821,-(INT(((YEAR('Deal maths'!AA821)-YEAR(IF('Deal maths'!Z821&gt;0,'Deal maths'!Z821,DATE(1990,1,1))))*12+MONTH('Deal maths'!AA821)-MONTH(IF('Deal maths'!Z821&gt;0,'Deal maths'!Z821,DATE(1990,1,1))))/D821)-1)*D821),EDATE('Deal maths'!AA821,-(INT(((YEAR('Deal maths'!AA821)-YEAR(IF('Deal maths'!Z821&gt;0,'Deal maths'!Z821,DATE(1990,1,1))))*12+MONTH('Deal maths'!AA821)-MONTH(IF('Deal maths'!Z821&gt;0,'Deal maths'!Z821,DATE(1990,1,1))))/D821)-1)*D821))))),0)</f>
        <v/>
      </c>
      <c r="F821" s="110">
        <f>IF(D821=0,0,'Deal maths'!AB821*D821/12)</f>
        <v/>
      </c>
      <c r="G821" s="108">
        <f>N821+O821</f>
        <v/>
      </c>
      <c r="H821" s="108">
        <f>IFERROR(IF(OR(D821=0,AsAt&lt;E821),0,MIN(N821,INT(((YEAR(AsAt)-YEAR(E821))*12+MONTH(AsAt)-MONTH(E821)-(DAY(AsAt)&lt;MIN(R821,DAY(EOMONTH(AsAt,0)))))/D821)+1)+O821*(AsAt&gt;='Deal maths'!AA821)),0)</f>
        <v/>
      </c>
      <c r="I821" s="108">
        <f>G821-H821</f>
        <v/>
      </c>
      <c r="J821" s="111">
        <f>IF(AND(C821="EIP",I821&gt;0),'Deal maths'!Y821/I821,0)</f>
        <v/>
      </c>
      <c r="K821" s="111">
        <f>IF(AND(C821="Annuity",I821&gt;0),IF(F821&gt;0,'Deal maths'!Y821*F821/(1-(1+F821)^-I821),'Deal maths'!Y821/I821),0)</f>
        <v/>
      </c>
      <c r="L821" s="111">
        <f>IF('Deal maths'!Y821="",0,'Deal maths'!Y821)</f>
        <v/>
      </c>
      <c r="M821" s="112">
        <f>F821+(F821=0)</f>
        <v/>
      </c>
      <c r="N821" s="108">
        <f>IFERROR(IF(D821=0,0,INT(((YEAR('Deal maths'!AA821)-YEAR(E821))*12+MONTH('Deal maths'!AA821)-MONTH(E821)-(DAY('Deal maths'!AA821)&lt;MIN(R821,DAY(EOMONTH('Deal maths'!AA821,0)))))/D821)+1),0)</f>
        <v/>
      </c>
      <c r="O821" s="108">
        <f>IFERROR(IF(D821=0,0,IF(IF(DAY(E821+1)=1,EOMONTH(E821,(N821-1)*D821),EDATE(E821,(N821-1)*D821))='Deal maths'!AA821,0,1)),0)</f>
        <v/>
      </c>
      <c r="P821" s="113">
        <f>IF(B821=0,0,IFERROR(IF(C821="EIP",((I821-O821)*((IF(DAY(E821+1)=1,EOMONTH(E821,H821*D821),EDATE(E821,H821*D821))-AsAt)/365.25+(IF(DAY(E821+1)=1,EOMONTH(E821,(N821-1)*D821),EDATE(E821,(N821-1)*D821))-AsAt)/365.25)/2+O821*('Deal maths'!AA821-AsAt)/365.25)/I821,IF(C821="Annuity",IF(F821&gt;0,((K821-L821*F821)*((IF(DAY(E821+1)=1,EOMONTH(E821,H821*D821),EDATE(E821,H821*D821))-AsAt)/365.25*((1+F821)^(I821-O821)-1)/F821+IF((I821-O821)&gt;1,((IF(DAY(E821+1)=1,EOMONTH(E821,(N821-1)*D821),EDATE(E821,(N821-1)*D821))-AsAt)/365.25-(IF(DAY(E821+1)=1,EOMONTH(E821,H821*D821),EDATE(E821,H821*D821))-AsAt)/365.25)/((I821-O821)-1),0)*(1+F821)*(1-(I821-O821)*(1+F821)^((I821-O821)-1)+((I821-O821)-1)*(1+F821)^(I821-O821))/F821^2)+O821*(K821-L821*F821)*(1+F821)^(I821-1)*('Deal maths'!AA821-AsAt)/365.25)/L821,((I821-O821)*((IF(DAY(E821+1)=1,EOMONTH(E821,H821*D821),EDATE(E821,H821*D821))-AsAt)/365.25+(IF(DAY(E821+1)=1,EOMONTH(E821,(N821-1)*D821),EDATE(E821,(N821-1)*D821))-AsAt)/365.25)/2+O821*('Deal maths'!AA821-AsAt)/365.25)/I821),(S821-AsAt)/365.25)),0))</f>
        <v/>
      </c>
      <c r="Q821" s="109">
        <f>IF(B821=1,'Deal maths'!AA821+ROW()/1000000,"")</f>
        <v/>
      </c>
      <c r="R821" s="108">
        <f>IF(D821=0,0,IF(DAY(E821+1)=1,31,DAY(E821)))</f>
        <v/>
      </c>
      <c r="S821" s="109">
        <f>IF(AND('Deal maths'!V821="LOBO",'Deal maths'!AG821&gt;AsAt,'Deal maths'!AG821&lt;'Deal maths'!AA821),'Deal maths'!AG821,'Deal maths'!AA821)</f>
        <v/>
      </c>
      <c r="T821" s="108">
        <f>('Deal maths'!AA821&gt;AsAt)*('Deal maths'!Y821&gt;0)</f>
        <v/>
      </c>
    </row>
    <row r="822">
      <c r="A822" s="91">
        <f>IF('Deal maths'!V822="","",'Deal maths'!W822)</f>
        <v/>
      </c>
      <c r="B822" s="108">
        <f>('Deal maths'!AA822&gt;AsAt)*('Deal maths'!Y822&gt;0)*('Deal maths'!Z822&lt;=AsAt)</f>
        <v/>
      </c>
      <c r="C822" s="91">
        <f>IF('Deal maths'!V822="","",IF('Deal maths'!AC822="","Maturity",'Deal maths'!AC822))</f>
        <v/>
      </c>
      <c r="D822" s="108">
        <f>IF(OR(C822="EIP",C822="Annuity"),IF('Deal maths'!AD822="Annual",12,IF('Deal maths'!AD822="Quarterly",3,6)),0)</f>
        <v/>
      </c>
      <c r="E822" s="109">
        <f>IFERROR(IF(D822=0,0,IF('Deal maths'!AE822&gt;0,IF('Deal maths'!AE822&gt;'Deal maths'!AA822,'Deal maths'!AA822,'Deal maths'!AE822),IF(IF(DAY('Deal maths'!AA822+1)=1,EOMONTH('Deal maths'!AA822,-(INT(((YEAR('Deal maths'!AA822)-YEAR(IF('Deal maths'!Z822&gt;0,'Deal maths'!Z822,DATE(1990,1,1))))*12+MONTH('Deal maths'!AA822)-MONTH(IF('Deal maths'!Z822&gt;0,'Deal maths'!Z822,DATE(1990,1,1))))/D822))*D822),EDATE('Deal maths'!AA822,-(INT(((YEAR('Deal maths'!AA822)-YEAR(IF('Deal maths'!Z822&gt;0,'Deal maths'!Z822,DATE(1990,1,1))))*12+MONTH('Deal maths'!AA822)-MONTH(IF('Deal maths'!Z822&gt;0,'Deal maths'!Z822,DATE(1990,1,1))))/D822))*D822))&gt;IF('Deal maths'!Z822&gt;0,'Deal maths'!Z822,DATE(1990,1,1)),IF(DAY('Deal maths'!AA822+1)=1,EOMONTH('Deal maths'!AA822,-(INT(((YEAR('Deal maths'!AA822)-YEAR(IF('Deal maths'!Z822&gt;0,'Deal maths'!Z822,DATE(1990,1,1))))*12+MONTH('Deal maths'!AA822)-MONTH(IF('Deal maths'!Z822&gt;0,'Deal maths'!Z822,DATE(1990,1,1))))/D822))*D822),EDATE('Deal maths'!AA822,-(INT(((YEAR('Deal maths'!AA822)-YEAR(IF('Deal maths'!Z822&gt;0,'Deal maths'!Z822,DATE(1990,1,1))))*12+MONTH('Deal maths'!AA822)-MONTH(IF('Deal maths'!Z822&gt;0,'Deal maths'!Z822,DATE(1990,1,1))))/D822))*D822)),IF(DAY('Deal maths'!AA822+1)=1,EOMONTH('Deal maths'!AA822,-(INT(((YEAR('Deal maths'!AA822)-YEAR(IF('Deal maths'!Z822&gt;0,'Deal maths'!Z822,DATE(1990,1,1))))*12+MONTH('Deal maths'!AA822)-MONTH(IF('Deal maths'!Z822&gt;0,'Deal maths'!Z822,DATE(1990,1,1))))/D822)-1)*D822),EDATE('Deal maths'!AA822,-(INT(((YEAR('Deal maths'!AA822)-YEAR(IF('Deal maths'!Z822&gt;0,'Deal maths'!Z822,DATE(1990,1,1))))*12+MONTH('Deal maths'!AA822)-MONTH(IF('Deal maths'!Z822&gt;0,'Deal maths'!Z822,DATE(1990,1,1))))/D822)-1)*D822))))),0)</f>
        <v/>
      </c>
      <c r="F822" s="110">
        <f>IF(D822=0,0,'Deal maths'!AB822*D822/12)</f>
        <v/>
      </c>
      <c r="G822" s="108">
        <f>N822+O822</f>
        <v/>
      </c>
      <c r="H822" s="108">
        <f>IFERROR(IF(OR(D822=0,AsAt&lt;E822),0,MIN(N822,INT(((YEAR(AsAt)-YEAR(E822))*12+MONTH(AsAt)-MONTH(E822)-(DAY(AsAt)&lt;MIN(R822,DAY(EOMONTH(AsAt,0)))))/D822)+1)+O822*(AsAt&gt;='Deal maths'!AA822)),0)</f>
        <v/>
      </c>
      <c r="I822" s="108">
        <f>G822-H822</f>
        <v/>
      </c>
      <c r="J822" s="111">
        <f>IF(AND(C822="EIP",I822&gt;0),'Deal maths'!Y822/I822,0)</f>
        <v/>
      </c>
      <c r="K822" s="111">
        <f>IF(AND(C822="Annuity",I822&gt;0),IF(F822&gt;0,'Deal maths'!Y822*F822/(1-(1+F822)^-I822),'Deal maths'!Y822/I822),0)</f>
        <v/>
      </c>
      <c r="L822" s="111">
        <f>IF('Deal maths'!Y822="",0,'Deal maths'!Y822)</f>
        <v/>
      </c>
      <c r="M822" s="112">
        <f>F822+(F822=0)</f>
        <v/>
      </c>
      <c r="N822" s="108">
        <f>IFERROR(IF(D822=0,0,INT(((YEAR('Deal maths'!AA822)-YEAR(E822))*12+MONTH('Deal maths'!AA822)-MONTH(E822)-(DAY('Deal maths'!AA822)&lt;MIN(R822,DAY(EOMONTH('Deal maths'!AA822,0)))))/D822)+1),0)</f>
        <v/>
      </c>
      <c r="O822" s="108">
        <f>IFERROR(IF(D822=0,0,IF(IF(DAY(E822+1)=1,EOMONTH(E822,(N822-1)*D822),EDATE(E822,(N822-1)*D822))='Deal maths'!AA822,0,1)),0)</f>
        <v/>
      </c>
      <c r="P822" s="113">
        <f>IF(B822=0,0,IFERROR(IF(C822="EIP",((I822-O822)*((IF(DAY(E822+1)=1,EOMONTH(E822,H822*D822),EDATE(E822,H822*D822))-AsAt)/365.25+(IF(DAY(E822+1)=1,EOMONTH(E822,(N822-1)*D822),EDATE(E822,(N822-1)*D822))-AsAt)/365.25)/2+O822*('Deal maths'!AA822-AsAt)/365.25)/I822,IF(C822="Annuity",IF(F822&gt;0,((K822-L822*F822)*((IF(DAY(E822+1)=1,EOMONTH(E822,H822*D822),EDATE(E822,H822*D822))-AsAt)/365.25*((1+F822)^(I822-O822)-1)/F822+IF((I822-O822)&gt;1,((IF(DAY(E822+1)=1,EOMONTH(E822,(N822-1)*D822),EDATE(E822,(N822-1)*D822))-AsAt)/365.25-(IF(DAY(E822+1)=1,EOMONTH(E822,H822*D822),EDATE(E822,H822*D822))-AsAt)/365.25)/((I822-O822)-1),0)*(1+F822)*(1-(I822-O822)*(1+F822)^((I822-O822)-1)+((I822-O822)-1)*(1+F822)^(I822-O822))/F822^2)+O822*(K822-L822*F822)*(1+F822)^(I822-1)*('Deal maths'!AA822-AsAt)/365.25)/L822,((I822-O822)*((IF(DAY(E822+1)=1,EOMONTH(E822,H822*D822),EDATE(E822,H822*D822))-AsAt)/365.25+(IF(DAY(E822+1)=1,EOMONTH(E822,(N822-1)*D822),EDATE(E822,(N822-1)*D822))-AsAt)/365.25)/2+O822*('Deal maths'!AA822-AsAt)/365.25)/I822),(S822-AsAt)/365.25)),0))</f>
        <v/>
      </c>
      <c r="Q822" s="109">
        <f>IF(B822=1,'Deal maths'!AA822+ROW()/1000000,"")</f>
        <v/>
      </c>
      <c r="R822" s="108">
        <f>IF(D822=0,0,IF(DAY(E822+1)=1,31,DAY(E822)))</f>
        <v/>
      </c>
      <c r="S822" s="109">
        <f>IF(AND('Deal maths'!V822="LOBO",'Deal maths'!AG822&gt;AsAt,'Deal maths'!AG822&lt;'Deal maths'!AA822),'Deal maths'!AG822,'Deal maths'!AA822)</f>
        <v/>
      </c>
      <c r="T822" s="108">
        <f>('Deal maths'!AA822&gt;AsAt)*('Deal maths'!Y822&gt;0)</f>
        <v/>
      </c>
    </row>
    <row r="823">
      <c r="A823" s="91">
        <f>IF('Deal maths'!V823="","",'Deal maths'!W823)</f>
        <v/>
      </c>
      <c r="B823" s="108">
        <f>('Deal maths'!AA823&gt;AsAt)*('Deal maths'!Y823&gt;0)*('Deal maths'!Z823&lt;=AsAt)</f>
        <v/>
      </c>
      <c r="C823" s="91">
        <f>IF('Deal maths'!V823="","",IF('Deal maths'!AC823="","Maturity",'Deal maths'!AC823))</f>
        <v/>
      </c>
      <c r="D823" s="108">
        <f>IF(OR(C823="EIP",C823="Annuity"),IF('Deal maths'!AD823="Annual",12,IF('Deal maths'!AD823="Quarterly",3,6)),0)</f>
        <v/>
      </c>
      <c r="E823" s="109">
        <f>IFERROR(IF(D823=0,0,IF('Deal maths'!AE823&gt;0,IF('Deal maths'!AE823&gt;'Deal maths'!AA823,'Deal maths'!AA823,'Deal maths'!AE823),IF(IF(DAY('Deal maths'!AA823+1)=1,EOMONTH('Deal maths'!AA823,-(INT(((YEAR('Deal maths'!AA823)-YEAR(IF('Deal maths'!Z823&gt;0,'Deal maths'!Z823,DATE(1990,1,1))))*12+MONTH('Deal maths'!AA823)-MONTH(IF('Deal maths'!Z823&gt;0,'Deal maths'!Z823,DATE(1990,1,1))))/D823))*D823),EDATE('Deal maths'!AA823,-(INT(((YEAR('Deal maths'!AA823)-YEAR(IF('Deal maths'!Z823&gt;0,'Deal maths'!Z823,DATE(1990,1,1))))*12+MONTH('Deal maths'!AA823)-MONTH(IF('Deal maths'!Z823&gt;0,'Deal maths'!Z823,DATE(1990,1,1))))/D823))*D823))&gt;IF('Deal maths'!Z823&gt;0,'Deal maths'!Z823,DATE(1990,1,1)),IF(DAY('Deal maths'!AA823+1)=1,EOMONTH('Deal maths'!AA823,-(INT(((YEAR('Deal maths'!AA823)-YEAR(IF('Deal maths'!Z823&gt;0,'Deal maths'!Z823,DATE(1990,1,1))))*12+MONTH('Deal maths'!AA823)-MONTH(IF('Deal maths'!Z823&gt;0,'Deal maths'!Z823,DATE(1990,1,1))))/D823))*D823),EDATE('Deal maths'!AA823,-(INT(((YEAR('Deal maths'!AA823)-YEAR(IF('Deal maths'!Z823&gt;0,'Deal maths'!Z823,DATE(1990,1,1))))*12+MONTH('Deal maths'!AA823)-MONTH(IF('Deal maths'!Z823&gt;0,'Deal maths'!Z823,DATE(1990,1,1))))/D823))*D823)),IF(DAY('Deal maths'!AA823+1)=1,EOMONTH('Deal maths'!AA823,-(INT(((YEAR('Deal maths'!AA823)-YEAR(IF('Deal maths'!Z823&gt;0,'Deal maths'!Z823,DATE(1990,1,1))))*12+MONTH('Deal maths'!AA823)-MONTH(IF('Deal maths'!Z823&gt;0,'Deal maths'!Z823,DATE(1990,1,1))))/D823)-1)*D823),EDATE('Deal maths'!AA823,-(INT(((YEAR('Deal maths'!AA823)-YEAR(IF('Deal maths'!Z823&gt;0,'Deal maths'!Z823,DATE(1990,1,1))))*12+MONTH('Deal maths'!AA823)-MONTH(IF('Deal maths'!Z823&gt;0,'Deal maths'!Z823,DATE(1990,1,1))))/D823)-1)*D823))))),0)</f>
        <v/>
      </c>
      <c r="F823" s="110">
        <f>IF(D823=0,0,'Deal maths'!AB823*D823/12)</f>
        <v/>
      </c>
      <c r="G823" s="108">
        <f>N823+O823</f>
        <v/>
      </c>
      <c r="H823" s="108">
        <f>IFERROR(IF(OR(D823=0,AsAt&lt;E823),0,MIN(N823,INT(((YEAR(AsAt)-YEAR(E823))*12+MONTH(AsAt)-MONTH(E823)-(DAY(AsAt)&lt;MIN(R823,DAY(EOMONTH(AsAt,0)))))/D823)+1)+O823*(AsAt&gt;='Deal maths'!AA823)),0)</f>
        <v/>
      </c>
      <c r="I823" s="108">
        <f>G823-H823</f>
        <v/>
      </c>
      <c r="J823" s="111">
        <f>IF(AND(C823="EIP",I823&gt;0),'Deal maths'!Y823/I823,0)</f>
        <v/>
      </c>
      <c r="K823" s="111">
        <f>IF(AND(C823="Annuity",I823&gt;0),IF(F823&gt;0,'Deal maths'!Y823*F823/(1-(1+F823)^-I823),'Deal maths'!Y823/I823),0)</f>
        <v/>
      </c>
      <c r="L823" s="111">
        <f>IF('Deal maths'!Y823="",0,'Deal maths'!Y823)</f>
        <v/>
      </c>
      <c r="M823" s="112">
        <f>F823+(F823=0)</f>
        <v/>
      </c>
      <c r="N823" s="108">
        <f>IFERROR(IF(D823=0,0,INT(((YEAR('Deal maths'!AA823)-YEAR(E823))*12+MONTH('Deal maths'!AA823)-MONTH(E823)-(DAY('Deal maths'!AA823)&lt;MIN(R823,DAY(EOMONTH('Deal maths'!AA823,0)))))/D823)+1),0)</f>
        <v/>
      </c>
      <c r="O823" s="108">
        <f>IFERROR(IF(D823=0,0,IF(IF(DAY(E823+1)=1,EOMONTH(E823,(N823-1)*D823),EDATE(E823,(N823-1)*D823))='Deal maths'!AA823,0,1)),0)</f>
        <v/>
      </c>
      <c r="P823" s="113">
        <f>IF(B823=0,0,IFERROR(IF(C823="EIP",((I823-O823)*((IF(DAY(E823+1)=1,EOMONTH(E823,H823*D823),EDATE(E823,H823*D823))-AsAt)/365.25+(IF(DAY(E823+1)=1,EOMONTH(E823,(N823-1)*D823),EDATE(E823,(N823-1)*D823))-AsAt)/365.25)/2+O823*('Deal maths'!AA823-AsAt)/365.25)/I823,IF(C823="Annuity",IF(F823&gt;0,((K823-L823*F823)*((IF(DAY(E823+1)=1,EOMONTH(E823,H823*D823),EDATE(E823,H823*D823))-AsAt)/365.25*((1+F823)^(I823-O823)-1)/F823+IF((I823-O823)&gt;1,((IF(DAY(E823+1)=1,EOMONTH(E823,(N823-1)*D823),EDATE(E823,(N823-1)*D823))-AsAt)/365.25-(IF(DAY(E823+1)=1,EOMONTH(E823,H823*D823),EDATE(E823,H823*D823))-AsAt)/365.25)/((I823-O823)-1),0)*(1+F823)*(1-(I823-O823)*(1+F823)^((I823-O823)-1)+((I823-O823)-1)*(1+F823)^(I823-O823))/F823^2)+O823*(K823-L823*F823)*(1+F823)^(I823-1)*('Deal maths'!AA823-AsAt)/365.25)/L823,((I823-O823)*((IF(DAY(E823+1)=1,EOMONTH(E823,H823*D823),EDATE(E823,H823*D823))-AsAt)/365.25+(IF(DAY(E823+1)=1,EOMONTH(E823,(N823-1)*D823),EDATE(E823,(N823-1)*D823))-AsAt)/365.25)/2+O823*('Deal maths'!AA823-AsAt)/365.25)/I823),(S823-AsAt)/365.25)),0))</f>
        <v/>
      </c>
      <c r="Q823" s="109">
        <f>IF(B823=1,'Deal maths'!AA823+ROW()/1000000,"")</f>
        <v/>
      </c>
      <c r="R823" s="108">
        <f>IF(D823=0,0,IF(DAY(E823+1)=1,31,DAY(E823)))</f>
        <v/>
      </c>
      <c r="S823" s="109">
        <f>IF(AND('Deal maths'!V823="LOBO",'Deal maths'!AG823&gt;AsAt,'Deal maths'!AG823&lt;'Deal maths'!AA823),'Deal maths'!AG823,'Deal maths'!AA823)</f>
        <v/>
      </c>
      <c r="T823" s="108">
        <f>('Deal maths'!AA823&gt;AsAt)*('Deal maths'!Y823&gt;0)</f>
        <v/>
      </c>
    </row>
    <row r="824">
      <c r="A824" s="91">
        <f>IF('Deal maths'!V824="","",'Deal maths'!W824)</f>
        <v/>
      </c>
      <c r="B824" s="108">
        <f>('Deal maths'!AA824&gt;AsAt)*('Deal maths'!Y824&gt;0)*('Deal maths'!Z824&lt;=AsAt)</f>
        <v/>
      </c>
      <c r="C824" s="91">
        <f>IF('Deal maths'!V824="","",IF('Deal maths'!AC824="","Maturity",'Deal maths'!AC824))</f>
        <v/>
      </c>
      <c r="D824" s="108">
        <f>IF(OR(C824="EIP",C824="Annuity"),IF('Deal maths'!AD824="Annual",12,IF('Deal maths'!AD824="Quarterly",3,6)),0)</f>
        <v/>
      </c>
      <c r="E824" s="109">
        <f>IFERROR(IF(D824=0,0,IF('Deal maths'!AE824&gt;0,IF('Deal maths'!AE824&gt;'Deal maths'!AA824,'Deal maths'!AA824,'Deal maths'!AE824),IF(IF(DAY('Deal maths'!AA824+1)=1,EOMONTH('Deal maths'!AA824,-(INT(((YEAR('Deal maths'!AA824)-YEAR(IF('Deal maths'!Z824&gt;0,'Deal maths'!Z824,DATE(1990,1,1))))*12+MONTH('Deal maths'!AA824)-MONTH(IF('Deal maths'!Z824&gt;0,'Deal maths'!Z824,DATE(1990,1,1))))/D824))*D824),EDATE('Deal maths'!AA824,-(INT(((YEAR('Deal maths'!AA824)-YEAR(IF('Deal maths'!Z824&gt;0,'Deal maths'!Z824,DATE(1990,1,1))))*12+MONTH('Deal maths'!AA824)-MONTH(IF('Deal maths'!Z824&gt;0,'Deal maths'!Z824,DATE(1990,1,1))))/D824))*D824))&gt;IF('Deal maths'!Z824&gt;0,'Deal maths'!Z824,DATE(1990,1,1)),IF(DAY('Deal maths'!AA824+1)=1,EOMONTH('Deal maths'!AA824,-(INT(((YEAR('Deal maths'!AA824)-YEAR(IF('Deal maths'!Z824&gt;0,'Deal maths'!Z824,DATE(1990,1,1))))*12+MONTH('Deal maths'!AA824)-MONTH(IF('Deal maths'!Z824&gt;0,'Deal maths'!Z824,DATE(1990,1,1))))/D824))*D824),EDATE('Deal maths'!AA824,-(INT(((YEAR('Deal maths'!AA824)-YEAR(IF('Deal maths'!Z824&gt;0,'Deal maths'!Z824,DATE(1990,1,1))))*12+MONTH('Deal maths'!AA824)-MONTH(IF('Deal maths'!Z824&gt;0,'Deal maths'!Z824,DATE(1990,1,1))))/D824))*D824)),IF(DAY('Deal maths'!AA824+1)=1,EOMONTH('Deal maths'!AA824,-(INT(((YEAR('Deal maths'!AA824)-YEAR(IF('Deal maths'!Z824&gt;0,'Deal maths'!Z824,DATE(1990,1,1))))*12+MONTH('Deal maths'!AA824)-MONTH(IF('Deal maths'!Z824&gt;0,'Deal maths'!Z824,DATE(1990,1,1))))/D824)-1)*D824),EDATE('Deal maths'!AA824,-(INT(((YEAR('Deal maths'!AA824)-YEAR(IF('Deal maths'!Z824&gt;0,'Deal maths'!Z824,DATE(1990,1,1))))*12+MONTH('Deal maths'!AA824)-MONTH(IF('Deal maths'!Z824&gt;0,'Deal maths'!Z824,DATE(1990,1,1))))/D824)-1)*D824))))),0)</f>
        <v/>
      </c>
      <c r="F824" s="110">
        <f>IF(D824=0,0,'Deal maths'!AB824*D824/12)</f>
        <v/>
      </c>
      <c r="G824" s="108">
        <f>N824+O824</f>
        <v/>
      </c>
      <c r="H824" s="108">
        <f>IFERROR(IF(OR(D824=0,AsAt&lt;E824),0,MIN(N824,INT(((YEAR(AsAt)-YEAR(E824))*12+MONTH(AsAt)-MONTH(E824)-(DAY(AsAt)&lt;MIN(R824,DAY(EOMONTH(AsAt,0)))))/D824)+1)+O824*(AsAt&gt;='Deal maths'!AA824)),0)</f>
        <v/>
      </c>
      <c r="I824" s="108">
        <f>G824-H824</f>
        <v/>
      </c>
      <c r="J824" s="111">
        <f>IF(AND(C824="EIP",I824&gt;0),'Deal maths'!Y824/I824,0)</f>
        <v/>
      </c>
      <c r="K824" s="111">
        <f>IF(AND(C824="Annuity",I824&gt;0),IF(F824&gt;0,'Deal maths'!Y824*F824/(1-(1+F824)^-I824),'Deal maths'!Y824/I824),0)</f>
        <v/>
      </c>
      <c r="L824" s="111">
        <f>IF('Deal maths'!Y824="",0,'Deal maths'!Y824)</f>
        <v/>
      </c>
      <c r="M824" s="112">
        <f>F824+(F824=0)</f>
        <v/>
      </c>
      <c r="N824" s="108">
        <f>IFERROR(IF(D824=0,0,INT(((YEAR('Deal maths'!AA824)-YEAR(E824))*12+MONTH('Deal maths'!AA824)-MONTH(E824)-(DAY('Deal maths'!AA824)&lt;MIN(R824,DAY(EOMONTH('Deal maths'!AA824,0)))))/D824)+1),0)</f>
        <v/>
      </c>
      <c r="O824" s="108">
        <f>IFERROR(IF(D824=0,0,IF(IF(DAY(E824+1)=1,EOMONTH(E824,(N824-1)*D824),EDATE(E824,(N824-1)*D824))='Deal maths'!AA824,0,1)),0)</f>
        <v/>
      </c>
      <c r="P824" s="113">
        <f>IF(B824=0,0,IFERROR(IF(C824="EIP",((I824-O824)*((IF(DAY(E824+1)=1,EOMONTH(E824,H824*D824),EDATE(E824,H824*D824))-AsAt)/365.25+(IF(DAY(E824+1)=1,EOMONTH(E824,(N824-1)*D824),EDATE(E824,(N824-1)*D824))-AsAt)/365.25)/2+O824*('Deal maths'!AA824-AsAt)/365.25)/I824,IF(C824="Annuity",IF(F824&gt;0,((K824-L824*F824)*((IF(DAY(E824+1)=1,EOMONTH(E824,H824*D824),EDATE(E824,H824*D824))-AsAt)/365.25*((1+F824)^(I824-O824)-1)/F824+IF((I824-O824)&gt;1,((IF(DAY(E824+1)=1,EOMONTH(E824,(N824-1)*D824),EDATE(E824,(N824-1)*D824))-AsAt)/365.25-(IF(DAY(E824+1)=1,EOMONTH(E824,H824*D824),EDATE(E824,H824*D824))-AsAt)/365.25)/((I824-O824)-1),0)*(1+F824)*(1-(I824-O824)*(1+F824)^((I824-O824)-1)+((I824-O824)-1)*(1+F824)^(I824-O824))/F824^2)+O824*(K824-L824*F824)*(1+F824)^(I824-1)*('Deal maths'!AA824-AsAt)/365.25)/L824,((I824-O824)*((IF(DAY(E824+1)=1,EOMONTH(E824,H824*D824),EDATE(E824,H824*D824))-AsAt)/365.25+(IF(DAY(E824+1)=1,EOMONTH(E824,(N824-1)*D824),EDATE(E824,(N824-1)*D824))-AsAt)/365.25)/2+O824*('Deal maths'!AA824-AsAt)/365.25)/I824),(S824-AsAt)/365.25)),0))</f>
        <v/>
      </c>
      <c r="Q824" s="109">
        <f>IF(B824=1,'Deal maths'!AA824+ROW()/1000000,"")</f>
        <v/>
      </c>
      <c r="R824" s="108">
        <f>IF(D824=0,0,IF(DAY(E824+1)=1,31,DAY(E824)))</f>
        <v/>
      </c>
      <c r="S824" s="109">
        <f>IF(AND('Deal maths'!V824="LOBO",'Deal maths'!AG824&gt;AsAt,'Deal maths'!AG824&lt;'Deal maths'!AA824),'Deal maths'!AG824,'Deal maths'!AA824)</f>
        <v/>
      </c>
      <c r="T824" s="108">
        <f>('Deal maths'!AA824&gt;AsAt)*('Deal maths'!Y824&gt;0)</f>
        <v/>
      </c>
    </row>
    <row r="825">
      <c r="A825" s="91">
        <f>IF('Deal maths'!V825="","",'Deal maths'!W825)</f>
        <v/>
      </c>
      <c r="B825" s="108">
        <f>('Deal maths'!AA825&gt;AsAt)*('Deal maths'!Y825&gt;0)*('Deal maths'!Z825&lt;=AsAt)</f>
        <v/>
      </c>
      <c r="C825" s="91">
        <f>IF('Deal maths'!V825="","",IF('Deal maths'!AC825="","Maturity",'Deal maths'!AC825))</f>
        <v/>
      </c>
      <c r="D825" s="108">
        <f>IF(OR(C825="EIP",C825="Annuity"),IF('Deal maths'!AD825="Annual",12,IF('Deal maths'!AD825="Quarterly",3,6)),0)</f>
        <v/>
      </c>
      <c r="E825" s="109">
        <f>IFERROR(IF(D825=0,0,IF('Deal maths'!AE825&gt;0,IF('Deal maths'!AE825&gt;'Deal maths'!AA825,'Deal maths'!AA825,'Deal maths'!AE825),IF(IF(DAY('Deal maths'!AA825+1)=1,EOMONTH('Deal maths'!AA825,-(INT(((YEAR('Deal maths'!AA825)-YEAR(IF('Deal maths'!Z825&gt;0,'Deal maths'!Z825,DATE(1990,1,1))))*12+MONTH('Deal maths'!AA825)-MONTH(IF('Deal maths'!Z825&gt;0,'Deal maths'!Z825,DATE(1990,1,1))))/D825))*D825),EDATE('Deal maths'!AA825,-(INT(((YEAR('Deal maths'!AA825)-YEAR(IF('Deal maths'!Z825&gt;0,'Deal maths'!Z825,DATE(1990,1,1))))*12+MONTH('Deal maths'!AA825)-MONTH(IF('Deal maths'!Z825&gt;0,'Deal maths'!Z825,DATE(1990,1,1))))/D825))*D825))&gt;IF('Deal maths'!Z825&gt;0,'Deal maths'!Z825,DATE(1990,1,1)),IF(DAY('Deal maths'!AA825+1)=1,EOMONTH('Deal maths'!AA825,-(INT(((YEAR('Deal maths'!AA825)-YEAR(IF('Deal maths'!Z825&gt;0,'Deal maths'!Z825,DATE(1990,1,1))))*12+MONTH('Deal maths'!AA825)-MONTH(IF('Deal maths'!Z825&gt;0,'Deal maths'!Z825,DATE(1990,1,1))))/D825))*D825),EDATE('Deal maths'!AA825,-(INT(((YEAR('Deal maths'!AA825)-YEAR(IF('Deal maths'!Z825&gt;0,'Deal maths'!Z825,DATE(1990,1,1))))*12+MONTH('Deal maths'!AA825)-MONTH(IF('Deal maths'!Z825&gt;0,'Deal maths'!Z825,DATE(1990,1,1))))/D825))*D825)),IF(DAY('Deal maths'!AA825+1)=1,EOMONTH('Deal maths'!AA825,-(INT(((YEAR('Deal maths'!AA825)-YEAR(IF('Deal maths'!Z825&gt;0,'Deal maths'!Z825,DATE(1990,1,1))))*12+MONTH('Deal maths'!AA825)-MONTH(IF('Deal maths'!Z825&gt;0,'Deal maths'!Z825,DATE(1990,1,1))))/D825)-1)*D825),EDATE('Deal maths'!AA825,-(INT(((YEAR('Deal maths'!AA825)-YEAR(IF('Deal maths'!Z825&gt;0,'Deal maths'!Z825,DATE(1990,1,1))))*12+MONTH('Deal maths'!AA825)-MONTH(IF('Deal maths'!Z825&gt;0,'Deal maths'!Z825,DATE(1990,1,1))))/D825)-1)*D825))))),0)</f>
        <v/>
      </c>
      <c r="F825" s="110">
        <f>IF(D825=0,0,'Deal maths'!AB825*D825/12)</f>
        <v/>
      </c>
      <c r="G825" s="108">
        <f>N825+O825</f>
        <v/>
      </c>
      <c r="H825" s="108">
        <f>IFERROR(IF(OR(D825=0,AsAt&lt;E825),0,MIN(N825,INT(((YEAR(AsAt)-YEAR(E825))*12+MONTH(AsAt)-MONTH(E825)-(DAY(AsAt)&lt;MIN(R825,DAY(EOMONTH(AsAt,0)))))/D825)+1)+O825*(AsAt&gt;='Deal maths'!AA825)),0)</f>
        <v/>
      </c>
      <c r="I825" s="108">
        <f>G825-H825</f>
        <v/>
      </c>
      <c r="J825" s="111">
        <f>IF(AND(C825="EIP",I825&gt;0),'Deal maths'!Y825/I825,0)</f>
        <v/>
      </c>
      <c r="K825" s="111">
        <f>IF(AND(C825="Annuity",I825&gt;0),IF(F825&gt;0,'Deal maths'!Y825*F825/(1-(1+F825)^-I825),'Deal maths'!Y825/I825),0)</f>
        <v/>
      </c>
      <c r="L825" s="111">
        <f>IF('Deal maths'!Y825="",0,'Deal maths'!Y825)</f>
        <v/>
      </c>
      <c r="M825" s="112">
        <f>F825+(F825=0)</f>
        <v/>
      </c>
      <c r="N825" s="108">
        <f>IFERROR(IF(D825=0,0,INT(((YEAR('Deal maths'!AA825)-YEAR(E825))*12+MONTH('Deal maths'!AA825)-MONTH(E825)-(DAY('Deal maths'!AA825)&lt;MIN(R825,DAY(EOMONTH('Deal maths'!AA825,0)))))/D825)+1),0)</f>
        <v/>
      </c>
      <c r="O825" s="108">
        <f>IFERROR(IF(D825=0,0,IF(IF(DAY(E825+1)=1,EOMONTH(E825,(N825-1)*D825),EDATE(E825,(N825-1)*D825))='Deal maths'!AA825,0,1)),0)</f>
        <v/>
      </c>
      <c r="P825" s="113">
        <f>IF(B825=0,0,IFERROR(IF(C825="EIP",((I825-O825)*((IF(DAY(E825+1)=1,EOMONTH(E825,H825*D825),EDATE(E825,H825*D825))-AsAt)/365.25+(IF(DAY(E825+1)=1,EOMONTH(E825,(N825-1)*D825),EDATE(E825,(N825-1)*D825))-AsAt)/365.25)/2+O825*('Deal maths'!AA825-AsAt)/365.25)/I825,IF(C825="Annuity",IF(F825&gt;0,((K825-L825*F825)*((IF(DAY(E825+1)=1,EOMONTH(E825,H825*D825),EDATE(E825,H825*D825))-AsAt)/365.25*((1+F825)^(I825-O825)-1)/F825+IF((I825-O825)&gt;1,((IF(DAY(E825+1)=1,EOMONTH(E825,(N825-1)*D825),EDATE(E825,(N825-1)*D825))-AsAt)/365.25-(IF(DAY(E825+1)=1,EOMONTH(E825,H825*D825),EDATE(E825,H825*D825))-AsAt)/365.25)/((I825-O825)-1),0)*(1+F825)*(1-(I825-O825)*(1+F825)^((I825-O825)-1)+((I825-O825)-1)*(1+F825)^(I825-O825))/F825^2)+O825*(K825-L825*F825)*(1+F825)^(I825-1)*('Deal maths'!AA825-AsAt)/365.25)/L825,((I825-O825)*((IF(DAY(E825+1)=1,EOMONTH(E825,H825*D825),EDATE(E825,H825*D825))-AsAt)/365.25+(IF(DAY(E825+1)=1,EOMONTH(E825,(N825-1)*D825),EDATE(E825,(N825-1)*D825))-AsAt)/365.25)/2+O825*('Deal maths'!AA825-AsAt)/365.25)/I825),(S825-AsAt)/365.25)),0))</f>
        <v/>
      </c>
      <c r="Q825" s="109">
        <f>IF(B825=1,'Deal maths'!AA825+ROW()/1000000,"")</f>
        <v/>
      </c>
      <c r="R825" s="108">
        <f>IF(D825=0,0,IF(DAY(E825+1)=1,31,DAY(E825)))</f>
        <v/>
      </c>
      <c r="S825" s="109">
        <f>IF(AND('Deal maths'!V825="LOBO",'Deal maths'!AG825&gt;AsAt,'Deal maths'!AG825&lt;'Deal maths'!AA825),'Deal maths'!AG825,'Deal maths'!AA825)</f>
        <v/>
      </c>
      <c r="T825" s="108">
        <f>('Deal maths'!AA825&gt;AsAt)*('Deal maths'!Y825&gt;0)</f>
        <v/>
      </c>
    </row>
    <row r="826">
      <c r="A826" s="91">
        <f>IF('Deal maths'!V826="","",'Deal maths'!W826)</f>
        <v/>
      </c>
      <c r="B826" s="108">
        <f>('Deal maths'!AA826&gt;AsAt)*('Deal maths'!Y826&gt;0)*('Deal maths'!Z826&lt;=AsAt)</f>
        <v/>
      </c>
      <c r="C826" s="91">
        <f>IF('Deal maths'!V826="","",IF('Deal maths'!AC826="","Maturity",'Deal maths'!AC826))</f>
        <v/>
      </c>
      <c r="D826" s="108">
        <f>IF(OR(C826="EIP",C826="Annuity"),IF('Deal maths'!AD826="Annual",12,IF('Deal maths'!AD826="Quarterly",3,6)),0)</f>
        <v/>
      </c>
      <c r="E826" s="109">
        <f>IFERROR(IF(D826=0,0,IF('Deal maths'!AE826&gt;0,IF('Deal maths'!AE826&gt;'Deal maths'!AA826,'Deal maths'!AA826,'Deal maths'!AE826),IF(IF(DAY('Deal maths'!AA826+1)=1,EOMONTH('Deal maths'!AA826,-(INT(((YEAR('Deal maths'!AA826)-YEAR(IF('Deal maths'!Z826&gt;0,'Deal maths'!Z826,DATE(1990,1,1))))*12+MONTH('Deal maths'!AA826)-MONTH(IF('Deal maths'!Z826&gt;0,'Deal maths'!Z826,DATE(1990,1,1))))/D826))*D826),EDATE('Deal maths'!AA826,-(INT(((YEAR('Deal maths'!AA826)-YEAR(IF('Deal maths'!Z826&gt;0,'Deal maths'!Z826,DATE(1990,1,1))))*12+MONTH('Deal maths'!AA826)-MONTH(IF('Deal maths'!Z826&gt;0,'Deal maths'!Z826,DATE(1990,1,1))))/D826))*D826))&gt;IF('Deal maths'!Z826&gt;0,'Deal maths'!Z826,DATE(1990,1,1)),IF(DAY('Deal maths'!AA826+1)=1,EOMONTH('Deal maths'!AA826,-(INT(((YEAR('Deal maths'!AA826)-YEAR(IF('Deal maths'!Z826&gt;0,'Deal maths'!Z826,DATE(1990,1,1))))*12+MONTH('Deal maths'!AA826)-MONTH(IF('Deal maths'!Z826&gt;0,'Deal maths'!Z826,DATE(1990,1,1))))/D826))*D826),EDATE('Deal maths'!AA826,-(INT(((YEAR('Deal maths'!AA826)-YEAR(IF('Deal maths'!Z826&gt;0,'Deal maths'!Z826,DATE(1990,1,1))))*12+MONTH('Deal maths'!AA826)-MONTH(IF('Deal maths'!Z826&gt;0,'Deal maths'!Z826,DATE(1990,1,1))))/D826))*D826)),IF(DAY('Deal maths'!AA826+1)=1,EOMONTH('Deal maths'!AA826,-(INT(((YEAR('Deal maths'!AA826)-YEAR(IF('Deal maths'!Z826&gt;0,'Deal maths'!Z826,DATE(1990,1,1))))*12+MONTH('Deal maths'!AA826)-MONTH(IF('Deal maths'!Z826&gt;0,'Deal maths'!Z826,DATE(1990,1,1))))/D826)-1)*D826),EDATE('Deal maths'!AA826,-(INT(((YEAR('Deal maths'!AA826)-YEAR(IF('Deal maths'!Z826&gt;0,'Deal maths'!Z826,DATE(1990,1,1))))*12+MONTH('Deal maths'!AA826)-MONTH(IF('Deal maths'!Z826&gt;0,'Deal maths'!Z826,DATE(1990,1,1))))/D826)-1)*D826))))),0)</f>
        <v/>
      </c>
      <c r="F826" s="110">
        <f>IF(D826=0,0,'Deal maths'!AB826*D826/12)</f>
        <v/>
      </c>
      <c r="G826" s="108">
        <f>N826+O826</f>
        <v/>
      </c>
      <c r="H826" s="108">
        <f>IFERROR(IF(OR(D826=0,AsAt&lt;E826),0,MIN(N826,INT(((YEAR(AsAt)-YEAR(E826))*12+MONTH(AsAt)-MONTH(E826)-(DAY(AsAt)&lt;MIN(R826,DAY(EOMONTH(AsAt,0)))))/D826)+1)+O826*(AsAt&gt;='Deal maths'!AA826)),0)</f>
        <v/>
      </c>
      <c r="I826" s="108">
        <f>G826-H826</f>
        <v/>
      </c>
      <c r="J826" s="111">
        <f>IF(AND(C826="EIP",I826&gt;0),'Deal maths'!Y826/I826,0)</f>
        <v/>
      </c>
      <c r="K826" s="111">
        <f>IF(AND(C826="Annuity",I826&gt;0),IF(F826&gt;0,'Deal maths'!Y826*F826/(1-(1+F826)^-I826),'Deal maths'!Y826/I826),0)</f>
        <v/>
      </c>
      <c r="L826" s="111">
        <f>IF('Deal maths'!Y826="",0,'Deal maths'!Y826)</f>
        <v/>
      </c>
      <c r="M826" s="112">
        <f>F826+(F826=0)</f>
        <v/>
      </c>
      <c r="N826" s="108">
        <f>IFERROR(IF(D826=0,0,INT(((YEAR('Deal maths'!AA826)-YEAR(E826))*12+MONTH('Deal maths'!AA826)-MONTH(E826)-(DAY('Deal maths'!AA826)&lt;MIN(R826,DAY(EOMONTH('Deal maths'!AA826,0)))))/D826)+1),0)</f>
        <v/>
      </c>
      <c r="O826" s="108">
        <f>IFERROR(IF(D826=0,0,IF(IF(DAY(E826+1)=1,EOMONTH(E826,(N826-1)*D826),EDATE(E826,(N826-1)*D826))='Deal maths'!AA826,0,1)),0)</f>
        <v/>
      </c>
      <c r="P826" s="113">
        <f>IF(B826=0,0,IFERROR(IF(C826="EIP",((I826-O826)*((IF(DAY(E826+1)=1,EOMONTH(E826,H826*D826),EDATE(E826,H826*D826))-AsAt)/365.25+(IF(DAY(E826+1)=1,EOMONTH(E826,(N826-1)*D826),EDATE(E826,(N826-1)*D826))-AsAt)/365.25)/2+O826*('Deal maths'!AA826-AsAt)/365.25)/I826,IF(C826="Annuity",IF(F826&gt;0,((K826-L826*F826)*((IF(DAY(E826+1)=1,EOMONTH(E826,H826*D826),EDATE(E826,H826*D826))-AsAt)/365.25*((1+F826)^(I826-O826)-1)/F826+IF((I826-O826)&gt;1,((IF(DAY(E826+1)=1,EOMONTH(E826,(N826-1)*D826),EDATE(E826,(N826-1)*D826))-AsAt)/365.25-(IF(DAY(E826+1)=1,EOMONTH(E826,H826*D826),EDATE(E826,H826*D826))-AsAt)/365.25)/((I826-O826)-1),0)*(1+F826)*(1-(I826-O826)*(1+F826)^((I826-O826)-1)+((I826-O826)-1)*(1+F826)^(I826-O826))/F826^2)+O826*(K826-L826*F826)*(1+F826)^(I826-1)*('Deal maths'!AA826-AsAt)/365.25)/L826,((I826-O826)*((IF(DAY(E826+1)=1,EOMONTH(E826,H826*D826),EDATE(E826,H826*D826))-AsAt)/365.25+(IF(DAY(E826+1)=1,EOMONTH(E826,(N826-1)*D826),EDATE(E826,(N826-1)*D826))-AsAt)/365.25)/2+O826*('Deal maths'!AA826-AsAt)/365.25)/I826),(S826-AsAt)/365.25)),0))</f>
        <v/>
      </c>
      <c r="Q826" s="109">
        <f>IF(B826=1,'Deal maths'!AA826+ROW()/1000000,"")</f>
        <v/>
      </c>
      <c r="R826" s="108">
        <f>IF(D826=0,0,IF(DAY(E826+1)=1,31,DAY(E826)))</f>
        <v/>
      </c>
      <c r="S826" s="109">
        <f>IF(AND('Deal maths'!V826="LOBO",'Deal maths'!AG826&gt;AsAt,'Deal maths'!AG826&lt;'Deal maths'!AA826),'Deal maths'!AG826,'Deal maths'!AA826)</f>
        <v/>
      </c>
      <c r="T826" s="108">
        <f>('Deal maths'!AA826&gt;AsAt)*('Deal maths'!Y826&gt;0)</f>
        <v/>
      </c>
    </row>
    <row r="827">
      <c r="A827" s="91">
        <f>IF('Deal maths'!V827="","",'Deal maths'!W827)</f>
        <v/>
      </c>
      <c r="B827" s="108">
        <f>('Deal maths'!AA827&gt;AsAt)*('Deal maths'!Y827&gt;0)*('Deal maths'!Z827&lt;=AsAt)</f>
        <v/>
      </c>
      <c r="C827" s="91">
        <f>IF('Deal maths'!V827="","",IF('Deal maths'!AC827="","Maturity",'Deal maths'!AC827))</f>
        <v/>
      </c>
      <c r="D827" s="108">
        <f>IF(OR(C827="EIP",C827="Annuity"),IF('Deal maths'!AD827="Annual",12,IF('Deal maths'!AD827="Quarterly",3,6)),0)</f>
        <v/>
      </c>
      <c r="E827" s="109">
        <f>IFERROR(IF(D827=0,0,IF('Deal maths'!AE827&gt;0,IF('Deal maths'!AE827&gt;'Deal maths'!AA827,'Deal maths'!AA827,'Deal maths'!AE827),IF(IF(DAY('Deal maths'!AA827+1)=1,EOMONTH('Deal maths'!AA827,-(INT(((YEAR('Deal maths'!AA827)-YEAR(IF('Deal maths'!Z827&gt;0,'Deal maths'!Z827,DATE(1990,1,1))))*12+MONTH('Deal maths'!AA827)-MONTH(IF('Deal maths'!Z827&gt;0,'Deal maths'!Z827,DATE(1990,1,1))))/D827))*D827),EDATE('Deal maths'!AA827,-(INT(((YEAR('Deal maths'!AA827)-YEAR(IF('Deal maths'!Z827&gt;0,'Deal maths'!Z827,DATE(1990,1,1))))*12+MONTH('Deal maths'!AA827)-MONTH(IF('Deal maths'!Z827&gt;0,'Deal maths'!Z827,DATE(1990,1,1))))/D827))*D827))&gt;IF('Deal maths'!Z827&gt;0,'Deal maths'!Z827,DATE(1990,1,1)),IF(DAY('Deal maths'!AA827+1)=1,EOMONTH('Deal maths'!AA827,-(INT(((YEAR('Deal maths'!AA827)-YEAR(IF('Deal maths'!Z827&gt;0,'Deal maths'!Z827,DATE(1990,1,1))))*12+MONTH('Deal maths'!AA827)-MONTH(IF('Deal maths'!Z827&gt;0,'Deal maths'!Z827,DATE(1990,1,1))))/D827))*D827),EDATE('Deal maths'!AA827,-(INT(((YEAR('Deal maths'!AA827)-YEAR(IF('Deal maths'!Z827&gt;0,'Deal maths'!Z827,DATE(1990,1,1))))*12+MONTH('Deal maths'!AA827)-MONTH(IF('Deal maths'!Z827&gt;0,'Deal maths'!Z827,DATE(1990,1,1))))/D827))*D827)),IF(DAY('Deal maths'!AA827+1)=1,EOMONTH('Deal maths'!AA827,-(INT(((YEAR('Deal maths'!AA827)-YEAR(IF('Deal maths'!Z827&gt;0,'Deal maths'!Z827,DATE(1990,1,1))))*12+MONTH('Deal maths'!AA827)-MONTH(IF('Deal maths'!Z827&gt;0,'Deal maths'!Z827,DATE(1990,1,1))))/D827)-1)*D827),EDATE('Deal maths'!AA827,-(INT(((YEAR('Deal maths'!AA827)-YEAR(IF('Deal maths'!Z827&gt;0,'Deal maths'!Z827,DATE(1990,1,1))))*12+MONTH('Deal maths'!AA827)-MONTH(IF('Deal maths'!Z827&gt;0,'Deal maths'!Z827,DATE(1990,1,1))))/D827)-1)*D827))))),0)</f>
        <v/>
      </c>
      <c r="F827" s="110">
        <f>IF(D827=0,0,'Deal maths'!AB827*D827/12)</f>
        <v/>
      </c>
      <c r="G827" s="108">
        <f>N827+O827</f>
        <v/>
      </c>
      <c r="H827" s="108">
        <f>IFERROR(IF(OR(D827=0,AsAt&lt;E827),0,MIN(N827,INT(((YEAR(AsAt)-YEAR(E827))*12+MONTH(AsAt)-MONTH(E827)-(DAY(AsAt)&lt;MIN(R827,DAY(EOMONTH(AsAt,0)))))/D827)+1)+O827*(AsAt&gt;='Deal maths'!AA827)),0)</f>
        <v/>
      </c>
      <c r="I827" s="108">
        <f>G827-H827</f>
        <v/>
      </c>
      <c r="J827" s="111">
        <f>IF(AND(C827="EIP",I827&gt;0),'Deal maths'!Y827/I827,0)</f>
        <v/>
      </c>
      <c r="K827" s="111">
        <f>IF(AND(C827="Annuity",I827&gt;0),IF(F827&gt;0,'Deal maths'!Y827*F827/(1-(1+F827)^-I827),'Deal maths'!Y827/I827),0)</f>
        <v/>
      </c>
      <c r="L827" s="111">
        <f>IF('Deal maths'!Y827="",0,'Deal maths'!Y827)</f>
        <v/>
      </c>
      <c r="M827" s="112">
        <f>F827+(F827=0)</f>
        <v/>
      </c>
      <c r="N827" s="108">
        <f>IFERROR(IF(D827=0,0,INT(((YEAR('Deal maths'!AA827)-YEAR(E827))*12+MONTH('Deal maths'!AA827)-MONTH(E827)-(DAY('Deal maths'!AA827)&lt;MIN(R827,DAY(EOMONTH('Deal maths'!AA827,0)))))/D827)+1),0)</f>
        <v/>
      </c>
      <c r="O827" s="108">
        <f>IFERROR(IF(D827=0,0,IF(IF(DAY(E827+1)=1,EOMONTH(E827,(N827-1)*D827),EDATE(E827,(N827-1)*D827))='Deal maths'!AA827,0,1)),0)</f>
        <v/>
      </c>
      <c r="P827" s="113">
        <f>IF(B827=0,0,IFERROR(IF(C827="EIP",((I827-O827)*((IF(DAY(E827+1)=1,EOMONTH(E827,H827*D827),EDATE(E827,H827*D827))-AsAt)/365.25+(IF(DAY(E827+1)=1,EOMONTH(E827,(N827-1)*D827),EDATE(E827,(N827-1)*D827))-AsAt)/365.25)/2+O827*('Deal maths'!AA827-AsAt)/365.25)/I827,IF(C827="Annuity",IF(F827&gt;0,((K827-L827*F827)*((IF(DAY(E827+1)=1,EOMONTH(E827,H827*D827),EDATE(E827,H827*D827))-AsAt)/365.25*((1+F827)^(I827-O827)-1)/F827+IF((I827-O827)&gt;1,((IF(DAY(E827+1)=1,EOMONTH(E827,(N827-1)*D827),EDATE(E827,(N827-1)*D827))-AsAt)/365.25-(IF(DAY(E827+1)=1,EOMONTH(E827,H827*D827),EDATE(E827,H827*D827))-AsAt)/365.25)/((I827-O827)-1),0)*(1+F827)*(1-(I827-O827)*(1+F827)^((I827-O827)-1)+((I827-O827)-1)*(1+F827)^(I827-O827))/F827^2)+O827*(K827-L827*F827)*(1+F827)^(I827-1)*('Deal maths'!AA827-AsAt)/365.25)/L827,((I827-O827)*((IF(DAY(E827+1)=1,EOMONTH(E827,H827*D827),EDATE(E827,H827*D827))-AsAt)/365.25+(IF(DAY(E827+1)=1,EOMONTH(E827,(N827-1)*D827),EDATE(E827,(N827-1)*D827))-AsAt)/365.25)/2+O827*('Deal maths'!AA827-AsAt)/365.25)/I827),(S827-AsAt)/365.25)),0))</f>
        <v/>
      </c>
      <c r="Q827" s="109">
        <f>IF(B827=1,'Deal maths'!AA827+ROW()/1000000,"")</f>
        <v/>
      </c>
      <c r="R827" s="108">
        <f>IF(D827=0,0,IF(DAY(E827+1)=1,31,DAY(E827)))</f>
        <v/>
      </c>
      <c r="S827" s="109">
        <f>IF(AND('Deal maths'!V827="LOBO",'Deal maths'!AG827&gt;AsAt,'Deal maths'!AG827&lt;'Deal maths'!AA827),'Deal maths'!AG827,'Deal maths'!AA827)</f>
        <v/>
      </c>
      <c r="T827" s="108">
        <f>('Deal maths'!AA827&gt;AsAt)*('Deal maths'!Y827&gt;0)</f>
        <v/>
      </c>
    </row>
    <row r="828">
      <c r="A828" s="91">
        <f>IF('Deal maths'!V828="","",'Deal maths'!W828)</f>
        <v/>
      </c>
      <c r="B828" s="108">
        <f>('Deal maths'!AA828&gt;AsAt)*('Deal maths'!Y828&gt;0)*('Deal maths'!Z828&lt;=AsAt)</f>
        <v/>
      </c>
      <c r="C828" s="91">
        <f>IF('Deal maths'!V828="","",IF('Deal maths'!AC828="","Maturity",'Deal maths'!AC828))</f>
        <v/>
      </c>
      <c r="D828" s="108">
        <f>IF(OR(C828="EIP",C828="Annuity"),IF('Deal maths'!AD828="Annual",12,IF('Deal maths'!AD828="Quarterly",3,6)),0)</f>
        <v/>
      </c>
      <c r="E828" s="109">
        <f>IFERROR(IF(D828=0,0,IF('Deal maths'!AE828&gt;0,IF('Deal maths'!AE828&gt;'Deal maths'!AA828,'Deal maths'!AA828,'Deal maths'!AE828),IF(IF(DAY('Deal maths'!AA828+1)=1,EOMONTH('Deal maths'!AA828,-(INT(((YEAR('Deal maths'!AA828)-YEAR(IF('Deal maths'!Z828&gt;0,'Deal maths'!Z828,DATE(1990,1,1))))*12+MONTH('Deal maths'!AA828)-MONTH(IF('Deal maths'!Z828&gt;0,'Deal maths'!Z828,DATE(1990,1,1))))/D828))*D828),EDATE('Deal maths'!AA828,-(INT(((YEAR('Deal maths'!AA828)-YEAR(IF('Deal maths'!Z828&gt;0,'Deal maths'!Z828,DATE(1990,1,1))))*12+MONTH('Deal maths'!AA828)-MONTH(IF('Deal maths'!Z828&gt;0,'Deal maths'!Z828,DATE(1990,1,1))))/D828))*D828))&gt;IF('Deal maths'!Z828&gt;0,'Deal maths'!Z828,DATE(1990,1,1)),IF(DAY('Deal maths'!AA828+1)=1,EOMONTH('Deal maths'!AA828,-(INT(((YEAR('Deal maths'!AA828)-YEAR(IF('Deal maths'!Z828&gt;0,'Deal maths'!Z828,DATE(1990,1,1))))*12+MONTH('Deal maths'!AA828)-MONTH(IF('Deal maths'!Z828&gt;0,'Deal maths'!Z828,DATE(1990,1,1))))/D828))*D828),EDATE('Deal maths'!AA828,-(INT(((YEAR('Deal maths'!AA828)-YEAR(IF('Deal maths'!Z828&gt;0,'Deal maths'!Z828,DATE(1990,1,1))))*12+MONTH('Deal maths'!AA828)-MONTH(IF('Deal maths'!Z828&gt;0,'Deal maths'!Z828,DATE(1990,1,1))))/D828))*D828)),IF(DAY('Deal maths'!AA828+1)=1,EOMONTH('Deal maths'!AA828,-(INT(((YEAR('Deal maths'!AA828)-YEAR(IF('Deal maths'!Z828&gt;0,'Deal maths'!Z828,DATE(1990,1,1))))*12+MONTH('Deal maths'!AA828)-MONTH(IF('Deal maths'!Z828&gt;0,'Deal maths'!Z828,DATE(1990,1,1))))/D828)-1)*D828),EDATE('Deal maths'!AA828,-(INT(((YEAR('Deal maths'!AA828)-YEAR(IF('Deal maths'!Z828&gt;0,'Deal maths'!Z828,DATE(1990,1,1))))*12+MONTH('Deal maths'!AA828)-MONTH(IF('Deal maths'!Z828&gt;0,'Deal maths'!Z828,DATE(1990,1,1))))/D828)-1)*D828))))),0)</f>
        <v/>
      </c>
      <c r="F828" s="110">
        <f>IF(D828=0,0,'Deal maths'!AB828*D828/12)</f>
        <v/>
      </c>
      <c r="G828" s="108">
        <f>N828+O828</f>
        <v/>
      </c>
      <c r="H828" s="108">
        <f>IFERROR(IF(OR(D828=0,AsAt&lt;E828),0,MIN(N828,INT(((YEAR(AsAt)-YEAR(E828))*12+MONTH(AsAt)-MONTH(E828)-(DAY(AsAt)&lt;MIN(R828,DAY(EOMONTH(AsAt,0)))))/D828)+1)+O828*(AsAt&gt;='Deal maths'!AA828)),0)</f>
        <v/>
      </c>
      <c r="I828" s="108">
        <f>G828-H828</f>
        <v/>
      </c>
      <c r="J828" s="111">
        <f>IF(AND(C828="EIP",I828&gt;0),'Deal maths'!Y828/I828,0)</f>
        <v/>
      </c>
      <c r="K828" s="111">
        <f>IF(AND(C828="Annuity",I828&gt;0),IF(F828&gt;0,'Deal maths'!Y828*F828/(1-(1+F828)^-I828),'Deal maths'!Y828/I828),0)</f>
        <v/>
      </c>
      <c r="L828" s="111">
        <f>IF('Deal maths'!Y828="",0,'Deal maths'!Y828)</f>
        <v/>
      </c>
      <c r="M828" s="112">
        <f>F828+(F828=0)</f>
        <v/>
      </c>
      <c r="N828" s="108">
        <f>IFERROR(IF(D828=0,0,INT(((YEAR('Deal maths'!AA828)-YEAR(E828))*12+MONTH('Deal maths'!AA828)-MONTH(E828)-(DAY('Deal maths'!AA828)&lt;MIN(R828,DAY(EOMONTH('Deal maths'!AA828,0)))))/D828)+1),0)</f>
        <v/>
      </c>
      <c r="O828" s="108">
        <f>IFERROR(IF(D828=0,0,IF(IF(DAY(E828+1)=1,EOMONTH(E828,(N828-1)*D828),EDATE(E828,(N828-1)*D828))='Deal maths'!AA828,0,1)),0)</f>
        <v/>
      </c>
      <c r="P828" s="113">
        <f>IF(B828=0,0,IFERROR(IF(C828="EIP",((I828-O828)*((IF(DAY(E828+1)=1,EOMONTH(E828,H828*D828),EDATE(E828,H828*D828))-AsAt)/365.25+(IF(DAY(E828+1)=1,EOMONTH(E828,(N828-1)*D828),EDATE(E828,(N828-1)*D828))-AsAt)/365.25)/2+O828*('Deal maths'!AA828-AsAt)/365.25)/I828,IF(C828="Annuity",IF(F828&gt;0,((K828-L828*F828)*((IF(DAY(E828+1)=1,EOMONTH(E828,H828*D828),EDATE(E828,H828*D828))-AsAt)/365.25*((1+F828)^(I828-O828)-1)/F828+IF((I828-O828)&gt;1,((IF(DAY(E828+1)=1,EOMONTH(E828,(N828-1)*D828),EDATE(E828,(N828-1)*D828))-AsAt)/365.25-(IF(DAY(E828+1)=1,EOMONTH(E828,H828*D828),EDATE(E828,H828*D828))-AsAt)/365.25)/((I828-O828)-1),0)*(1+F828)*(1-(I828-O828)*(1+F828)^((I828-O828)-1)+((I828-O828)-1)*(1+F828)^(I828-O828))/F828^2)+O828*(K828-L828*F828)*(1+F828)^(I828-1)*('Deal maths'!AA828-AsAt)/365.25)/L828,((I828-O828)*((IF(DAY(E828+1)=1,EOMONTH(E828,H828*D828),EDATE(E828,H828*D828))-AsAt)/365.25+(IF(DAY(E828+1)=1,EOMONTH(E828,(N828-1)*D828),EDATE(E828,(N828-1)*D828))-AsAt)/365.25)/2+O828*('Deal maths'!AA828-AsAt)/365.25)/I828),(S828-AsAt)/365.25)),0))</f>
        <v/>
      </c>
      <c r="Q828" s="109">
        <f>IF(B828=1,'Deal maths'!AA828+ROW()/1000000,"")</f>
        <v/>
      </c>
      <c r="R828" s="108">
        <f>IF(D828=0,0,IF(DAY(E828+1)=1,31,DAY(E828)))</f>
        <v/>
      </c>
      <c r="S828" s="109">
        <f>IF(AND('Deal maths'!V828="LOBO",'Deal maths'!AG828&gt;AsAt,'Deal maths'!AG828&lt;'Deal maths'!AA828),'Deal maths'!AG828,'Deal maths'!AA828)</f>
        <v/>
      </c>
      <c r="T828" s="108">
        <f>('Deal maths'!AA828&gt;AsAt)*('Deal maths'!Y828&gt;0)</f>
        <v/>
      </c>
    </row>
    <row r="829">
      <c r="A829" s="91">
        <f>IF('Deal maths'!V829="","",'Deal maths'!W829)</f>
        <v/>
      </c>
      <c r="B829" s="108">
        <f>('Deal maths'!AA829&gt;AsAt)*('Deal maths'!Y829&gt;0)*('Deal maths'!Z829&lt;=AsAt)</f>
        <v/>
      </c>
      <c r="C829" s="91">
        <f>IF('Deal maths'!V829="","",IF('Deal maths'!AC829="","Maturity",'Deal maths'!AC829))</f>
        <v/>
      </c>
      <c r="D829" s="108">
        <f>IF(OR(C829="EIP",C829="Annuity"),IF('Deal maths'!AD829="Annual",12,IF('Deal maths'!AD829="Quarterly",3,6)),0)</f>
        <v/>
      </c>
      <c r="E829" s="109">
        <f>IFERROR(IF(D829=0,0,IF('Deal maths'!AE829&gt;0,IF('Deal maths'!AE829&gt;'Deal maths'!AA829,'Deal maths'!AA829,'Deal maths'!AE829),IF(IF(DAY('Deal maths'!AA829+1)=1,EOMONTH('Deal maths'!AA829,-(INT(((YEAR('Deal maths'!AA829)-YEAR(IF('Deal maths'!Z829&gt;0,'Deal maths'!Z829,DATE(1990,1,1))))*12+MONTH('Deal maths'!AA829)-MONTH(IF('Deal maths'!Z829&gt;0,'Deal maths'!Z829,DATE(1990,1,1))))/D829))*D829),EDATE('Deal maths'!AA829,-(INT(((YEAR('Deal maths'!AA829)-YEAR(IF('Deal maths'!Z829&gt;0,'Deal maths'!Z829,DATE(1990,1,1))))*12+MONTH('Deal maths'!AA829)-MONTH(IF('Deal maths'!Z829&gt;0,'Deal maths'!Z829,DATE(1990,1,1))))/D829))*D829))&gt;IF('Deal maths'!Z829&gt;0,'Deal maths'!Z829,DATE(1990,1,1)),IF(DAY('Deal maths'!AA829+1)=1,EOMONTH('Deal maths'!AA829,-(INT(((YEAR('Deal maths'!AA829)-YEAR(IF('Deal maths'!Z829&gt;0,'Deal maths'!Z829,DATE(1990,1,1))))*12+MONTH('Deal maths'!AA829)-MONTH(IF('Deal maths'!Z829&gt;0,'Deal maths'!Z829,DATE(1990,1,1))))/D829))*D829),EDATE('Deal maths'!AA829,-(INT(((YEAR('Deal maths'!AA829)-YEAR(IF('Deal maths'!Z829&gt;0,'Deal maths'!Z829,DATE(1990,1,1))))*12+MONTH('Deal maths'!AA829)-MONTH(IF('Deal maths'!Z829&gt;0,'Deal maths'!Z829,DATE(1990,1,1))))/D829))*D829)),IF(DAY('Deal maths'!AA829+1)=1,EOMONTH('Deal maths'!AA829,-(INT(((YEAR('Deal maths'!AA829)-YEAR(IF('Deal maths'!Z829&gt;0,'Deal maths'!Z829,DATE(1990,1,1))))*12+MONTH('Deal maths'!AA829)-MONTH(IF('Deal maths'!Z829&gt;0,'Deal maths'!Z829,DATE(1990,1,1))))/D829)-1)*D829),EDATE('Deal maths'!AA829,-(INT(((YEAR('Deal maths'!AA829)-YEAR(IF('Deal maths'!Z829&gt;0,'Deal maths'!Z829,DATE(1990,1,1))))*12+MONTH('Deal maths'!AA829)-MONTH(IF('Deal maths'!Z829&gt;0,'Deal maths'!Z829,DATE(1990,1,1))))/D829)-1)*D829))))),0)</f>
        <v/>
      </c>
      <c r="F829" s="110">
        <f>IF(D829=0,0,'Deal maths'!AB829*D829/12)</f>
        <v/>
      </c>
      <c r="G829" s="108">
        <f>N829+O829</f>
        <v/>
      </c>
      <c r="H829" s="108">
        <f>IFERROR(IF(OR(D829=0,AsAt&lt;E829),0,MIN(N829,INT(((YEAR(AsAt)-YEAR(E829))*12+MONTH(AsAt)-MONTH(E829)-(DAY(AsAt)&lt;MIN(R829,DAY(EOMONTH(AsAt,0)))))/D829)+1)+O829*(AsAt&gt;='Deal maths'!AA829)),0)</f>
        <v/>
      </c>
      <c r="I829" s="108">
        <f>G829-H829</f>
        <v/>
      </c>
      <c r="J829" s="111">
        <f>IF(AND(C829="EIP",I829&gt;0),'Deal maths'!Y829/I829,0)</f>
        <v/>
      </c>
      <c r="K829" s="111">
        <f>IF(AND(C829="Annuity",I829&gt;0),IF(F829&gt;0,'Deal maths'!Y829*F829/(1-(1+F829)^-I829),'Deal maths'!Y829/I829),0)</f>
        <v/>
      </c>
      <c r="L829" s="111">
        <f>IF('Deal maths'!Y829="",0,'Deal maths'!Y829)</f>
        <v/>
      </c>
      <c r="M829" s="112">
        <f>F829+(F829=0)</f>
        <v/>
      </c>
      <c r="N829" s="108">
        <f>IFERROR(IF(D829=0,0,INT(((YEAR('Deal maths'!AA829)-YEAR(E829))*12+MONTH('Deal maths'!AA829)-MONTH(E829)-(DAY('Deal maths'!AA829)&lt;MIN(R829,DAY(EOMONTH('Deal maths'!AA829,0)))))/D829)+1),0)</f>
        <v/>
      </c>
      <c r="O829" s="108">
        <f>IFERROR(IF(D829=0,0,IF(IF(DAY(E829+1)=1,EOMONTH(E829,(N829-1)*D829),EDATE(E829,(N829-1)*D829))='Deal maths'!AA829,0,1)),0)</f>
        <v/>
      </c>
      <c r="P829" s="113">
        <f>IF(B829=0,0,IFERROR(IF(C829="EIP",((I829-O829)*((IF(DAY(E829+1)=1,EOMONTH(E829,H829*D829),EDATE(E829,H829*D829))-AsAt)/365.25+(IF(DAY(E829+1)=1,EOMONTH(E829,(N829-1)*D829),EDATE(E829,(N829-1)*D829))-AsAt)/365.25)/2+O829*('Deal maths'!AA829-AsAt)/365.25)/I829,IF(C829="Annuity",IF(F829&gt;0,((K829-L829*F829)*((IF(DAY(E829+1)=1,EOMONTH(E829,H829*D829),EDATE(E829,H829*D829))-AsAt)/365.25*((1+F829)^(I829-O829)-1)/F829+IF((I829-O829)&gt;1,((IF(DAY(E829+1)=1,EOMONTH(E829,(N829-1)*D829),EDATE(E829,(N829-1)*D829))-AsAt)/365.25-(IF(DAY(E829+1)=1,EOMONTH(E829,H829*D829),EDATE(E829,H829*D829))-AsAt)/365.25)/((I829-O829)-1),0)*(1+F829)*(1-(I829-O829)*(1+F829)^((I829-O829)-1)+((I829-O829)-1)*(1+F829)^(I829-O829))/F829^2)+O829*(K829-L829*F829)*(1+F829)^(I829-1)*('Deal maths'!AA829-AsAt)/365.25)/L829,((I829-O829)*((IF(DAY(E829+1)=1,EOMONTH(E829,H829*D829),EDATE(E829,H829*D829))-AsAt)/365.25+(IF(DAY(E829+1)=1,EOMONTH(E829,(N829-1)*D829),EDATE(E829,(N829-1)*D829))-AsAt)/365.25)/2+O829*('Deal maths'!AA829-AsAt)/365.25)/I829),(S829-AsAt)/365.25)),0))</f>
        <v/>
      </c>
      <c r="Q829" s="109">
        <f>IF(B829=1,'Deal maths'!AA829+ROW()/1000000,"")</f>
        <v/>
      </c>
      <c r="R829" s="108">
        <f>IF(D829=0,0,IF(DAY(E829+1)=1,31,DAY(E829)))</f>
        <v/>
      </c>
      <c r="S829" s="109">
        <f>IF(AND('Deal maths'!V829="LOBO",'Deal maths'!AG829&gt;AsAt,'Deal maths'!AG829&lt;'Deal maths'!AA829),'Deal maths'!AG829,'Deal maths'!AA829)</f>
        <v/>
      </c>
      <c r="T829" s="108">
        <f>('Deal maths'!AA829&gt;AsAt)*('Deal maths'!Y829&gt;0)</f>
        <v/>
      </c>
    </row>
    <row r="830">
      <c r="A830" s="91">
        <f>IF('Deal maths'!V830="","",'Deal maths'!W830)</f>
        <v/>
      </c>
      <c r="B830" s="108">
        <f>('Deal maths'!AA830&gt;AsAt)*('Deal maths'!Y830&gt;0)*('Deal maths'!Z830&lt;=AsAt)</f>
        <v/>
      </c>
      <c r="C830" s="91">
        <f>IF('Deal maths'!V830="","",IF('Deal maths'!AC830="","Maturity",'Deal maths'!AC830))</f>
        <v/>
      </c>
      <c r="D830" s="108">
        <f>IF(OR(C830="EIP",C830="Annuity"),IF('Deal maths'!AD830="Annual",12,IF('Deal maths'!AD830="Quarterly",3,6)),0)</f>
        <v/>
      </c>
      <c r="E830" s="109">
        <f>IFERROR(IF(D830=0,0,IF('Deal maths'!AE830&gt;0,IF('Deal maths'!AE830&gt;'Deal maths'!AA830,'Deal maths'!AA830,'Deal maths'!AE830),IF(IF(DAY('Deal maths'!AA830+1)=1,EOMONTH('Deal maths'!AA830,-(INT(((YEAR('Deal maths'!AA830)-YEAR(IF('Deal maths'!Z830&gt;0,'Deal maths'!Z830,DATE(1990,1,1))))*12+MONTH('Deal maths'!AA830)-MONTH(IF('Deal maths'!Z830&gt;0,'Deal maths'!Z830,DATE(1990,1,1))))/D830))*D830),EDATE('Deal maths'!AA830,-(INT(((YEAR('Deal maths'!AA830)-YEAR(IF('Deal maths'!Z830&gt;0,'Deal maths'!Z830,DATE(1990,1,1))))*12+MONTH('Deal maths'!AA830)-MONTH(IF('Deal maths'!Z830&gt;0,'Deal maths'!Z830,DATE(1990,1,1))))/D830))*D830))&gt;IF('Deal maths'!Z830&gt;0,'Deal maths'!Z830,DATE(1990,1,1)),IF(DAY('Deal maths'!AA830+1)=1,EOMONTH('Deal maths'!AA830,-(INT(((YEAR('Deal maths'!AA830)-YEAR(IF('Deal maths'!Z830&gt;0,'Deal maths'!Z830,DATE(1990,1,1))))*12+MONTH('Deal maths'!AA830)-MONTH(IF('Deal maths'!Z830&gt;0,'Deal maths'!Z830,DATE(1990,1,1))))/D830))*D830),EDATE('Deal maths'!AA830,-(INT(((YEAR('Deal maths'!AA830)-YEAR(IF('Deal maths'!Z830&gt;0,'Deal maths'!Z830,DATE(1990,1,1))))*12+MONTH('Deal maths'!AA830)-MONTH(IF('Deal maths'!Z830&gt;0,'Deal maths'!Z830,DATE(1990,1,1))))/D830))*D830)),IF(DAY('Deal maths'!AA830+1)=1,EOMONTH('Deal maths'!AA830,-(INT(((YEAR('Deal maths'!AA830)-YEAR(IF('Deal maths'!Z830&gt;0,'Deal maths'!Z830,DATE(1990,1,1))))*12+MONTH('Deal maths'!AA830)-MONTH(IF('Deal maths'!Z830&gt;0,'Deal maths'!Z830,DATE(1990,1,1))))/D830)-1)*D830),EDATE('Deal maths'!AA830,-(INT(((YEAR('Deal maths'!AA830)-YEAR(IF('Deal maths'!Z830&gt;0,'Deal maths'!Z830,DATE(1990,1,1))))*12+MONTH('Deal maths'!AA830)-MONTH(IF('Deal maths'!Z830&gt;0,'Deal maths'!Z830,DATE(1990,1,1))))/D830)-1)*D830))))),0)</f>
        <v/>
      </c>
      <c r="F830" s="110">
        <f>IF(D830=0,0,'Deal maths'!AB830*D830/12)</f>
        <v/>
      </c>
      <c r="G830" s="108">
        <f>N830+O830</f>
        <v/>
      </c>
      <c r="H830" s="108">
        <f>IFERROR(IF(OR(D830=0,AsAt&lt;E830),0,MIN(N830,INT(((YEAR(AsAt)-YEAR(E830))*12+MONTH(AsAt)-MONTH(E830)-(DAY(AsAt)&lt;MIN(R830,DAY(EOMONTH(AsAt,0)))))/D830)+1)+O830*(AsAt&gt;='Deal maths'!AA830)),0)</f>
        <v/>
      </c>
      <c r="I830" s="108">
        <f>G830-H830</f>
        <v/>
      </c>
      <c r="J830" s="111">
        <f>IF(AND(C830="EIP",I830&gt;0),'Deal maths'!Y830/I830,0)</f>
        <v/>
      </c>
      <c r="K830" s="111">
        <f>IF(AND(C830="Annuity",I830&gt;0),IF(F830&gt;0,'Deal maths'!Y830*F830/(1-(1+F830)^-I830),'Deal maths'!Y830/I830),0)</f>
        <v/>
      </c>
      <c r="L830" s="111">
        <f>IF('Deal maths'!Y830="",0,'Deal maths'!Y830)</f>
        <v/>
      </c>
      <c r="M830" s="112">
        <f>F830+(F830=0)</f>
        <v/>
      </c>
      <c r="N830" s="108">
        <f>IFERROR(IF(D830=0,0,INT(((YEAR('Deal maths'!AA830)-YEAR(E830))*12+MONTH('Deal maths'!AA830)-MONTH(E830)-(DAY('Deal maths'!AA830)&lt;MIN(R830,DAY(EOMONTH('Deal maths'!AA830,0)))))/D830)+1),0)</f>
        <v/>
      </c>
      <c r="O830" s="108">
        <f>IFERROR(IF(D830=0,0,IF(IF(DAY(E830+1)=1,EOMONTH(E830,(N830-1)*D830),EDATE(E830,(N830-1)*D830))='Deal maths'!AA830,0,1)),0)</f>
        <v/>
      </c>
      <c r="P830" s="113">
        <f>IF(B830=0,0,IFERROR(IF(C830="EIP",((I830-O830)*((IF(DAY(E830+1)=1,EOMONTH(E830,H830*D830),EDATE(E830,H830*D830))-AsAt)/365.25+(IF(DAY(E830+1)=1,EOMONTH(E830,(N830-1)*D830),EDATE(E830,(N830-1)*D830))-AsAt)/365.25)/2+O830*('Deal maths'!AA830-AsAt)/365.25)/I830,IF(C830="Annuity",IF(F830&gt;0,((K830-L830*F830)*((IF(DAY(E830+1)=1,EOMONTH(E830,H830*D830),EDATE(E830,H830*D830))-AsAt)/365.25*((1+F830)^(I830-O830)-1)/F830+IF((I830-O830)&gt;1,((IF(DAY(E830+1)=1,EOMONTH(E830,(N830-1)*D830),EDATE(E830,(N830-1)*D830))-AsAt)/365.25-(IF(DAY(E830+1)=1,EOMONTH(E830,H830*D830),EDATE(E830,H830*D830))-AsAt)/365.25)/((I830-O830)-1),0)*(1+F830)*(1-(I830-O830)*(1+F830)^((I830-O830)-1)+((I830-O830)-1)*(1+F830)^(I830-O830))/F830^2)+O830*(K830-L830*F830)*(1+F830)^(I830-1)*('Deal maths'!AA830-AsAt)/365.25)/L830,((I830-O830)*((IF(DAY(E830+1)=1,EOMONTH(E830,H830*D830),EDATE(E830,H830*D830))-AsAt)/365.25+(IF(DAY(E830+1)=1,EOMONTH(E830,(N830-1)*D830),EDATE(E830,(N830-1)*D830))-AsAt)/365.25)/2+O830*('Deal maths'!AA830-AsAt)/365.25)/I830),(S830-AsAt)/365.25)),0))</f>
        <v/>
      </c>
      <c r="Q830" s="109">
        <f>IF(B830=1,'Deal maths'!AA830+ROW()/1000000,"")</f>
        <v/>
      </c>
      <c r="R830" s="108">
        <f>IF(D830=0,0,IF(DAY(E830+1)=1,31,DAY(E830)))</f>
        <v/>
      </c>
      <c r="S830" s="109">
        <f>IF(AND('Deal maths'!V830="LOBO",'Deal maths'!AG830&gt;AsAt,'Deal maths'!AG830&lt;'Deal maths'!AA830),'Deal maths'!AG830,'Deal maths'!AA830)</f>
        <v/>
      </c>
      <c r="T830" s="108">
        <f>('Deal maths'!AA830&gt;AsAt)*('Deal maths'!Y830&gt;0)</f>
        <v/>
      </c>
    </row>
    <row r="831">
      <c r="A831" s="91">
        <f>IF('Deal maths'!V831="","",'Deal maths'!W831)</f>
        <v/>
      </c>
      <c r="B831" s="108">
        <f>('Deal maths'!AA831&gt;AsAt)*('Deal maths'!Y831&gt;0)*('Deal maths'!Z831&lt;=AsAt)</f>
        <v/>
      </c>
      <c r="C831" s="91">
        <f>IF('Deal maths'!V831="","",IF('Deal maths'!AC831="","Maturity",'Deal maths'!AC831))</f>
        <v/>
      </c>
      <c r="D831" s="108">
        <f>IF(OR(C831="EIP",C831="Annuity"),IF('Deal maths'!AD831="Annual",12,IF('Deal maths'!AD831="Quarterly",3,6)),0)</f>
        <v/>
      </c>
      <c r="E831" s="109">
        <f>IFERROR(IF(D831=0,0,IF('Deal maths'!AE831&gt;0,IF('Deal maths'!AE831&gt;'Deal maths'!AA831,'Deal maths'!AA831,'Deal maths'!AE831),IF(IF(DAY('Deal maths'!AA831+1)=1,EOMONTH('Deal maths'!AA831,-(INT(((YEAR('Deal maths'!AA831)-YEAR(IF('Deal maths'!Z831&gt;0,'Deal maths'!Z831,DATE(1990,1,1))))*12+MONTH('Deal maths'!AA831)-MONTH(IF('Deal maths'!Z831&gt;0,'Deal maths'!Z831,DATE(1990,1,1))))/D831))*D831),EDATE('Deal maths'!AA831,-(INT(((YEAR('Deal maths'!AA831)-YEAR(IF('Deal maths'!Z831&gt;0,'Deal maths'!Z831,DATE(1990,1,1))))*12+MONTH('Deal maths'!AA831)-MONTH(IF('Deal maths'!Z831&gt;0,'Deal maths'!Z831,DATE(1990,1,1))))/D831))*D831))&gt;IF('Deal maths'!Z831&gt;0,'Deal maths'!Z831,DATE(1990,1,1)),IF(DAY('Deal maths'!AA831+1)=1,EOMONTH('Deal maths'!AA831,-(INT(((YEAR('Deal maths'!AA831)-YEAR(IF('Deal maths'!Z831&gt;0,'Deal maths'!Z831,DATE(1990,1,1))))*12+MONTH('Deal maths'!AA831)-MONTH(IF('Deal maths'!Z831&gt;0,'Deal maths'!Z831,DATE(1990,1,1))))/D831))*D831),EDATE('Deal maths'!AA831,-(INT(((YEAR('Deal maths'!AA831)-YEAR(IF('Deal maths'!Z831&gt;0,'Deal maths'!Z831,DATE(1990,1,1))))*12+MONTH('Deal maths'!AA831)-MONTH(IF('Deal maths'!Z831&gt;0,'Deal maths'!Z831,DATE(1990,1,1))))/D831))*D831)),IF(DAY('Deal maths'!AA831+1)=1,EOMONTH('Deal maths'!AA831,-(INT(((YEAR('Deal maths'!AA831)-YEAR(IF('Deal maths'!Z831&gt;0,'Deal maths'!Z831,DATE(1990,1,1))))*12+MONTH('Deal maths'!AA831)-MONTH(IF('Deal maths'!Z831&gt;0,'Deal maths'!Z831,DATE(1990,1,1))))/D831)-1)*D831),EDATE('Deal maths'!AA831,-(INT(((YEAR('Deal maths'!AA831)-YEAR(IF('Deal maths'!Z831&gt;0,'Deal maths'!Z831,DATE(1990,1,1))))*12+MONTH('Deal maths'!AA831)-MONTH(IF('Deal maths'!Z831&gt;0,'Deal maths'!Z831,DATE(1990,1,1))))/D831)-1)*D831))))),0)</f>
        <v/>
      </c>
      <c r="F831" s="110">
        <f>IF(D831=0,0,'Deal maths'!AB831*D831/12)</f>
        <v/>
      </c>
      <c r="G831" s="108">
        <f>N831+O831</f>
        <v/>
      </c>
      <c r="H831" s="108">
        <f>IFERROR(IF(OR(D831=0,AsAt&lt;E831),0,MIN(N831,INT(((YEAR(AsAt)-YEAR(E831))*12+MONTH(AsAt)-MONTH(E831)-(DAY(AsAt)&lt;MIN(R831,DAY(EOMONTH(AsAt,0)))))/D831)+1)+O831*(AsAt&gt;='Deal maths'!AA831)),0)</f>
        <v/>
      </c>
      <c r="I831" s="108">
        <f>G831-H831</f>
        <v/>
      </c>
      <c r="J831" s="111">
        <f>IF(AND(C831="EIP",I831&gt;0),'Deal maths'!Y831/I831,0)</f>
        <v/>
      </c>
      <c r="K831" s="111">
        <f>IF(AND(C831="Annuity",I831&gt;0),IF(F831&gt;0,'Deal maths'!Y831*F831/(1-(1+F831)^-I831),'Deal maths'!Y831/I831),0)</f>
        <v/>
      </c>
      <c r="L831" s="111">
        <f>IF('Deal maths'!Y831="",0,'Deal maths'!Y831)</f>
        <v/>
      </c>
      <c r="M831" s="112">
        <f>F831+(F831=0)</f>
        <v/>
      </c>
      <c r="N831" s="108">
        <f>IFERROR(IF(D831=0,0,INT(((YEAR('Deal maths'!AA831)-YEAR(E831))*12+MONTH('Deal maths'!AA831)-MONTH(E831)-(DAY('Deal maths'!AA831)&lt;MIN(R831,DAY(EOMONTH('Deal maths'!AA831,0)))))/D831)+1),0)</f>
        <v/>
      </c>
      <c r="O831" s="108">
        <f>IFERROR(IF(D831=0,0,IF(IF(DAY(E831+1)=1,EOMONTH(E831,(N831-1)*D831),EDATE(E831,(N831-1)*D831))='Deal maths'!AA831,0,1)),0)</f>
        <v/>
      </c>
      <c r="P831" s="113">
        <f>IF(B831=0,0,IFERROR(IF(C831="EIP",((I831-O831)*((IF(DAY(E831+1)=1,EOMONTH(E831,H831*D831),EDATE(E831,H831*D831))-AsAt)/365.25+(IF(DAY(E831+1)=1,EOMONTH(E831,(N831-1)*D831),EDATE(E831,(N831-1)*D831))-AsAt)/365.25)/2+O831*('Deal maths'!AA831-AsAt)/365.25)/I831,IF(C831="Annuity",IF(F831&gt;0,((K831-L831*F831)*((IF(DAY(E831+1)=1,EOMONTH(E831,H831*D831),EDATE(E831,H831*D831))-AsAt)/365.25*((1+F831)^(I831-O831)-1)/F831+IF((I831-O831)&gt;1,((IF(DAY(E831+1)=1,EOMONTH(E831,(N831-1)*D831),EDATE(E831,(N831-1)*D831))-AsAt)/365.25-(IF(DAY(E831+1)=1,EOMONTH(E831,H831*D831),EDATE(E831,H831*D831))-AsAt)/365.25)/((I831-O831)-1),0)*(1+F831)*(1-(I831-O831)*(1+F831)^((I831-O831)-1)+((I831-O831)-1)*(1+F831)^(I831-O831))/F831^2)+O831*(K831-L831*F831)*(1+F831)^(I831-1)*('Deal maths'!AA831-AsAt)/365.25)/L831,((I831-O831)*((IF(DAY(E831+1)=1,EOMONTH(E831,H831*D831),EDATE(E831,H831*D831))-AsAt)/365.25+(IF(DAY(E831+1)=1,EOMONTH(E831,(N831-1)*D831),EDATE(E831,(N831-1)*D831))-AsAt)/365.25)/2+O831*('Deal maths'!AA831-AsAt)/365.25)/I831),(S831-AsAt)/365.25)),0))</f>
        <v/>
      </c>
      <c r="Q831" s="109">
        <f>IF(B831=1,'Deal maths'!AA831+ROW()/1000000,"")</f>
        <v/>
      </c>
      <c r="R831" s="108">
        <f>IF(D831=0,0,IF(DAY(E831+1)=1,31,DAY(E831)))</f>
        <v/>
      </c>
      <c r="S831" s="109">
        <f>IF(AND('Deal maths'!V831="LOBO",'Deal maths'!AG831&gt;AsAt,'Deal maths'!AG831&lt;'Deal maths'!AA831),'Deal maths'!AG831,'Deal maths'!AA831)</f>
        <v/>
      </c>
      <c r="T831" s="108">
        <f>('Deal maths'!AA831&gt;AsAt)*('Deal maths'!Y831&gt;0)</f>
        <v/>
      </c>
    </row>
    <row r="832">
      <c r="A832" s="91">
        <f>IF('Deal maths'!V832="","",'Deal maths'!W832)</f>
        <v/>
      </c>
      <c r="B832" s="108">
        <f>('Deal maths'!AA832&gt;AsAt)*('Deal maths'!Y832&gt;0)*('Deal maths'!Z832&lt;=AsAt)</f>
        <v/>
      </c>
      <c r="C832" s="91">
        <f>IF('Deal maths'!V832="","",IF('Deal maths'!AC832="","Maturity",'Deal maths'!AC832))</f>
        <v/>
      </c>
      <c r="D832" s="108">
        <f>IF(OR(C832="EIP",C832="Annuity"),IF('Deal maths'!AD832="Annual",12,IF('Deal maths'!AD832="Quarterly",3,6)),0)</f>
        <v/>
      </c>
      <c r="E832" s="109">
        <f>IFERROR(IF(D832=0,0,IF('Deal maths'!AE832&gt;0,IF('Deal maths'!AE832&gt;'Deal maths'!AA832,'Deal maths'!AA832,'Deal maths'!AE832),IF(IF(DAY('Deal maths'!AA832+1)=1,EOMONTH('Deal maths'!AA832,-(INT(((YEAR('Deal maths'!AA832)-YEAR(IF('Deal maths'!Z832&gt;0,'Deal maths'!Z832,DATE(1990,1,1))))*12+MONTH('Deal maths'!AA832)-MONTH(IF('Deal maths'!Z832&gt;0,'Deal maths'!Z832,DATE(1990,1,1))))/D832))*D832),EDATE('Deal maths'!AA832,-(INT(((YEAR('Deal maths'!AA832)-YEAR(IF('Deal maths'!Z832&gt;0,'Deal maths'!Z832,DATE(1990,1,1))))*12+MONTH('Deal maths'!AA832)-MONTH(IF('Deal maths'!Z832&gt;0,'Deal maths'!Z832,DATE(1990,1,1))))/D832))*D832))&gt;IF('Deal maths'!Z832&gt;0,'Deal maths'!Z832,DATE(1990,1,1)),IF(DAY('Deal maths'!AA832+1)=1,EOMONTH('Deal maths'!AA832,-(INT(((YEAR('Deal maths'!AA832)-YEAR(IF('Deal maths'!Z832&gt;0,'Deal maths'!Z832,DATE(1990,1,1))))*12+MONTH('Deal maths'!AA832)-MONTH(IF('Deal maths'!Z832&gt;0,'Deal maths'!Z832,DATE(1990,1,1))))/D832))*D832),EDATE('Deal maths'!AA832,-(INT(((YEAR('Deal maths'!AA832)-YEAR(IF('Deal maths'!Z832&gt;0,'Deal maths'!Z832,DATE(1990,1,1))))*12+MONTH('Deal maths'!AA832)-MONTH(IF('Deal maths'!Z832&gt;0,'Deal maths'!Z832,DATE(1990,1,1))))/D832))*D832)),IF(DAY('Deal maths'!AA832+1)=1,EOMONTH('Deal maths'!AA832,-(INT(((YEAR('Deal maths'!AA832)-YEAR(IF('Deal maths'!Z832&gt;0,'Deal maths'!Z832,DATE(1990,1,1))))*12+MONTH('Deal maths'!AA832)-MONTH(IF('Deal maths'!Z832&gt;0,'Deal maths'!Z832,DATE(1990,1,1))))/D832)-1)*D832),EDATE('Deal maths'!AA832,-(INT(((YEAR('Deal maths'!AA832)-YEAR(IF('Deal maths'!Z832&gt;0,'Deal maths'!Z832,DATE(1990,1,1))))*12+MONTH('Deal maths'!AA832)-MONTH(IF('Deal maths'!Z832&gt;0,'Deal maths'!Z832,DATE(1990,1,1))))/D832)-1)*D832))))),0)</f>
        <v/>
      </c>
      <c r="F832" s="110">
        <f>IF(D832=0,0,'Deal maths'!AB832*D832/12)</f>
        <v/>
      </c>
      <c r="G832" s="108">
        <f>N832+O832</f>
        <v/>
      </c>
      <c r="H832" s="108">
        <f>IFERROR(IF(OR(D832=0,AsAt&lt;E832),0,MIN(N832,INT(((YEAR(AsAt)-YEAR(E832))*12+MONTH(AsAt)-MONTH(E832)-(DAY(AsAt)&lt;MIN(R832,DAY(EOMONTH(AsAt,0)))))/D832)+1)+O832*(AsAt&gt;='Deal maths'!AA832)),0)</f>
        <v/>
      </c>
      <c r="I832" s="108">
        <f>G832-H832</f>
        <v/>
      </c>
      <c r="J832" s="111">
        <f>IF(AND(C832="EIP",I832&gt;0),'Deal maths'!Y832/I832,0)</f>
        <v/>
      </c>
      <c r="K832" s="111">
        <f>IF(AND(C832="Annuity",I832&gt;0),IF(F832&gt;0,'Deal maths'!Y832*F832/(1-(1+F832)^-I832),'Deal maths'!Y832/I832),0)</f>
        <v/>
      </c>
      <c r="L832" s="111">
        <f>IF('Deal maths'!Y832="",0,'Deal maths'!Y832)</f>
        <v/>
      </c>
      <c r="M832" s="112">
        <f>F832+(F832=0)</f>
        <v/>
      </c>
      <c r="N832" s="108">
        <f>IFERROR(IF(D832=0,0,INT(((YEAR('Deal maths'!AA832)-YEAR(E832))*12+MONTH('Deal maths'!AA832)-MONTH(E832)-(DAY('Deal maths'!AA832)&lt;MIN(R832,DAY(EOMONTH('Deal maths'!AA832,0)))))/D832)+1),0)</f>
        <v/>
      </c>
      <c r="O832" s="108">
        <f>IFERROR(IF(D832=0,0,IF(IF(DAY(E832+1)=1,EOMONTH(E832,(N832-1)*D832),EDATE(E832,(N832-1)*D832))='Deal maths'!AA832,0,1)),0)</f>
        <v/>
      </c>
      <c r="P832" s="113">
        <f>IF(B832=0,0,IFERROR(IF(C832="EIP",((I832-O832)*((IF(DAY(E832+1)=1,EOMONTH(E832,H832*D832),EDATE(E832,H832*D832))-AsAt)/365.25+(IF(DAY(E832+1)=1,EOMONTH(E832,(N832-1)*D832),EDATE(E832,(N832-1)*D832))-AsAt)/365.25)/2+O832*('Deal maths'!AA832-AsAt)/365.25)/I832,IF(C832="Annuity",IF(F832&gt;0,((K832-L832*F832)*((IF(DAY(E832+1)=1,EOMONTH(E832,H832*D832),EDATE(E832,H832*D832))-AsAt)/365.25*((1+F832)^(I832-O832)-1)/F832+IF((I832-O832)&gt;1,((IF(DAY(E832+1)=1,EOMONTH(E832,(N832-1)*D832),EDATE(E832,(N832-1)*D832))-AsAt)/365.25-(IF(DAY(E832+1)=1,EOMONTH(E832,H832*D832),EDATE(E832,H832*D832))-AsAt)/365.25)/((I832-O832)-1),0)*(1+F832)*(1-(I832-O832)*(1+F832)^((I832-O832)-1)+((I832-O832)-1)*(1+F832)^(I832-O832))/F832^2)+O832*(K832-L832*F832)*(1+F832)^(I832-1)*('Deal maths'!AA832-AsAt)/365.25)/L832,((I832-O832)*((IF(DAY(E832+1)=1,EOMONTH(E832,H832*D832),EDATE(E832,H832*D832))-AsAt)/365.25+(IF(DAY(E832+1)=1,EOMONTH(E832,(N832-1)*D832),EDATE(E832,(N832-1)*D832))-AsAt)/365.25)/2+O832*('Deal maths'!AA832-AsAt)/365.25)/I832),(S832-AsAt)/365.25)),0))</f>
        <v/>
      </c>
      <c r="Q832" s="109">
        <f>IF(B832=1,'Deal maths'!AA832+ROW()/1000000,"")</f>
        <v/>
      </c>
      <c r="R832" s="108">
        <f>IF(D832=0,0,IF(DAY(E832+1)=1,31,DAY(E832)))</f>
        <v/>
      </c>
      <c r="S832" s="109">
        <f>IF(AND('Deal maths'!V832="LOBO",'Deal maths'!AG832&gt;AsAt,'Deal maths'!AG832&lt;'Deal maths'!AA832),'Deal maths'!AG832,'Deal maths'!AA832)</f>
        <v/>
      </c>
      <c r="T832" s="108">
        <f>('Deal maths'!AA832&gt;AsAt)*('Deal maths'!Y832&gt;0)</f>
        <v/>
      </c>
    </row>
    <row r="833">
      <c r="A833" s="91">
        <f>IF('Deal maths'!V833="","",'Deal maths'!W833)</f>
        <v/>
      </c>
      <c r="B833" s="108">
        <f>('Deal maths'!AA833&gt;AsAt)*('Deal maths'!Y833&gt;0)*('Deal maths'!Z833&lt;=AsAt)</f>
        <v/>
      </c>
      <c r="C833" s="91">
        <f>IF('Deal maths'!V833="","",IF('Deal maths'!AC833="","Maturity",'Deal maths'!AC833))</f>
        <v/>
      </c>
      <c r="D833" s="108">
        <f>IF(OR(C833="EIP",C833="Annuity"),IF('Deal maths'!AD833="Annual",12,IF('Deal maths'!AD833="Quarterly",3,6)),0)</f>
        <v/>
      </c>
      <c r="E833" s="109">
        <f>IFERROR(IF(D833=0,0,IF('Deal maths'!AE833&gt;0,IF('Deal maths'!AE833&gt;'Deal maths'!AA833,'Deal maths'!AA833,'Deal maths'!AE833),IF(IF(DAY('Deal maths'!AA833+1)=1,EOMONTH('Deal maths'!AA833,-(INT(((YEAR('Deal maths'!AA833)-YEAR(IF('Deal maths'!Z833&gt;0,'Deal maths'!Z833,DATE(1990,1,1))))*12+MONTH('Deal maths'!AA833)-MONTH(IF('Deal maths'!Z833&gt;0,'Deal maths'!Z833,DATE(1990,1,1))))/D833))*D833),EDATE('Deal maths'!AA833,-(INT(((YEAR('Deal maths'!AA833)-YEAR(IF('Deal maths'!Z833&gt;0,'Deal maths'!Z833,DATE(1990,1,1))))*12+MONTH('Deal maths'!AA833)-MONTH(IF('Deal maths'!Z833&gt;0,'Deal maths'!Z833,DATE(1990,1,1))))/D833))*D833))&gt;IF('Deal maths'!Z833&gt;0,'Deal maths'!Z833,DATE(1990,1,1)),IF(DAY('Deal maths'!AA833+1)=1,EOMONTH('Deal maths'!AA833,-(INT(((YEAR('Deal maths'!AA833)-YEAR(IF('Deal maths'!Z833&gt;0,'Deal maths'!Z833,DATE(1990,1,1))))*12+MONTH('Deal maths'!AA833)-MONTH(IF('Deal maths'!Z833&gt;0,'Deal maths'!Z833,DATE(1990,1,1))))/D833))*D833),EDATE('Deal maths'!AA833,-(INT(((YEAR('Deal maths'!AA833)-YEAR(IF('Deal maths'!Z833&gt;0,'Deal maths'!Z833,DATE(1990,1,1))))*12+MONTH('Deal maths'!AA833)-MONTH(IF('Deal maths'!Z833&gt;0,'Deal maths'!Z833,DATE(1990,1,1))))/D833))*D833)),IF(DAY('Deal maths'!AA833+1)=1,EOMONTH('Deal maths'!AA833,-(INT(((YEAR('Deal maths'!AA833)-YEAR(IF('Deal maths'!Z833&gt;0,'Deal maths'!Z833,DATE(1990,1,1))))*12+MONTH('Deal maths'!AA833)-MONTH(IF('Deal maths'!Z833&gt;0,'Deal maths'!Z833,DATE(1990,1,1))))/D833)-1)*D833),EDATE('Deal maths'!AA833,-(INT(((YEAR('Deal maths'!AA833)-YEAR(IF('Deal maths'!Z833&gt;0,'Deal maths'!Z833,DATE(1990,1,1))))*12+MONTH('Deal maths'!AA833)-MONTH(IF('Deal maths'!Z833&gt;0,'Deal maths'!Z833,DATE(1990,1,1))))/D833)-1)*D833))))),0)</f>
        <v/>
      </c>
      <c r="F833" s="110">
        <f>IF(D833=0,0,'Deal maths'!AB833*D833/12)</f>
        <v/>
      </c>
      <c r="G833" s="108">
        <f>N833+O833</f>
        <v/>
      </c>
      <c r="H833" s="108">
        <f>IFERROR(IF(OR(D833=0,AsAt&lt;E833),0,MIN(N833,INT(((YEAR(AsAt)-YEAR(E833))*12+MONTH(AsAt)-MONTH(E833)-(DAY(AsAt)&lt;MIN(R833,DAY(EOMONTH(AsAt,0)))))/D833)+1)+O833*(AsAt&gt;='Deal maths'!AA833)),0)</f>
        <v/>
      </c>
      <c r="I833" s="108">
        <f>G833-H833</f>
        <v/>
      </c>
      <c r="J833" s="111">
        <f>IF(AND(C833="EIP",I833&gt;0),'Deal maths'!Y833/I833,0)</f>
        <v/>
      </c>
      <c r="K833" s="111">
        <f>IF(AND(C833="Annuity",I833&gt;0),IF(F833&gt;0,'Deal maths'!Y833*F833/(1-(1+F833)^-I833),'Deal maths'!Y833/I833),0)</f>
        <v/>
      </c>
      <c r="L833" s="111">
        <f>IF('Deal maths'!Y833="",0,'Deal maths'!Y833)</f>
        <v/>
      </c>
      <c r="M833" s="112">
        <f>F833+(F833=0)</f>
        <v/>
      </c>
      <c r="N833" s="108">
        <f>IFERROR(IF(D833=0,0,INT(((YEAR('Deal maths'!AA833)-YEAR(E833))*12+MONTH('Deal maths'!AA833)-MONTH(E833)-(DAY('Deal maths'!AA833)&lt;MIN(R833,DAY(EOMONTH('Deal maths'!AA833,0)))))/D833)+1),0)</f>
        <v/>
      </c>
      <c r="O833" s="108">
        <f>IFERROR(IF(D833=0,0,IF(IF(DAY(E833+1)=1,EOMONTH(E833,(N833-1)*D833),EDATE(E833,(N833-1)*D833))='Deal maths'!AA833,0,1)),0)</f>
        <v/>
      </c>
      <c r="P833" s="113">
        <f>IF(B833=0,0,IFERROR(IF(C833="EIP",((I833-O833)*((IF(DAY(E833+1)=1,EOMONTH(E833,H833*D833),EDATE(E833,H833*D833))-AsAt)/365.25+(IF(DAY(E833+1)=1,EOMONTH(E833,(N833-1)*D833),EDATE(E833,(N833-1)*D833))-AsAt)/365.25)/2+O833*('Deal maths'!AA833-AsAt)/365.25)/I833,IF(C833="Annuity",IF(F833&gt;0,((K833-L833*F833)*((IF(DAY(E833+1)=1,EOMONTH(E833,H833*D833),EDATE(E833,H833*D833))-AsAt)/365.25*((1+F833)^(I833-O833)-1)/F833+IF((I833-O833)&gt;1,((IF(DAY(E833+1)=1,EOMONTH(E833,(N833-1)*D833),EDATE(E833,(N833-1)*D833))-AsAt)/365.25-(IF(DAY(E833+1)=1,EOMONTH(E833,H833*D833),EDATE(E833,H833*D833))-AsAt)/365.25)/((I833-O833)-1),0)*(1+F833)*(1-(I833-O833)*(1+F833)^((I833-O833)-1)+((I833-O833)-1)*(1+F833)^(I833-O833))/F833^2)+O833*(K833-L833*F833)*(1+F833)^(I833-1)*('Deal maths'!AA833-AsAt)/365.25)/L833,((I833-O833)*((IF(DAY(E833+1)=1,EOMONTH(E833,H833*D833),EDATE(E833,H833*D833))-AsAt)/365.25+(IF(DAY(E833+1)=1,EOMONTH(E833,(N833-1)*D833),EDATE(E833,(N833-1)*D833))-AsAt)/365.25)/2+O833*('Deal maths'!AA833-AsAt)/365.25)/I833),(S833-AsAt)/365.25)),0))</f>
        <v/>
      </c>
      <c r="Q833" s="109">
        <f>IF(B833=1,'Deal maths'!AA833+ROW()/1000000,"")</f>
        <v/>
      </c>
      <c r="R833" s="108">
        <f>IF(D833=0,0,IF(DAY(E833+1)=1,31,DAY(E833)))</f>
        <v/>
      </c>
      <c r="S833" s="109">
        <f>IF(AND('Deal maths'!V833="LOBO",'Deal maths'!AG833&gt;AsAt,'Deal maths'!AG833&lt;'Deal maths'!AA833),'Deal maths'!AG833,'Deal maths'!AA833)</f>
        <v/>
      </c>
      <c r="T833" s="108">
        <f>('Deal maths'!AA833&gt;AsAt)*('Deal maths'!Y833&gt;0)</f>
        <v/>
      </c>
    </row>
    <row r="834">
      <c r="A834" s="91">
        <f>IF('Deal maths'!V834="","",'Deal maths'!W834)</f>
        <v/>
      </c>
      <c r="B834" s="108">
        <f>('Deal maths'!AA834&gt;AsAt)*('Deal maths'!Y834&gt;0)*('Deal maths'!Z834&lt;=AsAt)</f>
        <v/>
      </c>
      <c r="C834" s="91">
        <f>IF('Deal maths'!V834="","",IF('Deal maths'!AC834="","Maturity",'Deal maths'!AC834))</f>
        <v/>
      </c>
      <c r="D834" s="108">
        <f>IF(OR(C834="EIP",C834="Annuity"),IF('Deal maths'!AD834="Annual",12,IF('Deal maths'!AD834="Quarterly",3,6)),0)</f>
        <v/>
      </c>
      <c r="E834" s="109">
        <f>IFERROR(IF(D834=0,0,IF('Deal maths'!AE834&gt;0,IF('Deal maths'!AE834&gt;'Deal maths'!AA834,'Deal maths'!AA834,'Deal maths'!AE834),IF(IF(DAY('Deal maths'!AA834+1)=1,EOMONTH('Deal maths'!AA834,-(INT(((YEAR('Deal maths'!AA834)-YEAR(IF('Deal maths'!Z834&gt;0,'Deal maths'!Z834,DATE(1990,1,1))))*12+MONTH('Deal maths'!AA834)-MONTH(IF('Deal maths'!Z834&gt;0,'Deal maths'!Z834,DATE(1990,1,1))))/D834))*D834),EDATE('Deal maths'!AA834,-(INT(((YEAR('Deal maths'!AA834)-YEAR(IF('Deal maths'!Z834&gt;0,'Deal maths'!Z834,DATE(1990,1,1))))*12+MONTH('Deal maths'!AA834)-MONTH(IF('Deal maths'!Z834&gt;0,'Deal maths'!Z834,DATE(1990,1,1))))/D834))*D834))&gt;IF('Deal maths'!Z834&gt;0,'Deal maths'!Z834,DATE(1990,1,1)),IF(DAY('Deal maths'!AA834+1)=1,EOMONTH('Deal maths'!AA834,-(INT(((YEAR('Deal maths'!AA834)-YEAR(IF('Deal maths'!Z834&gt;0,'Deal maths'!Z834,DATE(1990,1,1))))*12+MONTH('Deal maths'!AA834)-MONTH(IF('Deal maths'!Z834&gt;0,'Deal maths'!Z834,DATE(1990,1,1))))/D834))*D834),EDATE('Deal maths'!AA834,-(INT(((YEAR('Deal maths'!AA834)-YEAR(IF('Deal maths'!Z834&gt;0,'Deal maths'!Z834,DATE(1990,1,1))))*12+MONTH('Deal maths'!AA834)-MONTH(IF('Deal maths'!Z834&gt;0,'Deal maths'!Z834,DATE(1990,1,1))))/D834))*D834)),IF(DAY('Deal maths'!AA834+1)=1,EOMONTH('Deal maths'!AA834,-(INT(((YEAR('Deal maths'!AA834)-YEAR(IF('Deal maths'!Z834&gt;0,'Deal maths'!Z834,DATE(1990,1,1))))*12+MONTH('Deal maths'!AA834)-MONTH(IF('Deal maths'!Z834&gt;0,'Deal maths'!Z834,DATE(1990,1,1))))/D834)-1)*D834),EDATE('Deal maths'!AA834,-(INT(((YEAR('Deal maths'!AA834)-YEAR(IF('Deal maths'!Z834&gt;0,'Deal maths'!Z834,DATE(1990,1,1))))*12+MONTH('Deal maths'!AA834)-MONTH(IF('Deal maths'!Z834&gt;0,'Deal maths'!Z834,DATE(1990,1,1))))/D834)-1)*D834))))),0)</f>
        <v/>
      </c>
      <c r="F834" s="110">
        <f>IF(D834=0,0,'Deal maths'!AB834*D834/12)</f>
        <v/>
      </c>
      <c r="G834" s="108">
        <f>N834+O834</f>
        <v/>
      </c>
      <c r="H834" s="108">
        <f>IFERROR(IF(OR(D834=0,AsAt&lt;E834),0,MIN(N834,INT(((YEAR(AsAt)-YEAR(E834))*12+MONTH(AsAt)-MONTH(E834)-(DAY(AsAt)&lt;MIN(R834,DAY(EOMONTH(AsAt,0)))))/D834)+1)+O834*(AsAt&gt;='Deal maths'!AA834)),0)</f>
        <v/>
      </c>
      <c r="I834" s="108">
        <f>G834-H834</f>
        <v/>
      </c>
      <c r="J834" s="111">
        <f>IF(AND(C834="EIP",I834&gt;0),'Deal maths'!Y834/I834,0)</f>
        <v/>
      </c>
      <c r="K834" s="111">
        <f>IF(AND(C834="Annuity",I834&gt;0),IF(F834&gt;0,'Deal maths'!Y834*F834/(1-(1+F834)^-I834),'Deal maths'!Y834/I834),0)</f>
        <v/>
      </c>
      <c r="L834" s="111">
        <f>IF('Deal maths'!Y834="",0,'Deal maths'!Y834)</f>
        <v/>
      </c>
      <c r="M834" s="112">
        <f>F834+(F834=0)</f>
        <v/>
      </c>
      <c r="N834" s="108">
        <f>IFERROR(IF(D834=0,0,INT(((YEAR('Deal maths'!AA834)-YEAR(E834))*12+MONTH('Deal maths'!AA834)-MONTH(E834)-(DAY('Deal maths'!AA834)&lt;MIN(R834,DAY(EOMONTH('Deal maths'!AA834,0)))))/D834)+1),0)</f>
        <v/>
      </c>
      <c r="O834" s="108">
        <f>IFERROR(IF(D834=0,0,IF(IF(DAY(E834+1)=1,EOMONTH(E834,(N834-1)*D834),EDATE(E834,(N834-1)*D834))='Deal maths'!AA834,0,1)),0)</f>
        <v/>
      </c>
      <c r="P834" s="113">
        <f>IF(B834=0,0,IFERROR(IF(C834="EIP",((I834-O834)*((IF(DAY(E834+1)=1,EOMONTH(E834,H834*D834),EDATE(E834,H834*D834))-AsAt)/365.25+(IF(DAY(E834+1)=1,EOMONTH(E834,(N834-1)*D834),EDATE(E834,(N834-1)*D834))-AsAt)/365.25)/2+O834*('Deal maths'!AA834-AsAt)/365.25)/I834,IF(C834="Annuity",IF(F834&gt;0,((K834-L834*F834)*((IF(DAY(E834+1)=1,EOMONTH(E834,H834*D834),EDATE(E834,H834*D834))-AsAt)/365.25*((1+F834)^(I834-O834)-1)/F834+IF((I834-O834)&gt;1,((IF(DAY(E834+1)=1,EOMONTH(E834,(N834-1)*D834),EDATE(E834,(N834-1)*D834))-AsAt)/365.25-(IF(DAY(E834+1)=1,EOMONTH(E834,H834*D834),EDATE(E834,H834*D834))-AsAt)/365.25)/((I834-O834)-1),0)*(1+F834)*(1-(I834-O834)*(1+F834)^((I834-O834)-1)+((I834-O834)-1)*(1+F834)^(I834-O834))/F834^2)+O834*(K834-L834*F834)*(1+F834)^(I834-1)*('Deal maths'!AA834-AsAt)/365.25)/L834,((I834-O834)*((IF(DAY(E834+1)=1,EOMONTH(E834,H834*D834),EDATE(E834,H834*D834))-AsAt)/365.25+(IF(DAY(E834+1)=1,EOMONTH(E834,(N834-1)*D834),EDATE(E834,(N834-1)*D834))-AsAt)/365.25)/2+O834*('Deal maths'!AA834-AsAt)/365.25)/I834),(S834-AsAt)/365.25)),0))</f>
        <v/>
      </c>
      <c r="Q834" s="109">
        <f>IF(B834=1,'Deal maths'!AA834+ROW()/1000000,"")</f>
        <v/>
      </c>
      <c r="R834" s="108">
        <f>IF(D834=0,0,IF(DAY(E834+1)=1,31,DAY(E834)))</f>
        <v/>
      </c>
      <c r="S834" s="109">
        <f>IF(AND('Deal maths'!V834="LOBO",'Deal maths'!AG834&gt;AsAt,'Deal maths'!AG834&lt;'Deal maths'!AA834),'Deal maths'!AG834,'Deal maths'!AA834)</f>
        <v/>
      </c>
      <c r="T834" s="108">
        <f>('Deal maths'!AA834&gt;AsAt)*('Deal maths'!Y834&gt;0)</f>
        <v/>
      </c>
    </row>
    <row r="835">
      <c r="A835" s="91">
        <f>IF('Deal maths'!V835="","",'Deal maths'!W835)</f>
        <v/>
      </c>
      <c r="B835" s="108">
        <f>('Deal maths'!AA835&gt;AsAt)*('Deal maths'!Y835&gt;0)*('Deal maths'!Z835&lt;=AsAt)</f>
        <v/>
      </c>
      <c r="C835" s="91">
        <f>IF('Deal maths'!V835="","",IF('Deal maths'!AC835="","Maturity",'Deal maths'!AC835))</f>
        <v/>
      </c>
      <c r="D835" s="108">
        <f>IF(OR(C835="EIP",C835="Annuity"),IF('Deal maths'!AD835="Annual",12,IF('Deal maths'!AD835="Quarterly",3,6)),0)</f>
        <v/>
      </c>
      <c r="E835" s="109">
        <f>IFERROR(IF(D835=0,0,IF('Deal maths'!AE835&gt;0,IF('Deal maths'!AE835&gt;'Deal maths'!AA835,'Deal maths'!AA835,'Deal maths'!AE835),IF(IF(DAY('Deal maths'!AA835+1)=1,EOMONTH('Deal maths'!AA835,-(INT(((YEAR('Deal maths'!AA835)-YEAR(IF('Deal maths'!Z835&gt;0,'Deal maths'!Z835,DATE(1990,1,1))))*12+MONTH('Deal maths'!AA835)-MONTH(IF('Deal maths'!Z835&gt;0,'Deal maths'!Z835,DATE(1990,1,1))))/D835))*D835),EDATE('Deal maths'!AA835,-(INT(((YEAR('Deal maths'!AA835)-YEAR(IF('Deal maths'!Z835&gt;0,'Deal maths'!Z835,DATE(1990,1,1))))*12+MONTH('Deal maths'!AA835)-MONTH(IF('Deal maths'!Z835&gt;0,'Deal maths'!Z835,DATE(1990,1,1))))/D835))*D835))&gt;IF('Deal maths'!Z835&gt;0,'Deal maths'!Z835,DATE(1990,1,1)),IF(DAY('Deal maths'!AA835+1)=1,EOMONTH('Deal maths'!AA835,-(INT(((YEAR('Deal maths'!AA835)-YEAR(IF('Deal maths'!Z835&gt;0,'Deal maths'!Z835,DATE(1990,1,1))))*12+MONTH('Deal maths'!AA835)-MONTH(IF('Deal maths'!Z835&gt;0,'Deal maths'!Z835,DATE(1990,1,1))))/D835))*D835),EDATE('Deal maths'!AA835,-(INT(((YEAR('Deal maths'!AA835)-YEAR(IF('Deal maths'!Z835&gt;0,'Deal maths'!Z835,DATE(1990,1,1))))*12+MONTH('Deal maths'!AA835)-MONTH(IF('Deal maths'!Z835&gt;0,'Deal maths'!Z835,DATE(1990,1,1))))/D835))*D835)),IF(DAY('Deal maths'!AA835+1)=1,EOMONTH('Deal maths'!AA835,-(INT(((YEAR('Deal maths'!AA835)-YEAR(IF('Deal maths'!Z835&gt;0,'Deal maths'!Z835,DATE(1990,1,1))))*12+MONTH('Deal maths'!AA835)-MONTH(IF('Deal maths'!Z835&gt;0,'Deal maths'!Z835,DATE(1990,1,1))))/D835)-1)*D835),EDATE('Deal maths'!AA835,-(INT(((YEAR('Deal maths'!AA835)-YEAR(IF('Deal maths'!Z835&gt;0,'Deal maths'!Z835,DATE(1990,1,1))))*12+MONTH('Deal maths'!AA835)-MONTH(IF('Deal maths'!Z835&gt;0,'Deal maths'!Z835,DATE(1990,1,1))))/D835)-1)*D835))))),0)</f>
        <v/>
      </c>
      <c r="F835" s="110">
        <f>IF(D835=0,0,'Deal maths'!AB835*D835/12)</f>
        <v/>
      </c>
      <c r="G835" s="108">
        <f>N835+O835</f>
        <v/>
      </c>
      <c r="H835" s="108">
        <f>IFERROR(IF(OR(D835=0,AsAt&lt;E835),0,MIN(N835,INT(((YEAR(AsAt)-YEAR(E835))*12+MONTH(AsAt)-MONTH(E835)-(DAY(AsAt)&lt;MIN(R835,DAY(EOMONTH(AsAt,0)))))/D835)+1)+O835*(AsAt&gt;='Deal maths'!AA835)),0)</f>
        <v/>
      </c>
      <c r="I835" s="108">
        <f>G835-H835</f>
        <v/>
      </c>
      <c r="J835" s="111">
        <f>IF(AND(C835="EIP",I835&gt;0),'Deal maths'!Y835/I835,0)</f>
        <v/>
      </c>
      <c r="K835" s="111">
        <f>IF(AND(C835="Annuity",I835&gt;0),IF(F835&gt;0,'Deal maths'!Y835*F835/(1-(1+F835)^-I835),'Deal maths'!Y835/I835),0)</f>
        <v/>
      </c>
      <c r="L835" s="111">
        <f>IF('Deal maths'!Y835="",0,'Deal maths'!Y835)</f>
        <v/>
      </c>
      <c r="M835" s="112">
        <f>F835+(F835=0)</f>
        <v/>
      </c>
      <c r="N835" s="108">
        <f>IFERROR(IF(D835=0,0,INT(((YEAR('Deal maths'!AA835)-YEAR(E835))*12+MONTH('Deal maths'!AA835)-MONTH(E835)-(DAY('Deal maths'!AA835)&lt;MIN(R835,DAY(EOMONTH('Deal maths'!AA835,0)))))/D835)+1),0)</f>
        <v/>
      </c>
      <c r="O835" s="108">
        <f>IFERROR(IF(D835=0,0,IF(IF(DAY(E835+1)=1,EOMONTH(E835,(N835-1)*D835),EDATE(E835,(N835-1)*D835))='Deal maths'!AA835,0,1)),0)</f>
        <v/>
      </c>
      <c r="P835" s="113">
        <f>IF(B835=0,0,IFERROR(IF(C835="EIP",((I835-O835)*((IF(DAY(E835+1)=1,EOMONTH(E835,H835*D835),EDATE(E835,H835*D835))-AsAt)/365.25+(IF(DAY(E835+1)=1,EOMONTH(E835,(N835-1)*D835),EDATE(E835,(N835-1)*D835))-AsAt)/365.25)/2+O835*('Deal maths'!AA835-AsAt)/365.25)/I835,IF(C835="Annuity",IF(F835&gt;0,((K835-L835*F835)*((IF(DAY(E835+1)=1,EOMONTH(E835,H835*D835),EDATE(E835,H835*D835))-AsAt)/365.25*((1+F835)^(I835-O835)-1)/F835+IF((I835-O835)&gt;1,((IF(DAY(E835+1)=1,EOMONTH(E835,(N835-1)*D835),EDATE(E835,(N835-1)*D835))-AsAt)/365.25-(IF(DAY(E835+1)=1,EOMONTH(E835,H835*D835),EDATE(E835,H835*D835))-AsAt)/365.25)/((I835-O835)-1),0)*(1+F835)*(1-(I835-O835)*(1+F835)^((I835-O835)-1)+((I835-O835)-1)*(1+F835)^(I835-O835))/F835^2)+O835*(K835-L835*F835)*(1+F835)^(I835-1)*('Deal maths'!AA835-AsAt)/365.25)/L835,((I835-O835)*((IF(DAY(E835+1)=1,EOMONTH(E835,H835*D835),EDATE(E835,H835*D835))-AsAt)/365.25+(IF(DAY(E835+1)=1,EOMONTH(E835,(N835-1)*D835),EDATE(E835,(N835-1)*D835))-AsAt)/365.25)/2+O835*('Deal maths'!AA835-AsAt)/365.25)/I835),(S835-AsAt)/365.25)),0))</f>
        <v/>
      </c>
      <c r="Q835" s="109">
        <f>IF(B835=1,'Deal maths'!AA835+ROW()/1000000,"")</f>
        <v/>
      </c>
      <c r="R835" s="108">
        <f>IF(D835=0,0,IF(DAY(E835+1)=1,31,DAY(E835)))</f>
        <v/>
      </c>
      <c r="S835" s="109">
        <f>IF(AND('Deal maths'!V835="LOBO",'Deal maths'!AG835&gt;AsAt,'Deal maths'!AG835&lt;'Deal maths'!AA835),'Deal maths'!AG835,'Deal maths'!AA835)</f>
        <v/>
      </c>
      <c r="T835" s="108">
        <f>('Deal maths'!AA835&gt;AsAt)*('Deal maths'!Y835&gt;0)</f>
        <v/>
      </c>
    </row>
    <row r="836">
      <c r="A836" s="91">
        <f>IF('Deal maths'!V836="","",'Deal maths'!W836)</f>
        <v/>
      </c>
      <c r="B836" s="108">
        <f>('Deal maths'!AA836&gt;AsAt)*('Deal maths'!Y836&gt;0)*('Deal maths'!Z836&lt;=AsAt)</f>
        <v/>
      </c>
      <c r="C836" s="91">
        <f>IF('Deal maths'!V836="","",IF('Deal maths'!AC836="","Maturity",'Deal maths'!AC836))</f>
        <v/>
      </c>
      <c r="D836" s="108">
        <f>IF(OR(C836="EIP",C836="Annuity"),IF('Deal maths'!AD836="Annual",12,IF('Deal maths'!AD836="Quarterly",3,6)),0)</f>
        <v/>
      </c>
      <c r="E836" s="109">
        <f>IFERROR(IF(D836=0,0,IF('Deal maths'!AE836&gt;0,IF('Deal maths'!AE836&gt;'Deal maths'!AA836,'Deal maths'!AA836,'Deal maths'!AE836),IF(IF(DAY('Deal maths'!AA836+1)=1,EOMONTH('Deal maths'!AA836,-(INT(((YEAR('Deal maths'!AA836)-YEAR(IF('Deal maths'!Z836&gt;0,'Deal maths'!Z836,DATE(1990,1,1))))*12+MONTH('Deal maths'!AA836)-MONTH(IF('Deal maths'!Z836&gt;0,'Deal maths'!Z836,DATE(1990,1,1))))/D836))*D836),EDATE('Deal maths'!AA836,-(INT(((YEAR('Deal maths'!AA836)-YEAR(IF('Deal maths'!Z836&gt;0,'Deal maths'!Z836,DATE(1990,1,1))))*12+MONTH('Deal maths'!AA836)-MONTH(IF('Deal maths'!Z836&gt;0,'Deal maths'!Z836,DATE(1990,1,1))))/D836))*D836))&gt;IF('Deal maths'!Z836&gt;0,'Deal maths'!Z836,DATE(1990,1,1)),IF(DAY('Deal maths'!AA836+1)=1,EOMONTH('Deal maths'!AA836,-(INT(((YEAR('Deal maths'!AA836)-YEAR(IF('Deal maths'!Z836&gt;0,'Deal maths'!Z836,DATE(1990,1,1))))*12+MONTH('Deal maths'!AA836)-MONTH(IF('Deal maths'!Z836&gt;0,'Deal maths'!Z836,DATE(1990,1,1))))/D836))*D836),EDATE('Deal maths'!AA836,-(INT(((YEAR('Deal maths'!AA836)-YEAR(IF('Deal maths'!Z836&gt;0,'Deal maths'!Z836,DATE(1990,1,1))))*12+MONTH('Deal maths'!AA836)-MONTH(IF('Deal maths'!Z836&gt;0,'Deal maths'!Z836,DATE(1990,1,1))))/D836))*D836)),IF(DAY('Deal maths'!AA836+1)=1,EOMONTH('Deal maths'!AA836,-(INT(((YEAR('Deal maths'!AA836)-YEAR(IF('Deal maths'!Z836&gt;0,'Deal maths'!Z836,DATE(1990,1,1))))*12+MONTH('Deal maths'!AA836)-MONTH(IF('Deal maths'!Z836&gt;0,'Deal maths'!Z836,DATE(1990,1,1))))/D836)-1)*D836),EDATE('Deal maths'!AA836,-(INT(((YEAR('Deal maths'!AA836)-YEAR(IF('Deal maths'!Z836&gt;0,'Deal maths'!Z836,DATE(1990,1,1))))*12+MONTH('Deal maths'!AA836)-MONTH(IF('Deal maths'!Z836&gt;0,'Deal maths'!Z836,DATE(1990,1,1))))/D836)-1)*D836))))),0)</f>
        <v/>
      </c>
      <c r="F836" s="110">
        <f>IF(D836=0,0,'Deal maths'!AB836*D836/12)</f>
        <v/>
      </c>
      <c r="G836" s="108">
        <f>N836+O836</f>
        <v/>
      </c>
      <c r="H836" s="108">
        <f>IFERROR(IF(OR(D836=0,AsAt&lt;E836),0,MIN(N836,INT(((YEAR(AsAt)-YEAR(E836))*12+MONTH(AsAt)-MONTH(E836)-(DAY(AsAt)&lt;MIN(R836,DAY(EOMONTH(AsAt,0)))))/D836)+1)+O836*(AsAt&gt;='Deal maths'!AA836)),0)</f>
        <v/>
      </c>
      <c r="I836" s="108">
        <f>G836-H836</f>
        <v/>
      </c>
      <c r="J836" s="111">
        <f>IF(AND(C836="EIP",I836&gt;0),'Deal maths'!Y836/I836,0)</f>
        <v/>
      </c>
      <c r="K836" s="111">
        <f>IF(AND(C836="Annuity",I836&gt;0),IF(F836&gt;0,'Deal maths'!Y836*F836/(1-(1+F836)^-I836),'Deal maths'!Y836/I836),0)</f>
        <v/>
      </c>
      <c r="L836" s="111">
        <f>IF('Deal maths'!Y836="",0,'Deal maths'!Y836)</f>
        <v/>
      </c>
      <c r="M836" s="112">
        <f>F836+(F836=0)</f>
        <v/>
      </c>
      <c r="N836" s="108">
        <f>IFERROR(IF(D836=0,0,INT(((YEAR('Deal maths'!AA836)-YEAR(E836))*12+MONTH('Deal maths'!AA836)-MONTH(E836)-(DAY('Deal maths'!AA836)&lt;MIN(R836,DAY(EOMONTH('Deal maths'!AA836,0)))))/D836)+1),0)</f>
        <v/>
      </c>
      <c r="O836" s="108">
        <f>IFERROR(IF(D836=0,0,IF(IF(DAY(E836+1)=1,EOMONTH(E836,(N836-1)*D836),EDATE(E836,(N836-1)*D836))='Deal maths'!AA836,0,1)),0)</f>
        <v/>
      </c>
      <c r="P836" s="113">
        <f>IF(B836=0,0,IFERROR(IF(C836="EIP",((I836-O836)*((IF(DAY(E836+1)=1,EOMONTH(E836,H836*D836),EDATE(E836,H836*D836))-AsAt)/365.25+(IF(DAY(E836+1)=1,EOMONTH(E836,(N836-1)*D836),EDATE(E836,(N836-1)*D836))-AsAt)/365.25)/2+O836*('Deal maths'!AA836-AsAt)/365.25)/I836,IF(C836="Annuity",IF(F836&gt;0,((K836-L836*F836)*((IF(DAY(E836+1)=1,EOMONTH(E836,H836*D836),EDATE(E836,H836*D836))-AsAt)/365.25*((1+F836)^(I836-O836)-1)/F836+IF((I836-O836)&gt;1,((IF(DAY(E836+1)=1,EOMONTH(E836,(N836-1)*D836),EDATE(E836,(N836-1)*D836))-AsAt)/365.25-(IF(DAY(E836+1)=1,EOMONTH(E836,H836*D836),EDATE(E836,H836*D836))-AsAt)/365.25)/((I836-O836)-1),0)*(1+F836)*(1-(I836-O836)*(1+F836)^((I836-O836)-1)+((I836-O836)-1)*(1+F836)^(I836-O836))/F836^2)+O836*(K836-L836*F836)*(1+F836)^(I836-1)*('Deal maths'!AA836-AsAt)/365.25)/L836,((I836-O836)*((IF(DAY(E836+1)=1,EOMONTH(E836,H836*D836),EDATE(E836,H836*D836))-AsAt)/365.25+(IF(DAY(E836+1)=1,EOMONTH(E836,(N836-1)*D836),EDATE(E836,(N836-1)*D836))-AsAt)/365.25)/2+O836*('Deal maths'!AA836-AsAt)/365.25)/I836),(S836-AsAt)/365.25)),0))</f>
        <v/>
      </c>
      <c r="Q836" s="109">
        <f>IF(B836=1,'Deal maths'!AA836+ROW()/1000000,"")</f>
        <v/>
      </c>
      <c r="R836" s="108">
        <f>IF(D836=0,0,IF(DAY(E836+1)=1,31,DAY(E836)))</f>
        <v/>
      </c>
      <c r="S836" s="109">
        <f>IF(AND('Deal maths'!V836="LOBO",'Deal maths'!AG836&gt;AsAt,'Deal maths'!AG836&lt;'Deal maths'!AA836),'Deal maths'!AG836,'Deal maths'!AA836)</f>
        <v/>
      </c>
      <c r="T836" s="108">
        <f>('Deal maths'!AA836&gt;AsAt)*('Deal maths'!Y836&gt;0)</f>
        <v/>
      </c>
    </row>
    <row r="837">
      <c r="A837" s="91">
        <f>IF('Deal maths'!V837="","",'Deal maths'!W837)</f>
        <v/>
      </c>
      <c r="B837" s="108">
        <f>('Deal maths'!AA837&gt;AsAt)*('Deal maths'!Y837&gt;0)*('Deal maths'!Z837&lt;=AsAt)</f>
        <v/>
      </c>
      <c r="C837" s="91">
        <f>IF('Deal maths'!V837="","",IF('Deal maths'!AC837="","Maturity",'Deal maths'!AC837))</f>
        <v/>
      </c>
      <c r="D837" s="108">
        <f>IF(OR(C837="EIP",C837="Annuity"),IF('Deal maths'!AD837="Annual",12,IF('Deal maths'!AD837="Quarterly",3,6)),0)</f>
        <v/>
      </c>
      <c r="E837" s="109">
        <f>IFERROR(IF(D837=0,0,IF('Deal maths'!AE837&gt;0,IF('Deal maths'!AE837&gt;'Deal maths'!AA837,'Deal maths'!AA837,'Deal maths'!AE837),IF(IF(DAY('Deal maths'!AA837+1)=1,EOMONTH('Deal maths'!AA837,-(INT(((YEAR('Deal maths'!AA837)-YEAR(IF('Deal maths'!Z837&gt;0,'Deal maths'!Z837,DATE(1990,1,1))))*12+MONTH('Deal maths'!AA837)-MONTH(IF('Deal maths'!Z837&gt;0,'Deal maths'!Z837,DATE(1990,1,1))))/D837))*D837),EDATE('Deal maths'!AA837,-(INT(((YEAR('Deal maths'!AA837)-YEAR(IF('Deal maths'!Z837&gt;0,'Deal maths'!Z837,DATE(1990,1,1))))*12+MONTH('Deal maths'!AA837)-MONTH(IF('Deal maths'!Z837&gt;0,'Deal maths'!Z837,DATE(1990,1,1))))/D837))*D837))&gt;IF('Deal maths'!Z837&gt;0,'Deal maths'!Z837,DATE(1990,1,1)),IF(DAY('Deal maths'!AA837+1)=1,EOMONTH('Deal maths'!AA837,-(INT(((YEAR('Deal maths'!AA837)-YEAR(IF('Deal maths'!Z837&gt;0,'Deal maths'!Z837,DATE(1990,1,1))))*12+MONTH('Deal maths'!AA837)-MONTH(IF('Deal maths'!Z837&gt;0,'Deal maths'!Z837,DATE(1990,1,1))))/D837))*D837),EDATE('Deal maths'!AA837,-(INT(((YEAR('Deal maths'!AA837)-YEAR(IF('Deal maths'!Z837&gt;0,'Deal maths'!Z837,DATE(1990,1,1))))*12+MONTH('Deal maths'!AA837)-MONTH(IF('Deal maths'!Z837&gt;0,'Deal maths'!Z837,DATE(1990,1,1))))/D837))*D837)),IF(DAY('Deal maths'!AA837+1)=1,EOMONTH('Deal maths'!AA837,-(INT(((YEAR('Deal maths'!AA837)-YEAR(IF('Deal maths'!Z837&gt;0,'Deal maths'!Z837,DATE(1990,1,1))))*12+MONTH('Deal maths'!AA837)-MONTH(IF('Deal maths'!Z837&gt;0,'Deal maths'!Z837,DATE(1990,1,1))))/D837)-1)*D837),EDATE('Deal maths'!AA837,-(INT(((YEAR('Deal maths'!AA837)-YEAR(IF('Deal maths'!Z837&gt;0,'Deal maths'!Z837,DATE(1990,1,1))))*12+MONTH('Deal maths'!AA837)-MONTH(IF('Deal maths'!Z837&gt;0,'Deal maths'!Z837,DATE(1990,1,1))))/D837)-1)*D837))))),0)</f>
        <v/>
      </c>
      <c r="F837" s="110">
        <f>IF(D837=0,0,'Deal maths'!AB837*D837/12)</f>
        <v/>
      </c>
      <c r="G837" s="108">
        <f>N837+O837</f>
        <v/>
      </c>
      <c r="H837" s="108">
        <f>IFERROR(IF(OR(D837=0,AsAt&lt;E837),0,MIN(N837,INT(((YEAR(AsAt)-YEAR(E837))*12+MONTH(AsAt)-MONTH(E837)-(DAY(AsAt)&lt;MIN(R837,DAY(EOMONTH(AsAt,0)))))/D837)+1)+O837*(AsAt&gt;='Deal maths'!AA837)),0)</f>
        <v/>
      </c>
      <c r="I837" s="108">
        <f>G837-H837</f>
        <v/>
      </c>
      <c r="J837" s="111">
        <f>IF(AND(C837="EIP",I837&gt;0),'Deal maths'!Y837/I837,0)</f>
        <v/>
      </c>
      <c r="K837" s="111">
        <f>IF(AND(C837="Annuity",I837&gt;0),IF(F837&gt;0,'Deal maths'!Y837*F837/(1-(1+F837)^-I837),'Deal maths'!Y837/I837),0)</f>
        <v/>
      </c>
      <c r="L837" s="111">
        <f>IF('Deal maths'!Y837="",0,'Deal maths'!Y837)</f>
        <v/>
      </c>
      <c r="M837" s="112">
        <f>F837+(F837=0)</f>
        <v/>
      </c>
      <c r="N837" s="108">
        <f>IFERROR(IF(D837=0,0,INT(((YEAR('Deal maths'!AA837)-YEAR(E837))*12+MONTH('Deal maths'!AA837)-MONTH(E837)-(DAY('Deal maths'!AA837)&lt;MIN(R837,DAY(EOMONTH('Deal maths'!AA837,0)))))/D837)+1),0)</f>
        <v/>
      </c>
      <c r="O837" s="108">
        <f>IFERROR(IF(D837=0,0,IF(IF(DAY(E837+1)=1,EOMONTH(E837,(N837-1)*D837),EDATE(E837,(N837-1)*D837))='Deal maths'!AA837,0,1)),0)</f>
        <v/>
      </c>
      <c r="P837" s="113">
        <f>IF(B837=0,0,IFERROR(IF(C837="EIP",((I837-O837)*((IF(DAY(E837+1)=1,EOMONTH(E837,H837*D837),EDATE(E837,H837*D837))-AsAt)/365.25+(IF(DAY(E837+1)=1,EOMONTH(E837,(N837-1)*D837),EDATE(E837,(N837-1)*D837))-AsAt)/365.25)/2+O837*('Deal maths'!AA837-AsAt)/365.25)/I837,IF(C837="Annuity",IF(F837&gt;0,((K837-L837*F837)*((IF(DAY(E837+1)=1,EOMONTH(E837,H837*D837),EDATE(E837,H837*D837))-AsAt)/365.25*((1+F837)^(I837-O837)-1)/F837+IF((I837-O837)&gt;1,((IF(DAY(E837+1)=1,EOMONTH(E837,(N837-1)*D837),EDATE(E837,(N837-1)*D837))-AsAt)/365.25-(IF(DAY(E837+1)=1,EOMONTH(E837,H837*D837),EDATE(E837,H837*D837))-AsAt)/365.25)/((I837-O837)-1),0)*(1+F837)*(1-(I837-O837)*(1+F837)^((I837-O837)-1)+((I837-O837)-1)*(1+F837)^(I837-O837))/F837^2)+O837*(K837-L837*F837)*(1+F837)^(I837-1)*('Deal maths'!AA837-AsAt)/365.25)/L837,((I837-O837)*((IF(DAY(E837+1)=1,EOMONTH(E837,H837*D837),EDATE(E837,H837*D837))-AsAt)/365.25+(IF(DAY(E837+1)=1,EOMONTH(E837,(N837-1)*D837),EDATE(E837,(N837-1)*D837))-AsAt)/365.25)/2+O837*('Deal maths'!AA837-AsAt)/365.25)/I837),(S837-AsAt)/365.25)),0))</f>
        <v/>
      </c>
      <c r="Q837" s="109">
        <f>IF(B837=1,'Deal maths'!AA837+ROW()/1000000,"")</f>
        <v/>
      </c>
      <c r="R837" s="108">
        <f>IF(D837=0,0,IF(DAY(E837+1)=1,31,DAY(E837)))</f>
        <v/>
      </c>
      <c r="S837" s="109">
        <f>IF(AND('Deal maths'!V837="LOBO",'Deal maths'!AG837&gt;AsAt,'Deal maths'!AG837&lt;'Deal maths'!AA837),'Deal maths'!AG837,'Deal maths'!AA837)</f>
        <v/>
      </c>
      <c r="T837" s="108">
        <f>('Deal maths'!AA837&gt;AsAt)*('Deal maths'!Y837&gt;0)</f>
        <v/>
      </c>
    </row>
    <row r="838">
      <c r="A838" s="91">
        <f>IF('Deal maths'!V838="","",'Deal maths'!W838)</f>
        <v/>
      </c>
      <c r="B838" s="108">
        <f>('Deal maths'!AA838&gt;AsAt)*('Deal maths'!Y838&gt;0)*('Deal maths'!Z838&lt;=AsAt)</f>
        <v/>
      </c>
      <c r="C838" s="91">
        <f>IF('Deal maths'!V838="","",IF('Deal maths'!AC838="","Maturity",'Deal maths'!AC838))</f>
        <v/>
      </c>
      <c r="D838" s="108">
        <f>IF(OR(C838="EIP",C838="Annuity"),IF('Deal maths'!AD838="Annual",12,IF('Deal maths'!AD838="Quarterly",3,6)),0)</f>
        <v/>
      </c>
      <c r="E838" s="109">
        <f>IFERROR(IF(D838=0,0,IF('Deal maths'!AE838&gt;0,IF('Deal maths'!AE838&gt;'Deal maths'!AA838,'Deal maths'!AA838,'Deal maths'!AE838),IF(IF(DAY('Deal maths'!AA838+1)=1,EOMONTH('Deal maths'!AA838,-(INT(((YEAR('Deal maths'!AA838)-YEAR(IF('Deal maths'!Z838&gt;0,'Deal maths'!Z838,DATE(1990,1,1))))*12+MONTH('Deal maths'!AA838)-MONTH(IF('Deal maths'!Z838&gt;0,'Deal maths'!Z838,DATE(1990,1,1))))/D838))*D838),EDATE('Deal maths'!AA838,-(INT(((YEAR('Deal maths'!AA838)-YEAR(IF('Deal maths'!Z838&gt;0,'Deal maths'!Z838,DATE(1990,1,1))))*12+MONTH('Deal maths'!AA838)-MONTH(IF('Deal maths'!Z838&gt;0,'Deal maths'!Z838,DATE(1990,1,1))))/D838))*D838))&gt;IF('Deal maths'!Z838&gt;0,'Deal maths'!Z838,DATE(1990,1,1)),IF(DAY('Deal maths'!AA838+1)=1,EOMONTH('Deal maths'!AA838,-(INT(((YEAR('Deal maths'!AA838)-YEAR(IF('Deal maths'!Z838&gt;0,'Deal maths'!Z838,DATE(1990,1,1))))*12+MONTH('Deal maths'!AA838)-MONTH(IF('Deal maths'!Z838&gt;0,'Deal maths'!Z838,DATE(1990,1,1))))/D838))*D838),EDATE('Deal maths'!AA838,-(INT(((YEAR('Deal maths'!AA838)-YEAR(IF('Deal maths'!Z838&gt;0,'Deal maths'!Z838,DATE(1990,1,1))))*12+MONTH('Deal maths'!AA838)-MONTH(IF('Deal maths'!Z838&gt;0,'Deal maths'!Z838,DATE(1990,1,1))))/D838))*D838)),IF(DAY('Deal maths'!AA838+1)=1,EOMONTH('Deal maths'!AA838,-(INT(((YEAR('Deal maths'!AA838)-YEAR(IF('Deal maths'!Z838&gt;0,'Deal maths'!Z838,DATE(1990,1,1))))*12+MONTH('Deal maths'!AA838)-MONTH(IF('Deal maths'!Z838&gt;0,'Deal maths'!Z838,DATE(1990,1,1))))/D838)-1)*D838),EDATE('Deal maths'!AA838,-(INT(((YEAR('Deal maths'!AA838)-YEAR(IF('Deal maths'!Z838&gt;0,'Deal maths'!Z838,DATE(1990,1,1))))*12+MONTH('Deal maths'!AA838)-MONTH(IF('Deal maths'!Z838&gt;0,'Deal maths'!Z838,DATE(1990,1,1))))/D838)-1)*D838))))),0)</f>
        <v/>
      </c>
      <c r="F838" s="110">
        <f>IF(D838=0,0,'Deal maths'!AB838*D838/12)</f>
        <v/>
      </c>
      <c r="G838" s="108">
        <f>N838+O838</f>
        <v/>
      </c>
      <c r="H838" s="108">
        <f>IFERROR(IF(OR(D838=0,AsAt&lt;E838),0,MIN(N838,INT(((YEAR(AsAt)-YEAR(E838))*12+MONTH(AsAt)-MONTH(E838)-(DAY(AsAt)&lt;MIN(R838,DAY(EOMONTH(AsAt,0)))))/D838)+1)+O838*(AsAt&gt;='Deal maths'!AA838)),0)</f>
        <v/>
      </c>
      <c r="I838" s="108">
        <f>G838-H838</f>
        <v/>
      </c>
      <c r="J838" s="111">
        <f>IF(AND(C838="EIP",I838&gt;0),'Deal maths'!Y838/I838,0)</f>
        <v/>
      </c>
      <c r="K838" s="111">
        <f>IF(AND(C838="Annuity",I838&gt;0),IF(F838&gt;0,'Deal maths'!Y838*F838/(1-(1+F838)^-I838),'Deal maths'!Y838/I838),0)</f>
        <v/>
      </c>
      <c r="L838" s="111">
        <f>IF('Deal maths'!Y838="",0,'Deal maths'!Y838)</f>
        <v/>
      </c>
      <c r="M838" s="112">
        <f>F838+(F838=0)</f>
        <v/>
      </c>
      <c r="N838" s="108">
        <f>IFERROR(IF(D838=0,0,INT(((YEAR('Deal maths'!AA838)-YEAR(E838))*12+MONTH('Deal maths'!AA838)-MONTH(E838)-(DAY('Deal maths'!AA838)&lt;MIN(R838,DAY(EOMONTH('Deal maths'!AA838,0)))))/D838)+1),0)</f>
        <v/>
      </c>
      <c r="O838" s="108">
        <f>IFERROR(IF(D838=0,0,IF(IF(DAY(E838+1)=1,EOMONTH(E838,(N838-1)*D838),EDATE(E838,(N838-1)*D838))='Deal maths'!AA838,0,1)),0)</f>
        <v/>
      </c>
      <c r="P838" s="113">
        <f>IF(B838=0,0,IFERROR(IF(C838="EIP",((I838-O838)*((IF(DAY(E838+1)=1,EOMONTH(E838,H838*D838),EDATE(E838,H838*D838))-AsAt)/365.25+(IF(DAY(E838+1)=1,EOMONTH(E838,(N838-1)*D838),EDATE(E838,(N838-1)*D838))-AsAt)/365.25)/2+O838*('Deal maths'!AA838-AsAt)/365.25)/I838,IF(C838="Annuity",IF(F838&gt;0,((K838-L838*F838)*((IF(DAY(E838+1)=1,EOMONTH(E838,H838*D838),EDATE(E838,H838*D838))-AsAt)/365.25*((1+F838)^(I838-O838)-1)/F838+IF((I838-O838)&gt;1,((IF(DAY(E838+1)=1,EOMONTH(E838,(N838-1)*D838),EDATE(E838,(N838-1)*D838))-AsAt)/365.25-(IF(DAY(E838+1)=1,EOMONTH(E838,H838*D838),EDATE(E838,H838*D838))-AsAt)/365.25)/((I838-O838)-1),0)*(1+F838)*(1-(I838-O838)*(1+F838)^((I838-O838)-1)+((I838-O838)-1)*(1+F838)^(I838-O838))/F838^2)+O838*(K838-L838*F838)*(1+F838)^(I838-1)*('Deal maths'!AA838-AsAt)/365.25)/L838,((I838-O838)*((IF(DAY(E838+1)=1,EOMONTH(E838,H838*D838),EDATE(E838,H838*D838))-AsAt)/365.25+(IF(DAY(E838+1)=1,EOMONTH(E838,(N838-1)*D838),EDATE(E838,(N838-1)*D838))-AsAt)/365.25)/2+O838*('Deal maths'!AA838-AsAt)/365.25)/I838),(S838-AsAt)/365.25)),0))</f>
        <v/>
      </c>
      <c r="Q838" s="109">
        <f>IF(B838=1,'Deal maths'!AA838+ROW()/1000000,"")</f>
        <v/>
      </c>
      <c r="R838" s="108">
        <f>IF(D838=0,0,IF(DAY(E838+1)=1,31,DAY(E838)))</f>
        <v/>
      </c>
      <c r="S838" s="109">
        <f>IF(AND('Deal maths'!V838="LOBO",'Deal maths'!AG838&gt;AsAt,'Deal maths'!AG838&lt;'Deal maths'!AA838),'Deal maths'!AG838,'Deal maths'!AA838)</f>
        <v/>
      </c>
      <c r="T838" s="108">
        <f>('Deal maths'!AA838&gt;AsAt)*('Deal maths'!Y838&gt;0)</f>
        <v/>
      </c>
    </row>
    <row r="839">
      <c r="A839" s="91">
        <f>IF('Deal maths'!V839="","",'Deal maths'!W839)</f>
        <v/>
      </c>
      <c r="B839" s="108">
        <f>('Deal maths'!AA839&gt;AsAt)*('Deal maths'!Y839&gt;0)*('Deal maths'!Z839&lt;=AsAt)</f>
        <v/>
      </c>
      <c r="C839" s="91">
        <f>IF('Deal maths'!V839="","",IF('Deal maths'!AC839="","Maturity",'Deal maths'!AC839))</f>
        <v/>
      </c>
      <c r="D839" s="108">
        <f>IF(OR(C839="EIP",C839="Annuity"),IF('Deal maths'!AD839="Annual",12,IF('Deal maths'!AD839="Quarterly",3,6)),0)</f>
        <v/>
      </c>
      <c r="E839" s="109">
        <f>IFERROR(IF(D839=0,0,IF('Deal maths'!AE839&gt;0,IF('Deal maths'!AE839&gt;'Deal maths'!AA839,'Deal maths'!AA839,'Deal maths'!AE839),IF(IF(DAY('Deal maths'!AA839+1)=1,EOMONTH('Deal maths'!AA839,-(INT(((YEAR('Deal maths'!AA839)-YEAR(IF('Deal maths'!Z839&gt;0,'Deal maths'!Z839,DATE(1990,1,1))))*12+MONTH('Deal maths'!AA839)-MONTH(IF('Deal maths'!Z839&gt;0,'Deal maths'!Z839,DATE(1990,1,1))))/D839))*D839),EDATE('Deal maths'!AA839,-(INT(((YEAR('Deal maths'!AA839)-YEAR(IF('Deal maths'!Z839&gt;0,'Deal maths'!Z839,DATE(1990,1,1))))*12+MONTH('Deal maths'!AA839)-MONTH(IF('Deal maths'!Z839&gt;0,'Deal maths'!Z839,DATE(1990,1,1))))/D839))*D839))&gt;IF('Deal maths'!Z839&gt;0,'Deal maths'!Z839,DATE(1990,1,1)),IF(DAY('Deal maths'!AA839+1)=1,EOMONTH('Deal maths'!AA839,-(INT(((YEAR('Deal maths'!AA839)-YEAR(IF('Deal maths'!Z839&gt;0,'Deal maths'!Z839,DATE(1990,1,1))))*12+MONTH('Deal maths'!AA839)-MONTH(IF('Deal maths'!Z839&gt;0,'Deal maths'!Z839,DATE(1990,1,1))))/D839))*D839),EDATE('Deal maths'!AA839,-(INT(((YEAR('Deal maths'!AA839)-YEAR(IF('Deal maths'!Z839&gt;0,'Deal maths'!Z839,DATE(1990,1,1))))*12+MONTH('Deal maths'!AA839)-MONTH(IF('Deal maths'!Z839&gt;0,'Deal maths'!Z839,DATE(1990,1,1))))/D839))*D839)),IF(DAY('Deal maths'!AA839+1)=1,EOMONTH('Deal maths'!AA839,-(INT(((YEAR('Deal maths'!AA839)-YEAR(IF('Deal maths'!Z839&gt;0,'Deal maths'!Z839,DATE(1990,1,1))))*12+MONTH('Deal maths'!AA839)-MONTH(IF('Deal maths'!Z839&gt;0,'Deal maths'!Z839,DATE(1990,1,1))))/D839)-1)*D839),EDATE('Deal maths'!AA839,-(INT(((YEAR('Deal maths'!AA839)-YEAR(IF('Deal maths'!Z839&gt;0,'Deal maths'!Z839,DATE(1990,1,1))))*12+MONTH('Deal maths'!AA839)-MONTH(IF('Deal maths'!Z839&gt;0,'Deal maths'!Z839,DATE(1990,1,1))))/D839)-1)*D839))))),0)</f>
        <v/>
      </c>
      <c r="F839" s="110">
        <f>IF(D839=0,0,'Deal maths'!AB839*D839/12)</f>
        <v/>
      </c>
      <c r="G839" s="108">
        <f>N839+O839</f>
        <v/>
      </c>
      <c r="H839" s="108">
        <f>IFERROR(IF(OR(D839=0,AsAt&lt;E839),0,MIN(N839,INT(((YEAR(AsAt)-YEAR(E839))*12+MONTH(AsAt)-MONTH(E839)-(DAY(AsAt)&lt;MIN(R839,DAY(EOMONTH(AsAt,0)))))/D839)+1)+O839*(AsAt&gt;='Deal maths'!AA839)),0)</f>
        <v/>
      </c>
      <c r="I839" s="108">
        <f>G839-H839</f>
        <v/>
      </c>
      <c r="J839" s="111">
        <f>IF(AND(C839="EIP",I839&gt;0),'Deal maths'!Y839/I839,0)</f>
        <v/>
      </c>
      <c r="K839" s="111">
        <f>IF(AND(C839="Annuity",I839&gt;0),IF(F839&gt;0,'Deal maths'!Y839*F839/(1-(1+F839)^-I839),'Deal maths'!Y839/I839),0)</f>
        <v/>
      </c>
      <c r="L839" s="111">
        <f>IF('Deal maths'!Y839="",0,'Deal maths'!Y839)</f>
        <v/>
      </c>
      <c r="M839" s="112">
        <f>F839+(F839=0)</f>
        <v/>
      </c>
      <c r="N839" s="108">
        <f>IFERROR(IF(D839=0,0,INT(((YEAR('Deal maths'!AA839)-YEAR(E839))*12+MONTH('Deal maths'!AA839)-MONTH(E839)-(DAY('Deal maths'!AA839)&lt;MIN(R839,DAY(EOMONTH('Deal maths'!AA839,0)))))/D839)+1),0)</f>
        <v/>
      </c>
      <c r="O839" s="108">
        <f>IFERROR(IF(D839=0,0,IF(IF(DAY(E839+1)=1,EOMONTH(E839,(N839-1)*D839),EDATE(E839,(N839-1)*D839))='Deal maths'!AA839,0,1)),0)</f>
        <v/>
      </c>
      <c r="P839" s="113">
        <f>IF(B839=0,0,IFERROR(IF(C839="EIP",((I839-O839)*((IF(DAY(E839+1)=1,EOMONTH(E839,H839*D839),EDATE(E839,H839*D839))-AsAt)/365.25+(IF(DAY(E839+1)=1,EOMONTH(E839,(N839-1)*D839),EDATE(E839,(N839-1)*D839))-AsAt)/365.25)/2+O839*('Deal maths'!AA839-AsAt)/365.25)/I839,IF(C839="Annuity",IF(F839&gt;0,((K839-L839*F839)*((IF(DAY(E839+1)=1,EOMONTH(E839,H839*D839),EDATE(E839,H839*D839))-AsAt)/365.25*((1+F839)^(I839-O839)-1)/F839+IF((I839-O839)&gt;1,((IF(DAY(E839+1)=1,EOMONTH(E839,(N839-1)*D839),EDATE(E839,(N839-1)*D839))-AsAt)/365.25-(IF(DAY(E839+1)=1,EOMONTH(E839,H839*D839),EDATE(E839,H839*D839))-AsAt)/365.25)/((I839-O839)-1),0)*(1+F839)*(1-(I839-O839)*(1+F839)^((I839-O839)-1)+((I839-O839)-1)*(1+F839)^(I839-O839))/F839^2)+O839*(K839-L839*F839)*(1+F839)^(I839-1)*('Deal maths'!AA839-AsAt)/365.25)/L839,((I839-O839)*((IF(DAY(E839+1)=1,EOMONTH(E839,H839*D839),EDATE(E839,H839*D839))-AsAt)/365.25+(IF(DAY(E839+1)=1,EOMONTH(E839,(N839-1)*D839),EDATE(E839,(N839-1)*D839))-AsAt)/365.25)/2+O839*('Deal maths'!AA839-AsAt)/365.25)/I839),(S839-AsAt)/365.25)),0))</f>
        <v/>
      </c>
      <c r="Q839" s="109">
        <f>IF(B839=1,'Deal maths'!AA839+ROW()/1000000,"")</f>
        <v/>
      </c>
      <c r="R839" s="108">
        <f>IF(D839=0,0,IF(DAY(E839+1)=1,31,DAY(E839)))</f>
        <v/>
      </c>
      <c r="S839" s="109">
        <f>IF(AND('Deal maths'!V839="LOBO",'Deal maths'!AG839&gt;AsAt,'Deal maths'!AG839&lt;'Deal maths'!AA839),'Deal maths'!AG839,'Deal maths'!AA839)</f>
        <v/>
      </c>
      <c r="T839" s="108">
        <f>('Deal maths'!AA839&gt;AsAt)*('Deal maths'!Y839&gt;0)</f>
        <v/>
      </c>
    </row>
    <row r="840">
      <c r="A840" s="91">
        <f>IF('Deal maths'!V840="","",'Deal maths'!W840)</f>
        <v/>
      </c>
      <c r="B840" s="108">
        <f>('Deal maths'!AA840&gt;AsAt)*('Deal maths'!Y840&gt;0)*('Deal maths'!Z840&lt;=AsAt)</f>
        <v/>
      </c>
      <c r="C840" s="91">
        <f>IF('Deal maths'!V840="","",IF('Deal maths'!AC840="","Maturity",'Deal maths'!AC840))</f>
        <v/>
      </c>
      <c r="D840" s="108">
        <f>IF(OR(C840="EIP",C840="Annuity"),IF('Deal maths'!AD840="Annual",12,IF('Deal maths'!AD840="Quarterly",3,6)),0)</f>
        <v/>
      </c>
      <c r="E840" s="109">
        <f>IFERROR(IF(D840=0,0,IF('Deal maths'!AE840&gt;0,IF('Deal maths'!AE840&gt;'Deal maths'!AA840,'Deal maths'!AA840,'Deal maths'!AE840),IF(IF(DAY('Deal maths'!AA840+1)=1,EOMONTH('Deal maths'!AA840,-(INT(((YEAR('Deal maths'!AA840)-YEAR(IF('Deal maths'!Z840&gt;0,'Deal maths'!Z840,DATE(1990,1,1))))*12+MONTH('Deal maths'!AA840)-MONTH(IF('Deal maths'!Z840&gt;0,'Deal maths'!Z840,DATE(1990,1,1))))/D840))*D840),EDATE('Deal maths'!AA840,-(INT(((YEAR('Deal maths'!AA840)-YEAR(IF('Deal maths'!Z840&gt;0,'Deal maths'!Z840,DATE(1990,1,1))))*12+MONTH('Deal maths'!AA840)-MONTH(IF('Deal maths'!Z840&gt;0,'Deal maths'!Z840,DATE(1990,1,1))))/D840))*D840))&gt;IF('Deal maths'!Z840&gt;0,'Deal maths'!Z840,DATE(1990,1,1)),IF(DAY('Deal maths'!AA840+1)=1,EOMONTH('Deal maths'!AA840,-(INT(((YEAR('Deal maths'!AA840)-YEAR(IF('Deal maths'!Z840&gt;0,'Deal maths'!Z840,DATE(1990,1,1))))*12+MONTH('Deal maths'!AA840)-MONTH(IF('Deal maths'!Z840&gt;0,'Deal maths'!Z840,DATE(1990,1,1))))/D840))*D840),EDATE('Deal maths'!AA840,-(INT(((YEAR('Deal maths'!AA840)-YEAR(IF('Deal maths'!Z840&gt;0,'Deal maths'!Z840,DATE(1990,1,1))))*12+MONTH('Deal maths'!AA840)-MONTH(IF('Deal maths'!Z840&gt;0,'Deal maths'!Z840,DATE(1990,1,1))))/D840))*D840)),IF(DAY('Deal maths'!AA840+1)=1,EOMONTH('Deal maths'!AA840,-(INT(((YEAR('Deal maths'!AA840)-YEAR(IF('Deal maths'!Z840&gt;0,'Deal maths'!Z840,DATE(1990,1,1))))*12+MONTH('Deal maths'!AA840)-MONTH(IF('Deal maths'!Z840&gt;0,'Deal maths'!Z840,DATE(1990,1,1))))/D840)-1)*D840),EDATE('Deal maths'!AA840,-(INT(((YEAR('Deal maths'!AA840)-YEAR(IF('Deal maths'!Z840&gt;0,'Deal maths'!Z840,DATE(1990,1,1))))*12+MONTH('Deal maths'!AA840)-MONTH(IF('Deal maths'!Z840&gt;0,'Deal maths'!Z840,DATE(1990,1,1))))/D840)-1)*D840))))),0)</f>
        <v/>
      </c>
      <c r="F840" s="110">
        <f>IF(D840=0,0,'Deal maths'!AB840*D840/12)</f>
        <v/>
      </c>
      <c r="G840" s="108">
        <f>N840+O840</f>
        <v/>
      </c>
      <c r="H840" s="108">
        <f>IFERROR(IF(OR(D840=0,AsAt&lt;E840),0,MIN(N840,INT(((YEAR(AsAt)-YEAR(E840))*12+MONTH(AsAt)-MONTH(E840)-(DAY(AsAt)&lt;MIN(R840,DAY(EOMONTH(AsAt,0)))))/D840)+1)+O840*(AsAt&gt;='Deal maths'!AA840)),0)</f>
        <v/>
      </c>
      <c r="I840" s="108">
        <f>G840-H840</f>
        <v/>
      </c>
      <c r="J840" s="111">
        <f>IF(AND(C840="EIP",I840&gt;0),'Deal maths'!Y840/I840,0)</f>
        <v/>
      </c>
      <c r="K840" s="111">
        <f>IF(AND(C840="Annuity",I840&gt;0),IF(F840&gt;0,'Deal maths'!Y840*F840/(1-(1+F840)^-I840),'Deal maths'!Y840/I840),0)</f>
        <v/>
      </c>
      <c r="L840" s="111">
        <f>IF('Deal maths'!Y840="",0,'Deal maths'!Y840)</f>
        <v/>
      </c>
      <c r="M840" s="112">
        <f>F840+(F840=0)</f>
        <v/>
      </c>
      <c r="N840" s="108">
        <f>IFERROR(IF(D840=0,0,INT(((YEAR('Deal maths'!AA840)-YEAR(E840))*12+MONTH('Deal maths'!AA840)-MONTH(E840)-(DAY('Deal maths'!AA840)&lt;MIN(R840,DAY(EOMONTH('Deal maths'!AA840,0)))))/D840)+1),0)</f>
        <v/>
      </c>
      <c r="O840" s="108">
        <f>IFERROR(IF(D840=0,0,IF(IF(DAY(E840+1)=1,EOMONTH(E840,(N840-1)*D840),EDATE(E840,(N840-1)*D840))='Deal maths'!AA840,0,1)),0)</f>
        <v/>
      </c>
      <c r="P840" s="113">
        <f>IF(B840=0,0,IFERROR(IF(C840="EIP",((I840-O840)*((IF(DAY(E840+1)=1,EOMONTH(E840,H840*D840),EDATE(E840,H840*D840))-AsAt)/365.25+(IF(DAY(E840+1)=1,EOMONTH(E840,(N840-1)*D840),EDATE(E840,(N840-1)*D840))-AsAt)/365.25)/2+O840*('Deal maths'!AA840-AsAt)/365.25)/I840,IF(C840="Annuity",IF(F840&gt;0,((K840-L840*F840)*((IF(DAY(E840+1)=1,EOMONTH(E840,H840*D840),EDATE(E840,H840*D840))-AsAt)/365.25*((1+F840)^(I840-O840)-1)/F840+IF((I840-O840)&gt;1,((IF(DAY(E840+1)=1,EOMONTH(E840,(N840-1)*D840),EDATE(E840,(N840-1)*D840))-AsAt)/365.25-(IF(DAY(E840+1)=1,EOMONTH(E840,H840*D840),EDATE(E840,H840*D840))-AsAt)/365.25)/((I840-O840)-1),0)*(1+F840)*(1-(I840-O840)*(1+F840)^((I840-O840)-1)+((I840-O840)-1)*(1+F840)^(I840-O840))/F840^2)+O840*(K840-L840*F840)*(1+F840)^(I840-1)*('Deal maths'!AA840-AsAt)/365.25)/L840,((I840-O840)*((IF(DAY(E840+1)=1,EOMONTH(E840,H840*D840),EDATE(E840,H840*D840))-AsAt)/365.25+(IF(DAY(E840+1)=1,EOMONTH(E840,(N840-1)*D840),EDATE(E840,(N840-1)*D840))-AsAt)/365.25)/2+O840*('Deal maths'!AA840-AsAt)/365.25)/I840),(S840-AsAt)/365.25)),0))</f>
        <v/>
      </c>
      <c r="Q840" s="109">
        <f>IF(B840=1,'Deal maths'!AA840+ROW()/1000000,"")</f>
        <v/>
      </c>
      <c r="R840" s="108">
        <f>IF(D840=0,0,IF(DAY(E840+1)=1,31,DAY(E840)))</f>
        <v/>
      </c>
      <c r="S840" s="109">
        <f>IF(AND('Deal maths'!V840="LOBO",'Deal maths'!AG840&gt;AsAt,'Deal maths'!AG840&lt;'Deal maths'!AA840),'Deal maths'!AG840,'Deal maths'!AA840)</f>
        <v/>
      </c>
      <c r="T840" s="108">
        <f>('Deal maths'!AA840&gt;AsAt)*('Deal maths'!Y840&gt;0)</f>
        <v/>
      </c>
    </row>
    <row r="841">
      <c r="A841" s="91">
        <f>IF('Deal maths'!V841="","",'Deal maths'!W841)</f>
        <v/>
      </c>
      <c r="B841" s="108">
        <f>('Deal maths'!AA841&gt;AsAt)*('Deal maths'!Y841&gt;0)*('Deal maths'!Z841&lt;=AsAt)</f>
        <v/>
      </c>
      <c r="C841" s="91">
        <f>IF('Deal maths'!V841="","",IF('Deal maths'!AC841="","Maturity",'Deal maths'!AC841))</f>
        <v/>
      </c>
      <c r="D841" s="108">
        <f>IF(OR(C841="EIP",C841="Annuity"),IF('Deal maths'!AD841="Annual",12,IF('Deal maths'!AD841="Quarterly",3,6)),0)</f>
        <v/>
      </c>
      <c r="E841" s="109">
        <f>IFERROR(IF(D841=0,0,IF('Deal maths'!AE841&gt;0,IF('Deal maths'!AE841&gt;'Deal maths'!AA841,'Deal maths'!AA841,'Deal maths'!AE841),IF(IF(DAY('Deal maths'!AA841+1)=1,EOMONTH('Deal maths'!AA841,-(INT(((YEAR('Deal maths'!AA841)-YEAR(IF('Deal maths'!Z841&gt;0,'Deal maths'!Z841,DATE(1990,1,1))))*12+MONTH('Deal maths'!AA841)-MONTH(IF('Deal maths'!Z841&gt;0,'Deal maths'!Z841,DATE(1990,1,1))))/D841))*D841),EDATE('Deal maths'!AA841,-(INT(((YEAR('Deal maths'!AA841)-YEAR(IF('Deal maths'!Z841&gt;0,'Deal maths'!Z841,DATE(1990,1,1))))*12+MONTH('Deal maths'!AA841)-MONTH(IF('Deal maths'!Z841&gt;0,'Deal maths'!Z841,DATE(1990,1,1))))/D841))*D841))&gt;IF('Deal maths'!Z841&gt;0,'Deal maths'!Z841,DATE(1990,1,1)),IF(DAY('Deal maths'!AA841+1)=1,EOMONTH('Deal maths'!AA841,-(INT(((YEAR('Deal maths'!AA841)-YEAR(IF('Deal maths'!Z841&gt;0,'Deal maths'!Z841,DATE(1990,1,1))))*12+MONTH('Deal maths'!AA841)-MONTH(IF('Deal maths'!Z841&gt;0,'Deal maths'!Z841,DATE(1990,1,1))))/D841))*D841),EDATE('Deal maths'!AA841,-(INT(((YEAR('Deal maths'!AA841)-YEAR(IF('Deal maths'!Z841&gt;0,'Deal maths'!Z841,DATE(1990,1,1))))*12+MONTH('Deal maths'!AA841)-MONTH(IF('Deal maths'!Z841&gt;0,'Deal maths'!Z841,DATE(1990,1,1))))/D841))*D841)),IF(DAY('Deal maths'!AA841+1)=1,EOMONTH('Deal maths'!AA841,-(INT(((YEAR('Deal maths'!AA841)-YEAR(IF('Deal maths'!Z841&gt;0,'Deal maths'!Z841,DATE(1990,1,1))))*12+MONTH('Deal maths'!AA841)-MONTH(IF('Deal maths'!Z841&gt;0,'Deal maths'!Z841,DATE(1990,1,1))))/D841)-1)*D841),EDATE('Deal maths'!AA841,-(INT(((YEAR('Deal maths'!AA841)-YEAR(IF('Deal maths'!Z841&gt;0,'Deal maths'!Z841,DATE(1990,1,1))))*12+MONTH('Deal maths'!AA841)-MONTH(IF('Deal maths'!Z841&gt;0,'Deal maths'!Z841,DATE(1990,1,1))))/D841)-1)*D841))))),0)</f>
        <v/>
      </c>
      <c r="F841" s="110">
        <f>IF(D841=0,0,'Deal maths'!AB841*D841/12)</f>
        <v/>
      </c>
      <c r="G841" s="108">
        <f>N841+O841</f>
        <v/>
      </c>
      <c r="H841" s="108">
        <f>IFERROR(IF(OR(D841=0,AsAt&lt;E841),0,MIN(N841,INT(((YEAR(AsAt)-YEAR(E841))*12+MONTH(AsAt)-MONTH(E841)-(DAY(AsAt)&lt;MIN(R841,DAY(EOMONTH(AsAt,0)))))/D841)+1)+O841*(AsAt&gt;='Deal maths'!AA841)),0)</f>
        <v/>
      </c>
      <c r="I841" s="108">
        <f>G841-H841</f>
        <v/>
      </c>
      <c r="J841" s="111">
        <f>IF(AND(C841="EIP",I841&gt;0),'Deal maths'!Y841/I841,0)</f>
        <v/>
      </c>
      <c r="K841" s="111">
        <f>IF(AND(C841="Annuity",I841&gt;0),IF(F841&gt;0,'Deal maths'!Y841*F841/(1-(1+F841)^-I841),'Deal maths'!Y841/I841),0)</f>
        <v/>
      </c>
      <c r="L841" s="111">
        <f>IF('Deal maths'!Y841="",0,'Deal maths'!Y841)</f>
        <v/>
      </c>
      <c r="M841" s="112">
        <f>F841+(F841=0)</f>
        <v/>
      </c>
      <c r="N841" s="108">
        <f>IFERROR(IF(D841=0,0,INT(((YEAR('Deal maths'!AA841)-YEAR(E841))*12+MONTH('Deal maths'!AA841)-MONTH(E841)-(DAY('Deal maths'!AA841)&lt;MIN(R841,DAY(EOMONTH('Deal maths'!AA841,0)))))/D841)+1),0)</f>
        <v/>
      </c>
      <c r="O841" s="108">
        <f>IFERROR(IF(D841=0,0,IF(IF(DAY(E841+1)=1,EOMONTH(E841,(N841-1)*D841),EDATE(E841,(N841-1)*D841))='Deal maths'!AA841,0,1)),0)</f>
        <v/>
      </c>
      <c r="P841" s="113">
        <f>IF(B841=0,0,IFERROR(IF(C841="EIP",((I841-O841)*((IF(DAY(E841+1)=1,EOMONTH(E841,H841*D841),EDATE(E841,H841*D841))-AsAt)/365.25+(IF(DAY(E841+1)=1,EOMONTH(E841,(N841-1)*D841),EDATE(E841,(N841-1)*D841))-AsAt)/365.25)/2+O841*('Deal maths'!AA841-AsAt)/365.25)/I841,IF(C841="Annuity",IF(F841&gt;0,((K841-L841*F841)*((IF(DAY(E841+1)=1,EOMONTH(E841,H841*D841),EDATE(E841,H841*D841))-AsAt)/365.25*((1+F841)^(I841-O841)-1)/F841+IF((I841-O841)&gt;1,((IF(DAY(E841+1)=1,EOMONTH(E841,(N841-1)*D841),EDATE(E841,(N841-1)*D841))-AsAt)/365.25-(IF(DAY(E841+1)=1,EOMONTH(E841,H841*D841),EDATE(E841,H841*D841))-AsAt)/365.25)/((I841-O841)-1),0)*(1+F841)*(1-(I841-O841)*(1+F841)^((I841-O841)-1)+((I841-O841)-1)*(1+F841)^(I841-O841))/F841^2)+O841*(K841-L841*F841)*(1+F841)^(I841-1)*('Deal maths'!AA841-AsAt)/365.25)/L841,((I841-O841)*((IF(DAY(E841+1)=1,EOMONTH(E841,H841*D841),EDATE(E841,H841*D841))-AsAt)/365.25+(IF(DAY(E841+1)=1,EOMONTH(E841,(N841-1)*D841),EDATE(E841,(N841-1)*D841))-AsAt)/365.25)/2+O841*('Deal maths'!AA841-AsAt)/365.25)/I841),(S841-AsAt)/365.25)),0))</f>
        <v/>
      </c>
      <c r="Q841" s="109">
        <f>IF(B841=1,'Deal maths'!AA841+ROW()/1000000,"")</f>
        <v/>
      </c>
      <c r="R841" s="108">
        <f>IF(D841=0,0,IF(DAY(E841+1)=1,31,DAY(E841)))</f>
        <v/>
      </c>
      <c r="S841" s="109">
        <f>IF(AND('Deal maths'!V841="LOBO",'Deal maths'!AG841&gt;AsAt,'Deal maths'!AG841&lt;'Deal maths'!AA841),'Deal maths'!AG841,'Deal maths'!AA841)</f>
        <v/>
      </c>
      <c r="T841" s="108">
        <f>('Deal maths'!AA841&gt;AsAt)*('Deal maths'!Y841&gt;0)</f>
        <v/>
      </c>
    </row>
    <row r="842">
      <c r="A842" s="91">
        <f>IF('Deal maths'!V842="","",'Deal maths'!W842)</f>
        <v/>
      </c>
      <c r="B842" s="108">
        <f>('Deal maths'!AA842&gt;AsAt)*('Deal maths'!Y842&gt;0)*('Deal maths'!Z842&lt;=AsAt)</f>
        <v/>
      </c>
      <c r="C842" s="91">
        <f>IF('Deal maths'!V842="","",IF('Deal maths'!AC842="","Maturity",'Deal maths'!AC842))</f>
        <v/>
      </c>
      <c r="D842" s="108">
        <f>IF(OR(C842="EIP",C842="Annuity"),IF('Deal maths'!AD842="Annual",12,IF('Deal maths'!AD842="Quarterly",3,6)),0)</f>
        <v/>
      </c>
      <c r="E842" s="109">
        <f>IFERROR(IF(D842=0,0,IF('Deal maths'!AE842&gt;0,IF('Deal maths'!AE842&gt;'Deal maths'!AA842,'Deal maths'!AA842,'Deal maths'!AE842),IF(IF(DAY('Deal maths'!AA842+1)=1,EOMONTH('Deal maths'!AA842,-(INT(((YEAR('Deal maths'!AA842)-YEAR(IF('Deal maths'!Z842&gt;0,'Deal maths'!Z842,DATE(1990,1,1))))*12+MONTH('Deal maths'!AA842)-MONTH(IF('Deal maths'!Z842&gt;0,'Deal maths'!Z842,DATE(1990,1,1))))/D842))*D842),EDATE('Deal maths'!AA842,-(INT(((YEAR('Deal maths'!AA842)-YEAR(IF('Deal maths'!Z842&gt;0,'Deal maths'!Z842,DATE(1990,1,1))))*12+MONTH('Deal maths'!AA842)-MONTH(IF('Deal maths'!Z842&gt;0,'Deal maths'!Z842,DATE(1990,1,1))))/D842))*D842))&gt;IF('Deal maths'!Z842&gt;0,'Deal maths'!Z842,DATE(1990,1,1)),IF(DAY('Deal maths'!AA842+1)=1,EOMONTH('Deal maths'!AA842,-(INT(((YEAR('Deal maths'!AA842)-YEAR(IF('Deal maths'!Z842&gt;0,'Deal maths'!Z842,DATE(1990,1,1))))*12+MONTH('Deal maths'!AA842)-MONTH(IF('Deal maths'!Z842&gt;0,'Deal maths'!Z842,DATE(1990,1,1))))/D842))*D842),EDATE('Deal maths'!AA842,-(INT(((YEAR('Deal maths'!AA842)-YEAR(IF('Deal maths'!Z842&gt;0,'Deal maths'!Z842,DATE(1990,1,1))))*12+MONTH('Deal maths'!AA842)-MONTH(IF('Deal maths'!Z842&gt;0,'Deal maths'!Z842,DATE(1990,1,1))))/D842))*D842)),IF(DAY('Deal maths'!AA842+1)=1,EOMONTH('Deal maths'!AA842,-(INT(((YEAR('Deal maths'!AA842)-YEAR(IF('Deal maths'!Z842&gt;0,'Deal maths'!Z842,DATE(1990,1,1))))*12+MONTH('Deal maths'!AA842)-MONTH(IF('Deal maths'!Z842&gt;0,'Deal maths'!Z842,DATE(1990,1,1))))/D842)-1)*D842),EDATE('Deal maths'!AA842,-(INT(((YEAR('Deal maths'!AA842)-YEAR(IF('Deal maths'!Z842&gt;0,'Deal maths'!Z842,DATE(1990,1,1))))*12+MONTH('Deal maths'!AA842)-MONTH(IF('Deal maths'!Z842&gt;0,'Deal maths'!Z842,DATE(1990,1,1))))/D842)-1)*D842))))),0)</f>
        <v/>
      </c>
      <c r="F842" s="110">
        <f>IF(D842=0,0,'Deal maths'!AB842*D842/12)</f>
        <v/>
      </c>
      <c r="G842" s="108">
        <f>N842+O842</f>
        <v/>
      </c>
      <c r="H842" s="108">
        <f>IFERROR(IF(OR(D842=0,AsAt&lt;E842),0,MIN(N842,INT(((YEAR(AsAt)-YEAR(E842))*12+MONTH(AsAt)-MONTH(E842)-(DAY(AsAt)&lt;MIN(R842,DAY(EOMONTH(AsAt,0)))))/D842)+1)+O842*(AsAt&gt;='Deal maths'!AA842)),0)</f>
        <v/>
      </c>
      <c r="I842" s="108">
        <f>G842-H842</f>
        <v/>
      </c>
      <c r="J842" s="111">
        <f>IF(AND(C842="EIP",I842&gt;0),'Deal maths'!Y842/I842,0)</f>
        <v/>
      </c>
      <c r="K842" s="111">
        <f>IF(AND(C842="Annuity",I842&gt;0),IF(F842&gt;0,'Deal maths'!Y842*F842/(1-(1+F842)^-I842),'Deal maths'!Y842/I842),0)</f>
        <v/>
      </c>
      <c r="L842" s="111">
        <f>IF('Deal maths'!Y842="",0,'Deal maths'!Y842)</f>
        <v/>
      </c>
      <c r="M842" s="112">
        <f>F842+(F842=0)</f>
        <v/>
      </c>
      <c r="N842" s="108">
        <f>IFERROR(IF(D842=0,0,INT(((YEAR('Deal maths'!AA842)-YEAR(E842))*12+MONTH('Deal maths'!AA842)-MONTH(E842)-(DAY('Deal maths'!AA842)&lt;MIN(R842,DAY(EOMONTH('Deal maths'!AA842,0)))))/D842)+1),0)</f>
        <v/>
      </c>
      <c r="O842" s="108">
        <f>IFERROR(IF(D842=0,0,IF(IF(DAY(E842+1)=1,EOMONTH(E842,(N842-1)*D842),EDATE(E842,(N842-1)*D842))='Deal maths'!AA842,0,1)),0)</f>
        <v/>
      </c>
      <c r="P842" s="113">
        <f>IF(B842=0,0,IFERROR(IF(C842="EIP",((I842-O842)*((IF(DAY(E842+1)=1,EOMONTH(E842,H842*D842),EDATE(E842,H842*D842))-AsAt)/365.25+(IF(DAY(E842+1)=1,EOMONTH(E842,(N842-1)*D842),EDATE(E842,(N842-1)*D842))-AsAt)/365.25)/2+O842*('Deal maths'!AA842-AsAt)/365.25)/I842,IF(C842="Annuity",IF(F842&gt;0,((K842-L842*F842)*((IF(DAY(E842+1)=1,EOMONTH(E842,H842*D842),EDATE(E842,H842*D842))-AsAt)/365.25*((1+F842)^(I842-O842)-1)/F842+IF((I842-O842)&gt;1,((IF(DAY(E842+1)=1,EOMONTH(E842,(N842-1)*D842),EDATE(E842,(N842-1)*D842))-AsAt)/365.25-(IF(DAY(E842+1)=1,EOMONTH(E842,H842*D842),EDATE(E842,H842*D842))-AsAt)/365.25)/((I842-O842)-1),0)*(1+F842)*(1-(I842-O842)*(1+F842)^((I842-O842)-1)+((I842-O842)-1)*(1+F842)^(I842-O842))/F842^2)+O842*(K842-L842*F842)*(1+F842)^(I842-1)*('Deal maths'!AA842-AsAt)/365.25)/L842,((I842-O842)*((IF(DAY(E842+1)=1,EOMONTH(E842,H842*D842),EDATE(E842,H842*D842))-AsAt)/365.25+(IF(DAY(E842+1)=1,EOMONTH(E842,(N842-1)*D842),EDATE(E842,(N842-1)*D842))-AsAt)/365.25)/2+O842*('Deal maths'!AA842-AsAt)/365.25)/I842),(S842-AsAt)/365.25)),0))</f>
        <v/>
      </c>
      <c r="Q842" s="109">
        <f>IF(B842=1,'Deal maths'!AA842+ROW()/1000000,"")</f>
        <v/>
      </c>
      <c r="R842" s="108">
        <f>IF(D842=0,0,IF(DAY(E842+1)=1,31,DAY(E842)))</f>
        <v/>
      </c>
      <c r="S842" s="109">
        <f>IF(AND('Deal maths'!V842="LOBO",'Deal maths'!AG842&gt;AsAt,'Deal maths'!AG842&lt;'Deal maths'!AA842),'Deal maths'!AG842,'Deal maths'!AA842)</f>
        <v/>
      </c>
      <c r="T842" s="108">
        <f>('Deal maths'!AA842&gt;AsAt)*('Deal maths'!Y842&gt;0)</f>
        <v/>
      </c>
    </row>
    <row r="843">
      <c r="A843" s="91">
        <f>IF('Deal maths'!V843="","",'Deal maths'!W843)</f>
        <v/>
      </c>
      <c r="B843" s="108">
        <f>('Deal maths'!AA843&gt;AsAt)*('Deal maths'!Y843&gt;0)*('Deal maths'!Z843&lt;=AsAt)</f>
        <v/>
      </c>
      <c r="C843" s="91">
        <f>IF('Deal maths'!V843="","",IF('Deal maths'!AC843="","Maturity",'Deal maths'!AC843))</f>
        <v/>
      </c>
      <c r="D843" s="108">
        <f>IF(OR(C843="EIP",C843="Annuity"),IF('Deal maths'!AD843="Annual",12,IF('Deal maths'!AD843="Quarterly",3,6)),0)</f>
        <v/>
      </c>
      <c r="E843" s="109">
        <f>IFERROR(IF(D843=0,0,IF('Deal maths'!AE843&gt;0,IF('Deal maths'!AE843&gt;'Deal maths'!AA843,'Deal maths'!AA843,'Deal maths'!AE843),IF(IF(DAY('Deal maths'!AA843+1)=1,EOMONTH('Deal maths'!AA843,-(INT(((YEAR('Deal maths'!AA843)-YEAR(IF('Deal maths'!Z843&gt;0,'Deal maths'!Z843,DATE(1990,1,1))))*12+MONTH('Deal maths'!AA843)-MONTH(IF('Deal maths'!Z843&gt;0,'Deal maths'!Z843,DATE(1990,1,1))))/D843))*D843),EDATE('Deal maths'!AA843,-(INT(((YEAR('Deal maths'!AA843)-YEAR(IF('Deal maths'!Z843&gt;0,'Deal maths'!Z843,DATE(1990,1,1))))*12+MONTH('Deal maths'!AA843)-MONTH(IF('Deal maths'!Z843&gt;0,'Deal maths'!Z843,DATE(1990,1,1))))/D843))*D843))&gt;IF('Deal maths'!Z843&gt;0,'Deal maths'!Z843,DATE(1990,1,1)),IF(DAY('Deal maths'!AA843+1)=1,EOMONTH('Deal maths'!AA843,-(INT(((YEAR('Deal maths'!AA843)-YEAR(IF('Deal maths'!Z843&gt;0,'Deal maths'!Z843,DATE(1990,1,1))))*12+MONTH('Deal maths'!AA843)-MONTH(IF('Deal maths'!Z843&gt;0,'Deal maths'!Z843,DATE(1990,1,1))))/D843))*D843),EDATE('Deal maths'!AA843,-(INT(((YEAR('Deal maths'!AA843)-YEAR(IF('Deal maths'!Z843&gt;0,'Deal maths'!Z843,DATE(1990,1,1))))*12+MONTH('Deal maths'!AA843)-MONTH(IF('Deal maths'!Z843&gt;0,'Deal maths'!Z843,DATE(1990,1,1))))/D843))*D843)),IF(DAY('Deal maths'!AA843+1)=1,EOMONTH('Deal maths'!AA843,-(INT(((YEAR('Deal maths'!AA843)-YEAR(IF('Deal maths'!Z843&gt;0,'Deal maths'!Z843,DATE(1990,1,1))))*12+MONTH('Deal maths'!AA843)-MONTH(IF('Deal maths'!Z843&gt;0,'Deal maths'!Z843,DATE(1990,1,1))))/D843)-1)*D843),EDATE('Deal maths'!AA843,-(INT(((YEAR('Deal maths'!AA843)-YEAR(IF('Deal maths'!Z843&gt;0,'Deal maths'!Z843,DATE(1990,1,1))))*12+MONTH('Deal maths'!AA843)-MONTH(IF('Deal maths'!Z843&gt;0,'Deal maths'!Z843,DATE(1990,1,1))))/D843)-1)*D843))))),0)</f>
        <v/>
      </c>
      <c r="F843" s="110">
        <f>IF(D843=0,0,'Deal maths'!AB843*D843/12)</f>
        <v/>
      </c>
      <c r="G843" s="108">
        <f>N843+O843</f>
        <v/>
      </c>
      <c r="H843" s="108">
        <f>IFERROR(IF(OR(D843=0,AsAt&lt;E843),0,MIN(N843,INT(((YEAR(AsAt)-YEAR(E843))*12+MONTH(AsAt)-MONTH(E843)-(DAY(AsAt)&lt;MIN(R843,DAY(EOMONTH(AsAt,0)))))/D843)+1)+O843*(AsAt&gt;='Deal maths'!AA843)),0)</f>
        <v/>
      </c>
      <c r="I843" s="108">
        <f>G843-H843</f>
        <v/>
      </c>
      <c r="J843" s="111">
        <f>IF(AND(C843="EIP",I843&gt;0),'Deal maths'!Y843/I843,0)</f>
        <v/>
      </c>
      <c r="K843" s="111">
        <f>IF(AND(C843="Annuity",I843&gt;0),IF(F843&gt;0,'Deal maths'!Y843*F843/(1-(1+F843)^-I843),'Deal maths'!Y843/I843),0)</f>
        <v/>
      </c>
      <c r="L843" s="111">
        <f>IF('Deal maths'!Y843="",0,'Deal maths'!Y843)</f>
        <v/>
      </c>
      <c r="M843" s="112">
        <f>F843+(F843=0)</f>
        <v/>
      </c>
      <c r="N843" s="108">
        <f>IFERROR(IF(D843=0,0,INT(((YEAR('Deal maths'!AA843)-YEAR(E843))*12+MONTH('Deal maths'!AA843)-MONTH(E843)-(DAY('Deal maths'!AA843)&lt;MIN(R843,DAY(EOMONTH('Deal maths'!AA843,0)))))/D843)+1),0)</f>
        <v/>
      </c>
      <c r="O843" s="108">
        <f>IFERROR(IF(D843=0,0,IF(IF(DAY(E843+1)=1,EOMONTH(E843,(N843-1)*D843),EDATE(E843,(N843-1)*D843))='Deal maths'!AA843,0,1)),0)</f>
        <v/>
      </c>
      <c r="P843" s="113">
        <f>IF(B843=0,0,IFERROR(IF(C843="EIP",((I843-O843)*((IF(DAY(E843+1)=1,EOMONTH(E843,H843*D843),EDATE(E843,H843*D843))-AsAt)/365.25+(IF(DAY(E843+1)=1,EOMONTH(E843,(N843-1)*D843),EDATE(E843,(N843-1)*D843))-AsAt)/365.25)/2+O843*('Deal maths'!AA843-AsAt)/365.25)/I843,IF(C843="Annuity",IF(F843&gt;0,((K843-L843*F843)*((IF(DAY(E843+1)=1,EOMONTH(E843,H843*D843),EDATE(E843,H843*D843))-AsAt)/365.25*((1+F843)^(I843-O843)-1)/F843+IF((I843-O843)&gt;1,((IF(DAY(E843+1)=1,EOMONTH(E843,(N843-1)*D843),EDATE(E843,(N843-1)*D843))-AsAt)/365.25-(IF(DAY(E843+1)=1,EOMONTH(E843,H843*D843),EDATE(E843,H843*D843))-AsAt)/365.25)/((I843-O843)-1),0)*(1+F843)*(1-(I843-O843)*(1+F843)^((I843-O843)-1)+((I843-O843)-1)*(1+F843)^(I843-O843))/F843^2)+O843*(K843-L843*F843)*(1+F843)^(I843-1)*('Deal maths'!AA843-AsAt)/365.25)/L843,((I843-O843)*((IF(DAY(E843+1)=1,EOMONTH(E843,H843*D843),EDATE(E843,H843*D843))-AsAt)/365.25+(IF(DAY(E843+1)=1,EOMONTH(E843,(N843-1)*D843),EDATE(E843,(N843-1)*D843))-AsAt)/365.25)/2+O843*('Deal maths'!AA843-AsAt)/365.25)/I843),(S843-AsAt)/365.25)),0))</f>
        <v/>
      </c>
      <c r="Q843" s="109">
        <f>IF(B843=1,'Deal maths'!AA843+ROW()/1000000,"")</f>
        <v/>
      </c>
      <c r="R843" s="108">
        <f>IF(D843=0,0,IF(DAY(E843+1)=1,31,DAY(E843)))</f>
        <v/>
      </c>
      <c r="S843" s="109">
        <f>IF(AND('Deal maths'!V843="LOBO",'Deal maths'!AG843&gt;AsAt,'Deal maths'!AG843&lt;'Deal maths'!AA843),'Deal maths'!AG843,'Deal maths'!AA843)</f>
        <v/>
      </c>
      <c r="T843" s="108">
        <f>('Deal maths'!AA843&gt;AsAt)*('Deal maths'!Y843&gt;0)</f>
        <v/>
      </c>
    </row>
    <row r="844">
      <c r="A844" s="91">
        <f>IF('Deal maths'!V844="","",'Deal maths'!W844)</f>
        <v/>
      </c>
      <c r="B844" s="108">
        <f>('Deal maths'!AA844&gt;AsAt)*('Deal maths'!Y844&gt;0)*('Deal maths'!Z844&lt;=AsAt)</f>
        <v/>
      </c>
      <c r="C844" s="91">
        <f>IF('Deal maths'!V844="","",IF('Deal maths'!AC844="","Maturity",'Deal maths'!AC844))</f>
        <v/>
      </c>
      <c r="D844" s="108">
        <f>IF(OR(C844="EIP",C844="Annuity"),IF('Deal maths'!AD844="Annual",12,IF('Deal maths'!AD844="Quarterly",3,6)),0)</f>
        <v/>
      </c>
      <c r="E844" s="109">
        <f>IFERROR(IF(D844=0,0,IF('Deal maths'!AE844&gt;0,IF('Deal maths'!AE844&gt;'Deal maths'!AA844,'Deal maths'!AA844,'Deal maths'!AE844),IF(IF(DAY('Deal maths'!AA844+1)=1,EOMONTH('Deal maths'!AA844,-(INT(((YEAR('Deal maths'!AA844)-YEAR(IF('Deal maths'!Z844&gt;0,'Deal maths'!Z844,DATE(1990,1,1))))*12+MONTH('Deal maths'!AA844)-MONTH(IF('Deal maths'!Z844&gt;0,'Deal maths'!Z844,DATE(1990,1,1))))/D844))*D844),EDATE('Deal maths'!AA844,-(INT(((YEAR('Deal maths'!AA844)-YEAR(IF('Deal maths'!Z844&gt;0,'Deal maths'!Z844,DATE(1990,1,1))))*12+MONTH('Deal maths'!AA844)-MONTH(IF('Deal maths'!Z844&gt;0,'Deal maths'!Z844,DATE(1990,1,1))))/D844))*D844))&gt;IF('Deal maths'!Z844&gt;0,'Deal maths'!Z844,DATE(1990,1,1)),IF(DAY('Deal maths'!AA844+1)=1,EOMONTH('Deal maths'!AA844,-(INT(((YEAR('Deal maths'!AA844)-YEAR(IF('Deal maths'!Z844&gt;0,'Deal maths'!Z844,DATE(1990,1,1))))*12+MONTH('Deal maths'!AA844)-MONTH(IF('Deal maths'!Z844&gt;0,'Deal maths'!Z844,DATE(1990,1,1))))/D844))*D844),EDATE('Deal maths'!AA844,-(INT(((YEAR('Deal maths'!AA844)-YEAR(IF('Deal maths'!Z844&gt;0,'Deal maths'!Z844,DATE(1990,1,1))))*12+MONTH('Deal maths'!AA844)-MONTH(IF('Deal maths'!Z844&gt;0,'Deal maths'!Z844,DATE(1990,1,1))))/D844))*D844)),IF(DAY('Deal maths'!AA844+1)=1,EOMONTH('Deal maths'!AA844,-(INT(((YEAR('Deal maths'!AA844)-YEAR(IF('Deal maths'!Z844&gt;0,'Deal maths'!Z844,DATE(1990,1,1))))*12+MONTH('Deal maths'!AA844)-MONTH(IF('Deal maths'!Z844&gt;0,'Deal maths'!Z844,DATE(1990,1,1))))/D844)-1)*D844),EDATE('Deal maths'!AA844,-(INT(((YEAR('Deal maths'!AA844)-YEAR(IF('Deal maths'!Z844&gt;0,'Deal maths'!Z844,DATE(1990,1,1))))*12+MONTH('Deal maths'!AA844)-MONTH(IF('Deal maths'!Z844&gt;0,'Deal maths'!Z844,DATE(1990,1,1))))/D844)-1)*D844))))),0)</f>
        <v/>
      </c>
      <c r="F844" s="110">
        <f>IF(D844=0,0,'Deal maths'!AB844*D844/12)</f>
        <v/>
      </c>
      <c r="G844" s="108">
        <f>N844+O844</f>
        <v/>
      </c>
      <c r="H844" s="108">
        <f>IFERROR(IF(OR(D844=0,AsAt&lt;E844),0,MIN(N844,INT(((YEAR(AsAt)-YEAR(E844))*12+MONTH(AsAt)-MONTH(E844)-(DAY(AsAt)&lt;MIN(R844,DAY(EOMONTH(AsAt,0)))))/D844)+1)+O844*(AsAt&gt;='Deal maths'!AA844)),0)</f>
        <v/>
      </c>
      <c r="I844" s="108">
        <f>G844-H844</f>
        <v/>
      </c>
      <c r="J844" s="111">
        <f>IF(AND(C844="EIP",I844&gt;0),'Deal maths'!Y844/I844,0)</f>
        <v/>
      </c>
      <c r="K844" s="111">
        <f>IF(AND(C844="Annuity",I844&gt;0),IF(F844&gt;0,'Deal maths'!Y844*F844/(1-(1+F844)^-I844),'Deal maths'!Y844/I844),0)</f>
        <v/>
      </c>
      <c r="L844" s="111">
        <f>IF('Deal maths'!Y844="",0,'Deal maths'!Y844)</f>
        <v/>
      </c>
      <c r="M844" s="112">
        <f>F844+(F844=0)</f>
        <v/>
      </c>
      <c r="N844" s="108">
        <f>IFERROR(IF(D844=0,0,INT(((YEAR('Deal maths'!AA844)-YEAR(E844))*12+MONTH('Deal maths'!AA844)-MONTH(E844)-(DAY('Deal maths'!AA844)&lt;MIN(R844,DAY(EOMONTH('Deal maths'!AA844,0)))))/D844)+1),0)</f>
        <v/>
      </c>
      <c r="O844" s="108">
        <f>IFERROR(IF(D844=0,0,IF(IF(DAY(E844+1)=1,EOMONTH(E844,(N844-1)*D844),EDATE(E844,(N844-1)*D844))='Deal maths'!AA844,0,1)),0)</f>
        <v/>
      </c>
      <c r="P844" s="113">
        <f>IF(B844=0,0,IFERROR(IF(C844="EIP",((I844-O844)*((IF(DAY(E844+1)=1,EOMONTH(E844,H844*D844),EDATE(E844,H844*D844))-AsAt)/365.25+(IF(DAY(E844+1)=1,EOMONTH(E844,(N844-1)*D844),EDATE(E844,(N844-1)*D844))-AsAt)/365.25)/2+O844*('Deal maths'!AA844-AsAt)/365.25)/I844,IF(C844="Annuity",IF(F844&gt;0,((K844-L844*F844)*((IF(DAY(E844+1)=1,EOMONTH(E844,H844*D844),EDATE(E844,H844*D844))-AsAt)/365.25*((1+F844)^(I844-O844)-1)/F844+IF((I844-O844)&gt;1,((IF(DAY(E844+1)=1,EOMONTH(E844,(N844-1)*D844),EDATE(E844,(N844-1)*D844))-AsAt)/365.25-(IF(DAY(E844+1)=1,EOMONTH(E844,H844*D844),EDATE(E844,H844*D844))-AsAt)/365.25)/((I844-O844)-1),0)*(1+F844)*(1-(I844-O844)*(1+F844)^((I844-O844)-1)+((I844-O844)-1)*(1+F844)^(I844-O844))/F844^2)+O844*(K844-L844*F844)*(1+F844)^(I844-1)*('Deal maths'!AA844-AsAt)/365.25)/L844,((I844-O844)*((IF(DAY(E844+1)=1,EOMONTH(E844,H844*D844),EDATE(E844,H844*D844))-AsAt)/365.25+(IF(DAY(E844+1)=1,EOMONTH(E844,(N844-1)*D844),EDATE(E844,(N844-1)*D844))-AsAt)/365.25)/2+O844*('Deal maths'!AA844-AsAt)/365.25)/I844),(S844-AsAt)/365.25)),0))</f>
        <v/>
      </c>
      <c r="Q844" s="109">
        <f>IF(B844=1,'Deal maths'!AA844+ROW()/1000000,"")</f>
        <v/>
      </c>
      <c r="R844" s="108">
        <f>IF(D844=0,0,IF(DAY(E844+1)=1,31,DAY(E844)))</f>
        <v/>
      </c>
      <c r="S844" s="109">
        <f>IF(AND('Deal maths'!V844="LOBO",'Deal maths'!AG844&gt;AsAt,'Deal maths'!AG844&lt;'Deal maths'!AA844),'Deal maths'!AG844,'Deal maths'!AA844)</f>
        <v/>
      </c>
      <c r="T844" s="108">
        <f>('Deal maths'!AA844&gt;AsAt)*('Deal maths'!Y844&gt;0)</f>
        <v/>
      </c>
    </row>
    <row r="845">
      <c r="A845" s="91">
        <f>IF('Deal maths'!V845="","",'Deal maths'!W845)</f>
        <v/>
      </c>
      <c r="B845" s="108">
        <f>('Deal maths'!AA845&gt;AsAt)*('Deal maths'!Y845&gt;0)*('Deal maths'!Z845&lt;=AsAt)</f>
        <v/>
      </c>
      <c r="C845" s="91">
        <f>IF('Deal maths'!V845="","",IF('Deal maths'!AC845="","Maturity",'Deal maths'!AC845))</f>
        <v/>
      </c>
      <c r="D845" s="108">
        <f>IF(OR(C845="EIP",C845="Annuity"),IF('Deal maths'!AD845="Annual",12,IF('Deal maths'!AD845="Quarterly",3,6)),0)</f>
        <v/>
      </c>
      <c r="E845" s="109">
        <f>IFERROR(IF(D845=0,0,IF('Deal maths'!AE845&gt;0,IF('Deal maths'!AE845&gt;'Deal maths'!AA845,'Deal maths'!AA845,'Deal maths'!AE845),IF(IF(DAY('Deal maths'!AA845+1)=1,EOMONTH('Deal maths'!AA845,-(INT(((YEAR('Deal maths'!AA845)-YEAR(IF('Deal maths'!Z845&gt;0,'Deal maths'!Z845,DATE(1990,1,1))))*12+MONTH('Deal maths'!AA845)-MONTH(IF('Deal maths'!Z845&gt;0,'Deal maths'!Z845,DATE(1990,1,1))))/D845))*D845),EDATE('Deal maths'!AA845,-(INT(((YEAR('Deal maths'!AA845)-YEAR(IF('Deal maths'!Z845&gt;0,'Deal maths'!Z845,DATE(1990,1,1))))*12+MONTH('Deal maths'!AA845)-MONTH(IF('Deal maths'!Z845&gt;0,'Deal maths'!Z845,DATE(1990,1,1))))/D845))*D845))&gt;IF('Deal maths'!Z845&gt;0,'Deal maths'!Z845,DATE(1990,1,1)),IF(DAY('Deal maths'!AA845+1)=1,EOMONTH('Deal maths'!AA845,-(INT(((YEAR('Deal maths'!AA845)-YEAR(IF('Deal maths'!Z845&gt;0,'Deal maths'!Z845,DATE(1990,1,1))))*12+MONTH('Deal maths'!AA845)-MONTH(IF('Deal maths'!Z845&gt;0,'Deal maths'!Z845,DATE(1990,1,1))))/D845))*D845),EDATE('Deal maths'!AA845,-(INT(((YEAR('Deal maths'!AA845)-YEAR(IF('Deal maths'!Z845&gt;0,'Deal maths'!Z845,DATE(1990,1,1))))*12+MONTH('Deal maths'!AA845)-MONTH(IF('Deal maths'!Z845&gt;0,'Deal maths'!Z845,DATE(1990,1,1))))/D845))*D845)),IF(DAY('Deal maths'!AA845+1)=1,EOMONTH('Deal maths'!AA845,-(INT(((YEAR('Deal maths'!AA845)-YEAR(IF('Deal maths'!Z845&gt;0,'Deal maths'!Z845,DATE(1990,1,1))))*12+MONTH('Deal maths'!AA845)-MONTH(IF('Deal maths'!Z845&gt;0,'Deal maths'!Z845,DATE(1990,1,1))))/D845)-1)*D845),EDATE('Deal maths'!AA845,-(INT(((YEAR('Deal maths'!AA845)-YEAR(IF('Deal maths'!Z845&gt;0,'Deal maths'!Z845,DATE(1990,1,1))))*12+MONTH('Deal maths'!AA845)-MONTH(IF('Deal maths'!Z845&gt;0,'Deal maths'!Z845,DATE(1990,1,1))))/D845)-1)*D845))))),0)</f>
        <v/>
      </c>
      <c r="F845" s="110">
        <f>IF(D845=0,0,'Deal maths'!AB845*D845/12)</f>
        <v/>
      </c>
      <c r="G845" s="108">
        <f>N845+O845</f>
        <v/>
      </c>
      <c r="H845" s="108">
        <f>IFERROR(IF(OR(D845=0,AsAt&lt;E845),0,MIN(N845,INT(((YEAR(AsAt)-YEAR(E845))*12+MONTH(AsAt)-MONTH(E845)-(DAY(AsAt)&lt;MIN(R845,DAY(EOMONTH(AsAt,0)))))/D845)+1)+O845*(AsAt&gt;='Deal maths'!AA845)),0)</f>
        <v/>
      </c>
      <c r="I845" s="108">
        <f>G845-H845</f>
        <v/>
      </c>
      <c r="J845" s="111">
        <f>IF(AND(C845="EIP",I845&gt;0),'Deal maths'!Y845/I845,0)</f>
        <v/>
      </c>
      <c r="K845" s="111">
        <f>IF(AND(C845="Annuity",I845&gt;0),IF(F845&gt;0,'Deal maths'!Y845*F845/(1-(1+F845)^-I845),'Deal maths'!Y845/I845),0)</f>
        <v/>
      </c>
      <c r="L845" s="111">
        <f>IF('Deal maths'!Y845="",0,'Deal maths'!Y845)</f>
        <v/>
      </c>
      <c r="M845" s="112">
        <f>F845+(F845=0)</f>
        <v/>
      </c>
      <c r="N845" s="108">
        <f>IFERROR(IF(D845=0,0,INT(((YEAR('Deal maths'!AA845)-YEAR(E845))*12+MONTH('Deal maths'!AA845)-MONTH(E845)-(DAY('Deal maths'!AA845)&lt;MIN(R845,DAY(EOMONTH('Deal maths'!AA845,0)))))/D845)+1),0)</f>
        <v/>
      </c>
      <c r="O845" s="108">
        <f>IFERROR(IF(D845=0,0,IF(IF(DAY(E845+1)=1,EOMONTH(E845,(N845-1)*D845),EDATE(E845,(N845-1)*D845))='Deal maths'!AA845,0,1)),0)</f>
        <v/>
      </c>
      <c r="P845" s="113">
        <f>IF(B845=0,0,IFERROR(IF(C845="EIP",((I845-O845)*((IF(DAY(E845+1)=1,EOMONTH(E845,H845*D845),EDATE(E845,H845*D845))-AsAt)/365.25+(IF(DAY(E845+1)=1,EOMONTH(E845,(N845-1)*D845),EDATE(E845,(N845-1)*D845))-AsAt)/365.25)/2+O845*('Deal maths'!AA845-AsAt)/365.25)/I845,IF(C845="Annuity",IF(F845&gt;0,((K845-L845*F845)*((IF(DAY(E845+1)=1,EOMONTH(E845,H845*D845),EDATE(E845,H845*D845))-AsAt)/365.25*((1+F845)^(I845-O845)-1)/F845+IF((I845-O845)&gt;1,((IF(DAY(E845+1)=1,EOMONTH(E845,(N845-1)*D845),EDATE(E845,(N845-1)*D845))-AsAt)/365.25-(IF(DAY(E845+1)=1,EOMONTH(E845,H845*D845),EDATE(E845,H845*D845))-AsAt)/365.25)/((I845-O845)-1),0)*(1+F845)*(1-(I845-O845)*(1+F845)^((I845-O845)-1)+((I845-O845)-1)*(1+F845)^(I845-O845))/F845^2)+O845*(K845-L845*F845)*(1+F845)^(I845-1)*('Deal maths'!AA845-AsAt)/365.25)/L845,((I845-O845)*((IF(DAY(E845+1)=1,EOMONTH(E845,H845*D845),EDATE(E845,H845*D845))-AsAt)/365.25+(IF(DAY(E845+1)=1,EOMONTH(E845,(N845-1)*D845),EDATE(E845,(N845-1)*D845))-AsAt)/365.25)/2+O845*('Deal maths'!AA845-AsAt)/365.25)/I845),(S845-AsAt)/365.25)),0))</f>
        <v/>
      </c>
      <c r="Q845" s="109">
        <f>IF(B845=1,'Deal maths'!AA845+ROW()/1000000,"")</f>
        <v/>
      </c>
      <c r="R845" s="108">
        <f>IF(D845=0,0,IF(DAY(E845+1)=1,31,DAY(E845)))</f>
        <v/>
      </c>
      <c r="S845" s="109">
        <f>IF(AND('Deal maths'!V845="LOBO",'Deal maths'!AG845&gt;AsAt,'Deal maths'!AG845&lt;'Deal maths'!AA845),'Deal maths'!AG845,'Deal maths'!AA845)</f>
        <v/>
      </c>
      <c r="T845" s="108">
        <f>('Deal maths'!AA845&gt;AsAt)*('Deal maths'!Y845&gt;0)</f>
        <v/>
      </c>
    </row>
    <row r="846">
      <c r="A846" s="91">
        <f>IF('Deal maths'!V846="","",'Deal maths'!W846)</f>
        <v/>
      </c>
      <c r="B846" s="108">
        <f>('Deal maths'!AA846&gt;AsAt)*('Deal maths'!Y846&gt;0)*('Deal maths'!Z846&lt;=AsAt)</f>
        <v/>
      </c>
      <c r="C846" s="91">
        <f>IF('Deal maths'!V846="","",IF('Deal maths'!AC846="","Maturity",'Deal maths'!AC846))</f>
        <v/>
      </c>
      <c r="D846" s="108">
        <f>IF(OR(C846="EIP",C846="Annuity"),IF('Deal maths'!AD846="Annual",12,IF('Deal maths'!AD846="Quarterly",3,6)),0)</f>
        <v/>
      </c>
      <c r="E846" s="109">
        <f>IFERROR(IF(D846=0,0,IF('Deal maths'!AE846&gt;0,IF('Deal maths'!AE846&gt;'Deal maths'!AA846,'Deal maths'!AA846,'Deal maths'!AE846),IF(IF(DAY('Deal maths'!AA846+1)=1,EOMONTH('Deal maths'!AA846,-(INT(((YEAR('Deal maths'!AA846)-YEAR(IF('Deal maths'!Z846&gt;0,'Deal maths'!Z846,DATE(1990,1,1))))*12+MONTH('Deal maths'!AA846)-MONTH(IF('Deal maths'!Z846&gt;0,'Deal maths'!Z846,DATE(1990,1,1))))/D846))*D846),EDATE('Deal maths'!AA846,-(INT(((YEAR('Deal maths'!AA846)-YEAR(IF('Deal maths'!Z846&gt;0,'Deal maths'!Z846,DATE(1990,1,1))))*12+MONTH('Deal maths'!AA846)-MONTH(IF('Deal maths'!Z846&gt;0,'Deal maths'!Z846,DATE(1990,1,1))))/D846))*D846))&gt;IF('Deal maths'!Z846&gt;0,'Deal maths'!Z846,DATE(1990,1,1)),IF(DAY('Deal maths'!AA846+1)=1,EOMONTH('Deal maths'!AA846,-(INT(((YEAR('Deal maths'!AA846)-YEAR(IF('Deal maths'!Z846&gt;0,'Deal maths'!Z846,DATE(1990,1,1))))*12+MONTH('Deal maths'!AA846)-MONTH(IF('Deal maths'!Z846&gt;0,'Deal maths'!Z846,DATE(1990,1,1))))/D846))*D846),EDATE('Deal maths'!AA846,-(INT(((YEAR('Deal maths'!AA846)-YEAR(IF('Deal maths'!Z846&gt;0,'Deal maths'!Z846,DATE(1990,1,1))))*12+MONTH('Deal maths'!AA846)-MONTH(IF('Deal maths'!Z846&gt;0,'Deal maths'!Z846,DATE(1990,1,1))))/D846))*D846)),IF(DAY('Deal maths'!AA846+1)=1,EOMONTH('Deal maths'!AA846,-(INT(((YEAR('Deal maths'!AA846)-YEAR(IF('Deal maths'!Z846&gt;0,'Deal maths'!Z846,DATE(1990,1,1))))*12+MONTH('Deal maths'!AA846)-MONTH(IF('Deal maths'!Z846&gt;0,'Deal maths'!Z846,DATE(1990,1,1))))/D846)-1)*D846),EDATE('Deal maths'!AA846,-(INT(((YEAR('Deal maths'!AA846)-YEAR(IF('Deal maths'!Z846&gt;0,'Deal maths'!Z846,DATE(1990,1,1))))*12+MONTH('Deal maths'!AA846)-MONTH(IF('Deal maths'!Z846&gt;0,'Deal maths'!Z846,DATE(1990,1,1))))/D846)-1)*D846))))),0)</f>
        <v/>
      </c>
      <c r="F846" s="110">
        <f>IF(D846=0,0,'Deal maths'!AB846*D846/12)</f>
        <v/>
      </c>
      <c r="G846" s="108">
        <f>N846+O846</f>
        <v/>
      </c>
      <c r="H846" s="108">
        <f>IFERROR(IF(OR(D846=0,AsAt&lt;E846),0,MIN(N846,INT(((YEAR(AsAt)-YEAR(E846))*12+MONTH(AsAt)-MONTH(E846)-(DAY(AsAt)&lt;MIN(R846,DAY(EOMONTH(AsAt,0)))))/D846)+1)+O846*(AsAt&gt;='Deal maths'!AA846)),0)</f>
        <v/>
      </c>
      <c r="I846" s="108">
        <f>G846-H846</f>
        <v/>
      </c>
      <c r="J846" s="111">
        <f>IF(AND(C846="EIP",I846&gt;0),'Deal maths'!Y846/I846,0)</f>
        <v/>
      </c>
      <c r="K846" s="111">
        <f>IF(AND(C846="Annuity",I846&gt;0),IF(F846&gt;0,'Deal maths'!Y846*F846/(1-(1+F846)^-I846),'Deal maths'!Y846/I846),0)</f>
        <v/>
      </c>
      <c r="L846" s="111">
        <f>IF('Deal maths'!Y846="",0,'Deal maths'!Y846)</f>
        <v/>
      </c>
      <c r="M846" s="112">
        <f>F846+(F846=0)</f>
        <v/>
      </c>
      <c r="N846" s="108">
        <f>IFERROR(IF(D846=0,0,INT(((YEAR('Deal maths'!AA846)-YEAR(E846))*12+MONTH('Deal maths'!AA846)-MONTH(E846)-(DAY('Deal maths'!AA846)&lt;MIN(R846,DAY(EOMONTH('Deal maths'!AA846,0)))))/D846)+1),0)</f>
        <v/>
      </c>
      <c r="O846" s="108">
        <f>IFERROR(IF(D846=0,0,IF(IF(DAY(E846+1)=1,EOMONTH(E846,(N846-1)*D846),EDATE(E846,(N846-1)*D846))='Deal maths'!AA846,0,1)),0)</f>
        <v/>
      </c>
      <c r="P846" s="113">
        <f>IF(B846=0,0,IFERROR(IF(C846="EIP",((I846-O846)*((IF(DAY(E846+1)=1,EOMONTH(E846,H846*D846),EDATE(E846,H846*D846))-AsAt)/365.25+(IF(DAY(E846+1)=1,EOMONTH(E846,(N846-1)*D846),EDATE(E846,(N846-1)*D846))-AsAt)/365.25)/2+O846*('Deal maths'!AA846-AsAt)/365.25)/I846,IF(C846="Annuity",IF(F846&gt;0,((K846-L846*F846)*((IF(DAY(E846+1)=1,EOMONTH(E846,H846*D846),EDATE(E846,H846*D846))-AsAt)/365.25*((1+F846)^(I846-O846)-1)/F846+IF((I846-O846)&gt;1,((IF(DAY(E846+1)=1,EOMONTH(E846,(N846-1)*D846),EDATE(E846,(N846-1)*D846))-AsAt)/365.25-(IF(DAY(E846+1)=1,EOMONTH(E846,H846*D846),EDATE(E846,H846*D846))-AsAt)/365.25)/((I846-O846)-1),0)*(1+F846)*(1-(I846-O846)*(1+F846)^((I846-O846)-1)+((I846-O846)-1)*(1+F846)^(I846-O846))/F846^2)+O846*(K846-L846*F846)*(1+F846)^(I846-1)*('Deal maths'!AA846-AsAt)/365.25)/L846,((I846-O846)*((IF(DAY(E846+1)=1,EOMONTH(E846,H846*D846),EDATE(E846,H846*D846))-AsAt)/365.25+(IF(DAY(E846+1)=1,EOMONTH(E846,(N846-1)*D846),EDATE(E846,(N846-1)*D846))-AsAt)/365.25)/2+O846*('Deal maths'!AA846-AsAt)/365.25)/I846),(S846-AsAt)/365.25)),0))</f>
        <v/>
      </c>
      <c r="Q846" s="109">
        <f>IF(B846=1,'Deal maths'!AA846+ROW()/1000000,"")</f>
        <v/>
      </c>
      <c r="R846" s="108">
        <f>IF(D846=0,0,IF(DAY(E846+1)=1,31,DAY(E846)))</f>
        <v/>
      </c>
      <c r="S846" s="109">
        <f>IF(AND('Deal maths'!V846="LOBO",'Deal maths'!AG846&gt;AsAt,'Deal maths'!AG846&lt;'Deal maths'!AA846),'Deal maths'!AG846,'Deal maths'!AA846)</f>
        <v/>
      </c>
      <c r="T846" s="108">
        <f>('Deal maths'!AA846&gt;AsAt)*('Deal maths'!Y846&gt;0)</f>
        <v/>
      </c>
    </row>
    <row r="847">
      <c r="A847" s="91">
        <f>IF('Deal maths'!V847="","",'Deal maths'!W847)</f>
        <v/>
      </c>
      <c r="B847" s="108">
        <f>('Deal maths'!AA847&gt;AsAt)*('Deal maths'!Y847&gt;0)*('Deal maths'!Z847&lt;=AsAt)</f>
        <v/>
      </c>
      <c r="C847" s="91">
        <f>IF('Deal maths'!V847="","",IF('Deal maths'!AC847="","Maturity",'Deal maths'!AC847))</f>
        <v/>
      </c>
      <c r="D847" s="108">
        <f>IF(OR(C847="EIP",C847="Annuity"),IF('Deal maths'!AD847="Annual",12,IF('Deal maths'!AD847="Quarterly",3,6)),0)</f>
        <v/>
      </c>
      <c r="E847" s="109">
        <f>IFERROR(IF(D847=0,0,IF('Deal maths'!AE847&gt;0,IF('Deal maths'!AE847&gt;'Deal maths'!AA847,'Deal maths'!AA847,'Deal maths'!AE847),IF(IF(DAY('Deal maths'!AA847+1)=1,EOMONTH('Deal maths'!AA847,-(INT(((YEAR('Deal maths'!AA847)-YEAR(IF('Deal maths'!Z847&gt;0,'Deal maths'!Z847,DATE(1990,1,1))))*12+MONTH('Deal maths'!AA847)-MONTH(IF('Deal maths'!Z847&gt;0,'Deal maths'!Z847,DATE(1990,1,1))))/D847))*D847),EDATE('Deal maths'!AA847,-(INT(((YEAR('Deal maths'!AA847)-YEAR(IF('Deal maths'!Z847&gt;0,'Deal maths'!Z847,DATE(1990,1,1))))*12+MONTH('Deal maths'!AA847)-MONTH(IF('Deal maths'!Z847&gt;0,'Deal maths'!Z847,DATE(1990,1,1))))/D847))*D847))&gt;IF('Deal maths'!Z847&gt;0,'Deal maths'!Z847,DATE(1990,1,1)),IF(DAY('Deal maths'!AA847+1)=1,EOMONTH('Deal maths'!AA847,-(INT(((YEAR('Deal maths'!AA847)-YEAR(IF('Deal maths'!Z847&gt;0,'Deal maths'!Z847,DATE(1990,1,1))))*12+MONTH('Deal maths'!AA847)-MONTH(IF('Deal maths'!Z847&gt;0,'Deal maths'!Z847,DATE(1990,1,1))))/D847))*D847),EDATE('Deal maths'!AA847,-(INT(((YEAR('Deal maths'!AA847)-YEAR(IF('Deal maths'!Z847&gt;0,'Deal maths'!Z847,DATE(1990,1,1))))*12+MONTH('Deal maths'!AA847)-MONTH(IF('Deal maths'!Z847&gt;0,'Deal maths'!Z847,DATE(1990,1,1))))/D847))*D847)),IF(DAY('Deal maths'!AA847+1)=1,EOMONTH('Deal maths'!AA847,-(INT(((YEAR('Deal maths'!AA847)-YEAR(IF('Deal maths'!Z847&gt;0,'Deal maths'!Z847,DATE(1990,1,1))))*12+MONTH('Deal maths'!AA847)-MONTH(IF('Deal maths'!Z847&gt;0,'Deal maths'!Z847,DATE(1990,1,1))))/D847)-1)*D847),EDATE('Deal maths'!AA847,-(INT(((YEAR('Deal maths'!AA847)-YEAR(IF('Deal maths'!Z847&gt;0,'Deal maths'!Z847,DATE(1990,1,1))))*12+MONTH('Deal maths'!AA847)-MONTH(IF('Deal maths'!Z847&gt;0,'Deal maths'!Z847,DATE(1990,1,1))))/D847)-1)*D847))))),0)</f>
        <v/>
      </c>
      <c r="F847" s="110">
        <f>IF(D847=0,0,'Deal maths'!AB847*D847/12)</f>
        <v/>
      </c>
      <c r="G847" s="108">
        <f>N847+O847</f>
        <v/>
      </c>
      <c r="H847" s="108">
        <f>IFERROR(IF(OR(D847=0,AsAt&lt;E847),0,MIN(N847,INT(((YEAR(AsAt)-YEAR(E847))*12+MONTH(AsAt)-MONTH(E847)-(DAY(AsAt)&lt;MIN(R847,DAY(EOMONTH(AsAt,0)))))/D847)+1)+O847*(AsAt&gt;='Deal maths'!AA847)),0)</f>
        <v/>
      </c>
      <c r="I847" s="108">
        <f>G847-H847</f>
        <v/>
      </c>
      <c r="J847" s="111">
        <f>IF(AND(C847="EIP",I847&gt;0),'Deal maths'!Y847/I847,0)</f>
        <v/>
      </c>
      <c r="K847" s="111">
        <f>IF(AND(C847="Annuity",I847&gt;0),IF(F847&gt;0,'Deal maths'!Y847*F847/(1-(1+F847)^-I847),'Deal maths'!Y847/I847),0)</f>
        <v/>
      </c>
      <c r="L847" s="111">
        <f>IF('Deal maths'!Y847="",0,'Deal maths'!Y847)</f>
        <v/>
      </c>
      <c r="M847" s="112">
        <f>F847+(F847=0)</f>
        <v/>
      </c>
      <c r="N847" s="108">
        <f>IFERROR(IF(D847=0,0,INT(((YEAR('Deal maths'!AA847)-YEAR(E847))*12+MONTH('Deal maths'!AA847)-MONTH(E847)-(DAY('Deal maths'!AA847)&lt;MIN(R847,DAY(EOMONTH('Deal maths'!AA847,0)))))/D847)+1),0)</f>
        <v/>
      </c>
      <c r="O847" s="108">
        <f>IFERROR(IF(D847=0,0,IF(IF(DAY(E847+1)=1,EOMONTH(E847,(N847-1)*D847),EDATE(E847,(N847-1)*D847))='Deal maths'!AA847,0,1)),0)</f>
        <v/>
      </c>
      <c r="P847" s="113">
        <f>IF(B847=0,0,IFERROR(IF(C847="EIP",((I847-O847)*((IF(DAY(E847+1)=1,EOMONTH(E847,H847*D847),EDATE(E847,H847*D847))-AsAt)/365.25+(IF(DAY(E847+1)=1,EOMONTH(E847,(N847-1)*D847),EDATE(E847,(N847-1)*D847))-AsAt)/365.25)/2+O847*('Deal maths'!AA847-AsAt)/365.25)/I847,IF(C847="Annuity",IF(F847&gt;0,((K847-L847*F847)*((IF(DAY(E847+1)=1,EOMONTH(E847,H847*D847),EDATE(E847,H847*D847))-AsAt)/365.25*((1+F847)^(I847-O847)-1)/F847+IF((I847-O847)&gt;1,((IF(DAY(E847+1)=1,EOMONTH(E847,(N847-1)*D847),EDATE(E847,(N847-1)*D847))-AsAt)/365.25-(IF(DAY(E847+1)=1,EOMONTH(E847,H847*D847),EDATE(E847,H847*D847))-AsAt)/365.25)/((I847-O847)-1),0)*(1+F847)*(1-(I847-O847)*(1+F847)^((I847-O847)-1)+((I847-O847)-1)*(1+F847)^(I847-O847))/F847^2)+O847*(K847-L847*F847)*(1+F847)^(I847-1)*('Deal maths'!AA847-AsAt)/365.25)/L847,((I847-O847)*((IF(DAY(E847+1)=1,EOMONTH(E847,H847*D847),EDATE(E847,H847*D847))-AsAt)/365.25+(IF(DAY(E847+1)=1,EOMONTH(E847,(N847-1)*D847),EDATE(E847,(N847-1)*D847))-AsAt)/365.25)/2+O847*('Deal maths'!AA847-AsAt)/365.25)/I847),(S847-AsAt)/365.25)),0))</f>
        <v/>
      </c>
      <c r="Q847" s="109">
        <f>IF(B847=1,'Deal maths'!AA847+ROW()/1000000,"")</f>
        <v/>
      </c>
      <c r="R847" s="108">
        <f>IF(D847=0,0,IF(DAY(E847+1)=1,31,DAY(E847)))</f>
        <v/>
      </c>
      <c r="S847" s="109">
        <f>IF(AND('Deal maths'!V847="LOBO",'Deal maths'!AG847&gt;AsAt,'Deal maths'!AG847&lt;'Deal maths'!AA847),'Deal maths'!AG847,'Deal maths'!AA847)</f>
        <v/>
      </c>
      <c r="T847" s="108">
        <f>('Deal maths'!AA847&gt;AsAt)*('Deal maths'!Y847&gt;0)</f>
        <v/>
      </c>
    </row>
    <row r="848">
      <c r="A848" s="91">
        <f>IF('Deal maths'!V848="","",'Deal maths'!W848)</f>
        <v/>
      </c>
      <c r="B848" s="108">
        <f>('Deal maths'!AA848&gt;AsAt)*('Deal maths'!Y848&gt;0)*('Deal maths'!Z848&lt;=AsAt)</f>
        <v/>
      </c>
      <c r="C848" s="91">
        <f>IF('Deal maths'!V848="","",IF('Deal maths'!AC848="","Maturity",'Deal maths'!AC848))</f>
        <v/>
      </c>
      <c r="D848" s="108">
        <f>IF(OR(C848="EIP",C848="Annuity"),IF('Deal maths'!AD848="Annual",12,IF('Deal maths'!AD848="Quarterly",3,6)),0)</f>
        <v/>
      </c>
      <c r="E848" s="109">
        <f>IFERROR(IF(D848=0,0,IF('Deal maths'!AE848&gt;0,IF('Deal maths'!AE848&gt;'Deal maths'!AA848,'Deal maths'!AA848,'Deal maths'!AE848),IF(IF(DAY('Deal maths'!AA848+1)=1,EOMONTH('Deal maths'!AA848,-(INT(((YEAR('Deal maths'!AA848)-YEAR(IF('Deal maths'!Z848&gt;0,'Deal maths'!Z848,DATE(1990,1,1))))*12+MONTH('Deal maths'!AA848)-MONTH(IF('Deal maths'!Z848&gt;0,'Deal maths'!Z848,DATE(1990,1,1))))/D848))*D848),EDATE('Deal maths'!AA848,-(INT(((YEAR('Deal maths'!AA848)-YEAR(IF('Deal maths'!Z848&gt;0,'Deal maths'!Z848,DATE(1990,1,1))))*12+MONTH('Deal maths'!AA848)-MONTH(IF('Deal maths'!Z848&gt;0,'Deal maths'!Z848,DATE(1990,1,1))))/D848))*D848))&gt;IF('Deal maths'!Z848&gt;0,'Deal maths'!Z848,DATE(1990,1,1)),IF(DAY('Deal maths'!AA848+1)=1,EOMONTH('Deal maths'!AA848,-(INT(((YEAR('Deal maths'!AA848)-YEAR(IF('Deal maths'!Z848&gt;0,'Deal maths'!Z848,DATE(1990,1,1))))*12+MONTH('Deal maths'!AA848)-MONTH(IF('Deal maths'!Z848&gt;0,'Deal maths'!Z848,DATE(1990,1,1))))/D848))*D848),EDATE('Deal maths'!AA848,-(INT(((YEAR('Deal maths'!AA848)-YEAR(IF('Deal maths'!Z848&gt;0,'Deal maths'!Z848,DATE(1990,1,1))))*12+MONTH('Deal maths'!AA848)-MONTH(IF('Deal maths'!Z848&gt;0,'Deal maths'!Z848,DATE(1990,1,1))))/D848))*D848)),IF(DAY('Deal maths'!AA848+1)=1,EOMONTH('Deal maths'!AA848,-(INT(((YEAR('Deal maths'!AA848)-YEAR(IF('Deal maths'!Z848&gt;0,'Deal maths'!Z848,DATE(1990,1,1))))*12+MONTH('Deal maths'!AA848)-MONTH(IF('Deal maths'!Z848&gt;0,'Deal maths'!Z848,DATE(1990,1,1))))/D848)-1)*D848),EDATE('Deal maths'!AA848,-(INT(((YEAR('Deal maths'!AA848)-YEAR(IF('Deal maths'!Z848&gt;0,'Deal maths'!Z848,DATE(1990,1,1))))*12+MONTH('Deal maths'!AA848)-MONTH(IF('Deal maths'!Z848&gt;0,'Deal maths'!Z848,DATE(1990,1,1))))/D848)-1)*D848))))),0)</f>
        <v/>
      </c>
      <c r="F848" s="110">
        <f>IF(D848=0,0,'Deal maths'!AB848*D848/12)</f>
        <v/>
      </c>
      <c r="G848" s="108">
        <f>N848+O848</f>
        <v/>
      </c>
      <c r="H848" s="108">
        <f>IFERROR(IF(OR(D848=0,AsAt&lt;E848),0,MIN(N848,INT(((YEAR(AsAt)-YEAR(E848))*12+MONTH(AsAt)-MONTH(E848)-(DAY(AsAt)&lt;MIN(R848,DAY(EOMONTH(AsAt,0)))))/D848)+1)+O848*(AsAt&gt;='Deal maths'!AA848)),0)</f>
        <v/>
      </c>
      <c r="I848" s="108">
        <f>G848-H848</f>
        <v/>
      </c>
      <c r="J848" s="111">
        <f>IF(AND(C848="EIP",I848&gt;0),'Deal maths'!Y848/I848,0)</f>
        <v/>
      </c>
      <c r="K848" s="111">
        <f>IF(AND(C848="Annuity",I848&gt;0),IF(F848&gt;0,'Deal maths'!Y848*F848/(1-(1+F848)^-I848),'Deal maths'!Y848/I848),0)</f>
        <v/>
      </c>
      <c r="L848" s="111">
        <f>IF('Deal maths'!Y848="",0,'Deal maths'!Y848)</f>
        <v/>
      </c>
      <c r="M848" s="112">
        <f>F848+(F848=0)</f>
        <v/>
      </c>
      <c r="N848" s="108">
        <f>IFERROR(IF(D848=0,0,INT(((YEAR('Deal maths'!AA848)-YEAR(E848))*12+MONTH('Deal maths'!AA848)-MONTH(E848)-(DAY('Deal maths'!AA848)&lt;MIN(R848,DAY(EOMONTH('Deal maths'!AA848,0)))))/D848)+1),0)</f>
        <v/>
      </c>
      <c r="O848" s="108">
        <f>IFERROR(IF(D848=0,0,IF(IF(DAY(E848+1)=1,EOMONTH(E848,(N848-1)*D848),EDATE(E848,(N848-1)*D848))='Deal maths'!AA848,0,1)),0)</f>
        <v/>
      </c>
      <c r="P848" s="113">
        <f>IF(B848=0,0,IFERROR(IF(C848="EIP",((I848-O848)*((IF(DAY(E848+1)=1,EOMONTH(E848,H848*D848),EDATE(E848,H848*D848))-AsAt)/365.25+(IF(DAY(E848+1)=1,EOMONTH(E848,(N848-1)*D848),EDATE(E848,(N848-1)*D848))-AsAt)/365.25)/2+O848*('Deal maths'!AA848-AsAt)/365.25)/I848,IF(C848="Annuity",IF(F848&gt;0,((K848-L848*F848)*((IF(DAY(E848+1)=1,EOMONTH(E848,H848*D848),EDATE(E848,H848*D848))-AsAt)/365.25*((1+F848)^(I848-O848)-1)/F848+IF((I848-O848)&gt;1,((IF(DAY(E848+1)=1,EOMONTH(E848,(N848-1)*D848),EDATE(E848,(N848-1)*D848))-AsAt)/365.25-(IF(DAY(E848+1)=1,EOMONTH(E848,H848*D848),EDATE(E848,H848*D848))-AsAt)/365.25)/((I848-O848)-1),0)*(1+F848)*(1-(I848-O848)*(1+F848)^((I848-O848)-1)+((I848-O848)-1)*(1+F848)^(I848-O848))/F848^2)+O848*(K848-L848*F848)*(1+F848)^(I848-1)*('Deal maths'!AA848-AsAt)/365.25)/L848,((I848-O848)*((IF(DAY(E848+1)=1,EOMONTH(E848,H848*D848),EDATE(E848,H848*D848))-AsAt)/365.25+(IF(DAY(E848+1)=1,EOMONTH(E848,(N848-1)*D848),EDATE(E848,(N848-1)*D848))-AsAt)/365.25)/2+O848*('Deal maths'!AA848-AsAt)/365.25)/I848),(S848-AsAt)/365.25)),0))</f>
        <v/>
      </c>
      <c r="Q848" s="109">
        <f>IF(B848=1,'Deal maths'!AA848+ROW()/1000000,"")</f>
        <v/>
      </c>
      <c r="R848" s="108">
        <f>IF(D848=0,0,IF(DAY(E848+1)=1,31,DAY(E848)))</f>
        <v/>
      </c>
      <c r="S848" s="109">
        <f>IF(AND('Deal maths'!V848="LOBO",'Deal maths'!AG848&gt;AsAt,'Deal maths'!AG848&lt;'Deal maths'!AA848),'Deal maths'!AG848,'Deal maths'!AA848)</f>
        <v/>
      </c>
      <c r="T848" s="108">
        <f>('Deal maths'!AA848&gt;AsAt)*('Deal maths'!Y848&gt;0)</f>
        <v/>
      </c>
    </row>
    <row r="849">
      <c r="A849" s="91">
        <f>IF('Deal maths'!V849="","",'Deal maths'!W849)</f>
        <v/>
      </c>
      <c r="B849" s="108">
        <f>('Deal maths'!AA849&gt;AsAt)*('Deal maths'!Y849&gt;0)*('Deal maths'!Z849&lt;=AsAt)</f>
        <v/>
      </c>
      <c r="C849" s="91">
        <f>IF('Deal maths'!V849="","",IF('Deal maths'!AC849="","Maturity",'Deal maths'!AC849))</f>
        <v/>
      </c>
      <c r="D849" s="108">
        <f>IF(OR(C849="EIP",C849="Annuity"),IF('Deal maths'!AD849="Annual",12,IF('Deal maths'!AD849="Quarterly",3,6)),0)</f>
        <v/>
      </c>
      <c r="E849" s="109">
        <f>IFERROR(IF(D849=0,0,IF('Deal maths'!AE849&gt;0,IF('Deal maths'!AE849&gt;'Deal maths'!AA849,'Deal maths'!AA849,'Deal maths'!AE849),IF(IF(DAY('Deal maths'!AA849+1)=1,EOMONTH('Deal maths'!AA849,-(INT(((YEAR('Deal maths'!AA849)-YEAR(IF('Deal maths'!Z849&gt;0,'Deal maths'!Z849,DATE(1990,1,1))))*12+MONTH('Deal maths'!AA849)-MONTH(IF('Deal maths'!Z849&gt;0,'Deal maths'!Z849,DATE(1990,1,1))))/D849))*D849),EDATE('Deal maths'!AA849,-(INT(((YEAR('Deal maths'!AA849)-YEAR(IF('Deal maths'!Z849&gt;0,'Deal maths'!Z849,DATE(1990,1,1))))*12+MONTH('Deal maths'!AA849)-MONTH(IF('Deal maths'!Z849&gt;0,'Deal maths'!Z849,DATE(1990,1,1))))/D849))*D849))&gt;IF('Deal maths'!Z849&gt;0,'Deal maths'!Z849,DATE(1990,1,1)),IF(DAY('Deal maths'!AA849+1)=1,EOMONTH('Deal maths'!AA849,-(INT(((YEAR('Deal maths'!AA849)-YEAR(IF('Deal maths'!Z849&gt;0,'Deal maths'!Z849,DATE(1990,1,1))))*12+MONTH('Deal maths'!AA849)-MONTH(IF('Deal maths'!Z849&gt;0,'Deal maths'!Z849,DATE(1990,1,1))))/D849))*D849),EDATE('Deal maths'!AA849,-(INT(((YEAR('Deal maths'!AA849)-YEAR(IF('Deal maths'!Z849&gt;0,'Deal maths'!Z849,DATE(1990,1,1))))*12+MONTH('Deal maths'!AA849)-MONTH(IF('Deal maths'!Z849&gt;0,'Deal maths'!Z849,DATE(1990,1,1))))/D849))*D849)),IF(DAY('Deal maths'!AA849+1)=1,EOMONTH('Deal maths'!AA849,-(INT(((YEAR('Deal maths'!AA849)-YEAR(IF('Deal maths'!Z849&gt;0,'Deal maths'!Z849,DATE(1990,1,1))))*12+MONTH('Deal maths'!AA849)-MONTH(IF('Deal maths'!Z849&gt;0,'Deal maths'!Z849,DATE(1990,1,1))))/D849)-1)*D849),EDATE('Deal maths'!AA849,-(INT(((YEAR('Deal maths'!AA849)-YEAR(IF('Deal maths'!Z849&gt;0,'Deal maths'!Z849,DATE(1990,1,1))))*12+MONTH('Deal maths'!AA849)-MONTH(IF('Deal maths'!Z849&gt;0,'Deal maths'!Z849,DATE(1990,1,1))))/D849)-1)*D849))))),0)</f>
        <v/>
      </c>
      <c r="F849" s="110">
        <f>IF(D849=0,0,'Deal maths'!AB849*D849/12)</f>
        <v/>
      </c>
      <c r="G849" s="108">
        <f>N849+O849</f>
        <v/>
      </c>
      <c r="H849" s="108">
        <f>IFERROR(IF(OR(D849=0,AsAt&lt;E849),0,MIN(N849,INT(((YEAR(AsAt)-YEAR(E849))*12+MONTH(AsAt)-MONTH(E849)-(DAY(AsAt)&lt;MIN(R849,DAY(EOMONTH(AsAt,0)))))/D849)+1)+O849*(AsAt&gt;='Deal maths'!AA849)),0)</f>
        <v/>
      </c>
      <c r="I849" s="108">
        <f>G849-H849</f>
        <v/>
      </c>
      <c r="J849" s="111">
        <f>IF(AND(C849="EIP",I849&gt;0),'Deal maths'!Y849/I849,0)</f>
        <v/>
      </c>
      <c r="K849" s="111">
        <f>IF(AND(C849="Annuity",I849&gt;0),IF(F849&gt;0,'Deal maths'!Y849*F849/(1-(1+F849)^-I849),'Deal maths'!Y849/I849),0)</f>
        <v/>
      </c>
      <c r="L849" s="111">
        <f>IF('Deal maths'!Y849="",0,'Deal maths'!Y849)</f>
        <v/>
      </c>
      <c r="M849" s="112">
        <f>F849+(F849=0)</f>
        <v/>
      </c>
      <c r="N849" s="108">
        <f>IFERROR(IF(D849=0,0,INT(((YEAR('Deal maths'!AA849)-YEAR(E849))*12+MONTH('Deal maths'!AA849)-MONTH(E849)-(DAY('Deal maths'!AA849)&lt;MIN(R849,DAY(EOMONTH('Deal maths'!AA849,0)))))/D849)+1),0)</f>
        <v/>
      </c>
      <c r="O849" s="108">
        <f>IFERROR(IF(D849=0,0,IF(IF(DAY(E849+1)=1,EOMONTH(E849,(N849-1)*D849),EDATE(E849,(N849-1)*D849))='Deal maths'!AA849,0,1)),0)</f>
        <v/>
      </c>
      <c r="P849" s="113">
        <f>IF(B849=0,0,IFERROR(IF(C849="EIP",((I849-O849)*((IF(DAY(E849+1)=1,EOMONTH(E849,H849*D849),EDATE(E849,H849*D849))-AsAt)/365.25+(IF(DAY(E849+1)=1,EOMONTH(E849,(N849-1)*D849),EDATE(E849,(N849-1)*D849))-AsAt)/365.25)/2+O849*('Deal maths'!AA849-AsAt)/365.25)/I849,IF(C849="Annuity",IF(F849&gt;0,((K849-L849*F849)*((IF(DAY(E849+1)=1,EOMONTH(E849,H849*D849),EDATE(E849,H849*D849))-AsAt)/365.25*((1+F849)^(I849-O849)-1)/F849+IF((I849-O849)&gt;1,((IF(DAY(E849+1)=1,EOMONTH(E849,(N849-1)*D849),EDATE(E849,(N849-1)*D849))-AsAt)/365.25-(IF(DAY(E849+1)=1,EOMONTH(E849,H849*D849),EDATE(E849,H849*D849))-AsAt)/365.25)/((I849-O849)-1),0)*(1+F849)*(1-(I849-O849)*(1+F849)^((I849-O849)-1)+((I849-O849)-1)*(1+F849)^(I849-O849))/F849^2)+O849*(K849-L849*F849)*(1+F849)^(I849-1)*('Deal maths'!AA849-AsAt)/365.25)/L849,((I849-O849)*((IF(DAY(E849+1)=1,EOMONTH(E849,H849*D849),EDATE(E849,H849*D849))-AsAt)/365.25+(IF(DAY(E849+1)=1,EOMONTH(E849,(N849-1)*D849),EDATE(E849,(N849-1)*D849))-AsAt)/365.25)/2+O849*('Deal maths'!AA849-AsAt)/365.25)/I849),(S849-AsAt)/365.25)),0))</f>
        <v/>
      </c>
      <c r="Q849" s="109">
        <f>IF(B849=1,'Deal maths'!AA849+ROW()/1000000,"")</f>
        <v/>
      </c>
      <c r="R849" s="108">
        <f>IF(D849=0,0,IF(DAY(E849+1)=1,31,DAY(E849)))</f>
        <v/>
      </c>
      <c r="S849" s="109">
        <f>IF(AND('Deal maths'!V849="LOBO",'Deal maths'!AG849&gt;AsAt,'Deal maths'!AG849&lt;'Deal maths'!AA849),'Deal maths'!AG849,'Deal maths'!AA849)</f>
        <v/>
      </c>
      <c r="T849" s="108">
        <f>('Deal maths'!AA849&gt;AsAt)*('Deal maths'!Y849&gt;0)</f>
        <v/>
      </c>
    </row>
    <row r="850">
      <c r="A850" s="91">
        <f>IF('Deal maths'!V850="","",'Deal maths'!W850)</f>
        <v/>
      </c>
      <c r="B850" s="108">
        <f>('Deal maths'!AA850&gt;AsAt)*('Deal maths'!Y850&gt;0)*('Deal maths'!Z850&lt;=AsAt)</f>
        <v/>
      </c>
      <c r="C850" s="91">
        <f>IF('Deal maths'!V850="","",IF('Deal maths'!AC850="","Maturity",'Deal maths'!AC850))</f>
        <v/>
      </c>
      <c r="D850" s="108">
        <f>IF(OR(C850="EIP",C850="Annuity"),IF('Deal maths'!AD850="Annual",12,IF('Deal maths'!AD850="Quarterly",3,6)),0)</f>
        <v/>
      </c>
      <c r="E850" s="109">
        <f>IFERROR(IF(D850=0,0,IF('Deal maths'!AE850&gt;0,IF('Deal maths'!AE850&gt;'Deal maths'!AA850,'Deal maths'!AA850,'Deal maths'!AE850),IF(IF(DAY('Deal maths'!AA850+1)=1,EOMONTH('Deal maths'!AA850,-(INT(((YEAR('Deal maths'!AA850)-YEAR(IF('Deal maths'!Z850&gt;0,'Deal maths'!Z850,DATE(1990,1,1))))*12+MONTH('Deal maths'!AA850)-MONTH(IF('Deal maths'!Z850&gt;0,'Deal maths'!Z850,DATE(1990,1,1))))/D850))*D850),EDATE('Deal maths'!AA850,-(INT(((YEAR('Deal maths'!AA850)-YEAR(IF('Deal maths'!Z850&gt;0,'Deal maths'!Z850,DATE(1990,1,1))))*12+MONTH('Deal maths'!AA850)-MONTH(IF('Deal maths'!Z850&gt;0,'Deal maths'!Z850,DATE(1990,1,1))))/D850))*D850))&gt;IF('Deal maths'!Z850&gt;0,'Deal maths'!Z850,DATE(1990,1,1)),IF(DAY('Deal maths'!AA850+1)=1,EOMONTH('Deal maths'!AA850,-(INT(((YEAR('Deal maths'!AA850)-YEAR(IF('Deal maths'!Z850&gt;0,'Deal maths'!Z850,DATE(1990,1,1))))*12+MONTH('Deal maths'!AA850)-MONTH(IF('Deal maths'!Z850&gt;0,'Deal maths'!Z850,DATE(1990,1,1))))/D850))*D850),EDATE('Deal maths'!AA850,-(INT(((YEAR('Deal maths'!AA850)-YEAR(IF('Deal maths'!Z850&gt;0,'Deal maths'!Z850,DATE(1990,1,1))))*12+MONTH('Deal maths'!AA850)-MONTH(IF('Deal maths'!Z850&gt;0,'Deal maths'!Z850,DATE(1990,1,1))))/D850))*D850)),IF(DAY('Deal maths'!AA850+1)=1,EOMONTH('Deal maths'!AA850,-(INT(((YEAR('Deal maths'!AA850)-YEAR(IF('Deal maths'!Z850&gt;0,'Deal maths'!Z850,DATE(1990,1,1))))*12+MONTH('Deal maths'!AA850)-MONTH(IF('Deal maths'!Z850&gt;0,'Deal maths'!Z850,DATE(1990,1,1))))/D850)-1)*D850),EDATE('Deal maths'!AA850,-(INT(((YEAR('Deal maths'!AA850)-YEAR(IF('Deal maths'!Z850&gt;0,'Deal maths'!Z850,DATE(1990,1,1))))*12+MONTH('Deal maths'!AA850)-MONTH(IF('Deal maths'!Z850&gt;0,'Deal maths'!Z850,DATE(1990,1,1))))/D850)-1)*D850))))),0)</f>
        <v/>
      </c>
      <c r="F850" s="110">
        <f>IF(D850=0,0,'Deal maths'!AB850*D850/12)</f>
        <v/>
      </c>
      <c r="G850" s="108">
        <f>N850+O850</f>
        <v/>
      </c>
      <c r="H850" s="108">
        <f>IFERROR(IF(OR(D850=0,AsAt&lt;E850),0,MIN(N850,INT(((YEAR(AsAt)-YEAR(E850))*12+MONTH(AsAt)-MONTH(E850)-(DAY(AsAt)&lt;MIN(R850,DAY(EOMONTH(AsAt,0)))))/D850)+1)+O850*(AsAt&gt;='Deal maths'!AA850)),0)</f>
        <v/>
      </c>
      <c r="I850" s="108">
        <f>G850-H850</f>
        <v/>
      </c>
      <c r="J850" s="111">
        <f>IF(AND(C850="EIP",I850&gt;0),'Deal maths'!Y850/I850,0)</f>
        <v/>
      </c>
      <c r="K850" s="111">
        <f>IF(AND(C850="Annuity",I850&gt;0),IF(F850&gt;0,'Deal maths'!Y850*F850/(1-(1+F850)^-I850),'Deal maths'!Y850/I850),0)</f>
        <v/>
      </c>
      <c r="L850" s="111">
        <f>IF('Deal maths'!Y850="",0,'Deal maths'!Y850)</f>
        <v/>
      </c>
      <c r="M850" s="112">
        <f>F850+(F850=0)</f>
        <v/>
      </c>
      <c r="N850" s="108">
        <f>IFERROR(IF(D850=0,0,INT(((YEAR('Deal maths'!AA850)-YEAR(E850))*12+MONTH('Deal maths'!AA850)-MONTH(E850)-(DAY('Deal maths'!AA850)&lt;MIN(R850,DAY(EOMONTH('Deal maths'!AA850,0)))))/D850)+1),0)</f>
        <v/>
      </c>
      <c r="O850" s="108">
        <f>IFERROR(IF(D850=0,0,IF(IF(DAY(E850+1)=1,EOMONTH(E850,(N850-1)*D850),EDATE(E850,(N850-1)*D850))='Deal maths'!AA850,0,1)),0)</f>
        <v/>
      </c>
      <c r="P850" s="113">
        <f>IF(B850=0,0,IFERROR(IF(C850="EIP",((I850-O850)*((IF(DAY(E850+1)=1,EOMONTH(E850,H850*D850),EDATE(E850,H850*D850))-AsAt)/365.25+(IF(DAY(E850+1)=1,EOMONTH(E850,(N850-1)*D850),EDATE(E850,(N850-1)*D850))-AsAt)/365.25)/2+O850*('Deal maths'!AA850-AsAt)/365.25)/I850,IF(C850="Annuity",IF(F850&gt;0,((K850-L850*F850)*((IF(DAY(E850+1)=1,EOMONTH(E850,H850*D850),EDATE(E850,H850*D850))-AsAt)/365.25*((1+F850)^(I850-O850)-1)/F850+IF((I850-O850)&gt;1,((IF(DAY(E850+1)=1,EOMONTH(E850,(N850-1)*D850),EDATE(E850,(N850-1)*D850))-AsAt)/365.25-(IF(DAY(E850+1)=1,EOMONTH(E850,H850*D850),EDATE(E850,H850*D850))-AsAt)/365.25)/((I850-O850)-1),0)*(1+F850)*(1-(I850-O850)*(1+F850)^((I850-O850)-1)+((I850-O850)-1)*(1+F850)^(I850-O850))/F850^2)+O850*(K850-L850*F850)*(1+F850)^(I850-1)*('Deal maths'!AA850-AsAt)/365.25)/L850,((I850-O850)*((IF(DAY(E850+1)=1,EOMONTH(E850,H850*D850),EDATE(E850,H850*D850))-AsAt)/365.25+(IF(DAY(E850+1)=1,EOMONTH(E850,(N850-1)*D850),EDATE(E850,(N850-1)*D850))-AsAt)/365.25)/2+O850*('Deal maths'!AA850-AsAt)/365.25)/I850),(S850-AsAt)/365.25)),0))</f>
        <v/>
      </c>
      <c r="Q850" s="109">
        <f>IF(B850=1,'Deal maths'!AA850+ROW()/1000000,"")</f>
        <v/>
      </c>
      <c r="R850" s="108">
        <f>IF(D850=0,0,IF(DAY(E850+1)=1,31,DAY(E850)))</f>
        <v/>
      </c>
      <c r="S850" s="109">
        <f>IF(AND('Deal maths'!V850="LOBO",'Deal maths'!AG850&gt;AsAt,'Deal maths'!AG850&lt;'Deal maths'!AA850),'Deal maths'!AG850,'Deal maths'!AA850)</f>
        <v/>
      </c>
      <c r="T850" s="108">
        <f>('Deal maths'!AA850&gt;AsAt)*('Deal maths'!Y850&gt;0)</f>
        <v/>
      </c>
    </row>
    <row r="851">
      <c r="A851" s="91">
        <f>IF('Deal maths'!V851="","",'Deal maths'!W851)</f>
        <v/>
      </c>
      <c r="B851" s="108">
        <f>('Deal maths'!AA851&gt;AsAt)*('Deal maths'!Y851&gt;0)*('Deal maths'!Z851&lt;=AsAt)</f>
        <v/>
      </c>
      <c r="C851" s="91">
        <f>IF('Deal maths'!V851="","",IF('Deal maths'!AC851="","Maturity",'Deal maths'!AC851))</f>
        <v/>
      </c>
      <c r="D851" s="108">
        <f>IF(OR(C851="EIP",C851="Annuity"),IF('Deal maths'!AD851="Annual",12,IF('Deal maths'!AD851="Quarterly",3,6)),0)</f>
        <v/>
      </c>
      <c r="E851" s="109">
        <f>IFERROR(IF(D851=0,0,IF('Deal maths'!AE851&gt;0,IF('Deal maths'!AE851&gt;'Deal maths'!AA851,'Deal maths'!AA851,'Deal maths'!AE851),IF(IF(DAY('Deal maths'!AA851+1)=1,EOMONTH('Deal maths'!AA851,-(INT(((YEAR('Deal maths'!AA851)-YEAR(IF('Deal maths'!Z851&gt;0,'Deal maths'!Z851,DATE(1990,1,1))))*12+MONTH('Deal maths'!AA851)-MONTH(IF('Deal maths'!Z851&gt;0,'Deal maths'!Z851,DATE(1990,1,1))))/D851))*D851),EDATE('Deal maths'!AA851,-(INT(((YEAR('Deal maths'!AA851)-YEAR(IF('Deal maths'!Z851&gt;0,'Deal maths'!Z851,DATE(1990,1,1))))*12+MONTH('Deal maths'!AA851)-MONTH(IF('Deal maths'!Z851&gt;0,'Deal maths'!Z851,DATE(1990,1,1))))/D851))*D851))&gt;IF('Deal maths'!Z851&gt;0,'Deal maths'!Z851,DATE(1990,1,1)),IF(DAY('Deal maths'!AA851+1)=1,EOMONTH('Deal maths'!AA851,-(INT(((YEAR('Deal maths'!AA851)-YEAR(IF('Deal maths'!Z851&gt;0,'Deal maths'!Z851,DATE(1990,1,1))))*12+MONTH('Deal maths'!AA851)-MONTH(IF('Deal maths'!Z851&gt;0,'Deal maths'!Z851,DATE(1990,1,1))))/D851))*D851),EDATE('Deal maths'!AA851,-(INT(((YEAR('Deal maths'!AA851)-YEAR(IF('Deal maths'!Z851&gt;0,'Deal maths'!Z851,DATE(1990,1,1))))*12+MONTH('Deal maths'!AA851)-MONTH(IF('Deal maths'!Z851&gt;0,'Deal maths'!Z851,DATE(1990,1,1))))/D851))*D851)),IF(DAY('Deal maths'!AA851+1)=1,EOMONTH('Deal maths'!AA851,-(INT(((YEAR('Deal maths'!AA851)-YEAR(IF('Deal maths'!Z851&gt;0,'Deal maths'!Z851,DATE(1990,1,1))))*12+MONTH('Deal maths'!AA851)-MONTH(IF('Deal maths'!Z851&gt;0,'Deal maths'!Z851,DATE(1990,1,1))))/D851)-1)*D851),EDATE('Deal maths'!AA851,-(INT(((YEAR('Deal maths'!AA851)-YEAR(IF('Deal maths'!Z851&gt;0,'Deal maths'!Z851,DATE(1990,1,1))))*12+MONTH('Deal maths'!AA851)-MONTH(IF('Deal maths'!Z851&gt;0,'Deal maths'!Z851,DATE(1990,1,1))))/D851)-1)*D851))))),0)</f>
        <v/>
      </c>
      <c r="F851" s="110">
        <f>IF(D851=0,0,'Deal maths'!AB851*D851/12)</f>
        <v/>
      </c>
      <c r="G851" s="108">
        <f>N851+O851</f>
        <v/>
      </c>
      <c r="H851" s="108">
        <f>IFERROR(IF(OR(D851=0,AsAt&lt;E851),0,MIN(N851,INT(((YEAR(AsAt)-YEAR(E851))*12+MONTH(AsAt)-MONTH(E851)-(DAY(AsAt)&lt;MIN(R851,DAY(EOMONTH(AsAt,0)))))/D851)+1)+O851*(AsAt&gt;='Deal maths'!AA851)),0)</f>
        <v/>
      </c>
      <c r="I851" s="108">
        <f>G851-H851</f>
        <v/>
      </c>
      <c r="J851" s="111">
        <f>IF(AND(C851="EIP",I851&gt;0),'Deal maths'!Y851/I851,0)</f>
        <v/>
      </c>
      <c r="K851" s="111">
        <f>IF(AND(C851="Annuity",I851&gt;0),IF(F851&gt;0,'Deal maths'!Y851*F851/(1-(1+F851)^-I851),'Deal maths'!Y851/I851),0)</f>
        <v/>
      </c>
      <c r="L851" s="111">
        <f>IF('Deal maths'!Y851="",0,'Deal maths'!Y851)</f>
        <v/>
      </c>
      <c r="M851" s="112">
        <f>F851+(F851=0)</f>
        <v/>
      </c>
      <c r="N851" s="108">
        <f>IFERROR(IF(D851=0,0,INT(((YEAR('Deal maths'!AA851)-YEAR(E851))*12+MONTH('Deal maths'!AA851)-MONTH(E851)-(DAY('Deal maths'!AA851)&lt;MIN(R851,DAY(EOMONTH('Deal maths'!AA851,0)))))/D851)+1),0)</f>
        <v/>
      </c>
      <c r="O851" s="108">
        <f>IFERROR(IF(D851=0,0,IF(IF(DAY(E851+1)=1,EOMONTH(E851,(N851-1)*D851),EDATE(E851,(N851-1)*D851))='Deal maths'!AA851,0,1)),0)</f>
        <v/>
      </c>
      <c r="P851" s="113">
        <f>IF(B851=0,0,IFERROR(IF(C851="EIP",((I851-O851)*((IF(DAY(E851+1)=1,EOMONTH(E851,H851*D851),EDATE(E851,H851*D851))-AsAt)/365.25+(IF(DAY(E851+1)=1,EOMONTH(E851,(N851-1)*D851),EDATE(E851,(N851-1)*D851))-AsAt)/365.25)/2+O851*('Deal maths'!AA851-AsAt)/365.25)/I851,IF(C851="Annuity",IF(F851&gt;0,((K851-L851*F851)*((IF(DAY(E851+1)=1,EOMONTH(E851,H851*D851),EDATE(E851,H851*D851))-AsAt)/365.25*((1+F851)^(I851-O851)-1)/F851+IF((I851-O851)&gt;1,((IF(DAY(E851+1)=1,EOMONTH(E851,(N851-1)*D851),EDATE(E851,(N851-1)*D851))-AsAt)/365.25-(IF(DAY(E851+1)=1,EOMONTH(E851,H851*D851),EDATE(E851,H851*D851))-AsAt)/365.25)/((I851-O851)-1),0)*(1+F851)*(1-(I851-O851)*(1+F851)^((I851-O851)-1)+((I851-O851)-1)*(1+F851)^(I851-O851))/F851^2)+O851*(K851-L851*F851)*(1+F851)^(I851-1)*('Deal maths'!AA851-AsAt)/365.25)/L851,((I851-O851)*((IF(DAY(E851+1)=1,EOMONTH(E851,H851*D851),EDATE(E851,H851*D851))-AsAt)/365.25+(IF(DAY(E851+1)=1,EOMONTH(E851,(N851-1)*D851),EDATE(E851,(N851-1)*D851))-AsAt)/365.25)/2+O851*('Deal maths'!AA851-AsAt)/365.25)/I851),(S851-AsAt)/365.25)),0))</f>
        <v/>
      </c>
      <c r="Q851" s="109">
        <f>IF(B851=1,'Deal maths'!AA851+ROW()/1000000,"")</f>
        <v/>
      </c>
      <c r="R851" s="108">
        <f>IF(D851=0,0,IF(DAY(E851+1)=1,31,DAY(E851)))</f>
        <v/>
      </c>
      <c r="S851" s="109">
        <f>IF(AND('Deal maths'!V851="LOBO",'Deal maths'!AG851&gt;AsAt,'Deal maths'!AG851&lt;'Deal maths'!AA851),'Deal maths'!AG851,'Deal maths'!AA851)</f>
        <v/>
      </c>
      <c r="T851" s="108">
        <f>('Deal maths'!AA851&gt;AsAt)*('Deal maths'!Y851&gt;0)</f>
        <v/>
      </c>
    </row>
    <row r="852">
      <c r="A852" s="91">
        <f>IF('Deal maths'!V852="","",'Deal maths'!W852)</f>
        <v/>
      </c>
      <c r="B852" s="108">
        <f>('Deal maths'!AA852&gt;AsAt)*('Deal maths'!Y852&gt;0)*('Deal maths'!Z852&lt;=AsAt)</f>
        <v/>
      </c>
      <c r="C852" s="91">
        <f>IF('Deal maths'!V852="","",IF('Deal maths'!AC852="","Maturity",'Deal maths'!AC852))</f>
        <v/>
      </c>
      <c r="D852" s="108">
        <f>IF(OR(C852="EIP",C852="Annuity"),IF('Deal maths'!AD852="Annual",12,IF('Deal maths'!AD852="Quarterly",3,6)),0)</f>
        <v/>
      </c>
      <c r="E852" s="109">
        <f>IFERROR(IF(D852=0,0,IF('Deal maths'!AE852&gt;0,IF('Deal maths'!AE852&gt;'Deal maths'!AA852,'Deal maths'!AA852,'Deal maths'!AE852),IF(IF(DAY('Deal maths'!AA852+1)=1,EOMONTH('Deal maths'!AA852,-(INT(((YEAR('Deal maths'!AA852)-YEAR(IF('Deal maths'!Z852&gt;0,'Deal maths'!Z852,DATE(1990,1,1))))*12+MONTH('Deal maths'!AA852)-MONTH(IF('Deal maths'!Z852&gt;0,'Deal maths'!Z852,DATE(1990,1,1))))/D852))*D852),EDATE('Deal maths'!AA852,-(INT(((YEAR('Deal maths'!AA852)-YEAR(IF('Deal maths'!Z852&gt;0,'Deal maths'!Z852,DATE(1990,1,1))))*12+MONTH('Deal maths'!AA852)-MONTH(IF('Deal maths'!Z852&gt;0,'Deal maths'!Z852,DATE(1990,1,1))))/D852))*D852))&gt;IF('Deal maths'!Z852&gt;0,'Deal maths'!Z852,DATE(1990,1,1)),IF(DAY('Deal maths'!AA852+1)=1,EOMONTH('Deal maths'!AA852,-(INT(((YEAR('Deal maths'!AA852)-YEAR(IF('Deal maths'!Z852&gt;0,'Deal maths'!Z852,DATE(1990,1,1))))*12+MONTH('Deal maths'!AA852)-MONTH(IF('Deal maths'!Z852&gt;0,'Deal maths'!Z852,DATE(1990,1,1))))/D852))*D852),EDATE('Deal maths'!AA852,-(INT(((YEAR('Deal maths'!AA852)-YEAR(IF('Deal maths'!Z852&gt;0,'Deal maths'!Z852,DATE(1990,1,1))))*12+MONTH('Deal maths'!AA852)-MONTH(IF('Deal maths'!Z852&gt;0,'Deal maths'!Z852,DATE(1990,1,1))))/D852))*D852)),IF(DAY('Deal maths'!AA852+1)=1,EOMONTH('Deal maths'!AA852,-(INT(((YEAR('Deal maths'!AA852)-YEAR(IF('Deal maths'!Z852&gt;0,'Deal maths'!Z852,DATE(1990,1,1))))*12+MONTH('Deal maths'!AA852)-MONTH(IF('Deal maths'!Z852&gt;0,'Deal maths'!Z852,DATE(1990,1,1))))/D852)-1)*D852),EDATE('Deal maths'!AA852,-(INT(((YEAR('Deal maths'!AA852)-YEAR(IF('Deal maths'!Z852&gt;0,'Deal maths'!Z852,DATE(1990,1,1))))*12+MONTH('Deal maths'!AA852)-MONTH(IF('Deal maths'!Z852&gt;0,'Deal maths'!Z852,DATE(1990,1,1))))/D852)-1)*D852))))),0)</f>
        <v/>
      </c>
      <c r="F852" s="110">
        <f>IF(D852=0,0,'Deal maths'!AB852*D852/12)</f>
        <v/>
      </c>
      <c r="G852" s="108">
        <f>N852+O852</f>
        <v/>
      </c>
      <c r="H852" s="108">
        <f>IFERROR(IF(OR(D852=0,AsAt&lt;E852),0,MIN(N852,INT(((YEAR(AsAt)-YEAR(E852))*12+MONTH(AsAt)-MONTH(E852)-(DAY(AsAt)&lt;MIN(R852,DAY(EOMONTH(AsAt,0)))))/D852)+1)+O852*(AsAt&gt;='Deal maths'!AA852)),0)</f>
        <v/>
      </c>
      <c r="I852" s="108">
        <f>G852-H852</f>
        <v/>
      </c>
      <c r="J852" s="111">
        <f>IF(AND(C852="EIP",I852&gt;0),'Deal maths'!Y852/I852,0)</f>
        <v/>
      </c>
      <c r="K852" s="111">
        <f>IF(AND(C852="Annuity",I852&gt;0),IF(F852&gt;0,'Deal maths'!Y852*F852/(1-(1+F852)^-I852),'Deal maths'!Y852/I852),0)</f>
        <v/>
      </c>
      <c r="L852" s="111">
        <f>IF('Deal maths'!Y852="",0,'Deal maths'!Y852)</f>
        <v/>
      </c>
      <c r="M852" s="112">
        <f>F852+(F852=0)</f>
        <v/>
      </c>
      <c r="N852" s="108">
        <f>IFERROR(IF(D852=0,0,INT(((YEAR('Deal maths'!AA852)-YEAR(E852))*12+MONTH('Deal maths'!AA852)-MONTH(E852)-(DAY('Deal maths'!AA852)&lt;MIN(R852,DAY(EOMONTH('Deal maths'!AA852,0)))))/D852)+1),0)</f>
        <v/>
      </c>
      <c r="O852" s="108">
        <f>IFERROR(IF(D852=0,0,IF(IF(DAY(E852+1)=1,EOMONTH(E852,(N852-1)*D852),EDATE(E852,(N852-1)*D852))='Deal maths'!AA852,0,1)),0)</f>
        <v/>
      </c>
      <c r="P852" s="113">
        <f>IF(B852=0,0,IFERROR(IF(C852="EIP",((I852-O852)*((IF(DAY(E852+1)=1,EOMONTH(E852,H852*D852),EDATE(E852,H852*D852))-AsAt)/365.25+(IF(DAY(E852+1)=1,EOMONTH(E852,(N852-1)*D852),EDATE(E852,(N852-1)*D852))-AsAt)/365.25)/2+O852*('Deal maths'!AA852-AsAt)/365.25)/I852,IF(C852="Annuity",IF(F852&gt;0,((K852-L852*F852)*((IF(DAY(E852+1)=1,EOMONTH(E852,H852*D852),EDATE(E852,H852*D852))-AsAt)/365.25*((1+F852)^(I852-O852)-1)/F852+IF((I852-O852)&gt;1,((IF(DAY(E852+1)=1,EOMONTH(E852,(N852-1)*D852),EDATE(E852,(N852-1)*D852))-AsAt)/365.25-(IF(DAY(E852+1)=1,EOMONTH(E852,H852*D852),EDATE(E852,H852*D852))-AsAt)/365.25)/((I852-O852)-1),0)*(1+F852)*(1-(I852-O852)*(1+F852)^((I852-O852)-1)+((I852-O852)-1)*(1+F852)^(I852-O852))/F852^2)+O852*(K852-L852*F852)*(1+F852)^(I852-1)*('Deal maths'!AA852-AsAt)/365.25)/L852,((I852-O852)*((IF(DAY(E852+1)=1,EOMONTH(E852,H852*D852),EDATE(E852,H852*D852))-AsAt)/365.25+(IF(DAY(E852+1)=1,EOMONTH(E852,(N852-1)*D852),EDATE(E852,(N852-1)*D852))-AsAt)/365.25)/2+O852*('Deal maths'!AA852-AsAt)/365.25)/I852),(S852-AsAt)/365.25)),0))</f>
        <v/>
      </c>
      <c r="Q852" s="109">
        <f>IF(B852=1,'Deal maths'!AA852+ROW()/1000000,"")</f>
        <v/>
      </c>
      <c r="R852" s="108">
        <f>IF(D852=0,0,IF(DAY(E852+1)=1,31,DAY(E852)))</f>
        <v/>
      </c>
      <c r="S852" s="109">
        <f>IF(AND('Deal maths'!V852="LOBO",'Deal maths'!AG852&gt;AsAt,'Deal maths'!AG852&lt;'Deal maths'!AA852),'Deal maths'!AG852,'Deal maths'!AA852)</f>
        <v/>
      </c>
      <c r="T852" s="108">
        <f>('Deal maths'!AA852&gt;AsAt)*('Deal maths'!Y852&gt;0)</f>
        <v/>
      </c>
    </row>
    <row r="853">
      <c r="A853" s="91">
        <f>IF('Deal maths'!V853="","",'Deal maths'!W853)</f>
        <v/>
      </c>
      <c r="B853" s="108">
        <f>('Deal maths'!AA853&gt;AsAt)*('Deal maths'!Y853&gt;0)*('Deal maths'!Z853&lt;=AsAt)</f>
        <v/>
      </c>
      <c r="C853" s="91">
        <f>IF('Deal maths'!V853="","",IF('Deal maths'!AC853="","Maturity",'Deal maths'!AC853))</f>
        <v/>
      </c>
      <c r="D853" s="108">
        <f>IF(OR(C853="EIP",C853="Annuity"),IF('Deal maths'!AD853="Annual",12,IF('Deal maths'!AD853="Quarterly",3,6)),0)</f>
        <v/>
      </c>
      <c r="E853" s="109">
        <f>IFERROR(IF(D853=0,0,IF('Deal maths'!AE853&gt;0,IF('Deal maths'!AE853&gt;'Deal maths'!AA853,'Deal maths'!AA853,'Deal maths'!AE853),IF(IF(DAY('Deal maths'!AA853+1)=1,EOMONTH('Deal maths'!AA853,-(INT(((YEAR('Deal maths'!AA853)-YEAR(IF('Deal maths'!Z853&gt;0,'Deal maths'!Z853,DATE(1990,1,1))))*12+MONTH('Deal maths'!AA853)-MONTH(IF('Deal maths'!Z853&gt;0,'Deal maths'!Z853,DATE(1990,1,1))))/D853))*D853),EDATE('Deal maths'!AA853,-(INT(((YEAR('Deal maths'!AA853)-YEAR(IF('Deal maths'!Z853&gt;0,'Deal maths'!Z853,DATE(1990,1,1))))*12+MONTH('Deal maths'!AA853)-MONTH(IF('Deal maths'!Z853&gt;0,'Deal maths'!Z853,DATE(1990,1,1))))/D853))*D853))&gt;IF('Deal maths'!Z853&gt;0,'Deal maths'!Z853,DATE(1990,1,1)),IF(DAY('Deal maths'!AA853+1)=1,EOMONTH('Deal maths'!AA853,-(INT(((YEAR('Deal maths'!AA853)-YEAR(IF('Deal maths'!Z853&gt;0,'Deal maths'!Z853,DATE(1990,1,1))))*12+MONTH('Deal maths'!AA853)-MONTH(IF('Deal maths'!Z853&gt;0,'Deal maths'!Z853,DATE(1990,1,1))))/D853))*D853),EDATE('Deal maths'!AA853,-(INT(((YEAR('Deal maths'!AA853)-YEAR(IF('Deal maths'!Z853&gt;0,'Deal maths'!Z853,DATE(1990,1,1))))*12+MONTH('Deal maths'!AA853)-MONTH(IF('Deal maths'!Z853&gt;0,'Deal maths'!Z853,DATE(1990,1,1))))/D853))*D853)),IF(DAY('Deal maths'!AA853+1)=1,EOMONTH('Deal maths'!AA853,-(INT(((YEAR('Deal maths'!AA853)-YEAR(IF('Deal maths'!Z853&gt;0,'Deal maths'!Z853,DATE(1990,1,1))))*12+MONTH('Deal maths'!AA853)-MONTH(IF('Deal maths'!Z853&gt;0,'Deal maths'!Z853,DATE(1990,1,1))))/D853)-1)*D853),EDATE('Deal maths'!AA853,-(INT(((YEAR('Deal maths'!AA853)-YEAR(IF('Deal maths'!Z853&gt;0,'Deal maths'!Z853,DATE(1990,1,1))))*12+MONTH('Deal maths'!AA853)-MONTH(IF('Deal maths'!Z853&gt;0,'Deal maths'!Z853,DATE(1990,1,1))))/D853)-1)*D853))))),0)</f>
        <v/>
      </c>
      <c r="F853" s="110">
        <f>IF(D853=0,0,'Deal maths'!AB853*D853/12)</f>
        <v/>
      </c>
      <c r="G853" s="108">
        <f>N853+O853</f>
        <v/>
      </c>
      <c r="H853" s="108">
        <f>IFERROR(IF(OR(D853=0,AsAt&lt;E853),0,MIN(N853,INT(((YEAR(AsAt)-YEAR(E853))*12+MONTH(AsAt)-MONTH(E853)-(DAY(AsAt)&lt;MIN(R853,DAY(EOMONTH(AsAt,0)))))/D853)+1)+O853*(AsAt&gt;='Deal maths'!AA853)),0)</f>
        <v/>
      </c>
      <c r="I853" s="108">
        <f>G853-H853</f>
        <v/>
      </c>
      <c r="J853" s="111">
        <f>IF(AND(C853="EIP",I853&gt;0),'Deal maths'!Y853/I853,0)</f>
        <v/>
      </c>
      <c r="K853" s="111">
        <f>IF(AND(C853="Annuity",I853&gt;0),IF(F853&gt;0,'Deal maths'!Y853*F853/(1-(1+F853)^-I853),'Deal maths'!Y853/I853),0)</f>
        <v/>
      </c>
      <c r="L853" s="111">
        <f>IF('Deal maths'!Y853="",0,'Deal maths'!Y853)</f>
        <v/>
      </c>
      <c r="M853" s="112">
        <f>F853+(F853=0)</f>
        <v/>
      </c>
      <c r="N853" s="108">
        <f>IFERROR(IF(D853=0,0,INT(((YEAR('Deal maths'!AA853)-YEAR(E853))*12+MONTH('Deal maths'!AA853)-MONTH(E853)-(DAY('Deal maths'!AA853)&lt;MIN(R853,DAY(EOMONTH('Deal maths'!AA853,0)))))/D853)+1),0)</f>
        <v/>
      </c>
      <c r="O853" s="108">
        <f>IFERROR(IF(D853=0,0,IF(IF(DAY(E853+1)=1,EOMONTH(E853,(N853-1)*D853),EDATE(E853,(N853-1)*D853))='Deal maths'!AA853,0,1)),0)</f>
        <v/>
      </c>
      <c r="P853" s="113">
        <f>IF(B853=0,0,IFERROR(IF(C853="EIP",((I853-O853)*((IF(DAY(E853+1)=1,EOMONTH(E853,H853*D853),EDATE(E853,H853*D853))-AsAt)/365.25+(IF(DAY(E853+1)=1,EOMONTH(E853,(N853-1)*D853),EDATE(E853,(N853-1)*D853))-AsAt)/365.25)/2+O853*('Deal maths'!AA853-AsAt)/365.25)/I853,IF(C853="Annuity",IF(F853&gt;0,((K853-L853*F853)*((IF(DAY(E853+1)=1,EOMONTH(E853,H853*D853),EDATE(E853,H853*D853))-AsAt)/365.25*((1+F853)^(I853-O853)-1)/F853+IF((I853-O853)&gt;1,((IF(DAY(E853+1)=1,EOMONTH(E853,(N853-1)*D853),EDATE(E853,(N853-1)*D853))-AsAt)/365.25-(IF(DAY(E853+1)=1,EOMONTH(E853,H853*D853),EDATE(E853,H853*D853))-AsAt)/365.25)/((I853-O853)-1),0)*(1+F853)*(1-(I853-O853)*(1+F853)^((I853-O853)-1)+((I853-O853)-1)*(1+F853)^(I853-O853))/F853^2)+O853*(K853-L853*F853)*(1+F853)^(I853-1)*('Deal maths'!AA853-AsAt)/365.25)/L853,((I853-O853)*((IF(DAY(E853+1)=1,EOMONTH(E853,H853*D853),EDATE(E853,H853*D853))-AsAt)/365.25+(IF(DAY(E853+1)=1,EOMONTH(E853,(N853-1)*D853),EDATE(E853,(N853-1)*D853))-AsAt)/365.25)/2+O853*('Deal maths'!AA853-AsAt)/365.25)/I853),(S853-AsAt)/365.25)),0))</f>
        <v/>
      </c>
      <c r="Q853" s="109">
        <f>IF(B853=1,'Deal maths'!AA853+ROW()/1000000,"")</f>
        <v/>
      </c>
      <c r="R853" s="108">
        <f>IF(D853=0,0,IF(DAY(E853+1)=1,31,DAY(E853)))</f>
        <v/>
      </c>
      <c r="S853" s="109">
        <f>IF(AND('Deal maths'!V853="LOBO",'Deal maths'!AG853&gt;AsAt,'Deal maths'!AG853&lt;'Deal maths'!AA853),'Deal maths'!AG853,'Deal maths'!AA853)</f>
        <v/>
      </c>
      <c r="T853" s="108">
        <f>('Deal maths'!AA853&gt;AsAt)*('Deal maths'!Y853&gt;0)</f>
        <v/>
      </c>
    </row>
    <row r="854">
      <c r="A854" s="91">
        <f>IF('Deal maths'!V854="","",'Deal maths'!W854)</f>
        <v/>
      </c>
      <c r="B854" s="108">
        <f>('Deal maths'!AA854&gt;AsAt)*('Deal maths'!Y854&gt;0)*('Deal maths'!Z854&lt;=AsAt)</f>
        <v/>
      </c>
      <c r="C854" s="91">
        <f>IF('Deal maths'!V854="","",IF('Deal maths'!AC854="","Maturity",'Deal maths'!AC854))</f>
        <v/>
      </c>
      <c r="D854" s="108">
        <f>IF(OR(C854="EIP",C854="Annuity"),IF('Deal maths'!AD854="Annual",12,IF('Deal maths'!AD854="Quarterly",3,6)),0)</f>
        <v/>
      </c>
      <c r="E854" s="109">
        <f>IFERROR(IF(D854=0,0,IF('Deal maths'!AE854&gt;0,IF('Deal maths'!AE854&gt;'Deal maths'!AA854,'Deal maths'!AA854,'Deal maths'!AE854),IF(IF(DAY('Deal maths'!AA854+1)=1,EOMONTH('Deal maths'!AA854,-(INT(((YEAR('Deal maths'!AA854)-YEAR(IF('Deal maths'!Z854&gt;0,'Deal maths'!Z854,DATE(1990,1,1))))*12+MONTH('Deal maths'!AA854)-MONTH(IF('Deal maths'!Z854&gt;0,'Deal maths'!Z854,DATE(1990,1,1))))/D854))*D854),EDATE('Deal maths'!AA854,-(INT(((YEAR('Deal maths'!AA854)-YEAR(IF('Deal maths'!Z854&gt;0,'Deal maths'!Z854,DATE(1990,1,1))))*12+MONTH('Deal maths'!AA854)-MONTH(IF('Deal maths'!Z854&gt;0,'Deal maths'!Z854,DATE(1990,1,1))))/D854))*D854))&gt;IF('Deal maths'!Z854&gt;0,'Deal maths'!Z854,DATE(1990,1,1)),IF(DAY('Deal maths'!AA854+1)=1,EOMONTH('Deal maths'!AA854,-(INT(((YEAR('Deal maths'!AA854)-YEAR(IF('Deal maths'!Z854&gt;0,'Deal maths'!Z854,DATE(1990,1,1))))*12+MONTH('Deal maths'!AA854)-MONTH(IF('Deal maths'!Z854&gt;0,'Deal maths'!Z854,DATE(1990,1,1))))/D854))*D854),EDATE('Deal maths'!AA854,-(INT(((YEAR('Deal maths'!AA854)-YEAR(IF('Deal maths'!Z854&gt;0,'Deal maths'!Z854,DATE(1990,1,1))))*12+MONTH('Deal maths'!AA854)-MONTH(IF('Deal maths'!Z854&gt;0,'Deal maths'!Z854,DATE(1990,1,1))))/D854))*D854)),IF(DAY('Deal maths'!AA854+1)=1,EOMONTH('Deal maths'!AA854,-(INT(((YEAR('Deal maths'!AA854)-YEAR(IF('Deal maths'!Z854&gt;0,'Deal maths'!Z854,DATE(1990,1,1))))*12+MONTH('Deal maths'!AA854)-MONTH(IF('Deal maths'!Z854&gt;0,'Deal maths'!Z854,DATE(1990,1,1))))/D854)-1)*D854),EDATE('Deal maths'!AA854,-(INT(((YEAR('Deal maths'!AA854)-YEAR(IF('Deal maths'!Z854&gt;0,'Deal maths'!Z854,DATE(1990,1,1))))*12+MONTH('Deal maths'!AA854)-MONTH(IF('Deal maths'!Z854&gt;0,'Deal maths'!Z854,DATE(1990,1,1))))/D854)-1)*D854))))),0)</f>
        <v/>
      </c>
      <c r="F854" s="110">
        <f>IF(D854=0,0,'Deal maths'!AB854*D854/12)</f>
        <v/>
      </c>
      <c r="G854" s="108">
        <f>N854+O854</f>
        <v/>
      </c>
      <c r="H854" s="108">
        <f>IFERROR(IF(OR(D854=0,AsAt&lt;E854),0,MIN(N854,INT(((YEAR(AsAt)-YEAR(E854))*12+MONTH(AsAt)-MONTH(E854)-(DAY(AsAt)&lt;MIN(R854,DAY(EOMONTH(AsAt,0)))))/D854)+1)+O854*(AsAt&gt;='Deal maths'!AA854)),0)</f>
        <v/>
      </c>
      <c r="I854" s="108">
        <f>G854-H854</f>
        <v/>
      </c>
      <c r="J854" s="111">
        <f>IF(AND(C854="EIP",I854&gt;0),'Deal maths'!Y854/I854,0)</f>
        <v/>
      </c>
      <c r="K854" s="111">
        <f>IF(AND(C854="Annuity",I854&gt;0),IF(F854&gt;0,'Deal maths'!Y854*F854/(1-(1+F854)^-I854),'Deal maths'!Y854/I854),0)</f>
        <v/>
      </c>
      <c r="L854" s="111">
        <f>IF('Deal maths'!Y854="",0,'Deal maths'!Y854)</f>
        <v/>
      </c>
      <c r="M854" s="112">
        <f>F854+(F854=0)</f>
        <v/>
      </c>
      <c r="N854" s="108">
        <f>IFERROR(IF(D854=0,0,INT(((YEAR('Deal maths'!AA854)-YEAR(E854))*12+MONTH('Deal maths'!AA854)-MONTH(E854)-(DAY('Deal maths'!AA854)&lt;MIN(R854,DAY(EOMONTH('Deal maths'!AA854,0)))))/D854)+1),0)</f>
        <v/>
      </c>
      <c r="O854" s="108">
        <f>IFERROR(IF(D854=0,0,IF(IF(DAY(E854+1)=1,EOMONTH(E854,(N854-1)*D854),EDATE(E854,(N854-1)*D854))='Deal maths'!AA854,0,1)),0)</f>
        <v/>
      </c>
      <c r="P854" s="113">
        <f>IF(B854=0,0,IFERROR(IF(C854="EIP",((I854-O854)*((IF(DAY(E854+1)=1,EOMONTH(E854,H854*D854),EDATE(E854,H854*D854))-AsAt)/365.25+(IF(DAY(E854+1)=1,EOMONTH(E854,(N854-1)*D854),EDATE(E854,(N854-1)*D854))-AsAt)/365.25)/2+O854*('Deal maths'!AA854-AsAt)/365.25)/I854,IF(C854="Annuity",IF(F854&gt;0,((K854-L854*F854)*((IF(DAY(E854+1)=1,EOMONTH(E854,H854*D854),EDATE(E854,H854*D854))-AsAt)/365.25*((1+F854)^(I854-O854)-1)/F854+IF((I854-O854)&gt;1,((IF(DAY(E854+1)=1,EOMONTH(E854,(N854-1)*D854),EDATE(E854,(N854-1)*D854))-AsAt)/365.25-(IF(DAY(E854+1)=1,EOMONTH(E854,H854*D854),EDATE(E854,H854*D854))-AsAt)/365.25)/((I854-O854)-1),0)*(1+F854)*(1-(I854-O854)*(1+F854)^((I854-O854)-1)+((I854-O854)-1)*(1+F854)^(I854-O854))/F854^2)+O854*(K854-L854*F854)*(1+F854)^(I854-1)*('Deal maths'!AA854-AsAt)/365.25)/L854,((I854-O854)*((IF(DAY(E854+1)=1,EOMONTH(E854,H854*D854),EDATE(E854,H854*D854))-AsAt)/365.25+(IF(DAY(E854+1)=1,EOMONTH(E854,(N854-1)*D854),EDATE(E854,(N854-1)*D854))-AsAt)/365.25)/2+O854*('Deal maths'!AA854-AsAt)/365.25)/I854),(S854-AsAt)/365.25)),0))</f>
        <v/>
      </c>
      <c r="Q854" s="109">
        <f>IF(B854=1,'Deal maths'!AA854+ROW()/1000000,"")</f>
        <v/>
      </c>
      <c r="R854" s="108">
        <f>IF(D854=0,0,IF(DAY(E854+1)=1,31,DAY(E854)))</f>
        <v/>
      </c>
      <c r="S854" s="109">
        <f>IF(AND('Deal maths'!V854="LOBO",'Deal maths'!AG854&gt;AsAt,'Deal maths'!AG854&lt;'Deal maths'!AA854),'Deal maths'!AG854,'Deal maths'!AA854)</f>
        <v/>
      </c>
      <c r="T854" s="108">
        <f>('Deal maths'!AA854&gt;AsAt)*('Deal maths'!Y854&gt;0)</f>
        <v/>
      </c>
    </row>
    <row r="855">
      <c r="A855" s="91">
        <f>IF('Deal maths'!V855="","",'Deal maths'!W855)</f>
        <v/>
      </c>
      <c r="B855" s="108">
        <f>('Deal maths'!AA855&gt;AsAt)*('Deal maths'!Y855&gt;0)*('Deal maths'!Z855&lt;=AsAt)</f>
        <v/>
      </c>
      <c r="C855" s="91">
        <f>IF('Deal maths'!V855="","",IF('Deal maths'!AC855="","Maturity",'Deal maths'!AC855))</f>
        <v/>
      </c>
      <c r="D855" s="108">
        <f>IF(OR(C855="EIP",C855="Annuity"),IF('Deal maths'!AD855="Annual",12,IF('Deal maths'!AD855="Quarterly",3,6)),0)</f>
        <v/>
      </c>
      <c r="E855" s="109">
        <f>IFERROR(IF(D855=0,0,IF('Deal maths'!AE855&gt;0,IF('Deal maths'!AE855&gt;'Deal maths'!AA855,'Deal maths'!AA855,'Deal maths'!AE855),IF(IF(DAY('Deal maths'!AA855+1)=1,EOMONTH('Deal maths'!AA855,-(INT(((YEAR('Deal maths'!AA855)-YEAR(IF('Deal maths'!Z855&gt;0,'Deal maths'!Z855,DATE(1990,1,1))))*12+MONTH('Deal maths'!AA855)-MONTH(IF('Deal maths'!Z855&gt;0,'Deal maths'!Z855,DATE(1990,1,1))))/D855))*D855),EDATE('Deal maths'!AA855,-(INT(((YEAR('Deal maths'!AA855)-YEAR(IF('Deal maths'!Z855&gt;0,'Deal maths'!Z855,DATE(1990,1,1))))*12+MONTH('Deal maths'!AA855)-MONTH(IF('Deal maths'!Z855&gt;0,'Deal maths'!Z855,DATE(1990,1,1))))/D855))*D855))&gt;IF('Deal maths'!Z855&gt;0,'Deal maths'!Z855,DATE(1990,1,1)),IF(DAY('Deal maths'!AA855+1)=1,EOMONTH('Deal maths'!AA855,-(INT(((YEAR('Deal maths'!AA855)-YEAR(IF('Deal maths'!Z855&gt;0,'Deal maths'!Z855,DATE(1990,1,1))))*12+MONTH('Deal maths'!AA855)-MONTH(IF('Deal maths'!Z855&gt;0,'Deal maths'!Z855,DATE(1990,1,1))))/D855))*D855),EDATE('Deal maths'!AA855,-(INT(((YEAR('Deal maths'!AA855)-YEAR(IF('Deal maths'!Z855&gt;0,'Deal maths'!Z855,DATE(1990,1,1))))*12+MONTH('Deal maths'!AA855)-MONTH(IF('Deal maths'!Z855&gt;0,'Deal maths'!Z855,DATE(1990,1,1))))/D855))*D855)),IF(DAY('Deal maths'!AA855+1)=1,EOMONTH('Deal maths'!AA855,-(INT(((YEAR('Deal maths'!AA855)-YEAR(IF('Deal maths'!Z855&gt;0,'Deal maths'!Z855,DATE(1990,1,1))))*12+MONTH('Deal maths'!AA855)-MONTH(IF('Deal maths'!Z855&gt;0,'Deal maths'!Z855,DATE(1990,1,1))))/D855)-1)*D855),EDATE('Deal maths'!AA855,-(INT(((YEAR('Deal maths'!AA855)-YEAR(IF('Deal maths'!Z855&gt;0,'Deal maths'!Z855,DATE(1990,1,1))))*12+MONTH('Deal maths'!AA855)-MONTH(IF('Deal maths'!Z855&gt;0,'Deal maths'!Z855,DATE(1990,1,1))))/D855)-1)*D855))))),0)</f>
        <v/>
      </c>
      <c r="F855" s="110">
        <f>IF(D855=0,0,'Deal maths'!AB855*D855/12)</f>
        <v/>
      </c>
      <c r="G855" s="108">
        <f>N855+O855</f>
        <v/>
      </c>
      <c r="H855" s="108">
        <f>IFERROR(IF(OR(D855=0,AsAt&lt;E855),0,MIN(N855,INT(((YEAR(AsAt)-YEAR(E855))*12+MONTH(AsAt)-MONTH(E855)-(DAY(AsAt)&lt;MIN(R855,DAY(EOMONTH(AsAt,0)))))/D855)+1)+O855*(AsAt&gt;='Deal maths'!AA855)),0)</f>
        <v/>
      </c>
      <c r="I855" s="108">
        <f>G855-H855</f>
        <v/>
      </c>
      <c r="J855" s="111">
        <f>IF(AND(C855="EIP",I855&gt;0),'Deal maths'!Y855/I855,0)</f>
        <v/>
      </c>
      <c r="K855" s="111">
        <f>IF(AND(C855="Annuity",I855&gt;0),IF(F855&gt;0,'Deal maths'!Y855*F855/(1-(1+F855)^-I855),'Deal maths'!Y855/I855),0)</f>
        <v/>
      </c>
      <c r="L855" s="111">
        <f>IF('Deal maths'!Y855="",0,'Deal maths'!Y855)</f>
        <v/>
      </c>
      <c r="M855" s="112">
        <f>F855+(F855=0)</f>
        <v/>
      </c>
      <c r="N855" s="108">
        <f>IFERROR(IF(D855=0,0,INT(((YEAR('Deal maths'!AA855)-YEAR(E855))*12+MONTH('Deal maths'!AA855)-MONTH(E855)-(DAY('Deal maths'!AA855)&lt;MIN(R855,DAY(EOMONTH('Deal maths'!AA855,0)))))/D855)+1),0)</f>
        <v/>
      </c>
      <c r="O855" s="108">
        <f>IFERROR(IF(D855=0,0,IF(IF(DAY(E855+1)=1,EOMONTH(E855,(N855-1)*D855),EDATE(E855,(N855-1)*D855))='Deal maths'!AA855,0,1)),0)</f>
        <v/>
      </c>
      <c r="P855" s="113">
        <f>IF(B855=0,0,IFERROR(IF(C855="EIP",((I855-O855)*((IF(DAY(E855+1)=1,EOMONTH(E855,H855*D855),EDATE(E855,H855*D855))-AsAt)/365.25+(IF(DAY(E855+1)=1,EOMONTH(E855,(N855-1)*D855),EDATE(E855,(N855-1)*D855))-AsAt)/365.25)/2+O855*('Deal maths'!AA855-AsAt)/365.25)/I855,IF(C855="Annuity",IF(F855&gt;0,((K855-L855*F855)*((IF(DAY(E855+1)=1,EOMONTH(E855,H855*D855),EDATE(E855,H855*D855))-AsAt)/365.25*((1+F855)^(I855-O855)-1)/F855+IF((I855-O855)&gt;1,((IF(DAY(E855+1)=1,EOMONTH(E855,(N855-1)*D855),EDATE(E855,(N855-1)*D855))-AsAt)/365.25-(IF(DAY(E855+1)=1,EOMONTH(E855,H855*D855),EDATE(E855,H855*D855))-AsAt)/365.25)/((I855-O855)-1),0)*(1+F855)*(1-(I855-O855)*(1+F855)^((I855-O855)-1)+((I855-O855)-1)*(1+F855)^(I855-O855))/F855^2)+O855*(K855-L855*F855)*(1+F855)^(I855-1)*('Deal maths'!AA855-AsAt)/365.25)/L855,((I855-O855)*((IF(DAY(E855+1)=1,EOMONTH(E855,H855*D855),EDATE(E855,H855*D855))-AsAt)/365.25+(IF(DAY(E855+1)=1,EOMONTH(E855,(N855-1)*D855),EDATE(E855,(N855-1)*D855))-AsAt)/365.25)/2+O855*('Deal maths'!AA855-AsAt)/365.25)/I855),(S855-AsAt)/365.25)),0))</f>
        <v/>
      </c>
      <c r="Q855" s="109">
        <f>IF(B855=1,'Deal maths'!AA855+ROW()/1000000,"")</f>
        <v/>
      </c>
      <c r="R855" s="108">
        <f>IF(D855=0,0,IF(DAY(E855+1)=1,31,DAY(E855)))</f>
        <v/>
      </c>
      <c r="S855" s="109">
        <f>IF(AND('Deal maths'!V855="LOBO",'Deal maths'!AG855&gt;AsAt,'Deal maths'!AG855&lt;'Deal maths'!AA855),'Deal maths'!AG855,'Deal maths'!AA855)</f>
        <v/>
      </c>
      <c r="T855" s="108">
        <f>('Deal maths'!AA855&gt;AsAt)*('Deal maths'!Y855&gt;0)</f>
        <v/>
      </c>
    </row>
    <row r="856">
      <c r="A856" s="91">
        <f>IF('Deal maths'!V856="","",'Deal maths'!W856)</f>
        <v/>
      </c>
      <c r="B856" s="108">
        <f>('Deal maths'!AA856&gt;AsAt)*('Deal maths'!Y856&gt;0)*('Deal maths'!Z856&lt;=AsAt)</f>
        <v/>
      </c>
      <c r="C856" s="91">
        <f>IF('Deal maths'!V856="","",IF('Deal maths'!AC856="","Maturity",'Deal maths'!AC856))</f>
        <v/>
      </c>
      <c r="D856" s="108">
        <f>IF(OR(C856="EIP",C856="Annuity"),IF('Deal maths'!AD856="Annual",12,IF('Deal maths'!AD856="Quarterly",3,6)),0)</f>
        <v/>
      </c>
      <c r="E856" s="109">
        <f>IFERROR(IF(D856=0,0,IF('Deal maths'!AE856&gt;0,IF('Deal maths'!AE856&gt;'Deal maths'!AA856,'Deal maths'!AA856,'Deal maths'!AE856),IF(IF(DAY('Deal maths'!AA856+1)=1,EOMONTH('Deal maths'!AA856,-(INT(((YEAR('Deal maths'!AA856)-YEAR(IF('Deal maths'!Z856&gt;0,'Deal maths'!Z856,DATE(1990,1,1))))*12+MONTH('Deal maths'!AA856)-MONTH(IF('Deal maths'!Z856&gt;0,'Deal maths'!Z856,DATE(1990,1,1))))/D856))*D856),EDATE('Deal maths'!AA856,-(INT(((YEAR('Deal maths'!AA856)-YEAR(IF('Deal maths'!Z856&gt;0,'Deal maths'!Z856,DATE(1990,1,1))))*12+MONTH('Deal maths'!AA856)-MONTH(IF('Deal maths'!Z856&gt;0,'Deal maths'!Z856,DATE(1990,1,1))))/D856))*D856))&gt;IF('Deal maths'!Z856&gt;0,'Deal maths'!Z856,DATE(1990,1,1)),IF(DAY('Deal maths'!AA856+1)=1,EOMONTH('Deal maths'!AA856,-(INT(((YEAR('Deal maths'!AA856)-YEAR(IF('Deal maths'!Z856&gt;0,'Deal maths'!Z856,DATE(1990,1,1))))*12+MONTH('Deal maths'!AA856)-MONTH(IF('Deal maths'!Z856&gt;0,'Deal maths'!Z856,DATE(1990,1,1))))/D856))*D856),EDATE('Deal maths'!AA856,-(INT(((YEAR('Deal maths'!AA856)-YEAR(IF('Deal maths'!Z856&gt;0,'Deal maths'!Z856,DATE(1990,1,1))))*12+MONTH('Deal maths'!AA856)-MONTH(IF('Deal maths'!Z856&gt;0,'Deal maths'!Z856,DATE(1990,1,1))))/D856))*D856)),IF(DAY('Deal maths'!AA856+1)=1,EOMONTH('Deal maths'!AA856,-(INT(((YEAR('Deal maths'!AA856)-YEAR(IF('Deal maths'!Z856&gt;0,'Deal maths'!Z856,DATE(1990,1,1))))*12+MONTH('Deal maths'!AA856)-MONTH(IF('Deal maths'!Z856&gt;0,'Deal maths'!Z856,DATE(1990,1,1))))/D856)-1)*D856),EDATE('Deal maths'!AA856,-(INT(((YEAR('Deal maths'!AA856)-YEAR(IF('Deal maths'!Z856&gt;0,'Deal maths'!Z856,DATE(1990,1,1))))*12+MONTH('Deal maths'!AA856)-MONTH(IF('Deal maths'!Z856&gt;0,'Deal maths'!Z856,DATE(1990,1,1))))/D856)-1)*D856))))),0)</f>
        <v/>
      </c>
      <c r="F856" s="110">
        <f>IF(D856=0,0,'Deal maths'!AB856*D856/12)</f>
        <v/>
      </c>
      <c r="G856" s="108">
        <f>N856+O856</f>
        <v/>
      </c>
      <c r="H856" s="108">
        <f>IFERROR(IF(OR(D856=0,AsAt&lt;E856),0,MIN(N856,INT(((YEAR(AsAt)-YEAR(E856))*12+MONTH(AsAt)-MONTH(E856)-(DAY(AsAt)&lt;MIN(R856,DAY(EOMONTH(AsAt,0)))))/D856)+1)+O856*(AsAt&gt;='Deal maths'!AA856)),0)</f>
        <v/>
      </c>
      <c r="I856" s="108">
        <f>G856-H856</f>
        <v/>
      </c>
      <c r="J856" s="111">
        <f>IF(AND(C856="EIP",I856&gt;0),'Deal maths'!Y856/I856,0)</f>
        <v/>
      </c>
      <c r="K856" s="111">
        <f>IF(AND(C856="Annuity",I856&gt;0),IF(F856&gt;0,'Deal maths'!Y856*F856/(1-(1+F856)^-I856),'Deal maths'!Y856/I856),0)</f>
        <v/>
      </c>
      <c r="L856" s="111">
        <f>IF('Deal maths'!Y856="",0,'Deal maths'!Y856)</f>
        <v/>
      </c>
      <c r="M856" s="112">
        <f>F856+(F856=0)</f>
        <v/>
      </c>
      <c r="N856" s="108">
        <f>IFERROR(IF(D856=0,0,INT(((YEAR('Deal maths'!AA856)-YEAR(E856))*12+MONTH('Deal maths'!AA856)-MONTH(E856)-(DAY('Deal maths'!AA856)&lt;MIN(R856,DAY(EOMONTH('Deal maths'!AA856,0)))))/D856)+1),0)</f>
        <v/>
      </c>
      <c r="O856" s="108">
        <f>IFERROR(IF(D856=0,0,IF(IF(DAY(E856+1)=1,EOMONTH(E856,(N856-1)*D856),EDATE(E856,(N856-1)*D856))='Deal maths'!AA856,0,1)),0)</f>
        <v/>
      </c>
      <c r="P856" s="113">
        <f>IF(B856=0,0,IFERROR(IF(C856="EIP",((I856-O856)*((IF(DAY(E856+1)=1,EOMONTH(E856,H856*D856),EDATE(E856,H856*D856))-AsAt)/365.25+(IF(DAY(E856+1)=1,EOMONTH(E856,(N856-1)*D856),EDATE(E856,(N856-1)*D856))-AsAt)/365.25)/2+O856*('Deal maths'!AA856-AsAt)/365.25)/I856,IF(C856="Annuity",IF(F856&gt;0,((K856-L856*F856)*((IF(DAY(E856+1)=1,EOMONTH(E856,H856*D856),EDATE(E856,H856*D856))-AsAt)/365.25*((1+F856)^(I856-O856)-1)/F856+IF((I856-O856)&gt;1,((IF(DAY(E856+1)=1,EOMONTH(E856,(N856-1)*D856),EDATE(E856,(N856-1)*D856))-AsAt)/365.25-(IF(DAY(E856+1)=1,EOMONTH(E856,H856*D856),EDATE(E856,H856*D856))-AsAt)/365.25)/((I856-O856)-1),0)*(1+F856)*(1-(I856-O856)*(1+F856)^((I856-O856)-1)+((I856-O856)-1)*(1+F856)^(I856-O856))/F856^2)+O856*(K856-L856*F856)*(1+F856)^(I856-1)*('Deal maths'!AA856-AsAt)/365.25)/L856,((I856-O856)*((IF(DAY(E856+1)=1,EOMONTH(E856,H856*D856),EDATE(E856,H856*D856))-AsAt)/365.25+(IF(DAY(E856+1)=1,EOMONTH(E856,(N856-1)*D856),EDATE(E856,(N856-1)*D856))-AsAt)/365.25)/2+O856*('Deal maths'!AA856-AsAt)/365.25)/I856),(S856-AsAt)/365.25)),0))</f>
        <v/>
      </c>
      <c r="Q856" s="109">
        <f>IF(B856=1,'Deal maths'!AA856+ROW()/1000000,"")</f>
        <v/>
      </c>
      <c r="R856" s="108">
        <f>IF(D856=0,0,IF(DAY(E856+1)=1,31,DAY(E856)))</f>
        <v/>
      </c>
      <c r="S856" s="109">
        <f>IF(AND('Deal maths'!V856="LOBO",'Deal maths'!AG856&gt;AsAt,'Deal maths'!AG856&lt;'Deal maths'!AA856),'Deal maths'!AG856,'Deal maths'!AA856)</f>
        <v/>
      </c>
      <c r="T856" s="108">
        <f>('Deal maths'!AA856&gt;AsAt)*('Deal maths'!Y856&gt;0)</f>
        <v/>
      </c>
    </row>
    <row r="857">
      <c r="A857" s="91">
        <f>IF('Deal maths'!V857="","",'Deal maths'!W857)</f>
        <v/>
      </c>
      <c r="B857" s="108">
        <f>('Deal maths'!AA857&gt;AsAt)*('Deal maths'!Y857&gt;0)*('Deal maths'!Z857&lt;=AsAt)</f>
        <v/>
      </c>
      <c r="C857" s="91">
        <f>IF('Deal maths'!V857="","",IF('Deal maths'!AC857="","Maturity",'Deal maths'!AC857))</f>
        <v/>
      </c>
      <c r="D857" s="108">
        <f>IF(OR(C857="EIP",C857="Annuity"),IF('Deal maths'!AD857="Annual",12,IF('Deal maths'!AD857="Quarterly",3,6)),0)</f>
        <v/>
      </c>
      <c r="E857" s="109">
        <f>IFERROR(IF(D857=0,0,IF('Deal maths'!AE857&gt;0,IF('Deal maths'!AE857&gt;'Deal maths'!AA857,'Deal maths'!AA857,'Deal maths'!AE857),IF(IF(DAY('Deal maths'!AA857+1)=1,EOMONTH('Deal maths'!AA857,-(INT(((YEAR('Deal maths'!AA857)-YEAR(IF('Deal maths'!Z857&gt;0,'Deal maths'!Z857,DATE(1990,1,1))))*12+MONTH('Deal maths'!AA857)-MONTH(IF('Deal maths'!Z857&gt;0,'Deal maths'!Z857,DATE(1990,1,1))))/D857))*D857),EDATE('Deal maths'!AA857,-(INT(((YEAR('Deal maths'!AA857)-YEAR(IF('Deal maths'!Z857&gt;0,'Deal maths'!Z857,DATE(1990,1,1))))*12+MONTH('Deal maths'!AA857)-MONTH(IF('Deal maths'!Z857&gt;0,'Deal maths'!Z857,DATE(1990,1,1))))/D857))*D857))&gt;IF('Deal maths'!Z857&gt;0,'Deal maths'!Z857,DATE(1990,1,1)),IF(DAY('Deal maths'!AA857+1)=1,EOMONTH('Deal maths'!AA857,-(INT(((YEAR('Deal maths'!AA857)-YEAR(IF('Deal maths'!Z857&gt;0,'Deal maths'!Z857,DATE(1990,1,1))))*12+MONTH('Deal maths'!AA857)-MONTH(IF('Deal maths'!Z857&gt;0,'Deal maths'!Z857,DATE(1990,1,1))))/D857))*D857),EDATE('Deal maths'!AA857,-(INT(((YEAR('Deal maths'!AA857)-YEAR(IF('Deal maths'!Z857&gt;0,'Deal maths'!Z857,DATE(1990,1,1))))*12+MONTH('Deal maths'!AA857)-MONTH(IF('Deal maths'!Z857&gt;0,'Deal maths'!Z857,DATE(1990,1,1))))/D857))*D857)),IF(DAY('Deal maths'!AA857+1)=1,EOMONTH('Deal maths'!AA857,-(INT(((YEAR('Deal maths'!AA857)-YEAR(IF('Deal maths'!Z857&gt;0,'Deal maths'!Z857,DATE(1990,1,1))))*12+MONTH('Deal maths'!AA857)-MONTH(IF('Deal maths'!Z857&gt;0,'Deal maths'!Z857,DATE(1990,1,1))))/D857)-1)*D857),EDATE('Deal maths'!AA857,-(INT(((YEAR('Deal maths'!AA857)-YEAR(IF('Deal maths'!Z857&gt;0,'Deal maths'!Z857,DATE(1990,1,1))))*12+MONTH('Deal maths'!AA857)-MONTH(IF('Deal maths'!Z857&gt;0,'Deal maths'!Z857,DATE(1990,1,1))))/D857)-1)*D857))))),0)</f>
        <v/>
      </c>
      <c r="F857" s="110">
        <f>IF(D857=0,0,'Deal maths'!AB857*D857/12)</f>
        <v/>
      </c>
      <c r="G857" s="108">
        <f>N857+O857</f>
        <v/>
      </c>
      <c r="H857" s="108">
        <f>IFERROR(IF(OR(D857=0,AsAt&lt;E857),0,MIN(N857,INT(((YEAR(AsAt)-YEAR(E857))*12+MONTH(AsAt)-MONTH(E857)-(DAY(AsAt)&lt;MIN(R857,DAY(EOMONTH(AsAt,0)))))/D857)+1)+O857*(AsAt&gt;='Deal maths'!AA857)),0)</f>
        <v/>
      </c>
      <c r="I857" s="108">
        <f>G857-H857</f>
        <v/>
      </c>
      <c r="J857" s="111">
        <f>IF(AND(C857="EIP",I857&gt;0),'Deal maths'!Y857/I857,0)</f>
        <v/>
      </c>
      <c r="K857" s="111">
        <f>IF(AND(C857="Annuity",I857&gt;0),IF(F857&gt;0,'Deal maths'!Y857*F857/(1-(1+F857)^-I857),'Deal maths'!Y857/I857),0)</f>
        <v/>
      </c>
      <c r="L857" s="111">
        <f>IF('Deal maths'!Y857="",0,'Deal maths'!Y857)</f>
        <v/>
      </c>
      <c r="M857" s="112">
        <f>F857+(F857=0)</f>
        <v/>
      </c>
      <c r="N857" s="108">
        <f>IFERROR(IF(D857=0,0,INT(((YEAR('Deal maths'!AA857)-YEAR(E857))*12+MONTH('Deal maths'!AA857)-MONTH(E857)-(DAY('Deal maths'!AA857)&lt;MIN(R857,DAY(EOMONTH('Deal maths'!AA857,0)))))/D857)+1),0)</f>
        <v/>
      </c>
      <c r="O857" s="108">
        <f>IFERROR(IF(D857=0,0,IF(IF(DAY(E857+1)=1,EOMONTH(E857,(N857-1)*D857),EDATE(E857,(N857-1)*D857))='Deal maths'!AA857,0,1)),0)</f>
        <v/>
      </c>
      <c r="P857" s="113">
        <f>IF(B857=0,0,IFERROR(IF(C857="EIP",((I857-O857)*((IF(DAY(E857+1)=1,EOMONTH(E857,H857*D857),EDATE(E857,H857*D857))-AsAt)/365.25+(IF(DAY(E857+1)=1,EOMONTH(E857,(N857-1)*D857),EDATE(E857,(N857-1)*D857))-AsAt)/365.25)/2+O857*('Deal maths'!AA857-AsAt)/365.25)/I857,IF(C857="Annuity",IF(F857&gt;0,((K857-L857*F857)*((IF(DAY(E857+1)=1,EOMONTH(E857,H857*D857),EDATE(E857,H857*D857))-AsAt)/365.25*((1+F857)^(I857-O857)-1)/F857+IF((I857-O857)&gt;1,((IF(DAY(E857+1)=1,EOMONTH(E857,(N857-1)*D857),EDATE(E857,(N857-1)*D857))-AsAt)/365.25-(IF(DAY(E857+1)=1,EOMONTH(E857,H857*D857),EDATE(E857,H857*D857))-AsAt)/365.25)/((I857-O857)-1),0)*(1+F857)*(1-(I857-O857)*(1+F857)^((I857-O857)-1)+((I857-O857)-1)*(1+F857)^(I857-O857))/F857^2)+O857*(K857-L857*F857)*(1+F857)^(I857-1)*('Deal maths'!AA857-AsAt)/365.25)/L857,((I857-O857)*((IF(DAY(E857+1)=1,EOMONTH(E857,H857*D857),EDATE(E857,H857*D857))-AsAt)/365.25+(IF(DAY(E857+1)=1,EOMONTH(E857,(N857-1)*D857),EDATE(E857,(N857-1)*D857))-AsAt)/365.25)/2+O857*('Deal maths'!AA857-AsAt)/365.25)/I857),(S857-AsAt)/365.25)),0))</f>
        <v/>
      </c>
      <c r="Q857" s="109">
        <f>IF(B857=1,'Deal maths'!AA857+ROW()/1000000,"")</f>
        <v/>
      </c>
      <c r="R857" s="108">
        <f>IF(D857=0,0,IF(DAY(E857+1)=1,31,DAY(E857)))</f>
        <v/>
      </c>
      <c r="S857" s="109">
        <f>IF(AND('Deal maths'!V857="LOBO",'Deal maths'!AG857&gt;AsAt,'Deal maths'!AG857&lt;'Deal maths'!AA857),'Deal maths'!AG857,'Deal maths'!AA857)</f>
        <v/>
      </c>
      <c r="T857" s="108">
        <f>('Deal maths'!AA857&gt;AsAt)*('Deal maths'!Y857&gt;0)</f>
        <v/>
      </c>
    </row>
    <row r="858">
      <c r="A858" s="91">
        <f>IF('Deal maths'!V858="","",'Deal maths'!W858)</f>
        <v/>
      </c>
      <c r="B858" s="108">
        <f>('Deal maths'!AA858&gt;AsAt)*('Deal maths'!Y858&gt;0)*('Deal maths'!Z858&lt;=AsAt)</f>
        <v/>
      </c>
      <c r="C858" s="91">
        <f>IF('Deal maths'!V858="","",IF('Deal maths'!AC858="","Maturity",'Deal maths'!AC858))</f>
        <v/>
      </c>
      <c r="D858" s="108">
        <f>IF(OR(C858="EIP",C858="Annuity"),IF('Deal maths'!AD858="Annual",12,IF('Deal maths'!AD858="Quarterly",3,6)),0)</f>
        <v/>
      </c>
      <c r="E858" s="109">
        <f>IFERROR(IF(D858=0,0,IF('Deal maths'!AE858&gt;0,IF('Deal maths'!AE858&gt;'Deal maths'!AA858,'Deal maths'!AA858,'Deal maths'!AE858),IF(IF(DAY('Deal maths'!AA858+1)=1,EOMONTH('Deal maths'!AA858,-(INT(((YEAR('Deal maths'!AA858)-YEAR(IF('Deal maths'!Z858&gt;0,'Deal maths'!Z858,DATE(1990,1,1))))*12+MONTH('Deal maths'!AA858)-MONTH(IF('Deal maths'!Z858&gt;0,'Deal maths'!Z858,DATE(1990,1,1))))/D858))*D858),EDATE('Deal maths'!AA858,-(INT(((YEAR('Deal maths'!AA858)-YEAR(IF('Deal maths'!Z858&gt;0,'Deal maths'!Z858,DATE(1990,1,1))))*12+MONTH('Deal maths'!AA858)-MONTH(IF('Deal maths'!Z858&gt;0,'Deal maths'!Z858,DATE(1990,1,1))))/D858))*D858))&gt;IF('Deal maths'!Z858&gt;0,'Deal maths'!Z858,DATE(1990,1,1)),IF(DAY('Deal maths'!AA858+1)=1,EOMONTH('Deal maths'!AA858,-(INT(((YEAR('Deal maths'!AA858)-YEAR(IF('Deal maths'!Z858&gt;0,'Deal maths'!Z858,DATE(1990,1,1))))*12+MONTH('Deal maths'!AA858)-MONTH(IF('Deal maths'!Z858&gt;0,'Deal maths'!Z858,DATE(1990,1,1))))/D858))*D858),EDATE('Deal maths'!AA858,-(INT(((YEAR('Deal maths'!AA858)-YEAR(IF('Deal maths'!Z858&gt;0,'Deal maths'!Z858,DATE(1990,1,1))))*12+MONTH('Deal maths'!AA858)-MONTH(IF('Deal maths'!Z858&gt;0,'Deal maths'!Z858,DATE(1990,1,1))))/D858))*D858)),IF(DAY('Deal maths'!AA858+1)=1,EOMONTH('Deal maths'!AA858,-(INT(((YEAR('Deal maths'!AA858)-YEAR(IF('Deal maths'!Z858&gt;0,'Deal maths'!Z858,DATE(1990,1,1))))*12+MONTH('Deal maths'!AA858)-MONTH(IF('Deal maths'!Z858&gt;0,'Deal maths'!Z858,DATE(1990,1,1))))/D858)-1)*D858),EDATE('Deal maths'!AA858,-(INT(((YEAR('Deal maths'!AA858)-YEAR(IF('Deal maths'!Z858&gt;0,'Deal maths'!Z858,DATE(1990,1,1))))*12+MONTH('Deal maths'!AA858)-MONTH(IF('Deal maths'!Z858&gt;0,'Deal maths'!Z858,DATE(1990,1,1))))/D858)-1)*D858))))),0)</f>
        <v/>
      </c>
      <c r="F858" s="110">
        <f>IF(D858=0,0,'Deal maths'!AB858*D858/12)</f>
        <v/>
      </c>
      <c r="G858" s="108">
        <f>N858+O858</f>
        <v/>
      </c>
      <c r="H858" s="108">
        <f>IFERROR(IF(OR(D858=0,AsAt&lt;E858),0,MIN(N858,INT(((YEAR(AsAt)-YEAR(E858))*12+MONTH(AsAt)-MONTH(E858)-(DAY(AsAt)&lt;MIN(R858,DAY(EOMONTH(AsAt,0)))))/D858)+1)+O858*(AsAt&gt;='Deal maths'!AA858)),0)</f>
        <v/>
      </c>
      <c r="I858" s="108">
        <f>G858-H858</f>
        <v/>
      </c>
      <c r="J858" s="111">
        <f>IF(AND(C858="EIP",I858&gt;0),'Deal maths'!Y858/I858,0)</f>
        <v/>
      </c>
      <c r="K858" s="111">
        <f>IF(AND(C858="Annuity",I858&gt;0),IF(F858&gt;0,'Deal maths'!Y858*F858/(1-(1+F858)^-I858),'Deal maths'!Y858/I858),0)</f>
        <v/>
      </c>
      <c r="L858" s="111">
        <f>IF('Deal maths'!Y858="",0,'Deal maths'!Y858)</f>
        <v/>
      </c>
      <c r="M858" s="112">
        <f>F858+(F858=0)</f>
        <v/>
      </c>
      <c r="N858" s="108">
        <f>IFERROR(IF(D858=0,0,INT(((YEAR('Deal maths'!AA858)-YEAR(E858))*12+MONTH('Deal maths'!AA858)-MONTH(E858)-(DAY('Deal maths'!AA858)&lt;MIN(R858,DAY(EOMONTH('Deal maths'!AA858,0)))))/D858)+1),0)</f>
        <v/>
      </c>
      <c r="O858" s="108">
        <f>IFERROR(IF(D858=0,0,IF(IF(DAY(E858+1)=1,EOMONTH(E858,(N858-1)*D858),EDATE(E858,(N858-1)*D858))='Deal maths'!AA858,0,1)),0)</f>
        <v/>
      </c>
      <c r="P858" s="113">
        <f>IF(B858=0,0,IFERROR(IF(C858="EIP",((I858-O858)*((IF(DAY(E858+1)=1,EOMONTH(E858,H858*D858),EDATE(E858,H858*D858))-AsAt)/365.25+(IF(DAY(E858+1)=1,EOMONTH(E858,(N858-1)*D858),EDATE(E858,(N858-1)*D858))-AsAt)/365.25)/2+O858*('Deal maths'!AA858-AsAt)/365.25)/I858,IF(C858="Annuity",IF(F858&gt;0,((K858-L858*F858)*((IF(DAY(E858+1)=1,EOMONTH(E858,H858*D858),EDATE(E858,H858*D858))-AsAt)/365.25*((1+F858)^(I858-O858)-1)/F858+IF((I858-O858)&gt;1,((IF(DAY(E858+1)=1,EOMONTH(E858,(N858-1)*D858),EDATE(E858,(N858-1)*D858))-AsAt)/365.25-(IF(DAY(E858+1)=1,EOMONTH(E858,H858*D858),EDATE(E858,H858*D858))-AsAt)/365.25)/((I858-O858)-1),0)*(1+F858)*(1-(I858-O858)*(1+F858)^((I858-O858)-1)+((I858-O858)-1)*(1+F858)^(I858-O858))/F858^2)+O858*(K858-L858*F858)*(1+F858)^(I858-1)*('Deal maths'!AA858-AsAt)/365.25)/L858,((I858-O858)*((IF(DAY(E858+1)=1,EOMONTH(E858,H858*D858),EDATE(E858,H858*D858))-AsAt)/365.25+(IF(DAY(E858+1)=1,EOMONTH(E858,(N858-1)*D858),EDATE(E858,(N858-1)*D858))-AsAt)/365.25)/2+O858*('Deal maths'!AA858-AsAt)/365.25)/I858),(S858-AsAt)/365.25)),0))</f>
        <v/>
      </c>
      <c r="Q858" s="109">
        <f>IF(B858=1,'Deal maths'!AA858+ROW()/1000000,"")</f>
        <v/>
      </c>
      <c r="R858" s="108">
        <f>IF(D858=0,0,IF(DAY(E858+1)=1,31,DAY(E858)))</f>
        <v/>
      </c>
      <c r="S858" s="109">
        <f>IF(AND('Deal maths'!V858="LOBO",'Deal maths'!AG858&gt;AsAt,'Deal maths'!AG858&lt;'Deal maths'!AA858),'Deal maths'!AG858,'Deal maths'!AA858)</f>
        <v/>
      </c>
      <c r="T858" s="108">
        <f>('Deal maths'!AA858&gt;AsAt)*('Deal maths'!Y858&gt;0)</f>
        <v/>
      </c>
    </row>
    <row r="859">
      <c r="A859" s="91">
        <f>IF('Deal maths'!V859="","",'Deal maths'!W859)</f>
        <v/>
      </c>
      <c r="B859" s="108">
        <f>('Deal maths'!AA859&gt;AsAt)*('Deal maths'!Y859&gt;0)*('Deal maths'!Z859&lt;=AsAt)</f>
        <v/>
      </c>
      <c r="C859" s="91">
        <f>IF('Deal maths'!V859="","",IF('Deal maths'!AC859="","Maturity",'Deal maths'!AC859))</f>
        <v/>
      </c>
      <c r="D859" s="108">
        <f>IF(OR(C859="EIP",C859="Annuity"),IF('Deal maths'!AD859="Annual",12,IF('Deal maths'!AD859="Quarterly",3,6)),0)</f>
        <v/>
      </c>
      <c r="E859" s="109">
        <f>IFERROR(IF(D859=0,0,IF('Deal maths'!AE859&gt;0,IF('Deal maths'!AE859&gt;'Deal maths'!AA859,'Deal maths'!AA859,'Deal maths'!AE859),IF(IF(DAY('Deal maths'!AA859+1)=1,EOMONTH('Deal maths'!AA859,-(INT(((YEAR('Deal maths'!AA859)-YEAR(IF('Deal maths'!Z859&gt;0,'Deal maths'!Z859,DATE(1990,1,1))))*12+MONTH('Deal maths'!AA859)-MONTH(IF('Deal maths'!Z859&gt;0,'Deal maths'!Z859,DATE(1990,1,1))))/D859))*D859),EDATE('Deal maths'!AA859,-(INT(((YEAR('Deal maths'!AA859)-YEAR(IF('Deal maths'!Z859&gt;0,'Deal maths'!Z859,DATE(1990,1,1))))*12+MONTH('Deal maths'!AA859)-MONTH(IF('Deal maths'!Z859&gt;0,'Deal maths'!Z859,DATE(1990,1,1))))/D859))*D859))&gt;IF('Deal maths'!Z859&gt;0,'Deal maths'!Z859,DATE(1990,1,1)),IF(DAY('Deal maths'!AA859+1)=1,EOMONTH('Deal maths'!AA859,-(INT(((YEAR('Deal maths'!AA859)-YEAR(IF('Deal maths'!Z859&gt;0,'Deal maths'!Z859,DATE(1990,1,1))))*12+MONTH('Deal maths'!AA859)-MONTH(IF('Deal maths'!Z859&gt;0,'Deal maths'!Z859,DATE(1990,1,1))))/D859))*D859),EDATE('Deal maths'!AA859,-(INT(((YEAR('Deal maths'!AA859)-YEAR(IF('Deal maths'!Z859&gt;0,'Deal maths'!Z859,DATE(1990,1,1))))*12+MONTH('Deal maths'!AA859)-MONTH(IF('Deal maths'!Z859&gt;0,'Deal maths'!Z859,DATE(1990,1,1))))/D859))*D859)),IF(DAY('Deal maths'!AA859+1)=1,EOMONTH('Deal maths'!AA859,-(INT(((YEAR('Deal maths'!AA859)-YEAR(IF('Deal maths'!Z859&gt;0,'Deal maths'!Z859,DATE(1990,1,1))))*12+MONTH('Deal maths'!AA859)-MONTH(IF('Deal maths'!Z859&gt;0,'Deal maths'!Z859,DATE(1990,1,1))))/D859)-1)*D859),EDATE('Deal maths'!AA859,-(INT(((YEAR('Deal maths'!AA859)-YEAR(IF('Deal maths'!Z859&gt;0,'Deal maths'!Z859,DATE(1990,1,1))))*12+MONTH('Deal maths'!AA859)-MONTH(IF('Deal maths'!Z859&gt;0,'Deal maths'!Z859,DATE(1990,1,1))))/D859)-1)*D859))))),0)</f>
        <v/>
      </c>
      <c r="F859" s="110">
        <f>IF(D859=0,0,'Deal maths'!AB859*D859/12)</f>
        <v/>
      </c>
      <c r="G859" s="108">
        <f>N859+O859</f>
        <v/>
      </c>
      <c r="H859" s="108">
        <f>IFERROR(IF(OR(D859=0,AsAt&lt;E859),0,MIN(N859,INT(((YEAR(AsAt)-YEAR(E859))*12+MONTH(AsAt)-MONTH(E859)-(DAY(AsAt)&lt;MIN(R859,DAY(EOMONTH(AsAt,0)))))/D859)+1)+O859*(AsAt&gt;='Deal maths'!AA859)),0)</f>
        <v/>
      </c>
      <c r="I859" s="108">
        <f>G859-H859</f>
        <v/>
      </c>
      <c r="J859" s="111">
        <f>IF(AND(C859="EIP",I859&gt;0),'Deal maths'!Y859/I859,0)</f>
        <v/>
      </c>
      <c r="K859" s="111">
        <f>IF(AND(C859="Annuity",I859&gt;0),IF(F859&gt;0,'Deal maths'!Y859*F859/(1-(1+F859)^-I859),'Deal maths'!Y859/I859),0)</f>
        <v/>
      </c>
      <c r="L859" s="111">
        <f>IF('Deal maths'!Y859="",0,'Deal maths'!Y859)</f>
        <v/>
      </c>
      <c r="M859" s="112">
        <f>F859+(F859=0)</f>
        <v/>
      </c>
      <c r="N859" s="108">
        <f>IFERROR(IF(D859=0,0,INT(((YEAR('Deal maths'!AA859)-YEAR(E859))*12+MONTH('Deal maths'!AA859)-MONTH(E859)-(DAY('Deal maths'!AA859)&lt;MIN(R859,DAY(EOMONTH('Deal maths'!AA859,0)))))/D859)+1),0)</f>
        <v/>
      </c>
      <c r="O859" s="108">
        <f>IFERROR(IF(D859=0,0,IF(IF(DAY(E859+1)=1,EOMONTH(E859,(N859-1)*D859),EDATE(E859,(N859-1)*D859))='Deal maths'!AA859,0,1)),0)</f>
        <v/>
      </c>
      <c r="P859" s="113">
        <f>IF(B859=0,0,IFERROR(IF(C859="EIP",((I859-O859)*((IF(DAY(E859+1)=1,EOMONTH(E859,H859*D859),EDATE(E859,H859*D859))-AsAt)/365.25+(IF(DAY(E859+1)=1,EOMONTH(E859,(N859-1)*D859),EDATE(E859,(N859-1)*D859))-AsAt)/365.25)/2+O859*('Deal maths'!AA859-AsAt)/365.25)/I859,IF(C859="Annuity",IF(F859&gt;0,((K859-L859*F859)*((IF(DAY(E859+1)=1,EOMONTH(E859,H859*D859),EDATE(E859,H859*D859))-AsAt)/365.25*((1+F859)^(I859-O859)-1)/F859+IF((I859-O859)&gt;1,((IF(DAY(E859+1)=1,EOMONTH(E859,(N859-1)*D859),EDATE(E859,(N859-1)*D859))-AsAt)/365.25-(IF(DAY(E859+1)=1,EOMONTH(E859,H859*D859),EDATE(E859,H859*D859))-AsAt)/365.25)/((I859-O859)-1),0)*(1+F859)*(1-(I859-O859)*(1+F859)^((I859-O859)-1)+((I859-O859)-1)*(1+F859)^(I859-O859))/F859^2)+O859*(K859-L859*F859)*(1+F859)^(I859-1)*('Deal maths'!AA859-AsAt)/365.25)/L859,((I859-O859)*((IF(DAY(E859+1)=1,EOMONTH(E859,H859*D859),EDATE(E859,H859*D859))-AsAt)/365.25+(IF(DAY(E859+1)=1,EOMONTH(E859,(N859-1)*D859),EDATE(E859,(N859-1)*D859))-AsAt)/365.25)/2+O859*('Deal maths'!AA859-AsAt)/365.25)/I859),(S859-AsAt)/365.25)),0))</f>
        <v/>
      </c>
      <c r="Q859" s="109">
        <f>IF(B859=1,'Deal maths'!AA859+ROW()/1000000,"")</f>
        <v/>
      </c>
      <c r="R859" s="108">
        <f>IF(D859=0,0,IF(DAY(E859+1)=1,31,DAY(E859)))</f>
        <v/>
      </c>
      <c r="S859" s="109">
        <f>IF(AND('Deal maths'!V859="LOBO",'Deal maths'!AG859&gt;AsAt,'Deal maths'!AG859&lt;'Deal maths'!AA859),'Deal maths'!AG859,'Deal maths'!AA859)</f>
        <v/>
      </c>
      <c r="T859" s="108">
        <f>('Deal maths'!AA859&gt;AsAt)*('Deal maths'!Y859&gt;0)</f>
        <v/>
      </c>
    </row>
    <row r="860">
      <c r="A860" s="91">
        <f>IF('Deal maths'!V860="","",'Deal maths'!W860)</f>
        <v/>
      </c>
      <c r="B860" s="108">
        <f>('Deal maths'!AA860&gt;AsAt)*('Deal maths'!Y860&gt;0)*('Deal maths'!Z860&lt;=AsAt)</f>
        <v/>
      </c>
      <c r="C860" s="91">
        <f>IF('Deal maths'!V860="","",IF('Deal maths'!AC860="","Maturity",'Deal maths'!AC860))</f>
        <v/>
      </c>
      <c r="D860" s="108">
        <f>IF(OR(C860="EIP",C860="Annuity"),IF('Deal maths'!AD860="Annual",12,IF('Deal maths'!AD860="Quarterly",3,6)),0)</f>
        <v/>
      </c>
      <c r="E860" s="109">
        <f>IFERROR(IF(D860=0,0,IF('Deal maths'!AE860&gt;0,IF('Deal maths'!AE860&gt;'Deal maths'!AA860,'Deal maths'!AA860,'Deal maths'!AE860),IF(IF(DAY('Deal maths'!AA860+1)=1,EOMONTH('Deal maths'!AA860,-(INT(((YEAR('Deal maths'!AA860)-YEAR(IF('Deal maths'!Z860&gt;0,'Deal maths'!Z860,DATE(1990,1,1))))*12+MONTH('Deal maths'!AA860)-MONTH(IF('Deal maths'!Z860&gt;0,'Deal maths'!Z860,DATE(1990,1,1))))/D860))*D860),EDATE('Deal maths'!AA860,-(INT(((YEAR('Deal maths'!AA860)-YEAR(IF('Deal maths'!Z860&gt;0,'Deal maths'!Z860,DATE(1990,1,1))))*12+MONTH('Deal maths'!AA860)-MONTH(IF('Deal maths'!Z860&gt;0,'Deal maths'!Z860,DATE(1990,1,1))))/D860))*D860))&gt;IF('Deal maths'!Z860&gt;0,'Deal maths'!Z860,DATE(1990,1,1)),IF(DAY('Deal maths'!AA860+1)=1,EOMONTH('Deal maths'!AA860,-(INT(((YEAR('Deal maths'!AA860)-YEAR(IF('Deal maths'!Z860&gt;0,'Deal maths'!Z860,DATE(1990,1,1))))*12+MONTH('Deal maths'!AA860)-MONTH(IF('Deal maths'!Z860&gt;0,'Deal maths'!Z860,DATE(1990,1,1))))/D860))*D860),EDATE('Deal maths'!AA860,-(INT(((YEAR('Deal maths'!AA860)-YEAR(IF('Deal maths'!Z860&gt;0,'Deal maths'!Z860,DATE(1990,1,1))))*12+MONTH('Deal maths'!AA860)-MONTH(IF('Deal maths'!Z860&gt;0,'Deal maths'!Z860,DATE(1990,1,1))))/D860))*D860)),IF(DAY('Deal maths'!AA860+1)=1,EOMONTH('Deal maths'!AA860,-(INT(((YEAR('Deal maths'!AA860)-YEAR(IF('Deal maths'!Z860&gt;0,'Deal maths'!Z860,DATE(1990,1,1))))*12+MONTH('Deal maths'!AA860)-MONTH(IF('Deal maths'!Z860&gt;0,'Deal maths'!Z860,DATE(1990,1,1))))/D860)-1)*D860),EDATE('Deal maths'!AA860,-(INT(((YEAR('Deal maths'!AA860)-YEAR(IF('Deal maths'!Z860&gt;0,'Deal maths'!Z860,DATE(1990,1,1))))*12+MONTH('Deal maths'!AA860)-MONTH(IF('Deal maths'!Z860&gt;0,'Deal maths'!Z860,DATE(1990,1,1))))/D860)-1)*D860))))),0)</f>
        <v/>
      </c>
      <c r="F860" s="110">
        <f>IF(D860=0,0,'Deal maths'!AB860*D860/12)</f>
        <v/>
      </c>
      <c r="G860" s="108">
        <f>N860+O860</f>
        <v/>
      </c>
      <c r="H860" s="108">
        <f>IFERROR(IF(OR(D860=0,AsAt&lt;E860),0,MIN(N860,INT(((YEAR(AsAt)-YEAR(E860))*12+MONTH(AsAt)-MONTH(E860)-(DAY(AsAt)&lt;MIN(R860,DAY(EOMONTH(AsAt,0)))))/D860)+1)+O860*(AsAt&gt;='Deal maths'!AA860)),0)</f>
        <v/>
      </c>
      <c r="I860" s="108">
        <f>G860-H860</f>
        <v/>
      </c>
      <c r="J860" s="111">
        <f>IF(AND(C860="EIP",I860&gt;0),'Deal maths'!Y860/I860,0)</f>
        <v/>
      </c>
      <c r="K860" s="111">
        <f>IF(AND(C860="Annuity",I860&gt;0),IF(F860&gt;0,'Deal maths'!Y860*F860/(1-(1+F860)^-I860),'Deal maths'!Y860/I860),0)</f>
        <v/>
      </c>
      <c r="L860" s="111">
        <f>IF('Deal maths'!Y860="",0,'Deal maths'!Y860)</f>
        <v/>
      </c>
      <c r="M860" s="112">
        <f>F860+(F860=0)</f>
        <v/>
      </c>
      <c r="N860" s="108">
        <f>IFERROR(IF(D860=0,0,INT(((YEAR('Deal maths'!AA860)-YEAR(E860))*12+MONTH('Deal maths'!AA860)-MONTH(E860)-(DAY('Deal maths'!AA860)&lt;MIN(R860,DAY(EOMONTH('Deal maths'!AA860,0)))))/D860)+1),0)</f>
        <v/>
      </c>
      <c r="O860" s="108">
        <f>IFERROR(IF(D860=0,0,IF(IF(DAY(E860+1)=1,EOMONTH(E860,(N860-1)*D860),EDATE(E860,(N860-1)*D860))='Deal maths'!AA860,0,1)),0)</f>
        <v/>
      </c>
      <c r="P860" s="113">
        <f>IF(B860=0,0,IFERROR(IF(C860="EIP",((I860-O860)*((IF(DAY(E860+1)=1,EOMONTH(E860,H860*D860),EDATE(E860,H860*D860))-AsAt)/365.25+(IF(DAY(E860+1)=1,EOMONTH(E860,(N860-1)*D860),EDATE(E860,(N860-1)*D860))-AsAt)/365.25)/2+O860*('Deal maths'!AA860-AsAt)/365.25)/I860,IF(C860="Annuity",IF(F860&gt;0,((K860-L860*F860)*((IF(DAY(E860+1)=1,EOMONTH(E860,H860*D860),EDATE(E860,H860*D860))-AsAt)/365.25*((1+F860)^(I860-O860)-1)/F860+IF((I860-O860)&gt;1,((IF(DAY(E860+1)=1,EOMONTH(E860,(N860-1)*D860),EDATE(E860,(N860-1)*D860))-AsAt)/365.25-(IF(DAY(E860+1)=1,EOMONTH(E860,H860*D860),EDATE(E860,H860*D860))-AsAt)/365.25)/((I860-O860)-1),0)*(1+F860)*(1-(I860-O860)*(1+F860)^((I860-O860)-1)+((I860-O860)-1)*(1+F860)^(I860-O860))/F860^2)+O860*(K860-L860*F860)*(1+F860)^(I860-1)*('Deal maths'!AA860-AsAt)/365.25)/L860,((I860-O860)*((IF(DAY(E860+1)=1,EOMONTH(E860,H860*D860),EDATE(E860,H860*D860))-AsAt)/365.25+(IF(DAY(E860+1)=1,EOMONTH(E860,(N860-1)*D860),EDATE(E860,(N860-1)*D860))-AsAt)/365.25)/2+O860*('Deal maths'!AA860-AsAt)/365.25)/I860),(S860-AsAt)/365.25)),0))</f>
        <v/>
      </c>
      <c r="Q860" s="109">
        <f>IF(B860=1,'Deal maths'!AA860+ROW()/1000000,"")</f>
        <v/>
      </c>
      <c r="R860" s="108">
        <f>IF(D860=0,0,IF(DAY(E860+1)=1,31,DAY(E860)))</f>
        <v/>
      </c>
      <c r="S860" s="109">
        <f>IF(AND('Deal maths'!V860="LOBO",'Deal maths'!AG860&gt;AsAt,'Deal maths'!AG860&lt;'Deal maths'!AA860),'Deal maths'!AG860,'Deal maths'!AA860)</f>
        <v/>
      </c>
      <c r="T860" s="108">
        <f>('Deal maths'!AA860&gt;AsAt)*('Deal maths'!Y860&gt;0)</f>
        <v/>
      </c>
    </row>
    <row r="861">
      <c r="A861" s="91">
        <f>IF('Deal maths'!V861="","",'Deal maths'!W861)</f>
        <v/>
      </c>
      <c r="B861" s="108">
        <f>('Deal maths'!AA861&gt;AsAt)*('Deal maths'!Y861&gt;0)*('Deal maths'!Z861&lt;=AsAt)</f>
        <v/>
      </c>
      <c r="C861" s="91">
        <f>IF('Deal maths'!V861="","",IF('Deal maths'!AC861="","Maturity",'Deal maths'!AC861))</f>
        <v/>
      </c>
      <c r="D861" s="108">
        <f>IF(OR(C861="EIP",C861="Annuity"),IF('Deal maths'!AD861="Annual",12,IF('Deal maths'!AD861="Quarterly",3,6)),0)</f>
        <v/>
      </c>
      <c r="E861" s="109">
        <f>IFERROR(IF(D861=0,0,IF('Deal maths'!AE861&gt;0,IF('Deal maths'!AE861&gt;'Deal maths'!AA861,'Deal maths'!AA861,'Deal maths'!AE861),IF(IF(DAY('Deal maths'!AA861+1)=1,EOMONTH('Deal maths'!AA861,-(INT(((YEAR('Deal maths'!AA861)-YEAR(IF('Deal maths'!Z861&gt;0,'Deal maths'!Z861,DATE(1990,1,1))))*12+MONTH('Deal maths'!AA861)-MONTH(IF('Deal maths'!Z861&gt;0,'Deal maths'!Z861,DATE(1990,1,1))))/D861))*D861),EDATE('Deal maths'!AA861,-(INT(((YEAR('Deal maths'!AA861)-YEAR(IF('Deal maths'!Z861&gt;0,'Deal maths'!Z861,DATE(1990,1,1))))*12+MONTH('Deal maths'!AA861)-MONTH(IF('Deal maths'!Z861&gt;0,'Deal maths'!Z861,DATE(1990,1,1))))/D861))*D861))&gt;IF('Deal maths'!Z861&gt;0,'Deal maths'!Z861,DATE(1990,1,1)),IF(DAY('Deal maths'!AA861+1)=1,EOMONTH('Deal maths'!AA861,-(INT(((YEAR('Deal maths'!AA861)-YEAR(IF('Deal maths'!Z861&gt;0,'Deal maths'!Z861,DATE(1990,1,1))))*12+MONTH('Deal maths'!AA861)-MONTH(IF('Deal maths'!Z861&gt;0,'Deal maths'!Z861,DATE(1990,1,1))))/D861))*D861),EDATE('Deal maths'!AA861,-(INT(((YEAR('Deal maths'!AA861)-YEAR(IF('Deal maths'!Z861&gt;0,'Deal maths'!Z861,DATE(1990,1,1))))*12+MONTH('Deal maths'!AA861)-MONTH(IF('Deal maths'!Z861&gt;0,'Deal maths'!Z861,DATE(1990,1,1))))/D861))*D861)),IF(DAY('Deal maths'!AA861+1)=1,EOMONTH('Deal maths'!AA861,-(INT(((YEAR('Deal maths'!AA861)-YEAR(IF('Deal maths'!Z861&gt;0,'Deal maths'!Z861,DATE(1990,1,1))))*12+MONTH('Deal maths'!AA861)-MONTH(IF('Deal maths'!Z861&gt;0,'Deal maths'!Z861,DATE(1990,1,1))))/D861)-1)*D861),EDATE('Deal maths'!AA861,-(INT(((YEAR('Deal maths'!AA861)-YEAR(IF('Deal maths'!Z861&gt;0,'Deal maths'!Z861,DATE(1990,1,1))))*12+MONTH('Deal maths'!AA861)-MONTH(IF('Deal maths'!Z861&gt;0,'Deal maths'!Z861,DATE(1990,1,1))))/D861)-1)*D861))))),0)</f>
        <v/>
      </c>
      <c r="F861" s="110">
        <f>IF(D861=0,0,'Deal maths'!AB861*D861/12)</f>
        <v/>
      </c>
      <c r="G861" s="108">
        <f>N861+O861</f>
        <v/>
      </c>
      <c r="H861" s="108">
        <f>IFERROR(IF(OR(D861=0,AsAt&lt;E861),0,MIN(N861,INT(((YEAR(AsAt)-YEAR(E861))*12+MONTH(AsAt)-MONTH(E861)-(DAY(AsAt)&lt;MIN(R861,DAY(EOMONTH(AsAt,0)))))/D861)+1)+O861*(AsAt&gt;='Deal maths'!AA861)),0)</f>
        <v/>
      </c>
      <c r="I861" s="108">
        <f>G861-H861</f>
        <v/>
      </c>
      <c r="J861" s="111">
        <f>IF(AND(C861="EIP",I861&gt;0),'Deal maths'!Y861/I861,0)</f>
        <v/>
      </c>
      <c r="K861" s="111">
        <f>IF(AND(C861="Annuity",I861&gt;0),IF(F861&gt;0,'Deal maths'!Y861*F861/(1-(1+F861)^-I861),'Deal maths'!Y861/I861),0)</f>
        <v/>
      </c>
      <c r="L861" s="111">
        <f>IF('Deal maths'!Y861="",0,'Deal maths'!Y861)</f>
        <v/>
      </c>
      <c r="M861" s="112">
        <f>F861+(F861=0)</f>
        <v/>
      </c>
      <c r="N861" s="108">
        <f>IFERROR(IF(D861=0,0,INT(((YEAR('Deal maths'!AA861)-YEAR(E861))*12+MONTH('Deal maths'!AA861)-MONTH(E861)-(DAY('Deal maths'!AA861)&lt;MIN(R861,DAY(EOMONTH('Deal maths'!AA861,0)))))/D861)+1),0)</f>
        <v/>
      </c>
      <c r="O861" s="108">
        <f>IFERROR(IF(D861=0,0,IF(IF(DAY(E861+1)=1,EOMONTH(E861,(N861-1)*D861),EDATE(E861,(N861-1)*D861))='Deal maths'!AA861,0,1)),0)</f>
        <v/>
      </c>
      <c r="P861" s="113">
        <f>IF(B861=0,0,IFERROR(IF(C861="EIP",((I861-O861)*((IF(DAY(E861+1)=1,EOMONTH(E861,H861*D861),EDATE(E861,H861*D861))-AsAt)/365.25+(IF(DAY(E861+1)=1,EOMONTH(E861,(N861-1)*D861),EDATE(E861,(N861-1)*D861))-AsAt)/365.25)/2+O861*('Deal maths'!AA861-AsAt)/365.25)/I861,IF(C861="Annuity",IF(F861&gt;0,((K861-L861*F861)*((IF(DAY(E861+1)=1,EOMONTH(E861,H861*D861),EDATE(E861,H861*D861))-AsAt)/365.25*((1+F861)^(I861-O861)-1)/F861+IF((I861-O861)&gt;1,((IF(DAY(E861+1)=1,EOMONTH(E861,(N861-1)*D861),EDATE(E861,(N861-1)*D861))-AsAt)/365.25-(IF(DAY(E861+1)=1,EOMONTH(E861,H861*D861),EDATE(E861,H861*D861))-AsAt)/365.25)/((I861-O861)-1),0)*(1+F861)*(1-(I861-O861)*(1+F861)^((I861-O861)-1)+((I861-O861)-1)*(1+F861)^(I861-O861))/F861^2)+O861*(K861-L861*F861)*(1+F861)^(I861-1)*('Deal maths'!AA861-AsAt)/365.25)/L861,((I861-O861)*((IF(DAY(E861+1)=1,EOMONTH(E861,H861*D861),EDATE(E861,H861*D861))-AsAt)/365.25+(IF(DAY(E861+1)=1,EOMONTH(E861,(N861-1)*D861),EDATE(E861,(N861-1)*D861))-AsAt)/365.25)/2+O861*('Deal maths'!AA861-AsAt)/365.25)/I861),(S861-AsAt)/365.25)),0))</f>
        <v/>
      </c>
      <c r="Q861" s="109">
        <f>IF(B861=1,'Deal maths'!AA861+ROW()/1000000,"")</f>
        <v/>
      </c>
      <c r="R861" s="108">
        <f>IF(D861=0,0,IF(DAY(E861+1)=1,31,DAY(E861)))</f>
        <v/>
      </c>
      <c r="S861" s="109">
        <f>IF(AND('Deal maths'!V861="LOBO",'Deal maths'!AG861&gt;AsAt,'Deal maths'!AG861&lt;'Deal maths'!AA861),'Deal maths'!AG861,'Deal maths'!AA861)</f>
        <v/>
      </c>
      <c r="T861" s="108">
        <f>('Deal maths'!AA861&gt;AsAt)*('Deal maths'!Y861&gt;0)</f>
        <v/>
      </c>
    </row>
    <row r="862">
      <c r="A862" s="91">
        <f>IF('Deal maths'!V862="","",'Deal maths'!W862)</f>
        <v/>
      </c>
      <c r="B862" s="108">
        <f>('Deal maths'!AA862&gt;AsAt)*('Deal maths'!Y862&gt;0)*('Deal maths'!Z862&lt;=AsAt)</f>
        <v/>
      </c>
      <c r="C862" s="91">
        <f>IF('Deal maths'!V862="","",IF('Deal maths'!AC862="","Maturity",'Deal maths'!AC862))</f>
        <v/>
      </c>
      <c r="D862" s="108">
        <f>IF(OR(C862="EIP",C862="Annuity"),IF('Deal maths'!AD862="Annual",12,IF('Deal maths'!AD862="Quarterly",3,6)),0)</f>
        <v/>
      </c>
      <c r="E862" s="109">
        <f>IFERROR(IF(D862=0,0,IF('Deal maths'!AE862&gt;0,IF('Deal maths'!AE862&gt;'Deal maths'!AA862,'Deal maths'!AA862,'Deal maths'!AE862),IF(IF(DAY('Deal maths'!AA862+1)=1,EOMONTH('Deal maths'!AA862,-(INT(((YEAR('Deal maths'!AA862)-YEAR(IF('Deal maths'!Z862&gt;0,'Deal maths'!Z862,DATE(1990,1,1))))*12+MONTH('Deal maths'!AA862)-MONTH(IF('Deal maths'!Z862&gt;0,'Deal maths'!Z862,DATE(1990,1,1))))/D862))*D862),EDATE('Deal maths'!AA862,-(INT(((YEAR('Deal maths'!AA862)-YEAR(IF('Deal maths'!Z862&gt;0,'Deal maths'!Z862,DATE(1990,1,1))))*12+MONTH('Deal maths'!AA862)-MONTH(IF('Deal maths'!Z862&gt;0,'Deal maths'!Z862,DATE(1990,1,1))))/D862))*D862))&gt;IF('Deal maths'!Z862&gt;0,'Deal maths'!Z862,DATE(1990,1,1)),IF(DAY('Deal maths'!AA862+1)=1,EOMONTH('Deal maths'!AA862,-(INT(((YEAR('Deal maths'!AA862)-YEAR(IF('Deal maths'!Z862&gt;0,'Deal maths'!Z862,DATE(1990,1,1))))*12+MONTH('Deal maths'!AA862)-MONTH(IF('Deal maths'!Z862&gt;0,'Deal maths'!Z862,DATE(1990,1,1))))/D862))*D862),EDATE('Deal maths'!AA862,-(INT(((YEAR('Deal maths'!AA862)-YEAR(IF('Deal maths'!Z862&gt;0,'Deal maths'!Z862,DATE(1990,1,1))))*12+MONTH('Deal maths'!AA862)-MONTH(IF('Deal maths'!Z862&gt;0,'Deal maths'!Z862,DATE(1990,1,1))))/D862))*D862)),IF(DAY('Deal maths'!AA862+1)=1,EOMONTH('Deal maths'!AA862,-(INT(((YEAR('Deal maths'!AA862)-YEAR(IF('Deal maths'!Z862&gt;0,'Deal maths'!Z862,DATE(1990,1,1))))*12+MONTH('Deal maths'!AA862)-MONTH(IF('Deal maths'!Z862&gt;0,'Deal maths'!Z862,DATE(1990,1,1))))/D862)-1)*D862),EDATE('Deal maths'!AA862,-(INT(((YEAR('Deal maths'!AA862)-YEAR(IF('Deal maths'!Z862&gt;0,'Deal maths'!Z862,DATE(1990,1,1))))*12+MONTH('Deal maths'!AA862)-MONTH(IF('Deal maths'!Z862&gt;0,'Deal maths'!Z862,DATE(1990,1,1))))/D862)-1)*D862))))),0)</f>
        <v/>
      </c>
      <c r="F862" s="110">
        <f>IF(D862=0,0,'Deal maths'!AB862*D862/12)</f>
        <v/>
      </c>
      <c r="G862" s="108">
        <f>N862+O862</f>
        <v/>
      </c>
      <c r="H862" s="108">
        <f>IFERROR(IF(OR(D862=0,AsAt&lt;E862),0,MIN(N862,INT(((YEAR(AsAt)-YEAR(E862))*12+MONTH(AsAt)-MONTH(E862)-(DAY(AsAt)&lt;MIN(R862,DAY(EOMONTH(AsAt,0)))))/D862)+1)+O862*(AsAt&gt;='Deal maths'!AA862)),0)</f>
        <v/>
      </c>
      <c r="I862" s="108">
        <f>G862-H862</f>
        <v/>
      </c>
      <c r="J862" s="111">
        <f>IF(AND(C862="EIP",I862&gt;0),'Deal maths'!Y862/I862,0)</f>
        <v/>
      </c>
      <c r="K862" s="111">
        <f>IF(AND(C862="Annuity",I862&gt;0),IF(F862&gt;0,'Deal maths'!Y862*F862/(1-(1+F862)^-I862),'Deal maths'!Y862/I862),0)</f>
        <v/>
      </c>
      <c r="L862" s="111">
        <f>IF('Deal maths'!Y862="",0,'Deal maths'!Y862)</f>
        <v/>
      </c>
      <c r="M862" s="112">
        <f>F862+(F862=0)</f>
        <v/>
      </c>
      <c r="N862" s="108">
        <f>IFERROR(IF(D862=0,0,INT(((YEAR('Deal maths'!AA862)-YEAR(E862))*12+MONTH('Deal maths'!AA862)-MONTH(E862)-(DAY('Deal maths'!AA862)&lt;MIN(R862,DAY(EOMONTH('Deal maths'!AA862,0)))))/D862)+1),0)</f>
        <v/>
      </c>
      <c r="O862" s="108">
        <f>IFERROR(IF(D862=0,0,IF(IF(DAY(E862+1)=1,EOMONTH(E862,(N862-1)*D862),EDATE(E862,(N862-1)*D862))='Deal maths'!AA862,0,1)),0)</f>
        <v/>
      </c>
      <c r="P862" s="113">
        <f>IF(B862=0,0,IFERROR(IF(C862="EIP",((I862-O862)*((IF(DAY(E862+1)=1,EOMONTH(E862,H862*D862),EDATE(E862,H862*D862))-AsAt)/365.25+(IF(DAY(E862+1)=1,EOMONTH(E862,(N862-1)*D862),EDATE(E862,(N862-1)*D862))-AsAt)/365.25)/2+O862*('Deal maths'!AA862-AsAt)/365.25)/I862,IF(C862="Annuity",IF(F862&gt;0,((K862-L862*F862)*((IF(DAY(E862+1)=1,EOMONTH(E862,H862*D862),EDATE(E862,H862*D862))-AsAt)/365.25*((1+F862)^(I862-O862)-1)/F862+IF((I862-O862)&gt;1,((IF(DAY(E862+1)=1,EOMONTH(E862,(N862-1)*D862),EDATE(E862,(N862-1)*D862))-AsAt)/365.25-(IF(DAY(E862+1)=1,EOMONTH(E862,H862*D862),EDATE(E862,H862*D862))-AsAt)/365.25)/((I862-O862)-1),0)*(1+F862)*(1-(I862-O862)*(1+F862)^((I862-O862)-1)+((I862-O862)-1)*(1+F862)^(I862-O862))/F862^2)+O862*(K862-L862*F862)*(1+F862)^(I862-1)*('Deal maths'!AA862-AsAt)/365.25)/L862,((I862-O862)*((IF(DAY(E862+1)=1,EOMONTH(E862,H862*D862),EDATE(E862,H862*D862))-AsAt)/365.25+(IF(DAY(E862+1)=1,EOMONTH(E862,(N862-1)*D862),EDATE(E862,(N862-1)*D862))-AsAt)/365.25)/2+O862*('Deal maths'!AA862-AsAt)/365.25)/I862),(S862-AsAt)/365.25)),0))</f>
        <v/>
      </c>
      <c r="Q862" s="109">
        <f>IF(B862=1,'Deal maths'!AA862+ROW()/1000000,"")</f>
        <v/>
      </c>
      <c r="R862" s="108">
        <f>IF(D862=0,0,IF(DAY(E862+1)=1,31,DAY(E862)))</f>
        <v/>
      </c>
      <c r="S862" s="109">
        <f>IF(AND('Deal maths'!V862="LOBO",'Deal maths'!AG862&gt;AsAt,'Deal maths'!AG862&lt;'Deal maths'!AA862),'Deal maths'!AG862,'Deal maths'!AA862)</f>
        <v/>
      </c>
      <c r="T862" s="108">
        <f>('Deal maths'!AA862&gt;AsAt)*('Deal maths'!Y862&gt;0)</f>
        <v/>
      </c>
    </row>
    <row r="863">
      <c r="A863" s="91">
        <f>IF('Deal maths'!V863="","",'Deal maths'!W863)</f>
        <v/>
      </c>
      <c r="B863" s="108">
        <f>('Deal maths'!AA863&gt;AsAt)*('Deal maths'!Y863&gt;0)*('Deal maths'!Z863&lt;=AsAt)</f>
        <v/>
      </c>
      <c r="C863" s="91">
        <f>IF('Deal maths'!V863="","",IF('Deal maths'!AC863="","Maturity",'Deal maths'!AC863))</f>
        <v/>
      </c>
      <c r="D863" s="108">
        <f>IF(OR(C863="EIP",C863="Annuity"),IF('Deal maths'!AD863="Annual",12,IF('Deal maths'!AD863="Quarterly",3,6)),0)</f>
        <v/>
      </c>
      <c r="E863" s="109">
        <f>IFERROR(IF(D863=0,0,IF('Deal maths'!AE863&gt;0,IF('Deal maths'!AE863&gt;'Deal maths'!AA863,'Deal maths'!AA863,'Deal maths'!AE863),IF(IF(DAY('Deal maths'!AA863+1)=1,EOMONTH('Deal maths'!AA863,-(INT(((YEAR('Deal maths'!AA863)-YEAR(IF('Deal maths'!Z863&gt;0,'Deal maths'!Z863,DATE(1990,1,1))))*12+MONTH('Deal maths'!AA863)-MONTH(IF('Deal maths'!Z863&gt;0,'Deal maths'!Z863,DATE(1990,1,1))))/D863))*D863),EDATE('Deal maths'!AA863,-(INT(((YEAR('Deal maths'!AA863)-YEAR(IF('Deal maths'!Z863&gt;0,'Deal maths'!Z863,DATE(1990,1,1))))*12+MONTH('Deal maths'!AA863)-MONTH(IF('Deal maths'!Z863&gt;0,'Deal maths'!Z863,DATE(1990,1,1))))/D863))*D863))&gt;IF('Deal maths'!Z863&gt;0,'Deal maths'!Z863,DATE(1990,1,1)),IF(DAY('Deal maths'!AA863+1)=1,EOMONTH('Deal maths'!AA863,-(INT(((YEAR('Deal maths'!AA863)-YEAR(IF('Deal maths'!Z863&gt;0,'Deal maths'!Z863,DATE(1990,1,1))))*12+MONTH('Deal maths'!AA863)-MONTH(IF('Deal maths'!Z863&gt;0,'Deal maths'!Z863,DATE(1990,1,1))))/D863))*D863),EDATE('Deal maths'!AA863,-(INT(((YEAR('Deal maths'!AA863)-YEAR(IF('Deal maths'!Z863&gt;0,'Deal maths'!Z863,DATE(1990,1,1))))*12+MONTH('Deal maths'!AA863)-MONTH(IF('Deal maths'!Z863&gt;0,'Deal maths'!Z863,DATE(1990,1,1))))/D863))*D863)),IF(DAY('Deal maths'!AA863+1)=1,EOMONTH('Deal maths'!AA863,-(INT(((YEAR('Deal maths'!AA863)-YEAR(IF('Deal maths'!Z863&gt;0,'Deal maths'!Z863,DATE(1990,1,1))))*12+MONTH('Deal maths'!AA863)-MONTH(IF('Deal maths'!Z863&gt;0,'Deal maths'!Z863,DATE(1990,1,1))))/D863)-1)*D863),EDATE('Deal maths'!AA863,-(INT(((YEAR('Deal maths'!AA863)-YEAR(IF('Deal maths'!Z863&gt;0,'Deal maths'!Z863,DATE(1990,1,1))))*12+MONTH('Deal maths'!AA863)-MONTH(IF('Deal maths'!Z863&gt;0,'Deal maths'!Z863,DATE(1990,1,1))))/D863)-1)*D863))))),0)</f>
        <v/>
      </c>
      <c r="F863" s="110">
        <f>IF(D863=0,0,'Deal maths'!AB863*D863/12)</f>
        <v/>
      </c>
      <c r="G863" s="108">
        <f>N863+O863</f>
        <v/>
      </c>
      <c r="H863" s="108">
        <f>IFERROR(IF(OR(D863=0,AsAt&lt;E863),0,MIN(N863,INT(((YEAR(AsAt)-YEAR(E863))*12+MONTH(AsAt)-MONTH(E863)-(DAY(AsAt)&lt;MIN(R863,DAY(EOMONTH(AsAt,0)))))/D863)+1)+O863*(AsAt&gt;='Deal maths'!AA863)),0)</f>
        <v/>
      </c>
      <c r="I863" s="108">
        <f>G863-H863</f>
        <v/>
      </c>
      <c r="J863" s="111">
        <f>IF(AND(C863="EIP",I863&gt;0),'Deal maths'!Y863/I863,0)</f>
        <v/>
      </c>
      <c r="K863" s="111">
        <f>IF(AND(C863="Annuity",I863&gt;0),IF(F863&gt;0,'Deal maths'!Y863*F863/(1-(1+F863)^-I863),'Deal maths'!Y863/I863),0)</f>
        <v/>
      </c>
      <c r="L863" s="111">
        <f>IF('Deal maths'!Y863="",0,'Deal maths'!Y863)</f>
        <v/>
      </c>
      <c r="M863" s="112">
        <f>F863+(F863=0)</f>
        <v/>
      </c>
      <c r="N863" s="108">
        <f>IFERROR(IF(D863=0,0,INT(((YEAR('Deal maths'!AA863)-YEAR(E863))*12+MONTH('Deal maths'!AA863)-MONTH(E863)-(DAY('Deal maths'!AA863)&lt;MIN(R863,DAY(EOMONTH('Deal maths'!AA863,0)))))/D863)+1),0)</f>
        <v/>
      </c>
      <c r="O863" s="108">
        <f>IFERROR(IF(D863=0,0,IF(IF(DAY(E863+1)=1,EOMONTH(E863,(N863-1)*D863),EDATE(E863,(N863-1)*D863))='Deal maths'!AA863,0,1)),0)</f>
        <v/>
      </c>
      <c r="P863" s="113">
        <f>IF(B863=0,0,IFERROR(IF(C863="EIP",((I863-O863)*((IF(DAY(E863+1)=1,EOMONTH(E863,H863*D863),EDATE(E863,H863*D863))-AsAt)/365.25+(IF(DAY(E863+1)=1,EOMONTH(E863,(N863-1)*D863),EDATE(E863,(N863-1)*D863))-AsAt)/365.25)/2+O863*('Deal maths'!AA863-AsAt)/365.25)/I863,IF(C863="Annuity",IF(F863&gt;0,((K863-L863*F863)*((IF(DAY(E863+1)=1,EOMONTH(E863,H863*D863),EDATE(E863,H863*D863))-AsAt)/365.25*((1+F863)^(I863-O863)-1)/F863+IF((I863-O863)&gt;1,((IF(DAY(E863+1)=1,EOMONTH(E863,(N863-1)*D863),EDATE(E863,(N863-1)*D863))-AsAt)/365.25-(IF(DAY(E863+1)=1,EOMONTH(E863,H863*D863),EDATE(E863,H863*D863))-AsAt)/365.25)/((I863-O863)-1),0)*(1+F863)*(1-(I863-O863)*(1+F863)^((I863-O863)-1)+((I863-O863)-1)*(1+F863)^(I863-O863))/F863^2)+O863*(K863-L863*F863)*(1+F863)^(I863-1)*('Deal maths'!AA863-AsAt)/365.25)/L863,((I863-O863)*((IF(DAY(E863+1)=1,EOMONTH(E863,H863*D863),EDATE(E863,H863*D863))-AsAt)/365.25+(IF(DAY(E863+1)=1,EOMONTH(E863,(N863-1)*D863),EDATE(E863,(N863-1)*D863))-AsAt)/365.25)/2+O863*('Deal maths'!AA863-AsAt)/365.25)/I863),(S863-AsAt)/365.25)),0))</f>
        <v/>
      </c>
      <c r="Q863" s="109">
        <f>IF(B863=1,'Deal maths'!AA863+ROW()/1000000,"")</f>
        <v/>
      </c>
      <c r="R863" s="108">
        <f>IF(D863=0,0,IF(DAY(E863+1)=1,31,DAY(E863)))</f>
        <v/>
      </c>
      <c r="S863" s="109">
        <f>IF(AND('Deal maths'!V863="LOBO",'Deal maths'!AG863&gt;AsAt,'Deal maths'!AG863&lt;'Deal maths'!AA863),'Deal maths'!AG863,'Deal maths'!AA863)</f>
        <v/>
      </c>
      <c r="T863" s="108">
        <f>('Deal maths'!AA863&gt;AsAt)*('Deal maths'!Y863&gt;0)</f>
        <v/>
      </c>
    </row>
    <row r="864">
      <c r="A864" s="91">
        <f>IF('Deal maths'!V864="","",'Deal maths'!W864)</f>
        <v/>
      </c>
      <c r="B864" s="108">
        <f>('Deal maths'!AA864&gt;AsAt)*('Deal maths'!Y864&gt;0)*('Deal maths'!Z864&lt;=AsAt)</f>
        <v/>
      </c>
      <c r="C864" s="91">
        <f>IF('Deal maths'!V864="","",IF('Deal maths'!AC864="","Maturity",'Deal maths'!AC864))</f>
        <v/>
      </c>
      <c r="D864" s="108">
        <f>IF(OR(C864="EIP",C864="Annuity"),IF('Deal maths'!AD864="Annual",12,IF('Deal maths'!AD864="Quarterly",3,6)),0)</f>
        <v/>
      </c>
      <c r="E864" s="109">
        <f>IFERROR(IF(D864=0,0,IF('Deal maths'!AE864&gt;0,IF('Deal maths'!AE864&gt;'Deal maths'!AA864,'Deal maths'!AA864,'Deal maths'!AE864),IF(IF(DAY('Deal maths'!AA864+1)=1,EOMONTH('Deal maths'!AA864,-(INT(((YEAR('Deal maths'!AA864)-YEAR(IF('Deal maths'!Z864&gt;0,'Deal maths'!Z864,DATE(1990,1,1))))*12+MONTH('Deal maths'!AA864)-MONTH(IF('Deal maths'!Z864&gt;0,'Deal maths'!Z864,DATE(1990,1,1))))/D864))*D864),EDATE('Deal maths'!AA864,-(INT(((YEAR('Deal maths'!AA864)-YEAR(IF('Deal maths'!Z864&gt;0,'Deal maths'!Z864,DATE(1990,1,1))))*12+MONTH('Deal maths'!AA864)-MONTH(IF('Deal maths'!Z864&gt;0,'Deal maths'!Z864,DATE(1990,1,1))))/D864))*D864))&gt;IF('Deal maths'!Z864&gt;0,'Deal maths'!Z864,DATE(1990,1,1)),IF(DAY('Deal maths'!AA864+1)=1,EOMONTH('Deal maths'!AA864,-(INT(((YEAR('Deal maths'!AA864)-YEAR(IF('Deal maths'!Z864&gt;0,'Deal maths'!Z864,DATE(1990,1,1))))*12+MONTH('Deal maths'!AA864)-MONTH(IF('Deal maths'!Z864&gt;0,'Deal maths'!Z864,DATE(1990,1,1))))/D864))*D864),EDATE('Deal maths'!AA864,-(INT(((YEAR('Deal maths'!AA864)-YEAR(IF('Deal maths'!Z864&gt;0,'Deal maths'!Z864,DATE(1990,1,1))))*12+MONTH('Deal maths'!AA864)-MONTH(IF('Deal maths'!Z864&gt;0,'Deal maths'!Z864,DATE(1990,1,1))))/D864))*D864)),IF(DAY('Deal maths'!AA864+1)=1,EOMONTH('Deal maths'!AA864,-(INT(((YEAR('Deal maths'!AA864)-YEAR(IF('Deal maths'!Z864&gt;0,'Deal maths'!Z864,DATE(1990,1,1))))*12+MONTH('Deal maths'!AA864)-MONTH(IF('Deal maths'!Z864&gt;0,'Deal maths'!Z864,DATE(1990,1,1))))/D864)-1)*D864),EDATE('Deal maths'!AA864,-(INT(((YEAR('Deal maths'!AA864)-YEAR(IF('Deal maths'!Z864&gt;0,'Deal maths'!Z864,DATE(1990,1,1))))*12+MONTH('Deal maths'!AA864)-MONTH(IF('Deal maths'!Z864&gt;0,'Deal maths'!Z864,DATE(1990,1,1))))/D864)-1)*D864))))),0)</f>
        <v/>
      </c>
      <c r="F864" s="110">
        <f>IF(D864=0,0,'Deal maths'!AB864*D864/12)</f>
        <v/>
      </c>
      <c r="G864" s="108">
        <f>N864+O864</f>
        <v/>
      </c>
      <c r="H864" s="108">
        <f>IFERROR(IF(OR(D864=0,AsAt&lt;E864),0,MIN(N864,INT(((YEAR(AsAt)-YEAR(E864))*12+MONTH(AsAt)-MONTH(E864)-(DAY(AsAt)&lt;MIN(R864,DAY(EOMONTH(AsAt,0)))))/D864)+1)+O864*(AsAt&gt;='Deal maths'!AA864)),0)</f>
        <v/>
      </c>
      <c r="I864" s="108">
        <f>G864-H864</f>
        <v/>
      </c>
      <c r="J864" s="111">
        <f>IF(AND(C864="EIP",I864&gt;0),'Deal maths'!Y864/I864,0)</f>
        <v/>
      </c>
      <c r="K864" s="111">
        <f>IF(AND(C864="Annuity",I864&gt;0),IF(F864&gt;0,'Deal maths'!Y864*F864/(1-(1+F864)^-I864),'Deal maths'!Y864/I864),0)</f>
        <v/>
      </c>
      <c r="L864" s="111">
        <f>IF('Deal maths'!Y864="",0,'Deal maths'!Y864)</f>
        <v/>
      </c>
      <c r="M864" s="112">
        <f>F864+(F864=0)</f>
        <v/>
      </c>
      <c r="N864" s="108">
        <f>IFERROR(IF(D864=0,0,INT(((YEAR('Deal maths'!AA864)-YEAR(E864))*12+MONTH('Deal maths'!AA864)-MONTH(E864)-(DAY('Deal maths'!AA864)&lt;MIN(R864,DAY(EOMONTH('Deal maths'!AA864,0)))))/D864)+1),0)</f>
        <v/>
      </c>
      <c r="O864" s="108">
        <f>IFERROR(IF(D864=0,0,IF(IF(DAY(E864+1)=1,EOMONTH(E864,(N864-1)*D864),EDATE(E864,(N864-1)*D864))='Deal maths'!AA864,0,1)),0)</f>
        <v/>
      </c>
      <c r="P864" s="113">
        <f>IF(B864=0,0,IFERROR(IF(C864="EIP",((I864-O864)*((IF(DAY(E864+1)=1,EOMONTH(E864,H864*D864),EDATE(E864,H864*D864))-AsAt)/365.25+(IF(DAY(E864+1)=1,EOMONTH(E864,(N864-1)*D864),EDATE(E864,(N864-1)*D864))-AsAt)/365.25)/2+O864*('Deal maths'!AA864-AsAt)/365.25)/I864,IF(C864="Annuity",IF(F864&gt;0,((K864-L864*F864)*((IF(DAY(E864+1)=1,EOMONTH(E864,H864*D864),EDATE(E864,H864*D864))-AsAt)/365.25*((1+F864)^(I864-O864)-1)/F864+IF((I864-O864)&gt;1,((IF(DAY(E864+1)=1,EOMONTH(E864,(N864-1)*D864),EDATE(E864,(N864-1)*D864))-AsAt)/365.25-(IF(DAY(E864+1)=1,EOMONTH(E864,H864*D864),EDATE(E864,H864*D864))-AsAt)/365.25)/((I864-O864)-1),0)*(1+F864)*(1-(I864-O864)*(1+F864)^((I864-O864)-1)+((I864-O864)-1)*(1+F864)^(I864-O864))/F864^2)+O864*(K864-L864*F864)*(1+F864)^(I864-1)*('Deal maths'!AA864-AsAt)/365.25)/L864,((I864-O864)*((IF(DAY(E864+1)=1,EOMONTH(E864,H864*D864),EDATE(E864,H864*D864))-AsAt)/365.25+(IF(DAY(E864+1)=1,EOMONTH(E864,(N864-1)*D864),EDATE(E864,(N864-1)*D864))-AsAt)/365.25)/2+O864*('Deal maths'!AA864-AsAt)/365.25)/I864),(S864-AsAt)/365.25)),0))</f>
        <v/>
      </c>
      <c r="Q864" s="109">
        <f>IF(B864=1,'Deal maths'!AA864+ROW()/1000000,"")</f>
        <v/>
      </c>
      <c r="R864" s="108">
        <f>IF(D864=0,0,IF(DAY(E864+1)=1,31,DAY(E864)))</f>
        <v/>
      </c>
      <c r="S864" s="109">
        <f>IF(AND('Deal maths'!V864="LOBO",'Deal maths'!AG864&gt;AsAt,'Deal maths'!AG864&lt;'Deal maths'!AA864),'Deal maths'!AG864,'Deal maths'!AA864)</f>
        <v/>
      </c>
      <c r="T864" s="108">
        <f>('Deal maths'!AA864&gt;AsAt)*('Deal maths'!Y864&gt;0)</f>
        <v/>
      </c>
    </row>
    <row r="865">
      <c r="A865" s="91">
        <f>IF('Deal maths'!V865="","",'Deal maths'!W865)</f>
        <v/>
      </c>
      <c r="B865" s="108">
        <f>('Deal maths'!AA865&gt;AsAt)*('Deal maths'!Y865&gt;0)*('Deal maths'!Z865&lt;=AsAt)</f>
        <v/>
      </c>
      <c r="C865" s="91">
        <f>IF('Deal maths'!V865="","",IF('Deal maths'!AC865="","Maturity",'Deal maths'!AC865))</f>
        <v/>
      </c>
      <c r="D865" s="108">
        <f>IF(OR(C865="EIP",C865="Annuity"),IF('Deal maths'!AD865="Annual",12,IF('Deal maths'!AD865="Quarterly",3,6)),0)</f>
        <v/>
      </c>
      <c r="E865" s="109">
        <f>IFERROR(IF(D865=0,0,IF('Deal maths'!AE865&gt;0,IF('Deal maths'!AE865&gt;'Deal maths'!AA865,'Deal maths'!AA865,'Deal maths'!AE865),IF(IF(DAY('Deal maths'!AA865+1)=1,EOMONTH('Deal maths'!AA865,-(INT(((YEAR('Deal maths'!AA865)-YEAR(IF('Deal maths'!Z865&gt;0,'Deal maths'!Z865,DATE(1990,1,1))))*12+MONTH('Deal maths'!AA865)-MONTH(IF('Deal maths'!Z865&gt;0,'Deal maths'!Z865,DATE(1990,1,1))))/D865))*D865),EDATE('Deal maths'!AA865,-(INT(((YEAR('Deal maths'!AA865)-YEAR(IF('Deal maths'!Z865&gt;0,'Deal maths'!Z865,DATE(1990,1,1))))*12+MONTH('Deal maths'!AA865)-MONTH(IF('Deal maths'!Z865&gt;0,'Deal maths'!Z865,DATE(1990,1,1))))/D865))*D865))&gt;IF('Deal maths'!Z865&gt;0,'Deal maths'!Z865,DATE(1990,1,1)),IF(DAY('Deal maths'!AA865+1)=1,EOMONTH('Deal maths'!AA865,-(INT(((YEAR('Deal maths'!AA865)-YEAR(IF('Deal maths'!Z865&gt;0,'Deal maths'!Z865,DATE(1990,1,1))))*12+MONTH('Deal maths'!AA865)-MONTH(IF('Deal maths'!Z865&gt;0,'Deal maths'!Z865,DATE(1990,1,1))))/D865))*D865),EDATE('Deal maths'!AA865,-(INT(((YEAR('Deal maths'!AA865)-YEAR(IF('Deal maths'!Z865&gt;0,'Deal maths'!Z865,DATE(1990,1,1))))*12+MONTH('Deal maths'!AA865)-MONTH(IF('Deal maths'!Z865&gt;0,'Deal maths'!Z865,DATE(1990,1,1))))/D865))*D865)),IF(DAY('Deal maths'!AA865+1)=1,EOMONTH('Deal maths'!AA865,-(INT(((YEAR('Deal maths'!AA865)-YEAR(IF('Deal maths'!Z865&gt;0,'Deal maths'!Z865,DATE(1990,1,1))))*12+MONTH('Deal maths'!AA865)-MONTH(IF('Deal maths'!Z865&gt;0,'Deal maths'!Z865,DATE(1990,1,1))))/D865)-1)*D865),EDATE('Deal maths'!AA865,-(INT(((YEAR('Deal maths'!AA865)-YEAR(IF('Deal maths'!Z865&gt;0,'Deal maths'!Z865,DATE(1990,1,1))))*12+MONTH('Deal maths'!AA865)-MONTH(IF('Deal maths'!Z865&gt;0,'Deal maths'!Z865,DATE(1990,1,1))))/D865)-1)*D865))))),0)</f>
        <v/>
      </c>
      <c r="F865" s="110">
        <f>IF(D865=0,0,'Deal maths'!AB865*D865/12)</f>
        <v/>
      </c>
      <c r="G865" s="108">
        <f>N865+O865</f>
        <v/>
      </c>
      <c r="H865" s="108">
        <f>IFERROR(IF(OR(D865=0,AsAt&lt;E865),0,MIN(N865,INT(((YEAR(AsAt)-YEAR(E865))*12+MONTH(AsAt)-MONTH(E865)-(DAY(AsAt)&lt;MIN(R865,DAY(EOMONTH(AsAt,0)))))/D865)+1)+O865*(AsAt&gt;='Deal maths'!AA865)),0)</f>
        <v/>
      </c>
      <c r="I865" s="108">
        <f>G865-H865</f>
        <v/>
      </c>
      <c r="J865" s="111">
        <f>IF(AND(C865="EIP",I865&gt;0),'Deal maths'!Y865/I865,0)</f>
        <v/>
      </c>
      <c r="K865" s="111">
        <f>IF(AND(C865="Annuity",I865&gt;0),IF(F865&gt;0,'Deal maths'!Y865*F865/(1-(1+F865)^-I865),'Deal maths'!Y865/I865),0)</f>
        <v/>
      </c>
      <c r="L865" s="111">
        <f>IF('Deal maths'!Y865="",0,'Deal maths'!Y865)</f>
        <v/>
      </c>
      <c r="M865" s="112">
        <f>F865+(F865=0)</f>
        <v/>
      </c>
      <c r="N865" s="108">
        <f>IFERROR(IF(D865=0,0,INT(((YEAR('Deal maths'!AA865)-YEAR(E865))*12+MONTH('Deal maths'!AA865)-MONTH(E865)-(DAY('Deal maths'!AA865)&lt;MIN(R865,DAY(EOMONTH('Deal maths'!AA865,0)))))/D865)+1),0)</f>
        <v/>
      </c>
      <c r="O865" s="108">
        <f>IFERROR(IF(D865=0,0,IF(IF(DAY(E865+1)=1,EOMONTH(E865,(N865-1)*D865),EDATE(E865,(N865-1)*D865))='Deal maths'!AA865,0,1)),0)</f>
        <v/>
      </c>
      <c r="P865" s="113">
        <f>IF(B865=0,0,IFERROR(IF(C865="EIP",((I865-O865)*((IF(DAY(E865+1)=1,EOMONTH(E865,H865*D865),EDATE(E865,H865*D865))-AsAt)/365.25+(IF(DAY(E865+1)=1,EOMONTH(E865,(N865-1)*D865),EDATE(E865,(N865-1)*D865))-AsAt)/365.25)/2+O865*('Deal maths'!AA865-AsAt)/365.25)/I865,IF(C865="Annuity",IF(F865&gt;0,((K865-L865*F865)*((IF(DAY(E865+1)=1,EOMONTH(E865,H865*D865),EDATE(E865,H865*D865))-AsAt)/365.25*((1+F865)^(I865-O865)-1)/F865+IF((I865-O865)&gt;1,((IF(DAY(E865+1)=1,EOMONTH(E865,(N865-1)*D865),EDATE(E865,(N865-1)*D865))-AsAt)/365.25-(IF(DAY(E865+1)=1,EOMONTH(E865,H865*D865),EDATE(E865,H865*D865))-AsAt)/365.25)/((I865-O865)-1),0)*(1+F865)*(1-(I865-O865)*(1+F865)^((I865-O865)-1)+((I865-O865)-1)*(1+F865)^(I865-O865))/F865^2)+O865*(K865-L865*F865)*(1+F865)^(I865-1)*('Deal maths'!AA865-AsAt)/365.25)/L865,((I865-O865)*((IF(DAY(E865+1)=1,EOMONTH(E865,H865*D865),EDATE(E865,H865*D865))-AsAt)/365.25+(IF(DAY(E865+1)=1,EOMONTH(E865,(N865-1)*D865),EDATE(E865,(N865-1)*D865))-AsAt)/365.25)/2+O865*('Deal maths'!AA865-AsAt)/365.25)/I865),(S865-AsAt)/365.25)),0))</f>
        <v/>
      </c>
      <c r="Q865" s="109">
        <f>IF(B865=1,'Deal maths'!AA865+ROW()/1000000,"")</f>
        <v/>
      </c>
      <c r="R865" s="108">
        <f>IF(D865=0,0,IF(DAY(E865+1)=1,31,DAY(E865)))</f>
        <v/>
      </c>
      <c r="S865" s="109">
        <f>IF(AND('Deal maths'!V865="LOBO",'Deal maths'!AG865&gt;AsAt,'Deal maths'!AG865&lt;'Deal maths'!AA865),'Deal maths'!AG865,'Deal maths'!AA865)</f>
        <v/>
      </c>
      <c r="T865" s="108">
        <f>('Deal maths'!AA865&gt;AsAt)*('Deal maths'!Y865&gt;0)</f>
        <v/>
      </c>
    </row>
    <row r="866">
      <c r="A866" s="91">
        <f>IF('Deal maths'!V866="","",'Deal maths'!W866)</f>
        <v/>
      </c>
      <c r="B866" s="108">
        <f>('Deal maths'!AA866&gt;AsAt)*('Deal maths'!Y866&gt;0)*('Deal maths'!Z866&lt;=AsAt)</f>
        <v/>
      </c>
      <c r="C866" s="91">
        <f>IF('Deal maths'!V866="","",IF('Deal maths'!AC866="","Maturity",'Deal maths'!AC866))</f>
        <v/>
      </c>
      <c r="D866" s="108">
        <f>IF(OR(C866="EIP",C866="Annuity"),IF('Deal maths'!AD866="Annual",12,IF('Deal maths'!AD866="Quarterly",3,6)),0)</f>
        <v/>
      </c>
      <c r="E866" s="109">
        <f>IFERROR(IF(D866=0,0,IF('Deal maths'!AE866&gt;0,IF('Deal maths'!AE866&gt;'Deal maths'!AA866,'Deal maths'!AA866,'Deal maths'!AE866),IF(IF(DAY('Deal maths'!AA866+1)=1,EOMONTH('Deal maths'!AA866,-(INT(((YEAR('Deal maths'!AA866)-YEAR(IF('Deal maths'!Z866&gt;0,'Deal maths'!Z866,DATE(1990,1,1))))*12+MONTH('Deal maths'!AA866)-MONTH(IF('Deal maths'!Z866&gt;0,'Deal maths'!Z866,DATE(1990,1,1))))/D866))*D866),EDATE('Deal maths'!AA866,-(INT(((YEAR('Deal maths'!AA866)-YEAR(IF('Deal maths'!Z866&gt;0,'Deal maths'!Z866,DATE(1990,1,1))))*12+MONTH('Deal maths'!AA866)-MONTH(IF('Deal maths'!Z866&gt;0,'Deal maths'!Z866,DATE(1990,1,1))))/D866))*D866))&gt;IF('Deal maths'!Z866&gt;0,'Deal maths'!Z866,DATE(1990,1,1)),IF(DAY('Deal maths'!AA866+1)=1,EOMONTH('Deal maths'!AA866,-(INT(((YEAR('Deal maths'!AA866)-YEAR(IF('Deal maths'!Z866&gt;0,'Deal maths'!Z866,DATE(1990,1,1))))*12+MONTH('Deal maths'!AA866)-MONTH(IF('Deal maths'!Z866&gt;0,'Deal maths'!Z866,DATE(1990,1,1))))/D866))*D866),EDATE('Deal maths'!AA866,-(INT(((YEAR('Deal maths'!AA866)-YEAR(IF('Deal maths'!Z866&gt;0,'Deal maths'!Z866,DATE(1990,1,1))))*12+MONTH('Deal maths'!AA866)-MONTH(IF('Deal maths'!Z866&gt;0,'Deal maths'!Z866,DATE(1990,1,1))))/D866))*D866)),IF(DAY('Deal maths'!AA866+1)=1,EOMONTH('Deal maths'!AA866,-(INT(((YEAR('Deal maths'!AA866)-YEAR(IF('Deal maths'!Z866&gt;0,'Deal maths'!Z866,DATE(1990,1,1))))*12+MONTH('Deal maths'!AA866)-MONTH(IF('Deal maths'!Z866&gt;0,'Deal maths'!Z866,DATE(1990,1,1))))/D866)-1)*D866),EDATE('Deal maths'!AA866,-(INT(((YEAR('Deal maths'!AA866)-YEAR(IF('Deal maths'!Z866&gt;0,'Deal maths'!Z866,DATE(1990,1,1))))*12+MONTH('Deal maths'!AA866)-MONTH(IF('Deal maths'!Z866&gt;0,'Deal maths'!Z866,DATE(1990,1,1))))/D866)-1)*D866))))),0)</f>
        <v/>
      </c>
      <c r="F866" s="110">
        <f>IF(D866=0,0,'Deal maths'!AB866*D866/12)</f>
        <v/>
      </c>
      <c r="G866" s="108">
        <f>N866+O866</f>
        <v/>
      </c>
      <c r="H866" s="108">
        <f>IFERROR(IF(OR(D866=0,AsAt&lt;E866),0,MIN(N866,INT(((YEAR(AsAt)-YEAR(E866))*12+MONTH(AsAt)-MONTH(E866)-(DAY(AsAt)&lt;MIN(R866,DAY(EOMONTH(AsAt,0)))))/D866)+1)+O866*(AsAt&gt;='Deal maths'!AA866)),0)</f>
        <v/>
      </c>
      <c r="I866" s="108">
        <f>G866-H866</f>
        <v/>
      </c>
      <c r="J866" s="111">
        <f>IF(AND(C866="EIP",I866&gt;0),'Deal maths'!Y866/I866,0)</f>
        <v/>
      </c>
      <c r="K866" s="111">
        <f>IF(AND(C866="Annuity",I866&gt;0),IF(F866&gt;0,'Deal maths'!Y866*F866/(1-(1+F866)^-I866),'Deal maths'!Y866/I866),0)</f>
        <v/>
      </c>
      <c r="L866" s="111">
        <f>IF('Deal maths'!Y866="",0,'Deal maths'!Y866)</f>
        <v/>
      </c>
      <c r="M866" s="112">
        <f>F866+(F866=0)</f>
        <v/>
      </c>
      <c r="N866" s="108">
        <f>IFERROR(IF(D866=0,0,INT(((YEAR('Deal maths'!AA866)-YEAR(E866))*12+MONTH('Deal maths'!AA866)-MONTH(E866)-(DAY('Deal maths'!AA866)&lt;MIN(R866,DAY(EOMONTH('Deal maths'!AA866,0)))))/D866)+1),0)</f>
        <v/>
      </c>
      <c r="O866" s="108">
        <f>IFERROR(IF(D866=0,0,IF(IF(DAY(E866+1)=1,EOMONTH(E866,(N866-1)*D866),EDATE(E866,(N866-1)*D866))='Deal maths'!AA866,0,1)),0)</f>
        <v/>
      </c>
      <c r="P866" s="113">
        <f>IF(B866=0,0,IFERROR(IF(C866="EIP",((I866-O866)*((IF(DAY(E866+1)=1,EOMONTH(E866,H866*D866),EDATE(E866,H866*D866))-AsAt)/365.25+(IF(DAY(E866+1)=1,EOMONTH(E866,(N866-1)*D866),EDATE(E866,(N866-1)*D866))-AsAt)/365.25)/2+O866*('Deal maths'!AA866-AsAt)/365.25)/I866,IF(C866="Annuity",IF(F866&gt;0,((K866-L866*F866)*((IF(DAY(E866+1)=1,EOMONTH(E866,H866*D866),EDATE(E866,H866*D866))-AsAt)/365.25*((1+F866)^(I866-O866)-1)/F866+IF((I866-O866)&gt;1,((IF(DAY(E866+1)=1,EOMONTH(E866,(N866-1)*D866),EDATE(E866,(N866-1)*D866))-AsAt)/365.25-(IF(DAY(E866+1)=1,EOMONTH(E866,H866*D866),EDATE(E866,H866*D866))-AsAt)/365.25)/((I866-O866)-1),0)*(1+F866)*(1-(I866-O866)*(1+F866)^((I866-O866)-1)+((I866-O866)-1)*(1+F866)^(I866-O866))/F866^2)+O866*(K866-L866*F866)*(1+F866)^(I866-1)*('Deal maths'!AA866-AsAt)/365.25)/L866,((I866-O866)*((IF(DAY(E866+1)=1,EOMONTH(E866,H866*D866),EDATE(E866,H866*D866))-AsAt)/365.25+(IF(DAY(E866+1)=1,EOMONTH(E866,(N866-1)*D866),EDATE(E866,(N866-1)*D866))-AsAt)/365.25)/2+O866*('Deal maths'!AA866-AsAt)/365.25)/I866),(S866-AsAt)/365.25)),0))</f>
        <v/>
      </c>
      <c r="Q866" s="109">
        <f>IF(B866=1,'Deal maths'!AA866+ROW()/1000000,"")</f>
        <v/>
      </c>
      <c r="R866" s="108">
        <f>IF(D866=0,0,IF(DAY(E866+1)=1,31,DAY(E866)))</f>
        <v/>
      </c>
      <c r="S866" s="109">
        <f>IF(AND('Deal maths'!V866="LOBO",'Deal maths'!AG866&gt;AsAt,'Deal maths'!AG866&lt;'Deal maths'!AA866),'Deal maths'!AG866,'Deal maths'!AA866)</f>
        <v/>
      </c>
      <c r="T866" s="108">
        <f>('Deal maths'!AA866&gt;AsAt)*('Deal maths'!Y866&gt;0)</f>
        <v/>
      </c>
    </row>
    <row r="867">
      <c r="A867" s="91">
        <f>IF('Deal maths'!V867="","",'Deal maths'!W867)</f>
        <v/>
      </c>
      <c r="B867" s="108">
        <f>('Deal maths'!AA867&gt;AsAt)*('Deal maths'!Y867&gt;0)*('Deal maths'!Z867&lt;=AsAt)</f>
        <v/>
      </c>
      <c r="C867" s="91">
        <f>IF('Deal maths'!V867="","",IF('Deal maths'!AC867="","Maturity",'Deal maths'!AC867))</f>
        <v/>
      </c>
      <c r="D867" s="108">
        <f>IF(OR(C867="EIP",C867="Annuity"),IF('Deal maths'!AD867="Annual",12,IF('Deal maths'!AD867="Quarterly",3,6)),0)</f>
        <v/>
      </c>
      <c r="E867" s="109">
        <f>IFERROR(IF(D867=0,0,IF('Deal maths'!AE867&gt;0,IF('Deal maths'!AE867&gt;'Deal maths'!AA867,'Deal maths'!AA867,'Deal maths'!AE867),IF(IF(DAY('Deal maths'!AA867+1)=1,EOMONTH('Deal maths'!AA867,-(INT(((YEAR('Deal maths'!AA867)-YEAR(IF('Deal maths'!Z867&gt;0,'Deal maths'!Z867,DATE(1990,1,1))))*12+MONTH('Deal maths'!AA867)-MONTH(IF('Deal maths'!Z867&gt;0,'Deal maths'!Z867,DATE(1990,1,1))))/D867))*D867),EDATE('Deal maths'!AA867,-(INT(((YEAR('Deal maths'!AA867)-YEAR(IF('Deal maths'!Z867&gt;0,'Deal maths'!Z867,DATE(1990,1,1))))*12+MONTH('Deal maths'!AA867)-MONTH(IF('Deal maths'!Z867&gt;0,'Deal maths'!Z867,DATE(1990,1,1))))/D867))*D867))&gt;IF('Deal maths'!Z867&gt;0,'Deal maths'!Z867,DATE(1990,1,1)),IF(DAY('Deal maths'!AA867+1)=1,EOMONTH('Deal maths'!AA867,-(INT(((YEAR('Deal maths'!AA867)-YEAR(IF('Deal maths'!Z867&gt;0,'Deal maths'!Z867,DATE(1990,1,1))))*12+MONTH('Deal maths'!AA867)-MONTH(IF('Deal maths'!Z867&gt;0,'Deal maths'!Z867,DATE(1990,1,1))))/D867))*D867),EDATE('Deal maths'!AA867,-(INT(((YEAR('Deal maths'!AA867)-YEAR(IF('Deal maths'!Z867&gt;0,'Deal maths'!Z867,DATE(1990,1,1))))*12+MONTH('Deal maths'!AA867)-MONTH(IF('Deal maths'!Z867&gt;0,'Deal maths'!Z867,DATE(1990,1,1))))/D867))*D867)),IF(DAY('Deal maths'!AA867+1)=1,EOMONTH('Deal maths'!AA867,-(INT(((YEAR('Deal maths'!AA867)-YEAR(IF('Deal maths'!Z867&gt;0,'Deal maths'!Z867,DATE(1990,1,1))))*12+MONTH('Deal maths'!AA867)-MONTH(IF('Deal maths'!Z867&gt;0,'Deal maths'!Z867,DATE(1990,1,1))))/D867)-1)*D867),EDATE('Deal maths'!AA867,-(INT(((YEAR('Deal maths'!AA867)-YEAR(IF('Deal maths'!Z867&gt;0,'Deal maths'!Z867,DATE(1990,1,1))))*12+MONTH('Deal maths'!AA867)-MONTH(IF('Deal maths'!Z867&gt;0,'Deal maths'!Z867,DATE(1990,1,1))))/D867)-1)*D867))))),0)</f>
        <v/>
      </c>
      <c r="F867" s="110">
        <f>IF(D867=0,0,'Deal maths'!AB867*D867/12)</f>
        <v/>
      </c>
      <c r="G867" s="108">
        <f>N867+O867</f>
        <v/>
      </c>
      <c r="H867" s="108">
        <f>IFERROR(IF(OR(D867=0,AsAt&lt;E867),0,MIN(N867,INT(((YEAR(AsAt)-YEAR(E867))*12+MONTH(AsAt)-MONTH(E867)-(DAY(AsAt)&lt;MIN(R867,DAY(EOMONTH(AsAt,0)))))/D867)+1)+O867*(AsAt&gt;='Deal maths'!AA867)),0)</f>
        <v/>
      </c>
      <c r="I867" s="108">
        <f>G867-H867</f>
        <v/>
      </c>
      <c r="J867" s="111">
        <f>IF(AND(C867="EIP",I867&gt;0),'Deal maths'!Y867/I867,0)</f>
        <v/>
      </c>
      <c r="K867" s="111">
        <f>IF(AND(C867="Annuity",I867&gt;0),IF(F867&gt;0,'Deal maths'!Y867*F867/(1-(1+F867)^-I867),'Deal maths'!Y867/I867),0)</f>
        <v/>
      </c>
      <c r="L867" s="111">
        <f>IF('Deal maths'!Y867="",0,'Deal maths'!Y867)</f>
        <v/>
      </c>
      <c r="M867" s="112">
        <f>F867+(F867=0)</f>
        <v/>
      </c>
      <c r="N867" s="108">
        <f>IFERROR(IF(D867=0,0,INT(((YEAR('Deal maths'!AA867)-YEAR(E867))*12+MONTH('Deal maths'!AA867)-MONTH(E867)-(DAY('Deal maths'!AA867)&lt;MIN(R867,DAY(EOMONTH('Deal maths'!AA867,0)))))/D867)+1),0)</f>
        <v/>
      </c>
      <c r="O867" s="108">
        <f>IFERROR(IF(D867=0,0,IF(IF(DAY(E867+1)=1,EOMONTH(E867,(N867-1)*D867),EDATE(E867,(N867-1)*D867))='Deal maths'!AA867,0,1)),0)</f>
        <v/>
      </c>
      <c r="P867" s="113">
        <f>IF(B867=0,0,IFERROR(IF(C867="EIP",((I867-O867)*((IF(DAY(E867+1)=1,EOMONTH(E867,H867*D867),EDATE(E867,H867*D867))-AsAt)/365.25+(IF(DAY(E867+1)=1,EOMONTH(E867,(N867-1)*D867),EDATE(E867,(N867-1)*D867))-AsAt)/365.25)/2+O867*('Deal maths'!AA867-AsAt)/365.25)/I867,IF(C867="Annuity",IF(F867&gt;0,((K867-L867*F867)*((IF(DAY(E867+1)=1,EOMONTH(E867,H867*D867),EDATE(E867,H867*D867))-AsAt)/365.25*((1+F867)^(I867-O867)-1)/F867+IF((I867-O867)&gt;1,((IF(DAY(E867+1)=1,EOMONTH(E867,(N867-1)*D867),EDATE(E867,(N867-1)*D867))-AsAt)/365.25-(IF(DAY(E867+1)=1,EOMONTH(E867,H867*D867),EDATE(E867,H867*D867))-AsAt)/365.25)/((I867-O867)-1),0)*(1+F867)*(1-(I867-O867)*(1+F867)^((I867-O867)-1)+((I867-O867)-1)*(1+F867)^(I867-O867))/F867^2)+O867*(K867-L867*F867)*(1+F867)^(I867-1)*('Deal maths'!AA867-AsAt)/365.25)/L867,((I867-O867)*((IF(DAY(E867+1)=1,EOMONTH(E867,H867*D867),EDATE(E867,H867*D867))-AsAt)/365.25+(IF(DAY(E867+1)=1,EOMONTH(E867,(N867-1)*D867),EDATE(E867,(N867-1)*D867))-AsAt)/365.25)/2+O867*('Deal maths'!AA867-AsAt)/365.25)/I867),(S867-AsAt)/365.25)),0))</f>
        <v/>
      </c>
      <c r="Q867" s="109">
        <f>IF(B867=1,'Deal maths'!AA867+ROW()/1000000,"")</f>
        <v/>
      </c>
      <c r="R867" s="108">
        <f>IF(D867=0,0,IF(DAY(E867+1)=1,31,DAY(E867)))</f>
        <v/>
      </c>
      <c r="S867" s="109">
        <f>IF(AND('Deal maths'!V867="LOBO",'Deal maths'!AG867&gt;AsAt,'Deal maths'!AG867&lt;'Deal maths'!AA867),'Deal maths'!AG867,'Deal maths'!AA867)</f>
        <v/>
      </c>
      <c r="T867" s="108">
        <f>('Deal maths'!AA867&gt;AsAt)*('Deal maths'!Y867&gt;0)</f>
        <v/>
      </c>
    </row>
    <row r="868">
      <c r="A868" s="91">
        <f>IF('Deal maths'!V868="","",'Deal maths'!W868)</f>
        <v/>
      </c>
      <c r="B868" s="108">
        <f>('Deal maths'!AA868&gt;AsAt)*('Deal maths'!Y868&gt;0)*('Deal maths'!Z868&lt;=AsAt)</f>
        <v/>
      </c>
      <c r="C868" s="91">
        <f>IF('Deal maths'!V868="","",IF('Deal maths'!AC868="","Maturity",'Deal maths'!AC868))</f>
        <v/>
      </c>
      <c r="D868" s="108">
        <f>IF(OR(C868="EIP",C868="Annuity"),IF('Deal maths'!AD868="Annual",12,IF('Deal maths'!AD868="Quarterly",3,6)),0)</f>
        <v/>
      </c>
      <c r="E868" s="109">
        <f>IFERROR(IF(D868=0,0,IF('Deal maths'!AE868&gt;0,IF('Deal maths'!AE868&gt;'Deal maths'!AA868,'Deal maths'!AA868,'Deal maths'!AE868),IF(IF(DAY('Deal maths'!AA868+1)=1,EOMONTH('Deal maths'!AA868,-(INT(((YEAR('Deal maths'!AA868)-YEAR(IF('Deal maths'!Z868&gt;0,'Deal maths'!Z868,DATE(1990,1,1))))*12+MONTH('Deal maths'!AA868)-MONTH(IF('Deal maths'!Z868&gt;0,'Deal maths'!Z868,DATE(1990,1,1))))/D868))*D868),EDATE('Deal maths'!AA868,-(INT(((YEAR('Deal maths'!AA868)-YEAR(IF('Deal maths'!Z868&gt;0,'Deal maths'!Z868,DATE(1990,1,1))))*12+MONTH('Deal maths'!AA868)-MONTH(IF('Deal maths'!Z868&gt;0,'Deal maths'!Z868,DATE(1990,1,1))))/D868))*D868))&gt;IF('Deal maths'!Z868&gt;0,'Deal maths'!Z868,DATE(1990,1,1)),IF(DAY('Deal maths'!AA868+1)=1,EOMONTH('Deal maths'!AA868,-(INT(((YEAR('Deal maths'!AA868)-YEAR(IF('Deal maths'!Z868&gt;0,'Deal maths'!Z868,DATE(1990,1,1))))*12+MONTH('Deal maths'!AA868)-MONTH(IF('Deal maths'!Z868&gt;0,'Deal maths'!Z868,DATE(1990,1,1))))/D868))*D868),EDATE('Deal maths'!AA868,-(INT(((YEAR('Deal maths'!AA868)-YEAR(IF('Deal maths'!Z868&gt;0,'Deal maths'!Z868,DATE(1990,1,1))))*12+MONTH('Deal maths'!AA868)-MONTH(IF('Deal maths'!Z868&gt;0,'Deal maths'!Z868,DATE(1990,1,1))))/D868))*D868)),IF(DAY('Deal maths'!AA868+1)=1,EOMONTH('Deal maths'!AA868,-(INT(((YEAR('Deal maths'!AA868)-YEAR(IF('Deal maths'!Z868&gt;0,'Deal maths'!Z868,DATE(1990,1,1))))*12+MONTH('Deal maths'!AA868)-MONTH(IF('Deal maths'!Z868&gt;0,'Deal maths'!Z868,DATE(1990,1,1))))/D868)-1)*D868),EDATE('Deal maths'!AA868,-(INT(((YEAR('Deal maths'!AA868)-YEAR(IF('Deal maths'!Z868&gt;0,'Deal maths'!Z868,DATE(1990,1,1))))*12+MONTH('Deal maths'!AA868)-MONTH(IF('Deal maths'!Z868&gt;0,'Deal maths'!Z868,DATE(1990,1,1))))/D868)-1)*D868))))),0)</f>
        <v/>
      </c>
      <c r="F868" s="110">
        <f>IF(D868=0,0,'Deal maths'!AB868*D868/12)</f>
        <v/>
      </c>
      <c r="G868" s="108">
        <f>N868+O868</f>
        <v/>
      </c>
      <c r="H868" s="108">
        <f>IFERROR(IF(OR(D868=0,AsAt&lt;E868),0,MIN(N868,INT(((YEAR(AsAt)-YEAR(E868))*12+MONTH(AsAt)-MONTH(E868)-(DAY(AsAt)&lt;MIN(R868,DAY(EOMONTH(AsAt,0)))))/D868)+1)+O868*(AsAt&gt;='Deal maths'!AA868)),0)</f>
        <v/>
      </c>
      <c r="I868" s="108">
        <f>G868-H868</f>
        <v/>
      </c>
      <c r="J868" s="111">
        <f>IF(AND(C868="EIP",I868&gt;0),'Deal maths'!Y868/I868,0)</f>
        <v/>
      </c>
      <c r="K868" s="111">
        <f>IF(AND(C868="Annuity",I868&gt;0),IF(F868&gt;0,'Deal maths'!Y868*F868/(1-(1+F868)^-I868),'Deal maths'!Y868/I868),0)</f>
        <v/>
      </c>
      <c r="L868" s="111">
        <f>IF('Deal maths'!Y868="",0,'Deal maths'!Y868)</f>
        <v/>
      </c>
      <c r="M868" s="112">
        <f>F868+(F868=0)</f>
        <v/>
      </c>
      <c r="N868" s="108">
        <f>IFERROR(IF(D868=0,0,INT(((YEAR('Deal maths'!AA868)-YEAR(E868))*12+MONTH('Deal maths'!AA868)-MONTH(E868)-(DAY('Deal maths'!AA868)&lt;MIN(R868,DAY(EOMONTH('Deal maths'!AA868,0)))))/D868)+1),0)</f>
        <v/>
      </c>
      <c r="O868" s="108">
        <f>IFERROR(IF(D868=0,0,IF(IF(DAY(E868+1)=1,EOMONTH(E868,(N868-1)*D868),EDATE(E868,(N868-1)*D868))='Deal maths'!AA868,0,1)),0)</f>
        <v/>
      </c>
      <c r="P868" s="113">
        <f>IF(B868=0,0,IFERROR(IF(C868="EIP",((I868-O868)*((IF(DAY(E868+1)=1,EOMONTH(E868,H868*D868),EDATE(E868,H868*D868))-AsAt)/365.25+(IF(DAY(E868+1)=1,EOMONTH(E868,(N868-1)*D868),EDATE(E868,(N868-1)*D868))-AsAt)/365.25)/2+O868*('Deal maths'!AA868-AsAt)/365.25)/I868,IF(C868="Annuity",IF(F868&gt;0,((K868-L868*F868)*((IF(DAY(E868+1)=1,EOMONTH(E868,H868*D868),EDATE(E868,H868*D868))-AsAt)/365.25*((1+F868)^(I868-O868)-1)/F868+IF((I868-O868)&gt;1,((IF(DAY(E868+1)=1,EOMONTH(E868,(N868-1)*D868),EDATE(E868,(N868-1)*D868))-AsAt)/365.25-(IF(DAY(E868+1)=1,EOMONTH(E868,H868*D868),EDATE(E868,H868*D868))-AsAt)/365.25)/((I868-O868)-1),0)*(1+F868)*(1-(I868-O868)*(1+F868)^((I868-O868)-1)+((I868-O868)-1)*(1+F868)^(I868-O868))/F868^2)+O868*(K868-L868*F868)*(1+F868)^(I868-1)*('Deal maths'!AA868-AsAt)/365.25)/L868,((I868-O868)*((IF(DAY(E868+1)=1,EOMONTH(E868,H868*D868),EDATE(E868,H868*D868))-AsAt)/365.25+(IF(DAY(E868+1)=1,EOMONTH(E868,(N868-1)*D868),EDATE(E868,(N868-1)*D868))-AsAt)/365.25)/2+O868*('Deal maths'!AA868-AsAt)/365.25)/I868),(S868-AsAt)/365.25)),0))</f>
        <v/>
      </c>
      <c r="Q868" s="109">
        <f>IF(B868=1,'Deal maths'!AA868+ROW()/1000000,"")</f>
        <v/>
      </c>
      <c r="R868" s="108">
        <f>IF(D868=0,0,IF(DAY(E868+1)=1,31,DAY(E868)))</f>
        <v/>
      </c>
      <c r="S868" s="109">
        <f>IF(AND('Deal maths'!V868="LOBO",'Deal maths'!AG868&gt;AsAt,'Deal maths'!AG868&lt;'Deal maths'!AA868),'Deal maths'!AG868,'Deal maths'!AA868)</f>
        <v/>
      </c>
      <c r="T868" s="108">
        <f>('Deal maths'!AA868&gt;AsAt)*('Deal maths'!Y868&gt;0)</f>
        <v/>
      </c>
    </row>
    <row r="869">
      <c r="A869" s="91">
        <f>IF('Deal maths'!V869="","",'Deal maths'!W869)</f>
        <v/>
      </c>
      <c r="B869" s="108">
        <f>('Deal maths'!AA869&gt;AsAt)*('Deal maths'!Y869&gt;0)*('Deal maths'!Z869&lt;=AsAt)</f>
        <v/>
      </c>
      <c r="C869" s="91">
        <f>IF('Deal maths'!V869="","",IF('Deal maths'!AC869="","Maturity",'Deal maths'!AC869))</f>
        <v/>
      </c>
      <c r="D869" s="108">
        <f>IF(OR(C869="EIP",C869="Annuity"),IF('Deal maths'!AD869="Annual",12,IF('Deal maths'!AD869="Quarterly",3,6)),0)</f>
        <v/>
      </c>
      <c r="E869" s="109">
        <f>IFERROR(IF(D869=0,0,IF('Deal maths'!AE869&gt;0,IF('Deal maths'!AE869&gt;'Deal maths'!AA869,'Deal maths'!AA869,'Deal maths'!AE869),IF(IF(DAY('Deal maths'!AA869+1)=1,EOMONTH('Deal maths'!AA869,-(INT(((YEAR('Deal maths'!AA869)-YEAR(IF('Deal maths'!Z869&gt;0,'Deal maths'!Z869,DATE(1990,1,1))))*12+MONTH('Deal maths'!AA869)-MONTH(IF('Deal maths'!Z869&gt;0,'Deal maths'!Z869,DATE(1990,1,1))))/D869))*D869),EDATE('Deal maths'!AA869,-(INT(((YEAR('Deal maths'!AA869)-YEAR(IF('Deal maths'!Z869&gt;0,'Deal maths'!Z869,DATE(1990,1,1))))*12+MONTH('Deal maths'!AA869)-MONTH(IF('Deal maths'!Z869&gt;0,'Deal maths'!Z869,DATE(1990,1,1))))/D869))*D869))&gt;IF('Deal maths'!Z869&gt;0,'Deal maths'!Z869,DATE(1990,1,1)),IF(DAY('Deal maths'!AA869+1)=1,EOMONTH('Deal maths'!AA869,-(INT(((YEAR('Deal maths'!AA869)-YEAR(IF('Deal maths'!Z869&gt;0,'Deal maths'!Z869,DATE(1990,1,1))))*12+MONTH('Deal maths'!AA869)-MONTH(IF('Deal maths'!Z869&gt;0,'Deal maths'!Z869,DATE(1990,1,1))))/D869))*D869),EDATE('Deal maths'!AA869,-(INT(((YEAR('Deal maths'!AA869)-YEAR(IF('Deal maths'!Z869&gt;0,'Deal maths'!Z869,DATE(1990,1,1))))*12+MONTH('Deal maths'!AA869)-MONTH(IF('Deal maths'!Z869&gt;0,'Deal maths'!Z869,DATE(1990,1,1))))/D869))*D869)),IF(DAY('Deal maths'!AA869+1)=1,EOMONTH('Deal maths'!AA869,-(INT(((YEAR('Deal maths'!AA869)-YEAR(IF('Deal maths'!Z869&gt;0,'Deal maths'!Z869,DATE(1990,1,1))))*12+MONTH('Deal maths'!AA869)-MONTH(IF('Deal maths'!Z869&gt;0,'Deal maths'!Z869,DATE(1990,1,1))))/D869)-1)*D869),EDATE('Deal maths'!AA869,-(INT(((YEAR('Deal maths'!AA869)-YEAR(IF('Deal maths'!Z869&gt;0,'Deal maths'!Z869,DATE(1990,1,1))))*12+MONTH('Deal maths'!AA869)-MONTH(IF('Deal maths'!Z869&gt;0,'Deal maths'!Z869,DATE(1990,1,1))))/D869)-1)*D869))))),0)</f>
        <v/>
      </c>
      <c r="F869" s="110">
        <f>IF(D869=0,0,'Deal maths'!AB869*D869/12)</f>
        <v/>
      </c>
      <c r="G869" s="108">
        <f>N869+O869</f>
        <v/>
      </c>
      <c r="H869" s="108">
        <f>IFERROR(IF(OR(D869=0,AsAt&lt;E869),0,MIN(N869,INT(((YEAR(AsAt)-YEAR(E869))*12+MONTH(AsAt)-MONTH(E869)-(DAY(AsAt)&lt;MIN(R869,DAY(EOMONTH(AsAt,0)))))/D869)+1)+O869*(AsAt&gt;='Deal maths'!AA869)),0)</f>
        <v/>
      </c>
      <c r="I869" s="108">
        <f>G869-H869</f>
        <v/>
      </c>
      <c r="J869" s="111">
        <f>IF(AND(C869="EIP",I869&gt;0),'Deal maths'!Y869/I869,0)</f>
        <v/>
      </c>
      <c r="K869" s="111">
        <f>IF(AND(C869="Annuity",I869&gt;0),IF(F869&gt;0,'Deal maths'!Y869*F869/(1-(1+F869)^-I869),'Deal maths'!Y869/I869),0)</f>
        <v/>
      </c>
      <c r="L869" s="111">
        <f>IF('Deal maths'!Y869="",0,'Deal maths'!Y869)</f>
        <v/>
      </c>
      <c r="M869" s="112">
        <f>F869+(F869=0)</f>
        <v/>
      </c>
      <c r="N869" s="108">
        <f>IFERROR(IF(D869=0,0,INT(((YEAR('Deal maths'!AA869)-YEAR(E869))*12+MONTH('Deal maths'!AA869)-MONTH(E869)-(DAY('Deal maths'!AA869)&lt;MIN(R869,DAY(EOMONTH('Deal maths'!AA869,0)))))/D869)+1),0)</f>
        <v/>
      </c>
      <c r="O869" s="108">
        <f>IFERROR(IF(D869=0,0,IF(IF(DAY(E869+1)=1,EOMONTH(E869,(N869-1)*D869),EDATE(E869,(N869-1)*D869))='Deal maths'!AA869,0,1)),0)</f>
        <v/>
      </c>
      <c r="P869" s="113">
        <f>IF(B869=0,0,IFERROR(IF(C869="EIP",((I869-O869)*((IF(DAY(E869+1)=1,EOMONTH(E869,H869*D869),EDATE(E869,H869*D869))-AsAt)/365.25+(IF(DAY(E869+1)=1,EOMONTH(E869,(N869-1)*D869),EDATE(E869,(N869-1)*D869))-AsAt)/365.25)/2+O869*('Deal maths'!AA869-AsAt)/365.25)/I869,IF(C869="Annuity",IF(F869&gt;0,((K869-L869*F869)*((IF(DAY(E869+1)=1,EOMONTH(E869,H869*D869),EDATE(E869,H869*D869))-AsAt)/365.25*((1+F869)^(I869-O869)-1)/F869+IF((I869-O869)&gt;1,((IF(DAY(E869+1)=1,EOMONTH(E869,(N869-1)*D869),EDATE(E869,(N869-1)*D869))-AsAt)/365.25-(IF(DAY(E869+1)=1,EOMONTH(E869,H869*D869),EDATE(E869,H869*D869))-AsAt)/365.25)/((I869-O869)-1),0)*(1+F869)*(1-(I869-O869)*(1+F869)^((I869-O869)-1)+((I869-O869)-1)*(1+F869)^(I869-O869))/F869^2)+O869*(K869-L869*F869)*(1+F869)^(I869-1)*('Deal maths'!AA869-AsAt)/365.25)/L869,((I869-O869)*((IF(DAY(E869+1)=1,EOMONTH(E869,H869*D869),EDATE(E869,H869*D869))-AsAt)/365.25+(IF(DAY(E869+1)=1,EOMONTH(E869,(N869-1)*D869),EDATE(E869,(N869-1)*D869))-AsAt)/365.25)/2+O869*('Deal maths'!AA869-AsAt)/365.25)/I869),(S869-AsAt)/365.25)),0))</f>
        <v/>
      </c>
      <c r="Q869" s="109">
        <f>IF(B869=1,'Deal maths'!AA869+ROW()/1000000,"")</f>
        <v/>
      </c>
      <c r="R869" s="108">
        <f>IF(D869=0,0,IF(DAY(E869+1)=1,31,DAY(E869)))</f>
        <v/>
      </c>
      <c r="S869" s="109">
        <f>IF(AND('Deal maths'!V869="LOBO",'Deal maths'!AG869&gt;AsAt,'Deal maths'!AG869&lt;'Deal maths'!AA869),'Deal maths'!AG869,'Deal maths'!AA869)</f>
        <v/>
      </c>
      <c r="T869" s="108">
        <f>('Deal maths'!AA869&gt;AsAt)*('Deal maths'!Y869&gt;0)</f>
        <v/>
      </c>
    </row>
    <row r="870">
      <c r="A870" s="91">
        <f>IF('Deal maths'!V870="","",'Deal maths'!W870)</f>
        <v/>
      </c>
      <c r="B870" s="108">
        <f>('Deal maths'!AA870&gt;AsAt)*('Deal maths'!Y870&gt;0)*('Deal maths'!Z870&lt;=AsAt)</f>
        <v/>
      </c>
      <c r="C870" s="91">
        <f>IF('Deal maths'!V870="","",IF('Deal maths'!AC870="","Maturity",'Deal maths'!AC870))</f>
        <v/>
      </c>
      <c r="D870" s="108">
        <f>IF(OR(C870="EIP",C870="Annuity"),IF('Deal maths'!AD870="Annual",12,IF('Deal maths'!AD870="Quarterly",3,6)),0)</f>
        <v/>
      </c>
      <c r="E870" s="109">
        <f>IFERROR(IF(D870=0,0,IF('Deal maths'!AE870&gt;0,IF('Deal maths'!AE870&gt;'Deal maths'!AA870,'Deal maths'!AA870,'Deal maths'!AE870),IF(IF(DAY('Deal maths'!AA870+1)=1,EOMONTH('Deal maths'!AA870,-(INT(((YEAR('Deal maths'!AA870)-YEAR(IF('Deal maths'!Z870&gt;0,'Deal maths'!Z870,DATE(1990,1,1))))*12+MONTH('Deal maths'!AA870)-MONTH(IF('Deal maths'!Z870&gt;0,'Deal maths'!Z870,DATE(1990,1,1))))/D870))*D870),EDATE('Deal maths'!AA870,-(INT(((YEAR('Deal maths'!AA870)-YEAR(IF('Deal maths'!Z870&gt;0,'Deal maths'!Z870,DATE(1990,1,1))))*12+MONTH('Deal maths'!AA870)-MONTH(IF('Deal maths'!Z870&gt;0,'Deal maths'!Z870,DATE(1990,1,1))))/D870))*D870))&gt;IF('Deal maths'!Z870&gt;0,'Deal maths'!Z870,DATE(1990,1,1)),IF(DAY('Deal maths'!AA870+1)=1,EOMONTH('Deal maths'!AA870,-(INT(((YEAR('Deal maths'!AA870)-YEAR(IF('Deal maths'!Z870&gt;0,'Deal maths'!Z870,DATE(1990,1,1))))*12+MONTH('Deal maths'!AA870)-MONTH(IF('Deal maths'!Z870&gt;0,'Deal maths'!Z870,DATE(1990,1,1))))/D870))*D870),EDATE('Deal maths'!AA870,-(INT(((YEAR('Deal maths'!AA870)-YEAR(IF('Deal maths'!Z870&gt;0,'Deal maths'!Z870,DATE(1990,1,1))))*12+MONTH('Deal maths'!AA870)-MONTH(IF('Deal maths'!Z870&gt;0,'Deal maths'!Z870,DATE(1990,1,1))))/D870))*D870)),IF(DAY('Deal maths'!AA870+1)=1,EOMONTH('Deal maths'!AA870,-(INT(((YEAR('Deal maths'!AA870)-YEAR(IF('Deal maths'!Z870&gt;0,'Deal maths'!Z870,DATE(1990,1,1))))*12+MONTH('Deal maths'!AA870)-MONTH(IF('Deal maths'!Z870&gt;0,'Deal maths'!Z870,DATE(1990,1,1))))/D870)-1)*D870),EDATE('Deal maths'!AA870,-(INT(((YEAR('Deal maths'!AA870)-YEAR(IF('Deal maths'!Z870&gt;0,'Deal maths'!Z870,DATE(1990,1,1))))*12+MONTH('Deal maths'!AA870)-MONTH(IF('Deal maths'!Z870&gt;0,'Deal maths'!Z870,DATE(1990,1,1))))/D870)-1)*D870))))),0)</f>
        <v/>
      </c>
      <c r="F870" s="110">
        <f>IF(D870=0,0,'Deal maths'!AB870*D870/12)</f>
        <v/>
      </c>
      <c r="G870" s="108">
        <f>N870+O870</f>
        <v/>
      </c>
      <c r="H870" s="108">
        <f>IFERROR(IF(OR(D870=0,AsAt&lt;E870),0,MIN(N870,INT(((YEAR(AsAt)-YEAR(E870))*12+MONTH(AsAt)-MONTH(E870)-(DAY(AsAt)&lt;MIN(R870,DAY(EOMONTH(AsAt,0)))))/D870)+1)+O870*(AsAt&gt;='Deal maths'!AA870)),0)</f>
        <v/>
      </c>
      <c r="I870" s="108">
        <f>G870-H870</f>
        <v/>
      </c>
      <c r="J870" s="111">
        <f>IF(AND(C870="EIP",I870&gt;0),'Deal maths'!Y870/I870,0)</f>
        <v/>
      </c>
      <c r="K870" s="111">
        <f>IF(AND(C870="Annuity",I870&gt;0),IF(F870&gt;0,'Deal maths'!Y870*F870/(1-(1+F870)^-I870),'Deal maths'!Y870/I870),0)</f>
        <v/>
      </c>
      <c r="L870" s="111">
        <f>IF('Deal maths'!Y870="",0,'Deal maths'!Y870)</f>
        <v/>
      </c>
      <c r="M870" s="112">
        <f>F870+(F870=0)</f>
        <v/>
      </c>
      <c r="N870" s="108">
        <f>IFERROR(IF(D870=0,0,INT(((YEAR('Deal maths'!AA870)-YEAR(E870))*12+MONTH('Deal maths'!AA870)-MONTH(E870)-(DAY('Deal maths'!AA870)&lt;MIN(R870,DAY(EOMONTH('Deal maths'!AA870,0)))))/D870)+1),0)</f>
        <v/>
      </c>
      <c r="O870" s="108">
        <f>IFERROR(IF(D870=0,0,IF(IF(DAY(E870+1)=1,EOMONTH(E870,(N870-1)*D870),EDATE(E870,(N870-1)*D870))='Deal maths'!AA870,0,1)),0)</f>
        <v/>
      </c>
      <c r="P870" s="113">
        <f>IF(B870=0,0,IFERROR(IF(C870="EIP",((I870-O870)*((IF(DAY(E870+1)=1,EOMONTH(E870,H870*D870),EDATE(E870,H870*D870))-AsAt)/365.25+(IF(DAY(E870+1)=1,EOMONTH(E870,(N870-1)*D870),EDATE(E870,(N870-1)*D870))-AsAt)/365.25)/2+O870*('Deal maths'!AA870-AsAt)/365.25)/I870,IF(C870="Annuity",IF(F870&gt;0,((K870-L870*F870)*((IF(DAY(E870+1)=1,EOMONTH(E870,H870*D870),EDATE(E870,H870*D870))-AsAt)/365.25*((1+F870)^(I870-O870)-1)/F870+IF((I870-O870)&gt;1,((IF(DAY(E870+1)=1,EOMONTH(E870,(N870-1)*D870),EDATE(E870,(N870-1)*D870))-AsAt)/365.25-(IF(DAY(E870+1)=1,EOMONTH(E870,H870*D870),EDATE(E870,H870*D870))-AsAt)/365.25)/((I870-O870)-1),0)*(1+F870)*(1-(I870-O870)*(1+F870)^((I870-O870)-1)+((I870-O870)-1)*(1+F870)^(I870-O870))/F870^2)+O870*(K870-L870*F870)*(1+F870)^(I870-1)*('Deal maths'!AA870-AsAt)/365.25)/L870,((I870-O870)*((IF(DAY(E870+1)=1,EOMONTH(E870,H870*D870),EDATE(E870,H870*D870))-AsAt)/365.25+(IF(DAY(E870+1)=1,EOMONTH(E870,(N870-1)*D870),EDATE(E870,(N870-1)*D870))-AsAt)/365.25)/2+O870*('Deal maths'!AA870-AsAt)/365.25)/I870),(S870-AsAt)/365.25)),0))</f>
        <v/>
      </c>
      <c r="Q870" s="109">
        <f>IF(B870=1,'Deal maths'!AA870+ROW()/1000000,"")</f>
        <v/>
      </c>
      <c r="R870" s="108">
        <f>IF(D870=0,0,IF(DAY(E870+1)=1,31,DAY(E870)))</f>
        <v/>
      </c>
      <c r="S870" s="109">
        <f>IF(AND('Deal maths'!V870="LOBO",'Deal maths'!AG870&gt;AsAt,'Deal maths'!AG870&lt;'Deal maths'!AA870),'Deal maths'!AG870,'Deal maths'!AA870)</f>
        <v/>
      </c>
      <c r="T870" s="108">
        <f>('Deal maths'!AA870&gt;AsAt)*('Deal maths'!Y870&gt;0)</f>
        <v/>
      </c>
    </row>
    <row r="871">
      <c r="A871" s="91">
        <f>IF('Deal maths'!V871="","",'Deal maths'!W871)</f>
        <v/>
      </c>
      <c r="B871" s="108">
        <f>('Deal maths'!AA871&gt;AsAt)*('Deal maths'!Y871&gt;0)*('Deal maths'!Z871&lt;=AsAt)</f>
        <v/>
      </c>
      <c r="C871" s="91">
        <f>IF('Deal maths'!V871="","",IF('Deal maths'!AC871="","Maturity",'Deal maths'!AC871))</f>
        <v/>
      </c>
      <c r="D871" s="108">
        <f>IF(OR(C871="EIP",C871="Annuity"),IF('Deal maths'!AD871="Annual",12,IF('Deal maths'!AD871="Quarterly",3,6)),0)</f>
        <v/>
      </c>
      <c r="E871" s="109">
        <f>IFERROR(IF(D871=0,0,IF('Deal maths'!AE871&gt;0,IF('Deal maths'!AE871&gt;'Deal maths'!AA871,'Deal maths'!AA871,'Deal maths'!AE871),IF(IF(DAY('Deal maths'!AA871+1)=1,EOMONTH('Deal maths'!AA871,-(INT(((YEAR('Deal maths'!AA871)-YEAR(IF('Deal maths'!Z871&gt;0,'Deal maths'!Z871,DATE(1990,1,1))))*12+MONTH('Deal maths'!AA871)-MONTH(IF('Deal maths'!Z871&gt;0,'Deal maths'!Z871,DATE(1990,1,1))))/D871))*D871),EDATE('Deal maths'!AA871,-(INT(((YEAR('Deal maths'!AA871)-YEAR(IF('Deal maths'!Z871&gt;0,'Deal maths'!Z871,DATE(1990,1,1))))*12+MONTH('Deal maths'!AA871)-MONTH(IF('Deal maths'!Z871&gt;0,'Deal maths'!Z871,DATE(1990,1,1))))/D871))*D871))&gt;IF('Deal maths'!Z871&gt;0,'Deal maths'!Z871,DATE(1990,1,1)),IF(DAY('Deal maths'!AA871+1)=1,EOMONTH('Deal maths'!AA871,-(INT(((YEAR('Deal maths'!AA871)-YEAR(IF('Deal maths'!Z871&gt;0,'Deal maths'!Z871,DATE(1990,1,1))))*12+MONTH('Deal maths'!AA871)-MONTH(IF('Deal maths'!Z871&gt;0,'Deal maths'!Z871,DATE(1990,1,1))))/D871))*D871),EDATE('Deal maths'!AA871,-(INT(((YEAR('Deal maths'!AA871)-YEAR(IF('Deal maths'!Z871&gt;0,'Deal maths'!Z871,DATE(1990,1,1))))*12+MONTH('Deal maths'!AA871)-MONTH(IF('Deal maths'!Z871&gt;0,'Deal maths'!Z871,DATE(1990,1,1))))/D871))*D871)),IF(DAY('Deal maths'!AA871+1)=1,EOMONTH('Deal maths'!AA871,-(INT(((YEAR('Deal maths'!AA871)-YEAR(IF('Deal maths'!Z871&gt;0,'Deal maths'!Z871,DATE(1990,1,1))))*12+MONTH('Deal maths'!AA871)-MONTH(IF('Deal maths'!Z871&gt;0,'Deal maths'!Z871,DATE(1990,1,1))))/D871)-1)*D871),EDATE('Deal maths'!AA871,-(INT(((YEAR('Deal maths'!AA871)-YEAR(IF('Deal maths'!Z871&gt;0,'Deal maths'!Z871,DATE(1990,1,1))))*12+MONTH('Deal maths'!AA871)-MONTH(IF('Deal maths'!Z871&gt;0,'Deal maths'!Z871,DATE(1990,1,1))))/D871)-1)*D871))))),0)</f>
        <v/>
      </c>
      <c r="F871" s="110">
        <f>IF(D871=0,0,'Deal maths'!AB871*D871/12)</f>
        <v/>
      </c>
      <c r="G871" s="108">
        <f>N871+O871</f>
        <v/>
      </c>
      <c r="H871" s="108">
        <f>IFERROR(IF(OR(D871=0,AsAt&lt;E871),0,MIN(N871,INT(((YEAR(AsAt)-YEAR(E871))*12+MONTH(AsAt)-MONTH(E871)-(DAY(AsAt)&lt;MIN(R871,DAY(EOMONTH(AsAt,0)))))/D871)+1)+O871*(AsAt&gt;='Deal maths'!AA871)),0)</f>
        <v/>
      </c>
      <c r="I871" s="108">
        <f>G871-H871</f>
        <v/>
      </c>
      <c r="J871" s="111">
        <f>IF(AND(C871="EIP",I871&gt;0),'Deal maths'!Y871/I871,0)</f>
        <v/>
      </c>
      <c r="K871" s="111">
        <f>IF(AND(C871="Annuity",I871&gt;0),IF(F871&gt;0,'Deal maths'!Y871*F871/(1-(1+F871)^-I871),'Deal maths'!Y871/I871),0)</f>
        <v/>
      </c>
      <c r="L871" s="111">
        <f>IF('Deal maths'!Y871="",0,'Deal maths'!Y871)</f>
        <v/>
      </c>
      <c r="M871" s="112">
        <f>F871+(F871=0)</f>
        <v/>
      </c>
      <c r="N871" s="108">
        <f>IFERROR(IF(D871=0,0,INT(((YEAR('Deal maths'!AA871)-YEAR(E871))*12+MONTH('Deal maths'!AA871)-MONTH(E871)-(DAY('Deal maths'!AA871)&lt;MIN(R871,DAY(EOMONTH('Deal maths'!AA871,0)))))/D871)+1),0)</f>
        <v/>
      </c>
      <c r="O871" s="108">
        <f>IFERROR(IF(D871=0,0,IF(IF(DAY(E871+1)=1,EOMONTH(E871,(N871-1)*D871),EDATE(E871,(N871-1)*D871))='Deal maths'!AA871,0,1)),0)</f>
        <v/>
      </c>
      <c r="P871" s="113">
        <f>IF(B871=0,0,IFERROR(IF(C871="EIP",((I871-O871)*((IF(DAY(E871+1)=1,EOMONTH(E871,H871*D871),EDATE(E871,H871*D871))-AsAt)/365.25+(IF(DAY(E871+1)=1,EOMONTH(E871,(N871-1)*D871),EDATE(E871,(N871-1)*D871))-AsAt)/365.25)/2+O871*('Deal maths'!AA871-AsAt)/365.25)/I871,IF(C871="Annuity",IF(F871&gt;0,((K871-L871*F871)*((IF(DAY(E871+1)=1,EOMONTH(E871,H871*D871),EDATE(E871,H871*D871))-AsAt)/365.25*((1+F871)^(I871-O871)-1)/F871+IF((I871-O871)&gt;1,((IF(DAY(E871+1)=1,EOMONTH(E871,(N871-1)*D871),EDATE(E871,(N871-1)*D871))-AsAt)/365.25-(IF(DAY(E871+1)=1,EOMONTH(E871,H871*D871),EDATE(E871,H871*D871))-AsAt)/365.25)/((I871-O871)-1),0)*(1+F871)*(1-(I871-O871)*(1+F871)^((I871-O871)-1)+((I871-O871)-1)*(1+F871)^(I871-O871))/F871^2)+O871*(K871-L871*F871)*(1+F871)^(I871-1)*('Deal maths'!AA871-AsAt)/365.25)/L871,((I871-O871)*((IF(DAY(E871+1)=1,EOMONTH(E871,H871*D871),EDATE(E871,H871*D871))-AsAt)/365.25+(IF(DAY(E871+1)=1,EOMONTH(E871,(N871-1)*D871),EDATE(E871,(N871-1)*D871))-AsAt)/365.25)/2+O871*('Deal maths'!AA871-AsAt)/365.25)/I871),(S871-AsAt)/365.25)),0))</f>
        <v/>
      </c>
      <c r="Q871" s="109">
        <f>IF(B871=1,'Deal maths'!AA871+ROW()/1000000,"")</f>
        <v/>
      </c>
      <c r="R871" s="108">
        <f>IF(D871=0,0,IF(DAY(E871+1)=1,31,DAY(E871)))</f>
        <v/>
      </c>
      <c r="S871" s="109">
        <f>IF(AND('Deal maths'!V871="LOBO",'Deal maths'!AG871&gt;AsAt,'Deal maths'!AG871&lt;'Deal maths'!AA871),'Deal maths'!AG871,'Deal maths'!AA871)</f>
        <v/>
      </c>
      <c r="T871" s="108">
        <f>('Deal maths'!AA871&gt;AsAt)*('Deal maths'!Y871&gt;0)</f>
        <v/>
      </c>
    </row>
    <row r="872">
      <c r="A872" s="91">
        <f>IF('Deal maths'!V872="","",'Deal maths'!W872)</f>
        <v/>
      </c>
      <c r="B872" s="108">
        <f>('Deal maths'!AA872&gt;AsAt)*('Deal maths'!Y872&gt;0)*('Deal maths'!Z872&lt;=AsAt)</f>
        <v/>
      </c>
      <c r="C872" s="91">
        <f>IF('Deal maths'!V872="","",IF('Deal maths'!AC872="","Maturity",'Deal maths'!AC872))</f>
        <v/>
      </c>
      <c r="D872" s="108">
        <f>IF(OR(C872="EIP",C872="Annuity"),IF('Deal maths'!AD872="Annual",12,IF('Deal maths'!AD872="Quarterly",3,6)),0)</f>
        <v/>
      </c>
      <c r="E872" s="109">
        <f>IFERROR(IF(D872=0,0,IF('Deal maths'!AE872&gt;0,IF('Deal maths'!AE872&gt;'Deal maths'!AA872,'Deal maths'!AA872,'Deal maths'!AE872),IF(IF(DAY('Deal maths'!AA872+1)=1,EOMONTH('Deal maths'!AA872,-(INT(((YEAR('Deal maths'!AA872)-YEAR(IF('Deal maths'!Z872&gt;0,'Deal maths'!Z872,DATE(1990,1,1))))*12+MONTH('Deal maths'!AA872)-MONTH(IF('Deal maths'!Z872&gt;0,'Deal maths'!Z872,DATE(1990,1,1))))/D872))*D872),EDATE('Deal maths'!AA872,-(INT(((YEAR('Deal maths'!AA872)-YEAR(IF('Deal maths'!Z872&gt;0,'Deal maths'!Z872,DATE(1990,1,1))))*12+MONTH('Deal maths'!AA872)-MONTH(IF('Deal maths'!Z872&gt;0,'Deal maths'!Z872,DATE(1990,1,1))))/D872))*D872))&gt;IF('Deal maths'!Z872&gt;0,'Deal maths'!Z872,DATE(1990,1,1)),IF(DAY('Deal maths'!AA872+1)=1,EOMONTH('Deal maths'!AA872,-(INT(((YEAR('Deal maths'!AA872)-YEAR(IF('Deal maths'!Z872&gt;0,'Deal maths'!Z872,DATE(1990,1,1))))*12+MONTH('Deal maths'!AA872)-MONTH(IF('Deal maths'!Z872&gt;0,'Deal maths'!Z872,DATE(1990,1,1))))/D872))*D872),EDATE('Deal maths'!AA872,-(INT(((YEAR('Deal maths'!AA872)-YEAR(IF('Deal maths'!Z872&gt;0,'Deal maths'!Z872,DATE(1990,1,1))))*12+MONTH('Deal maths'!AA872)-MONTH(IF('Deal maths'!Z872&gt;0,'Deal maths'!Z872,DATE(1990,1,1))))/D872))*D872)),IF(DAY('Deal maths'!AA872+1)=1,EOMONTH('Deal maths'!AA872,-(INT(((YEAR('Deal maths'!AA872)-YEAR(IF('Deal maths'!Z872&gt;0,'Deal maths'!Z872,DATE(1990,1,1))))*12+MONTH('Deal maths'!AA872)-MONTH(IF('Deal maths'!Z872&gt;0,'Deal maths'!Z872,DATE(1990,1,1))))/D872)-1)*D872),EDATE('Deal maths'!AA872,-(INT(((YEAR('Deal maths'!AA872)-YEAR(IF('Deal maths'!Z872&gt;0,'Deal maths'!Z872,DATE(1990,1,1))))*12+MONTH('Deal maths'!AA872)-MONTH(IF('Deal maths'!Z872&gt;0,'Deal maths'!Z872,DATE(1990,1,1))))/D872)-1)*D872))))),0)</f>
        <v/>
      </c>
      <c r="F872" s="110">
        <f>IF(D872=0,0,'Deal maths'!AB872*D872/12)</f>
        <v/>
      </c>
      <c r="G872" s="108">
        <f>N872+O872</f>
        <v/>
      </c>
      <c r="H872" s="108">
        <f>IFERROR(IF(OR(D872=0,AsAt&lt;E872),0,MIN(N872,INT(((YEAR(AsAt)-YEAR(E872))*12+MONTH(AsAt)-MONTH(E872)-(DAY(AsAt)&lt;MIN(R872,DAY(EOMONTH(AsAt,0)))))/D872)+1)+O872*(AsAt&gt;='Deal maths'!AA872)),0)</f>
        <v/>
      </c>
      <c r="I872" s="108">
        <f>G872-H872</f>
        <v/>
      </c>
      <c r="J872" s="111">
        <f>IF(AND(C872="EIP",I872&gt;0),'Deal maths'!Y872/I872,0)</f>
        <v/>
      </c>
      <c r="K872" s="111">
        <f>IF(AND(C872="Annuity",I872&gt;0),IF(F872&gt;0,'Deal maths'!Y872*F872/(1-(1+F872)^-I872),'Deal maths'!Y872/I872),0)</f>
        <v/>
      </c>
      <c r="L872" s="111">
        <f>IF('Deal maths'!Y872="",0,'Deal maths'!Y872)</f>
        <v/>
      </c>
      <c r="M872" s="112">
        <f>F872+(F872=0)</f>
        <v/>
      </c>
      <c r="N872" s="108">
        <f>IFERROR(IF(D872=0,0,INT(((YEAR('Deal maths'!AA872)-YEAR(E872))*12+MONTH('Deal maths'!AA872)-MONTH(E872)-(DAY('Deal maths'!AA872)&lt;MIN(R872,DAY(EOMONTH('Deal maths'!AA872,0)))))/D872)+1),0)</f>
        <v/>
      </c>
      <c r="O872" s="108">
        <f>IFERROR(IF(D872=0,0,IF(IF(DAY(E872+1)=1,EOMONTH(E872,(N872-1)*D872),EDATE(E872,(N872-1)*D872))='Deal maths'!AA872,0,1)),0)</f>
        <v/>
      </c>
      <c r="P872" s="113">
        <f>IF(B872=0,0,IFERROR(IF(C872="EIP",((I872-O872)*((IF(DAY(E872+1)=1,EOMONTH(E872,H872*D872),EDATE(E872,H872*D872))-AsAt)/365.25+(IF(DAY(E872+1)=1,EOMONTH(E872,(N872-1)*D872),EDATE(E872,(N872-1)*D872))-AsAt)/365.25)/2+O872*('Deal maths'!AA872-AsAt)/365.25)/I872,IF(C872="Annuity",IF(F872&gt;0,((K872-L872*F872)*((IF(DAY(E872+1)=1,EOMONTH(E872,H872*D872),EDATE(E872,H872*D872))-AsAt)/365.25*((1+F872)^(I872-O872)-1)/F872+IF((I872-O872)&gt;1,((IF(DAY(E872+1)=1,EOMONTH(E872,(N872-1)*D872),EDATE(E872,(N872-1)*D872))-AsAt)/365.25-(IF(DAY(E872+1)=1,EOMONTH(E872,H872*D872),EDATE(E872,H872*D872))-AsAt)/365.25)/((I872-O872)-1),0)*(1+F872)*(1-(I872-O872)*(1+F872)^((I872-O872)-1)+((I872-O872)-1)*(1+F872)^(I872-O872))/F872^2)+O872*(K872-L872*F872)*(1+F872)^(I872-1)*('Deal maths'!AA872-AsAt)/365.25)/L872,((I872-O872)*((IF(DAY(E872+1)=1,EOMONTH(E872,H872*D872),EDATE(E872,H872*D872))-AsAt)/365.25+(IF(DAY(E872+1)=1,EOMONTH(E872,(N872-1)*D872),EDATE(E872,(N872-1)*D872))-AsAt)/365.25)/2+O872*('Deal maths'!AA872-AsAt)/365.25)/I872),(S872-AsAt)/365.25)),0))</f>
        <v/>
      </c>
      <c r="Q872" s="109">
        <f>IF(B872=1,'Deal maths'!AA872+ROW()/1000000,"")</f>
        <v/>
      </c>
      <c r="R872" s="108">
        <f>IF(D872=0,0,IF(DAY(E872+1)=1,31,DAY(E872)))</f>
        <v/>
      </c>
      <c r="S872" s="109">
        <f>IF(AND('Deal maths'!V872="LOBO",'Deal maths'!AG872&gt;AsAt,'Deal maths'!AG872&lt;'Deal maths'!AA872),'Deal maths'!AG872,'Deal maths'!AA872)</f>
        <v/>
      </c>
      <c r="T872" s="108">
        <f>('Deal maths'!AA872&gt;AsAt)*('Deal maths'!Y872&gt;0)</f>
        <v/>
      </c>
    </row>
    <row r="873">
      <c r="A873" s="91">
        <f>IF('Deal maths'!V873="","",'Deal maths'!W873)</f>
        <v/>
      </c>
      <c r="B873" s="108">
        <f>('Deal maths'!AA873&gt;AsAt)*('Deal maths'!Y873&gt;0)*('Deal maths'!Z873&lt;=AsAt)</f>
        <v/>
      </c>
      <c r="C873" s="91">
        <f>IF('Deal maths'!V873="","",IF('Deal maths'!AC873="","Maturity",'Deal maths'!AC873))</f>
        <v/>
      </c>
      <c r="D873" s="108">
        <f>IF(OR(C873="EIP",C873="Annuity"),IF('Deal maths'!AD873="Annual",12,IF('Deal maths'!AD873="Quarterly",3,6)),0)</f>
        <v/>
      </c>
      <c r="E873" s="109">
        <f>IFERROR(IF(D873=0,0,IF('Deal maths'!AE873&gt;0,IF('Deal maths'!AE873&gt;'Deal maths'!AA873,'Deal maths'!AA873,'Deal maths'!AE873),IF(IF(DAY('Deal maths'!AA873+1)=1,EOMONTH('Deal maths'!AA873,-(INT(((YEAR('Deal maths'!AA873)-YEAR(IF('Deal maths'!Z873&gt;0,'Deal maths'!Z873,DATE(1990,1,1))))*12+MONTH('Deal maths'!AA873)-MONTH(IF('Deal maths'!Z873&gt;0,'Deal maths'!Z873,DATE(1990,1,1))))/D873))*D873),EDATE('Deal maths'!AA873,-(INT(((YEAR('Deal maths'!AA873)-YEAR(IF('Deal maths'!Z873&gt;0,'Deal maths'!Z873,DATE(1990,1,1))))*12+MONTH('Deal maths'!AA873)-MONTH(IF('Deal maths'!Z873&gt;0,'Deal maths'!Z873,DATE(1990,1,1))))/D873))*D873))&gt;IF('Deal maths'!Z873&gt;0,'Deal maths'!Z873,DATE(1990,1,1)),IF(DAY('Deal maths'!AA873+1)=1,EOMONTH('Deal maths'!AA873,-(INT(((YEAR('Deal maths'!AA873)-YEAR(IF('Deal maths'!Z873&gt;0,'Deal maths'!Z873,DATE(1990,1,1))))*12+MONTH('Deal maths'!AA873)-MONTH(IF('Deal maths'!Z873&gt;0,'Deal maths'!Z873,DATE(1990,1,1))))/D873))*D873),EDATE('Deal maths'!AA873,-(INT(((YEAR('Deal maths'!AA873)-YEAR(IF('Deal maths'!Z873&gt;0,'Deal maths'!Z873,DATE(1990,1,1))))*12+MONTH('Deal maths'!AA873)-MONTH(IF('Deal maths'!Z873&gt;0,'Deal maths'!Z873,DATE(1990,1,1))))/D873))*D873)),IF(DAY('Deal maths'!AA873+1)=1,EOMONTH('Deal maths'!AA873,-(INT(((YEAR('Deal maths'!AA873)-YEAR(IF('Deal maths'!Z873&gt;0,'Deal maths'!Z873,DATE(1990,1,1))))*12+MONTH('Deal maths'!AA873)-MONTH(IF('Deal maths'!Z873&gt;0,'Deal maths'!Z873,DATE(1990,1,1))))/D873)-1)*D873),EDATE('Deal maths'!AA873,-(INT(((YEAR('Deal maths'!AA873)-YEAR(IF('Deal maths'!Z873&gt;0,'Deal maths'!Z873,DATE(1990,1,1))))*12+MONTH('Deal maths'!AA873)-MONTH(IF('Deal maths'!Z873&gt;0,'Deal maths'!Z873,DATE(1990,1,1))))/D873)-1)*D873))))),0)</f>
        <v/>
      </c>
      <c r="F873" s="110">
        <f>IF(D873=0,0,'Deal maths'!AB873*D873/12)</f>
        <v/>
      </c>
      <c r="G873" s="108">
        <f>N873+O873</f>
        <v/>
      </c>
      <c r="H873" s="108">
        <f>IFERROR(IF(OR(D873=0,AsAt&lt;E873),0,MIN(N873,INT(((YEAR(AsAt)-YEAR(E873))*12+MONTH(AsAt)-MONTH(E873)-(DAY(AsAt)&lt;MIN(R873,DAY(EOMONTH(AsAt,0)))))/D873)+1)+O873*(AsAt&gt;='Deal maths'!AA873)),0)</f>
        <v/>
      </c>
      <c r="I873" s="108">
        <f>G873-H873</f>
        <v/>
      </c>
      <c r="J873" s="111">
        <f>IF(AND(C873="EIP",I873&gt;0),'Deal maths'!Y873/I873,0)</f>
        <v/>
      </c>
      <c r="K873" s="111">
        <f>IF(AND(C873="Annuity",I873&gt;0),IF(F873&gt;0,'Deal maths'!Y873*F873/(1-(1+F873)^-I873),'Deal maths'!Y873/I873),0)</f>
        <v/>
      </c>
      <c r="L873" s="111">
        <f>IF('Deal maths'!Y873="",0,'Deal maths'!Y873)</f>
        <v/>
      </c>
      <c r="M873" s="112">
        <f>F873+(F873=0)</f>
        <v/>
      </c>
      <c r="N873" s="108">
        <f>IFERROR(IF(D873=0,0,INT(((YEAR('Deal maths'!AA873)-YEAR(E873))*12+MONTH('Deal maths'!AA873)-MONTH(E873)-(DAY('Deal maths'!AA873)&lt;MIN(R873,DAY(EOMONTH('Deal maths'!AA873,0)))))/D873)+1),0)</f>
        <v/>
      </c>
      <c r="O873" s="108">
        <f>IFERROR(IF(D873=0,0,IF(IF(DAY(E873+1)=1,EOMONTH(E873,(N873-1)*D873),EDATE(E873,(N873-1)*D873))='Deal maths'!AA873,0,1)),0)</f>
        <v/>
      </c>
      <c r="P873" s="113">
        <f>IF(B873=0,0,IFERROR(IF(C873="EIP",((I873-O873)*((IF(DAY(E873+1)=1,EOMONTH(E873,H873*D873),EDATE(E873,H873*D873))-AsAt)/365.25+(IF(DAY(E873+1)=1,EOMONTH(E873,(N873-1)*D873),EDATE(E873,(N873-1)*D873))-AsAt)/365.25)/2+O873*('Deal maths'!AA873-AsAt)/365.25)/I873,IF(C873="Annuity",IF(F873&gt;0,((K873-L873*F873)*((IF(DAY(E873+1)=1,EOMONTH(E873,H873*D873),EDATE(E873,H873*D873))-AsAt)/365.25*((1+F873)^(I873-O873)-1)/F873+IF((I873-O873)&gt;1,((IF(DAY(E873+1)=1,EOMONTH(E873,(N873-1)*D873),EDATE(E873,(N873-1)*D873))-AsAt)/365.25-(IF(DAY(E873+1)=1,EOMONTH(E873,H873*D873),EDATE(E873,H873*D873))-AsAt)/365.25)/((I873-O873)-1),0)*(1+F873)*(1-(I873-O873)*(1+F873)^((I873-O873)-1)+((I873-O873)-1)*(1+F873)^(I873-O873))/F873^2)+O873*(K873-L873*F873)*(1+F873)^(I873-1)*('Deal maths'!AA873-AsAt)/365.25)/L873,((I873-O873)*((IF(DAY(E873+1)=1,EOMONTH(E873,H873*D873),EDATE(E873,H873*D873))-AsAt)/365.25+(IF(DAY(E873+1)=1,EOMONTH(E873,(N873-1)*D873),EDATE(E873,(N873-1)*D873))-AsAt)/365.25)/2+O873*('Deal maths'!AA873-AsAt)/365.25)/I873),(S873-AsAt)/365.25)),0))</f>
        <v/>
      </c>
      <c r="Q873" s="109">
        <f>IF(B873=1,'Deal maths'!AA873+ROW()/1000000,"")</f>
        <v/>
      </c>
      <c r="R873" s="108">
        <f>IF(D873=0,0,IF(DAY(E873+1)=1,31,DAY(E873)))</f>
        <v/>
      </c>
      <c r="S873" s="109">
        <f>IF(AND('Deal maths'!V873="LOBO",'Deal maths'!AG873&gt;AsAt,'Deal maths'!AG873&lt;'Deal maths'!AA873),'Deal maths'!AG873,'Deal maths'!AA873)</f>
        <v/>
      </c>
      <c r="T873" s="108">
        <f>('Deal maths'!AA873&gt;AsAt)*('Deal maths'!Y873&gt;0)</f>
        <v/>
      </c>
    </row>
    <row r="874">
      <c r="A874" s="91">
        <f>IF('Deal maths'!V874="","",'Deal maths'!W874)</f>
        <v/>
      </c>
      <c r="B874" s="108">
        <f>('Deal maths'!AA874&gt;AsAt)*('Deal maths'!Y874&gt;0)*('Deal maths'!Z874&lt;=AsAt)</f>
        <v/>
      </c>
      <c r="C874" s="91">
        <f>IF('Deal maths'!V874="","",IF('Deal maths'!AC874="","Maturity",'Deal maths'!AC874))</f>
        <v/>
      </c>
      <c r="D874" s="108">
        <f>IF(OR(C874="EIP",C874="Annuity"),IF('Deal maths'!AD874="Annual",12,IF('Deal maths'!AD874="Quarterly",3,6)),0)</f>
        <v/>
      </c>
      <c r="E874" s="109">
        <f>IFERROR(IF(D874=0,0,IF('Deal maths'!AE874&gt;0,IF('Deal maths'!AE874&gt;'Deal maths'!AA874,'Deal maths'!AA874,'Deal maths'!AE874),IF(IF(DAY('Deal maths'!AA874+1)=1,EOMONTH('Deal maths'!AA874,-(INT(((YEAR('Deal maths'!AA874)-YEAR(IF('Deal maths'!Z874&gt;0,'Deal maths'!Z874,DATE(1990,1,1))))*12+MONTH('Deal maths'!AA874)-MONTH(IF('Deal maths'!Z874&gt;0,'Deal maths'!Z874,DATE(1990,1,1))))/D874))*D874),EDATE('Deal maths'!AA874,-(INT(((YEAR('Deal maths'!AA874)-YEAR(IF('Deal maths'!Z874&gt;0,'Deal maths'!Z874,DATE(1990,1,1))))*12+MONTH('Deal maths'!AA874)-MONTH(IF('Deal maths'!Z874&gt;0,'Deal maths'!Z874,DATE(1990,1,1))))/D874))*D874))&gt;IF('Deal maths'!Z874&gt;0,'Deal maths'!Z874,DATE(1990,1,1)),IF(DAY('Deal maths'!AA874+1)=1,EOMONTH('Deal maths'!AA874,-(INT(((YEAR('Deal maths'!AA874)-YEAR(IF('Deal maths'!Z874&gt;0,'Deal maths'!Z874,DATE(1990,1,1))))*12+MONTH('Deal maths'!AA874)-MONTH(IF('Deal maths'!Z874&gt;0,'Deal maths'!Z874,DATE(1990,1,1))))/D874))*D874),EDATE('Deal maths'!AA874,-(INT(((YEAR('Deal maths'!AA874)-YEAR(IF('Deal maths'!Z874&gt;0,'Deal maths'!Z874,DATE(1990,1,1))))*12+MONTH('Deal maths'!AA874)-MONTH(IF('Deal maths'!Z874&gt;0,'Deal maths'!Z874,DATE(1990,1,1))))/D874))*D874)),IF(DAY('Deal maths'!AA874+1)=1,EOMONTH('Deal maths'!AA874,-(INT(((YEAR('Deal maths'!AA874)-YEAR(IF('Deal maths'!Z874&gt;0,'Deal maths'!Z874,DATE(1990,1,1))))*12+MONTH('Deal maths'!AA874)-MONTH(IF('Deal maths'!Z874&gt;0,'Deal maths'!Z874,DATE(1990,1,1))))/D874)-1)*D874),EDATE('Deal maths'!AA874,-(INT(((YEAR('Deal maths'!AA874)-YEAR(IF('Deal maths'!Z874&gt;0,'Deal maths'!Z874,DATE(1990,1,1))))*12+MONTH('Deal maths'!AA874)-MONTH(IF('Deal maths'!Z874&gt;0,'Deal maths'!Z874,DATE(1990,1,1))))/D874)-1)*D874))))),0)</f>
        <v/>
      </c>
      <c r="F874" s="110">
        <f>IF(D874=0,0,'Deal maths'!AB874*D874/12)</f>
        <v/>
      </c>
      <c r="G874" s="108">
        <f>N874+O874</f>
        <v/>
      </c>
      <c r="H874" s="108">
        <f>IFERROR(IF(OR(D874=0,AsAt&lt;E874),0,MIN(N874,INT(((YEAR(AsAt)-YEAR(E874))*12+MONTH(AsAt)-MONTH(E874)-(DAY(AsAt)&lt;MIN(R874,DAY(EOMONTH(AsAt,0)))))/D874)+1)+O874*(AsAt&gt;='Deal maths'!AA874)),0)</f>
        <v/>
      </c>
      <c r="I874" s="108">
        <f>G874-H874</f>
        <v/>
      </c>
      <c r="J874" s="111">
        <f>IF(AND(C874="EIP",I874&gt;0),'Deal maths'!Y874/I874,0)</f>
        <v/>
      </c>
      <c r="K874" s="111">
        <f>IF(AND(C874="Annuity",I874&gt;0),IF(F874&gt;0,'Deal maths'!Y874*F874/(1-(1+F874)^-I874),'Deal maths'!Y874/I874),0)</f>
        <v/>
      </c>
      <c r="L874" s="111">
        <f>IF('Deal maths'!Y874="",0,'Deal maths'!Y874)</f>
        <v/>
      </c>
      <c r="M874" s="112">
        <f>F874+(F874=0)</f>
        <v/>
      </c>
      <c r="N874" s="108">
        <f>IFERROR(IF(D874=0,0,INT(((YEAR('Deal maths'!AA874)-YEAR(E874))*12+MONTH('Deal maths'!AA874)-MONTH(E874)-(DAY('Deal maths'!AA874)&lt;MIN(R874,DAY(EOMONTH('Deal maths'!AA874,0)))))/D874)+1),0)</f>
        <v/>
      </c>
      <c r="O874" s="108">
        <f>IFERROR(IF(D874=0,0,IF(IF(DAY(E874+1)=1,EOMONTH(E874,(N874-1)*D874),EDATE(E874,(N874-1)*D874))='Deal maths'!AA874,0,1)),0)</f>
        <v/>
      </c>
      <c r="P874" s="113">
        <f>IF(B874=0,0,IFERROR(IF(C874="EIP",((I874-O874)*((IF(DAY(E874+1)=1,EOMONTH(E874,H874*D874),EDATE(E874,H874*D874))-AsAt)/365.25+(IF(DAY(E874+1)=1,EOMONTH(E874,(N874-1)*D874),EDATE(E874,(N874-1)*D874))-AsAt)/365.25)/2+O874*('Deal maths'!AA874-AsAt)/365.25)/I874,IF(C874="Annuity",IF(F874&gt;0,((K874-L874*F874)*((IF(DAY(E874+1)=1,EOMONTH(E874,H874*D874),EDATE(E874,H874*D874))-AsAt)/365.25*((1+F874)^(I874-O874)-1)/F874+IF((I874-O874)&gt;1,((IF(DAY(E874+1)=1,EOMONTH(E874,(N874-1)*D874),EDATE(E874,(N874-1)*D874))-AsAt)/365.25-(IF(DAY(E874+1)=1,EOMONTH(E874,H874*D874),EDATE(E874,H874*D874))-AsAt)/365.25)/((I874-O874)-1),0)*(1+F874)*(1-(I874-O874)*(1+F874)^((I874-O874)-1)+((I874-O874)-1)*(1+F874)^(I874-O874))/F874^2)+O874*(K874-L874*F874)*(1+F874)^(I874-1)*('Deal maths'!AA874-AsAt)/365.25)/L874,((I874-O874)*((IF(DAY(E874+1)=1,EOMONTH(E874,H874*D874),EDATE(E874,H874*D874))-AsAt)/365.25+(IF(DAY(E874+1)=1,EOMONTH(E874,(N874-1)*D874),EDATE(E874,(N874-1)*D874))-AsAt)/365.25)/2+O874*('Deal maths'!AA874-AsAt)/365.25)/I874),(S874-AsAt)/365.25)),0))</f>
        <v/>
      </c>
      <c r="Q874" s="109">
        <f>IF(B874=1,'Deal maths'!AA874+ROW()/1000000,"")</f>
        <v/>
      </c>
      <c r="R874" s="108">
        <f>IF(D874=0,0,IF(DAY(E874+1)=1,31,DAY(E874)))</f>
        <v/>
      </c>
      <c r="S874" s="109">
        <f>IF(AND('Deal maths'!V874="LOBO",'Deal maths'!AG874&gt;AsAt,'Deal maths'!AG874&lt;'Deal maths'!AA874),'Deal maths'!AG874,'Deal maths'!AA874)</f>
        <v/>
      </c>
      <c r="T874" s="108">
        <f>('Deal maths'!AA874&gt;AsAt)*('Deal maths'!Y874&gt;0)</f>
        <v/>
      </c>
    </row>
    <row r="875">
      <c r="A875" s="91">
        <f>IF('Deal maths'!V875="","",'Deal maths'!W875)</f>
        <v/>
      </c>
      <c r="B875" s="108">
        <f>('Deal maths'!AA875&gt;AsAt)*('Deal maths'!Y875&gt;0)*('Deal maths'!Z875&lt;=AsAt)</f>
        <v/>
      </c>
      <c r="C875" s="91">
        <f>IF('Deal maths'!V875="","",IF('Deal maths'!AC875="","Maturity",'Deal maths'!AC875))</f>
        <v/>
      </c>
      <c r="D875" s="108">
        <f>IF(OR(C875="EIP",C875="Annuity"),IF('Deal maths'!AD875="Annual",12,IF('Deal maths'!AD875="Quarterly",3,6)),0)</f>
        <v/>
      </c>
      <c r="E875" s="109">
        <f>IFERROR(IF(D875=0,0,IF('Deal maths'!AE875&gt;0,IF('Deal maths'!AE875&gt;'Deal maths'!AA875,'Deal maths'!AA875,'Deal maths'!AE875),IF(IF(DAY('Deal maths'!AA875+1)=1,EOMONTH('Deal maths'!AA875,-(INT(((YEAR('Deal maths'!AA875)-YEAR(IF('Deal maths'!Z875&gt;0,'Deal maths'!Z875,DATE(1990,1,1))))*12+MONTH('Deal maths'!AA875)-MONTH(IF('Deal maths'!Z875&gt;0,'Deal maths'!Z875,DATE(1990,1,1))))/D875))*D875),EDATE('Deal maths'!AA875,-(INT(((YEAR('Deal maths'!AA875)-YEAR(IF('Deal maths'!Z875&gt;0,'Deal maths'!Z875,DATE(1990,1,1))))*12+MONTH('Deal maths'!AA875)-MONTH(IF('Deal maths'!Z875&gt;0,'Deal maths'!Z875,DATE(1990,1,1))))/D875))*D875))&gt;IF('Deal maths'!Z875&gt;0,'Deal maths'!Z875,DATE(1990,1,1)),IF(DAY('Deal maths'!AA875+1)=1,EOMONTH('Deal maths'!AA875,-(INT(((YEAR('Deal maths'!AA875)-YEAR(IF('Deal maths'!Z875&gt;0,'Deal maths'!Z875,DATE(1990,1,1))))*12+MONTH('Deal maths'!AA875)-MONTH(IF('Deal maths'!Z875&gt;0,'Deal maths'!Z875,DATE(1990,1,1))))/D875))*D875),EDATE('Deal maths'!AA875,-(INT(((YEAR('Deal maths'!AA875)-YEAR(IF('Deal maths'!Z875&gt;0,'Deal maths'!Z875,DATE(1990,1,1))))*12+MONTH('Deal maths'!AA875)-MONTH(IF('Deal maths'!Z875&gt;0,'Deal maths'!Z875,DATE(1990,1,1))))/D875))*D875)),IF(DAY('Deal maths'!AA875+1)=1,EOMONTH('Deal maths'!AA875,-(INT(((YEAR('Deal maths'!AA875)-YEAR(IF('Deal maths'!Z875&gt;0,'Deal maths'!Z875,DATE(1990,1,1))))*12+MONTH('Deal maths'!AA875)-MONTH(IF('Deal maths'!Z875&gt;0,'Deal maths'!Z875,DATE(1990,1,1))))/D875)-1)*D875),EDATE('Deal maths'!AA875,-(INT(((YEAR('Deal maths'!AA875)-YEAR(IF('Deal maths'!Z875&gt;0,'Deal maths'!Z875,DATE(1990,1,1))))*12+MONTH('Deal maths'!AA875)-MONTH(IF('Deal maths'!Z875&gt;0,'Deal maths'!Z875,DATE(1990,1,1))))/D875)-1)*D875))))),0)</f>
        <v/>
      </c>
      <c r="F875" s="110">
        <f>IF(D875=0,0,'Deal maths'!AB875*D875/12)</f>
        <v/>
      </c>
      <c r="G875" s="108">
        <f>N875+O875</f>
        <v/>
      </c>
      <c r="H875" s="108">
        <f>IFERROR(IF(OR(D875=0,AsAt&lt;E875),0,MIN(N875,INT(((YEAR(AsAt)-YEAR(E875))*12+MONTH(AsAt)-MONTH(E875)-(DAY(AsAt)&lt;MIN(R875,DAY(EOMONTH(AsAt,0)))))/D875)+1)+O875*(AsAt&gt;='Deal maths'!AA875)),0)</f>
        <v/>
      </c>
      <c r="I875" s="108">
        <f>G875-H875</f>
        <v/>
      </c>
      <c r="J875" s="111">
        <f>IF(AND(C875="EIP",I875&gt;0),'Deal maths'!Y875/I875,0)</f>
        <v/>
      </c>
      <c r="K875" s="111">
        <f>IF(AND(C875="Annuity",I875&gt;0),IF(F875&gt;0,'Deal maths'!Y875*F875/(1-(1+F875)^-I875),'Deal maths'!Y875/I875),0)</f>
        <v/>
      </c>
      <c r="L875" s="111">
        <f>IF('Deal maths'!Y875="",0,'Deal maths'!Y875)</f>
        <v/>
      </c>
      <c r="M875" s="112">
        <f>F875+(F875=0)</f>
        <v/>
      </c>
      <c r="N875" s="108">
        <f>IFERROR(IF(D875=0,0,INT(((YEAR('Deal maths'!AA875)-YEAR(E875))*12+MONTH('Deal maths'!AA875)-MONTH(E875)-(DAY('Deal maths'!AA875)&lt;MIN(R875,DAY(EOMONTH('Deal maths'!AA875,0)))))/D875)+1),0)</f>
        <v/>
      </c>
      <c r="O875" s="108">
        <f>IFERROR(IF(D875=0,0,IF(IF(DAY(E875+1)=1,EOMONTH(E875,(N875-1)*D875),EDATE(E875,(N875-1)*D875))='Deal maths'!AA875,0,1)),0)</f>
        <v/>
      </c>
      <c r="P875" s="113">
        <f>IF(B875=0,0,IFERROR(IF(C875="EIP",((I875-O875)*((IF(DAY(E875+1)=1,EOMONTH(E875,H875*D875),EDATE(E875,H875*D875))-AsAt)/365.25+(IF(DAY(E875+1)=1,EOMONTH(E875,(N875-1)*D875),EDATE(E875,(N875-1)*D875))-AsAt)/365.25)/2+O875*('Deal maths'!AA875-AsAt)/365.25)/I875,IF(C875="Annuity",IF(F875&gt;0,((K875-L875*F875)*((IF(DAY(E875+1)=1,EOMONTH(E875,H875*D875),EDATE(E875,H875*D875))-AsAt)/365.25*((1+F875)^(I875-O875)-1)/F875+IF((I875-O875)&gt;1,((IF(DAY(E875+1)=1,EOMONTH(E875,(N875-1)*D875),EDATE(E875,(N875-1)*D875))-AsAt)/365.25-(IF(DAY(E875+1)=1,EOMONTH(E875,H875*D875),EDATE(E875,H875*D875))-AsAt)/365.25)/((I875-O875)-1),0)*(1+F875)*(1-(I875-O875)*(1+F875)^((I875-O875)-1)+((I875-O875)-1)*(1+F875)^(I875-O875))/F875^2)+O875*(K875-L875*F875)*(1+F875)^(I875-1)*('Deal maths'!AA875-AsAt)/365.25)/L875,((I875-O875)*((IF(DAY(E875+1)=1,EOMONTH(E875,H875*D875),EDATE(E875,H875*D875))-AsAt)/365.25+(IF(DAY(E875+1)=1,EOMONTH(E875,(N875-1)*D875),EDATE(E875,(N875-1)*D875))-AsAt)/365.25)/2+O875*('Deal maths'!AA875-AsAt)/365.25)/I875),(S875-AsAt)/365.25)),0))</f>
        <v/>
      </c>
      <c r="Q875" s="109">
        <f>IF(B875=1,'Deal maths'!AA875+ROW()/1000000,"")</f>
        <v/>
      </c>
      <c r="R875" s="108">
        <f>IF(D875=0,0,IF(DAY(E875+1)=1,31,DAY(E875)))</f>
        <v/>
      </c>
      <c r="S875" s="109">
        <f>IF(AND('Deal maths'!V875="LOBO",'Deal maths'!AG875&gt;AsAt,'Deal maths'!AG875&lt;'Deal maths'!AA875),'Deal maths'!AG875,'Deal maths'!AA875)</f>
        <v/>
      </c>
      <c r="T875" s="108">
        <f>('Deal maths'!AA875&gt;AsAt)*('Deal maths'!Y875&gt;0)</f>
        <v/>
      </c>
    </row>
    <row r="876">
      <c r="A876" s="91">
        <f>IF('Deal maths'!V876="","",'Deal maths'!W876)</f>
        <v/>
      </c>
      <c r="B876" s="108">
        <f>('Deal maths'!AA876&gt;AsAt)*('Deal maths'!Y876&gt;0)*('Deal maths'!Z876&lt;=AsAt)</f>
        <v/>
      </c>
      <c r="C876" s="91">
        <f>IF('Deal maths'!V876="","",IF('Deal maths'!AC876="","Maturity",'Deal maths'!AC876))</f>
        <v/>
      </c>
      <c r="D876" s="108">
        <f>IF(OR(C876="EIP",C876="Annuity"),IF('Deal maths'!AD876="Annual",12,IF('Deal maths'!AD876="Quarterly",3,6)),0)</f>
        <v/>
      </c>
      <c r="E876" s="109">
        <f>IFERROR(IF(D876=0,0,IF('Deal maths'!AE876&gt;0,IF('Deal maths'!AE876&gt;'Deal maths'!AA876,'Deal maths'!AA876,'Deal maths'!AE876),IF(IF(DAY('Deal maths'!AA876+1)=1,EOMONTH('Deal maths'!AA876,-(INT(((YEAR('Deal maths'!AA876)-YEAR(IF('Deal maths'!Z876&gt;0,'Deal maths'!Z876,DATE(1990,1,1))))*12+MONTH('Deal maths'!AA876)-MONTH(IF('Deal maths'!Z876&gt;0,'Deal maths'!Z876,DATE(1990,1,1))))/D876))*D876),EDATE('Deal maths'!AA876,-(INT(((YEAR('Deal maths'!AA876)-YEAR(IF('Deal maths'!Z876&gt;0,'Deal maths'!Z876,DATE(1990,1,1))))*12+MONTH('Deal maths'!AA876)-MONTH(IF('Deal maths'!Z876&gt;0,'Deal maths'!Z876,DATE(1990,1,1))))/D876))*D876))&gt;IF('Deal maths'!Z876&gt;0,'Deal maths'!Z876,DATE(1990,1,1)),IF(DAY('Deal maths'!AA876+1)=1,EOMONTH('Deal maths'!AA876,-(INT(((YEAR('Deal maths'!AA876)-YEAR(IF('Deal maths'!Z876&gt;0,'Deal maths'!Z876,DATE(1990,1,1))))*12+MONTH('Deal maths'!AA876)-MONTH(IF('Deal maths'!Z876&gt;0,'Deal maths'!Z876,DATE(1990,1,1))))/D876))*D876),EDATE('Deal maths'!AA876,-(INT(((YEAR('Deal maths'!AA876)-YEAR(IF('Deal maths'!Z876&gt;0,'Deal maths'!Z876,DATE(1990,1,1))))*12+MONTH('Deal maths'!AA876)-MONTH(IF('Deal maths'!Z876&gt;0,'Deal maths'!Z876,DATE(1990,1,1))))/D876))*D876)),IF(DAY('Deal maths'!AA876+1)=1,EOMONTH('Deal maths'!AA876,-(INT(((YEAR('Deal maths'!AA876)-YEAR(IF('Deal maths'!Z876&gt;0,'Deal maths'!Z876,DATE(1990,1,1))))*12+MONTH('Deal maths'!AA876)-MONTH(IF('Deal maths'!Z876&gt;0,'Deal maths'!Z876,DATE(1990,1,1))))/D876)-1)*D876),EDATE('Deal maths'!AA876,-(INT(((YEAR('Deal maths'!AA876)-YEAR(IF('Deal maths'!Z876&gt;0,'Deal maths'!Z876,DATE(1990,1,1))))*12+MONTH('Deal maths'!AA876)-MONTH(IF('Deal maths'!Z876&gt;0,'Deal maths'!Z876,DATE(1990,1,1))))/D876)-1)*D876))))),0)</f>
        <v/>
      </c>
      <c r="F876" s="110">
        <f>IF(D876=0,0,'Deal maths'!AB876*D876/12)</f>
        <v/>
      </c>
      <c r="G876" s="108">
        <f>N876+O876</f>
        <v/>
      </c>
      <c r="H876" s="108">
        <f>IFERROR(IF(OR(D876=0,AsAt&lt;E876),0,MIN(N876,INT(((YEAR(AsAt)-YEAR(E876))*12+MONTH(AsAt)-MONTH(E876)-(DAY(AsAt)&lt;MIN(R876,DAY(EOMONTH(AsAt,0)))))/D876)+1)+O876*(AsAt&gt;='Deal maths'!AA876)),0)</f>
        <v/>
      </c>
      <c r="I876" s="108">
        <f>G876-H876</f>
        <v/>
      </c>
      <c r="J876" s="111">
        <f>IF(AND(C876="EIP",I876&gt;0),'Deal maths'!Y876/I876,0)</f>
        <v/>
      </c>
      <c r="K876" s="111">
        <f>IF(AND(C876="Annuity",I876&gt;0),IF(F876&gt;0,'Deal maths'!Y876*F876/(1-(1+F876)^-I876),'Deal maths'!Y876/I876),0)</f>
        <v/>
      </c>
      <c r="L876" s="111">
        <f>IF('Deal maths'!Y876="",0,'Deal maths'!Y876)</f>
        <v/>
      </c>
      <c r="M876" s="112">
        <f>F876+(F876=0)</f>
        <v/>
      </c>
      <c r="N876" s="108">
        <f>IFERROR(IF(D876=0,0,INT(((YEAR('Deal maths'!AA876)-YEAR(E876))*12+MONTH('Deal maths'!AA876)-MONTH(E876)-(DAY('Deal maths'!AA876)&lt;MIN(R876,DAY(EOMONTH('Deal maths'!AA876,0)))))/D876)+1),0)</f>
        <v/>
      </c>
      <c r="O876" s="108">
        <f>IFERROR(IF(D876=0,0,IF(IF(DAY(E876+1)=1,EOMONTH(E876,(N876-1)*D876),EDATE(E876,(N876-1)*D876))='Deal maths'!AA876,0,1)),0)</f>
        <v/>
      </c>
      <c r="P876" s="113">
        <f>IF(B876=0,0,IFERROR(IF(C876="EIP",((I876-O876)*((IF(DAY(E876+1)=1,EOMONTH(E876,H876*D876),EDATE(E876,H876*D876))-AsAt)/365.25+(IF(DAY(E876+1)=1,EOMONTH(E876,(N876-1)*D876),EDATE(E876,(N876-1)*D876))-AsAt)/365.25)/2+O876*('Deal maths'!AA876-AsAt)/365.25)/I876,IF(C876="Annuity",IF(F876&gt;0,((K876-L876*F876)*((IF(DAY(E876+1)=1,EOMONTH(E876,H876*D876),EDATE(E876,H876*D876))-AsAt)/365.25*((1+F876)^(I876-O876)-1)/F876+IF((I876-O876)&gt;1,((IF(DAY(E876+1)=1,EOMONTH(E876,(N876-1)*D876),EDATE(E876,(N876-1)*D876))-AsAt)/365.25-(IF(DAY(E876+1)=1,EOMONTH(E876,H876*D876),EDATE(E876,H876*D876))-AsAt)/365.25)/((I876-O876)-1),0)*(1+F876)*(1-(I876-O876)*(1+F876)^((I876-O876)-1)+((I876-O876)-1)*(1+F876)^(I876-O876))/F876^2)+O876*(K876-L876*F876)*(1+F876)^(I876-1)*('Deal maths'!AA876-AsAt)/365.25)/L876,((I876-O876)*((IF(DAY(E876+1)=1,EOMONTH(E876,H876*D876),EDATE(E876,H876*D876))-AsAt)/365.25+(IF(DAY(E876+1)=1,EOMONTH(E876,(N876-1)*D876),EDATE(E876,(N876-1)*D876))-AsAt)/365.25)/2+O876*('Deal maths'!AA876-AsAt)/365.25)/I876),(S876-AsAt)/365.25)),0))</f>
        <v/>
      </c>
      <c r="Q876" s="109">
        <f>IF(B876=1,'Deal maths'!AA876+ROW()/1000000,"")</f>
        <v/>
      </c>
      <c r="R876" s="108">
        <f>IF(D876=0,0,IF(DAY(E876+1)=1,31,DAY(E876)))</f>
        <v/>
      </c>
      <c r="S876" s="109">
        <f>IF(AND('Deal maths'!V876="LOBO",'Deal maths'!AG876&gt;AsAt,'Deal maths'!AG876&lt;'Deal maths'!AA876),'Deal maths'!AG876,'Deal maths'!AA876)</f>
        <v/>
      </c>
      <c r="T876" s="108">
        <f>('Deal maths'!AA876&gt;AsAt)*('Deal maths'!Y876&gt;0)</f>
        <v/>
      </c>
    </row>
    <row r="877">
      <c r="A877" s="91">
        <f>IF('Deal maths'!V877="","",'Deal maths'!W877)</f>
        <v/>
      </c>
      <c r="B877" s="108">
        <f>('Deal maths'!AA877&gt;AsAt)*('Deal maths'!Y877&gt;0)*('Deal maths'!Z877&lt;=AsAt)</f>
        <v/>
      </c>
      <c r="C877" s="91">
        <f>IF('Deal maths'!V877="","",IF('Deal maths'!AC877="","Maturity",'Deal maths'!AC877))</f>
        <v/>
      </c>
      <c r="D877" s="108">
        <f>IF(OR(C877="EIP",C877="Annuity"),IF('Deal maths'!AD877="Annual",12,IF('Deal maths'!AD877="Quarterly",3,6)),0)</f>
        <v/>
      </c>
      <c r="E877" s="109">
        <f>IFERROR(IF(D877=0,0,IF('Deal maths'!AE877&gt;0,IF('Deal maths'!AE877&gt;'Deal maths'!AA877,'Deal maths'!AA877,'Deal maths'!AE877),IF(IF(DAY('Deal maths'!AA877+1)=1,EOMONTH('Deal maths'!AA877,-(INT(((YEAR('Deal maths'!AA877)-YEAR(IF('Deal maths'!Z877&gt;0,'Deal maths'!Z877,DATE(1990,1,1))))*12+MONTH('Deal maths'!AA877)-MONTH(IF('Deal maths'!Z877&gt;0,'Deal maths'!Z877,DATE(1990,1,1))))/D877))*D877),EDATE('Deal maths'!AA877,-(INT(((YEAR('Deal maths'!AA877)-YEAR(IF('Deal maths'!Z877&gt;0,'Deal maths'!Z877,DATE(1990,1,1))))*12+MONTH('Deal maths'!AA877)-MONTH(IF('Deal maths'!Z877&gt;0,'Deal maths'!Z877,DATE(1990,1,1))))/D877))*D877))&gt;IF('Deal maths'!Z877&gt;0,'Deal maths'!Z877,DATE(1990,1,1)),IF(DAY('Deal maths'!AA877+1)=1,EOMONTH('Deal maths'!AA877,-(INT(((YEAR('Deal maths'!AA877)-YEAR(IF('Deal maths'!Z877&gt;0,'Deal maths'!Z877,DATE(1990,1,1))))*12+MONTH('Deal maths'!AA877)-MONTH(IF('Deal maths'!Z877&gt;0,'Deal maths'!Z877,DATE(1990,1,1))))/D877))*D877),EDATE('Deal maths'!AA877,-(INT(((YEAR('Deal maths'!AA877)-YEAR(IF('Deal maths'!Z877&gt;0,'Deal maths'!Z877,DATE(1990,1,1))))*12+MONTH('Deal maths'!AA877)-MONTH(IF('Deal maths'!Z877&gt;0,'Deal maths'!Z877,DATE(1990,1,1))))/D877))*D877)),IF(DAY('Deal maths'!AA877+1)=1,EOMONTH('Deal maths'!AA877,-(INT(((YEAR('Deal maths'!AA877)-YEAR(IF('Deal maths'!Z877&gt;0,'Deal maths'!Z877,DATE(1990,1,1))))*12+MONTH('Deal maths'!AA877)-MONTH(IF('Deal maths'!Z877&gt;0,'Deal maths'!Z877,DATE(1990,1,1))))/D877)-1)*D877),EDATE('Deal maths'!AA877,-(INT(((YEAR('Deal maths'!AA877)-YEAR(IF('Deal maths'!Z877&gt;0,'Deal maths'!Z877,DATE(1990,1,1))))*12+MONTH('Deal maths'!AA877)-MONTH(IF('Deal maths'!Z877&gt;0,'Deal maths'!Z877,DATE(1990,1,1))))/D877)-1)*D877))))),0)</f>
        <v/>
      </c>
      <c r="F877" s="110">
        <f>IF(D877=0,0,'Deal maths'!AB877*D877/12)</f>
        <v/>
      </c>
      <c r="G877" s="108">
        <f>N877+O877</f>
        <v/>
      </c>
      <c r="H877" s="108">
        <f>IFERROR(IF(OR(D877=0,AsAt&lt;E877),0,MIN(N877,INT(((YEAR(AsAt)-YEAR(E877))*12+MONTH(AsAt)-MONTH(E877)-(DAY(AsAt)&lt;MIN(R877,DAY(EOMONTH(AsAt,0)))))/D877)+1)+O877*(AsAt&gt;='Deal maths'!AA877)),0)</f>
        <v/>
      </c>
      <c r="I877" s="108">
        <f>G877-H877</f>
        <v/>
      </c>
      <c r="J877" s="111">
        <f>IF(AND(C877="EIP",I877&gt;0),'Deal maths'!Y877/I877,0)</f>
        <v/>
      </c>
      <c r="K877" s="111">
        <f>IF(AND(C877="Annuity",I877&gt;0),IF(F877&gt;0,'Deal maths'!Y877*F877/(1-(1+F877)^-I877),'Deal maths'!Y877/I877),0)</f>
        <v/>
      </c>
      <c r="L877" s="111">
        <f>IF('Deal maths'!Y877="",0,'Deal maths'!Y877)</f>
        <v/>
      </c>
      <c r="M877" s="112">
        <f>F877+(F877=0)</f>
        <v/>
      </c>
      <c r="N877" s="108">
        <f>IFERROR(IF(D877=0,0,INT(((YEAR('Deal maths'!AA877)-YEAR(E877))*12+MONTH('Deal maths'!AA877)-MONTH(E877)-(DAY('Deal maths'!AA877)&lt;MIN(R877,DAY(EOMONTH('Deal maths'!AA877,0)))))/D877)+1),0)</f>
        <v/>
      </c>
      <c r="O877" s="108">
        <f>IFERROR(IF(D877=0,0,IF(IF(DAY(E877+1)=1,EOMONTH(E877,(N877-1)*D877),EDATE(E877,(N877-1)*D877))='Deal maths'!AA877,0,1)),0)</f>
        <v/>
      </c>
      <c r="P877" s="113">
        <f>IF(B877=0,0,IFERROR(IF(C877="EIP",((I877-O877)*((IF(DAY(E877+1)=1,EOMONTH(E877,H877*D877),EDATE(E877,H877*D877))-AsAt)/365.25+(IF(DAY(E877+1)=1,EOMONTH(E877,(N877-1)*D877),EDATE(E877,(N877-1)*D877))-AsAt)/365.25)/2+O877*('Deal maths'!AA877-AsAt)/365.25)/I877,IF(C877="Annuity",IF(F877&gt;0,((K877-L877*F877)*((IF(DAY(E877+1)=1,EOMONTH(E877,H877*D877),EDATE(E877,H877*D877))-AsAt)/365.25*((1+F877)^(I877-O877)-1)/F877+IF((I877-O877)&gt;1,((IF(DAY(E877+1)=1,EOMONTH(E877,(N877-1)*D877),EDATE(E877,(N877-1)*D877))-AsAt)/365.25-(IF(DAY(E877+1)=1,EOMONTH(E877,H877*D877),EDATE(E877,H877*D877))-AsAt)/365.25)/((I877-O877)-1),0)*(1+F877)*(1-(I877-O877)*(1+F877)^((I877-O877)-1)+((I877-O877)-1)*(1+F877)^(I877-O877))/F877^2)+O877*(K877-L877*F877)*(1+F877)^(I877-1)*('Deal maths'!AA877-AsAt)/365.25)/L877,((I877-O877)*((IF(DAY(E877+1)=1,EOMONTH(E877,H877*D877),EDATE(E877,H877*D877))-AsAt)/365.25+(IF(DAY(E877+1)=1,EOMONTH(E877,(N877-1)*D877),EDATE(E877,(N877-1)*D877))-AsAt)/365.25)/2+O877*('Deal maths'!AA877-AsAt)/365.25)/I877),(S877-AsAt)/365.25)),0))</f>
        <v/>
      </c>
      <c r="Q877" s="109">
        <f>IF(B877=1,'Deal maths'!AA877+ROW()/1000000,"")</f>
        <v/>
      </c>
      <c r="R877" s="108">
        <f>IF(D877=0,0,IF(DAY(E877+1)=1,31,DAY(E877)))</f>
        <v/>
      </c>
      <c r="S877" s="109">
        <f>IF(AND('Deal maths'!V877="LOBO",'Deal maths'!AG877&gt;AsAt,'Deal maths'!AG877&lt;'Deal maths'!AA877),'Deal maths'!AG877,'Deal maths'!AA877)</f>
        <v/>
      </c>
      <c r="T877" s="108">
        <f>('Deal maths'!AA877&gt;AsAt)*('Deal maths'!Y877&gt;0)</f>
        <v/>
      </c>
    </row>
    <row r="878">
      <c r="A878" s="91">
        <f>IF('Deal maths'!V878="","",'Deal maths'!W878)</f>
        <v/>
      </c>
      <c r="B878" s="108">
        <f>('Deal maths'!AA878&gt;AsAt)*('Deal maths'!Y878&gt;0)*('Deal maths'!Z878&lt;=AsAt)</f>
        <v/>
      </c>
      <c r="C878" s="91">
        <f>IF('Deal maths'!V878="","",IF('Deal maths'!AC878="","Maturity",'Deal maths'!AC878))</f>
        <v/>
      </c>
      <c r="D878" s="108">
        <f>IF(OR(C878="EIP",C878="Annuity"),IF('Deal maths'!AD878="Annual",12,IF('Deal maths'!AD878="Quarterly",3,6)),0)</f>
        <v/>
      </c>
      <c r="E878" s="109">
        <f>IFERROR(IF(D878=0,0,IF('Deal maths'!AE878&gt;0,IF('Deal maths'!AE878&gt;'Deal maths'!AA878,'Deal maths'!AA878,'Deal maths'!AE878),IF(IF(DAY('Deal maths'!AA878+1)=1,EOMONTH('Deal maths'!AA878,-(INT(((YEAR('Deal maths'!AA878)-YEAR(IF('Deal maths'!Z878&gt;0,'Deal maths'!Z878,DATE(1990,1,1))))*12+MONTH('Deal maths'!AA878)-MONTH(IF('Deal maths'!Z878&gt;0,'Deal maths'!Z878,DATE(1990,1,1))))/D878))*D878),EDATE('Deal maths'!AA878,-(INT(((YEAR('Deal maths'!AA878)-YEAR(IF('Deal maths'!Z878&gt;0,'Deal maths'!Z878,DATE(1990,1,1))))*12+MONTH('Deal maths'!AA878)-MONTH(IF('Deal maths'!Z878&gt;0,'Deal maths'!Z878,DATE(1990,1,1))))/D878))*D878))&gt;IF('Deal maths'!Z878&gt;0,'Deal maths'!Z878,DATE(1990,1,1)),IF(DAY('Deal maths'!AA878+1)=1,EOMONTH('Deal maths'!AA878,-(INT(((YEAR('Deal maths'!AA878)-YEAR(IF('Deal maths'!Z878&gt;0,'Deal maths'!Z878,DATE(1990,1,1))))*12+MONTH('Deal maths'!AA878)-MONTH(IF('Deal maths'!Z878&gt;0,'Deal maths'!Z878,DATE(1990,1,1))))/D878))*D878),EDATE('Deal maths'!AA878,-(INT(((YEAR('Deal maths'!AA878)-YEAR(IF('Deal maths'!Z878&gt;0,'Deal maths'!Z878,DATE(1990,1,1))))*12+MONTH('Deal maths'!AA878)-MONTH(IF('Deal maths'!Z878&gt;0,'Deal maths'!Z878,DATE(1990,1,1))))/D878))*D878)),IF(DAY('Deal maths'!AA878+1)=1,EOMONTH('Deal maths'!AA878,-(INT(((YEAR('Deal maths'!AA878)-YEAR(IF('Deal maths'!Z878&gt;0,'Deal maths'!Z878,DATE(1990,1,1))))*12+MONTH('Deal maths'!AA878)-MONTH(IF('Deal maths'!Z878&gt;0,'Deal maths'!Z878,DATE(1990,1,1))))/D878)-1)*D878),EDATE('Deal maths'!AA878,-(INT(((YEAR('Deal maths'!AA878)-YEAR(IF('Deal maths'!Z878&gt;0,'Deal maths'!Z878,DATE(1990,1,1))))*12+MONTH('Deal maths'!AA878)-MONTH(IF('Deal maths'!Z878&gt;0,'Deal maths'!Z878,DATE(1990,1,1))))/D878)-1)*D878))))),0)</f>
        <v/>
      </c>
      <c r="F878" s="110">
        <f>IF(D878=0,0,'Deal maths'!AB878*D878/12)</f>
        <v/>
      </c>
      <c r="G878" s="108">
        <f>N878+O878</f>
        <v/>
      </c>
      <c r="H878" s="108">
        <f>IFERROR(IF(OR(D878=0,AsAt&lt;E878),0,MIN(N878,INT(((YEAR(AsAt)-YEAR(E878))*12+MONTH(AsAt)-MONTH(E878)-(DAY(AsAt)&lt;MIN(R878,DAY(EOMONTH(AsAt,0)))))/D878)+1)+O878*(AsAt&gt;='Deal maths'!AA878)),0)</f>
        <v/>
      </c>
      <c r="I878" s="108">
        <f>G878-H878</f>
        <v/>
      </c>
      <c r="J878" s="111">
        <f>IF(AND(C878="EIP",I878&gt;0),'Deal maths'!Y878/I878,0)</f>
        <v/>
      </c>
      <c r="K878" s="111">
        <f>IF(AND(C878="Annuity",I878&gt;0),IF(F878&gt;0,'Deal maths'!Y878*F878/(1-(1+F878)^-I878),'Deal maths'!Y878/I878),0)</f>
        <v/>
      </c>
      <c r="L878" s="111">
        <f>IF('Deal maths'!Y878="",0,'Deal maths'!Y878)</f>
        <v/>
      </c>
      <c r="M878" s="112">
        <f>F878+(F878=0)</f>
        <v/>
      </c>
      <c r="N878" s="108">
        <f>IFERROR(IF(D878=0,0,INT(((YEAR('Deal maths'!AA878)-YEAR(E878))*12+MONTH('Deal maths'!AA878)-MONTH(E878)-(DAY('Deal maths'!AA878)&lt;MIN(R878,DAY(EOMONTH('Deal maths'!AA878,0)))))/D878)+1),0)</f>
        <v/>
      </c>
      <c r="O878" s="108">
        <f>IFERROR(IF(D878=0,0,IF(IF(DAY(E878+1)=1,EOMONTH(E878,(N878-1)*D878),EDATE(E878,(N878-1)*D878))='Deal maths'!AA878,0,1)),0)</f>
        <v/>
      </c>
      <c r="P878" s="113">
        <f>IF(B878=0,0,IFERROR(IF(C878="EIP",((I878-O878)*((IF(DAY(E878+1)=1,EOMONTH(E878,H878*D878),EDATE(E878,H878*D878))-AsAt)/365.25+(IF(DAY(E878+1)=1,EOMONTH(E878,(N878-1)*D878),EDATE(E878,(N878-1)*D878))-AsAt)/365.25)/2+O878*('Deal maths'!AA878-AsAt)/365.25)/I878,IF(C878="Annuity",IF(F878&gt;0,((K878-L878*F878)*((IF(DAY(E878+1)=1,EOMONTH(E878,H878*D878),EDATE(E878,H878*D878))-AsAt)/365.25*((1+F878)^(I878-O878)-1)/F878+IF((I878-O878)&gt;1,((IF(DAY(E878+1)=1,EOMONTH(E878,(N878-1)*D878),EDATE(E878,(N878-1)*D878))-AsAt)/365.25-(IF(DAY(E878+1)=1,EOMONTH(E878,H878*D878),EDATE(E878,H878*D878))-AsAt)/365.25)/((I878-O878)-1),0)*(1+F878)*(1-(I878-O878)*(1+F878)^((I878-O878)-1)+((I878-O878)-1)*(1+F878)^(I878-O878))/F878^2)+O878*(K878-L878*F878)*(1+F878)^(I878-1)*('Deal maths'!AA878-AsAt)/365.25)/L878,((I878-O878)*((IF(DAY(E878+1)=1,EOMONTH(E878,H878*D878),EDATE(E878,H878*D878))-AsAt)/365.25+(IF(DAY(E878+1)=1,EOMONTH(E878,(N878-1)*D878),EDATE(E878,(N878-1)*D878))-AsAt)/365.25)/2+O878*('Deal maths'!AA878-AsAt)/365.25)/I878),(S878-AsAt)/365.25)),0))</f>
        <v/>
      </c>
      <c r="Q878" s="109">
        <f>IF(B878=1,'Deal maths'!AA878+ROW()/1000000,"")</f>
        <v/>
      </c>
      <c r="R878" s="108">
        <f>IF(D878=0,0,IF(DAY(E878+1)=1,31,DAY(E878)))</f>
        <v/>
      </c>
      <c r="S878" s="109">
        <f>IF(AND('Deal maths'!V878="LOBO",'Deal maths'!AG878&gt;AsAt,'Deal maths'!AG878&lt;'Deal maths'!AA878),'Deal maths'!AG878,'Deal maths'!AA878)</f>
        <v/>
      </c>
      <c r="T878" s="108">
        <f>('Deal maths'!AA878&gt;AsAt)*('Deal maths'!Y878&gt;0)</f>
        <v/>
      </c>
    </row>
    <row r="879">
      <c r="A879" s="91">
        <f>IF('Deal maths'!V879="","",'Deal maths'!W879)</f>
        <v/>
      </c>
      <c r="B879" s="108">
        <f>('Deal maths'!AA879&gt;AsAt)*('Deal maths'!Y879&gt;0)*('Deal maths'!Z879&lt;=AsAt)</f>
        <v/>
      </c>
      <c r="C879" s="91">
        <f>IF('Deal maths'!V879="","",IF('Deal maths'!AC879="","Maturity",'Deal maths'!AC879))</f>
        <v/>
      </c>
      <c r="D879" s="108">
        <f>IF(OR(C879="EIP",C879="Annuity"),IF('Deal maths'!AD879="Annual",12,IF('Deal maths'!AD879="Quarterly",3,6)),0)</f>
        <v/>
      </c>
      <c r="E879" s="109">
        <f>IFERROR(IF(D879=0,0,IF('Deal maths'!AE879&gt;0,IF('Deal maths'!AE879&gt;'Deal maths'!AA879,'Deal maths'!AA879,'Deal maths'!AE879),IF(IF(DAY('Deal maths'!AA879+1)=1,EOMONTH('Deal maths'!AA879,-(INT(((YEAR('Deal maths'!AA879)-YEAR(IF('Deal maths'!Z879&gt;0,'Deal maths'!Z879,DATE(1990,1,1))))*12+MONTH('Deal maths'!AA879)-MONTH(IF('Deal maths'!Z879&gt;0,'Deal maths'!Z879,DATE(1990,1,1))))/D879))*D879),EDATE('Deal maths'!AA879,-(INT(((YEAR('Deal maths'!AA879)-YEAR(IF('Deal maths'!Z879&gt;0,'Deal maths'!Z879,DATE(1990,1,1))))*12+MONTH('Deal maths'!AA879)-MONTH(IF('Deal maths'!Z879&gt;0,'Deal maths'!Z879,DATE(1990,1,1))))/D879))*D879))&gt;IF('Deal maths'!Z879&gt;0,'Deal maths'!Z879,DATE(1990,1,1)),IF(DAY('Deal maths'!AA879+1)=1,EOMONTH('Deal maths'!AA879,-(INT(((YEAR('Deal maths'!AA879)-YEAR(IF('Deal maths'!Z879&gt;0,'Deal maths'!Z879,DATE(1990,1,1))))*12+MONTH('Deal maths'!AA879)-MONTH(IF('Deal maths'!Z879&gt;0,'Deal maths'!Z879,DATE(1990,1,1))))/D879))*D879),EDATE('Deal maths'!AA879,-(INT(((YEAR('Deal maths'!AA879)-YEAR(IF('Deal maths'!Z879&gt;0,'Deal maths'!Z879,DATE(1990,1,1))))*12+MONTH('Deal maths'!AA879)-MONTH(IF('Deal maths'!Z879&gt;0,'Deal maths'!Z879,DATE(1990,1,1))))/D879))*D879)),IF(DAY('Deal maths'!AA879+1)=1,EOMONTH('Deal maths'!AA879,-(INT(((YEAR('Deal maths'!AA879)-YEAR(IF('Deal maths'!Z879&gt;0,'Deal maths'!Z879,DATE(1990,1,1))))*12+MONTH('Deal maths'!AA879)-MONTH(IF('Deal maths'!Z879&gt;0,'Deal maths'!Z879,DATE(1990,1,1))))/D879)-1)*D879),EDATE('Deal maths'!AA879,-(INT(((YEAR('Deal maths'!AA879)-YEAR(IF('Deal maths'!Z879&gt;0,'Deal maths'!Z879,DATE(1990,1,1))))*12+MONTH('Deal maths'!AA879)-MONTH(IF('Deal maths'!Z879&gt;0,'Deal maths'!Z879,DATE(1990,1,1))))/D879)-1)*D879))))),0)</f>
        <v/>
      </c>
      <c r="F879" s="110">
        <f>IF(D879=0,0,'Deal maths'!AB879*D879/12)</f>
        <v/>
      </c>
      <c r="G879" s="108">
        <f>N879+O879</f>
        <v/>
      </c>
      <c r="H879" s="108">
        <f>IFERROR(IF(OR(D879=0,AsAt&lt;E879),0,MIN(N879,INT(((YEAR(AsAt)-YEAR(E879))*12+MONTH(AsAt)-MONTH(E879)-(DAY(AsAt)&lt;MIN(R879,DAY(EOMONTH(AsAt,0)))))/D879)+1)+O879*(AsAt&gt;='Deal maths'!AA879)),0)</f>
        <v/>
      </c>
      <c r="I879" s="108">
        <f>G879-H879</f>
        <v/>
      </c>
      <c r="J879" s="111">
        <f>IF(AND(C879="EIP",I879&gt;0),'Deal maths'!Y879/I879,0)</f>
        <v/>
      </c>
      <c r="K879" s="111">
        <f>IF(AND(C879="Annuity",I879&gt;0),IF(F879&gt;0,'Deal maths'!Y879*F879/(1-(1+F879)^-I879),'Deal maths'!Y879/I879),0)</f>
        <v/>
      </c>
      <c r="L879" s="111">
        <f>IF('Deal maths'!Y879="",0,'Deal maths'!Y879)</f>
        <v/>
      </c>
      <c r="M879" s="112">
        <f>F879+(F879=0)</f>
        <v/>
      </c>
      <c r="N879" s="108">
        <f>IFERROR(IF(D879=0,0,INT(((YEAR('Deal maths'!AA879)-YEAR(E879))*12+MONTH('Deal maths'!AA879)-MONTH(E879)-(DAY('Deal maths'!AA879)&lt;MIN(R879,DAY(EOMONTH('Deal maths'!AA879,0)))))/D879)+1),0)</f>
        <v/>
      </c>
      <c r="O879" s="108">
        <f>IFERROR(IF(D879=0,0,IF(IF(DAY(E879+1)=1,EOMONTH(E879,(N879-1)*D879),EDATE(E879,(N879-1)*D879))='Deal maths'!AA879,0,1)),0)</f>
        <v/>
      </c>
      <c r="P879" s="113">
        <f>IF(B879=0,0,IFERROR(IF(C879="EIP",((I879-O879)*((IF(DAY(E879+1)=1,EOMONTH(E879,H879*D879),EDATE(E879,H879*D879))-AsAt)/365.25+(IF(DAY(E879+1)=1,EOMONTH(E879,(N879-1)*D879),EDATE(E879,(N879-1)*D879))-AsAt)/365.25)/2+O879*('Deal maths'!AA879-AsAt)/365.25)/I879,IF(C879="Annuity",IF(F879&gt;0,((K879-L879*F879)*((IF(DAY(E879+1)=1,EOMONTH(E879,H879*D879),EDATE(E879,H879*D879))-AsAt)/365.25*((1+F879)^(I879-O879)-1)/F879+IF((I879-O879)&gt;1,((IF(DAY(E879+1)=1,EOMONTH(E879,(N879-1)*D879),EDATE(E879,(N879-1)*D879))-AsAt)/365.25-(IF(DAY(E879+1)=1,EOMONTH(E879,H879*D879),EDATE(E879,H879*D879))-AsAt)/365.25)/((I879-O879)-1),0)*(1+F879)*(1-(I879-O879)*(1+F879)^((I879-O879)-1)+((I879-O879)-1)*(1+F879)^(I879-O879))/F879^2)+O879*(K879-L879*F879)*(1+F879)^(I879-1)*('Deal maths'!AA879-AsAt)/365.25)/L879,((I879-O879)*((IF(DAY(E879+1)=1,EOMONTH(E879,H879*D879),EDATE(E879,H879*D879))-AsAt)/365.25+(IF(DAY(E879+1)=1,EOMONTH(E879,(N879-1)*D879),EDATE(E879,(N879-1)*D879))-AsAt)/365.25)/2+O879*('Deal maths'!AA879-AsAt)/365.25)/I879),(S879-AsAt)/365.25)),0))</f>
        <v/>
      </c>
      <c r="Q879" s="109">
        <f>IF(B879=1,'Deal maths'!AA879+ROW()/1000000,"")</f>
        <v/>
      </c>
      <c r="R879" s="108">
        <f>IF(D879=0,0,IF(DAY(E879+1)=1,31,DAY(E879)))</f>
        <v/>
      </c>
      <c r="S879" s="109">
        <f>IF(AND('Deal maths'!V879="LOBO",'Deal maths'!AG879&gt;AsAt,'Deal maths'!AG879&lt;'Deal maths'!AA879),'Deal maths'!AG879,'Deal maths'!AA879)</f>
        <v/>
      </c>
      <c r="T879" s="108">
        <f>('Deal maths'!AA879&gt;AsAt)*('Deal maths'!Y879&gt;0)</f>
        <v/>
      </c>
    </row>
    <row r="880">
      <c r="A880" s="91">
        <f>IF('Deal maths'!V880="","",'Deal maths'!W880)</f>
        <v/>
      </c>
      <c r="B880" s="108">
        <f>('Deal maths'!AA880&gt;AsAt)*('Deal maths'!Y880&gt;0)*('Deal maths'!Z880&lt;=AsAt)</f>
        <v/>
      </c>
      <c r="C880" s="91">
        <f>IF('Deal maths'!V880="","",IF('Deal maths'!AC880="","Maturity",'Deal maths'!AC880))</f>
        <v/>
      </c>
      <c r="D880" s="108">
        <f>IF(OR(C880="EIP",C880="Annuity"),IF('Deal maths'!AD880="Annual",12,IF('Deal maths'!AD880="Quarterly",3,6)),0)</f>
        <v/>
      </c>
      <c r="E880" s="109">
        <f>IFERROR(IF(D880=0,0,IF('Deal maths'!AE880&gt;0,IF('Deal maths'!AE880&gt;'Deal maths'!AA880,'Deal maths'!AA880,'Deal maths'!AE880),IF(IF(DAY('Deal maths'!AA880+1)=1,EOMONTH('Deal maths'!AA880,-(INT(((YEAR('Deal maths'!AA880)-YEAR(IF('Deal maths'!Z880&gt;0,'Deal maths'!Z880,DATE(1990,1,1))))*12+MONTH('Deal maths'!AA880)-MONTH(IF('Deal maths'!Z880&gt;0,'Deal maths'!Z880,DATE(1990,1,1))))/D880))*D880),EDATE('Deal maths'!AA880,-(INT(((YEAR('Deal maths'!AA880)-YEAR(IF('Deal maths'!Z880&gt;0,'Deal maths'!Z880,DATE(1990,1,1))))*12+MONTH('Deal maths'!AA880)-MONTH(IF('Deal maths'!Z880&gt;0,'Deal maths'!Z880,DATE(1990,1,1))))/D880))*D880))&gt;IF('Deal maths'!Z880&gt;0,'Deal maths'!Z880,DATE(1990,1,1)),IF(DAY('Deal maths'!AA880+1)=1,EOMONTH('Deal maths'!AA880,-(INT(((YEAR('Deal maths'!AA880)-YEAR(IF('Deal maths'!Z880&gt;0,'Deal maths'!Z880,DATE(1990,1,1))))*12+MONTH('Deal maths'!AA880)-MONTH(IF('Deal maths'!Z880&gt;0,'Deal maths'!Z880,DATE(1990,1,1))))/D880))*D880),EDATE('Deal maths'!AA880,-(INT(((YEAR('Deal maths'!AA880)-YEAR(IF('Deal maths'!Z880&gt;0,'Deal maths'!Z880,DATE(1990,1,1))))*12+MONTH('Deal maths'!AA880)-MONTH(IF('Deal maths'!Z880&gt;0,'Deal maths'!Z880,DATE(1990,1,1))))/D880))*D880)),IF(DAY('Deal maths'!AA880+1)=1,EOMONTH('Deal maths'!AA880,-(INT(((YEAR('Deal maths'!AA880)-YEAR(IF('Deal maths'!Z880&gt;0,'Deal maths'!Z880,DATE(1990,1,1))))*12+MONTH('Deal maths'!AA880)-MONTH(IF('Deal maths'!Z880&gt;0,'Deal maths'!Z880,DATE(1990,1,1))))/D880)-1)*D880),EDATE('Deal maths'!AA880,-(INT(((YEAR('Deal maths'!AA880)-YEAR(IF('Deal maths'!Z880&gt;0,'Deal maths'!Z880,DATE(1990,1,1))))*12+MONTH('Deal maths'!AA880)-MONTH(IF('Deal maths'!Z880&gt;0,'Deal maths'!Z880,DATE(1990,1,1))))/D880)-1)*D880))))),0)</f>
        <v/>
      </c>
      <c r="F880" s="110">
        <f>IF(D880=0,0,'Deal maths'!AB880*D880/12)</f>
        <v/>
      </c>
      <c r="G880" s="108">
        <f>N880+O880</f>
        <v/>
      </c>
      <c r="H880" s="108">
        <f>IFERROR(IF(OR(D880=0,AsAt&lt;E880),0,MIN(N880,INT(((YEAR(AsAt)-YEAR(E880))*12+MONTH(AsAt)-MONTH(E880)-(DAY(AsAt)&lt;MIN(R880,DAY(EOMONTH(AsAt,0)))))/D880)+1)+O880*(AsAt&gt;='Deal maths'!AA880)),0)</f>
        <v/>
      </c>
      <c r="I880" s="108">
        <f>G880-H880</f>
        <v/>
      </c>
      <c r="J880" s="111">
        <f>IF(AND(C880="EIP",I880&gt;0),'Deal maths'!Y880/I880,0)</f>
        <v/>
      </c>
      <c r="K880" s="111">
        <f>IF(AND(C880="Annuity",I880&gt;0),IF(F880&gt;0,'Deal maths'!Y880*F880/(1-(1+F880)^-I880),'Deal maths'!Y880/I880),0)</f>
        <v/>
      </c>
      <c r="L880" s="111">
        <f>IF('Deal maths'!Y880="",0,'Deal maths'!Y880)</f>
        <v/>
      </c>
      <c r="M880" s="112">
        <f>F880+(F880=0)</f>
        <v/>
      </c>
      <c r="N880" s="108">
        <f>IFERROR(IF(D880=0,0,INT(((YEAR('Deal maths'!AA880)-YEAR(E880))*12+MONTH('Deal maths'!AA880)-MONTH(E880)-(DAY('Deal maths'!AA880)&lt;MIN(R880,DAY(EOMONTH('Deal maths'!AA880,0)))))/D880)+1),0)</f>
        <v/>
      </c>
      <c r="O880" s="108">
        <f>IFERROR(IF(D880=0,0,IF(IF(DAY(E880+1)=1,EOMONTH(E880,(N880-1)*D880),EDATE(E880,(N880-1)*D880))='Deal maths'!AA880,0,1)),0)</f>
        <v/>
      </c>
      <c r="P880" s="113">
        <f>IF(B880=0,0,IFERROR(IF(C880="EIP",((I880-O880)*((IF(DAY(E880+1)=1,EOMONTH(E880,H880*D880),EDATE(E880,H880*D880))-AsAt)/365.25+(IF(DAY(E880+1)=1,EOMONTH(E880,(N880-1)*D880),EDATE(E880,(N880-1)*D880))-AsAt)/365.25)/2+O880*('Deal maths'!AA880-AsAt)/365.25)/I880,IF(C880="Annuity",IF(F880&gt;0,((K880-L880*F880)*((IF(DAY(E880+1)=1,EOMONTH(E880,H880*D880),EDATE(E880,H880*D880))-AsAt)/365.25*((1+F880)^(I880-O880)-1)/F880+IF((I880-O880)&gt;1,((IF(DAY(E880+1)=1,EOMONTH(E880,(N880-1)*D880),EDATE(E880,(N880-1)*D880))-AsAt)/365.25-(IF(DAY(E880+1)=1,EOMONTH(E880,H880*D880),EDATE(E880,H880*D880))-AsAt)/365.25)/((I880-O880)-1),0)*(1+F880)*(1-(I880-O880)*(1+F880)^((I880-O880)-1)+((I880-O880)-1)*(1+F880)^(I880-O880))/F880^2)+O880*(K880-L880*F880)*(1+F880)^(I880-1)*('Deal maths'!AA880-AsAt)/365.25)/L880,((I880-O880)*((IF(DAY(E880+1)=1,EOMONTH(E880,H880*D880),EDATE(E880,H880*D880))-AsAt)/365.25+(IF(DAY(E880+1)=1,EOMONTH(E880,(N880-1)*D880),EDATE(E880,(N880-1)*D880))-AsAt)/365.25)/2+O880*('Deal maths'!AA880-AsAt)/365.25)/I880),(S880-AsAt)/365.25)),0))</f>
        <v/>
      </c>
      <c r="Q880" s="109">
        <f>IF(B880=1,'Deal maths'!AA880+ROW()/1000000,"")</f>
        <v/>
      </c>
      <c r="R880" s="108">
        <f>IF(D880=0,0,IF(DAY(E880+1)=1,31,DAY(E880)))</f>
        <v/>
      </c>
      <c r="S880" s="109">
        <f>IF(AND('Deal maths'!V880="LOBO",'Deal maths'!AG880&gt;AsAt,'Deal maths'!AG880&lt;'Deal maths'!AA880),'Deal maths'!AG880,'Deal maths'!AA880)</f>
        <v/>
      </c>
      <c r="T880" s="108">
        <f>('Deal maths'!AA880&gt;AsAt)*('Deal maths'!Y880&gt;0)</f>
        <v/>
      </c>
    </row>
    <row r="881">
      <c r="A881" s="91">
        <f>IF('Deal maths'!V881="","",'Deal maths'!W881)</f>
        <v/>
      </c>
      <c r="B881" s="108">
        <f>('Deal maths'!AA881&gt;AsAt)*('Deal maths'!Y881&gt;0)*('Deal maths'!Z881&lt;=AsAt)</f>
        <v/>
      </c>
      <c r="C881" s="91">
        <f>IF('Deal maths'!V881="","",IF('Deal maths'!AC881="","Maturity",'Deal maths'!AC881))</f>
        <v/>
      </c>
      <c r="D881" s="108">
        <f>IF(OR(C881="EIP",C881="Annuity"),IF('Deal maths'!AD881="Annual",12,IF('Deal maths'!AD881="Quarterly",3,6)),0)</f>
        <v/>
      </c>
      <c r="E881" s="109">
        <f>IFERROR(IF(D881=0,0,IF('Deal maths'!AE881&gt;0,IF('Deal maths'!AE881&gt;'Deal maths'!AA881,'Deal maths'!AA881,'Deal maths'!AE881),IF(IF(DAY('Deal maths'!AA881+1)=1,EOMONTH('Deal maths'!AA881,-(INT(((YEAR('Deal maths'!AA881)-YEAR(IF('Deal maths'!Z881&gt;0,'Deal maths'!Z881,DATE(1990,1,1))))*12+MONTH('Deal maths'!AA881)-MONTH(IF('Deal maths'!Z881&gt;0,'Deal maths'!Z881,DATE(1990,1,1))))/D881))*D881),EDATE('Deal maths'!AA881,-(INT(((YEAR('Deal maths'!AA881)-YEAR(IF('Deal maths'!Z881&gt;0,'Deal maths'!Z881,DATE(1990,1,1))))*12+MONTH('Deal maths'!AA881)-MONTH(IF('Deal maths'!Z881&gt;0,'Deal maths'!Z881,DATE(1990,1,1))))/D881))*D881))&gt;IF('Deal maths'!Z881&gt;0,'Deal maths'!Z881,DATE(1990,1,1)),IF(DAY('Deal maths'!AA881+1)=1,EOMONTH('Deal maths'!AA881,-(INT(((YEAR('Deal maths'!AA881)-YEAR(IF('Deal maths'!Z881&gt;0,'Deal maths'!Z881,DATE(1990,1,1))))*12+MONTH('Deal maths'!AA881)-MONTH(IF('Deal maths'!Z881&gt;0,'Deal maths'!Z881,DATE(1990,1,1))))/D881))*D881),EDATE('Deal maths'!AA881,-(INT(((YEAR('Deal maths'!AA881)-YEAR(IF('Deal maths'!Z881&gt;0,'Deal maths'!Z881,DATE(1990,1,1))))*12+MONTH('Deal maths'!AA881)-MONTH(IF('Deal maths'!Z881&gt;0,'Deal maths'!Z881,DATE(1990,1,1))))/D881))*D881)),IF(DAY('Deal maths'!AA881+1)=1,EOMONTH('Deal maths'!AA881,-(INT(((YEAR('Deal maths'!AA881)-YEAR(IF('Deal maths'!Z881&gt;0,'Deal maths'!Z881,DATE(1990,1,1))))*12+MONTH('Deal maths'!AA881)-MONTH(IF('Deal maths'!Z881&gt;0,'Deal maths'!Z881,DATE(1990,1,1))))/D881)-1)*D881),EDATE('Deal maths'!AA881,-(INT(((YEAR('Deal maths'!AA881)-YEAR(IF('Deal maths'!Z881&gt;0,'Deal maths'!Z881,DATE(1990,1,1))))*12+MONTH('Deal maths'!AA881)-MONTH(IF('Deal maths'!Z881&gt;0,'Deal maths'!Z881,DATE(1990,1,1))))/D881)-1)*D881))))),0)</f>
        <v/>
      </c>
      <c r="F881" s="110">
        <f>IF(D881=0,0,'Deal maths'!AB881*D881/12)</f>
        <v/>
      </c>
      <c r="G881" s="108">
        <f>N881+O881</f>
        <v/>
      </c>
      <c r="H881" s="108">
        <f>IFERROR(IF(OR(D881=0,AsAt&lt;E881),0,MIN(N881,INT(((YEAR(AsAt)-YEAR(E881))*12+MONTH(AsAt)-MONTH(E881)-(DAY(AsAt)&lt;MIN(R881,DAY(EOMONTH(AsAt,0)))))/D881)+1)+O881*(AsAt&gt;='Deal maths'!AA881)),0)</f>
        <v/>
      </c>
      <c r="I881" s="108">
        <f>G881-H881</f>
        <v/>
      </c>
      <c r="J881" s="111">
        <f>IF(AND(C881="EIP",I881&gt;0),'Deal maths'!Y881/I881,0)</f>
        <v/>
      </c>
      <c r="K881" s="111">
        <f>IF(AND(C881="Annuity",I881&gt;0),IF(F881&gt;0,'Deal maths'!Y881*F881/(1-(1+F881)^-I881),'Deal maths'!Y881/I881),0)</f>
        <v/>
      </c>
      <c r="L881" s="111">
        <f>IF('Deal maths'!Y881="",0,'Deal maths'!Y881)</f>
        <v/>
      </c>
      <c r="M881" s="112">
        <f>F881+(F881=0)</f>
        <v/>
      </c>
      <c r="N881" s="108">
        <f>IFERROR(IF(D881=0,0,INT(((YEAR('Deal maths'!AA881)-YEAR(E881))*12+MONTH('Deal maths'!AA881)-MONTH(E881)-(DAY('Deal maths'!AA881)&lt;MIN(R881,DAY(EOMONTH('Deal maths'!AA881,0)))))/D881)+1),0)</f>
        <v/>
      </c>
      <c r="O881" s="108">
        <f>IFERROR(IF(D881=0,0,IF(IF(DAY(E881+1)=1,EOMONTH(E881,(N881-1)*D881),EDATE(E881,(N881-1)*D881))='Deal maths'!AA881,0,1)),0)</f>
        <v/>
      </c>
      <c r="P881" s="113">
        <f>IF(B881=0,0,IFERROR(IF(C881="EIP",((I881-O881)*((IF(DAY(E881+1)=1,EOMONTH(E881,H881*D881),EDATE(E881,H881*D881))-AsAt)/365.25+(IF(DAY(E881+1)=1,EOMONTH(E881,(N881-1)*D881),EDATE(E881,(N881-1)*D881))-AsAt)/365.25)/2+O881*('Deal maths'!AA881-AsAt)/365.25)/I881,IF(C881="Annuity",IF(F881&gt;0,((K881-L881*F881)*((IF(DAY(E881+1)=1,EOMONTH(E881,H881*D881),EDATE(E881,H881*D881))-AsAt)/365.25*((1+F881)^(I881-O881)-1)/F881+IF((I881-O881)&gt;1,((IF(DAY(E881+1)=1,EOMONTH(E881,(N881-1)*D881),EDATE(E881,(N881-1)*D881))-AsAt)/365.25-(IF(DAY(E881+1)=1,EOMONTH(E881,H881*D881),EDATE(E881,H881*D881))-AsAt)/365.25)/((I881-O881)-1),0)*(1+F881)*(1-(I881-O881)*(1+F881)^((I881-O881)-1)+((I881-O881)-1)*(1+F881)^(I881-O881))/F881^2)+O881*(K881-L881*F881)*(1+F881)^(I881-1)*('Deal maths'!AA881-AsAt)/365.25)/L881,((I881-O881)*((IF(DAY(E881+1)=1,EOMONTH(E881,H881*D881),EDATE(E881,H881*D881))-AsAt)/365.25+(IF(DAY(E881+1)=1,EOMONTH(E881,(N881-1)*D881),EDATE(E881,(N881-1)*D881))-AsAt)/365.25)/2+O881*('Deal maths'!AA881-AsAt)/365.25)/I881),(S881-AsAt)/365.25)),0))</f>
        <v/>
      </c>
      <c r="Q881" s="109">
        <f>IF(B881=1,'Deal maths'!AA881+ROW()/1000000,"")</f>
        <v/>
      </c>
      <c r="R881" s="108">
        <f>IF(D881=0,0,IF(DAY(E881+1)=1,31,DAY(E881)))</f>
        <v/>
      </c>
      <c r="S881" s="109">
        <f>IF(AND('Deal maths'!V881="LOBO",'Deal maths'!AG881&gt;AsAt,'Deal maths'!AG881&lt;'Deal maths'!AA881),'Deal maths'!AG881,'Deal maths'!AA881)</f>
        <v/>
      </c>
      <c r="T881" s="108">
        <f>('Deal maths'!AA881&gt;AsAt)*('Deal maths'!Y881&gt;0)</f>
        <v/>
      </c>
    </row>
    <row r="882">
      <c r="A882" s="91">
        <f>IF('Deal maths'!V882="","",'Deal maths'!W882)</f>
        <v/>
      </c>
      <c r="B882" s="108">
        <f>('Deal maths'!AA882&gt;AsAt)*('Deal maths'!Y882&gt;0)*('Deal maths'!Z882&lt;=AsAt)</f>
        <v/>
      </c>
      <c r="C882" s="91">
        <f>IF('Deal maths'!V882="","",IF('Deal maths'!AC882="","Maturity",'Deal maths'!AC882))</f>
        <v/>
      </c>
      <c r="D882" s="108">
        <f>IF(OR(C882="EIP",C882="Annuity"),IF('Deal maths'!AD882="Annual",12,IF('Deal maths'!AD882="Quarterly",3,6)),0)</f>
        <v/>
      </c>
      <c r="E882" s="109">
        <f>IFERROR(IF(D882=0,0,IF('Deal maths'!AE882&gt;0,IF('Deal maths'!AE882&gt;'Deal maths'!AA882,'Deal maths'!AA882,'Deal maths'!AE882),IF(IF(DAY('Deal maths'!AA882+1)=1,EOMONTH('Deal maths'!AA882,-(INT(((YEAR('Deal maths'!AA882)-YEAR(IF('Deal maths'!Z882&gt;0,'Deal maths'!Z882,DATE(1990,1,1))))*12+MONTH('Deal maths'!AA882)-MONTH(IF('Deal maths'!Z882&gt;0,'Deal maths'!Z882,DATE(1990,1,1))))/D882))*D882),EDATE('Deal maths'!AA882,-(INT(((YEAR('Deal maths'!AA882)-YEAR(IF('Deal maths'!Z882&gt;0,'Deal maths'!Z882,DATE(1990,1,1))))*12+MONTH('Deal maths'!AA882)-MONTH(IF('Deal maths'!Z882&gt;0,'Deal maths'!Z882,DATE(1990,1,1))))/D882))*D882))&gt;IF('Deal maths'!Z882&gt;0,'Deal maths'!Z882,DATE(1990,1,1)),IF(DAY('Deal maths'!AA882+1)=1,EOMONTH('Deal maths'!AA882,-(INT(((YEAR('Deal maths'!AA882)-YEAR(IF('Deal maths'!Z882&gt;0,'Deal maths'!Z882,DATE(1990,1,1))))*12+MONTH('Deal maths'!AA882)-MONTH(IF('Deal maths'!Z882&gt;0,'Deal maths'!Z882,DATE(1990,1,1))))/D882))*D882),EDATE('Deal maths'!AA882,-(INT(((YEAR('Deal maths'!AA882)-YEAR(IF('Deal maths'!Z882&gt;0,'Deal maths'!Z882,DATE(1990,1,1))))*12+MONTH('Deal maths'!AA882)-MONTH(IF('Deal maths'!Z882&gt;0,'Deal maths'!Z882,DATE(1990,1,1))))/D882))*D882)),IF(DAY('Deal maths'!AA882+1)=1,EOMONTH('Deal maths'!AA882,-(INT(((YEAR('Deal maths'!AA882)-YEAR(IF('Deal maths'!Z882&gt;0,'Deal maths'!Z882,DATE(1990,1,1))))*12+MONTH('Deal maths'!AA882)-MONTH(IF('Deal maths'!Z882&gt;0,'Deal maths'!Z882,DATE(1990,1,1))))/D882)-1)*D882),EDATE('Deal maths'!AA882,-(INT(((YEAR('Deal maths'!AA882)-YEAR(IF('Deal maths'!Z882&gt;0,'Deal maths'!Z882,DATE(1990,1,1))))*12+MONTH('Deal maths'!AA882)-MONTH(IF('Deal maths'!Z882&gt;0,'Deal maths'!Z882,DATE(1990,1,1))))/D882)-1)*D882))))),0)</f>
        <v/>
      </c>
      <c r="F882" s="110">
        <f>IF(D882=0,0,'Deal maths'!AB882*D882/12)</f>
        <v/>
      </c>
      <c r="G882" s="108">
        <f>N882+O882</f>
        <v/>
      </c>
      <c r="H882" s="108">
        <f>IFERROR(IF(OR(D882=0,AsAt&lt;E882),0,MIN(N882,INT(((YEAR(AsAt)-YEAR(E882))*12+MONTH(AsAt)-MONTH(E882)-(DAY(AsAt)&lt;MIN(R882,DAY(EOMONTH(AsAt,0)))))/D882)+1)+O882*(AsAt&gt;='Deal maths'!AA882)),0)</f>
        <v/>
      </c>
      <c r="I882" s="108">
        <f>G882-H882</f>
        <v/>
      </c>
      <c r="J882" s="111">
        <f>IF(AND(C882="EIP",I882&gt;0),'Deal maths'!Y882/I882,0)</f>
        <v/>
      </c>
      <c r="K882" s="111">
        <f>IF(AND(C882="Annuity",I882&gt;0),IF(F882&gt;0,'Deal maths'!Y882*F882/(1-(1+F882)^-I882),'Deal maths'!Y882/I882),0)</f>
        <v/>
      </c>
      <c r="L882" s="111">
        <f>IF('Deal maths'!Y882="",0,'Deal maths'!Y882)</f>
        <v/>
      </c>
      <c r="M882" s="112">
        <f>F882+(F882=0)</f>
        <v/>
      </c>
      <c r="N882" s="108">
        <f>IFERROR(IF(D882=0,0,INT(((YEAR('Deal maths'!AA882)-YEAR(E882))*12+MONTH('Deal maths'!AA882)-MONTH(E882)-(DAY('Deal maths'!AA882)&lt;MIN(R882,DAY(EOMONTH('Deal maths'!AA882,0)))))/D882)+1),0)</f>
        <v/>
      </c>
      <c r="O882" s="108">
        <f>IFERROR(IF(D882=0,0,IF(IF(DAY(E882+1)=1,EOMONTH(E882,(N882-1)*D882),EDATE(E882,(N882-1)*D882))='Deal maths'!AA882,0,1)),0)</f>
        <v/>
      </c>
      <c r="P882" s="113">
        <f>IF(B882=0,0,IFERROR(IF(C882="EIP",((I882-O882)*((IF(DAY(E882+1)=1,EOMONTH(E882,H882*D882),EDATE(E882,H882*D882))-AsAt)/365.25+(IF(DAY(E882+1)=1,EOMONTH(E882,(N882-1)*D882),EDATE(E882,(N882-1)*D882))-AsAt)/365.25)/2+O882*('Deal maths'!AA882-AsAt)/365.25)/I882,IF(C882="Annuity",IF(F882&gt;0,((K882-L882*F882)*((IF(DAY(E882+1)=1,EOMONTH(E882,H882*D882),EDATE(E882,H882*D882))-AsAt)/365.25*((1+F882)^(I882-O882)-1)/F882+IF((I882-O882)&gt;1,((IF(DAY(E882+1)=1,EOMONTH(E882,(N882-1)*D882),EDATE(E882,(N882-1)*D882))-AsAt)/365.25-(IF(DAY(E882+1)=1,EOMONTH(E882,H882*D882),EDATE(E882,H882*D882))-AsAt)/365.25)/((I882-O882)-1),0)*(1+F882)*(1-(I882-O882)*(1+F882)^((I882-O882)-1)+((I882-O882)-1)*(1+F882)^(I882-O882))/F882^2)+O882*(K882-L882*F882)*(1+F882)^(I882-1)*('Deal maths'!AA882-AsAt)/365.25)/L882,((I882-O882)*((IF(DAY(E882+1)=1,EOMONTH(E882,H882*D882),EDATE(E882,H882*D882))-AsAt)/365.25+(IF(DAY(E882+1)=1,EOMONTH(E882,(N882-1)*D882),EDATE(E882,(N882-1)*D882))-AsAt)/365.25)/2+O882*('Deal maths'!AA882-AsAt)/365.25)/I882),(S882-AsAt)/365.25)),0))</f>
        <v/>
      </c>
      <c r="Q882" s="109">
        <f>IF(B882=1,'Deal maths'!AA882+ROW()/1000000,"")</f>
        <v/>
      </c>
      <c r="R882" s="108">
        <f>IF(D882=0,0,IF(DAY(E882+1)=1,31,DAY(E882)))</f>
        <v/>
      </c>
      <c r="S882" s="109">
        <f>IF(AND('Deal maths'!V882="LOBO",'Deal maths'!AG882&gt;AsAt,'Deal maths'!AG882&lt;'Deal maths'!AA882),'Deal maths'!AG882,'Deal maths'!AA882)</f>
        <v/>
      </c>
      <c r="T882" s="108">
        <f>('Deal maths'!AA882&gt;AsAt)*('Deal maths'!Y882&gt;0)</f>
        <v/>
      </c>
    </row>
    <row r="883">
      <c r="A883" s="91">
        <f>IF('Deal maths'!V883="","",'Deal maths'!W883)</f>
        <v/>
      </c>
      <c r="B883" s="108">
        <f>('Deal maths'!AA883&gt;AsAt)*('Deal maths'!Y883&gt;0)*('Deal maths'!Z883&lt;=AsAt)</f>
        <v/>
      </c>
      <c r="C883" s="91">
        <f>IF('Deal maths'!V883="","",IF('Deal maths'!AC883="","Maturity",'Deal maths'!AC883))</f>
        <v/>
      </c>
      <c r="D883" s="108">
        <f>IF(OR(C883="EIP",C883="Annuity"),IF('Deal maths'!AD883="Annual",12,IF('Deal maths'!AD883="Quarterly",3,6)),0)</f>
        <v/>
      </c>
      <c r="E883" s="109">
        <f>IFERROR(IF(D883=0,0,IF('Deal maths'!AE883&gt;0,IF('Deal maths'!AE883&gt;'Deal maths'!AA883,'Deal maths'!AA883,'Deal maths'!AE883),IF(IF(DAY('Deal maths'!AA883+1)=1,EOMONTH('Deal maths'!AA883,-(INT(((YEAR('Deal maths'!AA883)-YEAR(IF('Deal maths'!Z883&gt;0,'Deal maths'!Z883,DATE(1990,1,1))))*12+MONTH('Deal maths'!AA883)-MONTH(IF('Deal maths'!Z883&gt;0,'Deal maths'!Z883,DATE(1990,1,1))))/D883))*D883),EDATE('Deal maths'!AA883,-(INT(((YEAR('Deal maths'!AA883)-YEAR(IF('Deal maths'!Z883&gt;0,'Deal maths'!Z883,DATE(1990,1,1))))*12+MONTH('Deal maths'!AA883)-MONTH(IF('Deal maths'!Z883&gt;0,'Deal maths'!Z883,DATE(1990,1,1))))/D883))*D883))&gt;IF('Deal maths'!Z883&gt;0,'Deal maths'!Z883,DATE(1990,1,1)),IF(DAY('Deal maths'!AA883+1)=1,EOMONTH('Deal maths'!AA883,-(INT(((YEAR('Deal maths'!AA883)-YEAR(IF('Deal maths'!Z883&gt;0,'Deal maths'!Z883,DATE(1990,1,1))))*12+MONTH('Deal maths'!AA883)-MONTH(IF('Deal maths'!Z883&gt;0,'Deal maths'!Z883,DATE(1990,1,1))))/D883))*D883),EDATE('Deal maths'!AA883,-(INT(((YEAR('Deal maths'!AA883)-YEAR(IF('Deal maths'!Z883&gt;0,'Deal maths'!Z883,DATE(1990,1,1))))*12+MONTH('Deal maths'!AA883)-MONTH(IF('Deal maths'!Z883&gt;0,'Deal maths'!Z883,DATE(1990,1,1))))/D883))*D883)),IF(DAY('Deal maths'!AA883+1)=1,EOMONTH('Deal maths'!AA883,-(INT(((YEAR('Deal maths'!AA883)-YEAR(IF('Deal maths'!Z883&gt;0,'Deal maths'!Z883,DATE(1990,1,1))))*12+MONTH('Deal maths'!AA883)-MONTH(IF('Deal maths'!Z883&gt;0,'Deal maths'!Z883,DATE(1990,1,1))))/D883)-1)*D883),EDATE('Deal maths'!AA883,-(INT(((YEAR('Deal maths'!AA883)-YEAR(IF('Deal maths'!Z883&gt;0,'Deal maths'!Z883,DATE(1990,1,1))))*12+MONTH('Deal maths'!AA883)-MONTH(IF('Deal maths'!Z883&gt;0,'Deal maths'!Z883,DATE(1990,1,1))))/D883)-1)*D883))))),0)</f>
        <v/>
      </c>
      <c r="F883" s="110">
        <f>IF(D883=0,0,'Deal maths'!AB883*D883/12)</f>
        <v/>
      </c>
      <c r="G883" s="108">
        <f>N883+O883</f>
        <v/>
      </c>
      <c r="H883" s="108">
        <f>IFERROR(IF(OR(D883=0,AsAt&lt;E883),0,MIN(N883,INT(((YEAR(AsAt)-YEAR(E883))*12+MONTH(AsAt)-MONTH(E883)-(DAY(AsAt)&lt;MIN(R883,DAY(EOMONTH(AsAt,0)))))/D883)+1)+O883*(AsAt&gt;='Deal maths'!AA883)),0)</f>
        <v/>
      </c>
      <c r="I883" s="108">
        <f>G883-H883</f>
        <v/>
      </c>
      <c r="J883" s="111">
        <f>IF(AND(C883="EIP",I883&gt;0),'Deal maths'!Y883/I883,0)</f>
        <v/>
      </c>
      <c r="K883" s="111">
        <f>IF(AND(C883="Annuity",I883&gt;0),IF(F883&gt;0,'Deal maths'!Y883*F883/(1-(1+F883)^-I883),'Deal maths'!Y883/I883),0)</f>
        <v/>
      </c>
      <c r="L883" s="111">
        <f>IF('Deal maths'!Y883="",0,'Deal maths'!Y883)</f>
        <v/>
      </c>
      <c r="M883" s="112">
        <f>F883+(F883=0)</f>
        <v/>
      </c>
      <c r="N883" s="108">
        <f>IFERROR(IF(D883=0,0,INT(((YEAR('Deal maths'!AA883)-YEAR(E883))*12+MONTH('Deal maths'!AA883)-MONTH(E883)-(DAY('Deal maths'!AA883)&lt;MIN(R883,DAY(EOMONTH('Deal maths'!AA883,0)))))/D883)+1),0)</f>
        <v/>
      </c>
      <c r="O883" s="108">
        <f>IFERROR(IF(D883=0,0,IF(IF(DAY(E883+1)=1,EOMONTH(E883,(N883-1)*D883),EDATE(E883,(N883-1)*D883))='Deal maths'!AA883,0,1)),0)</f>
        <v/>
      </c>
      <c r="P883" s="113">
        <f>IF(B883=0,0,IFERROR(IF(C883="EIP",((I883-O883)*((IF(DAY(E883+1)=1,EOMONTH(E883,H883*D883),EDATE(E883,H883*D883))-AsAt)/365.25+(IF(DAY(E883+1)=1,EOMONTH(E883,(N883-1)*D883),EDATE(E883,(N883-1)*D883))-AsAt)/365.25)/2+O883*('Deal maths'!AA883-AsAt)/365.25)/I883,IF(C883="Annuity",IF(F883&gt;0,((K883-L883*F883)*((IF(DAY(E883+1)=1,EOMONTH(E883,H883*D883),EDATE(E883,H883*D883))-AsAt)/365.25*((1+F883)^(I883-O883)-1)/F883+IF((I883-O883)&gt;1,((IF(DAY(E883+1)=1,EOMONTH(E883,(N883-1)*D883),EDATE(E883,(N883-1)*D883))-AsAt)/365.25-(IF(DAY(E883+1)=1,EOMONTH(E883,H883*D883),EDATE(E883,H883*D883))-AsAt)/365.25)/((I883-O883)-1),0)*(1+F883)*(1-(I883-O883)*(1+F883)^((I883-O883)-1)+((I883-O883)-1)*(1+F883)^(I883-O883))/F883^2)+O883*(K883-L883*F883)*(1+F883)^(I883-1)*('Deal maths'!AA883-AsAt)/365.25)/L883,((I883-O883)*((IF(DAY(E883+1)=1,EOMONTH(E883,H883*D883),EDATE(E883,H883*D883))-AsAt)/365.25+(IF(DAY(E883+1)=1,EOMONTH(E883,(N883-1)*D883),EDATE(E883,(N883-1)*D883))-AsAt)/365.25)/2+O883*('Deal maths'!AA883-AsAt)/365.25)/I883),(S883-AsAt)/365.25)),0))</f>
        <v/>
      </c>
      <c r="Q883" s="109">
        <f>IF(B883=1,'Deal maths'!AA883+ROW()/1000000,"")</f>
        <v/>
      </c>
      <c r="R883" s="108">
        <f>IF(D883=0,0,IF(DAY(E883+1)=1,31,DAY(E883)))</f>
        <v/>
      </c>
      <c r="S883" s="109">
        <f>IF(AND('Deal maths'!V883="LOBO",'Deal maths'!AG883&gt;AsAt,'Deal maths'!AG883&lt;'Deal maths'!AA883),'Deal maths'!AG883,'Deal maths'!AA883)</f>
        <v/>
      </c>
      <c r="T883" s="108">
        <f>('Deal maths'!AA883&gt;AsAt)*('Deal maths'!Y883&gt;0)</f>
        <v/>
      </c>
    </row>
    <row r="884">
      <c r="A884" s="91">
        <f>IF('Deal maths'!V884="","",'Deal maths'!W884)</f>
        <v/>
      </c>
      <c r="B884" s="108">
        <f>('Deal maths'!AA884&gt;AsAt)*('Deal maths'!Y884&gt;0)*('Deal maths'!Z884&lt;=AsAt)</f>
        <v/>
      </c>
      <c r="C884" s="91">
        <f>IF('Deal maths'!V884="","",IF('Deal maths'!AC884="","Maturity",'Deal maths'!AC884))</f>
        <v/>
      </c>
      <c r="D884" s="108">
        <f>IF(OR(C884="EIP",C884="Annuity"),IF('Deal maths'!AD884="Annual",12,IF('Deal maths'!AD884="Quarterly",3,6)),0)</f>
        <v/>
      </c>
      <c r="E884" s="109">
        <f>IFERROR(IF(D884=0,0,IF('Deal maths'!AE884&gt;0,IF('Deal maths'!AE884&gt;'Deal maths'!AA884,'Deal maths'!AA884,'Deal maths'!AE884),IF(IF(DAY('Deal maths'!AA884+1)=1,EOMONTH('Deal maths'!AA884,-(INT(((YEAR('Deal maths'!AA884)-YEAR(IF('Deal maths'!Z884&gt;0,'Deal maths'!Z884,DATE(1990,1,1))))*12+MONTH('Deal maths'!AA884)-MONTH(IF('Deal maths'!Z884&gt;0,'Deal maths'!Z884,DATE(1990,1,1))))/D884))*D884),EDATE('Deal maths'!AA884,-(INT(((YEAR('Deal maths'!AA884)-YEAR(IF('Deal maths'!Z884&gt;0,'Deal maths'!Z884,DATE(1990,1,1))))*12+MONTH('Deal maths'!AA884)-MONTH(IF('Deal maths'!Z884&gt;0,'Deal maths'!Z884,DATE(1990,1,1))))/D884))*D884))&gt;IF('Deal maths'!Z884&gt;0,'Deal maths'!Z884,DATE(1990,1,1)),IF(DAY('Deal maths'!AA884+1)=1,EOMONTH('Deal maths'!AA884,-(INT(((YEAR('Deal maths'!AA884)-YEAR(IF('Deal maths'!Z884&gt;0,'Deal maths'!Z884,DATE(1990,1,1))))*12+MONTH('Deal maths'!AA884)-MONTH(IF('Deal maths'!Z884&gt;0,'Deal maths'!Z884,DATE(1990,1,1))))/D884))*D884),EDATE('Deal maths'!AA884,-(INT(((YEAR('Deal maths'!AA884)-YEAR(IF('Deal maths'!Z884&gt;0,'Deal maths'!Z884,DATE(1990,1,1))))*12+MONTH('Deal maths'!AA884)-MONTH(IF('Deal maths'!Z884&gt;0,'Deal maths'!Z884,DATE(1990,1,1))))/D884))*D884)),IF(DAY('Deal maths'!AA884+1)=1,EOMONTH('Deal maths'!AA884,-(INT(((YEAR('Deal maths'!AA884)-YEAR(IF('Deal maths'!Z884&gt;0,'Deal maths'!Z884,DATE(1990,1,1))))*12+MONTH('Deal maths'!AA884)-MONTH(IF('Deal maths'!Z884&gt;0,'Deal maths'!Z884,DATE(1990,1,1))))/D884)-1)*D884),EDATE('Deal maths'!AA884,-(INT(((YEAR('Deal maths'!AA884)-YEAR(IF('Deal maths'!Z884&gt;0,'Deal maths'!Z884,DATE(1990,1,1))))*12+MONTH('Deal maths'!AA884)-MONTH(IF('Deal maths'!Z884&gt;0,'Deal maths'!Z884,DATE(1990,1,1))))/D884)-1)*D884))))),0)</f>
        <v/>
      </c>
      <c r="F884" s="110">
        <f>IF(D884=0,0,'Deal maths'!AB884*D884/12)</f>
        <v/>
      </c>
      <c r="G884" s="108">
        <f>N884+O884</f>
        <v/>
      </c>
      <c r="H884" s="108">
        <f>IFERROR(IF(OR(D884=0,AsAt&lt;E884),0,MIN(N884,INT(((YEAR(AsAt)-YEAR(E884))*12+MONTH(AsAt)-MONTH(E884)-(DAY(AsAt)&lt;MIN(R884,DAY(EOMONTH(AsAt,0)))))/D884)+1)+O884*(AsAt&gt;='Deal maths'!AA884)),0)</f>
        <v/>
      </c>
      <c r="I884" s="108">
        <f>G884-H884</f>
        <v/>
      </c>
      <c r="J884" s="111">
        <f>IF(AND(C884="EIP",I884&gt;0),'Deal maths'!Y884/I884,0)</f>
        <v/>
      </c>
      <c r="K884" s="111">
        <f>IF(AND(C884="Annuity",I884&gt;0),IF(F884&gt;0,'Deal maths'!Y884*F884/(1-(1+F884)^-I884),'Deal maths'!Y884/I884),0)</f>
        <v/>
      </c>
      <c r="L884" s="111">
        <f>IF('Deal maths'!Y884="",0,'Deal maths'!Y884)</f>
        <v/>
      </c>
      <c r="M884" s="112">
        <f>F884+(F884=0)</f>
        <v/>
      </c>
      <c r="N884" s="108">
        <f>IFERROR(IF(D884=0,0,INT(((YEAR('Deal maths'!AA884)-YEAR(E884))*12+MONTH('Deal maths'!AA884)-MONTH(E884)-(DAY('Deal maths'!AA884)&lt;MIN(R884,DAY(EOMONTH('Deal maths'!AA884,0)))))/D884)+1),0)</f>
        <v/>
      </c>
      <c r="O884" s="108">
        <f>IFERROR(IF(D884=0,0,IF(IF(DAY(E884+1)=1,EOMONTH(E884,(N884-1)*D884),EDATE(E884,(N884-1)*D884))='Deal maths'!AA884,0,1)),0)</f>
        <v/>
      </c>
      <c r="P884" s="113">
        <f>IF(B884=0,0,IFERROR(IF(C884="EIP",((I884-O884)*((IF(DAY(E884+1)=1,EOMONTH(E884,H884*D884),EDATE(E884,H884*D884))-AsAt)/365.25+(IF(DAY(E884+1)=1,EOMONTH(E884,(N884-1)*D884),EDATE(E884,(N884-1)*D884))-AsAt)/365.25)/2+O884*('Deal maths'!AA884-AsAt)/365.25)/I884,IF(C884="Annuity",IF(F884&gt;0,((K884-L884*F884)*((IF(DAY(E884+1)=1,EOMONTH(E884,H884*D884),EDATE(E884,H884*D884))-AsAt)/365.25*((1+F884)^(I884-O884)-1)/F884+IF((I884-O884)&gt;1,((IF(DAY(E884+1)=1,EOMONTH(E884,(N884-1)*D884),EDATE(E884,(N884-1)*D884))-AsAt)/365.25-(IF(DAY(E884+1)=1,EOMONTH(E884,H884*D884),EDATE(E884,H884*D884))-AsAt)/365.25)/((I884-O884)-1),0)*(1+F884)*(1-(I884-O884)*(1+F884)^((I884-O884)-1)+((I884-O884)-1)*(1+F884)^(I884-O884))/F884^2)+O884*(K884-L884*F884)*(1+F884)^(I884-1)*('Deal maths'!AA884-AsAt)/365.25)/L884,((I884-O884)*((IF(DAY(E884+1)=1,EOMONTH(E884,H884*D884),EDATE(E884,H884*D884))-AsAt)/365.25+(IF(DAY(E884+1)=1,EOMONTH(E884,(N884-1)*D884),EDATE(E884,(N884-1)*D884))-AsAt)/365.25)/2+O884*('Deal maths'!AA884-AsAt)/365.25)/I884),(S884-AsAt)/365.25)),0))</f>
        <v/>
      </c>
      <c r="Q884" s="109">
        <f>IF(B884=1,'Deal maths'!AA884+ROW()/1000000,"")</f>
        <v/>
      </c>
      <c r="R884" s="108">
        <f>IF(D884=0,0,IF(DAY(E884+1)=1,31,DAY(E884)))</f>
        <v/>
      </c>
      <c r="S884" s="109">
        <f>IF(AND('Deal maths'!V884="LOBO",'Deal maths'!AG884&gt;AsAt,'Deal maths'!AG884&lt;'Deal maths'!AA884),'Deal maths'!AG884,'Deal maths'!AA884)</f>
        <v/>
      </c>
      <c r="T884" s="108">
        <f>('Deal maths'!AA884&gt;AsAt)*('Deal maths'!Y884&gt;0)</f>
        <v/>
      </c>
    </row>
    <row r="885">
      <c r="A885" s="91">
        <f>IF('Deal maths'!V885="","",'Deal maths'!W885)</f>
        <v/>
      </c>
      <c r="B885" s="108">
        <f>('Deal maths'!AA885&gt;AsAt)*('Deal maths'!Y885&gt;0)*('Deal maths'!Z885&lt;=AsAt)</f>
        <v/>
      </c>
      <c r="C885" s="91">
        <f>IF('Deal maths'!V885="","",IF('Deal maths'!AC885="","Maturity",'Deal maths'!AC885))</f>
        <v/>
      </c>
      <c r="D885" s="108">
        <f>IF(OR(C885="EIP",C885="Annuity"),IF('Deal maths'!AD885="Annual",12,IF('Deal maths'!AD885="Quarterly",3,6)),0)</f>
        <v/>
      </c>
      <c r="E885" s="109">
        <f>IFERROR(IF(D885=0,0,IF('Deal maths'!AE885&gt;0,IF('Deal maths'!AE885&gt;'Deal maths'!AA885,'Deal maths'!AA885,'Deal maths'!AE885),IF(IF(DAY('Deal maths'!AA885+1)=1,EOMONTH('Deal maths'!AA885,-(INT(((YEAR('Deal maths'!AA885)-YEAR(IF('Deal maths'!Z885&gt;0,'Deal maths'!Z885,DATE(1990,1,1))))*12+MONTH('Deal maths'!AA885)-MONTH(IF('Deal maths'!Z885&gt;0,'Deal maths'!Z885,DATE(1990,1,1))))/D885))*D885),EDATE('Deal maths'!AA885,-(INT(((YEAR('Deal maths'!AA885)-YEAR(IF('Deal maths'!Z885&gt;0,'Deal maths'!Z885,DATE(1990,1,1))))*12+MONTH('Deal maths'!AA885)-MONTH(IF('Deal maths'!Z885&gt;0,'Deal maths'!Z885,DATE(1990,1,1))))/D885))*D885))&gt;IF('Deal maths'!Z885&gt;0,'Deal maths'!Z885,DATE(1990,1,1)),IF(DAY('Deal maths'!AA885+1)=1,EOMONTH('Deal maths'!AA885,-(INT(((YEAR('Deal maths'!AA885)-YEAR(IF('Deal maths'!Z885&gt;0,'Deal maths'!Z885,DATE(1990,1,1))))*12+MONTH('Deal maths'!AA885)-MONTH(IF('Deal maths'!Z885&gt;0,'Deal maths'!Z885,DATE(1990,1,1))))/D885))*D885),EDATE('Deal maths'!AA885,-(INT(((YEAR('Deal maths'!AA885)-YEAR(IF('Deal maths'!Z885&gt;0,'Deal maths'!Z885,DATE(1990,1,1))))*12+MONTH('Deal maths'!AA885)-MONTH(IF('Deal maths'!Z885&gt;0,'Deal maths'!Z885,DATE(1990,1,1))))/D885))*D885)),IF(DAY('Deal maths'!AA885+1)=1,EOMONTH('Deal maths'!AA885,-(INT(((YEAR('Deal maths'!AA885)-YEAR(IF('Deal maths'!Z885&gt;0,'Deal maths'!Z885,DATE(1990,1,1))))*12+MONTH('Deal maths'!AA885)-MONTH(IF('Deal maths'!Z885&gt;0,'Deal maths'!Z885,DATE(1990,1,1))))/D885)-1)*D885),EDATE('Deal maths'!AA885,-(INT(((YEAR('Deal maths'!AA885)-YEAR(IF('Deal maths'!Z885&gt;0,'Deal maths'!Z885,DATE(1990,1,1))))*12+MONTH('Deal maths'!AA885)-MONTH(IF('Deal maths'!Z885&gt;0,'Deal maths'!Z885,DATE(1990,1,1))))/D885)-1)*D885))))),0)</f>
        <v/>
      </c>
      <c r="F885" s="110">
        <f>IF(D885=0,0,'Deal maths'!AB885*D885/12)</f>
        <v/>
      </c>
      <c r="G885" s="108">
        <f>N885+O885</f>
        <v/>
      </c>
      <c r="H885" s="108">
        <f>IFERROR(IF(OR(D885=0,AsAt&lt;E885),0,MIN(N885,INT(((YEAR(AsAt)-YEAR(E885))*12+MONTH(AsAt)-MONTH(E885)-(DAY(AsAt)&lt;MIN(R885,DAY(EOMONTH(AsAt,0)))))/D885)+1)+O885*(AsAt&gt;='Deal maths'!AA885)),0)</f>
        <v/>
      </c>
      <c r="I885" s="108">
        <f>G885-H885</f>
        <v/>
      </c>
      <c r="J885" s="111">
        <f>IF(AND(C885="EIP",I885&gt;0),'Deal maths'!Y885/I885,0)</f>
        <v/>
      </c>
      <c r="K885" s="111">
        <f>IF(AND(C885="Annuity",I885&gt;0),IF(F885&gt;0,'Deal maths'!Y885*F885/(1-(1+F885)^-I885),'Deal maths'!Y885/I885),0)</f>
        <v/>
      </c>
      <c r="L885" s="111">
        <f>IF('Deal maths'!Y885="",0,'Deal maths'!Y885)</f>
        <v/>
      </c>
      <c r="M885" s="112">
        <f>F885+(F885=0)</f>
        <v/>
      </c>
      <c r="N885" s="108">
        <f>IFERROR(IF(D885=0,0,INT(((YEAR('Deal maths'!AA885)-YEAR(E885))*12+MONTH('Deal maths'!AA885)-MONTH(E885)-(DAY('Deal maths'!AA885)&lt;MIN(R885,DAY(EOMONTH('Deal maths'!AA885,0)))))/D885)+1),0)</f>
        <v/>
      </c>
      <c r="O885" s="108">
        <f>IFERROR(IF(D885=0,0,IF(IF(DAY(E885+1)=1,EOMONTH(E885,(N885-1)*D885),EDATE(E885,(N885-1)*D885))='Deal maths'!AA885,0,1)),0)</f>
        <v/>
      </c>
      <c r="P885" s="113">
        <f>IF(B885=0,0,IFERROR(IF(C885="EIP",((I885-O885)*((IF(DAY(E885+1)=1,EOMONTH(E885,H885*D885),EDATE(E885,H885*D885))-AsAt)/365.25+(IF(DAY(E885+1)=1,EOMONTH(E885,(N885-1)*D885),EDATE(E885,(N885-1)*D885))-AsAt)/365.25)/2+O885*('Deal maths'!AA885-AsAt)/365.25)/I885,IF(C885="Annuity",IF(F885&gt;0,((K885-L885*F885)*((IF(DAY(E885+1)=1,EOMONTH(E885,H885*D885),EDATE(E885,H885*D885))-AsAt)/365.25*((1+F885)^(I885-O885)-1)/F885+IF((I885-O885)&gt;1,((IF(DAY(E885+1)=1,EOMONTH(E885,(N885-1)*D885),EDATE(E885,(N885-1)*D885))-AsAt)/365.25-(IF(DAY(E885+1)=1,EOMONTH(E885,H885*D885),EDATE(E885,H885*D885))-AsAt)/365.25)/((I885-O885)-1),0)*(1+F885)*(1-(I885-O885)*(1+F885)^((I885-O885)-1)+((I885-O885)-1)*(1+F885)^(I885-O885))/F885^2)+O885*(K885-L885*F885)*(1+F885)^(I885-1)*('Deal maths'!AA885-AsAt)/365.25)/L885,((I885-O885)*((IF(DAY(E885+1)=1,EOMONTH(E885,H885*D885),EDATE(E885,H885*D885))-AsAt)/365.25+(IF(DAY(E885+1)=1,EOMONTH(E885,(N885-1)*D885),EDATE(E885,(N885-1)*D885))-AsAt)/365.25)/2+O885*('Deal maths'!AA885-AsAt)/365.25)/I885),(S885-AsAt)/365.25)),0))</f>
        <v/>
      </c>
      <c r="Q885" s="109">
        <f>IF(B885=1,'Deal maths'!AA885+ROW()/1000000,"")</f>
        <v/>
      </c>
      <c r="R885" s="108">
        <f>IF(D885=0,0,IF(DAY(E885+1)=1,31,DAY(E885)))</f>
        <v/>
      </c>
      <c r="S885" s="109">
        <f>IF(AND('Deal maths'!V885="LOBO",'Deal maths'!AG885&gt;AsAt,'Deal maths'!AG885&lt;'Deal maths'!AA885),'Deal maths'!AG885,'Deal maths'!AA885)</f>
        <v/>
      </c>
      <c r="T885" s="108">
        <f>('Deal maths'!AA885&gt;AsAt)*('Deal maths'!Y885&gt;0)</f>
        <v/>
      </c>
    </row>
    <row r="886">
      <c r="A886" s="91">
        <f>IF('Deal maths'!V886="","",'Deal maths'!W886)</f>
        <v/>
      </c>
      <c r="B886" s="108">
        <f>('Deal maths'!AA886&gt;AsAt)*('Deal maths'!Y886&gt;0)*('Deal maths'!Z886&lt;=AsAt)</f>
        <v/>
      </c>
      <c r="C886" s="91">
        <f>IF('Deal maths'!V886="","",IF('Deal maths'!AC886="","Maturity",'Deal maths'!AC886))</f>
        <v/>
      </c>
      <c r="D886" s="108">
        <f>IF(OR(C886="EIP",C886="Annuity"),IF('Deal maths'!AD886="Annual",12,IF('Deal maths'!AD886="Quarterly",3,6)),0)</f>
        <v/>
      </c>
      <c r="E886" s="109">
        <f>IFERROR(IF(D886=0,0,IF('Deal maths'!AE886&gt;0,IF('Deal maths'!AE886&gt;'Deal maths'!AA886,'Deal maths'!AA886,'Deal maths'!AE886),IF(IF(DAY('Deal maths'!AA886+1)=1,EOMONTH('Deal maths'!AA886,-(INT(((YEAR('Deal maths'!AA886)-YEAR(IF('Deal maths'!Z886&gt;0,'Deal maths'!Z886,DATE(1990,1,1))))*12+MONTH('Deal maths'!AA886)-MONTH(IF('Deal maths'!Z886&gt;0,'Deal maths'!Z886,DATE(1990,1,1))))/D886))*D886),EDATE('Deal maths'!AA886,-(INT(((YEAR('Deal maths'!AA886)-YEAR(IF('Deal maths'!Z886&gt;0,'Deal maths'!Z886,DATE(1990,1,1))))*12+MONTH('Deal maths'!AA886)-MONTH(IF('Deal maths'!Z886&gt;0,'Deal maths'!Z886,DATE(1990,1,1))))/D886))*D886))&gt;IF('Deal maths'!Z886&gt;0,'Deal maths'!Z886,DATE(1990,1,1)),IF(DAY('Deal maths'!AA886+1)=1,EOMONTH('Deal maths'!AA886,-(INT(((YEAR('Deal maths'!AA886)-YEAR(IF('Deal maths'!Z886&gt;0,'Deal maths'!Z886,DATE(1990,1,1))))*12+MONTH('Deal maths'!AA886)-MONTH(IF('Deal maths'!Z886&gt;0,'Deal maths'!Z886,DATE(1990,1,1))))/D886))*D886),EDATE('Deal maths'!AA886,-(INT(((YEAR('Deal maths'!AA886)-YEAR(IF('Deal maths'!Z886&gt;0,'Deal maths'!Z886,DATE(1990,1,1))))*12+MONTH('Deal maths'!AA886)-MONTH(IF('Deal maths'!Z886&gt;0,'Deal maths'!Z886,DATE(1990,1,1))))/D886))*D886)),IF(DAY('Deal maths'!AA886+1)=1,EOMONTH('Deal maths'!AA886,-(INT(((YEAR('Deal maths'!AA886)-YEAR(IF('Deal maths'!Z886&gt;0,'Deal maths'!Z886,DATE(1990,1,1))))*12+MONTH('Deal maths'!AA886)-MONTH(IF('Deal maths'!Z886&gt;0,'Deal maths'!Z886,DATE(1990,1,1))))/D886)-1)*D886),EDATE('Deal maths'!AA886,-(INT(((YEAR('Deal maths'!AA886)-YEAR(IF('Deal maths'!Z886&gt;0,'Deal maths'!Z886,DATE(1990,1,1))))*12+MONTH('Deal maths'!AA886)-MONTH(IF('Deal maths'!Z886&gt;0,'Deal maths'!Z886,DATE(1990,1,1))))/D886)-1)*D886))))),0)</f>
        <v/>
      </c>
      <c r="F886" s="110">
        <f>IF(D886=0,0,'Deal maths'!AB886*D886/12)</f>
        <v/>
      </c>
      <c r="G886" s="108">
        <f>N886+O886</f>
        <v/>
      </c>
      <c r="H886" s="108">
        <f>IFERROR(IF(OR(D886=0,AsAt&lt;E886),0,MIN(N886,INT(((YEAR(AsAt)-YEAR(E886))*12+MONTH(AsAt)-MONTH(E886)-(DAY(AsAt)&lt;MIN(R886,DAY(EOMONTH(AsAt,0)))))/D886)+1)+O886*(AsAt&gt;='Deal maths'!AA886)),0)</f>
        <v/>
      </c>
      <c r="I886" s="108">
        <f>G886-H886</f>
        <v/>
      </c>
      <c r="J886" s="111">
        <f>IF(AND(C886="EIP",I886&gt;0),'Deal maths'!Y886/I886,0)</f>
        <v/>
      </c>
      <c r="K886" s="111">
        <f>IF(AND(C886="Annuity",I886&gt;0),IF(F886&gt;0,'Deal maths'!Y886*F886/(1-(1+F886)^-I886),'Deal maths'!Y886/I886),0)</f>
        <v/>
      </c>
      <c r="L886" s="111">
        <f>IF('Deal maths'!Y886="",0,'Deal maths'!Y886)</f>
        <v/>
      </c>
      <c r="M886" s="112">
        <f>F886+(F886=0)</f>
        <v/>
      </c>
      <c r="N886" s="108">
        <f>IFERROR(IF(D886=0,0,INT(((YEAR('Deal maths'!AA886)-YEAR(E886))*12+MONTH('Deal maths'!AA886)-MONTH(E886)-(DAY('Deal maths'!AA886)&lt;MIN(R886,DAY(EOMONTH('Deal maths'!AA886,0)))))/D886)+1),0)</f>
        <v/>
      </c>
      <c r="O886" s="108">
        <f>IFERROR(IF(D886=0,0,IF(IF(DAY(E886+1)=1,EOMONTH(E886,(N886-1)*D886),EDATE(E886,(N886-1)*D886))='Deal maths'!AA886,0,1)),0)</f>
        <v/>
      </c>
      <c r="P886" s="113">
        <f>IF(B886=0,0,IFERROR(IF(C886="EIP",((I886-O886)*((IF(DAY(E886+1)=1,EOMONTH(E886,H886*D886),EDATE(E886,H886*D886))-AsAt)/365.25+(IF(DAY(E886+1)=1,EOMONTH(E886,(N886-1)*D886),EDATE(E886,(N886-1)*D886))-AsAt)/365.25)/2+O886*('Deal maths'!AA886-AsAt)/365.25)/I886,IF(C886="Annuity",IF(F886&gt;0,((K886-L886*F886)*((IF(DAY(E886+1)=1,EOMONTH(E886,H886*D886),EDATE(E886,H886*D886))-AsAt)/365.25*((1+F886)^(I886-O886)-1)/F886+IF((I886-O886)&gt;1,((IF(DAY(E886+1)=1,EOMONTH(E886,(N886-1)*D886),EDATE(E886,(N886-1)*D886))-AsAt)/365.25-(IF(DAY(E886+1)=1,EOMONTH(E886,H886*D886),EDATE(E886,H886*D886))-AsAt)/365.25)/((I886-O886)-1),0)*(1+F886)*(1-(I886-O886)*(1+F886)^((I886-O886)-1)+((I886-O886)-1)*(1+F886)^(I886-O886))/F886^2)+O886*(K886-L886*F886)*(1+F886)^(I886-1)*('Deal maths'!AA886-AsAt)/365.25)/L886,((I886-O886)*((IF(DAY(E886+1)=1,EOMONTH(E886,H886*D886),EDATE(E886,H886*D886))-AsAt)/365.25+(IF(DAY(E886+1)=1,EOMONTH(E886,(N886-1)*D886),EDATE(E886,(N886-1)*D886))-AsAt)/365.25)/2+O886*('Deal maths'!AA886-AsAt)/365.25)/I886),(S886-AsAt)/365.25)),0))</f>
        <v/>
      </c>
      <c r="Q886" s="109">
        <f>IF(B886=1,'Deal maths'!AA886+ROW()/1000000,"")</f>
        <v/>
      </c>
      <c r="R886" s="108">
        <f>IF(D886=0,0,IF(DAY(E886+1)=1,31,DAY(E886)))</f>
        <v/>
      </c>
      <c r="S886" s="109">
        <f>IF(AND('Deal maths'!V886="LOBO",'Deal maths'!AG886&gt;AsAt,'Deal maths'!AG886&lt;'Deal maths'!AA886),'Deal maths'!AG886,'Deal maths'!AA886)</f>
        <v/>
      </c>
      <c r="T886" s="108">
        <f>('Deal maths'!AA886&gt;AsAt)*('Deal maths'!Y886&gt;0)</f>
        <v/>
      </c>
    </row>
    <row r="887">
      <c r="A887" s="91">
        <f>IF('Deal maths'!V887="","",'Deal maths'!W887)</f>
        <v/>
      </c>
      <c r="B887" s="108">
        <f>('Deal maths'!AA887&gt;AsAt)*('Deal maths'!Y887&gt;0)*('Deal maths'!Z887&lt;=AsAt)</f>
        <v/>
      </c>
      <c r="C887" s="91">
        <f>IF('Deal maths'!V887="","",IF('Deal maths'!AC887="","Maturity",'Deal maths'!AC887))</f>
        <v/>
      </c>
      <c r="D887" s="108">
        <f>IF(OR(C887="EIP",C887="Annuity"),IF('Deal maths'!AD887="Annual",12,IF('Deal maths'!AD887="Quarterly",3,6)),0)</f>
        <v/>
      </c>
      <c r="E887" s="109">
        <f>IFERROR(IF(D887=0,0,IF('Deal maths'!AE887&gt;0,IF('Deal maths'!AE887&gt;'Deal maths'!AA887,'Deal maths'!AA887,'Deal maths'!AE887),IF(IF(DAY('Deal maths'!AA887+1)=1,EOMONTH('Deal maths'!AA887,-(INT(((YEAR('Deal maths'!AA887)-YEAR(IF('Deal maths'!Z887&gt;0,'Deal maths'!Z887,DATE(1990,1,1))))*12+MONTH('Deal maths'!AA887)-MONTH(IF('Deal maths'!Z887&gt;0,'Deal maths'!Z887,DATE(1990,1,1))))/D887))*D887),EDATE('Deal maths'!AA887,-(INT(((YEAR('Deal maths'!AA887)-YEAR(IF('Deal maths'!Z887&gt;0,'Deal maths'!Z887,DATE(1990,1,1))))*12+MONTH('Deal maths'!AA887)-MONTH(IF('Deal maths'!Z887&gt;0,'Deal maths'!Z887,DATE(1990,1,1))))/D887))*D887))&gt;IF('Deal maths'!Z887&gt;0,'Deal maths'!Z887,DATE(1990,1,1)),IF(DAY('Deal maths'!AA887+1)=1,EOMONTH('Deal maths'!AA887,-(INT(((YEAR('Deal maths'!AA887)-YEAR(IF('Deal maths'!Z887&gt;0,'Deal maths'!Z887,DATE(1990,1,1))))*12+MONTH('Deal maths'!AA887)-MONTH(IF('Deal maths'!Z887&gt;0,'Deal maths'!Z887,DATE(1990,1,1))))/D887))*D887),EDATE('Deal maths'!AA887,-(INT(((YEAR('Deal maths'!AA887)-YEAR(IF('Deal maths'!Z887&gt;0,'Deal maths'!Z887,DATE(1990,1,1))))*12+MONTH('Deal maths'!AA887)-MONTH(IF('Deal maths'!Z887&gt;0,'Deal maths'!Z887,DATE(1990,1,1))))/D887))*D887)),IF(DAY('Deal maths'!AA887+1)=1,EOMONTH('Deal maths'!AA887,-(INT(((YEAR('Deal maths'!AA887)-YEAR(IF('Deal maths'!Z887&gt;0,'Deal maths'!Z887,DATE(1990,1,1))))*12+MONTH('Deal maths'!AA887)-MONTH(IF('Deal maths'!Z887&gt;0,'Deal maths'!Z887,DATE(1990,1,1))))/D887)-1)*D887),EDATE('Deal maths'!AA887,-(INT(((YEAR('Deal maths'!AA887)-YEAR(IF('Deal maths'!Z887&gt;0,'Deal maths'!Z887,DATE(1990,1,1))))*12+MONTH('Deal maths'!AA887)-MONTH(IF('Deal maths'!Z887&gt;0,'Deal maths'!Z887,DATE(1990,1,1))))/D887)-1)*D887))))),0)</f>
        <v/>
      </c>
      <c r="F887" s="110">
        <f>IF(D887=0,0,'Deal maths'!AB887*D887/12)</f>
        <v/>
      </c>
      <c r="G887" s="108">
        <f>N887+O887</f>
        <v/>
      </c>
      <c r="H887" s="108">
        <f>IFERROR(IF(OR(D887=0,AsAt&lt;E887),0,MIN(N887,INT(((YEAR(AsAt)-YEAR(E887))*12+MONTH(AsAt)-MONTH(E887)-(DAY(AsAt)&lt;MIN(R887,DAY(EOMONTH(AsAt,0)))))/D887)+1)+O887*(AsAt&gt;='Deal maths'!AA887)),0)</f>
        <v/>
      </c>
      <c r="I887" s="108">
        <f>G887-H887</f>
        <v/>
      </c>
      <c r="J887" s="111">
        <f>IF(AND(C887="EIP",I887&gt;0),'Deal maths'!Y887/I887,0)</f>
        <v/>
      </c>
      <c r="K887" s="111">
        <f>IF(AND(C887="Annuity",I887&gt;0),IF(F887&gt;0,'Deal maths'!Y887*F887/(1-(1+F887)^-I887),'Deal maths'!Y887/I887),0)</f>
        <v/>
      </c>
      <c r="L887" s="111">
        <f>IF('Deal maths'!Y887="",0,'Deal maths'!Y887)</f>
        <v/>
      </c>
      <c r="M887" s="112">
        <f>F887+(F887=0)</f>
        <v/>
      </c>
      <c r="N887" s="108">
        <f>IFERROR(IF(D887=0,0,INT(((YEAR('Deal maths'!AA887)-YEAR(E887))*12+MONTH('Deal maths'!AA887)-MONTH(E887)-(DAY('Deal maths'!AA887)&lt;MIN(R887,DAY(EOMONTH('Deal maths'!AA887,0)))))/D887)+1),0)</f>
        <v/>
      </c>
      <c r="O887" s="108">
        <f>IFERROR(IF(D887=0,0,IF(IF(DAY(E887+1)=1,EOMONTH(E887,(N887-1)*D887),EDATE(E887,(N887-1)*D887))='Deal maths'!AA887,0,1)),0)</f>
        <v/>
      </c>
      <c r="P887" s="113">
        <f>IF(B887=0,0,IFERROR(IF(C887="EIP",((I887-O887)*((IF(DAY(E887+1)=1,EOMONTH(E887,H887*D887),EDATE(E887,H887*D887))-AsAt)/365.25+(IF(DAY(E887+1)=1,EOMONTH(E887,(N887-1)*D887),EDATE(E887,(N887-1)*D887))-AsAt)/365.25)/2+O887*('Deal maths'!AA887-AsAt)/365.25)/I887,IF(C887="Annuity",IF(F887&gt;0,((K887-L887*F887)*((IF(DAY(E887+1)=1,EOMONTH(E887,H887*D887),EDATE(E887,H887*D887))-AsAt)/365.25*((1+F887)^(I887-O887)-1)/F887+IF((I887-O887)&gt;1,((IF(DAY(E887+1)=1,EOMONTH(E887,(N887-1)*D887),EDATE(E887,(N887-1)*D887))-AsAt)/365.25-(IF(DAY(E887+1)=1,EOMONTH(E887,H887*D887),EDATE(E887,H887*D887))-AsAt)/365.25)/((I887-O887)-1),0)*(1+F887)*(1-(I887-O887)*(1+F887)^((I887-O887)-1)+((I887-O887)-1)*(1+F887)^(I887-O887))/F887^2)+O887*(K887-L887*F887)*(1+F887)^(I887-1)*('Deal maths'!AA887-AsAt)/365.25)/L887,((I887-O887)*((IF(DAY(E887+1)=1,EOMONTH(E887,H887*D887),EDATE(E887,H887*D887))-AsAt)/365.25+(IF(DAY(E887+1)=1,EOMONTH(E887,(N887-1)*D887),EDATE(E887,(N887-1)*D887))-AsAt)/365.25)/2+O887*('Deal maths'!AA887-AsAt)/365.25)/I887),(S887-AsAt)/365.25)),0))</f>
        <v/>
      </c>
      <c r="Q887" s="109">
        <f>IF(B887=1,'Deal maths'!AA887+ROW()/1000000,"")</f>
        <v/>
      </c>
      <c r="R887" s="108">
        <f>IF(D887=0,0,IF(DAY(E887+1)=1,31,DAY(E887)))</f>
        <v/>
      </c>
      <c r="S887" s="109">
        <f>IF(AND('Deal maths'!V887="LOBO",'Deal maths'!AG887&gt;AsAt,'Deal maths'!AG887&lt;'Deal maths'!AA887),'Deal maths'!AG887,'Deal maths'!AA887)</f>
        <v/>
      </c>
      <c r="T887" s="108">
        <f>('Deal maths'!AA887&gt;AsAt)*('Deal maths'!Y887&gt;0)</f>
        <v/>
      </c>
    </row>
    <row r="888">
      <c r="A888" s="91">
        <f>IF('Deal maths'!V888="","",'Deal maths'!W888)</f>
        <v/>
      </c>
      <c r="B888" s="108">
        <f>('Deal maths'!AA888&gt;AsAt)*('Deal maths'!Y888&gt;0)*('Deal maths'!Z888&lt;=AsAt)</f>
        <v/>
      </c>
      <c r="C888" s="91">
        <f>IF('Deal maths'!V888="","",IF('Deal maths'!AC888="","Maturity",'Deal maths'!AC888))</f>
        <v/>
      </c>
      <c r="D888" s="108">
        <f>IF(OR(C888="EIP",C888="Annuity"),IF('Deal maths'!AD888="Annual",12,IF('Deal maths'!AD888="Quarterly",3,6)),0)</f>
        <v/>
      </c>
      <c r="E888" s="109">
        <f>IFERROR(IF(D888=0,0,IF('Deal maths'!AE888&gt;0,IF('Deal maths'!AE888&gt;'Deal maths'!AA888,'Deal maths'!AA888,'Deal maths'!AE888),IF(IF(DAY('Deal maths'!AA888+1)=1,EOMONTH('Deal maths'!AA888,-(INT(((YEAR('Deal maths'!AA888)-YEAR(IF('Deal maths'!Z888&gt;0,'Deal maths'!Z888,DATE(1990,1,1))))*12+MONTH('Deal maths'!AA888)-MONTH(IF('Deal maths'!Z888&gt;0,'Deal maths'!Z888,DATE(1990,1,1))))/D888))*D888),EDATE('Deal maths'!AA888,-(INT(((YEAR('Deal maths'!AA888)-YEAR(IF('Deal maths'!Z888&gt;0,'Deal maths'!Z888,DATE(1990,1,1))))*12+MONTH('Deal maths'!AA888)-MONTH(IF('Deal maths'!Z888&gt;0,'Deal maths'!Z888,DATE(1990,1,1))))/D888))*D888))&gt;IF('Deal maths'!Z888&gt;0,'Deal maths'!Z888,DATE(1990,1,1)),IF(DAY('Deal maths'!AA888+1)=1,EOMONTH('Deal maths'!AA888,-(INT(((YEAR('Deal maths'!AA888)-YEAR(IF('Deal maths'!Z888&gt;0,'Deal maths'!Z888,DATE(1990,1,1))))*12+MONTH('Deal maths'!AA888)-MONTH(IF('Deal maths'!Z888&gt;0,'Deal maths'!Z888,DATE(1990,1,1))))/D888))*D888),EDATE('Deal maths'!AA888,-(INT(((YEAR('Deal maths'!AA888)-YEAR(IF('Deal maths'!Z888&gt;0,'Deal maths'!Z888,DATE(1990,1,1))))*12+MONTH('Deal maths'!AA888)-MONTH(IF('Deal maths'!Z888&gt;0,'Deal maths'!Z888,DATE(1990,1,1))))/D888))*D888)),IF(DAY('Deal maths'!AA888+1)=1,EOMONTH('Deal maths'!AA888,-(INT(((YEAR('Deal maths'!AA888)-YEAR(IF('Deal maths'!Z888&gt;0,'Deal maths'!Z888,DATE(1990,1,1))))*12+MONTH('Deal maths'!AA888)-MONTH(IF('Deal maths'!Z888&gt;0,'Deal maths'!Z888,DATE(1990,1,1))))/D888)-1)*D888),EDATE('Deal maths'!AA888,-(INT(((YEAR('Deal maths'!AA888)-YEAR(IF('Deal maths'!Z888&gt;0,'Deal maths'!Z888,DATE(1990,1,1))))*12+MONTH('Deal maths'!AA888)-MONTH(IF('Deal maths'!Z888&gt;0,'Deal maths'!Z888,DATE(1990,1,1))))/D888)-1)*D888))))),0)</f>
        <v/>
      </c>
      <c r="F888" s="110">
        <f>IF(D888=0,0,'Deal maths'!AB888*D888/12)</f>
        <v/>
      </c>
      <c r="G888" s="108">
        <f>N888+O888</f>
        <v/>
      </c>
      <c r="H888" s="108">
        <f>IFERROR(IF(OR(D888=0,AsAt&lt;E888),0,MIN(N888,INT(((YEAR(AsAt)-YEAR(E888))*12+MONTH(AsAt)-MONTH(E888)-(DAY(AsAt)&lt;MIN(R888,DAY(EOMONTH(AsAt,0)))))/D888)+1)+O888*(AsAt&gt;='Deal maths'!AA888)),0)</f>
        <v/>
      </c>
      <c r="I888" s="108">
        <f>G888-H888</f>
        <v/>
      </c>
      <c r="J888" s="111">
        <f>IF(AND(C888="EIP",I888&gt;0),'Deal maths'!Y888/I888,0)</f>
        <v/>
      </c>
      <c r="K888" s="111">
        <f>IF(AND(C888="Annuity",I888&gt;0),IF(F888&gt;0,'Deal maths'!Y888*F888/(1-(1+F888)^-I888),'Deal maths'!Y888/I888),0)</f>
        <v/>
      </c>
      <c r="L888" s="111">
        <f>IF('Deal maths'!Y888="",0,'Deal maths'!Y888)</f>
        <v/>
      </c>
      <c r="M888" s="112">
        <f>F888+(F888=0)</f>
        <v/>
      </c>
      <c r="N888" s="108">
        <f>IFERROR(IF(D888=0,0,INT(((YEAR('Deal maths'!AA888)-YEAR(E888))*12+MONTH('Deal maths'!AA888)-MONTH(E888)-(DAY('Deal maths'!AA888)&lt;MIN(R888,DAY(EOMONTH('Deal maths'!AA888,0)))))/D888)+1),0)</f>
        <v/>
      </c>
      <c r="O888" s="108">
        <f>IFERROR(IF(D888=0,0,IF(IF(DAY(E888+1)=1,EOMONTH(E888,(N888-1)*D888),EDATE(E888,(N888-1)*D888))='Deal maths'!AA888,0,1)),0)</f>
        <v/>
      </c>
      <c r="P888" s="113">
        <f>IF(B888=0,0,IFERROR(IF(C888="EIP",((I888-O888)*((IF(DAY(E888+1)=1,EOMONTH(E888,H888*D888),EDATE(E888,H888*D888))-AsAt)/365.25+(IF(DAY(E888+1)=1,EOMONTH(E888,(N888-1)*D888),EDATE(E888,(N888-1)*D888))-AsAt)/365.25)/2+O888*('Deal maths'!AA888-AsAt)/365.25)/I888,IF(C888="Annuity",IF(F888&gt;0,((K888-L888*F888)*((IF(DAY(E888+1)=1,EOMONTH(E888,H888*D888),EDATE(E888,H888*D888))-AsAt)/365.25*((1+F888)^(I888-O888)-1)/F888+IF((I888-O888)&gt;1,((IF(DAY(E888+1)=1,EOMONTH(E888,(N888-1)*D888),EDATE(E888,(N888-1)*D888))-AsAt)/365.25-(IF(DAY(E888+1)=1,EOMONTH(E888,H888*D888),EDATE(E888,H888*D888))-AsAt)/365.25)/((I888-O888)-1),0)*(1+F888)*(1-(I888-O888)*(1+F888)^((I888-O888)-1)+((I888-O888)-1)*(1+F888)^(I888-O888))/F888^2)+O888*(K888-L888*F888)*(1+F888)^(I888-1)*('Deal maths'!AA888-AsAt)/365.25)/L888,((I888-O888)*((IF(DAY(E888+1)=1,EOMONTH(E888,H888*D888),EDATE(E888,H888*D888))-AsAt)/365.25+(IF(DAY(E888+1)=1,EOMONTH(E888,(N888-1)*D888),EDATE(E888,(N888-1)*D888))-AsAt)/365.25)/2+O888*('Deal maths'!AA888-AsAt)/365.25)/I888),(S888-AsAt)/365.25)),0))</f>
        <v/>
      </c>
      <c r="Q888" s="109">
        <f>IF(B888=1,'Deal maths'!AA888+ROW()/1000000,"")</f>
        <v/>
      </c>
      <c r="R888" s="108">
        <f>IF(D888=0,0,IF(DAY(E888+1)=1,31,DAY(E888)))</f>
        <v/>
      </c>
      <c r="S888" s="109">
        <f>IF(AND('Deal maths'!V888="LOBO",'Deal maths'!AG888&gt;AsAt,'Deal maths'!AG888&lt;'Deal maths'!AA888),'Deal maths'!AG888,'Deal maths'!AA888)</f>
        <v/>
      </c>
      <c r="T888" s="108">
        <f>('Deal maths'!AA888&gt;AsAt)*('Deal maths'!Y888&gt;0)</f>
        <v/>
      </c>
    </row>
    <row r="889">
      <c r="A889" s="91">
        <f>IF('Deal maths'!V889="","",'Deal maths'!W889)</f>
        <v/>
      </c>
      <c r="B889" s="108">
        <f>('Deal maths'!AA889&gt;AsAt)*('Deal maths'!Y889&gt;0)*('Deal maths'!Z889&lt;=AsAt)</f>
        <v/>
      </c>
      <c r="C889" s="91">
        <f>IF('Deal maths'!V889="","",IF('Deal maths'!AC889="","Maturity",'Deal maths'!AC889))</f>
        <v/>
      </c>
      <c r="D889" s="108">
        <f>IF(OR(C889="EIP",C889="Annuity"),IF('Deal maths'!AD889="Annual",12,IF('Deal maths'!AD889="Quarterly",3,6)),0)</f>
        <v/>
      </c>
      <c r="E889" s="109">
        <f>IFERROR(IF(D889=0,0,IF('Deal maths'!AE889&gt;0,IF('Deal maths'!AE889&gt;'Deal maths'!AA889,'Deal maths'!AA889,'Deal maths'!AE889),IF(IF(DAY('Deal maths'!AA889+1)=1,EOMONTH('Deal maths'!AA889,-(INT(((YEAR('Deal maths'!AA889)-YEAR(IF('Deal maths'!Z889&gt;0,'Deal maths'!Z889,DATE(1990,1,1))))*12+MONTH('Deal maths'!AA889)-MONTH(IF('Deal maths'!Z889&gt;0,'Deal maths'!Z889,DATE(1990,1,1))))/D889))*D889),EDATE('Deal maths'!AA889,-(INT(((YEAR('Deal maths'!AA889)-YEAR(IF('Deal maths'!Z889&gt;0,'Deal maths'!Z889,DATE(1990,1,1))))*12+MONTH('Deal maths'!AA889)-MONTH(IF('Deal maths'!Z889&gt;0,'Deal maths'!Z889,DATE(1990,1,1))))/D889))*D889))&gt;IF('Deal maths'!Z889&gt;0,'Deal maths'!Z889,DATE(1990,1,1)),IF(DAY('Deal maths'!AA889+1)=1,EOMONTH('Deal maths'!AA889,-(INT(((YEAR('Deal maths'!AA889)-YEAR(IF('Deal maths'!Z889&gt;0,'Deal maths'!Z889,DATE(1990,1,1))))*12+MONTH('Deal maths'!AA889)-MONTH(IF('Deal maths'!Z889&gt;0,'Deal maths'!Z889,DATE(1990,1,1))))/D889))*D889),EDATE('Deal maths'!AA889,-(INT(((YEAR('Deal maths'!AA889)-YEAR(IF('Deal maths'!Z889&gt;0,'Deal maths'!Z889,DATE(1990,1,1))))*12+MONTH('Deal maths'!AA889)-MONTH(IF('Deal maths'!Z889&gt;0,'Deal maths'!Z889,DATE(1990,1,1))))/D889))*D889)),IF(DAY('Deal maths'!AA889+1)=1,EOMONTH('Deal maths'!AA889,-(INT(((YEAR('Deal maths'!AA889)-YEAR(IF('Deal maths'!Z889&gt;0,'Deal maths'!Z889,DATE(1990,1,1))))*12+MONTH('Deal maths'!AA889)-MONTH(IF('Deal maths'!Z889&gt;0,'Deal maths'!Z889,DATE(1990,1,1))))/D889)-1)*D889),EDATE('Deal maths'!AA889,-(INT(((YEAR('Deal maths'!AA889)-YEAR(IF('Deal maths'!Z889&gt;0,'Deal maths'!Z889,DATE(1990,1,1))))*12+MONTH('Deal maths'!AA889)-MONTH(IF('Deal maths'!Z889&gt;0,'Deal maths'!Z889,DATE(1990,1,1))))/D889)-1)*D889))))),0)</f>
        <v/>
      </c>
      <c r="F889" s="110">
        <f>IF(D889=0,0,'Deal maths'!AB889*D889/12)</f>
        <v/>
      </c>
      <c r="G889" s="108">
        <f>N889+O889</f>
        <v/>
      </c>
      <c r="H889" s="108">
        <f>IFERROR(IF(OR(D889=0,AsAt&lt;E889),0,MIN(N889,INT(((YEAR(AsAt)-YEAR(E889))*12+MONTH(AsAt)-MONTH(E889)-(DAY(AsAt)&lt;MIN(R889,DAY(EOMONTH(AsAt,0)))))/D889)+1)+O889*(AsAt&gt;='Deal maths'!AA889)),0)</f>
        <v/>
      </c>
      <c r="I889" s="108">
        <f>G889-H889</f>
        <v/>
      </c>
      <c r="J889" s="111">
        <f>IF(AND(C889="EIP",I889&gt;0),'Deal maths'!Y889/I889,0)</f>
        <v/>
      </c>
      <c r="K889" s="111">
        <f>IF(AND(C889="Annuity",I889&gt;0),IF(F889&gt;0,'Deal maths'!Y889*F889/(1-(1+F889)^-I889),'Deal maths'!Y889/I889),0)</f>
        <v/>
      </c>
      <c r="L889" s="111">
        <f>IF('Deal maths'!Y889="",0,'Deal maths'!Y889)</f>
        <v/>
      </c>
      <c r="M889" s="112">
        <f>F889+(F889=0)</f>
        <v/>
      </c>
      <c r="N889" s="108">
        <f>IFERROR(IF(D889=0,0,INT(((YEAR('Deal maths'!AA889)-YEAR(E889))*12+MONTH('Deal maths'!AA889)-MONTH(E889)-(DAY('Deal maths'!AA889)&lt;MIN(R889,DAY(EOMONTH('Deal maths'!AA889,0)))))/D889)+1),0)</f>
        <v/>
      </c>
      <c r="O889" s="108">
        <f>IFERROR(IF(D889=0,0,IF(IF(DAY(E889+1)=1,EOMONTH(E889,(N889-1)*D889),EDATE(E889,(N889-1)*D889))='Deal maths'!AA889,0,1)),0)</f>
        <v/>
      </c>
      <c r="P889" s="113">
        <f>IF(B889=0,0,IFERROR(IF(C889="EIP",((I889-O889)*((IF(DAY(E889+1)=1,EOMONTH(E889,H889*D889),EDATE(E889,H889*D889))-AsAt)/365.25+(IF(DAY(E889+1)=1,EOMONTH(E889,(N889-1)*D889),EDATE(E889,(N889-1)*D889))-AsAt)/365.25)/2+O889*('Deal maths'!AA889-AsAt)/365.25)/I889,IF(C889="Annuity",IF(F889&gt;0,((K889-L889*F889)*((IF(DAY(E889+1)=1,EOMONTH(E889,H889*D889),EDATE(E889,H889*D889))-AsAt)/365.25*((1+F889)^(I889-O889)-1)/F889+IF((I889-O889)&gt;1,((IF(DAY(E889+1)=1,EOMONTH(E889,(N889-1)*D889),EDATE(E889,(N889-1)*D889))-AsAt)/365.25-(IF(DAY(E889+1)=1,EOMONTH(E889,H889*D889),EDATE(E889,H889*D889))-AsAt)/365.25)/((I889-O889)-1),0)*(1+F889)*(1-(I889-O889)*(1+F889)^((I889-O889)-1)+((I889-O889)-1)*(1+F889)^(I889-O889))/F889^2)+O889*(K889-L889*F889)*(1+F889)^(I889-1)*('Deal maths'!AA889-AsAt)/365.25)/L889,((I889-O889)*((IF(DAY(E889+1)=1,EOMONTH(E889,H889*D889),EDATE(E889,H889*D889))-AsAt)/365.25+(IF(DAY(E889+1)=1,EOMONTH(E889,(N889-1)*D889),EDATE(E889,(N889-1)*D889))-AsAt)/365.25)/2+O889*('Deal maths'!AA889-AsAt)/365.25)/I889),(S889-AsAt)/365.25)),0))</f>
        <v/>
      </c>
      <c r="Q889" s="109">
        <f>IF(B889=1,'Deal maths'!AA889+ROW()/1000000,"")</f>
        <v/>
      </c>
      <c r="R889" s="108">
        <f>IF(D889=0,0,IF(DAY(E889+1)=1,31,DAY(E889)))</f>
        <v/>
      </c>
      <c r="S889" s="109">
        <f>IF(AND('Deal maths'!V889="LOBO",'Deal maths'!AG889&gt;AsAt,'Deal maths'!AG889&lt;'Deal maths'!AA889),'Deal maths'!AG889,'Deal maths'!AA889)</f>
        <v/>
      </c>
      <c r="T889" s="108">
        <f>('Deal maths'!AA889&gt;AsAt)*('Deal maths'!Y889&gt;0)</f>
        <v/>
      </c>
    </row>
    <row r="890">
      <c r="A890" s="91">
        <f>IF('Deal maths'!V890="","",'Deal maths'!W890)</f>
        <v/>
      </c>
      <c r="B890" s="108">
        <f>('Deal maths'!AA890&gt;AsAt)*('Deal maths'!Y890&gt;0)*('Deal maths'!Z890&lt;=AsAt)</f>
        <v/>
      </c>
      <c r="C890" s="91">
        <f>IF('Deal maths'!V890="","",IF('Deal maths'!AC890="","Maturity",'Deal maths'!AC890))</f>
        <v/>
      </c>
      <c r="D890" s="108">
        <f>IF(OR(C890="EIP",C890="Annuity"),IF('Deal maths'!AD890="Annual",12,IF('Deal maths'!AD890="Quarterly",3,6)),0)</f>
        <v/>
      </c>
      <c r="E890" s="109">
        <f>IFERROR(IF(D890=0,0,IF('Deal maths'!AE890&gt;0,IF('Deal maths'!AE890&gt;'Deal maths'!AA890,'Deal maths'!AA890,'Deal maths'!AE890),IF(IF(DAY('Deal maths'!AA890+1)=1,EOMONTH('Deal maths'!AA890,-(INT(((YEAR('Deal maths'!AA890)-YEAR(IF('Deal maths'!Z890&gt;0,'Deal maths'!Z890,DATE(1990,1,1))))*12+MONTH('Deal maths'!AA890)-MONTH(IF('Deal maths'!Z890&gt;0,'Deal maths'!Z890,DATE(1990,1,1))))/D890))*D890),EDATE('Deal maths'!AA890,-(INT(((YEAR('Deal maths'!AA890)-YEAR(IF('Deal maths'!Z890&gt;0,'Deal maths'!Z890,DATE(1990,1,1))))*12+MONTH('Deal maths'!AA890)-MONTH(IF('Deal maths'!Z890&gt;0,'Deal maths'!Z890,DATE(1990,1,1))))/D890))*D890))&gt;IF('Deal maths'!Z890&gt;0,'Deal maths'!Z890,DATE(1990,1,1)),IF(DAY('Deal maths'!AA890+1)=1,EOMONTH('Deal maths'!AA890,-(INT(((YEAR('Deal maths'!AA890)-YEAR(IF('Deal maths'!Z890&gt;0,'Deal maths'!Z890,DATE(1990,1,1))))*12+MONTH('Deal maths'!AA890)-MONTH(IF('Deal maths'!Z890&gt;0,'Deal maths'!Z890,DATE(1990,1,1))))/D890))*D890),EDATE('Deal maths'!AA890,-(INT(((YEAR('Deal maths'!AA890)-YEAR(IF('Deal maths'!Z890&gt;0,'Deal maths'!Z890,DATE(1990,1,1))))*12+MONTH('Deal maths'!AA890)-MONTH(IF('Deal maths'!Z890&gt;0,'Deal maths'!Z890,DATE(1990,1,1))))/D890))*D890)),IF(DAY('Deal maths'!AA890+1)=1,EOMONTH('Deal maths'!AA890,-(INT(((YEAR('Deal maths'!AA890)-YEAR(IF('Deal maths'!Z890&gt;0,'Deal maths'!Z890,DATE(1990,1,1))))*12+MONTH('Deal maths'!AA890)-MONTH(IF('Deal maths'!Z890&gt;0,'Deal maths'!Z890,DATE(1990,1,1))))/D890)-1)*D890),EDATE('Deal maths'!AA890,-(INT(((YEAR('Deal maths'!AA890)-YEAR(IF('Deal maths'!Z890&gt;0,'Deal maths'!Z890,DATE(1990,1,1))))*12+MONTH('Deal maths'!AA890)-MONTH(IF('Deal maths'!Z890&gt;0,'Deal maths'!Z890,DATE(1990,1,1))))/D890)-1)*D890))))),0)</f>
        <v/>
      </c>
      <c r="F890" s="110">
        <f>IF(D890=0,0,'Deal maths'!AB890*D890/12)</f>
        <v/>
      </c>
      <c r="G890" s="108">
        <f>N890+O890</f>
        <v/>
      </c>
      <c r="H890" s="108">
        <f>IFERROR(IF(OR(D890=0,AsAt&lt;E890),0,MIN(N890,INT(((YEAR(AsAt)-YEAR(E890))*12+MONTH(AsAt)-MONTH(E890)-(DAY(AsAt)&lt;MIN(R890,DAY(EOMONTH(AsAt,0)))))/D890)+1)+O890*(AsAt&gt;='Deal maths'!AA890)),0)</f>
        <v/>
      </c>
      <c r="I890" s="108">
        <f>G890-H890</f>
        <v/>
      </c>
      <c r="J890" s="111">
        <f>IF(AND(C890="EIP",I890&gt;0),'Deal maths'!Y890/I890,0)</f>
        <v/>
      </c>
      <c r="K890" s="111">
        <f>IF(AND(C890="Annuity",I890&gt;0),IF(F890&gt;0,'Deal maths'!Y890*F890/(1-(1+F890)^-I890),'Deal maths'!Y890/I890),0)</f>
        <v/>
      </c>
      <c r="L890" s="111">
        <f>IF('Deal maths'!Y890="",0,'Deal maths'!Y890)</f>
        <v/>
      </c>
      <c r="M890" s="112">
        <f>F890+(F890=0)</f>
        <v/>
      </c>
      <c r="N890" s="108">
        <f>IFERROR(IF(D890=0,0,INT(((YEAR('Deal maths'!AA890)-YEAR(E890))*12+MONTH('Deal maths'!AA890)-MONTH(E890)-(DAY('Deal maths'!AA890)&lt;MIN(R890,DAY(EOMONTH('Deal maths'!AA890,0)))))/D890)+1),0)</f>
        <v/>
      </c>
      <c r="O890" s="108">
        <f>IFERROR(IF(D890=0,0,IF(IF(DAY(E890+1)=1,EOMONTH(E890,(N890-1)*D890),EDATE(E890,(N890-1)*D890))='Deal maths'!AA890,0,1)),0)</f>
        <v/>
      </c>
      <c r="P890" s="113">
        <f>IF(B890=0,0,IFERROR(IF(C890="EIP",((I890-O890)*((IF(DAY(E890+1)=1,EOMONTH(E890,H890*D890),EDATE(E890,H890*D890))-AsAt)/365.25+(IF(DAY(E890+1)=1,EOMONTH(E890,(N890-1)*D890),EDATE(E890,(N890-1)*D890))-AsAt)/365.25)/2+O890*('Deal maths'!AA890-AsAt)/365.25)/I890,IF(C890="Annuity",IF(F890&gt;0,((K890-L890*F890)*((IF(DAY(E890+1)=1,EOMONTH(E890,H890*D890),EDATE(E890,H890*D890))-AsAt)/365.25*((1+F890)^(I890-O890)-1)/F890+IF((I890-O890)&gt;1,((IF(DAY(E890+1)=1,EOMONTH(E890,(N890-1)*D890),EDATE(E890,(N890-1)*D890))-AsAt)/365.25-(IF(DAY(E890+1)=1,EOMONTH(E890,H890*D890),EDATE(E890,H890*D890))-AsAt)/365.25)/((I890-O890)-1),0)*(1+F890)*(1-(I890-O890)*(1+F890)^((I890-O890)-1)+((I890-O890)-1)*(1+F890)^(I890-O890))/F890^2)+O890*(K890-L890*F890)*(1+F890)^(I890-1)*('Deal maths'!AA890-AsAt)/365.25)/L890,((I890-O890)*((IF(DAY(E890+1)=1,EOMONTH(E890,H890*D890),EDATE(E890,H890*D890))-AsAt)/365.25+(IF(DAY(E890+1)=1,EOMONTH(E890,(N890-1)*D890),EDATE(E890,(N890-1)*D890))-AsAt)/365.25)/2+O890*('Deal maths'!AA890-AsAt)/365.25)/I890),(S890-AsAt)/365.25)),0))</f>
        <v/>
      </c>
      <c r="Q890" s="109">
        <f>IF(B890=1,'Deal maths'!AA890+ROW()/1000000,"")</f>
        <v/>
      </c>
      <c r="R890" s="108">
        <f>IF(D890=0,0,IF(DAY(E890+1)=1,31,DAY(E890)))</f>
        <v/>
      </c>
      <c r="S890" s="109">
        <f>IF(AND('Deal maths'!V890="LOBO",'Deal maths'!AG890&gt;AsAt,'Deal maths'!AG890&lt;'Deal maths'!AA890),'Deal maths'!AG890,'Deal maths'!AA890)</f>
        <v/>
      </c>
      <c r="T890" s="108">
        <f>('Deal maths'!AA890&gt;AsAt)*('Deal maths'!Y890&gt;0)</f>
        <v/>
      </c>
    </row>
    <row r="891">
      <c r="A891" s="91">
        <f>IF('Deal maths'!V891="","",'Deal maths'!W891)</f>
        <v/>
      </c>
      <c r="B891" s="108">
        <f>('Deal maths'!AA891&gt;AsAt)*('Deal maths'!Y891&gt;0)*('Deal maths'!Z891&lt;=AsAt)</f>
        <v/>
      </c>
      <c r="C891" s="91">
        <f>IF('Deal maths'!V891="","",IF('Deal maths'!AC891="","Maturity",'Deal maths'!AC891))</f>
        <v/>
      </c>
      <c r="D891" s="108">
        <f>IF(OR(C891="EIP",C891="Annuity"),IF('Deal maths'!AD891="Annual",12,IF('Deal maths'!AD891="Quarterly",3,6)),0)</f>
        <v/>
      </c>
      <c r="E891" s="109">
        <f>IFERROR(IF(D891=0,0,IF('Deal maths'!AE891&gt;0,IF('Deal maths'!AE891&gt;'Deal maths'!AA891,'Deal maths'!AA891,'Deal maths'!AE891),IF(IF(DAY('Deal maths'!AA891+1)=1,EOMONTH('Deal maths'!AA891,-(INT(((YEAR('Deal maths'!AA891)-YEAR(IF('Deal maths'!Z891&gt;0,'Deal maths'!Z891,DATE(1990,1,1))))*12+MONTH('Deal maths'!AA891)-MONTH(IF('Deal maths'!Z891&gt;0,'Deal maths'!Z891,DATE(1990,1,1))))/D891))*D891),EDATE('Deal maths'!AA891,-(INT(((YEAR('Deal maths'!AA891)-YEAR(IF('Deal maths'!Z891&gt;0,'Deal maths'!Z891,DATE(1990,1,1))))*12+MONTH('Deal maths'!AA891)-MONTH(IF('Deal maths'!Z891&gt;0,'Deal maths'!Z891,DATE(1990,1,1))))/D891))*D891))&gt;IF('Deal maths'!Z891&gt;0,'Deal maths'!Z891,DATE(1990,1,1)),IF(DAY('Deal maths'!AA891+1)=1,EOMONTH('Deal maths'!AA891,-(INT(((YEAR('Deal maths'!AA891)-YEAR(IF('Deal maths'!Z891&gt;0,'Deal maths'!Z891,DATE(1990,1,1))))*12+MONTH('Deal maths'!AA891)-MONTH(IF('Deal maths'!Z891&gt;0,'Deal maths'!Z891,DATE(1990,1,1))))/D891))*D891),EDATE('Deal maths'!AA891,-(INT(((YEAR('Deal maths'!AA891)-YEAR(IF('Deal maths'!Z891&gt;0,'Deal maths'!Z891,DATE(1990,1,1))))*12+MONTH('Deal maths'!AA891)-MONTH(IF('Deal maths'!Z891&gt;0,'Deal maths'!Z891,DATE(1990,1,1))))/D891))*D891)),IF(DAY('Deal maths'!AA891+1)=1,EOMONTH('Deal maths'!AA891,-(INT(((YEAR('Deal maths'!AA891)-YEAR(IF('Deal maths'!Z891&gt;0,'Deal maths'!Z891,DATE(1990,1,1))))*12+MONTH('Deal maths'!AA891)-MONTH(IF('Deal maths'!Z891&gt;0,'Deal maths'!Z891,DATE(1990,1,1))))/D891)-1)*D891),EDATE('Deal maths'!AA891,-(INT(((YEAR('Deal maths'!AA891)-YEAR(IF('Deal maths'!Z891&gt;0,'Deal maths'!Z891,DATE(1990,1,1))))*12+MONTH('Deal maths'!AA891)-MONTH(IF('Deal maths'!Z891&gt;0,'Deal maths'!Z891,DATE(1990,1,1))))/D891)-1)*D891))))),0)</f>
        <v/>
      </c>
      <c r="F891" s="110">
        <f>IF(D891=0,0,'Deal maths'!AB891*D891/12)</f>
        <v/>
      </c>
      <c r="G891" s="108">
        <f>N891+O891</f>
        <v/>
      </c>
      <c r="H891" s="108">
        <f>IFERROR(IF(OR(D891=0,AsAt&lt;E891),0,MIN(N891,INT(((YEAR(AsAt)-YEAR(E891))*12+MONTH(AsAt)-MONTH(E891)-(DAY(AsAt)&lt;MIN(R891,DAY(EOMONTH(AsAt,0)))))/D891)+1)+O891*(AsAt&gt;='Deal maths'!AA891)),0)</f>
        <v/>
      </c>
      <c r="I891" s="108">
        <f>G891-H891</f>
        <v/>
      </c>
      <c r="J891" s="111">
        <f>IF(AND(C891="EIP",I891&gt;0),'Deal maths'!Y891/I891,0)</f>
        <v/>
      </c>
      <c r="K891" s="111">
        <f>IF(AND(C891="Annuity",I891&gt;0),IF(F891&gt;0,'Deal maths'!Y891*F891/(1-(1+F891)^-I891),'Deal maths'!Y891/I891),0)</f>
        <v/>
      </c>
      <c r="L891" s="111">
        <f>IF('Deal maths'!Y891="",0,'Deal maths'!Y891)</f>
        <v/>
      </c>
      <c r="M891" s="112">
        <f>F891+(F891=0)</f>
        <v/>
      </c>
      <c r="N891" s="108">
        <f>IFERROR(IF(D891=0,0,INT(((YEAR('Deal maths'!AA891)-YEAR(E891))*12+MONTH('Deal maths'!AA891)-MONTH(E891)-(DAY('Deal maths'!AA891)&lt;MIN(R891,DAY(EOMONTH('Deal maths'!AA891,0)))))/D891)+1),0)</f>
        <v/>
      </c>
      <c r="O891" s="108">
        <f>IFERROR(IF(D891=0,0,IF(IF(DAY(E891+1)=1,EOMONTH(E891,(N891-1)*D891),EDATE(E891,(N891-1)*D891))='Deal maths'!AA891,0,1)),0)</f>
        <v/>
      </c>
      <c r="P891" s="113">
        <f>IF(B891=0,0,IFERROR(IF(C891="EIP",((I891-O891)*((IF(DAY(E891+1)=1,EOMONTH(E891,H891*D891),EDATE(E891,H891*D891))-AsAt)/365.25+(IF(DAY(E891+1)=1,EOMONTH(E891,(N891-1)*D891),EDATE(E891,(N891-1)*D891))-AsAt)/365.25)/2+O891*('Deal maths'!AA891-AsAt)/365.25)/I891,IF(C891="Annuity",IF(F891&gt;0,((K891-L891*F891)*((IF(DAY(E891+1)=1,EOMONTH(E891,H891*D891),EDATE(E891,H891*D891))-AsAt)/365.25*((1+F891)^(I891-O891)-1)/F891+IF((I891-O891)&gt;1,((IF(DAY(E891+1)=1,EOMONTH(E891,(N891-1)*D891),EDATE(E891,(N891-1)*D891))-AsAt)/365.25-(IF(DAY(E891+1)=1,EOMONTH(E891,H891*D891),EDATE(E891,H891*D891))-AsAt)/365.25)/((I891-O891)-1),0)*(1+F891)*(1-(I891-O891)*(1+F891)^((I891-O891)-1)+((I891-O891)-1)*(1+F891)^(I891-O891))/F891^2)+O891*(K891-L891*F891)*(1+F891)^(I891-1)*('Deal maths'!AA891-AsAt)/365.25)/L891,((I891-O891)*((IF(DAY(E891+1)=1,EOMONTH(E891,H891*D891),EDATE(E891,H891*D891))-AsAt)/365.25+(IF(DAY(E891+1)=1,EOMONTH(E891,(N891-1)*D891),EDATE(E891,(N891-1)*D891))-AsAt)/365.25)/2+O891*('Deal maths'!AA891-AsAt)/365.25)/I891),(S891-AsAt)/365.25)),0))</f>
        <v/>
      </c>
      <c r="Q891" s="109">
        <f>IF(B891=1,'Deal maths'!AA891+ROW()/1000000,"")</f>
        <v/>
      </c>
      <c r="R891" s="108">
        <f>IF(D891=0,0,IF(DAY(E891+1)=1,31,DAY(E891)))</f>
        <v/>
      </c>
      <c r="S891" s="109">
        <f>IF(AND('Deal maths'!V891="LOBO",'Deal maths'!AG891&gt;AsAt,'Deal maths'!AG891&lt;'Deal maths'!AA891),'Deal maths'!AG891,'Deal maths'!AA891)</f>
        <v/>
      </c>
      <c r="T891" s="108">
        <f>('Deal maths'!AA891&gt;AsAt)*('Deal maths'!Y891&gt;0)</f>
        <v/>
      </c>
    </row>
    <row r="892">
      <c r="A892" s="91">
        <f>IF('Deal maths'!V892="","",'Deal maths'!W892)</f>
        <v/>
      </c>
      <c r="B892" s="108">
        <f>('Deal maths'!AA892&gt;AsAt)*('Deal maths'!Y892&gt;0)*('Deal maths'!Z892&lt;=AsAt)</f>
        <v/>
      </c>
      <c r="C892" s="91">
        <f>IF('Deal maths'!V892="","",IF('Deal maths'!AC892="","Maturity",'Deal maths'!AC892))</f>
        <v/>
      </c>
      <c r="D892" s="108">
        <f>IF(OR(C892="EIP",C892="Annuity"),IF('Deal maths'!AD892="Annual",12,IF('Deal maths'!AD892="Quarterly",3,6)),0)</f>
        <v/>
      </c>
      <c r="E892" s="109">
        <f>IFERROR(IF(D892=0,0,IF('Deal maths'!AE892&gt;0,IF('Deal maths'!AE892&gt;'Deal maths'!AA892,'Deal maths'!AA892,'Deal maths'!AE892),IF(IF(DAY('Deal maths'!AA892+1)=1,EOMONTH('Deal maths'!AA892,-(INT(((YEAR('Deal maths'!AA892)-YEAR(IF('Deal maths'!Z892&gt;0,'Deal maths'!Z892,DATE(1990,1,1))))*12+MONTH('Deal maths'!AA892)-MONTH(IF('Deal maths'!Z892&gt;0,'Deal maths'!Z892,DATE(1990,1,1))))/D892))*D892),EDATE('Deal maths'!AA892,-(INT(((YEAR('Deal maths'!AA892)-YEAR(IF('Deal maths'!Z892&gt;0,'Deal maths'!Z892,DATE(1990,1,1))))*12+MONTH('Deal maths'!AA892)-MONTH(IF('Deal maths'!Z892&gt;0,'Deal maths'!Z892,DATE(1990,1,1))))/D892))*D892))&gt;IF('Deal maths'!Z892&gt;0,'Deal maths'!Z892,DATE(1990,1,1)),IF(DAY('Deal maths'!AA892+1)=1,EOMONTH('Deal maths'!AA892,-(INT(((YEAR('Deal maths'!AA892)-YEAR(IF('Deal maths'!Z892&gt;0,'Deal maths'!Z892,DATE(1990,1,1))))*12+MONTH('Deal maths'!AA892)-MONTH(IF('Deal maths'!Z892&gt;0,'Deal maths'!Z892,DATE(1990,1,1))))/D892))*D892),EDATE('Deal maths'!AA892,-(INT(((YEAR('Deal maths'!AA892)-YEAR(IF('Deal maths'!Z892&gt;0,'Deal maths'!Z892,DATE(1990,1,1))))*12+MONTH('Deal maths'!AA892)-MONTH(IF('Deal maths'!Z892&gt;0,'Deal maths'!Z892,DATE(1990,1,1))))/D892))*D892)),IF(DAY('Deal maths'!AA892+1)=1,EOMONTH('Deal maths'!AA892,-(INT(((YEAR('Deal maths'!AA892)-YEAR(IF('Deal maths'!Z892&gt;0,'Deal maths'!Z892,DATE(1990,1,1))))*12+MONTH('Deal maths'!AA892)-MONTH(IF('Deal maths'!Z892&gt;0,'Deal maths'!Z892,DATE(1990,1,1))))/D892)-1)*D892),EDATE('Deal maths'!AA892,-(INT(((YEAR('Deal maths'!AA892)-YEAR(IF('Deal maths'!Z892&gt;0,'Deal maths'!Z892,DATE(1990,1,1))))*12+MONTH('Deal maths'!AA892)-MONTH(IF('Deal maths'!Z892&gt;0,'Deal maths'!Z892,DATE(1990,1,1))))/D892)-1)*D892))))),0)</f>
        <v/>
      </c>
      <c r="F892" s="110">
        <f>IF(D892=0,0,'Deal maths'!AB892*D892/12)</f>
        <v/>
      </c>
      <c r="G892" s="108">
        <f>N892+O892</f>
        <v/>
      </c>
      <c r="H892" s="108">
        <f>IFERROR(IF(OR(D892=0,AsAt&lt;E892),0,MIN(N892,INT(((YEAR(AsAt)-YEAR(E892))*12+MONTH(AsAt)-MONTH(E892)-(DAY(AsAt)&lt;MIN(R892,DAY(EOMONTH(AsAt,0)))))/D892)+1)+O892*(AsAt&gt;='Deal maths'!AA892)),0)</f>
        <v/>
      </c>
      <c r="I892" s="108">
        <f>G892-H892</f>
        <v/>
      </c>
      <c r="J892" s="111">
        <f>IF(AND(C892="EIP",I892&gt;0),'Deal maths'!Y892/I892,0)</f>
        <v/>
      </c>
      <c r="K892" s="111">
        <f>IF(AND(C892="Annuity",I892&gt;0),IF(F892&gt;0,'Deal maths'!Y892*F892/(1-(1+F892)^-I892),'Deal maths'!Y892/I892),0)</f>
        <v/>
      </c>
      <c r="L892" s="111">
        <f>IF('Deal maths'!Y892="",0,'Deal maths'!Y892)</f>
        <v/>
      </c>
      <c r="M892" s="112">
        <f>F892+(F892=0)</f>
        <v/>
      </c>
      <c r="N892" s="108">
        <f>IFERROR(IF(D892=0,0,INT(((YEAR('Deal maths'!AA892)-YEAR(E892))*12+MONTH('Deal maths'!AA892)-MONTH(E892)-(DAY('Deal maths'!AA892)&lt;MIN(R892,DAY(EOMONTH('Deal maths'!AA892,0)))))/D892)+1),0)</f>
        <v/>
      </c>
      <c r="O892" s="108">
        <f>IFERROR(IF(D892=0,0,IF(IF(DAY(E892+1)=1,EOMONTH(E892,(N892-1)*D892),EDATE(E892,(N892-1)*D892))='Deal maths'!AA892,0,1)),0)</f>
        <v/>
      </c>
      <c r="P892" s="113">
        <f>IF(B892=0,0,IFERROR(IF(C892="EIP",((I892-O892)*((IF(DAY(E892+1)=1,EOMONTH(E892,H892*D892),EDATE(E892,H892*D892))-AsAt)/365.25+(IF(DAY(E892+1)=1,EOMONTH(E892,(N892-1)*D892),EDATE(E892,(N892-1)*D892))-AsAt)/365.25)/2+O892*('Deal maths'!AA892-AsAt)/365.25)/I892,IF(C892="Annuity",IF(F892&gt;0,((K892-L892*F892)*((IF(DAY(E892+1)=1,EOMONTH(E892,H892*D892),EDATE(E892,H892*D892))-AsAt)/365.25*((1+F892)^(I892-O892)-1)/F892+IF((I892-O892)&gt;1,((IF(DAY(E892+1)=1,EOMONTH(E892,(N892-1)*D892),EDATE(E892,(N892-1)*D892))-AsAt)/365.25-(IF(DAY(E892+1)=1,EOMONTH(E892,H892*D892),EDATE(E892,H892*D892))-AsAt)/365.25)/((I892-O892)-1),0)*(1+F892)*(1-(I892-O892)*(1+F892)^((I892-O892)-1)+((I892-O892)-1)*(1+F892)^(I892-O892))/F892^2)+O892*(K892-L892*F892)*(1+F892)^(I892-1)*('Deal maths'!AA892-AsAt)/365.25)/L892,((I892-O892)*((IF(DAY(E892+1)=1,EOMONTH(E892,H892*D892),EDATE(E892,H892*D892))-AsAt)/365.25+(IF(DAY(E892+1)=1,EOMONTH(E892,(N892-1)*D892),EDATE(E892,(N892-1)*D892))-AsAt)/365.25)/2+O892*('Deal maths'!AA892-AsAt)/365.25)/I892),(S892-AsAt)/365.25)),0))</f>
        <v/>
      </c>
      <c r="Q892" s="109">
        <f>IF(B892=1,'Deal maths'!AA892+ROW()/1000000,"")</f>
        <v/>
      </c>
      <c r="R892" s="108">
        <f>IF(D892=0,0,IF(DAY(E892+1)=1,31,DAY(E892)))</f>
        <v/>
      </c>
      <c r="S892" s="109">
        <f>IF(AND('Deal maths'!V892="LOBO",'Deal maths'!AG892&gt;AsAt,'Deal maths'!AG892&lt;'Deal maths'!AA892),'Deal maths'!AG892,'Deal maths'!AA892)</f>
        <v/>
      </c>
      <c r="T892" s="108">
        <f>('Deal maths'!AA892&gt;AsAt)*('Deal maths'!Y892&gt;0)</f>
        <v/>
      </c>
    </row>
    <row r="893">
      <c r="A893" s="91">
        <f>IF('Deal maths'!V893="","",'Deal maths'!W893)</f>
        <v/>
      </c>
      <c r="B893" s="108">
        <f>('Deal maths'!AA893&gt;AsAt)*('Deal maths'!Y893&gt;0)*('Deal maths'!Z893&lt;=AsAt)</f>
        <v/>
      </c>
      <c r="C893" s="91">
        <f>IF('Deal maths'!V893="","",IF('Deal maths'!AC893="","Maturity",'Deal maths'!AC893))</f>
        <v/>
      </c>
      <c r="D893" s="108">
        <f>IF(OR(C893="EIP",C893="Annuity"),IF('Deal maths'!AD893="Annual",12,IF('Deal maths'!AD893="Quarterly",3,6)),0)</f>
        <v/>
      </c>
      <c r="E893" s="109">
        <f>IFERROR(IF(D893=0,0,IF('Deal maths'!AE893&gt;0,IF('Deal maths'!AE893&gt;'Deal maths'!AA893,'Deal maths'!AA893,'Deal maths'!AE893),IF(IF(DAY('Deal maths'!AA893+1)=1,EOMONTH('Deal maths'!AA893,-(INT(((YEAR('Deal maths'!AA893)-YEAR(IF('Deal maths'!Z893&gt;0,'Deal maths'!Z893,DATE(1990,1,1))))*12+MONTH('Deal maths'!AA893)-MONTH(IF('Deal maths'!Z893&gt;0,'Deal maths'!Z893,DATE(1990,1,1))))/D893))*D893),EDATE('Deal maths'!AA893,-(INT(((YEAR('Deal maths'!AA893)-YEAR(IF('Deal maths'!Z893&gt;0,'Deal maths'!Z893,DATE(1990,1,1))))*12+MONTH('Deal maths'!AA893)-MONTH(IF('Deal maths'!Z893&gt;0,'Deal maths'!Z893,DATE(1990,1,1))))/D893))*D893))&gt;IF('Deal maths'!Z893&gt;0,'Deal maths'!Z893,DATE(1990,1,1)),IF(DAY('Deal maths'!AA893+1)=1,EOMONTH('Deal maths'!AA893,-(INT(((YEAR('Deal maths'!AA893)-YEAR(IF('Deal maths'!Z893&gt;0,'Deal maths'!Z893,DATE(1990,1,1))))*12+MONTH('Deal maths'!AA893)-MONTH(IF('Deal maths'!Z893&gt;0,'Deal maths'!Z893,DATE(1990,1,1))))/D893))*D893),EDATE('Deal maths'!AA893,-(INT(((YEAR('Deal maths'!AA893)-YEAR(IF('Deal maths'!Z893&gt;0,'Deal maths'!Z893,DATE(1990,1,1))))*12+MONTH('Deal maths'!AA893)-MONTH(IF('Deal maths'!Z893&gt;0,'Deal maths'!Z893,DATE(1990,1,1))))/D893))*D893)),IF(DAY('Deal maths'!AA893+1)=1,EOMONTH('Deal maths'!AA893,-(INT(((YEAR('Deal maths'!AA893)-YEAR(IF('Deal maths'!Z893&gt;0,'Deal maths'!Z893,DATE(1990,1,1))))*12+MONTH('Deal maths'!AA893)-MONTH(IF('Deal maths'!Z893&gt;0,'Deal maths'!Z893,DATE(1990,1,1))))/D893)-1)*D893),EDATE('Deal maths'!AA893,-(INT(((YEAR('Deal maths'!AA893)-YEAR(IF('Deal maths'!Z893&gt;0,'Deal maths'!Z893,DATE(1990,1,1))))*12+MONTH('Deal maths'!AA893)-MONTH(IF('Deal maths'!Z893&gt;0,'Deal maths'!Z893,DATE(1990,1,1))))/D893)-1)*D893))))),0)</f>
        <v/>
      </c>
      <c r="F893" s="110">
        <f>IF(D893=0,0,'Deal maths'!AB893*D893/12)</f>
        <v/>
      </c>
      <c r="G893" s="108">
        <f>N893+O893</f>
        <v/>
      </c>
      <c r="H893" s="108">
        <f>IFERROR(IF(OR(D893=0,AsAt&lt;E893),0,MIN(N893,INT(((YEAR(AsAt)-YEAR(E893))*12+MONTH(AsAt)-MONTH(E893)-(DAY(AsAt)&lt;MIN(R893,DAY(EOMONTH(AsAt,0)))))/D893)+1)+O893*(AsAt&gt;='Deal maths'!AA893)),0)</f>
        <v/>
      </c>
      <c r="I893" s="108">
        <f>G893-H893</f>
        <v/>
      </c>
      <c r="J893" s="111">
        <f>IF(AND(C893="EIP",I893&gt;0),'Deal maths'!Y893/I893,0)</f>
        <v/>
      </c>
      <c r="K893" s="111">
        <f>IF(AND(C893="Annuity",I893&gt;0),IF(F893&gt;0,'Deal maths'!Y893*F893/(1-(1+F893)^-I893),'Deal maths'!Y893/I893),0)</f>
        <v/>
      </c>
      <c r="L893" s="111">
        <f>IF('Deal maths'!Y893="",0,'Deal maths'!Y893)</f>
        <v/>
      </c>
      <c r="M893" s="112">
        <f>F893+(F893=0)</f>
        <v/>
      </c>
      <c r="N893" s="108">
        <f>IFERROR(IF(D893=0,0,INT(((YEAR('Deal maths'!AA893)-YEAR(E893))*12+MONTH('Deal maths'!AA893)-MONTH(E893)-(DAY('Deal maths'!AA893)&lt;MIN(R893,DAY(EOMONTH('Deal maths'!AA893,0)))))/D893)+1),0)</f>
        <v/>
      </c>
      <c r="O893" s="108">
        <f>IFERROR(IF(D893=0,0,IF(IF(DAY(E893+1)=1,EOMONTH(E893,(N893-1)*D893),EDATE(E893,(N893-1)*D893))='Deal maths'!AA893,0,1)),0)</f>
        <v/>
      </c>
      <c r="P893" s="113">
        <f>IF(B893=0,0,IFERROR(IF(C893="EIP",((I893-O893)*((IF(DAY(E893+1)=1,EOMONTH(E893,H893*D893),EDATE(E893,H893*D893))-AsAt)/365.25+(IF(DAY(E893+1)=1,EOMONTH(E893,(N893-1)*D893),EDATE(E893,(N893-1)*D893))-AsAt)/365.25)/2+O893*('Deal maths'!AA893-AsAt)/365.25)/I893,IF(C893="Annuity",IF(F893&gt;0,((K893-L893*F893)*((IF(DAY(E893+1)=1,EOMONTH(E893,H893*D893),EDATE(E893,H893*D893))-AsAt)/365.25*((1+F893)^(I893-O893)-1)/F893+IF((I893-O893)&gt;1,((IF(DAY(E893+1)=1,EOMONTH(E893,(N893-1)*D893),EDATE(E893,(N893-1)*D893))-AsAt)/365.25-(IF(DAY(E893+1)=1,EOMONTH(E893,H893*D893),EDATE(E893,H893*D893))-AsAt)/365.25)/((I893-O893)-1),0)*(1+F893)*(1-(I893-O893)*(1+F893)^((I893-O893)-1)+((I893-O893)-1)*(1+F893)^(I893-O893))/F893^2)+O893*(K893-L893*F893)*(1+F893)^(I893-1)*('Deal maths'!AA893-AsAt)/365.25)/L893,((I893-O893)*((IF(DAY(E893+1)=1,EOMONTH(E893,H893*D893),EDATE(E893,H893*D893))-AsAt)/365.25+(IF(DAY(E893+1)=1,EOMONTH(E893,(N893-1)*D893),EDATE(E893,(N893-1)*D893))-AsAt)/365.25)/2+O893*('Deal maths'!AA893-AsAt)/365.25)/I893),(S893-AsAt)/365.25)),0))</f>
        <v/>
      </c>
      <c r="Q893" s="109">
        <f>IF(B893=1,'Deal maths'!AA893+ROW()/1000000,"")</f>
        <v/>
      </c>
      <c r="R893" s="108">
        <f>IF(D893=0,0,IF(DAY(E893+1)=1,31,DAY(E893)))</f>
        <v/>
      </c>
      <c r="S893" s="109">
        <f>IF(AND('Deal maths'!V893="LOBO",'Deal maths'!AG893&gt;AsAt,'Deal maths'!AG893&lt;'Deal maths'!AA893),'Deal maths'!AG893,'Deal maths'!AA893)</f>
        <v/>
      </c>
      <c r="T893" s="108">
        <f>('Deal maths'!AA893&gt;AsAt)*('Deal maths'!Y893&gt;0)</f>
        <v/>
      </c>
    </row>
    <row r="894">
      <c r="A894" s="91">
        <f>IF('Deal maths'!V894="","",'Deal maths'!W894)</f>
        <v/>
      </c>
      <c r="B894" s="108">
        <f>('Deal maths'!AA894&gt;AsAt)*('Deal maths'!Y894&gt;0)*('Deal maths'!Z894&lt;=AsAt)</f>
        <v/>
      </c>
      <c r="C894" s="91">
        <f>IF('Deal maths'!V894="","",IF('Deal maths'!AC894="","Maturity",'Deal maths'!AC894))</f>
        <v/>
      </c>
      <c r="D894" s="108">
        <f>IF(OR(C894="EIP",C894="Annuity"),IF('Deal maths'!AD894="Annual",12,IF('Deal maths'!AD894="Quarterly",3,6)),0)</f>
        <v/>
      </c>
      <c r="E894" s="109">
        <f>IFERROR(IF(D894=0,0,IF('Deal maths'!AE894&gt;0,IF('Deal maths'!AE894&gt;'Deal maths'!AA894,'Deal maths'!AA894,'Deal maths'!AE894),IF(IF(DAY('Deal maths'!AA894+1)=1,EOMONTH('Deal maths'!AA894,-(INT(((YEAR('Deal maths'!AA894)-YEAR(IF('Deal maths'!Z894&gt;0,'Deal maths'!Z894,DATE(1990,1,1))))*12+MONTH('Deal maths'!AA894)-MONTH(IF('Deal maths'!Z894&gt;0,'Deal maths'!Z894,DATE(1990,1,1))))/D894))*D894),EDATE('Deal maths'!AA894,-(INT(((YEAR('Deal maths'!AA894)-YEAR(IF('Deal maths'!Z894&gt;0,'Deal maths'!Z894,DATE(1990,1,1))))*12+MONTH('Deal maths'!AA894)-MONTH(IF('Deal maths'!Z894&gt;0,'Deal maths'!Z894,DATE(1990,1,1))))/D894))*D894))&gt;IF('Deal maths'!Z894&gt;0,'Deal maths'!Z894,DATE(1990,1,1)),IF(DAY('Deal maths'!AA894+1)=1,EOMONTH('Deal maths'!AA894,-(INT(((YEAR('Deal maths'!AA894)-YEAR(IF('Deal maths'!Z894&gt;0,'Deal maths'!Z894,DATE(1990,1,1))))*12+MONTH('Deal maths'!AA894)-MONTH(IF('Deal maths'!Z894&gt;0,'Deal maths'!Z894,DATE(1990,1,1))))/D894))*D894),EDATE('Deal maths'!AA894,-(INT(((YEAR('Deal maths'!AA894)-YEAR(IF('Deal maths'!Z894&gt;0,'Deal maths'!Z894,DATE(1990,1,1))))*12+MONTH('Deal maths'!AA894)-MONTH(IF('Deal maths'!Z894&gt;0,'Deal maths'!Z894,DATE(1990,1,1))))/D894))*D894)),IF(DAY('Deal maths'!AA894+1)=1,EOMONTH('Deal maths'!AA894,-(INT(((YEAR('Deal maths'!AA894)-YEAR(IF('Deal maths'!Z894&gt;0,'Deal maths'!Z894,DATE(1990,1,1))))*12+MONTH('Deal maths'!AA894)-MONTH(IF('Deal maths'!Z894&gt;0,'Deal maths'!Z894,DATE(1990,1,1))))/D894)-1)*D894),EDATE('Deal maths'!AA894,-(INT(((YEAR('Deal maths'!AA894)-YEAR(IF('Deal maths'!Z894&gt;0,'Deal maths'!Z894,DATE(1990,1,1))))*12+MONTH('Deal maths'!AA894)-MONTH(IF('Deal maths'!Z894&gt;0,'Deal maths'!Z894,DATE(1990,1,1))))/D894)-1)*D894))))),0)</f>
        <v/>
      </c>
      <c r="F894" s="110">
        <f>IF(D894=0,0,'Deal maths'!AB894*D894/12)</f>
        <v/>
      </c>
      <c r="G894" s="108">
        <f>N894+O894</f>
        <v/>
      </c>
      <c r="H894" s="108">
        <f>IFERROR(IF(OR(D894=0,AsAt&lt;E894),0,MIN(N894,INT(((YEAR(AsAt)-YEAR(E894))*12+MONTH(AsAt)-MONTH(E894)-(DAY(AsAt)&lt;MIN(R894,DAY(EOMONTH(AsAt,0)))))/D894)+1)+O894*(AsAt&gt;='Deal maths'!AA894)),0)</f>
        <v/>
      </c>
      <c r="I894" s="108">
        <f>G894-H894</f>
        <v/>
      </c>
      <c r="J894" s="111">
        <f>IF(AND(C894="EIP",I894&gt;0),'Deal maths'!Y894/I894,0)</f>
        <v/>
      </c>
      <c r="K894" s="111">
        <f>IF(AND(C894="Annuity",I894&gt;0),IF(F894&gt;0,'Deal maths'!Y894*F894/(1-(1+F894)^-I894),'Deal maths'!Y894/I894),0)</f>
        <v/>
      </c>
      <c r="L894" s="111">
        <f>IF('Deal maths'!Y894="",0,'Deal maths'!Y894)</f>
        <v/>
      </c>
      <c r="M894" s="112">
        <f>F894+(F894=0)</f>
        <v/>
      </c>
      <c r="N894" s="108">
        <f>IFERROR(IF(D894=0,0,INT(((YEAR('Deal maths'!AA894)-YEAR(E894))*12+MONTH('Deal maths'!AA894)-MONTH(E894)-(DAY('Deal maths'!AA894)&lt;MIN(R894,DAY(EOMONTH('Deal maths'!AA894,0)))))/D894)+1),0)</f>
        <v/>
      </c>
      <c r="O894" s="108">
        <f>IFERROR(IF(D894=0,0,IF(IF(DAY(E894+1)=1,EOMONTH(E894,(N894-1)*D894),EDATE(E894,(N894-1)*D894))='Deal maths'!AA894,0,1)),0)</f>
        <v/>
      </c>
      <c r="P894" s="113">
        <f>IF(B894=0,0,IFERROR(IF(C894="EIP",((I894-O894)*((IF(DAY(E894+1)=1,EOMONTH(E894,H894*D894),EDATE(E894,H894*D894))-AsAt)/365.25+(IF(DAY(E894+1)=1,EOMONTH(E894,(N894-1)*D894),EDATE(E894,(N894-1)*D894))-AsAt)/365.25)/2+O894*('Deal maths'!AA894-AsAt)/365.25)/I894,IF(C894="Annuity",IF(F894&gt;0,((K894-L894*F894)*((IF(DAY(E894+1)=1,EOMONTH(E894,H894*D894),EDATE(E894,H894*D894))-AsAt)/365.25*((1+F894)^(I894-O894)-1)/F894+IF((I894-O894)&gt;1,((IF(DAY(E894+1)=1,EOMONTH(E894,(N894-1)*D894),EDATE(E894,(N894-1)*D894))-AsAt)/365.25-(IF(DAY(E894+1)=1,EOMONTH(E894,H894*D894),EDATE(E894,H894*D894))-AsAt)/365.25)/((I894-O894)-1),0)*(1+F894)*(1-(I894-O894)*(1+F894)^((I894-O894)-1)+((I894-O894)-1)*(1+F894)^(I894-O894))/F894^2)+O894*(K894-L894*F894)*(1+F894)^(I894-1)*('Deal maths'!AA894-AsAt)/365.25)/L894,((I894-O894)*((IF(DAY(E894+1)=1,EOMONTH(E894,H894*D894),EDATE(E894,H894*D894))-AsAt)/365.25+(IF(DAY(E894+1)=1,EOMONTH(E894,(N894-1)*D894),EDATE(E894,(N894-1)*D894))-AsAt)/365.25)/2+O894*('Deal maths'!AA894-AsAt)/365.25)/I894),(S894-AsAt)/365.25)),0))</f>
        <v/>
      </c>
      <c r="Q894" s="109">
        <f>IF(B894=1,'Deal maths'!AA894+ROW()/1000000,"")</f>
        <v/>
      </c>
      <c r="R894" s="108">
        <f>IF(D894=0,0,IF(DAY(E894+1)=1,31,DAY(E894)))</f>
        <v/>
      </c>
      <c r="S894" s="109">
        <f>IF(AND('Deal maths'!V894="LOBO",'Deal maths'!AG894&gt;AsAt,'Deal maths'!AG894&lt;'Deal maths'!AA894),'Deal maths'!AG894,'Deal maths'!AA894)</f>
        <v/>
      </c>
      <c r="T894" s="108">
        <f>('Deal maths'!AA894&gt;AsAt)*('Deal maths'!Y894&gt;0)</f>
        <v/>
      </c>
    </row>
    <row r="895">
      <c r="A895" s="91">
        <f>IF('Deal maths'!V895="","",'Deal maths'!W895)</f>
        <v/>
      </c>
      <c r="B895" s="108">
        <f>('Deal maths'!AA895&gt;AsAt)*('Deal maths'!Y895&gt;0)*('Deal maths'!Z895&lt;=AsAt)</f>
        <v/>
      </c>
      <c r="C895" s="91">
        <f>IF('Deal maths'!V895="","",IF('Deal maths'!AC895="","Maturity",'Deal maths'!AC895))</f>
        <v/>
      </c>
      <c r="D895" s="108">
        <f>IF(OR(C895="EIP",C895="Annuity"),IF('Deal maths'!AD895="Annual",12,IF('Deal maths'!AD895="Quarterly",3,6)),0)</f>
        <v/>
      </c>
      <c r="E895" s="109">
        <f>IFERROR(IF(D895=0,0,IF('Deal maths'!AE895&gt;0,IF('Deal maths'!AE895&gt;'Deal maths'!AA895,'Deal maths'!AA895,'Deal maths'!AE895),IF(IF(DAY('Deal maths'!AA895+1)=1,EOMONTH('Deal maths'!AA895,-(INT(((YEAR('Deal maths'!AA895)-YEAR(IF('Deal maths'!Z895&gt;0,'Deal maths'!Z895,DATE(1990,1,1))))*12+MONTH('Deal maths'!AA895)-MONTH(IF('Deal maths'!Z895&gt;0,'Deal maths'!Z895,DATE(1990,1,1))))/D895))*D895),EDATE('Deal maths'!AA895,-(INT(((YEAR('Deal maths'!AA895)-YEAR(IF('Deal maths'!Z895&gt;0,'Deal maths'!Z895,DATE(1990,1,1))))*12+MONTH('Deal maths'!AA895)-MONTH(IF('Deal maths'!Z895&gt;0,'Deal maths'!Z895,DATE(1990,1,1))))/D895))*D895))&gt;IF('Deal maths'!Z895&gt;0,'Deal maths'!Z895,DATE(1990,1,1)),IF(DAY('Deal maths'!AA895+1)=1,EOMONTH('Deal maths'!AA895,-(INT(((YEAR('Deal maths'!AA895)-YEAR(IF('Deal maths'!Z895&gt;0,'Deal maths'!Z895,DATE(1990,1,1))))*12+MONTH('Deal maths'!AA895)-MONTH(IF('Deal maths'!Z895&gt;0,'Deal maths'!Z895,DATE(1990,1,1))))/D895))*D895),EDATE('Deal maths'!AA895,-(INT(((YEAR('Deal maths'!AA895)-YEAR(IF('Deal maths'!Z895&gt;0,'Deal maths'!Z895,DATE(1990,1,1))))*12+MONTH('Deal maths'!AA895)-MONTH(IF('Deal maths'!Z895&gt;0,'Deal maths'!Z895,DATE(1990,1,1))))/D895))*D895)),IF(DAY('Deal maths'!AA895+1)=1,EOMONTH('Deal maths'!AA895,-(INT(((YEAR('Deal maths'!AA895)-YEAR(IF('Deal maths'!Z895&gt;0,'Deal maths'!Z895,DATE(1990,1,1))))*12+MONTH('Deal maths'!AA895)-MONTH(IF('Deal maths'!Z895&gt;0,'Deal maths'!Z895,DATE(1990,1,1))))/D895)-1)*D895),EDATE('Deal maths'!AA895,-(INT(((YEAR('Deal maths'!AA895)-YEAR(IF('Deal maths'!Z895&gt;0,'Deal maths'!Z895,DATE(1990,1,1))))*12+MONTH('Deal maths'!AA895)-MONTH(IF('Deal maths'!Z895&gt;0,'Deal maths'!Z895,DATE(1990,1,1))))/D895)-1)*D895))))),0)</f>
        <v/>
      </c>
      <c r="F895" s="110">
        <f>IF(D895=0,0,'Deal maths'!AB895*D895/12)</f>
        <v/>
      </c>
      <c r="G895" s="108">
        <f>N895+O895</f>
        <v/>
      </c>
      <c r="H895" s="108">
        <f>IFERROR(IF(OR(D895=0,AsAt&lt;E895),0,MIN(N895,INT(((YEAR(AsAt)-YEAR(E895))*12+MONTH(AsAt)-MONTH(E895)-(DAY(AsAt)&lt;MIN(R895,DAY(EOMONTH(AsAt,0)))))/D895)+1)+O895*(AsAt&gt;='Deal maths'!AA895)),0)</f>
        <v/>
      </c>
      <c r="I895" s="108">
        <f>G895-H895</f>
        <v/>
      </c>
      <c r="J895" s="111">
        <f>IF(AND(C895="EIP",I895&gt;0),'Deal maths'!Y895/I895,0)</f>
        <v/>
      </c>
      <c r="K895" s="111">
        <f>IF(AND(C895="Annuity",I895&gt;0),IF(F895&gt;0,'Deal maths'!Y895*F895/(1-(1+F895)^-I895),'Deal maths'!Y895/I895),0)</f>
        <v/>
      </c>
      <c r="L895" s="111">
        <f>IF('Deal maths'!Y895="",0,'Deal maths'!Y895)</f>
        <v/>
      </c>
      <c r="M895" s="112">
        <f>F895+(F895=0)</f>
        <v/>
      </c>
      <c r="N895" s="108">
        <f>IFERROR(IF(D895=0,0,INT(((YEAR('Deal maths'!AA895)-YEAR(E895))*12+MONTH('Deal maths'!AA895)-MONTH(E895)-(DAY('Deal maths'!AA895)&lt;MIN(R895,DAY(EOMONTH('Deal maths'!AA895,0)))))/D895)+1),0)</f>
        <v/>
      </c>
      <c r="O895" s="108">
        <f>IFERROR(IF(D895=0,0,IF(IF(DAY(E895+1)=1,EOMONTH(E895,(N895-1)*D895),EDATE(E895,(N895-1)*D895))='Deal maths'!AA895,0,1)),0)</f>
        <v/>
      </c>
      <c r="P895" s="113">
        <f>IF(B895=0,0,IFERROR(IF(C895="EIP",((I895-O895)*((IF(DAY(E895+1)=1,EOMONTH(E895,H895*D895),EDATE(E895,H895*D895))-AsAt)/365.25+(IF(DAY(E895+1)=1,EOMONTH(E895,(N895-1)*D895),EDATE(E895,(N895-1)*D895))-AsAt)/365.25)/2+O895*('Deal maths'!AA895-AsAt)/365.25)/I895,IF(C895="Annuity",IF(F895&gt;0,((K895-L895*F895)*((IF(DAY(E895+1)=1,EOMONTH(E895,H895*D895),EDATE(E895,H895*D895))-AsAt)/365.25*((1+F895)^(I895-O895)-1)/F895+IF((I895-O895)&gt;1,((IF(DAY(E895+1)=1,EOMONTH(E895,(N895-1)*D895),EDATE(E895,(N895-1)*D895))-AsAt)/365.25-(IF(DAY(E895+1)=1,EOMONTH(E895,H895*D895),EDATE(E895,H895*D895))-AsAt)/365.25)/((I895-O895)-1),0)*(1+F895)*(1-(I895-O895)*(1+F895)^((I895-O895)-1)+((I895-O895)-1)*(1+F895)^(I895-O895))/F895^2)+O895*(K895-L895*F895)*(1+F895)^(I895-1)*('Deal maths'!AA895-AsAt)/365.25)/L895,((I895-O895)*((IF(DAY(E895+1)=1,EOMONTH(E895,H895*D895),EDATE(E895,H895*D895))-AsAt)/365.25+(IF(DAY(E895+1)=1,EOMONTH(E895,(N895-1)*D895),EDATE(E895,(N895-1)*D895))-AsAt)/365.25)/2+O895*('Deal maths'!AA895-AsAt)/365.25)/I895),(S895-AsAt)/365.25)),0))</f>
        <v/>
      </c>
      <c r="Q895" s="109">
        <f>IF(B895=1,'Deal maths'!AA895+ROW()/1000000,"")</f>
        <v/>
      </c>
      <c r="R895" s="108">
        <f>IF(D895=0,0,IF(DAY(E895+1)=1,31,DAY(E895)))</f>
        <v/>
      </c>
      <c r="S895" s="109">
        <f>IF(AND('Deal maths'!V895="LOBO",'Deal maths'!AG895&gt;AsAt,'Deal maths'!AG895&lt;'Deal maths'!AA895),'Deal maths'!AG895,'Deal maths'!AA895)</f>
        <v/>
      </c>
      <c r="T895" s="108">
        <f>('Deal maths'!AA895&gt;AsAt)*('Deal maths'!Y895&gt;0)</f>
        <v/>
      </c>
    </row>
    <row r="896">
      <c r="A896" s="91">
        <f>IF('Deal maths'!V896="","",'Deal maths'!W896)</f>
        <v/>
      </c>
      <c r="B896" s="108">
        <f>('Deal maths'!AA896&gt;AsAt)*('Deal maths'!Y896&gt;0)*('Deal maths'!Z896&lt;=AsAt)</f>
        <v/>
      </c>
      <c r="C896" s="91">
        <f>IF('Deal maths'!V896="","",IF('Deal maths'!AC896="","Maturity",'Deal maths'!AC896))</f>
        <v/>
      </c>
      <c r="D896" s="108">
        <f>IF(OR(C896="EIP",C896="Annuity"),IF('Deal maths'!AD896="Annual",12,IF('Deal maths'!AD896="Quarterly",3,6)),0)</f>
        <v/>
      </c>
      <c r="E896" s="109">
        <f>IFERROR(IF(D896=0,0,IF('Deal maths'!AE896&gt;0,IF('Deal maths'!AE896&gt;'Deal maths'!AA896,'Deal maths'!AA896,'Deal maths'!AE896),IF(IF(DAY('Deal maths'!AA896+1)=1,EOMONTH('Deal maths'!AA896,-(INT(((YEAR('Deal maths'!AA896)-YEAR(IF('Deal maths'!Z896&gt;0,'Deal maths'!Z896,DATE(1990,1,1))))*12+MONTH('Deal maths'!AA896)-MONTH(IF('Deal maths'!Z896&gt;0,'Deal maths'!Z896,DATE(1990,1,1))))/D896))*D896),EDATE('Deal maths'!AA896,-(INT(((YEAR('Deal maths'!AA896)-YEAR(IF('Deal maths'!Z896&gt;0,'Deal maths'!Z896,DATE(1990,1,1))))*12+MONTH('Deal maths'!AA896)-MONTH(IF('Deal maths'!Z896&gt;0,'Deal maths'!Z896,DATE(1990,1,1))))/D896))*D896))&gt;IF('Deal maths'!Z896&gt;0,'Deal maths'!Z896,DATE(1990,1,1)),IF(DAY('Deal maths'!AA896+1)=1,EOMONTH('Deal maths'!AA896,-(INT(((YEAR('Deal maths'!AA896)-YEAR(IF('Deal maths'!Z896&gt;0,'Deal maths'!Z896,DATE(1990,1,1))))*12+MONTH('Deal maths'!AA896)-MONTH(IF('Deal maths'!Z896&gt;0,'Deal maths'!Z896,DATE(1990,1,1))))/D896))*D896),EDATE('Deal maths'!AA896,-(INT(((YEAR('Deal maths'!AA896)-YEAR(IF('Deal maths'!Z896&gt;0,'Deal maths'!Z896,DATE(1990,1,1))))*12+MONTH('Deal maths'!AA896)-MONTH(IF('Deal maths'!Z896&gt;0,'Deal maths'!Z896,DATE(1990,1,1))))/D896))*D896)),IF(DAY('Deal maths'!AA896+1)=1,EOMONTH('Deal maths'!AA896,-(INT(((YEAR('Deal maths'!AA896)-YEAR(IF('Deal maths'!Z896&gt;0,'Deal maths'!Z896,DATE(1990,1,1))))*12+MONTH('Deal maths'!AA896)-MONTH(IF('Deal maths'!Z896&gt;0,'Deal maths'!Z896,DATE(1990,1,1))))/D896)-1)*D896),EDATE('Deal maths'!AA896,-(INT(((YEAR('Deal maths'!AA896)-YEAR(IF('Deal maths'!Z896&gt;0,'Deal maths'!Z896,DATE(1990,1,1))))*12+MONTH('Deal maths'!AA896)-MONTH(IF('Deal maths'!Z896&gt;0,'Deal maths'!Z896,DATE(1990,1,1))))/D896)-1)*D896))))),0)</f>
        <v/>
      </c>
      <c r="F896" s="110">
        <f>IF(D896=0,0,'Deal maths'!AB896*D896/12)</f>
        <v/>
      </c>
      <c r="G896" s="108">
        <f>N896+O896</f>
        <v/>
      </c>
      <c r="H896" s="108">
        <f>IFERROR(IF(OR(D896=0,AsAt&lt;E896),0,MIN(N896,INT(((YEAR(AsAt)-YEAR(E896))*12+MONTH(AsAt)-MONTH(E896)-(DAY(AsAt)&lt;MIN(R896,DAY(EOMONTH(AsAt,0)))))/D896)+1)+O896*(AsAt&gt;='Deal maths'!AA896)),0)</f>
        <v/>
      </c>
      <c r="I896" s="108">
        <f>G896-H896</f>
        <v/>
      </c>
      <c r="J896" s="111">
        <f>IF(AND(C896="EIP",I896&gt;0),'Deal maths'!Y896/I896,0)</f>
        <v/>
      </c>
      <c r="K896" s="111">
        <f>IF(AND(C896="Annuity",I896&gt;0),IF(F896&gt;0,'Deal maths'!Y896*F896/(1-(1+F896)^-I896),'Deal maths'!Y896/I896),0)</f>
        <v/>
      </c>
      <c r="L896" s="111">
        <f>IF('Deal maths'!Y896="",0,'Deal maths'!Y896)</f>
        <v/>
      </c>
      <c r="M896" s="112">
        <f>F896+(F896=0)</f>
        <v/>
      </c>
      <c r="N896" s="108">
        <f>IFERROR(IF(D896=0,0,INT(((YEAR('Deal maths'!AA896)-YEAR(E896))*12+MONTH('Deal maths'!AA896)-MONTH(E896)-(DAY('Deal maths'!AA896)&lt;MIN(R896,DAY(EOMONTH('Deal maths'!AA896,0)))))/D896)+1),0)</f>
        <v/>
      </c>
      <c r="O896" s="108">
        <f>IFERROR(IF(D896=0,0,IF(IF(DAY(E896+1)=1,EOMONTH(E896,(N896-1)*D896),EDATE(E896,(N896-1)*D896))='Deal maths'!AA896,0,1)),0)</f>
        <v/>
      </c>
      <c r="P896" s="113">
        <f>IF(B896=0,0,IFERROR(IF(C896="EIP",((I896-O896)*((IF(DAY(E896+1)=1,EOMONTH(E896,H896*D896),EDATE(E896,H896*D896))-AsAt)/365.25+(IF(DAY(E896+1)=1,EOMONTH(E896,(N896-1)*D896),EDATE(E896,(N896-1)*D896))-AsAt)/365.25)/2+O896*('Deal maths'!AA896-AsAt)/365.25)/I896,IF(C896="Annuity",IF(F896&gt;0,((K896-L896*F896)*((IF(DAY(E896+1)=1,EOMONTH(E896,H896*D896),EDATE(E896,H896*D896))-AsAt)/365.25*((1+F896)^(I896-O896)-1)/F896+IF((I896-O896)&gt;1,((IF(DAY(E896+1)=1,EOMONTH(E896,(N896-1)*D896),EDATE(E896,(N896-1)*D896))-AsAt)/365.25-(IF(DAY(E896+1)=1,EOMONTH(E896,H896*D896),EDATE(E896,H896*D896))-AsAt)/365.25)/((I896-O896)-1),0)*(1+F896)*(1-(I896-O896)*(1+F896)^((I896-O896)-1)+((I896-O896)-1)*(1+F896)^(I896-O896))/F896^2)+O896*(K896-L896*F896)*(1+F896)^(I896-1)*('Deal maths'!AA896-AsAt)/365.25)/L896,((I896-O896)*((IF(DAY(E896+1)=1,EOMONTH(E896,H896*D896),EDATE(E896,H896*D896))-AsAt)/365.25+(IF(DAY(E896+1)=1,EOMONTH(E896,(N896-1)*D896),EDATE(E896,(N896-1)*D896))-AsAt)/365.25)/2+O896*('Deal maths'!AA896-AsAt)/365.25)/I896),(S896-AsAt)/365.25)),0))</f>
        <v/>
      </c>
      <c r="Q896" s="109">
        <f>IF(B896=1,'Deal maths'!AA896+ROW()/1000000,"")</f>
        <v/>
      </c>
      <c r="R896" s="108">
        <f>IF(D896=0,0,IF(DAY(E896+1)=1,31,DAY(E896)))</f>
        <v/>
      </c>
      <c r="S896" s="109">
        <f>IF(AND('Deal maths'!V896="LOBO",'Deal maths'!AG896&gt;AsAt,'Deal maths'!AG896&lt;'Deal maths'!AA896),'Deal maths'!AG896,'Deal maths'!AA896)</f>
        <v/>
      </c>
      <c r="T896" s="108">
        <f>('Deal maths'!AA896&gt;AsAt)*('Deal maths'!Y896&gt;0)</f>
        <v/>
      </c>
    </row>
    <row r="897">
      <c r="A897" s="91">
        <f>IF('Deal maths'!V897="","",'Deal maths'!W897)</f>
        <v/>
      </c>
      <c r="B897" s="108">
        <f>('Deal maths'!AA897&gt;AsAt)*('Deal maths'!Y897&gt;0)*('Deal maths'!Z897&lt;=AsAt)</f>
        <v/>
      </c>
      <c r="C897" s="91">
        <f>IF('Deal maths'!V897="","",IF('Deal maths'!AC897="","Maturity",'Deal maths'!AC897))</f>
        <v/>
      </c>
      <c r="D897" s="108">
        <f>IF(OR(C897="EIP",C897="Annuity"),IF('Deal maths'!AD897="Annual",12,IF('Deal maths'!AD897="Quarterly",3,6)),0)</f>
        <v/>
      </c>
      <c r="E897" s="109">
        <f>IFERROR(IF(D897=0,0,IF('Deal maths'!AE897&gt;0,IF('Deal maths'!AE897&gt;'Deal maths'!AA897,'Deal maths'!AA897,'Deal maths'!AE897),IF(IF(DAY('Deal maths'!AA897+1)=1,EOMONTH('Deal maths'!AA897,-(INT(((YEAR('Deal maths'!AA897)-YEAR(IF('Deal maths'!Z897&gt;0,'Deal maths'!Z897,DATE(1990,1,1))))*12+MONTH('Deal maths'!AA897)-MONTH(IF('Deal maths'!Z897&gt;0,'Deal maths'!Z897,DATE(1990,1,1))))/D897))*D897),EDATE('Deal maths'!AA897,-(INT(((YEAR('Deal maths'!AA897)-YEAR(IF('Deal maths'!Z897&gt;0,'Deal maths'!Z897,DATE(1990,1,1))))*12+MONTH('Deal maths'!AA897)-MONTH(IF('Deal maths'!Z897&gt;0,'Deal maths'!Z897,DATE(1990,1,1))))/D897))*D897))&gt;IF('Deal maths'!Z897&gt;0,'Deal maths'!Z897,DATE(1990,1,1)),IF(DAY('Deal maths'!AA897+1)=1,EOMONTH('Deal maths'!AA897,-(INT(((YEAR('Deal maths'!AA897)-YEAR(IF('Deal maths'!Z897&gt;0,'Deal maths'!Z897,DATE(1990,1,1))))*12+MONTH('Deal maths'!AA897)-MONTH(IF('Deal maths'!Z897&gt;0,'Deal maths'!Z897,DATE(1990,1,1))))/D897))*D897),EDATE('Deal maths'!AA897,-(INT(((YEAR('Deal maths'!AA897)-YEAR(IF('Deal maths'!Z897&gt;0,'Deal maths'!Z897,DATE(1990,1,1))))*12+MONTH('Deal maths'!AA897)-MONTH(IF('Deal maths'!Z897&gt;0,'Deal maths'!Z897,DATE(1990,1,1))))/D897))*D897)),IF(DAY('Deal maths'!AA897+1)=1,EOMONTH('Deal maths'!AA897,-(INT(((YEAR('Deal maths'!AA897)-YEAR(IF('Deal maths'!Z897&gt;0,'Deal maths'!Z897,DATE(1990,1,1))))*12+MONTH('Deal maths'!AA897)-MONTH(IF('Deal maths'!Z897&gt;0,'Deal maths'!Z897,DATE(1990,1,1))))/D897)-1)*D897),EDATE('Deal maths'!AA897,-(INT(((YEAR('Deal maths'!AA897)-YEAR(IF('Deal maths'!Z897&gt;0,'Deal maths'!Z897,DATE(1990,1,1))))*12+MONTH('Deal maths'!AA897)-MONTH(IF('Deal maths'!Z897&gt;0,'Deal maths'!Z897,DATE(1990,1,1))))/D897)-1)*D897))))),0)</f>
        <v/>
      </c>
      <c r="F897" s="110">
        <f>IF(D897=0,0,'Deal maths'!AB897*D897/12)</f>
        <v/>
      </c>
      <c r="G897" s="108">
        <f>N897+O897</f>
        <v/>
      </c>
      <c r="H897" s="108">
        <f>IFERROR(IF(OR(D897=0,AsAt&lt;E897),0,MIN(N897,INT(((YEAR(AsAt)-YEAR(E897))*12+MONTH(AsAt)-MONTH(E897)-(DAY(AsAt)&lt;MIN(R897,DAY(EOMONTH(AsAt,0)))))/D897)+1)+O897*(AsAt&gt;='Deal maths'!AA897)),0)</f>
        <v/>
      </c>
      <c r="I897" s="108">
        <f>G897-H897</f>
        <v/>
      </c>
      <c r="J897" s="111">
        <f>IF(AND(C897="EIP",I897&gt;0),'Deal maths'!Y897/I897,0)</f>
        <v/>
      </c>
      <c r="K897" s="111">
        <f>IF(AND(C897="Annuity",I897&gt;0),IF(F897&gt;0,'Deal maths'!Y897*F897/(1-(1+F897)^-I897),'Deal maths'!Y897/I897),0)</f>
        <v/>
      </c>
      <c r="L897" s="111">
        <f>IF('Deal maths'!Y897="",0,'Deal maths'!Y897)</f>
        <v/>
      </c>
      <c r="M897" s="112">
        <f>F897+(F897=0)</f>
        <v/>
      </c>
      <c r="N897" s="108">
        <f>IFERROR(IF(D897=0,0,INT(((YEAR('Deal maths'!AA897)-YEAR(E897))*12+MONTH('Deal maths'!AA897)-MONTH(E897)-(DAY('Deal maths'!AA897)&lt;MIN(R897,DAY(EOMONTH('Deal maths'!AA897,0)))))/D897)+1),0)</f>
        <v/>
      </c>
      <c r="O897" s="108">
        <f>IFERROR(IF(D897=0,0,IF(IF(DAY(E897+1)=1,EOMONTH(E897,(N897-1)*D897),EDATE(E897,(N897-1)*D897))='Deal maths'!AA897,0,1)),0)</f>
        <v/>
      </c>
      <c r="P897" s="113">
        <f>IF(B897=0,0,IFERROR(IF(C897="EIP",((I897-O897)*((IF(DAY(E897+1)=1,EOMONTH(E897,H897*D897),EDATE(E897,H897*D897))-AsAt)/365.25+(IF(DAY(E897+1)=1,EOMONTH(E897,(N897-1)*D897),EDATE(E897,(N897-1)*D897))-AsAt)/365.25)/2+O897*('Deal maths'!AA897-AsAt)/365.25)/I897,IF(C897="Annuity",IF(F897&gt;0,((K897-L897*F897)*((IF(DAY(E897+1)=1,EOMONTH(E897,H897*D897),EDATE(E897,H897*D897))-AsAt)/365.25*((1+F897)^(I897-O897)-1)/F897+IF((I897-O897)&gt;1,((IF(DAY(E897+1)=1,EOMONTH(E897,(N897-1)*D897),EDATE(E897,(N897-1)*D897))-AsAt)/365.25-(IF(DAY(E897+1)=1,EOMONTH(E897,H897*D897),EDATE(E897,H897*D897))-AsAt)/365.25)/((I897-O897)-1),0)*(1+F897)*(1-(I897-O897)*(1+F897)^((I897-O897)-1)+((I897-O897)-1)*(1+F897)^(I897-O897))/F897^2)+O897*(K897-L897*F897)*(1+F897)^(I897-1)*('Deal maths'!AA897-AsAt)/365.25)/L897,((I897-O897)*((IF(DAY(E897+1)=1,EOMONTH(E897,H897*D897),EDATE(E897,H897*D897))-AsAt)/365.25+(IF(DAY(E897+1)=1,EOMONTH(E897,(N897-1)*D897),EDATE(E897,(N897-1)*D897))-AsAt)/365.25)/2+O897*('Deal maths'!AA897-AsAt)/365.25)/I897),(S897-AsAt)/365.25)),0))</f>
        <v/>
      </c>
      <c r="Q897" s="109">
        <f>IF(B897=1,'Deal maths'!AA897+ROW()/1000000,"")</f>
        <v/>
      </c>
      <c r="R897" s="108">
        <f>IF(D897=0,0,IF(DAY(E897+1)=1,31,DAY(E897)))</f>
        <v/>
      </c>
      <c r="S897" s="109">
        <f>IF(AND('Deal maths'!V897="LOBO",'Deal maths'!AG897&gt;AsAt,'Deal maths'!AG897&lt;'Deal maths'!AA897),'Deal maths'!AG897,'Deal maths'!AA897)</f>
        <v/>
      </c>
      <c r="T897" s="108">
        <f>('Deal maths'!AA897&gt;AsAt)*('Deal maths'!Y897&gt;0)</f>
        <v/>
      </c>
    </row>
    <row r="898">
      <c r="A898" s="91">
        <f>IF('Deal maths'!V898="","",'Deal maths'!W898)</f>
        <v/>
      </c>
      <c r="B898" s="108">
        <f>('Deal maths'!AA898&gt;AsAt)*('Deal maths'!Y898&gt;0)*('Deal maths'!Z898&lt;=AsAt)</f>
        <v/>
      </c>
      <c r="C898" s="91">
        <f>IF('Deal maths'!V898="","",IF('Deal maths'!AC898="","Maturity",'Deal maths'!AC898))</f>
        <v/>
      </c>
      <c r="D898" s="108">
        <f>IF(OR(C898="EIP",C898="Annuity"),IF('Deal maths'!AD898="Annual",12,IF('Deal maths'!AD898="Quarterly",3,6)),0)</f>
        <v/>
      </c>
      <c r="E898" s="109">
        <f>IFERROR(IF(D898=0,0,IF('Deal maths'!AE898&gt;0,IF('Deal maths'!AE898&gt;'Deal maths'!AA898,'Deal maths'!AA898,'Deal maths'!AE898),IF(IF(DAY('Deal maths'!AA898+1)=1,EOMONTH('Deal maths'!AA898,-(INT(((YEAR('Deal maths'!AA898)-YEAR(IF('Deal maths'!Z898&gt;0,'Deal maths'!Z898,DATE(1990,1,1))))*12+MONTH('Deal maths'!AA898)-MONTH(IF('Deal maths'!Z898&gt;0,'Deal maths'!Z898,DATE(1990,1,1))))/D898))*D898),EDATE('Deal maths'!AA898,-(INT(((YEAR('Deal maths'!AA898)-YEAR(IF('Deal maths'!Z898&gt;0,'Deal maths'!Z898,DATE(1990,1,1))))*12+MONTH('Deal maths'!AA898)-MONTH(IF('Deal maths'!Z898&gt;0,'Deal maths'!Z898,DATE(1990,1,1))))/D898))*D898))&gt;IF('Deal maths'!Z898&gt;0,'Deal maths'!Z898,DATE(1990,1,1)),IF(DAY('Deal maths'!AA898+1)=1,EOMONTH('Deal maths'!AA898,-(INT(((YEAR('Deal maths'!AA898)-YEAR(IF('Deal maths'!Z898&gt;0,'Deal maths'!Z898,DATE(1990,1,1))))*12+MONTH('Deal maths'!AA898)-MONTH(IF('Deal maths'!Z898&gt;0,'Deal maths'!Z898,DATE(1990,1,1))))/D898))*D898),EDATE('Deal maths'!AA898,-(INT(((YEAR('Deal maths'!AA898)-YEAR(IF('Deal maths'!Z898&gt;0,'Deal maths'!Z898,DATE(1990,1,1))))*12+MONTH('Deal maths'!AA898)-MONTH(IF('Deal maths'!Z898&gt;0,'Deal maths'!Z898,DATE(1990,1,1))))/D898))*D898)),IF(DAY('Deal maths'!AA898+1)=1,EOMONTH('Deal maths'!AA898,-(INT(((YEAR('Deal maths'!AA898)-YEAR(IF('Deal maths'!Z898&gt;0,'Deal maths'!Z898,DATE(1990,1,1))))*12+MONTH('Deal maths'!AA898)-MONTH(IF('Deal maths'!Z898&gt;0,'Deal maths'!Z898,DATE(1990,1,1))))/D898)-1)*D898),EDATE('Deal maths'!AA898,-(INT(((YEAR('Deal maths'!AA898)-YEAR(IF('Deal maths'!Z898&gt;0,'Deal maths'!Z898,DATE(1990,1,1))))*12+MONTH('Deal maths'!AA898)-MONTH(IF('Deal maths'!Z898&gt;0,'Deal maths'!Z898,DATE(1990,1,1))))/D898)-1)*D898))))),0)</f>
        <v/>
      </c>
      <c r="F898" s="110">
        <f>IF(D898=0,0,'Deal maths'!AB898*D898/12)</f>
        <v/>
      </c>
      <c r="G898" s="108">
        <f>N898+O898</f>
        <v/>
      </c>
      <c r="H898" s="108">
        <f>IFERROR(IF(OR(D898=0,AsAt&lt;E898),0,MIN(N898,INT(((YEAR(AsAt)-YEAR(E898))*12+MONTH(AsAt)-MONTH(E898)-(DAY(AsAt)&lt;MIN(R898,DAY(EOMONTH(AsAt,0)))))/D898)+1)+O898*(AsAt&gt;='Deal maths'!AA898)),0)</f>
        <v/>
      </c>
      <c r="I898" s="108">
        <f>G898-H898</f>
        <v/>
      </c>
      <c r="J898" s="111">
        <f>IF(AND(C898="EIP",I898&gt;0),'Deal maths'!Y898/I898,0)</f>
        <v/>
      </c>
      <c r="K898" s="111">
        <f>IF(AND(C898="Annuity",I898&gt;0),IF(F898&gt;0,'Deal maths'!Y898*F898/(1-(1+F898)^-I898),'Deal maths'!Y898/I898),0)</f>
        <v/>
      </c>
      <c r="L898" s="111">
        <f>IF('Deal maths'!Y898="",0,'Deal maths'!Y898)</f>
        <v/>
      </c>
      <c r="M898" s="112">
        <f>F898+(F898=0)</f>
        <v/>
      </c>
      <c r="N898" s="108">
        <f>IFERROR(IF(D898=0,0,INT(((YEAR('Deal maths'!AA898)-YEAR(E898))*12+MONTH('Deal maths'!AA898)-MONTH(E898)-(DAY('Deal maths'!AA898)&lt;MIN(R898,DAY(EOMONTH('Deal maths'!AA898,0)))))/D898)+1),0)</f>
        <v/>
      </c>
      <c r="O898" s="108">
        <f>IFERROR(IF(D898=0,0,IF(IF(DAY(E898+1)=1,EOMONTH(E898,(N898-1)*D898),EDATE(E898,(N898-1)*D898))='Deal maths'!AA898,0,1)),0)</f>
        <v/>
      </c>
      <c r="P898" s="113">
        <f>IF(B898=0,0,IFERROR(IF(C898="EIP",((I898-O898)*((IF(DAY(E898+1)=1,EOMONTH(E898,H898*D898),EDATE(E898,H898*D898))-AsAt)/365.25+(IF(DAY(E898+1)=1,EOMONTH(E898,(N898-1)*D898),EDATE(E898,(N898-1)*D898))-AsAt)/365.25)/2+O898*('Deal maths'!AA898-AsAt)/365.25)/I898,IF(C898="Annuity",IF(F898&gt;0,((K898-L898*F898)*((IF(DAY(E898+1)=1,EOMONTH(E898,H898*D898),EDATE(E898,H898*D898))-AsAt)/365.25*((1+F898)^(I898-O898)-1)/F898+IF((I898-O898)&gt;1,((IF(DAY(E898+1)=1,EOMONTH(E898,(N898-1)*D898),EDATE(E898,(N898-1)*D898))-AsAt)/365.25-(IF(DAY(E898+1)=1,EOMONTH(E898,H898*D898),EDATE(E898,H898*D898))-AsAt)/365.25)/((I898-O898)-1),0)*(1+F898)*(1-(I898-O898)*(1+F898)^((I898-O898)-1)+((I898-O898)-1)*(1+F898)^(I898-O898))/F898^2)+O898*(K898-L898*F898)*(1+F898)^(I898-1)*('Deal maths'!AA898-AsAt)/365.25)/L898,((I898-O898)*((IF(DAY(E898+1)=1,EOMONTH(E898,H898*D898),EDATE(E898,H898*D898))-AsAt)/365.25+(IF(DAY(E898+1)=1,EOMONTH(E898,(N898-1)*D898),EDATE(E898,(N898-1)*D898))-AsAt)/365.25)/2+O898*('Deal maths'!AA898-AsAt)/365.25)/I898),(S898-AsAt)/365.25)),0))</f>
        <v/>
      </c>
      <c r="Q898" s="109">
        <f>IF(B898=1,'Deal maths'!AA898+ROW()/1000000,"")</f>
        <v/>
      </c>
      <c r="R898" s="108">
        <f>IF(D898=0,0,IF(DAY(E898+1)=1,31,DAY(E898)))</f>
        <v/>
      </c>
      <c r="S898" s="109">
        <f>IF(AND('Deal maths'!V898="LOBO",'Deal maths'!AG898&gt;AsAt,'Deal maths'!AG898&lt;'Deal maths'!AA898),'Deal maths'!AG898,'Deal maths'!AA898)</f>
        <v/>
      </c>
      <c r="T898" s="108">
        <f>('Deal maths'!AA898&gt;AsAt)*('Deal maths'!Y898&gt;0)</f>
        <v/>
      </c>
    </row>
    <row r="899">
      <c r="A899" s="91">
        <f>IF('Deal maths'!V899="","",'Deal maths'!W899)</f>
        <v/>
      </c>
      <c r="B899" s="108">
        <f>('Deal maths'!AA899&gt;AsAt)*('Deal maths'!Y899&gt;0)*('Deal maths'!Z899&lt;=AsAt)</f>
        <v/>
      </c>
      <c r="C899" s="91">
        <f>IF('Deal maths'!V899="","",IF('Deal maths'!AC899="","Maturity",'Deal maths'!AC899))</f>
        <v/>
      </c>
      <c r="D899" s="108">
        <f>IF(OR(C899="EIP",C899="Annuity"),IF('Deal maths'!AD899="Annual",12,IF('Deal maths'!AD899="Quarterly",3,6)),0)</f>
        <v/>
      </c>
      <c r="E899" s="109">
        <f>IFERROR(IF(D899=0,0,IF('Deal maths'!AE899&gt;0,IF('Deal maths'!AE899&gt;'Deal maths'!AA899,'Deal maths'!AA899,'Deal maths'!AE899),IF(IF(DAY('Deal maths'!AA899+1)=1,EOMONTH('Deal maths'!AA899,-(INT(((YEAR('Deal maths'!AA899)-YEAR(IF('Deal maths'!Z899&gt;0,'Deal maths'!Z899,DATE(1990,1,1))))*12+MONTH('Deal maths'!AA899)-MONTH(IF('Deal maths'!Z899&gt;0,'Deal maths'!Z899,DATE(1990,1,1))))/D899))*D899),EDATE('Deal maths'!AA899,-(INT(((YEAR('Deal maths'!AA899)-YEAR(IF('Deal maths'!Z899&gt;0,'Deal maths'!Z899,DATE(1990,1,1))))*12+MONTH('Deal maths'!AA899)-MONTH(IF('Deal maths'!Z899&gt;0,'Deal maths'!Z899,DATE(1990,1,1))))/D899))*D899))&gt;IF('Deal maths'!Z899&gt;0,'Deal maths'!Z899,DATE(1990,1,1)),IF(DAY('Deal maths'!AA899+1)=1,EOMONTH('Deal maths'!AA899,-(INT(((YEAR('Deal maths'!AA899)-YEAR(IF('Deal maths'!Z899&gt;0,'Deal maths'!Z899,DATE(1990,1,1))))*12+MONTH('Deal maths'!AA899)-MONTH(IF('Deal maths'!Z899&gt;0,'Deal maths'!Z899,DATE(1990,1,1))))/D899))*D899),EDATE('Deal maths'!AA899,-(INT(((YEAR('Deal maths'!AA899)-YEAR(IF('Deal maths'!Z899&gt;0,'Deal maths'!Z899,DATE(1990,1,1))))*12+MONTH('Deal maths'!AA899)-MONTH(IF('Deal maths'!Z899&gt;0,'Deal maths'!Z899,DATE(1990,1,1))))/D899))*D899)),IF(DAY('Deal maths'!AA899+1)=1,EOMONTH('Deal maths'!AA899,-(INT(((YEAR('Deal maths'!AA899)-YEAR(IF('Deal maths'!Z899&gt;0,'Deal maths'!Z899,DATE(1990,1,1))))*12+MONTH('Deal maths'!AA899)-MONTH(IF('Deal maths'!Z899&gt;0,'Deal maths'!Z899,DATE(1990,1,1))))/D899)-1)*D899),EDATE('Deal maths'!AA899,-(INT(((YEAR('Deal maths'!AA899)-YEAR(IF('Deal maths'!Z899&gt;0,'Deal maths'!Z899,DATE(1990,1,1))))*12+MONTH('Deal maths'!AA899)-MONTH(IF('Deal maths'!Z899&gt;0,'Deal maths'!Z899,DATE(1990,1,1))))/D899)-1)*D899))))),0)</f>
        <v/>
      </c>
      <c r="F899" s="110">
        <f>IF(D899=0,0,'Deal maths'!AB899*D899/12)</f>
        <v/>
      </c>
      <c r="G899" s="108">
        <f>N899+O899</f>
        <v/>
      </c>
      <c r="H899" s="108">
        <f>IFERROR(IF(OR(D899=0,AsAt&lt;E899),0,MIN(N899,INT(((YEAR(AsAt)-YEAR(E899))*12+MONTH(AsAt)-MONTH(E899)-(DAY(AsAt)&lt;MIN(R899,DAY(EOMONTH(AsAt,0)))))/D899)+1)+O899*(AsAt&gt;='Deal maths'!AA899)),0)</f>
        <v/>
      </c>
      <c r="I899" s="108">
        <f>G899-H899</f>
        <v/>
      </c>
      <c r="J899" s="111">
        <f>IF(AND(C899="EIP",I899&gt;0),'Deal maths'!Y899/I899,0)</f>
        <v/>
      </c>
      <c r="K899" s="111">
        <f>IF(AND(C899="Annuity",I899&gt;0),IF(F899&gt;0,'Deal maths'!Y899*F899/(1-(1+F899)^-I899),'Deal maths'!Y899/I899),0)</f>
        <v/>
      </c>
      <c r="L899" s="111">
        <f>IF('Deal maths'!Y899="",0,'Deal maths'!Y899)</f>
        <v/>
      </c>
      <c r="M899" s="112">
        <f>F899+(F899=0)</f>
        <v/>
      </c>
      <c r="N899" s="108">
        <f>IFERROR(IF(D899=0,0,INT(((YEAR('Deal maths'!AA899)-YEAR(E899))*12+MONTH('Deal maths'!AA899)-MONTH(E899)-(DAY('Deal maths'!AA899)&lt;MIN(R899,DAY(EOMONTH('Deal maths'!AA899,0)))))/D899)+1),0)</f>
        <v/>
      </c>
      <c r="O899" s="108">
        <f>IFERROR(IF(D899=0,0,IF(IF(DAY(E899+1)=1,EOMONTH(E899,(N899-1)*D899),EDATE(E899,(N899-1)*D899))='Deal maths'!AA899,0,1)),0)</f>
        <v/>
      </c>
      <c r="P899" s="113">
        <f>IF(B899=0,0,IFERROR(IF(C899="EIP",((I899-O899)*((IF(DAY(E899+1)=1,EOMONTH(E899,H899*D899),EDATE(E899,H899*D899))-AsAt)/365.25+(IF(DAY(E899+1)=1,EOMONTH(E899,(N899-1)*D899),EDATE(E899,(N899-1)*D899))-AsAt)/365.25)/2+O899*('Deal maths'!AA899-AsAt)/365.25)/I899,IF(C899="Annuity",IF(F899&gt;0,((K899-L899*F899)*((IF(DAY(E899+1)=1,EOMONTH(E899,H899*D899),EDATE(E899,H899*D899))-AsAt)/365.25*((1+F899)^(I899-O899)-1)/F899+IF((I899-O899)&gt;1,((IF(DAY(E899+1)=1,EOMONTH(E899,(N899-1)*D899),EDATE(E899,(N899-1)*D899))-AsAt)/365.25-(IF(DAY(E899+1)=1,EOMONTH(E899,H899*D899),EDATE(E899,H899*D899))-AsAt)/365.25)/((I899-O899)-1),0)*(1+F899)*(1-(I899-O899)*(1+F899)^((I899-O899)-1)+((I899-O899)-1)*(1+F899)^(I899-O899))/F899^2)+O899*(K899-L899*F899)*(1+F899)^(I899-1)*('Deal maths'!AA899-AsAt)/365.25)/L899,((I899-O899)*((IF(DAY(E899+1)=1,EOMONTH(E899,H899*D899),EDATE(E899,H899*D899))-AsAt)/365.25+(IF(DAY(E899+1)=1,EOMONTH(E899,(N899-1)*D899),EDATE(E899,(N899-1)*D899))-AsAt)/365.25)/2+O899*('Deal maths'!AA899-AsAt)/365.25)/I899),(S899-AsAt)/365.25)),0))</f>
        <v/>
      </c>
      <c r="Q899" s="109">
        <f>IF(B899=1,'Deal maths'!AA899+ROW()/1000000,"")</f>
        <v/>
      </c>
      <c r="R899" s="108">
        <f>IF(D899=0,0,IF(DAY(E899+1)=1,31,DAY(E899)))</f>
        <v/>
      </c>
      <c r="S899" s="109">
        <f>IF(AND('Deal maths'!V899="LOBO",'Deal maths'!AG899&gt;AsAt,'Deal maths'!AG899&lt;'Deal maths'!AA899),'Deal maths'!AG899,'Deal maths'!AA899)</f>
        <v/>
      </c>
      <c r="T899" s="108">
        <f>('Deal maths'!AA899&gt;AsAt)*('Deal maths'!Y899&gt;0)</f>
        <v/>
      </c>
    </row>
    <row r="900">
      <c r="A900" s="91">
        <f>IF('Deal maths'!V900="","",'Deal maths'!W900)</f>
        <v/>
      </c>
      <c r="B900" s="108">
        <f>('Deal maths'!AA900&gt;AsAt)*('Deal maths'!Y900&gt;0)*('Deal maths'!Z900&lt;=AsAt)</f>
        <v/>
      </c>
      <c r="C900" s="91">
        <f>IF('Deal maths'!V900="","",IF('Deal maths'!AC900="","Maturity",'Deal maths'!AC900))</f>
        <v/>
      </c>
      <c r="D900" s="108">
        <f>IF(OR(C900="EIP",C900="Annuity"),IF('Deal maths'!AD900="Annual",12,IF('Deal maths'!AD900="Quarterly",3,6)),0)</f>
        <v/>
      </c>
      <c r="E900" s="109">
        <f>IFERROR(IF(D900=0,0,IF('Deal maths'!AE900&gt;0,IF('Deal maths'!AE900&gt;'Deal maths'!AA900,'Deal maths'!AA900,'Deal maths'!AE900),IF(IF(DAY('Deal maths'!AA900+1)=1,EOMONTH('Deal maths'!AA900,-(INT(((YEAR('Deal maths'!AA900)-YEAR(IF('Deal maths'!Z900&gt;0,'Deal maths'!Z900,DATE(1990,1,1))))*12+MONTH('Deal maths'!AA900)-MONTH(IF('Deal maths'!Z900&gt;0,'Deal maths'!Z900,DATE(1990,1,1))))/D900))*D900),EDATE('Deal maths'!AA900,-(INT(((YEAR('Deal maths'!AA900)-YEAR(IF('Deal maths'!Z900&gt;0,'Deal maths'!Z900,DATE(1990,1,1))))*12+MONTH('Deal maths'!AA900)-MONTH(IF('Deal maths'!Z900&gt;0,'Deal maths'!Z900,DATE(1990,1,1))))/D900))*D900))&gt;IF('Deal maths'!Z900&gt;0,'Deal maths'!Z900,DATE(1990,1,1)),IF(DAY('Deal maths'!AA900+1)=1,EOMONTH('Deal maths'!AA900,-(INT(((YEAR('Deal maths'!AA900)-YEAR(IF('Deal maths'!Z900&gt;0,'Deal maths'!Z900,DATE(1990,1,1))))*12+MONTH('Deal maths'!AA900)-MONTH(IF('Deal maths'!Z900&gt;0,'Deal maths'!Z900,DATE(1990,1,1))))/D900))*D900),EDATE('Deal maths'!AA900,-(INT(((YEAR('Deal maths'!AA900)-YEAR(IF('Deal maths'!Z900&gt;0,'Deal maths'!Z900,DATE(1990,1,1))))*12+MONTH('Deal maths'!AA900)-MONTH(IF('Deal maths'!Z900&gt;0,'Deal maths'!Z900,DATE(1990,1,1))))/D900))*D900)),IF(DAY('Deal maths'!AA900+1)=1,EOMONTH('Deal maths'!AA900,-(INT(((YEAR('Deal maths'!AA900)-YEAR(IF('Deal maths'!Z900&gt;0,'Deal maths'!Z900,DATE(1990,1,1))))*12+MONTH('Deal maths'!AA900)-MONTH(IF('Deal maths'!Z900&gt;0,'Deal maths'!Z900,DATE(1990,1,1))))/D900)-1)*D900),EDATE('Deal maths'!AA900,-(INT(((YEAR('Deal maths'!AA900)-YEAR(IF('Deal maths'!Z900&gt;0,'Deal maths'!Z900,DATE(1990,1,1))))*12+MONTH('Deal maths'!AA900)-MONTH(IF('Deal maths'!Z900&gt;0,'Deal maths'!Z900,DATE(1990,1,1))))/D900)-1)*D900))))),0)</f>
        <v/>
      </c>
      <c r="F900" s="110">
        <f>IF(D900=0,0,'Deal maths'!AB900*D900/12)</f>
        <v/>
      </c>
      <c r="G900" s="108">
        <f>N900+O900</f>
        <v/>
      </c>
      <c r="H900" s="108">
        <f>IFERROR(IF(OR(D900=0,AsAt&lt;E900),0,MIN(N900,INT(((YEAR(AsAt)-YEAR(E900))*12+MONTH(AsAt)-MONTH(E900)-(DAY(AsAt)&lt;MIN(R900,DAY(EOMONTH(AsAt,0)))))/D900)+1)+O900*(AsAt&gt;='Deal maths'!AA900)),0)</f>
        <v/>
      </c>
      <c r="I900" s="108">
        <f>G900-H900</f>
        <v/>
      </c>
      <c r="J900" s="111">
        <f>IF(AND(C900="EIP",I900&gt;0),'Deal maths'!Y900/I900,0)</f>
        <v/>
      </c>
      <c r="K900" s="111">
        <f>IF(AND(C900="Annuity",I900&gt;0),IF(F900&gt;0,'Deal maths'!Y900*F900/(1-(1+F900)^-I900),'Deal maths'!Y900/I900),0)</f>
        <v/>
      </c>
      <c r="L900" s="111">
        <f>IF('Deal maths'!Y900="",0,'Deal maths'!Y900)</f>
        <v/>
      </c>
      <c r="M900" s="112">
        <f>F900+(F900=0)</f>
        <v/>
      </c>
      <c r="N900" s="108">
        <f>IFERROR(IF(D900=0,0,INT(((YEAR('Deal maths'!AA900)-YEAR(E900))*12+MONTH('Deal maths'!AA900)-MONTH(E900)-(DAY('Deal maths'!AA900)&lt;MIN(R900,DAY(EOMONTH('Deal maths'!AA900,0)))))/D900)+1),0)</f>
        <v/>
      </c>
      <c r="O900" s="108">
        <f>IFERROR(IF(D900=0,0,IF(IF(DAY(E900+1)=1,EOMONTH(E900,(N900-1)*D900),EDATE(E900,(N900-1)*D900))='Deal maths'!AA900,0,1)),0)</f>
        <v/>
      </c>
      <c r="P900" s="113">
        <f>IF(B900=0,0,IFERROR(IF(C900="EIP",((I900-O900)*((IF(DAY(E900+1)=1,EOMONTH(E900,H900*D900),EDATE(E900,H900*D900))-AsAt)/365.25+(IF(DAY(E900+1)=1,EOMONTH(E900,(N900-1)*D900),EDATE(E900,(N900-1)*D900))-AsAt)/365.25)/2+O900*('Deal maths'!AA900-AsAt)/365.25)/I900,IF(C900="Annuity",IF(F900&gt;0,((K900-L900*F900)*((IF(DAY(E900+1)=1,EOMONTH(E900,H900*D900),EDATE(E900,H900*D900))-AsAt)/365.25*((1+F900)^(I900-O900)-1)/F900+IF((I900-O900)&gt;1,((IF(DAY(E900+1)=1,EOMONTH(E900,(N900-1)*D900),EDATE(E900,(N900-1)*D900))-AsAt)/365.25-(IF(DAY(E900+1)=1,EOMONTH(E900,H900*D900),EDATE(E900,H900*D900))-AsAt)/365.25)/((I900-O900)-1),0)*(1+F900)*(1-(I900-O900)*(1+F900)^((I900-O900)-1)+((I900-O900)-1)*(1+F900)^(I900-O900))/F900^2)+O900*(K900-L900*F900)*(1+F900)^(I900-1)*('Deal maths'!AA900-AsAt)/365.25)/L900,((I900-O900)*((IF(DAY(E900+1)=1,EOMONTH(E900,H900*D900),EDATE(E900,H900*D900))-AsAt)/365.25+(IF(DAY(E900+1)=1,EOMONTH(E900,(N900-1)*D900),EDATE(E900,(N900-1)*D900))-AsAt)/365.25)/2+O900*('Deal maths'!AA900-AsAt)/365.25)/I900),(S900-AsAt)/365.25)),0))</f>
        <v/>
      </c>
      <c r="Q900" s="109">
        <f>IF(B900=1,'Deal maths'!AA900+ROW()/1000000,"")</f>
        <v/>
      </c>
      <c r="R900" s="108">
        <f>IF(D900=0,0,IF(DAY(E900+1)=1,31,DAY(E900)))</f>
        <v/>
      </c>
      <c r="S900" s="109">
        <f>IF(AND('Deal maths'!V900="LOBO",'Deal maths'!AG900&gt;AsAt,'Deal maths'!AG900&lt;'Deal maths'!AA900),'Deal maths'!AG900,'Deal maths'!AA900)</f>
        <v/>
      </c>
      <c r="T900" s="108">
        <f>('Deal maths'!AA900&gt;AsAt)*('Deal maths'!Y900&gt;0)</f>
        <v/>
      </c>
    </row>
    <row r="901">
      <c r="A901" s="91">
        <f>IF('Deal maths'!V901="","",'Deal maths'!W901)</f>
        <v/>
      </c>
      <c r="B901" s="108">
        <f>('Deal maths'!AA901&gt;AsAt)*('Deal maths'!Y901&gt;0)*('Deal maths'!Z901&lt;=AsAt)</f>
        <v/>
      </c>
      <c r="C901" s="91">
        <f>IF('Deal maths'!V901="","",IF('Deal maths'!AC901="","Maturity",'Deal maths'!AC901))</f>
        <v/>
      </c>
      <c r="D901" s="108">
        <f>IF(OR(C901="EIP",C901="Annuity"),IF('Deal maths'!AD901="Annual",12,IF('Deal maths'!AD901="Quarterly",3,6)),0)</f>
        <v/>
      </c>
      <c r="E901" s="109">
        <f>IFERROR(IF(D901=0,0,IF('Deal maths'!AE901&gt;0,IF('Deal maths'!AE901&gt;'Deal maths'!AA901,'Deal maths'!AA901,'Deal maths'!AE901),IF(IF(DAY('Deal maths'!AA901+1)=1,EOMONTH('Deal maths'!AA901,-(INT(((YEAR('Deal maths'!AA901)-YEAR(IF('Deal maths'!Z901&gt;0,'Deal maths'!Z901,DATE(1990,1,1))))*12+MONTH('Deal maths'!AA901)-MONTH(IF('Deal maths'!Z901&gt;0,'Deal maths'!Z901,DATE(1990,1,1))))/D901))*D901),EDATE('Deal maths'!AA901,-(INT(((YEAR('Deal maths'!AA901)-YEAR(IF('Deal maths'!Z901&gt;0,'Deal maths'!Z901,DATE(1990,1,1))))*12+MONTH('Deal maths'!AA901)-MONTH(IF('Deal maths'!Z901&gt;0,'Deal maths'!Z901,DATE(1990,1,1))))/D901))*D901))&gt;IF('Deal maths'!Z901&gt;0,'Deal maths'!Z901,DATE(1990,1,1)),IF(DAY('Deal maths'!AA901+1)=1,EOMONTH('Deal maths'!AA901,-(INT(((YEAR('Deal maths'!AA901)-YEAR(IF('Deal maths'!Z901&gt;0,'Deal maths'!Z901,DATE(1990,1,1))))*12+MONTH('Deal maths'!AA901)-MONTH(IF('Deal maths'!Z901&gt;0,'Deal maths'!Z901,DATE(1990,1,1))))/D901))*D901),EDATE('Deal maths'!AA901,-(INT(((YEAR('Deal maths'!AA901)-YEAR(IF('Deal maths'!Z901&gt;0,'Deal maths'!Z901,DATE(1990,1,1))))*12+MONTH('Deal maths'!AA901)-MONTH(IF('Deal maths'!Z901&gt;0,'Deal maths'!Z901,DATE(1990,1,1))))/D901))*D901)),IF(DAY('Deal maths'!AA901+1)=1,EOMONTH('Deal maths'!AA901,-(INT(((YEAR('Deal maths'!AA901)-YEAR(IF('Deal maths'!Z901&gt;0,'Deal maths'!Z901,DATE(1990,1,1))))*12+MONTH('Deal maths'!AA901)-MONTH(IF('Deal maths'!Z901&gt;0,'Deal maths'!Z901,DATE(1990,1,1))))/D901)-1)*D901),EDATE('Deal maths'!AA901,-(INT(((YEAR('Deal maths'!AA901)-YEAR(IF('Deal maths'!Z901&gt;0,'Deal maths'!Z901,DATE(1990,1,1))))*12+MONTH('Deal maths'!AA901)-MONTH(IF('Deal maths'!Z901&gt;0,'Deal maths'!Z901,DATE(1990,1,1))))/D901)-1)*D901))))),0)</f>
        <v/>
      </c>
      <c r="F901" s="110">
        <f>IF(D901=0,0,'Deal maths'!AB901*D901/12)</f>
        <v/>
      </c>
      <c r="G901" s="108">
        <f>N901+O901</f>
        <v/>
      </c>
      <c r="H901" s="108">
        <f>IFERROR(IF(OR(D901=0,AsAt&lt;E901),0,MIN(N901,INT(((YEAR(AsAt)-YEAR(E901))*12+MONTH(AsAt)-MONTH(E901)-(DAY(AsAt)&lt;MIN(R901,DAY(EOMONTH(AsAt,0)))))/D901)+1)+O901*(AsAt&gt;='Deal maths'!AA901)),0)</f>
        <v/>
      </c>
      <c r="I901" s="108">
        <f>G901-H901</f>
        <v/>
      </c>
      <c r="J901" s="111">
        <f>IF(AND(C901="EIP",I901&gt;0),'Deal maths'!Y901/I901,0)</f>
        <v/>
      </c>
      <c r="K901" s="111">
        <f>IF(AND(C901="Annuity",I901&gt;0),IF(F901&gt;0,'Deal maths'!Y901*F901/(1-(1+F901)^-I901),'Deal maths'!Y901/I901),0)</f>
        <v/>
      </c>
      <c r="L901" s="111">
        <f>IF('Deal maths'!Y901="",0,'Deal maths'!Y901)</f>
        <v/>
      </c>
      <c r="M901" s="112">
        <f>F901+(F901=0)</f>
        <v/>
      </c>
      <c r="N901" s="108">
        <f>IFERROR(IF(D901=0,0,INT(((YEAR('Deal maths'!AA901)-YEAR(E901))*12+MONTH('Deal maths'!AA901)-MONTH(E901)-(DAY('Deal maths'!AA901)&lt;MIN(R901,DAY(EOMONTH('Deal maths'!AA901,0)))))/D901)+1),0)</f>
        <v/>
      </c>
      <c r="O901" s="108">
        <f>IFERROR(IF(D901=0,0,IF(IF(DAY(E901+1)=1,EOMONTH(E901,(N901-1)*D901),EDATE(E901,(N901-1)*D901))='Deal maths'!AA901,0,1)),0)</f>
        <v/>
      </c>
      <c r="P901" s="113">
        <f>IF(B901=0,0,IFERROR(IF(C901="EIP",((I901-O901)*((IF(DAY(E901+1)=1,EOMONTH(E901,H901*D901),EDATE(E901,H901*D901))-AsAt)/365.25+(IF(DAY(E901+1)=1,EOMONTH(E901,(N901-1)*D901),EDATE(E901,(N901-1)*D901))-AsAt)/365.25)/2+O901*('Deal maths'!AA901-AsAt)/365.25)/I901,IF(C901="Annuity",IF(F901&gt;0,((K901-L901*F901)*((IF(DAY(E901+1)=1,EOMONTH(E901,H901*D901),EDATE(E901,H901*D901))-AsAt)/365.25*((1+F901)^(I901-O901)-1)/F901+IF((I901-O901)&gt;1,((IF(DAY(E901+1)=1,EOMONTH(E901,(N901-1)*D901),EDATE(E901,(N901-1)*D901))-AsAt)/365.25-(IF(DAY(E901+1)=1,EOMONTH(E901,H901*D901),EDATE(E901,H901*D901))-AsAt)/365.25)/((I901-O901)-1),0)*(1+F901)*(1-(I901-O901)*(1+F901)^((I901-O901)-1)+((I901-O901)-1)*(1+F901)^(I901-O901))/F901^2)+O901*(K901-L901*F901)*(1+F901)^(I901-1)*('Deal maths'!AA901-AsAt)/365.25)/L901,((I901-O901)*((IF(DAY(E901+1)=1,EOMONTH(E901,H901*D901),EDATE(E901,H901*D901))-AsAt)/365.25+(IF(DAY(E901+1)=1,EOMONTH(E901,(N901-1)*D901),EDATE(E901,(N901-1)*D901))-AsAt)/365.25)/2+O901*('Deal maths'!AA901-AsAt)/365.25)/I901),(S901-AsAt)/365.25)),0))</f>
        <v/>
      </c>
      <c r="Q901" s="109">
        <f>IF(B901=1,'Deal maths'!AA901+ROW()/1000000,"")</f>
        <v/>
      </c>
      <c r="R901" s="108">
        <f>IF(D901=0,0,IF(DAY(E901+1)=1,31,DAY(E901)))</f>
        <v/>
      </c>
      <c r="S901" s="109">
        <f>IF(AND('Deal maths'!V901="LOBO",'Deal maths'!AG901&gt;AsAt,'Deal maths'!AG901&lt;'Deal maths'!AA901),'Deal maths'!AG901,'Deal maths'!AA901)</f>
        <v/>
      </c>
      <c r="T901" s="108">
        <f>('Deal maths'!AA901&gt;AsAt)*('Deal maths'!Y901&gt;0)</f>
        <v/>
      </c>
    </row>
    <row r="902">
      <c r="A902" s="91">
        <f>IF('Deal maths'!V902="","",'Deal maths'!W902)</f>
        <v/>
      </c>
      <c r="B902" s="108">
        <f>('Deal maths'!AA902&gt;AsAt)*('Deal maths'!Y902&gt;0)*('Deal maths'!Z902&lt;=AsAt)</f>
        <v/>
      </c>
      <c r="C902" s="91">
        <f>IF('Deal maths'!V902="","",IF('Deal maths'!AC902="","Maturity",'Deal maths'!AC902))</f>
        <v/>
      </c>
      <c r="D902" s="108">
        <f>IF(OR(C902="EIP",C902="Annuity"),IF('Deal maths'!AD902="Annual",12,IF('Deal maths'!AD902="Quarterly",3,6)),0)</f>
        <v/>
      </c>
      <c r="E902" s="109">
        <f>IFERROR(IF(D902=0,0,IF('Deal maths'!AE902&gt;0,IF('Deal maths'!AE902&gt;'Deal maths'!AA902,'Deal maths'!AA902,'Deal maths'!AE902),IF(IF(DAY('Deal maths'!AA902+1)=1,EOMONTH('Deal maths'!AA902,-(INT(((YEAR('Deal maths'!AA902)-YEAR(IF('Deal maths'!Z902&gt;0,'Deal maths'!Z902,DATE(1990,1,1))))*12+MONTH('Deal maths'!AA902)-MONTH(IF('Deal maths'!Z902&gt;0,'Deal maths'!Z902,DATE(1990,1,1))))/D902))*D902),EDATE('Deal maths'!AA902,-(INT(((YEAR('Deal maths'!AA902)-YEAR(IF('Deal maths'!Z902&gt;0,'Deal maths'!Z902,DATE(1990,1,1))))*12+MONTH('Deal maths'!AA902)-MONTH(IF('Deal maths'!Z902&gt;0,'Deal maths'!Z902,DATE(1990,1,1))))/D902))*D902))&gt;IF('Deal maths'!Z902&gt;0,'Deal maths'!Z902,DATE(1990,1,1)),IF(DAY('Deal maths'!AA902+1)=1,EOMONTH('Deal maths'!AA902,-(INT(((YEAR('Deal maths'!AA902)-YEAR(IF('Deal maths'!Z902&gt;0,'Deal maths'!Z902,DATE(1990,1,1))))*12+MONTH('Deal maths'!AA902)-MONTH(IF('Deal maths'!Z902&gt;0,'Deal maths'!Z902,DATE(1990,1,1))))/D902))*D902),EDATE('Deal maths'!AA902,-(INT(((YEAR('Deal maths'!AA902)-YEAR(IF('Deal maths'!Z902&gt;0,'Deal maths'!Z902,DATE(1990,1,1))))*12+MONTH('Deal maths'!AA902)-MONTH(IF('Deal maths'!Z902&gt;0,'Deal maths'!Z902,DATE(1990,1,1))))/D902))*D902)),IF(DAY('Deal maths'!AA902+1)=1,EOMONTH('Deal maths'!AA902,-(INT(((YEAR('Deal maths'!AA902)-YEAR(IF('Deal maths'!Z902&gt;0,'Deal maths'!Z902,DATE(1990,1,1))))*12+MONTH('Deal maths'!AA902)-MONTH(IF('Deal maths'!Z902&gt;0,'Deal maths'!Z902,DATE(1990,1,1))))/D902)-1)*D902),EDATE('Deal maths'!AA902,-(INT(((YEAR('Deal maths'!AA902)-YEAR(IF('Deal maths'!Z902&gt;0,'Deal maths'!Z902,DATE(1990,1,1))))*12+MONTH('Deal maths'!AA902)-MONTH(IF('Deal maths'!Z902&gt;0,'Deal maths'!Z902,DATE(1990,1,1))))/D902)-1)*D902))))),0)</f>
        <v/>
      </c>
      <c r="F902" s="110">
        <f>IF(D902=0,0,'Deal maths'!AB902*D902/12)</f>
        <v/>
      </c>
      <c r="G902" s="108">
        <f>N902+O902</f>
        <v/>
      </c>
      <c r="H902" s="108">
        <f>IFERROR(IF(OR(D902=0,AsAt&lt;E902),0,MIN(N902,INT(((YEAR(AsAt)-YEAR(E902))*12+MONTH(AsAt)-MONTH(E902)-(DAY(AsAt)&lt;MIN(R902,DAY(EOMONTH(AsAt,0)))))/D902)+1)+O902*(AsAt&gt;='Deal maths'!AA902)),0)</f>
        <v/>
      </c>
      <c r="I902" s="108">
        <f>G902-H902</f>
        <v/>
      </c>
      <c r="J902" s="111">
        <f>IF(AND(C902="EIP",I902&gt;0),'Deal maths'!Y902/I902,0)</f>
        <v/>
      </c>
      <c r="K902" s="111">
        <f>IF(AND(C902="Annuity",I902&gt;0),IF(F902&gt;0,'Deal maths'!Y902*F902/(1-(1+F902)^-I902),'Deal maths'!Y902/I902),0)</f>
        <v/>
      </c>
      <c r="L902" s="111">
        <f>IF('Deal maths'!Y902="",0,'Deal maths'!Y902)</f>
        <v/>
      </c>
      <c r="M902" s="112">
        <f>F902+(F902=0)</f>
        <v/>
      </c>
      <c r="N902" s="108">
        <f>IFERROR(IF(D902=0,0,INT(((YEAR('Deal maths'!AA902)-YEAR(E902))*12+MONTH('Deal maths'!AA902)-MONTH(E902)-(DAY('Deal maths'!AA902)&lt;MIN(R902,DAY(EOMONTH('Deal maths'!AA902,0)))))/D902)+1),0)</f>
        <v/>
      </c>
      <c r="O902" s="108">
        <f>IFERROR(IF(D902=0,0,IF(IF(DAY(E902+1)=1,EOMONTH(E902,(N902-1)*D902),EDATE(E902,(N902-1)*D902))='Deal maths'!AA902,0,1)),0)</f>
        <v/>
      </c>
      <c r="P902" s="113">
        <f>IF(B902=0,0,IFERROR(IF(C902="EIP",((I902-O902)*((IF(DAY(E902+1)=1,EOMONTH(E902,H902*D902),EDATE(E902,H902*D902))-AsAt)/365.25+(IF(DAY(E902+1)=1,EOMONTH(E902,(N902-1)*D902),EDATE(E902,(N902-1)*D902))-AsAt)/365.25)/2+O902*('Deal maths'!AA902-AsAt)/365.25)/I902,IF(C902="Annuity",IF(F902&gt;0,((K902-L902*F902)*((IF(DAY(E902+1)=1,EOMONTH(E902,H902*D902),EDATE(E902,H902*D902))-AsAt)/365.25*((1+F902)^(I902-O902)-1)/F902+IF((I902-O902)&gt;1,((IF(DAY(E902+1)=1,EOMONTH(E902,(N902-1)*D902),EDATE(E902,(N902-1)*D902))-AsAt)/365.25-(IF(DAY(E902+1)=1,EOMONTH(E902,H902*D902),EDATE(E902,H902*D902))-AsAt)/365.25)/((I902-O902)-1),0)*(1+F902)*(1-(I902-O902)*(1+F902)^((I902-O902)-1)+((I902-O902)-1)*(1+F902)^(I902-O902))/F902^2)+O902*(K902-L902*F902)*(1+F902)^(I902-1)*('Deal maths'!AA902-AsAt)/365.25)/L902,((I902-O902)*((IF(DAY(E902+1)=1,EOMONTH(E902,H902*D902),EDATE(E902,H902*D902))-AsAt)/365.25+(IF(DAY(E902+1)=1,EOMONTH(E902,(N902-1)*D902),EDATE(E902,(N902-1)*D902))-AsAt)/365.25)/2+O902*('Deal maths'!AA902-AsAt)/365.25)/I902),(S902-AsAt)/365.25)),0))</f>
        <v/>
      </c>
      <c r="Q902" s="109">
        <f>IF(B902=1,'Deal maths'!AA902+ROW()/1000000,"")</f>
        <v/>
      </c>
      <c r="R902" s="108">
        <f>IF(D902=0,0,IF(DAY(E902+1)=1,31,DAY(E902)))</f>
        <v/>
      </c>
      <c r="S902" s="109">
        <f>IF(AND('Deal maths'!V902="LOBO",'Deal maths'!AG902&gt;AsAt,'Deal maths'!AG902&lt;'Deal maths'!AA902),'Deal maths'!AG902,'Deal maths'!AA902)</f>
        <v/>
      </c>
      <c r="T902" s="108">
        <f>('Deal maths'!AA902&gt;AsAt)*('Deal maths'!Y902&gt;0)</f>
        <v/>
      </c>
    </row>
    <row r="903">
      <c r="A903" s="91">
        <f>IF('Deal maths'!V903="","",'Deal maths'!W903)</f>
        <v/>
      </c>
      <c r="B903" s="108">
        <f>('Deal maths'!AA903&gt;AsAt)*('Deal maths'!Y903&gt;0)*('Deal maths'!Z903&lt;=AsAt)</f>
        <v/>
      </c>
      <c r="C903" s="91">
        <f>IF('Deal maths'!V903="","",IF('Deal maths'!AC903="","Maturity",'Deal maths'!AC903))</f>
        <v/>
      </c>
      <c r="D903" s="108">
        <f>IF(OR(C903="EIP",C903="Annuity"),IF('Deal maths'!AD903="Annual",12,IF('Deal maths'!AD903="Quarterly",3,6)),0)</f>
        <v/>
      </c>
      <c r="E903" s="109">
        <f>IFERROR(IF(D903=0,0,IF('Deal maths'!AE903&gt;0,IF('Deal maths'!AE903&gt;'Deal maths'!AA903,'Deal maths'!AA903,'Deal maths'!AE903),IF(IF(DAY('Deal maths'!AA903+1)=1,EOMONTH('Deal maths'!AA903,-(INT(((YEAR('Deal maths'!AA903)-YEAR(IF('Deal maths'!Z903&gt;0,'Deal maths'!Z903,DATE(1990,1,1))))*12+MONTH('Deal maths'!AA903)-MONTH(IF('Deal maths'!Z903&gt;0,'Deal maths'!Z903,DATE(1990,1,1))))/D903))*D903),EDATE('Deal maths'!AA903,-(INT(((YEAR('Deal maths'!AA903)-YEAR(IF('Deal maths'!Z903&gt;0,'Deal maths'!Z903,DATE(1990,1,1))))*12+MONTH('Deal maths'!AA903)-MONTH(IF('Deal maths'!Z903&gt;0,'Deal maths'!Z903,DATE(1990,1,1))))/D903))*D903))&gt;IF('Deal maths'!Z903&gt;0,'Deal maths'!Z903,DATE(1990,1,1)),IF(DAY('Deal maths'!AA903+1)=1,EOMONTH('Deal maths'!AA903,-(INT(((YEAR('Deal maths'!AA903)-YEAR(IF('Deal maths'!Z903&gt;0,'Deal maths'!Z903,DATE(1990,1,1))))*12+MONTH('Deal maths'!AA903)-MONTH(IF('Deal maths'!Z903&gt;0,'Deal maths'!Z903,DATE(1990,1,1))))/D903))*D903),EDATE('Deal maths'!AA903,-(INT(((YEAR('Deal maths'!AA903)-YEAR(IF('Deal maths'!Z903&gt;0,'Deal maths'!Z903,DATE(1990,1,1))))*12+MONTH('Deal maths'!AA903)-MONTH(IF('Deal maths'!Z903&gt;0,'Deal maths'!Z903,DATE(1990,1,1))))/D903))*D903)),IF(DAY('Deal maths'!AA903+1)=1,EOMONTH('Deal maths'!AA903,-(INT(((YEAR('Deal maths'!AA903)-YEAR(IF('Deal maths'!Z903&gt;0,'Deal maths'!Z903,DATE(1990,1,1))))*12+MONTH('Deal maths'!AA903)-MONTH(IF('Deal maths'!Z903&gt;0,'Deal maths'!Z903,DATE(1990,1,1))))/D903)-1)*D903),EDATE('Deal maths'!AA903,-(INT(((YEAR('Deal maths'!AA903)-YEAR(IF('Deal maths'!Z903&gt;0,'Deal maths'!Z903,DATE(1990,1,1))))*12+MONTH('Deal maths'!AA903)-MONTH(IF('Deal maths'!Z903&gt;0,'Deal maths'!Z903,DATE(1990,1,1))))/D903)-1)*D903))))),0)</f>
        <v/>
      </c>
      <c r="F903" s="110">
        <f>IF(D903=0,0,'Deal maths'!AB903*D903/12)</f>
        <v/>
      </c>
      <c r="G903" s="108">
        <f>N903+O903</f>
        <v/>
      </c>
      <c r="H903" s="108">
        <f>IFERROR(IF(OR(D903=0,AsAt&lt;E903),0,MIN(N903,INT(((YEAR(AsAt)-YEAR(E903))*12+MONTH(AsAt)-MONTH(E903)-(DAY(AsAt)&lt;MIN(R903,DAY(EOMONTH(AsAt,0)))))/D903)+1)+O903*(AsAt&gt;='Deal maths'!AA903)),0)</f>
        <v/>
      </c>
      <c r="I903" s="108">
        <f>G903-H903</f>
        <v/>
      </c>
      <c r="J903" s="111">
        <f>IF(AND(C903="EIP",I903&gt;0),'Deal maths'!Y903/I903,0)</f>
        <v/>
      </c>
      <c r="K903" s="111">
        <f>IF(AND(C903="Annuity",I903&gt;0),IF(F903&gt;0,'Deal maths'!Y903*F903/(1-(1+F903)^-I903),'Deal maths'!Y903/I903),0)</f>
        <v/>
      </c>
      <c r="L903" s="111">
        <f>IF('Deal maths'!Y903="",0,'Deal maths'!Y903)</f>
        <v/>
      </c>
      <c r="M903" s="112">
        <f>F903+(F903=0)</f>
        <v/>
      </c>
      <c r="N903" s="108">
        <f>IFERROR(IF(D903=0,0,INT(((YEAR('Deal maths'!AA903)-YEAR(E903))*12+MONTH('Deal maths'!AA903)-MONTH(E903)-(DAY('Deal maths'!AA903)&lt;MIN(R903,DAY(EOMONTH('Deal maths'!AA903,0)))))/D903)+1),0)</f>
        <v/>
      </c>
      <c r="O903" s="108">
        <f>IFERROR(IF(D903=0,0,IF(IF(DAY(E903+1)=1,EOMONTH(E903,(N903-1)*D903),EDATE(E903,(N903-1)*D903))='Deal maths'!AA903,0,1)),0)</f>
        <v/>
      </c>
      <c r="P903" s="113">
        <f>IF(B903=0,0,IFERROR(IF(C903="EIP",((I903-O903)*((IF(DAY(E903+1)=1,EOMONTH(E903,H903*D903),EDATE(E903,H903*D903))-AsAt)/365.25+(IF(DAY(E903+1)=1,EOMONTH(E903,(N903-1)*D903),EDATE(E903,(N903-1)*D903))-AsAt)/365.25)/2+O903*('Deal maths'!AA903-AsAt)/365.25)/I903,IF(C903="Annuity",IF(F903&gt;0,((K903-L903*F903)*((IF(DAY(E903+1)=1,EOMONTH(E903,H903*D903),EDATE(E903,H903*D903))-AsAt)/365.25*((1+F903)^(I903-O903)-1)/F903+IF((I903-O903)&gt;1,((IF(DAY(E903+1)=1,EOMONTH(E903,(N903-1)*D903),EDATE(E903,(N903-1)*D903))-AsAt)/365.25-(IF(DAY(E903+1)=1,EOMONTH(E903,H903*D903),EDATE(E903,H903*D903))-AsAt)/365.25)/((I903-O903)-1),0)*(1+F903)*(1-(I903-O903)*(1+F903)^((I903-O903)-1)+((I903-O903)-1)*(1+F903)^(I903-O903))/F903^2)+O903*(K903-L903*F903)*(1+F903)^(I903-1)*('Deal maths'!AA903-AsAt)/365.25)/L903,((I903-O903)*((IF(DAY(E903+1)=1,EOMONTH(E903,H903*D903),EDATE(E903,H903*D903))-AsAt)/365.25+(IF(DAY(E903+1)=1,EOMONTH(E903,(N903-1)*D903),EDATE(E903,(N903-1)*D903))-AsAt)/365.25)/2+O903*('Deal maths'!AA903-AsAt)/365.25)/I903),(S903-AsAt)/365.25)),0))</f>
        <v/>
      </c>
      <c r="Q903" s="109">
        <f>IF(B903=1,'Deal maths'!AA903+ROW()/1000000,"")</f>
        <v/>
      </c>
      <c r="R903" s="108">
        <f>IF(D903=0,0,IF(DAY(E903+1)=1,31,DAY(E903)))</f>
        <v/>
      </c>
      <c r="S903" s="109">
        <f>IF(AND('Deal maths'!V903="LOBO",'Deal maths'!AG903&gt;AsAt,'Deal maths'!AG903&lt;'Deal maths'!AA903),'Deal maths'!AG903,'Deal maths'!AA903)</f>
        <v/>
      </c>
      <c r="T903" s="108">
        <f>('Deal maths'!AA903&gt;AsAt)*('Deal maths'!Y903&gt;0)</f>
        <v/>
      </c>
    </row>
    <row r="904">
      <c r="A904" s="91">
        <f>IF('Deal maths'!V904="","",'Deal maths'!W904)</f>
        <v/>
      </c>
      <c r="B904" s="108">
        <f>('Deal maths'!AA904&gt;AsAt)*('Deal maths'!Y904&gt;0)*('Deal maths'!Z904&lt;=AsAt)</f>
        <v/>
      </c>
      <c r="C904" s="91">
        <f>IF('Deal maths'!V904="","",IF('Deal maths'!AC904="","Maturity",'Deal maths'!AC904))</f>
        <v/>
      </c>
      <c r="D904" s="108">
        <f>IF(OR(C904="EIP",C904="Annuity"),IF('Deal maths'!AD904="Annual",12,IF('Deal maths'!AD904="Quarterly",3,6)),0)</f>
        <v/>
      </c>
      <c r="E904" s="109">
        <f>IFERROR(IF(D904=0,0,IF('Deal maths'!AE904&gt;0,IF('Deal maths'!AE904&gt;'Deal maths'!AA904,'Deal maths'!AA904,'Deal maths'!AE904),IF(IF(DAY('Deal maths'!AA904+1)=1,EOMONTH('Deal maths'!AA904,-(INT(((YEAR('Deal maths'!AA904)-YEAR(IF('Deal maths'!Z904&gt;0,'Deal maths'!Z904,DATE(1990,1,1))))*12+MONTH('Deal maths'!AA904)-MONTH(IF('Deal maths'!Z904&gt;0,'Deal maths'!Z904,DATE(1990,1,1))))/D904))*D904),EDATE('Deal maths'!AA904,-(INT(((YEAR('Deal maths'!AA904)-YEAR(IF('Deal maths'!Z904&gt;0,'Deal maths'!Z904,DATE(1990,1,1))))*12+MONTH('Deal maths'!AA904)-MONTH(IF('Deal maths'!Z904&gt;0,'Deal maths'!Z904,DATE(1990,1,1))))/D904))*D904))&gt;IF('Deal maths'!Z904&gt;0,'Deal maths'!Z904,DATE(1990,1,1)),IF(DAY('Deal maths'!AA904+1)=1,EOMONTH('Deal maths'!AA904,-(INT(((YEAR('Deal maths'!AA904)-YEAR(IF('Deal maths'!Z904&gt;0,'Deal maths'!Z904,DATE(1990,1,1))))*12+MONTH('Deal maths'!AA904)-MONTH(IF('Deal maths'!Z904&gt;0,'Deal maths'!Z904,DATE(1990,1,1))))/D904))*D904),EDATE('Deal maths'!AA904,-(INT(((YEAR('Deal maths'!AA904)-YEAR(IF('Deal maths'!Z904&gt;0,'Deal maths'!Z904,DATE(1990,1,1))))*12+MONTH('Deal maths'!AA904)-MONTH(IF('Deal maths'!Z904&gt;0,'Deal maths'!Z904,DATE(1990,1,1))))/D904))*D904)),IF(DAY('Deal maths'!AA904+1)=1,EOMONTH('Deal maths'!AA904,-(INT(((YEAR('Deal maths'!AA904)-YEAR(IF('Deal maths'!Z904&gt;0,'Deal maths'!Z904,DATE(1990,1,1))))*12+MONTH('Deal maths'!AA904)-MONTH(IF('Deal maths'!Z904&gt;0,'Deal maths'!Z904,DATE(1990,1,1))))/D904)-1)*D904),EDATE('Deal maths'!AA904,-(INT(((YEAR('Deal maths'!AA904)-YEAR(IF('Deal maths'!Z904&gt;0,'Deal maths'!Z904,DATE(1990,1,1))))*12+MONTH('Deal maths'!AA904)-MONTH(IF('Deal maths'!Z904&gt;0,'Deal maths'!Z904,DATE(1990,1,1))))/D904)-1)*D904))))),0)</f>
        <v/>
      </c>
      <c r="F904" s="110">
        <f>IF(D904=0,0,'Deal maths'!AB904*D904/12)</f>
        <v/>
      </c>
      <c r="G904" s="108">
        <f>N904+O904</f>
        <v/>
      </c>
      <c r="H904" s="108">
        <f>IFERROR(IF(OR(D904=0,AsAt&lt;E904),0,MIN(N904,INT(((YEAR(AsAt)-YEAR(E904))*12+MONTH(AsAt)-MONTH(E904)-(DAY(AsAt)&lt;MIN(R904,DAY(EOMONTH(AsAt,0)))))/D904)+1)+O904*(AsAt&gt;='Deal maths'!AA904)),0)</f>
        <v/>
      </c>
      <c r="I904" s="108">
        <f>G904-H904</f>
        <v/>
      </c>
      <c r="J904" s="111">
        <f>IF(AND(C904="EIP",I904&gt;0),'Deal maths'!Y904/I904,0)</f>
        <v/>
      </c>
      <c r="K904" s="111">
        <f>IF(AND(C904="Annuity",I904&gt;0),IF(F904&gt;0,'Deal maths'!Y904*F904/(1-(1+F904)^-I904),'Deal maths'!Y904/I904),0)</f>
        <v/>
      </c>
      <c r="L904" s="111">
        <f>IF('Deal maths'!Y904="",0,'Deal maths'!Y904)</f>
        <v/>
      </c>
      <c r="M904" s="112">
        <f>F904+(F904=0)</f>
        <v/>
      </c>
      <c r="N904" s="108">
        <f>IFERROR(IF(D904=0,0,INT(((YEAR('Deal maths'!AA904)-YEAR(E904))*12+MONTH('Deal maths'!AA904)-MONTH(E904)-(DAY('Deal maths'!AA904)&lt;MIN(R904,DAY(EOMONTH('Deal maths'!AA904,0)))))/D904)+1),0)</f>
        <v/>
      </c>
      <c r="O904" s="108">
        <f>IFERROR(IF(D904=0,0,IF(IF(DAY(E904+1)=1,EOMONTH(E904,(N904-1)*D904),EDATE(E904,(N904-1)*D904))='Deal maths'!AA904,0,1)),0)</f>
        <v/>
      </c>
      <c r="P904" s="113">
        <f>IF(B904=0,0,IFERROR(IF(C904="EIP",((I904-O904)*((IF(DAY(E904+1)=1,EOMONTH(E904,H904*D904),EDATE(E904,H904*D904))-AsAt)/365.25+(IF(DAY(E904+1)=1,EOMONTH(E904,(N904-1)*D904),EDATE(E904,(N904-1)*D904))-AsAt)/365.25)/2+O904*('Deal maths'!AA904-AsAt)/365.25)/I904,IF(C904="Annuity",IF(F904&gt;0,((K904-L904*F904)*((IF(DAY(E904+1)=1,EOMONTH(E904,H904*D904),EDATE(E904,H904*D904))-AsAt)/365.25*((1+F904)^(I904-O904)-1)/F904+IF((I904-O904)&gt;1,((IF(DAY(E904+1)=1,EOMONTH(E904,(N904-1)*D904),EDATE(E904,(N904-1)*D904))-AsAt)/365.25-(IF(DAY(E904+1)=1,EOMONTH(E904,H904*D904),EDATE(E904,H904*D904))-AsAt)/365.25)/((I904-O904)-1),0)*(1+F904)*(1-(I904-O904)*(1+F904)^((I904-O904)-1)+((I904-O904)-1)*(1+F904)^(I904-O904))/F904^2)+O904*(K904-L904*F904)*(1+F904)^(I904-1)*('Deal maths'!AA904-AsAt)/365.25)/L904,((I904-O904)*((IF(DAY(E904+1)=1,EOMONTH(E904,H904*D904),EDATE(E904,H904*D904))-AsAt)/365.25+(IF(DAY(E904+1)=1,EOMONTH(E904,(N904-1)*D904),EDATE(E904,(N904-1)*D904))-AsAt)/365.25)/2+O904*('Deal maths'!AA904-AsAt)/365.25)/I904),(S904-AsAt)/365.25)),0))</f>
        <v/>
      </c>
      <c r="Q904" s="109">
        <f>IF(B904=1,'Deal maths'!AA904+ROW()/1000000,"")</f>
        <v/>
      </c>
      <c r="R904" s="108">
        <f>IF(D904=0,0,IF(DAY(E904+1)=1,31,DAY(E904)))</f>
        <v/>
      </c>
      <c r="S904" s="109">
        <f>IF(AND('Deal maths'!V904="LOBO",'Deal maths'!AG904&gt;AsAt,'Deal maths'!AG904&lt;'Deal maths'!AA904),'Deal maths'!AG904,'Deal maths'!AA904)</f>
        <v/>
      </c>
      <c r="T904" s="108">
        <f>('Deal maths'!AA904&gt;AsAt)*('Deal maths'!Y904&gt;0)</f>
        <v/>
      </c>
    </row>
    <row r="905">
      <c r="A905" s="91">
        <f>IF('Deal maths'!V905="","",'Deal maths'!W905)</f>
        <v/>
      </c>
      <c r="B905" s="108">
        <f>('Deal maths'!AA905&gt;AsAt)*('Deal maths'!Y905&gt;0)*('Deal maths'!Z905&lt;=AsAt)</f>
        <v/>
      </c>
      <c r="C905" s="91">
        <f>IF('Deal maths'!V905="","",IF('Deal maths'!AC905="","Maturity",'Deal maths'!AC905))</f>
        <v/>
      </c>
      <c r="D905" s="108">
        <f>IF(OR(C905="EIP",C905="Annuity"),IF('Deal maths'!AD905="Annual",12,IF('Deal maths'!AD905="Quarterly",3,6)),0)</f>
        <v/>
      </c>
      <c r="E905" s="109">
        <f>IFERROR(IF(D905=0,0,IF('Deal maths'!AE905&gt;0,IF('Deal maths'!AE905&gt;'Deal maths'!AA905,'Deal maths'!AA905,'Deal maths'!AE905),IF(IF(DAY('Deal maths'!AA905+1)=1,EOMONTH('Deal maths'!AA905,-(INT(((YEAR('Deal maths'!AA905)-YEAR(IF('Deal maths'!Z905&gt;0,'Deal maths'!Z905,DATE(1990,1,1))))*12+MONTH('Deal maths'!AA905)-MONTH(IF('Deal maths'!Z905&gt;0,'Deal maths'!Z905,DATE(1990,1,1))))/D905))*D905),EDATE('Deal maths'!AA905,-(INT(((YEAR('Deal maths'!AA905)-YEAR(IF('Deal maths'!Z905&gt;0,'Deal maths'!Z905,DATE(1990,1,1))))*12+MONTH('Deal maths'!AA905)-MONTH(IF('Deal maths'!Z905&gt;0,'Deal maths'!Z905,DATE(1990,1,1))))/D905))*D905))&gt;IF('Deal maths'!Z905&gt;0,'Deal maths'!Z905,DATE(1990,1,1)),IF(DAY('Deal maths'!AA905+1)=1,EOMONTH('Deal maths'!AA905,-(INT(((YEAR('Deal maths'!AA905)-YEAR(IF('Deal maths'!Z905&gt;0,'Deal maths'!Z905,DATE(1990,1,1))))*12+MONTH('Deal maths'!AA905)-MONTH(IF('Deal maths'!Z905&gt;0,'Deal maths'!Z905,DATE(1990,1,1))))/D905))*D905),EDATE('Deal maths'!AA905,-(INT(((YEAR('Deal maths'!AA905)-YEAR(IF('Deal maths'!Z905&gt;0,'Deal maths'!Z905,DATE(1990,1,1))))*12+MONTH('Deal maths'!AA905)-MONTH(IF('Deal maths'!Z905&gt;0,'Deal maths'!Z905,DATE(1990,1,1))))/D905))*D905)),IF(DAY('Deal maths'!AA905+1)=1,EOMONTH('Deal maths'!AA905,-(INT(((YEAR('Deal maths'!AA905)-YEAR(IF('Deal maths'!Z905&gt;0,'Deal maths'!Z905,DATE(1990,1,1))))*12+MONTH('Deal maths'!AA905)-MONTH(IF('Deal maths'!Z905&gt;0,'Deal maths'!Z905,DATE(1990,1,1))))/D905)-1)*D905),EDATE('Deal maths'!AA905,-(INT(((YEAR('Deal maths'!AA905)-YEAR(IF('Deal maths'!Z905&gt;0,'Deal maths'!Z905,DATE(1990,1,1))))*12+MONTH('Deal maths'!AA905)-MONTH(IF('Deal maths'!Z905&gt;0,'Deal maths'!Z905,DATE(1990,1,1))))/D905)-1)*D905))))),0)</f>
        <v/>
      </c>
      <c r="F905" s="110">
        <f>IF(D905=0,0,'Deal maths'!AB905*D905/12)</f>
        <v/>
      </c>
      <c r="G905" s="108">
        <f>N905+O905</f>
        <v/>
      </c>
      <c r="H905" s="108">
        <f>IFERROR(IF(OR(D905=0,AsAt&lt;E905),0,MIN(N905,INT(((YEAR(AsAt)-YEAR(E905))*12+MONTH(AsAt)-MONTH(E905)-(DAY(AsAt)&lt;MIN(R905,DAY(EOMONTH(AsAt,0)))))/D905)+1)+O905*(AsAt&gt;='Deal maths'!AA905)),0)</f>
        <v/>
      </c>
      <c r="I905" s="108">
        <f>G905-H905</f>
        <v/>
      </c>
      <c r="J905" s="111">
        <f>IF(AND(C905="EIP",I905&gt;0),'Deal maths'!Y905/I905,0)</f>
        <v/>
      </c>
      <c r="K905" s="111">
        <f>IF(AND(C905="Annuity",I905&gt;0),IF(F905&gt;0,'Deal maths'!Y905*F905/(1-(1+F905)^-I905),'Deal maths'!Y905/I905),0)</f>
        <v/>
      </c>
      <c r="L905" s="111">
        <f>IF('Deal maths'!Y905="",0,'Deal maths'!Y905)</f>
        <v/>
      </c>
      <c r="M905" s="112">
        <f>F905+(F905=0)</f>
        <v/>
      </c>
      <c r="N905" s="108">
        <f>IFERROR(IF(D905=0,0,INT(((YEAR('Deal maths'!AA905)-YEAR(E905))*12+MONTH('Deal maths'!AA905)-MONTH(E905)-(DAY('Deal maths'!AA905)&lt;MIN(R905,DAY(EOMONTH('Deal maths'!AA905,0)))))/D905)+1),0)</f>
        <v/>
      </c>
      <c r="O905" s="108">
        <f>IFERROR(IF(D905=0,0,IF(IF(DAY(E905+1)=1,EOMONTH(E905,(N905-1)*D905),EDATE(E905,(N905-1)*D905))='Deal maths'!AA905,0,1)),0)</f>
        <v/>
      </c>
      <c r="P905" s="113">
        <f>IF(B905=0,0,IFERROR(IF(C905="EIP",((I905-O905)*((IF(DAY(E905+1)=1,EOMONTH(E905,H905*D905),EDATE(E905,H905*D905))-AsAt)/365.25+(IF(DAY(E905+1)=1,EOMONTH(E905,(N905-1)*D905),EDATE(E905,(N905-1)*D905))-AsAt)/365.25)/2+O905*('Deal maths'!AA905-AsAt)/365.25)/I905,IF(C905="Annuity",IF(F905&gt;0,((K905-L905*F905)*((IF(DAY(E905+1)=1,EOMONTH(E905,H905*D905),EDATE(E905,H905*D905))-AsAt)/365.25*((1+F905)^(I905-O905)-1)/F905+IF((I905-O905)&gt;1,((IF(DAY(E905+1)=1,EOMONTH(E905,(N905-1)*D905),EDATE(E905,(N905-1)*D905))-AsAt)/365.25-(IF(DAY(E905+1)=1,EOMONTH(E905,H905*D905),EDATE(E905,H905*D905))-AsAt)/365.25)/((I905-O905)-1),0)*(1+F905)*(1-(I905-O905)*(1+F905)^((I905-O905)-1)+((I905-O905)-1)*(1+F905)^(I905-O905))/F905^2)+O905*(K905-L905*F905)*(1+F905)^(I905-1)*('Deal maths'!AA905-AsAt)/365.25)/L905,((I905-O905)*((IF(DAY(E905+1)=1,EOMONTH(E905,H905*D905),EDATE(E905,H905*D905))-AsAt)/365.25+(IF(DAY(E905+1)=1,EOMONTH(E905,(N905-1)*D905),EDATE(E905,(N905-1)*D905))-AsAt)/365.25)/2+O905*('Deal maths'!AA905-AsAt)/365.25)/I905),(S905-AsAt)/365.25)),0))</f>
        <v/>
      </c>
      <c r="Q905" s="109">
        <f>IF(B905=1,'Deal maths'!AA905+ROW()/1000000,"")</f>
        <v/>
      </c>
      <c r="R905" s="108">
        <f>IF(D905=0,0,IF(DAY(E905+1)=1,31,DAY(E905)))</f>
        <v/>
      </c>
      <c r="S905" s="109">
        <f>IF(AND('Deal maths'!V905="LOBO",'Deal maths'!AG905&gt;AsAt,'Deal maths'!AG905&lt;'Deal maths'!AA905),'Deal maths'!AG905,'Deal maths'!AA905)</f>
        <v/>
      </c>
      <c r="T905" s="108">
        <f>('Deal maths'!AA905&gt;AsAt)*('Deal maths'!Y905&gt;0)</f>
        <v/>
      </c>
    </row>
    <row r="906">
      <c r="A906" s="91">
        <f>IF('Deal maths'!V906="","",'Deal maths'!W906)</f>
        <v/>
      </c>
      <c r="B906" s="108">
        <f>('Deal maths'!AA906&gt;AsAt)*('Deal maths'!Y906&gt;0)*('Deal maths'!Z906&lt;=AsAt)</f>
        <v/>
      </c>
      <c r="C906" s="91">
        <f>IF('Deal maths'!V906="","",IF('Deal maths'!AC906="","Maturity",'Deal maths'!AC906))</f>
        <v/>
      </c>
      <c r="D906" s="108">
        <f>IF(OR(C906="EIP",C906="Annuity"),IF('Deal maths'!AD906="Annual",12,IF('Deal maths'!AD906="Quarterly",3,6)),0)</f>
        <v/>
      </c>
      <c r="E906" s="109">
        <f>IFERROR(IF(D906=0,0,IF('Deal maths'!AE906&gt;0,IF('Deal maths'!AE906&gt;'Deal maths'!AA906,'Deal maths'!AA906,'Deal maths'!AE906),IF(IF(DAY('Deal maths'!AA906+1)=1,EOMONTH('Deal maths'!AA906,-(INT(((YEAR('Deal maths'!AA906)-YEAR(IF('Deal maths'!Z906&gt;0,'Deal maths'!Z906,DATE(1990,1,1))))*12+MONTH('Deal maths'!AA906)-MONTH(IF('Deal maths'!Z906&gt;0,'Deal maths'!Z906,DATE(1990,1,1))))/D906))*D906),EDATE('Deal maths'!AA906,-(INT(((YEAR('Deal maths'!AA906)-YEAR(IF('Deal maths'!Z906&gt;0,'Deal maths'!Z906,DATE(1990,1,1))))*12+MONTH('Deal maths'!AA906)-MONTH(IF('Deal maths'!Z906&gt;0,'Deal maths'!Z906,DATE(1990,1,1))))/D906))*D906))&gt;IF('Deal maths'!Z906&gt;0,'Deal maths'!Z906,DATE(1990,1,1)),IF(DAY('Deal maths'!AA906+1)=1,EOMONTH('Deal maths'!AA906,-(INT(((YEAR('Deal maths'!AA906)-YEAR(IF('Deal maths'!Z906&gt;0,'Deal maths'!Z906,DATE(1990,1,1))))*12+MONTH('Deal maths'!AA906)-MONTH(IF('Deal maths'!Z906&gt;0,'Deal maths'!Z906,DATE(1990,1,1))))/D906))*D906),EDATE('Deal maths'!AA906,-(INT(((YEAR('Deal maths'!AA906)-YEAR(IF('Deal maths'!Z906&gt;0,'Deal maths'!Z906,DATE(1990,1,1))))*12+MONTH('Deal maths'!AA906)-MONTH(IF('Deal maths'!Z906&gt;0,'Deal maths'!Z906,DATE(1990,1,1))))/D906))*D906)),IF(DAY('Deal maths'!AA906+1)=1,EOMONTH('Deal maths'!AA906,-(INT(((YEAR('Deal maths'!AA906)-YEAR(IF('Deal maths'!Z906&gt;0,'Deal maths'!Z906,DATE(1990,1,1))))*12+MONTH('Deal maths'!AA906)-MONTH(IF('Deal maths'!Z906&gt;0,'Deal maths'!Z906,DATE(1990,1,1))))/D906)-1)*D906),EDATE('Deal maths'!AA906,-(INT(((YEAR('Deal maths'!AA906)-YEAR(IF('Deal maths'!Z906&gt;0,'Deal maths'!Z906,DATE(1990,1,1))))*12+MONTH('Deal maths'!AA906)-MONTH(IF('Deal maths'!Z906&gt;0,'Deal maths'!Z906,DATE(1990,1,1))))/D906)-1)*D906))))),0)</f>
        <v/>
      </c>
      <c r="F906" s="110">
        <f>IF(D906=0,0,'Deal maths'!AB906*D906/12)</f>
        <v/>
      </c>
      <c r="G906" s="108">
        <f>N906+O906</f>
        <v/>
      </c>
      <c r="H906" s="108">
        <f>IFERROR(IF(OR(D906=0,AsAt&lt;E906),0,MIN(N906,INT(((YEAR(AsAt)-YEAR(E906))*12+MONTH(AsAt)-MONTH(E906)-(DAY(AsAt)&lt;MIN(R906,DAY(EOMONTH(AsAt,0)))))/D906)+1)+O906*(AsAt&gt;='Deal maths'!AA906)),0)</f>
        <v/>
      </c>
      <c r="I906" s="108">
        <f>G906-H906</f>
        <v/>
      </c>
      <c r="J906" s="111">
        <f>IF(AND(C906="EIP",I906&gt;0),'Deal maths'!Y906/I906,0)</f>
        <v/>
      </c>
      <c r="K906" s="111">
        <f>IF(AND(C906="Annuity",I906&gt;0),IF(F906&gt;0,'Deal maths'!Y906*F906/(1-(1+F906)^-I906),'Deal maths'!Y906/I906),0)</f>
        <v/>
      </c>
      <c r="L906" s="111">
        <f>IF('Deal maths'!Y906="",0,'Deal maths'!Y906)</f>
        <v/>
      </c>
      <c r="M906" s="112">
        <f>F906+(F906=0)</f>
        <v/>
      </c>
      <c r="N906" s="108">
        <f>IFERROR(IF(D906=0,0,INT(((YEAR('Deal maths'!AA906)-YEAR(E906))*12+MONTH('Deal maths'!AA906)-MONTH(E906)-(DAY('Deal maths'!AA906)&lt;MIN(R906,DAY(EOMONTH('Deal maths'!AA906,0)))))/D906)+1),0)</f>
        <v/>
      </c>
      <c r="O906" s="108">
        <f>IFERROR(IF(D906=0,0,IF(IF(DAY(E906+1)=1,EOMONTH(E906,(N906-1)*D906),EDATE(E906,(N906-1)*D906))='Deal maths'!AA906,0,1)),0)</f>
        <v/>
      </c>
      <c r="P906" s="113">
        <f>IF(B906=0,0,IFERROR(IF(C906="EIP",((I906-O906)*((IF(DAY(E906+1)=1,EOMONTH(E906,H906*D906),EDATE(E906,H906*D906))-AsAt)/365.25+(IF(DAY(E906+1)=1,EOMONTH(E906,(N906-1)*D906),EDATE(E906,(N906-1)*D906))-AsAt)/365.25)/2+O906*('Deal maths'!AA906-AsAt)/365.25)/I906,IF(C906="Annuity",IF(F906&gt;0,((K906-L906*F906)*((IF(DAY(E906+1)=1,EOMONTH(E906,H906*D906),EDATE(E906,H906*D906))-AsAt)/365.25*((1+F906)^(I906-O906)-1)/F906+IF((I906-O906)&gt;1,((IF(DAY(E906+1)=1,EOMONTH(E906,(N906-1)*D906),EDATE(E906,(N906-1)*D906))-AsAt)/365.25-(IF(DAY(E906+1)=1,EOMONTH(E906,H906*D906),EDATE(E906,H906*D906))-AsAt)/365.25)/((I906-O906)-1),0)*(1+F906)*(1-(I906-O906)*(1+F906)^((I906-O906)-1)+((I906-O906)-1)*(1+F906)^(I906-O906))/F906^2)+O906*(K906-L906*F906)*(1+F906)^(I906-1)*('Deal maths'!AA906-AsAt)/365.25)/L906,((I906-O906)*((IF(DAY(E906+1)=1,EOMONTH(E906,H906*D906),EDATE(E906,H906*D906))-AsAt)/365.25+(IF(DAY(E906+1)=1,EOMONTH(E906,(N906-1)*D906),EDATE(E906,(N906-1)*D906))-AsAt)/365.25)/2+O906*('Deal maths'!AA906-AsAt)/365.25)/I906),(S906-AsAt)/365.25)),0))</f>
        <v/>
      </c>
      <c r="Q906" s="109">
        <f>IF(B906=1,'Deal maths'!AA906+ROW()/1000000,"")</f>
        <v/>
      </c>
      <c r="R906" s="108">
        <f>IF(D906=0,0,IF(DAY(E906+1)=1,31,DAY(E906)))</f>
        <v/>
      </c>
      <c r="S906" s="109">
        <f>IF(AND('Deal maths'!V906="LOBO",'Deal maths'!AG906&gt;AsAt,'Deal maths'!AG906&lt;'Deal maths'!AA906),'Deal maths'!AG906,'Deal maths'!AA906)</f>
        <v/>
      </c>
      <c r="T906" s="108">
        <f>('Deal maths'!AA906&gt;AsAt)*('Deal maths'!Y906&gt;0)</f>
        <v/>
      </c>
    </row>
    <row r="907">
      <c r="A907" s="91">
        <f>IF('Deal maths'!V907="","",'Deal maths'!W907)</f>
        <v/>
      </c>
      <c r="B907" s="108">
        <f>('Deal maths'!AA907&gt;AsAt)*('Deal maths'!Y907&gt;0)*('Deal maths'!Z907&lt;=AsAt)</f>
        <v/>
      </c>
      <c r="C907" s="91">
        <f>IF('Deal maths'!V907="","",IF('Deal maths'!AC907="","Maturity",'Deal maths'!AC907))</f>
        <v/>
      </c>
      <c r="D907" s="108">
        <f>IF(OR(C907="EIP",C907="Annuity"),IF('Deal maths'!AD907="Annual",12,IF('Deal maths'!AD907="Quarterly",3,6)),0)</f>
        <v/>
      </c>
      <c r="E907" s="109">
        <f>IFERROR(IF(D907=0,0,IF('Deal maths'!AE907&gt;0,IF('Deal maths'!AE907&gt;'Deal maths'!AA907,'Deal maths'!AA907,'Deal maths'!AE907),IF(IF(DAY('Deal maths'!AA907+1)=1,EOMONTH('Deal maths'!AA907,-(INT(((YEAR('Deal maths'!AA907)-YEAR(IF('Deal maths'!Z907&gt;0,'Deal maths'!Z907,DATE(1990,1,1))))*12+MONTH('Deal maths'!AA907)-MONTH(IF('Deal maths'!Z907&gt;0,'Deal maths'!Z907,DATE(1990,1,1))))/D907))*D907),EDATE('Deal maths'!AA907,-(INT(((YEAR('Deal maths'!AA907)-YEAR(IF('Deal maths'!Z907&gt;0,'Deal maths'!Z907,DATE(1990,1,1))))*12+MONTH('Deal maths'!AA907)-MONTH(IF('Deal maths'!Z907&gt;0,'Deal maths'!Z907,DATE(1990,1,1))))/D907))*D907))&gt;IF('Deal maths'!Z907&gt;0,'Deal maths'!Z907,DATE(1990,1,1)),IF(DAY('Deal maths'!AA907+1)=1,EOMONTH('Deal maths'!AA907,-(INT(((YEAR('Deal maths'!AA907)-YEAR(IF('Deal maths'!Z907&gt;0,'Deal maths'!Z907,DATE(1990,1,1))))*12+MONTH('Deal maths'!AA907)-MONTH(IF('Deal maths'!Z907&gt;0,'Deal maths'!Z907,DATE(1990,1,1))))/D907))*D907),EDATE('Deal maths'!AA907,-(INT(((YEAR('Deal maths'!AA907)-YEAR(IF('Deal maths'!Z907&gt;0,'Deal maths'!Z907,DATE(1990,1,1))))*12+MONTH('Deal maths'!AA907)-MONTH(IF('Deal maths'!Z907&gt;0,'Deal maths'!Z907,DATE(1990,1,1))))/D907))*D907)),IF(DAY('Deal maths'!AA907+1)=1,EOMONTH('Deal maths'!AA907,-(INT(((YEAR('Deal maths'!AA907)-YEAR(IF('Deal maths'!Z907&gt;0,'Deal maths'!Z907,DATE(1990,1,1))))*12+MONTH('Deal maths'!AA907)-MONTH(IF('Deal maths'!Z907&gt;0,'Deal maths'!Z907,DATE(1990,1,1))))/D907)-1)*D907),EDATE('Deal maths'!AA907,-(INT(((YEAR('Deal maths'!AA907)-YEAR(IF('Deal maths'!Z907&gt;0,'Deal maths'!Z907,DATE(1990,1,1))))*12+MONTH('Deal maths'!AA907)-MONTH(IF('Deal maths'!Z907&gt;0,'Deal maths'!Z907,DATE(1990,1,1))))/D907)-1)*D907))))),0)</f>
        <v/>
      </c>
      <c r="F907" s="110">
        <f>IF(D907=0,0,'Deal maths'!AB907*D907/12)</f>
        <v/>
      </c>
      <c r="G907" s="108">
        <f>N907+O907</f>
        <v/>
      </c>
      <c r="H907" s="108">
        <f>IFERROR(IF(OR(D907=0,AsAt&lt;E907),0,MIN(N907,INT(((YEAR(AsAt)-YEAR(E907))*12+MONTH(AsAt)-MONTH(E907)-(DAY(AsAt)&lt;MIN(R907,DAY(EOMONTH(AsAt,0)))))/D907)+1)+O907*(AsAt&gt;='Deal maths'!AA907)),0)</f>
        <v/>
      </c>
      <c r="I907" s="108">
        <f>G907-H907</f>
        <v/>
      </c>
      <c r="J907" s="111">
        <f>IF(AND(C907="EIP",I907&gt;0),'Deal maths'!Y907/I907,0)</f>
        <v/>
      </c>
      <c r="K907" s="111">
        <f>IF(AND(C907="Annuity",I907&gt;0),IF(F907&gt;0,'Deal maths'!Y907*F907/(1-(1+F907)^-I907),'Deal maths'!Y907/I907),0)</f>
        <v/>
      </c>
      <c r="L907" s="111">
        <f>IF('Deal maths'!Y907="",0,'Deal maths'!Y907)</f>
        <v/>
      </c>
      <c r="M907" s="112">
        <f>F907+(F907=0)</f>
        <v/>
      </c>
      <c r="N907" s="108">
        <f>IFERROR(IF(D907=0,0,INT(((YEAR('Deal maths'!AA907)-YEAR(E907))*12+MONTH('Deal maths'!AA907)-MONTH(E907)-(DAY('Deal maths'!AA907)&lt;MIN(R907,DAY(EOMONTH('Deal maths'!AA907,0)))))/D907)+1),0)</f>
        <v/>
      </c>
      <c r="O907" s="108">
        <f>IFERROR(IF(D907=0,0,IF(IF(DAY(E907+1)=1,EOMONTH(E907,(N907-1)*D907),EDATE(E907,(N907-1)*D907))='Deal maths'!AA907,0,1)),0)</f>
        <v/>
      </c>
      <c r="P907" s="113">
        <f>IF(B907=0,0,IFERROR(IF(C907="EIP",((I907-O907)*((IF(DAY(E907+1)=1,EOMONTH(E907,H907*D907),EDATE(E907,H907*D907))-AsAt)/365.25+(IF(DAY(E907+1)=1,EOMONTH(E907,(N907-1)*D907),EDATE(E907,(N907-1)*D907))-AsAt)/365.25)/2+O907*('Deal maths'!AA907-AsAt)/365.25)/I907,IF(C907="Annuity",IF(F907&gt;0,((K907-L907*F907)*((IF(DAY(E907+1)=1,EOMONTH(E907,H907*D907),EDATE(E907,H907*D907))-AsAt)/365.25*((1+F907)^(I907-O907)-1)/F907+IF((I907-O907)&gt;1,((IF(DAY(E907+1)=1,EOMONTH(E907,(N907-1)*D907),EDATE(E907,(N907-1)*D907))-AsAt)/365.25-(IF(DAY(E907+1)=1,EOMONTH(E907,H907*D907),EDATE(E907,H907*D907))-AsAt)/365.25)/((I907-O907)-1),0)*(1+F907)*(1-(I907-O907)*(1+F907)^((I907-O907)-1)+((I907-O907)-1)*(1+F907)^(I907-O907))/F907^2)+O907*(K907-L907*F907)*(1+F907)^(I907-1)*('Deal maths'!AA907-AsAt)/365.25)/L907,((I907-O907)*((IF(DAY(E907+1)=1,EOMONTH(E907,H907*D907),EDATE(E907,H907*D907))-AsAt)/365.25+(IF(DAY(E907+1)=1,EOMONTH(E907,(N907-1)*D907),EDATE(E907,(N907-1)*D907))-AsAt)/365.25)/2+O907*('Deal maths'!AA907-AsAt)/365.25)/I907),(S907-AsAt)/365.25)),0))</f>
        <v/>
      </c>
      <c r="Q907" s="109">
        <f>IF(B907=1,'Deal maths'!AA907+ROW()/1000000,"")</f>
        <v/>
      </c>
      <c r="R907" s="108">
        <f>IF(D907=0,0,IF(DAY(E907+1)=1,31,DAY(E907)))</f>
        <v/>
      </c>
      <c r="S907" s="109">
        <f>IF(AND('Deal maths'!V907="LOBO",'Deal maths'!AG907&gt;AsAt,'Deal maths'!AG907&lt;'Deal maths'!AA907),'Deal maths'!AG907,'Deal maths'!AA907)</f>
        <v/>
      </c>
      <c r="T907" s="108">
        <f>('Deal maths'!AA907&gt;AsAt)*('Deal maths'!Y907&gt;0)</f>
        <v/>
      </c>
    </row>
    <row r="908">
      <c r="A908" s="91">
        <f>IF('Deal maths'!V908="","",'Deal maths'!W908)</f>
        <v/>
      </c>
      <c r="B908" s="108">
        <f>('Deal maths'!AA908&gt;AsAt)*('Deal maths'!Y908&gt;0)*('Deal maths'!Z908&lt;=AsAt)</f>
        <v/>
      </c>
      <c r="C908" s="91">
        <f>IF('Deal maths'!V908="","",IF('Deal maths'!AC908="","Maturity",'Deal maths'!AC908))</f>
        <v/>
      </c>
      <c r="D908" s="108">
        <f>IF(OR(C908="EIP",C908="Annuity"),IF('Deal maths'!AD908="Annual",12,IF('Deal maths'!AD908="Quarterly",3,6)),0)</f>
        <v/>
      </c>
      <c r="E908" s="109">
        <f>IFERROR(IF(D908=0,0,IF('Deal maths'!AE908&gt;0,IF('Deal maths'!AE908&gt;'Deal maths'!AA908,'Deal maths'!AA908,'Deal maths'!AE908),IF(IF(DAY('Deal maths'!AA908+1)=1,EOMONTH('Deal maths'!AA908,-(INT(((YEAR('Deal maths'!AA908)-YEAR(IF('Deal maths'!Z908&gt;0,'Deal maths'!Z908,DATE(1990,1,1))))*12+MONTH('Deal maths'!AA908)-MONTH(IF('Deal maths'!Z908&gt;0,'Deal maths'!Z908,DATE(1990,1,1))))/D908))*D908),EDATE('Deal maths'!AA908,-(INT(((YEAR('Deal maths'!AA908)-YEAR(IF('Deal maths'!Z908&gt;0,'Deal maths'!Z908,DATE(1990,1,1))))*12+MONTH('Deal maths'!AA908)-MONTH(IF('Deal maths'!Z908&gt;0,'Deal maths'!Z908,DATE(1990,1,1))))/D908))*D908))&gt;IF('Deal maths'!Z908&gt;0,'Deal maths'!Z908,DATE(1990,1,1)),IF(DAY('Deal maths'!AA908+1)=1,EOMONTH('Deal maths'!AA908,-(INT(((YEAR('Deal maths'!AA908)-YEAR(IF('Deal maths'!Z908&gt;0,'Deal maths'!Z908,DATE(1990,1,1))))*12+MONTH('Deal maths'!AA908)-MONTH(IF('Deal maths'!Z908&gt;0,'Deal maths'!Z908,DATE(1990,1,1))))/D908))*D908),EDATE('Deal maths'!AA908,-(INT(((YEAR('Deal maths'!AA908)-YEAR(IF('Deal maths'!Z908&gt;0,'Deal maths'!Z908,DATE(1990,1,1))))*12+MONTH('Deal maths'!AA908)-MONTH(IF('Deal maths'!Z908&gt;0,'Deal maths'!Z908,DATE(1990,1,1))))/D908))*D908)),IF(DAY('Deal maths'!AA908+1)=1,EOMONTH('Deal maths'!AA908,-(INT(((YEAR('Deal maths'!AA908)-YEAR(IF('Deal maths'!Z908&gt;0,'Deal maths'!Z908,DATE(1990,1,1))))*12+MONTH('Deal maths'!AA908)-MONTH(IF('Deal maths'!Z908&gt;0,'Deal maths'!Z908,DATE(1990,1,1))))/D908)-1)*D908),EDATE('Deal maths'!AA908,-(INT(((YEAR('Deal maths'!AA908)-YEAR(IF('Deal maths'!Z908&gt;0,'Deal maths'!Z908,DATE(1990,1,1))))*12+MONTH('Deal maths'!AA908)-MONTH(IF('Deal maths'!Z908&gt;0,'Deal maths'!Z908,DATE(1990,1,1))))/D908)-1)*D908))))),0)</f>
        <v/>
      </c>
      <c r="F908" s="110">
        <f>IF(D908=0,0,'Deal maths'!AB908*D908/12)</f>
        <v/>
      </c>
      <c r="G908" s="108">
        <f>N908+O908</f>
        <v/>
      </c>
      <c r="H908" s="108">
        <f>IFERROR(IF(OR(D908=0,AsAt&lt;E908),0,MIN(N908,INT(((YEAR(AsAt)-YEAR(E908))*12+MONTH(AsAt)-MONTH(E908)-(DAY(AsAt)&lt;MIN(R908,DAY(EOMONTH(AsAt,0)))))/D908)+1)+O908*(AsAt&gt;='Deal maths'!AA908)),0)</f>
        <v/>
      </c>
      <c r="I908" s="108">
        <f>G908-H908</f>
        <v/>
      </c>
      <c r="J908" s="111">
        <f>IF(AND(C908="EIP",I908&gt;0),'Deal maths'!Y908/I908,0)</f>
        <v/>
      </c>
      <c r="K908" s="111">
        <f>IF(AND(C908="Annuity",I908&gt;0),IF(F908&gt;0,'Deal maths'!Y908*F908/(1-(1+F908)^-I908),'Deal maths'!Y908/I908),0)</f>
        <v/>
      </c>
      <c r="L908" s="111">
        <f>IF('Deal maths'!Y908="",0,'Deal maths'!Y908)</f>
        <v/>
      </c>
      <c r="M908" s="112">
        <f>F908+(F908=0)</f>
        <v/>
      </c>
      <c r="N908" s="108">
        <f>IFERROR(IF(D908=0,0,INT(((YEAR('Deal maths'!AA908)-YEAR(E908))*12+MONTH('Deal maths'!AA908)-MONTH(E908)-(DAY('Deal maths'!AA908)&lt;MIN(R908,DAY(EOMONTH('Deal maths'!AA908,0)))))/D908)+1),0)</f>
        <v/>
      </c>
      <c r="O908" s="108">
        <f>IFERROR(IF(D908=0,0,IF(IF(DAY(E908+1)=1,EOMONTH(E908,(N908-1)*D908),EDATE(E908,(N908-1)*D908))='Deal maths'!AA908,0,1)),0)</f>
        <v/>
      </c>
      <c r="P908" s="113">
        <f>IF(B908=0,0,IFERROR(IF(C908="EIP",((I908-O908)*((IF(DAY(E908+1)=1,EOMONTH(E908,H908*D908),EDATE(E908,H908*D908))-AsAt)/365.25+(IF(DAY(E908+1)=1,EOMONTH(E908,(N908-1)*D908),EDATE(E908,(N908-1)*D908))-AsAt)/365.25)/2+O908*('Deal maths'!AA908-AsAt)/365.25)/I908,IF(C908="Annuity",IF(F908&gt;0,((K908-L908*F908)*((IF(DAY(E908+1)=1,EOMONTH(E908,H908*D908),EDATE(E908,H908*D908))-AsAt)/365.25*((1+F908)^(I908-O908)-1)/F908+IF((I908-O908)&gt;1,((IF(DAY(E908+1)=1,EOMONTH(E908,(N908-1)*D908),EDATE(E908,(N908-1)*D908))-AsAt)/365.25-(IF(DAY(E908+1)=1,EOMONTH(E908,H908*D908),EDATE(E908,H908*D908))-AsAt)/365.25)/((I908-O908)-1),0)*(1+F908)*(1-(I908-O908)*(1+F908)^((I908-O908)-1)+((I908-O908)-1)*(1+F908)^(I908-O908))/F908^2)+O908*(K908-L908*F908)*(1+F908)^(I908-1)*('Deal maths'!AA908-AsAt)/365.25)/L908,((I908-O908)*((IF(DAY(E908+1)=1,EOMONTH(E908,H908*D908),EDATE(E908,H908*D908))-AsAt)/365.25+(IF(DAY(E908+1)=1,EOMONTH(E908,(N908-1)*D908),EDATE(E908,(N908-1)*D908))-AsAt)/365.25)/2+O908*('Deal maths'!AA908-AsAt)/365.25)/I908),(S908-AsAt)/365.25)),0))</f>
        <v/>
      </c>
      <c r="Q908" s="109">
        <f>IF(B908=1,'Deal maths'!AA908+ROW()/1000000,"")</f>
        <v/>
      </c>
      <c r="R908" s="108">
        <f>IF(D908=0,0,IF(DAY(E908+1)=1,31,DAY(E908)))</f>
        <v/>
      </c>
      <c r="S908" s="109">
        <f>IF(AND('Deal maths'!V908="LOBO",'Deal maths'!AG908&gt;AsAt,'Deal maths'!AG908&lt;'Deal maths'!AA908),'Deal maths'!AG908,'Deal maths'!AA908)</f>
        <v/>
      </c>
      <c r="T908" s="108">
        <f>('Deal maths'!AA908&gt;AsAt)*('Deal maths'!Y908&gt;0)</f>
        <v/>
      </c>
    </row>
    <row r="909">
      <c r="A909" s="91">
        <f>IF('Deal maths'!V909="","",'Deal maths'!W909)</f>
        <v/>
      </c>
      <c r="B909" s="108">
        <f>('Deal maths'!AA909&gt;AsAt)*('Deal maths'!Y909&gt;0)*('Deal maths'!Z909&lt;=AsAt)</f>
        <v/>
      </c>
      <c r="C909" s="91">
        <f>IF('Deal maths'!V909="","",IF('Deal maths'!AC909="","Maturity",'Deal maths'!AC909))</f>
        <v/>
      </c>
      <c r="D909" s="108">
        <f>IF(OR(C909="EIP",C909="Annuity"),IF('Deal maths'!AD909="Annual",12,IF('Deal maths'!AD909="Quarterly",3,6)),0)</f>
        <v/>
      </c>
      <c r="E909" s="109">
        <f>IFERROR(IF(D909=0,0,IF('Deal maths'!AE909&gt;0,IF('Deal maths'!AE909&gt;'Deal maths'!AA909,'Deal maths'!AA909,'Deal maths'!AE909),IF(IF(DAY('Deal maths'!AA909+1)=1,EOMONTH('Deal maths'!AA909,-(INT(((YEAR('Deal maths'!AA909)-YEAR(IF('Deal maths'!Z909&gt;0,'Deal maths'!Z909,DATE(1990,1,1))))*12+MONTH('Deal maths'!AA909)-MONTH(IF('Deal maths'!Z909&gt;0,'Deal maths'!Z909,DATE(1990,1,1))))/D909))*D909),EDATE('Deal maths'!AA909,-(INT(((YEAR('Deal maths'!AA909)-YEAR(IF('Deal maths'!Z909&gt;0,'Deal maths'!Z909,DATE(1990,1,1))))*12+MONTH('Deal maths'!AA909)-MONTH(IF('Deal maths'!Z909&gt;0,'Deal maths'!Z909,DATE(1990,1,1))))/D909))*D909))&gt;IF('Deal maths'!Z909&gt;0,'Deal maths'!Z909,DATE(1990,1,1)),IF(DAY('Deal maths'!AA909+1)=1,EOMONTH('Deal maths'!AA909,-(INT(((YEAR('Deal maths'!AA909)-YEAR(IF('Deal maths'!Z909&gt;0,'Deal maths'!Z909,DATE(1990,1,1))))*12+MONTH('Deal maths'!AA909)-MONTH(IF('Deal maths'!Z909&gt;0,'Deal maths'!Z909,DATE(1990,1,1))))/D909))*D909),EDATE('Deal maths'!AA909,-(INT(((YEAR('Deal maths'!AA909)-YEAR(IF('Deal maths'!Z909&gt;0,'Deal maths'!Z909,DATE(1990,1,1))))*12+MONTH('Deal maths'!AA909)-MONTH(IF('Deal maths'!Z909&gt;0,'Deal maths'!Z909,DATE(1990,1,1))))/D909))*D909)),IF(DAY('Deal maths'!AA909+1)=1,EOMONTH('Deal maths'!AA909,-(INT(((YEAR('Deal maths'!AA909)-YEAR(IF('Deal maths'!Z909&gt;0,'Deal maths'!Z909,DATE(1990,1,1))))*12+MONTH('Deal maths'!AA909)-MONTH(IF('Deal maths'!Z909&gt;0,'Deal maths'!Z909,DATE(1990,1,1))))/D909)-1)*D909),EDATE('Deal maths'!AA909,-(INT(((YEAR('Deal maths'!AA909)-YEAR(IF('Deal maths'!Z909&gt;0,'Deal maths'!Z909,DATE(1990,1,1))))*12+MONTH('Deal maths'!AA909)-MONTH(IF('Deal maths'!Z909&gt;0,'Deal maths'!Z909,DATE(1990,1,1))))/D909)-1)*D909))))),0)</f>
        <v/>
      </c>
      <c r="F909" s="110">
        <f>IF(D909=0,0,'Deal maths'!AB909*D909/12)</f>
        <v/>
      </c>
      <c r="G909" s="108">
        <f>N909+O909</f>
        <v/>
      </c>
      <c r="H909" s="108">
        <f>IFERROR(IF(OR(D909=0,AsAt&lt;E909),0,MIN(N909,INT(((YEAR(AsAt)-YEAR(E909))*12+MONTH(AsAt)-MONTH(E909)-(DAY(AsAt)&lt;MIN(R909,DAY(EOMONTH(AsAt,0)))))/D909)+1)+O909*(AsAt&gt;='Deal maths'!AA909)),0)</f>
        <v/>
      </c>
      <c r="I909" s="108">
        <f>G909-H909</f>
        <v/>
      </c>
      <c r="J909" s="111">
        <f>IF(AND(C909="EIP",I909&gt;0),'Deal maths'!Y909/I909,0)</f>
        <v/>
      </c>
      <c r="K909" s="111">
        <f>IF(AND(C909="Annuity",I909&gt;0),IF(F909&gt;0,'Deal maths'!Y909*F909/(1-(1+F909)^-I909),'Deal maths'!Y909/I909),0)</f>
        <v/>
      </c>
      <c r="L909" s="111">
        <f>IF('Deal maths'!Y909="",0,'Deal maths'!Y909)</f>
        <v/>
      </c>
      <c r="M909" s="112">
        <f>F909+(F909=0)</f>
        <v/>
      </c>
      <c r="N909" s="108">
        <f>IFERROR(IF(D909=0,0,INT(((YEAR('Deal maths'!AA909)-YEAR(E909))*12+MONTH('Deal maths'!AA909)-MONTH(E909)-(DAY('Deal maths'!AA909)&lt;MIN(R909,DAY(EOMONTH('Deal maths'!AA909,0)))))/D909)+1),0)</f>
        <v/>
      </c>
      <c r="O909" s="108">
        <f>IFERROR(IF(D909=0,0,IF(IF(DAY(E909+1)=1,EOMONTH(E909,(N909-1)*D909),EDATE(E909,(N909-1)*D909))='Deal maths'!AA909,0,1)),0)</f>
        <v/>
      </c>
      <c r="P909" s="113">
        <f>IF(B909=0,0,IFERROR(IF(C909="EIP",((I909-O909)*((IF(DAY(E909+1)=1,EOMONTH(E909,H909*D909),EDATE(E909,H909*D909))-AsAt)/365.25+(IF(DAY(E909+1)=1,EOMONTH(E909,(N909-1)*D909),EDATE(E909,(N909-1)*D909))-AsAt)/365.25)/2+O909*('Deal maths'!AA909-AsAt)/365.25)/I909,IF(C909="Annuity",IF(F909&gt;0,((K909-L909*F909)*((IF(DAY(E909+1)=1,EOMONTH(E909,H909*D909),EDATE(E909,H909*D909))-AsAt)/365.25*((1+F909)^(I909-O909)-1)/F909+IF((I909-O909)&gt;1,((IF(DAY(E909+1)=1,EOMONTH(E909,(N909-1)*D909),EDATE(E909,(N909-1)*D909))-AsAt)/365.25-(IF(DAY(E909+1)=1,EOMONTH(E909,H909*D909),EDATE(E909,H909*D909))-AsAt)/365.25)/((I909-O909)-1),0)*(1+F909)*(1-(I909-O909)*(1+F909)^((I909-O909)-1)+((I909-O909)-1)*(1+F909)^(I909-O909))/F909^2)+O909*(K909-L909*F909)*(1+F909)^(I909-1)*('Deal maths'!AA909-AsAt)/365.25)/L909,((I909-O909)*((IF(DAY(E909+1)=1,EOMONTH(E909,H909*D909),EDATE(E909,H909*D909))-AsAt)/365.25+(IF(DAY(E909+1)=1,EOMONTH(E909,(N909-1)*D909),EDATE(E909,(N909-1)*D909))-AsAt)/365.25)/2+O909*('Deal maths'!AA909-AsAt)/365.25)/I909),(S909-AsAt)/365.25)),0))</f>
        <v/>
      </c>
      <c r="Q909" s="109">
        <f>IF(B909=1,'Deal maths'!AA909+ROW()/1000000,"")</f>
        <v/>
      </c>
      <c r="R909" s="108">
        <f>IF(D909=0,0,IF(DAY(E909+1)=1,31,DAY(E909)))</f>
        <v/>
      </c>
      <c r="S909" s="109">
        <f>IF(AND('Deal maths'!V909="LOBO",'Deal maths'!AG909&gt;AsAt,'Deal maths'!AG909&lt;'Deal maths'!AA909),'Deal maths'!AG909,'Deal maths'!AA909)</f>
        <v/>
      </c>
      <c r="T909" s="108">
        <f>('Deal maths'!AA909&gt;AsAt)*('Deal maths'!Y909&gt;0)</f>
        <v/>
      </c>
    </row>
    <row r="910">
      <c r="A910" s="91">
        <f>IF('Deal maths'!V910="","",'Deal maths'!W910)</f>
        <v/>
      </c>
      <c r="B910" s="108">
        <f>('Deal maths'!AA910&gt;AsAt)*('Deal maths'!Y910&gt;0)*('Deal maths'!Z910&lt;=AsAt)</f>
        <v/>
      </c>
      <c r="C910" s="91">
        <f>IF('Deal maths'!V910="","",IF('Deal maths'!AC910="","Maturity",'Deal maths'!AC910))</f>
        <v/>
      </c>
      <c r="D910" s="108">
        <f>IF(OR(C910="EIP",C910="Annuity"),IF('Deal maths'!AD910="Annual",12,IF('Deal maths'!AD910="Quarterly",3,6)),0)</f>
        <v/>
      </c>
      <c r="E910" s="109">
        <f>IFERROR(IF(D910=0,0,IF('Deal maths'!AE910&gt;0,IF('Deal maths'!AE910&gt;'Deal maths'!AA910,'Deal maths'!AA910,'Deal maths'!AE910),IF(IF(DAY('Deal maths'!AA910+1)=1,EOMONTH('Deal maths'!AA910,-(INT(((YEAR('Deal maths'!AA910)-YEAR(IF('Deal maths'!Z910&gt;0,'Deal maths'!Z910,DATE(1990,1,1))))*12+MONTH('Deal maths'!AA910)-MONTH(IF('Deal maths'!Z910&gt;0,'Deal maths'!Z910,DATE(1990,1,1))))/D910))*D910),EDATE('Deal maths'!AA910,-(INT(((YEAR('Deal maths'!AA910)-YEAR(IF('Deal maths'!Z910&gt;0,'Deal maths'!Z910,DATE(1990,1,1))))*12+MONTH('Deal maths'!AA910)-MONTH(IF('Deal maths'!Z910&gt;0,'Deal maths'!Z910,DATE(1990,1,1))))/D910))*D910))&gt;IF('Deal maths'!Z910&gt;0,'Deal maths'!Z910,DATE(1990,1,1)),IF(DAY('Deal maths'!AA910+1)=1,EOMONTH('Deal maths'!AA910,-(INT(((YEAR('Deal maths'!AA910)-YEAR(IF('Deal maths'!Z910&gt;0,'Deal maths'!Z910,DATE(1990,1,1))))*12+MONTH('Deal maths'!AA910)-MONTH(IF('Deal maths'!Z910&gt;0,'Deal maths'!Z910,DATE(1990,1,1))))/D910))*D910),EDATE('Deal maths'!AA910,-(INT(((YEAR('Deal maths'!AA910)-YEAR(IF('Deal maths'!Z910&gt;0,'Deal maths'!Z910,DATE(1990,1,1))))*12+MONTH('Deal maths'!AA910)-MONTH(IF('Deal maths'!Z910&gt;0,'Deal maths'!Z910,DATE(1990,1,1))))/D910))*D910)),IF(DAY('Deal maths'!AA910+1)=1,EOMONTH('Deal maths'!AA910,-(INT(((YEAR('Deal maths'!AA910)-YEAR(IF('Deal maths'!Z910&gt;0,'Deal maths'!Z910,DATE(1990,1,1))))*12+MONTH('Deal maths'!AA910)-MONTH(IF('Deal maths'!Z910&gt;0,'Deal maths'!Z910,DATE(1990,1,1))))/D910)-1)*D910),EDATE('Deal maths'!AA910,-(INT(((YEAR('Deal maths'!AA910)-YEAR(IF('Deal maths'!Z910&gt;0,'Deal maths'!Z910,DATE(1990,1,1))))*12+MONTH('Deal maths'!AA910)-MONTH(IF('Deal maths'!Z910&gt;0,'Deal maths'!Z910,DATE(1990,1,1))))/D910)-1)*D910))))),0)</f>
        <v/>
      </c>
      <c r="F910" s="110">
        <f>IF(D910=0,0,'Deal maths'!AB910*D910/12)</f>
        <v/>
      </c>
      <c r="G910" s="108">
        <f>N910+O910</f>
        <v/>
      </c>
      <c r="H910" s="108">
        <f>IFERROR(IF(OR(D910=0,AsAt&lt;E910),0,MIN(N910,INT(((YEAR(AsAt)-YEAR(E910))*12+MONTH(AsAt)-MONTH(E910)-(DAY(AsAt)&lt;MIN(R910,DAY(EOMONTH(AsAt,0)))))/D910)+1)+O910*(AsAt&gt;='Deal maths'!AA910)),0)</f>
        <v/>
      </c>
      <c r="I910" s="108">
        <f>G910-H910</f>
        <v/>
      </c>
      <c r="J910" s="111">
        <f>IF(AND(C910="EIP",I910&gt;0),'Deal maths'!Y910/I910,0)</f>
        <v/>
      </c>
      <c r="K910" s="111">
        <f>IF(AND(C910="Annuity",I910&gt;0),IF(F910&gt;0,'Deal maths'!Y910*F910/(1-(1+F910)^-I910),'Deal maths'!Y910/I910),0)</f>
        <v/>
      </c>
      <c r="L910" s="111">
        <f>IF('Deal maths'!Y910="",0,'Deal maths'!Y910)</f>
        <v/>
      </c>
      <c r="M910" s="112">
        <f>F910+(F910=0)</f>
        <v/>
      </c>
      <c r="N910" s="108">
        <f>IFERROR(IF(D910=0,0,INT(((YEAR('Deal maths'!AA910)-YEAR(E910))*12+MONTH('Deal maths'!AA910)-MONTH(E910)-(DAY('Deal maths'!AA910)&lt;MIN(R910,DAY(EOMONTH('Deal maths'!AA910,0)))))/D910)+1),0)</f>
        <v/>
      </c>
      <c r="O910" s="108">
        <f>IFERROR(IF(D910=0,0,IF(IF(DAY(E910+1)=1,EOMONTH(E910,(N910-1)*D910),EDATE(E910,(N910-1)*D910))='Deal maths'!AA910,0,1)),0)</f>
        <v/>
      </c>
      <c r="P910" s="113">
        <f>IF(B910=0,0,IFERROR(IF(C910="EIP",((I910-O910)*((IF(DAY(E910+1)=1,EOMONTH(E910,H910*D910),EDATE(E910,H910*D910))-AsAt)/365.25+(IF(DAY(E910+1)=1,EOMONTH(E910,(N910-1)*D910),EDATE(E910,(N910-1)*D910))-AsAt)/365.25)/2+O910*('Deal maths'!AA910-AsAt)/365.25)/I910,IF(C910="Annuity",IF(F910&gt;0,((K910-L910*F910)*((IF(DAY(E910+1)=1,EOMONTH(E910,H910*D910),EDATE(E910,H910*D910))-AsAt)/365.25*((1+F910)^(I910-O910)-1)/F910+IF((I910-O910)&gt;1,((IF(DAY(E910+1)=1,EOMONTH(E910,(N910-1)*D910),EDATE(E910,(N910-1)*D910))-AsAt)/365.25-(IF(DAY(E910+1)=1,EOMONTH(E910,H910*D910),EDATE(E910,H910*D910))-AsAt)/365.25)/((I910-O910)-1),0)*(1+F910)*(1-(I910-O910)*(1+F910)^((I910-O910)-1)+((I910-O910)-1)*(1+F910)^(I910-O910))/F910^2)+O910*(K910-L910*F910)*(1+F910)^(I910-1)*('Deal maths'!AA910-AsAt)/365.25)/L910,((I910-O910)*((IF(DAY(E910+1)=1,EOMONTH(E910,H910*D910),EDATE(E910,H910*D910))-AsAt)/365.25+(IF(DAY(E910+1)=1,EOMONTH(E910,(N910-1)*D910),EDATE(E910,(N910-1)*D910))-AsAt)/365.25)/2+O910*('Deal maths'!AA910-AsAt)/365.25)/I910),(S910-AsAt)/365.25)),0))</f>
        <v/>
      </c>
      <c r="Q910" s="109">
        <f>IF(B910=1,'Deal maths'!AA910+ROW()/1000000,"")</f>
        <v/>
      </c>
      <c r="R910" s="108">
        <f>IF(D910=0,0,IF(DAY(E910+1)=1,31,DAY(E910)))</f>
        <v/>
      </c>
      <c r="S910" s="109">
        <f>IF(AND('Deal maths'!V910="LOBO",'Deal maths'!AG910&gt;AsAt,'Deal maths'!AG910&lt;'Deal maths'!AA910),'Deal maths'!AG910,'Deal maths'!AA910)</f>
        <v/>
      </c>
      <c r="T910" s="108">
        <f>('Deal maths'!AA910&gt;AsAt)*('Deal maths'!Y910&gt;0)</f>
        <v/>
      </c>
    </row>
    <row r="911">
      <c r="A911" s="91">
        <f>IF('Deal maths'!V911="","",'Deal maths'!W911)</f>
        <v/>
      </c>
      <c r="B911" s="108">
        <f>('Deal maths'!AA911&gt;AsAt)*('Deal maths'!Y911&gt;0)*('Deal maths'!Z911&lt;=AsAt)</f>
        <v/>
      </c>
      <c r="C911" s="91">
        <f>IF('Deal maths'!V911="","",IF('Deal maths'!AC911="","Maturity",'Deal maths'!AC911))</f>
        <v/>
      </c>
      <c r="D911" s="108">
        <f>IF(OR(C911="EIP",C911="Annuity"),IF('Deal maths'!AD911="Annual",12,IF('Deal maths'!AD911="Quarterly",3,6)),0)</f>
        <v/>
      </c>
      <c r="E911" s="109">
        <f>IFERROR(IF(D911=0,0,IF('Deal maths'!AE911&gt;0,IF('Deal maths'!AE911&gt;'Deal maths'!AA911,'Deal maths'!AA911,'Deal maths'!AE911),IF(IF(DAY('Deal maths'!AA911+1)=1,EOMONTH('Deal maths'!AA911,-(INT(((YEAR('Deal maths'!AA911)-YEAR(IF('Deal maths'!Z911&gt;0,'Deal maths'!Z911,DATE(1990,1,1))))*12+MONTH('Deal maths'!AA911)-MONTH(IF('Deal maths'!Z911&gt;0,'Deal maths'!Z911,DATE(1990,1,1))))/D911))*D911),EDATE('Deal maths'!AA911,-(INT(((YEAR('Deal maths'!AA911)-YEAR(IF('Deal maths'!Z911&gt;0,'Deal maths'!Z911,DATE(1990,1,1))))*12+MONTH('Deal maths'!AA911)-MONTH(IF('Deal maths'!Z911&gt;0,'Deal maths'!Z911,DATE(1990,1,1))))/D911))*D911))&gt;IF('Deal maths'!Z911&gt;0,'Deal maths'!Z911,DATE(1990,1,1)),IF(DAY('Deal maths'!AA911+1)=1,EOMONTH('Deal maths'!AA911,-(INT(((YEAR('Deal maths'!AA911)-YEAR(IF('Deal maths'!Z911&gt;0,'Deal maths'!Z911,DATE(1990,1,1))))*12+MONTH('Deal maths'!AA911)-MONTH(IF('Deal maths'!Z911&gt;0,'Deal maths'!Z911,DATE(1990,1,1))))/D911))*D911),EDATE('Deal maths'!AA911,-(INT(((YEAR('Deal maths'!AA911)-YEAR(IF('Deal maths'!Z911&gt;0,'Deal maths'!Z911,DATE(1990,1,1))))*12+MONTH('Deal maths'!AA911)-MONTH(IF('Deal maths'!Z911&gt;0,'Deal maths'!Z911,DATE(1990,1,1))))/D911))*D911)),IF(DAY('Deal maths'!AA911+1)=1,EOMONTH('Deal maths'!AA911,-(INT(((YEAR('Deal maths'!AA911)-YEAR(IF('Deal maths'!Z911&gt;0,'Deal maths'!Z911,DATE(1990,1,1))))*12+MONTH('Deal maths'!AA911)-MONTH(IF('Deal maths'!Z911&gt;0,'Deal maths'!Z911,DATE(1990,1,1))))/D911)-1)*D911),EDATE('Deal maths'!AA911,-(INT(((YEAR('Deal maths'!AA911)-YEAR(IF('Deal maths'!Z911&gt;0,'Deal maths'!Z911,DATE(1990,1,1))))*12+MONTH('Deal maths'!AA911)-MONTH(IF('Deal maths'!Z911&gt;0,'Deal maths'!Z911,DATE(1990,1,1))))/D911)-1)*D911))))),0)</f>
        <v/>
      </c>
      <c r="F911" s="110">
        <f>IF(D911=0,0,'Deal maths'!AB911*D911/12)</f>
        <v/>
      </c>
      <c r="G911" s="108">
        <f>N911+O911</f>
        <v/>
      </c>
      <c r="H911" s="108">
        <f>IFERROR(IF(OR(D911=0,AsAt&lt;E911),0,MIN(N911,INT(((YEAR(AsAt)-YEAR(E911))*12+MONTH(AsAt)-MONTH(E911)-(DAY(AsAt)&lt;MIN(R911,DAY(EOMONTH(AsAt,0)))))/D911)+1)+O911*(AsAt&gt;='Deal maths'!AA911)),0)</f>
        <v/>
      </c>
      <c r="I911" s="108">
        <f>G911-H911</f>
        <v/>
      </c>
      <c r="J911" s="111">
        <f>IF(AND(C911="EIP",I911&gt;0),'Deal maths'!Y911/I911,0)</f>
        <v/>
      </c>
      <c r="K911" s="111">
        <f>IF(AND(C911="Annuity",I911&gt;0),IF(F911&gt;0,'Deal maths'!Y911*F911/(1-(1+F911)^-I911),'Deal maths'!Y911/I911),0)</f>
        <v/>
      </c>
      <c r="L911" s="111">
        <f>IF('Deal maths'!Y911="",0,'Deal maths'!Y911)</f>
        <v/>
      </c>
      <c r="M911" s="112">
        <f>F911+(F911=0)</f>
        <v/>
      </c>
      <c r="N911" s="108">
        <f>IFERROR(IF(D911=0,0,INT(((YEAR('Deal maths'!AA911)-YEAR(E911))*12+MONTH('Deal maths'!AA911)-MONTH(E911)-(DAY('Deal maths'!AA911)&lt;MIN(R911,DAY(EOMONTH('Deal maths'!AA911,0)))))/D911)+1),0)</f>
        <v/>
      </c>
      <c r="O911" s="108">
        <f>IFERROR(IF(D911=0,0,IF(IF(DAY(E911+1)=1,EOMONTH(E911,(N911-1)*D911),EDATE(E911,(N911-1)*D911))='Deal maths'!AA911,0,1)),0)</f>
        <v/>
      </c>
      <c r="P911" s="113">
        <f>IF(B911=0,0,IFERROR(IF(C911="EIP",((I911-O911)*((IF(DAY(E911+1)=1,EOMONTH(E911,H911*D911),EDATE(E911,H911*D911))-AsAt)/365.25+(IF(DAY(E911+1)=1,EOMONTH(E911,(N911-1)*D911),EDATE(E911,(N911-1)*D911))-AsAt)/365.25)/2+O911*('Deal maths'!AA911-AsAt)/365.25)/I911,IF(C911="Annuity",IF(F911&gt;0,((K911-L911*F911)*((IF(DAY(E911+1)=1,EOMONTH(E911,H911*D911),EDATE(E911,H911*D911))-AsAt)/365.25*((1+F911)^(I911-O911)-1)/F911+IF((I911-O911)&gt;1,((IF(DAY(E911+1)=1,EOMONTH(E911,(N911-1)*D911),EDATE(E911,(N911-1)*D911))-AsAt)/365.25-(IF(DAY(E911+1)=1,EOMONTH(E911,H911*D911),EDATE(E911,H911*D911))-AsAt)/365.25)/((I911-O911)-1),0)*(1+F911)*(1-(I911-O911)*(1+F911)^((I911-O911)-1)+((I911-O911)-1)*(1+F911)^(I911-O911))/F911^2)+O911*(K911-L911*F911)*(1+F911)^(I911-1)*('Deal maths'!AA911-AsAt)/365.25)/L911,((I911-O911)*((IF(DAY(E911+1)=1,EOMONTH(E911,H911*D911),EDATE(E911,H911*D911))-AsAt)/365.25+(IF(DAY(E911+1)=1,EOMONTH(E911,(N911-1)*D911),EDATE(E911,(N911-1)*D911))-AsAt)/365.25)/2+O911*('Deal maths'!AA911-AsAt)/365.25)/I911),(S911-AsAt)/365.25)),0))</f>
        <v/>
      </c>
      <c r="Q911" s="109">
        <f>IF(B911=1,'Deal maths'!AA911+ROW()/1000000,"")</f>
        <v/>
      </c>
      <c r="R911" s="108">
        <f>IF(D911=0,0,IF(DAY(E911+1)=1,31,DAY(E911)))</f>
        <v/>
      </c>
      <c r="S911" s="109">
        <f>IF(AND('Deal maths'!V911="LOBO",'Deal maths'!AG911&gt;AsAt,'Deal maths'!AG911&lt;'Deal maths'!AA911),'Deal maths'!AG911,'Deal maths'!AA911)</f>
        <v/>
      </c>
      <c r="T911" s="108">
        <f>('Deal maths'!AA911&gt;AsAt)*('Deal maths'!Y911&gt;0)</f>
        <v/>
      </c>
    </row>
    <row r="912">
      <c r="A912" s="91">
        <f>IF('Deal maths'!V912="","",'Deal maths'!W912)</f>
        <v/>
      </c>
      <c r="B912" s="108">
        <f>('Deal maths'!AA912&gt;AsAt)*('Deal maths'!Y912&gt;0)*('Deal maths'!Z912&lt;=AsAt)</f>
        <v/>
      </c>
      <c r="C912" s="91">
        <f>IF('Deal maths'!V912="","",IF('Deal maths'!AC912="","Maturity",'Deal maths'!AC912))</f>
        <v/>
      </c>
      <c r="D912" s="108">
        <f>IF(OR(C912="EIP",C912="Annuity"),IF('Deal maths'!AD912="Annual",12,IF('Deal maths'!AD912="Quarterly",3,6)),0)</f>
        <v/>
      </c>
      <c r="E912" s="109">
        <f>IFERROR(IF(D912=0,0,IF('Deal maths'!AE912&gt;0,IF('Deal maths'!AE912&gt;'Deal maths'!AA912,'Deal maths'!AA912,'Deal maths'!AE912),IF(IF(DAY('Deal maths'!AA912+1)=1,EOMONTH('Deal maths'!AA912,-(INT(((YEAR('Deal maths'!AA912)-YEAR(IF('Deal maths'!Z912&gt;0,'Deal maths'!Z912,DATE(1990,1,1))))*12+MONTH('Deal maths'!AA912)-MONTH(IF('Deal maths'!Z912&gt;0,'Deal maths'!Z912,DATE(1990,1,1))))/D912))*D912),EDATE('Deal maths'!AA912,-(INT(((YEAR('Deal maths'!AA912)-YEAR(IF('Deal maths'!Z912&gt;0,'Deal maths'!Z912,DATE(1990,1,1))))*12+MONTH('Deal maths'!AA912)-MONTH(IF('Deal maths'!Z912&gt;0,'Deal maths'!Z912,DATE(1990,1,1))))/D912))*D912))&gt;IF('Deal maths'!Z912&gt;0,'Deal maths'!Z912,DATE(1990,1,1)),IF(DAY('Deal maths'!AA912+1)=1,EOMONTH('Deal maths'!AA912,-(INT(((YEAR('Deal maths'!AA912)-YEAR(IF('Deal maths'!Z912&gt;0,'Deal maths'!Z912,DATE(1990,1,1))))*12+MONTH('Deal maths'!AA912)-MONTH(IF('Deal maths'!Z912&gt;0,'Deal maths'!Z912,DATE(1990,1,1))))/D912))*D912),EDATE('Deal maths'!AA912,-(INT(((YEAR('Deal maths'!AA912)-YEAR(IF('Deal maths'!Z912&gt;0,'Deal maths'!Z912,DATE(1990,1,1))))*12+MONTH('Deal maths'!AA912)-MONTH(IF('Deal maths'!Z912&gt;0,'Deal maths'!Z912,DATE(1990,1,1))))/D912))*D912)),IF(DAY('Deal maths'!AA912+1)=1,EOMONTH('Deal maths'!AA912,-(INT(((YEAR('Deal maths'!AA912)-YEAR(IF('Deal maths'!Z912&gt;0,'Deal maths'!Z912,DATE(1990,1,1))))*12+MONTH('Deal maths'!AA912)-MONTH(IF('Deal maths'!Z912&gt;0,'Deal maths'!Z912,DATE(1990,1,1))))/D912)-1)*D912),EDATE('Deal maths'!AA912,-(INT(((YEAR('Deal maths'!AA912)-YEAR(IF('Deal maths'!Z912&gt;0,'Deal maths'!Z912,DATE(1990,1,1))))*12+MONTH('Deal maths'!AA912)-MONTH(IF('Deal maths'!Z912&gt;0,'Deal maths'!Z912,DATE(1990,1,1))))/D912)-1)*D912))))),0)</f>
        <v/>
      </c>
      <c r="F912" s="110">
        <f>IF(D912=0,0,'Deal maths'!AB912*D912/12)</f>
        <v/>
      </c>
      <c r="G912" s="108">
        <f>N912+O912</f>
        <v/>
      </c>
      <c r="H912" s="108">
        <f>IFERROR(IF(OR(D912=0,AsAt&lt;E912),0,MIN(N912,INT(((YEAR(AsAt)-YEAR(E912))*12+MONTH(AsAt)-MONTH(E912)-(DAY(AsAt)&lt;MIN(R912,DAY(EOMONTH(AsAt,0)))))/D912)+1)+O912*(AsAt&gt;='Deal maths'!AA912)),0)</f>
        <v/>
      </c>
      <c r="I912" s="108">
        <f>G912-H912</f>
        <v/>
      </c>
      <c r="J912" s="111">
        <f>IF(AND(C912="EIP",I912&gt;0),'Deal maths'!Y912/I912,0)</f>
        <v/>
      </c>
      <c r="K912" s="111">
        <f>IF(AND(C912="Annuity",I912&gt;0),IF(F912&gt;0,'Deal maths'!Y912*F912/(1-(1+F912)^-I912),'Deal maths'!Y912/I912),0)</f>
        <v/>
      </c>
      <c r="L912" s="111">
        <f>IF('Deal maths'!Y912="",0,'Deal maths'!Y912)</f>
        <v/>
      </c>
      <c r="M912" s="112">
        <f>F912+(F912=0)</f>
        <v/>
      </c>
      <c r="N912" s="108">
        <f>IFERROR(IF(D912=0,0,INT(((YEAR('Deal maths'!AA912)-YEAR(E912))*12+MONTH('Deal maths'!AA912)-MONTH(E912)-(DAY('Deal maths'!AA912)&lt;MIN(R912,DAY(EOMONTH('Deal maths'!AA912,0)))))/D912)+1),0)</f>
        <v/>
      </c>
      <c r="O912" s="108">
        <f>IFERROR(IF(D912=0,0,IF(IF(DAY(E912+1)=1,EOMONTH(E912,(N912-1)*D912),EDATE(E912,(N912-1)*D912))='Deal maths'!AA912,0,1)),0)</f>
        <v/>
      </c>
      <c r="P912" s="113">
        <f>IF(B912=0,0,IFERROR(IF(C912="EIP",((I912-O912)*((IF(DAY(E912+1)=1,EOMONTH(E912,H912*D912),EDATE(E912,H912*D912))-AsAt)/365.25+(IF(DAY(E912+1)=1,EOMONTH(E912,(N912-1)*D912),EDATE(E912,(N912-1)*D912))-AsAt)/365.25)/2+O912*('Deal maths'!AA912-AsAt)/365.25)/I912,IF(C912="Annuity",IF(F912&gt;0,((K912-L912*F912)*((IF(DAY(E912+1)=1,EOMONTH(E912,H912*D912),EDATE(E912,H912*D912))-AsAt)/365.25*((1+F912)^(I912-O912)-1)/F912+IF((I912-O912)&gt;1,((IF(DAY(E912+1)=1,EOMONTH(E912,(N912-1)*D912),EDATE(E912,(N912-1)*D912))-AsAt)/365.25-(IF(DAY(E912+1)=1,EOMONTH(E912,H912*D912),EDATE(E912,H912*D912))-AsAt)/365.25)/((I912-O912)-1),0)*(1+F912)*(1-(I912-O912)*(1+F912)^((I912-O912)-1)+((I912-O912)-1)*(1+F912)^(I912-O912))/F912^2)+O912*(K912-L912*F912)*(1+F912)^(I912-1)*('Deal maths'!AA912-AsAt)/365.25)/L912,((I912-O912)*((IF(DAY(E912+1)=1,EOMONTH(E912,H912*D912),EDATE(E912,H912*D912))-AsAt)/365.25+(IF(DAY(E912+1)=1,EOMONTH(E912,(N912-1)*D912),EDATE(E912,(N912-1)*D912))-AsAt)/365.25)/2+O912*('Deal maths'!AA912-AsAt)/365.25)/I912),(S912-AsAt)/365.25)),0))</f>
        <v/>
      </c>
      <c r="Q912" s="109">
        <f>IF(B912=1,'Deal maths'!AA912+ROW()/1000000,"")</f>
        <v/>
      </c>
      <c r="R912" s="108">
        <f>IF(D912=0,0,IF(DAY(E912+1)=1,31,DAY(E912)))</f>
        <v/>
      </c>
      <c r="S912" s="109">
        <f>IF(AND('Deal maths'!V912="LOBO",'Deal maths'!AG912&gt;AsAt,'Deal maths'!AG912&lt;'Deal maths'!AA912),'Deal maths'!AG912,'Deal maths'!AA912)</f>
        <v/>
      </c>
      <c r="T912" s="108">
        <f>('Deal maths'!AA912&gt;AsAt)*('Deal maths'!Y912&gt;0)</f>
        <v/>
      </c>
    </row>
    <row r="913">
      <c r="A913" s="91">
        <f>IF('Deal maths'!V913="","",'Deal maths'!W913)</f>
        <v/>
      </c>
      <c r="B913" s="108">
        <f>('Deal maths'!AA913&gt;AsAt)*('Deal maths'!Y913&gt;0)*('Deal maths'!Z913&lt;=AsAt)</f>
        <v/>
      </c>
      <c r="C913" s="91">
        <f>IF('Deal maths'!V913="","",IF('Deal maths'!AC913="","Maturity",'Deal maths'!AC913))</f>
        <v/>
      </c>
      <c r="D913" s="108">
        <f>IF(OR(C913="EIP",C913="Annuity"),IF('Deal maths'!AD913="Annual",12,IF('Deal maths'!AD913="Quarterly",3,6)),0)</f>
        <v/>
      </c>
      <c r="E913" s="109">
        <f>IFERROR(IF(D913=0,0,IF('Deal maths'!AE913&gt;0,IF('Deal maths'!AE913&gt;'Deal maths'!AA913,'Deal maths'!AA913,'Deal maths'!AE913),IF(IF(DAY('Deal maths'!AA913+1)=1,EOMONTH('Deal maths'!AA913,-(INT(((YEAR('Deal maths'!AA913)-YEAR(IF('Deal maths'!Z913&gt;0,'Deal maths'!Z913,DATE(1990,1,1))))*12+MONTH('Deal maths'!AA913)-MONTH(IF('Deal maths'!Z913&gt;0,'Deal maths'!Z913,DATE(1990,1,1))))/D913))*D913),EDATE('Deal maths'!AA913,-(INT(((YEAR('Deal maths'!AA913)-YEAR(IF('Deal maths'!Z913&gt;0,'Deal maths'!Z913,DATE(1990,1,1))))*12+MONTH('Deal maths'!AA913)-MONTH(IF('Deal maths'!Z913&gt;0,'Deal maths'!Z913,DATE(1990,1,1))))/D913))*D913))&gt;IF('Deal maths'!Z913&gt;0,'Deal maths'!Z913,DATE(1990,1,1)),IF(DAY('Deal maths'!AA913+1)=1,EOMONTH('Deal maths'!AA913,-(INT(((YEAR('Deal maths'!AA913)-YEAR(IF('Deal maths'!Z913&gt;0,'Deal maths'!Z913,DATE(1990,1,1))))*12+MONTH('Deal maths'!AA913)-MONTH(IF('Deal maths'!Z913&gt;0,'Deal maths'!Z913,DATE(1990,1,1))))/D913))*D913),EDATE('Deal maths'!AA913,-(INT(((YEAR('Deal maths'!AA913)-YEAR(IF('Deal maths'!Z913&gt;0,'Deal maths'!Z913,DATE(1990,1,1))))*12+MONTH('Deal maths'!AA913)-MONTH(IF('Deal maths'!Z913&gt;0,'Deal maths'!Z913,DATE(1990,1,1))))/D913))*D913)),IF(DAY('Deal maths'!AA913+1)=1,EOMONTH('Deal maths'!AA913,-(INT(((YEAR('Deal maths'!AA913)-YEAR(IF('Deal maths'!Z913&gt;0,'Deal maths'!Z913,DATE(1990,1,1))))*12+MONTH('Deal maths'!AA913)-MONTH(IF('Deal maths'!Z913&gt;0,'Deal maths'!Z913,DATE(1990,1,1))))/D913)-1)*D913),EDATE('Deal maths'!AA913,-(INT(((YEAR('Deal maths'!AA913)-YEAR(IF('Deal maths'!Z913&gt;0,'Deal maths'!Z913,DATE(1990,1,1))))*12+MONTH('Deal maths'!AA913)-MONTH(IF('Deal maths'!Z913&gt;0,'Deal maths'!Z913,DATE(1990,1,1))))/D913)-1)*D913))))),0)</f>
        <v/>
      </c>
      <c r="F913" s="110">
        <f>IF(D913=0,0,'Deal maths'!AB913*D913/12)</f>
        <v/>
      </c>
      <c r="G913" s="108">
        <f>N913+O913</f>
        <v/>
      </c>
      <c r="H913" s="108">
        <f>IFERROR(IF(OR(D913=0,AsAt&lt;E913),0,MIN(N913,INT(((YEAR(AsAt)-YEAR(E913))*12+MONTH(AsAt)-MONTH(E913)-(DAY(AsAt)&lt;MIN(R913,DAY(EOMONTH(AsAt,0)))))/D913)+1)+O913*(AsAt&gt;='Deal maths'!AA913)),0)</f>
        <v/>
      </c>
      <c r="I913" s="108">
        <f>G913-H913</f>
        <v/>
      </c>
      <c r="J913" s="111">
        <f>IF(AND(C913="EIP",I913&gt;0),'Deal maths'!Y913/I913,0)</f>
        <v/>
      </c>
      <c r="K913" s="111">
        <f>IF(AND(C913="Annuity",I913&gt;0),IF(F913&gt;0,'Deal maths'!Y913*F913/(1-(1+F913)^-I913),'Deal maths'!Y913/I913),0)</f>
        <v/>
      </c>
      <c r="L913" s="111">
        <f>IF('Deal maths'!Y913="",0,'Deal maths'!Y913)</f>
        <v/>
      </c>
      <c r="M913" s="112">
        <f>F913+(F913=0)</f>
        <v/>
      </c>
      <c r="N913" s="108">
        <f>IFERROR(IF(D913=0,0,INT(((YEAR('Deal maths'!AA913)-YEAR(E913))*12+MONTH('Deal maths'!AA913)-MONTH(E913)-(DAY('Deal maths'!AA913)&lt;MIN(R913,DAY(EOMONTH('Deal maths'!AA913,0)))))/D913)+1),0)</f>
        <v/>
      </c>
      <c r="O913" s="108">
        <f>IFERROR(IF(D913=0,0,IF(IF(DAY(E913+1)=1,EOMONTH(E913,(N913-1)*D913),EDATE(E913,(N913-1)*D913))='Deal maths'!AA913,0,1)),0)</f>
        <v/>
      </c>
      <c r="P913" s="113">
        <f>IF(B913=0,0,IFERROR(IF(C913="EIP",((I913-O913)*((IF(DAY(E913+1)=1,EOMONTH(E913,H913*D913),EDATE(E913,H913*D913))-AsAt)/365.25+(IF(DAY(E913+1)=1,EOMONTH(E913,(N913-1)*D913),EDATE(E913,(N913-1)*D913))-AsAt)/365.25)/2+O913*('Deal maths'!AA913-AsAt)/365.25)/I913,IF(C913="Annuity",IF(F913&gt;0,((K913-L913*F913)*((IF(DAY(E913+1)=1,EOMONTH(E913,H913*D913),EDATE(E913,H913*D913))-AsAt)/365.25*((1+F913)^(I913-O913)-1)/F913+IF((I913-O913)&gt;1,((IF(DAY(E913+1)=1,EOMONTH(E913,(N913-1)*D913),EDATE(E913,(N913-1)*D913))-AsAt)/365.25-(IF(DAY(E913+1)=1,EOMONTH(E913,H913*D913),EDATE(E913,H913*D913))-AsAt)/365.25)/((I913-O913)-1),0)*(1+F913)*(1-(I913-O913)*(1+F913)^((I913-O913)-1)+((I913-O913)-1)*(1+F913)^(I913-O913))/F913^2)+O913*(K913-L913*F913)*(1+F913)^(I913-1)*('Deal maths'!AA913-AsAt)/365.25)/L913,((I913-O913)*((IF(DAY(E913+1)=1,EOMONTH(E913,H913*D913),EDATE(E913,H913*D913))-AsAt)/365.25+(IF(DAY(E913+1)=1,EOMONTH(E913,(N913-1)*D913),EDATE(E913,(N913-1)*D913))-AsAt)/365.25)/2+O913*('Deal maths'!AA913-AsAt)/365.25)/I913),(S913-AsAt)/365.25)),0))</f>
        <v/>
      </c>
      <c r="Q913" s="109">
        <f>IF(B913=1,'Deal maths'!AA913+ROW()/1000000,"")</f>
        <v/>
      </c>
      <c r="R913" s="108">
        <f>IF(D913=0,0,IF(DAY(E913+1)=1,31,DAY(E913)))</f>
        <v/>
      </c>
      <c r="S913" s="109">
        <f>IF(AND('Deal maths'!V913="LOBO",'Deal maths'!AG913&gt;AsAt,'Deal maths'!AG913&lt;'Deal maths'!AA913),'Deal maths'!AG913,'Deal maths'!AA913)</f>
        <v/>
      </c>
      <c r="T913" s="108">
        <f>('Deal maths'!AA913&gt;AsAt)*('Deal maths'!Y913&gt;0)</f>
        <v/>
      </c>
    </row>
    <row r="914">
      <c r="A914" s="91">
        <f>IF('Deal maths'!V914="","",'Deal maths'!W914)</f>
        <v/>
      </c>
      <c r="B914" s="108">
        <f>('Deal maths'!AA914&gt;AsAt)*('Deal maths'!Y914&gt;0)*('Deal maths'!Z914&lt;=AsAt)</f>
        <v/>
      </c>
      <c r="C914" s="91">
        <f>IF('Deal maths'!V914="","",IF('Deal maths'!AC914="","Maturity",'Deal maths'!AC914))</f>
        <v/>
      </c>
      <c r="D914" s="108">
        <f>IF(OR(C914="EIP",C914="Annuity"),IF('Deal maths'!AD914="Annual",12,IF('Deal maths'!AD914="Quarterly",3,6)),0)</f>
        <v/>
      </c>
      <c r="E914" s="109">
        <f>IFERROR(IF(D914=0,0,IF('Deal maths'!AE914&gt;0,IF('Deal maths'!AE914&gt;'Deal maths'!AA914,'Deal maths'!AA914,'Deal maths'!AE914),IF(IF(DAY('Deal maths'!AA914+1)=1,EOMONTH('Deal maths'!AA914,-(INT(((YEAR('Deal maths'!AA914)-YEAR(IF('Deal maths'!Z914&gt;0,'Deal maths'!Z914,DATE(1990,1,1))))*12+MONTH('Deal maths'!AA914)-MONTH(IF('Deal maths'!Z914&gt;0,'Deal maths'!Z914,DATE(1990,1,1))))/D914))*D914),EDATE('Deal maths'!AA914,-(INT(((YEAR('Deal maths'!AA914)-YEAR(IF('Deal maths'!Z914&gt;0,'Deal maths'!Z914,DATE(1990,1,1))))*12+MONTH('Deal maths'!AA914)-MONTH(IF('Deal maths'!Z914&gt;0,'Deal maths'!Z914,DATE(1990,1,1))))/D914))*D914))&gt;IF('Deal maths'!Z914&gt;0,'Deal maths'!Z914,DATE(1990,1,1)),IF(DAY('Deal maths'!AA914+1)=1,EOMONTH('Deal maths'!AA914,-(INT(((YEAR('Deal maths'!AA914)-YEAR(IF('Deal maths'!Z914&gt;0,'Deal maths'!Z914,DATE(1990,1,1))))*12+MONTH('Deal maths'!AA914)-MONTH(IF('Deal maths'!Z914&gt;0,'Deal maths'!Z914,DATE(1990,1,1))))/D914))*D914),EDATE('Deal maths'!AA914,-(INT(((YEAR('Deal maths'!AA914)-YEAR(IF('Deal maths'!Z914&gt;0,'Deal maths'!Z914,DATE(1990,1,1))))*12+MONTH('Deal maths'!AA914)-MONTH(IF('Deal maths'!Z914&gt;0,'Deal maths'!Z914,DATE(1990,1,1))))/D914))*D914)),IF(DAY('Deal maths'!AA914+1)=1,EOMONTH('Deal maths'!AA914,-(INT(((YEAR('Deal maths'!AA914)-YEAR(IF('Deal maths'!Z914&gt;0,'Deal maths'!Z914,DATE(1990,1,1))))*12+MONTH('Deal maths'!AA914)-MONTH(IF('Deal maths'!Z914&gt;0,'Deal maths'!Z914,DATE(1990,1,1))))/D914)-1)*D914),EDATE('Deal maths'!AA914,-(INT(((YEAR('Deal maths'!AA914)-YEAR(IF('Deal maths'!Z914&gt;0,'Deal maths'!Z914,DATE(1990,1,1))))*12+MONTH('Deal maths'!AA914)-MONTH(IF('Deal maths'!Z914&gt;0,'Deal maths'!Z914,DATE(1990,1,1))))/D914)-1)*D914))))),0)</f>
        <v/>
      </c>
      <c r="F914" s="110">
        <f>IF(D914=0,0,'Deal maths'!AB914*D914/12)</f>
        <v/>
      </c>
      <c r="G914" s="108">
        <f>N914+O914</f>
        <v/>
      </c>
      <c r="H914" s="108">
        <f>IFERROR(IF(OR(D914=0,AsAt&lt;E914),0,MIN(N914,INT(((YEAR(AsAt)-YEAR(E914))*12+MONTH(AsAt)-MONTH(E914)-(DAY(AsAt)&lt;MIN(R914,DAY(EOMONTH(AsAt,0)))))/D914)+1)+O914*(AsAt&gt;='Deal maths'!AA914)),0)</f>
        <v/>
      </c>
      <c r="I914" s="108">
        <f>G914-H914</f>
        <v/>
      </c>
      <c r="J914" s="111">
        <f>IF(AND(C914="EIP",I914&gt;0),'Deal maths'!Y914/I914,0)</f>
        <v/>
      </c>
      <c r="K914" s="111">
        <f>IF(AND(C914="Annuity",I914&gt;0),IF(F914&gt;0,'Deal maths'!Y914*F914/(1-(1+F914)^-I914),'Deal maths'!Y914/I914),0)</f>
        <v/>
      </c>
      <c r="L914" s="111">
        <f>IF('Deal maths'!Y914="",0,'Deal maths'!Y914)</f>
        <v/>
      </c>
      <c r="M914" s="112">
        <f>F914+(F914=0)</f>
        <v/>
      </c>
      <c r="N914" s="108">
        <f>IFERROR(IF(D914=0,0,INT(((YEAR('Deal maths'!AA914)-YEAR(E914))*12+MONTH('Deal maths'!AA914)-MONTH(E914)-(DAY('Deal maths'!AA914)&lt;MIN(R914,DAY(EOMONTH('Deal maths'!AA914,0)))))/D914)+1),0)</f>
        <v/>
      </c>
      <c r="O914" s="108">
        <f>IFERROR(IF(D914=0,0,IF(IF(DAY(E914+1)=1,EOMONTH(E914,(N914-1)*D914),EDATE(E914,(N914-1)*D914))='Deal maths'!AA914,0,1)),0)</f>
        <v/>
      </c>
      <c r="P914" s="113">
        <f>IF(B914=0,0,IFERROR(IF(C914="EIP",((I914-O914)*((IF(DAY(E914+1)=1,EOMONTH(E914,H914*D914),EDATE(E914,H914*D914))-AsAt)/365.25+(IF(DAY(E914+1)=1,EOMONTH(E914,(N914-1)*D914),EDATE(E914,(N914-1)*D914))-AsAt)/365.25)/2+O914*('Deal maths'!AA914-AsAt)/365.25)/I914,IF(C914="Annuity",IF(F914&gt;0,((K914-L914*F914)*((IF(DAY(E914+1)=1,EOMONTH(E914,H914*D914),EDATE(E914,H914*D914))-AsAt)/365.25*((1+F914)^(I914-O914)-1)/F914+IF((I914-O914)&gt;1,((IF(DAY(E914+1)=1,EOMONTH(E914,(N914-1)*D914),EDATE(E914,(N914-1)*D914))-AsAt)/365.25-(IF(DAY(E914+1)=1,EOMONTH(E914,H914*D914),EDATE(E914,H914*D914))-AsAt)/365.25)/((I914-O914)-1),0)*(1+F914)*(1-(I914-O914)*(1+F914)^((I914-O914)-1)+((I914-O914)-1)*(1+F914)^(I914-O914))/F914^2)+O914*(K914-L914*F914)*(1+F914)^(I914-1)*('Deal maths'!AA914-AsAt)/365.25)/L914,((I914-O914)*((IF(DAY(E914+1)=1,EOMONTH(E914,H914*D914),EDATE(E914,H914*D914))-AsAt)/365.25+(IF(DAY(E914+1)=1,EOMONTH(E914,(N914-1)*D914),EDATE(E914,(N914-1)*D914))-AsAt)/365.25)/2+O914*('Deal maths'!AA914-AsAt)/365.25)/I914),(S914-AsAt)/365.25)),0))</f>
        <v/>
      </c>
      <c r="Q914" s="109">
        <f>IF(B914=1,'Deal maths'!AA914+ROW()/1000000,"")</f>
        <v/>
      </c>
      <c r="R914" s="108">
        <f>IF(D914=0,0,IF(DAY(E914+1)=1,31,DAY(E914)))</f>
        <v/>
      </c>
      <c r="S914" s="109">
        <f>IF(AND('Deal maths'!V914="LOBO",'Deal maths'!AG914&gt;AsAt,'Deal maths'!AG914&lt;'Deal maths'!AA914),'Deal maths'!AG914,'Deal maths'!AA914)</f>
        <v/>
      </c>
      <c r="T914" s="108">
        <f>('Deal maths'!AA914&gt;AsAt)*('Deal maths'!Y914&gt;0)</f>
        <v/>
      </c>
    </row>
    <row r="915">
      <c r="A915" s="91">
        <f>IF('Deal maths'!V915="","",'Deal maths'!W915)</f>
        <v/>
      </c>
      <c r="B915" s="108">
        <f>('Deal maths'!AA915&gt;AsAt)*('Deal maths'!Y915&gt;0)*('Deal maths'!Z915&lt;=AsAt)</f>
        <v/>
      </c>
      <c r="C915" s="91">
        <f>IF('Deal maths'!V915="","",IF('Deal maths'!AC915="","Maturity",'Deal maths'!AC915))</f>
        <v/>
      </c>
      <c r="D915" s="108">
        <f>IF(OR(C915="EIP",C915="Annuity"),IF('Deal maths'!AD915="Annual",12,IF('Deal maths'!AD915="Quarterly",3,6)),0)</f>
        <v/>
      </c>
      <c r="E915" s="109">
        <f>IFERROR(IF(D915=0,0,IF('Deal maths'!AE915&gt;0,IF('Deal maths'!AE915&gt;'Deal maths'!AA915,'Deal maths'!AA915,'Deal maths'!AE915),IF(IF(DAY('Deal maths'!AA915+1)=1,EOMONTH('Deal maths'!AA915,-(INT(((YEAR('Deal maths'!AA915)-YEAR(IF('Deal maths'!Z915&gt;0,'Deal maths'!Z915,DATE(1990,1,1))))*12+MONTH('Deal maths'!AA915)-MONTH(IF('Deal maths'!Z915&gt;0,'Deal maths'!Z915,DATE(1990,1,1))))/D915))*D915),EDATE('Deal maths'!AA915,-(INT(((YEAR('Deal maths'!AA915)-YEAR(IF('Deal maths'!Z915&gt;0,'Deal maths'!Z915,DATE(1990,1,1))))*12+MONTH('Deal maths'!AA915)-MONTH(IF('Deal maths'!Z915&gt;0,'Deal maths'!Z915,DATE(1990,1,1))))/D915))*D915))&gt;IF('Deal maths'!Z915&gt;0,'Deal maths'!Z915,DATE(1990,1,1)),IF(DAY('Deal maths'!AA915+1)=1,EOMONTH('Deal maths'!AA915,-(INT(((YEAR('Deal maths'!AA915)-YEAR(IF('Deal maths'!Z915&gt;0,'Deal maths'!Z915,DATE(1990,1,1))))*12+MONTH('Deal maths'!AA915)-MONTH(IF('Deal maths'!Z915&gt;0,'Deal maths'!Z915,DATE(1990,1,1))))/D915))*D915),EDATE('Deal maths'!AA915,-(INT(((YEAR('Deal maths'!AA915)-YEAR(IF('Deal maths'!Z915&gt;0,'Deal maths'!Z915,DATE(1990,1,1))))*12+MONTH('Deal maths'!AA915)-MONTH(IF('Deal maths'!Z915&gt;0,'Deal maths'!Z915,DATE(1990,1,1))))/D915))*D915)),IF(DAY('Deal maths'!AA915+1)=1,EOMONTH('Deal maths'!AA915,-(INT(((YEAR('Deal maths'!AA915)-YEAR(IF('Deal maths'!Z915&gt;0,'Deal maths'!Z915,DATE(1990,1,1))))*12+MONTH('Deal maths'!AA915)-MONTH(IF('Deal maths'!Z915&gt;0,'Deal maths'!Z915,DATE(1990,1,1))))/D915)-1)*D915),EDATE('Deal maths'!AA915,-(INT(((YEAR('Deal maths'!AA915)-YEAR(IF('Deal maths'!Z915&gt;0,'Deal maths'!Z915,DATE(1990,1,1))))*12+MONTH('Deal maths'!AA915)-MONTH(IF('Deal maths'!Z915&gt;0,'Deal maths'!Z915,DATE(1990,1,1))))/D915)-1)*D915))))),0)</f>
        <v/>
      </c>
      <c r="F915" s="110">
        <f>IF(D915=0,0,'Deal maths'!AB915*D915/12)</f>
        <v/>
      </c>
      <c r="G915" s="108">
        <f>N915+O915</f>
        <v/>
      </c>
      <c r="H915" s="108">
        <f>IFERROR(IF(OR(D915=0,AsAt&lt;E915),0,MIN(N915,INT(((YEAR(AsAt)-YEAR(E915))*12+MONTH(AsAt)-MONTH(E915)-(DAY(AsAt)&lt;MIN(R915,DAY(EOMONTH(AsAt,0)))))/D915)+1)+O915*(AsAt&gt;='Deal maths'!AA915)),0)</f>
        <v/>
      </c>
      <c r="I915" s="108">
        <f>G915-H915</f>
        <v/>
      </c>
      <c r="J915" s="111">
        <f>IF(AND(C915="EIP",I915&gt;0),'Deal maths'!Y915/I915,0)</f>
        <v/>
      </c>
      <c r="K915" s="111">
        <f>IF(AND(C915="Annuity",I915&gt;0),IF(F915&gt;0,'Deal maths'!Y915*F915/(1-(1+F915)^-I915),'Deal maths'!Y915/I915),0)</f>
        <v/>
      </c>
      <c r="L915" s="111">
        <f>IF('Deal maths'!Y915="",0,'Deal maths'!Y915)</f>
        <v/>
      </c>
      <c r="M915" s="112">
        <f>F915+(F915=0)</f>
        <v/>
      </c>
      <c r="N915" s="108">
        <f>IFERROR(IF(D915=0,0,INT(((YEAR('Deal maths'!AA915)-YEAR(E915))*12+MONTH('Deal maths'!AA915)-MONTH(E915)-(DAY('Deal maths'!AA915)&lt;MIN(R915,DAY(EOMONTH('Deal maths'!AA915,0)))))/D915)+1),0)</f>
        <v/>
      </c>
      <c r="O915" s="108">
        <f>IFERROR(IF(D915=0,0,IF(IF(DAY(E915+1)=1,EOMONTH(E915,(N915-1)*D915),EDATE(E915,(N915-1)*D915))='Deal maths'!AA915,0,1)),0)</f>
        <v/>
      </c>
      <c r="P915" s="113">
        <f>IF(B915=0,0,IFERROR(IF(C915="EIP",((I915-O915)*((IF(DAY(E915+1)=1,EOMONTH(E915,H915*D915),EDATE(E915,H915*D915))-AsAt)/365.25+(IF(DAY(E915+1)=1,EOMONTH(E915,(N915-1)*D915),EDATE(E915,(N915-1)*D915))-AsAt)/365.25)/2+O915*('Deal maths'!AA915-AsAt)/365.25)/I915,IF(C915="Annuity",IF(F915&gt;0,((K915-L915*F915)*((IF(DAY(E915+1)=1,EOMONTH(E915,H915*D915),EDATE(E915,H915*D915))-AsAt)/365.25*((1+F915)^(I915-O915)-1)/F915+IF((I915-O915)&gt;1,((IF(DAY(E915+1)=1,EOMONTH(E915,(N915-1)*D915),EDATE(E915,(N915-1)*D915))-AsAt)/365.25-(IF(DAY(E915+1)=1,EOMONTH(E915,H915*D915),EDATE(E915,H915*D915))-AsAt)/365.25)/((I915-O915)-1),0)*(1+F915)*(1-(I915-O915)*(1+F915)^((I915-O915)-1)+((I915-O915)-1)*(1+F915)^(I915-O915))/F915^2)+O915*(K915-L915*F915)*(1+F915)^(I915-1)*('Deal maths'!AA915-AsAt)/365.25)/L915,((I915-O915)*((IF(DAY(E915+1)=1,EOMONTH(E915,H915*D915),EDATE(E915,H915*D915))-AsAt)/365.25+(IF(DAY(E915+1)=1,EOMONTH(E915,(N915-1)*D915),EDATE(E915,(N915-1)*D915))-AsAt)/365.25)/2+O915*('Deal maths'!AA915-AsAt)/365.25)/I915),(S915-AsAt)/365.25)),0))</f>
        <v/>
      </c>
      <c r="Q915" s="109">
        <f>IF(B915=1,'Deal maths'!AA915+ROW()/1000000,"")</f>
        <v/>
      </c>
      <c r="R915" s="108">
        <f>IF(D915=0,0,IF(DAY(E915+1)=1,31,DAY(E915)))</f>
        <v/>
      </c>
      <c r="S915" s="109">
        <f>IF(AND('Deal maths'!V915="LOBO",'Deal maths'!AG915&gt;AsAt,'Deal maths'!AG915&lt;'Deal maths'!AA915),'Deal maths'!AG915,'Deal maths'!AA915)</f>
        <v/>
      </c>
      <c r="T915" s="108">
        <f>('Deal maths'!AA915&gt;AsAt)*('Deal maths'!Y915&gt;0)</f>
        <v/>
      </c>
    </row>
    <row r="916">
      <c r="A916" s="91">
        <f>IF('Deal maths'!V916="","",'Deal maths'!W916)</f>
        <v/>
      </c>
      <c r="B916" s="108">
        <f>('Deal maths'!AA916&gt;AsAt)*('Deal maths'!Y916&gt;0)*('Deal maths'!Z916&lt;=AsAt)</f>
        <v/>
      </c>
      <c r="C916" s="91">
        <f>IF('Deal maths'!V916="","",IF('Deal maths'!AC916="","Maturity",'Deal maths'!AC916))</f>
        <v/>
      </c>
      <c r="D916" s="108">
        <f>IF(OR(C916="EIP",C916="Annuity"),IF('Deal maths'!AD916="Annual",12,IF('Deal maths'!AD916="Quarterly",3,6)),0)</f>
        <v/>
      </c>
      <c r="E916" s="109">
        <f>IFERROR(IF(D916=0,0,IF('Deal maths'!AE916&gt;0,IF('Deal maths'!AE916&gt;'Deal maths'!AA916,'Deal maths'!AA916,'Deal maths'!AE916),IF(IF(DAY('Deal maths'!AA916+1)=1,EOMONTH('Deal maths'!AA916,-(INT(((YEAR('Deal maths'!AA916)-YEAR(IF('Deal maths'!Z916&gt;0,'Deal maths'!Z916,DATE(1990,1,1))))*12+MONTH('Deal maths'!AA916)-MONTH(IF('Deal maths'!Z916&gt;0,'Deal maths'!Z916,DATE(1990,1,1))))/D916))*D916),EDATE('Deal maths'!AA916,-(INT(((YEAR('Deal maths'!AA916)-YEAR(IF('Deal maths'!Z916&gt;0,'Deal maths'!Z916,DATE(1990,1,1))))*12+MONTH('Deal maths'!AA916)-MONTH(IF('Deal maths'!Z916&gt;0,'Deal maths'!Z916,DATE(1990,1,1))))/D916))*D916))&gt;IF('Deal maths'!Z916&gt;0,'Deal maths'!Z916,DATE(1990,1,1)),IF(DAY('Deal maths'!AA916+1)=1,EOMONTH('Deal maths'!AA916,-(INT(((YEAR('Deal maths'!AA916)-YEAR(IF('Deal maths'!Z916&gt;0,'Deal maths'!Z916,DATE(1990,1,1))))*12+MONTH('Deal maths'!AA916)-MONTH(IF('Deal maths'!Z916&gt;0,'Deal maths'!Z916,DATE(1990,1,1))))/D916))*D916),EDATE('Deal maths'!AA916,-(INT(((YEAR('Deal maths'!AA916)-YEAR(IF('Deal maths'!Z916&gt;0,'Deal maths'!Z916,DATE(1990,1,1))))*12+MONTH('Deal maths'!AA916)-MONTH(IF('Deal maths'!Z916&gt;0,'Deal maths'!Z916,DATE(1990,1,1))))/D916))*D916)),IF(DAY('Deal maths'!AA916+1)=1,EOMONTH('Deal maths'!AA916,-(INT(((YEAR('Deal maths'!AA916)-YEAR(IF('Deal maths'!Z916&gt;0,'Deal maths'!Z916,DATE(1990,1,1))))*12+MONTH('Deal maths'!AA916)-MONTH(IF('Deal maths'!Z916&gt;0,'Deal maths'!Z916,DATE(1990,1,1))))/D916)-1)*D916),EDATE('Deal maths'!AA916,-(INT(((YEAR('Deal maths'!AA916)-YEAR(IF('Deal maths'!Z916&gt;0,'Deal maths'!Z916,DATE(1990,1,1))))*12+MONTH('Deal maths'!AA916)-MONTH(IF('Deal maths'!Z916&gt;0,'Deal maths'!Z916,DATE(1990,1,1))))/D916)-1)*D916))))),0)</f>
        <v/>
      </c>
      <c r="F916" s="110">
        <f>IF(D916=0,0,'Deal maths'!AB916*D916/12)</f>
        <v/>
      </c>
      <c r="G916" s="108">
        <f>N916+O916</f>
        <v/>
      </c>
      <c r="H916" s="108">
        <f>IFERROR(IF(OR(D916=0,AsAt&lt;E916),0,MIN(N916,INT(((YEAR(AsAt)-YEAR(E916))*12+MONTH(AsAt)-MONTH(E916)-(DAY(AsAt)&lt;MIN(R916,DAY(EOMONTH(AsAt,0)))))/D916)+1)+O916*(AsAt&gt;='Deal maths'!AA916)),0)</f>
        <v/>
      </c>
      <c r="I916" s="108">
        <f>G916-H916</f>
        <v/>
      </c>
      <c r="J916" s="111">
        <f>IF(AND(C916="EIP",I916&gt;0),'Deal maths'!Y916/I916,0)</f>
        <v/>
      </c>
      <c r="K916" s="111">
        <f>IF(AND(C916="Annuity",I916&gt;0),IF(F916&gt;0,'Deal maths'!Y916*F916/(1-(1+F916)^-I916),'Deal maths'!Y916/I916),0)</f>
        <v/>
      </c>
      <c r="L916" s="111">
        <f>IF('Deal maths'!Y916="",0,'Deal maths'!Y916)</f>
        <v/>
      </c>
      <c r="M916" s="112">
        <f>F916+(F916=0)</f>
        <v/>
      </c>
      <c r="N916" s="108">
        <f>IFERROR(IF(D916=0,0,INT(((YEAR('Deal maths'!AA916)-YEAR(E916))*12+MONTH('Deal maths'!AA916)-MONTH(E916)-(DAY('Deal maths'!AA916)&lt;MIN(R916,DAY(EOMONTH('Deal maths'!AA916,0)))))/D916)+1),0)</f>
        <v/>
      </c>
      <c r="O916" s="108">
        <f>IFERROR(IF(D916=0,0,IF(IF(DAY(E916+1)=1,EOMONTH(E916,(N916-1)*D916),EDATE(E916,(N916-1)*D916))='Deal maths'!AA916,0,1)),0)</f>
        <v/>
      </c>
      <c r="P916" s="113">
        <f>IF(B916=0,0,IFERROR(IF(C916="EIP",((I916-O916)*((IF(DAY(E916+1)=1,EOMONTH(E916,H916*D916),EDATE(E916,H916*D916))-AsAt)/365.25+(IF(DAY(E916+1)=1,EOMONTH(E916,(N916-1)*D916),EDATE(E916,(N916-1)*D916))-AsAt)/365.25)/2+O916*('Deal maths'!AA916-AsAt)/365.25)/I916,IF(C916="Annuity",IF(F916&gt;0,((K916-L916*F916)*((IF(DAY(E916+1)=1,EOMONTH(E916,H916*D916),EDATE(E916,H916*D916))-AsAt)/365.25*((1+F916)^(I916-O916)-1)/F916+IF((I916-O916)&gt;1,((IF(DAY(E916+1)=1,EOMONTH(E916,(N916-1)*D916),EDATE(E916,(N916-1)*D916))-AsAt)/365.25-(IF(DAY(E916+1)=1,EOMONTH(E916,H916*D916),EDATE(E916,H916*D916))-AsAt)/365.25)/((I916-O916)-1),0)*(1+F916)*(1-(I916-O916)*(1+F916)^((I916-O916)-1)+((I916-O916)-1)*(1+F916)^(I916-O916))/F916^2)+O916*(K916-L916*F916)*(1+F916)^(I916-1)*('Deal maths'!AA916-AsAt)/365.25)/L916,((I916-O916)*((IF(DAY(E916+1)=1,EOMONTH(E916,H916*D916),EDATE(E916,H916*D916))-AsAt)/365.25+(IF(DAY(E916+1)=1,EOMONTH(E916,(N916-1)*D916),EDATE(E916,(N916-1)*D916))-AsAt)/365.25)/2+O916*('Deal maths'!AA916-AsAt)/365.25)/I916),(S916-AsAt)/365.25)),0))</f>
        <v/>
      </c>
      <c r="Q916" s="109">
        <f>IF(B916=1,'Deal maths'!AA916+ROW()/1000000,"")</f>
        <v/>
      </c>
      <c r="R916" s="108">
        <f>IF(D916=0,0,IF(DAY(E916+1)=1,31,DAY(E916)))</f>
        <v/>
      </c>
      <c r="S916" s="109">
        <f>IF(AND('Deal maths'!V916="LOBO",'Deal maths'!AG916&gt;AsAt,'Deal maths'!AG916&lt;'Deal maths'!AA916),'Deal maths'!AG916,'Deal maths'!AA916)</f>
        <v/>
      </c>
      <c r="T916" s="108">
        <f>('Deal maths'!AA916&gt;AsAt)*('Deal maths'!Y916&gt;0)</f>
        <v/>
      </c>
    </row>
    <row r="917">
      <c r="A917" s="91">
        <f>IF('Deal maths'!V917="","",'Deal maths'!W917)</f>
        <v/>
      </c>
      <c r="B917" s="108">
        <f>('Deal maths'!AA917&gt;AsAt)*('Deal maths'!Y917&gt;0)*('Deal maths'!Z917&lt;=AsAt)</f>
        <v/>
      </c>
      <c r="C917" s="91">
        <f>IF('Deal maths'!V917="","",IF('Deal maths'!AC917="","Maturity",'Deal maths'!AC917))</f>
        <v/>
      </c>
      <c r="D917" s="108">
        <f>IF(OR(C917="EIP",C917="Annuity"),IF('Deal maths'!AD917="Annual",12,IF('Deal maths'!AD917="Quarterly",3,6)),0)</f>
        <v/>
      </c>
      <c r="E917" s="109">
        <f>IFERROR(IF(D917=0,0,IF('Deal maths'!AE917&gt;0,IF('Deal maths'!AE917&gt;'Deal maths'!AA917,'Deal maths'!AA917,'Deal maths'!AE917),IF(IF(DAY('Deal maths'!AA917+1)=1,EOMONTH('Deal maths'!AA917,-(INT(((YEAR('Deal maths'!AA917)-YEAR(IF('Deal maths'!Z917&gt;0,'Deal maths'!Z917,DATE(1990,1,1))))*12+MONTH('Deal maths'!AA917)-MONTH(IF('Deal maths'!Z917&gt;0,'Deal maths'!Z917,DATE(1990,1,1))))/D917))*D917),EDATE('Deal maths'!AA917,-(INT(((YEAR('Deal maths'!AA917)-YEAR(IF('Deal maths'!Z917&gt;0,'Deal maths'!Z917,DATE(1990,1,1))))*12+MONTH('Deal maths'!AA917)-MONTH(IF('Deal maths'!Z917&gt;0,'Deal maths'!Z917,DATE(1990,1,1))))/D917))*D917))&gt;IF('Deal maths'!Z917&gt;0,'Deal maths'!Z917,DATE(1990,1,1)),IF(DAY('Deal maths'!AA917+1)=1,EOMONTH('Deal maths'!AA917,-(INT(((YEAR('Deal maths'!AA917)-YEAR(IF('Deal maths'!Z917&gt;0,'Deal maths'!Z917,DATE(1990,1,1))))*12+MONTH('Deal maths'!AA917)-MONTH(IF('Deal maths'!Z917&gt;0,'Deal maths'!Z917,DATE(1990,1,1))))/D917))*D917),EDATE('Deal maths'!AA917,-(INT(((YEAR('Deal maths'!AA917)-YEAR(IF('Deal maths'!Z917&gt;0,'Deal maths'!Z917,DATE(1990,1,1))))*12+MONTH('Deal maths'!AA917)-MONTH(IF('Deal maths'!Z917&gt;0,'Deal maths'!Z917,DATE(1990,1,1))))/D917))*D917)),IF(DAY('Deal maths'!AA917+1)=1,EOMONTH('Deal maths'!AA917,-(INT(((YEAR('Deal maths'!AA917)-YEAR(IF('Deal maths'!Z917&gt;0,'Deal maths'!Z917,DATE(1990,1,1))))*12+MONTH('Deal maths'!AA917)-MONTH(IF('Deal maths'!Z917&gt;0,'Deal maths'!Z917,DATE(1990,1,1))))/D917)-1)*D917),EDATE('Deal maths'!AA917,-(INT(((YEAR('Deal maths'!AA917)-YEAR(IF('Deal maths'!Z917&gt;0,'Deal maths'!Z917,DATE(1990,1,1))))*12+MONTH('Deal maths'!AA917)-MONTH(IF('Deal maths'!Z917&gt;0,'Deal maths'!Z917,DATE(1990,1,1))))/D917)-1)*D917))))),0)</f>
        <v/>
      </c>
      <c r="F917" s="110">
        <f>IF(D917=0,0,'Deal maths'!AB917*D917/12)</f>
        <v/>
      </c>
      <c r="G917" s="108">
        <f>N917+O917</f>
        <v/>
      </c>
      <c r="H917" s="108">
        <f>IFERROR(IF(OR(D917=0,AsAt&lt;E917),0,MIN(N917,INT(((YEAR(AsAt)-YEAR(E917))*12+MONTH(AsAt)-MONTH(E917)-(DAY(AsAt)&lt;MIN(R917,DAY(EOMONTH(AsAt,0)))))/D917)+1)+O917*(AsAt&gt;='Deal maths'!AA917)),0)</f>
        <v/>
      </c>
      <c r="I917" s="108">
        <f>G917-H917</f>
        <v/>
      </c>
      <c r="J917" s="111">
        <f>IF(AND(C917="EIP",I917&gt;0),'Deal maths'!Y917/I917,0)</f>
        <v/>
      </c>
      <c r="K917" s="111">
        <f>IF(AND(C917="Annuity",I917&gt;0),IF(F917&gt;0,'Deal maths'!Y917*F917/(1-(1+F917)^-I917),'Deal maths'!Y917/I917),0)</f>
        <v/>
      </c>
      <c r="L917" s="111">
        <f>IF('Deal maths'!Y917="",0,'Deal maths'!Y917)</f>
        <v/>
      </c>
      <c r="M917" s="112">
        <f>F917+(F917=0)</f>
        <v/>
      </c>
      <c r="N917" s="108">
        <f>IFERROR(IF(D917=0,0,INT(((YEAR('Deal maths'!AA917)-YEAR(E917))*12+MONTH('Deal maths'!AA917)-MONTH(E917)-(DAY('Deal maths'!AA917)&lt;MIN(R917,DAY(EOMONTH('Deal maths'!AA917,0)))))/D917)+1),0)</f>
        <v/>
      </c>
      <c r="O917" s="108">
        <f>IFERROR(IF(D917=0,0,IF(IF(DAY(E917+1)=1,EOMONTH(E917,(N917-1)*D917),EDATE(E917,(N917-1)*D917))='Deal maths'!AA917,0,1)),0)</f>
        <v/>
      </c>
      <c r="P917" s="113">
        <f>IF(B917=0,0,IFERROR(IF(C917="EIP",((I917-O917)*((IF(DAY(E917+1)=1,EOMONTH(E917,H917*D917),EDATE(E917,H917*D917))-AsAt)/365.25+(IF(DAY(E917+1)=1,EOMONTH(E917,(N917-1)*D917),EDATE(E917,(N917-1)*D917))-AsAt)/365.25)/2+O917*('Deal maths'!AA917-AsAt)/365.25)/I917,IF(C917="Annuity",IF(F917&gt;0,((K917-L917*F917)*((IF(DAY(E917+1)=1,EOMONTH(E917,H917*D917),EDATE(E917,H917*D917))-AsAt)/365.25*((1+F917)^(I917-O917)-1)/F917+IF((I917-O917)&gt;1,((IF(DAY(E917+1)=1,EOMONTH(E917,(N917-1)*D917),EDATE(E917,(N917-1)*D917))-AsAt)/365.25-(IF(DAY(E917+1)=1,EOMONTH(E917,H917*D917),EDATE(E917,H917*D917))-AsAt)/365.25)/((I917-O917)-1),0)*(1+F917)*(1-(I917-O917)*(1+F917)^((I917-O917)-1)+((I917-O917)-1)*(1+F917)^(I917-O917))/F917^2)+O917*(K917-L917*F917)*(1+F917)^(I917-1)*('Deal maths'!AA917-AsAt)/365.25)/L917,((I917-O917)*((IF(DAY(E917+1)=1,EOMONTH(E917,H917*D917),EDATE(E917,H917*D917))-AsAt)/365.25+(IF(DAY(E917+1)=1,EOMONTH(E917,(N917-1)*D917),EDATE(E917,(N917-1)*D917))-AsAt)/365.25)/2+O917*('Deal maths'!AA917-AsAt)/365.25)/I917),(S917-AsAt)/365.25)),0))</f>
        <v/>
      </c>
      <c r="Q917" s="109">
        <f>IF(B917=1,'Deal maths'!AA917+ROW()/1000000,"")</f>
        <v/>
      </c>
      <c r="R917" s="108">
        <f>IF(D917=0,0,IF(DAY(E917+1)=1,31,DAY(E917)))</f>
        <v/>
      </c>
      <c r="S917" s="109">
        <f>IF(AND('Deal maths'!V917="LOBO",'Deal maths'!AG917&gt;AsAt,'Deal maths'!AG917&lt;'Deal maths'!AA917),'Deal maths'!AG917,'Deal maths'!AA917)</f>
        <v/>
      </c>
      <c r="T917" s="108">
        <f>('Deal maths'!AA917&gt;AsAt)*('Deal maths'!Y917&gt;0)</f>
        <v/>
      </c>
    </row>
    <row r="918">
      <c r="A918" s="91">
        <f>IF('Deal maths'!V918="","",'Deal maths'!W918)</f>
        <v/>
      </c>
      <c r="B918" s="108">
        <f>('Deal maths'!AA918&gt;AsAt)*('Deal maths'!Y918&gt;0)*('Deal maths'!Z918&lt;=AsAt)</f>
        <v/>
      </c>
      <c r="C918" s="91">
        <f>IF('Deal maths'!V918="","",IF('Deal maths'!AC918="","Maturity",'Deal maths'!AC918))</f>
        <v/>
      </c>
      <c r="D918" s="108">
        <f>IF(OR(C918="EIP",C918="Annuity"),IF('Deal maths'!AD918="Annual",12,IF('Deal maths'!AD918="Quarterly",3,6)),0)</f>
        <v/>
      </c>
      <c r="E918" s="109">
        <f>IFERROR(IF(D918=0,0,IF('Deal maths'!AE918&gt;0,IF('Deal maths'!AE918&gt;'Deal maths'!AA918,'Deal maths'!AA918,'Deal maths'!AE918),IF(IF(DAY('Deal maths'!AA918+1)=1,EOMONTH('Deal maths'!AA918,-(INT(((YEAR('Deal maths'!AA918)-YEAR(IF('Deal maths'!Z918&gt;0,'Deal maths'!Z918,DATE(1990,1,1))))*12+MONTH('Deal maths'!AA918)-MONTH(IF('Deal maths'!Z918&gt;0,'Deal maths'!Z918,DATE(1990,1,1))))/D918))*D918),EDATE('Deal maths'!AA918,-(INT(((YEAR('Deal maths'!AA918)-YEAR(IF('Deal maths'!Z918&gt;0,'Deal maths'!Z918,DATE(1990,1,1))))*12+MONTH('Deal maths'!AA918)-MONTH(IF('Deal maths'!Z918&gt;0,'Deal maths'!Z918,DATE(1990,1,1))))/D918))*D918))&gt;IF('Deal maths'!Z918&gt;0,'Deal maths'!Z918,DATE(1990,1,1)),IF(DAY('Deal maths'!AA918+1)=1,EOMONTH('Deal maths'!AA918,-(INT(((YEAR('Deal maths'!AA918)-YEAR(IF('Deal maths'!Z918&gt;0,'Deal maths'!Z918,DATE(1990,1,1))))*12+MONTH('Deal maths'!AA918)-MONTH(IF('Deal maths'!Z918&gt;0,'Deal maths'!Z918,DATE(1990,1,1))))/D918))*D918),EDATE('Deal maths'!AA918,-(INT(((YEAR('Deal maths'!AA918)-YEAR(IF('Deal maths'!Z918&gt;0,'Deal maths'!Z918,DATE(1990,1,1))))*12+MONTH('Deal maths'!AA918)-MONTH(IF('Deal maths'!Z918&gt;0,'Deal maths'!Z918,DATE(1990,1,1))))/D918))*D918)),IF(DAY('Deal maths'!AA918+1)=1,EOMONTH('Deal maths'!AA918,-(INT(((YEAR('Deal maths'!AA918)-YEAR(IF('Deal maths'!Z918&gt;0,'Deal maths'!Z918,DATE(1990,1,1))))*12+MONTH('Deal maths'!AA918)-MONTH(IF('Deal maths'!Z918&gt;0,'Deal maths'!Z918,DATE(1990,1,1))))/D918)-1)*D918),EDATE('Deal maths'!AA918,-(INT(((YEAR('Deal maths'!AA918)-YEAR(IF('Deal maths'!Z918&gt;0,'Deal maths'!Z918,DATE(1990,1,1))))*12+MONTH('Deal maths'!AA918)-MONTH(IF('Deal maths'!Z918&gt;0,'Deal maths'!Z918,DATE(1990,1,1))))/D918)-1)*D918))))),0)</f>
        <v/>
      </c>
      <c r="F918" s="110">
        <f>IF(D918=0,0,'Deal maths'!AB918*D918/12)</f>
        <v/>
      </c>
      <c r="G918" s="108">
        <f>N918+O918</f>
        <v/>
      </c>
      <c r="H918" s="108">
        <f>IFERROR(IF(OR(D918=0,AsAt&lt;E918),0,MIN(N918,INT(((YEAR(AsAt)-YEAR(E918))*12+MONTH(AsAt)-MONTH(E918)-(DAY(AsAt)&lt;MIN(R918,DAY(EOMONTH(AsAt,0)))))/D918)+1)+O918*(AsAt&gt;='Deal maths'!AA918)),0)</f>
        <v/>
      </c>
      <c r="I918" s="108">
        <f>G918-H918</f>
        <v/>
      </c>
      <c r="J918" s="111">
        <f>IF(AND(C918="EIP",I918&gt;0),'Deal maths'!Y918/I918,0)</f>
        <v/>
      </c>
      <c r="K918" s="111">
        <f>IF(AND(C918="Annuity",I918&gt;0),IF(F918&gt;0,'Deal maths'!Y918*F918/(1-(1+F918)^-I918),'Deal maths'!Y918/I918),0)</f>
        <v/>
      </c>
      <c r="L918" s="111">
        <f>IF('Deal maths'!Y918="",0,'Deal maths'!Y918)</f>
        <v/>
      </c>
      <c r="M918" s="112">
        <f>F918+(F918=0)</f>
        <v/>
      </c>
      <c r="N918" s="108">
        <f>IFERROR(IF(D918=0,0,INT(((YEAR('Deal maths'!AA918)-YEAR(E918))*12+MONTH('Deal maths'!AA918)-MONTH(E918)-(DAY('Deal maths'!AA918)&lt;MIN(R918,DAY(EOMONTH('Deal maths'!AA918,0)))))/D918)+1),0)</f>
        <v/>
      </c>
      <c r="O918" s="108">
        <f>IFERROR(IF(D918=0,0,IF(IF(DAY(E918+1)=1,EOMONTH(E918,(N918-1)*D918),EDATE(E918,(N918-1)*D918))='Deal maths'!AA918,0,1)),0)</f>
        <v/>
      </c>
      <c r="P918" s="113">
        <f>IF(B918=0,0,IFERROR(IF(C918="EIP",((I918-O918)*((IF(DAY(E918+1)=1,EOMONTH(E918,H918*D918),EDATE(E918,H918*D918))-AsAt)/365.25+(IF(DAY(E918+1)=1,EOMONTH(E918,(N918-1)*D918),EDATE(E918,(N918-1)*D918))-AsAt)/365.25)/2+O918*('Deal maths'!AA918-AsAt)/365.25)/I918,IF(C918="Annuity",IF(F918&gt;0,((K918-L918*F918)*((IF(DAY(E918+1)=1,EOMONTH(E918,H918*D918),EDATE(E918,H918*D918))-AsAt)/365.25*((1+F918)^(I918-O918)-1)/F918+IF((I918-O918)&gt;1,((IF(DAY(E918+1)=1,EOMONTH(E918,(N918-1)*D918),EDATE(E918,(N918-1)*D918))-AsAt)/365.25-(IF(DAY(E918+1)=1,EOMONTH(E918,H918*D918),EDATE(E918,H918*D918))-AsAt)/365.25)/((I918-O918)-1),0)*(1+F918)*(1-(I918-O918)*(1+F918)^((I918-O918)-1)+((I918-O918)-1)*(1+F918)^(I918-O918))/F918^2)+O918*(K918-L918*F918)*(1+F918)^(I918-1)*('Deal maths'!AA918-AsAt)/365.25)/L918,((I918-O918)*((IF(DAY(E918+1)=1,EOMONTH(E918,H918*D918),EDATE(E918,H918*D918))-AsAt)/365.25+(IF(DAY(E918+1)=1,EOMONTH(E918,(N918-1)*D918),EDATE(E918,(N918-1)*D918))-AsAt)/365.25)/2+O918*('Deal maths'!AA918-AsAt)/365.25)/I918),(S918-AsAt)/365.25)),0))</f>
        <v/>
      </c>
      <c r="Q918" s="109">
        <f>IF(B918=1,'Deal maths'!AA918+ROW()/1000000,"")</f>
        <v/>
      </c>
      <c r="R918" s="108">
        <f>IF(D918=0,0,IF(DAY(E918+1)=1,31,DAY(E918)))</f>
        <v/>
      </c>
      <c r="S918" s="109">
        <f>IF(AND('Deal maths'!V918="LOBO",'Deal maths'!AG918&gt;AsAt,'Deal maths'!AG918&lt;'Deal maths'!AA918),'Deal maths'!AG918,'Deal maths'!AA918)</f>
        <v/>
      </c>
      <c r="T918" s="108">
        <f>('Deal maths'!AA918&gt;AsAt)*('Deal maths'!Y918&gt;0)</f>
        <v/>
      </c>
    </row>
    <row r="919">
      <c r="A919" s="91">
        <f>IF('Deal maths'!V919="","",'Deal maths'!W919)</f>
        <v/>
      </c>
      <c r="B919" s="108">
        <f>('Deal maths'!AA919&gt;AsAt)*('Deal maths'!Y919&gt;0)*('Deal maths'!Z919&lt;=AsAt)</f>
        <v/>
      </c>
      <c r="C919" s="91">
        <f>IF('Deal maths'!V919="","",IF('Deal maths'!AC919="","Maturity",'Deal maths'!AC919))</f>
        <v/>
      </c>
      <c r="D919" s="108">
        <f>IF(OR(C919="EIP",C919="Annuity"),IF('Deal maths'!AD919="Annual",12,IF('Deal maths'!AD919="Quarterly",3,6)),0)</f>
        <v/>
      </c>
      <c r="E919" s="109">
        <f>IFERROR(IF(D919=0,0,IF('Deal maths'!AE919&gt;0,IF('Deal maths'!AE919&gt;'Deal maths'!AA919,'Deal maths'!AA919,'Deal maths'!AE919),IF(IF(DAY('Deal maths'!AA919+1)=1,EOMONTH('Deal maths'!AA919,-(INT(((YEAR('Deal maths'!AA919)-YEAR(IF('Deal maths'!Z919&gt;0,'Deal maths'!Z919,DATE(1990,1,1))))*12+MONTH('Deal maths'!AA919)-MONTH(IF('Deal maths'!Z919&gt;0,'Deal maths'!Z919,DATE(1990,1,1))))/D919))*D919),EDATE('Deal maths'!AA919,-(INT(((YEAR('Deal maths'!AA919)-YEAR(IF('Deal maths'!Z919&gt;0,'Deal maths'!Z919,DATE(1990,1,1))))*12+MONTH('Deal maths'!AA919)-MONTH(IF('Deal maths'!Z919&gt;0,'Deal maths'!Z919,DATE(1990,1,1))))/D919))*D919))&gt;IF('Deal maths'!Z919&gt;0,'Deal maths'!Z919,DATE(1990,1,1)),IF(DAY('Deal maths'!AA919+1)=1,EOMONTH('Deal maths'!AA919,-(INT(((YEAR('Deal maths'!AA919)-YEAR(IF('Deal maths'!Z919&gt;0,'Deal maths'!Z919,DATE(1990,1,1))))*12+MONTH('Deal maths'!AA919)-MONTH(IF('Deal maths'!Z919&gt;0,'Deal maths'!Z919,DATE(1990,1,1))))/D919))*D919),EDATE('Deal maths'!AA919,-(INT(((YEAR('Deal maths'!AA919)-YEAR(IF('Deal maths'!Z919&gt;0,'Deal maths'!Z919,DATE(1990,1,1))))*12+MONTH('Deal maths'!AA919)-MONTH(IF('Deal maths'!Z919&gt;0,'Deal maths'!Z919,DATE(1990,1,1))))/D919))*D919)),IF(DAY('Deal maths'!AA919+1)=1,EOMONTH('Deal maths'!AA919,-(INT(((YEAR('Deal maths'!AA919)-YEAR(IF('Deal maths'!Z919&gt;0,'Deal maths'!Z919,DATE(1990,1,1))))*12+MONTH('Deal maths'!AA919)-MONTH(IF('Deal maths'!Z919&gt;0,'Deal maths'!Z919,DATE(1990,1,1))))/D919)-1)*D919),EDATE('Deal maths'!AA919,-(INT(((YEAR('Deal maths'!AA919)-YEAR(IF('Deal maths'!Z919&gt;0,'Deal maths'!Z919,DATE(1990,1,1))))*12+MONTH('Deal maths'!AA919)-MONTH(IF('Deal maths'!Z919&gt;0,'Deal maths'!Z919,DATE(1990,1,1))))/D919)-1)*D919))))),0)</f>
        <v/>
      </c>
      <c r="F919" s="110">
        <f>IF(D919=0,0,'Deal maths'!AB919*D919/12)</f>
        <v/>
      </c>
      <c r="G919" s="108">
        <f>N919+O919</f>
        <v/>
      </c>
      <c r="H919" s="108">
        <f>IFERROR(IF(OR(D919=0,AsAt&lt;E919),0,MIN(N919,INT(((YEAR(AsAt)-YEAR(E919))*12+MONTH(AsAt)-MONTH(E919)-(DAY(AsAt)&lt;MIN(R919,DAY(EOMONTH(AsAt,0)))))/D919)+1)+O919*(AsAt&gt;='Deal maths'!AA919)),0)</f>
        <v/>
      </c>
      <c r="I919" s="108">
        <f>G919-H919</f>
        <v/>
      </c>
      <c r="J919" s="111">
        <f>IF(AND(C919="EIP",I919&gt;0),'Deal maths'!Y919/I919,0)</f>
        <v/>
      </c>
      <c r="K919" s="111">
        <f>IF(AND(C919="Annuity",I919&gt;0),IF(F919&gt;0,'Deal maths'!Y919*F919/(1-(1+F919)^-I919),'Deal maths'!Y919/I919),0)</f>
        <v/>
      </c>
      <c r="L919" s="111">
        <f>IF('Deal maths'!Y919="",0,'Deal maths'!Y919)</f>
        <v/>
      </c>
      <c r="M919" s="112">
        <f>F919+(F919=0)</f>
        <v/>
      </c>
      <c r="N919" s="108">
        <f>IFERROR(IF(D919=0,0,INT(((YEAR('Deal maths'!AA919)-YEAR(E919))*12+MONTH('Deal maths'!AA919)-MONTH(E919)-(DAY('Deal maths'!AA919)&lt;MIN(R919,DAY(EOMONTH('Deal maths'!AA919,0)))))/D919)+1),0)</f>
        <v/>
      </c>
      <c r="O919" s="108">
        <f>IFERROR(IF(D919=0,0,IF(IF(DAY(E919+1)=1,EOMONTH(E919,(N919-1)*D919),EDATE(E919,(N919-1)*D919))='Deal maths'!AA919,0,1)),0)</f>
        <v/>
      </c>
      <c r="P919" s="113">
        <f>IF(B919=0,0,IFERROR(IF(C919="EIP",((I919-O919)*((IF(DAY(E919+1)=1,EOMONTH(E919,H919*D919),EDATE(E919,H919*D919))-AsAt)/365.25+(IF(DAY(E919+1)=1,EOMONTH(E919,(N919-1)*D919),EDATE(E919,(N919-1)*D919))-AsAt)/365.25)/2+O919*('Deal maths'!AA919-AsAt)/365.25)/I919,IF(C919="Annuity",IF(F919&gt;0,((K919-L919*F919)*((IF(DAY(E919+1)=1,EOMONTH(E919,H919*D919),EDATE(E919,H919*D919))-AsAt)/365.25*((1+F919)^(I919-O919)-1)/F919+IF((I919-O919)&gt;1,((IF(DAY(E919+1)=1,EOMONTH(E919,(N919-1)*D919),EDATE(E919,(N919-1)*D919))-AsAt)/365.25-(IF(DAY(E919+1)=1,EOMONTH(E919,H919*D919),EDATE(E919,H919*D919))-AsAt)/365.25)/((I919-O919)-1),0)*(1+F919)*(1-(I919-O919)*(1+F919)^((I919-O919)-1)+((I919-O919)-1)*(1+F919)^(I919-O919))/F919^2)+O919*(K919-L919*F919)*(1+F919)^(I919-1)*('Deal maths'!AA919-AsAt)/365.25)/L919,((I919-O919)*((IF(DAY(E919+1)=1,EOMONTH(E919,H919*D919),EDATE(E919,H919*D919))-AsAt)/365.25+(IF(DAY(E919+1)=1,EOMONTH(E919,(N919-1)*D919),EDATE(E919,(N919-1)*D919))-AsAt)/365.25)/2+O919*('Deal maths'!AA919-AsAt)/365.25)/I919),(S919-AsAt)/365.25)),0))</f>
        <v/>
      </c>
      <c r="Q919" s="109">
        <f>IF(B919=1,'Deal maths'!AA919+ROW()/1000000,"")</f>
        <v/>
      </c>
      <c r="R919" s="108">
        <f>IF(D919=0,0,IF(DAY(E919+1)=1,31,DAY(E919)))</f>
        <v/>
      </c>
      <c r="S919" s="109">
        <f>IF(AND('Deal maths'!V919="LOBO",'Deal maths'!AG919&gt;AsAt,'Deal maths'!AG919&lt;'Deal maths'!AA919),'Deal maths'!AG919,'Deal maths'!AA919)</f>
        <v/>
      </c>
      <c r="T919" s="108">
        <f>('Deal maths'!AA919&gt;AsAt)*('Deal maths'!Y919&gt;0)</f>
        <v/>
      </c>
    </row>
    <row r="920">
      <c r="A920" s="91">
        <f>IF('Deal maths'!V920="","",'Deal maths'!W920)</f>
        <v/>
      </c>
      <c r="B920" s="108">
        <f>('Deal maths'!AA920&gt;AsAt)*('Deal maths'!Y920&gt;0)*('Deal maths'!Z920&lt;=AsAt)</f>
        <v/>
      </c>
      <c r="C920" s="91">
        <f>IF('Deal maths'!V920="","",IF('Deal maths'!AC920="","Maturity",'Deal maths'!AC920))</f>
        <v/>
      </c>
      <c r="D920" s="108">
        <f>IF(OR(C920="EIP",C920="Annuity"),IF('Deal maths'!AD920="Annual",12,IF('Deal maths'!AD920="Quarterly",3,6)),0)</f>
        <v/>
      </c>
      <c r="E920" s="109">
        <f>IFERROR(IF(D920=0,0,IF('Deal maths'!AE920&gt;0,IF('Deal maths'!AE920&gt;'Deal maths'!AA920,'Deal maths'!AA920,'Deal maths'!AE920),IF(IF(DAY('Deal maths'!AA920+1)=1,EOMONTH('Deal maths'!AA920,-(INT(((YEAR('Deal maths'!AA920)-YEAR(IF('Deal maths'!Z920&gt;0,'Deal maths'!Z920,DATE(1990,1,1))))*12+MONTH('Deal maths'!AA920)-MONTH(IF('Deal maths'!Z920&gt;0,'Deal maths'!Z920,DATE(1990,1,1))))/D920))*D920),EDATE('Deal maths'!AA920,-(INT(((YEAR('Deal maths'!AA920)-YEAR(IF('Deal maths'!Z920&gt;0,'Deal maths'!Z920,DATE(1990,1,1))))*12+MONTH('Deal maths'!AA920)-MONTH(IF('Deal maths'!Z920&gt;0,'Deal maths'!Z920,DATE(1990,1,1))))/D920))*D920))&gt;IF('Deal maths'!Z920&gt;0,'Deal maths'!Z920,DATE(1990,1,1)),IF(DAY('Deal maths'!AA920+1)=1,EOMONTH('Deal maths'!AA920,-(INT(((YEAR('Deal maths'!AA920)-YEAR(IF('Deal maths'!Z920&gt;0,'Deal maths'!Z920,DATE(1990,1,1))))*12+MONTH('Deal maths'!AA920)-MONTH(IF('Deal maths'!Z920&gt;0,'Deal maths'!Z920,DATE(1990,1,1))))/D920))*D920),EDATE('Deal maths'!AA920,-(INT(((YEAR('Deal maths'!AA920)-YEAR(IF('Deal maths'!Z920&gt;0,'Deal maths'!Z920,DATE(1990,1,1))))*12+MONTH('Deal maths'!AA920)-MONTH(IF('Deal maths'!Z920&gt;0,'Deal maths'!Z920,DATE(1990,1,1))))/D920))*D920)),IF(DAY('Deal maths'!AA920+1)=1,EOMONTH('Deal maths'!AA920,-(INT(((YEAR('Deal maths'!AA920)-YEAR(IF('Deal maths'!Z920&gt;0,'Deal maths'!Z920,DATE(1990,1,1))))*12+MONTH('Deal maths'!AA920)-MONTH(IF('Deal maths'!Z920&gt;0,'Deal maths'!Z920,DATE(1990,1,1))))/D920)-1)*D920),EDATE('Deal maths'!AA920,-(INT(((YEAR('Deal maths'!AA920)-YEAR(IF('Deal maths'!Z920&gt;0,'Deal maths'!Z920,DATE(1990,1,1))))*12+MONTH('Deal maths'!AA920)-MONTH(IF('Deal maths'!Z920&gt;0,'Deal maths'!Z920,DATE(1990,1,1))))/D920)-1)*D920))))),0)</f>
        <v/>
      </c>
      <c r="F920" s="110">
        <f>IF(D920=0,0,'Deal maths'!AB920*D920/12)</f>
        <v/>
      </c>
      <c r="G920" s="108">
        <f>N920+O920</f>
        <v/>
      </c>
      <c r="H920" s="108">
        <f>IFERROR(IF(OR(D920=0,AsAt&lt;E920),0,MIN(N920,INT(((YEAR(AsAt)-YEAR(E920))*12+MONTH(AsAt)-MONTH(E920)-(DAY(AsAt)&lt;MIN(R920,DAY(EOMONTH(AsAt,0)))))/D920)+1)+O920*(AsAt&gt;='Deal maths'!AA920)),0)</f>
        <v/>
      </c>
      <c r="I920" s="108">
        <f>G920-H920</f>
        <v/>
      </c>
      <c r="J920" s="111">
        <f>IF(AND(C920="EIP",I920&gt;0),'Deal maths'!Y920/I920,0)</f>
        <v/>
      </c>
      <c r="K920" s="111">
        <f>IF(AND(C920="Annuity",I920&gt;0),IF(F920&gt;0,'Deal maths'!Y920*F920/(1-(1+F920)^-I920),'Deal maths'!Y920/I920),0)</f>
        <v/>
      </c>
      <c r="L920" s="111">
        <f>IF('Deal maths'!Y920="",0,'Deal maths'!Y920)</f>
        <v/>
      </c>
      <c r="M920" s="112">
        <f>F920+(F920=0)</f>
        <v/>
      </c>
      <c r="N920" s="108">
        <f>IFERROR(IF(D920=0,0,INT(((YEAR('Deal maths'!AA920)-YEAR(E920))*12+MONTH('Deal maths'!AA920)-MONTH(E920)-(DAY('Deal maths'!AA920)&lt;MIN(R920,DAY(EOMONTH('Deal maths'!AA920,0)))))/D920)+1),0)</f>
        <v/>
      </c>
      <c r="O920" s="108">
        <f>IFERROR(IF(D920=0,0,IF(IF(DAY(E920+1)=1,EOMONTH(E920,(N920-1)*D920),EDATE(E920,(N920-1)*D920))='Deal maths'!AA920,0,1)),0)</f>
        <v/>
      </c>
      <c r="P920" s="113">
        <f>IF(B920=0,0,IFERROR(IF(C920="EIP",((I920-O920)*((IF(DAY(E920+1)=1,EOMONTH(E920,H920*D920),EDATE(E920,H920*D920))-AsAt)/365.25+(IF(DAY(E920+1)=1,EOMONTH(E920,(N920-1)*D920),EDATE(E920,(N920-1)*D920))-AsAt)/365.25)/2+O920*('Deal maths'!AA920-AsAt)/365.25)/I920,IF(C920="Annuity",IF(F920&gt;0,((K920-L920*F920)*((IF(DAY(E920+1)=1,EOMONTH(E920,H920*D920),EDATE(E920,H920*D920))-AsAt)/365.25*((1+F920)^(I920-O920)-1)/F920+IF((I920-O920)&gt;1,((IF(DAY(E920+1)=1,EOMONTH(E920,(N920-1)*D920),EDATE(E920,(N920-1)*D920))-AsAt)/365.25-(IF(DAY(E920+1)=1,EOMONTH(E920,H920*D920),EDATE(E920,H920*D920))-AsAt)/365.25)/((I920-O920)-1),0)*(1+F920)*(1-(I920-O920)*(1+F920)^((I920-O920)-1)+((I920-O920)-1)*(1+F920)^(I920-O920))/F920^2)+O920*(K920-L920*F920)*(1+F920)^(I920-1)*('Deal maths'!AA920-AsAt)/365.25)/L920,((I920-O920)*((IF(DAY(E920+1)=1,EOMONTH(E920,H920*D920),EDATE(E920,H920*D920))-AsAt)/365.25+(IF(DAY(E920+1)=1,EOMONTH(E920,(N920-1)*D920),EDATE(E920,(N920-1)*D920))-AsAt)/365.25)/2+O920*('Deal maths'!AA920-AsAt)/365.25)/I920),(S920-AsAt)/365.25)),0))</f>
        <v/>
      </c>
      <c r="Q920" s="109">
        <f>IF(B920=1,'Deal maths'!AA920+ROW()/1000000,"")</f>
        <v/>
      </c>
      <c r="R920" s="108">
        <f>IF(D920=0,0,IF(DAY(E920+1)=1,31,DAY(E920)))</f>
        <v/>
      </c>
      <c r="S920" s="109">
        <f>IF(AND('Deal maths'!V920="LOBO",'Deal maths'!AG920&gt;AsAt,'Deal maths'!AG920&lt;'Deal maths'!AA920),'Deal maths'!AG920,'Deal maths'!AA920)</f>
        <v/>
      </c>
      <c r="T920" s="108">
        <f>('Deal maths'!AA920&gt;AsAt)*('Deal maths'!Y920&gt;0)</f>
        <v/>
      </c>
    </row>
    <row r="921">
      <c r="A921" s="91">
        <f>IF('Deal maths'!V921="","",'Deal maths'!W921)</f>
        <v/>
      </c>
      <c r="B921" s="108">
        <f>('Deal maths'!AA921&gt;AsAt)*('Deal maths'!Y921&gt;0)*('Deal maths'!Z921&lt;=AsAt)</f>
        <v/>
      </c>
      <c r="C921" s="91">
        <f>IF('Deal maths'!V921="","",IF('Deal maths'!AC921="","Maturity",'Deal maths'!AC921))</f>
        <v/>
      </c>
      <c r="D921" s="108">
        <f>IF(OR(C921="EIP",C921="Annuity"),IF('Deal maths'!AD921="Annual",12,IF('Deal maths'!AD921="Quarterly",3,6)),0)</f>
        <v/>
      </c>
      <c r="E921" s="109">
        <f>IFERROR(IF(D921=0,0,IF('Deal maths'!AE921&gt;0,IF('Deal maths'!AE921&gt;'Deal maths'!AA921,'Deal maths'!AA921,'Deal maths'!AE921),IF(IF(DAY('Deal maths'!AA921+1)=1,EOMONTH('Deal maths'!AA921,-(INT(((YEAR('Deal maths'!AA921)-YEAR(IF('Deal maths'!Z921&gt;0,'Deal maths'!Z921,DATE(1990,1,1))))*12+MONTH('Deal maths'!AA921)-MONTH(IF('Deal maths'!Z921&gt;0,'Deal maths'!Z921,DATE(1990,1,1))))/D921))*D921),EDATE('Deal maths'!AA921,-(INT(((YEAR('Deal maths'!AA921)-YEAR(IF('Deal maths'!Z921&gt;0,'Deal maths'!Z921,DATE(1990,1,1))))*12+MONTH('Deal maths'!AA921)-MONTH(IF('Deal maths'!Z921&gt;0,'Deal maths'!Z921,DATE(1990,1,1))))/D921))*D921))&gt;IF('Deal maths'!Z921&gt;0,'Deal maths'!Z921,DATE(1990,1,1)),IF(DAY('Deal maths'!AA921+1)=1,EOMONTH('Deal maths'!AA921,-(INT(((YEAR('Deal maths'!AA921)-YEAR(IF('Deal maths'!Z921&gt;0,'Deal maths'!Z921,DATE(1990,1,1))))*12+MONTH('Deal maths'!AA921)-MONTH(IF('Deal maths'!Z921&gt;0,'Deal maths'!Z921,DATE(1990,1,1))))/D921))*D921),EDATE('Deal maths'!AA921,-(INT(((YEAR('Deal maths'!AA921)-YEAR(IF('Deal maths'!Z921&gt;0,'Deal maths'!Z921,DATE(1990,1,1))))*12+MONTH('Deal maths'!AA921)-MONTH(IF('Deal maths'!Z921&gt;0,'Deal maths'!Z921,DATE(1990,1,1))))/D921))*D921)),IF(DAY('Deal maths'!AA921+1)=1,EOMONTH('Deal maths'!AA921,-(INT(((YEAR('Deal maths'!AA921)-YEAR(IF('Deal maths'!Z921&gt;0,'Deal maths'!Z921,DATE(1990,1,1))))*12+MONTH('Deal maths'!AA921)-MONTH(IF('Deal maths'!Z921&gt;0,'Deal maths'!Z921,DATE(1990,1,1))))/D921)-1)*D921),EDATE('Deal maths'!AA921,-(INT(((YEAR('Deal maths'!AA921)-YEAR(IF('Deal maths'!Z921&gt;0,'Deal maths'!Z921,DATE(1990,1,1))))*12+MONTH('Deal maths'!AA921)-MONTH(IF('Deal maths'!Z921&gt;0,'Deal maths'!Z921,DATE(1990,1,1))))/D921)-1)*D921))))),0)</f>
        <v/>
      </c>
      <c r="F921" s="110">
        <f>IF(D921=0,0,'Deal maths'!AB921*D921/12)</f>
        <v/>
      </c>
      <c r="G921" s="108">
        <f>N921+O921</f>
        <v/>
      </c>
      <c r="H921" s="108">
        <f>IFERROR(IF(OR(D921=0,AsAt&lt;E921),0,MIN(N921,INT(((YEAR(AsAt)-YEAR(E921))*12+MONTH(AsAt)-MONTH(E921)-(DAY(AsAt)&lt;MIN(R921,DAY(EOMONTH(AsAt,0)))))/D921)+1)+O921*(AsAt&gt;='Deal maths'!AA921)),0)</f>
        <v/>
      </c>
      <c r="I921" s="108">
        <f>G921-H921</f>
        <v/>
      </c>
      <c r="J921" s="111">
        <f>IF(AND(C921="EIP",I921&gt;0),'Deal maths'!Y921/I921,0)</f>
        <v/>
      </c>
      <c r="K921" s="111">
        <f>IF(AND(C921="Annuity",I921&gt;0),IF(F921&gt;0,'Deal maths'!Y921*F921/(1-(1+F921)^-I921),'Deal maths'!Y921/I921),0)</f>
        <v/>
      </c>
      <c r="L921" s="111">
        <f>IF('Deal maths'!Y921="",0,'Deal maths'!Y921)</f>
        <v/>
      </c>
      <c r="M921" s="112">
        <f>F921+(F921=0)</f>
        <v/>
      </c>
      <c r="N921" s="108">
        <f>IFERROR(IF(D921=0,0,INT(((YEAR('Deal maths'!AA921)-YEAR(E921))*12+MONTH('Deal maths'!AA921)-MONTH(E921)-(DAY('Deal maths'!AA921)&lt;MIN(R921,DAY(EOMONTH('Deal maths'!AA921,0)))))/D921)+1),0)</f>
        <v/>
      </c>
      <c r="O921" s="108">
        <f>IFERROR(IF(D921=0,0,IF(IF(DAY(E921+1)=1,EOMONTH(E921,(N921-1)*D921),EDATE(E921,(N921-1)*D921))='Deal maths'!AA921,0,1)),0)</f>
        <v/>
      </c>
      <c r="P921" s="113">
        <f>IF(B921=0,0,IFERROR(IF(C921="EIP",((I921-O921)*((IF(DAY(E921+1)=1,EOMONTH(E921,H921*D921),EDATE(E921,H921*D921))-AsAt)/365.25+(IF(DAY(E921+1)=1,EOMONTH(E921,(N921-1)*D921),EDATE(E921,(N921-1)*D921))-AsAt)/365.25)/2+O921*('Deal maths'!AA921-AsAt)/365.25)/I921,IF(C921="Annuity",IF(F921&gt;0,((K921-L921*F921)*((IF(DAY(E921+1)=1,EOMONTH(E921,H921*D921),EDATE(E921,H921*D921))-AsAt)/365.25*((1+F921)^(I921-O921)-1)/F921+IF((I921-O921)&gt;1,((IF(DAY(E921+1)=1,EOMONTH(E921,(N921-1)*D921),EDATE(E921,(N921-1)*D921))-AsAt)/365.25-(IF(DAY(E921+1)=1,EOMONTH(E921,H921*D921),EDATE(E921,H921*D921))-AsAt)/365.25)/((I921-O921)-1),0)*(1+F921)*(1-(I921-O921)*(1+F921)^((I921-O921)-1)+((I921-O921)-1)*(1+F921)^(I921-O921))/F921^2)+O921*(K921-L921*F921)*(1+F921)^(I921-1)*('Deal maths'!AA921-AsAt)/365.25)/L921,((I921-O921)*((IF(DAY(E921+1)=1,EOMONTH(E921,H921*D921),EDATE(E921,H921*D921))-AsAt)/365.25+(IF(DAY(E921+1)=1,EOMONTH(E921,(N921-1)*D921),EDATE(E921,(N921-1)*D921))-AsAt)/365.25)/2+O921*('Deal maths'!AA921-AsAt)/365.25)/I921),(S921-AsAt)/365.25)),0))</f>
        <v/>
      </c>
      <c r="Q921" s="109">
        <f>IF(B921=1,'Deal maths'!AA921+ROW()/1000000,"")</f>
        <v/>
      </c>
      <c r="R921" s="108">
        <f>IF(D921=0,0,IF(DAY(E921+1)=1,31,DAY(E921)))</f>
        <v/>
      </c>
      <c r="S921" s="109">
        <f>IF(AND('Deal maths'!V921="LOBO",'Deal maths'!AG921&gt;AsAt,'Deal maths'!AG921&lt;'Deal maths'!AA921),'Deal maths'!AG921,'Deal maths'!AA921)</f>
        <v/>
      </c>
      <c r="T921" s="108">
        <f>('Deal maths'!AA921&gt;AsAt)*('Deal maths'!Y921&gt;0)</f>
        <v/>
      </c>
    </row>
    <row r="922">
      <c r="A922" s="91">
        <f>IF('Deal maths'!V922="","",'Deal maths'!W922)</f>
        <v/>
      </c>
      <c r="B922" s="108">
        <f>('Deal maths'!AA922&gt;AsAt)*('Deal maths'!Y922&gt;0)*('Deal maths'!Z922&lt;=AsAt)</f>
        <v/>
      </c>
      <c r="C922" s="91">
        <f>IF('Deal maths'!V922="","",IF('Deal maths'!AC922="","Maturity",'Deal maths'!AC922))</f>
        <v/>
      </c>
      <c r="D922" s="108">
        <f>IF(OR(C922="EIP",C922="Annuity"),IF('Deal maths'!AD922="Annual",12,IF('Deal maths'!AD922="Quarterly",3,6)),0)</f>
        <v/>
      </c>
      <c r="E922" s="109">
        <f>IFERROR(IF(D922=0,0,IF('Deal maths'!AE922&gt;0,IF('Deal maths'!AE922&gt;'Deal maths'!AA922,'Deal maths'!AA922,'Deal maths'!AE922),IF(IF(DAY('Deal maths'!AA922+1)=1,EOMONTH('Deal maths'!AA922,-(INT(((YEAR('Deal maths'!AA922)-YEAR(IF('Deal maths'!Z922&gt;0,'Deal maths'!Z922,DATE(1990,1,1))))*12+MONTH('Deal maths'!AA922)-MONTH(IF('Deal maths'!Z922&gt;0,'Deal maths'!Z922,DATE(1990,1,1))))/D922))*D922),EDATE('Deal maths'!AA922,-(INT(((YEAR('Deal maths'!AA922)-YEAR(IF('Deal maths'!Z922&gt;0,'Deal maths'!Z922,DATE(1990,1,1))))*12+MONTH('Deal maths'!AA922)-MONTH(IF('Deal maths'!Z922&gt;0,'Deal maths'!Z922,DATE(1990,1,1))))/D922))*D922))&gt;IF('Deal maths'!Z922&gt;0,'Deal maths'!Z922,DATE(1990,1,1)),IF(DAY('Deal maths'!AA922+1)=1,EOMONTH('Deal maths'!AA922,-(INT(((YEAR('Deal maths'!AA922)-YEAR(IF('Deal maths'!Z922&gt;0,'Deal maths'!Z922,DATE(1990,1,1))))*12+MONTH('Deal maths'!AA922)-MONTH(IF('Deal maths'!Z922&gt;0,'Deal maths'!Z922,DATE(1990,1,1))))/D922))*D922),EDATE('Deal maths'!AA922,-(INT(((YEAR('Deal maths'!AA922)-YEAR(IF('Deal maths'!Z922&gt;0,'Deal maths'!Z922,DATE(1990,1,1))))*12+MONTH('Deal maths'!AA922)-MONTH(IF('Deal maths'!Z922&gt;0,'Deal maths'!Z922,DATE(1990,1,1))))/D922))*D922)),IF(DAY('Deal maths'!AA922+1)=1,EOMONTH('Deal maths'!AA922,-(INT(((YEAR('Deal maths'!AA922)-YEAR(IF('Deal maths'!Z922&gt;0,'Deal maths'!Z922,DATE(1990,1,1))))*12+MONTH('Deal maths'!AA922)-MONTH(IF('Deal maths'!Z922&gt;0,'Deal maths'!Z922,DATE(1990,1,1))))/D922)-1)*D922),EDATE('Deal maths'!AA922,-(INT(((YEAR('Deal maths'!AA922)-YEAR(IF('Deal maths'!Z922&gt;0,'Deal maths'!Z922,DATE(1990,1,1))))*12+MONTH('Deal maths'!AA922)-MONTH(IF('Deal maths'!Z922&gt;0,'Deal maths'!Z922,DATE(1990,1,1))))/D922)-1)*D922))))),0)</f>
        <v/>
      </c>
      <c r="F922" s="110">
        <f>IF(D922=0,0,'Deal maths'!AB922*D922/12)</f>
        <v/>
      </c>
      <c r="G922" s="108">
        <f>N922+O922</f>
        <v/>
      </c>
      <c r="H922" s="108">
        <f>IFERROR(IF(OR(D922=0,AsAt&lt;E922),0,MIN(N922,INT(((YEAR(AsAt)-YEAR(E922))*12+MONTH(AsAt)-MONTH(E922)-(DAY(AsAt)&lt;MIN(R922,DAY(EOMONTH(AsAt,0)))))/D922)+1)+O922*(AsAt&gt;='Deal maths'!AA922)),0)</f>
        <v/>
      </c>
      <c r="I922" s="108">
        <f>G922-H922</f>
        <v/>
      </c>
      <c r="J922" s="111">
        <f>IF(AND(C922="EIP",I922&gt;0),'Deal maths'!Y922/I922,0)</f>
        <v/>
      </c>
      <c r="K922" s="111">
        <f>IF(AND(C922="Annuity",I922&gt;0),IF(F922&gt;0,'Deal maths'!Y922*F922/(1-(1+F922)^-I922),'Deal maths'!Y922/I922),0)</f>
        <v/>
      </c>
      <c r="L922" s="111">
        <f>IF('Deal maths'!Y922="",0,'Deal maths'!Y922)</f>
        <v/>
      </c>
      <c r="M922" s="112">
        <f>F922+(F922=0)</f>
        <v/>
      </c>
      <c r="N922" s="108">
        <f>IFERROR(IF(D922=0,0,INT(((YEAR('Deal maths'!AA922)-YEAR(E922))*12+MONTH('Deal maths'!AA922)-MONTH(E922)-(DAY('Deal maths'!AA922)&lt;MIN(R922,DAY(EOMONTH('Deal maths'!AA922,0)))))/D922)+1),0)</f>
        <v/>
      </c>
      <c r="O922" s="108">
        <f>IFERROR(IF(D922=0,0,IF(IF(DAY(E922+1)=1,EOMONTH(E922,(N922-1)*D922),EDATE(E922,(N922-1)*D922))='Deal maths'!AA922,0,1)),0)</f>
        <v/>
      </c>
      <c r="P922" s="113">
        <f>IF(B922=0,0,IFERROR(IF(C922="EIP",((I922-O922)*((IF(DAY(E922+1)=1,EOMONTH(E922,H922*D922),EDATE(E922,H922*D922))-AsAt)/365.25+(IF(DAY(E922+1)=1,EOMONTH(E922,(N922-1)*D922),EDATE(E922,(N922-1)*D922))-AsAt)/365.25)/2+O922*('Deal maths'!AA922-AsAt)/365.25)/I922,IF(C922="Annuity",IF(F922&gt;0,((K922-L922*F922)*((IF(DAY(E922+1)=1,EOMONTH(E922,H922*D922),EDATE(E922,H922*D922))-AsAt)/365.25*((1+F922)^(I922-O922)-1)/F922+IF((I922-O922)&gt;1,((IF(DAY(E922+1)=1,EOMONTH(E922,(N922-1)*D922),EDATE(E922,(N922-1)*D922))-AsAt)/365.25-(IF(DAY(E922+1)=1,EOMONTH(E922,H922*D922),EDATE(E922,H922*D922))-AsAt)/365.25)/((I922-O922)-1),0)*(1+F922)*(1-(I922-O922)*(1+F922)^((I922-O922)-1)+((I922-O922)-1)*(1+F922)^(I922-O922))/F922^2)+O922*(K922-L922*F922)*(1+F922)^(I922-1)*('Deal maths'!AA922-AsAt)/365.25)/L922,((I922-O922)*((IF(DAY(E922+1)=1,EOMONTH(E922,H922*D922),EDATE(E922,H922*D922))-AsAt)/365.25+(IF(DAY(E922+1)=1,EOMONTH(E922,(N922-1)*D922),EDATE(E922,(N922-1)*D922))-AsAt)/365.25)/2+O922*('Deal maths'!AA922-AsAt)/365.25)/I922),(S922-AsAt)/365.25)),0))</f>
        <v/>
      </c>
      <c r="Q922" s="109">
        <f>IF(B922=1,'Deal maths'!AA922+ROW()/1000000,"")</f>
        <v/>
      </c>
      <c r="R922" s="108">
        <f>IF(D922=0,0,IF(DAY(E922+1)=1,31,DAY(E922)))</f>
        <v/>
      </c>
      <c r="S922" s="109">
        <f>IF(AND('Deal maths'!V922="LOBO",'Deal maths'!AG922&gt;AsAt,'Deal maths'!AG922&lt;'Deal maths'!AA922),'Deal maths'!AG922,'Deal maths'!AA922)</f>
        <v/>
      </c>
      <c r="T922" s="108">
        <f>('Deal maths'!AA922&gt;AsAt)*('Deal maths'!Y922&gt;0)</f>
        <v/>
      </c>
    </row>
    <row r="923">
      <c r="A923" s="91">
        <f>IF('Deal maths'!V923="","",'Deal maths'!W923)</f>
        <v/>
      </c>
      <c r="B923" s="108">
        <f>('Deal maths'!AA923&gt;AsAt)*('Deal maths'!Y923&gt;0)*('Deal maths'!Z923&lt;=AsAt)</f>
        <v/>
      </c>
      <c r="C923" s="91">
        <f>IF('Deal maths'!V923="","",IF('Deal maths'!AC923="","Maturity",'Deal maths'!AC923))</f>
        <v/>
      </c>
      <c r="D923" s="108">
        <f>IF(OR(C923="EIP",C923="Annuity"),IF('Deal maths'!AD923="Annual",12,IF('Deal maths'!AD923="Quarterly",3,6)),0)</f>
        <v/>
      </c>
      <c r="E923" s="109">
        <f>IFERROR(IF(D923=0,0,IF('Deal maths'!AE923&gt;0,IF('Deal maths'!AE923&gt;'Deal maths'!AA923,'Deal maths'!AA923,'Deal maths'!AE923),IF(IF(DAY('Deal maths'!AA923+1)=1,EOMONTH('Deal maths'!AA923,-(INT(((YEAR('Deal maths'!AA923)-YEAR(IF('Deal maths'!Z923&gt;0,'Deal maths'!Z923,DATE(1990,1,1))))*12+MONTH('Deal maths'!AA923)-MONTH(IF('Deal maths'!Z923&gt;0,'Deal maths'!Z923,DATE(1990,1,1))))/D923))*D923),EDATE('Deal maths'!AA923,-(INT(((YEAR('Deal maths'!AA923)-YEAR(IF('Deal maths'!Z923&gt;0,'Deal maths'!Z923,DATE(1990,1,1))))*12+MONTH('Deal maths'!AA923)-MONTH(IF('Deal maths'!Z923&gt;0,'Deal maths'!Z923,DATE(1990,1,1))))/D923))*D923))&gt;IF('Deal maths'!Z923&gt;0,'Deal maths'!Z923,DATE(1990,1,1)),IF(DAY('Deal maths'!AA923+1)=1,EOMONTH('Deal maths'!AA923,-(INT(((YEAR('Deal maths'!AA923)-YEAR(IF('Deal maths'!Z923&gt;0,'Deal maths'!Z923,DATE(1990,1,1))))*12+MONTH('Deal maths'!AA923)-MONTH(IF('Deal maths'!Z923&gt;0,'Deal maths'!Z923,DATE(1990,1,1))))/D923))*D923),EDATE('Deal maths'!AA923,-(INT(((YEAR('Deal maths'!AA923)-YEAR(IF('Deal maths'!Z923&gt;0,'Deal maths'!Z923,DATE(1990,1,1))))*12+MONTH('Deal maths'!AA923)-MONTH(IF('Deal maths'!Z923&gt;0,'Deal maths'!Z923,DATE(1990,1,1))))/D923))*D923)),IF(DAY('Deal maths'!AA923+1)=1,EOMONTH('Deal maths'!AA923,-(INT(((YEAR('Deal maths'!AA923)-YEAR(IF('Deal maths'!Z923&gt;0,'Deal maths'!Z923,DATE(1990,1,1))))*12+MONTH('Deal maths'!AA923)-MONTH(IF('Deal maths'!Z923&gt;0,'Deal maths'!Z923,DATE(1990,1,1))))/D923)-1)*D923),EDATE('Deal maths'!AA923,-(INT(((YEAR('Deal maths'!AA923)-YEAR(IF('Deal maths'!Z923&gt;0,'Deal maths'!Z923,DATE(1990,1,1))))*12+MONTH('Deal maths'!AA923)-MONTH(IF('Deal maths'!Z923&gt;0,'Deal maths'!Z923,DATE(1990,1,1))))/D923)-1)*D923))))),0)</f>
        <v/>
      </c>
      <c r="F923" s="110">
        <f>IF(D923=0,0,'Deal maths'!AB923*D923/12)</f>
        <v/>
      </c>
      <c r="G923" s="108">
        <f>N923+O923</f>
        <v/>
      </c>
      <c r="H923" s="108">
        <f>IFERROR(IF(OR(D923=0,AsAt&lt;E923),0,MIN(N923,INT(((YEAR(AsAt)-YEAR(E923))*12+MONTH(AsAt)-MONTH(E923)-(DAY(AsAt)&lt;MIN(R923,DAY(EOMONTH(AsAt,0)))))/D923)+1)+O923*(AsAt&gt;='Deal maths'!AA923)),0)</f>
        <v/>
      </c>
      <c r="I923" s="108">
        <f>G923-H923</f>
        <v/>
      </c>
      <c r="J923" s="111">
        <f>IF(AND(C923="EIP",I923&gt;0),'Deal maths'!Y923/I923,0)</f>
        <v/>
      </c>
      <c r="K923" s="111">
        <f>IF(AND(C923="Annuity",I923&gt;0),IF(F923&gt;0,'Deal maths'!Y923*F923/(1-(1+F923)^-I923),'Deal maths'!Y923/I923),0)</f>
        <v/>
      </c>
      <c r="L923" s="111">
        <f>IF('Deal maths'!Y923="",0,'Deal maths'!Y923)</f>
        <v/>
      </c>
      <c r="M923" s="112">
        <f>F923+(F923=0)</f>
        <v/>
      </c>
      <c r="N923" s="108">
        <f>IFERROR(IF(D923=0,0,INT(((YEAR('Deal maths'!AA923)-YEAR(E923))*12+MONTH('Deal maths'!AA923)-MONTH(E923)-(DAY('Deal maths'!AA923)&lt;MIN(R923,DAY(EOMONTH('Deal maths'!AA923,0)))))/D923)+1),0)</f>
        <v/>
      </c>
      <c r="O923" s="108">
        <f>IFERROR(IF(D923=0,0,IF(IF(DAY(E923+1)=1,EOMONTH(E923,(N923-1)*D923),EDATE(E923,(N923-1)*D923))='Deal maths'!AA923,0,1)),0)</f>
        <v/>
      </c>
      <c r="P923" s="113">
        <f>IF(B923=0,0,IFERROR(IF(C923="EIP",((I923-O923)*((IF(DAY(E923+1)=1,EOMONTH(E923,H923*D923),EDATE(E923,H923*D923))-AsAt)/365.25+(IF(DAY(E923+1)=1,EOMONTH(E923,(N923-1)*D923),EDATE(E923,(N923-1)*D923))-AsAt)/365.25)/2+O923*('Deal maths'!AA923-AsAt)/365.25)/I923,IF(C923="Annuity",IF(F923&gt;0,((K923-L923*F923)*((IF(DAY(E923+1)=1,EOMONTH(E923,H923*D923),EDATE(E923,H923*D923))-AsAt)/365.25*((1+F923)^(I923-O923)-1)/F923+IF((I923-O923)&gt;1,((IF(DAY(E923+1)=1,EOMONTH(E923,(N923-1)*D923),EDATE(E923,(N923-1)*D923))-AsAt)/365.25-(IF(DAY(E923+1)=1,EOMONTH(E923,H923*D923),EDATE(E923,H923*D923))-AsAt)/365.25)/((I923-O923)-1),0)*(1+F923)*(1-(I923-O923)*(1+F923)^((I923-O923)-1)+((I923-O923)-1)*(1+F923)^(I923-O923))/F923^2)+O923*(K923-L923*F923)*(1+F923)^(I923-1)*('Deal maths'!AA923-AsAt)/365.25)/L923,((I923-O923)*((IF(DAY(E923+1)=1,EOMONTH(E923,H923*D923),EDATE(E923,H923*D923))-AsAt)/365.25+(IF(DAY(E923+1)=1,EOMONTH(E923,(N923-1)*D923),EDATE(E923,(N923-1)*D923))-AsAt)/365.25)/2+O923*('Deal maths'!AA923-AsAt)/365.25)/I923),(S923-AsAt)/365.25)),0))</f>
        <v/>
      </c>
      <c r="Q923" s="109">
        <f>IF(B923=1,'Deal maths'!AA923+ROW()/1000000,"")</f>
        <v/>
      </c>
      <c r="R923" s="108">
        <f>IF(D923=0,0,IF(DAY(E923+1)=1,31,DAY(E923)))</f>
        <v/>
      </c>
      <c r="S923" s="109">
        <f>IF(AND('Deal maths'!V923="LOBO",'Deal maths'!AG923&gt;AsAt,'Deal maths'!AG923&lt;'Deal maths'!AA923),'Deal maths'!AG923,'Deal maths'!AA923)</f>
        <v/>
      </c>
      <c r="T923" s="108">
        <f>('Deal maths'!AA923&gt;AsAt)*('Deal maths'!Y923&gt;0)</f>
        <v/>
      </c>
    </row>
    <row r="924">
      <c r="A924" s="91">
        <f>IF('Deal maths'!V924="","",'Deal maths'!W924)</f>
        <v/>
      </c>
      <c r="B924" s="108">
        <f>('Deal maths'!AA924&gt;AsAt)*('Deal maths'!Y924&gt;0)*('Deal maths'!Z924&lt;=AsAt)</f>
        <v/>
      </c>
      <c r="C924" s="91">
        <f>IF('Deal maths'!V924="","",IF('Deal maths'!AC924="","Maturity",'Deal maths'!AC924))</f>
        <v/>
      </c>
      <c r="D924" s="108">
        <f>IF(OR(C924="EIP",C924="Annuity"),IF('Deal maths'!AD924="Annual",12,IF('Deal maths'!AD924="Quarterly",3,6)),0)</f>
        <v/>
      </c>
      <c r="E924" s="109">
        <f>IFERROR(IF(D924=0,0,IF('Deal maths'!AE924&gt;0,IF('Deal maths'!AE924&gt;'Deal maths'!AA924,'Deal maths'!AA924,'Deal maths'!AE924),IF(IF(DAY('Deal maths'!AA924+1)=1,EOMONTH('Deal maths'!AA924,-(INT(((YEAR('Deal maths'!AA924)-YEAR(IF('Deal maths'!Z924&gt;0,'Deal maths'!Z924,DATE(1990,1,1))))*12+MONTH('Deal maths'!AA924)-MONTH(IF('Deal maths'!Z924&gt;0,'Deal maths'!Z924,DATE(1990,1,1))))/D924))*D924),EDATE('Deal maths'!AA924,-(INT(((YEAR('Deal maths'!AA924)-YEAR(IF('Deal maths'!Z924&gt;0,'Deal maths'!Z924,DATE(1990,1,1))))*12+MONTH('Deal maths'!AA924)-MONTH(IF('Deal maths'!Z924&gt;0,'Deal maths'!Z924,DATE(1990,1,1))))/D924))*D924))&gt;IF('Deal maths'!Z924&gt;0,'Deal maths'!Z924,DATE(1990,1,1)),IF(DAY('Deal maths'!AA924+1)=1,EOMONTH('Deal maths'!AA924,-(INT(((YEAR('Deal maths'!AA924)-YEAR(IF('Deal maths'!Z924&gt;0,'Deal maths'!Z924,DATE(1990,1,1))))*12+MONTH('Deal maths'!AA924)-MONTH(IF('Deal maths'!Z924&gt;0,'Deal maths'!Z924,DATE(1990,1,1))))/D924))*D924),EDATE('Deal maths'!AA924,-(INT(((YEAR('Deal maths'!AA924)-YEAR(IF('Deal maths'!Z924&gt;0,'Deal maths'!Z924,DATE(1990,1,1))))*12+MONTH('Deal maths'!AA924)-MONTH(IF('Deal maths'!Z924&gt;0,'Deal maths'!Z924,DATE(1990,1,1))))/D924))*D924)),IF(DAY('Deal maths'!AA924+1)=1,EOMONTH('Deal maths'!AA924,-(INT(((YEAR('Deal maths'!AA924)-YEAR(IF('Deal maths'!Z924&gt;0,'Deal maths'!Z924,DATE(1990,1,1))))*12+MONTH('Deal maths'!AA924)-MONTH(IF('Deal maths'!Z924&gt;0,'Deal maths'!Z924,DATE(1990,1,1))))/D924)-1)*D924),EDATE('Deal maths'!AA924,-(INT(((YEAR('Deal maths'!AA924)-YEAR(IF('Deal maths'!Z924&gt;0,'Deal maths'!Z924,DATE(1990,1,1))))*12+MONTH('Deal maths'!AA924)-MONTH(IF('Deal maths'!Z924&gt;0,'Deal maths'!Z924,DATE(1990,1,1))))/D924)-1)*D924))))),0)</f>
        <v/>
      </c>
      <c r="F924" s="110">
        <f>IF(D924=0,0,'Deal maths'!AB924*D924/12)</f>
        <v/>
      </c>
      <c r="G924" s="108">
        <f>N924+O924</f>
        <v/>
      </c>
      <c r="H924" s="108">
        <f>IFERROR(IF(OR(D924=0,AsAt&lt;E924),0,MIN(N924,INT(((YEAR(AsAt)-YEAR(E924))*12+MONTH(AsAt)-MONTH(E924)-(DAY(AsAt)&lt;MIN(R924,DAY(EOMONTH(AsAt,0)))))/D924)+1)+O924*(AsAt&gt;='Deal maths'!AA924)),0)</f>
        <v/>
      </c>
      <c r="I924" s="108">
        <f>G924-H924</f>
        <v/>
      </c>
      <c r="J924" s="111">
        <f>IF(AND(C924="EIP",I924&gt;0),'Deal maths'!Y924/I924,0)</f>
        <v/>
      </c>
      <c r="K924" s="111">
        <f>IF(AND(C924="Annuity",I924&gt;0),IF(F924&gt;0,'Deal maths'!Y924*F924/(1-(1+F924)^-I924),'Deal maths'!Y924/I924),0)</f>
        <v/>
      </c>
      <c r="L924" s="111">
        <f>IF('Deal maths'!Y924="",0,'Deal maths'!Y924)</f>
        <v/>
      </c>
      <c r="M924" s="112">
        <f>F924+(F924=0)</f>
        <v/>
      </c>
      <c r="N924" s="108">
        <f>IFERROR(IF(D924=0,0,INT(((YEAR('Deal maths'!AA924)-YEAR(E924))*12+MONTH('Deal maths'!AA924)-MONTH(E924)-(DAY('Deal maths'!AA924)&lt;MIN(R924,DAY(EOMONTH('Deal maths'!AA924,0)))))/D924)+1),0)</f>
        <v/>
      </c>
      <c r="O924" s="108">
        <f>IFERROR(IF(D924=0,0,IF(IF(DAY(E924+1)=1,EOMONTH(E924,(N924-1)*D924),EDATE(E924,(N924-1)*D924))='Deal maths'!AA924,0,1)),0)</f>
        <v/>
      </c>
      <c r="P924" s="113">
        <f>IF(B924=0,0,IFERROR(IF(C924="EIP",((I924-O924)*((IF(DAY(E924+1)=1,EOMONTH(E924,H924*D924),EDATE(E924,H924*D924))-AsAt)/365.25+(IF(DAY(E924+1)=1,EOMONTH(E924,(N924-1)*D924),EDATE(E924,(N924-1)*D924))-AsAt)/365.25)/2+O924*('Deal maths'!AA924-AsAt)/365.25)/I924,IF(C924="Annuity",IF(F924&gt;0,((K924-L924*F924)*((IF(DAY(E924+1)=1,EOMONTH(E924,H924*D924),EDATE(E924,H924*D924))-AsAt)/365.25*((1+F924)^(I924-O924)-1)/F924+IF((I924-O924)&gt;1,((IF(DAY(E924+1)=1,EOMONTH(E924,(N924-1)*D924),EDATE(E924,(N924-1)*D924))-AsAt)/365.25-(IF(DAY(E924+1)=1,EOMONTH(E924,H924*D924),EDATE(E924,H924*D924))-AsAt)/365.25)/((I924-O924)-1),0)*(1+F924)*(1-(I924-O924)*(1+F924)^((I924-O924)-1)+((I924-O924)-1)*(1+F924)^(I924-O924))/F924^2)+O924*(K924-L924*F924)*(1+F924)^(I924-1)*('Deal maths'!AA924-AsAt)/365.25)/L924,((I924-O924)*((IF(DAY(E924+1)=1,EOMONTH(E924,H924*D924),EDATE(E924,H924*D924))-AsAt)/365.25+(IF(DAY(E924+1)=1,EOMONTH(E924,(N924-1)*D924),EDATE(E924,(N924-1)*D924))-AsAt)/365.25)/2+O924*('Deal maths'!AA924-AsAt)/365.25)/I924),(S924-AsAt)/365.25)),0))</f>
        <v/>
      </c>
      <c r="Q924" s="109">
        <f>IF(B924=1,'Deal maths'!AA924+ROW()/1000000,"")</f>
        <v/>
      </c>
      <c r="R924" s="108">
        <f>IF(D924=0,0,IF(DAY(E924+1)=1,31,DAY(E924)))</f>
        <v/>
      </c>
      <c r="S924" s="109">
        <f>IF(AND('Deal maths'!V924="LOBO",'Deal maths'!AG924&gt;AsAt,'Deal maths'!AG924&lt;'Deal maths'!AA924),'Deal maths'!AG924,'Deal maths'!AA924)</f>
        <v/>
      </c>
      <c r="T924" s="108">
        <f>('Deal maths'!AA924&gt;AsAt)*('Deal maths'!Y924&gt;0)</f>
        <v/>
      </c>
    </row>
    <row r="925">
      <c r="A925" s="91">
        <f>IF('Deal maths'!V925="","",'Deal maths'!W925)</f>
        <v/>
      </c>
      <c r="B925" s="108">
        <f>('Deal maths'!AA925&gt;AsAt)*('Deal maths'!Y925&gt;0)*('Deal maths'!Z925&lt;=AsAt)</f>
        <v/>
      </c>
      <c r="C925" s="91">
        <f>IF('Deal maths'!V925="","",IF('Deal maths'!AC925="","Maturity",'Deal maths'!AC925))</f>
        <v/>
      </c>
      <c r="D925" s="108">
        <f>IF(OR(C925="EIP",C925="Annuity"),IF('Deal maths'!AD925="Annual",12,IF('Deal maths'!AD925="Quarterly",3,6)),0)</f>
        <v/>
      </c>
      <c r="E925" s="109">
        <f>IFERROR(IF(D925=0,0,IF('Deal maths'!AE925&gt;0,IF('Deal maths'!AE925&gt;'Deal maths'!AA925,'Deal maths'!AA925,'Deal maths'!AE925),IF(IF(DAY('Deal maths'!AA925+1)=1,EOMONTH('Deal maths'!AA925,-(INT(((YEAR('Deal maths'!AA925)-YEAR(IF('Deal maths'!Z925&gt;0,'Deal maths'!Z925,DATE(1990,1,1))))*12+MONTH('Deal maths'!AA925)-MONTH(IF('Deal maths'!Z925&gt;0,'Deal maths'!Z925,DATE(1990,1,1))))/D925))*D925),EDATE('Deal maths'!AA925,-(INT(((YEAR('Deal maths'!AA925)-YEAR(IF('Deal maths'!Z925&gt;0,'Deal maths'!Z925,DATE(1990,1,1))))*12+MONTH('Deal maths'!AA925)-MONTH(IF('Deal maths'!Z925&gt;0,'Deal maths'!Z925,DATE(1990,1,1))))/D925))*D925))&gt;IF('Deal maths'!Z925&gt;0,'Deal maths'!Z925,DATE(1990,1,1)),IF(DAY('Deal maths'!AA925+1)=1,EOMONTH('Deal maths'!AA925,-(INT(((YEAR('Deal maths'!AA925)-YEAR(IF('Deal maths'!Z925&gt;0,'Deal maths'!Z925,DATE(1990,1,1))))*12+MONTH('Deal maths'!AA925)-MONTH(IF('Deal maths'!Z925&gt;0,'Deal maths'!Z925,DATE(1990,1,1))))/D925))*D925),EDATE('Deal maths'!AA925,-(INT(((YEAR('Deal maths'!AA925)-YEAR(IF('Deal maths'!Z925&gt;0,'Deal maths'!Z925,DATE(1990,1,1))))*12+MONTH('Deal maths'!AA925)-MONTH(IF('Deal maths'!Z925&gt;0,'Deal maths'!Z925,DATE(1990,1,1))))/D925))*D925)),IF(DAY('Deal maths'!AA925+1)=1,EOMONTH('Deal maths'!AA925,-(INT(((YEAR('Deal maths'!AA925)-YEAR(IF('Deal maths'!Z925&gt;0,'Deal maths'!Z925,DATE(1990,1,1))))*12+MONTH('Deal maths'!AA925)-MONTH(IF('Deal maths'!Z925&gt;0,'Deal maths'!Z925,DATE(1990,1,1))))/D925)-1)*D925),EDATE('Deal maths'!AA925,-(INT(((YEAR('Deal maths'!AA925)-YEAR(IF('Deal maths'!Z925&gt;0,'Deal maths'!Z925,DATE(1990,1,1))))*12+MONTH('Deal maths'!AA925)-MONTH(IF('Deal maths'!Z925&gt;0,'Deal maths'!Z925,DATE(1990,1,1))))/D925)-1)*D925))))),0)</f>
        <v/>
      </c>
      <c r="F925" s="110">
        <f>IF(D925=0,0,'Deal maths'!AB925*D925/12)</f>
        <v/>
      </c>
      <c r="G925" s="108">
        <f>N925+O925</f>
        <v/>
      </c>
      <c r="H925" s="108">
        <f>IFERROR(IF(OR(D925=0,AsAt&lt;E925),0,MIN(N925,INT(((YEAR(AsAt)-YEAR(E925))*12+MONTH(AsAt)-MONTH(E925)-(DAY(AsAt)&lt;MIN(R925,DAY(EOMONTH(AsAt,0)))))/D925)+1)+O925*(AsAt&gt;='Deal maths'!AA925)),0)</f>
        <v/>
      </c>
      <c r="I925" s="108">
        <f>G925-H925</f>
        <v/>
      </c>
      <c r="J925" s="111">
        <f>IF(AND(C925="EIP",I925&gt;0),'Deal maths'!Y925/I925,0)</f>
        <v/>
      </c>
      <c r="K925" s="111">
        <f>IF(AND(C925="Annuity",I925&gt;0),IF(F925&gt;0,'Deal maths'!Y925*F925/(1-(1+F925)^-I925),'Deal maths'!Y925/I925),0)</f>
        <v/>
      </c>
      <c r="L925" s="111">
        <f>IF('Deal maths'!Y925="",0,'Deal maths'!Y925)</f>
        <v/>
      </c>
      <c r="M925" s="112">
        <f>F925+(F925=0)</f>
        <v/>
      </c>
      <c r="N925" s="108">
        <f>IFERROR(IF(D925=0,0,INT(((YEAR('Deal maths'!AA925)-YEAR(E925))*12+MONTH('Deal maths'!AA925)-MONTH(E925)-(DAY('Deal maths'!AA925)&lt;MIN(R925,DAY(EOMONTH('Deal maths'!AA925,0)))))/D925)+1),0)</f>
        <v/>
      </c>
      <c r="O925" s="108">
        <f>IFERROR(IF(D925=0,0,IF(IF(DAY(E925+1)=1,EOMONTH(E925,(N925-1)*D925),EDATE(E925,(N925-1)*D925))='Deal maths'!AA925,0,1)),0)</f>
        <v/>
      </c>
      <c r="P925" s="113">
        <f>IF(B925=0,0,IFERROR(IF(C925="EIP",((I925-O925)*((IF(DAY(E925+1)=1,EOMONTH(E925,H925*D925),EDATE(E925,H925*D925))-AsAt)/365.25+(IF(DAY(E925+1)=1,EOMONTH(E925,(N925-1)*D925),EDATE(E925,(N925-1)*D925))-AsAt)/365.25)/2+O925*('Deal maths'!AA925-AsAt)/365.25)/I925,IF(C925="Annuity",IF(F925&gt;0,((K925-L925*F925)*((IF(DAY(E925+1)=1,EOMONTH(E925,H925*D925),EDATE(E925,H925*D925))-AsAt)/365.25*((1+F925)^(I925-O925)-1)/F925+IF((I925-O925)&gt;1,((IF(DAY(E925+1)=1,EOMONTH(E925,(N925-1)*D925),EDATE(E925,(N925-1)*D925))-AsAt)/365.25-(IF(DAY(E925+1)=1,EOMONTH(E925,H925*D925),EDATE(E925,H925*D925))-AsAt)/365.25)/((I925-O925)-1),0)*(1+F925)*(1-(I925-O925)*(1+F925)^((I925-O925)-1)+((I925-O925)-1)*(1+F925)^(I925-O925))/F925^2)+O925*(K925-L925*F925)*(1+F925)^(I925-1)*('Deal maths'!AA925-AsAt)/365.25)/L925,((I925-O925)*((IF(DAY(E925+1)=1,EOMONTH(E925,H925*D925),EDATE(E925,H925*D925))-AsAt)/365.25+(IF(DAY(E925+1)=1,EOMONTH(E925,(N925-1)*D925),EDATE(E925,(N925-1)*D925))-AsAt)/365.25)/2+O925*('Deal maths'!AA925-AsAt)/365.25)/I925),(S925-AsAt)/365.25)),0))</f>
        <v/>
      </c>
      <c r="Q925" s="109">
        <f>IF(B925=1,'Deal maths'!AA925+ROW()/1000000,"")</f>
        <v/>
      </c>
      <c r="R925" s="108">
        <f>IF(D925=0,0,IF(DAY(E925+1)=1,31,DAY(E925)))</f>
        <v/>
      </c>
      <c r="S925" s="109">
        <f>IF(AND('Deal maths'!V925="LOBO",'Deal maths'!AG925&gt;AsAt,'Deal maths'!AG925&lt;'Deal maths'!AA925),'Deal maths'!AG925,'Deal maths'!AA925)</f>
        <v/>
      </c>
      <c r="T925" s="108">
        <f>('Deal maths'!AA925&gt;AsAt)*('Deal maths'!Y925&gt;0)</f>
        <v/>
      </c>
    </row>
    <row r="926">
      <c r="A926" s="91">
        <f>IF('Deal maths'!V926="","",'Deal maths'!W926)</f>
        <v/>
      </c>
      <c r="B926" s="108">
        <f>('Deal maths'!AA926&gt;AsAt)*('Deal maths'!Y926&gt;0)*('Deal maths'!Z926&lt;=AsAt)</f>
        <v/>
      </c>
      <c r="C926" s="91">
        <f>IF('Deal maths'!V926="","",IF('Deal maths'!AC926="","Maturity",'Deal maths'!AC926))</f>
        <v/>
      </c>
      <c r="D926" s="108">
        <f>IF(OR(C926="EIP",C926="Annuity"),IF('Deal maths'!AD926="Annual",12,IF('Deal maths'!AD926="Quarterly",3,6)),0)</f>
        <v/>
      </c>
      <c r="E926" s="109">
        <f>IFERROR(IF(D926=0,0,IF('Deal maths'!AE926&gt;0,IF('Deal maths'!AE926&gt;'Deal maths'!AA926,'Deal maths'!AA926,'Deal maths'!AE926),IF(IF(DAY('Deal maths'!AA926+1)=1,EOMONTH('Deal maths'!AA926,-(INT(((YEAR('Deal maths'!AA926)-YEAR(IF('Deal maths'!Z926&gt;0,'Deal maths'!Z926,DATE(1990,1,1))))*12+MONTH('Deal maths'!AA926)-MONTH(IF('Deal maths'!Z926&gt;0,'Deal maths'!Z926,DATE(1990,1,1))))/D926))*D926),EDATE('Deal maths'!AA926,-(INT(((YEAR('Deal maths'!AA926)-YEAR(IF('Deal maths'!Z926&gt;0,'Deal maths'!Z926,DATE(1990,1,1))))*12+MONTH('Deal maths'!AA926)-MONTH(IF('Deal maths'!Z926&gt;0,'Deal maths'!Z926,DATE(1990,1,1))))/D926))*D926))&gt;IF('Deal maths'!Z926&gt;0,'Deal maths'!Z926,DATE(1990,1,1)),IF(DAY('Deal maths'!AA926+1)=1,EOMONTH('Deal maths'!AA926,-(INT(((YEAR('Deal maths'!AA926)-YEAR(IF('Deal maths'!Z926&gt;0,'Deal maths'!Z926,DATE(1990,1,1))))*12+MONTH('Deal maths'!AA926)-MONTH(IF('Deal maths'!Z926&gt;0,'Deal maths'!Z926,DATE(1990,1,1))))/D926))*D926),EDATE('Deal maths'!AA926,-(INT(((YEAR('Deal maths'!AA926)-YEAR(IF('Deal maths'!Z926&gt;0,'Deal maths'!Z926,DATE(1990,1,1))))*12+MONTH('Deal maths'!AA926)-MONTH(IF('Deal maths'!Z926&gt;0,'Deal maths'!Z926,DATE(1990,1,1))))/D926))*D926)),IF(DAY('Deal maths'!AA926+1)=1,EOMONTH('Deal maths'!AA926,-(INT(((YEAR('Deal maths'!AA926)-YEAR(IF('Deal maths'!Z926&gt;0,'Deal maths'!Z926,DATE(1990,1,1))))*12+MONTH('Deal maths'!AA926)-MONTH(IF('Deal maths'!Z926&gt;0,'Deal maths'!Z926,DATE(1990,1,1))))/D926)-1)*D926),EDATE('Deal maths'!AA926,-(INT(((YEAR('Deal maths'!AA926)-YEAR(IF('Deal maths'!Z926&gt;0,'Deal maths'!Z926,DATE(1990,1,1))))*12+MONTH('Deal maths'!AA926)-MONTH(IF('Deal maths'!Z926&gt;0,'Deal maths'!Z926,DATE(1990,1,1))))/D926)-1)*D926))))),0)</f>
        <v/>
      </c>
      <c r="F926" s="110">
        <f>IF(D926=0,0,'Deal maths'!AB926*D926/12)</f>
        <v/>
      </c>
      <c r="G926" s="108">
        <f>N926+O926</f>
        <v/>
      </c>
      <c r="H926" s="108">
        <f>IFERROR(IF(OR(D926=0,AsAt&lt;E926),0,MIN(N926,INT(((YEAR(AsAt)-YEAR(E926))*12+MONTH(AsAt)-MONTH(E926)-(DAY(AsAt)&lt;MIN(R926,DAY(EOMONTH(AsAt,0)))))/D926)+1)+O926*(AsAt&gt;='Deal maths'!AA926)),0)</f>
        <v/>
      </c>
      <c r="I926" s="108">
        <f>G926-H926</f>
        <v/>
      </c>
      <c r="J926" s="111">
        <f>IF(AND(C926="EIP",I926&gt;0),'Deal maths'!Y926/I926,0)</f>
        <v/>
      </c>
      <c r="K926" s="111">
        <f>IF(AND(C926="Annuity",I926&gt;0),IF(F926&gt;0,'Deal maths'!Y926*F926/(1-(1+F926)^-I926),'Deal maths'!Y926/I926),0)</f>
        <v/>
      </c>
      <c r="L926" s="111">
        <f>IF('Deal maths'!Y926="",0,'Deal maths'!Y926)</f>
        <v/>
      </c>
      <c r="M926" s="112">
        <f>F926+(F926=0)</f>
        <v/>
      </c>
      <c r="N926" s="108">
        <f>IFERROR(IF(D926=0,0,INT(((YEAR('Deal maths'!AA926)-YEAR(E926))*12+MONTH('Deal maths'!AA926)-MONTH(E926)-(DAY('Deal maths'!AA926)&lt;MIN(R926,DAY(EOMONTH('Deal maths'!AA926,0)))))/D926)+1),0)</f>
        <v/>
      </c>
      <c r="O926" s="108">
        <f>IFERROR(IF(D926=0,0,IF(IF(DAY(E926+1)=1,EOMONTH(E926,(N926-1)*D926),EDATE(E926,(N926-1)*D926))='Deal maths'!AA926,0,1)),0)</f>
        <v/>
      </c>
      <c r="P926" s="113">
        <f>IF(B926=0,0,IFERROR(IF(C926="EIP",((I926-O926)*((IF(DAY(E926+1)=1,EOMONTH(E926,H926*D926),EDATE(E926,H926*D926))-AsAt)/365.25+(IF(DAY(E926+1)=1,EOMONTH(E926,(N926-1)*D926),EDATE(E926,(N926-1)*D926))-AsAt)/365.25)/2+O926*('Deal maths'!AA926-AsAt)/365.25)/I926,IF(C926="Annuity",IF(F926&gt;0,((K926-L926*F926)*((IF(DAY(E926+1)=1,EOMONTH(E926,H926*D926),EDATE(E926,H926*D926))-AsAt)/365.25*((1+F926)^(I926-O926)-1)/F926+IF((I926-O926)&gt;1,((IF(DAY(E926+1)=1,EOMONTH(E926,(N926-1)*D926),EDATE(E926,(N926-1)*D926))-AsAt)/365.25-(IF(DAY(E926+1)=1,EOMONTH(E926,H926*D926),EDATE(E926,H926*D926))-AsAt)/365.25)/((I926-O926)-1),0)*(1+F926)*(1-(I926-O926)*(1+F926)^((I926-O926)-1)+((I926-O926)-1)*(1+F926)^(I926-O926))/F926^2)+O926*(K926-L926*F926)*(1+F926)^(I926-1)*('Deal maths'!AA926-AsAt)/365.25)/L926,((I926-O926)*((IF(DAY(E926+1)=1,EOMONTH(E926,H926*D926),EDATE(E926,H926*D926))-AsAt)/365.25+(IF(DAY(E926+1)=1,EOMONTH(E926,(N926-1)*D926),EDATE(E926,(N926-1)*D926))-AsAt)/365.25)/2+O926*('Deal maths'!AA926-AsAt)/365.25)/I926),(S926-AsAt)/365.25)),0))</f>
        <v/>
      </c>
      <c r="Q926" s="109">
        <f>IF(B926=1,'Deal maths'!AA926+ROW()/1000000,"")</f>
        <v/>
      </c>
      <c r="R926" s="108">
        <f>IF(D926=0,0,IF(DAY(E926+1)=1,31,DAY(E926)))</f>
        <v/>
      </c>
      <c r="S926" s="109">
        <f>IF(AND('Deal maths'!V926="LOBO",'Deal maths'!AG926&gt;AsAt,'Deal maths'!AG926&lt;'Deal maths'!AA926),'Deal maths'!AG926,'Deal maths'!AA926)</f>
        <v/>
      </c>
      <c r="T926" s="108">
        <f>('Deal maths'!AA926&gt;AsAt)*('Deal maths'!Y926&gt;0)</f>
        <v/>
      </c>
    </row>
    <row r="927">
      <c r="A927" s="91">
        <f>IF('Deal maths'!V927="","",'Deal maths'!W927)</f>
        <v/>
      </c>
      <c r="B927" s="108">
        <f>('Deal maths'!AA927&gt;AsAt)*('Deal maths'!Y927&gt;0)*('Deal maths'!Z927&lt;=AsAt)</f>
        <v/>
      </c>
      <c r="C927" s="91">
        <f>IF('Deal maths'!V927="","",IF('Deal maths'!AC927="","Maturity",'Deal maths'!AC927))</f>
        <v/>
      </c>
      <c r="D927" s="108">
        <f>IF(OR(C927="EIP",C927="Annuity"),IF('Deal maths'!AD927="Annual",12,IF('Deal maths'!AD927="Quarterly",3,6)),0)</f>
        <v/>
      </c>
      <c r="E927" s="109">
        <f>IFERROR(IF(D927=0,0,IF('Deal maths'!AE927&gt;0,IF('Deal maths'!AE927&gt;'Deal maths'!AA927,'Deal maths'!AA927,'Deal maths'!AE927),IF(IF(DAY('Deal maths'!AA927+1)=1,EOMONTH('Deal maths'!AA927,-(INT(((YEAR('Deal maths'!AA927)-YEAR(IF('Deal maths'!Z927&gt;0,'Deal maths'!Z927,DATE(1990,1,1))))*12+MONTH('Deal maths'!AA927)-MONTH(IF('Deal maths'!Z927&gt;0,'Deal maths'!Z927,DATE(1990,1,1))))/D927))*D927),EDATE('Deal maths'!AA927,-(INT(((YEAR('Deal maths'!AA927)-YEAR(IF('Deal maths'!Z927&gt;0,'Deal maths'!Z927,DATE(1990,1,1))))*12+MONTH('Deal maths'!AA927)-MONTH(IF('Deal maths'!Z927&gt;0,'Deal maths'!Z927,DATE(1990,1,1))))/D927))*D927))&gt;IF('Deal maths'!Z927&gt;0,'Deal maths'!Z927,DATE(1990,1,1)),IF(DAY('Deal maths'!AA927+1)=1,EOMONTH('Deal maths'!AA927,-(INT(((YEAR('Deal maths'!AA927)-YEAR(IF('Deal maths'!Z927&gt;0,'Deal maths'!Z927,DATE(1990,1,1))))*12+MONTH('Deal maths'!AA927)-MONTH(IF('Deal maths'!Z927&gt;0,'Deal maths'!Z927,DATE(1990,1,1))))/D927))*D927),EDATE('Deal maths'!AA927,-(INT(((YEAR('Deal maths'!AA927)-YEAR(IF('Deal maths'!Z927&gt;0,'Deal maths'!Z927,DATE(1990,1,1))))*12+MONTH('Deal maths'!AA927)-MONTH(IF('Deal maths'!Z927&gt;0,'Deal maths'!Z927,DATE(1990,1,1))))/D927))*D927)),IF(DAY('Deal maths'!AA927+1)=1,EOMONTH('Deal maths'!AA927,-(INT(((YEAR('Deal maths'!AA927)-YEAR(IF('Deal maths'!Z927&gt;0,'Deal maths'!Z927,DATE(1990,1,1))))*12+MONTH('Deal maths'!AA927)-MONTH(IF('Deal maths'!Z927&gt;0,'Deal maths'!Z927,DATE(1990,1,1))))/D927)-1)*D927),EDATE('Deal maths'!AA927,-(INT(((YEAR('Deal maths'!AA927)-YEAR(IF('Deal maths'!Z927&gt;0,'Deal maths'!Z927,DATE(1990,1,1))))*12+MONTH('Deal maths'!AA927)-MONTH(IF('Deal maths'!Z927&gt;0,'Deal maths'!Z927,DATE(1990,1,1))))/D927)-1)*D927))))),0)</f>
        <v/>
      </c>
      <c r="F927" s="110">
        <f>IF(D927=0,0,'Deal maths'!AB927*D927/12)</f>
        <v/>
      </c>
      <c r="G927" s="108">
        <f>N927+O927</f>
        <v/>
      </c>
      <c r="H927" s="108">
        <f>IFERROR(IF(OR(D927=0,AsAt&lt;E927),0,MIN(N927,INT(((YEAR(AsAt)-YEAR(E927))*12+MONTH(AsAt)-MONTH(E927)-(DAY(AsAt)&lt;MIN(R927,DAY(EOMONTH(AsAt,0)))))/D927)+1)+O927*(AsAt&gt;='Deal maths'!AA927)),0)</f>
        <v/>
      </c>
      <c r="I927" s="108">
        <f>G927-H927</f>
        <v/>
      </c>
      <c r="J927" s="111">
        <f>IF(AND(C927="EIP",I927&gt;0),'Deal maths'!Y927/I927,0)</f>
        <v/>
      </c>
      <c r="K927" s="111">
        <f>IF(AND(C927="Annuity",I927&gt;0),IF(F927&gt;0,'Deal maths'!Y927*F927/(1-(1+F927)^-I927),'Deal maths'!Y927/I927),0)</f>
        <v/>
      </c>
      <c r="L927" s="111">
        <f>IF('Deal maths'!Y927="",0,'Deal maths'!Y927)</f>
        <v/>
      </c>
      <c r="M927" s="112">
        <f>F927+(F927=0)</f>
        <v/>
      </c>
      <c r="N927" s="108">
        <f>IFERROR(IF(D927=0,0,INT(((YEAR('Deal maths'!AA927)-YEAR(E927))*12+MONTH('Deal maths'!AA927)-MONTH(E927)-(DAY('Deal maths'!AA927)&lt;MIN(R927,DAY(EOMONTH('Deal maths'!AA927,0)))))/D927)+1),0)</f>
        <v/>
      </c>
      <c r="O927" s="108">
        <f>IFERROR(IF(D927=0,0,IF(IF(DAY(E927+1)=1,EOMONTH(E927,(N927-1)*D927),EDATE(E927,(N927-1)*D927))='Deal maths'!AA927,0,1)),0)</f>
        <v/>
      </c>
      <c r="P927" s="113">
        <f>IF(B927=0,0,IFERROR(IF(C927="EIP",((I927-O927)*((IF(DAY(E927+1)=1,EOMONTH(E927,H927*D927),EDATE(E927,H927*D927))-AsAt)/365.25+(IF(DAY(E927+1)=1,EOMONTH(E927,(N927-1)*D927),EDATE(E927,(N927-1)*D927))-AsAt)/365.25)/2+O927*('Deal maths'!AA927-AsAt)/365.25)/I927,IF(C927="Annuity",IF(F927&gt;0,((K927-L927*F927)*((IF(DAY(E927+1)=1,EOMONTH(E927,H927*D927),EDATE(E927,H927*D927))-AsAt)/365.25*((1+F927)^(I927-O927)-1)/F927+IF((I927-O927)&gt;1,((IF(DAY(E927+1)=1,EOMONTH(E927,(N927-1)*D927),EDATE(E927,(N927-1)*D927))-AsAt)/365.25-(IF(DAY(E927+1)=1,EOMONTH(E927,H927*D927),EDATE(E927,H927*D927))-AsAt)/365.25)/((I927-O927)-1),0)*(1+F927)*(1-(I927-O927)*(1+F927)^((I927-O927)-1)+((I927-O927)-1)*(1+F927)^(I927-O927))/F927^2)+O927*(K927-L927*F927)*(1+F927)^(I927-1)*('Deal maths'!AA927-AsAt)/365.25)/L927,((I927-O927)*((IF(DAY(E927+1)=1,EOMONTH(E927,H927*D927),EDATE(E927,H927*D927))-AsAt)/365.25+(IF(DAY(E927+1)=1,EOMONTH(E927,(N927-1)*D927),EDATE(E927,(N927-1)*D927))-AsAt)/365.25)/2+O927*('Deal maths'!AA927-AsAt)/365.25)/I927),(S927-AsAt)/365.25)),0))</f>
        <v/>
      </c>
      <c r="Q927" s="109">
        <f>IF(B927=1,'Deal maths'!AA927+ROW()/1000000,"")</f>
        <v/>
      </c>
      <c r="R927" s="108">
        <f>IF(D927=0,0,IF(DAY(E927+1)=1,31,DAY(E927)))</f>
        <v/>
      </c>
      <c r="S927" s="109">
        <f>IF(AND('Deal maths'!V927="LOBO",'Deal maths'!AG927&gt;AsAt,'Deal maths'!AG927&lt;'Deal maths'!AA927),'Deal maths'!AG927,'Deal maths'!AA927)</f>
        <v/>
      </c>
      <c r="T927" s="108">
        <f>('Deal maths'!AA927&gt;AsAt)*('Deal maths'!Y927&gt;0)</f>
        <v/>
      </c>
    </row>
    <row r="928">
      <c r="A928" s="91">
        <f>IF('Deal maths'!V928="","",'Deal maths'!W928)</f>
        <v/>
      </c>
      <c r="B928" s="108">
        <f>('Deal maths'!AA928&gt;AsAt)*('Deal maths'!Y928&gt;0)*('Deal maths'!Z928&lt;=AsAt)</f>
        <v/>
      </c>
      <c r="C928" s="91">
        <f>IF('Deal maths'!V928="","",IF('Deal maths'!AC928="","Maturity",'Deal maths'!AC928))</f>
        <v/>
      </c>
      <c r="D928" s="108">
        <f>IF(OR(C928="EIP",C928="Annuity"),IF('Deal maths'!AD928="Annual",12,IF('Deal maths'!AD928="Quarterly",3,6)),0)</f>
        <v/>
      </c>
      <c r="E928" s="109">
        <f>IFERROR(IF(D928=0,0,IF('Deal maths'!AE928&gt;0,IF('Deal maths'!AE928&gt;'Deal maths'!AA928,'Deal maths'!AA928,'Deal maths'!AE928),IF(IF(DAY('Deal maths'!AA928+1)=1,EOMONTH('Deal maths'!AA928,-(INT(((YEAR('Deal maths'!AA928)-YEAR(IF('Deal maths'!Z928&gt;0,'Deal maths'!Z928,DATE(1990,1,1))))*12+MONTH('Deal maths'!AA928)-MONTH(IF('Deal maths'!Z928&gt;0,'Deal maths'!Z928,DATE(1990,1,1))))/D928))*D928),EDATE('Deal maths'!AA928,-(INT(((YEAR('Deal maths'!AA928)-YEAR(IF('Deal maths'!Z928&gt;0,'Deal maths'!Z928,DATE(1990,1,1))))*12+MONTH('Deal maths'!AA928)-MONTH(IF('Deal maths'!Z928&gt;0,'Deal maths'!Z928,DATE(1990,1,1))))/D928))*D928))&gt;IF('Deal maths'!Z928&gt;0,'Deal maths'!Z928,DATE(1990,1,1)),IF(DAY('Deal maths'!AA928+1)=1,EOMONTH('Deal maths'!AA928,-(INT(((YEAR('Deal maths'!AA928)-YEAR(IF('Deal maths'!Z928&gt;0,'Deal maths'!Z928,DATE(1990,1,1))))*12+MONTH('Deal maths'!AA928)-MONTH(IF('Deal maths'!Z928&gt;0,'Deal maths'!Z928,DATE(1990,1,1))))/D928))*D928),EDATE('Deal maths'!AA928,-(INT(((YEAR('Deal maths'!AA928)-YEAR(IF('Deal maths'!Z928&gt;0,'Deal maths'!Z928,DATE(1990,1,1))))*12+MONTH('Deal maths'!AA928)-MONTH(IF('Deal maths'!Z928&gt;0,'Deal maths'!Z928,DATE(1990,1,1))))/D928))*D928)),IF(DAY('Deal maths'!AA928+1)=1,EOMONTH('Deal maths'!AA928,-(INT(((YEAR('Deal maths'!AA928)-YEAR(IF('Deal maths'!Z928&gt;0,'Deal maths'!Z928,DATE(1990,1,1))))*12+MONTH('Deal maths'!AA928)-MONTH(IF('Deal maths'!Z928&gt;0,'Deal maths'!Z928,DATE(1990,1,1))))/D928)-1)*D928),EDATE('Deal maths'!AA928,-(INT(((YEAR('Deal maths'!AA928)-YEAR(IF('Deal maths'!Z928&gt;0,'Deal maths'!Z928,DATE(1990,1,1))))*12+MONTH('Deal maths'!AA928)-MONTH(IF('Deal maths'!Z928&gt;0,'Deal maths'!Z928,DATE(1990,1,1))))/D928)-1)*D928))))),0)</f>
        <v/>
      </c>
      <c r="F928" s="110">
        <f>IF(D928=0,0,'Deal maths'!AB928*D928/12)</f>
        <v/>
      </c>
      <c r="G928" s="108">
        <f>N928+O928</f>
        <v/>
      </c>
      <c r="H928" s="108">
        <f>IFERROR(IF(OR(D928=0,AsAt&lt;E928),0,MIN(N928,INT(((YEAR(AsAt)-YEAR(E928))*12+MONTH(AsAt)-MONTH(E928)-(DAY(AsAt)&lt;MIN(R928,DAY(EOMONTH(AsAt,0)))))/D928)+1)+O928*(AsAt&gt;='Deal maths'!AA928)),0)</f>
        <v/>
      </c>
      <c r="I928" s="108">
        <f>G928-H928</f>
        <v/>
      </c>
      <c r="J928" s="111">
        <f>IF(AND(C928="EIP",I928&gt;0),'Deal maths'!Y928/I928,0)</f>
        <v/>
      </c>
      <c r="K928" s="111">
        <f>IF(AND(C928="Annuity",I928&gt;0),IF(F928&gt;0,'Deal maths'!Y928*F928/(1-(1+F928)^-I928),'Deal maths'!Y928/I928),0)</f>
        <v/>
      </c>
      <c r="L928" s="111">
        <f>IF('Deal maths'!Y928="",0,'Deal maths'!Y928)</f>
        <v/>
      </c>
      <c r="M928" s="112">
        <f>F928+(F928=0)</f>
        <v/>
      </c>
      <c r="N928" s="108">
        <f>IFERROR(IF(D928=0,0,INT(((YEAR('Deal maths'!AA928)-YEAR(E928))*12+MONTH('Deal maths'!AA928)-MONTH(E928)-(DAY('Deal maths'!AA928)&lt;MIN(R928,DAY(EOMONTH('Deal maths'!AA928,0)))))/D928)+1),0)</f>
        <v/>
      </c>
      <c r="O928" s="108">
        <f>IFERROR(IF(D928=0,0,IF(IF(DAY(E928+1)=1,EOMONTH(E928,(N928-1)*D928),EDATE(E928,(N928-1)*D928))='Deal maths'!AA928,0,1)),0)</f>
        <v/>
      </c>
      <c r="P928" s="113">
        <f>IF(B928=0,0,IFERROR(IF(C928="EIP",((I928-O928)*((IF(DAY(E928+1)=1,EOMONTH(E928,H928*D928),EDATE(E928,H928*D928))-AsAt)/365.25+(IF(DAY(E928+1)=1,EOMONTH(E928,(N928-1)*D928),EDATE(E928,(N928-1)*D928))-AsAt)/365.25)/2+O928*('Deal maths'!AA928-AsAt)/365.25)/I928,IF(C928="Annuity",IF(F928&gt;0,((K928-L928*F928)*((IF(DAY(E928+1)=1,EOMONTH(E928,H928*D928),EDATE(E928,H928*D928))-AsAt)/365.25*((1+F928)^(I928-O928)-1)/F928+IF((I928-O928)&gt;1,((IF(DAY(E928+1)=1,EOMONTH(E928,(N928-1)*D928),EDATE(E928,(N928-1)*D928))-AsAt)/365.25-(IF(DAY(E928+1)=1,EOMONTH(E928,H928*D928),EDATE(E928,H928*D928))-AsAt)/365.25)/((I928-O928)-1),0)*(1+F928)*(1-(I928-O928)*(1+F928)^((I928-O928)-1)+((I928-O928)-1)*(1+F928)^(I928-O928))/F928^2)+O928*(K928-L928*F928)*(1+F928)^(I928-1)*('Deal maths'!AA928-AsAt)/365.25)/L928,((I928-O928)*((IF(DAY(E928+1)=1,EOMONTH(E928,H928*D928),EDATE(E928,H928*D928))-AsAt)/365.25+(IF(DAY(E928+1)=1,EOMONTH(E928,(N928-1)*D928),EDATE(E928,(N928-1)*D928))-AsAt)/365.25)/2+O928*('Deal maths'!AA928-AsAt)/365.25)/I928),(S928-AsAt)/365.25)),0))</f>
        <v/>
      </c>
      <c r="Q928" s="109">
        <f>IF(B928=1,'Deal maths'!AA928+ROW()/1000000,"")</f>
        <v/>
      </c>
      <c r="R928" s="108">
        <f>IF(D928=0,0,IF(DAY(E928+1)=1,31,DAY(E928)))</f>
        <v/>
      </c>
      <c r="S928" s="109">
        <f>IF(AND('Deal maths'!V928="LOBO",'Deal maths'!AG928&gt;AsAt,'Deal maths'!AG928&lt;'Deal maths'!AA928),'Deal maths'!AG928,'Deal maths'!AA928)</f>
        <v/>
      </c>
      <c r="T928" s="108">
        <f>('Deal maths'!AA928&gt;AsAt)*('Deal maths'!Y928&gt;0)</f>
        <v/>
      </c>
    </row>
    <row r="929">
      <c r="A929" s="91">
        <f>IF('Deal maths'!V929="","",'Deal maths'!W929)</f>
        <v/>
      </c>
      <c r="B929" s="108">
        <f>('Deal maths'!AA929&gt;AsAt)*('Deal maths'!Y929&gt;0)*('Deal maths'!Z929&lt;=AsAt)</f>
        <v/>
      </c>
      <c r="C929" s="91">
        <f>IF('Deal maths'!V929="","",IF('Deal maths'!AC929="","Maturity",'Deal maths'!AC929))</f>
        <v/>
      </c>
      <c r="D929" s="108">
        <f>IF(OR(C929="EIP",C929="Annuity"),IF('Deal maths'!AD929="Annual",12,IF('Deal maths'!AD929="Quarterly",3,6)),0)</f>
        <v/>
      </c>
      <c r="E929" s="109">
        <f>IFERROR(IF(D929=0,0,IF('Deal maths'!AE929&gt;0,IF('Deal maths'!AE929&gt;'Deal maths'!AA929,'Deal maths'!AA929,'Deal maths'!AE929),IF(IF(DAY('Deal maths'!AA929+1)=1,EOMONTH('Deal maths'!AA929,-(INT(((YEAR('Deal maths'!AA929)-YEAR(IF('Deal maths'!Z929&gt;0,'Deal maths'!Z929,DATE(1990,1,1))))*12+MONTH('Deal maths'!AA929)-MONTH(IF('Deal maths'!Z929&gt;0,'Deal maths'!Z929,DATE(1990,1,1))))/D929))*D929),EDATE('Deal maths'!AA929,-(INT(((YEAR('Deal maths'!AA929)-YEAR(IF('Deal maths'!Z929&gt;0,'Deal maths'!Z929,DATE(1990,1,1))))*12+MONTH('Deal maths'!AA929)-MONTH(IF('Deal maths'!Z929&gt;0,'Deal maths'!Z929,DATE(1990,1,1))))/D929))*D929))&gt;IF('Deal maths'!Z929&gt;0,'Deal maths'!Z929,DATE(1990,1,1)),IF(DAY('Deal maths'!AA929+1)=1,EOMONTH('Deal maths'!AA929,-(INT(((YEAR('Deal maths'!AA929)-YEAR(IF('Deal maths'!Z929&gt;0,'Deal maths'!Z929,DATE(1990,1,1))))*12+MONTH('Deal maths'!AA929)-MONTH(IF('Deal maths'!Z929&gt;0,'Deal maths'!Z929,DATE(1990,1,1))))/D929))*D929),EDATE('Deal maths'!AA929,-(INT(((YEAR('Deal maths'!AA929)-YEAR(IF('Deal maths'!Z929&gt;0,'Deal maths'!Z929,DATE(1990,1,1))))*12+MONTH('Deal maths'!AA929)-MONTH(IF('Deal maths'!Z929&gt;0,'Deal maths'!Z929,DATE(1990,1,1))))/D929))*D929)),IF(DAY('Deal maths'!AA929+1)=1,EOMONTH('Deal maths'!AA929,-(INT(((YEAR('Deal maths'!AA929)-YEAR(IF('Deal maths'!Z929&gt;0,'Deal maths'!Z929,DATE(1990,1,1))))*12+MONTH('Deal maths'!AA929)-MONTH(IF('Deal maths'!Z929&gt;0,'Deal maths'!Z929,DATE(1990,1,1))))/D929)-1)*D929),EDATE('Deal maths'!AA929,-(INT(((YEAR('Deal maths'!AA929)-YEAR(IF('Deal maths'!Z929&gt;0,'Deal maths'!Z929,DATE(1990,1,1))))*12+MONTH('Deal maths'!AA929)-MONTH(IF('Deal maths'!Z929&gt;0,'Deal maths'!Z929,DATE(1990,1,1))))/D929)-1)*D929))))),0)</f>
        <v/>
      </c>
      <c r="F929" s="110">
        <f>IF(D929=0,0,'Deal maths'!AB929*D929/12)</f>
        <v/>
      </c>
      <c r="G929" s="108">
        <f>N929+O929</f>
        <v/>
      </c>
      <c r="H929" s="108">
        <f>IFERROR(IF(OR(D929=0,AsAt&lt;E929),0,MIN(N929,INT(((YEAR(AsAt)-YEAR(E929))*12+MONTH(AsAt)-MONTH(E929)-(DAY(AsAt)&lt;MIN(R929,DAY(EOMONTH(AsAt,0)))))/D929)+1)+O929*(AsAt&gt;='Deal maths'!AA929)),0)</f>
        <v/>
      </c>
      <c r="I929" s="108">
        <f>G929-H929</f>
        <v/>
      </c>
      <c r="J929" s="111">
        <f>IF(AND(C929="EIP",I929&gt;0),'Deal maths'!Y929/I929,0)</f>
        <v/>
      </c>
      <c r="K929" s="111">
        <f>IF(AND(C929="Annuity",I929&gt;0),IF(F929&gt;0,'Deal maths'!Y929*F929/(1-(1+F929)^-I929),'Deal maths'!Y929/I929),0)</f>
        <v/>
      </c>
      <c r="L929" s="111">
        <f>IF('Deal maths'!Y929="",0,'Deal maths'!Y929)</f>
        <v/>
      </c>
      <c r="M929" s="112">
        <f>F929+(F929=0)</f>
        <v/>
      </c>
      <c r="N929" s="108">
        <f>IFERROR(IF(D929=0,0,INT(((YEAR('Deal maths'!AA929)-YEAR(E929))*12+MONTH('Deal maths'!AA929)-MONTH(E929)-(DAY('Deal maths'!AA929)&lt;MIN(R929,DAY(EOMONTH('Deal maths'!AA929,0)))))/D929)+1),0)</f>
        <v/>
      </c>
      <c r="O929" s="108">
        <f>IFERROR(IF(D929=0,0,IF(IF(DAY(E929+1)=1,EOMONTH(E929,(N929-1)*D929),EDATE(E929,(N929-1)*D929))='Deal maths'!AA929,0,1)),0)</f>
        <v/>
      </c>
      <c r="P929" s="113">
        <f>IF(B929=0,0,IFERROR(IF(C929="EIP",((I929-O929)*((IF(DAY(E929+1)=1,EOMONTH(E929,H929*D929),EDATE(E929,H929*D929))-AsAt)/365.25+(IF(DAY(E929+1)=1,EOMONTH(E929,(N929-1)*D929),EDATE(E929,(N929-1)*D929))-AsAt)/365.25)/2+O929*('Deal maths'!AA929-AsAt)/365.25)/I929,IF(C929="Annuity",IF(F929&gt;0,((K929-L929*F929)*((IF(DAY(E929+1)=1,EOMONTH(E929,H929*D929),EDATE(E929,H929*D929))-AsAt)/365.25*((1+F929)^(I929-O929)-1)/F929+IF((I929-O929)&gt;1,((IF(DAY(E929+1)=1,EOMONTH(E929,(N929-1)*D929),EDATE(E929,(N929-1)*D929))-AsAt)/365.25-(IF(DAY(E929+1)=1,EOMONTH(E929,H929*D929),EDATE(E929,H929*D929))-AsAt)/365.25)/((I929-O929)-1),0)*(1+F929)*(1-(I929-O929)*(1+F929)^((I929-O929)-1)+((I929-O929)-1)*(1+F929)^(I929-O929))/F929^2)+O929*(K929-L929*F929)*(1+F929)^(I929-1)*('Deal maths'!AA929-AsAt)/365.25)/L929,((I929-O929)*((IF(DAY(E929+1)=1,EOMONTH(E929,H929*D929),EDATE(E929,H929*D929))-AsAt)/365.25+(IF(DAY(E929+1)=1,EOMONTH(E929,(N929-1)*D929),EDATE(E929,(N929-1)*D929))-AsAt)/365.25)/2+O929*('Deal maths'!AA929-AsAt)/365.25)/I929),(S929-AsAt)/365.25)),0))</f>
        <v/>
      </c>
      <c r="Q929" s="109">
        <f>IF(B929=1,'Deal maths'!AA929+ROW()/1000000,"")</f>
        <v/>
      </c>
      <c r="R929" s="108">
        <f>IF(D929=0,0,IF(DAY(E929+1)=1,31,DAY(E929)))</f>
        <v/>
      </c>
      <c r="S929" s="109">
        <f>IF(AND('Deal maths'!V929="LOBO",'Deal maths'!AG929&gt;AsAt,'Deal maths'!AG929&lt;'Deal maths'!AA929),'Deal maths'!AG929,'Deal maths'!AA929)</f>
        <v/>
      </c>
      <c r="T929" s="108">
        <f>('Deal maths'!AA929&gt;AsAt)*('Deal maths'!Y929&gt;0)</f>
        <v/>
      </c>
    </row>
    <row r="930">
      <c r="A930" s="91">
        <f>IF('Deal maths'!V930="","",'Deal maths'!W930)</f>
        <v/>
      </c>
      <c r="B930" s="108">
        <f>('Deal maths'!AA930&gt;AsAt)*('Deal maths'!Y930&gt;0)*('Deal maths'!Z930&lt;=AsAt)</f>
        <v/>
      </c>
      <c r="C930" s="91">
        <f>IF('Deal maths'!V930="","",IF('Deal maths'!AC930="","Maturity",'Deal maths'!AC930))</f>
        <v/>
      </c>
      <c r="D930" s="108">
        <f>IF(OR(C930="EIP",C930="Annuity"),IF('Deal maths'!AD930="Annual",12,IF('Deal maths'!AD930="Quarterly",3,6)),0)</f>
        <v/>
      </c>
      <c r="E930" s="109">
        <f>IFERROR(IF(D930=0,0,IF('Deal maths'!AE930&gt;0,IF('Deal maths'!AE930&gt;'Deal maths'!AA930,'Deal maths'!AA930,'Deal maths'!AE930),IF(IF(DAY('Deal maths'!AA930+1)=1,EOMONTH('Deal maths'!AA930,-(INT(((YEAR('Deal maths'!AA930)-YEAR(IF('Deal maths'!Z930&gt;0,'Deal maths'!Z930,DATE(1990,1,1))))*12+MONTH('Deal maths'!AA930)-MONTH(IF('Deal maths'!Z930&gt;0,'Deal maths'!Z930,DATE(1990,1,1))))/D930))*D930),EDATE('Deal maths'!AA930,-(INT(((YEAR('Deal maths'!AA930)-YEAR(IF('Deal maths'!Z930&gt;0,'Deal maths'!Z930,DATE(1990,1,1))))*12+MONTH('Deal maths'!AA930)-MONTH(IF('Deal maths'!Z930&gt;0,'Deal maths'!Z930,DATE(1990,1,1))))/D930))*D930))&gt;IF('Deal maths'!Z930&gt;0,'Deal maths'!Z930,DATE(1990,1,1)),IF(DAY('Deal maths'!AA930+1)=1,EOMONTH('Deal maths'!AA930,-(INT(((YEAR('Deal maths'!AA930)-YEAR(IF('Deal maths'!Z930&gt;0,'Deal maths'!Z930,DATE(1990,1,1))))*12+MONTH('Deal maths'!AA930)-MONTH(IF('Deal maths'!Z930&gt;0,'Deal maths'!Z930,DATE(1990,1,1))))/D930))*D930),EDATE('Deal maths'!AA930,-(INT(((YEAR('Deal maths'!AA930)-YEAR(IF('Deal maths'!Z930&gt;0,'Deal maths'!Z930,DATE(1990,1,1))))*12+MONTH('Deal maths'!AA930)-MONTH(IF('Deal maths'!Z930&gt;0,'Deal maths'!Z930,DATE(1990,1,1))))/D930))*D930)),IF(DAY('Deal maths'!AA930+1)=1,EOMONTH('Deal maths'!AA930,-(INT(((YEAR('Deal maths'!AA930)-YEAR(IF('Deal maths'!Z930&gt;0,'Deal maths'!Z930,DATE(1990,1,1))))*12+MONTH('Deal maths'!AA930)-MONTH(IF('Deal maths'!Z930&gt;0,'Deal maths'!Z930,DATE(1990,1,1))))/D930)-1)*D930),EDATE('Deal maths'!AA930,-(INT(((YEAR('Deal maths'!AA930)-YEAR(IF('Deal maths'!Z930&gt;0,'Deal maths'!Z930,DATE(1990,1,1))))*12+MONTH('Deal maths'!AA930)-MONTH(IF('Deal maths'!Z930&gt;0,'Deal maths'!Z930,DATE(1990,1,1))))/D930)-1)*D930))))),0)</f>
        <v/>
      </c>
      <c r="F930" s="110">
        <f>IF(D930=0,0,'Deal maths'!AB930*D930/12)</f>
        <v/>
      </c>
      <c r="G930" s="108">
        <f>N930+O930</f>
        <v/>
      </c>
      <c r="H930" s="108">
        <f>IFERROR(IF(OR(D930=0,AsAt&lt;E930),0,MIN(N930,INT(((YEAR(AsAt)-YEAR(E930))*12+MONTH(AsAt)-MONTH(E930)-(DAY(AsAt)&lt;MIN(R930,DAY(EOMONTH(AsAt,0)))))/D930)+1)+O930*(AsAt&gt;='Deal maths'!AA930)),0)</f>
        <v/>
      </c>
      <c r="I930" s="108">
        <f>G930-H930</f>
        <v/>
      </c>
      <c r="J930" s="111">
        <f>IF(AND(C930="EIP",I930&gt;0),'Deal maths'!Y930/I930,0)</f>
        <v/>
      </c>
      <c r="K930" s="111">
        <f>IF(AND(C930="Annuity",I930&gt;0),IF(F930&gt;0,'Deal maths'!Y930*F930/(1-(1+F930)^-I930),'Deal maths'!Y930/I930),0)</f>
        <v/>
      </c>
      <c r="L930" s="111">
        <f>IF('Deal maths'!Y930="",0,'Deal maths'!Y930)</f>
        <v/>
      </c>
      <c r="M930" s="112">
        <f>F930+(F930=0)</f>
        <v/>
      </c>
      <c r="N930" s="108">
        <f>IFERROR(IF(D930=0,0,INT(((YEAR('Deal maths'!AA930)-YEAR(E930))*12+MONTH('Deal maths'!AA930)-MONTH(E930)-(DAY('Deal maths'!AA930)&lt;MIN(R930,DAY(EOMONTH('Deal maths'!AA930,0)))))/D930)+1),0)</f>
        <v/>
      </c>
      <c r="O930" s="108">
        <f>IFERROR(IF(D930=0,0,IF(IF(DAY(E930+1)=1,EOMONTH(E930,(N930-1)*D930),EDATE(E930,(N930-1)*D930))='Deal maths'!AA930,0,1)),0)</f>
        <v/>
      </c>
      <c r="P930" s="113">
        <f>IF(B930=0,0,IFERROR(IF(C930="EIP",((I930-O930)*((IF(DAY(E930+1)=1,EOMONTH(E930,H930*D930),EDATE(E930,H930*D930))-AsAt)/365.25+(IF(DAY(E930+1)=1,EOMONTH(E930,(N930-1)*D930),EDATE(E930,(N930-1)*D930))-AsAt)/365.25)/2+O930*('Deal maths'!AA930-AsAt)/365.25)/I930,IF(C930="Annuity",IF(F930&gt;0,((K930-L930*F930)*((IF(DAY(E930+1)=1,EOMONTH(E930,H930*D930),EDATE(E930,H930*D930))-AsAt)/365.25*((1+F930)^(I930-O930)-1)/F930+IF((I930-O930)&gt;1,((IF(DAY(E930+1)=1,EOMONTH(E930,(N930-1)*D930),EDATE(E930,(N930-1)*D930))-AsAt)/365.25-(IF(DAY(E930+1)=1,EOMONTH(E930,H930*D930),EDATE(E930,H930*D930))-AsAt)/365.25)/((I930-O930)-1),0)*(1+F930)*(1-(I930-O930)*(1+F930)^((I930-O930)-1)+((I930-O930)-1)*(1+F930)^(I930-O930))/F930^2)+O930*(K930-L930*F930)*(1+F930)^(I930-1)*('Deal maths'!AA930-AsAt)/365.25)/L930,((I930-O930)*((IF(DAY(E930+1)=1,EOMONTH(E930,H930*D930),EDATE(E930,H930*D930))-AsAt)/365.25+(IF(DAY(E930+1)=1,EOMONTH(E930,(N930-1)*D930),EDATE(E930,(N930-1)*D930))-AsAt)/365.25)/2+O930*('Deal maths'!AA930-AsAt)/365.25)/I930),(S930-AsAt)/365.25)),0))</f>
        <v/>
      </c>
      <c r="Q930" s="109">
        <f>IF(B930=1,'Deal maths'!AA930+ROW()/1000000,"")</f>
        <v/>
      </c>
      <c r="R930" s="108">
        <f>IF(D930=0,0,IF(DAY(E930+1)=1,31,DAY(E930)))</f>
        <v/>
      </c>
      <c r="S930" s="109">
        <f>IF(AND('Deal maths'!V930="LOBO",'Deal maths'!AG930&gt;AsAt,'Deal maths'!AG930&lt;'Deal maths'!AA930),'Deal maths'!AG930,'Deal maths'!AA930)</f>
        <v/>
      </c>
      <c r="T930" s="108">
        <f>('Deal maths'!AA930&gt;AsAt)*('Deal maths'!Y930&gt;0)</f>
        <v/>
      </c>
    </row>
    <row r="931">
      <c r="A931" s="91">
        <f>IF('Deal maths'!V931="","",'Deal maths'!W931)</f>
        <v/>
      </c>
      <c r="B931" s="108">
        <f>('Deal maths'!AA931&gt;AsAt)*('Deal maths'!Y931&gt;0)*('Deal maths'!Z931&lt;=AsAt)</f>
        <v/>
      </c>
      <c r="C931" s="91">
        <f>IF('Deal maths'!V931="","",IF('Deal maths'!AC931="","Maturity",'Deal maths'!AC931))</f>
        <v/>
      </c>
      <c r="D931" s="108">
        <f>IF(OR(C931="EIP",C931="Annuity"),IF('Deal maths'!AD931="Annual",12,IF('Deal maths'!AD931="Quarterly",3,6)),0)</f>
        <v/>
      </c>
      <c r="E931" s="109">
        <f>IFERROR(IF(D931=0,0,IF('Deal maths'!AE931&gt;0,IF('Deal maths'!AE931&gt;'Deal maths'!AA931,'Deal maths'!AA931,'Deal maths'!AE931),IF(IF(DAY('Deal maths'!AA931+1)=1,EOMONTH('Deal maths'!AA931,-(INT(((YEAR('Deal maths'!AA931)-YEAR(IF('Deal maths'!Z931&gt;0,'Deal maths'!Z931,DATE(1990,1,1))))*12+MONTH('Deal maths'!AA931)-MONTH(IF('Deal maths'!Z931&gt;0,'Deal maths'!Z931,DATE(1990,1,1))))/D931))*D931),EDATE('Deal maths'!AA931,-(INT(((YEAR('Deal maths'!AA931)-YEAR(IF('Deal maths'!Z931&gt;0,'Deal maths'!Z931,DATE(1990,1,1))))*12+MONTH('Deal maths'!AA931)-MONTH(IF('Deal maths'!Z931&gt;0,'Deal maths'!Z931,DATE(1990,1,1))))/D931))*D931))&gt;IF('Deal maths'!Z931&gt;0,'Deal maths'!Z931,DATE(1990,1,1)),IF(DAY('Deal maths'!AA931+1)=1,EOMONTH('Deal maths'!AA931,-(INT(((YEAR('Deal maths'!AA931)-YEAR(IF('Deal maths'!Z931&gt;0,'Deal maths'!Z931,DATE(1990,1,1))))*12+MONTH('Deal maths'!AA931)-MONTH(IF('Deal maths'!Z931&gt;0,'Deal maths'!Z931,DATE(1990,1,1))))/D931))*D931),EDATE('Deal maths'!AA931,-(INT(((YEAR('Deal maths'!AA931)-YEAR(IF('Deal maths'!Z931&gt;0,'Deal maths'!Z931,DATE(1990,1,1))))*12+MONTH('Deal maths'!AA931)-MONTH(IF('Deal maths'!Z931&gt;0,'Deal maths'!Z931,DATE(1990,1,1))))/D931))*D931)),IF(DAY('Deal maths'!AA931+1)=1,EOMONTH('Deal maths'!AA931,-(INT(((YEAR('Deal maths'!AA931)-YEAR(IF('Deal maths'!Z931&gt;0,'Deal maths'!Z931,DATE(1990,1,1))))*12+MONTH('Deal maths'!AA931)-MONTH(IF('Deal maths'!Z931&gt;0,'Deal maths'!Z931,DATE(1990,1,1))))/D931)-1)*D931),EDATE('Deal maths'!AA931,-(INT(((YEAR('Deal maths'!AA931)-YEAR(IF('Deal maths'!Z931&gt;0,'Deal maths'!Z931,DATE(1990,1,1))))*12+MONTH('Deal maths'!AA931)-MONTH(IF('Deal maths'!Z931&gt;0,'Deal maths'!Z931,DATE(1990,1,1))))/D931)-1)*D931))))),0)</f>
        <v/>
      </c>
      <c r="F931" s="110">
        <f>IF(D931=0,0,'Deal maths'!AB931*D931/12)</f>
        <v/>
      </c>
      <c r="G931" s="108">
        <f>N931+O931</f>
        <v/>
      </c>
      <c r="H931" s="108">
        <f>IFERROR(IF(OR(D931=0,AsAt&lt;E931),0,MIN(N931,INT(((YEAR(AsAt)-YEAR(E931))*12+MONTH(AsAt)-MONTH(E931)-(DAY(AsAt)&lt;MIN(R931,DAY(EOMONTH(AsAt,0)))))/D931)+1)+O931*(AsAt&gt;='Deal maths'!AA931)),0)</f>
        <v/>
      </c>
      <c r="I931" s="108">
        <f>G931-H931</f>
        <v/>
      </c>
      <c r="J931" s="111">
        <f>IF(AND(C931="EIP",I931&gt;0),'Deal maths'!Y931/I931,0)</f>
        <v/>
      </c>
      <c r="K931" s="111">
        <f>IF(AND(C931="Annuity",I931&gt;0),IF(F931&gt;0,'Deal maths'!Y931*F931/(1-(1+F931)^-I931),'Deal maths'!Y931/I931),0)</f>
        <v/>
      </c>
      <c r="L931" s="111">
        <f>IF('Deal maths'!Y931="",0,'Deal maths'!Y931)</f>
        <v/>
      </c>
      <c r="M931" s="112">
        <f>F931+(F931=0)</f>
        <v/>
      </c>
      <c r="N931" s="108">
        <f>IFERROR(IF(D931=0,0,INT(((YEAR('Deal maths'!AA931)-YEAR(E931))*12+MONTH('Deal maths'!AA931)-MONTH(E931)-(DAY('Deal maths'!AA931)&lt;MIN(R931,DAY(EOMONTH('Deal maths'!AA931,0)))))/D931)+1),0)</f>
        <v/>
      </c>
      <c r="O931" s="108">
        <f>IFERROR(IF(D931=0,0,IF(IF(DAY(E931+1)=1,EOMONTH(E931,(N931-1)*D931),EDATE(E931,(N931-1)*D931))='Deal maths'!AA931,0,1)),0)</f>
        <v/>
      </c>
      <c r="P931" s="113">
        <f>IF(B931=0,0,IFERROR(IF(C931="EIP",((I931-O931)*((IF(DAY(E931+1)=1,EOMONTH(E931,H931*D931),EDATE(E931,H931*D931))-AsAt)/365.25+(IF(DAY(E931+1)=1,EOMONTH(E931,(N931-1)*D931),EDATE(E931,(N931-1)*D931))-AsAt)/365.25)/2+O931*('Deal maths'!AA931-AsAt)/365.25)/I931,IF(C931="Annuity",IF(F931&gt;0,((K931-L931*F931)*((IF(DAY(E931+1)=1,EOMONTH(E931,H931*D931),EDATE(E931,H931*D931))-AsAt)/365.25*((1+F931)^(I931-O931)-1)/F931+IF((I931-O931)&gt;1,((IF(DAY(E931+1)=1,EOMONTH(E931,(N931-1)*D931),EDATE(E931,(N931-1)*D931))-AsAt)/365.25-(IF(DAY(E931+1)=1,EOMONTH(E931,H931*D931),EDATE(E931,H931*D931))-AsAt)/365.25)/((I931-O931)-1),0)*(1+F931)*(1-(I931-O931)*(1+F931)^((I931-O931)-1)+((I931-O931)-1)*(1+F931)^(I931-O931))/F931^2)+O931*(K931-L931*F931)*(1+F931)^(I931-1)*('Deal maths'!AA931-AsAt)/365.25)/L931,((I931-O931)*((IF(DAY(E931+1)=1,EOMONTH(E931,H931*D931),EDATE(E931,H931*D931))-AsAt)/365.25+(IF(DAY(E931+1)=1,EOMONTH(E931,(N931-1)*D931),EDATE(E931,(N931-1)*D931))-AsAt)/365.25)/2+O931*('Deal maths'!AA931-AsAt)/365.25)/I931),(S931-AsAt)/365.25)),0))</f>
        <v/>
      </c>
      <c r="Q931" s="109">
        <f>IF(B931=1,'Deal maths'!AA931+ROW()/1000000,"")</f>
        <v/>
      </c>
      <c r="R931" s="108">
        <f>IF(D931=0,0,IF(DAY(E931+1)=1,31,DAY(E931)))</f>
        <v/>
      </c>
      <c r="S931" s="109">
        <f>IF(AND('Deal maths'!V931="LOBO",'Deal maths'!AG931&gt;AsAt,'Deal maths'!AG931&lt;'Deal maths'!AA931),'Deal maths'!AG931,'Deal maths'!AA931)</f>
        <v/>
      </c>
      <c r="T931" s="108">
        <f>('Deal maths'!AA931&gt;AsAt)*('Deal maths'!Y931&gt;0)</f>
        <v/>
      </c>
    </row>
    <row r="932">
      <c r="A932" s="91">
        <f>IF('Deal maths'!V932="","",'Deal maths'!W932)</f>
        <v/>
      </c>
      <c r="B932" s="108">
        <f>('Deal maths'!AA932&gt;AsAt)*('Deal maths'!Y932&gt;0)*('Deal maths'!Z932&lt;=AsAt)</f>
        <v/>
      </c>
      <c r="C932" s="91">
        <f>IF('Deal maths'!V932="","",IF('Deal maths'!AC932="","Maturity",'Deal maths'!AC932))</f>
        <v/>
      </c>
      <c r="D932" s="108">
        <f>IF(OR(C932="EIP",C932="Annuity"),IF('Deal maths'!AD932="Annual",12,IF('Deal maths'!AD932="Quarterly",3,6)),0)</f>
        <v/>
      </c>
      <c r="E932" s="109">
        <f>IFERROR(IF(D932=0,0,IF('Deal maths'!AE932&gt;0,IF('Deal maths'!AE932&gt;'Deal maths'!AA932,'Deal maths'!AA932,'Deal maths'!AE932),IF(IF(DAY('Deal maths'!AA932+1)=1,EOMONTH('Deal maths'!AA932,-(INT(((YEAR('Deal maths'!AA932)-YEAR(IF('Deal maths'!Z932&gt;0,'Deal maths'!Z932,DATE(1990,1,1))))*12+MONTH('Deal maths'!AA932)-MONTH(IF('Deal maths'!Z932&gt;0,'Deal maths'!Z932,DATE(1990,1,1))))/D932))*D932),EDATE('Deal maths'!AA932,-(INT(((YEAR('Deal maths'!AA932)-YEAR(IF('Deal maths'!Z932&gt;0,'Deal maths'!Z932,DATE(1990,1,1))))*12+MONTH('Deal maths'!AA932)-MONTH(IF('Deal maths'!Z932&gt;0,'Deal maths'!Z932,DATE(1990,1,1))))/D932))*D932))&gt;IF('Deal maths'!Z932&gt;0,'Deal maths'!Z932,DATE(1990,1,1)),IF(DAY('Deal maths'!AA932+1)=1,EOMONTH('Deal maths'!AA932,-(INT(((YEAR('Deal maths'!AA932)-YEAR(IF('Deal maths'!Z932&gt;0,'Deal maths'!Z932,DATE(1990,1,1))))*12+MONTH('Deal maths'!AA932)-MONTH(IF('Deal maths'!Z932&gt;0,'Deal maths'!Z932,DATE(1990,1,1))))/D932))*D932),EDATE('Deal maths'!AA932,-(INT(((YEAR('Deal maths'!AA932)-YEAR(IF('Deal maths'!Z932&gt;0,'Deal maths'!Z932,DATE(1990,1,1))))*12+MONTH('Deal maths'!AA932)-MONTH(IF('Deal maths'!Z932&gt;0,'Deal maths'!Z932,DATE(1990,1,1))))/D932))*D932)),IF(DAY('Deal maths'!AA932+1)=1,EOMONTH('Deal maths'!AA932,-(INT(((YEAR('Deal maths'!AA932)-YEAR(IF('Deal maths'!Z932&gt;0,'Deal maths'!Z932,DATE(1990,1,1))))*12+MONTH('Deal maths'!AA932)-MONTH(IF('Deal maths'!Z932&gt;0,'Deal maths'!Z932,DATE(1990,1,1))))/D932)-1)*D932),EDATE('Deal maths'!AA932,-(INT(((YEAR('Deal maths'!AA932)-YEAR(IF('Deal maths'!Z932&gt;0,'Deal maths'!Z932,DATE(1990,1,1))))*12+MONTH('Deal maths'!AA932)-MONTH(IF('Deal maths'!Z932&gt;0,'Deal maths'!Z932,DATE(1990,1,1))))/D932)-1)*D932))))),0)</f>
        <v/>
      </c>
      <c r="F932" s="110">
        <f>IF(D932=0,0,'Deal maths'!AB932*D932/12)</f>
        <v/>
      </c>
      <c r="G932" s="108">
        <f>N932+O932</f>
        <v/>
      </c>
      <c r="H932" s="108">
        <f>IFERROR(IF(OR(D932=0,AsAt&lt;E932),0,MIN(N932,INT(((YEAR(AsAt)-YEAR(E932))*12+MONTH(AsAt)-MONTH(E932)-(DAY(AsAt)&lt;MIN(R932,DAY(EOMONTH(AsAt,0)))))/D932)+1)+O932*(AsAt&gt;='Deal maths'!AA932)),0)</f>
        <v/>
      </c>
      <c r="I932" s="108">
        <f>G932-H932</f>
        <v/>
      </c>
      <c r="J932" s="111">
        <f>IF(AND(C932="EIP",I932&gt;0),'Deal maths'!Y932/I932,0)</f>
        <v/>
      </c>
      <c r="K932" s="111">
        <f>IF(AND(C932="Annuity",I932&gt;0),IF(F932&gt;0,'Deal maths'!Y932*F932/(1-(1+F932)^-I932),'Deal maths'!Y932/I932),0)</f>
        <v/>
      </c>
      <c r="L932" s="111">
        <f>IF('Deal maths'!Y932="",0,'Deal maths'!Y932)</f>
        <v/>
      </c>
      <c r="M932" s="112">
        <f>F932+(F932=0)</f>
        <v/>
      </c>
      <c r="N932" s="108">
        <f>IFERROR(IF(D932=0,0,INT(((YEAR('Deal maths'!AA932)-YEAR(E932))*12+MONTH('Deal maths'!AA932)-MONTH(E932)-(DAY('Deal maths'!AA932)&lt;MIN(R932,DAY(EOMONTH('Deal maths'!AA932,0)))))/D932)+1),0)</f>
        <v/>
      </c>
      <c r="O932" s="108">
        <f>IFERROR(IF(D932=0,0,IF(IF(DAY(E932+1)=1,EOMONTH(E932,(N932-1)*D932),EDATE(E932,(N932-1)*D932))='Deal maths'!AA932,0,1)),0)</f>
        <v/>
      </c>
      <c r="P932" s="113">
        <f>IF(B932=0,0,IFERROR(IF(C932="EIP",((I932-O932)*((IF(DAY(E932+1)=1,EOMONTH(E932,H932*D932),EDATE(E932,H932*D932))-AsAt)/365.25+(IF(DAY(E932+1)=1,EOMONTH(E932,(N932-1)*D932),EDATE(E932,(N932-1)*D932))-AsAt)/365.25)/2+O932*('Deal maths'!AA932-AsAt)/365.25)/I932,IF(C932="Annuity",IF(F932&gt;0,((K932-L932*F932)*((IF(DAY(E932+1)=1,EOMONTH(E932,H932*D932),EDATE(E932,H932*D932))-AsAt)/365.25*((1+F932)^(I932-O932)-1)/F932+IF((I932-O932)&gt;1,((IF(DAY(E932+1)=1,EOMONTH(E932,(N932-1)*D932),EDATE(E932,(N932-1)*D932))-AsAt)/365.25-(IF(DAY(E932+1)=1,EOMONTH(E932,H932*D932),EDATE(E932,H932*D932))-AsAt)/365.25)/((I932-O932)-1),0)*(1+F932)*(1-(I932-O932)*(1+F932)^((I932-O932)-1)+((I932-O932)-1)*(1+F932)^(I932-O932))/F932^2)+O932*(K932-L932*F932)*(1+F932)^(I932-1)*('Deal maths'!AA932-AsAt)/365.25)/L932,((I932-O932)*((IF(DAY(E932+1)=1,EOMONTH(E932,H932*D932),EDATE(E932,H932*D932))-AsAt)/365.25+(IF(DAY(E932+1)=1,EOMONTH(E932,(N932-1)*D932),EDATE(E932,(N932-1)*D932))-AsAt)/365.25)/2+O932*('Deal maths'!AA932-AsAt)/365.25)/I932),(S932-AsAt)/365.25)),0))</f>
        <v/>
      </c>
      <c r="Q932" s="109">
        <f>IF(B932=1,'Deal maths'!AA932+ROW()/1000000,"")</f>
        <v/>
      </c>
      <c r="R932" s="108">
        <f>IF(D932=0,0,IF(DAY(E932+1)=1,31,DAY(E932)))</f>
        <v/>
      </c>
      <c r="S932" s="109">
        <f>IF(AND('Deal maths'!V932="LOBO",'Deal maths'!AG932&gt;AsAt,'Deal maths'!AG932&lt;'Deal maths'!AA932),'Deal maths'!AG932,'Deal maths'!AA932)</f>
        <v/>
      </c>
      <c r="T932" s="108">
        <f>('Deal maths'!AA932&gt;AsAt)*('Deal maths'!Y932&gt;0)</f>
        <v/>
      </c>
    </row>
    <row r="933">
      <c r="A933" s="91">
        <f>IF('Deal maths'!V933="","",'Deal maths'!W933)</f>
        <v/>
      </c>
      <c r="B933" s="108">
        <f>('Deal maths'!AA933&gt;AsAt)*('Deal maths'!Y933&gt;0)*('Deal maths'!Z933&lt;=AsAt)</f>
        <v/>
      </c>
      <c r="C933" s="91">
        <f>IF('Deal maths'!V933="","",IF('Deal maths'!AC933="","Maturity",'Deal maths'!AC933))</f>
        <v/>
      </c>
      <c r="D933" s="108">
        <f>IF(OR(C933="EIP",C933="Annuity"),IF('Deal maths'!AD933="Annual",12,IF('Deal maths'!AD933="Quarterly",3,6)),0)</f>
        <v/>
      </c>
      <c r="E933" s="109">
        <f>IFERROR(IF(D933=0,0,IF('Deal maths'!AE933&gt;0,IF('Deal maths'!AE933&gt;'Deal maths'!AA933,'Deal maths'!AA933,'Deal maths'!AE933),IF(IF(DAY('Deal maths'!AA933+1)=1,EOMONTH('Deal maths'!AA933,-(INT(((YEAR('Deal maths'!AA933)-YEAR(IF('Deal maths'!Z933&gt;0,'Deal maths'!Z933,DATE(1990,1,1))))*12+MONTH('Deal maths'!AA933)-MONTH(IF('Deal maths'!Z933&gt;0,'Deal maths'!Z933,DATE(1990,1,1))))/D933))*D933),EDATE('Deal maths'!AA933,-(INT(((YEAR('Deal maths'!AA933)-YEAR(IF('Deal maths'!Z933&gt;0,'Deal maths'!Z933,DATE(1990,1,1))))*12+MONTH('Deal maths'!AA933)-MONTH(IF('Deal maths'!Z933&gt;0,'Deal maths'!Z933,DATE(1990,1,1))))/D933))*D933))&gt;IF('Deal maths'!Z933&gt;0,'Deal maths'!Z933,DATE(1990,1,1)),IF(DAY('Deal maths'!AA933+1)=1,EOMONTH('Deal maths'!AA933,-(INT(((YEAR('Deal maths'!AA933)-YEAR(IF('Deal maths'!Z933&gt;0,'Deal maths'!Z933,DATE(1990,1,1))))*12+MONTH('Deal maths'!AA933)-MONTH(IF('Deal maths'!Z933&gt;0,'Deal maths'!Z933,DATE(1990,1,1))))/D933))*D933),EDATE('Deal maths'!AA933,-(INT(((YEAR('Deal maths'!AA933)-YEAR(IF('Deal maths'!Z933&gt;0,'Deal maths'!Z933,DATE(1990,1,1))))*12+MONTH('Deal maths'!AA933)-MONTH(IF('Deal maths'!Z933&gt;0,'Deal maths'!Z933,DATE(1990,1,1))))/D933))*D933)),IF(DAY('Deal maths'!AA933+1)=1,EOMONTH('Deal maths'!AA933,-(INT(((YEAR('Deal maths'!AA933)-YEAR(IF('Deal maths'!Z933&gt;0,'Deal maths'!Z933,DATE(1990,1,1))))*12+MONTH('Deal maths'!AA933)-MONTH(IF('Deal maths'!Z933&gt;0,'Deal maths'!Z933,DATE(1990,1,1))))/D933)-1)*D933),EDATE('Deal maths'!AA933,-(INT(((YEAR('Deal maths'!AA933)-YEAR(IF('Deal maths'!Z933&gt;0,'Deal maths'!Z933,DATE(1990,1,1))))*12+MONTH('Deal maths'!AA933)-MONTH(IF('Deal maths'!Z933&gt;0,'Deal maths'!Z933,DATE(1990,1,1))))/D933)-1)*D933))))),0)</f>
        <v/>
      </c>
      <c r="F933" s="110">
        <f>IF(D933=0,0,'Deal maths'!AB933*D933/12)</f>
        <v/>
      </c>
      <c r="G933" s="108">
        <f>N933+O933</f>
        <v/>
      </c>
      <c r="H933" s="108">
        <f>IFERROR(IF(OR(D933=0,AsAt&lt;E933),0,MIN(N933,INT(((YEAR(AsAt)-YEAR(E933))*12+MONTH(AsAt)-MONTH(E933)-(DAY(AsAt)&lt;MIN(R933,DAY(EOMONTH(AsAt,0)))))/D933)+1)+O933*(AsAt&gt;='Deal maths'!AA933)),0)</f>
        <v/>
      </c>
      <c r="I933" s="108">
        <f>G933-H933</f>
        <v/>
      </c>
      <c r="J933" s="111">
        <f>IF(AND(C933="EIP",I933&gt;0),'Deal maths'!Y933/I933,0)</f>
        <v/>
      </c>
      <c r="K933" s="111">
        <f>IF(AND(C933="Annuity",I933&gt;0),IF(F933&gt;0,'Deal maths'!Y933*F933/(1-(1+F933)^-I933),'Deal maths'!Y933/I933),0)</f>
        <v/>
      </c>
      <c r="L933" s="111">
        <f>IF('Deal maths'!Y933="",0,'Deal maths'!Y933)</f>
        <v/>
      </c>
      <c r="M933" s="112">
        <f>F933+(F933=0)</f>
        <v/>
      </c>
      <c r="N933" s="108">
        <f>IFERROR(IF(D933=0,0,INT(((YEAR('Deal maths'!AA933)-YEAR(E933))*12+MONTH('Deal maths'!AA933)-MONTH(E933)-(DAY('Deal maths'!AA933)&lt;MIN(R933,DAY(EOMONTH('Deal maths'!AA933,0)))))/D933)+1),0)</f>
        <v/>
      </c>
      <c r="O933" s="108">
        <f>IFERROR(IF(D933=0,0,IF(IF(DAY(E933+1)=1,EOMONTH(E933,(N933-1)*D933),EDATE(E933,(N933-1)*D933))='Deal maths'!AA933,0,1)),0)</f>
        <v/>
      </c>
      <c r="P933" s="113">
        <f>IF(B933=0,0,IFERROR(IF(C933="EIP",((I933-O933)*((IF(DAY(E933+1)=1,EOMONTH(E933,H933*D933),EDATE(E933,H933*D933))-AsAt)/365.25+(IF(DAY(E933+1)=1,EOMONTH(E933,(N933-1)*D933),EDATE(E933,(N933-1)*D933))-AsAt)/365.25)/2+O933*('Deal maths'!AA933-AsAt)/365.25)/I933,IF(C933="Annuity",IF(F933&gt;0,((K933-L933*F933)*((IF(DAY(E933+1)=1,EOMONTH(E933,H933*D933),EDATE(E933,H933*D933))-AsAt)/365.25*((1+F933)^(I933-O933)-1)/F933+IF((I933-O933)&gt;1,((IF(DAY(E933+1)=1,EOMONTH(E933,(N933-1)*D933),EDATE(E933,(N933-1)*D933))-AsAt)/365.25-(IF(DAY(E933+1)=1,EOMONTH(E933,H933*D933),EDATE(E933,H933*D933))-AsAt)/365.25)/((I933-O933)-1),0)*(1+F933)*(1-(I933-O933)*(1+F933)^((I933-O933)-1)+((I933-O933)-1)*(1+F933)^(I933-O933))/F933^2)+O933*(K933-L933*F933)*(1+F933)^(I933-1)*('Deal maths'!AA933-AsAt)/365.25)/L933,((I933-O933)*((IF(DAY(E933+1)=1,EOMONTH(E933,H933*D933),EDATE(E933,H933*D933))-AsAt)/365.25+(IF(DAY(E933+1)=1,EOMONTH(E933,(N933-1)*D933),EDATE(E933,(N933-1)*D933))-AsAt)/365.25)/2+O933*('Deal maths'!AA933-AsAt)/365.25)/I933),(S933-AsAt)/365.25)),0))</f>
        <v/>
      </c>
      <c r="Q933" s="109">
        <f>IF(B933=1,'Deal maths'!AA933+ROW()/1000000,"")</f>
        <v/>
      </c>
      <c r="R933" s="108">
        <f>IF(D933=0,0,IF(DAY(E933+1)=1,31,DAY(E933)))</f>
        <v/>
      </c>
      <c r="S933" s="109">
        <f>IF(AND('Deal maths'!V933="LOBO",'Deal maths'!AG933&gt;AsAt,'Deal maths'!AG933&lt;'Deal maths'!AA933),'Deal maths'!AG933,'Deal maths'!AA933)</f>
        <v/>
      </c>
      <c r="T933" s="108">
        <f>('Deal maths'!AA933&gt;AsAt)*('Deal maths'!Y933&gt;0)</f>
        <v/>
      </c>
    </row>
    <row r="934">
      <c r="A934" s="91">
        <f>IF('Deal maths'!V934="","",'Deal maths'!W934)</f>
        <v/>
      </c>
      <c r="B934" s="108">
        <f>('Deal maths'!AA934&gt;AsAt)*('Deal maths'!Y934&gt;0)*('Deal maths'!Z934&lt;=AsAt)</f>
        <v/>
      </c>
      <c r="C934" s="91">
        <f>IF('Deal maths'!V934="","",IF('Deal maths'!AC934="","Maturity",'Deal maths'!AC934))</f>
        <v/>
      </c>
      <c r="D934" s="108">
        <f>IF(OR(C934="EIP",C934="Annuity"),IF('Deal maths'!AD934="Annual",12,IF('Deal maths'!AD934="Quarterly",3,6)),0)</f>
        <v/>
      </c>
      <c r="E934" s="109">
        <f>IFERROR(IF(D934=0,0,IF('Deal maths'!AE934&gt;0,IF('Deal maths'!AE934&gt;'Deal maths'!AA934,'Deal maths'!AA934,'Deal maths'!AE934),IF(IF(DAY('Deal maths'!AA934+1)=1,EOMONTH('Deal maths'!AA934,-(INT(((YEAR('Deal maths'!AA934)-YEAR(IF('Deal maths'!Z934&gt;0,'Deal maths'!Z934,DATE(1990,1,1))))*12+MONTH('Deal maths'!AA934)-MONTH(IF('Deal maths'!Z934&gt;0,'Deal maths'!Z934,DATE(1990,1,1))))/D934))*D934),EDATE('Deal maths'!AA934,-(INT(((YEAR('Deal maths'!AA934)-YEAR(IF('Deal maths'!Z934&gt;0,'Deal maths'!Z934,DATE(1990,1,1))))*12+MONTH('Deal maths'!AA934)-MONTH(IF('Deal maths'!Z934&gt;0,'Deal maths'!Z934,DATE(1990,1,1))))/D934))*D934))&gt;IF('Deal maths'!Z934&gt;0,'Deal maths'!Z934,DATE(1990,1,1)),IF(DAY('Deal maths'!AA934+1)=1,EOMONTH('Deal maths'!AA934,-(INT(((YEAR('Deal maths'!AA934)-YEAR(IF('Deal maths'!Z934&gt;0,'Deal maths'!Z934,DATE(1990,1,1))))*12+MONTH('Deal maths'!AA934)-MONTH(IF('Deal maths'!Z934&gt;0,'Deal maths'!Z934,DATE(1990,1,1))))/D934))*D934),EDATE('Deal maths'!AA934,-(INT(((YEAR('Deal maths'!AA934)-YEAR(IF('Deal maths'!Z934&gt;0,'Deal maths'!Z934,DATE(1990,1,1))))*12+MONTH('Deal maths'!AA934)-MONTH(IF('Deal maths'!Z934&gt;0,'Deal maths'!Z934,DATE(1990,1,1))))/D934))*D934)),IF(DAY('Deal maths'!AA934+1)=1,EOMONTH('Deal maths'!AA934,-(INT(((YEAR('Deal maths'!AA934)-YEAR(IF('Deal maths'!Z934&gt;0,'Deal maths'!Z934,DATE(1990,1,1))))*12+MONTH('Deal maths'!AA934)-MONTH(IF('Deal maths'!Z934&gt;0,'Deal maths'!Z934,DATE(1990,1,1))))/D934)-1)*D934),EDATE('Deal maths'!AA934,-(INT(((YEAR('Deal maths'!AA934)-YEAR(IF('Deal maths'!Z934&gt;0,'Deal maths'!Z934,DATE(1990,1,1))))*12+MONTH('Deal maths'!AA934)-MONTH(IF('Deal maths'!Z934&gt;0,'Deal maths'!Z934,DATE(1990,1,1))))/D934)-1)*D934))))),0)</f>
        <v/>
      </c>
      <c r="F934" s="110">
        <f>IF(D934=0,0,'Deal maths'!AB934*D934/12)</f>
        <v/>
      </c>
      <c r="G934" s="108">
        <f>N934+O934</f>
        <v/>
      </c>
      <c r="H934" s="108">
        <f>IFERROR(IF(OR(D934=0,AsAt&lt;E934),0,MIN(N934,INT(((YEAR(AsAt)-YEAR(E934))*12+MONTH(AsAt)-MONTH(E934)-(DAY(AsAt)&lt;MIN(R934,DAY(EOMONTH(AsAt,0)))))/D934)+1)+O934*(AsAt&gt;='Deal maths'!AA934)),0)</f>
        <v/>
      </c>
      <c r="I934" s="108">
        <f>G934-H934</f>
        <v/>
      </c>
      <c r="J934" s="111">
        <f>IF(AND(C934="EIP",I934&gt;0),'Deal maths'!Y934/I934,0)</f>
        <v/>
      </c>
      <c r="K934" s="111">
        <f>IF(AND(C934="Annuity",I934&gt;0),IF(F934&gt;0,'Deal maths'!Y934*F934/(1-(1+F934)^-I934),'Deal maths'!Y934/I934),0)</f>
        <v/>
      </c>
      <c r="L934" s="111">
        <f>IF('Deal maths'!Y934="",0,'Deal maths'!Y934)</f>
        <v/>
      </c>
      <c r="M934" s="112">
        <f>F934+(F934=0)</f>
        <v/>
      </c>
      <c r="N934" s="108">
        <f>IFERROR(IF(D934=0,0,INT(((YEAR('Deal maths'!AA934)-YEAR(E934))*12+MONTH('Deal maths'!AA934)-MONTH(E934)-(DAY('Deal maths'!AA934)&lt;MIN(R934,DAY(EOMONTH('Deal maths'!AA934,0)))))/D934)+1),0)</f>
        <v/>
      </c>
      <c r="O934" s="108">
        <f>IFERROR(IF(D934=0,0,IF(IF(DAY(E934+1)=1,EOMONTH(E934,(N934-1)*D934),EDATE(E934,(N934-1)*D934))='Deal maths'!AA934,0,1)),0)</f>
        <v/>
      </c>
      <c r="P934" s="113">
        <f>IF(B934=0,0,IFERROR(IF(C934="EIP",((I934-O934)*((IF(DAY(E934+1)=1,EOMONTH(E934,H934*D934),EDATE(E934,H934*D934))-AsAt)/365.25+(IF(DAY(E934+1)=1,EOMONTH(E934,(N934-1)*D934),EDATE(E934,(N934-1)*D934))-AsAt)/365.25)/2+O934*('Deal maths'!AA934-AsAt)/365.25)/I934,IF(C934="Annuity",IF(F934&gt;0,((K934-L934*F934)*((IF(DAY(E934+1)=1,EOMONTH(E934,H934*D934),EDATE(E934,H934*D934))-AsAt)/365.25*((1+F934)^(I934-O934)-1)/F934+IF((I934-O934)&gt;1,((IF(DAY(E934+1)=1,EOMONTH(E934,(N934-1)*D934),EDATE(E934,(N934-1)*D934))-AsAt)/365.25-(IF(DAY(E934+1)=1,EOMONTH(E934,H934*D934),EDATE(E934,H934*D934))-AsAt)/365.25)/((I934-O934)-1),0)*(1+F934)*(1-(I934-O934)*(1+F934)^((I934-O934)-1)+((I934-O934)-1)*(1+F934)^(I934-O934))/F934^2)+O934*(K934-L934*F934)*(1+F934)^(I934-1)*('Deal maths'!AA934-AsAt)/365.25)/L934,((I934-O934)*((IF(DAY(E934+1)=1,EOMONTH(E934,H934*D934),EDATE(E934,H934*D934))-AsAt)/365.25+(IF(DAY(E934+1)=1,EOMONTH(E934,(N934-1)*D934),EDATE(E934,(N934-1)*D934))-AsAt)/365.25)/2+O934*('Deal maths'!AA934-AsAt)/365.25)/I934),(S934-AsAt)/365.25)),0))</f>
        <v/>
      </c>
      <c r="Q934" s="109">
        <f>IF(B934=1,'Deal maths'!AA934+ROW()/1000000,"")</f>
        <v/>
      </c>
      <c r="R934" s="108">
        <f>IF(D934=0,0,IF(DAY(E934+1)=1,31,DAY(E934)))</f>
        <v/>
      </c>
      <c r="S934" s="109">
        <f>IF(AND('Deal maths'!V934="LOBO",'Deal maths'!AG934&gt;AsAt,'Deal maths'!AG934&lt;'Deal maths'!AA934),'Deal maths'!AG934,'Deal maths'!AA934)</f>
        <v/>
      </c>
      <c r="T934" s="108">
        <f>('Deal maths'!AA934&gt;AsAt)*('Deal maths'!Y934&gt;0)</f>
        <v/>
      </c>
    </row>
    <row r="935">
      <c r="A935" s="91">
        <f>IF('Deal maths'!V935="","",'Deal maths'!W935)</f>
        <v/>
      </c>
      <c r="B935" s="108">
        <f>('Deal maths'!AA935&gt;AsAt)*('Deal maths'!Y935&gt;0)*('Deal maths'!Z935&lt;=AsAt)</f>
        <v/>
      </c>
      <c r="C935" s="91">
        <f>IF('Deal maths'!V935="","",IF('Deal maths'!AC935="","Maturity",'Deal maths'!AC935))</f>
        <v/>
      </c>
      <c r="D935" s="108">
        <f>IF(OR(C935="EIP",C935="Annuity"),IF('Deal maths'!AD935="Annual",12,IF('Deal maths'!AD935="Quarterly",3,6)),0)</f>
        <v/>
      </c>
      <c r="E935" s="109">
        <f>IFERROR(IF(D935=0,0,IF('Deal maths'!AE935&gt;0,IF('Deal maths'!AE935&gt;'Deal maths'!AA935,'Deal maths'!AA935,'Deal maths'!AE935),IF(IF(DAY('Deal maths'!AA935+1)=1,EOMONTH('Deal maths'!AA935,-(INT(((YEAR('Deal maths'!AA935)-YEAR(IF('Deal maths'!Z935&gt;0,'Deal maths'!Z935,DATE(1990,1,1))))*12+MONTH('Deal maths'!AA935)-MONTH(IF('Deal maths'!Z935&gt;0,'Deal maths'!Z935,DATE(1990,1,1))))/D935))*D935),EDATE('Deal maths'!AA935,-(INT(((YEAR('Deal maths'!AA935)-YEAR(IF('Deal maths'!Z935&gt;0,'Deal maths'!Z935,DATE(1990,1,1))))*12+MONTH('Deal maths'!AA935)-MONTH(IF('Deal maths'!Z935&gt;0,'Deal maths'!Z935,DATE(1990,1,1))))/D935))*D935))&gt;IF('Deal maths'!Z935&gt;0,'Deal maths'!Z935,DATE(1990,1,1)),IF(DAY('Deal maths'!AA935+1)=1,EOMONTH('Deal maths'!AA935,-(INT(((YEAR('Deal maths'!AA935)-YEAR(IF('Deal maths'!Z935&gt;0,'Deal maths'!Z935,DATE(1990,1,1))))*12+MONTH('Deal maths'!AA935)-MONTH(IF('Deal maths'!Z935&gt;0,'Deal maths'!Z935,DATE(1990,1,1))))/D935))*D935),EDATE('Deal maths'!AA935,-(INT(((YEAR('Deal maths'!AA935)-YEAR(IF('Deal maths'!Z935&gt;0,'Deal maths'!Z935,DATE(1990,1,1))))*12+MONTH('Deal maths'!AA935)-MONTH(IF('Deal maths'!Z935&gt;0,'Deal maths'!Z935,DATE(1990,1,1))))/D935))*D935)),IF(DAY('Deal maths'!AA935+1)=1,EOMONTH('Deal maths'!AA935,-(INT(((YEAR('Deal maths'!AA935)-YEAR(IF('Deal maths'!Z935&gt;0,'Deal maths'!Z935,DATE(1990,1,1))))*12+MONTH('Deal maths'!AA935)-MONTH(IF('Deal maths'!Z935&gt;0,'Deal maths'!Z935,DATE(1990,1,1))))/D935)-1)*D935),EDATE('Deal maths'!AA935,-(INT(((YEAR('Deal maths'!AA935)-YEAR(IF('Deal maths'!Z935&gt;0,'Deal maths'!Z935,DATE(1990,1,1))))*12+MONTH('Deal maths'!AA935)-MONTH(IF('Deal maths'!Z935&gt;0,'Deal maths'!Z935,DATE(1990,1,1))))/D935)-1)*D935))))),0)</f>
        <v/>
      </c>
      <c r="F935" s="110">
        <f>IF(D935=0,0,'Deal maths'!AB935*D935/12)</f>
        <v/>
      </c>
      <c r="G935" s="108">
        <f>N935+O935</f>
        <v/>
      </c>
      <c r="H935" s="108">
        <f>IFERROR(IF(OR(D935=0,AsAt&lt;E935),0,MIN(N935,INT(((YEAR(AsAt)-YEAR(E935))*12+MONTH(AsAt)-MONTH(E935)-(DAY(AsAt)&lt;MIN(R935,DAY(EOMONTH(AsAt,0)))))/D935)+1)+O935*(AsAt&gt;='Deal maths'!AA935)),0)</f>
        <v/>
      </c>
      <c r="I935" s="108">
        <f>G935-H935</f>
        <v/>
      </c>
      <c r="J935" s="111">
        <f>IF(AND(C935="EIP",I935&gt;0),'Deal maths'!Y935/I935,0)</f>
        <v/>
      </c>
      <c r="K935" s="111">
        <f>IF(AND(C935="Annuity",I935&gt;0),IF(F935&gt;0,'Deal maths'!Y935*F935/(1-(1+F935)^-I935),'Deal maths'!Y935/I935),0)</f>
        <v/>
      </c>
      <c r="L935" s="111">
        <f>IF('Deal maths'!Y935="",0,'Deal maths'!Y935)</f>
        <v/>
      </c>
      <c r="M935" s="112">
        <f>F935+(F935=0)</f>
        <v/>
      </c>
      <c r="N935" s="108">
        <f>IFERROR(IF(D935=0,0,INT(((YEAR('Deal maths'!AA935)-YEAR(E935))*12+MONTH('Deal maths'!AA935)-MONTH(E935)-(DAY('Deal maths'!AA935)&lt;MIN(R935,DAY(EOMONTH('Deal maths'!AA935,0)))))/D935)+1),0)</f>
        <v/>
      </c>
      <c r="O935" s="108">
        <f>IFERROR(IF(D935=0,0,IF(IF(DAY(E935+1)=1,EOMONTH(E935,(N935-1)*D935),EDATE(E935,(N935-1)*D935))='Deal maths'!AA935,0,1)),0)</f>
        <v/>
      </c>
      <c r="P935" s="113">
        <f>IF(B935=0,0,IFERROR(IF(C935="EIP",((I935-O935)*((IF(DAY(E935+1)=1,EOMONTH(E935,H935*D935),EDATE(E935,H935*D935))-AsAt)/365.25+(IF(DAY(E935+1)=1,EOMONTH(E935,(N935-1)*D935),EDATE(E935,(N935-1)*D935))-AsAt)/365.25)/2+O935*('Deal maths'!AA935-AsAt)/365.25)/I935,IF(C935="Annuity",IF(F935&gt;0,((K935-L935*F935)*((IF(DAY(E935+1)=1,EOMONTH(E935,H935*D935),EDATE(E935,H935*D935))-AsAt)/365.25*((1+F935)^(I935-O935)-1)/F935+IF((I935-O935)&gt;1,((IF(DAY(E935+1)=1,EOMONTH(E935,(N935-1)*D935),EDATE(E935,(N935-1)*D935))-AsAt)/365.25-(IF(DAY(E935+1)=1,EOMONTH(E935,H935*D935),EDATE(E935,H935*D935))-AsAt)/365.25)/((I935-O935)-1),0)*(1+F935)*(1-(I935-O935)*(1+F935)^((I935-O935)-1)+((I935-O935)-1)*(1+F935)^(I935-O935))/F935^2)+O935*(K935-L935*F935)*(1+F935)^(I935-1)*('Deal maths'!AA935-AsAt)/365.25)/L935,((I935-O935)*((IF(DAY(E935+1)=1,EOMONTH(E935,H935*D935),EDATE(E935,H935*D935))-AsAt)/365.25+(IF(DAY(E935+1)=1,EOMONTH(E935,(N935-1)*D935),EDATE(E935,(N935-1)*D935))-AsAt)/365.25)/2+O935*('Deal maths'!AA935-AsAt)/365.25)/I935),(S935-AsAt)/365.25)),0))</f>
        <v/>
      </c>
      <c r="Q935" s="109">
        <f>IF(B935=1,'Deal maths'!AA935+ROW()/1000000,"")</f>
        <v/>
      </c>
      <c r="R935" s="108">
        <f>IF(D935=0,0,IF(DAY(E935+1)=1,31,DAY(E935)))</f>
        <v/>
      </c>
      <c r="S935" s="109">
        <f>IF(AND('Deal maths'!V935="LOBO",'Deal maths'!AG935&gt;AsAt,'Deal maths'!AG935&lt;'Deal maths'!AA935),'Deal maths'!AG935,'Deal maths'!AA935)</f>
        <v/>
      </c>
      <c r="T935" s="108">
        <f>('Deal maths'!AA935&gt;AsAt)*('Deal maths'!Y935&gt;0)</f>
        <v/>
      </c>
    </row>
    <row r="936">
      <c r="A936" s="91">
        <f>IF('Deal maths'!V936="","",'Deal maths'!W936)</f>
        <v/>
      </c>
      <c r="B936" s="108">
        <f>('Deal maths'!AA936&gt;AsAt)*('Deal maths'!Y936&gt;0)*('Deal maths'!Z936&lt;=AsAt)</f>
        <v/>
      </c>
      <c r="C936" s="91">
        <f>IF('Deal maths'!V936="","",IF('Deal maths'!AC936="","Maturity",'Deal maths'!AC936))</f>
        <v/>
      </c>
      <c r="D936" s="108">
        <f>IF(OR(C936="EIP",C936="Annuity"),IF('Deal maths'!AD936="Annual",12,IF('Deal maths'!AD936="Quarterly",3,6)),0)</f>
        <v/>
      </c>
      <c r="E936" s="109">
        <f>IFERROR(IF(D936=0,0,IF('Deal maths'!AE936&gt;0,IF('Deal maths'!AE936&gt;'Deal maths'!AA936,'Deal maths'!AA936,'Deal maths'!AE936),IF(IF(DAY('Deal maths'!AA936+1)=1,EOMONTH('Deal maths'!AA936,-(INT(((YEAR('Deal maths'!AA936)-YEAR(IF('Deal maths'!Z936&gt;0,'Deal maths'!Z936,DATE(1990,1,1))))*12+MONTH('Deal maths'!AA936)-MONTH(IF('Deal maths'!Z936&gt;0,'Deal maths'!Z936,DATE(1990,1,1))))/D936))*D936),EDATE('Deal maths'!AA936,-(INT(((YEAR('Deal maths'!AA936)-YEAR(IF('Deal maths'!Z936&gt;0,'Deal maths'!Z936,DATE(1990,1,1))))*12+MONTH('Deal maths'!AA936)-MONTH(IF('Deal maths'!Z936&gt;0,'Deal maths'!Z936,DATE(1990,1,1))))/D936))*D936))&gt;IF('Deal maths'!Z936&gt;0,'Deal maths'!Z936,DATE(1990,1,1)),IF(DAY('Deal maths'!AA936+1)=1,EOMONTH('Deal maths'!AA936,-(INT(((YEAR('Deal maths'!AA936)-YEAR(IF('Deal maths'!Z936&gt;0,'Deal maths'!Z936,DATE(1990,1,1))))*12+MONTH('Deal maths'!AA936)-MONTH(IF('Deal maths'!Z936&gt;0,'Deal maths'!Z936,DATE(1990,1,1))))/D936))*D936),EDATE('Deal maths'!AA936,-(INT(((YEAR('Deal maths'!AA936)-YEAR(IF('Deal maths'!Z936&gt;0,'Deal maths'!Z936,DATE(1990,1,1))))*12+MONTH('Deal maths'!AA936)-MONTH(IF('Deal maths'!Z936&gt;0,'Deal maths'!Z936,DATE(1990,1,1))))/D936))*D936)),IF(DAY('Deal maths'!AA936+1)=1,EOMONTH('Deal maths'!AA936,-(INT(((YEAR('Deal maths'!AA936)-YEAR(IF('Deal maths'!Z936&gt;0,'Deal maths'!Z936,DATE(1990,1,1))))*12+MONTH('Deal maths'!AA936)-MONTH(IF('Deal maths'!Z936&gt;0,'Deal maths'!Z936,DATE(1990,1,1))))/D936)-1)*D936),EDATE('Deal maths'!AA936,-(INT(((YEAR('Deal maths'!AA936)-YEAR(IF('Deal maths'!Z936&gt;0,'Deal maths'!Z936,DATE(1990,1,1))))*12+MONTH('Deal maths'!AA936)-MONTH(IF('Deal maths'!Z936&gt;0,'Deal maths'!Z936,DATE(1990,1,1))))/D936)-1)*D936))))),0)</f>
        <v/>
      </c>
      <c r="F936" s="110">
        <f>IF(D936=0,0,'Deal maths'!AB936*D936/12)</f>
        <v/>
      </c>
      <c r="G936" s="108">
        <f>N936+O936</f>
        <v/>
      </c>
      <c r="H936" s="108">
        <f>IFERROR(IF(OR(D936=0,AsAt&lt;E936),0,MIN(N936,INT(((YEAR(AsAt)-YEAR(E936))*12+MONTH(AsAt)-MONTH(E936)-(DAY(AsAt)&lt;MIN(R936,DAY(EOMONTH(AsAt,0)))))/D936)+1)+O936*(AsAt&gt;='Deal maths'!AA936)),0)</f>
        <v/>
      </c>
      <c r="I936" s="108">
        <f>G936-H936</f>
        <v/>
      </c>
      <c r="J936" s="111">
        <f>IF(AND(C936="EIP",I936&gt;0),'Deal maths'!Y936/I936,0)</f>
        <v/>
      </c>
      <c r="K936" s="111">
        <f>IF(AND(C936="Annuity",I936&gt;0),IF(F936&gt;0,'Deal maths'!Y936*F936/(1-(1+F936)^-I936),'Deal maths'!Y936/I936),0)</f>
        <v/>
      </c>
      <c r="L936" s="111">
        <f>IF('Deal maths'!Y936="",0,'Deal maths'!Y936)</f>
        <v/>
      </c>
      <c r="M936" s="112">
        <f>F936+(F936=0)</f>
        <v/>
      </c>
      <c r="N936" s="108">
        <f>IFERROR(IF(D936=0,0,INT(((YEAR('Deal maths'!AA936)-YEAR(E936))*12+MONTH('Deal maths'!AA936)-MONTH(E936)-(DAY('Deal maths'!AA936)&lt;MIN(R936,DAY(EOMONTH('Deal maths'!AA936,0)))))/D936)+1),0)</f>
        <v/>
      </c>
      <c r="O936" s="108">
        <f>IFERROR(IF(D936=0,0,IF(IF(DAY(E936+1)=1,EOMONTH(E936,(N936-1)*D936),EDATE(E936,(N936-1)*D936))='Deal maths'!AA936,0,1)),0)</f>
        <v/>
      </c>
      <c r="P936" s="113">
        <f>IF(B936=0,0,IFERROR(IF(C936="EIP",((I936-O936)*((IF(DAY(E936+1)=1,EOMONTH(E936,H936*D936),EDATE(E936,H936*D936))-AsAt)/365.25+(IF(DAY(E936+1)=1,EOMONTH(E936,(N936-1)*D936),EDATE(E936,(N936-1)*D936))-AsAt)/365.25)/2+O936*('Deal maths'!AA936-AsAt)/365.25)/I936,IF(C936="Annuity",IF(F936&gt;0,((K936-L936*F936)*((IF(DAY(E936+1)=1,EOMONTH(E936,H936*D936),EDATE(E936,H936*D936))-AsAt)/365.25*((1+F936)^(I936-O936)-1)/F936+IF((I936-O936)&gt;1,((IF(DAY(E936+1)=1,EOMONTH(E936,(N936-1)*D936),EDATE(E936,(N936-1)*D936))-AsAt)/365.25-(IF(DAY(E936+1)=1,EOMONTH(E936,H936*D936),EDATE(E936,H936*D936))-AsAt)/365.25)/((I936-O936)-1),0)*(1+F936)*(1-(I936-O936)*(1+F936)^((I936-O936)-1)+((I936-O936)-1)*(1+F936)^(I936-O936))/F936^2)+O936*(K936-L936*F936)*(1+F936)^(I936-1)*('Deal maths'!AA936-AsAt)/365.25)/L936,((I936-O936)*((IF(DAY(E936+1)=1,EOMONTH(E936,H936*D936),EDATE(E936,H936*D936))-AsAt)/365.25+(IF(DAY(E936+1)=1,EOMONTH(E936,(N936-1)*D936),EDATE(E936,(N936-1)*D936))-AsAt)/365.25)/2+O936*('Deal maths'!AA936-AsAt)/365.25)/I936),(S936-AsAt)/365.25)),0))</f>
        <v/>
      </c>
      <c r="Q936" s="109">
        <f>IF(B936=1,'Deal maths'!AA936+ROW()/1000000,"")</f>
        <v/>
      </c>
      <c r="R936" s="108">
        <f>IF(D936=0,0,IF(DAY(E936+1)=1,31,DAY(E936)))</f>
        <v/>
      </c>
      <c r="S936" s="109">
        <f>IF(AND('Deal maths'!V936="LOBO",'Deal maths'!AG936&gt;AsAt,'Deal maths'!AG936&lt;'Deal maths'!AA936),'Deal maths'!AG936,'Deal maths'!AA936)</f>
        <v/>
      </c>
      <c r="T936" s="108">
        <f>('Deal maths'!AA936&gt;AsAt)*('Deal maths'!Y936&gt;0)</f>
        <v/>
      </c>
    </row>
    <row r="937">
      <c r="A937" s="91">
        <f>IF('Deal maths'!V937="","",'Deal maths'!W937)</f>
        <v/>
      </c>
      <c r="B937" s="108">
        <f>('Deal maths'!AA937&gt;AsAt)*('Deal maths'!Y937&gt;0)*('Deal maths'!Z937&lt;=AsAt)</f>
        <v/>
      </c>
      <c r="C937" s="91">
        <f>IF('Deal maths'!V937="","",IF('Deal maths'!AC937="","Maturity",'Deal maths'!AC937))</f>
        <v/>
      </c>
      <c r="D937" s="108">
        <f>IF(OR(C937="EIP",C937="Annuity"),IF('Deal maths'!AD937="Annual",12,IF('Deal maths'!AD937="Quarterly",3,6)),0)</f>
        <v/>
      </c>
      <c r="E937" s="109">
        <f>IFERROR(IF(D937=0,0,IF('Deal maths'!AE937&gt;0,IF('Deal maths'!AE937&gt;'Deal maths'!AA937,'Deal maths'!AA937,'Deal maths'!AE937),IF(IF(DAY('Deal maths'!AA937+1)=1,EOMONTH('Deal maths'!AA937,-(INT(((YEAR('Deal maths'!AA937)-YEAR(IF('Deal maths'!Z937&gt;0,'Deal maths'!Z937,DATE(1990,1,1))))*12+MONTH('Deal maths'!AA937)-MONTH(IF('Deal maths'!Z937&gt;0,'Deal maths'!Z937,DATE(1990,1,1))))/D937))*D937),EDATE('Deal maths'!AA937,-(INT(((YEAR('Deal maths'!AA937)-YEAR(IF('Deal maths'!Z937&gt;0,'Deal maths'!Z937,DATE(1990,1,1))))*12+MONTH('Deal maths'!AA937)-MONTH(IF('Deal maths'!Z937&gt;0,'Deal maths'!Z937,DATE(1990,1,1))))/D937))*D937))&gt;IF('Deal maths'!Z937&gt;0,'Deal maths'!Z937,DATE(1990,1,1)),IF(DAY('Deal maths'!AA937+1)=1,EOMONTH('Deal maths'!AA937,-(INT(((YEAR('Deal maths'!AA937)-YEAR(IF('Deal maths'!Z937&gt;0,'Deal maths'!Z937,DATE(1990,1,1))))*12+MONTH('Deal maths'!AA937)-MONTH(IF('Deal maths'!Z937&gt;0,'Deal maths'!Z937,DATE(1990,1,1))))/D937))*D937),EDATE('Deal maths'!AA937,-(INT(((YEAR('Deal maths'!AA937)-YEAR(IF('Deal maths'!Z937&gt;0,'Deal maths'!Z937,DATE(1990,1,1))))*12+MONTH('Deal maths'!AA937)-MONTH(IF('Deal maths'!Z937&gt;0,'Deal maths'!Z937,DATE(1990,1,1))))/D937))*D937)),IF(DAY('Deal maths'!AA937+1)=1,EOMONTH('Deal maths'!AA937,-(INT(((YEAR('Deal maths'!AA937)-YEAR(IF('Deal maths'!Z937&gt;0,'Deal maths'!Z937,DATE(1990,1,1))))*12+MONTH('Deal maths'!AA937)-MONTH(IF('Deal maths'!Z937&gt;0,'Deal maths'!Z937,DATE(1990,1,1))))/D937)-1)*D937),EDATE('Deal maths'!AA937,-(INT(((YEAR('Deal maths'!AA937)-YEAR(IF('Deal maths'!Z937&gt;0,'Deal maths'!Z937,DATE(1990,1,1))))*12+MONTH('Deal maths'!AA937)-MONTH(IF('Deal maths'!Z937&gt;0,'Deal maths'!Z937,DATE(1990,1,1))))/D937)-1)*D937))))),0)</f>
        <v/>
      </c>
      <c r="F937" s="110">
        <f>IF(D937=0,0,'Deal maths'!AB937*D937/12)</f>
        <v/>
      </c>
      <c r="G937" s="108">
        <f>N937+O937</f>
        <v/>
      </c>
      <c r="H937" s="108">
        <f>IFERROR(IF(OR(D937=0,AsAt&lt;E937),0,MIN(N937,INT(((YEAR(AsAt)-YEAR(E937))*12+MONTH(AsAt)-MONTH(E937)-(DAY(AsAt)&lt;MIN(R937,DAY(EOMONTH(AsAt,0)))))/D937)+1)+O937*(AsAt&gt;='Deal maths'!AA937)),0)</f>
        <v/>
      </c>
      <c r="I937" s="108">
        <f>G937-H937</f>
        <v/>
      </c>
      <c r="J937" s="111">
        <f>IF(AND(C937="EIP",I937&gt;0),'Deal maths'!Y937/I937,0)</f>
        <v/>
      </c>
      <c r="K937" s="111">
        <f>IF(AND(C937="Annuity",I937&gt;0),IF(F937&gt;0,'Deal maths'!Y937*F937/(1-(1+F937)^-I937),'Deal maths'!Y937/I937),0)</f>
        <v/>
      </c>
      <c r="L937" s="111">
        <f>IF('Deal maths'!Y937="",0,'Deal maths'!Y937)</f>
        <v/>
      </c>
      <c r="M937" s="112">
        <f>F937+(F937=0)</f>
        <v/>
      </c>
      <c r="N937" s="108">
        <f>IFERROR(IF(D937=0,0,INT(((YEAR('Deal maths'!AA937)-YEAR(E937))*12+MONTH('Deal maths'!AA937)-MONTH(E937)-(DAY('Deal maths'!AA937)&lt;MIN(R937,DAY(EOMONTH('Deal maths'!AA937,0)))))/D937)+1),0)</f>
        <v/>
      </c>
      <c r="O937" s="108">
        <f>IFERROR(IF(D937=0,0,IF(IF(DAY(E937+1)=1,EOMONTH(E937,(N937-1)*D937),EDATE(E937,(N937-1)*D937))='Deal maths'!AA937,0,1)),0)</f>
        <v/>
      </c>
      <c r="P937" s="113">
        <f>IF(B937=0,0,IFERROR(IF(C937="EIP",((I937-O937)*((IF(DAY(E937+1)=1,EOMONTH(E937,H937*D937),EDATE(E937,H937*D937))-AsAt)/365.25+(IF(DAY(E937+1)=1,EOMONTH(E937,(N937-1)*D937),EDATE(E937,(N937-1)*D937))-AsAt)/365.25)/2+O937*('Deal maths'!AA937-AsAt)/365.25)/I937,IF(C937="Annuity",IF(F937&gt;0,((K937-L937*F937)*((IF(DAY(E937+1)=1,EOMONTH(E937,H937*D937),EDATE(E937,H937*D937))-AsAt)/365.25*((1+F937)^(I937-O937)-1)/F937+IF((I937-O937)&gt;1,((IF(DAY(E937+1)=1,EOMONTH(E937,(N937-1)*D937),EDATE(E937,(N937-1)*D937))-AsAt)/365.25-(IF(DAY(E937+1)=1,EOMONTH(E937,H937*D937),EDATE(E937,H937*D937))-AsAt)/365.25)/((I937-O937)-1),0)*(1+F937)*(1-(I937-O937)*(1+F937)^((I937-O937)-1)+((I937-O937)-1)*(1+F937)^(I937-O937))/F937^2)+O937*(K937-L937*F937)*(1+F937)^(I937-1)*('Deal maths'!AA937-AsAt)/365.25)/L937,((I937-O937)*((IF(DAY(E937+1)=1,EOMONTH(E937,H937*D937),EDATE(E937,H937*D937))-AsAt)/365.25+(IF(DAY(E937+1)=1,EOMONTH(E937,(N937-1)*D937),EDATE(E937,(N937-1)*D937))-AsAt)/365.25)/2+O937*('Deal maths'!AA937-AsAt)/365.25)/I937),(S937-AsAt)/365.25)),0))</f>
        <v/>
      </c>
      <c r="Q937" s="109">
        <f>IF(B937=1,'Deal maths'!AA937+ROW()/1000000,"")</f>
        <v/>
      </c>
      <c r="R937" s="108">
        <f>IF(D937=0,0,IF(DAY(E937+1)=1,31,DAY(E937)))</f>
        <v/>
      </c>
      <c r="S937" s="109">
        <f>IF(AND('Deal maths'!V937="LOBO",'Deal maths'!AG937&gt;AsAt,'Deal maths'!AG937&lt;'Deal maths'!AA937),'Deal maths'!AG937,'Deal maths'!AA937)</f>
        <v/>
      </c>
      <c r="T937" s="108">
        <f>('Deal maths'!AA937&gt;AsAt)*('Deal maths'!Y937&gt;0)</f>
        <v/>
      </c>
    </row>
    <row r="938">
      <c r="A938" s="91">
        <f>IF('Deal maths'!V938="","",'Deal maths'!W938)</f>
        <v/>
      </c>
      <c r="B938" s="108">
        <f>('Deal maths'!AA938&gt;AsAt)*('Deal maths'!Y938&gt;0)*('Deal maths'!Z938&lt;=AsAt)</f>
        <v/>
      </c>
      <c r="C938" s="91">
        <f>IF('Deal maths'!V938="","",IF('Deal maths'!AC938="","Maturity",'Deal maths'!AC938))</f>
        <v/>
      </c>
      <c r="D938" s="108">
        <f>IF(OR(C938="EIP",C938="Annuity"),IF('Deal maths'!AD938="Annual",12,IF('Deal maths'!AD938="Quarterly",3,6)),0)</f>
        <v/>
      </c>
      <c r="E938" s="109">
        <f>IFERROR(IF(D938=0,0,IF('Deal maths'!AE938&gt;0,IF('Deal maths'!AE938&gt;'Deal maths'!AA938,'Deal maths'!AA938,'Deal maths'!AE938),IF(IF(DAY('Deal maths'!AA938+1)=1,EOMONTH('Deal maths'!AA938,-(INT(((YEAR('Deal maths'!AA938)-YEAR(IF('Deal maths'!Z938&gt;0,'Deal maths'!Z938,DATE(1990,1,1))))*12+MONTH('Deal maths'!AA938)-MONTH(IF('Deal maths'!Z938&gt;0,'Deal maths'!Z938,DATE(1990,1,1))))/D938))*D938),EDATE('Deal maths'!AA938,-(INT(((YEAR('Deal maths'!AA938)-YEAR(IF('Deal maths'!Z938&gt;0,'Deal maths'!Z938,DATE(1990,1,1))))*12+MONTH('Deal maths'!AA938)-MONTH(IF('Deal maths'!Z938&gt;0,'Deal maths'!Z938,DATE(1990,1,1))))/D938))*D938))&gt;IF('Deal maths'!Z938&gt;0,'Deal maths'!Z938,DATE(1990,1,1)),IF(DAY('Deal maths'!AA938+1)=1,EOMONTH('Deal maths'!AA938,-(INT(((YEAR('Deal maths'!AA938)-YEAR(IF('Deal maths'!Z938&gt;0,'Deal maths'!Z938,DATE(1990,1,1))))*12+MONTH('Deal maths'!AA938)-MONTH(IF('Deal maths'!Z938&gt;0,'Deal maths'!Z938,DATE(1990,1,1))))/D938))*D938),EDATE('Deal maths'!AA938,-(INT(((YEAR('Deal maths'!AA938)-YEAR(IF('Deal maths'!Z938&gt;0,'Deal maths'!Z938,DATE(1990,1,1))))*12+MONTH('Deal maths'!AA938)-MONTH(IF('Deal maths'!Z938&gt;0,'Deal maths'!Z938,DATE(1990,1,1))))/D938))*D938)),IF(DAY('Deal maths'!AA938+1)=1,EOMONTH('Deal maths'!AA938,-(INT(((YEAR('Deal maths'!AA938)-YEAR(IF('Deal maths'!Z938&gt;0,'Deal maths'!Z938,DATE(1990,1,1))))*12+MONTH('Deal maths'!AA938)-MONTH(IF('Deal maths'!Z938&gt;0,'Deal maths'!Z938,DATE(1990,1,1))))/D938)-1)*D938),EDATE('Deal maths'!AA938,-(INT(((YEAR('Deal maths'!AA938)-YEAR(IF('Deal maths'!Z938&gt;0,'Deal maths'!Z938,DATE(1990,1,1))))*12+MONTH('Deal maths'!AA938)-MONTH(IF('Deal maths'!Z938&gt;0,'Deal maths'!Z938,DATE(1990,1,1))))/D938)-1)*D938))))),0)</f>
        <v/>
      </c>
      <c r="F938" s="110">
        <f>IF(D938=0,0,'Deal maths'!AB938*D938/12)</f>
        <v/>
      </c>
      <c r="G938" s="108">
        <f>N938+O938</f>
        <v/>
      </c>
      <c r="H938" s="108">
        <f>IFERROR(IF(OR(D938=0,AsAt&lt;E938),0,MIN(N938,INT(((YEAR(AsAt)-YEAR(E938))*12+MONTH(AsAt)-MONTH(E938)-(DAY(AsAt)&lt;MIN(R938,DAY(EOMONTH(AsAt,0)))))/D938)+1)+O938*(AsAt&gt;='Deal maths'!AA938)),0)</f>
        <v/>
      </c>
      <c r="I938" s="108">
        <f>G938-H938</f>
        <v/>
      </c>
      <c r="J938" s="111">
        <f>IF(AND(C938="EIP",I938&gt;0),'Deal maths'!Y938/I938,0)</f>
        <v/>
      </c>
      <c r="K938" s="111">
        <f>IF(AND(C938="Annuity",I938&gt;0),IF(F938&gt;0,'Deal maths'!Y938*F938/(1-(1+F938)^-I938),'Deal maths'!Y938/I938),0)</f>
        <v/>
      </c>
      <c r="L938" s="111">
        <f>IF('Deal maths'!Y938="",0,'Deal maths'!Y938)</f>
        <v/>
      </c>
      <c r="M938" s="112">
        <f>F938+(F938=0)</f>
        <v/>
      </c>
      <c r="N938" s="108">
        <f>IFERROR(IF(D938=0,0,INT(((YEAR('Deal maths'!AA938)-YEAR(E938))*12+MONTH('Deal maths'!AA938)-MONTH(E938)-(DAY('Deal maths'!AA938)&lt;MIN(R938,DAY(EOMONTH('Deal maths'!AA938,0)))))/D938)+1),0)</f>
        <v/>
      </c>
      <c r="O938" s="108">
        <f>IFERROR(IF(D938=0,0,IF(IF(DAY(E938+1)=1,EOMONTH(E938,(N938-1)*D938),EDATE(E938,(N938-1)*D938))='Deal maths'!AA938,0,1)),0)</f>
        <v/>
      </c>
      <c r="P938" s="113">
        <f>IF(B938=0,0,IFERROR(IF(C938="EIP",((I938-O938)*((IF(DAY(E938+1)=1,EOMONTH(E938,H938*D938),EDATE(E938,H938*D938))-AsAt)/365.25+(IF(DAY(E938+1)=1,EOMONTH(E938,(N938-1)*D938),EDATE(E938,(N938-1)*D938))-AsAt)/365.25)/2+O938*('Deal maths'!AA938-AsAt)/365.25)/I938,IF(C938="Annuity",IF(F938&gt;0,((K938-L938*F938)*((IF(DAY(E938+1)=1,EOMONTH(E938,H938*D938),EDATE(E938,H938*D938))-AsAt)/365.25*((1+F938)^(I938-O938)-1)/F938+IF((I938-O938)&gt;1,((IF(DAY(E938+1)=1,EOMONTH(E938,(N938-1)*D938),EDATE(E938,(N938-1)*D938))-AsAt)/365.25-(IF(DAY(E938+1)=1,EOMONTH(E938,H938*D938),EDATE(E938,H938*D938))-AsAt)/365.25)/((I938-O938)-1),0)*(1+F938)*(1-(I938-O938)*(1+F938)^((I938-O938)-1)+((I938-O938)-1)*(1+F938)^(I938-O938))/F938^2)+O938*(K938-L938*F938)*(1+F938)^(I938-1)*('Deal maths'!AA938-AsAt)/365.25)/L938,((I938-O938)*((IF(DAY(E938+1)=1,EOMONTH(E938,H938*D938),EDATE(E938,H938*D938))-AsAt)/365.25+(IF(DAY(E938+1)=1,EOMONTH(E938,(N938-1)*D938),EDATE(E938,(N938-1)*D938))-AsAt)/365.25)/2+O938*('Deal maths'!AA938-AsAt)/365.25)/I938),(S938-AsAt)/365.25)),0))</f>
        <v/>
      </c>
      <c r="Q938" s="109">
        <f>IF(B938=1,'Deal maths'!AA938+ROW()/1000000,"")</f>
        <v/>
      </c>
      <c r="R938" s="108">
        <f>IF(D938=0,0,IF(DAY(E938+1)=1,31,DAY(E938)))</f>
        <v/>
      </c>
      <c r="S938" s="109">
        <f>IF(AND('Deal maths'!V938="LOBO",'Deal maths'!AG938&gt;AsAt,'Deal maths'!AG938&lt;'Deal maths'!AA938),'Deal maths'!AG938,'Deal maths'!AA938)</f>
        <v/>
      </c>
      <c r="T938" s="108">
        <f>('Deal maths'!AA938&gt;AsAt)*('Deal maths'!Y938&gt;0)</f>
        <v/>
      </c>
    </row>
    <row r="939">
      <c r="A939" s="91">
        <f>IF('Deal maths'!V939="","",'Deal maths'!W939)</f>
        <v/>
      </c>
      <c r="B939" s="108">
        <f>('Deal maths'!AA939&gt;AsAt)*('Deal maths'!Y939&gt;0)*('Deal maths'!Z939&lt;=AsAt)</f>
        <v/>
      </c>
      <c r="C939" s="91">
        <f>IF('Deal maths'!V939="","",IF('Deal maths'!AC939="","Maturity",'Deal maths'!AC939))</f>
        <v/>
      </c>
      <c r="D939" s="108">
        <f>IF(OR(C939="EIP",C939="Annuity"),IF('Deal maths'!AD939="Annual",12,IF('Deal maths'!AD939="Quarterly",3,6)),0)</f>
        <v/>
      </c>
      <c r="E939" s="109">
        <f>IFERROR(IF(D939=0,0,IF('Deal maths'!AE939&gt;0,IF('Deal maths'!AE939&gt;'Deal maths'!AA939,'Deal maths'!AA939,'Deal maths'!AE939),IF(IF(DAY('Deal maths'!AA939+1)=1,EOMONTH('Deal maths'!AA939,-(INT(((YEAR('Deal maths'!AA939)-YEAR(IF('Deal maths'!Z939&gt;0,'Deal maths'!Z939,DATE(1990,1,1))))*12+MONTH('Deal maths'!AA939)-MONTH(IF('Deal maths'!Z939&gt;0,'Deal maths'!Z939,DATE(1990,1,1))))/D939))*D939),EDATE('Deal maths'!AA939,-(INT(((YEAR('Deal maths'!AA939)-YEAR(IF('Deal maths'!Z939&gt;0,'Deal maths'!Z939,DATE(1990,1,1))))*12+MONTH('Deal maths'!AA939)-MONTH(IF('Deal maths'!Z939&gt;0,'Deal maths'!Z939,DATE(1990,1,1))))/D939))*D939))&gt;IF('Deal maths'!Z939&gt;0,'Deal maths'!Z939,DATE(1990,1,1)),IF(DAY('Deal maths'!AA939+1)=1,EOMONTH('Deal maths'!AA939,-(INT(((YEAR('Deal maths'!AA939)-YEAR(IF('Deal maths'!Z939&gt;0,'Deal maths'!Z939,DATE(1990,1,1))))*12+MONTH('Deal maths'!AA939)-MONTH(IF('Deal maths'!Z939&gt;0,'Deal maths'!Z939,DATE(1990,1,1))))/D939))*D939),EDATE('Deal maths'!AA939,-(INT(((YEAR('Deal maths'!AA939)-YEAR(IF('Deal maths'!Z939&gt;0,'Deal maths'!Z939,DATE(1990,1,1))))*12+MONTH('Deal maths'!AA939)-MONTH(IF('Deal maths'!Z939&gt;0,'Deal maths'!Z939,DATE(1990,1,1))))/D939))*D939)),IF(DAY('Deal maths'!AA939+1)=1,EOMONTH('Deal maths'!AA939,-(INT(((YEAR('Deal maths'!AA939)-YEAR(IF('Deal maths'!Z939&gt;0,'Deal maths'!Z939,DATE(1990,1,1))))*12+MONTH('Deal maths'!AA939)-MONTH(IF('Deal maths'!Z939&gt;0,'Deal maths'!Z939,DATE(1990,1,1))))/D939)-1)*D939),EDATE('Deal maths'!AA939,-(INT(((YEAR('Deal maths'!AA939)-YEAR(IF('Deal maths'!Z939&gt;0,'Deal maths'!Z939,DATE(1990,1,1))))*12+MONTH('Deal maths'!AA939)-MONTH(IF('Deal maths'!Z939&gt;0,'Deal maths'!Z939,DATE(1990,1,1))))/D939)-1)*D939))))),0)</f>
        <v/>
      </c>
      <c r="F939" s="110">
        <f>IF(D939=0,0,'Deal maths'!AB939*D939/12)</f>
        <v/>
      </c>
      <c r="G939" s="108">
        <f>N939+O939</f>
        <v/>
      </c>
      <c r="H939" s="108">
        <f>IFERROR(IF(OR(D939=0,AsAt&lt;E939),0,MIN(N939,INT(((YEAR(AsAt)-YEAR(E939))*12+MONTH(AsAt)-MONTH(E939)-(DAY(AsAt)&lt;MIN(R939,DAY(EOMONTH(AsAt,0)))))/D939)+1)+O939*(AsAt&gt;='Deal maths'!AA939)),0)</f>
        <v/>
      </c>
      <c r="I939" s="108">
        <f>G939-H939</f>
        <v/>
      </c>
      <c r="J939" s="111">
        <f>IF(AND(C939="EIP",I939&gt;0),'Deal maths'!Y939/I939,0)</f>
        <v/>
      </c>
      <c r="K939" s="111">
        <f>IF(AND(C939="Annuity",I939&gt;0),IF(F939&gt;0,'Deal maths'!Y939*F939/(1-(1+F939)^-I939),'Deal maths'!Y939/I939),0)</f>
        <v/>
      </c>
      <c r="L939" s="111">
        <f>IF('Deal maths'!Y939="",0,'Deal maths'!Y939)</f>
        <v/>
      </c>
      <c r="M939" s="112">
        <f>F939+(F939=0)</f>
        <v/>
      </c>
      <c r="N939" s="108">
        <f>IFERROR(IF(D939=0,0,INT(((YEAR('Deal maths'!AA939)-YEAR(E939))*12+MONTH('Deal maths'!AA939)-MONTH(E939)-(DAY('Deal maths'!AA939)&lt;MIN(R939,DAY(EOMONTH('Deal maths'!AA939,0)))))/D939)+1),0)</f>
        <v/>
      </c>
      <c r="O939" s="108">
        <f>IFERROR(IF(D939=0,0,IF(IF(DAY(E939+1)=1,EOMONTH(E939,(N939-1)*D939),EDATE(E939,(N939-1)*D939))='Deal maths'!AA939,0,1)),0)</f>
        <v/>
      </c>
      <c r="P939" s="113">
        <f>IF(B939=0,0,IFERROR(IF(C939="EIP",((I939-O939)*((IF(DAY(E939+1)=1,EOMONTH(E939,H939*D939),EDATE(E939,H939*D939))-AsAt)/365.25+(IF(DAY(E939+1)=1,EOMONTH(E939,(N939-1)*D939),EDATE(E939,(N939-1)*D939))-AsAt)/365.25)/2+O939*('Deal maths'!AA939-AsAt)/365.25)/I939,IF(C939="Annuity",IF(F939&gt;0,((K939-L939*F939)*((IF(DAY(E939+1)=1,EOMONTH(E939,H939*D939),EDATE(E939,H939*D939))-AsAt)/365.25*((1+F939)^(I939-O939)-1)/F939+IF((I939-O939)&gt;1,((IF(DAY(E939+1)=1,EOMONTH(E939,(N939-1)*D939),EDATE(E939,(N939-1)*D939))-AsAt)/365.25-(IF(DAY(E939+1)=1,EOMONTH(E939,H939*D939),EDATE(E939,H939*D939))-AsAt)/365.25)/((I939-O939)-1),0)*(1+F939)*(1-(I939-O939)*(1+F939)^((I939-O939)-1)+((I939-O939)-1)*(1+F939)^(I939-O939))/F939^2)+O939*(K939-L939*F939)*(1+F939)^(I939-1)*('Deal maths'!AA939-AsAt)/365.25)/L939,((I939-O939)*((IF(DAY(E939+1)=1,EOMONTH(E939,H939*D939),EDATE(E939,H939*D939))-AsAt)/365.25+(IF(DAY(E939+1)=1,EOMONTH(E939,(N939-1)*D939),EDATE(E939,(N939-1)*D939))-AsAt)/365.25)/2+O939*('Deal maths'!AA939-AsAt)/365.25)/I939),(S939-AsAt)/365.25)),0))</f>
        <v/>
      </c>
      <c r="Q939" s="109">
        <f>IF(B939=1,'Deal maths'!AA939+ROW()/1000000,"")</f>
        <v/>
      </c>
      <c r="R939" s="108">
        <f>IF(D939=0,0,IF(DAY(E939+1)=1,31,DAY(E939)))</f>
        <v/>
      </c>
      <c r="S939" s="109">
        <f>IF(AND('Deal maths'!V939="LOBO",'Deal maths'!AG939&gt;AsAt,'Deal maths'!AG939&lt;'Deal maths'!AA939),'Deal maths'!AG939,'Deal maths'!AA939)</f>
        <v/>
      </c>
      <c r="T939" s="108">
        <f>('Deal maths'!AA939&gt;AsAt)*('Deal maths'!Y939&gt;0)</f>
        <v/>
      </c>
    </row>
    <row r="940">
      <c r="A940" s="91">
        <f>IF('Deal maths'!V940="","",'Deal maths'!W940)</f>
        <v/>
      </c>
      <c r="B940" s="108">
        <f>('Deal maths'!AA940&gt;AsAt)*('Deal maths'!Y940&gt;0)*('Deal maths'!Z940&lt;=AsAt)</f>
        <v/>
      </c>
      <c r="C940" s="91">
        <f>IF('Deal maths'!V940="","",IF('Deal maths'!AC940="","Maturity",'Deal maths'!AC940))</f>
        <v/>
      </c>
      <c r="D940" s="108">
        <f>IF(OR(C940="EIP",C940="Annuity"),IF('Deal maths'!AD940="Annual",12,IF('Deal maths'!AD940="Quarterly",3,6)),0)</f>
        <v/>
      </c>
      <c r="E940" s="109">
        <f>IFERROR(IF(D940=0,0,IF('Deal maths'!AE940&gt;0,IF('Deal maths'!AE940&gt;'Deal maths'!AA940,'Deal maths'!AA940,'Deal maths'!AE940),IF(IF(DAY('Deal maths'!AA940+1)=1,EOMONTH('Deal maths'!AA940,-(INT(((YEAR('Deal maths'!AA940)-YEAR(IF('Deal maths'!Z940&gt;0,'Deal maths'!Z940,DATE(1990,1,1))))*12+MONTH('Deal maths'!AA940)-MONTH(IF('Deal maths'!Z940&gt;0,'Deal maths'!Z940,DATE(1990,1,1))))/D940))*D940),EDATE('Deal maths'!AA940,-(INT(((YEAR('Deal maths'!AA940)-YEAR(IF('Deal maths'!Z940&gt;0,'Deal maths'!Z940,DATE(1990,1,1))))*12+MONTH('Deal maths'!AA940)-MONTH(IF('Deal maths'!Z940&gt;0,'Deal maths'!Z940,DATE(1990,1,1))))/D940))*D940))&gt;IF('Deal maths'!Z940&gt;0,'Deal maths'!Z940,DATE(1990,1,1)),IF(DAY('Deal maths'!AA940+1)=1,EOMONTH('Deal maths'!AA940,-(INT(((YEAR('Deal maths'!AA940)-YEAR(IF('Deal maths'!Z940&gt;0,'Deal maths'!Z940,DATE(1990,1,1))))*12+MONTH('Deal maths'!AA940)-MONTH(IF('Deal maths'!Z940&gt;0,'Deal maths'!Z940,DATE(1990,1,1))))/D940))*D940),EDATE('Deal maths'!AA940,-(INT(((YEAR('Deal maths'!AA940)-YEAR(IF('Deal maths'!Z940&gt;0,'Deal maths'!Z940,DATE(1990,1,1))))*12+MONTH('Deal maths'!AA940)-MONTH(IF('Deal maths'!Z940&gt;0,'Deal maths'!Z940,DATE(1990,1,1))))/D940))*D940)),IF(DAY('Deal maths'!AA940+1)=1,EOMONTH('Deal maths'!AA940,-(INT(((YEAR('Deal maths'!AA940)-YEAR(IF('Deal maths'!Z940&gt;0,'Deal maths'!Z940,DATE(1990,1,1))))*12+MONTH('Deal maths'!AA940)-MONTH(IF('Deal maths'!Z940&gt;0,'Deal maths'!Z940,DATE(1990,1,1))))/D940)-1)*D940),EDATE('Deal maths'!AA940,-(INT(((YEAR('Deal maths'!AA940)-YEAR(IF('Deal maths'!Z940&gt;0,'Deal maths'!Z940,DATE(1990,1,1))))*12+MONTH('Deal maths'!AA940)-MONTH(IF('Deal maths'!Z940&gt;0,'Deal maths'!Z940,DATE(1990,1,1))))/D940)-1)*D940))))),0)</f>
        <v/>
      </c>
      <c r="F940" s="110">
        <f>IF(D940=0,0,'Deal maths'!AB940*D940/12)</f>
        <v/>
      </c>
      <c r="G940" s="108">
        <f>N940+O940</f>
        <v/>
      </c>
      <c r="H940" s="108">
        <f>IFERROR(IF(OR(D940=0,AsAt&lt;E940),0,MIN(N940,INT(((YEAR(AsAt)-YEAR(E940))*12+MONTH(AsAt)-MONTH(E940)-(DAY(AsAt)&lt;MIN(R940,DAY(EOMONTH(AsAt,0)))))/D940)+1)+O940*(AsAt&gt;='Deal maths'!AA940)),0)</f>
        <v/>
      </c>
      <c r="I940" s="108">
        <f>G940-H940</f>
        <v/>
      </c>
      <c r="J940" s="111">
        <f>IF(AND(C940="EIP",I940&gt;0),'Deal maths'!Y940/I940,0)</f>
        <v/>
      </c>
      <c r="K940" s="111">
        <f>IF(AND(C940="Annuity",I940&gt;0),IF(F940&gt;0,'Deal maths'!Y940*F940/(1-(1+F940)^-I940),'Deal maths'!Y940/I940),0)</f>
        <v/>
      </c>
      <c r="L940" s="111">
        <f>IF('Deal maths'!Y940="",0,'Deal maths'!Y940)</f>
        <v/>
      </c>
      <c r="M940" s="112">
        <f>F940+(F940=0)</f>
        <v/>
      </c>
      <c r="N940" s="108">
        <f>IFERROR(IF(D940=0,0,INT(((YEAR('Deal maths'!AA940)-YEAR(E940))*12+MONTH('Deal maths'!AA940)-MONTH(E940)-(DAY('Deal maths'!AA940)&lt;MIN(R940,DAY(EOMONTH('Deal maths'!AA940,0)))))/D940)+1),0)</f>
        <v/>
      </c>
      <c r="O940" s="108">
        <f>IFERROR(IF(D940=0,0,IF(IF(DAY(E940+1)=1,EOMONTH(E940,(N940-1)*D940),EDATE(E940,(N940-1)*D940))='Deal maths'!AA940,0,1)),0)</f>
        <v/>
      </c>
      <c r="P940" s="113">
        <f>IF(B940=0,0,IFERROR(IF(C940="EIP",((I940-O940)*((IF(DAY(E940+1)=1,EOMONTH(E940,H940*D940),EDATE(E940,H940*D940))-AsAt)/365.25+(IF(DAY(E940+1)=1,EOMONTH(E940,(N940-1)*D940),EDATE(E940,(N940-1)*D940))-AsAt)/365.25)/2+O940*('Deal maths'!AA940-AsAt)/365.25)/I940,IF(C940="Annuity",IF(F940&gt;0,((K940-L940*F940)*((IF(DAY(E940+1)=1,EOMONTH(E940,H940*D940),EDATE(E940,H940*D940))-AsAt)/365.25*((1+F940)^(I940-O940)-1)/F940+IF((I940-O940)&gt;1,((IF(DAY(E940+1)=1,EOMONTH(E940,(N940-1)*D940),EDATE(E940,(N940-1)*D940))-AsAt)/365.25-(IF(DAY(E940+1)=1,EOMONTH(E940,H940*D940),EDATE(E940,H940*D940))-AsAt)/365.25)/((I940-O940)-1),0)*(1+F940)*(1-(I940-O940)*(1+F940)^((I940-O940)-1)+((I940-O940)-1)*(1+F940)^(I940-O940))/F940^2)+O940*(K940-L940*F940)*(1+F940)^(I940-1)*('Deal maths'!AA940-AsAt)/365.25)/L940,((I940-O940)*((IF(DAY(E940+1)=1,EOMONTH(E940,H940*D940),EDATE(E940,H940*D940))-AsAt)/365.25+(IF(DAY(E940+1)=1,EOMONTH(E940,(N940-1)*D940),EDATE(E940,(N940-1)*D940))-AsAt)/365.25)/2+O940*('Deal maths'!AA940-AsAt)/365.25)/I940),(S940-AsAt)/365.25)),0))</f>
        <v/>
      </c>
      <c r="Q940" s="109">
        <f>IF(B940=1,'Deal maths'!AA940+ROW()/1000000,"")</f>
        <v/>
      </c>
      <c r="R940" s="108">
        <f>IF(D940=0,0,IF(DAY(E940+1)=1,31,DAY(E940)))</f>
        <v/>
      </c>
      <c r="S940" s="109">
        <f>IF(AND('Deal maths'!V940="LOBO",'Deal maths'!AG940&gt;AsAt,'Deal maths'!AG940&lt;'Deal maths'!AA940),'Deal maths'!AG940,'Deal maths'!AA940)</f>
        <v/>
      </c>
      <c r="T940" s="108">
        <f>('Deal maths'!AA940&gt;AsAt)*('Deal maths'!Y940&gt;0)</f>
        <v/>
      </c>
    </row>
    <row r="941">
      <c r="A941" s="91">
        <f>IF('Deal maths'!V941="","",'Deal maths'!W941)</f>
        <v/>
      </c>
      <c r="B941" s="108">
        <f>('Deal maths'!AA941&gt;AsAt)*('Deal maths'!Y941&gt;0)*('Deal maths'!Z941&lt;=AsAt)</f>
        <v/>
      </c>
      <c r="C941" s="91">
        <f>IF('Deal maths'!V941="","",IF('Deal maths'!AC941="","Maturity",'Deal maths'!AC941))</f>
        <v/>
      </c>
      <c r="D941" s="108">
        <f>IF(OR(C941="EIP",C941="Annuity"),IF('Deal maths'!AD941="Annual",12,IF('Deal maths'!AD941="Quarterly",3,6)),0)</f>
        <v/>
      </c>
      <c r="E941" s="109">
        <f>IFERROR(IF(D941=0,0,IF('Deal maths'!AE941&gt;0,IF('Deal maths'!AE941&gt;'Deal maths'!AA941,'Deal maths'!AA941,'Deal maths'!AE941),IF(IF(DAY('Deal maths'!AA941+1)=1,EOMONTH('Deal maths'!AA941,-(INT(((YEAR('Deal maths'!AA941)-YEAR(IF('Deal maths'!Z941&gt;0,'Deal maths'!Z941,DATE(1990,1,1))))*12+MONTH('Deal maths'!AA941)-MONTH(IF('Deal maths'!Z941&gt;0,'Deal maths'!Z941,DATE(1990,1,1))))/D941))*D941),EDATE('Deal maths'!AA941,-(INT(((YEAR('Deal maths'!AA941)-YEAR(IF('Deal maths'!Z941&gt;0,'Deal maths'!Z941,DATE(1990,1,1))))*12+MONTH('Deal maths'!AA941)-MONTH(IF('Deal maths'!Z941&gt;0,'Deal maths'!Z941,DATE(1990,1,1))))/D941))*D941))&gt;IF('Deal maths'!Z941&gt;0,'Deal maths'!Z941,DATE(1990,1,1)),IF(DAY('Deal maths'!AA941+1)=1,EOMONTH('Deal maths'!AA941,-(INT(((YEAR('Deal maths'!AA941)-YEAR(IF('Deal maths'!Z941&gt;0,'Deal maths'!Z941,DATE(1990,1,1))))*12+MONTH('Deal maths'!AA941)-MONTH(IF('Deal maths'!Z941&gt;0,'Deal maths'!Z941,DATE(1990,1,1))))/D941))*D941),EDATE('Deal maths'!AA941,-(INT(((YEAR('Deal maths'!AA941)-YEAR(IF('Deal maths'!Z941&gt;0,'Deal maths'!Z941,DATE(1990,1,1))))*12+MONTH('Deal maths'!AA941)-MONTH(IF('Deal maths'!Z941&gt;0,'Deal maths'!Z941,DATE(1990,1,1))))/D941))*D941)),IF(DAY('Deal maths'!AA941+1)=1,EOMONTH('Deal maths'!AA941,-(INT(((YEAR('Deal maths'!AA941)-YEAR(IF('Deal maths'!Z941&gt;0,'Deal maths'!Z941,DATE(1990,1,1))))*12+MONTH('Deal maths'!AA941)-MONTH(IF('Deal maths'!Z941&gt;0,'Deal maths'!Z941,DATE(1990,1,1))))/D941)-1)*D941),EDATE('Deal maths'!AA941,-(INT(((YEAR('Deal maths'!AA941)-YEAR(IF('Deal maths'!Z941&gt;0,'Deal maths'!Z941,DATE(1990,1,1))))*12+MONTH('Deal maths'!AA941)-MONTH(IF('Deal maths'!Z941&gt;0,'Deal maths'!Z941,DATE(1990,1,1))))/D941)-1)*D941))))),0)</f>
        <v/>
      </c>
      <c r="F941" s="110">
        <f>IF(D941=0,0,'Deal maths'!AB941*D941/12)</f>
        <v/>
      </c>
      <c r="G941" s="108">
        <f>N941+O941</f>
        <v/>
      </c>
      <c r="H941" s="108">
        <f>IFERROR(IF(OR(D941=0,AsAt&lt;E941),0,MIN(N941,INT(((YEAR(AsAt)-YEAR(E941))*12+MONTH(AsAt)-MONTH(E941)-(DAY(AsAt)&lt;MIN(R941,DAY(EOMONTH(AsAt,0)))))/D941)+1)+O941*(AsAt&gt;='Deal maths'!AA941)),0)</f>
        <v/>
      </c>
      <c r="I941" s="108">
        <f>G941-H941</f>
        <v/>
      </c>
      <c r="J941" s="111">
        <f>IF(AND(C941="EIP",I941&gt;0),'Deal maths'!Y941/I941,0)</f>
        <v/>
      </c>
      <c r="K941" s="111">
        <f>IF(AND(C941="Annuity",I941&gt;0),IF(F941&gt;0,'Deal maths'!Y941*F941/(1-(1+F941)^-I941),'Deal maths'!Y941/I941),0)</f>
        <v/>
      </c>
      <c r="L941" s="111">
        <f>IF('Deal maths'!Y941="",0,'Deal maths'!Y941)</f>
        <v/>
      </c>
      <c r="M941" s="112">
        <f>F941+(F941=0)</f>
        <v/>
      </c>
      <c r="N941" s="108">
        <f>IFERROR(IF(D941=0,0,INT(((YEAR('Deal maths'!AA941)-YEAR(E941))*12+MONTH('Deal maths'!AA941)-MONTH(E941)-(DAY('Deal maths'!AA941)&lt;MIN(R941,DAY(EOMONTH('Deal maths'!AA941,0)))))/D941)+1),0)</f>
        <v/>
      </c>
      <c r="O941" s="108">
        <f>IFERROR(IF(D941=0,0,IF(IF(DAY(E941+1)=1,EOMONTH(E941,(N941-1)*D941),EDATE(E941,(N941-1)*D941))='Deal maths'!AA941,0,1)),0)</f>
        <v/>
      </c>
      <c r="P941" s="113">
        <f>IF(B941=0,0,IFERROR(IF(C941="EIP",((I941-O941)*((IF(DAY(E941+1)=1,EOMONTH(E941,H941*D941),EDATE(E941,H941*D941))-AsAt)/365.25+(IF(DAY(E941+1)=1,EOMONTH(E941,(N941-1)*D941),EDATE(E941,(N941-1)*D941))-AsAt)/365.25)/2+O941*('Deal maths'!AA941-AsAt)/365.25)/I941,IF(C941="Annuity",IF(F941&gt;0,((K941-L941*F941)*((IF(DAY(E941+1)=1,EOMONTH(E941,H941*D941),EDATE(E941,H941*D941))-AsAt)/365.25*((1+F941)^(I941-O941)-1)/F941+IF((I941-O941)&gt;1,((IF(DAY(E941+1)=1,EOMONTH(E941,(N941-1)*D941),EDATE(E941,(N941-1)*D941))-AsAt)/365.25-(IF(DAY(E941+1)=1,EOMONTH(E941,H941*D941),EDATE(E941,H941*D941))-AsAt)/365.25)/((I941-O941)-1),0)*(1+F941)*(1-(I941-O941)*(1+F941)^((I941-O941)-1)+((I941-O941)-1)*(1+F941)^(I941-O941))/F941^2)+O941*(K941-L941*F941)*(1+F941)^(I941-1)*('Deal maths'!AA941-AsAt)/365.25)/L941,((I941-O941)*((IF(DAY(E941+1)=1,EOMONTH(E941,H941*D941),EDATE(E941,H941*D941))-AsAt)/365.25+(IF(DAY(E941+1)=1,EOMONTH(E941,(N941-1)*D941),EDATE(E941,(N941-1)*D941))-AsAt)/365.25)/2+O941*('Deal maths'!AA941-AsAt)/365.25)/I941),(S941-AsAt)/365.25)),0))</f>
        <v/>
      </c>
      <c r="Q941" s="109">
        <f>IF(B941=1,'Deal maths'!AA941+ROW()/1000000,"")</f>
        <v/>
      </c>
      <c r="R941" s="108">
        <f>IF(D941=0,0,IF(DAY(E941+1)=1,31,DAY(E941)))</f>
        <v/>
      </c>
      <c r="S941" s="109">
        <f>IF(AND('Deal maths'!V941="LOBO",'Deal maths'!AG941&gt;AsAt,'Deal maths'!AG941&lt;'Deal maths'!AA941),'Deal maths'!AG941,'Deal maths'!AA941)</f>
        <v/>
      </c>
      <c r="T941" s="108">
        <f>('Deal maths'!AA941&gt;AsAt)*('Deal maths'!Y941&gt;0)</f>
        <v/>
      </c>
    </row>
    <row r="942">
      <c r="A942" s="91">
        <f>IF('Deal maths'!V942="","",'Deal maths'!W942)</f>
        <v/>
      </c>
      <c r="B942" s="108">
        <f>('Deal maths'!AA942&gt;AsAt)*('Deal maths'!Y942&gt;0)*('Deal maths'!Z942&lt;=AsAt)</f>
        <v/>
      </c>
      <c r="C942" s="91">
        <f>IF('Deal maths'!V942="","",IF('Deal maths'!AC942="","Maturity",'Deal maths'!AC942))</f>
        <v/>
      </c>
      <c r="D942" s="108">
        <f>IF(OR(C942="EIP",C942="Annuity"),IF('Deal maths'!AD942="Annual",12,IF('Deal maths'!AD942="Quarterly",3,6)),0)</f>
        <v/>
      </c>
      <c r="E942" s="109">
        <f>IFERROR(IF(D942=0,0,IF('Deal maths'!AE942&gt;0,IF('Deal maths'!AE942&gt;'Deal maths'!AA942,'Deal maths'!AA942,'Deal maths'!AE942),IF(IF(DAY('Deal maths'!AA942+1)=1,EOMONTH('Deal maths'!AA942,-(INT(((YEAR('Deal maths'!AA942)-YEAR(IF('Deal maths'!Z942&gt;0,'Deal maths'!Z942,DATE(1990,1,1))))*12+MONTH('Deal maths'!AA942)-MONTH(IF('Deal maths'!Z942&gt;0,'Deal maths'!Z942,DATE(1990,1,1))))/D942))*D942),EDATE('Deal maths'!AA942,-(INT(((YEAR('Deal maths'!AA942)-YEAR(IF('Deal maths'!Z942&gt;0,'Deal maths'!Z942,DATE(1990,1,1))))*12+MONTH('Deal maths'!AA942)-MONTH(IF('Deal maths'!Z942&gt;0,'Deal maths'!Z942,DATE(1990,1,1))))/D942))*D942))&gt;IF('Deal maths'!Z942&gt;0,'Deal maths'!Z942,DATE(1990,1,1)),IF(DAY('Deal maths'!AA942+1)=1,EOMONTH('Deal maths'!AA942,-(INT(((YEAR('Deal maths'!AA942)-YEAR(IF('Deal maths'!Z942&gt;0,'Deal maths'!Z942,DATE(1990,1,1))))*12+MONTH('Deal maths'!AA942)-MONTH(IF('Deal maths'!Z942&gt;0,'Deal maths'!Z942,DATE(1990,1,1))))/D942))*D942),EDATE('Deal maths'!AA942,-(INT(((YEAR('Deal maths'!AA942)-YEAR(IF('Deal maths'!Z942&gt;0,'Deal maths'!Z942,DATE(1990,1,1))))*12+MONTH('Deal maths'!AA942)-MONTH(IF('Deal maths'!Z942&gt;0,'Deal maths'!Z942,DATE(1990,1,1))))/D942))*D942)),IF(DAY('Deal maths'!AA942+1)=1,EOMONTH('Deal maths'!AA942,-(INT(((YEAR('Deal maths'!AA942)-YEAR(IF('Deal maths'!Z942&gt;0,'Deal maths'!Z942,DATE(1990,1,1))))*12+MONTH('Deal maths'!AA942)-MONTH(IF('Deal maths'!Z942&gt;0,'Deal maths'!Z942,DATE(1990,1,1))))/D942)-1)*D942),EDATE('Deal maths'!AA942,-(INT(((YEAR('Deal maths'!AA942)-YEAR(IF('Deal maths'!Z942&gt;0,'Deal maths'!Z942,DATE(1990,1,1))))*12+MONTH('Deal maths'!AA942)-MONTH(IF('Deal maths'!Z942&gt;0,'Deal maths'!Z942,DATE(1990,1,1))))/D942)-1)*D942))))),0)</f>
        <v/>
      </c>
      <c r="F942" s="110">
        <f>IF(D942=0,0,'Deal maths'!AB942*D942/12)</f>
        <v/>
      </c>
      <c r="G942" s="108">
        <f>N942+O942</f>
        <v/>
      </c>
      <c r="H942" s="108">
        <f>IFERROR(IF(OR(D942=0,AsAt&lt;E942),0,MIN(N942,INT(((YEAR(AsAt)-YEAR(E942))*12+MONTH(AsAt)-MONTH(E942)-(DAY(AsAt)&lt;MIN(R942,DAY(EOMONTH(AsAt,0)))))/D942)+1)+O942*(AsAt&gt;='Deal maths'!AA942)),0)</f>
        <v/>
      </c>
      <c r="I942" s="108">
        <f>G942-H942</f>
        <v/>
      </c>
      <c r="J942" s="111">
        <f>IF(AND(C942="EIP",I942&gt;0),'Deal maths'!Y942/I942,0)</f>
        <v/>
      </c>
      <c r="K942" s="111">
        <f>IF(AND(C942="Annuity",I942&gt;0),IF(F942&gt;0,'Deal maths'!Y942*F942/(1-(1+F942)^-I942),'Deal maths'!Y942/I942),0)</f>
        <v/>
      </c>
      <c r="L942" s="111">
        <f>IF('Deal maths'!Y942="",0,'Deal maths'!Y942)</f>
        <v/>
      </c>
      <c r="M942" s="112">
        <f>F942+(F942=0)</f>
        <v/>
      </c>
      <c r="N942" s="108">
        <f>IFERROR(IF(D942=0,0,INT(((YEAR('Deal maths'!AA942)-YEAR(E942))*12+MONTH('Deal maths'!AA942)-MONTH(E942)-(DAY('Deal maths'!AA942)&lt;MIN(R942,DAY(EOMONTH('Deal maths'!AA942,0)))))/D942)+1),0)</f>
        <v/>
      </c>
      <c r="O942" s="108">
        <f>IFERROR(IF(D942=0,0,IF(IF(DAY(E942+1)=1,EOMONTH(E942,(N942-1)*D942),EDATE(E942,(N942-1)*D942))='Deal maths'!AA942,0,1)),0)</f>
        <v/>
      </c>
      <c r="P942" s="113">
        <f>IF(B942=0,0,IFERROR(IF(C942="EIP",((I942-O942)*((IF(DAY(E942+1)=1,EOMONTH(E942,H942*D942),EDATE(E942,H942*D942))-AsAt)/365.25+(IF(DAY(E942+1)=1,EOMONTH(E942,(N942-1)*D942),EDATE(E942,(N942-1)*D942))-AsAt)/365.25)/2+O942*('Deal maths'!AA942-AsAt)/365.25)/I942,IF(C942="Annuity",IF(F942&gt;0,((K942-L942*F942)*((IF(DAY(E942+1)=1,EOMONTH(E942,H942*D942),EDATE(E942,H942*D942))-AsAt)/365.25*((1+F942)^(I942-O942)-1)/F942+IF((I942-O942)&gt;1,((IF(DAY(E942+1)=1,EOMONTH(E942,(N942-1)*D942),EDATE(E942,(N942-1)*D942))-AsAt)/365.25-(IF(DAY(E942+1)=1,EOMONTH(E942,H942*D942),EDATE(E942,H942*D942))-AsAt)/365.25)/((I942-O942)-1),0)*(1+F942)*(1-(I942-O942)*(1+F942)^((I942-O942)-1)+((I942-O942)-1)*(1+F942)^(I942-O942))/F942^2)+O942*(K942-L942*F942)*(1+F942)^(I942-1)*('Deal maths'!AA942-AsAt)/365.25)/L942,((I942-O942)*((IF(DAY(E942+1)=1,EOMONTH(E942,H942*D942),EDATE(E942,H942*D942))-AsAt)/365.25+(IF(DAY(E942+1)=1,EOMONTH(E942,(N942-1)*D942),EDATE(E942,(N942-1)*D942))-AsAt)/365.25)/2+O942*('Deal maths'!AA942-AsAt)/365.25)/I942),(S942-AsAt)/365.25)),0))</f>
        <v/>
      </c>
      <c r="Q942" s="109">
        <f>IF(B942=1,'Deal maths'!AA942+ROW()/1000000,"")</f>
        <v/>
      </c>
      <c r="R942" s="108">
        <f>IF(D942=0,0,IF(DAY(E942+1)=1,31,DAY(E942)))</f>
        <v/>
      </c>
      <c r="S942" s="109">
        <f>IF(AND('Deal maths'!V942="LOBO",'Deal maths'!AG942&gt;AsAt,'Deal maths'!AG942&lt;'Deal maths'!AA942),'Deal maths'!AG942,'Deal maths'!AA942)</f>
        <v/>
      </c>
      <c r="T942" s="108">
        <f>('Deal maths'!AA942&gt;AsAt)*('Deal maths'!Y942&gt;0)</f>
        <v/>
      </c>
    </row>
    <row r="943">
      <c r="A943" s="91">
        <f>IF('Deal maths'!V943="","",'Deal maths'!W943)</f>
        <v/>
      </c>
      <c r="B943" s="108">
        <f>('Deal maths'!AA943&gt;AsAt)*('Deal maths'!Y943&gt;0)*('Deal maths'!Z943&lt;=AsAt)</f>
        <v/>
      </c>
      <c r="C943" s="91">
        <f>IF('Deal maths'!V943="","",IF('Deal maths'!AC943="","Maturity",'Deal maths'!AC943))</f>
        <v/>
      </c>
      <c r="D943" s="108">
        <f>IF(OR(C943="EIP",C943="Annuity"),IF('Deal maths'!AD943="Annual",12,IF('Deal maths'!AD943="Quarterly",3,6)),0)</f>
        <v/>
      </c>
      <c r="E943" s="109">
        <f>IFERROR(IF(D943=0,0,IF('Deal maths'!AE943&gt;0,IF('Deal maths'!AE943&gt;'Deal maths'!AA943,'Deal maths'!AA943,'Deal maths'!AE943),IF(IF(DAY('Deal maths'!AA943+1)=1,EOMONTH('Deal maths'!AA943,-(INT(((YEAR('Deal maths'!AA943)-YEAR(IF('Deal maths'!Z943&gt;0,'Deal maths'!Z943,DATE(1990,1,1))))*12+MONTH('Deal maths'!AA943)-MONTH(IF('Deal maths'!Z943&gt;0,'Deal maths'!Z943,DATE(1990,1,1))))/D943))*D943),EDATE('Deal maths'!AA943,-(INT(((YEAR('Deal maths'!AA943)-YEAR(IF('Deal maths'!Z943&gt;0,'Deal maths'!Z943,DATE(1990,1,1))))*12+MONTH('Deal maths'!AA943)-MONTH(IF('Deal maths'!Z943&gt;0,'Deal maths'!Z943,DATE(1990,1,1))))/D943))*D943))&gt;IF('Deal maths'!Z943&gt;0,'Deal maths'!Z943,DATE(1990,1,1)),IF(DAY('Deal maths'!AA943+1)=1,EOMONTH('Deal maths'!AA943,-(INT(((YEAR('Deal maths'!AA943)-YEAR(IF('Deal maths'!Z943&gt;0,'Deal maths'!Z943,DATE(1990,1,1))))*12+MONTH('Deal maths'!AA943)-MONTH(IF('Deal maths'!Z943&gt;0,'Deal maths'!Z943,DATE(1990,1,1))))/D943))*D943),EDATE('Deal maths'!AA943,-(INT(((YEAR('Deal maths'!AA943)-YEAR(IF('Deal maths'!Z943&gt;0,'Deal maths'!Z943,DATE(1990,1,1))))*12+MONTH('Deal maths'!AA943)-MONTH(IF('Deal maths'!Z943&gt;0,'Deal maths'!Z943,DATE(1990,1,1))))/D943))*D943)),IF(DAY('Deal maths'!AA943+1)=1,EOMONTH('Deal maths'!AA943,-(INT(((YEAR('Deal maths'!AA943)-YEAR(IF('Deal maths'!Z943&gt;0,'Deal maths'!Z943,DATE(1990,1,1))))*12+MONTH('Deal maths'!AA943)-MONTH(IF('Deal maths'!Z943&gt;0,'Deal maths'!Z943,DATE(1990,1,1))))/D943)-1)*D943),EDATE('Deal maths'!AA943,-(INT(((YEAR('Deal maths'!AA943)-YEAR(IF('Deal maths'!Z943&gt;0,'Deal maths'!Z943,DATE(1990,1,1))))*12+MONTH('Deal maths'!AA943)-MONTH(IF('Deal maths'!Z943&gt;0,'Deal maths'!Z943,DATE(1990,1,1))))/D943)-1)*D943))))),0)</f>
        <v/>
      </c>
      <c r="F943" s="110">
        <f>IF(D943=0,0,'Deal maths'!AB943*D943/12)</f>
        <v/>
      </c>
      <c r="G943" s="108">
        <f>N943+O943</f>
        <v/>
      </c>
      <c r="H943" s="108">
        <f>IFERROR(IF(OR(D943=0,AsAt&lt;E943),0,MIN(N943,INT(((YEAR(AsAt)-YEAR(E943))*12+MONTH(AsAt)-MONTH(E943)-(DAY(AsAt)&lt;MIN(R943,DAY(EOMONTH(AsAt,0)))))/D943)+1)+O943*(AsAt&gt;='Deal maths'!AA943)),0)</f>
        <v/>
      </c>
      <c r="I943" s="108">
        <f>G943-H943</f>
        <v/>
      </c>
      <c r="J943" s="111">
        <f>IF(AND(C943="EIP",I943&gt;0),'Deal maths'!Y943/I943,0)</f>
        <v/>
      </c>
      <c r="K943" s="111">
        <f>IF(AND(C943="Annuity",I943&gt;0),IF(F943&gt;0,'Deal maths'!Y943*F943/(1-(1+F943)^-I943),'Deal maths'!Y943/I943),0)</f>
        <v/>
      </c>
      <c r="L943" s="111">
        <f>IF('Deal maths'!Y943="",0,'Deal maths'!Y943)</f>
        <v/>
      </c>
      <c r="M943" s="112">
        <f>F943+(F943=0)</f>
        <v/>
      </c>
      <c r="N943" s="108">
        <f>IFERROR(IF(D943=0,0,INT(((YEAR('Deal maths'!AA943)-YEAR(E943))*12+MONTH('Deal maths'!AA943)-MONTH(E943)-(DAY('Deal maths'!AA943)&lt;MIN(R943,DAY(EOMONTH('Deal maths'!AA943,0)))))/D943)+1),0)</f>
        <v/>
      </c>
      <c r="O943" s="108">
        <f>IFERROR(IF(D943=0,0,IF(IF(DAY(E943+1)=1,EOMONTH(E943,(N943-1)*D943),EDATE(E943,(N943-1)*D943))='Deal maths'!AA943,0,1)),0)</f>
        <v/>
      </c>
      <c r="P943" s="113">
        <f>IF(B943=0,0,IFERROR(IF(C943="EIP",((I943-O943)*((IF(DAY(E943+1)=1,EOMONTH(E943,H943*D943),EDATE(E943,H943*D943))-AsAt)/365.25+(IF(DAY(E943+1)=1,EOMONTH(E943,(N943-1)*D943),EDATE(E943,(N943-1)*D943))-AsAt)/365.25)/2+O943*('Deal maths'!AA943-AsAt)/365.25)/I943,IF(C943="Annuity",IF(F943&gt;0,((K943-L943*F943)*((IF(DAY(E943+1)=1,EOMONTH(E943,H943*D943),EDATE(E943,H943*D943))-AsAt)/365.25*((1+F943)^(I943-O943)-1)/F943+IF((I943-O943)&gt;1,((IF(DAY(E943+1)=1,EOMONTH(E943,(N943-1)*D943),EDATE(E943,(N943-1)*D943))-AsAt)/365.25-(IF(DAY(E943+1)=1,EOMONTH(E943,H943*D943),EDATE(E943,H943*D943))-AsAt)/365.25)/((I943-O943)-1),0)*(1+F943)*(1-(I943-O943)*(1+F943)^((I943-O943)-1)+((I943-O943)-1)*(1+F943)^(I943-O943))/F943^2)+O943*(K943-L943*F943)*(1+F943)^(I943-1)*('Deal maths'!AA943-AsAt)/365.25)/L943,((I943-O943)*((IF(DAY(E943+1)=1,EOMONTH(E943,H943*D943),EDATE(E943,H943*D943))-AsAt)/365.25+(IF(DAY(E943+1)=1,EOMONTH(E943,(N943-1)*D943),EDATE(E943,(N943-1)*D943))-AsAt)/365.25)/2+O943*('Deal maths'!AA943-AsAt)/365.25)/I943),(S943-AsAt)/365.25)),0))</f>
        <v/>
      </c>
      <c r="Q943" s="109">
        <f>IF(B943=1,'Deal maths'!AA943+ROW()/1000000,"")</f>
        <v/>
      </c>
      <c r="R943" s="108">
        <f>IF(D943=0,0,IF(DAY(E943+1)=1,31,DAY(E943)))</f>
        <v/>
      </c>
      <c r="S943" s="109">
        <f>IF(AND('Deal maths'!V943="LOBO",'Deal maths'!AG943&gt;AsAt,'Deal maths'!AG943&lt;'Deal maths'!AA943),'Deal maths'!AG943,'Deal maths'!AA943)</f>
        <v/>
      </c>
      <c r="T943" s="108">
        <f>('Deal maths'!AA943&gt;AsAt)*('Deal maths'!Y943&gt;0)</f>
        <v/>
      </c>
    </row>
    <row r="944">
      <c r="A944" s="91">
        <f>IF('Deal maths'!V944="","",'Deal maths'!W944)</f>
        <v/>
      </c>
      <c r="B944" s="108">
        <f>('Deal maths'!AA944&gt;AsAt)*('Deal maths'!Y944&gt;0)*('Deal maths'!Z944&lt;=AsAt)</f>
        <v/>
      </c>
      <c r="C944" s="91">
        <f>IF('Deal maths'!V944="","",IF('Deal maths'!AC944="","Maturity",'Deal maths'!AC944))</f>
        <v/>
      </c>
      <c r="D944" s="108">
        <f>IF(OR(C944="EIP",C944="Annuity"),IF('Deal maths'!AD944="Annual",12,IF('Deal maths'!AD944="Quarterly",3,6)),0)</f>
        <v/>
      </c>
      <c r="E944" s="109">
        <f>IFERROR(IF(D944=0,0,IF('Deal maths'!AE944&gt;0,IF('Deal maths'!AE944&gt;'Deal maths'!AA944,'Deal maths'!AA944,'Deal maths'!AE944),IF(IF(DAY('Deal maths'!AA944+1)=1,EOMONTH('Deal maths'!AA944,-(INT(((YEAR('Deal maths'!AA944)-YEAR(IF('Deal maths'!Z944&gt;0,'Deal maths'!Z944,DATE(1990,1,1))))*12+MONTH('Deal maths'!AA944)-MONTH(IF('Deal maths'!Z944&gt;0,'Deal maths'!Z944,DATE(1990,1,1))))/D944))*D944),EDATE('Deal maths'!AA944,-(INT(((YEAR('Deal maths'!AA944)-YEAR(IF('Deal maths'!Z944&gt;0,'Deal maths'!Z944,DATE(1990,1,1))))*12+MONTH('Deal maths'!AA944)-MONTH(IF('Deal maths'!Z944&gt;0,'Deal maths'!Z944,DATE(1990,1,1))))/D944))*D944))&gt;IF('Deal maths'!Z944&gt;0,'Deal maths'!Z944,DATE(1990,1,1)),IF(DAY('Deal maths'!AA944+1)=1,EOMONTH('Deal maths'!AA944,-(INT(((YEAR('Deal maths'!AA944)-YEAR(IF('Deal maths'!Z944&gt;0,'Deal maths'!Z944,DATE(1990,1,1))))*12+MONTH('Deal maths'!AA944)-MONTH(IF('Deal maths'!Z944&gt;0,'Deal maths'!Z944,DATE(1990,1,1))))/D944))*D944),EDATE('Deal maths'!AA944,-(INT(((YEAR('Deal maths'!AA944)-YEAR(IF('Deal maths'!Z944&gt;0,'Deal maths'!Z944,DATE(1990,1,1))))*12+MONTH('Deal maths'!AA944)-MONTH(IF('Deal maths'!Z944&gt;0,'Deal maths'!Z944,DATE(1990,1,1))))/D944))*D944)),IF(DAY('Deal maths'!AA944+1)=1,EOMONTH('Deal maths'!AA944,-(INT(((YEAR('Deal maths'!AA944)-YEAR(IF('Deal maths'!Z944&gt;0,'Deal maths'!Z944,DATE(1990,1,1))))*12+MONTH('Deal maths'!AA944)-MONTH(IF('Deal maths'!Z944&gt;0,'Deal maths'!Z944,DATE(1990,1,1))))/D944)-1)*D944),EDATE('Deal maths'!AA944,-(INT(((YEAR('Deal maths'!AA944)-YEAR(IF('Deal maths'!Z944&gt;0,'Deal maths'!Z944,DATE(1990,1,1))))*12+MONTH('Deal maths'!AA944)-MONTH(IF('Deal maths'!Z944&gt;0,'Deal maths'!Z944,DATE(1990,1,1))))/D944)-1)*D944))))),0)</f>
        <v/>
      </c>
      <c r="F944" s="110">
        <f>IF(D944=0,0,'Deal maths'!AB944*D944/12)</f>
        <v/>
      </c>
      <c r="G944" s="108">
        <f>N944+O944</f>
        <v/>
      </c>
      <c r="H944" s="108">
        <f>IFERROR(IF(OR(D944=0,AsAt&lt;E944),0,MIN(N944,INT(((YEAR(AsAt)-YEAR(E944))*12+MONTH(AsAt)-MONTH(E944)-(DAY(AsAt)&lt;MIN(R944,DAY(EOMONTH(AsAt,0)))))/D944)+1)+O944*(AsAt&gt;='Deal maths'!AA944)),0)</f>
        <v/>
      </c>
      <c r="I944" s="108">
        <f>G944-H944</f>
        <v/>
      </c>
      <c r="J944" s="111">
        <f>IF(AND(C944="EIP",I944&gt;0),'Deal maths'!Y944/I944,0)</f>
        <v/>
      </c>
      <c r="K944" s="111">
        <f>IF(AND(C944="Annuity",I944&gt;0),IF(F944&gt;0,'Deal maths'!Y944*F944/(1-(1+F944)^-I944),'Deal maths'!Y944/I944),0)</f>
        <v/>
      </c>
      <c r="L944" s="111">
        <f>IF('Deal maths'!Y944="",0,'Deal maths'!Y944)</f>
        <v/>
      </c>
      <c r="M944" s="112">
        <f>F944+(F944=0)</f>
        <v/>
      </c>
      <c r="N944" s="108">
        <f>IFERROR(IF(D944=0,0,INT(((YEAR('Deal maths'!AA944)-YEAR(E944))*12+MONTH('Deal maths'!AA944)-MONTH(E944)-(DAY('Deal maths'!AA944)&lt;MIN(R944,DAY(EOMONTH('Deal maths'!AA944,0)))))/D944)+1),0)</f>
        <v/>
      </c>
      <c r="O944" s="108">
        <f>IFERROR(IF(D944=0,0,IF(IF(DAY(E944+1)=1,EOMONTH(E944,(N944-1)*D944),EDATE(E944,(N944-1)*D944))='Deal maths'!AA944,0,1)),0)</f>
        <v/>
      </c>
      <c r="P944" s="113">
        <f>IF(B944=0,0,IFERROR(IF(C944="EIP",((I944-O944)*((IF(DAY(E944+1)=1,EOMONTH(E944,H944*D944),EDATE(E944,H944*D944))-AsAt)/365.25+(IF(DAY(E944+1)=1,EOMONTH(E944,(N944-1)*D944),EDATE(E944,(N944-1)*D944))-AsAt)/365.25)/2+O944*('Deal maths'!AA944-AsAt)/365.25)/I944,IF(C944="Annuity",IF(F944&gt;0,((K944-L944*F944)*((IF(DAY(E944+1)=1,EOMONTH(E944,H944*D944),EDATE(E944,H944*D944))-AsAt)/365.25*((1+F944)^(I944-O944)-1)/F944+IF((I944-O944)&gt;1,((IF(DAY(E944+1)=1,EOMONTH(E944,(N944-1)*D944),EDATE(E944,(N944-1)*D944))-AsAt)/365.25-(IF(DAY(E944+1)=1,EOMONTH(E944,H944*D944),EDATE(E944,H944*D944))-AsAt)/365.25)/((I944-O944)-1),0)*(1+F944)*(1-(I944-O944)*(1+F944)^((I944-O944)-1)+((I944-O944)-1)*(1+F944)^(I944-O944))/F944^2)+O944*(K944-L944*F944)*(1+F944)^(I944-1)*('Deal maths'!AA944-AsAt)/365.25)/L944,((I944-O944)*((IF(DAY(E944+1)=1,EOMONTH(E944,H944*D944),EDATE(E944,H944*D944))-AsAt)/365.25+(IF(DAY(E944+1)=1,EOMONTH(E944,(N944-1)*D944),EDATE(E944,(N944-1)*D944))-AsAt)/365.25)/2+O944*('Deal maths'!AA944-AsAt)/365.25)/I944),(S944-AsAt)/365.25)),0))</f>
        <v/>
      </c>
      <c r="Q944" s="109">
        <f>IF(B944=1,'Deal maths'!AA944+ROW()/1000000,"")</f>
        <v/>
      </c>
      <c r="R944" s="108">
        <f>IF(D944=0,0,IF(DAY(E944+1)=1,31,DAY(E944)))</f>
        <v/>
      </c>
      <c r="S944" s="109">
        <f>IF(AND('Deal maths'!V944="LOBO",'Deal maths'!AG944&gt;AsAt,'Deal maths'!AG944&lt;'Deal maths'!AA944),'Deal maths'!AG944,'Deal maths'!AA944)</f>
        <v/>
      </c>
      <c r="T944" s="108">
        <f>('Deal maths'!AA944&gt;AsAt)*('Deal maths'!Y944&gt;0)</f>
        <v/>
      </c>
    </row>
    <row r="945">
      <c r="A945" s="91">
        <f>IF('Deal maths'!V945="","",'Deal maths'!W945)</f>
        <v/>
      </c>
      <c r="B945" s="108">
        <f>('Deal maths'!AA945&gt;AsAt)*('Deal maths'!Y945&gt;0)*('Deal maths'!Z945&lt;=AsAt)</f>
        <v/>
      </c>
      <c r="C945" s="91">
        <f>IF('Deal maths'!V945="","",IF('Deal maths'!AC945="","Maturity",'Deal maths'!AC945))</f>
        <v/>
      </c>
      <c r="D945" s="108">
        <f>IF(OR(C945="EIP",C945="Annuity"),IF('Deal maths'!AD945="Annual",12,IF('Deal maths'!AD945="Quarterly",3,6)),0)</f>
        <v/>
      </c>
      <c r="E945" s="109">
        <f>IFERROR(IF(D945=0,0,IF('Deal maths'!AE945&gt;0,IF('Deal maths'!AE945&gt;'Deal maths'!AA945,'Deal maths'!AA945,'Deal maths'!AE945),IF(IF(DAY('Deal maths'!AA945+1)=1,EOMONTH('Deal maths'!AA945,-(INT(((YEAR('Deal maths'!AA945)-YEAR(IF('Deal maths'!Z945&gt;0,'Deal maths'!Z945,DATE(1990,1,1))))*12+MONTH('Deal maths'!AA945)-MONTH(IF('Deal maths'!Z945&gt;0,'Deal maths'!Z945,DATE(1990,1,1))))/D945))*D945),EDATE('Deal maths'!AA945,-(INT(((YEAR('Deal maths'!AA945)-YEAR(IF('Deal maths'!Z945&gt;0,'Deal maths'!Z945,DATE(1990,1,1))))*12+MONTH('Deal maths'!AA945)-MONTH(IF('Deal maths'!Z945&gt;0,'Deal maths'!Z945,DATE(1990,1,1))))/D945))*D945))&gt;IF('Deal maths'!Z945&gt;0,'Deal maths'!Z945,DATE(1990,1,1)),IF(DAY('Deal maths'!AA945+1)=1,EOMONTH('Deal maths'!AA945,-(INT(((YEAR('Deal maths'!AA945)-YEAR(IF('Deal maths'!Z945&gt;0,'Deal maths'!Z945,DATE(1990,1,1))))*12+MONTH('Deal maths'!AA945)-MONTH(IF('Deal maths'!Z945&gt;0,'Deal maths'!Z945,DATE(1990,1,1))))/D945))*D945),EDATE('Deal maths'!AA945,-(INT(((YEAR('Deal maths'!AA945)-YEAR(IF('Deal maths'!Z945&gt;0,'Deal maths'!Z945,DATE(1990,1,1))))*12+MONTH('Deal maths'!AA945)-MONTH(IF('Deal maths'!Z945&gt;0,'Deal maths'!Z945,DATE(1990,1,1))))/D945))*D945)),IF(DAY('Deal maths'!AA945+1)=1,EOMONTH('Deal maths'!AA945,-(INT(((YEAR('Deal maths'!AA945)-YEAR(IF('Deal maths'!Z945&gt;0,'Deal maths'!Z945,DATE(1990,1,1))))*12+MONTH('Deal maths'!AA945)-MONTH(IF('Deal maths'!Z945&gt;0,'Deal maths'!Z945,DATE(1990,1,1))))/D945)-1)*D945),EDATE('Deal maths'!AA945,-(INT(((YEAR('Deal maths'!AA945)-YEAR(IF('Deal maths'!Z945&gt;0,'Deal maths'!Z945,DATE(1990,1,1))))*12+MONTH('Deal maths'!AA945)-MONTH(IF('Deal maths'!Z945&gt;0,'Deal maths'!Z945,DATE(1990,1,1))))/D945)-1)*D945))))),0)</f>
        <v/>
      </c>
      <c r="F945" s="110">
        <f>IF(D945=0,0,'Deal maths'!AB945*D945/12)</f>
        <v/>
      </c>
      <c r="G945" s="108">
        <f>N945+O945</f>
        <v/>
      </c>
      <c r="H945" s="108">
        <f>IFERROR(IF(OR(D945=0,AsAt&lt;E945),0,MIN(N945,INT(((YEAR(AsAt)-YEAR(E945))*12+MONTH(AsAt)-MONTH(E945)-(DAY(AsAt)&lt;MIN(R945,DAY(EOMONTH(AsAt,0)))))/D945)+1)+O945*(AsAt&gt;='Deal maths'!AA945)),0)</f>
        <v/>
      </c>
      <c r="I945" s="108">
        <f>G945-H945</f>
        <v/>
      </c>
      <c r="J945" s="111">
        <f>IF(AND(C945="EIP",I945&gt;0),'Deal maths'!Y945/I945,0)</f>
        <v/>
      </c>
      <c r="K945" s="111">
        <f>IF(AND(C945="Annuity",I945&gt;0),IF(F945&gt;0,'Deal maths'!Y945*F945/(1-(1+F945)^-I945),'Deal maths'!Y945/I945),0)</f>
        <v/>
      </c>
      <c r="L945" s="111">
        <f>IF('Deal maths'!Y945="",0,'Deal maths'!Y945)</f>
        <v/>
      </c>
      <c r="M945" s="112">
        <f>F945+(F945=0)</f>
        <v/>
      </c>
      <c r="N945" s="108">
        <f>IFERROR(IF(D945=0,0,INT(((YEAR('Deal maths'!AA945)-YEAR(E945))*12+MONTH('Deal maths'!AA945)-MONTH(E945)-(DAY('Deal maths'!AA945)&lt;MIN(R945,DAY(EOMONTH('Deal maths'!AA945,0)))))/D945)+1),0)</f>
        <v/>
      </c>
      <c r="O945" s="108">
        <f>IFERROR(IF(D945=0,0,IF(IF(DAY(E945+1)=1,EOMONTH(E945,(N945-1)*D945),EDATE(E945,(N945-1)*D945))='Deal maths'!AA945,0,1)),0)</f>
        <v/>
      </c>
      <c r="P945" s="113">
        <f>IF(B945=0,0,IFERROR(IF(C945="EIP",((I945-O945)*((IF(DAY(E945+1)=1,EOMONTH(E945,H945*D945),EDATE(E945,H945*D945))-AsAt)/365.25+(IF(DAY(E945+1)=1,EOMONTH(E945,(N945-1)*D945),EDATE(E945,(N945-1)*D945))-AsAt)/365.25)/2+O945*('Deal maths'!AA945-AsAt)/365.25)/I945,IF(C945="Annuity",IF(F945&gt;0,((K945-L945*F945)*((IF(DAY(E945+1)=1,EOMONTH(E945,H945*D945),EDATE(E945,H945*D945))-AsAt)/365.25*((1+F945)^(I945-O945)-1)/F945+IF((I945-O945)&gt;1,((IF(DAY(E945+1)=1,EOMONTH(E945,(N945-1)*D945),EDATE(E945,(N945-1)*D945))-AsAt)/365.25-(IF(DAY(E945+1)=1,EOMONTH(E945,H945*D945),EDATE(E945,H945*D945))-AsAt)/365.25)/((I945-O945)-1),0)*(1+F945)*(1-(I945-O945)*(1+F945)^((I945-O945)-1)+((I945-O945)-1)*(1+F945)^(I945-O945))/F945^2)+O945*(K945-L945*F945)*(1+F945)^(I945-1)*('Deal maths'!AA945-AsAt)/365.25)/L945,((I945-O945)*((IF(DAY(E945+1)=1,EOMONTH(E945,H945*D945),EDATE(E945,H945*D945))-AsAt)/365.25+(IF(DAY(E945+1)=1,EOMONTH(E945,(N945-1)*D945),EDATE(E945,(N945-1)*D945))-AsAt)/365.25)/2+O945*('Deal maths'!AA945-AsAt)/365.25)/I945),(S945-AsAt)/365.25)),0))</f>
        <v/>
      </c>
      <c r="Q945" s="109">
        <f>IF(B945=1,'Deal maths'!AA945+ROW()/1000000,"")</f>
        <v/>
      </c>
      <c r="R945" s="108">
        <f>IF(D945=0,0,IF(DAY(E945+1)=1,31,DAY(E945)))</f>
        <v/>
      </c>
      <c r="S945" s="109">
        <f>IF(AND('Deal maths'!V945="LOBO",'Deal maths'!AG945&gt;AsAt,'Deal maths'!AG945&lt;'Deal maths'!AA945),'Deal maths'!AG945,'Deal maths'!AA945)</f>
        <v/>
      </c>
      <c r="T945" s="108">
        <f>('Deal maths'!AA945&gt;AsAt)*('Deal maths'!Y945&gt;0)</f>
        <v/>
      </c>
    </row>
    <row r="946">
      <c r="A946" s="91">
        <f>IF('Deal maths'!V946="","",'Deal maths'!W946)</f>
        <v/>
      </c>
      <c r="B946" s="108">
        <f>('Deal maths'!AA946&gt;AsAt)*('Deal maths'!Y946&gt;0)*('Deal maths'!Z946&lt;=AsAt)</f>
        <v/>
      </c>
      <c r="C946" s="91">
        <f>IF('Deal maths'!V946="","",IF('Deal maths'!AC946="","Maturity",'Deal maths'!AC946))</f>
        <v/>
      </c>
      <c r="D946" s="108">
        <f>IF(OR(C946="EIP",C946="Annuity"),IF('Deal maths'!AD946="Annual",12,IF('Deal maths'!AD946="Quarterly",3,6)),0)</f>
        <v/>
      </c>
      <c r="E946" s="109">
        <f>IFERROR(IF(D946=0,0,IF('Deal maths'!AE946&gt;0,IF('Deal maths'!AE946&gt;'Deal maths'!AA946,'Deal maths'!AA946,'Deal maths'!AE946),IF(IF(DAY('Deal maths'!AA946+1)=1,EOMONTH('Deal maths'!AA946,-(INT(((YEAR('Deal maths'!AA946)-YEAR(IF('Deal maths'!Z946&gt;0,'Deal maths'!Z946,DATE(1990,1,1))))*12+MONTH('Deal maths'!AA946)-MONTH(IF('Deal maths'!Z946&gt;0,'Deal maths'!Z946,DATE(1990,1,1))))/D946))*D946),EDATE('Deal maths'!AA946,-(INT(((YEAR('Deal maths'!AA946)-YEAR(IF('Deal maths'!Z946&gt;0,'Deal maths'!Z946,DATE(1990,1,1))))*12+MONTH('Deal maths'!AA946)-MONTH(IF('Deal maths'!Z946&gt;0,'Deal maths'!Z946,DATE(1990,1,1))))/D946))*D946))&gt;IF('Deal maths'!Z946&gt;0,'Deal maths'!Z946,DATE(1990,1,1)),IF(DAY('Deal maths'!AA946+1)=1,EOMONTH('Deal maths'!AA946,-(INT(((YEAR('Deal maths'!AA946)-YEAR(IF('Deal maths'!Z946&gt;0,'Deal maths'!Z946,DATE(1990,1,1))))*12+MONTH('Deal maths'!AA946)-MONTH(IF('Deal maths'!Z946&gt;0,'Deal maths'!Z946,DATE(1990,1,1))))/D946))*D946),EDATE('Deal maths'!AA946,-(INT(((YEAR('Deal maths'!AA946)-YEAR(IF('Deal maths'!Z946&gt;0,'Deal maths'!Z946,DATE(1990,1,1))))*12+MONTH('Deal maths'!AA946)-MONTH(IF('Deal maths'!Z946&gt;0,'Deal maths'!Z946,DATE(1990,1,1))))/D946))*D946)),IF(DAY('Deal maths'!AA946+1)=1,EOMONTH('Deal maths'!AA946,-(INT(((YEAR('Deal maths'!AA946)-YEAR(IF('Deal maths'!Z946&gt;0,'Deal maths'!Z946,DATE(1990,1,1))))*12+MONTH('Deal maths'!AA946)-MONTH(IF('Deal maths'!Z946&gt;0,'Deal maths'!Z946,DATE(1990,1,1))))/D946)-1)*D946),EDATE('Deal maths'!AA946,-(INT(((YEAR('Deal maths'!AA946)-YEAR(IF('Deal maths'!Z946&gt;0,'Deal maths'!Z946,DATE(1990,1,1))))*12+MONTH('Deal maths'!AA946)-MONTH(IF('Deal maths'!Z946&gt;0,'Deal maths'!Z946,DATE(1990,1,1))))/D946)-1)*D946))))),0)</f>
        <v/>
      </c>
      <c r="F946" s="110">
        <f>IF(D946=0,0,'Deal maths'!AB946*D946/12)</f>
        <v/>
      </c>
      <c r="G946" s="108">
        <f>N946+O946</f>
        <v/>
      </c>
      <c r="H946" s="108">
        <f>IFERROR(IF(OR(D946=0,AsAt&lt;E946),0,MIN(N946,INT(((YEAR(AsAt)-YEAR(E946))*12+MONTH(AsAt)-MONTH(E946)-(DAY(AsAt)&lt;MIN(R946,DAY(EOMONTH(AsAt,0)))))/D946)+1)+O946*(AsAt&gt;='Deal maths'!AA946)),0)</f>
        <v/>
      </c>
      <c r="I946" s="108">
        <f>G946-H946</f>
        <v/>
      </c>
      <c r="J946" s="111">
        <f>IF(AND(C946="EIP",I946&gt;0),'Deal maths'!Y946/I946,0)</f>
        <v/>
      </c>
      <c r="K946" s="111">
        <f>IF(AND(C946="Annuity",I946&gt;0),IF(F946&gt;0,'Deal maths'!Y946*F946/(1-(1+F946)^-I946),'Deal maths'!Y946/I946),0)</f>
        <v/>
      </c>
      <c r="L946" s="111">
        <f>IF('Deal maths'!Y946="",0,'Deal maths'!Y946)</f>
        <v/>
      </c>
      <c r="M946" s="112">
        <f>F946+(F946=0)</f>
        <v/>
      </c>
      <c r="N946" s="108">
        <f>IFERROR(IF(D946=0,0,INT(((YEAR('Deal maths'!AA946)-YEAR(E946))*12+MONTH('Deal maths'!AA946)-MONTH(E946)-(DAY('Deal maths'!AA946)&lt;MIN(R946,DAY(EOMONTH('Deal maths'!AA946,0)))))/D946)+1),0)</f>
        <v/>
      </c>
      <c r="O946" s="108">
        <f>IFERROR(IF(D946=0,0,IF(IF(DAY(E946+1)=1,EOMONTH(E946,(N946-1)*D946),EDATE(E946,(N946-1)*D946))='Deal maths'!AA946,0,1)),0)</f>
        <v/>
      </c>
      <c r="P946" s="113">
        <f>IF(B946=0,0,IFERROR(IF(C946="EIP",((I946-O946)*((IF(DAY(E946+1)=1,EOMONTH(E946,H946*D946),EDATE(E946,H946*D946))-AsAt)/365.25+(IF(DAY(E946+1)=1,EOMONTH(E946,(N946-1)*D946),EDATE(E946,(N946-1)*D946))-AsAt)/365.25)/2+O946*('Deal maths'!AA946-AsAt)/365.25)/I946,IF(C946="Annuity",IF(F946&gt;0,((K946-L946*F946)*((IF(DAY(E946+1)=1,EOMONTH(E946,H946*D946),EDATE(E946,H946*D946))-AsAt)/365.25*((1+F946)^(I946-O946)-1)/F946+IF((I946-O946)&gt;1,((IF(DAY(E946+1)=1,EOMONTH(E946,(N946-1)*D946),EDATE(E946,(N946-1)*D946))-AsAt)/365.25-(IF(DAY(E946+1)=1,EOMONTH(E946,H946*D946),EDATE(E946,H946*D946))-AsAt)/365.25)/((I946-O946)-1),0)*(1+F946)*(1-(I946-O946)*(1+F946)^((I946-O946)-1)+((I946-O946)-1)*(1+F946)^(I946-O946))/F946^2)+O946*(K946-L946*F946)*(1+F946)^(I946-1)*('Deal maths'!AA946-AsAt)/365.25)/L946,((I946-O946)*((IF(DAY(E946+1)=1,EOMONTH(E946,H946*D946),EDATE(E946,H946*D946))-AsAt)/365.25+(IF(DAY(E946+1)=1,EOMONTH(E946,(N946-1)*D946),EDATE(E946,(N946-1)*D946))-AsAt)/365.25)/2+O946*('Deal maths'!AA946-AsAt)/365.25)/I946),(S946-AsAt)/365.25)),0))</f>
        <v/>
      </c>
      <c r="Q946" s="109">
        <f>IF(B946=1,'Deal maths'!AA946+ROW()/1000000,"")</f>
        <v/>
      </c>
      <c r="R946" s="108">
        <f>IF(D946=0,0,IF(DAY(E946+1)=1,31,DAY(E946)))</f>
        <v/>
      </c>
      <c r="S946" s="109">
        <f>IF(AND('Deal maths'!V946="LOBO",'Deal maths'!AG946&gt;AsAt,'Deal maths'!AG946&lt;'Deal maths'!AA946),'Deal maths'!AG946,'Deal maths'!AA946)</f>
        <v/>
      </c>
      <c r="T946" s="108">
        <f>('Deal maths'!AA946&gt;AsAt)*('Deal maths'!Y946&gt;0)</f>
        <v/>
      </c>
    </row>
    <row r="947">
      <c r="A947" s="91">
        <f>IF('Deal maths'!V947="","",'Deal maths'!W947)</f>
        <v/>
      </c>
      <c r="B947" s="108">
        <f>('Deal maths'!AA947&gt;AsAt)*('Deal maths'!Y947&gt;0)*('Deal maths'!Z947&lt;=AsAt)</f>
        <v/>
      </c>
      <c r="C947" s="91">
        <f>IF('Deal maths'!V947="","",IF('Deal maths'!AC947="","Maturity",'Deal maths'!AC947))</f>
        <v/>
      </c>
      <c r="D947" s="108">
        <f>IF(OR(C947="EIP",C947="Annuity"),IF('Deal maths'!AD947="Annual",12,IF('Deal maths'!AD947="Quarterly",3,6)),0)</f>
        <v/>
      </c>
      <c r="E947" s="109">
        <f>IFERROR(IF(D947=0,0,IF('Deal maths'!AE947&gt;0,IF('Deal maths'!AE947&gt;'Deal maths'!AA947,'Deal maths'!AA947,'Deal maths'!AE947),IF(IF(DAY('Deal maths'!AA947+1)=1,EOMONTH('Deal maths'!AA947,-(INT(((YEAR('Deal maths'!AA947)-YEAR(IF('Deal maths'!Z947&gt;0,'Deal maths'!Z947,DATE(1990,1,1))))*12+MONTH('Deal maths'!AA947)-MONTH(IF('Deal maths'!Z947&gt;0,'Deal maths'!Z947,DATE(1990,1,1))))/D947))*D947),EDATE('Deal maths'!AA947,-(INT(((YEAR('Deal maths'!AA947)-YEAR(IF('Deal maths'!Z947&gt;0,'Deal maths'!Z947,DATE(1990,1,1))))*12+MONTH('Deal maths'!AA947)-MONTH(IF('Deal maths'!Z947&gt;0,'Deal maths'!Z947,DATE(1990,1,1))))/D947))*D947))&gt;IF('Deal maths'!Z947&gt;0,'Deal maths'!Z947,DATE(1990,1,1)),IF(DAY('Deal maths'!AA947+1)=1,EOMONTH('Deal maths'!AA947,-(INT(((YEAR('Deal maths'!AA947)-YEAR(IF('Deal maths'!Z947&gt;0,'Deal maths'!Z947,DATE(1990,1,1))))*12+MONTH('Deal maths'!AA947)-MONTH(IF('Deal maths'!Z947&gt;0,'Deal maths'!Z947,DATE(1990,1,1))))/D947))*D947),EDATE('Deal maths'!AA947,-(INT(((YEAR('Deal maths'!AA947)-YEAR(IF('Deal maths'!Z947&gt;0,'Deal maths'!Z947,DATE(1990,1,1))))*12+MONTH('Deal maths'!AA947)-MONTH(IF('Deal maths'!Z947&gt;0,'Deal maths'!Z947,DATE(1990,1,1))))/D947))*D947)),IF(DAY('Deal maths'!AA947+1)=1,EOMONTH('Deal maths'!AA947,-(INT(((YEAR('Deal maths'!AA947)-YEAR(IF('Deal maths'!Z947&gt;0,'Deal maths'!Z947,DATE(1990,1,1))))*12+MONTH('Deal maths'!AA947)-MONTH(IF('Deal maths'!Z947&gt;0,'Deal maths'!Z947,DATE(1990,1,1))))/D947)-1)*D947),EDATE('Deal maths'!AA947,-(INT(((YEAR('Deal maths'!AA947)-YEAR(IF('Deal maths'!Z947&gt;0,'Deal maths'!Z947,DATE(1990,1,1))))*12+MONTH('Deal maths'!AA947)-MONTH(IF('Deal maths'!Z947&gt;0,'Deal maths'!Z947,DATE(1990,1,1))))/D947)-1)*D947))))),0)</f>
        <v/>
      </c>
      <c r="F947" s="110">
        <f>IF(D947=0,0,'Deal maths'!AB947*D947/12)</f>
        <v/>
      </c>
      <c r="G947" s="108">
        <f>N947+O947</f>
        <v/>
      </c>
      <c r="H947" s="108">
        <f>IFERROR(IF(OR(D947=0,AsAt&lt;E947),0,MIN(N947,INT(((YEAR(AsAt)-YEAR(E947))*12+MONTH(AsAt)-MONTH(E947)-(DAY(AsAt)&lt;MIN(R947,DAY(EOMONTH(AsAt,0)))))/D947)+1)+O947*(AsAt&gt;='Deal maths'!AA947)),0)</f>
        <v/>
      </c>
      <c r="I947" s="108">
        <f>G947-H947</f>
        <v/>
      </c>
      <c r="J947" s="111">
        <f>IF(AND(C947="EIP",I947&gt;0),'Deal maths'!Y947/I947,0)</f>
        <v/>
      </c>
      <c r="K947" s="111">
        <f>IF(AND(C947="Annuity",I947&gt;0),IF(F947&gt;0,'Deal maths'!Y947*F947/(1-(1+F947)^-I947),'Deal maths'!Y947/I947),0)</f>
        <v/>
      </c>
      <c r="L947" s="111">
        <f>IF('Deal maths'!Y947="",0,'Deal maths'!Y947)</f>
        <v/>
      </c>
      <c r="M947" s="112">
        <f>F947+(F947=0)</f>
        <v/>
      </c>
      <c r="N947" s="108">
        <f>IFERROR(IF(D947=0,0,INT(((YEAR('Deal maths'!AA947)-YEAR(E947))*12+MONTH('Deal maths'!AA947)-MONTH(E947)-(DAY('Deal maths'!AA947)&lt;MIN(R947,DAY(EOMONTH('Deal maths'!AA947,0)))))/D947)+1),0)</f>
        <v/>
      </c>
      <c r="O947" s="108">
        <f>IFERROR(IF(D947=0,0,IF(IF(DAY(E947+1)=1,EOMONTH(E947,(N947-1)*D947),EDATE(E947,(N947-1)*D947))='Deal maths'!AA947,0,1)),0)</f>
        <v/>
      </c>
      <c r="P947" s="113">
        <f>IF(B947=0,0,IFERROR(IF(C947="EIP",((I947-O947)*((IF(DAY(E947+1)=1,EOMONTH(E947,H947*D947),EDATE(E947,H947*D947))-AsAt)/365.25+(IF(DAY(E947+1)=1,EOMONTH(E947,(N947-1)*D947),EDATE(E947,(N947-1)*D947))-AsAt)/365.25)/2+O947*('Deal maths'!AA947-AsAt)/365.25)/I947,IF(C947="Annuity",IF(F947&gt;0,((K947-L947*F947)*((IF(DAY(E947+1)=1,EOMONTH(E947,H947*D947),EDATE(E947,H947*D947))-AsAt)/365.25*((1+F947)^(I947-O947)-1)/F947+IF((I947-O947)&gt;1,((IF(DAY(E947+1)=1,EOMONTH(E947,(N947-1)*D947),EDATE(E947,(N947-1)*D947))-AsAt)/365.25-(IF(DAY(E947+1)=1,EOMONTH(E947,H947*D947),EDATE(E947,H947*D947))-AsAt)/365.25)/((I947-O947)-1),0)*(1+F947)*(1-(I947-O947)*(1+F947)^((I947-O947)-1)+((I947-O947)-1)*(1+F947)^(I947-O947))/F947^2)+O947*(K947-L947*F947)*(1+F947)^(I947-1)*('Deal maths'!AA947-AsAt)/365.25)/L947,((I947-O947)*((IF(DAY(E947+1)=1,EOMONTH(E947,H947*D947),EDATE(E947,H947*D947))-AsAt)/365.25+(IF(DAY(E947+1)=1,EOMONTH(E947,(N947-1)*D947),EDATE(E947,(N947-1)*D947))-AsAt)/365.25)/2+O947*('Deal maths'!AA947-AsAt)/365.25)/I947),(S947-AsAt)/365.25)),0))</f>
        <v/>
      </c>
      <c r="Q947" s="109">
        <f>IF(B947=1,'Deal maths'!AA947+ROW()/1000000,"")</f>
        <v/>
      </c>
      <c r="R947" s="108">
        <f>IF(D947=0,0,IF(DAY(E947+1)=1,31,DAY(E947)))</f>
        <v/>
      </c>
      <c r="S947" s="109">
        <f>IF(AND('Deal maths'!V947="LOBO",'Deal maths'!AG947&gt;AsAt,'Deal maths'!AG947&lt;'Deal maths'!AA947),'Deal maths'!AG947,'Deal maths'!AA947)</f>
        <v/>
      </c>
      <c r="T947" s="108">
        <f>('Deal maths'!AA947&gt;AsAt)*('Deal maths'!Y947&gt;0)</f>
        <v/>
      </c>
    </row>
    <row r="948">
      <c r="A948" s="91">
        <f>IF('Deal maths'!V948="","",'Deal maths'!W948)</f>
        <v/>
      </c>
      <c r="B948" s="108">
        <f>('Deal maths'!AA948&gt;AsAt)*('Deal maths'!Y948&gt;0)*('Deal maths'!Z948&lt;=AsAt)</f>
        <v/>
      </c>
      <c r="C948" s="91">
        <f>IF('Deal maths'!V948="","",IF('Deal maths'!AC948="","Maturity",'Deal maths'!AC948))</f>
        <v/>
      </c>
      <c r="D948" s="108">
        <f>IF(OR(C948="EIP",C948="Annuity"),IF('Deal maths'!AD948="Annual",12,IF('Deal maths'!AD948="Quarterly",3,6)),0)</f>
        <v/>
      </c>
      <c r="E948" s="109">
        <f>IFERROR(IF(D948=0,0,IF('Deal maths'!AE948&gt;0,IF('Deal maths'!AE948&gt;'Deal maths'!AA948,'Deal maths'!AA948,'Deal maths'!AE948),IF(IF(DAY('Deal maths'!AA948+1)=1,EOMONTH('Deal maths'!AA948,-(INT(((YEAR('Deal maths'!AA948)-YEAR(IF('Deal maths'!Z948&gt;0,'Deal maths'!Z948,DATE(1990,1,1))))*12+MONTH('Deal maths'!AA948)-MONTH(IF('Deal maths'!Z948&gt;0,'Deal maths'!Z948,DATE(1990,1,1))))/D948))*D948),EDATE('Deal maths'!AA948,-(INT(((YEAR('Deal maths'!AA948)-YEAR(IF('Deal maths'!Z948&gt;0,'Deal maths'!Z948,DATE(1990,1,1))))*12+MONTH('Deal maths'!AA948)-MONTH(IF('Deal maths'!Z948&gt;0,'Deal maths'!Z948,DATE(1990,1,1))))/D948))*D948))&gt;IF('Deal maths'!Z948&gt;0,'Deal maths'!Z948,DATE(1990,1,1)),IF(DAY('Deal maths'!AA948+1)=1,EOMONTH('Deal maths'!AA948,-(INT(((YEAR('Deal maths'!AA948)-YEAR(IF('Deal maths'!Z948&gt;0,'Deal maths'!Z948,DATE(1990,1,1))))*12+MONTH('Deal maths'!AA948)-MONTH(IF('Deal maths'!Z948&gt;0,'Deal maths'!Z948,DATE(1990,1,1))))/D948))*D948),EDATE('Deal maths'!AA948,-(INT(((YEAR('Deal maths'!AA948)-YEAR(IF('Deal maths'!Z948&gt;0,'Deal maths'!Z948,DATE(1990,1,1))))*12+MONTH('Deal maths'!AA948)-MONTH(IF('Deal maths'!Z948&gt;0,'Deal maths'!Z948,DATE(1990,1,1))))/D948))*D948)),IF(DAY('Deal maths'!AA948+1)=1,EOMONTH('Deal maths'!AA948,-(INT(((YEAR('Deal maths'!AA948)-YEAR(IF('Deal maths'!Z948&gt;0,'Deal maths'!Z948,DATE(1990,1,1))))*12+MONTH('Deal maths'!AA948)-MONTH(IF('Deal maths'!Z948&gt;0,'Deal maths'!Z948,DATE(1990,1,1))))/D948)-1)*D948),EDATE('Deal maths'!AA948,-(INT(((YEAR('Deal maths'!AA948)-YEAR(IF('Deal maths'!Z948&gt;0,'Deal maths'!Z948,DATE(1990,1,1))))*12+MONTH('Deal maths'!AA948)-MONTH(IF('Deal maths'!Z948&gt;0,'Deal maths'!Z948,DATE(1990,1,1))))/D948)-1)*D948))))),0)</f>
        <v/>
      </c>
      <c r="F948" s="110">
        <f>IF(D948=0,0,'Deal maths'!AB948*D948/12)</f>
        <v/>
      </c>
      <c r="G948" s="108">
        <f>N948+O948</f>
        <v/>
      </c>
      <c r="H948" s="108">
        <f>IFERROR(IF(OR(D948=0,AsAt&lt;E948),0,MIN(N948,INT(((YEAR(AsAt)-YEAR(E948))*12+MONTH(AsAt)-MONTH(E948)-(DAY(AsAt)&lt;MIN(R948,DAY(EOMONTH(AsAt,0)))))/D948)+1)+O948*(AsAt&gt;='Deal maths'!AA948)),0)</f>
        <v/>
      </c>
      <c r="I948" s="108">
        <f>G948-H948</f>
        <v/>
      </c>
      <c r="J948" s="111">
        <f>IF(AND(C948="EIP",I948&gt;0),'Deal maths'!Y948/I948,0)</f>
        <v/>
      </c>
      <c r="K948" s="111">
        <f>IF(AND(C948="Annuity",I948&gt;0),IF(F948&gt;0,'Deal maths'!Y948*F948/(1-(1+F948)^-I948),'Deal maths'!Y948/I948),0)</f>
        <v/>
      </c>
      <c r="L948" s="111">
        <f>IF('Deal maths'!Y948="",0,'Deal maths'!Y948)</f>
        <v/>
      </c>
      <c r="M948" s="112">
        <f>F948+(F948=0)</f>
        <v/>
      </c>
      <c r="N948" s="108">
        <f>IFERROR(IF(D948=0,0,INT(((YEAR('Deal maths'!AA948)-YEAR(E948))*12+MONTH('Deal maths'!AA948)-MONTH(E948)-(DAY('Deal maths'!AA948)&lt;MIN(R948,DAY(EOMONTH('Deal maths'!AA948,0)))))/D948)+1),0)</f>
        <v/>
      </c>
      <c r="O948" s="108">
        <f>IFERROR(IF(D948=0,0,IF(IF(DAY(E948+1)=1,EOMONTH(E948,(N948-1)*D948),EDATE(E948,(N948-1)*D948))='Deal maths'!AA948,0,1)),0)</f>
        <v/>
      </c>
      <c r="P948" s="113">
        <f>IF(B948=0,0,IFERROR(IF(C948="EIP",((I948-O948)*((IF(DAY(E948+1)=1,EOMONTH(E948,H948*D948),EDATE(E948,H948*D948))-AsAt)/365.25+(IF(DAY(E948+1)=1,EOMONTH(E948,(N948-1)*D948),EDATE(E948,(N948-1)*D948))-AsAt)/365.25)/2+O948*('Deal maths'!AA948-AsAt)/365.25)/I948,IF(C948="Annuity",IF(F948&gt;0,((K948-L948*F948)*((IF(DAY(E948+1)=1,EOMONTH(E948,H948*D948),EDATE(E948,H948*D948))-AsAt)/365.25*((1+F948)^(I948-O948)-1)/F948+IF((I948-O948)&gt;1,((IF(DAY(E948+1)=1,EOMONTH(E948,(N948-1)*D948),EDATE(E948,(N948-1)*D948))-AsAt)/365.25-(IF(DAY(E948+1)=1,EOMONTH(E948,H948*D948),EDATE(E948,H948*D948))-AsAt)/365.25)/((I948-O948)-1),0)*(1+F948)*(1-(I948-O948)*(1+F948)^((I948-O948)-1)+((I948-O948)-1)*(1+F948)^(I948-O948))/F948^2)+O948*(K948-L948*F948)*(1+F948)^(I948-1)*('Deal maths'!AA948-AsAt)/365.25)/L948,((I948-O948)*((IF(DAY(E948+1)=1,EOMONTH(E948,H948*D948),EDATE(E948,H948*D948))-AsAt)/365.25+(IF(DAY(E948+1)=1,EOMONTH(E948,(N948-1)*D948),EDATE(E948,(N948-1)*D948))-AsAt)/365.25)/2+O948*('Deal maths'!AA948-AsAt)/365.25)/I948),(S948-AsAt)/365.25)),0))</f>
        <v/>
      </c>
      <c r="Q948" s="109">
        <f>IF(B948=1,'Deal maths'!AA948+ROW()/1000000,"")</f>
        <v/>
      </c>
      <c r="R948" s="108">
        <f>IF(D948=0,0,IF(DAY(E948+1)=1,31,DAY(E948)))</f>
        <v/>
      </c>
      <c r="S948" s="109">
        <f>IF(AND('Deal maths'!V948="LOBO",'Deal maths'!AG948&gt;AsAt,'Deal maths'!AG948&lt;'Deal maths'!AA948),'Deal maths'!AG948,'Deal maths'!AA948)</f>
        <v/>
      </c>
      <c r="T948" s="108">
        <f>('Deal maths'!AA948&gt;AsAt)*('Deal maths'!Y948&gt;0)</f>
        <v/>
      </c>
    </row>
    <row r="949">
      <c r="A949" s="91">
        <f>IF('Deal maths'!V949="","",'Deal maths'!W949)</f>
        <v/>
      </c>
      <c r="B949" s="108">
        <f>('Deal maths'!AA949&gt;AsAt)*('Deal maths'!Y949&gt;0)*('Deal maths'!Z949&lt;=AsAt)</f>
        <v/>
      </c>
      <c r="C949" s="91">
        <f>IF('Deal maths'!V949="","",IF('Deal maths'!AC949="","Maturity",'Deal maths'!AC949))</f>
        <v/>
      </c>
      <c r="D949" s="108">
        <f>IF(OR(C949="EIP",C949="Annuity"),IF('Deal maths'!AD949="Annual",12,IF('Deal maths'!AD949="Quarterly",3,6)),0)</f>
        <v/>
      </c>
      <c r="E949" s="109">
        <f>IFERROR(IF(D949=0,0,IF('Deal maths'!AE949&gt;0,IF('Deal maths'!AE949&gt;'Deal maths'!AA949,'Deal maths'!AA949,'Deal maths'!AE949),IF(IF(DAY('Deal maths'!AA949+1)=1,EOMONTH('Deal maths'!AA949,-(INT(((YEAR('Deal maths'!AA949)-YEAR(IF('Deal maths'!Z949&gt;0,'Deal maths'!Z949,DATE(1990,1,1))))*12+MONTH('Deal maths'!AA949)-MONTH(IF('Deal maths'!Z949&gt;0,'Deal maths'!Z949,DATE(1990,1,1))))/D949))*D949),EDATE('Deal maths'!AA949,-(INT(((YEAR('Deal maths'!AA949)-YEAR(IF('Deal maths'!Z949&gt;0,'Deal maths'!Z949,DATE(1990,1,1))))*12+MONTH('Deal maths'!AA949)-MONTH(IF('Deal maths'!Z949&gt;0,'Deal maths'!Z949,DATE(1990,1,1))))/D949))*D949))&gt;IF('Deal maths'!Z949&gt;0,'Deal maths'!Z949,DATE(1990,1,1)),IF(DAY('Deal maths'!AA949+1)=1,EOMONTH('Deal maths'!AA949,-(INT(((YEAR('Deal maths'!AA949)-YEAR(IF('Deal maths'!Z949&gt;0,'Deal maths'!Z949,DATE(1990,1,1))))*12+MONTH('Deal maths'!AA949)-MONTH(IF('Deal maths'!Z949&gt;0,'Deal maths'!Z949,DATE(1990,1,1))))/D949))*D949),EDATE('Deal maths'!AA949,-(INT(((YEAR('Deal maths'!AA949)-YEAR(IF('Deal maths'!Z949&gt;0,'Deal maths'!Z949,DATE(1990,1,1))))*12+MONTH('Deal maths'!AA949)-MONTH(IF('Deal maths'!Z949&gt;0,'Deal maths'!Z949,DATE(1990,1,1))))/D949))*D949)),IF(DAY('Deal maths'!AA949+1)=1,EOMONTH('Deal maths'!AA949,-(INT(((YEAR('Deal maths'!AA949)-YEAR(IF('Deal maths'!Z949&gt;0,'Deal maths'!Z949,DATE(1990,1,1))))*12+MONTH('Deal maths'!AA949)-MONTH(IF('Deal maths'!Z949&gt;0,'Deal maths'!Z949,DATE(1990,1,1))))/D949)-1)*D949),EDATE('Deal maths'!AA949,-(INT(((YEAR('Deal maths'!AA949)-YEAR(IF('Deal maths'!Z949&gt;0,'Deal maths'!Z949,DATE(1990,1,1))))*12+MONTH('Deal maths'!AA949)-MONTH(IF('Deal maths'!Z949&gt;0,'Deal maths'!Z949,DATE(1990,1,1))))/D949)-1)*D949))))),0)</f>
        <v/>
      </c>
      <c r="F949" s="110">
        <f>IF(D949=0,0,'Deal maths'!AB949*D949/12)</f>
        <v/>
      </c>
      <c r="G949" s="108">
        <f>N949+O949</f>
        <v/>
      </c>
      <c r="H949" s="108">
        <f>IFERROR(IF(OR(D949=0,AsAt&lt;E949),0,MIN(N949,INT(((YEAR(AsAt)-YEAR(E949))*12+MONTH(AsAt)-MONTH(E949)-(DAY(AsAt)&lt;MIN(R949,DAY(EOMONTH(AsAt,0)))))/D949)+1)+O949*(AsAt&gt;='Deal maths'!AA949)),0)</f>
        <v/>
      </c>
      <c r="I949" s="108">
        <f>G949-H949</f>
        <v/>
      </c>
      <c r="J949" s="111">
        <f>IF(AND(C949="EIP",I949&gt;0),'Deal maths'!Y949/I949,0)</f>
        <v/>
      </c>
      <c r="K949" s="111">
        <f>IF(AND(C949="Annuity",I949&gt;0),IF(F949&gt;0,'Deal maths'!Y949*F949/(1-(1+F949)^-I949),'Deal maths'!Y949/I949),0)</f>
        <v/>
      </c>
      <c r="L949" s="111">
        <f>IF('Deal maths'!Y949="",0,'Deal maths'!Y949)</f>
        <v/>
      </c>
      <c r="M949" s="112">
        <f>F949+(F949=0)</f>
        <v/>
      </c>
      <c r="N949" s="108">
        <f>IFERROR(IF(D949=0,0,INT(((YEAR('Deal maths'!AA949)-YEAR(E949))*12+MONTH('Deal maths'!AA949)-MONTH(E949)-(DAY('Deal maths'!AA949)&lt;MIN(R949,DAY(EOMONTH('Deal maths'!AA949,0)))))/D949)+1),0)</f>
        <v/>
      </c>
      <c r="O949" s="108">
        <f>IFERROR(IF(D949=0,0,IF(IF(DAY(E949+1)=1,EOMONTH(E949,(N949-1)*D949),EDATE(E949,(N949-1)*D949))='Deal maths'!AA949,0,1)),0)</f>
        <v/>
      </c>
      <c r="P949" s="113">
        <f>IF(B949=0,0,IFERROR(IF(C949="EIP",((I949-O949)*((IF(DAY(E949+1)=1,EOMONTH(E949,H949*D949),EDATE(E949,H949*D949))-AsAt)/365.25+(IF(DAY(E949+1)=1,EOMONTH(E949,(N949-1)*D949),EDATE(E949,(N949-1)*D949))-AsAt)/365.25)/2+O949*('Deal maths'!AA949-AsAt)/365.25)/I949,IF(C949="Annuity",IF(F949&gt;0,((K949-L949*F949)*((IF(DAY(E949+1)=1,EOMONTH(E949,H949*D949),EDATE(E949,H949*D949))-AsAt)/365.25*((1+F949)^(I949-O949)-1)/F949+IF((I949-O949)&gt;1,((IF(DAY(E949+1)=1,EOMONTH(E949,(N949-1)*D949),EDATE(E949,(N949-1)*D949))-AsAt)/365.25-(IF(DAY(E949+1)=1,EOMONTH(E949,H949*D949),EDATE(E949,H949*D949))-AsAt)/365.25)/((I949-O949)-1),0)*(1+F949)*(1-(I949-O949)*(1+F949)^((I949-O949)-1)+((I949-O949)-1)*(1+F949)^(I949-O949))/F949^2)+O949*(K949-L949*F949)*(1+F949)^(I949-1)*('Deal maths'!AA949-AsAt)/365.25)/L949,((I949-O949)*((IF(DAY(E949+1)=1,EOMONTH(E949,H949*D949),EDATE(E949,H949*D949))-AsAt)/365.25+(IF(DAY(E949+1)=1,EOMONTH(E949,(N949-1)*D949),EDATE(E949,(N949-1)*D949))-AsAt)/365.25)/2+O949*('Deal maths'!AA949-AsAt)/365.25)/I949),(S949-AsAt)/365.25)),0))</f>
        <v/>
      </c>
      <c r="Q949" s="109">
        <f>IF(B949=1,'Deal maths'!AA949+ROW()/1000000,"")</f>
        <v/>
      </c>
      <c r="R949" s="108">
        <f>IF(D949=0,0,IF(DAY(E949+1)=1,31,DAY(E949)))</f>
        <v/>
      </c>
      <c r="S949" s="109">
        <f>IF(AND('Deal maths'!V949="LOBO",'Deal maths'!AG949&gt;AsAt,'Deal maths'!AG949&lt;'Deal maths'!AA949),'Deal maths'!AG949,'Deal maths'!AA949)</f>
        <v/>
      </c>
      <c r="T949" s="108">
        <f>('Deal maths'!AA949&gt;AsAt)*('Deal maths'!Y949&gt;0)</f>
        <v/>
      </c>
    </row>
    <row r="950">
      <c r="A950" s="91">
        <f>IF('Deal maths'!V950="","",'Deal maths'!W950)</f>
        <v/>
      </c>
      <c r="B950" s="108">
        <f>('Deal maths'!AA950&gt;AsAt)*('Deal maths'!Y950&gt;0)*('Deal maths'!Z950&lt;=AsAt)</f>
        <v/>
      </c>
      <c r="C950" s="91">
        <f>IF('Deal maths'!V950="","",IF('Deal maths'!AC950="","Maturity",'Deal maths'!AC950))</f>
        <v/>
      </c>
      <c r="D950" s="108">
        <f>IF(OR(C950="EIP",C950="Annuity"),IF('Deal maths'!AD950="Annual",12,IF('Deal maths'!AD950="Quarterly",3,6)),0)</f>
        <v/>
      </c>
      <c r="E950" s="109">
        <f>IFERROR(IF(D950=0,0,IF('Deal maths'!AE950&gt;0,IF('Deal maths'!AE950&gt;'Deal maths'!AA950,'Deal maths'!AA950,'Deal maths'!AE950),IF(IF(DAY('Deal maths'!AA950+1)=1,EOMONTH('Deal maths'!AA950,-(INT(((YEAR('Deal maths'!AA950)-YEAR(IF('Deal maths'!Z950&gt;0,'Deal maths'!Z950,DATE(1990,1,1))))*12+MONTH('Deal maths'!AA950)-MONTH(IF('Deal maths'!Z950&gt;0,'Deal maths'!Z950,DATE(1990,1,1))))/D950))*D950),EDATE('Deal maths'!AA950,-(INT(((YEAR('Deal maths'!AA950)-YEAR(IF('Deal maths'!Z950&gt;0,'Deal maths'!Z950,DATE(1990,1,1))))*12+MONTH('Deal maths'!AA950)-MONTH(IF('Deal maths'!Z950&gt;0,'Deal maths'!Z950,DATE(1990,1,1))))/D950))*D950))&gt;IF('Deal maths'!Z950&gt;0,'Deal maths'!Z950,DATE(1990,1,1)),IF(DAY('Deal maths'!AA950+1)=1,EOMONTH('Deal maths'!AA950,-(INT(((YEAR('Deal maths'!AA950)-YEAR(IF('Deal maths'!Z950&gt;0,'Deal maths'!Z950,DATE(1990,1,1))))*12+MONTH('Deal maths'!AA950)-MONTH(IF('Deal maths'!Z950&gt;0,'Deal maths'!Z950,DATE(1990,1,1))))/D950))*D950),EDATE('Deal maths'!AA950,-(INT(((YEAR('Deal maths'!AA950)-YEAR(IF('Deal maths'!Z950&gt;0,'Deal maths'!Z950,DATE(1990,1,1))))*12+MONTH('Deal maths'!AA950)-MONTH(IF('Deal maths'!Z950&gt;0,'Deal maths'!Z950,DATE(1990,1,1))))/D950))*D950)),IF(DAY('Deal maths'!AA950+1)=1,EOMONTH('Deal maths'!AA950,-(INT(((YEAR('Deal maths'!AA950)-YEAR(IF('Deal maths'!Z950&gt;0,'Deal maths'!Z950,DATE(1990,1,1))))*12+MONTH('Deal maths'!AA950)-MONTH(IF('Deal maths'!Z950&gt;0,'Deal maths'!Z950,DATE(1990,1,1))))/D950)-1)*D950),EDATE('Deal maths'!AA950,-(INT(((YEAR('Deal maths'!AA950)-YEAR(IF('Deal maths'!Z950&gt;0,'Deal maths'!Z950,DATE(1990,1,1))))*12+MONTH('Deal maths'!AA950)-MONTH(IF('Deal maths'!Z950&gt;0,'Deal maths'!Z950,DATE(1990,1,1))))/D950)-1)*D950))))),0)</f>
        <v/>
      </c>
      <c r="F950" s="110">
        <f>IF(D950=0,0,'Deal maths'!AB950*D950/12)</f>
        <v/>
      </c>
      <c r="G950" s="108">
        <f>N950+O950</f>
        <v/>
      </c>
      <c r="H950" s="108">
        <f>IFERROR(IF(OR(D950=0,AsAt&lt;E950),0,MIN(N950,INT(((YEAR(AsAt)-YEAR(E950))*12+MONTH(AsAt)-MONTH(E950)-(DAY(AsAt)&lt;MIN(R950,DAY(EOMONTH(AsAt,0)))))/D950)+1)+O950*(AsAt&gt;='Deal maths'!AA950)),0)</f>
        <v/>
      </c>
      <c r="I950" s="108">
        <f>G950-H950</f>
        <v/>
      </c>
      <c r="J950" s="111">
        <f>IF(AND(C950="EIP",I950&gt;0),'Deal maths'!Y950/I950,0)</f>
        <v/>
      </c>
      <c r="K950" s="111">
        <f>IF(AND(C950="Annuity",I950&gt;0),IF(F950&gt;0,'Deal maths'!Y950*F950/(1-(1+F950)^-I950),'Deal maths'!Y950/I950),0)</f>
        <v/>
      </c>
      <c r="L950" s="111">
        <f>IF('Deal maths'!Y950="",0,'Deal maths'!Y950)</f>
        <v/>
      </c>
      <c r="M950" s="112">
        <f>F950+(F950=0)</f>
        <v/>
      </c>
      <c r="N950" s="108">
        <f>IFERROR(IF(D950=0,0,INT(((YEAR('Deal maths'!AA950)-YEAR(E950))*12+MONTH('Deal maths'!AA950)-MONTH(E950)-(DAY('Deal maths'!AA950)&lt;MIN(R950,DAY(EOMONTH('Deal maths'!AA950,0)))))/D950)+1),0)</f>
        <v/>
      </c>
      <c r="O950" s="108">
        <f>IFERROR(IF(D950=0,0,IF(IF(DAY(E950+1)=1,EOMONTH(E950,(N950-1)*D950),EDATE(E950,(N950-1)*D950))='Deal maths'!AA950,0,1)),0)</f>
        <v/>
      </c>
      <c r="P950" s="113">
        <f>IF(B950=0,0,IFERROR(IF(C950="EIP",((I950-O950)*((IF(DAY(E950+1)=1,EOMONTH(E950,H950*D950),EDATE(E950,H950*D950))-AsAt)/365.25+(IF(DAY(E950+1)=1,EOMONTH(E950,(N950-1)*D950),EDATE(E950,(N950-1)*D950))-AsAt)/365.25)/2+O950*('Deal maths'!AA950-AsAt)/365.25)/I950,IF(C950="Annuity",IF(F950&gt;0,((K950-L950*F950)*((IF(DAY(E950+1)=1,EOMONTH(E950,H950*D950),EDATE(E950,H950*D950))-AsAt)/365.25*((1+F950)^(I950-O950)-1)/F950+IF((I950-O950)&gt;1,((IF(DAY(E950+1)=1,EOMONTH(E950,(N950-1)*D950),EDATE(E950,(N950-1)*D950))-AsAt)/365.25-(IF(DAY(E950+1)=1,EOMONTH(E950,H950*D950),EDATE(E950,H950*D950))-AsAt)/365.25)/((I950-O950)-1),0)*(1+F950)*(1-(I950-O950)*(1+F950)^((I950-O950)-1)+((I950-O950)-1)*(1+F950)^(I950-O950))/F950^2)+O950*(K950-L950*F950)*(1+F950)^(I950-1)*('Deal maths'!AA950-AsAt)/365.25)/L950,((I950-O950)*((IF(DAY(E950+1)=1,EOMONTH(E950,H950*D950),EDATE(E950,H950*D950))-AsAt)/365.25+(IF(DAY(E950+1)=1,EOMONTH(E950,(N950-1)*D950),EDATE(E950,(N950-1)*D950))-AsAt)/365.25)/2+O950*('Deal maths'!AA950-AsAt)/365.25)/I950),(S950-AsAt)/365.25)),0))</f>
        <v/>
      </c>
      <c r="Q950" s="109">
        <f>IF(B950=1,'Deal maths'!AA950+ROW()/1000000,"")</f>
        <v/>
      </c>
      <c r="R950" s="108">
        <f>IF(D950=0,0,IF(DAY(E950+1)=1,31,DAY(E950)))</f>
        <v/>
      </c>
      <c r="S950" s="109">
        <f>IF(AND('Deal maths'!V950="LOBO",'Deal maths'!AG950&gt;AsAt,'Deal maths'!AG950&lt;'Deal maths'!AA950),'Deal maths'!AG950,'Deal maths'!AA950)</f>
        <v/>
      </c>
      <c r="T950" s="108">
        <f>('Deal maths'!AA950&gt;AsAt)*('Deal maths'!Y950&gt;0)</f>
        <v/>
      </c>
    </row>
    <row r="951">
      <c r="A951" s="91">
        <f>IF('Deal maths'!V951="","",'Deal maths'!W951)</f>
        <v/>
      </c>
      <c r="B951" s="108">
        <f>('Deal maths'!AA951&gt;AsAt)*('Deal maths'!Y951&gt;0)*('Deal maths'!Z951&lt;=AsAt)</f>
        <v/>
      </c>
      <c r="C951" s="91">
        <f>IF('Deal maths'!V951="","",IF('Deal maths'!AC951="","Maturity",'Deal maths'!AC951))</f>
        <v/>
      </c>
      <c r="D951" s="108">
        <f>IF(OR(C951="EIP",C951="Annuity"),IF('Deal maths'!AD951="Annual",12,IF('Deal maths'!AD951="Quarterly",3,6)),0)</f>
        <v/>
      </c>
      <c r="E951" s="109">
        <f>IFERROR(IF(D951=0,0,IF('Deal maths'!AE951&gt;0,IF('Deal maths'!AE951&gt;'Deal maths'!AA951,'Deal maths'!AA951,'Deal maths'!AE951),IF(IF(DAY('Deal maths'!AA951+1)=1,EOMONTH('Deal maths'!AA951,-(INT(((YEAR('Deal maths'!AA951)-YEAR(IF('Deal maths'!Z951&gt;0,'Deal maths'!Z951,DATE(1990,1,1))))*12+MONTH('Deal maths'!AA951)-MONTH(IF('Deal maths'!Z951&gt;0,'Deal maths'!Z951,DATE(1990,1,1))))/D951))*D951),EDATE('Deal maths'!AA951,-(INT(((YEAR('Deal maths'!AA951)-YEAR(IF('Deal maths'!Z951&gt;0,'Deal maths'!Z951,DATE(1990,1,1))))*12+MONTH('Deal maths'!AA951)-MONTH(IF('Deal maths'!Z951&gt;0,'Deal maths'!Z951,DATE(1990,1,1))))/D951))*D951))&gt;IF('Deal maths'!Z951&gt;0,'Deal maths'!Z951,DATE(1990,1,1)),IF(DAY('Deal maths'!AA951+1)=1,EOMONTH('Deal maths'!AA951,-(INT(((YEAR('Deal maths'!AA951)-YEAR(IF('Deal maths'!Z951&gt;0,'Deal maths'!Z951,DATE(1990,1,1))))*12+MONTH('Deal maths'!AA951)-MONTH(IF('Deal maths'!Z951&gt;0,'Deal maths'!Z951,DATE(1990,1,1))))/D951))*D951),EDATE('Deal maths'!AA951,-(INT(((YEAR('Deal maths'!AA951)-YEAR(IF('Deal maths'!Z951&gt;0,'Deal maths'!Z951,DATE(1990,1,1))))*12+MONTH('Deal maths'!AA951)-MONTH(IF('Deal maths'!Z951&gt;0,'Deal maths'!Z951,DATE(1990,1,1))))/D951))*D951)),IF(DAY('Deal maths'!AA951+1)=1,EOMONTH('Deal maths'!AA951,-(INT(((YEAR('Deal maths'!AA951)-YEAR(IF('Deal maths'!Z951&gt;0,'Deal maths'!Z951,DATE(1990,1,1))))*12+MONTH('Deal maths'!AA951)-MONTH(IF('Deal maths'!Z951&gt;0,'Deal maths'!Z951,DATE(1990,1,1))))/D951)-1)*D951),EDATE('Deal maths'!AA951,-(INT(((YEAR('Deal maths'!AA951)-YEAR(IF('Deal maths'!Z951&gt;0,'Deal maths'!Z951,DATE(1990,1,1))))*12+MONTH('Deal maths'!AA951)-MONTH(IF('Deal maths'!Z951&gt;0,'Deal maths'!Z951,DATE(1990,1,1))))/D951)-1)*D951))))),0)</f>
        <v/>
      </c>
      <c r="F951" s="110">
        <f>IF(D951=0,0,'Deal maths'!AB951*D951/12)</f>
        <v/>
      </c>
      <c r="G951" s="108">
        <f>N951+O951</f>
        <v/>
      </c>
      <c r="H951" s="108">
        <f>IFERROR(IF(OR(D951=0,AsAt&lt;E951),0,MIN(N951,INT(((YEAR(AsAt)-YEAR(E951))*12+MONTH(AsAt)-MONTH(E951)-(DAY(AsAt)&lt;MIN(R951,DAY(EOMONTH(AsAt,0)))))/D951)+1)+O951*(AsAt&gt;='Deal maths'!AA951)),0)</f>
        <v/>
      </c>
      <c r="I951" s="108">
        <f>G951-H951</f>
        <v/>
      </c>
      <c r="J951" s="111">
        <f>IF(AND(C951="EIP",I951&gt;0),'Deal maths'!Y951/I951,0)</f>
        <v/>
      </c>
      <c r="K951" s="111">
        <f>IF(AND(C951="Annuity",I951&gt;0),IF(F951&gt;0,'Deal maths'!Y951*F951/(1-(1+F951)^-I951),'Deal maths'!Y951/I951),0)</f>
        <v/>
      </c>
      <c r="L951" s="111">
        <f>IF('Deal maths'!Y951="",0,'Deal maths'!Y951)</f>
        <v/>
      </c>
      <c r="M951" s="112">
        <f>F951+(F951=0)</f>
        <v/>
      </c>
      <c r="N951" s="108">
        <f>IFERROR(IF(D951=0,0,INT(((YEAR('Deal maths'!AA951)-YEAR(E951))*12+MONTH('Deal maths'!AA951)-MONTH(E951)-(DAY('Deal maths'!AA951)&lt;MIN(R951,DAY(EOMONTH('Deal maths'!AA951,0)))))/D951)+1),0)</f>
        <v/>
      </c>
      <c r="O951" s="108">
        <f>IFERROR(IF(D951=0,0,IF(IF(DAY(E951+1)=1,EOMONTH(E951,(N951-1)*D951),EDATE(E951,(N951-1)*D951))='Deal maths'!AA951,0,1)),0)</f>
        <v/>
      </c>
      <c r="P951" s="113">
        <f>IF(B951=0,0,IFERROR(IF(C951="EIP",((I951-O951)*((IF(DAY(E951+1)=1,EOMONTH(E951,H951*D951),EDATE(E951,H951*D951))-AsAt)/365.25+(IF(DAY(E951+1)=1,EOMONTH(E951,(N951-1)*D951),EDATE(E951,(N951-1)*D951))-AsAt)/365.25)/2+O951*('Deal maths'!AA951-AsAt)/365.25)/I951,IF(C951="Annuity",IF(F951&gt;0,((K951-L951*F951)*((IF(DAY(E951+1)=1,EOMONTH(E951,H951*D951),EDATE(E951,H951*D951))-AsAt)/365.25*((1+F951)^(I951-O951)-1)/F951+IF((I951-O951)&gt;1,((IF(DAY(E951+1)=1,EOMONTH(E951,(N951-1)*D951),EDATE(E951,(N951-1)*D951))-AsAt)/365.25-(IF(DAY(E951+1)=1,EOMONTH(E951,H951*D951),EDATE(E951,H951*D951))-AsAt)/365.25)/((I951-O951)-1),0)*(1+F951)*(1-(I951-O951)*(1+F951)^((I951-O951)-1)+((I951-O951)-1)*(1+F951)^(I951-O951))/F951^2)+O951*(K951-L951*F951)*(1+F951)^(I951-1)*('Deal maths'!AA951-AsAt)/365.25)/L951,((I951-O951)*((IF(DAY(E951+1)=1,EOMONTH(E951,H951*D951),EDATE(E951,H951*D951))-AsAt)/365.25+(IF(DAY(E951+1)=1,EOMONTH(E951,(N951-1)*D951),EDATE(E951,(N951-1)*D951))-AsAt)/365.25)/2+O951*('Deal maths'!AA951-AsAt)/365.25)/I951),(S951-AsAt)/365.25)),0))</f>
        <v/>
      </c>
      <c r="Q951" s="109">
        <f>IF(B951=1,'Deal maths'!AA951+ROW()/1000000,"")</f>
        <v/>
      </c>
      <c r="R951" s="108">
        <f>IF(D951=0,0,IF(DAY(E951+1)=1,31,DAY(E951)))</f>
        <v/>
      </c>
      <c r="S951" s="109">
        <f>IF(AND('Deal maths'!V951="LOBO",'Deal maths'!AG951&gt;AsAt,'Deal maths'!AG951&lt;'Deal maths'!AA951),'Deal maths'!AG951,'Deal maths'!AA951)</f>
        <v/>
      </c>
      <c r="T951" s="108">
        <f>('Deal maths'!AA951&gt;AsAt)*('Deal maths'!Y951&gt;0)</f>
        <v/>
      </c>
    </row>
    <row r="952">
      <c r="A952" s="91">
        <f>IF('Deal maths'!V952="","",'Deal maths'!W952)</f>
        <v/>
      </c>
      <c r="B952" s="108">
        <f>('Deal maths'!AA952&gt;AsAt)*('Deal maths'!Y952&gt;0)*('Deal maths'!Z952&lt;=AsAt)</f>
        <v/>
      </c>
      <c r="C952" s="91">
        <f>IF('Deal maths'!V952="","",IF('Deal maths'!AC952="","Maturity",'Deal maths'!AC952))</f>
        <v/>
      </c>
      <c r="D952" s="108">
        <f>IF(OR(C952="EIP",C952="Annuity"),IF('Deal maths'!AD952="Annual",12,IF('Deal maths'!AD952="Quarterly",3,6)),0)</f>
        <v/>
      </c>
      <c r="E952" s="109">
        <f>IFERROR(IF(D952=0,0,IF('Deal maths'!AE952&gt;0,IF('Deal maths'!AE952&gt;'Deal maths'!AA952,'Deal maths'!AA952,'Deal maths'!AE952),IF(IF(DAY('Deal maths'!AA952+1)=1,EOMONTH('Deal maths'!AA952,-(INT(((YEAR('Deal maths'!AA952)-YEAR(IF('Deal maths'!Z952&gt;0,'Deal maths'!Z952,DATE(1990,1,1))))*12+MONTH('Deal maths'!AA952)-MONTH(IF('Deal maths'!Z952&gt;0,'Deal maths'!Z952,DATE(1990,1,1))))/D952))*D952),EDATE('Deal maths'!AA952,-(INT(((YEAR('Deal maths'!AA952)-YEAR(IF('Deal maths'!Z952&gt;0,'Deal maths'!Z952,DATE(1990,1,1))))*12+MONTH('Deal maths'!AA952)-MONTH(IF('Deal maths'!Z952&gt;0,'Deal maths'!Z952,DATE(1990,1,1))))/D952))*D952))&gt;IF('Deal maths'!Z952&gt;0,'Deal maths'!Z952,DATE(1990,1,1)),IF(DAY('Deal maths'!AA952+1)=1,EOMONTH('Deal maths'!AA952,-(INT(((YEAR('Deal maths'!AA952)-YEAR(IF('Deal maths'!Z952&gt;0,'Deal maths'!Z952,DATE(1990,1,1))))*12+MONTH('Deal maths'!AA952)-MONTH(IF('Deal maths'!Z952&gt;0,'Deal maths'!Z952,DATE(1990,1,1))))/D952))*D952),EDATE('Deal maths'!AA952,-(INT(((YEAR('Deal maths'!AA952)-YEAR(IF('Deal maths'!Z952&gt;0,'Deal maths'!Z952,DATE(1990,1,1))))*12+MONTH('Deal maths'!AA952)-MONTH(IF('Deal maths'!Z952&gt;0,'Deal maths'!Z952,DATE(1990,1,1))))/D952))*D952)),IF(DAY('Deal maths'!AA952+1)=1,EOMONTH('Deal maths'!AA952,-(INT(((YEAR('Deal maths'!AA952)-YEAR(IF('Deal maths'!Z952&gt;0,'Deal maths'!Z952,DATE(1990,1,1))))*12+MONTH('Deal maths'!AA952)-MONTH(IF('Deal maths'!Z952&gt;0,'Deal maths'!Z952,DATE(1990,1,1))))/D952)-1)*D952),EDATE('Deal maths'!AA952,-(INT(((YEAR('Deal maths'!AA952)-YEAR(IF('Deal maths'!Z952&gt;0,'Deal maths'!Z952,DATE(1990,1,1))))*12+MONTH('Deal maths'!AA952)-MONTH(IF('Deal maths'!Z952&gt;0,'Deal maths'!Z952,DATE(1990,1,1))))/D952)-1)*D952))))),0)</f>
        <v/>
      </c>
      <c r="F952" s="110">
        <f>IF(D952=0,0,'Deal maths'!AB952*D952/12)</f>
        <v/>
      </c>
      <c r="G952" s="108">
        <f>N952+O952</f>
        <v/>
      </c>
      <c r="H952" s="108">
        <f>IFERROR(IF(OR(D952=0,AsAt&lt;E952),0,MIN(N952,INT(((YEAR(AsAt)-YEAR(E952))*12+MONTH(AsAt)-MONTH(E952)-(DAY(AsAt)&lt;MIN(R952,DAY(EOMONTH(AsAt,0)))))/D952)+1)+O952*(AsAt&gt;='Deal maths'!AA952)),0)</f>
        <v/>
      </c>
      <c r="I952" s="108">
        <f>G952-H952</f>
        <v/>
      </c>
      <c r="J952" s="111">
        <f>IF(AND(C952="EIP",I952&gt;0),'Deal maths'!Y952/I952,0)</f>
        <v/>
      </c>
      <c r="K952" s="111">
        <f>IF(AND(C952="Annuity",I952&gt;0),IF(F952&gt;0,'Deal maths'!Y952*F952/(1-(1+F952)^-I952),'Deal maths'!Y952/I952),0)</f>
        <v/>
      </c>
      <c r="L952" s="111">
        <f>IF('Deal maths'!Y952="",0,'Deal maths'!Y952)</f>
        <v/>
      </c>
      <c r="M952" s="112">
        <f>F952+(F952=0)</f>
        <v/>
      </c>
      <c r="N952" s="108">
        <f>IFERROR(IF(D952=0,0,INT(((YEAR('Deal maths'!AA952)-YEAR(E952))*12+MONTH('Deal maths'!AA952)-MONTH(E952)-(DAY('Deal maths'!AA952)&lt;MIN(R952,DAY(EOMONTH('Deal maths'!AA952,0)))))/D952)+1),0)</f>
        <v/>
      </c>
      <c r="O952" s="108">
        <f>IFERROR(IF(D952=0,0,IF(IF(DAY(E952+1)=1,EOMONTH(E952,(N952-1)*D952),EDATE(E952,(N952-1)*D952))='Deal maths'!AA952,0,1)),0)</f>
        <v/>
      </c>
      <c r="P952" s="113">
        <f>IF(B952=0,0,IFERROR(IF(C952="EIP",((I952-O952)*((IF(DAY(E952+1)=1,EOMONTH(E952,H952*D952),EDATE(E952,H952*D952))-AsAt)/365.25+(IF(DAY(E952+1)=1,EOMONTH(E952,(N952-1)*D952),EDATE(E952,(N952-1)*D952))-AsAt)/365.25)/2+O952*('Deal maths'!AA952-AsAt)/365.25)/I952,IF(C952="Annuity",IF(F952&gt;0,((K952-L952*F952)*((IF(DAY(E952+1)=1,EOMONTH(E952,H952*D952),EDATE(E952,H952*D952))-AsAt)/365.25*((1+F952)^(I952-O952)-1)/F952+IF((I952-O952)&gt;1,((IF(DAY(E952+1)=1,EOMONTH(E952,(N952-1)*D952),EDATE(E952,(N952-1)*D952))-AsAt)/365.25-(IF(DAY(E952+1)=1,EOMONTH(E952,H952*D952),EDATE(E952,H952*D952))-AsAt)/365.25)/((I952-O952)-1),0)*(1+F952)*(1-(I952-O952)*(1+F952)^((I952-O952)-1)+((I952-O952)-1)*(1+F952)^(I952-O952))/F952^2)+O952*(K952-L952*F952)*(1+F952)^(I952-1)*('Deal maths'!AA952-AsAt)/365.25)/L952,((I952-O952)*((IF(DAY(E952+1)=1,EOMONTH(E952,H952*D952),EDATE(E952,H952*D952))-AsAt)/365.25+(IF(DAY(E952+1)=1,EOMONTH(E952,(N952-1)*D952),EDATE(E952,(N952-1)*D952))-AsAt)/365.25)/2+O952*('Deal maths'!AA952-AsAt)/365.25)/I952),(S952-AsAt)/365.25)),0))</f>
        <v/>
      </c>
      <c r="Q952" s="109">
        <f>IF(B952=1,'Deal maths'!AA952+ROW()/1000000,"")</f>
        <v/>
      </c>
      <c r="R952" s="108">
        <f>IF(D952=0,0,IF(DAY(E952+1)=1,31,DAY(E952)))</f>
        <v/>
      </c>
      <c r="S952" s="109">
        <f>IF(AND('Deal maths'!V952="LOBO",'Deal maths'!AG952&gt;AsAt,'Deal maths'!AG952&lt;'Deal maths'!AA952),'Deal maths'!AG952,'Deal maths'!AA952)</f>
        <v/>
      </c>
      <c r="T952" s="108">
        <f>('Deal maths'!AA952&gt;AsAt)*('Deal maths'!Y952&gt;0)</f>
        <v/>
      </c>
    </row>
    <row r="953">
      <c r="A953" s="91">
        <f>IF('Deal maths'!V953="","",'Deal maths'!W953)</f>
        <v/>
      </c>
      <c r="B953" s="108">
        <f>('Deal maths'!AA953&gt;AsAt)*('Deal maths'!Y953&gt;0)*('Deal maths'!Z953&lt;=AsAt)</f>
        <v/>
      </c>
      <c r="C953" s="91">
        <f>IF('Deal maths'!V953="","",IF('Deal maths'!AC953="","Maturity",'Deal maths'!AC953))</f>
        <v/>
      </c>
      <c r="D953" s="108">
        <f>IF(OR(C953="EIP",C953="Annuity"),IF('Deal maths'!AD953="Annual",12,IF('Deal maths'!AD953="Quarterly",3,6)),0)</f>
        <v/>
      </c>
      <c r="E953" s="109">
        <f>IFERROR(IF(D953=0,0,IF('Deal maths'!AE953&gt;0,IF('Deal maths'!AE953&gt;'Deal maths'!AA953,'Deal maths'!AA953,'Deal maths'!AE953),IF(IF(DAY('Deal maths'!AA953+1)=1,EOMONTH('Deal maths'!AA953,-(INT(((YEAR('Deal maths'!AA953)-YEAR(IF('Deal maths'!Z953&gt;0,'Deal maths'!Z953,DATE(1990,1,1))))*12+MONTH('Deal maths'!AA953)-MONTH(IF('Deal maths'!Z953&gt;0,'Deal maths'!Z953,DATE(1990,1,1))))/D953))*D953),EDATE('Deal maths'!AA953,-(INT(((YEAR('Deal maths'!AA953)-YEAR(IF('Deal maths'!Z953&gt;0,'Deal maths'!Z953,DATE(1990,1,1))))*12+MONTH('Deal maths'!AA953)-MONTH(IF('Deal maths'!Z953&gt;0,'Deal maths'!Z953,DATE(1990,1,1))))/D953))*D953))&gt;IF('Deal maths'!Z953&gt;0,'Deal maths'!Z953,DATE(1990,1,1)),IF(DAY('Deal maths'!AA953+1)=1,EOMONTH('Deal maths'!AA953,-(INT(((YEAR('Deal maths'!AA953)-YEAR(IF('Deal maths'!Z953&gt;0,'Deal maths'!Z953,DATE(1990,1,1))))*12+MONTH('Deal maths'!AA953)-MONTH(IF('Deal maths'!Z953&gt;0,'Deal maths'!Z953,DATE(1990,1,1))))/D953))*D953),EDATE('Deal maths'!AA953,-(INT(((YEAR('Deal maths'!AA953)-YEAR(IF('Deal maths'!Z953&gt;0,'Deal maths'!Z953,DATE(1990,1,1))))*12+MONTH('Deal maths'!AA953)-MONTH(IF('Deal maths'!Z953&gt;0,'Deal maths'!Z953,DATE(1990,1,1))))/D953))*D953)),IF(DAY('Deal maths'!AA953+1)=1,EOMONTH('Deal maths'!AA953,-(INT(((YEAR('Deal maths'!AA953)-YEAR(IF('Deal maths'!Z953&gt;0,'Deal maths'!Z953,DATE(1990,1,1))))*12+MONTH('Deal maths'!AA953)-MONTH(IF('Deal maths'!Z953&gt;0,'Deal maths'!Z953,DATE(1990,1,1))))/D953)-1)*D953),EDATE('Deal maths'!AA953,-(INT(((YEAR('Deal maths'!AA953)-YEAR(IF('Deal maths'!Z953&gt;0,'Deal maths'!Z953,DATE(1990,1,1))))*12+MONTH('Deal maths'!AA953)-MONTH(IF('Deal maths'!Z953&gt;0,'Deal maths'!Z953,DATE(1990,1,1))))/D953)-1)*D953))))),0)</f>
        <v/>
      </c>
      <c r="F953" s="110">
        <f>IF(D953=0,0,'Deal maths'!AB953*D953/12)</f>
        <v/>
      </c>
      <c r="G953" s="108">
        <f>N953+O953</f>
        <v/>
      </c>
      <c r="H953" s="108">
        <f>IFERROR(IF(OR(D953=0,AsAt&lt;E953),0,MIN(N953,INT(((YEAR(AsAt)-YEAR(E953))*12+MONTH(AsAt)-MONTH(E953)-(DAY(AsAt)&lt;MIN(R953,DAY(EOMONTH(AsAt,0)))))/D953)+1)+O953*(AsAt&gt;='Deal maths'!AA953)),0)</f>
        <v/>
      </c>
      <c r="I953" s="108">
        <f>G953-H953</f>
        <v/>
      </c>
      <c r="J953" s="111">
        <f>IF(AND(C953="EIP",I953&gt;0),'Deal maths'!Y953/I953,0)</f>
        <v/>
      </c>
      <c r="K953" s="111">
        <f>IF(AND(C953="Annuity",I953&gt;0),IF(F953&gt;0,'Deal maths'!Y953*F953/(1-(1+F953)^-I953),'Deal maths'!Y953/I953),0)</f>
        <v/>
      </c>
      <c r="L953" s="111">
        <f>IF('Deal maths'!Y953="",0,'Deal maths'!Y953)</f>
        <v/>
      </c>
      <c r="M953" s="112">
        <f>F953+(F953=0)</f>
        <v/>
      </c>
      <c r="N953" s="108">
        <f>IFERROR(IF(D953=0,0,INT(((YEAR('Deal maths'!AA953)-YEAR(E953))*12+MONTH('Deal maths'!AA953)-MONTH(E953)-(DAY('Deal maths'!AA953)&lt;MIN(R953,DAY(EOMONTH('Deal maths'!AA953,0)))))/D953)+1),0)</f>
        <v/>
      </c>
      <c r="O953" s="108">
        <f>IFERROR(IF(D953=0,0,IF(IF(DAY(E953+1)=1,EOMONTH(E953,(N953-1)*D953),EDATE(E953,(N953-1)*D953))='Deal maths'!AA953,0,1)),0)</f>
        <v/>
      </c>
      <c r="P953" s="113">
        <f>IF(B953=0,0,IFERROR(IF(C953="EIP",((I953-O953)*((IF(DAY(E953+1)=1,EOMONTH(E953,H953*D953),EDATE(E953,H953*D953))-AsAt)/365.25+(IF(DAY(E953+1)=1,EOMONTH(E953,(N953-1)*D953),EDATE(E953,(N953-1)*D953))-AsAt)/365.25)/2+O953*('Deal maths'!AA953-AsAt)/365.25)/I953,IF(C953="Annuity",IF(F953&gt;0,((K953-L953*F953)*((IF(DAY(E953+1)=1,EOMONTH(E953,H953*D953),EDATE(E953,H953*D953))-AsAt)/365.25*((1+F953)^(I953-O953)-1)/F953+IF((I953-O953)&gt;1,((IF(DAY(E953+1)=1,EOMONTH(E953,(N953-1)*D953),EDATE(E953,(N953-1)*D953))-AsAt)/365.25-(IF(DAY(E953+1)=1,EOMONTH(E953,H953*D953),EDATE(E953,H953*D953))-AsAt)/365.25)/((I953-O953)-1),0)*(1+F953)*(1-(I953-O953)*(1+F953)^((I953-O953)-1)+((I953-O953)-1)*(1+F953)^(I953-O953))/F953^2)+O953*(K953-L953*F953)*(1+F953)^(I953-1)*('Deal maths'!AA953-AsAt)/365.25)/L953,((I953-O953)*((IF(DAY(E953+1)=1,EOMONTH(E953,H953*D953),EDATE(E953,H953*D953))-AsAt)/365.25+(IF(DAY(E953+1)=1,EOMONTH(E953,(N953-1)*D953),EDATE(E953,(N953-1)*D953))-AsAt)/365.25)/2+O953*('Deal maths'!AA953-AsAt)/365.25)/I953),(S953-AsAt)/365.25)),0))</f>
        <v/>
      </c>
      <c r="Q953" s="109">
        <f>IF(B953=1,'Deal maths'!AA953+ROW()/1000000,"")</f>
        <v/>
      </c>
      <c r="R953" s="108">
        <f>IF(D953=0,0,IF(DAY(E953+1)=1,31,DAY(E953)))</f>
        <v/>
      </c>
      <c r="S953" s="109">
        <f>IF(AND('Deal maths'!V953="LOBO",'Deal maths'!AG953&gt;AsAt,'Deal maths'!AG953&lt;'Deal maths'!AA953),'Deal maths'!AG953,'Deal maths'!AA953)</f>
        <v/>
      </c>
      <c r="T953" s="108">
        <f>('Deal maths'!AA953&gt;AsAt)*('Deal maths'!Y953&gt;0)</f>
        <v/>
      </c>
    </row>
    <row r="954">
      <c r="A954" s="91">
        <f>IF('Deal maths'!V954="","",'Deal maths'!W954)</f>
        <v/>
      </c>
      <c r="B954" s="108">
        <f>('Deal maths'!AA954&gt;AsAt)*('Deal maths'!Y954&gt;0)*('Deal maths'!Z954&lt;=AsAt)</f>
        <v/>
      </c>
      <c r="C954" s="91">
        <f>IF('Deal maths'!V954="","",IF('Deal maths'!AC954="","Maturity",'Deal maths'!AC954))</f>
        <v/>
      </c>
      <c r="D954" s="108">
        <f>IF(OR(C954="EIP",C954="Annuity"),IF('Deal maths'!AD954="Annual",12,IF('Deal maths'!AD954="Quarterly",3,6)),0)</f>
        <v/>
      </c>
      <c r="E954" s="109">
        <f>IFERROR(IF(D954=0,0,IF('Deal maths'!AE954&gt;0,IF('Deal maths'!AE954&gt;'Deal maths'!AA954,'Deal maths'!AA954,'Deal maths'!AE954),IF(IF(DAY('Deal maths'!AA954+1)=1,EOMONTH('Deal maths'!AA954,-(INT(((YEAR('Deal maths'!AA954)-YEAR(IF('Deal maths'!Z954&gt;0,'Deal maths'!Z954,DATE(1990,1,1))))*12+MONTH('Deal maths'!AA954)-MONTH(IF('Deal maths'!Z954&gt;0,'Deal maths'!Z954,DATE(1990,1,1))))/D954))*D954),EDATE('Deal maths'!AA954,-(INT(((YEAR('Deal maths'!AA954)-YEAR(IF('Deal maths'!Z954&gt;0,'Deal maths'!Z954,DATE(1990,1,1))))*12+MONTH('Deal maths'!AA954)-MONTH(IF('Deal maths'!Z954&gt;0,'Deal maths'!Z954,DATE(1990,1,1))))/D954))*D954))&gt;IF('Deal maths'!Z954&gt;0,'Deal maths'!Z954,DATE(1990,1,1)),IF(DAY('Deal maths'!AA954+1)=1,EOMONTH('Deal maths'!AA954,-(INT(((YEAR('Deal maths'!AA954)-YEAR(IF('Deal maths'!Z954&gt;0,'Deal maths'!Z954,DATE(1990,1,1))))*12+MONTH('Deal maths'!AA954)-MONTH(IF('Deal maths'!Z954&gt;0,'Deal maths'!Z954,DATE(1990,1,1))))/D954))*D954),EDATE('Deal maths'!AA954,-(INT(((YEAR('Deal maths'!AA954)-YEAR(IF('Deal maths'!Z954&gt;0,'Deal maths'!Z954,DATE(1990,1,1))))*12+MONTH('Deal maths'!AA954)-MONTH(IF('Deal maths'!Z954&gt;0,'Deal maths'!Z954,DATE(1990,1,1))))/D954))*D954)),IF(DAY('Deal maths'!AA954+1)=1,EOMONTH('Deal maths'!AA954,-(INT(((YEAR('Deal maths'!AA954)-YEAR(IF('Deal maths'!Z954&gt;0,'Deal maths'!Z954,DATE(1990,1,1))))*12+MONTH('Deal maths'!AA954)-MONTH(IF('Deal maths'!Z954&gt;0,'Deal maths'!Z954,DATE(1990,1,1))))/D954)-1)*D954),EDATE('Deal maths'!AA954,-(INT(((YEAR('Deal maths'!AA954)-YEAR(IF('Deal maths'!Z954&gt;0,'Deal maths'!Z954,DATE(1990,1,1))))*12+MONTH('Deal maths'!AA954)-MONTH(IF('Deal maths'!Z954&gt;0,'Deal maths'!Z954,DATE(1990,1,1))))/D954)-1)*D954))))),0)</f>
        <v/>
      </c>
      <c r="F954" s="110">
        <f>IF(D954=0,0,'Deal maths'!AB954*D954/12)</f>
        <v/>
      </c>
      <c r="G954" s="108">
        <f>N954+O954</f>
        <v/>
      </c>
      <c r="H954" s="108">
        <f>IFERROR(IF(OR(D954=0,AsAt&lt;E954),0,MIN(N954,INT(((YEAR(AsAt)-YEAR(E954))*12+MONTH(AsAt)-MONTH(E954)-(DAY(AsAt)&lt;MIN(R954,DAY(EOMONTH(AsAt,0)))))/D954)+1)+O954*(AsAt&gt;='Deal maths'!AA954)),0)</f>
        <v/>
      </c>
      <c r="I954" s="108">
        <f>G954-H954</f>
        <v/>
      </c>
      <c r="J954" s="111">
        <f>IF(AND(C954="EIP",I954&gt;0),'Deal maths'!Y954/I954,0)</f>
        <v/>
      </c>
      <c r="K954" s="111">
        <f>IF(AND(C954="Annuity",I954&gt;0),IF(F954&gt;0,'Deal maths'!Y954*F954/(1-(1+F954)^-I954),'Deal maths'!Y954/I954),0)</f>
        <v/>
      </c>
      <c r="L954" s="111">
        <f>IF('Deal maths'!Y954="",0,'Deal maths'!Y954)</f>
        <v/>
      </c>
      <c r="M954" s="112">
        <f>F954+(F954=0)</f>
        <v/>
      </c>
      <c r="N954" s="108">
        <f>IFERROR(IF(D954=0,0,INT(((YEAR('Deal maths'!AA954)-YEAR(E954))*12+MONTH('Deal maths'!AA954)-MONTH(E954)-(DAY('Deal maths'!AA954)&lt;MIN(R954,DAY(EOMONTH('Deal maths'!AA954,0)))))/D954)+1),0)</f>
        <v/>
      </c>
      <c r="O954" s="108">
        <f>IFERROR(IF(D954=0,0,IF(IF(DAY(E954+1)=1,EOMONTH(E954,(N954-1)*D954),EDATE(E954,(N954-1)*D954))='Deal maths'!AA954,0,1)),0)</f>
        <v/>
      </c>
      <c r="P954" s="113">
        <f>IF(B954=0,0,IFERROR(IF(C954="EIP",((I954-O954)*((IF(DAY(E954+1)=1,EOMONTH(E954,H954*D954),EDATE(E954,H954*D954))-AsAt)/365.25+(IF(DAY(E954+1)=1,EOMONTH(E954,(N954-1)*D954),EDATE(E954,(N954-1)*D954))-AsAt)/365.25)/2+O954*('Deal maths'!AA954-AsAt)/365.25)/I954,IF(C954="Annuity",IF(F954&gt;0,((K954-L954*F954)*((IF(DAY(E954+1)=1,EOMONTH(E954,H954*D954),EDATE(E954,H954*D954))-AsAt)/365.25*((1+F954)^(I954-O954)-1)/F954+IF((I954-O954)&gt;1,((IF(DAY(E954+1)=1,EOMONTH(E954,(N954-1)*D954),EDATE(E954,(N954-1)*D954))-AsAt)/365.25-(IF(DAY(E954+1)=1,EOMONTH(E954,H954*D954),EDATE(E954,H954*D954))-AsAt)/365.25)/((I954-O954)-1),0)*(1+F954)*(1-(I954-O954)*(1+F954)^((I954-O954)-1)+((I954-O954)-1)*(1+F954)^(I954-O954))/F954^2)+O954*(K954-L954*F954)*(1+F954)^(I954-1)*('Deal maths'!AA954-AsAt)/365.25)/L954,((I954-O954)*((IF(DAY(E954+1)=1,EOMONTH(E954,H954*D954),EDATE(E954,H954*D954))-AsAt)/365.25+(IF(DAY(E954+1)=1,EOMONTH(E954,(N954-1)*D954),EDATE(E954,(N954-1)*D954))-AsAt)/365.25)/2+O954*('Deal maths'!AA954-AsAt)/365.25)/I954),(S954-AsAt)/365.25)),0))</f>
        <v/>
      </c>
      <c r="Q954" s="109">
        <f>IF(B954=1,'Deal maths'!AA954+ROW()/1000000,"")</f>
        <v/>
      </c>
      <c r="R954" s="108">
        <f>IF(D954=0,0,IF(DAY(E954+1)=1,31,DAY(E954)))</f>
        <v/>
      </c>
      <c r="S954" s="109">
        <f>IF(AND('Deal maths'!V954="LOBO",'Deal maths'!AG954&gt;AsAt,'Deal maths'!AG954&lt;'Deal maths'!AA954),'Deal maths'!AG954,'Deal maths'!AA954)</f>
        <v/>
      </c>
      <c r="T954" s="108">
        <f>('Deal maths'!AA954&gt;AsAt)*('Deal maths'!Y954&gt;0)</f>
        <v/>
      </c>
    </row>
    <row r="955">
      <c r="A955" s="91">
        <f>IF('Deal maths'!V955="","",'Deal maths'!W955)</f>
        <v/>
      </c>
      <c r="B955" s="108">
        <f>('Deal maths'!AA955&gt;AsAt)*('Deal maths'!Y955&gt;0)*('Deal maths'!Z955&lt;=AsAt)</f>
        <v/>
      </c>
      <c r="C955" s="91">
        <f>IF('Deal maths'!V955="","",IF('Deal maths'!AC955="","Maturity",'Deal maths'!AC955))</f>
        <v/>
      </c>
      <c r="D955" s="108">
        <f>IF(OR(C955="EIP",C955="Annuity"),IF('Deal maths'!AD955="Annual",12,IF('Deal maths'!AD955="Quarterly",3,6)),0)</f>
        <v/>
      </c>
      <c r="E955" s="109">
        <f>IFERROR(IF(D955=0,0,IF('Deal maths'!AE955&gt;0,IF('Deal maths'!AE955&gt;'Deal maths'!AA955,'Deal maths'!AA955,'Deal maths'!AE955),IF(IF(DAY('Deal maths'!AA955+1)=1,EOMONTH('Deal maths'!AA955,-(INT(((YEAR('Deal maths'!AA955)-YEAR(IF('Deal maths'!Z955&gt;0,'Deal maths'!Z955,DATE(1990,1,1))))*12+MONTH('Deal maths'!AA955)-MONTH(IF('Deal maths'!Z955&gt;0,'Deal maths'!Z955,DATE(1990,1,1))))/D955))*D955),EDATE('Deal maths'!AA955,-(INT(((YEAR('Deal maths'!AA955)-YEAR(IF('Deal maths'!Z955&gt;0,'Deal maths'!Z955,DATE(1990,1,1))))*12+MONTH('Deal maths'!AA955)-MONTH(IF('Deal maths'!Z955&gt;0,'Deal maths'!Z955,DATE(1990,1,1))))/D955))*D955))&gt;IF('Deal maths'!Z955&gt;0,'Deal maths'!Z955,DATE(1990,1,1)),IF(DAY('Deal maths'!AA955+1)=1,EOMONTH('Deal maths'!AA955,-(INT(((YEAR('Deal maths'!AA955)-YEAR(IF('Deal maths'!Z955&gt;0,'Deal maths'!Z955,DATE(1990,1,1))))*12+MONTH('Deal maths'!AA955)-MONTH(IF('Deal maths'!Z955&gt;0,'Deal maths'!Z955,DATE(1990,1,1))))/D955))*D955),EDATE('Deal maths'!AA955,-(INT(((YEAR('Deal maths'!AA955)-YEAR(IF('Deal maths'!Z955&gt;0,'Deal maths'!Z955,DATE(1990,1,1))))*12+MONTH('Deal maths'!AA955)-MONTH(IF('Deal maths'!Z955&gt;0,'Deal maths'!Z955,DATE(1990,1,1))))/D955))*D955)),IF(DAY('Deal maths'!AA955+1)=1,EOMONTH('Deal maths'!AA955,-(INT(((YEAR('Deal maths'!AA955)-YEAR(IF('Deal maths'!Z955&gt;0,'Deal maths'!Z955,DATE(1990,1,1))))*12+MONTH('Deal maths'!AA955)-MONTH(IF('Deal maths'!Z955&gt;0,'Deal maths'!Z955,DATE(1990,1,1))))/D955)-1)*D955),EDATE('Deal maths'!AA955,-(INT(((YEAR('Deal maths'!AA955)-YEAR(IF('Deal maths'!Z955&gt;0,'Deal maths'!Z955,DATE(1990,1,1))))*12+MONTH('Deal maths'!AA955)-MONTH(IF('Deal maths'!Z955&gt;0,'Deal maths'!Z955,DATE(1990,1,1))))/D955)-1)*D955))))),0)</f>
        <v/>
      </c>
      <c r="F955" s="110">
        <f>IF(D955=0,0,'Deal maths'!AB955*D955/12)</f>
        <v/>
      </c>
      <c r="G955" s="108">
        <f>N955+O955</f>
        <v/>
      </c>
      <c r="H955" s="108">
        <f>IFERROR(IF(OR(D955=0,AsAt&lt;E955),0,MIN(N955,INT(((YEAR(AsAt)-YEAR(E955))*12+MONTH(AsAt)-MONTH(E955)-(DAY(AsAt)&lt;MIN(R955,DAY(EOMONTH(AsAt,0)))))/D955)+1)+O955*(AsAt&gt;='Deal maths'!AA955)),0)</f>
        <v/>
      </c>
      <c r="I955" s="108">
        <f>G955-H955</f>
        <v/>
      </c>
      <c r="J955" s="111">
        <f>IF(AND(C955="EIP",I955&gt;0),'Deal maths'!Y955/I955,0)</f>
        <v/>
      </c>
      <c r="K955" s="111">
        <f>IF(AND(C955="Annuity",I955&gt;0),IF(F955&gt;0,'Deal maths'!Y955*F955/(1-(1+F955)^-I955),'Deal maths'!Y955/I955),0)</f>
        <v/>
      </c>
      <c r="L955" s="111">
        <f>IF('Deal maths'!Y955="",0,'Deal maths'!Y955)</f>
        <v/>
      </c>
      <c r="M955" s="112">
        <f>F955+(F955=0)</f>
        <v/>
      </c>
      <c r="N955" s="108">
        <f>IFERROR(IF(D955=0,0,INT(((YEAR('Deal maths'!AA955)-YEAR(E955))*12+MONTH('Deal maths'!AA955)-MONTH(E955)-(DAY('Deal maths'!AA955)&lt;MIN(R955,DAY(EOMONTH('Deal maths'!AA955,0)))))/D955)+1),0)</f>
        <v/>
      </c>
      <c r="O955" s="108">
        <f>IFERROR(IF(D955=0,0,IF(IF(DAY(E955+1)=1,EOMONTH(E955,(N955-1)*D955),EDATE(E955,(N955-1)*D955))='Deal maths'!AA955,0,1)),0)</f>
        <v/>
      </c>
      <c r="P955" s="113">
        <f>IF(B955=0,0,IFERROR(IF(C955="EIP",((I955-O955)*((IF(DAY(E955+1)=1,EOMONTH(E955,H955*D955),EDATE(E955,H955*D955))-AsAt)/365.25+(IF(DAY(E955+1)=1,EOMONTH(E955,(N955-1)*D955),EDATE(E955,(N955-1)*D955))-AsAt)/365.25)/2+O955*('Deal maths'!AA955-AsAt)/365.25)/I955,IF(C955="Annuity",IF(F955&gt;0,((K955-L955*F955)*((IF(DAY(E955+1)=1,EOMONTH(E955,H955*D955),EDATE(E955,H955*D955))-AsAt)/365.25*((1+F955)^(I955-O955)-1)/F955+IF((I955-O955)&gt;1,((IF(DAY(E955+1)=1,EOMONTH(E955,(N955-1)*D955),EDATE(E955,(N955-1)*D955))-AsAt)/365.25-(IF(DAY(E955+1)=1,EOMONTH(E955,H955*D955),EDATE(E955,H955*D955))-AsAt)/365.25)/((I955-O955)-1),0)*(1+F955)*(1-(I955-O955)*(1+F955)^((I955-O955)-1)+((I955-O955)-1)*(1+F955)^(I955-O955))/F955^2)+O955*(K955-L955*F955)*(1+F955)^(I955-1)*('Deal maths'!AA955-AsAt)/365.25)/L955,((I955-O955)*((IF(DAY(E955+1)=1,EOMONTH(E955,H955*D955),EDATE(E955,H955*D955))-AsAt)/365.25+(IF(DAY(E955+1)=1,EOMONTH(E955,(N955-1)*D955),EDATE(E955,(N955-1)*D955))-AsAt)/365.25)/2+O955*('Deal maths'!AA955-AsAt)/365.25)/I955),(S955-AsAt)/365.25)),0))</f>
        <v/>
      </c>
      <c r="Q955" s="109">
        <f>IF(B955=1,'Deal maths'!AA955+ROW()/1000000,"")</f>
        <v/>
      </c>
      <c r="R955" s="108">
        <f>IF(D955=0,0,IF(DAY(E955+1)=1,31,DAY(E955)))</f>
        <v/>
      </c>
      <c r="S955" s="109">
        <f>IF(AND('Deal maths'!V955="LOBO",'Deal maths'!AG955&gt;AsAt,'Deal maths'!AG955&lt;'Deal maths'!AA955),'Deal maths'!AG955,'Deal maths'!AA955)</f>
        <v/>
      </c>
      <c r="T955" s="108">
        <f>('Deal maths'!AA955&gt;AsAt)*('Deal maths'!Y955&gt;0)</f>
        <v/>
      </c>
    </row>
    <row r="956">
      <c r="A956" s="91">
        <f>IF('Deal maths'!V956="","",'Deal maths'!W956)</f>
        <v/>
      </c>
      <c r="B956" s="108">
        <f>('Deal maths'!AA956&gt;AsAt)*('Deal maths'!Y956&gt;0)*('Deal maths'!Z956&lt;=AsAt)</f>
        <v/>
      </c>
      <c r="C956" s="91">
        <f>IF('Deal maths'!V956="","",IF('Deal maths'!AC956="","Maturity",'Deal maths'!AC956))</f>
        <v/>
      </c>
      <c r="D956" s="108">
        <f>IF(OR(C956="EIP",C956="Annuity"),IF('Deal maths'!AD956="Annual",12,IF('Deal maths'!AD956="Quarterly",3,6)),0)</f>
        <v/>
      </c>
      <c r="E956" s="109">
        <f>IFERROR(IF(D956=0,0,IF('Deal maths'!AE956&gt;0,IF('Deal maths'!AE956&gt;'Deal maths'!AA956,'Deal maths'!AA956,'Deal maths'!AE956),IF(IF(DAY('Deal maths'!AA956+1)=1,EOMONTH('Deal maths'!AA956,-(INT(((YEAR('Deal maths'!AA956)-YEAR(IF('Deal maths'!Z956&gt;0,'Deal maths'!Z956,DATE(1990,1,1))))*12+MONTH('Deal maths'!AA956)-MONTH(IF('Deal maths'!Z956&gt;0,'Deal maths'!Z956,DATE(1990,1,1))))/D956))*D956),EDATE('Deal maths'!AA956,-(INT(((YEAR('Deal maths'!AA956)-YEAR(IF('Deal maths'!Z956&gt;0,'Deal maths'!Z956,DATE(1990,1,1))))*12+MONTH('Deal maths'!AA956)-MONTH(IF('Deal maths'!Z956&gt;0,'Deal maths'!Z956,DATE(1990,1,1))))/D956))*D956))&gt;IF('Deal maths'!Z956&gt;0,'Deal maths'!Z956,DATE(1990,1,1)),IF(DAY('Deal maths'!AA956+1)=1,EOMONTH('Deal maths'!AA956,-(INT(((YEAR('Deal maths'!AA956)-YEAR(IF('Deal maths'!Z956&gt;0,'Deal maths'!Z956,DATE(1990,1,1))))*12+MONTH('Deal maths'!AA956)-MONTH(IF('Deal maths'!Z956&gt;0,'Deal maths'!Z956,DATE(1990,1,1))))/D956))*D956),EDATE('Deal maths'!AA956,-(INT(((YEAR('Deal maths'!AA956)-YEAR(IF('Deal maths'!Z956&gt;0,'Deal maths'!Z956,DATE(1990,1,1))))*12+MONTH('Deal maths'!AA956)-MONTH(IF('Deal maths'!Z956&gt;0,'Deal maths'!Z956,DATE(1990,1,1))))/D956))*D956)),IF(DAY('Deal maths'!AA956+1)=1,EOMONTH('Deal maths'!AA956,-(INT(((YEAR('Deal maths'!AA956)-YEAR(IF('Deal maths'!Z956&gt;0,'Deal maths'!Z956,DATE(1990,1,1))))*12+MONTH('Deal maths'!AA956)-MONTH(IF('Deal maths'!Z956&gt;0,'Deal maths'!Z956,DATE(1990,1,1))))/D956)-1)*D956),EDATE('Deal maths'!AA956,-(INT(((YEAR('Deal maths'!AA956)-YEAR(IF('Deal maths'!Z956&gt;0,'Deal maths'!Z956,DATE(1990,1,1))))*12+MONTH('Deal maths'!AA956)-MONTH(IF('Deal maths'!Z956&gt;0,'Deal maths'!Z956,DATE(1990,1,1))))/D956)-1)*D956))))),0)</f>
        <v/>
      </c>
      <c r="F956" s="110">
        <f>IF(D956=0,0,'Deal maths'!AB956*D956/12)</f>
        <v/>
      </c>
      <c r="G956" s="108">
        <f>N956+O956</f>
        <v/>
      </c>
      <c r="H956" s="108">
        <f>IFERROR(IF(OR(D956=0,AsAt&lt;E956),0,MIN(N956,INT(((YEAR(AsAt)-YEAR(E956))*12+MONTH(AsAt)-MONTH(E956)-(DAY(AsAt)&lt;MIN(R956,DAY(EOMONTH(AsAt,0)))))/D956)+1)+O956*(AsAt&gt;='Deal maths'!AA956)),0)</f>
        <v/>
      </c>
      <c r="I956" s="108">
        <f>G956-H956</f>
        <v/>
      </c>
      <c r="J956" s="111">
        <f>IF(AND(C956="EIP",I956&gt;0),'Deal maths'!Y956/I956,0)</f>
        <v/>
      </c>
      <c r="K956" s="111">
        <f>IF(AND(C956="Annuity",I956&gt;0),IF(F956&gt;0,'Deal maths'!Y956*F956/(1-(1+F956)^-I956),'Deal maths'!Y956/I956),0)</f>
        <v/>
      </c>
      <c r="L956" s="111">
        <f>IF('Deal maths'!Y956="",0,'Deal maths'!Y956)</f>
        <v/>
      </c>
      <c r="M956" s="112">
        <f>F956+(F956=0)</f>
        <v/>
      </c>
      <c r="N956" s="108">
        <f>IFERROR(IF(D956=0,0,INT(((YEAR('Deal maths'!AA956)-YEAR(E956))*12+MONTH('Deal maths'!AA956)-MONTH(E956)-(DAY('Deal maths'!AA956)&lt;MIN(R956,DAY(EOMONTH('Deal maths'!AA956,0)))))/D956)+1),0)</f>
        <v/>
      </c>
      <c r="O956" s="108">
        <f>IFERROR(IF(D956=0,0,IF(IF(DAY(E956+1)=1,EOMONTH(E956,(N956-1)*D956),EDATE(E956,(N956-1)*D956))='Deal maths'!AA956,0,1)),0)</f>
        <v/>
      </c>
      <c r="P956" s="113">
        <f>IF(B956=0,0,IFERROR(IF(C956="EIP",((I956-O956)*((IF(DAY(E956+1)=1,EOMONTH(E956,H956*D956),EDATE(E956,H956*D956))-AsAt)/365.25+(IF(DAY(E956+1)=1,EOMONTH(E956,(N956-1)*D956),EDATE(E956,(N956-1)*D956))-AsAt)/365.25)/2+O956*('Deal maths'!AA956-AsAt)/365.25)/I956,IF(C956="Annuity",IF(F956&gt;0,((K956-L956*F956)*((IF(DAY(E956+1)=1,EOMONTH(E956,H956*D956),EDATE(E956,H956*D956))-AsAt)/365.25*((1+F956)^(I956-O956)-1)/F956+IF((I956-O956)&gt;1,((IF(DAY(E956+1)=1,EOMONTH(E956,(N956-1)*D956),EDATE(E956,(N956-1)*D956))-AsAt)/365.25-(IF(DAY(E956+1)=1,EOMONTH(E956,H956*D956),EDATE(E956,H956*D956))-AsAt)/365.25)/((I956-O956)-1),0)*(1+F956)*(1-(I956-O956)*(1+F956)^((I956-O956)-1)+((I956-O956)-1)*(1+F956)^(I956-O956))/F956^2)+O956*(K956-L956*F956)*(1+F956)^(I956-1)*('Deal maths'!AA956-AsAt)/365.25)/L956,((I956-O956)*((IF(DAY(E956+1)=1,EOMONTH(E956,H956*D956),EDATE(E956,H956*D956))-AsAt)/365.25+(IF(DAY(E956+1)=1,EOMONTH(E956,(N956-1)*D956),EDATE(E956,(N956-1)*D956))-AsAt)/365.25)/2+O956*('Deal maths'!AA956-AsAt)/365.25)/I956),(S956-AsAt)/365.25)),0))</f>
        <v/>
      </c>
      <c r="Q956" s="109">
        <f>IF(B956=1,'Deal maths'!AA956+ROW()/1000000,"")</f>
        <v/>
      </c>
      <c r="R956" s="108">
        <f>IF(D956=0,0,IF(DAY(E956+1)=1,31,DAY(E956)))</f>
        <v/>
      </c>
      <c r="S956" s="109">
        <f>IF(AND('Deal maths'!V956="LOBO",'Deal maths'!AG956&gt;AsAt,'Deal maths'!AG956&lt;'Deal maths'!AA956),'Deal maths'!AG956,'Deal maths'!AA956)</f>
        <v/>
      </c>
      <c r="T956" s="108">
        <f>('Deal maths'!AA956&gt;AsAt)*('Deal maths'!Y956&gt;0)</f>
        <v/>
      </c>
    </row>
    <row r="957">
      <c r="A957" s="91">
        <f>IF('Deal maths'!V957="","",'Deal maths'!W957)</f>
        <v/>
      </c>
      <c r="B957" s="108">
        <f>('Deal maths'!AA957&gt;AsAt)*('Deal maths'!Y957&gt;0)*('Deal maths'!Z957&lt;=AsAt)</f>
        <v/>
      </c>
      <c r="C957" s="91">
        <f>IF('Deal maths'!V957="","",IF('Deal maths'!AC957="","Maturity",'Deal maths'!AC957))</f>
        <v/>
      </c>
      <c r="D957" s="108">
        <f>IF(OR(C957="EIP",C957="Annuity"),IF('Deal maths'!AD957="Annual",12,IF('Deal maths'!AD957="Quarterly",3,6)),0)</f>
        <v/>
      </c>
      <c r="E957" s="109">
        <f>IFERROR(IF(D957=0,0,IF('Deal maths'!AE957&gt;0,IF('Deal maths'!AE957&gt;'Deal maths'!AA957,'Deal maths'!AA957,'Deal maths'!AE957),IF(IF(DAY('Deal maths'!AA957+1)=1,EOMONTH('Deal maths'!AA957,-(INT(((YEAR('Deal maths'!AA957)-YEAR(IF('Deal maths'!Z957&gt;0,'Deal maths'!Z957,DATE(1990,1,1))))*12+MONTH('Deal maths'!AA957)-MONTH(IF('Deal maths'!Z957&gt;0,'Deal maths'!Z957,DATE(1990,1,1))))/D957))*D957),EDATE('Deal maths'!AA957,-(INT(((YEAR('Deal maths'!AA957)-YEAR(IF('Deal maths'!Z957&gt;0,'Deal maths'!Z957,DATE(1990,1,1))))*12+MONTH('Deal maths'!AA957)-MONTH(IF('Deal maths'!Z957&gt;0,'Deal maths'!Z957,DATE(1990,1,1))))/D957))*D957))&gt;IF('Deal maths'!Z957&gt;0,'Deal maths'!Z957,DATE(1990,1,1)),IF(DAY('Deal maths'!AA957+1)=1,EOMONTH('Deal maths'!AA957,-(INT(((YEAR('Deal maths'!AA957)-YEAR(IF('Deal maths'!Z957&gt;0,'Deal maths'!Z957,DATE(1990,1,1))))*12+MONTH('Deal maths'!AA957)-MONTH(IF('Deal maths'!Z957&gt;0,'Deal maths'!Z957,DATE(1990,1,1))))/D957))*D957),EDATE('Deal maths'!AA957,-(INT(((YEAR('Deal maths'!AA957)-YEAR(IF('Deal maths'!Z957&gt;0,'Deal maths'!Z957,DATE(1990,1,1))))*12+MONTH('Deal maths'!AA957)-MONTH(IF('Deal maths'!Z957&gt;0,'Deal maths'!Z957,DATE(1990,1,1))))/D957))*D957)),IF(DAY('Deal maths'!AA957+1)=1,EOMONTH('Deal maths'!AA957,-(INT(((YEAR('Deal maths'!AA957)-YEAR(IF('Deal maths'!Z957&gt;0,'Deal maths'!Z957,DATE(1990,1,1))))*12+MONTH('Deal maths'!AA957)-MONTH(IF('Deal maths'!Z957&gt;0,'Deal maths'!Z957,DATE(1990,1,1))))/D957)-1)*D957),EDATE('Deal maths'!AA957,-(INT(((YEAR('Deal maths'!AA957)-YEAR(IF('Deal maths'!Z957&gt;0,'Deal maths'!Z957,DATE(1990,1,1))))*12+MONTH('Deal maths'!AA957)-MONTH(IF('Deal maths'!Z957&gt;0,'Deal maths'!Z957,DATE(1990,1,1))))/D957)-1)*D957))))),0)</f>
        <v/>
      </c>
      <c r="F957" s="110">
        <f>IF(D957=0,0,'Deal maths'!AB957*D957/12)</f>
        <v/>
      </c>
      <c r="G957" s="108">
        <f>N957+O957</f>
        <v/>
      </c>
      <c r="H957" s="108">
        <f>IFERROR(IF(OR(D957=0,AsAt&lt;E957),0,MIN(N957,INT(((YEAR(AsAt)-YEAR(E957))*12+MONTH(AsAt)-MONTH(E957)-(DAY(AsAt)&lt;MIN(R957,DAY(EOMONTH(AsAt,0)))))/D957)+1)+O957*(AsAt&gt;='Deal maths'!AA957)),0)</f>
        <v/>
      </c>
      <c r="I957" s="108">
        <f>G957-H957</f>
        <v/>
      </c>
      <c r="J957" s="111">
        <f>IF(AND(C957="EIP",I957&gt;0),'Deal maths'!Y957/I957,0)</f>
        <v/>
      </c>
      <c r="K957" s="111">
        <f>IF(AND(C957="Annuity",I957&gt;0),IF(F957&gt;0,'Deal maths'!Y957*F957/(1-(1+F957)^-I957),'Deal maths'!Y957/I957),0)</f>
        <v/>
      </c>
      <c r="L957" s="111">
        <f>IF('Deal maths'!Y957="",0,'Deal maths'!Y957)</f>
        <v/>
      </c>
      <c r="M957" s="112">
        <f>F957+(F957=0)</f>
        <v/>
      </c>
      <c r="N957" s="108">
        <f>IFERROR(IF(D957=0,0,INT(((YEAR('Deal maths'!AA957)-YEAR(E957))*12+MONTH('Deal maths'!AA957)-MONTH(E957)-(DAY('Deal maths'!AA957)&lt;MIN(R957,DAY(EOMONTH('Deal maths'!AA957,0)))))/D957)+1),0)</f>
        <v/>
      </c>
      <c r="O957" s="108">
        <f>IFERROR(IF(D957=0,0,IF(IF(DAY(E957+1)=1,EOMONTH(E957,(N957-1)*D957),EDATE(E957,(N957-1)*D957))='Deal maths'!AA957,0,1)),0)</f>
        <v/>
      </c>
      <c r="P957" s="113">
        <f>IF(B957=0,0,IFERROR(IF(C957="EIP",((I957-O957)*((IF(DAY(E957+1)=1,EOMONTH(E957,H957*D957),EDATE(E957,H957*D957))-AsAt)/365.25+(IF(DAY(E957+1)=1,EOMONTH(E957,(N957-1)*D957),EDATE(E957,(N957-1)*D957))-AsAt)/365.25)/2+O957*('Deal maths'!AA957-AsAt)/365.25)/I957,IF(C957="Annuity",IF(F957&gt;0,((K957-L957*F957)*((IF(DAY(E957+1)=1,EOMONTH(E957,H957*D957),EDATE(E957,H957*D957))-AsAt)/365.25*((1+F957)^(I957-O957)-1)/F957+IF((I957-O957)&gt;1,((IF(DAY(E957+1)=1,EOMONTH(E957,(N957-1)*D957),EDATE(E957,(N957-1)*D957))-AsAt)/365.25-(IF(DAY(E957+1)=1,EOMONTH(E957,H957*D957),EDATE(E957,H957*D957))-AsAt)/365.25)/((I957-O957)-1),0)*(1+F957)*(1-(I957-O957)*(1+F957)^((I957-O957)-1)+((I957-O957)-1)*(1+F957)^(I957-O957))/F957^2)+O957*(K957-L957*F957)*(1+F957)^(I957-1)*('Deal maths'!AA957-AsAt)/365.25)/L957,((I957-O957)*((IF(DAY(E957+1)=1,EOMONTH(E957,H957*D957),EDATE(E957,H957*D957))-AsAt)/365.25+(IF(DAY(E957+1)=1,EOMONTH(E957,(N957-1)*D957),EDATE(E957,(N957-1)*D957))-AsAt)/365.25)/2+O957*('Deal maths'!AA957-AsAt)/365.25)/I957),(S957-AsAt)/365.25)),0))</f>
        <v/>
      </c>
      <c r="Q957" s="109">
        <f>IF(B957=1,'Deal maths'!AA957+ROW()/1000000,"")</f>
        <v/>
      </c>
      <c r="R957" s="108">
        <f>IF(D957=0,0,IF(DAY(E957+1)=1,31,DAY(E957)))</f>
        <v/>
      </c>
      <c r="S957" s="109">
        <f>IF(AND('Deal maths'!V957="LOBO",'Deal maths'!AG957&gt;AsAt,'Deal maths'!AG957&lt;'Deal maths'!AA957),'Deal maths'!AG957,'Deal maths'!AA957)</f>
        <v/>
      </c>
      <c r="T957" s="108">
        <f>('Deal maths'!AA957&gt;AsAt)*('Deal maths'!Y957&gt;0)</f>
        <v/>
      </c>
    </row>
    <row r="958">
      <c r="A958" s="91">
        <f>IF('Deal maths'!V958="","",'Deal maths'!W958)</f>
        <v/>
      </c>
      <c r="B958" s="108">
        <f>('Deal maths'!AA958&gt;AsAt)*('Deal maths'!Y958&gt;0)*('Deal maths'!Z958&lt;=AsAt)</f>
        <v/>
      </c>
      <c r="C958" s="91">
        <f>IF('Deal maths'!V958="","",IF('Deal maths'!AC958="","Maturity",'Deal maths'!AC958))</f>
        <v/>
      </c>
      <c r="D958" s="108">
        <f>IF(OR(C958="EIP",C958="Annuity"),IF('Deal maths'!AD958="Annual",12,IF('Deal maths'!AD958="Quarterly",3,6)),0)</f>
        <v/>
      </c>
      <c r="E958" s="109">
        <f>IFERROR(IF(D958=0,0,IF('Deal maths'!AE958&gt;0,IF('Deal maths'!AE958&gt;'Deal maths'!AA958,'Deal maths'!AA958,'Deal maths'!AE958),IF(IF(DAY('Deal maths'!AA958+1)=1,EOMONTH('Deal maths'!AA958,-(INT(((YEAR('Deal maths'!AA958)-YEAR(IF('Deal maths'!Z958&gt;0,'Deal maths'!Z958,DATE(1990,1,1))))*12+MONTH('Deal maths'!AA958)-MONTH(IF('Deal maths'!Z958&gt;0,'Deal maths'!Z958,DATE(1990,1,1))))/D958))*D958),EDATE('Deal maths'!AA958,-(INT(((YEAR('Deal maths'!AA958)-YEAR(IF('Deal maths'!Z958&gt;0,'Deal maths'!Z958,DATE(1990,1,1))))*12+MONTH('Deal maths'!AA958)-MONTH(IF('Deal maths'!Z958&gt;0,'Deal maths'!Z958,DATE(1990,1,1))))/D958))*D958))&gt;IF('Deal maths'!Z958&gt;0,'Deal maths'!Z958,DATE(1990,1,1)),IF(DAY('Deal maths'!AA958+1)=1,EOMONTH('Deal maths'!AA958,-(INT(((YEAR('Deal maths'!AA958)-YEAR(IF('Deal maths'!Z958&gt;0,'Deal maths'!Z958,DATE(1990,1,1))))*12+MONTH('Deal maths'!AA958)-MONTH(IF('Deal maths'!Z958&gt;0,'Deal maths'!Z958,DATE(1990,1,1))))/D958))*D958),EDATE('Deal maths'!AA958,-(INT(((YEAR('Deal maths'!AA958)-YEAR(IF('Deal maths'!Z958&gt;0,'Deal maths'!Z958,DATE(1990,1,1))))*12+MONTH('Deal maths'!AA958)-MONTH(IF('Deal maths'!Z958&gt;0,'Deal maths'!Z958,DATE(1990,1,1))))/D958))*D958)),IF(DAY('Deal maths'!AA958+1)=1,EOMONTH('Deal maths'!AA958,-(INT(((YEAR('Deal maths'!AA958)-YEAR(IF('Deal maths'!Z958&gt;0,'Deal maths'!Z958,DATE(1990,1,1))))*12+MONTH('Deal maths'!AA958)-MONTH(IF('Deal maths'!Z958&gt;0,'Deal maths'!Z958,DATE(1990,1,1))))/D958)-1)*D958),EDATE('Deal maths'!AA958,-(INT(((YEAR('Deal maths'!AA958)-YEAR(IF('Deal maths'!Z958&gt;0,'Deal maths'!Z958,DATE(1990,1,1))))*12+MONTH('Deal maths'!AA958)-MONTH(IF('Deal maths'!Z958&gt;0,'Deal maths'!Z958,DATE(1990,1,1))))/D958)-1)*D958))))),0)</f>
        <v/>
      </c>
      <c r="F958" s="110">
        <f>IF(D958=0,0,'Deal maths'!AB958*D958/12)</f>
        <v/>
      </c>
      <c r="G958" s="108">
        <f>N958+O958</f>
        <v/>
      </c>
      <c r="H958" s="108">
        <f>IFERROR(IF(OR(D958=0,AsAt&lt;E958),0,MIN(N958,INT(((YEAR(AsAt)-YEAR(E958))*12+MONTH(AsAt)-MONTH(E958)-(DAY(AsAt)&lt;MIN(R958,DAY(EOMONTH(AsAt,0)))))/D958)+1)+O958*(AsAt&gt;='Deal maths'!AA958)),0)</f>
        <v/>
      </c>
      <c r="I958" s="108">
        <f>G958-H958</f>
        <v/>
      </c>
      <c r="J958" s="111">
        <f>IF(AND(C958="EIP",I958&gt;0),'Deal maths'!Y958/I958,0)</f>
        <v/>
      </c>
      <c r="K958" s="111">
        <f>IF(AND(C958="Annuity",I958&gt;0),IF(F958&gt;0,'Deal maths'!Y958*F958/(1-(1+F958)^-I958),'Deal maths'!Y958/I958),0)</f>
        <v/>
      </c>
      <c r="L958" s="111">
        <f>IF('Deal maths'!Y958="",0,'Deal maths'!Y958)</f>
        <v/>
      </c>
      <c r="M958" s="112">
        <f>F958+(F958=0)</f>
        <v/>
      </c>
      <c r="N958" s="108">
        <f>IFERROR(IF(D958=0,0,INT(((YEAR('Deal maths'!AA958)-YEAR(E958))*12+MONTH('Deal maths'!AA958)-MONTH(E958)-(DAY('Deal maths'!AA958)&lt;MIN(R958,DAY(EOMONTH('Deal maths'!AA958,0)))))/D958)+1),0)</f>
        <v/>
      </c>
      <c r="O958" s="108">
        <f>IFERROR(IF(D958=0,0,IF(IF(DAY(E958+1)=1,EOMONTH(E958,(N958-1)*D958),EDATE(E958,(N958-1)*D958))='Deal maths'!AA958,0,1)),0)</f>
        <v/>
      </c>
      <c r="P958" s="113">
        <f>IF(B958=0,0,IFERROR(IF(C958="EIP",((I958-O958)*((IF(DAY(E958+1)=1,EOMONTH(E958,H958*D958),EDATE(E958,H958*D958))-AsAt)/365.25+(IF(DAY(E958+1)=1,EOMONTH(E958,(N958-1)*D958),EDATE(E958,(N958-1)*D958))-AsAt)/365.25)/2+O958*('Deal maths'!AA958-AsAt)/365.25)/I958,IF(C958="Annuity",IF(F958&gt;0,((K958-L958*F958)*((IF(DAY(E958+1)=1,EOMONTH(E958,H958*D958),EDATE(E958,H958*D958))-AsAt)/365.25*((1+F958)^(I958-O958)-1)/F958+IF((I958-O958)&gt;1,((IF(DAY(E958+1)=1,EOMONTH(E958,(N958-1)*D958),EDATE(E958,(N958-1)*D958))-AsAt)/365.25-(IF(DAY(E958+1)=1,EOMONTH(E958,H958*D958),EDATE(E958,H958*D958))-AsAt)/365.25)/((I958-O958)-1),0)*(1+F958)*(1-(I958-O958)*(1+F958)^((I958-O958)-1)+((I958-O958)-1)*(1+F958)^(I958-O958))/F958^2)+O958*(K958-L958*F958)*(1+F958)^(I958-1)*('Deal maths'!AA958-AsAt)/365.25)/L958,((I958-O958)*((IF(DAY(E958+1)=1,EOMONTH(E958,H958*D958),EDATE(E958,H958*D958))-AsAt)/365.25+(IF(DAY(E958+1)=1,EOMONTH(E958,(N958-1)*D958),EDATE(E958,(N958-1)*D958))-AsAt)/365.25)/2+O958*('Deal maths'!AA958-AsAt)/365.25)/I958),(S958-AsAt)/365.25)),0))</f>
        <v/>
      </c>
      <c r="Q958" s="109">
        <f>IF(B958=1,'Deal maths'!AA958+ROW()/1000000,"")</f>
        <v/>
      </c>
      <c r="R958" s="108">
        <f>IF(D958=0,0,IF(DAY(E958+1)=1,31,DAY(E958)))</f>
        <v/>
      </c>
      <c r="S958" s="109">
        <f>IF(AND('Deal maths'!V958="LOBO",'Deal maths'!AG958&gt;AsAt,'Deal maths'!AG958&lt;'Deal maths'!AA958),'Deal maths'!AG958,'Deal maths'!AA958)</f>
        <v/>
      </c>
      <c r="T958" s="108">
        <f>('Deal maths'!AA958&gt;AsAt)*('Deal maths'!Y958&gt;0)</f>
        <v/>
      </c>
    </row>
    <row r="959">
      <c r="A959" s="91">
        <f>IF('Deal maths'!V959="","",'Deal maths'!W959)</f>
        <v/>
      </c>
      <c r="B959" s="108">
        <f>('Deal maths'!AA959&gt;AsAt)*('Deal maths'!Y959&gt;0)*('Deal maths'!Z959&lt;=AsAt)</f>
        <v/>
      </c>
      <c r="C959" s="91">
        <f>IF('Deal maths'!V959="","",IF('Deal maths'!AC959="","Maturity",'Deal maths'!AC959))</f>
        <v/>
      </c>
      <c r="D959" s="108">
        <f>IF(OR(C959="EIP",C959="Annuity"),IF('Deal maths'!AD959="Annual",12,IF('Deal maths'!AD959="Quarterly",3,6)),0)</f>
        <v/>
      </c>
      <c r="E959" s="109">
        <f>IFERROR(IF(D959=0,0,IF('Deal maths'!AE959&gt;0,IF('Deal maths'!AE959&gt;'Deal maths'!AA959,'Deal maths'!AA959,'Deal maths'!AE959),IF(IF(DAY('Deal maths'!AA959+1)=1,EOMONTH('Deal maths'!AA959,-(INT(((YEAR('Deal maths'!AA959)-YEAR(IF('Deal maths'!Z959&gt;0,'Deal maths'!Z959,DATE(1990,1,1))))*12+MONTH('Deal maths'!AA959)-MONTH(IF('Deal maths'!Z959&gt;0,'Deal maths'!Z959,DATE(1990,1,1))))/D959))*D959),EDATE('Deal maths'!AA959,-(INT(((YEAR('Deal maths'!AA959)-YEAR(IF('Deal maths'!Z959&gt;0,'Deal maths'!Z959,DATE(1990,1,1))))*12+MONTH('Deal maths'!AA959)-MONTH(IF('Deal maths'!Z959&gt;0,'Deal maths'!Z959,DATE(1990,1,1))))/D959))*D959))&gt;IF('Deal maths'!Z959&gt;0,'Deal maths'!Z959,DATE(1990,1,1)),IF(DAY('Deal maths'!AA959+1)=1,EOMONTH('Deal maths'!AA959,-(INT(((YEAR('Deal maths'!AA959)-YEAR(IF('Deal maths'!Z959&gt;0,'Deal maths'!Z959,DATE(1990,1,1))))*12+MONTH('Deal maths'!AA959)-MONTH(IF('Deal maths'!Z959&gt;0,'Deal maths'!Z959,DATE(1990,1,1))))/D959))*D959),EDATE('Deal maths'!AA959,-(INT(((YEAR('Deal maths'!AA959)-YEAR(IF('Deal maths'!Z959&gt;0,'Deal maths'!Z959,DATE(1990,1,1))))*12+MONTH('Deal maths'!AA959)-MONTH(IF('Deal maths'!Z959&gt;0,'Deal maths'!Z959,DATE(1990,1,1))))/D959))*D959)),IF(DAY('Deal maths'!AA959+1)=1,EOMONTH('Deal maths'!AA959,-(INT(((YEAR('Deal maths'!AA959)-YEAR(IF('Deal maths'!Z959&gt;0,'Deal maths'!Z959,DATE(1990,1,1))))*12+MONTH('Deal maths'!AA959)-MONTH(IF('Deal maths'!Z959&gt;0,'Deal maths'!Z959,DATE(1990,1,1))))/D959)-1)*D959),EDATE('Deal maths'!AA959,-(INT(((YEAR('Deal maths'!AA959)-YEAR(IF('Deal maths'!Z959&gt;0,'Deal maths'!Z959,DATE(1990,1,1))))*12+MONTH('Deal maths'!AA959)-MONTH(IF('Deal maths'!Z959&gt;0,'Deal maths'!Z959,DATE(1990,1,1))))/D959)-1)*D959))))),0)</f>
        <v/>
      </c>
      <c r="F959" s="110">
        <f>IF(D959=0,0,'Deal maths'!AB959*D959/12)</f>
        <v/>
      </c>
      <c r="G959" s="108">
        <f>N959+O959</f>
        <v/>
      </c>
      <c r="H959" s="108">
        <f>IFERROR(IF(OR(D959=0,AsAt&lt;E959),0,MIN(N959,INT(((YEAR(AsAt)-YEAR(E959))*12+MONTH(AsAt)-MONTH(E959)-(DAY(AsAt)&lt;MIN(R959,DAY(EOMONTH(AsAt,0)))))/D959)+1)+O959*(AsAt&gt;='Deal maths'!AA959)),0)</f>
        <v/>
      </c>
      <c r="I959" s="108">
        <f>G959-H959</f>
        <v/>
      </c>
      <c r="J959" s="111">
        <f>IF(AND(C959="EIP",I959&gt;0),'Deal maths'!Y959/I959,0)</f>
        <v/>
      </c>
      <c r="K959" s="111">
        <f>IF(AND(C959="Annuity",I959&gt;0),IF(F959&gt;0,'Deal maths'!Y959*F959/(1-(1+F959)^-I959),'Deal maths'!Y959/I959),0)</f>
        <v/>
      </c>
      <c r="L959" s="111">
        <f>IF('Deal maths'!Y959="",0,'Deal maths'!Y959)</f>
        <v/>
      </c>
      <c r="M959" s="112">
        <f>F959+(F959=0)</f>
        <v/>
      </c>
      <c r="N959" s="108">
        <f>IFERROR(IF(D959=0,0,INT(((YEAR('Deal maths'!AA959)-YEAR(E959))*12+MONTH('Deal maths'!AA959)-MONTH(E959)-(DAY('Deal maths'!AA959)&lt;MIN(R959,DAY(EOMONTH('Deal maths'!AA959,0)))))/D959)+1),0)</f>
        <v/>
      </c>
      <c r="O959" s="108">
        <f>IFERROR(IF(D959=0,0,IF(IF(DAY(E959+1)=1,EOMONTH(E959,(N959-1)*D959),EDATE(E959,(N959-1)*D959))='Deal maths'!AA959,0,1)),0)</f>
        <v/>
      </c>
      <c r="P959" s="113">
        <f>IF(B959=0,0,IFERROR(IF(C959="EIP",((I959-O959)*((IF(DAY(E959+1)=1,EOMONTH(E959,H959*D959),EDATE(E959,H959*D959))-AsAt)/365.25+(IF(DAY(E959+1)=1,EOMONTH(E959,(N959-1)*D959),EDATE(E959,(N959-1)*D959))-AsAt)/365.25)/2+O959*('Deal maths'!AA959-AsAt)/365.25)/I959,IF(C959="Annuity",IF(F959&gt;0,((K959-L959*F959)*((IF(DAY(E959+1)=1,EOMONTH(E959,H959*D959),EDATE(E959,H959*D959))-AsAt)/365.25*((1+F959)^(I959-O959)-1)/F959+IF((I959-O959)&gt;1,((IF(DAY(E959+1)=1,EOMONTH(E959,(N959-1)*D959),EDATE(E959,(N959-1)*D959))-AsAt)/365.25-(IF(DAY(E959+1)=1,EOMONTH(E959,H959*D959),EDATE(E959,H959*D959))-AsAt)/365.25)/((I959-O959)-1),0)*(1+F959)*(1-(I959-O959)*(1+F959)^((I959-O959)-1)+((I959-O959)-1)*(1+F959)^(I959-O959))/F959^2)+O959*(K959-L959*F959)*(1+F959)^(I959-1)*('Deal maths'!AA959-AsAt)/365.25)/L959,((I959-O959)*((IF(DAY(E959+1)=1,EOMONTH(E959,H959*D959),EDATE(E959,H959*D959))-AsAt)/365.25+(IF(DAY(E959+1)=1,EOMONTH(E959,(N959-1)*D959),EDATE(E959,(N959-1)*D959))-AsAt)/365.25)/2+O959*('Deal maths'!AA959-AsAt)/365.25)/I959),(S959-AsAt)/365.25)),0))</f>
        <v/>
      </c>
      <c r="Q959" s="109">
        <f>IF(B959=1,'Deal maths'!AA959+ROW()/1000000,"")</f>
        <v/>
      </c>
      <c r="R959" s="108">
        <f>IF(D959=0,0,IF(DAY(E959+1)=1,31,DAY(E959)))</f>
        <v/>
      </c>
      <c r="S959" s="109">
        <f>IF(AND('Deal maths'!V959="LOBO",'Deal maths'!AG959&gt;AsAt,'Deal maths'!AG959&lt;'Deal maths'!AA959),'Deal maths'!AG959,'Deal maths'!AA959)</f>
        <v/>
      </c>
      <c r="T959" s="108">
        <f>('Deal maths'!AA959&gt;AsAt)*('Deal maths'!Y959&gt;0)</f>
        <v/>
      </c>
    </row>
    <row r="960">
      <c r="A960" s="91">
        <f>IF('Deal maths'!V960="","",'Deal maths'!W960)</f>
        <v/>
      </c>
      <c r="B960" s="108">
        <f>('Deal maths'!AA960&gt;AsAt)*('Deal maths'!Y960&gt;0)*('Deal maths'!Z960&lt;=AsAt)</f>
        <v/>
      </c>
      <c r="C960" s="91">
        <f>IF('Deal maths'!V960="","",IF('Deal maths'!AC960="","Maturity",'Deal maths'!AC960))</f>
        <v/>
      </c>
      <c r="D960" s="108">
        <f>IF(OR(C960="EIP",C960="Annuity"),IF('Deal maths'!AD960="Annual",12,IF('Deal maths'!AD960="Quarterly",3,6)),0)</f>
        <v/>
      </c>
      <c r="E960" s="109">
        <f>IFERROR(IF(D960=0,0,IF('Deal maths'!AE960&gt;0,IF('Deal maths'!AE960&gt;'Deal maths'!AA960,'Deal maths'!AA960,'Deal maths'!AE960),IF(IF(DAY('Deal maths'!AA960+1)=1,EOMONTH('Deal maths'!AA960,-(INT(((YEAR('Deal maths'!AA960)-YEAR(IF('Deal maths'!Z960&gt;0,'Deal maths'!Z960,DATE(1990,1,1))))*12+MONTH('Deal maths'!AA960)-MONTH(IF('Deal maths'!Z960&gt;0,'Deal maths'!Z960,DATE(1990,1,1))))/D960))*D960),EDATE('Deal maths'!AA960,-(INT(((YEAR('Deal maths'!AA960)-YEAR(IF('Deal maths'!Z960&gt;0,'Deal maths'!Z960,DATE(1990,1,1))))*12+MONTH('Deal maths'!AA960)-MONTH(IF('Deal maths'!Z960&gt;0,'Deal maths'!Z960,DATE(1990,1,1))))/D960))*D960))&gt;IF('Deal maths'!Z960&gt;0,'Deal maths'!Z960,DATE(1990,1,1)),IF(DAY('Deal maths'!AA960+1)=1,EOMONTH('Deal maths'!AA960,-(INT(((YEAR('Deal maths'!AA960)-YEAR(IF('Deal maths'!Z960&gt;0,'Deal maths'!Z960,DATE(1990,1,1))))*12+MONTH('Deal maths'!AA960)-MONTH(IF('Deal maths'!Z960&gt;0,'Deal maths'!Z960,DATE(1990,1,1))))/D960))*D960),EDATE('Deal maths'!AA960,-(INT(((YEAR('Deal maths'!AA960)-YEAR(IF('Deal maths'!Z960&gt;0,'Deal maths'!Z960,DATE(1990,1,1))))*12+MONTH('Deal maths'!AA960)-MONTH(IF('Deal maths'!Z960&gt;0,'Deal maths'!Z960,DATE(1990,1,1))))/D960))*D960)),IF(DAY('Deal maths'!AA960+1)=1,EOMONTH('Deal maths'!AA960,-(INT(((YEAR('Deal maths'!AA960)-YEAR(IF('Deal maths'!Z960&gt;0,'Deal maths'!Z960,DATE(1990,1,1))))*12+MONTH('Deal maths'!AA960)-MONTH(IF('Deal maths'!Z960&gt;0,'Deal maths'!Z960,DATE(1990,1,1))))/D960)-1)*D960),EDATE('Deal maths'!AA960,-(INT(((YEAR('Deal maths'!AA960)-YEAR(IF('Deal maths'!Z960&gt;0,'Deal maths'!Z960,DATE(1990,1,1))))*12+MONTH('Deal maths'!AA960)-MONTH(IF('Deal maths'!Z960&gt;0,'Deal maths'!Z960,DATE(1990,1,1))))/D960)-1)*D960))))),0)</f>
        <v/>
      </c>
      <c r="F960" s="110">
        <f>IF(D960=0,0,'Deal maths'!AB960*D960/12)</f>
        <v/>
      </c>
      <c r="G960" s="108">
        <f>N960+O960</f>
        <v/>
      </c>
      <c r="H960" s="108">
        <f>IFERROR(IF(OR(D960=0,AsAt&lt;E960),0,MIN(N960,INT(((YEAR(AsAt)-YEAR(E960))*12+MONTH(AsAt)-MONTH(E960)-(DAY(AsAt)&lt;MIN(R960,DAY(EOMONTH(AsAt,0)))))/D960)+1)+O960*(AsAt&gt;='Deal maths'!AA960)),0)</f>
        <v/>
      </c>
      <c r="I960" s="108">
        <f>G960-H960</f>
        <v/>
      </c>
      <c r="J960" s="111">
        <f>IF(AND(C960="EIP",I960&gt;0),'Deal maths'!Y960/I960,0)</f>
        <v/>
      </c>
      <c r="K960" s="111">
        <f>IF(AND(C960="Annuity",I960&gt;0),IF(F960&gt;0,'Deal maths'!Y960*F960/(1-(1+F960)^-I960),'Deal maths'!Y960/I960),0)</f>
        <v/>
      </c>
      <c r="L960" s="111">
        <f>IF('Deal maths'!Y960="",0,'Deal maths'!Y960)</f>
        <v/>
      </c>
      <c r="M960" s="112">
        <f>F960+(F960=0)</f>
        <v/>
      </c>
      <c r="N960" s="108">
        <f>IFERROR(IF(D960=0,0,INT(((YEAR('Deal maths'!AA960)-YEAR(E960))*12+MONTH('Deal maths'!AA960)-MONTH(E960)-(DAY('Deal maths'!AA960)&lt;MIN(R960,DAY(EOMONTH('Deal maths'!AA960,0)))))/D960)+1),0)</f>
        <v/>
      </c>
      <c r="O960" s="108">
        <f>IFERROR(IF(D960=0,0,IF(IF(DAY(E960+1)=1,EOMONTH(E960,(N960-1)*D960),EDATE(E960,(N960-1)*D960))='Deal maths'!AA960,0,1)),0)</f>
        <v/>
      </c>
      <c r="P960" s="113">
        <f>IF(B960=0,0,IFERROR(IF(C960="EIP",((I960-O960)*((IF(DAY(E960+1)=1,EOMONTH(E960,H960*D960),EDATE(E960,H960*D960))-AsAt)/365.25+(IF(DAY(E960+1)=1,EOMONTH(E960,(N960-1)*D960),EDATE(E960,(N960-1)*D960))-AsAt)/365.25)/2+O960*('Deal maths'!AA960-AsAt)/365.25)/I960,IF(C960="Annuity",IF(F960&gt;0,((K960-L960*F960)*((IF(DAY(E960+1)=1,EOMONTH(E960,H960*D960),EDATE(E960,H960*D960))-AsAt)/365.25*((1+F960)^(I960-O960)-1)/F960+IF((I960-O960)&gt;1,((IF(DAY(E960+1)=1,EOMONTH(E960,(N960-1)*D960),EDATE(E960,(N960-1)*D960))-AsAt)/365.25-(IF(DAY(E960+1)=1,EOMONTH(E960,H960*D960),EDATE(E960,H960*D960))-AsAt)/365.25)/((I960-O960)-1),0)*(1+F960)*(1-(I960-O960)*(1+F960)^((I960-O960)-1)+((I960-O960)-1)*(1+F960)^(I960-O960))/F960^2)+O960*(K960-L960*F960)*(1+F960)^(I960-1)*('Deal maths'!AA960-AsAt)/365.25)/L960,((I960-O960)*((IF(DAY(E960+1)=1,EOMONTH(E960,H960*D960),EDATE(E960,H960*D960))-AsAt)/365.25+(IF(DAY(E960+1)=1,EOMONTH(E960,(N960-1)*D960),EDATE(E960,(N960-1)*D960))-AsAt)/365.25)/2+O960*('Deal maths'!AA960-AsAt)/365.25)/I960),(S960-AsAt)/365.25)),0))</f>
        <v/>
      </c>
      <c r="Q960" s="109">
        <f>IF(B960=1,'Deal maths'!AA960+ROW()/1000000,"")</f>
        <v/>
      </c>
      <c r="R960" s="108">
        <f>IF(D960=0,0,IF(DAY(E960+1)=1,31,DAY(E960)))</f>
        <v/>
      </c>
      <c r="S960" s="109">
        <f>IF(AND('Deal maths'!V960="LOBO",'Deal maths'!AG960&gt;AsAt,'Deal maths'!AG960&lt;'Deal maths'!AA960),'Deal maths'!AG960,'Deal maths'!AA960)</f>
        <v/>
      </c>
      <c r="T960" s="108">
        <f>('Deal maths'!AA960&gt;AsAt)*('Deal maths'!Y960&gt;0)</f>
        <v/>
      </c>
    </row>
    <row r="961">
      <c r="A961" s="91">
        <f>IF('Deal maths'!V961="","",'Deal maths'!W961)</f>
        <v/>
      </c>
      <c r="B961" s="108">
        <f>('Deal maths'!AA961&gt;AsAt)*('Deal maths'!Y961&gt;0)*('Deal maths'!Z961&lt;=AsAt)</f>
        <v/>
      </c>
      <c r="C961" s="91">
        <f>IF('Deal maths'!V961="","",IF('Deal maths'!AC961="","Maturity",'Deal maths'!AC961))</f>
        <v/>
      </c>
      <c r="D961" s="108">
        <f>IF(OR(C961="EIP",C961="Annuity"),IF('Deal maths'!AD961="Annual",12,IF('Deal maths'!AD961="Quarterly",3,6)),0)</f>
        <v/>
      </c>
      <c r="E961" s="109">
        <f>IFERROR(IF(D961=0,0,IF('Deal maths'!AE961&gt;0,IF('Deal maths'!AE961&gt;'Deal maths'!AA961,'Deal maths'!AA961,'Deal maths'!AE961),IF(IF(DAY('Deal maths'!AA961+1)=1,EOMONTH('Deal maths'!AA961,-(INT(((YEAR('Deal maths'!AA961)-YEAR(IF('Deal maths'!Z961&gt;0,'Deal maths'!Z961,DATE(1990,1,1))))*12+MONTH('Deal maths'!AA961)-MONTH(IF('Deal maths'!Z961&gt;0,'Deal maths'!Z961,DATE(1990,1,1))))/D961))*D961),EDATE('Deal maths'!AA961,-(INT(((YEAR('Deal maths'!AA961)-YEAR(IF('Deal maths'!Z961&gt;0,'Deal maths'!Z961,DATE(1990,1,1))))*12+MONTH('Deal maths'!AA961)-MONTH(IF('Deal maths'!Z961&gt;0,'Deal maths'!Z961,DATE(1990,1,1))))/D961))*D961))&gt;IF('Deal maths'!Z961&gt;0,'Deal maths'!Z961,DATE(1990,1,1)),IF(DAY('Deal maths'!AA961+1)=1,EOMONTH('Deal maths'!AA961,-(INT(((YEAR('Deal maths'!AA961)-YEAR(IF('Deal maths'!Z961&gt;0,'Deal maths'!Z961,DATE(1990,1,1))))*12+MONTH('Deal maths'!AA961)-MONTH(IF('Deal maths'!Z961&gt;0,'Deal maths'!Z961,DATE(1990,1,1))))/D961))*D961),EDATE('Deal maths'!AA961,-(INT(((YEAR('Deal maths'!AA961)-YEAR(IF('Deal maths'!Z961&gt;0,'Deal maths'!Z961,DATE(1990,1,1))))*12+MONTH('Deal maths'!AA961)-MONTH(IF('Deal maths'!Z961&gt;0,'Deal maths'!Z961,DATE(1990,1,1))))/D961))*D961)),IF(DAY('Deal maths'!AA961+1)=1,EOMONTH('Deal maths'!AA961,-(INT(((YEAR('Deal maths'!AA961)-YEAR(IF('Deal maths'!Z961&gt;0,'Deal maths'!Z961,DATE(1990,1,1))))*12+MONTH('Deal maths'!AA961)-MONTH(IF('Deal maths'!Z961&gt;0,'Deal maths'!Z961,DATE(1990,1,1))))/D961)-1)*D961),EDATE('Deal maths'!AA961,-(INT(((YEAR('Deal maths'!AA961)-YEAR(IF('Deal maths'!Z961&gt;0,'Deal maths'!Z961,DATE(1990,1,1))))*12+MONTH('Deal maths'!AA961)-MONTH(IF('Deal maths'!Z961&gt;0,'Deal maths'!Z961,DATE(1990,1,1))))/D961)-1)*D961))))),0)</f>
        <v/>
      </c>
      <c r="F961" s="110">
        <f>IF(D961=0,0,'Deal maths'!AB961*D961/12)</f>
        <v/>
      </c>
      <c r="G961" s="108">
        <f>N961+O961</f>
        <v/>
      </c>
      <c r="H961" s="108">
        <f>IFERROR(IF(OR(D961=0,AsAt&lt;E961),0,MIN(N961,INT(((YEAR(AsAt)-YEAR(E961))*12+MONTH(AsAt)-MONTH(E961)-(DAY(AsAt)&lt;MIN(R961,DAY(EOMONTH(AsAt,0)))))/D961)+1)+O961*(AsAt&gt;='Deal maths'!AA961)),0)</f>
        <v/>
      </c>
      <c r="I961" s="108">
        <f>G961-H961</f>
        <v/>
      </c>
      <c r="J961" s="111">
        <f>IF(AND(C961="EIP",I961&gt;0),'Deal maths'!Y961/I961,0)</f>
        <v/>
      </c>
      <c r="K961" s="111">
        <f>IF(AND(C961="Annuity",I961&gt;0),IF(F961&gt;0,'Deal maths'!Y961*F961/(1-(1+F961)^-I961),'Deal maths'!Y961/I961),0)</f>
        <v/>
      </c>
      <c r="L961" s="111">
        <f>IF('Deal maths'!Y961="",0,'Deal maths'!Y961)</f>
        <v/>
      </c>
      <c r="M961" s="112">
        <f>F961+(F961=0)</f>
        <v/>
      </c>
      <c r="N961" s="108">
        <f>IFERROR(IF(D961=0,0,INT(((YEAR('Deal maths'!AA961)-YEAR(E961))*12+MONTH('Deal maths'!AA961)-MONTH(E961)-(DAY('Deal maths'!AA961)&lt;MIN(R961,DAY(EOMONTH('Deal maths'!AA961,0)))))/D961)+1),0)</f>
        <v/>
      </c>
      <c r="O961" s="108">
        <f>IFERROR(IF(D961=0,0,IF(IF(DAY(E961+1)=1,EOMONTH(E961,(N961-1)*D961),EDATE(E961,(N961-1)*D961))='Deal maths'!AA961,0,1)),0)</f>
        <v/>
      </c>
      <c r="P961" s="113">
        <f>IF(B961=0,0,IFERROR(IF(C961="EIP",((I961-O961)*((IF(DAY(E961+1)=1,EOMONTH(E961,H961*D961),EDATE(E961,H961*D961))-AsAt)/365.25+(IF(DAY(E961+1)=1,EOMONTH(E961,(N961-1)*D961),EDATE(E961,(N961-1)*D961))-AsAt)/365.25)/2+O961*('Deal maths'!AA961-AsAt)/365.25)/I961,IF(C961="Annuity",IF(F961&gt;0,((K961-L961*F961)*((IF(DAY(E961+1)=1,EOMONTH(E961,H961*D961),EDATE(E961,H961*D961))-AsAt)/365.25*((1+F961)^(I961-O961)-1)/F961+IF((I961-O961)&gt;1,((IF(DAY(E961+1)=1,EOMONTH(E961,(N961-1)*D961),EDATE(E961,(N961-1)*D961))-AsAt)/365.25-(IF(DAY(E961+1)=1,EOMONTH(E961,H961*D961),EDATE(E961,H961*D961))-AsAt)/365.25)/((I961-O961)-1),0)*(1+F961)*(1-(I961-O961)*(1+F961)^((I961-O961)-1)+((I961-O961)-1)*(1+F961)^(I961-O961))/F961^2)+O961*(K961-L961*F961)*(1+F961)^(I961-1)*('Deal maths'!AA961-AsAt)/365.25)/L961,((I961-O961)*((IF(DAY(E961+1)=1,EOMONTH(E961,H961*D961),EDATE(E961,H961*D961))-AsAt)/365.25+(IF(DAY(E961+1)=1,EOMONTH(E961,(N961-1)*D961),EDATE(E961,(N961-1)*D961))-AsAt)/365.25)/2+O961*('Deal maths'!AA961-AsAt)/365.25)/I961),(S961-AsAt)/365.25)),0))</f>
        <v/>
      </c>
      <c r="Q961" s="109">
        <f>IF(B961=1,'Deal maths'!AA961+ROW()/1000000,"")</f>
        <v/>
      </c>
      <c r="R961" s="108">
        <f>IF(D961=0,0,IF(DAY(E961+1)=1,31,DAY(E961)))</f>
        <v/>
      </c>
      <c r="S961" s="109">
        <f>IF(AND('Deal maths'!V961="LOBO",'Deal maths'!AG961&gt;AsAt,'Deal maths'!AG961&lt;'Deal maths'!AA961),'Deal maths'!AG961,'Deal maths'!AA961)</f>
        <v/>
      </c>
      <c r="T961" s="108">
        <f>('Deal maths'!AA961&gt;AsAt)*('Deal maths'!Y961&gt;0)</f>
        <v/>
      </c>
    </row>
    <row r="962">
      <c r="A962" s="91">
        <f>IF('Deal maths'!V962="","",'Deal maths'!W962)</f>
        <v/>
      </c>
      <c r="B962" s="108">
        <f>('Deal maths'!AA962&gt;AsAt)*('Deal maths'!Y962&gt;0)*('Deal maths'!Z962&lt;=AsAt)</f>
        <v/>
      </c>
      <c r="C962" s="91">
        <f>IF('Deal maths'!V962="","",IF('Deal maths'!AC962="","Maturity",'Deal maths'!AC962))</f>
        <v/>
      </c>
      <c r="D962" s="108">
        <f>IF(OR(C962="EIP",C962="Annuity"),IF('Deal maths'!AD962="Annual",12,IF('Deal maths'!AD962="Quarterly",3,6)),0)</f>
        <v/>
      </c>
      <c r="E962" s="109">
        <f>IFERROR(IF(D962=0,0,IF('Deal maths'!AE962&gt;0,IF('Deal maths'!AE962&gt;'Deal maths'!AA962,'Deal maths'!AA962,'Deal maths'!AE962),IF(IF(DAY('Deal maths'!AA962+1)=1,EOMONTH('Deal maths'!AA962,-(INT(((YEAR('Deal maths'!AA962)-YEAR(IF('Deal maths'!Z962&gt;0,'Deal maths'!Z962,DATE(1990,1,1))))*12+MONTH('Deal maths'!AA962)-MONTH(IF('Deal maths'!Z962&gt;0,'Deal maths'!Z962,DATE(1990,1,1))))/D962))*D962),EDATE('Deal maths'!AA962,-(INT(((YEAR('Deal maths'!AA962)-YEAR(IF('Deal maths'!Z962&gt;0,'Deal maths'!Z962,DATE(1990,1,1))))*12+MONTH('Deal maths'!AA962)-MONTH(IF('Deal maths'!Z962&gt;0,'Deal maths'!Z962,DATE(1990,1,1))))/D962))*D962))&gt;IF('Deal maths'!Z962&gt;0,'Deal maths'!Z962,DATE(1990,1,1)),IF(DAY('Deal maths'!AA962+1)=1,EOMONTH('Deal maths'!AA962,-(INT(((YEAR('Deal maths'!AA962)-YEAR(IF('Deal maths'!Z962&gt;0,'Deal maths'!Z962,DATE(1990,1,1))))*12+MONTH('Deal maths'!AA962)-MONTH(IF('Deal maths'!Z962&gt;0,'Deal maths'!Z962,DATE(1990,1,1))))/D962))*D962),EDATE('Deal maths'!AA962,-(INT(((YEAR('Deal maths'!AA962)-YEAR(IF('Deal maths'!Z962&gt;0,'Deal maths'!Z962,DATE(1990,1,1))))*12+MONTH('Deal maths'!AA962)-MONTH(IF('Deal maths'!Z962&gt;0,'Deal maths'!Z962,DATE(1990,1,1))))/D962))*D962)),IF(DAY('Deal maths'!AA962+1)=1,EOMONTH('Deal maths'!AA962,-(INT(((YEAR('Deal maths'!AA962)-YEAR(IF('Deal maths'!Z962&gt;0,'Deal maths'!Z962,DATE(1990,1,1))))*12+MONTH('Deal maths'!AA962)-MONTH(IF('Deal maths'!Z962&gt;0,'Deal maths'!Z962,DATE(1990,1,1))))/D962)-1)*D962),EDATE('Deal maths'!AA962,-(INT(((YEAR('Deal maths'!AA962)-YEAR(IF('Deal maths'!Z962&gt;0,'Deal maths'!Z962,DATE(1990,1,1))))*12+MONTH('Deal maths'!AA962)-MONTH(IF('Deal maths'!Z962&gt;0,'Deal maths'!Z962,DATE(1990,1,1))))/D962)-1)*D962))))),0)</f>
        <v/>
      </c>
      <c r="F962" s="110">
        <f>IF(D962=0,0,'Deal maths'!AB962*D962/12)</f>
        <v/>
      </c>
      <c r="G962" s="108">
        <f>N962+O962</f>
        <v/>
      </c>
      <c r="H962" s="108">
        <f>IFERROR(IF(OR(D962=0,AsAt&lt;E962),0,MIN(N962,INT(((YEAR(AsAt)-YEAR(E962))*12+MONTH(AsAt)-MONTH(E962)-(DAY(AsAt)&lt;MIN(R962,DAY(EOMONTH(AsAt,0)))))/D962)+1)+O962*(AsAt&gt;='Deal maths'!AA962)),0)</f>
        <v/>
      </c>
      <c r="I962" s="108">
        <f>G962-H962</f>
        <v/>
      </c>
      <c r="J962" s="111">
        <f>IF(AND(C962="EIP",I962&gt;0),'Deal maths'!Y962/I962,0)</f>
        <v/>
      </c>
      <c r="K962" s="111">
        <f>IF(AND(C962="Annuity",I962&gt;0),IF(F962&gt;0,'Deal maths'!Y962*F962/(1-(1+F962)^-I962),'Deal maths'!Y962/I962),0)</f>
        <v/>
      </c>
      <c r="L962" s="111">
        <f>IF('Deal maths'!Y962="",0,'Deal maths'!Y962)</f>
        <v/>
      </c>
      <c r="M962" s="112">
        <f>F962+(F962=0)</f>
        <v/>
      </c>
      <c r="N962" s="108">
        <f>IFERROR(IF(D962=0,0,INT(((YEAR('Deal maths'!AA962)-YEAR(E962))*12+MONTH('Deal maths'!AA962)-MONTH(E962)-(DAY('Deal maths'!AA962)&lt;MIN(R962,DAY(EOMONTH('Deal maths'!AA962,0)))))/D962)+1),0)</f>
        <v/>
      </c>
      <c r="O962" s="108">
        <f>IFERROR(IF(D962=0,0,IF(IF(DAY(E962+1)=1,EOMONTH(E962,(N962-1)*D962),EDATE(E962,(N962-1)*D962))='Deal maths'!AA962,0,1)),0)</f>
        <v/>
      </c>
      <c r="P962" s="113">
        <f>IF(B962=0,0,IFERROR(IF(C962="EIP",((I962-O962)*((IF(DAY(E962+1)=1,EOMONTH(E962,H962*D962),EDATE(E962,H962*D962))-AsAt)/365.25+(IF(DAY(E962+1)=1,EOMONTH(E962,(N962-1)*D962),EDATE(E962,(N962-1)*D962))-AsAt)/365.25)/2+O962*('Deal maths'!AA962-AsAt)/365.25)/I962,IF(C962="Annuity",IF(F962&gt;0,((K962-L962*F962)*((IF(DAY(E962+1)=1,EOMONTH(E962,H962*D962),EDATE(E962,H962*D962))-AsAt)/365.25*((1+F962)^(I962-O962)-1)/F962+IF((I962-O962)&gt;1,((IF(DAY(E962+1)=1,EOMONTH(E962,(N962-1)*D962),EDATE(E962,(N962-1)*D962))-AsAt)/365.25-(IF(DAY(E962+1)=1,EOMONTH(E962,H962*D962),EDATE(E962,H962*D962))-AsAt)/365.25)/((I962-O962)-1),0)*(1+F962)*(1-(I962-O962)*(1+F962)^((I962-O962)-1)+((I962-O962)-1)*(1+F962)^(I962-O962))/F962^2)+O962*(K962-L962*F962)*(1+F962)^(I962-1)*('Deal maths'!AA962-AsAt)/365.25)/L962,((I962-O962)*((IF(DAY(E962+1)=1,EOMONTH(E962,H962*D962),EDATE(E962,H962*D962))-AsAt)/365.25+(IF(DAY(E962+1)=1,EOMONTH(E962,(N962-1)*D962),EDATE(E962,(N962-1)*D962))-AsAt)/365.25)/2+O962*('Deal maths'!AA962-AsAt)/365.25)/I962),(S962-AsAt)/365.25)),0))</f>
        <v/>
      </c>
      <c r="Q962" s="109">
        <f>IF(B962=1,'Deal maths'!AA962+ROW()/1000000,"")</f>
        <v/>
      </c>
      <c r="R962" s="108">
        <f>IF(D962=0,0,IF(DAY(E962+1)=1,31,DAY(E962)))</f>
        <v/>
      </c>
      <c r="S962" s="109">
        <f>IF(AND('Deal maths'!V962="LOBO",'Deal maths'!AG962&gt;AsAt,'Deal maths'!AG962&lt;'Deal maths'!AA962),'Deal maths'!AG962,'Deal maths'!AA962)</f>
        <v/>
      </c>
      <c r="T962" s="108">
        <f>('Deal maths'!AA962&gt;AsAt)*('Deal maths'!Y962&gt;0)</f>
        <v/>
      </c>
    </row>
    <row r="963">
      <c r="A963" s="91">
        <f>IF('Deal maths'!V963="","",'Deal maths'!W963)</f>
        <v/>
      </c>
      <c r="B963" s="108">
        <f>('Deal maths'!AA963&gt;AsAt)*('Deal maths'!Y963&gt;0)*('Deal maths'!Z963&lt;=AsAt)</f>
        <v/>
      </c>
      <c r="C963" s="91">
        <f>IF('Deal maths'!V963="","",IF('Deal maths'!AC963="","Maturity",'Deal maths'!AC963))</f>
        <v/>
      </c>
      <c r="D963" s="108">
        <f>IF(OR(C963="EIP",C963="Annuity"),IF('Deal maths'!AD963="Annual",12,IF('Deal maths'!AD963="Quarterly",3,6)),0)</f>
        <v/>
      </c>
      <c r="E963" s="109">
        <f>IFERROR(IF(D963=0,0,IF('Deal maths'!AE963&gt;0,IF('Deal maths'!AE963&gt;'Deal maths'!AA963,'Deal maths'!AA963,'Deal maths'!AE963),IF(IF(DAY('Deal maths'!AA963+1)=1,EOMONTH('Deal maths'!AA963,-(INT(((YEAR('Deal maths'!AA963)-YEAR(IF('Deal maths'!Z963&gt;0,'Deal maths'!Z963,DATE(1990,1,1))))*12+MONTH('Deal maths'!AA963)-MONTH(IF('Deal maths'!Z963&gt;0,'Deal maths'!Z963,DATE(1990,1,1))))/D963))*D963),EDATE('Deal maths'!AA963,-(INT(((YEAR('Deal maths'!AA963)-YEAR(IF('Deal maths'!Z963&gt;0,'Deal maths'!Z963,DATE(1990,1,1))))*12+MONTH('Deal maths'!AA963)-MONTH(IF('Deal maths'!Z963&gt;0,'Deal maths'!Z963,DATE(1990,1,1))))/D963))*D963))&gt;IF('Deal maths'!Z963&gt;0,'Deal maths'!Z963,DATE(1990,1,1)),IF(DAY('Deal maths'!AA963+1)=1,EOMONTH('Deal maths'!AA963,-(INT(((YEAR('Deal maths'!AA963)-YEAR(IF('Deal maths'!Z963&gt;0,'Deal maths'!Z963,DATE(1990,1,1))))*12+MONTH('Deal maths'!AA963)-MONTH(IF('Deal maths'!Z963&gt;0,'Deal maths'!Z963,DATE(1990,1,1))))/D963))*D963),EDATE('Deal maths'!AA963,-(INT(((YEAR('Deal maths'!AA963)-YEAR(IF('Deal maths'!Z963&gt;0,'Deal maths'!Z963,DATE(1990,1,1))))*12+MONTH('Deal maths'!AA963)-MONTH(IF('Deal maths'!Z963&gt;0,'Deal maths'!Z963,DATE(1990,1,1))))/D963))*D963)),IF(DAY('Deal maths'!AA963+1)=1,EOMONTH('Deal maths'!AA963,-(INT(((YEAR('Deal maths'!AA963)-YEAR(IF('Deal maths'!Z963&gt;0,'Deal maths'!Z963,DATE(1990,1,1))))*12+MONTH('Deal maths'!AA963)-MONTH(IF('Deal maths'!Z963&gt;0,'Deal maths'!Z963,DATE(1990,1,1))))/D963)-1)*D963),EDATE('Deal maths'!AA963,-(INT(((YEAR('Deal maths'!AA963)-YEAR(IF('Deal maths'!Z963&gt;0,'Deal maths'!Z963,DATE(1990,1,1))))*12+MONTH('Deal maths'!AA963)-MONTH(IF('Deal maths'!Z963&gt;0,'Deal maths'!Z963,DATE(1990,1,1))))/D963)-1)*D963))))),0)</f>
        <v/>
      </c>
      <c r="F963" s="110">
        <f>IF(D963=0,0,'Deal maths'!AB963*D963/12)</f>
        <v/>
      </c>
      <c r="G963" s="108">
        <f>N963+O963</f>
        <v/>
      </c>
      <c r="H963" s="108">
        <f>IFERROR(IF(OR(D963=0,AsAt&lt;E963),0,MIN(N963,INT(((YEAR(AsAt)-YEAR(E963))*12+MONTH(AsAt)-MONTH(E963)-(DAY(AsAt)&lt;MIN(R963,DAY(EOMONTH(AsAt,0)))))/D963)+1)+O963*(AsAt&gt;='Deal maths'!AA963)),0)</f>
        <v/>
      </c>
      <c r="I963" s="108">
        <f>G963-H963</f>
        <v/>
      </c>
      <c r="J963" s="111">
        <f>IF(AND(C963="EIP",I963&gt;0),'Deal maths'!Y963/I963,0)</f>
        <v/>
      </c>
      <c r="K963" s="111">
        <f>IF(AND(C963="Annuity",I963&gt;0),IF(F963&gt;0,'Deal maths'!Y963*F963/(1-(1+F963)^-I963),'Deal maths'!Y963/I963),0)</f>
        <v/>
      </c>
      <c r="L963" s="111">
        <f>IF('Deal maths'!Y963="",0,'Deal maths'!Y963)</f>
        <v/>
      </c>
      <c r="M963" s="112">
        <f>F963+(F963=0)</f>
        <v/>
      </c>
      <c r="N963" s="108">
        <f>IFERROR(IF(D963=0,0,INT(((YEAR('Deal maths'!AA963)-YEAR(E963))*12+MONTH('Deal maths'!AA963)-MONTH(E963)-(DAY('Deal maths'!AA963)&lt;MIN(R963,DAY(EOMONTH('Deal maths'!AA963,0)))))/D963)+1),0)</f>
        <v/>
      </c>
      <c r="O963" s="108">
        <f>IFERROR(IF(D963=0,0,IF(IF(DAY(E963+1)=1,EOMONTH(E963,(N963-1)*D963),EDATE(E963,(N963-1)*D963))='Deal maths'!AA963,0,1)),0)</f>
        <v/>
      </c>
      <c r="P963" s="113">
        <f>IF(B963=0,0,IFERROR(IF(C963="EIP",((I963-O963)*((IF(DAY(E963+1)=1,EOMONTH(E963,H963*D963),EDATE(E963,H963*D963))-AsAt)/365.25+(IF(DAY(E963+1)=1,EOMONTH(E963,(N963-1)*D963),EDATE(E963,(N963-1)*D963))-AsAt)/365.25)/2+O963*('Deal maths'!AA963-AsAt)/365.25)/I963,IF(C963="Annuity",IF(F963&gt;0,((K963-L963*F963)*((IF(DAY(E963+1)=1,EOMONTH(E963,H963*D963),EDATE(E963,H963*D963))-AsAt)/365.25*((1+F963)^(I963-O963)-1)/F963+IF((I963-O963)&gt;1,((IF(DAY(E963+1)=1,EOMONTH(E963,(N963-1)*D963),EDATE(E963,(N963-1)*D963))-AsAt)/365.25-(IF(DAY(E963+1)=1,EOMONTH(E963,H963*D963),EDATE(E963,H963*D963))-AsAt)/365.25)/((I963-O963)-1),0)*(1+F963)*(1-(I963-O963)*(1+F963)^((I963-O963)-1)+((I963-O963)-1)*(1+F963)^(I963-O963))/F963^2)+O963*(K963-L963*F963)*(1+F963)^(I963-1)*('Deal maths'!AA963-AsAt)/365.25)/L963,((I963-O963)*((IF(DAY(E963+1)=1,EOMONTH(E963,H963*D963),EDATE(E963,H963*D963))-AsAt)/365.25+(IF(DAY(E963+1)=1,EOMONTH(E963,(N963-1)*D963),EDATE(E963,(N963-1)*D963))-AsAt)/365.25)/2+O963*('Deal maths'!AA963-AsAt)/365.25)/I963),(S963-AsAt)/365.25)),0))</f>
        <v/>
      </c>
      <c r="Q963" s="109">
        <f>IF(B963=1,'Deal maths'!AA963+ROW()/1000000,"")</f>
        <v/>
      </c>
      <c r="R963" s="108">
        <f>IF(D963=0,0,IF(DAY(E963+1)=1,31,DAY(E963)))</f>
        <v/>
      </c>
      <c r="S963" s="109">
        <f>IF(AND('Deal maths'!V963="LOBO",'Deal maths'!AG963&gt;AsAt,'Deal maths'!AG963&lt;'Deal maths'!AA963),'Deal maths'!AG963,'Deal maths'!AA963)</f>
        <v/>
      </c>
      <c r="T963" s="108">
        <f>('Deal maths'!AA963&gt;AsAt)*('Deal maths'!Y963&gt;0)</f>
        <v/>
      </c>
    </row>
    <row r="964">
      <c r="A964" s="91">
        <f>IF('Deal maths'!V964="","",'Deal maths'!W964)</f>
        <v/>
      </c>
      <c r="B964" s="108">
        <f>('Deal maths'!AA964&gt;AsAt)*('Deal maths'!Y964&gt;0)*('Deal maths'!Z964&lt;=AsAt)</f>
        <v/>
      </c>
      <c r="C964" s="91">
        <f>IF('Deal maths'!V964="","",IF('Deal maths'!AC964="","Maturity",'Deal maths'!AC964))</f>
        <v/>
      </c>
      <c r="D964" s="108">
        <f>IF(OR(C964="EIP",C964="Annuity"),IF('Deal maths'!AD964="Annual",12,IF('Deal maths'!AD964="Quarterly",3,6)),0)</f>
        <v/>
      </c>
      <c r="E964" s="109">
        <f>IFERROR(IF(D964=0,0,IF('Deal maths'!AE964&gt;0,IF('Deal maths'!AE964&gt;'Deal maths'!AA964,'Deal maths'!AA964,'Deal maths'!AE964),IF(IF(DAY('Deal maths'!AA964+1)=1,EOMONTH('Deal maths'!AA964,-(INT(((YEAR('Deal maths'!AA964)-YEAR(IF('Deal maths'!Z964&gt;0,'Deal maths'!Z964,DATE(1990,1,1))))*12+MONTH('Deal maths'!AA964)-MONTH(IF('Deal maths'!Z964&gt;0,'Deal maths'!Z964,DATE(1990,1,1))))/D964))*D964),EDATE('Deal maths'!AA964,-(INT(((YEAR('Deal maths'!AA964)-YEAR(IF('Deal maths'!Z964&gt;0,'Deal maths'!Z964,DATE(1990,1,1))))*12+MONTH('Deal maths'!AA964)-MONTH(IF('Deal maths'!Z964&gt;0,'Deal maths'!Z964,DATE(1990,1,1))))/D964))*D964))&gt;IF('Deal maths'!Z964&gt;0,'Deal maths'!Z964,DATE(1990,1,1)),IF(DAY('Deal maths'!AA964+1)=1,EOMONTH('Deal maths'!AA964,-(INT(((YEAR('Deal maths'!AA964)-YEAR(IF('Deal maths'!Z964&gt;0,'Deal maths'!Z964,DATE(1990,1,1))))*12+MONTH('Deal maths'!AA964)-MONTH(IF('Deal maths'!Z964&gt;0,'Deal maths'!Z964,DATE(1990,1,1))))/D964))*D964),EDATE('Deal maths'!AA964,-(INT(((YEAR('Deal maths'!AA964)-YEAR(IF('Deal maths'!Z964&gt;0,'Deal maths'!Z964,DATE(1990,1,1))))*12+MONTH('Deal maths'!AA964)-MONTH(IF('Deal maths'!Z964&gt;0,'Deal maths'!Z964,DATE(1990,1,1))))/D964))*D964)),IF(DAY('Deal maths'!AA964+1)=1,EOMONTH('Deal maths'!AA964,-(INT(((YEAR('Deal maths'!AA964)-YEAR(IF('Deal maths'!Z964&gt;0,'Deal maths'!Z964,DATE(1990,1,1))))*12+MONTH('Deal maths'!AA964)-MONTH(IF('Deal maths'!Z964&gt;0,'Deal maths'!Z964,DATE(1990,1,1))))/D964)-1)*D964),EDATE('Deal maths'!AA964,-(INT(((YEAR('Deal maths'!AA964)-YEAR(IF('Deal maths'!Z964&gt;0,'Deal maths'!Z964,DATE(1990,1,1))))*12+MONTH('Deal maths'!AA964)-MONTH(IF('Deal maths'!Z964&gt;0,'Deal maths'!Z964,DATE(1990,1,1))))/D964)-1)*D964))))),0)</f>
        <v/>
      </c>
      <c r="F964" s="110">
        <f>IF(D964=0,0,'Deal maths'!AB964*D964/12)</f>
        <v/>
      </c>
      <c r="G964" s="108">
        <f>N964+O964</f>
        <v/>
      </c>
      <c r="H964" s="108">
        <f>IFERROR(IF(OR(D964=0,AsAt&lt;E964),0,MIN(N964,INT(((YEAR(AsAt)-YEAR(E964))*12+MONTH(AsAt)-MONTH(E964)-(DAY(AsAt)&lt;MIN(R964,DAY(EOMONTH(AsAt,0)))))/D964)+1)+O964*(AsAt&gt;='Deal maths'!AA964)),0)</f>
        <v/>
      </c>
      <c r="I964" s="108">
        <f>G964-H964</f>
        <v/>
      </c>
      <c r="J964" s="111">
        <f>IF(AND(C964="EIP",I964&gt;0),'Deal maths'!Y964/I964,0)</f>
        <v/>
      </c>
      <c r="K964" s="111">
        <f>IF(AND(C964="Annuity",I964&gt;0),IF(F964&gt;0,'Deal maths'!Y964*F964/(1-(1+F964)^-I964),'Deal maths'!Y964/I964),0)</f>
        <v/>
      </c>
      <c r="L964" s="111">
        <f>IF('Deal maths'!Y964="",0,'Deal maths'!Y964)</f>
        <v/>
      </c>
      <c r="M964" s="112">
        <f>F964+(F964=0)</f>
        <v/>
      </c>
      <c r="N964" s="108">
        <f>IFERROR(IF(D964=0,0,INT(((YEAR('Deal maths'!AA964)-YEAR(E964))*12+MONTH('Deal maths'!AA964)-MONTH(E964)-(DAY('Deal maths'!AA964)&lt;MIN(R964,DAY(EOMONTH('Deal maths'!AA964,0)))))/D964)+1),0)</f>
        <v/>
      </c>
      <c r="O964" s="108">
        <f>IFERROR(IF(D964=0,0,IF(IF(DAY(E964+1)=1,EOMONTH(E964,(N964-1)*D964),EDATE(E964,(N964-1)*D964))='Deal maths'!AA964,0,1)),0)</f>
        <v/>
      </c>
      <c r="P964" s="113">
        <f>IF(B964=0,0,IFERROR(IF(C964="EIP",((I964-O964)*((IF(DAY(E964+1)=1,EOMONTH(E964,H964*D964),EDATE(E964,H964*D964))-AsAt)/365.25+(IF(DAY(E964+1)=1,EOMONTH(E964,(N964-1)*D964),EDATE(E964,(N964-1)*D964))-AsAt)/365.25)/2+O964*('Deal maths'!AA964-AsAt)/365.25)/I964,IF(C964="Annuity",IF(F964&gt;0,((K964-L964*F964)*((IF(DAY(E964+1)=1,EOMONTH(E964,H964*D964),EDATE(E964,H964*D964))-AsAt)/365.25*((1+F964)^(I964-O964)-1)/F964+IF((I964-O964)&gt;1,((IF(DAY(E964+1)=1,EOMONTH(E964,(N964-1)*D964),EDATE(E964,(N964-1)*D964))-AsAt)/365.25-(IF(DAY(E964+1)=1,EOMONTH(E964,H964*D964),EDATE(E964,H964*D964))-AsAt)/365.25)/((I964-O964)-1),0)*(1+F964)*(1-(I964-O964)*(1+F964)^((I964-O964)-1)+((I964-O964)-1)*(1+F964)^(I964-O964))/F964^2)+O964*(K964-L964*F964)*(1+F964)^(I964-1)*('Deal maths'!AA964-AsAt)/365.25)/L964,((I964-O964)*((IF(DAY(E964+1)=1,EOMONTH(E964,H964*D964),EDATE(E964,H964*D964))-AsAt)/365.25+(IF(DAY(E964+1)=1,EOMONTH(E964,(N964-1)*D964),EDATE(E964,(N964-1)*D964))-AsAt)/365.25)/2+O964*('Deal maths'!AA964-AsAt)/365.25)/I964),(S964-AsAt)/365.25)),0))</f>
        <v/>
      </c>
      <c r="Q964" s="109">
        <f>IF(B964=1,'Deal maths'!AA964+ROW()/1000000,"")</f>
        <v/>
      </c>
      <c r="R964" s="108">
        <f>IF(D964=0,0,IF(DAY(E964+1)=1,31,DAY(E964)))</f>
        <v/>
      </c>
      <c r="S964" s="109">
        <f>IF(AND('Deal maths'!V964="LOBO",'Deal maths'!AG964&gt;AsAt,'Deal maths'!AG964&lt;'Deal maths'!AA964),'Deal maths'!AG964,'Deal maths'!AA964)</f>
        <v/>
      </c>
      <c r="T964" s="108">
        <f>('Deal maths'!AA964&gt;AsAt)*('Deal maths'!Y964&gt;0)</f>
        <v/>
      </c>
    </row>
    <row r="965">
      <c r="A965" s="91">
        <f>IF('Deal maths'!V965="","",'Deal maths'!W965)</f>
        <v/>
      </c>
      <c r="B965" s="108">
        <f>('Deal maths'!AA965&gt;AsAt)*('Deal maths'!Y965&gt;0)*('Deal maths'!Z965&lt;=AsAt)</f>
        <v/>
      </c>
      <c r="C965" s="91">
        <f>IF('Deal maths'!V965="","",IF('Deal maths'!AC965="","Maturity",'Deal maths'!AC965))</f>
        <v/>
      </c>
      <c r="D965" s="108">
        <f>IF(OR(C965="EIP",C965="Annuity"),IF('Deal maths'!AD965="Annual",12,IF('Deal maths'!AD965="Quarterly",3,6)),0)</f>
        <v/>
      </c>
      <c r="E965" s="109">
        <f>IFERROR(IF(D965=0,0,IF('Deal maths'!AE965&gt;0,IF('Deal maths'!AE965&gt;'Deal maths'!AA965,'Deal maths'!AA965,'Deal maths'!AE965),IF(IF(DAY('Deal maths'!AA965+1)=1,EOMONTH('Deal maths'!AA965,-(INT(((YEAR('Deal maths'!AA965)-YEAR(IF('Deal maths'!Z965&gt;0,'Deal maths'!Z965,DATE(1990,1,1))))*12+MONTH('Deal maths'!AA965)-MONTH(IF('Deal maths'!Z965&gt;0,'Deal maths'!Z965,DATE(1990,1,1))))/D965))*D965),EDATE('Deal maths'!AA965,-(INT(((YEAR('Deal maths'!AA965)-YEAR(IF('Deal maths'!Z965&gt;0,'Deal maths'!Z965,DATE(1990,1,1))))*12+MONTH('Deal maths'!AA965)-MONTH(IF('Deal maths'!Z965&gt;0,'Deal maths'!Z965,DATE(1990,1,1))))/D965))*D965))&gt;IF('Deal maths'!Z965&gt;0,'Deal maths'!Z965,DATE(1990,1,1)),IF(DAY('Deal maths'!AA965+1)=1,EOMONTH('Deal maths'!AA965,-(INT(((YEAR('Deal maths'!AA965)-YEAR(IF('Deal maths'!Z965&gt;0,'Deal maths'!Z965,DATE(1990,1,1))))*12+MONTH('Deal maths'!AA965)-MONTH(IF('Deal maths'!Z965&gt;0,'Deal maths'!Z965,DATE(1990,1,1))))/D965))*D965),EDATE('Deal maths'!AA965,-(INT(((YEAR('Deal maths'!AA965)-YEAR(IF('Deal maths'!Z965&gt;0,'Deal maths'!Z965,DATE(1990,1,1))))*12+MONTH('Deal maths'!AA965)-MONTH(IF('Deal maths'!Z965&gt;0,'Deal maths'!Z965,DATE(1990,1,1))))/D965))*D965)),IF(DAY('Deal maths'!AA965+1)=1,EOMONTH('Deal maths'!AA965,-(INT(((YEAR('Deal maths'!AA965)-YEAR(IF('Deal maths'!Z965&gt;0,'Deal maths'!Z965,DATE(1990,1,1))))*12+MONTH('Deal maths'!AA965)-MONTH(IF('Deal maths'!Z965&gt;0,'Deal maths'!Z965,DATE(1990,1,1))))/D965)-1)*D965),EDATE('Deal maths'!AA965,-(INT(((YEAR('Deal maths'!AA965)-YEAR(IF('Deal maths'!Z965&gt;0,'Deal maths'!Z965,DATE(1990,1,1))))*12+MONTH('Deal maths'!AA965)-MONTH(IF('Deal maths'!Z965&gt;0,'Deal maths'!Z965,DATE(1990,1,1))))/D965)-1)*D965))))),0)</f>
        <v/>
      </c>
      <c r="F965" s="110">
        <f>IF(D965=0,0,'Deal maths'!AB965*D965/12)</f>
        <v/>
      </c>
      <c r="G965" s="108">
        <f>N965+O965</f>
        <v/>
      </c>
      <c r="H965" s="108">
        <f>IFERROR(IF(OR(D965=0,AsAt&lt;E965),0,MIN(N965,INT(((YEAR(AsAt)-YEAR(E965))*12+MONTH(AsAt)-MONTH(E965)-(DAY(AsAt)&lt;MIN(R965,DAY(EOMONTH(AsAt,0)))))/D965)+1)+O965*(AsAt&gt;='Deal maths'!AA965)),0)</f>
        <v/>
      </c>
      <c r="I965" s="108">
        <f>G965-H965</f>
        <v/>
      </c>
      <c r="J965" s="111">
        <f>IF(AND(C965="EIP",I965&gt;0),'Deal maths'!Y965/I965,0)</f>
        <v/>
      </c>
      <c r="K965" s="111">
        <f>IF(AND(C965="Annuity",I965&gt;0),IF(F965&gt;0,'Deal maths'!Y965*F965/(1-(1+F965)^-I965),'Deal maths'!Y965/I965),0)</f>
        <v/>
      </c>
      <c r="L965" s="111">
        <f>IF('Deal maths'!Y965="",0,'Deal maths'!Y965)</f>
        <v/>
      </c>
      <c r="M965" s="112">
        <f>F965+(F965=0)</f>
        <v/>
      </c>
      <c r="N965" s="108">
        <f>IFERROR(IF(D965=0,0,INT(((YEAR('Deal maths'!AA965)-YEAR(E965))*12+MONTH('Deal maths'!AA965)-MONTH(E965)-(DAY('Deal maths'!AA965)&lt;MIN(R965,DAY(EOMONTH('Deal maths'!AA965,0)))))/D965)+1),0)</f>
        <v/>
      </c>
      <c r="O965" s="108">
        <f>IFERROR(IF(D965=0,0,IF(IF(DAY(E965+1)=1,EOMONTH(E965,(N965-1)*D965),EDATE(E965,(N965-1)*D965))='Deal maths'!AA965,0,1)),0)</f>
        <v/>
      </c>
      <c r="P965" s="113">
        <f>IF(B965=0,0,IFERROR(IF(C965="EIP",((I965-O965)*((IF(DAY(E965+1)=1,EOMONTH(E965,H965*D965),EDATE(E965,H965*D965))-AsAt)/365.25+(IF(DAY(E965+1)=1,EOMONTH(E965,(N965-1)*D965),EDATE(E965,(N965-1)*D965))-AsAt)/365.25)/2+O965*('Deal maths'!AA965-AsAt)/365.25)/I965,IF(C965="Annuity",IF(F965&gt;0,((K965-L965*F965)*((IF(DAY(E965+1)=1,EOMONTH(E965,H965*D965),EDATE(E965,H965*D965))-AsAt)/365.25*((1+F965)^(I965-O965)-1)/F965+IF((I965-O965)&gt;1,((IF(DAY(E965+1)=1,EOMONTH(E965,(N965-1)*D965),EDATE(E965,(N965-1)*D965))-AsAt)/365.25-(IF(DAY(E965+1)=1,EOMONTH(E965,H965*D965),EDATE(E965,H965*D965))-AsAt)/365.25)/((I965-O965)-1),0)*(1+F965)*(1-(I965-O965)*(1+F965)^((I965-O965)-1)+((I965-O965)-1)*(1+F965)^(I965-O965))/F965^2)+O965*(K965-L965*F965)*(1+F965)^(I965-1)*('Deal maths'!AA965-AsAt)/365.25)/L965,((I965-O965)*((IF(DAY(E965+1)=1,EOMONTH(E965,H965*D965),EDATE(E965,H965*D965))-AsAt)/365.25+(IF(DAY(E965+1)=1,EOMONTH(E965,(N965-1)*D965),EDATE(E965,(N965-1)*D965))-AsAt)/365.25)/2+O965*('Deal maths'!AA965-AsAt)/365.25)/I965),(S965-AsAt)/365.25)),0))</f>
        <v/>
      </c>
      <c r="Q965" s="109">
        <f>IF(B965=1,'Deal maths'!AA965+ROW()/1000000,"")</f>
        <v/>
      </c>
      <c r="R965" s="108">
        <f>IF(D965=0,0,IF(DAY(E965+1)=1,31,DAY(E965)))</f>
        <v/>
      </c>
      <c r="S965" s="109">
        <f>IF(AND('Deal maths'!V965="LOBO",'Deal maths'!AG965&gt;AsAt,'Deal maths'!AG965&lt;'Deal maths'!AA965),'Deal maths'!AG965,'Deal maths'!AA965)</f>
        <v/>
      </c>
      <c r="T965" s="108">
        <f>('Deal maths'!AA965&gt;AsAt)*('Deal maths'!Y965&gt;0)</f>
        <v/>
      </c>
    </row>
    <row r="966">
      <c r="A966" s="91">
        <f>IF('Deal maths'!V966="","",'Deal maths'!W966)</f>
        <v/>
      </c>
      <c r="B966" s="108">
        <f>('Deal maths'!AA966&gt;AsAt)*('Deal maths'!Y966&gt;0)*('Deal maths'!Z966&lt;=AsAt)</f>
        <v/>
      </c>
      <c r="C966" s="91">
        <f>IF('Deal maths'!V966="","",IF('Deal maths'!AC966="","Maturity",'Deal maths'!AC966))</f>
        <v/>
      </c>
      <c r="D966" s="108">
        <f>IF(OR(C966="EIP",C966="Annuity"),IF('Deal maths'!AD966="Annual",12,IF('Deal maths'!AD966="Quarterly",3,6)),0)</f>
        <v/>
      </c>
      <c r="E966" s="109">
        <f>IFERROR(IF(D966=0,0,IF('Deal maths'!AE966&gt;0,IF('Deal maths'!AE966&gt;'Deal maths'!AA966,'Deal maths'!AA966,'Deal maths'!AE966),IF(IF(DAY('Deal maths'!AA966+1)=1,EOMONTH('Deal maths'!AA966,-(INT(((YEAR('Deal maths'!AA966)-YEAR(IF('Deal maths'!Z966&gt;0,'Deal maths'!Z966,DATE(1990,1,1))))*12+MONTH('Deal maths'!AA966)-MONTH(IF('Deal maths'!Z966&gt;0,'Deal maths'!Z966,DATE(1990,1,1))))/D966))*D966),EDATE('Deal maths'!AA966,-(INT(((YEAR('Deal maths'!AA966)-YEAR(IF('Deal maths'!Z966&gt;0,'Deal maths'!Z966,DATE(1990,1,1))))*12+MONTH('Deal maths'!AA966)-MONTH(IF('Deal maths'!Z966&gt;0,'Deal maths'!Z966,DATE(1990,1,1))))/D966))*D966))&gt;IF('Deal maths'!Z966&gt;0,'Deal maths'!Z966,DATE(1990,1,1)),IF(DAY('Deal maths'!AA966+1)=1,EOMONTH('Deal maths'!AA966,-(INT(((YEAR('Deal maths'!AA966)-YEAR(IF('Deal maths'!Z966&gt;0,'Deal maths'!Z966,DATE(1990,1,1))))*12+MONTH('Deal maths'!AA966)-MONTH(IF('Deal maths'!Z966&gt;0,'Deal maths'!Z966,DATE(1990,1,1))))/D966))*D966),EDATE('Deal maths'!AA966,-(INT(((YEAR('Deal maths'!AA966)-YEAR(IF('Deal maths'!Z966&gt;0,'Deal maths'!Z966,DATE(1990,1,1))))*12+MONTH('Deal maths'!AA966)-MONTH(IF('Deal maths'!Z966&gt;0,'Deal maths'!Z966,DATE(1990,1,1))))/D966))*D966)),IF(DAY('Deal maths'!AA966+1)=1,EOMONTH('Deal maths'!AA966,-(INT(((YEAR('Deal maths'!AA966)-YEAR(IF('Deal maths'!Z966&gt;0,'Deal maths'!Z966,DATE(1990,1,1))))*12+MONTH('Deal maths'!AA966)-MONTH(IF('Deal maths'!Z966&gt;0,'Deal maths'!Z966,DATE(1990,1,1))))/D966)-1)*D966),EDATE('Deal maths'!AA966,-(INT(((YEAR('Deal maths'!AA966)-YEAR(IF('Deal maths'!Z966&gt;0,'Deal maths'!Z966,DATE(1990,1,1))))*12+MONTH('Deal maths'!AA966)-MONTH(IF('Deal maths'!Z966&gt;0,'Deal maths'!Z966,DATE(1990,1,1))))/D966)-1)*D966))))),0)</f>
        <v/>
      </c>
      <c r="F966" s="110">
        <f>IF(D966=0,0,'Deal maths'!AB966*D966/12)</f>
        <v/>
      </c>
      <c r="G966" s="108">
        <f>N966+O966</f>
        <v/>
      </c>
      <c r="H966" s="108">
        <f>IFERROR(IF(OR(D966=0,AsAt&lt;E966),0,MIN(N966,INT(((YEAR(AsAt)-YEAR(E966))*12+MONTH(AsAt)-MONTH(E966)-(DAY(AsAt)&lt;MIN(R966,DAY(EOMONTH(AsAt,0)))))/D966)+1)+O966*(AsAt&gt;='Deal maths'!AA966)),0)</f>
        <v/>
      </c>
      <c r="I966" s="108">
        <f>G966-H966</f>
        <v/>
      </c>
      <c r="J966" s="111">
        <f>IF(AND(C966="EIP",I966&gt;0),'Deal maths'!Y966/I966,0)</f>
        <v/>
      </c>
      <c r="K966" s="111">
        <f>IF(AND(C966="Annuity",I966&gt;0),IF(F966&gt;0,'Deal maths'!Y966*F966/(1-(1+F966)^-I966),'Deal maths'!Y966/I966),0)</f>
        <v/>
      </c>
      <c r="L966" s="111">
        <f>IF('Deal maths'!Y966="",0,'Deal maths'!Y966)</f>
        <v/>
      </c>
      <c r="M966" s="112">
        <f>F966+(F966=0)</f>
        <v/>
      </c>
      <c r="N966" s="108">
        <f>IFERROR(IF(D966=0,0,INT(((YEAR('Deal maths'!AA966)-YEAR(E966))*12+MONTH('Deal maths'!AA966)-MONTH(E966)-(DAY('Deal maths'!AA966)&lt;MIN(R966,DAY(EOMONTH('Deal maths'!AA966,0)))))/D966)+1),0)</f>
        <v/>
      </c>
      <c r="O966" s="108">
        <f>IFERROR(IF(D966=0,0,IF(IF(DAY(E966+1)=1,EOMONTH(E966,(N966-1)*D966),EDATE(E966,(N966-1)*D966))='Deal maths'!AA966,0,1)),0)</f>
        <v/>
      </c>
      <c r="P966" s="113">
        <f>IF(B966=0,0,IFERROR(IF(C966="EIP",((I966-O966)*((IF(DAY(E966+1)=1,EOMONTH(E966,H966*D966),EDATE(E966,H966*D966))-AsAt)/365.25+(IF(DAY(E966+1)=1,EOMONTH(E966,(N966-1)*D966),EDATE(E966,(N966-1)*D966))-AsAt)/365.25)/2+O966*('Deal maths'!AA966-AsAt)/365.25)/I966,IF(C966="Annuity",IF(F966&gt;0,((K966-L966*F966)*((IF(DAY(E966+1)=1,EOMONTH(E966,H966*D966),EDATE(E966,H966*D966))-AsAt)/365.25*((1+F966)^(I966-O966)-1)/F966+IF((I966-O966)&gt;1,((IF(DAY(E966+1)=1,EOMONTH(E966,(N966-1)*D966),EDATE(E966,(N966-1)*D966))-AsAt)/365.25-(IF(DAY(E966+1)=1,EOMONTH(E966,H966*D966),EDATE(E966,H966*D966))-AsAt)/365.25)/((I966-O966)-1),0)*(1+F966)*(1-(I966-O966)*(1+F966)^((I966-O966)-1)+((I966-O966)-1)*(1+F966)^(I966-O966))/F966^2)+O966*(K966-L966*F966)*(1+F966)^(I966-1)*('Deal maths'!AA966-AsAt)/365.25)/L966,((I966-O966)*((IF(DAY(E966+1)=1,EOMONTH(E966,H966*D966),EDATE(E966,H966*D966))-AsAt)/365.25+(IF(DAY(E966+1)=1,EOMONTH(E966,(N966-1)*D966),EDATE(E966,(N966-1)*D966))-AsAt)/365.25)/2+O966*('Deal maths'!AA966-AsAt)/365.25)/I966),(S966-AsAt)/365.25)),0))</f>
        <v/>
      </c>
      <c r="Q966" s="109">
        <f>IF(B966=1,'Deal maths'!AA966+ROW()/1000000,"")</f>
        <v/>
      </c>
      <c r="R966" s="108">
        <f>IF(D966=0,0,IF(DAY(E966+1)=1,31,DAY(E966)))</f>
        <v/>
      </c>
      <c r="S966" s="109">
        <f>IF(AND('Deal maths'!V966="LOBO",'Deal maths'!AG966&gt;AsAt,'Deal maths'!AG966&lt;'Deal maths'!AA966),'Deal maths'!AG966,'Deal maths'!AA966)</f>
        <v/>
      </c>
      <c r="T966" s="108">
        <f>('Deal maths'!AA966&gt;AsAt)*('Deal maths'!Y966&gt;0)</f>
        <v/>
      </c>
    </row>
    <row r="967">
      <c r="A967" s="91">
        <f>IF('Deal maths'!V967="","",'Deal maths'!W967)</f>
        <v/>
      </c>
      <c r="B967" s="108">
        <f>('Deal maths'!AA967&gt;AsAt)*('Deal maths'!Y967&gt;0)*('Deal maths'!Z967&lt;=AsAt)</f>
        <v/>
      </c>
      <c r="C967" s="91">
        <f>IF('Deal maths'!V967="","",IF('Deal maths'!AC967="","Maturity",'Deal maths'!AC967))</f>
        <v/>
      </c>
      <c r="D967" s="108">
        <f>IF(OR(C967="EIP",C967="Annuity"),IF('Deal maths'!AD967="Annual",12,IF('Deal maths'!AD967="Quarterly",3,6)),0)</f>
        <v/>
      </c>
      <c r="E967" s="109">
        <f>IFERROR(IF(D967=0,0,IF('Deal maths'!AE967&gt;0,IF('Deal maths'!AE967&gt;'Deal maths'!AA967,'Deal maths'!AA967,'Deal maths'!AE967),IF(IF(DAY('Deal maths'!AA967+1)=1,EOMONTH('Deal maths'!AA967,-(INT(((YEAR('Deal maths'!AA967)-YEAR(IF('Deal maths'!Z967&gt;0,'Deal maths'!Z967,DATE(1990,1,1))))*12+MONTH('Deal maths'!AA967)-MONTH(IF('Deal maths'!Z967&gt;0,'Deal maths'!Z967,DATE(1990,1,1))))/D967))*D967),EDATE('Deal maths'!AA967,-(INT(((YEAR('Deal maths'!AA967)-YEAR(IF('Deal maths'!Z967&gt;0,'Deal maths'!Z967,DATE(1990,1,1))))*12+MONTH('Deal maths'!AA967)-MONTH(IF('Deal maths'!Z967&gt;0,'Deal maths'!Z967,DATE(1990,1,1))))/D967))*D967))&gt;IF('Deal maths'!Z967&gt;0,'Deal maths'!Z967,DATE(1990,1,1)),IF(DAY('Deal maths'!AA967+1)=1,EOMONTH('Deal maths'!AA967,-(INT(((YEAR('Deal maths'!AA967)-YEAR(IF('Deal maths'!Z967&gt;0,'Deal maths'!Z967,DATE(1990,1,1))))*12+MONTH('Deal maths'!AA967)-MONTH(IF('Deal maths'!Z967&gt;0,'Deal maths'!Z967,DATE(1990,1,1))))/D967))*D967),EDATE('Deal maths'!AA967,-(INT(((YEAR('Deal maths'!AA967)-YEAR(IF('Deal maths'!Z967&gt;0,'Deal maths'!Z967,DATE(1990,1,1))))*12+MONTH('Deal maths'!AA967)-MONTH(IF('Deal maths'!Z967&gt;0,'Deal maths'!Z967,DATE(1990,1,1))))/D967))*D967)),IF(DAY('Deal maths'!AA967+1)=1,EOMONTH('Deal maths'!AA967,-(INT(((YEAR('Deal maths'!AA967)-YEAR(IF('Deal maths'!Z967&gt;0,'Deal maths'!Z967,DATE(1990,1,1))))*12+MONTH('Deal maths'!AA967)-MONTH(IF('Deal maths'!Z967&gt;0,'Deal maths'!Z967,DATE(1990,1,1))))/D967)-1)*D967),EDATE('Deal maths'!AA967,-(INT(((YEAR('Deal maths'!AA967)-YEAR(IF('Deal maths'!Z967&gt;0,'Deal maths'!Z967,DATE(1990,1,1))))*12+MONTH('Deal maths'!AA967)-MONTH(IF('Deal maths'!Z967&gt;0,'Deal maths'!Z967,DATE(1990,1,1))))/D967)-1)*D967))))),0)</f>
        <v/>
      </c>
      <c r="F967" s="110">
        <f>IF(D967=0,0,'Deal maths'!AB967*D967/12)</f>
        <v/>
      </c>
      <c r="G967" s="108">
        <f>N967+O967</f>
        <v/>
      </c>
      <c r="H967" s="108">
        <f>IFERROR(IF(OR(D967=0,AsAt&lt;E967),0,MIN(N967,INT(((YEAR(AsAt)-YEAR(E967))*12+MONTH(AsAt)-MONTH(E967)-(DAY(AsAt)&lt;MIN(R967,DAY(EOMONTH(AsAt,0)))))/D967)+1)+O967*(AsAt&gt;='Deal maths'!AA967)),0)</f>
        <v/>
      </c>
      <c r="I967" s="108">
        <f>G967-H967</f>
        <v/>
      </c>
      <c r="J967" s="111">
        <f>IF(AND(C967="EIP",I967&gt;0),'Deal maths'!Y967/I967,0)</f>
        <v/>
      </c>
      <c r="K967" s="111">
        <f>IF(AND(C967="Annuity",I967&gt;0),IF(F967&gt;0,'Deal maths'!Y967*F967/(1-(1+F967)^-I967),'Deal maths'!Y967/I967),0)</f>
        <v/>
      </c>
      <c r="L967" s="111">
        <f>IF('Deal maths'!Y967="",0,'Deal maths'!Y967)</f>
        <v/>
      </c>
      <c r="M967" s="112">
        <f>F967+(F967=0)</f>
        <v/>
      </c>
      <c r="N967" s="108">
        <f>IFERROR(IF(D967=0,0,INT(((YEAR('Deal maths'!AA967)-YEAR(E967))*12+MONTH('Deal maths'!AA967)-MONTH(E967)-(DAY('Deal maths'!AA967)&lt;MIN(R967,DAY(EOMONTH('Deal maths'!AA967,0)))))/D967)+1),0)</f>
        <v/>
      </c>
      <c r="O967" s="108">
        <f>IFERROR(IF(D967=0,0,IF(IF(DAY(E967+1)=1,EOMONTH(E967,(N967-1)*D967),EDATE(E967,(N967-1)*D967))='Deal maths'!AA967,0,1)),0)</f>
        <v/>
      </c>
      <c r="P967" s="113">
        <f>IF(B967=0,0,IFERROR(IF(C967="EIP",((I967-O967)*((IF(DAY(E967+1)=1,EOMONTH(E967,H967*D967),EDATE(E967,H967*D967))-AsAt)/365.25+(IF(DAY(E967+1)=1,EOMONTH(E967,(N967-1)*D967),EDATE(E967,(N967-1)*D967))-AsAt)/365.25)/2+O967*('Deal maths'!AA967-AsAt)/365.25)/I967,IF(C967="Annuity",IF(F967&gt;0,((K967-L967*F967)*((IF(DAY(E967+1)=1,EOMONTH(E967,H967*D967),EDATE(E967,H967*D967))-AsAt)/365.25*((1+F967)^(I967-O967)-1)/F967+IF((I967-O967)&gt;1,((IF(DAY(E967+1)=1,EOMONTH(E967,(N967-1)*D967),EDATE(E967,(N967-1)*D967))-AsAt)/365.25-(IF(DAY(E967+1)=1,EOMONTH(E967,H967*D967),EDATE(E967,H967*D967))-AsAt)/365.25)/((I967-O967)-1),0)*(1+F967)*(1-(I967-O967)*(1+F967)^((I967-O967)-1)+((I967-O967)-1)*(1+F967)^(I967-O967))/F967^2)+O967*(K967-L967*F967)*(1+F967)^(I967-1)*('Deal maths'!AA967-AsAt)/365.25)/L967,((I967-O967)*((IF(DAY(E967+1)=1,EOMONTH(E967,H967*D967),EDATE(E967,H967*D967))-AsAt)/365.25+(IF(DAY(E967+1)=1,EOMONTH(E967,(N967-1)*D967),EDATE(E967,(N967-1)*D967))-AsAt)/365.25)/2+O967*('Deal maths'!AA967-AsAt)/365.25)/I967),(S967-AsAt)/365.25)),0))</f>
        <v/>
      </c>
      <c r="Q967" s="109">
        <f>IF(B967=1,'Deal maths'!AA967+ROW()/1000000,"")</f>
        <v/>
      </c>
      <c r="R967" s="108">
        <f>IF(D967=0,0,IF(DAY(E967+1)=1,31,DAY(E967)))</f>
        <v/>
      </c>
      <c r="S967" s="109">
        <f>IF(AND('Deal maths'!V967="LOBO",'Deal maths'!AG967&gt;AsAt,'Deal maths'!AG967&lt;'Deal maths'!AA967),'Deal maths'!AG967,'Deal maths'!AA967)</f>
        <v/>
      </c>
      <c r="T967" s="108">
        <f>('Deal maths'!AA967&gt;AsAt)*('Deal maths'!Y967&gt;0)</f>
        <v/>
      </c>
    </row>
    <row r="968">
      <c r="A968" s="91">
        <f>IF('Deal maths'!V968="","",'Deal maths'!W968)</f>
        <v/>
      </c>
      <c r="B968" s="108">
        <f>('Deal maths'!AA968&gt;AsAt)*('Deal maths'!Y968&gt;0)*('Deal maths'!Z968&lt;=AsAt)</f>
        <v/>
      </c>
      <c r="C968" s="91">
        <f>IF('Deal maths'!V968="","",IF('Deal maths'!AC968="","Maturity",'Deal maths'!AC968))</f>
        <v/>
      </c>
      <c r="D968" s="108">
        <f>IF(OR(C968="EIP",C968="Annuity"),IF('Deal maths'!AD968="Annual",12,IF('Deal maths'!AD968="Quarterly",3,6)),0)</f>
        <v/>
      </c>
      <c r="E968" s="109">
        <f>IFERROR(IF(D968=0,0,IF('Deal maths'!AE968&gt;0,IF('Deal maths'!AE968&gt;'Deal maths'!AA968,'Deal maths'!AA968,'Deal maths'!AE968),IF(IF(DAY('Deal maths'!AA968+1)=1,EOMONTH('Deal maths'!AA968,-(INT(((YEAR('Deal maths'!AA968)-YEAR(IF('Deal maths'!Z968&gt;0,'Deal maths'!Z968,DATE(1990,1,1))))*12+MONTH('Deal maths'!AA968)-MONTH(IF('Deal maths'!Z968&gt;0,'Deal maths'!Z968,DATE(1990,1,1))))/D968))*D968),EDATE('Deal maths'!AA968,-(INT(((YEAR('Deal maths'!AA968)-YEAR(IF('Deal maths'!Z968&gt;0,'Deal maths'!Z968,DATE(1990,1,1))))*12+MONTH('Deal maths'!AA968)-MONTH(IF('Deal maths'!Z968&gt;0,'Deal maths'!Z968,DATE(1990,1,1))))/D968))*D968))&gt;IF('Deal maths'!Z968&gt;0,'Deal maths'!Z968,DATE(1990,1,1)),IF(DAY('Deal maths'!AA968+1)=1,EOMONTH('Deal maths'!AA968,-(INT(((YEAR('Deal maths'!AA968)-YEAR(IF('Deal maths'!Z968&gt;0,'Deal maths'!Z968,DATE(1990,1,1))))*12+MONTH('Deal maths'!AA968)-MONTH(IF('Deal maths'!Z968&gt;0,'Deal maths'!Z968,DATE(1990,1,1))))/D968))*D968),EDATE('Deal maths'!AA968,-(INT(((YEAR('Deal maths'!AA968)-YEAR(IF('Deal maths'!Z968&gt;0,'Deal maths'!Z968,DATE(1990,1,1))))*12+MONTH('Deal maths'!AA968)-MONTH(IF('Deal maths'!Z968&gt;0,'Deal maths'!Z968,DATE(1990,1,1))))/D968))*D968)),IF(DAY('Deal maths'!AA968+1)=1,EOMONTH('Deal maths'!AA968,-(INT(((YEAR('Deal maths'!AA968)-YEAR(IF('Deal maths'!Z968&gt;0,'Deal maths'!Z968,DATE(1990,1,1))))*12+MONTH('Deal maths'!AA968)-MONTH(IF('Deal maths'!Z968&gt;0,'Deal maths'!Z968,DATE(1990,1,1))))/D968)-1)*D968),EDATE('Deal maths'!AA968,-(INT(((YEAR('Deal maths'!AA968)-YEAR(IF('Deal maths'!Z968&gt;0,'Deal maths'!Z968,DATE(1990,1,1))))*12+MONTH('Deal maths'!AA968)-MONTH(IF('Deal maths'!Z968&gt;0,'Deal maths'!Z968,DATE(1990,1,1))))/D968)-1)*D968))))),0)</f>
        <v/>
      </c>
      <c r="F968" s="110">
        <f>IF(D968=0,0,'Deal maths'!AB968*D968/12)</f>
        <v/>
      </c>
      <c r="G968" s="108">
        <f>N968+O968</f>
        <v/>
      </c>
      <c r="H968" s="108">
        <f>IFERROR(IF(OR(D968=0,AsAt&lt;E968),0,MIN(N968,INT(((YEAR(AsAt)-YEAR(E968))*12+MONTH(AsAt)-MONTH(E968)-(DAY(AsAt)&lt;MIN(R968,DAY(EOMONTH(AsAt,0)))))/D968)+1)+O968*(AsAt&gt;='Deal maths'!AA968)),0)</f>
        <v/>
      </c>
      <c r="I968" s="108">
        <f>G968-H968</f>
        <v/>
      </c>
      <c r="J968" s="111">
        <f>IF(AND(C968="EIP",I968&gt;0),'Deal maths'!Y968/I968,0)</f>
        <v/>
      </c>
      <c r="K968" s="111">
        <f>IF(AND(C968="Annuity",I968&gt;0),IF(F968&gt;0,'Deal maths'!Y968*F968/(1-(1+F968)^-I968),'Deal maths'!Y968/I968),0)</f>
        <v/>
      </c>
      <c r="L968" s="111">
        <f>IF('Deal maths'!Y968="",0,'Deal maths'!Y968)</f>
        <v/>
      </c>
      <c r="M968" s="112">
        <f>F968+(F968=0)</f>
        <v/>
      </c>
      <c r="N968" s="108">
        <f>IFERROR(IF(D968=0,0,INT(((YEAR('Deal maths'!AA968)-YEAR(E968))*12+MONTH('Deal maths'!AA968)-MONTH(E968)-(DAY('Deal maths'!AA968)&lt;MIN(R968,DAY(EOMONTH('Deal maths'!AA968,0)))))/D968)+1),0)</f>
        <v/>
      </c>
      <c r="O968" s="108">
        <f>IFERROR(IF(D968=0,0,IF(IF(DAY(E968+1)=1,EOMONTH(E968,(N968-1)*D968),EDATE(E968,(N968-1)*D968))='Deal maths'!AA968,0,1)),0)</f>
        <v/>
      </c>
      <c r="P968" s="113">
        <f>IF(B968=0,0,IFERROR(IF(C968="EIP",((I968-O968)*((IF(DAY(E968+1)=1,EOMONTH(E968,H968*D968),EDATE(E968,H968*D968))-AsAt)/365.25+(IF(DAY(E968+1)=1,EOMONTH(E968,(N968-1)*D968),EDATE(E968,(N968-1)*D968))-AsAt)/365.25)/2+O968*('Deal maths'!AA968-AsAt)/365.25)/I968,IF(C968="Annuity",IF(F968&gt;0,((K968-L968*F968)*((IF(DAY(E968+1)=1,EOMONTH(E968,H968*D968),EDATE(E968,H968*D968))-AsAt)/365.25*((1+F968)^(I968-O968)-1)/F968+IF((I968-O968)&gt;1,((IF(DAY(E968+1)=1,EOMONTH(E968,(N968-1)*D968),EDATE(E968,(N968-1)*D968))-AsAt)/365.25-(IF(DAY(E968+1)=1,EOMONTH(E968,H968*D968),EDATE(E968,H968*D968))-AsAt)/365.25)/((I968-O968)-1),0)*(1+F968)*(1-(I968-O968)*(1+F968)^((I968-O968)-1)+((I968-O968)-1)*(1+F968)^(I968-O968))/F968^2)+O968*(K968-L968*F968)*(1+F968)^(I968-1)*('Deal maths'!AA968-AsAt)/365.25)/L968,((I968-O968)*((IF(DAY(E968+1)=1,EOMONTH(E968,H968*D968),EDATE(E968,H968*D968))-AsAt)/365.25+(IF(DAY(E968+1)=1,EOMONTH(E968,(N968-1)*D968),EDATE(E968,(N968-1)*D968))-AsAt)/365.25)/2+O968*('Deal maths'!AA968-AsAt)/365.25)/I968),(S968-AsAt)/365.25)),0))</f>
        <v/>
      </c>
      <c r="Q968" s="109">
        <f>IF(B968=1,'Deal maths'!AA968+ROW()/1000000,"")</f>
        <v/>
      </c>
      <c r="R968" s="108">
        <f>IF(D968=0,0,IF(DAY(E968+1)=1,31,DAY(E968)))</f>
        <v/>
      </c>
      <c r="S968" s="109">
        <f>IF(AND('Deal maths'!V968="LOBO",'Deal maths'!AG968&gt;AsAt,'Deal maths'!AG968&lt;'Deal maths'!AA968),'Deal maths'!AG968,'Deal maths'!AA968)</f>
        <v/>
      </c>
      <c r="T968" s="108">
        <f>('Deal maths'!AA968&gt;AsAt)*('Deal maths'!Y968&gt;0)</f>
        <v/>
      </c>
    </row>
    <row r="969">
      <c r="A969" s="91">
        <f>IF('Deal maths'!V969="","",'Deal maths'!W969)</f>
        <v/>
      </c>
      <c r="B969" s="108">
        <f>('Deal maths'!AA969&gt;AsAt)*('Deal maths'!Y969&gt;0)*('Deal maths'!Z969&lt;=AsAt)</f>
        <v/>
      </c>
      <c r="C969" s="91">
        <f>IF('Deal maths'!V969="","",IF('Deal maths'!AC969="","Maturity",'Deal maths'!AC969))</f>
        <v/>
      </c>
      <c r="D969" s="108">
        <f>IF(OR(C969="EIP",C969="Annuity"),IF('Deal maths'!AD969="Annual",12,IF('Deal maths'!AD969="Quarterly",3,6)),0)</f>
        <v/>
      </c>
      <c r="E969" s="109">
        <f>IFERROR(IF(D969=0,0,IF('Deal maths'!AE969&gt;0,IF('Deal maths'!AE969&gt;'Deal maths'!AA969,'Deal maths'!AA969,'Deal maths'!AE969),IF(IF(DAY('Deal maths'!AA969+1)=1,EOMONTH('Deal maths'!AA969,-(INT(((YEAR('Deal maths'!AA969)-YEAR(IF('Deal maths'!Z969&gt;0,'Deal maths'!Z969,DATE(1990,1,1))))*12+MONTH('Deal maths'!AA969)-MONTH(IF('Deal maths'!Z969&gt;0,'Deal maths'!Z969,DATE(1990,1,1))))/D969))*D969),EDATE('Deal maths'!AA969,-(INT(((YEAR('Deal maths'!AA969)-YEAR(IF('Deal maths'!Z969&gt;0,'Deal maths'!Z969,DATE(1990,1,1))))*12+MONTH('Deal maths'!AA969)-MONTH(IF('Deal maths'!Z969&gt;0,'Deal maths'!Z969,DATE(1990,1,1))))/D969))*D969))&gt;IF('Deal maths'!Z969&gt;0,'Deal maths'!Z969,DATE(1990,1,1)),IF(DAY('Deal maths'!AA969+1)=1,EOMONTH('Deal maths'!AA969,-(INT(((YEAR('Deal maths'!AA969)-YEAR(IF('Deal maths'!Z969&gt;0,'Deal maths'!Z969,DATE(1990,1,1))))*12+MONTH('Deal maths'!AA969)-MONTH(IF('Deal maths'!Z969&gt;0,'Deal maths'!Z969,DATE(1990,1,1))))/D969))*D969),EDATE('Deal maths'!AA969,-(INT(((YEAR('Deal maths'!AA969)-YEAR(IF('Deal maths'!Z969&gt;0,'Deal maths'!Z969,DATE(1990,1,1))))*12+MONTH('Deal maths'!AA969)-MONTH(IF('Deal maths'!Z969&gt;0,'Deal maths'!Z969,DATE(1990,1,1))))/D969))*D969)),IF(DAY('Deal maths'!AA969+1)=1,EOMONTH('Deal maths'!AA969,-(INT(((YEAR('Deal maths'!AA969)-YEAR(IF('Deal maths'!Z969&gt;0,'Deal maths'!Z969,DATE(1990,1,1))))*12+MONTH('Deal maths'!AA969)-MONTH(IF('Deal maths'!Z969&gt;0,'Deal maths'!Z969,DATE(1990,1,1))))/D969)-1)*D969),EDATE('Deal maths'!AA969,-(INT(((YEAR('Deal maths'!AA969)-YEAR(IF('Deal maths'!Z969&gt;0,'Deal maths'!Z969,DATE(1990,1,1))))*12+MONTH('Deal maths'!AA969)-MONTH(IF('Deal maths'!Z969&gt;0,'Deal maths'!Z969,DATE(1990,1,1))))/D969)-1)*D969))))),0)</f>
        <v/>
      </c>
      <c r="F969" s="110">
        <f>IF(D969=0,0,'Deal maths'!AB969*D969/12)</f>
        <v/>
      </c>
      <c r="G969" s="108">
        <f>N969+O969</f>
        <v/>
      </c>
      <c r="H969" s="108">
        <f>IFERROR(IF(OR(D969=0,AsAt&lt;E969),0,MIN(N969,INT(((YEAR(AsAt)-YEAR(E969))*12+MONTH(AsAt)-MONTH(E969)-(DAY(AsAt)&lt;MIN(R969,DAY(EOMONTH(AsAt,0)))))/D969)+1)+O969*(AsAt&gt;='Deal maths'!AA969)),0)</f>
        <v/>
      </c>
      <c r="I969" s="108">
        <f>G969-H969</f>
        <v/>
      </c>
      <c r="J969" s="111">
        <f>IF(AND(C969="EIP",I969&gt;0),'Deal maths'!Y969/I969,0)</f>
        <v/>
      </c>
      <c r="K969" s="111">
        <f>IF(AND(C969="Annuity",I969&gt;0),IF(F969&gt;0,'Deal maths'!Y969*F969/(1-(1+F969)^-I969),'Deal maths'!Y969/I969),0)</f>
        <v/>
      </c>
      <c r="L969" s="111">
        <f>IF('Deal maths'!Y969="",0,'Deal maths'!Y969)</f>
        <v/>
      </c>
      <c r="M969" s="112">
        <f>F969+(F969=0)</f>
        <v/>
      </c>
      <c r="N969" s="108">
        <f>IFERROR(IF(D969=0,0,INT(((YEAR('Deal maths'!AA969)-YEAR(E969))*12+MONTH('Deal maths'!AA969)-MONTH(E969)-(DAY('Deal maths'!AA969)&lt;MIN(R969,DAY(EOMONTH('Deal maths'!AA969,0)))))/D969)+1),0)</f>
        <v/>
      </c>
      <c r="O969" s="108">
        <f>IFERROR(IF(D969=0,0,IF(IF(DAY(E969+1)=1,EOMONTH(E969,(N969-1)*D969),EDATE(E969,(N969-1)*D969))='Deal maths'!AA969,0,1)),0)</f>
        <v/>
      </c>
      <c r="P969" s="113">
        <f>IF(B969=0,0,IFERROR(IF(C969="EIP",((I969-O969)*((IF(DAY(E969+1)=1,EOMONTH(E969,H969*D969),EDATE(E969,H969*D969))-AsAt)/365.25+(IF(DAY(E969+1)=1,EOMONTH(E969,(N969-1)*D969),EDATE(E969,(N969-1)*D969))-AsAt)/365.25)/2+O969*('Deal maths'!AA969-AsAt)/365.25)/I969,IF(C969="Annuity",IF(F969&gt;0,((K969-L969*F969)*((IF(DAY(E969+1)=1,EOMONTH(E969,H969*D969),EDATE(E969,H969*D969))-AsAt)/365.25*((1+F969)^(I969-O969)-1)/F969+IF((I969-O969)&gt;1,((IF(DAY(E969+1)=1,EOMONTH(E969,(N969-1)*D969),EDATE(E969,(N969-1)*D969))-AsAt)/365.25-(IF(DAY(E969+1)=1,EOMONTH(E969,H969*D969),EDATE(E969,H969*D969))-AsAt)/365.25)/((I969-O969)-1),0)*(1+F969)*(1-(I969-O969)*(1+F969)^((I969-O969)-1)+((I969-O969)-1)*(1+F969)^(I969-O969))/F969^2)+O969*(K969-L969*F969)*(1+F969)^(I969-1)*('Deal maths'!AA969-AsAt)/365.25)/L969,((I969-O969)*((IF(DAY(E969+1)=1,EOMONTH(E969,H969*D969),EDATE(E969,H969*D969))-AsAt)/365.25+(IF(DAY(E969+1)=1,EOMONTH(E969,(N969-1)*D969),EDATE(E969,(N969-1)*D969))-AsAt)/365.25)/2+O969*('Deal maths'!AA969-AsAt)/365.25)/I969),(S969-AsAt)/365.25)),0))</f>
        <v/>
      </c>
      <c r="Q969" s="109">
        <f>IF(B969=1,'Deal maths'!AA969+ROW()/1000000,"")</f>
        <v/>
      </c>
      <c r="R969" s="108">
        <f>IF(D969=0,0,IF(DAY(E969+1)=1,31,DAY(E969)))</f>
        <v/>
      </c>
      <c r="S969" s="109">
        <f>IF(AND('Deal maths'!V969="LOBO",'Deal maths'!AG969&gt;AsAt,'Deal maths'!AG969&lt;'Deal maths'!AA969),'Deal maths'!AG969,'Deal maths'!AA969)</f>
        <v/>
      </c>
      <c r="T969" s="108">
        <f>('Deal maths'!AA969&gt;AsAt)*('Deal maths'!Y969&gt;0)</f>
        <v/>
      </c>
    </row>
    <row r="970">
      <c r="A970" s="91">
        <f>IF('Deal maths'!V970="","",'Deal maths'!W970)</f>
        <v/>
      </c>
      <c r="B970" s="108">
        <f>('Deal maths'!AA970&gt;AsAt)*('Deal maths'!Y970&gt;0)*('Deal maths'!Z970&lt;=AsAt)</f>
        <v/>
      </c>
      <c r="C970" s="91">
        <f>IF('Deal maths'!V970="","",IF('Deal maths'!AC970="","Maturity",'Deal maths'!AC970))</f>
        <v/>
      </c>
      <c r="D970" s="108">
        <f>IF(OR(C970="EIP",C970="Annuity"),IF('Deal maths'!AD970="Annual",12,IF('Deal maths'!AD970="Quarterly",3,6)),0)</f>
        <v/>
      </c>
      <c r="E970" s="109">
        <f>IFERROR(IF(D970=0,0,IF('Deal maths'!AE970&gt;0,IF('Deal maths'!AE970&gt;'Deal maths'!AA970,'Deal maths'!AA970,'Deal maths'!AE970),IF(IF(DAY('Deal maths'!AA970+1)=1,EOMONTH('Deal maths'!AA970,-(INT(((YEAR('Deal maths'!AA970)-YEAR(IF('Deal maths'!Z970&gt;0,'Deal maths'!Z970,DATE(1990,1,1))))*12+MONTH('Deal maths'!AA970)-MONTH(IF('Deal maths'!Z970&gt;0,'Deal maths'!Z970,DATE(1990,1,1))))/D970))*D970),EDATE('Deal maths'!AA970,-(INT(((YEAR('Deal maths'!AA970)-YEAR(IF('Deal maths'!Z970&gt;0,'Deal maths'!Z970,DATE(1990,1,1))))*12+MONTH('Deal maths'!AA970)-MONTH(IF('Deal maths'!Z970&gt;0,'Deal maths'!Z970,DATE(1990,1,1))))/D970))*D970))&gt;IF('Deal maths'!Z970&gt;0,'Deal maths'!Z970,DATE(1990,1,1)),IF(DAY('Deal maths'!AA970+1)=1,EOMONTH('Deal maths'!AA970,-(INT(((YEAR('Deal maths'!AA970)-YEAR(IF('Deal maths'!Z970&gt;0,'Deal maths'!Z970,DATE(1990,1,1))))*12+MONTH('Deal maths'!AA970)-MONTH(IF('Deal maths'!Z970&gt;0,'Deal maths'!Z970,DATE(1990,1,1))))/D970))*D970),EDATE('Deal maths'!AA970,-(INT(((YEAR('Deal maths'!AA970)-YEAR(IF('Deal maths'!Z970&gt;0,'Deal maths'!Z970,DATE(1990,1,1))))*12+MONTH('Deal maths'!AA970)-MONTH(IF('Deal maths'!Z970&gt;0,'Deal maths'!Z970,DATE(1990,1,1))))/D970))*D970)),IF(DAY('Deal maths'!AA970+1)=1,EOMONTH('Deal maths'!AA970,-(INT(((YEAR('Deal maths'!AA970)-YEAR(IF('Deal maths'!Z970&gt;0,'Deal maths'!Z970,DATE(1990,1,1))))*12+MONTH('Deal maths'!AA970)-MONTH(IF('Deal maths'!Z970&gt;0,'Deal maths'!Z970,DATE(1990,1,1))))/D970)-1)*D970),EDATE('Deal maths'!AA970,-(INT(((YEAR('Deal maths'!AA970)-YEAR(IF('Deal maths'!Z970&gt;0,'Deal maths'!Z970,DATE(1990,1,1))))*12+MONTH('Deal maths'!AA970)-MONTH(IF('Deal maths'!Z970&gt;0,'Deal maths'!Z970,DATE(1990,1,1))))/D970)-1)*D970))))),0)</f>
        <v/>
      </c>
      <c r="F970" s="110">
        <f>IF(D970=0,0,'Deal maths'!AB970*D970/12)</f>
        <v/>
      </c>
      <c r="G970" s="108">
        <f>N970+O970</f>
        <v/>
      </c>
      <c r="H970" s="108">
        <f>IFERROR(IF(OR(D970=0,AsAt&lt;E970),0,MIN(N970,INT(((YEAR(AsAt)-YEAR(E970))*12+MONTH(AsAt)-MONTH(E970)-(DAY(AsAt)&lt;MIN(R970,DAY(EOMONTH(AsAt,0)))))/D970)+1)+O970*(AsAt&gt;='Deal maths'!AA970)),0)</f>
        <v/>
      </c>
      <c r="I970" s="108">
        <f>G970-H970</f>
        <v/>
      </c>
      <c r="J970" s="111">
        <f>IF(AND(C970="EIP",I970&gt;0),'Deal maths'!Y970/I970,0)</f>
        <v/>
      </c>
      <c r="K970" s="111">
        <f>IF(AND(C970="Annuity",I970&gt;0),IF(F970&gt;0,'Deal maths'!Y970*F970/(1-(1+F970)^-I970),'Deal maths'!Y970/I970),0)</f>
        <v/>
      </c>
      <c r="L970" s="111">
        <f>IF('Deal maths'!Y970="",0,'Deal maths'!Y970)</f>
        <v/>
      </c>
      <c r="M970" s="112">
        <f>F970+(F970=0)</f>
        <v/>
      </c>
      <c r="N970" s="108">
        <f>IFERROR(IF(D970=0,0,INT(((YEAR('Deal maths'!AA970)-YEAR(E970))*12+MONTH('Deal maths'!AA970)-MONTH(E970)-(DAY('Deal maths'!AA970)&lt;MIN(R970,DAY(EOMONTH('Deal maths'!AA970,0)))))/D970)+1),0)</f>
        <v/>
      </c>
      <c r="O970" s="108">
        <f>IFERROR(IF(D970=0,0,IF(IF(DAY(E970+1)=1,EOMONTH(E970,(N970-1)*D970),EDATE(E970,(N970-1)*D970))='Deal maths'!AA970,0,1)),0)</f>
        <v/>
      </c>
      <c r="P970" s="113">
        <f>IF(B970=0,0,IFERROR(IF(C970="EIP",((I970-O970)*((IF(DAY(E970+1)=1,EOMONTH(E970,H970*D970),EDATE(E970,H970*D970))-AsAt)/365.25+(IF(DAY(E970+1)=1,EOMONTH(E970,(N970-1)*D970),EDATE(E970,(N970-1)*D970))-AsAt)/365.25)/2+O970*('Deal maths'!AA970-AsAt)/365.25)/I970,IF(C970="Annuity",IF(F970&gt;0,((K970-L970*F970)*((IF(DAY(E970+1)=1,EOMONTH(E970,H970*D970),EDATE(E970,H970*D970))-AsAt)/365.25*((1+F970)^(I970-O970)-1)/F970+IF((I970-O970)&gt;1,((IF(DAY(E970+1)=1,EOMONTH(E970,(N970-1)*D970),EDATE(E970,(N970-1)*D970))-AsAt)/365.25-(IF(DAY(E970+1)=1,EOMONTH(E970,H970*D970),EDATE(E970,H970*D970))-AsAt)/365.25)/((I970-O970)-1),0)*(1+F970)*(1-(I970-O970)*(1+F970)^((I970-O970)-1)+((I970-O970)-1)*(1+F970)^(I970-O970))/F970^2)+O970*(K970-L970*F970)*(1+F970)^(I970-1)*('Deal maths'!AA970-AsAt)/365.25)/L970,((I970-O970)*((IF(DAY(E970+1)=1,EOMONTH(E970,H970*D970),EDATE(E970,H970*D970))-AsAt)/365.25+(IF(DAY(E970+1)=1,EOMONTH(E970,(N970-1)*D970),EDATE(E970,(N970-1)*D970))-AsAt)/365.25)/2+O970*('Deal maths'!AA970-AsAt)/365.25)/I970),(S970-AsAt)/365.25)),0))</f>
        <v/>
      </c>
      <c r="Q970" s="109">
        <f>IF(B970=1,'Deal maths'!AA970+ROW()/1000000,"")</f>
        <v/>
      </c>
      <c r="R970" s="108">
        <f>IF(D970=0,0,IF(DAY(E970+1)=1,31,DAY(E970)))</f>
        <v/>
      </c>
      <c r="S970" s="109">
        <f>IF(AND('Deal maths'!V970="LOBO",'Deal maths'!AG970&gt;AsAt,'Deal maths'!AG970&lt;'Deal maths'!AA970),'Deal maths'!AG970,'Deal maths'!AA970)</f>
        <v/>
      </c>
      <c r="T970" s="108">
        <f>('Deal maths'!AA970&gt;AsAt)*('Deal maths'!Y970&gt;0)</f>
        <v/>
      </c>
    </row>
    <row r="971">
      <c r="A971" s="91">
        <f>IF('Deal maths'!V971="","",'Deal maths'!W971)</f>
        <v/>
      </c>
      <c r="B971" s="108">
        <f>('Deal maths'!AA971&gt;AsAt)*('Deal maths'!Y971&gt;0)*('Deal maths'!Z971&lt;=AsAt)</f>
        <v/>
      </c>
      <c r="C971" s="91">
        <f>IF('Deal maths'!V971="","",IF('Deal maths'!AC971="","Maturity",'Deal maths'!AC971))</f>
        <v/>
      </c>
      <c r="D971" s="108">
        <f>IF(OR(C971="EIP",C971="Annuity"),IF('Deal maths'!AD971="Annual",12,IF('Deal maths'!AD971="Quarterly",3,6)),0)</f>
        <v/>
      </c>
      <c r="E971" s="109">
        <f>IFERROR(IF(D971=0,0,IF('Deal maths'!AE971&gt;0,IF('Deal maths'!AE971&gt;'Deal maths'!AA971,'Deal maths'!AA971,'Deal maths'!AE971),IF(IF(DAY('Deal maths'!AA971+1)=1,EOMONTH('Deal maths'!AA971,-(INT(((YEAR('Deal maths'!AA971)-YEAR(IF('Deal maths'!Z971&gt;0,'Deal maths'!Z971,DATE(1990,1,1))))*12+MONTH('Deal maths'!AA971)-MONTH(IF('Deal maths'!Z971&gt;0,'Deal maths'!Z971,DATE(1990,1,1))))/D971))*D971),EDATE('Deal maths'!AA971,-(INT(((YEAR('Deal maths'!AA971)-YEAR(IF('Deal maths'!Z971&gt;0,'Deal maths'!Z971,DATE(1990,1,1))))*12+MONTH('Deal maths'!AA971)-MONTH(IF('Deal maths'!Z971&gt;0,'Deal maths'!Z971,DATE(1990,1,1))))/D971))*D971))&gt;IF('Deal maths'!Z971&gt;0,'Deal maths'!Z971,DATE(1990,1,1)),IF(DAY('Deal maths'!AA971+1)=1,EOMONTH('Deal maths'!AA971,-(INT(((YEAR('Deal maths'!AA971)-YEAR(IF('Deal maths'!Z971&gt;0,'Deal maths'!Z971,DATE(1990,1,1))))*12+MONTH('Deal maths'!AA971)-MONTH(IF('Deal maths'!Z971&gt;0,'Deal maths'!Z971,DATE(1990,1,1))))/D971))*D971),EDATE('Deal maths'!AA971,-(INT(((YEAR('Deal maths'!AA971)-YEAR(IF('Deal maths'!Z971&gt;0,'Deal maths'!Z971,DATE(1990,1,1))))*12+MONTH('Deal maths'!AA971)-MONTH(IF('Deal maths'!Z971&gt;0,'Deal maths'!Z971,DATE(1990,1,1))))/D971))*D971)),IF(DAY('Deal maths'!AA971+1)=1,EOMONTH('Deal maths'!AA971,-(INT(((YEAR('Deal maths'!AA971)-YEAR(IF('Deal maths'!Z971&gt;0,'Deal maths'!Z971,DATE(1990,1,1))))*12+MONTH('Deal maths'!AA971)-MONTH(IF('Deal maths'!Z971&gt;0,'Deal maths'!Z971,DATE(1990,1,1))))/D971)-1)*D971),EDATE('Deal maths'!AA971,-(INT(((YEAR('Deal maths'!AA971)-YEAR(IF('Deal maths'!Z971&gt;0,'Deal maths'!Z971,DATE(1990,1,1))))*12+MONTH('Deal maths'!AA971)-MONTH(IF('Deal maths'!Z971&gt;0,'Deal maths'!Z971,DATE(1990,1,1))))/D971)-1)*D971))))),0)</f>
        <v/>
      </c>
      <c r="F971" s="110">
        <f>IF(D971=0,0,'Deal maths'!AB971*D971/12)</f>
        <v/>
      </c>
      <c r="G971" s="108">
        <f>N971+O971</f>
        <v/>
      </c>
      <c r="H971" s="108">
        <f>IFERROR(IF(OR(D971=0,AsAt&lt;E971),0,MIN(N971,INT(((YEAR(AsAt)-YEAR(E971))*12+MONTH(AsAt)-MONTH(E971)-(DAY(AsAt)&lt;MIN(R971,DAY(EOMONTH(AsAt,0)))))/D971)+1)+O971*(AsAt&gt;='Deal maths'!AA971)),0)</f>
        <v/>
      </c>
      <c r="I971" s="108">
        <f>G971-H971</f>
        <v/>
      </c>
      <c r="J971" s="111">
        <f>IF(AND(C971="EIP",I971&gt;0),'Deal maths'!Y971/I971,0)</f>
        <v/>
      </c>
      <c r="K971" s="111">
        <f>IF(AND(C971="Annuity",I971&gt;0),IF(F971&gt;0,'Deal maths'!Y971*F971/(1-(1+F971)^-I971),'Deal maths'!Y971/I971),0)</f>
        <v/>
      </c>
      <c r="L971" s="111">
        <f>IF('Deal maths'!Y971="",0,'Deal maths'!Y971)</f>
        <v/>
      </c>
      <c r="M971" s="112">
        <f>F971+(F971=0)</f>
        <v/>
      </c>
      <c r="N971" s="108">
        <f>IFERROR(IF(D971=0,0,INT(((YEAR('Deal maths'!AA971)-YEAR(E971))*12+MONTH('Deal maths'!AA971)-MONTH(E971)-(DAY('Deal maths'!AA971)&lt;MIN(R971,DAY(EOMONTH('Deal maths'!AA971,0)))))/D971)+1),0)</f>
        <v/>
      </c>
      <c r="O971" s="108">
        <f>IFERROR(IF(D971=0,0,IF(IF(DAY(E971+1)=1,EOMONTH(E971,(N971-1)*D971),EDATE(E971,(N971-1)*D971))='Deal maths'!AA971,0,1)),0)</f>
        <v/>
      </c>
      <c r="P971" s="113">
        <f>IF(B971=0,0,IFERROR(IF(C971="EIP",((I971-O971)*((IF(DAY(E971+1)=1,EOMONTH(E971,H971*D971),EDATE(E971,H971*D971))-AsAt)/365.25+(IF(DAY(E971+1)=1,EOMONTH(E971,(N971-1)*D971),EDATE(E971,(N971-1)*D971))-AsAt)/365.25)/2+O971*('Deal maths'!AA971-AsAt)/365.25)/I971,IF(C971="Annuity",IF(F971&gt;0,((K971-L971*F971)*((IF(DAY(E971+1)=1,EOMONTH(E971,H971*D971),EDATE(E971,H971*D971))-AsAt)/365.25*((1+F971)^(I971-O971)-1)/F971+IF((I971-O971)&gt;1,((IF(DAY(E971+1)=1,EOMONTH(E971,(N971-1)*D971),EDATE(E971,(N971-1)*D971))-AsAt)/365.25-(IF(DAY(E971+1)=1,EOMONTH(E971,H971*D971),EDATE(E971,H971*D971))-AsAt)/365.25)/((I971-O971)-1),0)*(1+F971)*(1-(I971-O971)*(1+F971)^((I971-O971)-1)+((I971-O971)-1)*(1+F971)^(I971-O971))/F971^2)+O971*(K971-L971*F971)*(1+F971)^(I971-1)*('Deal maths'!AA971-AsAt)/365.25)/L971,((I971-O971)*((IF(DAY(E971+1)=1,EOMONTH(E971,H971*D971),EDATE(E971,H971*D971))-AsAt)/365.25+(IF(DAY(E971+1)=1,EOMONTH(E971,(N971-1)*D971),EDATE(E971,(N971-1)*D971))-AsAt)/365.25)/2+O971*('Deal maths'!AA971-AsAt)/365.25)/I971),(S971-AsAt)/365.25)),0))</f>
        <v/>
      </c>
      <c r="Q971" s="109">
        <f>IF(B971=1,'Deal maths'!AA971+ROW()/1000000,"")</f>
        <v/>
      </c>
      <c r="R971" s="108">
        <f>IF(D971=0,0,IF(DAY(E971+1)=1,31,DAY(E971)))</f>
        <v/>
      </c>
      <c r="S971" s="109">
        <f>IF(AND('Deal maths'!V971="LOBO",'Deal maths'!AG971&gt;AsAt,'Deal maths'!AG971&lt;'Deal maths'!AA971),'Deal maths'!AG971,'Deal maths'!AA971)</f>
        <v/>
      </c>
      <c r="T971" s="108">
        <f>('Deal maths'!AA971&gt;AsAt)*('Deal maths'!Y971&gt;0)</f>
        <v/>
      </c>
    </row>
    <row r="972">
      <c r="A972" s="91">
        <f>IF('Deal maths'!V972="","",'Deal maths'!W972)</f>
        <v/>
      </c>
      <c r="B972" s="108">
        <f>('Deal maths'!AA972&gt;AsAt)*('Deal maths'!Y972&gt;0)*('Deal maths'!Z972&lt;=AsAt)</f>
        <v/>
      </c>
      <c r="C972" s="91">
        <f>IF('Deal maths'!V972="","",IF('Deal maths'!AC972="","Maturity",'Deal maths'!AC972))</f>
        <v/>
      </c>
      <c r="D972" s="108">
        <f>IF(OR(C972="EIP",C972="Annuity"),IF('Deal maths'!AD972="Annual",12,IF('Deal maths'!AD972="Quarterly",3,6)),0)</f>
        <v/>
      </c>
      <c r="E972" s="109">
        <f>IFERROR(IF(D972=0,0,IF('Deal maths'!AE972&gt;0,IF('Deal maths'!AE972&gt;'Deal maths'!AA972,'Deal maths'!AA972,'Deal maths'!AE972),IF(IF(DAY('Deal maths'!AA972+1)=1,EOMONTH('Deal maths'!AA972,-(INT(((YEAR('Deal maths'!AA972)-YEAR(IF('Deal maths'!Z972&gt;0,'Deal maths'!Z972,DATE(1990,1,1))))*12+MONTH('Deal maths'!AA972)-MONTH(IF('Deal maths'!Z972&gt;0,'Deal maths'!Z972,DATE(1990,1,1))))/D972))*D972),EDATE('Deal maths'!AA972,-(INT(((YEAR('Deal maths'!AA972)-YEAR(IF('Deal maths'!Z972&gt;0,'Deal maths'!Z972,DATE(1990,1,1))))*12+MONTH('Deal maths'!AA972)-MONTH(IF('Deal maths'!Z972&gt;0,'Deal maths'!Z972,DATE(1990,1,1))))/D972))*D972))&gt;IF('Deal maths'!Z972&gt;0,'Deal maths'!Z972,DATE(1990,1,1)),IF(DAY('Deal maths'!AA972+1)=1,EOMONTH('Deal maths'!AA972,-(INT(((YEAR('Deal maths'!AA972)-YEAR(IF('Deal maths'!Z972&gt;0,'Deal maths'!Z972,DATE(1990,1,1))))*12+MONTH('Deal maths'!AA972)-MONTH(IF('Deal maths'!Z972&gt;0,'Deal maths'!Z972,DATE(1990,1,1))))/D972))*D972),EDATE('Deal maths'!AA972,-(INT(((YEAR('Deal maths'!AA972)-YEAR(IF('Deal maths'!Z972&gt;0,'Deal maths'!Z972,DATE(1990,1,1))))*12+MONTH('Deal maths'!AA972)-MONTH(IF('Deal maths'!Z972&gt;0,'Deal maths'!Z972,DATE(1990,1,1))))/D972))*D972)),IF(DAY('Deal maths'!AA972+1)=1,EOMONTH('Deal maths'!AA972,-(INT(((YEAR('Deal maths'!AA972)-YEAR(IF('Deal maths'!Z972&gt;0,'Deal maths'!Z972,DATE(1990,1,1))))*12+MONTH('Deal maths'!AA972)-MONTH(IF('Deal maths'!Z972&gt;0,'Deal maths'!Z972,DATE(1990,1,1))))/D972)-1)*D972),EDATE('Deal maths'!AA972,-(INT(((YEAR('Deal maths'!AA972)-YEAR(IF('Deal maths'!Z972&gt;0,'Deal maths'!Z972,DATE(1990,1,1))))*12+MONTH('Deal maths'!AA972)-MONTH(IF('Deal maths'!Z972&gt;0,'Deal maths'!Z972,DATE(1990,1,1))))/D972)-1)*D972))))),0)</f>
        <v/>
      </c>
      <c r="F972" s="110">
        <f>IF(D972=0,0,'Deal maths'!AB972*D972/12)</f>
        <v/>
      </c>
      <c r="G972" s="108">
        <f>N972+O972</f>
        <v/>
      </c>
      <c r="H972" s="108">
        <f>IFERROR(IF(OR(D972=0,AsAt&lt;E972),0,MIN(N972,INT(((YEAR(AsAt)-YEAR(E972))*12+MONTH(AsAt)-MONTH(E972)-(DAY(AsAt)&lt;MIN(R972,DAY(EOMONTH(AsAt,0)))))/D972)+1)+O972*(AsAt&gt;='Deal maths'!AA972)),0)</f>
        <v/>
      </c>
      <c r="I972" s="108">
        <f>G972-H972</f>
        <v/>
      </c>
      <c r="J972" s="111">
        <f>IF(AND(C972="EIP",I972&gt;0),'Deal maths'!Y972/I972,0)</f>
        <v/>
      </c>
      <c r="K972" s="111">
        <f>IF(AND(C972="Annuity",I972&gt;0),IF(F972&gt;0,'Deal maths'!Y972*F972/(1-(1+F972)^-I972),'Deal maths'!Y972/I972),0)</f>
        <v/>
      </c>
      <c r="L972" s="111">
        <f>IF('Deal maths'!Y972="",0,'Deal maths'!Y972)</f>
        <v/>
      </c>
      <c r="M972" s="112">
        <f>F972+(F972=0)</f>
        <v/>
      </c>
      <c r="N972" s="108">
        <f>IFERROR(IF(D972=0,0,INT(((YEAR('Deal maths'!AA972)-YEAR(E972))*12+MONTH('Deal maths'!AA972)-MONTH(E972)-(DAY('Deal maths'!AA972)&lt;MIN(R972,DAY(EOMONTH('Deal maths'!AA972,0)))))/D972)+1),0)</f>
        <v/>
      </c>
      <c r="O972" s="108">
        <f>IFERROR(IF(D972=0,0,IF(IF(DAY(E972+1)=1,EOMONTH(E972,(N972-1)*D972),EDATE(E972,(N972-1)*D972))='Deal maths'!AA972,0,1)),0)</f>
        <v/>
      </c>
      <c r="P972" s="113">
        <f>IF(B972=0,0,IFERROR(IF(C972="EIP",((I972-O972)*((IF(DAY(E972+1)=1,EOMONTH(E972,H972*D972),EDATE(E972,H972*D972))-AsAt)/365.25+(IF(DAY(E972+1)=1,EOMONTH(E972,(N972-1)*D972),EDATE(E972,(N972-1)*D972))-AsAt)/365.25)/2+O972*('Deal maths'!AA972-AsAt)/365.25)/I972,IF(C972="Annuity",IF(F972&gt;0,((K972-L972*F972)*((IF(DAY(E972+1)=1,EOMONTH(E972,H972*D972),EDATE(E972,H972*D972))-AsAt)/365.25*((1+F972)^(I972-O972)-1)/F972+IF((I972-O972)&gt;1,((IF(DAY(E972+1)=1,EOMONTH(E972,(N972-1)*D972),EDATE(E972,(N972-1)*D972))-AsAt)/365.25-(IF(DAY(E972+1)=1,EOMONTH(E972,H972*D972),EDATE(E972,H972*D972))-AsAt)/365.25)/((I972-O972)-1),0)*(1+F972)*(1-(I972-O972)*(1+F972)^((I972-O972)-1)+((I972-O972)-1)*(1+F972)^(I972-O972))/F972^2)+O972*(K972-L972*F972)*(1+F972)^(I972-1)*('Deal maths'!AA972-AsAt)/365.25)/L972,((I972-O972)*((IF(DAY(E972+1)=1,EOMONTH(E972,H972*D972),EDATE(E972,H972*D972))-AsAt)/365.25+(IF(DAY(E972+1)=1,EOMONTH(E972,(N972-1)*D972),EDATE(E972,(N972-1)*D972))-AsAt)/365.25)/2+O972*('Deal maths'!AA972-AsAt)/365.25)/I972),(S972-AsAt)/365.25)),0))</f>
        <v/>
      </c>
      <c r="Q972" s="109">
        <f>IF(B972=1,'Deal maths'!AA972+ROW()/1000000,"")</f>
        <v/>
      </c>
      <c r="R972" s="108">
        <f>IF(D972=0,0,IF(DAY(E972+1)=1,31,DAY(E972)))</f>
        <v/>
      </c>
      <c r="S972" s="109">
        <f>IF(AND('Deal maths'!V972="LOBO",'Deal maths'!AG972&gt;AsAt,'Deal maths'!AG972&lt;'Deal maths'!AA972),'Deal maths'!AG972,'Deal maths'!AA972)</f>
        <v/>
      </c>
      <c r="T972" s="108">
        <f>('Deal maths'!AA972&gt;AsAt)*('Deal maths'!Y972&gt;0)</f>
        <v/>
      </c>
    </row>
    <row r="973">
      <c r="A973" s="91">
        <f>IF('Deal maths'!V973="","",'Deal maths'!W973)</f>
        <v/>
      </c>
      <c r="B973" s="108">
        <f>('Deal maths'!AA973&gt;AsAt)*('Deal maths'!Y973&gt;0)*('Deal maths'!Z973&lt;=AsAt)</f>
        <v/>
      </c>
      <c r="C973" s="91">
        <f>IF('Deal maths'!V973="","",IF('Deal maths'!AC973="","Maturity",'Deal maths'!AC973))</f>
        <v/>
      </c>
      <c r="D973" s="108">
        <f>IF(OR(C973="EIP",C973="Annuity"),IF('Deal maths'!AD973="Annual",12,IF('Deal maths'!AD973="Quarterly",3,6)),0)</f>
        <v/>
      </c>
      <c r="E973" s="109">
        <f>IFERROR(IF(D973=0,0,IF('Deal maths'!AE973&gt;0,IF('Deal maths'!AE973&gt;'Deal maths'!AA973,'Deal maths'!AA973,'Deal maths'!AE973),IF(IF(DAY('Deal maths'!AA973+1)=1,EOMONTH('Deal maths'!AA973,-(INT(((YEAR('Deal maths'!AA973)-YEAR(IF('Deal maths'!Z973&gt;0,'Deal maths'!Z973,DATE(1990,1,1))))*12+MONTH('Deal maths'!AA973)-MONTH(IF('Deal maths'!Z973&gt;0,'Deal maths'!Z973,DATE(1990,1,1))))/D973))*D973),EDATE('Deal maths'!AA973,-(INT(((YEAR('Deal maths'!AA973)-YEAR(IF('Deal maths'!Z973&gt;0,'Deal maths'!Z973,DATE(1990,1,1))))*12+MONTH('Deal maths'!AA973)-MONTH(IF('Deal maths'!Z973&gt;0,'Deal maths'!Z973,DATE(1990,1,1))))/D973))*D973))&gt;IF('Deal maths'!Z973&gt;0,'Deal maths'!Z973,DATE(1990,1,1)),IF(DAY('Deal maths'!AA973+1)=1,EOMONTH('Deal maths'!AA973,-(INT(((YEAR('Deal maths'!AA973)-YEAR(IF('Deal maths'!Z973&gt;0,'Deal maths'!Z973,DATE(1990,1,1))))*12+MONTH('Deal maths'!AA973)-MONTH(IF('Deal maths'!Z973&gt;0,'Deal maths'!Z973,DATE(1990,1,1))))/D973))*D973),EDATE('Deal maths'!AA973,-(INT(((YEAR('Deal maths'!AA973)-YEAR(IF('Deal maths'!Z973&gt;0,'Deal maths'!Z973,DATE(1990,1,1))))*12+MONTH('Deal maths'!AA973)-MONTH(IF('Deal maths'!Z973&gt;0,'Deal maths'!Z973,DATE(1990,1,1))))/D973))*D973)),IF(DAY('Deal maths'!AA973+1)=1,EOMONTH('Deal maths'!AA973,-(INT(((YEAR('Deal maths'!AA973)-YEAR(IF('Deal maths'!Z973&gt;0,'Deal maths'!Z973,DATE(1990,1,1))))*12+MONTH('Deal maths'!AA973)-MONTH(IF('Deal maths'!Z973&gt;0,'Deal maths'!Z973,DATE(1990,1,1))))/D973)-1)*D973),EDATE('Deal maths'!AA973,-(INT(((YEAR('Deal maths'!AA973)-YEAR(IF('Deal maths'!Z973&gt;0,'Deal maths'!Z973,DATE(1990,1,1))))*12+MONTH('Deal maths'!AA973)-MONTH(IF('Deal maths'!Z973&gt;0,'Deal maths'!Z973,DATE(1990,1,1))))/D973)-1)*D973))))),0)</f>
        <v/>
      </c>
      <c r="F973" s="110">
        <f>IF(D973=0,0,'Deal maths'!AB973*D973/12)</f>
        <v/>
      </c>
      <c r="G973" s="108">
        <f>N973+O973</f>
        <v/>
      </c>
      <c r="H973" s="108">
        <f>IFERROR(IF(OR(D973=0,AsAt&lt;E973),0,MIN(N973,INT(((YEAR(AsAt)-YEAR(E973))*12+MONTH(AsAt)-MONTH(E973)-(DAY(AsAt)&lt;MIN(R973,DAY(EOMONTH(AsAt,0)))))/D973)+1)+O973*(AsAt&gt;='Deal maths'!AA973)),0)</f>
        <v/>
      </c>
      <c r="I973" s="108">
        <f>G973-H973</f>
        <v/>
      </c>
      <c r="J973" s="111">
        <f>IF(AND(C973="EIP",I973&gt;0),'Deal maths'!Y973/I973,0)</f>
        <v/>
      </c>
      <c r="K973" s="111">
        <f>IF(AND(C973="Annuity",I973&gt;0),IF(F973&gt;0,'Deal maths'!Y973*F973/(1-(1+F973)^-I973),'Deal maths'!Y973/I973),0)</f>
        <v/>
      </c>
      <c r="L973" s="111">
        <f>IF('Deal maths'!Y973="",0,'Deal maths'!Y973)</f>
        <v/>
      </c>
      <c r="M973" s="112">
        <f>F973+(F973=0)</f>
        <v/>
      </c>
      <c r="N973" s="108">
        <f>IFERROR(IF(D973=0,0,INT(((YEAR('Deal maths'!AA973)-YEAR(E973))*12+MONTH('Deal maths'!AA973)-MONTH(E973)-(DAY('Deal maths'!AA973)&lt;MIN(R973,DAY(EOMONTH('Deal maths'!AA973,0)))))/D973)+1),0)</f>
        <v/>
      </c>
      <c r="O973" s="108">
        <f>IFERROR(IF(D973=0,0,IF(IF(DAY(E973+1)=1,EOMONTH(E973,(N973-1)*D973),EDATE(E973,(N973-1)*D973))='Deal maths'!AA973,0,1)),0)</f>
        <v/>
      </c>
      <c r="P973" s="113">
        <f>IF(B973=0,0,IFERROR(IF(C973="EIP",((I973-O973)*((IF(DAY(E973+1)=1,EOMONTH(E973,H973*D973),EDATE(E973,H973*D973))-AsAt)/365.25+(IF(DAY(E973+1)=1,EOMONTH(E973,(N973-1)*D973),EDATE(E973,(N973-1)*D973))-AsAt)/365.25)/2+O973*('Deal maths'!AA973-AsAt)/365.25)/I973,IF(C973="Annuity",IF(F973&gt;0,((K973-L973*F973)*((IF(DAY(E973+1)=1,EOMONTH(E973,H973*D973),EDATE(E973,H973*D973))-AsAt)/365.25*((1+F973)^(I973-O973)-1)/F973+IF((I973-O973)&gt;1,((IF(DAY(E973+1)=1,EOMONTH(E973,(N973-1)*D973),EDATE(E973,(N973-1)*D973))-AsAt)/365.25-(IF(DAY(E973+1)=1,EOMONTH(E973,H973*D973),EDATE(E973,H973*D973))-AsAt)/365.25)/((I973-O973)-1),0)*(1+F973)*(1-(I973-O973)*(1+F973)^((I973-O973)-1)+((I973-O973)-1)*(1+F973)^(I973-O973))/F973^2)+O973*(K973-L973*F973)*(1+F973)^(I973-1)*('Deal maths'!AA973-AsAt)/365.25)/L973,((I973-O973)*((IF(DAY(E973+1)=1,EOMONTH(E973,H973*D973),EDATE(E973,H973*D973))-AsAt)/365.25+(IF(DAY(E973+1)=1,EOMONTH(E973,(N973-1)*D973),EDATE(E973,(N973-1)*D973))-AsAt)/365.25)/2+O973*('Deal maths'!AA973-AsAt)/365.25)/I973),(S973-AsAt)/365.25)),0))</f>
        <v/>
      </c>
      <c r="Q973" s="109">
        <f>IF(B973=1,'Deal maths'!AA973+ROW()/1000000,"")</f>
        <v/>
      </c>
      <c r="R973" s="108">
        <f>IF(D973=0,0,IF(DAY(E973+1)=1,31,DAY(E973)))</f>
        <v/>
      </c>
      <c r="S973" s="109">
        <f>IF(AND('Deal maths'!V973="LOBO",'Deal maths'!AG973&gt;AsAt,'Deal maths'!AG973&lt;'Deal maths'!AA973),'Deal maths'!AG973,'Deal maths'!AA973)</f>
        <v/>
      </c>
      <c r="T973" s="108">
        <f>('Deal maths'!AA973&gt;AsAt)*('Deal maths'!Y973&gt;0)</f>
        <v/>
      </c>
    </row>
    <row r="974">
      <c r="A974" s="91">
        <f>IF('Deal maths'!V974="","",'Deal maths'!W974)</f>
        <v/>
      </c>
      <c r="B974" s="108">
        <f>('Deal maths'!AA974&gt;AsAt)*('Deal maths'!Y974&gt;0)*('Deal maths'!Z974&lt;=AsAt)</f>
        <v/>
      </c>
      <c r="C974" s="91">
        <f>IF('Deal maths'!V974="","",IF('Deal maths'!AC974="","Maturity",'Deal maths'!AC974))</f>
        <v/>
      </c>
      <c r="D974" s="108">
        <f>IF(OR(C974="EIP",C974="Annuity"),IF('Deal maths'!AD974="Annual",12,IF('Deal maths'!AD974="Quarterly",3,6)),0)</f>
        <v/>
      </c>
      <c r="E974" s="109">
        <f>IFERROR(IF(D974=0,0,IF('Deal maths'!AE974&gt;0,IF('Deal maths'!AE974&gt;'Deal maths'!AA974,'Deal maths'!AA974,'Deal maths'!AE974),IF(IF(DAY('Deal maths'!AA974+1)=1,EOMONTH('Deal maths'!AA974,-(INT(((YEAR('Deal maths'!AA974)-YEAR(IF('Deal maths'!Z974&gt;0,'Deal maths'!Z974,DATE(1990,1,1))))*12+MONTH('Deal maths'!AA974)-MONTH(IF('Deal maths'!Z974&gt;0,'Deal maths'!Z974,DATE(1990,1,1))))/D974))*D974),EDATE('Deal maths'!AA974,-(INT(((YEAR('Deal maths'!AA974)-YEAR(IF('Deal maths'!Z974&gt;0,'Deal maths'!Z974,DATE(1990,1,1))))*12+MONTH('Deal maths'!AA974)-MONTH(IF('Deal maths'!Z974&gt;0,'Deal maths'!Z974,DATE(1990,1,1))))/D974))*D974))&gt;IF('Deal maths'!Z974&gt;0,'Deal maths'!Z974,DATE(1990,1,1)),IF(DAY('Deal maths'!AA974+1)=1,EOMONTH('Deal maths'!AA974,-(INT(((YEAR('Deal maths'!AA974)-YEAR(IF('Deal maths'!Z974&gt;0,'Deal maths'!Z974,DATE(1990,1,1))))*12+MONTH('Deal maths'!AA974)-MONTH(IF('Deal maths'!Z974&gt;0,'Deal maths'!Z974,DATE(1990,1,1))))/D974))*D974),EDATE('Deal maths'!AA974,-(INT(((YEAR('Deal maths'!AA974)-YEAR(IF('Deal maths'!Z974&gt;0,'Deal maths'!Z974,DATE(1990,1,1))))*12+MONTH('Deal maths'!AA974)-MONTH(IF('Deal maths'!Z974&gt;0,'Deal maths'!Z974,DATE(1990,1,1))))/D974))*D974)),IF(DAY('Deal maths'!AA974+1)=1,EOMONTH('Deal maths'!AA974,-(INT(((YEAR('Deal maths'!AA974)-YEAR(IF('Deal maths'!Z974&gt;0,'Deal maths'!Z974,DATE(1990,1,1))))*12+MONTH('Deal maths'!AA974)-MONTH(IF('Deal maths'!Z974&gt;0,'Deal maths'!Z974,DATE(1990,1,1))))/D974)-1)*D974),EDATE('Deal maths'!AA974,-(INT(((YEAR('Deal maths'!AA974)-YEAR(IF('Deal maths'!Z974&gt;0,'Deal maths'!Z974,DATE(1990,1,1))))*12+MONTH('Deal maths'!AA974)-MONTH(IF('Deal maths'!Z974&gt;0,'Deal maths'!Z974,DATE(1990,1,1))))/D974)-1)*D974))))),0)</f>
        <v/>
      </c>
      <c r="F974" s="110">
        <f>IF(D974=0,0,'Deal maths'!AB974*D974/12)</f>
        <v/>
      </c>
      <c r="G974" s="108">
        <f>N974+O974</f>
        <v/>
      </c>
      <c r="H974" s="108">
        <f>IFERROR(IF(OR(D974=0,AsAt&lt;E974),0,MIN(N974,INT(((YEAR(AsAt)-YEAR(E974))*12+MONTH(AsAt)-MONTH(E974)-(DAY(AsAt)&lt;MIN(R974,DAY(EOMONTH(AsAt,0)))))/D974)+1)+O974*(AsAt&gt;='Deal maths'!AA974)),0)</f>
        <v/>
      </c>
      <c r="I974" s="108">
        <f>G974-H974</f>
        <v/>
      </c>
      <c r="J974" s="111">
        <f>IF(AND(C974="EIP",I974&gt;0),'Deal maths'!Y974/I974,0)</f>
        <v/>
      </c>
      <c r="K974" s="111">
        <f>IF(AND(C974="Annuity",I974&gt;0),IF(F974&gt;0,'Deal maths'!Y974*F974/(1-(1+F974)^-I974),'Deal maths'!Y974/I974),0)</f>
        <v/>
      </c>
      <c r="L974" s="111">
        <f>IF('Deal maths'!Y974="",0,'Deal maths'!Y974)</f>
        <v/>
      </c>
      <c r="M974" s="112">
        <f>F974+(F974=0)</f>
        <v/>
      </c>
      <c r="N974" s="108">
        <f>IFERROR(IF(D974=0,0,INT(((YEAR('Deal maths'!AA974)-YEAR(E974))*12+MONTH('Deal maths'!AA974)-MONTH(E974)-(DAY('Deal maths'!AA974)&lt;MIN(R974,DAY(EOMONTH('Deal maths'!AA974,0)))))/D974)+1),0)</f>
        <v/>
      </c>
      <c r="O974" s="108">
        <f>IFERROR(IF(D974=0,0,IF(IF(DAY(E974+1)=1,EOMONTH(E974,(N974-1)*D974),EDATE(E974,(N974-1)*D974))='Deal maths'!AA974,0,1)),0)</f>
        <v/>
      </c>
      <c r="P974" s="113">
        <f>IF(B974=0,0,IFERROR(IF(C974="EIP",((I974-O974)*((IF(DAY(E974+1)=1,EOMONTH(E974,H974*D974),EDATE(E974,H974*D974))-AsAt)/365.25+(IF(DAY(E974+1)=1,EOMONTH(E974,(N974-1)*D974),EDATE(E974,(N974-1)*D974))-AsAt)/365.25)/2+O974*('Deal maths'!AA974-AsAt)/365.25)/I974,IF(C974="Annuity",IF(F974&gt;0,((K974-L974*F974)*((IF(DAY(E974+1)=1,EOMONTH(E974,H974*D974),EDATE(E974,H974*D974))-AsAt)/365.25*((1+F974)^(I974-O974)-1)/F974+IF((I974-O974)&gt;1,((IF(DAY(E974+1)=1,EOMONTH(E974,(N974-1)*D974),EDATE(E974,(N974-1)*D974))-AsAt)/365.25-(IF(DAY(E974+1)=1,EOMONTH(E974,H974*D974),EDATE(E974,H974*D974))-AsAt)/365.25)/((I974-O974)-1),0)*(1+F974)*(1-(I974-O974)*(1+F974)^((I974-O974)-1)+((I974-O974)-1)*(1+F974)^(I974-O974))/F974^2)+O974*(K974-L974*F974)*(1+F974)^(I974-1)*('Deal maths'!AA974-AsAt)/365.25)/L974,((I974-O974)*((IF(DAY(E974+1)=1,EOMONTH(E974,H974*D974),EDATE(E974,H974*D974))-AsAt)/365.25+(IF(DAY(E974+1)=1,EOMONTH(E974,(N974-1)*D974),EDATE(E974,(N974-1)*D974))-AsAt)/365.25)/2+O974*('Deal maths'!AA974-AsAt)/365.25)/I974),(S974-AsAt)/365.25)),0))</f>
        <v/>
      </c>
      <c r="Q974" s="109">
        <f>IF(B974=1,'Deal maths'!AA974+ROW()/1000000,"")</f>
        <v/>
      </c>
      <c r="R974" s="108">
        <f>IF(D974=0,0,IF(DAY(E974+1)=1,31,DAY(E974)))</f>
        <v/>
      </c>
      <c r="S974" s="109">
        <f>IF(AND('Deal maths'!V974="LOBO",'Deal maths'!AG974&gt;AsAt,'Deal maths'!AG974&lt;'Deal maths'!AA974),'Deal maths'!AG974,'Deal maths'!AA974)</f>
        <v/>
      </c>
      <c r="T974" s="108">
        <f>('Deal maths'!AA974&gt;AsAt)*('Deal maths'!Y974&gt;0)</f>
        <v/>
      </c>
    </row>
    <row r="975">
      <c r="A975" s="91">
        <f>IF('Deal maths'!V975="","",'Deal maths'!W975)</f>
        <v/>
      </c>
      <c r="B975" s="108">
        <f>('Deal maths'!AA975&gt;AsAt)*('Deal maths'!Y975&gt;0)*('Deal maths'!Z975&lt;=AsAt)</f>
        <v/>
      </c>
      <c r="C975" s="91">
        <f>IF('Deal maths'!V975="","",IF('Deal maths'!AC975="","Maturity",'Deal maths'!AC975))</f>
        <v/>
      </c>
      <c r="D975" s="108">
        <f>IF(OR(C975="EIP",C975="Annuity"),IF('Deal maths'!AD975="Annual",12,IF('Deal maths'!AD975="Quarterly",3,6)),0)</f>
        <v/>
      </c>
      <c r="E975" s="109">
        <f>IFERROR(IF(D975=0,0,IF('Deal maths'!AE975&gt;0,IF('Deal maths'!AE975&gt;'Deal maths'!AA975,'Deal maths'!AA975,'Deal maths'!AE975),IF(IF(DAY('Deal maths'!AA975+1)=1,EOMONTH('Deal maths'!AA975,-(INT(((YEAR('Deal maths'!AA975)-YEAR(IF('Deal maths'!Z975&gt;0,'Deal maths'!Z975,DATE(1990,1,1))))*12+MONTH('Deal maths'!AA975)-MONTH(IF('Deal maths'!Z975&gt;0,'Deal maths'!Z975,DATE(1990,1,1))))/D975))*D975),EDATE('Deal maths'!AA975,-(INT(((YEAR('Deal maths'!AA975)-YEAR(IF('Deal maths'!Z975&gt;0,'Deal maths'!Z975,DATE(1990,1,1))))*12+MONTH('Deal maths'!AA975)-MONTH(IF('Deal maths'!Z975&gt;0,'Deal maths'!Z975,DATE(1990,1,1))))/D975))*D975))&gt;IF('Deal maths'!Z975&gt;0,'Deal maths'!Z975,DATE(1990,1,1)),IF(DAY('Deal maths'!AA975+1)=1,EOMONTH('Deal maths'!AA975,-(INT(((YEAR('Deal maths'!AA975)-YEAR(IF('Deal maths'!Z975&gt;0,'Deal maths'!Z975,DATE(1990,1,1))))*12+MONTH('Deal maths'!AA975)-MONTH(IF('Deal maths'!Z975&gt;0,'Deal maths'!Z975,DATE(1990,1,1))))/D975))*D975),EDATE('Deal maths'!AA975,-(INT(((YEAR('Deal maths'!AA975)-YEAR(IF('Deal maths'!Z975&gt;0,'Deal maths'!Z975,DATE(1990,1,1))))*12+MONTH('Deal maths'!AA975)-MONTH(IF('Deal maths'!Z975&gt;0,'Deal maths'!Z975,DATE(1990,1,1))))/D975))*D975)),IF(DAY('Deal maths'!AA975+1)=1,EOMONTH('Deal maths'!AA975,-(INT(((YEAR('Deal maths'!AA975)-YEAR(IF('Deal maths'!Z975&gt;0,'Deal maths'!Z975,DATE(1990,1,1))))*12+MONTH('Deal maths'!AA975)-MONTH(IF('Deal maths'!Z975&gt;0,'Deal maths'!Z975,DATE(1990,1,1))))/D975)-1)*D975),EDATE('Deal maths'!AA975,-(INT(((YEAR('Deal maths'!AA975)-YEAR(IF('Deal maths'!Z975&gt;0,'Deal maths'!Z975,DATE(1990,1,1))))*12+MONTH('Deal maths'!AA975)-MONTH(IF('Deal maths'!Z975&gt;0,'Deal maths'!Z975,DATE(1990,1,1))))/D975)-1)*D975))))),0)</f>
        <v/>
      </c>
      <c r="F975" s="110">
        <f>IF(D975=0,0,'Deal maths'!AB975*D975/12)</f>
        <v/>
      </c>
      <c r="G975" s="108">
        <f>N975+O975</f>
        <v/>
      </c>
      <c r="H975" s="108">
        <f>IFERROR(IF(OR(D975=0,AsAt&lt;E975),0,MIN(N975,INT(((YEAR(AsAt)-YEAR(E975))*12+MONTH(AsAt)-MONTH(E975)-(DAY(AsAt)&lt;MIN(R975,DAY(EOMONTH(AsAt,0)))))/D975)+1)+O975*(AsAt&gt;='Deal maths'!AA975)),0)</f>
        <v/>
      </c>
      <c r="I975" s="108">
        <f>G975-H975</f>
        <v/>
      </c>
      <c r="J975" s="111">
        <f>IF(AND(C975="EIP",I975&gt;0),'Deal maths'!Y975/I975,0)</f>
        <v/>
      </c>
      <c r="K975" s="111">
        <f>IF(AND(C975="Annuity",I975&gt;0),IF(F975&gt;0,'Deal maths'!Y975*F975/(1-(1+F975)^-I975),'Deal maths'!Y975/I975),0)</f>
        <v/>
      </c>
      <c r="L975" s="111">
        <f>IF('Deal maths'!Y975="",0,'Deal maths'!Y975)</f>
        <v/>
      </c>
      <c r="M975" s="112">
        <f>F975+(F975=0)</f>
        <v/>
      </c>
      <c r="N975" s="108">
        <f>IFERROR(IF(D975=0,0,INT(((YEAR('Deal maths'!AA975)-YEAR(E975))*12+MONTH('Deal maths'!AA975)-MONTH(E975)-(DAY('Deal maths'!AA975)&lt;MIN(R975,DAY(EOMONTH('Deal maths'!AA975,0)))))/D975)+1),0)</f>
        <v/>
      </c>
      <c r="O975" s="108">
        <f>IFERROR(IF(D975=0,0,IF(IF(DAY(E975+1)=1,EOMONTH(E975,(N975-1)*D975),EDATE(E975,(N975-1)*D975))='Deal maths'!AA975,0,1)),0)</f>
        <v/>
      </c>
      <c r="P975" s="113">
        <f>IF(B975=0,0,IFERROR(IF(C975="EIP",((I975-O975)*((IF(DAY(E975+1)=1,EOMONTH(E975,H975*D975),EDATE(E975,H975*D975))-AsAt)/365.25+(IF(DAY(E975+1)=1,EOMONTH(E975,(N975-1)*D975),EDATE(E975,(N975-1)*D975))-AsAt)/365.25)/2+O975*('Deal maths'!AA975-AsAt)/365.25)/I975,IF(C975="Annuity",IF(F975&gt;0,((K975-L975*F975)*((IF(DAY(E975+1)=1,EOMONTH(E975,H975*D975),EDATE(E975,H975*D975))-AsAt)/365.25*((1+F975)^(I975-O975)-1)/F975+IF((I975-O975)&gt;1,((IF(DAY(E975+1)=1,EOMONTH(E975,(N975-1)*D975),EDATE(E975,(N975-1)*D975))-AsAt)/365.25-(IF(DAY(E975+1)=1,EOMONTH(E975,H975*D975),EDATE(E975,H975*D975))-AsAt)/365.25)/((I975-O975)-1),0)*(1+F975)*(1-(I975-O975)*(1+F975)^((I975-O975)-1)+((I975-O975)-1)*(1+F975)^(I975-O975))/F975^2)+O975*(K975-L975*F975)*(1+F975)^(I975-1)*('Deal maths'!AA975-AsAt)/365.25)/L975,((I975-O975)*((IF(DAY(E975+1)=1,EOMONTH(E975,H975*D975),EDATE(E975,H975*D975))-AsAt)/365.25+(IF(DAY(E975+1)=1,EOMONTH(E975,(N975-1)*D975),EDATE(E975,(N975-1)*D975))-AsAt)/365.25)/2+O975*('Deal maths'!AA975-AsAt)/365.25)/I975),(S975-AsAt)/365.25)),0))</f>
        <v/>
      </c>
      <c r="Q975" s="109">
        <f>IF(B975=1,'Deal maths'!AA975+ROW()/1000000,"")</f>
        <v/>
      </c>
      <c r="R975" s="108">
        <f>IF(D975=0,0,IF(DAY(E975+1)=1,31,DAY(E975)))</f>
        <v/>
      </c>
      <c r="S975" s="109">
        <f>IF(AND('Deal maths'!V975="LOBO",'Deal maths'!AG975&gt;AsAt,'Deal maths'!AG975&lt;'Deal maths'!AA975),'Deal maths'!AG975,'Deal maths'!AA975)</f>
        <v/>
      </c>
      <c r="T975" s="108">
        <f>('Deal maths'!AA975&gt;AsAt)*('Deal maths'!Y975&gt;0)</f>
        <v/>
      </c>
    </row>
    <row r="976">
      <c r="A976" s="91">
        <f>IF('Deal maths'!V976="","",'Deal maths'!W976)</f>
        <v/>
      </c>
      <c r="B976" s="108">
        <f>('Deal maths'!AA976&gt;AsAt)*('Deal maths'!Y976&gt;0)*('Deal maths'!Z976&lt;=AsAt)</f>
        <v/>
      </c>
      <c r="C976" s="91">
        <f>IF('Deal maths'!V976="","",IF('Deal maths'!AC976="","Maturity",'Deal maths'!AC976))</f>
        <v/>
      </c>
      <c r="D976" s="108">
        <f>IF(OR(C976="EIP",C976="Annuity"),IF('Deal maths'!AD976="Annual",12,IF('Deal maths'!AD976="Quarterly",3,6)),0)</f>
        <v/>
      </c>
      <c r="E976" s="109">
        <f>IFERROR(IF(D976=0,0,IF('Deal maths'!AE976&gt;0,IF('Deal maths'!AE976&gt;'Deal maths'!AA976,'Deal maths'!AA976,'Deal maths'!AE976),IF(IF(DAY('Deal maths'!AA976+1)=1,EOMONTH('Deal maths'!AA976,-(INT(((YEAR('Deal maths'!AA976)-YEAR(IF('Deal maths'!Z976&gt;0,'Deal maths'!Z976,DATE(1990,1,1))))*12+MONTH('Deal maths'!AA976)-MONTH(IF('Deal maths'!Z976&gt;0,'Deal maths'!Z976,DATE(1990,1,1))))/D976))*D976),EDATE('Deal maths'!AA976,-(INT(((YEAR('Deal maths'!AA976)-YEAR(IF('Deal maths'!Z976&gt;0,'Deal maths'!Z976,DATE(1990,1,1))))*12+MONTH('Deal maths'!AA976)-MONTH(IF('Deal maths'!Z976&gt;0,'Deal maths'!Z976,DATE(1990,1,1))))/D976))*D976))&gt;IF('Deal maths'!Z976&gt;0,'Deal maths'!Z976,DATE(1990,1,1)),IF(DAY('Deal maths'!AA976+1)=1,EOMONTH('Deal maths'!AA976,-(INT(((YEAR('Deal maths'!AA976)-YEAR(IF('Deal maths'!Z976&gt;0,'Deal maths'!Z976,DATE(1990,1,1))))*12+MONTH('Deal maths'!AA976)-MONTH(IF('Deal maths'!Z976&gt;0,'Deal maths'!Z976,DATE(1990,1,1))))/D976))*D976),EDATE('Deal maths'!AA976,-(INT(((YEAR('Deal maths'!AA976)-YEAR(IF('Deal maths'!Z976&gt;0,'Deal maths'!Z976,DATE(1990,1,1))))*12+MONTH('Deal maths'!AA976)-MONTH(IF('Deal maths'!Z976&gt;0,'Deal maths'!Z976,DATE(1990,1,1))))/D976))*D976)),IF(DAY('Deal maths'!AA976+1)=1,EOMONTH('Deal maths'!AA976,-(INT(((YEAR('Deal maths'!AA976)-YEAR(IF('Deal maths'!Z976&gt;0,'Deal maths'!Z976,DATE(1990,1,1))))*12+MONTH('Deal maths'!AA976)-MONTH(IF('Deal maths'!Z976&gt;0,'Deal maths'!Z976,DATE(1990,1,1))))/D976)-1)*D976),EDATE('Deal maths'!AA976,-(INT(((YEAR('Deal maths'!AA976)-YEAR(IF('Deal maths'!Z976&gt;0,'Deal maths'!Z976,DATE(1990,1,1))))*12+MONTH('Deal maths'!AA976)-MONTH(IF('Deal maths'!Z976&gt;0,'Deal maths'!Z976,DATE(1990,1,1))))/D976)-1)*D976))))),0)</f>
        <v/>
      </c>
      <c r="F976" s="110">
        <f>IF(D976=0,0,'Deal maths'!AB976*D976/12)</f>
        <v/>
      </c>
      <c r="G976" s="108">
        <f>N976+O976</f>
        <v/>
      </c>
      <c r="H976" s="108">
        <f>IFERROR(IF(OR(D976=0,AsAt&lt;E976),0,MIN(N976,INT(((YEAR(AsAt)-YEAR(E976))*12+MONTH(AsAt)-MONTH(E976)-(DAY(AsAt)&lt;MIN(R976,DAY(EOMONTH(AsAt,0)))))/D976)+1)+O976*(AsAt&gt;='Deal maths'!AA976)),0)</f>
        <v/>
      </c>
      <c r="I976" s="108">
        <f>G976-H976</f>
        <v/>
      </c>
      <c r="J976" s="111">
        <f>IF(AND(C976="EIP",I976&gt;0),'Deal maths'!Y976/I976,0)</f>
        <v/>
      </c>
      <c r="K976" s="111">
        <f>IF(AND(C976="Annuity",I976&gt;0),IF(F976&gt;0,'Deal maths'!Y976*F976/(1-(1+F976)^-I976),'Deal maths'!Y976/I976),0)</f>
        <v/>
      </c>
      <c r="L976" s="111">
        <f>IF('Deal maths'!Y976="",0,'Deal maths'!Y976)</f>
        <v/>
      </c>
      <c r="M976" s="112">
        <f>F976+(F976=0)</f>
        <v/>
      </c>
      <c r="N976" s="108">
        <f>IFERROR(IF(D976=0,0,INT(((YEAR('Deal maths'!AA976)-YEAR(E976))*12+MONTH('Deal maths'!AA976)-MONTH(E976)-(DAY('Deal maths'!AA976)&lt;MIN(R976,DAY(EOMONTH('Deal maths'!AA976,0)))))/D976)+1),0)</f>
        <v/>
      </c>
      <c r="O976" s="108">
        <f>IFERROR(IF(D976=0,0,IF(IF(DAY(E976+1)=1,EOMONTH(E976,(N976-1)*D976),EDATE(E976,(N976-1)*D976))='Deal maths'!AA976,0,1)),0)</f>
        <v/>
      </c>
      <c r="P976" s="113">
        <f>IF(B976=0,0,IFERROR(IF(C976="EIP",((I976-O976)*((IF(DAY(E976+1)=1,EOMONTH(E976,H976*D976),EDATE(E976,H976*D976))-AsAt)/365.25+(IF(DAY(E976+1)=1,EOMONTH(E976,(N976-1)*D976),EDATE(E976,(N976-1)*D976))-AsAt)/365.25)/2+O976*('Deal maths'!AA976-AsAt)/365.25)/I976,IF(C976="Annuity",IF(F976&gt;0,((K976-L976*F976)*((IF(DAY(E976+1)=1,EOMONTH(E976,H976*D976),EDATE(E976,H976*D976))-AsAt)/365.25*((1+F976)^(I976-O976)-1)/F976+IF((I976-O976)&gt;1,((IF(DAY(E976+1)=1,EOMONTH(E976,(N976-1)*D976),EDATE(E976,(N976-1)*D976))-AsAt)/365.25-(IF(DAY(E976+1)=1,EOMONTH(E976,H976*D976),EDATE(E976,H976*D976))-AsAt)/365.25)/((I976-O976)-1),0)*(1+F976)*(1-(I976-O976)*(1+F976)^((I976-O976)-1)+((I976-O976)-1)*(1+F976)^(I976-O976))/F976^2)+O976*(K976-L976*F976)*(1+F976)^(I976-1)*('Deal maths'!AA976-AsAt)/365.25)/L976,((I976-O976)*((IF(DAY(E976+1)=1,EOMONTH(E976,H976*D976),EDATE(E976,H976*D976))-AsAt)/365.25+(IF(DAY(E976+1)=1,EOMONTH(E976,(N976-1)*D976),EDATE(E976,(N976-1)*D976))-AsAt)/365.25)/2+O976*('Deal maths'!AA976-AsAt)/365.25)/I976),(S976-AsAt)/365.25)),0))</f>
        <v/>
      </c>
      <c r="Q976" s="109">
        <f>IF(B976=1,'Deal maths'!AA976+ROW()/1000000,"")</f>
        <v/>
      </c>
      <c r="R976" s="108">
        <f>IF(D976=0,0,IF(DAY(E976+1)=1,31,DAY(E976)))</f>
        <v/>
      </c>
      <c r="S976" s="109">
        <f>IF(AND('Deal maths'!V976="LOBO",'Deal maths'!AG976&gt;AsAt,'Deal maths'!AG976&lt;'Deal maths'!AA976),'Deal maths'!AG976,'Deal maths'!AA976)</f>
        <v/>
      </c>
      <c r="T976" s="108">
        <f>('Deal maths'!AA976&gt;AsAt)*('Deal maths'!Y976&gt;0)</f>
        <v/>
      </c>
    </row>
    <row r="977">
      <c r="A977" s="91">
        <f>IF('Deal maths'!V977="","",'Deal maths'!W977)</f>
        <v/>
      </c>
      <c r="B977" s="108">
        <f>('Deal maths'!AA977&gt;AsAt)*('Deal maths'!Y977&gt;0)*('Deal maths'!Z977&lt;=AsAt)</f>
        <v/>
      </c>
      <c r="C977" s="91">
        <f>IF('Deal maths'!V977="","",IF('Deal maths'!AC977="","Maturity",'Deal maths'!AC977))</f>
        <v/>
      </c>
      <c r="D977" s="108">
        <f>IF(OR(C977="EIP",C977="Annuity"),IF('Deal maths'!AD977="Annual",12,IF('Deal maths'!AD977="Quarterly",3,6)),0)</f>
        <v/>
      </c>
      <c r="E977" s="109">
        <f>IFERROR(IF(D977=0,0,IF('Deal maths'!AE977&gt;0,IF('Deal maths'!AE977&gt;'Deal maths'!AA977,'Deal maths'!AA977,'Deal maths'!AE977),IF(IF(DAY('Deal maths'!AA977+1)=1,EOMONTH('Deal maths'!AA977,-(INT(((YEAR('Deal maths'!AA977)-YEAR(IF('Deal maths'!Z977&gt;0,'Deal maths'!Z977,DATE(1990,1,1))))*12+MONTH('Deal maths'!AA977)-MONTH(IF('Deal maths'!Z977&gt;0,'Deal maths'!Z977,DATE(1990,1,1))))/D977))*D977),EDATE('Deal maths'!AA977,-(INT(((YEAR('Deal maths'!AA977)-YEAR(IF('Deal maths'!Z977&gt;0,'Deal maths'!Z977,DATE(1990,1,1))))*12+MONTH('Deal maths'!AA977)-MONTH(IF('Deal maths'!Z977&gt;0,'Deal maths'!Z977,DATE(1990,1,1))))/D977))*D977))&gt;IF('Deal maths'!Z977&gt;0,'Deal maths'!Z977,DATE(1990,1,1)),IF(DAY('Deal maths'!AA977+1)=1,EOMONTH('Deal maths'!AA977,-(INT(((YEAR('Deal maths'!AA977)-YEAR(IF('Deal maths'!Z977&gt;0,'Deal maths'!Z977,DATE(1990,1,1))))*12+MONTH('Deal maths'!AA977)-MONTH(IF('Deal maths'!Z977&gt;0,'Deal maths'!Z977,DATE(1990,1,1))))/D977))*D977),EDATE('Deal maths'!AA977,-(INT(((YEAR('Deal maths'!AA977)-YEAR(IF('Deal maths'!Z977&gt;0,'Deal maths'!Z977,DATE(1990,1,1))))*12+MONTH('Deal maths'!AA977)-MONTH(IF('Deal maths'!Z977&gt;0,'Deal maths'!Z977,DATE(1990,1,1))))/D977))*D977)),IF(DAY('Deal maths'!AA977+1)=1,EOMONTH('Deal maths'!AA977,-(INT(((YEAR('Deal maths'!AA977)-YEAR(IF('Deal maths'!Z977&gt;0,'Deal maths'!Z977,DATE(1990,1,1))))*12+MONTH('Deal maths'!AA977)-MONTH(IF('Deal maths'!Z977&gt;0,'Deal maths'!Z977,DATE(1990,1,1))))/D977)-1)*D977),EDATE('Deal maths'!AA977,-(INT(((YEAR('Deal maths'!AA977)-YEAR(IF('Deal maths'!Z977&gt;0,'Deal maths'!Z977,DATE(1990,1,1))))*12+MONTH('Deal maths'!AA977)-MONTH(IF('Deal maths'!Z977&gt;0,'Deal maths'!Z977,DATE(1990,1,1))))/D977)-1)*D977))))),0)</f>
        <v/>
      </c>
      <c r="F977" s="110">
        <f>IF(D977=0,0,'Deal maths'!AB977*D977/12)</f>
        <v/>
      </c>
      <c r="G977" s="108">
        <f>N977+O977</f>
        <v/>
      </c>
      <c r="H977" s="108">
        <f>IFERROR(IF(OR(D977=0,AsAt&lt;E977),0,MIN(N977,INT(((YEAR(AsAt)-YEAR(E977))*12+MONTH(AsAt)-MONTH(E977)-(DAY(AsAt)&lt;MIN(R977,DAY(EOMONTH(AsAt,0)))))/D977)+1)+O977*(AsAt&gt;='Deal maths'!AA977)),0)</f>
        <v/>
      </c>
      <c r="I977" s="108">
        <f>G977-H977</f>
        <v/>
      </c>
      <c r="J977" s="111">
        <f>IF(AND(C977="EIP",I977&gt;0),'Deal maths'!Y977/I977,0)</f>
        <v/>
      </c>
      <c r="K977" s="111">
        <f>IF(AND(C977="Annuity",I977&gt;0),IF(F977&gt;0,'Deal maths'!Y977*F977/(1-(1+F977)^-I977),'Deal maths'!Y977/I977),0)</f>
        <v/>
      </c>
      <c r="L977" s="111">
        <f>IF('Deal maths'!Y977="",0,'Deal maths'!Y977)</f>
        <v/>
      </c>
      <c r="M977" s="112">
        <f>F977+(F977=0)</f>
        <v/>
      </c>
      <c r="N977" s="108">
        <f>IFERROR(IF(D977=0,0,INT(((YEAR('Deal maths'!AA977)-YEAR(E977))*12+MONTH('Deal maths'!AA977)-MONTH(E977)-(DAY('Deal maths'!AA977)&lt;MIN(R977,DAY(EOMONTH('Deal maths'!AA977,0)))))/D977)+1),0)</f>
        <v/>
      </c>
      <c r="O977" s="108">
        <f>IFERROR(IF(D977=0,0,IF(IF(DAY(E977+1)=1,EOMONTH(E977,(N977-1)*D977),EDATE(E977,(N977-1)*D977))='Deal maths'!AA977,0,1)),0)</f>
        <v/>
      </c>
      <c r="P977" s="113">
        <f>IF(B977=0,0,IFERROR(IF(C977="EIP",((I977-O977)*((IF(DAY(E977+1)=1,EOMONTH(E977,H977*D977),EDATE(E977,H977*D977))-AsAt)/365.25+(IF(DAY(E977+1)=1,EOMONTH(E977,(N977-1)*D977),EDATE(E977,(N977-1)*D977))-AsAt)/365.25)/2+O977*('Deal maths'!AA977-AsAt)/365.25)/I977,IF(C977="Annuity",IF(F977&gt;0,((K977-L977*F977)*((IF(DAY(E977+1)=1,EOMONTH(E977,H977*D977),EDATE(E977,H977*D977))-AsAt)/365.25*((1+F977)^(I977-O977)-1)/F977+IF((I977-O977)&gt;1,((IF(DAY(E977+1)=1,EOMONTH(E977,(N977-1)*D977),EDATE(E977,(N977-1)*D977))-AsAt)/365.25-(IF(DAY(E977+1)=1,EOMONTH(E977,H977*D977),EDATE(E977,H977*D977))-AsAt)/365.25)/((I977-O977)-1),0)*(1+F977)*(1-(I977-O977)*(1+F977)^((I977-O977)-1)+((I977-O977)-1)*(1+F977)^(I977-O977))/F977^2)+O977*(K977-L977*F977)*(1+F977)^(I977-1)*('Deal maths'!AA977-AsAt)/365.25)/L977,((I977-O977)*((IF(DAY(E977+1)=1,EOMONTH(E977,H977*D977),EDATE(E977,H977*D977))-AsAt)/365.25+(IF(DAY(E977+1)=1,EOMONTH(E977,(N977-1)*D977),EDATE(E977,(N977-1)*D977))-AsAt)/365.25)/2+O977*('Deal maths'!AA977-AsAt)/365.25)/I977),(S977-AsAt)/365.25)),0))</f>
        <v/>
      </c>
      <c r="Q977" s="109">
        <f>IF(B977=1,'Deal maths'!AA977+ROW()/1000000,"")</f>
        <v/>
      </c>
      <c r="R977" s="108">
        <f>IF(D977=0,0,IF(DAY(E977+1)=1,31,DAY(E977)))</f>
        <v/>
      </c>
      <c r="S977" s="109">
        <f>IF(AND('Deal maths'!V977="LOBO",'Deal maths'!AG977&gt;AsAt,'Deal maths'!AG977&lt;'Deal maths'!AA977),'Deal maths'!AG977,'Deal maths'!AA977)</f>
        <v/>
      </c>
      <c r="T977" s="108">
        <f>('Deal maths'!AA977&gt;AsAt)*('Deal maths'!Y977&gt;0)</f>
        <v/>
      </c>
    </row>
    <row r="978">
      <c r="A978" s="91">
        <f>IF('Deal maths'!V978="","",'Deal maths'!W978)</f>
        <v/>
      </c>
      <c r="B978" s="108">
        <f>('Deal maths'!AA978&gt;AsAt)*('Deal maths'!Y978&gt;0)*('Deal maths'!Z978&lt;=AsAt)</f>
        <v/>
      </c>
      <c r="C978" s="91">
        <f>IF('Deal maths'!V978="","",IF('Deal maths'!AC978="","Maturity",'Deal maths'!AC978))</f>
        <v/>
      </c>
      <c r="D978" s="108">
        <f>IF(OR(C978="EIP",C978="Annuity"),IF('Deal maths'!AD978="Annual",12,IF('Deal maths'!AD978="Quarterly",3,6)),0)</f>
        <v/>
      </c>
      <c r="E978" s="109">
        <f>IFERROR(IF(D978=0,0,IF('Deal maths'!AE978&gt;0,IF('Deal maths'!AE978&gt;'Deal maths'!AA978,'Deal maths'!AA978,'Deal maths'!AE978),IF(IF(DAY('Deal maths'!AA978+1)=1,EOMONTH('Deal maths'!AA978,-(INT(((YEAR('Deal maths'!AA978)-YEAR(IF('Deal maths'!Z978&gt;0,'Deal maths'!Z978,DATE(1990,1,1))))*12+MONTH('Deal maths'!AA978)-MONTH(IF('Deal maths'!Z978&gt;0,'Deal maths'!Z978,DATE(1990,1,1))))/D978))*D978),EDATE('Deal maths'!AA978,-(INT(((YEAR('Deal maths'!AA978)-YEAR(IF('Deal maths'!Z978&gt;0,'Deal maths'!Z978,DATE(1990,1,1))))*12+MONTH('Deal maths'!AA978)-MONTH(IF('Deal maths'!Z978&gt;0,'Deal maths'!Z978,DATE(1990,1,1))))/D978))*D978))&gt;IF('Deal maths'!Z978&gt;0,'Deal maths'!Z978,DATE(1990,1,1)),IF(DAY('Deal maths'!AA978+1)=1,EOMONTH('Deal maths'!AA978,-(INT(((YEAR('Deal maths'!AA978)-YEAR(IF('Deal maths'!Z978&gt;0,'Deal maths'!Z978,DATE(1990,1,1))))*12+MONTH('Deal maths'!AA978)-MONTH(IF('Deal maths'!Z978&gt;0,'Deal maths'!Z978,DATE(1990,1,1))))/D978))*D978),EDATE('Deal maths'!AA978,-(INT(((YEAR('Deal maths'!AA978)-YEAR(IF('Deal maths'!Z978&gt;0,'Deal maths'!Z978,DATE(1990,1,1))))*12+MONTH('Deal maths'!AA978)-MONTH(IF('Deal maths'!Z978&gt;0,'Deal maths'!Z978,DATE(1990,1,1))))/D978))*D978)),IF(DAY('Deal maths'!AA978+1)=1,EOMONTH('Deal maths'!AA978,-(INT(((YEAR('Deal maths'!AA978)-YEAR(IF('Deal maths'!Z978&gt;0,'Deal maths'!Z978,DATE(1990,1,1))))*12+MONTH('Deal maths'!AA978)-MONTH(IF('Deal maths'!Z978&gt;0,'Deal maths'!Z978,DATE(1990,1,1))))/D978)-1)*D978),EDATE('Deal maths'!AA978,-(INT(((YEAR('Deal maths'!AA978)-YEAR(IF('Deal maths'!Z978&gt;0,'Deal maths'!Z978,DATE(1990,1,1))))*12+MONTH('Deal maths'!AA978)-MONTH(IF('Deal maths'!Z978&gt;0,'Deal maths'!Z978,DATE(1990,1,1))))/D978)-1)*D978))))),0)</f>
        <v/>
      </c>
      <c r="F978" s="110">
        <f>IF(D978=0,0,'Deal maths'!AB978*D978/12)</f>
        <v/>
      </c>
      <c r="G978" s="108">
        <f>N978+O978</f>
        <v/>
      </c>
      <c r="H978" s="108">
        <f>IFERROR(IF(OR(D978=0,AsAt&lt;E978),0,MIN(N978,INT(((YEAR(AsAt)-YEAR(E978))*12+MONTH(AsAt)-MONTH(E978)-(DAY(AsAt)&lt;MIN(R978,DAY(EOMONTH(AsAt,0)))))/D978)+1)+O978*(AsAt&gt;='Deal maths'!AA978)),0)</f>
        <v/>
      </c>
      <c r="I978" s="108">
        <f>G978-H978</f>
        <v/>
      </c>
      <c r="J978" s="111">
        <f>IF(AND(C978="EIP",I978&gt;0),'Deal maths'!Y978/I978,0)</f>
        <v/>
      </c>
      <c r="K978" s="111">
        <f>IF(AND(C978="Annuity",I978&gt;0),IF(F978&gt;0,'Deal maths'!Y978*F978/(1-(1+F978)^-I978),'Deal maths'!Y978/I978),0)</f>
        <v/>
      </c>
      <c r="L978" s="111">
        <f>IF('Deal maths'!Y978="",0,'Deal maths'!Y978)</f>
        <v/>
      </c>
      <c r="M978" s="112">
        <f>F978+(F978=0)</f>
        <v/>
      </c>
      <c r="N978" s="108">
        <f>IFERROR(IF(D978=0,0,INT(((YEAR('Deal maths'!AA978)-YEAR(E978))*12+MONTH('Deal maths'!AA978)-MONTH(E978)-(DAY('Deal maths'!AA978)&lt;MIN(R978,DAY(EOMONTH('Deal maths'!AA978,0)))))/D978)+1),0)</f>
        <v/>
      </c>
      <c r="O978" s="108">
        <f>IFERROR(IF(D978=0,0,IF(IF(DAY(E978+1)=1,EOMONTH(E978,(N978-1)*D978),EDATE(E978,(N978-1)*D978))='Deal maths'!AA978,0,1)),0)</f>
        <v/>
      </c>
      <c r="P978" s="113">
        <f>IF(B978=0,0,IFERROR(IF(C978="EIP",((I978-O978)*((IF(DAY(E978+1)=1,EOMONTH(E978,H978*D978),EDATE(E978,H978*D978))-AsAt)/365.25+(IF(DAY(E978+1)=1,EOMONTH(E978,(N978-1)*D978),EDATE(E978,(N978-1)*D978))-AsAt)/365.25)/2+O978*('Deal maths'!AA978-AsAt)/365.25)/I978,IF(C978="Annuity",IF(F978&gt;0,((K978-L978*F978)*((IF(DAY(E978+1)=1,EOMONTH(E978,H978*D978),EDATE(E978,H978*D978))-AsAt)/365.25*((1+F978)^(I978-O978)-1)/F978+IF((I978-O978)&gt;1,((IF(DAY(E978+1)=1,EOMONTH(E978,(N978-1)*D978),EDATE(E978,(N978-1)*D978))-AsAt)/365.25-(IF(DAY(E978+1)=1,EOMONTH(E978,H978*D978),EDATE(E978,H978*D978))-AsAt)/365.25)/((I978-O978)-1),0)*(1+F978)*(1-(I978-O978)*(1+F978)^((I978-O978)-1)+((I978-O978)-1)*(1+F978)^(I978-O978))/F978^2)+O978*(K978-L978*F978)*(1+F978)^(I978-1)*('Deal maths'!AA978-AsAt)/365.25)/L978,((I978-O978)*((IF(DAY(E978+1)=1,EOMONTH(E978,H978*D978),EDATE(E978,H978*D978))-AsAt)/365.25+(IF(DAY(E978+1)=1,EOMONTH(E978,(N978-1)*D978),EDATE(E978,(N978-1)*D978))-AsAt)/365.25)/2+O978*('Deal maths'!AA978-AsAt)/365.25)/I978),(S978-AsAt)/365.25)),0))</f>
        <v/>
      </c>
      <c r="Q978" s="109">
        <f>IF(B978=1,'Deal maths'!AA978+ROW()/1000000,"")</f>
        <v/>
      </c>
      <c r="R978" s="108">
        <f>IF(D978=0,0,IF(DAY(E978+1)=1,31,DAY(E978)))</f>
        <v/>
      </c>
      <c r="S978" s="109">
        <f>IF(AND('Deal maths'!V978="LOBO",'Deal maths'!AG978&gt;AsAt,'Deal maths'!AG978&lt;'Deal maths'!AA978),'Deal maths'!AG978,'Deal maths'!AA978)</f>
        <v/>
      </c>
      <c r="T978" s="108">
        <f>('Deal maths'!AA978&gt;AsAt)*('Deal maths'!Y978&gt;0)</f>
        <v/>
      </c>
    </row>
    <row r="979">
      <c r="A979" s="91">
        <f>IF('Deal maths'!V979="","",'Deal maths'!W979)</f>
        <v/>
      </c>
      <c r="B979" s="108">
        <f>('Deal maths'!AA979&gt;AsAt)*('Deal maths'!Y979&gt;0)*('Deal maths'!Z979&lt;=AsAt)</f>
        <v/>
      </c>
      <c r="C979" s="91">
        <f>IF('Deal maths'!V979="","",IF('Deal maths'!AC979="","Maturity",'Deal maths'!AC979))</f>
        <v/>
      </c>
      <c r="D979" s="108">
        <f>IF(OR(C979="EIP",C979="Annuity"),IF('Deal maths'!AD979="Annual",12,IF('Deal maths'!AD979="Quarterly",3,6)),0)</f>
        <v/>
      </c>
      <c r="E979" s="109">
        <f>IFERROR(IF(D979=0,0,IF('Deal maths'!AE979&gt;0,IF('Deal maths'!AE979&gt;'Deal maths'!AA979,'Deal maths'!AA979,'Deal maths'!AE979),IF(IF(DAY('Deal maths'!AA979+1)=1,EOMONTH('Deal maths'!AA979,-(INT(((YEAR('Deal maths'!AA979)-YEAR(IF('Deal maths'!Z979&gt;0,'Deal maths'!Z979,DATE(1990,1,1))))*12+MONTH('Deal maths'!AA979)-MONTH(IF('Deal maths'!Z979&gt;0,'Deal maths'!Z979,DATE(1990,1,1))))/D979))*D979),EDATE('Deal maths'!AA979,-(INT(((YEAR('Deal maths'!AA979)-YEAR(IF('Deal maths'!Z979&gt;0,'Deal maths'!Z979,DATE(1990,1,1))))*12+MONTH('Deal maths'!AA979)-MONTH(IF('Deal maths'!Z979&gt;0,'Deal maths'!Z979,DATE(1990,1,1))))/D979))*D979))&gt;IF('Deal maths'!Z979&gt;0,'Deal maths'!Z979,DATE(1990,1,1)),IF(DAY('Deal maths'!AA979+1)=1,EOMONTH('Deal maths'!AA979,-(INT(((YEAR('Deal maths'!AA979)-YEAR(IF('Deal maths'!Z979&gt;0,'Deal maths'!Z979,DATE(1990,1,1))))*12+MONTH('Deal maths'!AA979)-MONTH(IF('Deal maths'!Z979&gt;0,'Deal maths'!Z979,DATE(1990,1,1))))/D979))*D979),EDATE('Deal maths'!AA979,-(INT(((YEAR('Deal maths'!AA979)-YEAR(IF('Deal maths'!Z979&gt;0,'Deal maths'!Z979,DATE(1990,1,1))))*12+MONTH('Deal maths'!AA979)-MONTH(IF('Deal maths'!Z979&gt;0,'Deal maths'!Z979,DATE(1990,1,1))))/D979))*D979)),IF(DAY('Deal maths'!AA979+1)=1,EOMONTH('Deal maths'!AA979,-(INT(((YEAR('Deal maths'!AA979)-YEAR(IF('Deal maths'!Z979&gt;0,'Deal maths'!Z979,DATE(1990,1,1))))*12+MONTH('Deal maths'!AA979)-MONTH(IF('Deal maths'!Z979&gt;0,'Deal maths'!Z979,DATE(1990,1,1))))/D979)-1)*D979),EDATE('Deal maths'!AA979,-(INT(((YEAR('Deal maths'!AA979)-YEAR(IF('Deal maths'!Z979&gt;0,'Deal maths'!Z979,DATE(1990,1,1))))*12+MONTH('Deal maths'!AA979)-MONTH(IF('Deal maths'!Z979&gt;0,'Deal maths'!Z979,DATE(1990,1,1))))/D979)-1)*D979))))),0)</f>
        <v/>
      </c>
      <c r="F979" s="110">
        <f>IF(D979=0,0,'Deal maths'!AB979*D979/12)</f>
        <v/>
      </c>
      <c r="G979" s="108">
        <f>N979+O979</f>
        <v/>
      </c>
      <c r="H979" s="108">
        <f>IFERROR(IF(OR(D979=0,AsAt&lt;E979),0,MIN(N979,INT(((YEAR(AsAt)-YEAR(E979))*12+MONTH(AsAt)-MONTH(E979)-(DAY(AsAt)&lt;MIN(R979,DAY(EOMONTH(AsAt,0)))))/D979)+1)+O979*(AsAt&gt;='Deal maths'!AA979)),0)</f>
        <v/>
      </c>
      <c r="I979" s="108">
        <f>G979-H979</f>
        <v/>
      </c>
      <c r="J979" s="111">
        <f>IF(AND(C979="EIP",I979&gt;0),'Deal maths'!Y979/I979,0)</f>
        <v/>
      </c>
      <c r="K979" s="111">
        <f>IF(AND(C979="Annuity",I979&gt;0),IF(F979&gt;0,'Deal maths'!Y979*F979/(1-(1+F979)^-I979),'Deal maths'!Y979/I979),0)</f>
        <v/>
      </c>
      <c r="L979" s="111">
        <f>IF('Deal maths'!Y979="",0,'Deal maths'!Y979)</f>
        <v/>
      </c>
      <c r="M979" s="112">
        <f>F979+(F979=0)</f>
        <v/>
      </c>
      <c r="N979" s="108">
        <f>IFERROR(IF(D979=0,0,INT(((YEAR('Deal maths'!AA979)-YEAR(E979))*12+MONTH('Deal maths'!AA979)-MONTH(E979)-(DAY('Deal maths'!AA979)&lt;MIN(R979,DAY(EOMONTH('Deal maths'!AA979,0)))))/D979)+1),0)</f>
        <v/>
      </c>
      <c r="O979" s="108">
        <f>IFERROR(IF(D979=0,0,IF(IF(DAY(E979+1)=1,EOMONTH(E979,(N979-1)*D979),EDATE(E979,(N979-1)*D979))='Deal maths'!AA979,0,1)),0)</f>
        <v/>
      </c>
      <c r="P979" s="113">
        <f>IF(B979=0,0,IFERROR(IF(C979="EIP",((I979-O979)*((IF(DAY(E979+1)=1,EOMONTH(E979,H979*D979),EDATE(E979,H979*D979))-AsAt)/365.25+(IF(DAY(E979+1)=1,EOMONTH(E979,(N979-1)*D979),EDATE(E979,(N979-1)*D979))-AsAt)/365.25)/2+O979*('Deal maths'!AA979-AsAt)/365.25)/I979,IF(C979="Annuity",IF(F979&gt;0,((K979-L979*F979)*((IF(DAY(E979+1)=1,EOMONTH(E979,H979*D979),EDATE(E979,H979*D979))-AsAt)/365.25*((1+F979)^(I979-O979)-1)/F979+IF((I979-O979)&gt;1,((IF(DAY(E979+1)=1,EOMONTH(E979,(N979-1)*D979),EDATE(E979,(N979-1)*D979))-AsAt)/365.25-(IF(DAY(E979+1)=1,EOMONTH(E979,H979*D979),EDATE(E979,H979*D979))-AsAt)/365.25)/((I979-O979)-1),0)*(1+F979)*(1-(I979-O979)*(1+F979)^((I979-O979)-1)+((I979-O979)-1)*(1+F979)^(I979-O979))/F979^2)+O979*(K979-L979*F979)*(1+F979)^(I979-1)*('Deal maths'!AA979-AsAt)/365.25)/L979,((I979-O979)*((IF(DAY(E979+1)=1,EOMONTH(E979,H979*D979),EDATE(E979,H979*D979))-AsAt)/365.25+(IF(DAY(E979+1)=1,EOMONTH(E979,(N979-1)*D979),EDATE(E979,(N979-1)*D979))-AsAt)/365.25)/2+O979*('Deal maths'!AA979-AsAt)/365.25)/I979),(S979-AsAt)/365.25)),0))</f>
        <v/>
      </c>
      <c r="Q979" s="109">
        <f>IF(B979=1,'Deal maths'!AA979+ROW()/1000000,"")</f>
        <v/>
      </c>
      <c r="R979" s="108">
        <f>IF(D979=0,0,IF(DAY(E979+1)=1,31,DAY(E979)))</f>
        <v/>
      </c>
      <c r="S979" s="109">
        <f>IF(AND('Deal maths'!V979="LOBO",'Deal maths'!AG979&gt;AsAt,'Deal maths'!AG979&lt;'Deal maths'!AA979),'Deal maths'!AG979,'Deal maths'!AA979)</f>
        <v/>
      </c>
      <c r="T979" s="108">
        <f>('Deal maths'!AA979&gt;AsAt)*('Deal maths'!Y979&gt;0)</f>
        <v/>
      </c>
    </row>
    <row r="980">
      <c r="A980" s="91">
        <f>IF('Deal maths'!V980="","",'Deal maths'!W980)</f>
        <v/>
      </c>
      <c r="B980" s="108">
        <f>('Deal maths'!AA980&gt;AsAt)*('Deal maths'!Y980&gt;0)*('Deal maths'!Z980&lt;=AsAt)</f>
        <v/>
      </c>
      <c r="C980" s="91">
        <f>IF('Deal maths'!V980="","",IF('Deal maths'!AC980="","Maturity",'Deal maths'!AC980))</f>
        <v/>
      </c>
      <c r="D980" s="108">
        <f>IF(OR(C980="EIP",C980="Annuity"),IF('Deal maths'!AD980="Annual",12,IF('Deal maths'!AD980="Quarterly",3,6)),0)</f>
        <v/>
      </c>
      <c r="E980" s="109">
        <f>IFERROR(IF(D980=0,0,IF('Deal maths'!AE980&gt;0,IF('Deal maths'!AE980&gt;'Deal maths'!AA980,'Deal maths'!AA980,'Deal maths'!AE980),IF(IF(DAY('Deal maths'!AA980+1)=1,EOMONTH('Deal maths'!AA980,-(INT(((YEAR('Deal maths'!AA980)-YEAR(IF('Deal maths'!Z980&gt;0,'Deal maths'!Z980,DATE(1990,1,1))))*12+MONTH('Deal maths'!AA980)-MONTH(IF('Deal maths'!Z980&gt;0,'Deal maths'!Z980,DATE(1990,1,1))))/D980))*D980),EDATE('Deal maths'!AA980,-(INT(((YEAR('Deal maths'!AA980)-YEAR(IF('Deal maths'!Z980&gt;0,'Deal maths'!Z980,DATE(1990,1,1))))*12+MONTH('Deal maths'!AA980)-MONTH(IF('Deal maths'!Z980&gt;0,'Deal maths'!Z980,DATE(1990,1,1))))/D980))*D980))&gt;IF('Deal maths'!Z980&gt;0,'Deal maths'!Z980,DATE(1990,1,1)),IF(DAY('Deal maths'!AA980+1)=1,EOMONTH('Deal maths'!AA980,-(INT(((YEAR('Deal maths'!AA980)-YEAR(IF('Deal maths'!Z980&gt;0,'Deal maths'!Z980,DATE(1990,1,1))))*12+MONTH('Deal maths'!AA980)-MONTH(IF('Deal maths'!Z980&gt;0,'Deal maths'!Z980,DATE(1990,1,1))))/D980))*D980),EDATE('Deal maths'!AA980,-(INT(((YEAR('Deal maths'!AA980)-YEAR(IF('Deal maths'!Z980&gt;0,'Deal maths'!Z980,DATE(1990,1,1))))*12+MONTH('Deal maths'!AA980)-MONTH(IF('Deal maths'!Z980&gt;0,'Deal maths'!Z980,DATE(1990,1,1))))/D980))*D980)),IF(DAY('Deal maths'!AA980+1)=1,EOMONTH('Deal maths'!AA980,-(INT(((YEAR('Deal maths'!AA980)-YEAR(IF('Deal maths'!Z980&gt;0,'Deal maths'!Z980,DATE(1990,1,1))))*12+MONTH('Deal maths'!AA980)-MONTH(IF('Deal maths'!Z980&gt;0,'Deal maths'!Z980,DATE(1990,1,1))))/D980)-1)*D980),EDATE('Deal maths'!AA980,-(INT(((YEAR('Deal maths'!AA980)-YEAR(IF('Deal maths'!Z980&gt;0,'Deal maths'!Z980,DATE(1990,1,1))))*12+MONTH('Deal maths'!AA980)-MONTH(IF('Deal maths'!Z980&gt;0,'Deal maths'!Z980,DATE(1990,1,1))))/D980)-1)*D980))))),0)</f>
        <v/>
      </c>
      <c r="F980" s="110">
        <f>IF(D980=0,0,'Deal maths'!AB980*D980/12)</f>
        <v/>
      </c>
      <c r="G980" s="108">
        <f>N980+O980</f>
        <v/>
      </c>
      <c r="H980" s="108">
        <f>IFERROR(IF(OR(D980=0,AsAt&lt;E980),0,MIN(N980,INT(((YEAR(AsAt)-YEAR(E980))*12+MONTH(AsAt)-MONTH(E980)-(DAY(AsAt)&lt;MIN(R980,DAY(EOMONTH(AsAt,0)))))/D980)+1)+O980*(AsAt&gt;='Deal maths'!AA980)),0)</f>
        <v/>
      </c>
      <c r="I980" s="108">
        <f>G980-H980</f>
        <v/>
      </c>
      <c r="J980" s="111">
        <f>IF(AND(C980="EIP",I980&gt;0),'Deal maths'!Y980/I980,0)</f>
        <v/>
      </c>
      <c r="K980" s="111">
        <f>IF(AND(C980="Annuity",I980&gt;0),IF(F980&gt;0,'Deal maths'!Y980*F980/(1-(1+F980)^-I980),'Deal maths'!Y980/I980),0)</f>
        <v/>
      </c>
      <c r="L980" s="111">
        <f>IF('Deal maths'!Y980="",0,'Deal maths'!Y980)</f>
        <v/>
      </c>
      <c r="M980" s="112">
        <f>F980+(F980=0)</f>
        <v/>
      </c>
      <c r="N980" s="108">
        <f>IFERROR(IF(D980=0,0,INT(((YEAR('Deal maths'!AA980)-YEAR(E980))*12+MONTH('Deal maths'!AA980)-MONTH(E980)-(DAY('Deal maths'!AA980)&lt;MIN(R980,DAY(EOMONTH('Deal maths'!AA980,0)))))/D980)+1),0)</f>
        <v/>
      </c>
      <c r="O980" s="108">
        <f>IFERROR(IF(D980=0,0,IF(IF(DAY(E980+1)=1,EOMONTH(E980,(N980-1)*D980),EDATE(E980,(N980-1)*D980))='Deal maths'!AA980,0,1)),0)</f>
        <v/>
      </c>
      <c r="P980" s="113">
        <f>IF(B980=0,0,IFERROR(IF(C980="EIP",((I980-O980)*((IF(DAY(E980+1)=1,EOMONTH(E980,H980*D980),EDATE(E980,H980*D980))-AsAt)/365.25+(IF(DAY(E980+1)=1,EOMONTH(E980,(N980-1)*D980),EDATE(E980,(N980-1)*D980))-AsAt)/365.25)/2+O980*('Deal maths'!AA980-AsAt)/365.25)/I980,IF(C980="Annuity",IF(F980&gt;0,((K980-L980*F980)*((IF(DAY(E980+1)=1,EOMONTH(E980,H980*D980),EDATE(E980,H980*D980))-AsAt)/365.25*((1+F980)^(I980-O980)-1)/F980+IF((I980-O980)&gt;1,((IF(DAY(E980+1)=1,EOMONTH(E980,(N980-1)*D980),EDATE(E980,(N980-1)*D980))-AsAt)/365.25-(IF(DAY(E980+1)=1,EOMONTH(E980,H980*D980),EDATE(E980,H980*D980))-AsAt)/365.25)/((I980-O980)-1),0)*(1+F980)*(1-(I980-O980)*(1+F980)^((I980-O980)-1)+((I980-O980)-1)*(1+F980)^(I980-O980))/F980^2)+O980*(K980-L980*F980)*(1+F980)^(I980-1)*('Deal maths'!AA980-AsAt)/365.25)/L980,((I980-O980)*((IF(DAY(E980+1)=1,EOMONTH(E980,H980*D980),EDATE(E980,H980*D980))-AsAt)/365.25+(IF(DAY(E980+1)=1,EOMONTH(E980,(N980-1)*D980),EDATE(E980,(N980-1)*D980))-AsAt)/365.25)/2+O980*('Deal maths'!AA980-AsAt)/365.25)/I980),(S980-AsAt)/365.25)),0))</f>
        <v/>
      </c>
      <c r="Q980" s="109">
        <f>IF(B980=1,'Deal maths'!AA980+ROW()/1000000,"")</f>
        <v/>
      </c>
      <c r="R980" s="108">
        <f>IF(D980=0,0,IF(DAY(E980+1)=1,31,DAY(E980)))</f>
        <v/>
      </c>
      <c r="S980" s="109">
        <f>IF(AND('Deal maths'!V980="LOBO",'Deal maths'!AG980&gt;AsAt,'Deal maths'!AG980&lt;'Deal maths'!AA980),'Deal maths'!AG980,'Deal maths'!AA980)</f>
        <v/>
      </c>
      <c r="T980" s="108">
        <f>('Deal maths'!AA980&gt;AsAt)*('Deal maths'!Y980&gt;0)</f>
        <v/>
      </c>
    </row>
    <row r="981">
      <c r="A981" s="91">
        <f>IF('Deal maths'!V981="","",'Deal maths'!W981)</f>
        <v/>
      </c>
      <c r="B981" s="108">
        <f>('Deal maths'!AA981&gt;AsAt)*('Deal maths'!Y981&gt;0)*('Deal maths'!Z981&lt;=AsAt)</f>
        <v/>
      </c>
      <c r="C981" s="91">
        <f>IF('Deal maths'!V981="","",IF('Deal maths'!AC981="","Maturity",'Deal maths'!AC981))</f>
        <v/>
      </c>
      <c r="D981" s="108">
        <f>IF(OR(C981="EIP",C981="Annuity"),IF('Deal maths'!AD981="Annual",12,IF('Deal maths'!AD981="Quarterly",3,6)),0)</f>
        <v/>
      </c>
      <c r="E981" s="109">
        <f>IFERROR(IF(D981=0,0,IF('Deal maths'!AE981&gt;0,IF('Deal maths'!AE981&gt;'Deal maths'!AA981,'Deal maths'!AA981,'Deal maths'!AE981),IF(IF(DAY('Deal maths'!AA981+1)=1,EOMONTH('Deal maths'!AA981,-(INT(((YEAR('Deal maths'!AA981)-YEAR(IF('Deal maths'!Z981&gt;0,'Deal maths'!Z981,DATE(1990,1,1))))*12+MONTH('Deal maths'!AA981)-MONTH(IF('Deal maths'!Z981&gt;0,'Deal maths'!Z981,DATE(1990,1,1))))/D981))*D981),EDATE('Deal maths'!AA981,-(INT(((YEAR('Deal maths'!AA981)-YEAR(IF('Deal maths'!Z981&gt;0,'Deal maths'!Z981,DATE(1990,1,1))))*12+MONTH('Deal maths'!AA981)-MONTH(IF('Deal maths'!Z981&gt;0,'Deal maths'!Z981,DATE(1990,1,1))))/D981))*D981))&gt;IF('Deal maths'!Z981&gt;0,'Deal maths'!Z981,DATE(1990,1,1)),IF(DAY('Deal maths'!AA981+1)=1,EOMONTH('Deal maths'!AA981,-(INT(((YEAR('Deal maths'!AA981)-YEAR(IF('Deal maths'!Z981&gt;0,'Deal maths'!Z981,DATE(1990,1,1))))*12+MONTH('Deal maths'!AA981)-MONTH(IF('Deal maths'!Z981&gt;0,'Deal maths'!Z981,DATE(1990,1,1))))/D981))*D981),EDATE('Deal maths'!AA981,-(INT(((YEAR('Deal maths'!AA981)-YEAR(IF('Deal maths'!Z981&gt;0,'Deal maths'!Z981,DATE(1990,1,1))))*12+MONTH('Deal maths'!AA981)-MONTH(IF('Deal maths'!Z981&gt;0,'Deal maths'!Z981,DATE(1990,1,1))))/D981))*D981)),IF(DAY('Deal maths'!AA981+1)=1,EOMONTH('Deal maths'!AA981,-(INT(((YEAR('Deal maths'!AA981)-YEAR(IF('Deal maths'!Z981&gt;0,'Deal maths'!Z981,DATE(1990,1,1))))*12+MONTH('Deal maths'!AA981)-MONTH(IF('Deal maths'!Z981&gt;0,'Deal maths'!Z981,DATE(1990,1,1))))/D981)-1)*D981),EDATE('Deal maths'!AA981,-(INT(((YEAR('Deal maths'!AA981)-YEAR(IF('Deal maths'!Z981&gt;0,'Deal maths'!Z981,DATE(1990,1,1))))*12+MONTH('Deal maths'!AA981)-MONTH(IF('Deal maths'!Z981&gt;0,'Deal maths'!Z981,DATE(1990,1,1))))/D981)-1)*D981))))),0)</f>
        <v/>
      </c>
      <c r="F981" s="110">
        <f>IF(D981=0,0,'Deal maths'!AB981*D981/12)</f>
        <v/>
      </c>
      <c r="G981" s="108">
        <f>N981+O981</f>
        <v/>
      </c>
      <c r="H981" s="108">
        <f>IFERROR(IF(OR(D981=0,AsAt&lt;E981),0,MIN(N981,INT(((YEAR(AsAt)-YEAR(E981))*12+MONTH(AsAt)-MONTH(E981)-(DAY(AsAt)&lt;MIN(R981,DAY(EOMONTH(AsAt,0)))))/D981)+1)+O981*(AsAt&gt;='Deal maths'!AA981)),0)</f>
        <v/>
      </c>
      <c r="I981" s="108">
        <f>G981-H981</f>
        <v/>
      </c>
      <c r="J981" s="111">
        <f>IF(AND(C981="EIP",I981&gt;0),'Deal maths'!Y981/I981,0)</f>
        <v/>
      </c>
      <c r="K981" s="111">
        <f>IF(AND(C981="Annuity",I981&gt;0),IF(F981&gt;0,'Deal maths'!Y981*F981/(1-(1+F981)^-I981),'Deal maths'!Y981/I981),0)</f>
        <v/>
      </c>
      <c r="L981" s="111">
        <f>IF('Deal maths'!Y981="",0,'Deal maths'!Y981)</f>
        <v/>
      </c>
      <c r="M981" s="112">
        <f>F981+(F981=0)</f>
        <v/>
      </c>
      <c r="N981" s="108">
        <f>IFERROR(IF(D981=0,0,INT(((YEAR('Deal maths'!AA981)-YEAR(E981))*12+MONTH('Deal maths'!AA981)-MONTH(E981)-(DAY('Deal maths'!AA981)&lt;MIN(R981,DAY(EOMONTH('Deal maths'!AA981,0)))))/D981)+1),0)</f>
        <v/>
      </c>
      <c r="O981" s="108">
        <f>IFERROR(IF(D981=0,0,IF(IF(DAY(E981+1)=1,EOMONTH(E981,(N981-1)*D981),EDATE(E981,(N981-1)*D981))='Deal maths'!AA981,0,1)),0)</f>
        <v/>
      </c>
      <c r="P981" s="113">
        <f>IF(B981=0,0,IFERROR(IF(C981="EIP",((I981-O981)*((IF(DAY(E981+1)=1,EOMONTH(E981,H981*D981),EDATE(E981,H981*D981))-AsAt)/365.25+(IF(DAY(E981+1)=1,EOMONTH(E981,(N981-1)*D981),EDATE(E981,(N981-1)*D981))-AsAt)/365.25)/2+O981*('Deal maths'!AA981-AsAt)/365.25)/I981,IF(C981="Annuity",IF(F981&gt;0,((K981-L981*F981)*((IF(DAY(E981+1)=1,EOMONTH(E981,H981*D981),EDATE(E981,H981*D981))-AsAt)/365.25*((1+F981)^(I981-O981)-1)/F981+IF((I981-O981)&gt;1,((IF(DAY(E981+1)=1,EOMONTH(E981,(N981-1)*D981),EDATE(E981,(N981-1)*D981))-AsAt)/365.25-(IF(DAY(E981+1)=1,EOMONTH(E981,H981*D981),EDATE(E981,H981*D981))-AsAt)/365.25)/((I981-O981)-1),0)*(1+F981)*(1-(I981-O981)*(1+F981)^((I981-O981)-1)+((I981-O981)-1)*(1+F981)^(I981-O981))/F981^2)+O981*(K981-L981*F981)*(1+F981)^(I981-1)*('Deal maths'!AA981-AsAt)/365.25)/L981,((I981-O981)*((IF(DAY(E981+1)=1,EOMONTH(E981,H981*D981),EDATE(E981,H981*D981))-AsAt)/365.25+(IF(DAY(E981+1)=1,EOMONTH(E981,(N981-1)*D981),EDATE(E981,(N981-1)*D981))-AsAt)/365.25)/2+O981*('Deal maths'!AA981-AsAt)/365.25)/I981),(S981-AsAt)/365.25)),0))</f>
        <v/>
      </c>
      <c r="Q981" s="109">
        <f>IF(B981=1,'Deal maths'!AA981+ROW()/1000000,"")</f>
        <v/>
      </c>
      <c r="R981" s="108">
        <f>IF(D981=0,0,IF(DAY(E981+1)=1,31,DAY(E981)))</f>
        <v/>
      </c>
      <c r="S981" s="109">
        <f>IF(AND('Deal maths'!V981="LOBO",'Deal maths'!AG981&gt;AsAt,'Deal maths'!AG981&lt;'Deal maths'!AA981),'Deal maths'!AG981,'Deal maths'!AA981)</f>
        <v/>
      </c>
      <c r="T981" s="108">
        <f>('Deal maths'!AA981&gt;AsAt)*('Deal maths'!Y981&gt;0)</f>
        <v/>
      </c>
    </row>
    <row r="982">
      <c r="A982" s="91">
        <f>IF('Deal maths'!V982="","",'Deal maths'!W982)</f>
        <v/>
      </c>
      <c r="B982" s="108">
        <f>('Deal maths'!AA982&gt;AsAt)*('Deal maths'!Y982&gt;0)*('Deal maths'!Z982&lt;=AsAt)</f>
        <v/>
      </c>
      <c r="C982" s="91">
        <f>IF('Deal maths'!V982="","",IF('Deal maths'!AC982="","Maturity",'Deal maths'!AC982))</f>
        <v/>
      </c>
      <c r="D982" s="108">
        <f>IF(OR(C982="EIP",C982="Annuity"),IF('Deal maths'!AD982="Annual",12,IF('Deal maths'!AD982="Quarterly",3,6)),0)</f>
        <v/>
      </c>
      <c r="E982" s="109">
        <f>IFERROR(IF(D982=0,0,IF('Deal maths'!AE982&gt;0,IF('Deal maths'!AE982&gt;'Deal maths'!AA982,'Deal maths'!AA982,'Deal maths'!AE982),IF(IF(DAY('Deal maths'!AA982+1)=1,EOMONTH('Deal maths'!AA982,-(INT(((YEAR('Deal maths'!AA982)-YEAR(IF('Deal maths'!Z982&gt;0,'Deal maths'!Z982,DATE(1990,1,1))))*12+MONTH('Deal maths'!AA982)-MONTH(IF('Deal maths'!Z982&gt;0,'Deal maths'!Z982,DATE(1990,1,1))))/D982))*D982),EDATE('Deal maths'!AA982,-(INT(((YEAR('Deal maths'!AA982)-YEAR(IF('Deal maths'!Z982&gt;0,'Deal maths'!Z982,DATE(1990,1,1))))*12+MONTH('Deal maths'!AA982)-MONTH(IF('Deal maths'!Z982&gt;0,'Deal maths'!Z982,DATE(1990,1,1))))/D982))*D982))&gt;IF('Deal maths'!Z982&gt;0,'Deal maths'!Z982,DATE(1990,1,1)),IF(DAY('Deal maths'!AA982+1)=1,EOMONTH('Deal maths'!AA982,-(INT(((YEAR('Deal maths'!AA982)-YEAR(IF('Deal maths'!Z982&gt;0,'Deal maths'!Z982,DATE(1990,1,1))))*12+MONTH('Deal maths'!AA982)-MONTH(IF('Deal maths'!Z982&gt;0,'Deal maths'!Z982,DATE(1990,1,1))))/D982))*D982),EDATE('Deal maths'!AA982,-(INT(((YEAR('Deal maths'!AA982)-YEAR(IF('Deal maths'!Z982&gt;0,'Deal maths'!Z982,DATE(1990,1,1))))*12+MONTH('Deal maths'!AA982)-MONTH(IF('Deal maths'!Z982&gt;0,'Deal maths'!Z982,DATE(1990,1,1))))/D982))*D982)),IF(DAY('Deal maths'!AA982+1)=1,EOMONTH('Deal maths'!AA982,-(INT(((YEAR('Deal maths'!AA982)-YEAR(IF('Deal maths'!Z982&gt;0,'Deal maths'!Z982,DATE(1990,1,1))))*12+MONTH('Deal maths'!AA982)-MONTH(IF('Deal maths'!Z982&gt;0,'Deal maths'!Z982,DATE(1990,1,1))))/D982)-1)*D982),EDATE('Deal maths'!AA982,-(INT(((YEAR('Deal maths'!AA982)-YEAR(IF('Deal maths'!Z982&gt;0,'Deal maths'!Z982,DATE(1990,1,1))))*12+MONTH('Deal maths'!AA982)-MONTH(IF('Deal maths'!Z982&gt;0,'Deal maths'!Z982,DATE(1990,1,1))))/D982)-1)*D982))))),0)</f>
        <v/>
      </c>
      <c r="F982" s="110">
        <f>IF(D982=0,0,'Deal maths'!AB982*D982/12)</f>
        <v/>
      </c>
      <c r="G982" s="108">
        <f>N982+O982</f>
        <v/>
      </c>
      <c r="H982" s="108">
        <f>IFERROR(IF(OR(D982=0,AsAt&lt;E982),0,MIN(N982,INT(((YEAR(AsAt)-YEAR(E982))*12+MONTH(AsAt)-MONTH(E982)-(DAY(AsAt)&lt;MIN(R982,DAY(EOMONTH(AsAt,0)))))/D982)+1)+O982*(AsAt&gt;='Deal maths'!AA982)),0)</f>
        <v/>
      </c>
      <c r="I982" s="108">
        <f>G982-H982</f>
        <v/>
      </c>
      <c r="J982" s="111">
        <f>IF(AND(C982="EIP",I982&gt;0),'Deal maths'!Y982/I982,0)</f>
        <v/>
      </c>
      <c r="K982" s="111">
        <f>IF(AND(C982="Annuity",I982&gt;0),IF(F982&gt;0,'Deal maths'!Y982*F982/(1-(1+F982)^-I982),'Deal maths'!Y982/I982),0)</f>
        <v/>
      </c>
      <c r="L982" s="111">
        <f>IF('Deal maths'!Y982="",0,'Deal maths'!Y982)</f>
        <v/>
      </c>
      <c r="M982" s="112">
        <f>F982+(F982=0)</f>
        <v/>
      </c>
      <c r="N982" s="108">
        <f>IFERROR(IF(D982=0,0,INT(((YEAR('Deal maths'!AA982)-YEAR(E982))*12+MONTH('Deal maths'!AA982)-MONTH(E982)-(DAY('Deal maths'!AA982)&lt;MIN(R982,DAY(EOMONTH('Deal maths'!AA982,0)))))/D982)+1),0)</f>
        <v/>
      </c>
      <c r="O982" s="108">
        <f>IFERROR(IF(D982=0,0,IF(IF(DAY(E982+1)=1,EOMONTH(E982,(N982-1)*D982),EDATE(E982,(N982-1)*D982))='Deal maths'!AA982,0,1)),0)</f>
        <v/>
      </c>
      <c r="P982" s="113">
        <f>IF(B982=0,0,IFERROR(IF(C982="EIP",((I982-O982)*((IF(DAY(E982+1)=1,EOMONTH(E982,H982*D982),EDATE(E982,H982*D982))-AsAt)/365.25+(IF(DAY(E982+1)=1,EOMONTH(E982,(N982-1)*D982),EDATE(E982,(N982-1)*D982))-AsAt)/365.25)/2+O982*('Deal maths'!AA982-AsAt)/365.25)/I982,IF(C982="Annuity",IF(F982&gt;0,((K982-L982*F982)*((IF(DAY(E982+1)=1,EOMONTH(E982,H982*D982),EDATE(E982,H982*D982))-AsAt)/365.25*((1+F982)^(I982-O982)-1)/F982+IF((I982-O982)&gt;1,((IF(DAY(E982+1)=1,EOMONTH(E982,(N982-1)*D982),EDATE(E982,(N982-1)*D982))-AsAt)/365.25-(IF(DAY(E982+1)=1,EOMONTH(E982,H982*D982),EDATE(E982,H982*D982))-AsAt)/365.25)/((I982-O982)-1),0)*(1+F982)*(1-(I982-O982)*(1+F982)^((I982-O982)-1)+((I982-O982)-1)*(1+F982)^(I982-O982))/F982^2)+O982*(K982-L982*F982)*(1+F982)^(I982-1)*('Deal maths'!AA982-AsAt)/365.25)/L982,((I982-O982)*((IF(DAY(E982+1)=1,EOMONTH(E982,H982*D982),EDATE(E982,H982*D982))-AsAt)/365.25+(IF(DAY(E982+1)=1,EOMONTH(E982,(N982-1)*D982),EDATE(E982,(N982-1)*D982))-AsAt)/365.25)/2+O982*('Deal maths'!AA982-AsAt)/365.25)/I982),(S982-AsAt)/365.25)),0))</f>
        <v/>
      </c>
      <c r="Q982" s="109">
        <f>IF(B982=1,'Deal maths'!AA982+ROW()/1000000,"")</f>
        <v/>
      </c>
      <c r="R982" s="108">
        <f>IF(D982=0,0,IF(DAY(E982+1)=1,31,DAY(E982)))</f>
        <v/>
      </c>
      <c r="S982" s="109">
        <f>IF(AND('Deal maths'!V982="LOBO",'Deal maths'!AG982&gt;AsAt,'Deal maths'!AG982&lt;'Deal maths'!AA982),'Deal maths'!AG982,'Deal maths'!AA982)</f>
        <v/>
      </c>
      <c r="T982" s="108">
        <f>('Deal maths'!AA982&gt;AsAt)*('Deal maths'!Y982&gt;0)</f>
        <v/>
      </c>
    </row>
    <row r="983">
      <c r="A983" s="91">
        <f>IF('Deal maths'!V983="","",'Deal maths'!W983)</f>
        <v/>
      </c>
      <c r="B983" s="108">
        <f>('Deal maths'!AA983&gt;AsAt)*('Deal maths'!Y983&gt;0)*('Deal maths'!Z983&lt;=AsAt)</f>
        <v/>
      </c>
      <c r="C983" s="91">
        <f>IF('Deal maths'!V983="","",IF('Deal maths'!AC983="","Maturity",'Deal maths'!AC983))</f>
        <v/>
      </c>
      <c r="D983" s="108">
        <f>IF(OR(C983="EIP",C983="Annuity"),IF('Deal maths'!AD983="Annual",12,IF('Deal maths'!AD983="Quarterly",3,6)),0)</f>
        <v/>
      </c>
      <c r="E983" s="109">
        <f>IFERROR(IF(D983=0,0,IF('Deal maths'!AE983&gt;0,IF('Deal maths'!AE983&gt;'Deal maths'!AA983,'Deal maths'!AA983,'Deal maths'!AE983),IF(IF(DAY('Deal maths'!AA983+1)=1,EOMONTH('Deal maths'!AA983,-(INT(((YEAR('Deal maths'!AA983)-YEAR(IF('Deal maths'!Z983&gt;0,'Deal maths'!Z983,DATE(1990,1,1))))*12+MONTH('Deal maths'!AA983)-MONTH(IF('Deal maths'!Z983&gt;0,'Deal maths'!Z983,DATE(1990,1,1))))/D983))*D983),EDATE('Deal maths'!AA983,-(INT(((YEAR('Deal maths'!AA983)-YEAR(IF('Deal maths'!Z983&gt;0,'Deal maths'!Z983,DATE(1990,1,1))))*12+MONTH('Deal maths'!AA983)-MONTH(IF('Deal maths'!Z983&gt;0,'Deal maths'!Z983,DATE(1990,1,1))))/D983))*D983))&gt;IF('Deal maths'!Z983&gt;0,'Deal maths'!Z983,DATE(1990,1,1)),IF(DAY('Deal maths'!AA983+1)=1,EOMONTH('Deal maths'!AA983,-(INT(((YEAR('Deal maths'!AA983)-YEAR(IF('Deal maths'!Z983&gt;0,'Deal maths'!Z983,DATE(1990,1,1))))*12+MONTH('Deal maths'!AA983)-MONTH(IF('Deal maths'!Z983&gt;0,'Deal maths'!Z983,DATE(1990,1,1))))/D983))*D983),EDATE('Deal maths'!AA983,-(INT(((YEAR('Deal maths'!AA983)-YEAR(IF('Deal maths'!Z983&gt;0,'Deal maths'!Z983,DATE(1990,1,1))))*12+MONTH('Deal maths'!AA983)-MONTH(IF('Deal maths'!Z983&gt;0,'Deal maths'!Z983,DATE(1990,1,1))))/D983))*D983)),IF(DAY('Deal maths'!AA983+1)=1,EOMONTH('Deal maths'!AA983,-(INT(((YEAR('Deal maths'!AA983)-YEAR(IF('Deal maths'!Z983&gt;0,'Deal maths'!Z983,DATE(1990,1,1))))*12+MONTH('Deal maths'!AA983)-MONTH(IF('Deal maths'!Z983&gt;0,'Deal maths'!Z983,DATE(1990,1,1))))/D983)-1)*D983),EDATE('Deal maths'!AA983,-(INT(((YEAR('Deal maths'!AA983)-YEAR(IF('Deal maths'!Z983&gt;0,'Deal maths'!Z983,DATE(1990,1,1))))*12+MONTH('Deal maths'!AA983)-MONTH(IF('Deal maths'!Z983&gt;0,'Deal maths'!Z983,DATE(1990,1,1))))/D983)-1)*D983))))),0)</f>
        <v/>
      </c>
      <c r="F983" s="110">
        <f>IF(D983=0,0,'Deal maths'!AB983*D983/12)</f>
        <v/>
      </c>
      <c r="G983" s="108">
        <f>N983+O983</f>
        <v/>
      </c>
      <c r="H983" s="108">
        <f>IFERROR(IF(OR(D983=0,AsAt&lt;E983),0,MIN(N983,INT(((YEAR(AsAt)-YEAR(E983))*12+MONTH(AsAt)-MONTH(E983)-(DAY(AsAt)&lt;MIN(R983,DAY(EOMONTH(AsAt,0)))))/D983)+1)+O983*(AsAt&gt;='Deal maths'!AA983)),0)</f>
        <v/>
      </c>
      <c r="I983" s="108">
        <f>G983-H983</f>
        <v/>
      </c>
      <c r="J983" s="111">
        <f>IF(AND(C983="EIP",I983&gt;0),'Deal maths'!Y983/I983,0)</f>
        <v/>
      </c>
      <c r="K983" s="111">
        <f>IF(AND(C983="Annuity",I983&gt;0),IF(F983&gt;0,'Deal maths'!Y983*F983/(1-(1+F983)^-I983),'Deal maths'!Y983/I983),0)</f>
        <v/>
      </c>
      <c r="L983" s="111">
        <f>IF('Deal maths'!Y983="",0,'Deal maths'!Y983)</f>
        <v/>
      </c>
      <c r="M983" s="112">
        <f>F983+(F983=0)</f>
        <v/>
      </c>
      <c r="N983" s="108">
        <f>IFERROR(IF(D983=0,0,INT(((YEAR('Deal maths'!AA983)-YEAR(E983))*12+MONTH('Deal maths'!AA983)-MONTH(E983)-(DAY('Deal maths'!AA983)&lt;MIN(R983,DAY(EOMONTH('Deal maths'!AA983,0)))))/D983)+1),0)</f>
        <v/>
      </c>
      <c r="O983" s="108">
        <f>IFERROR(IF(D983=0,0,IF(IF(DAY(E983+1)=1,EOMONTH(E983,(N983-1)*D983),EDATE(E983,(N983-1)*D983))='Deal maths'!AA983,0,1)),0)</f>
        <v/>
      </c>
      <c r="P983" s="113">
        <f>IF(B983=0,0,IFERROR(IF(C983="EIP",((I983-O983)*((IF(DAY(E983+1)=1,EOMONTH(E983,H983*D983),EDATE(E983,H983*D983))-AsAt)/365.25+(IF(DAY(E983+1)=1,EOMONTH(E983,(N983-1)*D983),EDATE(E983,(N983-1)*D983))-AsAt)/365.25)/2+O983*('Deal maths'!AA983-AsAt)/365.25)/I983,IF(C983="Annuity",IF(F983&gt;0,((K983-L983*F983)*((IF(DAY(E983+1)=1,EOMONTH(E983,H983*D983),EDATE(E983,H983*D983))-AsAt)/365.25*((1+F983)^(I983-O983)-1)/F983+IF((I983-O983)&gt;1,((IF(DAY(E983+1)=1,EOMONTH(E983,(N983-1)*D983),EDATE(E983,(N983-1)*D983))-AsAt)/365.25-(IF(DAY(E983+1)=1,EOMONTH(E983,H983*D983),EDATE(E983,H983*D983))-AsAt)/365.25)/((I983-O983)-1),0)*(1+F983)*(1-(I983-O983)*(1+F983)^((I983-O983)-1)+((I983-O983)-1)*(1+F983)^(I983-O983))/F983^2)+O983*(K983-L983*F983)*(1+F983)^(I983-1)*('Deal maths'!AA983-AsAt)/365.25)/L983,((I983-O983)*((IF(DAY(E983+1)=1,EOMONTH(E983,H983*D983),EDATE(E983,H983*D983))-AsAt)/365.25+(IF(DAY(E983+1)=1,EOMONTH(E983,(N983-1)*D983),EDATE(E983,(N983-1)*D983))-AsAt)/365.25)/2+O983*('Deal maths'!AA983-AsAt)/365.25)/I983),(S983-AsAt)/365.25)),0))</f>
        <v/>
      </c>
      <c r="Q983" s="109">
        <f>IF(B983=1,'Deal maths'!AA983+ROW()/1000000,"")</f>
        <v/>
      </c>
      <c r="R983" s="108">
        <f>IF(D983=0,0,IF(DAY(E983+1)=1,31,DAY(E983)))</f>
        <v/>
      </c>
      <c r="S983" s="109">
        <f>IF(AND('Deal maths'!V983="LOBO",'Deal maths'!AG983&gt;AsAt,'Deal maths'!AG983&lt;'Deal maths'!AA983),'Deal maths'!AG983,'Deal maths'!AA983)</f>
        <v/>
      </c>
      <c r="T983" s="108">
        <f>('Deal maths'!AA983&gt;AsAt)*('Deal maths'!Y983&gt;0)</f>
        <v/>
      </c>
    </row>
    <row r="984">
      <c r="A984" s="91">
        <f>IF('Deal maths'!V984="","",'Deal maths'!W984)</f>
        <v/>
      </c>
      <c r="B984" s="108">
        <f>('Deal maths'!AA984&gt;AsAt)*('Deal maths'!Y984&gt;0)*('Deal maths'!Z984&lt;=AsAt)</f>
        <v/>
      </c>
      <c r="C984" s="91">
        <f>IF('Deal maths'!V984="","",IF('Deal maths'!AC984="","Maturity",'Deal maths'!AC984))</f>
        <v/>
      </c>
      <c r="D984" s="108">
        <f>IF(OR(C984="EIP",C984="Annuity"),IF('Deal maths'!AD984="Annual",12,IF('Deal maths'!AD984="Quarterly",3,6)),0)</f>
        <v/>
      </c>
      <c r="E984" s="109">
        <f>IFERROR(IF(D984=0,0,IF('Deal maths'!AE984&gt;0,IF('Deal maths'!AE984&gt;'Deal maths'!AA984,'Deal maths'!AA984,'Deal maths'!AE984),IF(IF(DAY('Deal maths'!AA984+1)=1,EOMONTH('Deal maths'!AA984,-(INT(((YEAR('Deal maths'!AA984)-YEAR(IF('Deal maths'!Z984&gt;0,'Deal maths'!Z984,DATE(1990,1,1))))*12+MONTH('Deal maths'!AA984)-MONTH(IF('Deal maths'!Z984&gt;0,'Deal maths'!Z984,DATE(1990,1,1))))/D984))*D984),EDATE('Deal maths'!AA984,-(INT(((YEAR('Deal maths'!AA984)-YEAR(IF('Deal maths'!Z984&gt;0,'Deal maths'!Z984,DATE(1990,1,1))))*12+MONTH('Deal maths'!AA984)-MONTH(IF('Deal maths'!Z984&gt;0,'Deal maths'!Z984,DATE(1990,1,1))))/D984))*D984))&gt;IF('Deal maths'!Z984&gt;0,'Deal maths'!Z984,DATE(1990,1,1)),IF(DAY('Deal maths'!AA984+1)=1,EOMONTH('Deal maths'!AA984,-(INT(((YEAR('Deal maths'!AA984)-YEAR(IF('Deal maths'!Z984&gt;0,'Deal maths'!Z984,DATE(1990,1,1))))*12+MONTH('Deal maths'!AA984)-MONTH(IF('Deal maths'!Z984&gt;0,'Deal maths'!Z984,DATE(1990,1,1))))/D984))*D984),EDATE('Deal maths'!AA984,-(INT(((YEAR('Deal maths'!AA984)-YEAR(IF('Deal maths'!Z984&gt;0,'Deal maths'!Z984,DATE(1990,1,1))))*12+MONTH('Deal maths'!AA984)-MONTH(IF('Deal maths'!Z984&gt;0,'Deal maths'!Z984,DATE(1990,1,1))))/D984))*D984)),IF(DAY('Deal maths'!AA984+1)=1,EOMONTH('Deal maths'!AA984,-(INT(((YEAR('Deal maths'!AA984)-YEAR(IF('Deal maths'!Z984&gt;0,'Deal maths'!Z984,DATE(1990,1,1))))*12+MONTH('Deal maths'!AA984)-MONTH(IF('Deal maths'!Z984&gt;0,'Deal maths'!Z984,DATE(1990,1,1))))/D984)-1)*D984),EDATE('Deal maths'!AA984,-(INT(((YEAR('Deal maths'!AA984)-YEAR(IF('Deal maths'!Z984&gt;0,'Deal maths'!Z984,DATE(1990,1,1))))*12+MONTH('Deal maths'!AA984)-MONTH(IF('Deal maths'!Z984&gt;0,'Deal maths'!Z984,DATE(1990,1,1))))/D984)-1)*D984))))),0)</f>
        <v/>
      </c>
      <c r="F984" s="110">
        <f>IF(D984=0,0,'Deal maths'!AB984*D984/12)</f>
        <v/>
      </c>
      <c r="G984" s="108">
        <f>N984+O984</f>
        <v/>
      </c>
      <c r="H984" s="108">
        <f>IFERROR(IF(OR(D984=0,AsAt&lt;E984),0,MIN(N984,INT(((YEAR(AsAt)-YEAR(E984))*12+MONTH(AsAt)-MONTH(E984)-(DAY(AsAt)&lt;MIN(R984,DAY(EOMONTH(AsAt,0)))))/D984)+1)+O984*(AsAt&gt;='Deal maths'!AA984)),0)</f>
        <v/>
      </c>
      <c r="I984" s="108">
        <f>G984-H984</f>
        <v/>
      </c>
      <c r="J984" s="111">
        <f>IF(AND(C984="EIP",I984&gt;0),'Deal maths'!Y984/I984,0)</f>
        <v/>
      </c>
      <c r="K984" s="111">
        <f>IF(AND(C984="Annuity",I984&gt;0),IF(F984&gt;0,'Deal maths'!Y984*F984/(1-(1+F984)^-I984),'Deal maths'!Y984/I984),0)</f>
        <v/>
      </c>
      <c r="L984" s="111">
        <f>IF('Deal maths'!Y984="",0,'Deal maths'!Y984)</f>
        <v/>
      </c>
      <c r="M984" s="112">
        <f>F984+(F984=0)</f>
        <v/>
      </c>
      <c r="N984" s="108">
        <f>IFERROR(IF(D984=0,0,INT(((YEAR('Deal maths'!AA984)-YEAR(E984))*12+MONTH('Deal maths'!AA984)-MONTH(E984)-(DAY('Deal maths'!AA984)&lt;MIN(R984,DAY(EOMONTH('Deal maths'!AA984,0)))))/D984)+1),0)</f>
        <v/>
      </c>
      <c r="O984" s="108">
        <f>IFERROR(IF(D984=0,0,IF(IF(DAY(E984+1)=1,EOMONTH(E984,(N984-1)*D984),EDATE(E984,(N984-1)*D984))='Deal maths'!AA984,0,1)),0)</f>
        <v/>
      </c>
      <c r="P984" s="113">
        <f>IF(B984=0,0,IFERROR(IF(C984="EIP",((I984-O984)*((IF(DAY(E984+1)=1,EOMONTH(E984,H984*D984),EDATE(E984,H984*D984))-AsAt)/365.25+(IF(DAY(E984+1)=1,EOMONTH(E984,(N984-1)*D984),EDATE(E984,(N984-1)*D984))-AsAt)/365.25)/2+O984*('Deal maths'!AA984-AsAt)/365.25)/I984,IF(C984="Annuity",IF(F984&gt;0,((K984-L984*F984)*((IF(DAY(E984+1)=1,EOMONTH(E984,H984*D984),EDATE(E984,H984*D984))-AsAt)/365.25*((1+F984)^(I984-O984)-1)/F984+IF((I984-O984)&gt;1,((IF(DAY(E984+1)=1,EOMONTH(E984,(N984-1)*D984),EDATE(E984,(N984-1)*D984))-AsAt)/365.25-(IF(DAY(E984+1)=1,EOMONTH(E984,H984*D984),EDATE(E984,H984*D984))-AsAt)/365.25)/((I984-O984)-1),0)*(1+F984)*(1-(I984-O984)*(1+F984)^((I984-O984)-1)+((I984-O984)-1)*(1+F984)^(I984-O984))/F984^2)+O984*(K984-L984*F984)*(1+F984)^(I984-1)*('Deal maths'!AA984-AsAt)/365.25)/L984,((I984-O984)*((IF(DAY(E984+1)=1,EOMONTH(E984,H984*D984),EDATE(E984,H984*D984))-AsAt)/365.25+(IF(DAY(E984+1)=1,EOMONTH(E984,(N984-1)*D984),EDATE(E984,(N984-1)*D984))-AsAt)/365.25)/2+O984*('Deal maths'!AA984-AsAt)/365.25)/I984),(S984-AsAt)/365.25)),0))</f>
        <v/>
      </c>
      <c r="Q984" s="109">
        <f>IF(B984=1,'Deal maths'!AA984+ROW()/1000000,"")</f>
        <v/>
      </c>
      <c r="R984" s="108">
        <f>IF(D984=0,0,IF(DAY(E984+1)=1,31,DAY(E984)))</f>
        <v/>
      </c>
      <c r="S984" s="109">
        <f>IF(AND('Deal maths'!V984="LOBO",'Deal maths'!AG984&gt;AsAt,'Deal maths'!AG984&lt;'Deal maths'!AA984),'Deal maths'!AG984,'Deal maths'!AA984)</f>
        <v/>
      </c>
      <c r="T984" s="108">
        <f>('Deal maths'!AA984&gt;AsAt)*('Deal maths'!Y984&gt;0)</f>
        <v/>
      </c>
    </row>
    <row r="985">
      <c r="A985" s="91">
        <f>IF('Deal maths'!V985="","",'Deal maths'!W985)</f>
        <v/>
      </c>
      <c r="B985" s="108">
        <f>('Deal maths'!AA985&gt;AsAt)*('Deal maths'!Y985&gt;0)*('Deal maths'!Z985&lt;=AsAt)</f>
        <v/>
      </c>
      <c r="C985" s="91">
        <f>IF('Deal maths'!V985="","",IF('Deal maths'!AC985="","Maturity",'Deal maths'!AC985))</f>
        <v/>
      </c>
      <c r="D985" s="108">
        <f>IF(OR(C985="EIP",C985="Annuity"),IF('Deal maths'!AD985="Annual",12,IF('Deal maths'!AD985="Quarterly",3,6)),0)</f>
        <v/>
      </c>
      <c r="E985" s="109">
        <f>IFERROR(IF(D985=0,0,IF('Deal maths'!AE985&gt;0,IF('Deal maths'!AE985&gt;'Deal maths'!AA985,'Deal maths'!AA985,'Deal maths'!AE985),IF(IF(DAY('Deal maths'!AA985+1)=1,EOMONTH('Deal maths'!AA985,-(INT(((YEAR('Deal maths'!AA985)-YEAR(IF('Deal maths'!Z985&gt;0,'Deal maths'!Z985,DATE(1990,1,1))))*12+MONTH('Deal maths'!AA985)-MONTH(IF('Deal maths'!Z985&gt;0,'Deal maths'!Z985,DATE(1990,1,1))))/D985))*D985),EDATE('Deal maths'!AA985,-(INT(((YEAR('Deal maths'!AA985)-YEAR(IF('Deal maths'!Z985&gt;0,'Deal maths'!Z985,DATE(1990,1,1))))*12+MONTH('Deal maths'!AA985)-MONTH(IF('Deal maths'!Z985&gt;0,'Deal maths'!Z985,DATE(1990,1,1))))/D985))*D985))&gt;IF('Deal maths'!Z985&gt;0,'Deal maths'!Z985,DATE(1990,1,1)),IF(DAY('Deal maths'!AA985+1)=1,EOMONTH('Deal maths'!AA985,-(INT(((YEAR('Deal maths'!AA985)-YEAR(IF('Deal maths'!Z985&gt;0,'Deal maths'!Z985,DATE(1990,1,1))))*12+MONTH('Deal maths'!AA985)-MONTH(IF('Deal maths'!Z985&gt;0,'Deal maths'!Z985,DATE(1990,1,1))))/D985))*D985),EDATE('Deal maths'!AA985,-(INT(((YEAR('Deal maths'!AA985)-YEAR(IF('Deal maths'!Z985&gt;0,'Deal maths'!Z985,DATE(1990,1,1))))*12+MONTH('Deal maths'!AA985)-MONTH(IF('Deal maths'!Z985&gt;0,'Deal maths'!Z985,DATE(1990,1,1))))/D985))*D985)),IF(DAY('Deal maths'!AA985+1)=1,EOMONTH('Deal maths'!AA985,-(INT(((YEAR('Deal maths'!AA985)-YEAR(IF('Deal maths'!Z985&gt;0,'Deal maths'!Z985,DATE(1990,1,1))))*12+MONTH('Deal maths'!AA985)-MONTH(IF('Deal maths'!Z985&gt;0,'Deal maths'!Z985,DATE(1990,1,1))))/D985)-1)*D985),EDATE('Deal maths'!AA985,-(INT(((YEAR('Deal maths'!AA985)-YEAR(IF('Deal maths'!Z985&gt;0,'Deal maths'!Z985,DATE(1990,1,1))))*12+MONTH('Deal maths'!AA985)-MONTH(IF('Deal maths'!Z985&gt;0,'Deal maths'!Z985,DATE(1990,1,1))))/D985)-1)*D985))))),0)</f>
        <v/>
      </c>
      <c r="F985" s="110">
        <f>IF(D985=0,0,'Deal maths'!AB985*D985/12)</f>
        <v/>
      </c>
      <c r="G985" s="108">
        <f>N985+O985</f>
        <v/>
      </c>
      <c r="H985" s="108">
        <f>IFERROR(IF(OR(D985=0,AsAt&lt;E985),0,MIN(N985,INT(((YEAR(AsAt)-YEAR(E985))*12+MONTH(AsAt)-MONTH(E985)-(DAY(AsAt)&lt;MIN(R985,DAY(EOMONTH(AsAt,0)))))/D985)+1)+O985*(AsAt&gt;='Deal maths'!AA985)),0)</f>
        <v/>
      </c>
      <c r="I985" s="108">
        <f>G985-H985</f>
        <v/>
      </c>
      <c r="J985" s="111">
        <f>IF(AND(C985="EIP",I985&gt;0),'Deal maths'!Y985/I985,0)</f>
        <v/>
      </c>
      <c r="K985" s="111">
        <f>IF(AND(C985="Annuity",I985&gt;0),IF(F985&gt;0,'Deal maths'!Y985*F985/(1-(1+F985)^-I985),'Deal maths'!Y985/I985),0)</f>
        <v/>
      </c>
      <c r="L985" s="111">
        <f>IF('Deal maths'!Y985="",0,'Deal maths'!Y985)</f>
        <v/>
      </c>
      <c r="M985" s="112">
        <f>F985+(F985=0)</f>
        <v/>
      </c>
      <c r="N985" s="108">
        <f>IFERROR(IF(D985=0,0,INT(((YEAR('Deal maths'!AA985)-YEAR(E985))*12+MONTH('Deal maths'!AA985)-MONTH(E985)-(DAY('Deal maths'!AA985)&lt;MIN(R985,DAY(EOMONTH('Deal maths'!AA985,0)))))/D985)+1),0)</f>
        <v/>
      </c>
      <c r="O985" s="108">
        <f>IFERROR(IF(D985=0,0,IF(IF(DAY(E985+1)=1,EOMONTH(E985,(N985-1)*D985),EDATE(E985,(N985-1)*D985))='Deal maths'!AA985,0,1)),0)</f>
        <v/>
      </c>
      <c r="P985" s="113">
        <f>IF(B985=0,0,IFERROR(IF(C985="EIP",((I985-O985)*((IF(DAY(E985+1)=1,EOMONTH(E985,H985*D985),EDATE(E985,H985*D985))-AsAt)/365.25+(IF(DAY(E985+1)=1,EOMONTH(E985,(N985-1)*D985),EDATE(E985,(N985-1)*D985))-AsAt)/365.25)/2+O985*('Deal maths'!AA985-AsAt)/365.25)/I985,IF(C985="Annuity",IF(F985&gt;0,((K985-L985*F985)*((IF(DAY(E985+1)=1,EOMONTH(E985,H985*D985),EDATE(E985,H985*D985))-AsAt)/365.25*((1+F985)^(I985-O985)-1)/F985+IF((I985-O985)&gt;1,((IF(DAY(E985+1)=1,EOMONTH(E985,(N985-1)*D985),EDATE(E985,(N985-1)*D985))-AsAt)/365.25-(IF(DAY(E985+1)=1,EOMONTH(E985,H985*D985),EDATE(E985,H985*D985))-AsAt)/365.25)/((I985-O985)-1),0)*(1+F985)*(1-(I985-O985)*(1+F985)^((I985-O985)-1)+((I985-O985)-1)*(1+F985)^(I985-O985))/F985^2)+O985*(K985-L985*F985)*(1+F985)^(I985-1)*('Deal maths'!AA985-AsAt)/365.25)/L985,((I985-O985)*((IF(DAY(E985+1)=1,EOMONTH(E985,H985*D985),EDATE(E985,H985*D985))-AsAt)/365.25+(IF(DAY(E985+1)=1,EOMONTH(E985,(N985-1)*D985),EDATE(E985,(N985-1)*D985))-AsAt)/365.25)/2+O985*('Deal maths'!AA985-AsAt)/365.25)/I985),(S985-AsAt)/365.25)),0))</f>
        <v/>
      </c>
      <c r="Q985" s="109">
        <f>IF(B985=1,'Deal maths'!AA985+ROW()/1000000,"")</f>
        <v/>
      </c>
      <c r="R985" s="108">
        <f>IF(D985=0,0,IF(DAY(E985+1)=1,31,DAY(E985)))</f>
        <v/>
      </c>
      <c r="S985" s="109">
        <f>IF(AND('Deal maths'!V985="LOBO",'Deal maths'!AG985&gt;AsAt,'Deal maths'!AG985&lt;'Deal maths'!AA985),'Deal maths'!AG985,'Deal maths'!AA985)</f>
        <v/>
      </c>
      <c r="T985" s="108">
        <f>('Deal maths'!AA985&gt;AsAt)*('Deal maths'!Y985&gt;0)</f>
        <v/>
      </c>
    </row>
    <row r="986">
      <c r="A986" s="91">
        <f>IF('Deal maths'!V986="","",'Deal maths'!W986)</f>
        <v/>
      </c>
      <c r="B986" s="108">
        <f>('Deal maths'!AA986&gt;AsAt)*('Deal maths'!Y986&gt;0)*('Deal maths'!Z986&lt;=AsAt)</f>
        <v/>
      </c>
      <c r="C986" s="91">
        <f>IF('Deal maths'!V986="","",IF('Deal maths'!AC986="","Maturity",'Deal maths'!AC986))</f>
        <v/>
      </c>
      <c r="D986" s="108">
        <f>IF(OR(C986="EIP",C986="Annuity"),IF('Deal maths'!AD986="Annual",12,IF('Deal maths'!AD986="Quarterly",3,6)),0)</f>
        <v/>
      </c>
      <c r="E986" s="109">
        <f>IFERROR(IF(D986=0,0,IF('Deal maths'!AE986&gt;0,IF('Deal maths'!AE986&gt;'Deal maths'!AA986,'Deal maths'!AA986,'Deal maths'!AE986),IF(IF(DAY('Deal maths'!AA986+1)=1,EOMONTH('Deal maths'!AA986,-(INT(((YEAR('Deal maths'!AA986)-YEAR(IF('Deal maths'!Z986&gt;0,'Deal maths'!Z986,DATE(1990,1,1))))*12+MONTH('Deal maths'!AA986)-MONTH(IF('Deal maths'!Z986&gt;0,'Deal maths'!Z986,DATE(1990,1,1))))/D986))*D986),EDATE('Deal maths'!AA986,-(INT(((YEAR('Deal maths'!AA986)-YEAR(IF('Deal maths'!Z986&gt;0,'Deal maths'!Z986,DATE(1990,1,1))))*12+MONTH('Deal maths'!AA986)-MONTH(IF('Deal maths'!Z986&gt;0,'Deal maths'!Z986,DATE(1990,1,1))))/D986))*D986))&gt;IF('Deal maths'!Z986&gt;0,'Deal maths'!Z986,DATE(1990,1,1)),IF(DAY('Deal maths'!AA986+1)=1,EOMONTH('Deal maths'!AA986,-(INT(((YEAR('Deal maths'!AA986)-YEAR(IF('Deal maths'!Z986&gt;0,'Deal maths'!Z986,DATE(1990,1,1))))*12+MONTH('Deal maths'!AA986)-MONTH(IF('Deal maths'!Z986&gt;0,'Deal maths'!Z986,DATE(1990,1,1))))/D986))*D986),EDATE('Deal maths'!AA986,-(INT(((YEAR('Deal maths'!AA986)-YEAR(IF('Deal maths'!Z986&gt;0,'Deal maths'!Z986,DATE(1990,1,1))))*12+MONTH('Deal maths'!AA986)-MONTH(IF('Deal maths'!Z986&gt;0,'Deal maths'!Z986,DATE(1990,1,1))))/D986))*D986)),IF(DAY('Deal maths'!AA986+1)=1,EOMONTH('Deal maths'!AA986,-(INT(((YEAR('Deal maths'!AA986)-YEAR(IF('Deal maths'!Z986&gt;0,'Deal maths'!Z986,DATE(1990,1,1))))*12+MONTH('Deal maths'!AA986)-MONTH(IF('Deal maths'!Z986&gt;0,'Deal maths'!Z986,DATE(1990,1,1))))/D986)-1)*D986),EDATE('Deal maths'!AA986,-(INT(((YEAR('Deal maths'!AA986)-YEAR(IF('Deal maths'!Z986&gt;0,'Deal maths'!Z986,DATE(1990,1,1))))*12+MONTH('Deal maths'!AA986)-MONTH(IF('Deal maths'!Z986&gt;0,'Deal maths'!Z986,DATE(1990,1,1))))/D986)-1)*D986))))),0)</f>
        <v/>
      </c>
      <c r="F986" s="110">
        <f>IF(D986=0,0,'Deal maths'!AB986*D986/12)</f>
        <v/>
      </c>
      <c r="G986" s="108">
        <f>N986+O986</f>
        <v/>
      </c>
      <c r="H986" s="108">
        <f>IFERROR(IF(OR(D986=0,AsAt&lt;E986),0,MIN(N986,INT(((YEAR(AsAt)-YEAR(E986))*12+MONTH(AsAt)-MONTH(E986)-(DAY(AsAt)&lt;MIN(R986,DAY(EOMONTH(AsAt,0)))))/D986)+1)+O986*(AsAt&gt;='Deal maths'!AA986)),0)</f>
        <v/>
      </c>
      <c r="I986" s="108">
        <f>G986-H986</f>
        <v/>
      </c>
      <c r="J986" s="111">
        <f>IF(AND(C986="EIP",I986&gt;0),'Deal maths'!Y986/I986,0)</f>
        <v/>
      </c>
      <c r="K986" s="111">
        <f>IF(AND(C986="Annuity",I986&gt;0),IF(F986&gt;0,'Deal maths'!Y986*F986/(1-(1+F986)^-I986),'Deal maths'!Y986/I986),0)</f>
        <v/>
      </c>
      <c r="L986" s="111">
        <f>IF('Deal maths'!Y986="",0,'Deal maths'!Y986)</f>
        <v/>
      </c>
      <c r="M986" s="112">
        <f>F986+(F986=0)</f>
        <v/>
      </c>
      <c r="N986" s="108">
        <f>IFERROR(IF(D986=0,0,INT(((YEAR('Deal maths'!AA986)-YEAR(E986))*12+MONTH('Deal maths'!AA986)-MONTH(E986)-(DAY('Deal maths'!AA986)&lt;MIN(R986,DAY(EOMONTH('Deal maths'!AA986,0)))))/D986)+1),0)</f>
        <v/>
      </c>
      <c r="O986" s="108">
        <f>IFERROR(IF(D986=0,0,IF(IF(DAY(E986+1)=1,EOMONTH(E986,(N986-1)*D986),EDATE(E986,(N986-1)*D986))='Deal maths'!AA986,0,1)),0)</f>
        <v/>
      </c>
      <c r="P986" s="113">
        <f>IF(B986=0,0,IFERROR(IF(C986="EIP",((I986-O986)*((IF(DAY(E986+1)=1,EOMONTH(E986,H986*D986),EDATE(E986,H986*D986))-AsAt)/365.25+(IF(DAY(E986+1)=1,EOMONTH(E986,(N986-1)*D986),EDATE(E986,(N986-1)*D986))-AsAt)/365.25)/2+O986*('Deal maths'!AA986-AsAt)/365.25)/I986,IF(C986="Annuity",IF(F986&gt;0,((K986-L986*F986)*((IF(DAY(E986+1)=1,EOMONTH(E986,H986*D986),EDATE(E986,H986*D986))-AsAt)/365.25*((1+F986)^(I986-O986)-1)/F986+IF((I986-O986)&gt;1,((IF(DAY(E986+1)=1,EOMONTH(E986,(N986-1)*D986),EDATE(E986,(N986-1)*D986))-AsAt)/365.25-(IF(DAY(E986+1)=1,EOMONTH(E986,H986*D986),EDATE(E986,H986*D986))-AsAt)/365.25)/((I986-O986)-1),0)*(1+F986)*(1-(I986-O986)*(1+F986)^((I986-O986)-1)+((I986-O986)-1)*(1+F986)^(I986-O986))/F986^2)+O986*(K986-L986*F986)*(1+F986)^(I986-1)*('Deal maths'!AA986-AsAt)/365.25)/L986,((I986-O986)*((IF(DAY(E986+1)=1,EOMONTH(E986,H986*D986),EDATE(E986,H986*D986))-AsAt)/365.25+(IF(DAY(E986+1)=1,EOMONTH(E986,(N986-1)*D986),EDATE(E986,(N986-1)*D986))-AsAt)/365.25)/2+O986*('Deal maths'!AA986-AsAt)/365.25)/I986),(S986-AsAt)/365.25)),0))</f>
        <v/>
      </c>
      <c r="Q986" s="109">
        <f>IF(B986=1,'Deal maths'!AA986+ROW()/1000000,"")</f>
        <v/>
      </c>
      <c r="R986" s="108">
        <f>IF(D986=0,0,IF(DAY(E986+1)=1,31,DAY(E986)))</f>
        <v/>
      </c>
      <c r="S986" s="109">
        <f>IF(AND('Deal maths'!V986="LOBO",'Deal maths'!AG986&gt;AsAt,'Deal maths'!AG986&lt;'Deal maths'!AA986),'Deal maths'!AG986,'Deal maths'!AA986)</f>
        <v/>
      </c>
      <c r="T986" s="108">
        <f>('Deal maths'!AA986&gt;AsAt)*('Deal maths'!Y986&gt;0)</f>
        <v/>
      </c>
    </row>
    <row r="987">
      <c r="A987" s="91">
        <f>IF('Deal maths'!V987="","",'Deal maths'!W987)</f>
        <v/>
      </c>
      <c r="B987" s="108">
        <f>('Deal maths'!AA987&gt;AsAt)*('Deal maths'!Y987&gt;0)*('Deal maths'!Z987&lt;=AsAt)</f>
        <v/>
      </c>
      <c r="C987" s="91">
        <f>IF('Deal maths'!V987="","",IF('Deal maths'!AC987="","Maturity",'Deal maths'!AC987))</f>
        <v/>
      </c>
      <c r="D987" s="108">
        <f>IF(OR(C987="EIP",C987="Annuity"),IF('Deal maths'!AD987="Annual",12,IF('Deal maths'!AD987="Quarterly",3,6)),0)</f>
        <v/>
      </c>
      <c r="E987" s="109">
        <f>IFERROR(IF(D987=0,0,IF('Deal maths'!AE987&gt;0,IF('Deal maths'!AE987&gt;'Deal maths'!AA987,'Deal maths'!AA987,'Deal maths'!AE987),IF(IF(DAY('Deal maths'!AA987+1)=1,EOMONTH('Deal maths'!AA987,-(INT(((YEAR('Deal maths'!AA987)-YEAR(IF('Deal maths'!Z987&gt;0,'Deal maths'!Z987,DATE(1990,1,1))))*12+MONTH('Deal maths'!AA987)-MONTH(IF('Deal maths'!Z987&gt;0,'Deal maths'!Z987,DATE(1990,1,1))))/D987))*D987),EDATE('Deal maths'!AA987,-(INT(((YEAR('Deal maths'!AA987)-YEAR(IF('Deal maths'!Z987&gt;0,'Deal maths'!Z987,DATE(1990,1,1))))*12+MONTH('Deal maths'!AA987)-MONTH(IF('Deal maths'!Z987&gt;0,'Deal maths'!Z987,DATE(1990,1,1))))/D987))*D987))&gt;IF('Deal maths'!Z987&gt;0,'Deal maths'!Z987,DATE(1990,1,1)),IF(DAY('Deal maths'!AA987+1)=1,EOMONTH('Deal maths'!AA987,-(INT(((YEAR('Deal maths'!AA987)-YEAR(IF('Deal maths'!Z987&gt;0,'Deal maths'!Z987,DATE(1990,1,1))))*12+MONTH('Deal maths'!AA987)-MONTH(IF('Deal maths'!Z987&gt;0,'Deal maths'!Z987,DATE(1990,1,1))))/D987))*D987),EDATE('Deal maths'!AA987,-(INT(((YEAR('Deal maths'!AA987)-YEAR(IF('Deal maths'!Z987&gt;0,'Deal maths'!Z987,DATE(1990,1,1))))*12+MONTH('Deal maths'!AA987)-MONTH(IF('Deal maths'!Z987&gt;0,'Deal maths'!Z987,DATE(1990,1,1))))/D987))*D987)),IF(DAY('Deal maths'!AA987+1)=1,EOMONTH('Deal maths'!AA987,-(INT(((YEAR('Deal maths'!AA987)-YEAR(IF('Deal maths'!Z987&gt;0,'Deal maths'!Z987,DATE(1990,1,1))))*12+MONTH('Deal maths'!AA987)-MONTH(IF('Deal maths'!Z987&gt;0,'Deal maths'!Z987,DATE(1990,1,1))))/D987)-1)*D987),EDATE('Deal maths'!AA987,-(INT(((YEAR('Deal maths'!AA987)-YEAR(IF('Deal maths'!Z987&gt;0,'Deal maths'!Z987,DATE(1990,1,1))))*12+MONTH('Deal maths'!AA987)-MONTH(IF('Deal maths'!Z987&gt;0,'Deal maths'!Z987,DATE(1990,1,1))))/D987)-1)*D987))))),0)</f>
        <v/>
      </c>
      <c r="F987" s="110">
        <f>IF(D987=0,0,'Deal maths'!AB987*D987/12)</f>
        <v/>
      </c>
      <c r="G987" s="108">
        <f>N987+O987</f>
        <v/>
      </c>
      <c r="H987" s="108">
        <f>IFERROR(IF(OR(D987=0,AsAt&lt;E987),0,MIN(N987,INT(((YEAR(AsAt)-YEAR(E987))*12+MONTH(AsAt)-MONTH(E987)-(DAY(AsAt)&lt;MIN(R987,DAY(EOMONTH(AsAt,0)))))/D987)+1)+O987*(AsAt&gt;='Deal maths'!AA987)),0)</f>
        <v/>
      </c>
      <c r="I987" s="108">
        <f>G987-H987</f>
        <v/>
      </c>
      <c r="J987" s="111">
        <f>IF(AND(C987="EIP",I987&gt;0),'Deal maths'!Y987/I987,0)</f>
        <v/>
      </c>
      <c r="K987" s="111">
        <f>IF(AND(C987="Annuity",I987&gt;0),IF(F987&gt;0,'Deal maths'!Y987*F987/(1-(1+F987)^-I987),'Deal maths'!Y987/I987),0)</f>
        <v/>
      </c>
      <c r="L987" s="111">
        <f>IF('Deal maths'!Y987="",0,'Deal maths'!Y987)</f>
        <v/>
      </c>
      <c r="M987" s="112">
        <f>F987+(F987=0)</f>
        <v/>
      </c>
      <c r="N987" s="108">
        <f>IFERROR(IF(D987=0,0,INT(((YEAR('Deal maths'!AA987)-YEAR(E987))*12+MONTH('Deal maths'!AA987)-MONTH(E987)-(DAY('Deal maths'!AA987)&lt;MIN(R987,DAY(EOMONTH('Deal maths'!AA987,0)))))/D987)+1),0)</f>
        <v/>
      </c>
      <c r="O987" s="108">
        <f>IFERROR(IF(D987=0,0,IF(IF(DAY(E987+1)=1,EOMONTH(E987,(N987-1)*D987),EDATE(E987,(N987-1)*D987))='Deal maths'!AA987,0,1)),0)</f>
        <v/>
      </c>
      <c r="P987" s="113">
        <f>IF(B987=0,0,IFERROR(IF(C987="EIP",((I987-O987)*((IF(DAY(E987+1)=1,EOMONTH(E987,H987*D987),EDATE(E987,H987*D987))-AsAt)/365.25+(IF(DAY(E987+1)=1,EOMONTH(E987,(N987-1)*D987),EDATE(E987,(N987-1)*D987))-AsAt)/365.25)/2+O987*('Deal maths'!AA987-AsAt)/365.25)/I987,IF(C987="Annuity",IF(F987&gt;0,((K987-L987*F987)*((IF(DAY(E987+1)=1,EOMONTH(E987,H987*D987),EDATE(E987,H987*D987))-AsAt)/365.25*((1+F987)^(I987-O987)-1)/F987+IF((I987-O987)&gt;1,((IF(DAY(E987+1)=1,EOMONTH(E987,(N987-1)*D987),EDATE(E987,(N987-1)*D987))-AsAt)/365.25-(IF(DAY(E987+1)=1,EOMONTH(E987,H987*D987),EDATE(E987,H987*D987))-AsAt)/365.25)/((I987-O987)-1),0)*(1+F987)*(1-(I987-O987)*(1+F987)^((I987-O987)-1)+((I987-O987)-1)*(1+F987)^(I987-O987))/F987^2)+O987*(K987-L987*F987)*(1+F987)^(I987-1)*('Deal maths'!AA987-AsAt)/365.25)/L987,((I987-O987)*((IF(DAY(E987+1)=1,EOMONTH(E987,H987*D987),EDATE(E987,H987*D987))-AsAt)/365.25+(IF(DAY(E987+1)=1,EOMONTH(E987,(N987-1)*D987),EDATE(E987,(N987-1)*D987))-AsAt)/365.25)/2+O987*('Deal maths'!AA987-AsAt)/365.25)/I987),(S987-AsAt)/365.25)),0))</f>
        <v/>
      </c>
      <c r="Q987" s="109">
        <f>IF(B987=1,'Deal maths'!AA987+ROW()/1000000,"")</f>
        <v/>
      </c>
      <c r="R987" s="108">
        <f>IF(D987=0,0,IF(DAY(E987+1)=1,31,DAY(E987)))</f>
        <v/>
      </c>
      <c r="S987" s="109">
        <f>IF(AND('Deal maths'!V987="LOBO",'Deal maths'!AG987&gt;AsAt,'Deal maths'!AG987&lt;'Deal maths'!AA987),'Deal maths'!AG987,'Deal maths'!AA987)</f>
        <v/>
      </c>
      <c r="T987" s="108">
        <f>('Deal maths'!AA987&gt;AsAt)*('Deal maths'!Y987&gt;0)</f>
        <v/>
      </c>
    </row>
    <row r="988">
      <c r="A988" s="91">
        <f>IF('Deal maths'!V988="","",'Deal maths'!W988)</f>
        <v/>
      </c>
      <c r="B988" s="108">
        <f>('Deal maths'!AA988&gt;AsAt)*('Deal maths'!Y988&gt;0)*('Deal maths'!Z988&lt;=AsAt)</f>
        <v/>
      </c>
      <c r="C988" s="91">
        <f>IF('Deal maths'!V988="","",IF('Deal maths'!AC988="","Maturity",'Deal maths'!AC988))</f>
        <v/>
      </c>
      <c r="D988" s="108">
        <f>IF(OR(C988="EIP",C988="Annuity"),IF('Deal maths'!AD988="Annual",12,IF('Deal maths'!AD988="Quarterly",3,6)),0)</f>
        <v/>
      </c>
      <c r="E988" s="109">
        <f>IFERROR(IF(D988=0,0,IF('Deal maths'!AE988&gt;0,IF('Deal maths'!AE988&gt;'Deal maths'!AA988,'Deal maths'!AA988,'Deal maths'!AE988),IF(IF(DAY('Deal maths'!AA988+1)=1,EOMONTH('Deal maths'!AA988,-(INT(((YEAR('Deal maths'!AA988)-YEAR(IF('Deal maths'!Z988&gt;0,'Deal maths'!Z988,DATE(1990,1,1))))*12+MONTH('Deal maths'!AA988)-MONTH(IF('Deal maths'!Z988&gt;0,'Deal maths'!Z988,DATE(1990,1,1))))/D988))*D988),EDATE('Deal maths'!AA988,-(INT(((YEAR('Deal maths'!AA988)-YEAR(IF('Deal maths'!Z988&gt;0,'Deal maths'!Z988,DATE(1990,1,1))))*12+MONTH('Deal maths'!AA988)-MONTH(IF('Deal maths'!Z988&gt;0,'Deal maths'!Z988,DATE(1990,1,1))))/D988))*D988))&gt;IF('Deal maths'!Z988&gt;0,'Deal maths'!Z988,DATE(1990,1,1)),IF(DAY('Deal maths'!AA988+1)=1,EOMONTH('Deal maths'!AA988,-(INT(((YEAR('Deal maths'!AA988)-YEAR(IF('Deal maths'!Z988&gt;0,'Deal maths'!Z988,DATE(1990,1,1))))*12+MONTH('Deal maths'!AA988)-MONTH(IF('Deal maths'!Z988&gt;0,'Deal maths'!Z988,DATE(1990,1,1))))/D988))*D988),EDATE('Deal maths'!AA988,-(INT(((YEAR('Deal maths'!AA988)-YEAR(IF('Deal maths'!Z988&gt;0,'Deal maths'!Z988,DATE(1990,1,1))))*12+MONTH('Deal maths'!AA988)-MONTH(IF('Deal maths'!Z988&gt;0,'Deal maths'!Z988,DATE(1990,1,1))))/D988))*D988)),IF(DAY('Deal maths'!AA988+1)=1,EOMONTH('Deal maths'!AA988,-(INT(((YEAR('Deal maths'!AA988)-YEAR(IF('Deal maths'!Z988&gt;0,'Deal maths'!Z988,DATE(1990,1,1))))*12+MONTH('Deal maths'!AA988)-MONTH(IF('Deal maths'!Z988&gt;0,'Deal maths'!Z988,DATE(1990,1,1))))/D988)-1)*D988),EDATE('Deal maths'!AA988,-(INT(((YEAR('Deal maths'!AA988)-YEAR(IF('Deal maths'!Z988&gt;0,'Deal maths'!Z988,DATE(1990,1,1))))*12+MONTH('Deal maths'!AA988)-MONTH(IF('Deal maths'!Z988&gt;0,'Deal maths'!Z988,DATE(1990,1,1))))/D988)-1)*D988))))),0)</f>
        <v/>
      </c>
      <c r="F988" s="110">
        <f>IF(D988=0,0,'Deal maths'!AB988*D988/12)</f>
        <v/>
      </c>
      <c r="G988" s="108">
        <f>N988+O988</f>
        <v/>
      </c>
      <c r="H988" s="108">
        <f>IFERROR(IF(OR(D988=0,AsAt&lt;E988),0,MIN(N988,INT(((YEAR(AsAt)-YEAR(E988))*12+MONTH(AsAt)-MONTH(E988)-(DAY(AsAt)&lt;MIN(R988,DAY(EOMONTH(AsAt,0)))))/D988)+1)+O988*(AsAt&gt;='Deal maths'!AA988)),0)</f>
        <v/>
      </c>
      <c r="I988" s="108">
        <f>G988-H988</f>
        <v/>
      </c>
      <c r="J988" s="111">
        <f>IF(AND(C988="EIP",I988&gt;0),'Deal maths'!Y988/I988,0)</f>
        <v/>
      </c>
      <c r="K988" s="111">
        <f>IF(AND(C988="Annuity",I988&gt;0),IF(F988&gt;0,'Deal maths'!Y988*F988/(1-(1+F988)^-I988),'Deal maths'!Y988/I988),0)</f>
        <v/>
      </c>
      <c r="L988" s="111">
        <f>IF('Deal maths'!Y988="",0,'Deal maths'!Y988)</f>
        <v/>
      </c>
      <c r="M988" s="112">
        <f>F988+(F988=0)</f>
        <v/>
      </c>
      <c r="N988" s="108">
        <f>IFERROR(IF(D988=0,0,INT(((YEAR('Deal maths'!AA988)-YEAR(E988))*12+MONTH('Deal maths'!AA988)-MONTH(E988)-(DAY('Deal maths'!AA988)&lt;MIN(R988,DAY(EOMONTH('Deal maths'!AA988,0)))))/D988)+1),0)</f>
        <v/>
      </c>
      <c r="O988" s="108">
        <f>IFERROR(IF(D988=0,0,IF(IF(DAY(E988+1)=1,EOMONTH(E988,(N988-1)*D988),EDATE(E988,(N988-1)*D988))='Deal maths'!AA988,0,1)),0)</f>
        <v/>
      </c>
      <c r="P988" s="113">
        <f>IF(B988=0,0,IFERROR(IF(C988="EIP",((I988-O988)*((IF(DAY(E988+1)=1,EOMONTH(E988,H988*D988),EDATE(E988,H988*D988))-AsAt)/365.25+(IF(DAY(E988+1)=1,EOMONTH(E988,(N988-1)*D988),EDATE(E988,(N988-1)*D988))-AsAt)/365.25)/2+O988*('Deal maths'!AA988-AsAt)/365.25)/I988,IF(C988="Annuity",IF(F988&gt;0,((K988-L988*F988)*((IF(DAY(E988+1)=1,EOMONTH(E988,H988*D988),EDATE(E988,H988*D988))-AsAt)/365.25*((1+F988)^(I988-O988)-1)/F988+IF((I988-O988)&gt;1,((IF(DAY(E988+1)=1,EOMONTH(E988,(N988-1)*D988),EDATE(E988,(N988-1)*D988))-AsAt)/365.25-(IF(DAY(E988+1)=1,EOMONTH(E988,H988*D988),EDATE(E988,H988*D988))-AsAt)/365.25)/((I988-O988)-1),0)*(1+F988)*(1-(I988-O988)*(1+F988)^((I988-O988)-1)+((I988-O988)-1)*(1+F988)^(I988-O988))/F988^2)+O988*(K988-L988*F988)*(1+F988)^(I988-1)*('Deal maths'!AA988-AsAt)/365.25)/L988,((I988-O988)*((IF(DAY(E988+1)=1,EOMONTH(E988,H988*D988),EDATE(E988,H988*D988))-AsAt)/365.25+(IF(DAY(E988+1)=1,EOMONTH(E988,(N988-1)*D988),EDATE(E988,(N988-1)*D988))-AsAt)/365.25)/2+O988*('Deal maths'!AA988-AsAt)/365.25)/I988),(S988-AsAt)/365.25)),0))</f>
        <v/>
      </c>
      <c r="Q988" s="109">
        <f>IF(B988=1,'Deal maths'!AA988+ROW()/1000000,"")</f>
        <v/>
      </c>
      <c r="R988" s="108">
        <f>IF(D988=0,0,IF(DAY(E988+1)=1,31,DAY(E988)))</f>
        <v/>
      </c>
      <c r="S988" s="109">
        <f>IF(AND('Deal maths'!V988="LOBO",'Deal maths'!AG988&gt;AsAt,'Deal maths'!AG988&lt;'Deal maths'!AA988),'Deal maths'!AG988,'Deal maths'!AA988)</f>
        <v/>
      </c>
      <c r="T988" s="108">
        <f>('Deal maths'!AA988&gt;AsAt)*('Deal maths'!Y988&gt;0)</f>
        <v/>
      </c>
    </row>
    <row r="989">
      <c r="A989" s="91">
        <f>IF('Deal maths'!V989="","",'Deal maths'!W989)</f>
        <v/>
      </c>
      <c r="B989" s="108">
        <f>('Deal maths'!AA989&gt;AsAt)*('Deal maths'!Y989&gt;0)*('Deal maths'!Z989&lt;=AsAt)</f>
        <v/>
      </c>
      <c r="C989" s="91">
        <f>IF('Deal maths'!V989="","",IF('Deal maths'!AC989="","Maturity",'Deal maths'!AC989))</f>
        <v/>
      </c>
      <c r="D989" s="108">
        <f>IF(OR(C989="EIP",C989="Annuity"),IF('Deal maths'!AD989="Annual",12,IF('Deal maths'!AD989="Quarterly",3,6)),0)</f>
        <v/>
      </c>
      <c r="E989" s="109">
        <f>IFERROR(IF(D989=0,0,IF('Deal maths'!AE989&gt;0,IF('Deal maths'!AE989&gt;'Deal maths'!AA989,'Deal maths'!AA989,'Deal maths'!AE989),IF(IF(DAY('Deal maths'!AA989+1)=1,EOMONTH('Deal maths'!AA989,-(INT(((YEAR('Deal maths'!AA989)-YEAR(IF('Deal maths'!Z989&gt;0,'Deal maths'!Z989,DATE(1990,1,1))))*12+MONTH('Deal maths'!AA989)-MONTH(IF('Deal maths'!Z989&gt;0,'Deal maths'!Z989,DATE(1990,1,1))))/D989))*D989),EDATE('Deal maths'!AA989,-(INT(((YEAR('Deal maths'!AA989)-YEAR(IF('Deal maths'!Z989&gt;0,'Deal maths'!Z989,DATE(1990,1,1))))*12+MONTH('Deal maths'!AA989)-MONTH(IF('Deal maths'!Z989&gt;0,'Deal maths'!Z989,DATE(1990,1,1))))/D989))*D989))&gt;IF('Deal maths'!Z989&gt;0,'Deal maths'!Z989,DATE(1990,1,1)),IF(DAY('Deal maths'!AA989+1)=1,EOMONTH('Deal maths'!AA989,-(INT(((YEAR('Deal maths'!AA989)-YEAR(IF('Deal maths'!Z989&gt;0,'Deal maths'!Z989,DATE(1990,1,1))))*12+MONTH('Deal maths'!AA989)-MONTH(IF('Deal maths'!Z989&gt;0,'Deal maths'!Z989,DATE(1990,1,1))))/D989))*D989),EDATE('Deal maths'!AA989,-(INT(((YEAR('Deal maths'!AA989)-YEAR(IF('Deal maths'!Z989&gt;0,'Deal maths'!Z989,DATE(1990,1,1))))*12+MONTH('Deal maths'!AA989)-MONTH(IF('Deal maths'!Z989&gt;0,'Deal maths'!Z989,DATE(1990,1,1))))/D989))*D989)),IF(DAY('Deal maths'!AA989+1)=1,EOMONTH('Deal maths'!AA989,-(INT(((YEAR('Deal maths'!AA989)-YEAR(IF('Deal maths'!Z989&gt;0,'Deal maths'!Z989,DATE(1990,1,1))))*12+MONTH('Deal maths'!AA989)-MONTH(IF('Deal maths'!Z989&gt;0,'Deal maths'!Z989,DATE(1990,1,1))))/D989)-1)*D989),EDATE('Deal maths'!AA989,-(INT(((YEAR('Deal maths'!AA989)-YEAR(IF('Deal maths'!Z989&gt;0,'Deal maths'!Z989,DATE(1990,1,1))))*12+MONTH('Deal maths'!AA989)-MONTH(IF('Deal maths'!Z989&gt;0,'Deal maths'!Z989,DATE(1990,1,1))))/D989)-1)*D989))))),0)</f>
        <v/>
      </c>
      <c r="F989" s="110">
        <f>IF(D989=0,0,'Deal maths'!AB989*D989/12)</f>
        <v/>
      </c>
      <c r="G989" s="108">
        <f>N989+O989</f>
        <v/>
      </c>
      <c r="H989" s="108">
        <f>IFERROR(IF(OR(D989=0,AsAt&lt;E989),0,MIN(N989,INT(((YEAR(AsAt)-YEAR(E989))*12+MONTH(AsAt)-MONTH(E989)-(DAY(AsAt)&lt;MIN(R989,DAY(EOMONTH(AsAt,0)))))/D989)+1)+O989*(AsAt&gt;='Deal maths'!AA989)),0)</f>
        <v/>
      </c>
      <c r="I989" s="108">
        <f>G989-H989</f>
        <v/>
      </c>
      <c r="J989" s="111">
        <f>IF(AND(C989="EIP",I989&gt;0),'Deal maths'!Y989/I989,0)</f>
        <v/>
      </c>
      <c r="K989" s="111">
        <f>IF(AND(C989="Annuity",I989&gt;0),IF(F989&gt;0,'Deal maths'!Y989*F989/(1-(1+F989)^-I989),'Deal maths'!Y989/I989),0)</f>
        <v/>
      </c>
      <c r="L989" s="111">
        <f>IF('Deal maths'!Y989="",0,'Deal maths'!Y989)</f>
        <v/>
      </c>
      <c r="M989" s="112">
        <f>F989+(F989=0)</f>
        <v/>
      </c>
      <c r="N989" s="108">
        <f>IFERROR(IF(D989=0,0,INT(((YEAR('Deal maths'!AA989)-YEAR(E989))*12+MONTH('Deal maths'!AA989)-MONTH(E989)-(DAY('Deal maths'!AA989)&lt;MIN(R989,DAY(EOMONTH('Deal maths'!AA989,0)))))/D989)+1),0)</f>
        <v/>
      </c>
      <c r="O989" s="108">
        <f>IFERROR(IF(D989=0,0,IF(IF(DAY(E989+1)=1,EOMONTH(E989,(N989-1)*D989),EDATE(E989,(N989-1)*D989))='Deal maths'!AA989,0,1)),0)</f>
        <v/>
      </c>
      <c r="P989" s="113">
        <f>IF(B989=0,0,IFERROR(IF(C989="EIP",((I989-O989)*((IF(DAY(E989+1)=1,EOMONTH(E989,H989*D989),EDATE(E989,H989*D989))-AsAt)/365.25+(IF(DAY(E989+1)=1,EOMONTH(E989,(N989-1)*D989),EDATE(E989,(N989-1)*D989))-AsAt)/365.25)/2+O989*('Deal maths'!AA989-AsAt)/365.25)/I989,IF(C989="Annuity",IF(F989&gt;0,((K989-L989*F989)*((IF(DAY(E989+1)=1,EOMONTH(E989,H989*D989),EDATE(E989,H989*D989))-AsAt)/365.25*((1+F989)^(I989-O989)-1)/F989+IF((I989-O989)&gt;1,((IF(DAY(E989+1)=1,EOMONTH(E989,(N989-1)*D989),EDATE(E989,(N989-1)*D989))-AsAt)/365.25-(IF(DAY(E989+1)=1,EOMONTH(E989,H989*D989),EDATE(E989,H989*D989))-AsAt)/365.25)/((I989-O989)-1),0)*(1+F989)*(1-(I989-O989)*(1+F989)^((I989-O989)-1)+((I989-O989)-1)*(1+F989)^(I989-O989))/F989^2)+O989*(K989-L989*F989)*(1+F989)^(I989-1)*('Deal maths'!AA989-AsAt)/365.25)/L989,((I989-O989)*((IF(DAY(E989+1)=1,EOMONTH(E989,H989*D989),EDATE(E989,H989*D989))-AsAt)/365.25+(IF(DAY(E989+1)=1,EOMONTH(E989,(N989-1)*D989),EDATE(E989,(N989-1)*D989))-AsAt)/365.25)/2+O989*('Deal maths'!AA989-AsAt)/365.25)/I989),(S989-AsAt)/365.25)),0))</f>
        <v/>
      </c>
      <c r="Q989" s="109">
        <f>IF(B989=1,'Deal maths'!AA989+ROW()/1000000,"")</f>
        <v/>
      </c>
      <c r="R989" s="108">
        <f>IF(D989=0,0,IF(DAY(E989+1)=1,31,DAY(E989)))</f>
        <v/>
      </c>
      <c r="S989" s="109">
        <f>IF(AND('Deal maths'!V989="LOBO",'Deal maths'!AG989&gt;AsAt,'Deal maths'!AG989&lt;'Deal maths'!AA989),'Deal maths'!AG989,'Deal maths'!AA989)</f>
        <v/>
      </c>
      <c r="T989" s="108">
        <f>('Deal maths'!AA989&gt;AsAt)*('Deal maths'!Y989&gt;0)</f>
        <v/>
      </c>
    </row>
    <row r="990">
      <c r="A990" s="91">
        <f>IF('Deal maths'!V990="","",'Deal maths'!W990)</f>
        <v/>
      </c>
      <c r="B990" s="108">
        <f>('Deal maths'!AA990&gt;AsAt)*('Deal maths'!Y990&gt;0)*('Deal maths'!Z990&lt;=AsAt)</f>
        <v/>
      </c>
      <c r="C990" s="91">
        <f>IF('Deal maths'!V990="","",IF('Deal maths'!AC990="","Maturity",'Deal maths'!AC990))</f>
        <v/>
      </c>
      <c r="D990" s="108">
        <f>IF(OR(C990="EIP",C990="Annuity"),IF('Deal maths'!AD990="Annual",12,IF('Deal maths'!AD990="Quarterly",3,6)),0)</f>
        <v/>
      </c>
      <c r="E990" s="109">
        <f>IFERROR(IF(D990=0,0,IF('Deal maths'!AE990&gt;0,IF('Deal maths'!AE990&gt;'Deal maths'!AA990,'Deal maths'!AA990,'Deal maths'!AE990),IF(IF(DAY('Deal maths'!AA990+1)=1,EOMONTH('Deal maths'!AA990,-(INT(((YEAR('Deal maths'!AA990)-YEAR(IF('Deal maths'!Z990&gt;0,'Deal maths'!Z990,DATE(1990,1,1))))*12+MONTH('Deal maths'!AA990)-MONTH(IF('Deal maths'!Z990&gt;0,'Deal maths'!Z990,DATE(1990,1,1))))/D990))*D990),EDATE('Deal maths'!AA990,-(INT(((YEAR('Deal maths'!AA990)-YEAR(IF('Deal maths'!Z990&gt;0,'Deal maths'!Z990,DATE(1990,1,1))))*12+MONTH('Deal maths'!AA990)-MONTH(IF('Deal maths'!Z990&gt;0,'Deal maths'!Z990,DATE(1990,1,1))))/D990))*D990))&gt;IF('Deal maths'!Z990&gt;0,'Deal maths'!Z990,DATE(1990,1,1)),IF(DAY('Deal maths'!AA990+1)=1,EOMONTH('Deal maths'!AA990,-(INT(((YEAR('Deal maths'!AA990)-YEAR(IF('Deal maths'!Z990&gt;0,'Deal maths'!Z990,DATE(1990,1,1))))*12+MONTH('Deal maths'!AA990)-MONTH(IF('Deal maths'!Z990&gt;0,'Deal maths'!Z990,DATE(1990,1,1))))/D990))*D990),EDATE('Deal maths'!AA990,-(INT(((YEAR('Deal maths'!AA990)-YEAR(IF('Deal maths'!Z990&gt;0,'Deal maths'!Z990,DATE(1990,1,1))))*12+MONTH('Deal maths'!AA990)-MONTH(IF('Deal maths'!Z990&gt;0,'Deal maths'!Z990,DATE(1990,1,1))))/D990))*D990)),IF(DAY('Deal maths'!AA990+1)=1,EOMONTH('Deal maths'!AA990,-(INT(((YEAR('Deal maths'!AA990)-YEAR(IF('Deal maths'!Z990&gt;0,'Deal maths'!Z990,DATE(1990,1,1))))*12+MONTH('Deal maths'!AA990)-MONTH(IF('Deal maths'!Z990&gt;0,'Deal maths'!Z990,DATE(1990,1,1))))/D990)-1)*D990),EDATE('Deal maths'!AA990,-(INT(((YEAR('Deal maths'!AA990)-YEAR(IF('Deal maths'!Z990&gt;0,'Deal maths'!Z990,DATE(1990,1,1))))*12+MONTH('Deal maths'!AA990)-MONTH(IF('Deal maths'!Z990&gt;0,'Deal maths'!Z990,DATE(1990,1,1))))/D990)-1)*D990))))),0)</f>
        <v/>
      </c>
      <c r="F990" s="110">
        <f>IF(D990=0,0,'Deal maths'!AB990*D990/12)</f>
        <v/>
      </c>
      <c r="G990" s="108">
        <f>N990+O990</f>
        <v/>
      </c>
      <c r="H990" s="108">
        <f>IFERROR(IF(OR(D990=0,AsAt&lt;E990),0,MIN(N990,INT(((YEAR(AsAt)-YEAR(E990))*12+MONTH(AsAt)-MONTH(E990)-(DAY(AsAt)&lt;MIN(R990,DAY(EOMONTH(AsAt,0)))))/D990)+1)+O990*(AsAt&gt;='Deal maths'!AA990)),0)</f>
        <v/>
      </c>
      <c r="I990" s="108">
        <f>G990-H990</f>
        <v/>
      </c>
      <c r="J990" s="111">
        <f>IF(AND(C990="EIP",I990&gt;0),'Deal maths'!Y990/I990,0)</f>
        <v/>
      </c>
      <c r="K990" s="111">
        <f>IF(AND(C990="Annuity",I990&gt;0),IF(F990&gt;0,'Deal maths'!Y990*F990/(1-(1+F990)^-I990),'Deal maths'!Y990/I990),0)</f>
        <v/>
      </c>
      <c r="L990" s="111">
        <f>IF('Deal maths'!Y990="",0,'Deal maths'!Y990)</f>
        <v/>
      </c>
      <c r="M990" s="112">
        <f>F990+(F990=0)</f>
        <v/>
      </c>
      <c r="N990" s="108">
        <f>IFERROR(IF(D990=0,0,INT(((YEAR('Deal maths'!AA990)-YEAR(E990))*12+MONTH('Deal maths'!AA990)-MONTH(E990)-(DAY('Deal maths'!AA990)&lt;MIN(R990,DAY(EOMONTH('Deal maths'!AA990,0)))))/D990)+1),0)</f>
        <v/>
      </c>
      <c r="O990" s="108">
        <f>IFERROR(IF(D990=0,0,IF(IF(DAY(E990+1)=1,EOMONTH(E990,(N990-1)*D990),EDATE(E990,(N990-1)*D990))='Deal maths'!AA990,0,1)),0)</f>
        <v/>
      </c>
      <c r="P990" s="113">
        <f>IF(B990=0,0,IFERROR(IF(C990="EIP",((I990-O990)*((IF(DAY(E990+1)=1,EOMONTH(E990,H990*D990),EDATE(E990,H990*D990))-AsAt)/365.25+(IF(DAY(E990+1)=1,EOMONTH(E990,(N990-1)*D990),EDATE(E990,(N990-1)*D990))-AsAt)/365.25)/2+O990*('Deal maths'!AA990-AsAt)/365.25)/I990,IF(C990="Annuity",IF(F990&gt;0,((K990-L990*F990)*((IF(DAY(E990+1)=1,EOMONTH(E990,H990*D990),EDATE(E990,H990*D990))-AsAt)/365.25*((1+F990)^(I990-O990)-1)/F990+IF((I990-O990)&gt;1,((IF(DAY(E990+1)=1,EOMONTH(E990,(N990-1)*D990),EDATE(E990,(N990-1)*D990))-AsAt)/365.25-(IF(DAY(E990+1)=1,EOMONTH(E990,H990*D990),EDATE(E990,H990*D990))-AsAt)/365.25)/((I990-O990)-1),0)*(1+F990)*(1-(I990-O990)*(1+F990)^((I990-O990)-1)+((I990-O990)-1)*(1+F990)^(I990-O990))/F990^2)+O990*(K990-L990*F990)*(1+F990)^(I990-1)*('Deal maths'!AA990-AsAt)/365.25)/L990,((I990-O990)*((IF(DAY(E990+1)=1,EOMONTH(E990,H990*D990),EDATE(E990,H990*D990))-AsAt)/365.25+(IF(DAY(E990+1)=1,EOMONTH(E990,(N990-1)*D990),EDATE(E990,(N990-1)*D990))-AsAt)/365.25)/2+O990*('Deal maths'!AA990-AsAt)/365.25)/I990),(S990-AsAt)/365.25)),0))</f>
        <v/>
      </c>
      <c r="Q990" s="109">
        <f>IF(B990=1,'Deal maths'!AA990+ROW()/1000000,"")</f>
        <v/>
      </c>
      <c r="R990" s="108">
        <f>IF(D990=0,0,IF(DAY(E990+1)=1,31,DAY(E990)))</f>
        <v/>
      </c>
      <c r="S990" s="109">
        <f>IF(AND('Deal maths'!V990="LOBO",'Deal maths'!AG990&gt;AsAt,'Deal maths'!AG990&lt;'Deal maths'!AA990),'Deal maths'!AG990,'Deal maths'!AA990)</f>
        <v/>
      </c>
      <c r="T990" s="108">
        <f>('Deal maths'!AA990&gt;AsAt)*('Deal maths'!Y990&gt;0)</f>
        <v/>
      </c>
    </row>
    <row r="991">
      <c r="A991" s="91">
        <f>IF('Deal maths'!V991="","",'Deal maths'!W991)</f>
        <v/>
      </c>
      <c r="B991" s="108">
        <f>('Deal maths'!AA991&gt;AsAt)*('Deal maths'!Y991&gt;0)*('Deal maths'!Z991&lt;=AsAt)</f>
        <v/>
      </c>
      <c r="C991" s="91">
        <f>IF('Deal maths'!V991="","",IF('Deal maths'!AC991="","Maturity",'Deal maths'!AC991))</f>
        <v/>
      </c>
      <c r="D991" s="108">
        <f>IF(OR(C991="EIP",C991="Annuity"),IF('Deal maths'!AD991="Annual",12,IF('Deal maths'!AD991="Quarterly",3,6)),0)</f>
        <v/>
      </c>
      <c r="E991" s="109">
        <f>IFERROR(IF(D991=0,0,IF('Deal maths'!AE991&gt;0,IF('Deal maths'!AE991&gt;'Deal maths'!AA991,'Deal maths'!AA991,'Deal maths'!AE991),IF(IF(DAY('Deal maths'!AA991+1)=1,EOMONTH('Deal maths'!AA991,-(INT(((YEAR('Deal maths'!AA991)-YEAR(IF('Deal maths'!Z991&gt;0,'Deal maths'!Z991,DATE(1990,1,1))))*12+MONTH('Deal maths'!AA991)-MONTH(IF('Deal maths'!Z991&gt;0,'Deal maths'!Z991,DATE(1990,1,1))))/D991))*D991),EDATE('Deal maths'!AA991,-(INT(((YEAR('Deal maths'!AA991)-YEAR(IF('Deal maths'!Z991&gt;0,'Deal maths'!Z991,DATE(1990,1,1))))*12+MONTH('Deal maths'!AA991)-MONTH(IF('Deal maths'!Z991&gt;0,'Deal maths'!Z991,DATE(1990,1,1))))/D991))*D991))&gt;IF('Deal maths'!Z991&gt;0,'Deal maths'!Z991,DATE(1990,1,1)),IF(DAY('Deal maths'!AA991+1)=1,EOMONTH('Deal maths'!AA991,-(INT(((YEAR('Deal maths'!AA991)-YEAR(IF('Deal maths'!Z991&gt;0,'Deal maths'!Z991,DATE(1990,1,1))))*12+MONTH('Deal maths'!AA991)-MONTH(IF('Deal maths'!Z991&gt;0,'Deal maths'!Z991,DATE(1990,1,1))))/D991))*D991),EDATE('Deal maths'!AA991,-(INT(((YEAR('Deal maths'!AA991)-YEAR(IF('Deal maths'!Z991&gt;0,'Deal maths'!Z991,DATE(1990,1,1))))*12+MONTH('Deal maths'!AA991)-MONTH(IF('Deal maths'!Z991&gt;0,'Deal maths'!Z991,DATE(1990,1,1))))/D991))*D991)),IF(DAY('Deal maths'!AA991+1)=1,EOMONTH('Deal maths'!AA991,-(INT(((YEAR('Deal maths'!AA991)-YEAR(IF('Deal maths'!Z991&gt;0,'Deal maths'!Z991,DATE(1990,1,1))))*12+MONTH('Deal maths'!AA991)-MONTH(IF('Deal maths'!Z991&gt;0,'Deal maths'!Z991,DATE(1990,1,1))))/D991)-1)*D991),EDATE('Deal maths'!AA991,-(INT(((YEAR('Deal maths'!AA991)-YEAR(IF('Deal maths'!Z991&gt;0,'Deal maths'!Z991,DATE(1990,1,1))))*12+MONTH('Deal maths'!AA991)-MONTH(IF('Deal maths'!Z991&gt;0,'Deal maths'!Z991,DATE(1990,1,1))))/D991)-1)*D991))))),0)</f>
        <v/>
      </c>
      <c r="F991" s="110">
        <f>IF(D991=0,0,'Deal maths'!AB991*D991/12)</f>
        <v/>
      </c>
      <c r="G991" s="108">
        <f>N991+O991</f>
        <v/>
      </c>
      <c r="H991" s="108">
        <f>IFERROR(IF(OR(D991=0,AsAt&lt;E991),0,MIN(N991,INT(((YEAR(AsAt)-YEAR(E991))*12+MONTH(AsAt)-MONTH(E991)-(DAY(AsAt)&lt;MIN(R991,DAY(EOMONTH(AsAt,0)))))/D991)+1)+O991*(AsAt&gt;='Deal maths'!AA991)),0)</f>
        <v/>
      </c>
      <c r="I991" s="108">
        <f>G991-H991</f>
        <v/>
      </c>
      <c r="J991" s="111">
        <f>IF(AND(C991="EIP",I991&gt;0),'Deal maths'!Y991/I991,0)</f>
        <v/>
      </c>
      <c r="K991" s="111">
        <f>IF(AND(C991="Annuity",I991&gt;0),IF(F991&gt;0,'Deal maths'!Y991*F991/(1-(1+F991)^-I991),'Deal maths'!Y991/I991),0)</f>
        <v/>
      </c>
      <c r="L991" s="111">
        <f>IF('Deal maths'!Y991="",0,'Deal maths'!Y991)</f>
        <v/>
      </c>
      <c r="M991" s="112">
        <f>F991+(F991=0)</f>
        <v/>
      </c>
      <c r="N991" s="108">
        <f>IFERROR(IF(D991=0,0,INT(((YEAR('Deal maths'!AA991)-YEAR(E991))*12+MONTH('Deal maths'!AA991)-MONTH(E991)-(DAY('Deal maths'!AA991)&lt;MIN(R991,DAY(EOMONTH('Deal maths'!AA991,0)))))/D991)+1),0)</f>
        <v/>
      </c>
      <c r="O991" s="108">
        <f>IFERROR(IF(D991=0,0,IF(IF(DAY(E991+1)=1,EOMONTH(E991,(N991-1)*D991),EDATE(E991,(N991-1)*D991))='Deal maths'!AA991,0,1)),0)</f>
        <v/>
      </c>
      <c r="P991" s="113">
        <f>IF(B991=0,0,IFERROR(IF(C991="EIP",((I991-O991)*((IF(DAY(E991+1)=1,EOMONTH(E991,H991*D991),EDATE(E991,H991*D991))-AsAt)/365.25+(IF(DAY(E991+1)=1,EOMONTH(E991,(N991-1)*D991),EDATE(E991,(N991-1)*D991))-AsAt)/365.25)/2+O991*('Deal maths'!AA991-AsAt)/365.25)/I991,IF(C991="Annuity",IF(F991&gt;0,((K991-L991*F991)*((IF(DAY(E991+1)=1,EOMONTH(E991,H991*D991),EDATE(E991,H991*D991))-AsAt)/365.25*((1+F991)^(I991-O991)-1)/F991+IF((I991-O991)&gt;1,((IF(DAY(E991+1)=1,EOMONTH(E991,(N991-1)*D991),EDATE(E991,(N991-1)*D991))-AsAt)/365.25-(IF(DAY(E991+1)=1,EOMONTH(E991,H991*D991),EDATE(E991,H991*D991))-AsAt)/365.25)/((I991-O991)-1),0)*(1+F991)*(1-(I991-O991)*(1+F991)^((I991-O991)-1)+((I991-O991)-1)*(1+F991)^(I991-O991))/F991^2)+O991*(K991-L991*F991)*(1+F991)^(I991-1)*('Deal maths'!AA991-AsAt)/365.25)/L991,((I991-O991)*((IF(DAY(E991+1)=1,EOMONTH(E991,H991*D991),EDATE(E991,H991*D991))-AsAt)/365.25+(IF(DAY(E991+1)=1,EOMONTH(E991,(N991-1)*D991),EDATE(E991,(N991-1)*D991))-AsAt)/365.25)/2+O991*('Deal maths'!AA991-AsAt)/365.25)/I991),(S991-AsAt)/365.25)),0))</f>
        <v/>
      </c>
      <c r="Q991" s="109">
        <f>IF(B991=1,'Deal maths'!AA991+ROW()/1000000,"")</f>
        <v/>
      </c>
      <c r="R991" s="108">
        <f>IF(D991=0,0,IF(DAY(E991+1)=1,31,DAY(E991)))</f>
        <v/>
      </c>
      <c r="S991" s="109">
        <f>IF(AND('Deal maths'!V991="LOBO",'Deal maths'!AG991&gt;AsAt,'Deal maths'!AG991&lt;'Deal maths'!AA991),'Deal maths'!AG991,'Deal maths'!AA991)</f>
        <v/>
      </c>
      <c r="T991" s="108">
        <f>('Deal maths'!AA991&gt;AsAt)*('Deal maths'!Y991&gt;0)</f>
        <v/>
      </c>
    </row>
    <row r="992">
      <c r="A992" s="91">
        <f>IF('Deal maths'!V992="","",'Deal maths'!W992)</f>
        <v/>
      </c>
      <c r="B992" s="108">
        <f>('Deal maths'!AA992&gt;AsAt)*('Deal maths'!Y992&gt;0)*('Deal maths'!Z992&lt;=AsAt)</f>
        <v/>
      </c>
      <c r="C992" s="91">
        <f>IF('Deal maths'!V992="","",IF('Deal maths'!AC992="","Maturity",'Deal maths'!AC992))</f>
        <v/>
      </c>
      <c r="D992" s="108">
        <f>IF(OR(C992="EIP",C992="Annuity"),IF('Deal maths'!AD992="Annual",12,IF('Deal maths'!AD992="Quarterly",3,6)),0)</f>
        <v/>
      </c>
      <c r="E992" s="109">
        <f>IFERROR(IF(D992=0,0,IF('Deal maths'!AE992&gt;0,IF('Deal maths'!AE992&gt;'Deal maths'!AA992,'Deal maths'!AA992,'Deal maths'!AE992),IF(IF(DAY('Deal maths'!AA992+1)=1,EOMONTH('Deal maths'!AA992,-(INT(((YEAR('Deal maths'!AA992)-YEAR(IF('Deal maths'!Z992&gt;0,'Deal maths'!Z992,DATE(1990,1,1))))*12+MONTH('Deal maths'!AA992)-MONTH(IF('Deal maths'!Z992&gt;0,'Deal maths'!Z992,DATE(1990,1,1))))/D992))*D992),EDATE('Deal maths'!AA992,-(INT(((YEAR('Deal maths'!AA992)-YEAR(IF('Deal maths'!Z992&gt;0,'Deal maths'!Z992,DATE(1990,1,1))))*12+MONTH('Deal maths'!AA992)-MONTH(IF('Deal maths'!Z992&gt;0,'Deal maths'!Z992,DATE(1990,1,1))))/D992))*D992))&gt;IF('Deal maths'!Z992&gt;0,'Deal maths'!Z992,DATE(1990,1,1)),IF(DAY('Deal maths'!AA992+1)=1,EOMONTH('Deal maths'!AA992,-(INT(((YEAR('Deal maths'!AA992)-YEAR(IF('Deal maths'!Z992&gt;0,'Deal maths'!Z992,DATE(1990,1,1))))*12+MONTH('Deal maths'!AA992)-MONTH(IF('Deal maths'!Z992&gt;0,'Deal maths'!Z992,DATE(1990,1,1))))/D992))*D992),EDATE('Deal maths'!AA992,-(INT(((YEAR('Deal maths'!AA992)-YEAR(IF('Deal maths'!Z992&gt;0,'Deal maths'!Z992,DATE(1990,1,1))))*12+MONTH('Deal maths'!AA992)-MONTH(IF('Deal maths'!Z992&gt;0,'Deal maths'!Z992,DATE(1990,1,1))))/D992))*D992)),IF(DAY('Deal maths'!AA992+1)=1,EOMONTH('Deal maths'!AA992,-(INT(((YEAR('Deal maths'!AA992)-YEAR(IF('Deal maths'!Z992&gt;0,'Deal maths'!Z992,DATE(1990,1,1))))*12+MONTH('Deal maths'!AA992)-MONTH(IF('Deal maths'!Z992&gt;0,'Deal maths'!Z992,DATE(1990,1,1))))/D992)-1)*D992),EDATE('Deal maths'!AA992,-(INT(((YEAR('Deal maths'!AA992)-YEAR(IF('Deal maths'!Z992&gt;0,'Deal maths'!Z992,DATE(1990,1,1))))*12+MONTH('Deal maths'!AA992)-MONTH(IF('Deal maths'!Z992&gt;0,'Deal maths'!Z992,DATE(1990,1,1))))/D992)-1)*D992))))),0)</f>
        <v/>
      </c>
      <c r="F992" s="110">
        <f>IF(D992=0,0,'Deal maths'!AB992*D992/12)</f>
        <v/>
      </c>
      <c r="G992" s="108">
        <f>N992+O992</f>
        <v/>
      </c>
      <c r="H992" s="108">
        <f>IFERROR(IF(OR(D992=0,AsAt&lt;E992),0,MIN(N992,INT(((YEAR(AsAt)-YEAR(E992))*12+MONTH(AsAt)-MONTH(E992)-(DAY(AsAt)&lt;MIN(R992,DAY(EOMONTH(AsAt,0)))))/D992)+1)+O992*(AsAt&gt;='Deal maths'!AA992)),0)</f>
        <v/>
      </c>
      <c r="I992" s="108">
        <f>G992-H992</f>
        <v/>
      </c>
      <c r="J992" s="111">
        <f>IF(AND(C992="EIP",I992&gt;0),'Deal maths'!Y992/I992,0)</f>
        <v/>
      </c>
      <c r="K992" s="111">
        <f>IF(AND(C992="Annuity",I992&gt;0),IF(F992&gt;0,'Deal maths'!Y992*F992/(1-(1+F992)^-I992),'Deal maths'!Y992/I992),0)</f>
        <v/>
      </c>
      <c r="L992" s="111">
        <f>IF('Deal maths'!Y992="",0,'Deal maths'!Y992)</f>
        <v/>
      </c>
      <c r="M992" s="112">
        <f>F992+(F992=0)</f>
        <v/>
      </c>
      <c r="N992" s="108">
        <f>IFERROR(IF(D992=0,0,INT(((YEAR('Deal maths'!AA992)-YEAR(E992))*12+MONTH('Deal maths'!AA992)-MONTH(E992)-(DAY('Deal maths'!AA992)&lt;MIN(R992,DAY(EOMONTH('Deal maths'!AA992,0)))))/D992)+1),0)</f>
        <v/>
      </c>
      <c r="O992" s="108">
        <f>IFERROR(IF(D992=0,0,IF(IF(DAY(E992+1)=1,EOMONTH(E992,(N992-1)*D992),EDATE(E992,(N992-1)*D992))='Deal maths'!AA992,0,1)),0)</f>
        <v/>
      </c>
      <c r="P992" s="113">
        <f>IF(B992=0,0,IFERROR(IF(C992="EIP",((I992-O992)*((IF(DAY(E992+1)=1,EOMONTH(E992,H992*D992),EDATE(E992,H992*D992))-AsAt)/365.25+(IF(DAY(E992+1)=1,EOMONTH(E992,(N992-1)*D992),EDATE(E992,(N992-1)*D992))-AsAt)/365.25)/2+O992*('Deal maths'!AA992-AsAt)/365.25)/I992,IF(C992="Annuity",IF(F992&gt;0,((K992-L992*F992)*((IF(DAY(E992+1)=1,EOMONTH(E992,H992*D992),EDATE(E992,H992*D992))-AsAt)/365.25*((1+F992)^(I992-O992)-1)/F992+IF((I992-O992)&gt;1,((IF(DAY(E992+1)=1,EOMONTH(E992,(N992-1)*D992),EDATE(E992,(N992-1)*D992))-AsAt)/365.25-(IF(DAY(E992+1)=1,EOMONTH(E992,H992*D992),EDATE(E992,H992*D992))-AsAt)/365.25)/((I992-O992)-1),0)*(1+F992)*(1-(I992-O992)*(1+F992)^((I992-O992)-1)+((I992-O992)-1)*(1+F992)^(I992-O992))/F992^2)+O992*(K992-L992*F992)*(1+F992)^(I992-1)*('Deal maths'!AA992-AsAt)/365.25)/L992,((I992-O992)*((IF(DAY(E992+1)=1,EOMONTH(E992,H992*D992),EDATE(E992,H992*D992))-AsAt)/365.25+(IF(DAY(E992+1)=1,EOMONTH(E992,(N992-1)*D992),EDATE(E992,(N992-1)*D992))-AsAt)/365.25)/2+O992*('Deal maths'!AA992-AsAt)/365.25)/I992),(S992-AsAt)/365.25)),0))</f>
        <v/>
      </c>
      <c r="Q992" s="109">
        <f>IF(B992=1,'Deal maths'!AA992+ROW()/1000000,"")</f>
        <v/>
      </c>
      <c r="R992" s="108">
        <f>IF(D992=0,0,IF(DAY(E992+1)=1,31,DAY(E992)))</f>
        <v/>
      </c>
      <c r="S992" s="109">
        <f>IF(AND('Deal maths'!V992="LOBO",'Deal maths'!AG992&gt;AsAt,'Deal maths'!AG992&lt;'Deal maths'!AA992),'Deal maths'!AG992,'Deal maths'!AA992)</f>
        <v/>
      </c>
      <c r="T992" s="108">
        <f>('Deal maths'!AA992&gt;AsAt)*('Deal maths'!Y992&gt;0)</f>
        <v/>
      </c>
    </row>
    <row r="993">
      <c r="A993" s="91">
        <f>IF('Deal maths'!V993="","",'Deal maths'!W993)</f>
        <v/>
      </c>
      <c r="B993" s="108">
        <f>('Deal maths'!AA993&gt;AsAt)*('Deal maths'!Y993&gt;0)*('Deal maths'!Z993&lt;=AsAt)</f>
        <v/>
      </c>
      <c r="C993" s="91">
        <f>IF('Deal maths'!V993="","",IF('Deal maths'!AC993="","Maturity",'Deal maths'!AC993))</f>
        <v/>
      </c>
      <c r="D993" s="108">
        <f>IF(OR(C993="EIP",C993="Annuity"),IF('Deal maths'!AD993="Annual",12,IF('Deal maths'!AD993="Quarterly",3,6)),0)</f>
        <v/>
      </c>
      <c r="E993" s="109">
        <f>IFERROR(IF(D993=0,0,IF('Deal maths'!AE993&gt;0,IF('Deal maths'!AE993&gt;'Deal maths'!AA993,'Deal maths'!AA993,'Deal maths'!AE993),IF(IF(DAY('Deal maths'!AA993+1)=1,EOMONTH('Deal maths'!AA993,-(INT(((YEAR('Deal maths'!AA993)-YEAR(IF('Deal maths'!Z993&gt;0,'Deal maths'!Z993,DATE(1990,1,1))))*12+MONTH('Deal maths'!AA993)-MONTH(IF('Deal maths'!Z993&gt;0,'Deal maths'!Z993,DATE(1990,1,1))))/D993))*D993),EDATE('Deal maths'!AA993,-(INT(((YEAR('Deal maths'!AA993)-YEAR(IF('Deal maths'!Z993&gt;0,'Deal maths'!Z993,DATE(1990,1,1))))*12+MONTH('Deal maths'!AA993)-MONTH(IF('Deal maths'!Z993&gt;0,'Deal maths'!Z993,DATE(1990,1,1))))/D993))*D993))&gt;IF('Deal maths'!Z993&gt;0,'Deal maths'!Z993,DATE(1990,1,1)),IF(DAY('Deal maths'!AA993+1)=1,EOMONTH('Deal maths'!AA993,-(INT(((YEAR('Deal maths'!AA993)-YEAR(IF('Deal maths'!Z993&gt;0,'Deal maths'!Z993,DATE(1990,1,1))))*12+MONTH('Deal maths'!AA993)-MONTH(IF('Deal maths'!Z993&gt;0,'Deal maths'!Z993,DATE(1990,1,1))))/D993))*D993),EDATE('Deal maths'!AA993,-(INT(((YEAR('Deal maths'!AA993)-YEAR(IF('Deal maths'!Z993&gt;0,'Deal maths'!Z993,DATE(1990,1,1))))*12+MONTH('Deal maths'!AA993)-MONTH(IF('Deal maths'!Z993&gt;0,'Deal maths'!Z993,DATE(1990,1,1))))/D993))*D993)),IF(DAY('Deal maths'!AA993+1)=1,EOMONTH('Deal maths'!AA993,-(INT(((YEAR('Deal maths'!AA993)-YEAR(IF('Deal maths'!Z993&gt;0,'Deal maths'!Z993,DATE(1990,1,1))))*12+MONTH('Deal maths'!AA993)-MONTH(IF('Deal maths'!Z993&gt;0,'Deal maths'!Z993,DATE(1990,1,1))))/D993)-1)*D993),EDATE('Deal maths'!AA993,-(INT(((YEAR('Deal maths'!AA993)-YEAR(IF('Deal maths'!Z993&gt;0,'Deal maths'!Z993,DATE(1990,1,1))))*12+MONTH('Deal maths'!AA993)-MONTH(IF('Deal maths'!Z993&gt;0,'Deal maths'!Z993,DATE(1990,1,1))))/D993)-1)*D993))))),0)</f>
        <v/>
      </c>
      <c r="F993" s="110">
        <f>IF(D993=0,0,'Deal maths'!AB993*D993/12)</f>
        <v/>
      </c>
      <c r="G993" s="108">
        <f>N993+O993</f>
        <v/>
      </c>
      <c r="H993" s="108">
        <f>IFERROR(IF(OR(D993=0,AsAt&lt;E993),0,MIN(N993,INT(((YEAR(AsAt)-YEAR(E993))*12+MONTH(AsAt)-MONTH(E993)-(DAY(AsAt)&lt;MIN(R993,DAY(EOMONTH(AsAt,0)))))/D993)+1)+O993*(AsAt&gt;='Deal maths'!AA993)),0)</f>
        <v/>
      </c>
      <c r="I993" s="108">
        <f>G993-H993</f>
        <v/>
      </c>
      <c r="J993" s="111">
        <f>IF(AND(C993="EIP",I993&gt;0),'Deal maths'!Y993/I993,0)</f>
        <v/>
      </c>
      <c r="K993" s="111">
        <f>IF(AND(C993="Annuity",I993&gt;0),IF(F993&gt;0,'Deal maths'!Y993*F993/(1-(1+F993)^-I993),'Deal maths'!Y993/I993),0)</f>
        <v/>
      </c>
      <c r="L993" s="111">
        <f>IF('Deal maths'!Y993="",0,'Deal maths'!Y993)</f>
        <v/>
      </c>
      <c r="M993" s="112">
        <f>F993+(F993=0)</f>
        <v/>
      </c>
      <c r="N993" s="108">
        <f>IFERROR(IF(D993=0,0,INT(((YEAR('Deal maths'!AA993)-YEAR(E993))*12+MONTH('Deal maths'!AA993)-MONTH(E993)-(DAY('Deal maths'!AA993)&lt;MIN(R993,DAY(EOMONTH('Deal maths'!AA993,0)))))/D993)+1),0)</f>
        <v/>
      </c>
      <c r="O993" s="108">
        <f>IFERROR(IF(D993=0,0,IF(IF(DAY(E993+1)=1,EOMONTH(E993,(N993-1)*D993),EDATE(E993,(N993-1)*D993))='Deal maths'!AA993,0,1)),0)</f>
        <v/>
      </c>
      <c r="P993" s="113">
        <f>IF(B993=0,0,IFERROR(IF(C993="EIP",((I993-O993)*((IF(DAY(E993+1)=1,EOMONTH(E993,H993*D993),EDATE(E993,H993*D993))-AsAt)/365.25+(IF(DAY(E993+1)=1,EOMONTH(E993,(N993-1)*D993),EDATE(E993,(N993-1)*D993))-AsAt)/365.25)/2+O993*('Deal maths'!AA993-AsAt)/365.25)/I993,IF(C993="Annuity",IF(F993&gt;0,((K993-L993*F993)*((IF(DAY(E993+1)=1,EOMONTH(E993,H993*D993),EDATE(E993,H993*D993))-AsAt)/365.25*((1+F993)^(I993-O993)-1)/F993+IF((I993-O993)&gt;1,((IF(DAY(E993+1)=1,EOMONTH(E993,(N993-1)*D993),EDATE(E993,(N993-1)*D993))-AsAt)/365.25-(IF(DAY(E993+1)=1,EOMONTH(E993,H993*D993),EDATE(E993,H993*D993))-AsAt)/365.25)/((I993-O993)-1),0)*(1+F993)*(1-(I993-O993)*(1+F993)^((I993-O993)-1)+((I993-O993)-1)*(1+F993)^(I993-O993))/F993^2)+O993*(K993-L993*F993)*(1+F993)^(I993-1)*('Deal maths'!AA993-AsAt)/365.25)/L993,((I993-O993)*((IF(DAY(E993+1)=1,EOMONTH(E993,H993*D993),EDATE(E993,H993*D993))-AsAt)/365.25+(IF(DAY(E993+1)=1,EOMONTH(E993,(N993-1)*D993),EDATE(E993,(N993-1)*D993))-AsAt)/365.25)/2+O993*('Deal maths'!AA993-AsAt)/365.25)/I993),(S993-AsAt)/365.25)),0))</f>
        <v/>
      </c>
      <c r="Q993" s="109">
        <f>IF(B993=1,'Deal maths'!AA993+ROW()/1000000,"")</f>
        <v/>
      </c>
      <c r="R993" s="108">
        <f>IF(D993=0,0,IF(DAY(E993+1)=1,31,DAY(E993)))</f>
        <v/>
      </c>
      <c r="S993" s="109">
        <f>IF(AND('Deal maths'!V993="LOBO",'Deal maths'!AG993&gt;AsAt,'Deal maths'!AG993&lt;'Deal maths'!AA993),'Deal maths'!AG993,'Deal maths'!AA993)</f>
        <v/>
      </c>
      <c r="T993" s="108">
        <f>('Deal maths'!AA993&gt;AsAt)*('Deal maths'!Y993&gt;0)</f>
        <v/>
      </c>
    </row>
    <row r="994">
      <c r="A994" s="91">
        <f>IF('Deal maths'!V994="","",'Deal maths'!W994)</f>
        <v/>
      </c>
      <c r="B994" s="108">
        <f>('Deal maths'!AA994&gt;AsAt)*('Deal maths'!Y994&gt;0)*('Deal maths'!Z994&lt;=AsAt)</f>
        <v/>
      </c>
      <c r="C994" s="91">
        <f>IF('Deal maths'!V994="","",IF('Deal maths'!AC994="","Maturity",'Deal maths'!AC994))</f>
        <v/>
      </c>
      <c r="D994" s="108">
        <f>IF(OR(C994="EIP",C994="Annuity"),IF('Deal maths'!AD994="Annual",12,IF('Deal maths'!AD994="Quarterly",3,6)),0)</f>
        <v/>
      </c>
      <c r="E994" s="109">
        <f>IFERROR(IF(D994=0,0,IF('Deal maths'!AE994&gt;0,IF('Deal maths'!AE994&gt;'Deal maths'!AA994,'Deal maths'!AA994,'Deal maths'!AE994),IF(IF(DAY('Deal maths'!AA994+1)=1,EOMONTH('Deal maths'!AA994,-(INT(((YEAR('Deal maths'!AA994)-YEAR(IF('Deal maths'!Z994&gt;0,'Deal maths'!Z994,DATE(1990,1,1))))*12+MONTH('Deal maths'!AA994)-MONTH(IF('Deal maths'!Z994&gt;0,'Deal maths'!Z994,DATE(1990,1,1))))/D994))*D994),EDATE('Deal maths'!AA994,-(INT(((YEAR('Deal maths'!AA994)-YEAR(IF('Deal maths'!Z994&gt;0,'Deal maths'!Z994,DATE(1990,1,1))))*12+MONTH('Deal maths'!AA994)-MONTH(IF('Deal maths'!Z994&gt;0,'Deal maths'!Z994,DATE(1990,1,1))))/D994))*D994))&gt;IF('Deal maths'!Z994&gt;0,'Deal maths'!Z994,DATE(1990,1,1)),IF(DAY('Deal maths'!AA994+1)=1,EOMONTH('Deal maths'!AA994,-(INT(((YEAR('Deal maths'!AA994)-YEAR(IF('Deal maths'!Z994&gt;0,'Deal maths'!Z994,DATE(1990,1,1))))*12+MONTH('Deal maths'!AA994)-MONTH(IF('Deal maths'!Z994&gt;0,'Deal maths'!Z994,DATE(1990,1,1))))/D994))*D994),EDATE('Deal maths'!AA994,-(INT(((YEAR('Deal maths'!AA994)-YEAR(IF('Deal maths'!Z994&gt;0,'Deal maths'!Z994,DATE(1990,1,1))))*12+MONTH('Deal maths'!AA994)-MONTH(IF('Deal maths'!Z994&gt;0,'Deal maths'!Z994,DATE(1990,1,1))))/D994))*D994)),IF(DAY('Deal maths'!AA994+1)=1,EOMONTH('Deal maths'!AA994,-(INT(((YEAR('Deal maths'!AA994)-YEAR(IF('Deal maths'!Z994&gt;0,'Deal maths'!Z994,DATE(1990,1,1))))*12+MONTH('Deal maths'!AA994)-MONTH(IF('Deal maths'!Z994&gt;0,'Deal maths'!Z994,DATE(1990,1,1))))/D994)-1)*D994),EDATE('Deal maths'!AA994,-(INT(((YEAR('Deal maths'!AA994)-YEAR(IF('Deal maths'!Z994&gt;0,'Deal maths'!Z994,DATE(1990,1,1))))*12+MONTH('Deal maths'!AA994)-MONTH(IF('Deal maths'!Z994&gt;0,'Deal maths'!Z994,DATE(1990,1,1))))/D994)-1)*D994))))),0)</f>
        <v/>
      </c>
      <c r="F994" s="110">
        <f>IF(D994=0,0,'Deal maths'!AB994*D994/12)</f>
        <v/>
      </c>
      <c r="G994" s="108">
        <f>N994+O994</f>
        <v/>
      </c>
      <c r="H994" s="108">
        <f>IFERROR(IF(OR(D994=0,AsAt&lt;E994),0,MIN(N994,INT(((YEAR(AsAt)-YEAR(E994))*12+MONTH(AsAt)-MONTH(E994)-(DAY(AsAt)&lt;MIN(R994,DAY(EOMONTH(AsAt,0)))))/D994)+1)+O994*(AsAt&gt;='Deal maths'!AA994)),0)</f>
        <v/>
      </c>
      <c r="I994" s="108">
        <f>G994-H994</f>
        <v/>
      </c>
      <c r="J994" s="111">
        <f>IF(AND(C994="EIP",I994&gt;0),'Deal maths'!Y994/I994,0)</f>
        <v/>
      </c>
      <c r="K994" s="111">
        <f>IF(AND(C994="Annuity",I994&gt;0),IF(F994&gt;0,'Deal maths'!Y994*F994/(1-(1+F994)^-I994),'Deal maths'!Y994/I994),0)</f>
        <v/>
      </c>
      <c r="L994" s="111">
        <f>IF('Deal maths'!Y994="",0,'Deal maths'!Y994)</f>
        <v/>
      </c>
      <c r="M994" s="112">
        <f>F994+(F994=0)</f>
        <v/>
      </c>
      <c r="N994" s="108">
        <f>IFERROR(IF(D994=0,0,INT(((YEAR('Deal maths'!AA994)-YEAR(E994))*12+MONTH('Deal maths'!AA994)-MONTH(E994)-(DAY('Deal maths'!AA994)&lt;MIN(R994,DAY(EOMONTH('Deal maths'!AA994,0)))))/D994)+1),0)</f>
        <v/>
      </c>
      <c r="O994" s="108">
        <f>IFERROR(IF(D994=0,0,IF(IF(DAY(E994+1)=1,EOMONTH(E994,(N994-1)*D994),EDATE(E994,(N994-1)*D994))='Deal maths'!AA994,0,1)),0)</f>
        <v/>
      </c>
      <c r="P994" s="113">
        <f>IF(B994=0,0,IFERROR(IF(C994="EIP",((I994-O994)*((IF(DAY(E994+1)=1,EOMONTH(E994,H994*D994),EDATE(E994,H994*D994))-AsAt)/365.25+(IF(DAY(E994+1)=1,EOMONTH(E994,(N994-1)*D994),EDATE(E994,(N994-1)*D994))-AsAt)/365.25)/2+O994*('Deal maths'!AA994-AsAt)/365.25)/I994,IF(C994="Annuity",IF(F994&gt;0,((K994-L994*F994)*((IF(DAY(E994+1)=1,EOMONTH(E994,H994*D994),EDATE(E994,H994*D994))-AsAt)/365.25*((1+F994)^(I994-O994)-1)/F994+IF((I994-O994)&gt;1,((IF(DAY(E994+1)=1,EOMONTH(E994,(N994-1)*D994),EDATE(E994,(N994-1)*D994))-AsAt)/365.25-(IF(DAY(E994+1)=1,EOMONTH(E994,H994*D994),EDATE(E994,H994*D994))-AsAt)/365.25)/((I994-O994)-1),0)*(1+F994)*(1-(I994-O994)*(1+F994)^((I994-O994)-1)+((I994-O994)-1)*(1+F994)^(I994-O994))/F994^2)+O994*(K994-L994*F994)*(1+F994)^(I994-1)*('Deal maths'!AA994-AsAt)/365.25)/L994,((I994-O994)*((IF(DAY(E994+1)=1,EOMONTH(E994,H994*D994),EDATE(E994,H994*D994))-AsAt)/365.25+(IF(DAY(E994+1)=1,EOMONTH(E994,(N994-1)*D994),EDATE(E994,(N994-1)*D994))-AsAt)/365.25)/2+O994*('Deal maths'!AA994-AsAt)/365.25)/I994),(S994-AsAt)/365.25)),0))</f>
        <v/>
      </c>
      <c r="Q994" s="109">
        <f>IF(B994=1,'Deal maths'!AA994+ROW()/1000000,"")</f>
        <v/>
      </c>
      <c r="R994" s="108">
        <f>IF(D994=0,0,IF(DAY(E994+1)=1,31,DAY(E994)))</f>
        <v/>
      </c>
      <c r="S994" s="109">
        <f>IF(AND('Deal maths'!V994="LOBO",'Deal maths'!AG994&gt;AsAt,'Deal maths'!AG994&lt;'Deal maths'!AA994),'Deal maths'!AG994,'Deal maths'!AA994)</f>
        <v/>
      </c>
      <c r="T994" s="108">
        <f>('Deal maths'!AA994&gt;AsAt)*('Deal maths'!Y994&gt;0)</f>
        <v/>
      </c>
    </row>
    <row r="995">
      <c r="A995" s="91">
        <f>IF('Deal maths'!V995="","",'Deal maths'!W995)</f>
        <v/>
      </c>
      <c r="B995" s="108">
        <f>('Deal maths'!AA995&gt;AsAt)*('Deal maths'!Y995&gt;0)*('Deal maths'!Z995&lt;=AsAt)</f>
        <v/>
      </c>
      <c r="C995" s="91">
        <f>IF('Deal maths'!V995="","",IF('Deal maths'!AC995="","Maturity",'Deal maths'!AC995))</f>
        <v/>
      </c>
      <c r="D995" s="108">
        <f>IF(OR(C995="EIP",C995="Annuity"),IF('Deal maths'!AD995="Annual",12,IF('Deal maths'!AD995="Quarterly",3,6)),0)</f>
        <v/>
      </c>
      <c r="E995" s="109">
        <f>IFERROR(IF(D995=0,0,IF('Deal maths'!AE995&gt;0,IF('Deal maths'!AE995&gt;'Deal maths'!AA995,'Deal maths'!AA995,'Deal maths'!AE995),IF(IF(DAY('Deal maths'!AA995+1)=1,EOMONTH('Deal maths'!AA995,-(INT(((YEAR('Deal maths'!AA995)-YEAR(IF('Deal maths'!Z995&gt;0,'Deal maths'!Z995,DATE(1990,1,1))))*12+MONTH('Deal maths'!AA995)-MONTH(IF('Deal maths'!Z995&gt;0,'Deal maths'!Z995,DATE(1990,1,1))))/D995))*D995),EDATE('Deal maths'!AA995,-(INT(((YEAR('Deal maths'!AA995)-YEAR(IF('Deal maths'!Z995&gt;0,'Deal maths'!Z995,DATE(1990,1,1))))*12+MONTH('Deal maths'!AA995)-MONTH(IF('Deal maths'!Z995&gt;0,'Deal maths'!Z995,DATE(1990,1,1))))/D995))*D995))&gt;IF('Deal maths'!Z995&gt;0,'Deal maths'!Z995,DATE(1990,1,1)),IF(DAY('Deal maths'!AA995+1)=1,EOMONTH('Deal maths'!AA995,-(INT(((YEAR('Deal maths'!AA995)-YEAR(IF('Deal maths'!Z995&gt;0,'Deal maths'!Z995,DATE(1990,1,1))))*12+MONTH('Deal maths'!AA995)-MONTH(IF('Deal maths'!Z995&gt;0,'Deal maths'!Z995,DATE(1990,1,1))))/D995))*D995),EDATE('Deal maths'!AA995,-(INT(((YEAR('Deal maths'!AA995)-YEAR(IF('Deal maths'!Z995&gt;0,'Deal maths'!Z995,DATE(1990,1,1))))*12+MONTH('Deal maths'!AA995)-MONTH(IF('Deal maths'!Z995&gt;0,'Deal maths'!Z995,DATE(1990,1,1))))/D995))*D995)),IF(DAY('Deal maths'!AA995+1)=1,EOMONTH('Deal maths'!AA995,-(INT(((YEAR('Deal maths'!AA995)-YEAR(IF('Deal maths'!Z995&gt;0,'Deal maths'!Z995,DATE(1990,1,1))))*12+MONTH('Deal maths'!AA995)-MONTH(IF('Deal maths'!Z995&gt;0,'Deal maths'!Z995,DATE(1990,1,1))))/D995)-1)*D995),EDATE('Deal maths'!AA995,-(INT(((YEAR('Deal maths'!AA995)-YEAR(IF('Deal maths'!Z995&gt;0,'Deal maths'!Z995,DATE(1990,1,1))))*12+MONTH('Deal maths'!AA995)-MONTH(IF('Deal maths'!Z995&gt;0,'Deal maths'!Z995,DATE(1990,1,1))))/D995)-1)*D995))))),0)</f>
        <v/>
      </c>
      <c r="F995" s="110">
        <f>IF(D995=0,0,'Deal maths'!AB995*D995/12)</f>
        <v/>
      </c>
      <c r="G995" s="108">
        <f>N995+O995</f>
        <v/>
      </c>
      <c r="H995" s="108">
        <f>IFERROR(IF(OR(D995=0,AsAt&lt;E995),0,MIN(N995,INT(((YEAR(AsAt)-YEAR(E995))*12+MONTH(AsAt)-MONTH(E995)-(DAY(AsAt)&lt;MIN(R995,DAY(EOMONTH(AsAt,0)))))/D995)+1)+O995*(AsAt&gt;='Deal maths'!AA995)),0)</f>
        <v/>
      </c>
      <c r="I995" s="108">
        <f>G995-H995</f>
        <v/>
      </c>
      <c r="J995" s="111">
        <f>IF(AND(C995="EIP",I995&gt;0),'Deal maths'!Y995/I995,0)</f>
        <v/>
      </c>
      <c r="K995" s="111">
        <f>IF(AND(C995="Annuity",I995&gt;0),IF(F995&gt;0,'Deal maths'!Y995*F995/(1-(1+F995)^-I995),'Deal maths'!Y995/I995),0)</f>
        <v/>
      </c>
      <c r="L995" s="111">
        <f>IF('Deal maths'!Y995="",0,'Deal maths'!Y995)</f>
        <v/>
      </c>
      <c r="M995" s="112">
        <f>F995+(F995=0)</f>
        <v/>
      </c>
      <c r="N995" s="108">
        <f>IFERROR(IF(D995=0,0,INT(((YEAR('Deal maths'!AA995)-YEAR(E995))*12+MONTH('Deal maths'!AA995)-MONTH(E995)-(DAY('Deal maths'!AA995)&lt;MIN(R995,DAY(EOMONTH('Deal maths'!AA995,0)))))/D995)+1),0)</f>
        <v/>
      </c>
      <c r="O995" s="108">
        <f>IFERROR(IF(D995=0,0,IF(IF(DAY(E995+1)=1,EOMONTH(E995,(N995-1)*D995),EDATE(E995,(N995-1)*D995))='Deal maths'!AA995,0,1)),0)</f>
        <v/>
      </c>
      <c r="P995" s="113">
        <f>IF(B995=0,0,IFERROR(IF(C995="EIP",((I995-O995)*((IF(DAY(E995+1)=1,EOMONTH(E995,H995*D995),EDATE(E995,H995*D995))-AsAt)/365.25+(IF(DAY(E995+1)=1,EOMONTH(E995,(N995-1)*D995),EDATE(E995,(N995-1)*D995))-AsAt)/365.25)/2+O995*('Deal maths'!AA995-AsAt)/365.25)/I995,IF(C995="Annuity",IF(F995&gt;0,((K995-L995*F995)*((IF(DAY(E995+1)=1,EOMONTH(E995,H995*D995),EDATE(E995,H995*D995))-AsAt)/365.25*((1+F995)^(I995-O995)-1)/F995+IF((I995-O995)&gt;1,((IF(DAY(E995+1)=1,EOMONTH(E995,(N995-1)*D995),EDATE(E995,(N995-1)*D995))-AsAt)/365.25-(IF(DAY(E995+1)=1,EOMONTH(E995,H995*D995),EDATE(E995,H995*D995))-AsAt)/365.25)/((I995-O995)-1),0)*(1+F995)*(1-(I995-O995)*(1+F995)^((I995-O995)-1)+((I995-O995)-1)*(1+F995)^(I995-O995))/F995^2)+O995*(K995-L995*F995)*(1+F995)^(I995-1)*('Deal maths'!AA995-AsAt)/365.25)/L995,((I995-O995)*((IF(DAY(E995+1)=1,EOMONTH(E995,H995*D995),EDATE(E995,H995*D995))-AsAt)/365.25+(IF(DAY(E995+1)=1,EOMONTH(E995,(N995-1)*D995),EDATE(E995,(N995-1)*D995))-AsAt)/365.25)/2+O995*('Deal maths'!AA995-AsAt)/365.25)/I995),(S995-AsAt)/365.25)),0))</f>
        <v/>
      </c>
      <c r="Q995" s="109">
        <f>IF(B995=1,'Deal maths'!AA995+ROW()/1000000,"")</f>
        <v/>
      </c>
      <c r="R995" s="108">
        <f>IF(D995=0,0,IF(DAY(E995+1)=1,31,DAY(E995)))</f>
        <v/>
      </c>
      <c r="S995" s="109">
        <f>IF(AND('Deal maths'!V995="LOBO",'Deal maths'!AG995&gt;AsAt,'Deal maths'!AG995&lt;'Deal maths'!AA995),'Deal maths'!AG995,'Deal maths'!AA995)</f>
        <v/>
      </c>
      <c r="T995" s="108">
        <f>('Deal maths'!AA995&gt;AsAt)*('Deal maths'!Y995&gt;0)</f>
        <v/>
      </c>
    </row>
    <row r="996">
      <c r="A996" s="91">
        <f>IF('Deal maths'!V996="","",'Deal maths'!W996)</f>
        <v/>
      </c>
      <c r="B996" s="108">
        <f>('Deal maths'!AA996&gt;AsAt)*('Deal maths'!Y996&gt;0)*('Deal maths'!Z996&lt;=AsAt)</f>
        <v/>
      </c>
      <c r="C996" s="91">
        <f>IF('Deal maths'!V996="","",IF('Deal maths'!AC996="","Maturity",'Deal maths'!AC996))</f>
        <v/>
      </c>
      <c r="D996" s="108">
        <f>IF(OR(C996="EIP",C996="Annuity"),IF('Deal maths'!AD996="Annual",12,IF('Deal maths'!AD996="Quarterly",3,6)),0)</f>
        <v/>
      </c>
      <c r="E996" s="109">
        <f>IFERROR(IF(D996=0,0,IF('Deal maths'!AE996&gt;0,IF('Deal maths'!AE996&gt;'Deal maths'!AA996,'Deal maths'!AA996,'Deal maths'!AE996),IF(IF(DAY('Deal maths'!AA996+1)=1,EOMONTH('Deal maths'!AA996,-(INT(((YEAR('Deal maths'!AA996)-YEAR(IF('Deal maths'!Z996&gt;0,'Deal maths'!Z996,DATE(1990,1,1))))*12+MONTH('Deal maths'!AA996)-MONTH(IF('Deal maths'!Z996&gt;0,'Deal maths'!Z996,DATE(1990,1,1))))/D996))*D996),EDATE('Deal maths'!AA996,-(INT(((YEAR('Deal maths'!AA996)-YEAR(IF('Deal maths'!Z996&gt;0,'Deal maths'!Z996,DATE(1990,1,1))))*12+MONTH('Deal maths'!AA996)-MONTH(IF('Deal maths'!Z996&gt;0,'Deal maths'!Z996,DATE(1990,1,1))))/D996))*D996))&gt;IF('Deal maths'!Z996&gt;0,'Deal maths'!Z996,DATE(1990,1,1)),IF(DAY('Deal maths'!AA996+1)=1,EOMONTH('Deal maths'!AA996,-(INT(((YEAR('Deal maths'!AA996)-YEAR(IF('Deal maths'!Z996&gt;0,'Deal maths'!Z996,DATE(1990,1,1))))*12+MONTH('Deal maths'!AA996)-MONTH(IF('Deal maths'!Z996&gt;0,'Deal maths'!Z996,DATE(1990,1,1))))/D996))*D996),EDATE('Deal maths'!AA996,-(INT(((YEAR('Deal maths'!AA996)-YEAR(IF('Deal maths'!Z996&gt;0,'Deal maths'!Z996,DATE(1990,1,1))))*12+MONTH('Deal maths'!AA996)-MONTH(IF('Deal maths'!Z996&gt;0,'Deal maths'!Z996,DATE(1990,1,1))))/D996))*D996)),IF(DAY('Deal maths'!AA996+1)=1,EOMONTH('Deal maths'!AA996,-(INT(((YEAR('Deal maths'!AA996)-YEAR(IF('Deal maths'!Z996&gt;0,'Deal maths'!Z996,DATE(1990,1,1))))*12+MONTH('Deal maths'!AA996)-MONTH(IF('Deal maths'!Z996&gt;0,'Deal maths'!Z996,DATE(1990,1,1))))/D996)-1)*D996),EDATE('Deal maths'!AA996,-(INT(((YEAR('Deal maths'!AA996)-YEAR(IF('Deal maths'!Z996&gt;0,'Deal maths'!Z996,DATE(1990,1,1))))*12+MONTH('Deal maths'!AA996)-MONTH(IF('Deal maths'!Z996&gt;0,'Deal maths'!Z996,DATE(1990,1,1))))/D996)-1)*D996))))),0)</f>
        <v/>
      </c>
      <c r="F996" s="110">
        <f>IF(D996=0,0,'Deal maths'!AB996*D996/12)</f>
        <v/>
      </c>
      <c r="G996" s="108">
        <f>N996+O996</f>
        <v/>
      </c>
      <c r="H996" s="108">
        <f>IFERROR(IF(OR(D996=0,AsAt&lt;E996),0,MIN(N996,INT(((YEAR(AsAt)-YEAR(E996))*12+MONTH(AsAt)-MONTH(E996)-(DAY(AsAt)&lt;MIN(R996,DAY(EOMONTH(AsAt,0)))))/D996)+1)+O996*(AsAt&gt;='Deal maths'!AA996)),0)</f>
        <v/>
      </c>
      <c r="I996" s="108">
        <f>G996-H996</f>
        <v/>
      </c>
      <c r="J996" s="111">
        <f>IF(AND(C996="EIP",I996&gt;0),'Deal maths'!Y996/I996,0)</f>
        <v/>
      </c>
      <c r="K996" s="111">
        <f>IF(AND(C996="Annuity",I996&gt;0),IF(F996&gt;0,'Deal maths'!Y996*F996/(1-(1+F996)^-I996),'Deal maths'!Y996/I996),0)</f>
        <v/>
      </c>
      <c r="L996" s="111">
        <f>IF('Deal maths'!Y996="",0,'Deal maths'!Y996)</f>
        <v/>
      </c>
      <c r="M996" s="112">
        <f>F996+(F996=0)</f>
        <v/>
      </c>
      <c r="N996" s="108">
        <f>IFERROR(IF(D996=0,0,INT(((YEAR('Deal maths'!AA996)-YEAR(E996))*12+MONTH('Deal maths'!AA996)-MONTH(E996)-(DAY('Deal maths'!AA996)&lt;MIN(R996,DAY(EOMONTH('Deal maths'!AA996,0)))))/D996)+1),0)</f>
        <v/>
      </c>
      <c r="O996" s="108">
        <f>IFERROR(IF(D996=0,0,IF(IF(DAY(E996+1)=1,EOMONTH(E996,(N996-1)*D996),EDATE(E996,(N996-1)*D996))='Deal maths'!AA996,0,1)),0)</f>
        <v/>
      </c>
      <c r="P996" s="113">
        <f>IF(B996=0,0,IFERROR(IF(C996="EIP",((I996-O996)*((IF(DAY(E996+1)=1,EOMONTH(E996,H996*D996),EDATE(E996,H996*D996))-AsAt)/365.25+(IF(DAY(E996+1)=1,EOMONTH(E996,(N996-1)*D996),EDATE(E996,(N996-1)*D996))-AsAt)/365.25)/2+O996*('Deal maths'!AA996-AsAt)/365.25)/I996,IF(C996="Annuity",IF(F996&gt;0,((K996-L996*F996)*((IF(DAY(E996+1)=1,EOMONTH(E996,H996*D996),EDATE(E996,H996*D996))-AsAt)/365.25*((1+F996)^(I996-O996)-1)/F996+IF((I996-O996)&gt;1,((IF(DAY(E996+1)=1,EOMONTH(E996,(N996-1)*D996),EDATE(E996,(N996-1)*D996))-AsAt)/365.25-(IF(DAY(E996+1)=1,EOMONTH(E996,H996*D996),EDATE(E996,H996*D996))-AsAt)/365.25)/((I996-O996)-1),0)*(1+F996)*(1-(I996-O996)*(1+F996)^((I996-O996)-1)+((I996-O996)-1)*(1+F996)^(I996-O996))/F996^2)+O996*(K996-L996*F996)*(1+F996)^(I996-1)*('Deal maths'!AA996-AsAt)/365.25)/L996,((I996-O996)*((IF(DAY(E996+1)=1,EOMONTH(E996,H996*D996),EDATE(E996,H996*D996))-AsAt)/365.25+(IF(DAY(E996+1)=1,EOMONTH(E996,(N996-1)*D996),EDATE(E996,(N996-1)*D996))-AsAt)/365.25)/2+O996*('Deal maths'!AA996-AsAt)/365.25)/I996),(S996-AsAt)/365.25)),0))</f>
        <v/>
      </c>
      <c r="Q996" s="109">
        <f>IF(B996=1,'Deal maths'!AA996+ROW()/1000000,"")</f>
        <v/>
      </c>
      <c r="R996" s="108">
        <f>IF(D996=0,0,IF(DAY(E996+1)=1,31,DAY(E996)))</f>
        <v/>
      </c>
      <c r="S996" s="109">
        <f>IF(AND('Deal maths'!V996="LOBO",'Deal maths'!AG996&gt;AsAt,'Deal maths'!AG996&lt;'Deal maths'!AA996),'Deal maths'!AG996,'Deal maths'!AA996)</f>
        <v/>
      </c>
      <c r="T996" s="108">
        <f>('Deal maths'!AA996&gt;AsAt)*('Deal maths'!Y996&gt;0)</f>
        <v/>
      </c>
    </row>
    <row r="997">
      <c r="A997" s="91">
        <f>IF('Deal maths'!V997="","",'Deal maths'!W997)</f>
        <v/>
      </c>
      <c r="B997" s="108">
        <f>('Deal maths'!AA997&gt;AsAt)*('Deal maths'!Y997&gt;0)*('Deal maths'!Z997&lt;=AsAt)</f>
        <v/>
      </c>
      <c r="C997" s="91">
        <f>IF('Deal maths'!V997="","",IF('Deal maths'!AC997="","Maturity",'Deal maths'!AC997))</f>
        <v/>
      </c>
      <c r="D997" s="108">
        <f>IF(OR(C997="EIP",C997="Annuity"),IF('Deal maths'!AD997="Annual",12,IF('Deal maths'!AD997="Quarterly",3,6)),0)</f>
        <v/>
      </c>
      <c r="E997" s="109">
        <f>IFERROR(IF(D997=0,0,IF('Deal maths'!AE997&gt;0,IF('Deal maths'!AE997&gt;'Deal maths'!AA997,'Deal maths'!AA997,'Deal maths'!AE997),IF(IF(DAY('Deal maths'!AA997+1)=1,EOMONTH('Deal maths'!AA997,-(INT(((YEAR('Deal maths'!AA997)-YEAR(IF('Deal maths'!Z997&gt;0,'Deal maths'!Z997,DATE(1990,1,1))))*12+MONTH('Deal maths'!AA997)-MONTH(IF('Deal maths'!Z997&gt;0,'Deal maths'!Z997,DATE(1990,1,1))))/D997))*D997),EDATE('Deal maths'!AA997,-(INT(((YEAR('Deal maths'!AA997)-YEAR(IF('Deal maths'!Z997&gt;0,'Deal maths'!Z997,DATE(1990,1,1))))*12+MONTH('Deal maths'!AA997)-MONTH(IF('Deal maths'!Z997&gt;0,'Deal maths'!Z997,DATE(1990,1,1))))/D997))*D997))&gt;IF('Deal maths'!Z997&gt;0,'Deal maths'!Z997,DATE(1990,1,1)),IF(DAY('Deal maths'!AA997+1)=1,EOMONTH('Deal maths'!AA997,-(INT(((YEAR('Deal maths'!AA997)-YEAR(IF('Deal maths'!Z997&gt;0,'Deal maths'!Z997,DATE(1990,1,1))))*12+MONTH('Deal maths'!AA997)-MONTH(IF('Deal maths'!Z997&gt;0,'Deal maths'!Z997,DATE(1990,1,1))))/D997))*D997),EDATE('Deal maths'!AA997,-(INT(((YEAR('Deal maths'!AA997)-YEAR(IF('Deal maths'!Z997&gt;0,'Deal maths'!Z997,DATE(1990,1,1))))*12+MONTH('Deal maths'!AA997)-MONTH(IF('Deal maths'!Z997&gt;0,'Deal maths'!Z997,DATE(1990,1,1))))/D997))*D997)),IF(DAY('Deal maths'!AA997+1)=1,EOMONTH('Deal maths'!AA997,-(INT(((YEAR('Deal maths'!AA997)-YEAR(IF('Deal maths'!Z997&gt;0,'Deal maths'!Z997,DATE(1990,1,1))))*12+MONTH('Deal maths'!AA997)-MONTH(IF('Deal maths'!Z997&gt;0,'Deal maths'!Z997,DATE(1990,1,1))))/D997)-1)*D997),EDATE('Deal maths'!AA997,-(INT(((YEAR('Deal maths'!AA997)-YEAR(IF('Deal maths'!Z997&gt;0,'Deal maths'!Z997,DATE(1990,1,1))))*12+MONTH('Deal maths'!AA997)-MONTH(IF('Deal maths'!Z997&gt;0,'Deal maths'!Z997,DATE(1990,1,1))))/D997)-1)*D997))))),0)</f>
        <v/>
      </c>
      <c r="F997" s="110">
        <f>IF(D997=0,0,'Deal maths'!AB997*D997/12)</f>
        <v/>
      </c>
      <c r="G997" s="108">
        <f>N997+O997</f>
        <v/>
      </c>
      <c r="H997" s="108">
        <f>IFERROR(IF(OR(D997=0,AsAt&lt;E997),0,MIN(N997,INT(((YEAR(AsAt)-YEAR(E997))*12+MONTH(AsAt)-MONTH(E997)-(DAY(AsAt)&lt;MIN(R997,DAY(EOMONTH(AsAt,0)))))/D997)+1)+O997*(AsAt&gt;='Deal maths'!AA997)),0)</f>
        <v/>
      </c>
      <c r="I997" s="108">
        <f>G997-H997</f>
        <v/>
      </c>
      <c r="J997" s="111">
        <f>IF(AND(C997="EIP",I997&gt;0),'Deal maths'!Y997/I997,0)</f>
        <v/>
      </c>
      <c r="K997" s="111">
        <f>IF(AND(C997="Annuity",I997&gt;0),IF(F997&gt;0,'Deal maths'!Y997*F997/(1-(1+F997)^-I997),'Deal maths'!Y997/I997),0)</f>
        <v/>
      </c>
      <c r="L997" s="111">
        <f>IF('Deal maths'!Y997="",0,'Deal maths'!Y997)</f>
        <v/>
      </c>
      <c r="M997" s="112">
        <f>F997+(F997=0)</f>
        <v/>
      </c>
      <c r="N997" s="108">
        <f>IFERROR(IF(D997=0,0,INT(((YEAR('Deal maths'!AA997)-YEAR(E997))*12+MONTH('Deal maths'!AA997)-MONTH(E997)-(DAY('Deal maths'!AA997)&lt;MIN(R997,DAY(EOMONTH('Deal maths'!AA997,0)))))/D997)+1),0)</f>
        <v/>
      </c>
      <c r="O997" s="108">
        <f>IFERROR(IF(D997=0,0,IF(IF(DAY(E997+1)=1,EOMONTH(E997,(N997-1)*D997),EDATE(E997,(N997-1)*D997))='Deal maths'!AA997,0,1)),0)</f>
        <v/>
      </c>
      <c r="P997" s="113">
        <f>IF(B997=0,0,IFERROR(IF(C997="EIP",((I997-O997)*((IF(DAY(E997+1)=1,EOMONTH(E997,H997*D997),EDATE(E997,H997*D997))-AsAt)/365.25+(IF(DAY(E997+1)=1,EOMONTH(E997,(N997-1)*D997),EDATE(E997,(N997-1)*D997))-AsAt)/365.25)/2+O997*('Deal maths'!AA997-AsAt)/365.25)/I997,IF(C997="Annuity",IF(F997&gt;0,((K997-L997*F997)*((IF(DAY(E997+1)=1,EOMONTH(E997,H997*D997),EDATE(E997,H997*D997))-AsAt)/365.25*((1+F997)^(I997-O997)-1)/F997+IF((I997-O997)&gt;1,((IF(DAY(E997+1)=1,EOMONTH(E997,(N997-1)*D997),EDATE(E997,(N997-1)*D997))-AsAt)/365.25-(IF(DAY(E997+1)=1,EOMONTH(E997,H997*D997),EDATE(E997,H997*D997))-AsAt)/365.25)/((I997-O997)-1),0)*(1+F997)*(1-(I997-O997)*(1+F997)^((I997-O997)-1)+((I997-O997)-1)*(1+F997)^(I997-O997))/F997^2)+O997*(K997-L997*F997)*(1+F997)^(I997-1)*('Deal maths'!AA997-AsAt)/365.25)/L997,((I997-O997)*((IF(DAY(E997+1)=1,EOMONTH(E997,H997*D997),EDATE(E997,H997*D997))-AsAt)/365.25+(IF(DAY(E997+1)=1,EOMONTH(E997,(N997-1)*D997),EDATE(E997,(N997-1)*D997))-AsAt)/365.25)/2+O997*('Deal maths'!AA997-AsAt)/365.25)/I997),(S997-AsAt)/365.25)),0))</f>
        <v/>
      </c>
      <c r="Q997" s="109">
        <f>IF(B997=1,'Deal maths'!AA997+ROW()/1000000,"")</f>
        <v/>
      </c>
      <c r="R997" s="108">
        <f>IF(D997=0,0,IF(DAY(E997+1)=1,31,DAY(E997)))</f>
        <v/>
      </c>
      <c r="S997" s="109">
        <f>IF(AND('Deal maths'!V997="LOBO",'Deal maths'!AG997&gt;AsAt,'Deal maths'!AG997&lt;'Deal maths'!AA997),'Deal maths'!AG997,'Deal maths'!AA997)</f>
        <v/>
      </c>
      <c r="T997" s="108">
        <f>('Deal maths'!AA997&gt;AsAt)*('Deal maths'!Y997&gt;0)</f>
        <v/>
      </c>
    </row>
    <row r="998">
      <c r="A998" s="91">
        <f>IF('Deal maths'!V998="","",'Deal maths'!W998)</f>
        <v/>
      </c>
      <c r="B998" s="108">
        <f>('Deal maths'!AA998&gt;AsAt)*('Deal maths'!Y998&gt;0)*('Deal maths'!Z998&lt;=AsAt)</f>
        <v/>
      </c>
      <c r="C998" s="91">
        <f>IF('Deal maths'!V998="","",IF('Deal maths'!AC998="","Maturity",'Deal maths'!AC998))</f>
        <v/>
      </c>
      <c r="D998" s="108">
        <f>IF(OR(C998="EIP",C998="Annuity"),IF('Deal maths'!AD998="Annual",12,IF('Deal maths'!AD998="Quarterly",3,6)),0)</f>
        <v/>
      </c>
      <c r="E998" s="109">
        <f>IFERROR(IF(D998=0,0,IF('Deal maths'!AE998&gt;0,IF('Deal maths'!AE998&gt;'Deal maths'!AA998,'Deal maths'!AA998,'Deal maths'!AE998),IF(IF(DAY('Deal maths'!AA998+1)=1,EOMONTH('Deal maths'!AA998,-(INT(((YEAR('Deal maths'!AA998)-YEAR(IF('Deal maths'!Z998&gt;0,'Deal maths'!Z998,DATE(1990,1,1))))*12+MONTH('Deal maths'!AA998)-MONTH(IF('Deal maths'!Z998&gt;0,'Deal maths'!Z998,DATE(1990,1,1))))/D998))*D998),EDATE('Deal maths'!AA998,-(INT(((YEAR('Deal maths'!AA998)-YEAR(IF('Deal maths'!Z998&gt;0,'Deal maths'!Z998,DATE(1990,1,1))))*12+MONTH('Deal maths'!AA998)-MONTH(IF('Deal maths'!Z998&gt;0,'Deal maths'!Z998,DATE(1990,1,1))))/D998))*D998))&gt;IF('Deal maths'!Z998&gt;0,'Deal maths'!Z998,DATE(1990,1,1)),IF(DAY('Deal maths'!AA998+1)=1,EOMONTH('Deal maths'!AA998,-(INT(((YEAR('Deal maths'!AA998)-YEAR(IF('Deal maths'!Z998&gt;0,'Deal maths'!Z998,DATE(1990,1,1))))*12+MONTH('Deal maths'!AA998)-MONTH(IF('Deal maths'!Z998&gt;0,'Deal maths'!Z998,DATE(1990,1,1))))/D998))*D998),EDATE('Deal maths'!AA998,-(INT(((YEAR('Deal maths'!AA998)-YEAR(IF('Deal maths'!Z998&gt;0,'Deal maths'!Z998,DATE(1990,1,1))))*12+MONTH('Deal maths'!AA998)-MONTH(IF('Deal maths'!Z998&gt;0,'Deal maths'!Z998,DATE(1990,1,1))))/D998))*D998)),IF(DAY('Deal maths'!AA998+1)=1,EOMONTH('Deal maths'!AA998,-(INT(((YEAR('Deal maths'!AA998)-YEAR(IF('Deal maths'!Z998&gt;0,'Deal maths'!Z998,DATE(1990,1,1))))*12+MONTH('Deal maths'!AA998)-MONTH(IF('Deal maths'!Z998&gt;0,'Deal maths'!Z998,DATE(1990,1,1))))/D998)-1)*D998),EDATE('Deal maths'!AA998,-(INT(((YEAR('Deal maths'!AA998)-YEAR(IF('Deal maths'!Z998&gt;0,'Deal maths'!Z998,DATE(1990,1,1))))*12+MONTH('Deal maths'!AA998)-MONTH(IF('Deal maths'!Z998&gt;0,'Deal maths'!Z998,DATE(1990,1,1))))/D998)-1)*D998))))),0)</f>
        <v/>
      </c>
      <c r="F998" s="110">
        <f>IF(D998=0,0,'Deal maths'!AB998*D998/12)</f>
        <v/>
      </c>
      <c r="G998" s="108">
        <f>N998+O998</f>
        <v/>
      </c>
      <c r="H998" s="108">
        <f>IFERROR(IF(OR(D998=0,AsAt&lt;E998),0,MIN(N998,INT(((YEAR(AsAt)-YEAR(E998))*12+MONTH(AsAt)-MONTH(E998)-(DAY(AsAt)&lt;MIN(R998,DAY(EOMONTH(AsAt,0)))))/D998)+1)+O998*(AsAt&gt;='Deal maths'!AA998)),0)</f>
        <v/>
      </c>
      <c r="I998" s="108">
        <f>G998-H998</f>
        <v/>
      </c>
      <c r="J998" s="111">
        <f>IF(AND(C998="EIP",I998&gt;0),'Deal maths'!Y998/I998,0)</f>
        <v/>
      </c>
      <c r="K998" s="111">
        <f>IF(AND(C998="Annuity",I998&gt;0),IF(F998&gt;0,'Deal maths'!Y998*F998/(1-(1+F998)^-I998),'Deal maths'!Y998/I998),0)</f>
        <v/>
      </c>
      <c r="L998" s="111">
        <f>IF('Deal maths'!Y998="",0,'Deal maths'!Y998)</f>
        <v/>
      </c>
      <c r="M998" s="112">
        <f>F998+(F998=0)</f>
        <v/>
      </c>
      <c r="N998" s="108">
        <f>IFERROR(IF(D998=0,0,INT(((YEAR('Deal maths'!AA998)-YEAR(E998))*12+MONTH('Deal maths'!AA998)-MONTH(E998)-(DAY('Deal maths'!AA998)&lt;MIN(R998,DAY(EOMONTH('Deal maths'!AA998,0)))))/D998)+1),0)</f>
        <v/>
      </c>
      <c r="O998" s="108">
        <f>IFERROR(IF(D998=0,0,IF(IF(DAY(E998+1)=1,EOMONTH(E998,(N998-1)*D998),EDATE(E998,(N998-1)*D998))='Deal maths'!AA998,0,1)),0)</f>
        <v/>
      </c>
      <c r="P998" s="113">
        <f>IF(B998=0,0,IFERROR(IF(C998="EIP",((I998-O998)*((IF(DAY(E998+1)=1,EOMONTH(E998,H998*D998),EDATE(E998,H998*D998))-AsAt)/365.25+(IF(DAY(E998+1)=1,EOMONTH(E998,(N998-1)*D998),EDATE(E998,(N998-1)*D998))-AsAt)/365.25)/2+O998*('Deal maths'!AA998-AsAt)/365.25)/I998,IF(C998="Annuity",IF(F998&gt;0,((K998-L998*F998)*((IF(DAY(E998+1)=1,EOMONTH(E998,H998*D998),EDATE(E998,H998*D998))-AsAt)/365.25*((1+F998)^(I998-O998)-1)/F998+IF((I998-O998)&gt;1,((IF(DAY(E998+1)=1,EOMONTH(E998,(N998-1)*D998),EDATE(E998,(N998-1)*D998))-AsAt)/365.25-(IF(DAY(E998+1)=1,EOMONTH(E998,H998*D998),EDATE(E998,H998*D998))-AsAt)/365.25)/((I998-O998)-1),0)*(1+F998)*(1-(I998-O998)*(1+F998)^((I998-O998)-1)+((I998-O998)-1)*(1+F998)^(I998-O998))/F998^2)+O998*(K998-L998*F998)*(1+F998)^(I998-1)*('Deal maths'!AA998-AsAt)/365.25)/L998,((I998-O998)*((IF(DAY(E998+1)=1,EOMONTH(E998,H998*D998),EDATE(E998,H998*D998))-AsAt)/365.25+(IF(DAY(E998+1)=1,EOMONTH(E998,(N998-1)*D998),EDATE(E998,(N998-1)*D998))-AsAt)/365.25)/2+O998*('Deal maths'!AA998-AsAt)/365.25)/I998),(S998-AsAt)/365.25)),0))</f>
        <v/>
      </c>
      <c r="Q998" s="109">
        <f>IF(B998=1,'Deal maths'!AA998+ROW()/1000000,"")</f>
        <v/>
      </c>
      <c r="R998" s="108">
        <f>IF(D998=0,0,IF(DAY(E998+1)=1,31,DAY(E998)))</f>
        <v/>
      </c>
      <c r="S998" s="109">
        <f>IF(AND('Deal maths'!V998="LOBO",'Deal maths'!AG998&gt;AsAt,'Deal maths'!AG998&lt;'Deal maths'!AA998),'Deal maths'!AG998,'Deal maths'!AA998)</f>
        <v/>
      </c>
      <c r="T998" s="108">
        <f>('Deal maths'!AA998&gt;AsAt)*('Deal maths'!Y998&gt;0)</f>
        <v/>
      </c>
    </row>
    <row r="999">
      <c r="A999" s="91">
        <f>IF('Deal maths'!V999="","",'Deal maths'!W999)</f>
        <v/>
      </c>
      <c r="B999" s="108">
        <f>('Deal maths'!AA999&gt;AsAt)*('Deal maths'!Y999&gt;0)*('Deal maths'!Z999&lt;=AsAt)</f>
        <v/>
      </c>
      <c r="C999" s="91">
        <f>IF('Deal maths'!V999="","",IF('Deal maths'!AC999="","Maturity",'Deal maths'!AC999))</f>
        <v/>
      </c>
      <c r="D999" s="108">
        <f>IF(OR(C999="EIP",C999="Annuity"),IF('Deal maths'!AD999="Annual",12,IF('Deal maths'!AD999="Quarterly",3,6)),0)</f>
        <v/>
      </c>
      <c r="E999" s="109">
        <f>IFERROR(IF(D999=0,0,IF('Deal maths'!AE999&gt;0,IF('Deal maths'!AE999&gt;'Deal maths'!AA999,'Deal maths'!AA999,'Deal maths'!AE999),IF(IF(DAY('Deal maths'!AA999+1)=1,EOMONTH('Deal maths'!AA999,-(INT(((YEAR('Deal maths'!AA999)-YEAR(IF('Deal maths'!Z999&gt;0,'Deal maths'!Z999,DATE(1990,1,1))))*12+MONTH('Deal maths'!AA999)-MONTH(IF('Deal maths'!Z999&gt;0,'Deal maths'!Z999,DATE(1990,1,1))))/D999))*D999),EDATE('Deal maths'!AA999,-(INT(((YEAR('Deal maths'!AA999)-YEAR(IF('Deal maths'!Z999&gt;0,'Deal maths'!Z999,DATE(1990,1,1))))*12+MONTH('Deal maths'!AA999)-MONTH(IF('Deal maths'!Z999&gt;0,'Deal maths'!Z999,DATE(1990,1,1))))/D999))*D999))&gt;IF('Deal maths'!Z999&gt;0,'Deal maths'!Z999,DATE(1990,1,1)),IF(DAY('Deal maths'!AA999+1)=1,EOMONTH('Deal maths'!AA999,-(INT(((YEAR('Deal maths'!AA999)-YEAR(IF('Deal maths'!Z999&gt;0,'Deal maths'!Z999,DATE(1990,1,1))))*12+MONTH('Deal maths'!AA999)-MONTH(IF('Deal maths'!Z999&gt;0,'Deal maths'!Z999,DATE(1990,1,1))))/D999))*D999),EDATE('Deal maths'!AA999,-(INT(((YEAR('Deal maths'!AA999)-YEAR(IF('Deal maths'!Z999&gt;0,'Deal maths'!Z999,DATE(1990,1,1))))*12+MONTH('Deal maths'!AA999)-MONTH(IF('Deal maths'!Z999&gt;0,'Deal maths'!Z999,DATE(1990,1,1))))/D999))*D999)),IF(DAY('Deal maths'!AA999+1)=1,EOMONTH('Deal maths'!AA999,-(INT(((YEAR('Deal maths'!AA999)-YEAR(IF('Deal maths'!Z999&gt;0,'Deal maths'!Z999,DATE(1990,1,1))))*12+MONTH('Deal maths'!AA999)-MONTH(IF('Deal maths'!Z999&gt;0,'Deal maths'!Z999,DATE(1990,1,1))))/D999)-1)*D999),EDATE('Deal maths'!AA999,-(INT(((YEAR('Deal maths'!AA999)-YEAR(IF('Deal maths'!Z999&gt;0,'Deal maths'!Z999,DATE(1990,1,1))))*12+MONTH('Deal maths'!AA999)-MONTH(IF('Deal maths'!Z999&gt;0,'Deal maths'!Z999,DATE(1990,1,1))))/D999)-1)*D999))))),0)</f>
        <v/>
      </c>
      <c r="F999" s="110">
        <f>IF(D999=0,0,'Deal maths'!AB999*D999/12)</f>
        <v/>
      </c>
      <c r="G999" s="108">
        <f>N999+O999</f>
        <v/>
      </c>
      <c r="H999" s="108">
        <f>IFERROR(IF(OR(D999=0,AsAt&lt;E999),0,MIN(N999,INT(((YEAR(AsAt)-YEAR(E999))*12+MONTH(AsAt)-MONTH(E999)-(DAY(AsAt)&lt;MIN(R999,DAY(EOMONTH(AsAt,0)))))/D999)+1)+O999*(AsAt&gt;='Deal maths'!AA999)),0)</f>
        <v/>
      </c>
      <c r="I999" s="108">
        <f>G999-H999</f>
        <v/>
      </c>
      <c r="J999" s="111">
        <f>IF(AND(C999="EIP",I999&gt;0),'Deal maths'!Y999/I999,0)</f>
        <v/>
      </c>
      <c r="K999" s="111">
        <f>IF(AND(C999="Annuity",I999&gt;0),IF(F999&gt;0,'Deal maths'!Y999*F999/(1-(1+F999)^-I999),'Deal maths'!Y999/I999),0)</f>
        <v/>
      </c>
      <c r="L999" s="111">
        <f>IF('Deal maths'!Y999="",0,'Deal maths'!Y999)</f>
        <v/>
      </c>
      <c r="M999" s="112">
        <f>F999+(F999=0)</f>
        <v/>
      </c>
      <c r="N999" s="108">
        <f>IFERROR(IF(D999=0,0,INT(((YEAR('Deal maths'!AA999)-YEAR(E999))*12+MONTH('Deal maths'!AA999)-MONTH(E999)-(DAY('Deal maths'!AA999)&lt;MIN(R999,DAY(EOMONTH('Deal maths'!AA999,0)))))/D999)+1),0)</f>
        <v/>
      </c>
      <c r="O999" s="108">
        <f>IFERROR(IF(D999=0,0,IF(IF(DAY(E999+1)=1,EOMONTH(E999,(N999-1)*D999),EDATE(E999,(N999-1)*D999))='Deal maths'!AA999,0,1)),0)</f>
        <v/>
      </c>
      <c r="P999" s="113">
        <f>IF(B999=0,0,IFERROR(IF(C999="EIP",((I999-O999)*((IF(DAY(E999+1)=1,EOMONTH(E999,H999*D999),EDATE(E999,H999*D999))-AsAt)/365.25+(IF(DAY(E999+1)=1,EOMONTH(E999,(N999-1)*D999),EDATE(E999,(N999-1)*D999))-AsAt)/365.25)/2+O999*('Deal maths'!AA999-AsAt)/365.25)/I999,IF(C999="Annuity",IF(F999&gt;0,((K999-L999*F999)*((IF(DAY(E999+1)=1,EOMONTH(E999,H999*D999),EDATE(E999,H999*D999))-AsAt)/365.25*((1+F999)^(I999-O999)-1)/F999+IF((I999-O999)&gt;1,((IF(DAY(E999+1)=1,EOMONTH(E999,(N999-1)*D999),EDATE(E999,(N999-1)*D999))-AsAt)/365.25-(IF(DAY(E999+1)=1,EOMONTH(E999,H999*D999),EDATE(E999,H999*D999))-AsAt)/365.25)/((I999-O999)-1),0)*(1+F999)*(1-(I999-O999)*(1+F999)^((I999-O999)-1)+((I999-O999)-1)*(1+F999)^(I999-O999))/F999^2)+O999*(K999-L999*F999)*(1+F999)^(I999-1)*('Deal maths'!AA999-AsAt)/365.25)/L999,((I999-O999)*((IF(DAY(E999+1)=1,EOMONTH(E999,H999*D999),EDATE(E999,H999*D999))-AsAt)/365.25+(IF(DAY(E999+1)=1,EOMONTH(E999,(N999-1)*D999),EDATE(E999,(N999-1)*D999))-AsAt)/365.25)/2+O999*('Deal maths'!AA999-AsAt)/365.25)/I999),(S999-AsAt)/365.25)),0))</f>
        <v/>
      </c>
      <c r="Q999" s="109">
        <f>IF(B999=1,'Deal maths'!AA999+ROW()/1000000,"")</f>
        <v/>
      </c>
      <c r="R999" s="108">
        <f>IF(D999=0,0,IF(DAY(E999+1)=1,31,DAY(E999)))</f>
        <v/>
      </c>
      <c r="S999" s="109">
        <f>IF(AND('Deal maths'!V999="LOBO",'Deal maths'!AG999&gt;AsAt,'Deal maths'!AG999&lt;'Deal maths'!AA999),'Deal maths'!AG999,'Deal maths'!AA999)</f>
        <v/>
      </c>
      <c r="T999" s="108">
        <f>('Deal maths'!AA999&gt;AsAt)*('Deal maths'!Y999&gt;0)</f>
        <v/>
      </c>
    </row>
    <row r="1000">
      <c r="A1000" s="91">
        <f>IF('Deal maths'!V1000="","",'Deal maths'!W1000)</f>
        <v/>
      </c>
      <c r="B1000" s="108">
        <f>('Deal maths'!AA1000&gt;AsAt)*('Deal maths'!Y1000&gt;0)*('Deal maths'!Z1000&lt;=AsAt)</f>
        <v/>
      </c>
      <c r="C1000" s="91">
        <f>IF('Deal maths'!V1000="","",IF('Deal maths'!AC1000="","Maturity",'Deal maths'!AC1000))</f>
        <v/>
      </c>
      <c r="D1000" s="108">
        <f>IF(OR(C1000="EIP",C1000="Annuity"),IF('Deal maths'!AD1000="Annual",12,IF('Deal maths'!AD1000="Quarterly",3,6)),0)</f>
        <v/>
      </c>
      <c r="E1000" s="109">
        <f>IFERROR(IF(D1000=0,0,IF('Deal maths'!AE1000&gt;0,IF('Deal maths'!AE1000&gt;'Deal maths'!AA1000,'Deal maths'!AA1000,'Deal maths'!AE1000),IF(IF(DAY('Deal maths'!AA1000+1)=1,EOMONTH('Deal maths'!AA1000,-(INT(((YEAR('Deal maths'!AA1000)-YEAR(IF('Deal maths'!Z1000&gt;0,'Deal maths'!Z1000,DATE(1990,1,1))))*12+MONTH('Deal maths'!AA1000)-MONTH(IF('Deal maths'!Z1000&gt;0,'Deal maths'!Z1000,DATE(1990,1,1))))/D1000))*D1000),EDATE('Deal maths'!AA1000,-(INT(((YEAR('Deal maths'!AA1000)-YEAR(IF('Deal maths'!Z1000&gt;0,'Deal maths'!Z1000,DATE(1990,1,1))))*12+MONTH('Deal maths'!AA1000)-MONTH(IF('Deal maths'!Z1000&gt;0,'Deal maths'!Z1000,DATE(1990,1,1))))/D1000))*D1000))&gt;IF('Deal maths'!Z1000&gt;0,'Deal maths'!Z1000,DATE(1990,1,1)),IF(DAY('Deal maths'!AA1000+1)=1,EOMONTH('Deal maths'!AA1000,-(INT(((YEAR('Deal maths'!AA1000)-YEAR(IF('Deal maths'!Z1000&gt;0,'Deal maths'!Z1000,DATE(1990,1,1))))*12+MONTH('Deal maths'!AA1000)-MONTH(IF('Deal maths'!Z1000&gt;0,'Deal maths'!Z1000,DATE(1990,1,1))))/D1000))*D1000),EDATE('Deal maths'!AA1000,-(INT(((YEAR('Deal maths'!AA1000)-YEAR(IF('Deal maths'!Z1000&gt;0,'Deal maths'!Z1000,DATE(1990,1,1))))*12+MONTH('Deal maths'!AA1000)-MONTH(IF('Deal maths'!Z1000&gt;0,'Deal maths'!Z1000,DATE(1990,1,1))))/D1000))*D1000)),IF(DAY('Deal maths'!AA1000+1)=1,EOMONTH('Deal maths'!AA1000,-(INT(((YEAR('Deal maths'!AA1000)-YEAR(IF('Deal maths'!Z1000&gt;0,'Deal maths'!Z1000,DATE(1990,1,1))))*12+MONTH('Deal maths'!AA1000)-MONTH(IF('Deal maths'!Z1000&gt;0,'Deal maths'!Z1000,DATE(1990,1,1))))/D1000)-1)*D1000),EDATE('Deal maths'!AA1000,-(INT(((YEAR('Deal maths'!AA1000)-YEAR(IF('Deal maths'!Z1000&gt;0,'Deal maths'!Z1000,DATE(1990,1,1))))*12+MONTH('Deal maths'!AA1000)-MONTH(IF('Deal maths'!Z1000&gt;0,'Deal maths'!Z1000,DATE(1990,1,1))))/D1000)-1)*D1000))))),0)</f>
        <v/>
      </c>
      <c r="F1000" s="110">
        <f>IF(D1000=0,0,'Deal maths'!AB1000*D1000/12)</f>
        <v/>
      </c>
      <c r="G1000" s="108">
        <f>N1000+O1000</f>
        <v/>
      </c>
      <c r="H1000" s="108">
        <f>IFERROR(IF(OR(D1000=0,AsAt&lt;E1000),0,MIN(N1000,INT(((YEAR(AsAt)-YEAR(E1000))*12+MONTH(AsAt)-MONTH(E1000)-(DAY(AsAt)&lt;MIN(R1000,DAY(EOMONTH(AsAt,0)))))/D1000)+1)+O1000*(AsAt&gt;='Deal maths'!AA1000)),0)</f>
        <v/>
      </c>
      <c r="I1000" s="108">
        <f>G1000-H1000</f>
        <v/>
      </c>
      <c r="J1000" s="111">
        <f>IF(AND(C1000="EIP",I1000&gt;0),'Deal maths'!Y1000/I1000,0)</f>
        <v/>
      </c>
      <c r="K1000" s="111">
        <f>IF(AND(C1000="Annuity",I1000&gt;0),IF(F1000&gt;0,'Deal maths'!Y1000*F1000/(1-(1+F1000)^-I1000),'Deal maths'!Y1000/I1000),0)</f>
        <v/>
      </c>
      <c r="L1000" s="111">
        <f>IF('Deal maths'!Y1000="",0,'Deal maths'!Y1000)</f>
        <v/>
      </c>
      <c r="M1000" s="112">
        <f>F1000+(F1000=0)</f>
        <v/>
      </c>
      <c r="N1000" s="108">
        <f>IFERROR(IF(D1000=0,0,INT(((YEAR('Deal maths'!AA1000)-YEAR(E1000))*12+MONTH('Deal maths'!AA1000)-MONTH(E1000)-(DAY('Deal maths'!AA1000)&lt;MIN(R1000,DAY(EOMONTH('Deal maths'!AA1000,0)))))/D1000)+1),0)</f>
        <v/>
      </c>
      <c r="O1000" s="108">
        <f>IFERROR(IF(D1000=0,0,IF(IF(DAY(E1000+1)=1,EOMONTH(E1000,(N1000-1)*D1000),EDATE(E1000,(N1000-1)*D1000))='Deal maths'!AA1000,0,1)),0)</f>
        <v/>
      </c>
      <c r="P1000" s="113">
        <f>IF(B1000=0,0,IFERROR(IF(C1000="EIP",((I1000-O1000)*((IF(DAY(E1000+1)=1,EOMONTH(E1000,H1000*D1000),EDATE(E1000,H1000*D1000))-AsAt)/365.25+(IF(DAY(E1000+1)=1,EOMONTH(E1000,(N1000-1)*D1000),EDATE(E1000,(N1000-1)*D1000))-AsAt)/365.25)/2+O1000*('Deal maths'!AA1000-AsAt)/365.25)/I1000,IF(C1000="Annuity",IF(F1000&gt;0,((K1000-L1000*F1000)*((IF(DAY(E1000+1)=1,EOMONTH(E1000,H1000*D1000),EDATE(E1000,H1000*D1000))-AsAt)/365.25*((1+F1000)^(I1000-O1000)-1)/F1000+IF((I1000-O1000)&gt;1,((IF(DAY(E1000+1)=1,EOMONTH(E1000,(N1000-1)*D1000),EDATE(E1000,(N1000-1)*D1000))-AsAt)/365.25-(IF(DAY(E1000+1)=1,EOMONTH(E1000,H1000*D1000),EDATE(E1000,H1000*D1000))-AsAt)/365.25)/((I1000-O1000)-1),0)*(1+F1000)*(1-(I1000-O1000)*(1+F1000)^((I1000-O1000)-1)+((I1000-O1000)-1)*(1+F1000)^(I1000-O1000))/F1000^2)+O1000*(K1000-L1000*F1000)*(1+F1000)^(I1000-1)*('Deal maths'!AA1000-AsAt)/365.25)/L1000,((I1000-O1000)*((IF(DAY(E1000+1)=1,EOMONTH(E1000,H1000*D1000),EDATE(E1000,H1000*D1000))-AsAt)/365.25+(IF(DAY(E1000+1)=1,EOMONTH(E1000,(N1000-1)*D1000),EDATE(E1000,(N1000-1)*D1000))-AsAt)/365.25)/2+O1000*('Deal maths'!AA1000-AsAt)/365.25)/I1000),(S1000-AsAt)/365.25)),0))</f>
        <v/>
      </c>
      <c r="Q1000" s="109">
        <f>IF(B1000=1,'Deal maths'!AA1000+ROW()/1000000,"")</f>
        <v/>
      </c>
      <c r="R1000" s="108">
        <f>IF(D1000=0,0,IF(DAY(E1000+1)=1,31,DAY(E1000)))</f>
        <v/>
      </c>
      <c r="S1000" s="109">
        <f>IF(AND('Deal maths'!V1000="LOBO",'Deal maths'!AG1000&gt;AsAt,'Deal maths'!AG1000&lt;'Deal maths'!AA1000),'Deal maths'!AG1000,'Deal maths'!AA1000)</f>
        <v/>
      </c>
      <c r="T1000" s="108">
        <f>('Deal maths'!AA1000&gt;AsAt)*('Deal maths'!Y1000&gt;0)</f>
        <v/>
      </c>
    </row>
  </sheetData>
  <sheetProtection selectLockedCells="0" selectUnlockedCells="0" sheet="1" objects="0" insertRows="1" insertHyperlinks="1" autoFilter="1" scenarios="0" formatColumns="0" deleteColumns="1" insertColumns="1" pivotTables="1" deleteRows="1" formatCells="1" formatRows="0" sort="1"/>
  <mergeCells count="1">
    <mergeCell ref="A2:T2"/>
  </mergeCells>
  <hyperlinks>
    <hyperlink xmlns:r="http://schemas.openxmlformats.org/officeDocument/2006/relationships" ref="AS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4.xml><?xml version="1.0" encoding="utf-8"?>
<worksheet xmlns="http://schemas.openxmlformats.org/spreadsheetml/2006/main">
  <sheetPr>
    <tabColor rgb="00FD7E14"/>
    <outlinePr summaryBelow="1" summaryRight="1"/>
    <pageSetUpPr fitToPage="1"/>
  </sheetPr>
  <dimension ref="A1:AH2000"/>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s>
  <sheetData>
    <row r="1" ht="36" customHeight="1">
      <c r="A1" s="21" t="inlineStr">
        <is>
          <t>Deal maths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2" t="inlineStr">
        <is>
          <t>the holding sheets, read by position</t>
        </is>
      </c>
    </row>
    <row r="2" ht="42" customHeight="1">
      <c r="A2" s="20" t="inlineStr">
        <is>
          <t>Each column of the holding sheets the formulas read, a row for each row of the sheet, by position: =INDEX(column, ROW()). Rows inserted, deleted or sorted on a holding sheet cannot move a formula off its row or break it. Amounts and dates are numbers here (text that is not a number reads as nought, and the sheet itself marks it red); a rate of 1 or more is read as a percentage (4.1 as 4.1%), and beside each rate column, whether a rate is given; words are text, their spaces trimmed. Nothing to type here.</t>
        </is>
      </c>
    </row>
    <row r="3" ht="30" customHeight="1">
      <c r="A3" s="114" t="inlineStr">
        <is>
          <t>Term: Type</t>
        </is>
      </c>
      <c r="B3" s="114" t="inlineStr">
        <is>
          <t>Term: Counterparty</t>
        </is>
      </c>
      <c r="C3" s="114" t="inlineStr">
        <is>
          <t>Term: Counterparty type</t>
        </is>
      </c>
      <c r="D3" s="114" t="inlineStr">
        <is>
          <t>Term: Principal</t>
        </is>
      </c>
      <c r="E3" s="114" t="inlineStr">
        <is>
          <t>Term: Start date</t>
        </is>
      </c>
      <c r="F3" s="114" t="inlineStr">
        <is>
          <t>Term: Maturity date</t>
        </is>
      </c>
      <c r="G3" s="114" t="inlineStr">
        <is>
          <t>Term: Rate</t>
        </is>
      </c>
      <c r="H3" s="114" t="inlineStr">
        <is>
          <t>Term: Face value</t>
        </is>
      </c>
      <c r="I3" s="114" t="inlineStr">
        <is>
          <t>Term: Rate, given</t>
        </is>
      </c>
      <c r="J3" s="114" t="inlineStr">
        <is>
          <t>Call: Type</t>
        </is>
      </c>
      <c r="K3" s="114" t="inlineStr">
        <is>
          <t>Call: Counterparty</t>
        </is>
      </c>
      <c r="L3" s="114" t="inlineStr">
        <is>
          <t>Call: Counterparty type</t>
        </is>
      </c>
      <c r="M3" s="114" t="inlineStr">
        <is>
          <t>Call: Balance</t>
        </is>
      </c>
      <c r="N3" s="114" t="inlineStr">
        <is>
          <t>Call: Rate</t>
        </is>
      </c>
      <c r="O3" s="114" t="inlineStr">
        <is>
          <t>Call: Notice days</t>
        </is>
      </c>
      <c r="P3" s="114" t="inlineStr">
        <is>
          <t>Call: Rate, given</t>
        </is>
      </c>
      <c r="Q3" s="114" t="inlineStr">
        <is>
          <t>Fund: Fund type</t>
        </is>
      </c>
      <c r="R3" s="114" t="inlineStr">
        <is>
          <t>Fund: Carrying value</t>
        </is>
      </c>
      <c r="S3" s="114" t="inlineStr">
        <is>
          <t>Fund: Latest value</t>
        </is>
      </c>
      <c r="T3" s="114" t="inlineStr">
        <is>
          <t>Fund: Current rate</t>
        </is>
      </c>
      <c r="U3" s="114" t="inlineStr">
        <is>
          <t>Fund: Current rate, given</t>
        </is>
      </c>
      <c r="V3" s="114" t="inlineStr">
        <is>
          <t>Loan: Type</t>
        </is>
      </c>
      <c r="W3" s="114" t="inlineStr">
        <is>
          <t>Loan: Lender</t>
        </is>
      </c>
      <c r="X3" s="114" t="inlineStr">
        <is>
          <t>Loan: Lender type</t>
        </is>
      </c>
      <c r="Y3" s="114" t="inlineStr">
        <is>
          <t>Loan: Principal</t>
        </is>
      </c>
      <c r="Z3" s="114" t="inlineStr">
        <is>
          <t>Loan: Start date</t>
        </is>
      </c>
      <c r="AA3" s="114" t="inlineStr">
        <is>
          <t>Loan: Maturity date</t>
        </is>
      </c>
      <c r="AB3" s="114" t="inlineStr">
        <is>
          <t>Loan: Rate</t>
        </is>
      </c>
      <c r="AC3" s="114" t="inlineStr">
        <is>
          <t>Loan: Profile</t>
        </is>
      </c>
      <c r="AD3" s="114" t="inlineStr">
        <is>
          <t>Loan: Frequency</t>
        </is>
      </c>
      <c r="AE3" s="114" t="inlineStr">
        <is>
          <t>Loan: First repayment date</t>
        </is>
      </c>
      <c r="AF3" s="114" t="inlineStr">
        <is>
          <t>Loan: Fund</t>
        </is>
      </c>
      <c r="AG3" s="114" t="inlineStr">
        <is>
          <t>Loan: Next call date</t>
        </is>
      </c>
      <c r="AH3" s="114" t="inlineStr">
        <is>
          <t>Loan: Rate, given</t>
        </is>
      </c>
    </row>
    <row r="4">
      <c r="A4">
        <f>TRIM(SUBSTITUTE(INDEX('Term investments'!$A:$A,ROW())&amp;""," "," "))</f>
        <v/>
      </c>
      <c r="B4">
        <f>TRIM(SUBSTITUTE(INDEX('Term investments'!$B:$B,ROW())&amp;""," "," "))</f>
        <v/>
      </c>
      <c r="C4">
        <f>TRIM(SUBSTITUTE(INDEX('Term investments'!$C:$C,ROW())&amp;""," "," "))</f>
        <v/>
      </c>
      <c r="D4">
        <f>IFERROR(--INDEX('Term investments'!$D:$D,ROW()),0)</f>
        <v/>
      </c>
      <c r="E4">
        <f>IFERROR(--INDEX('Term investments'!$E:$E,ROW()),0)</f>
        <v/>
      </c>
      <c r="F4">
        <f>IFERROR(--INDEX('Term investments'!$F:$F,ROW()),0)</f>
        <v/>
      </c>
      <c r="G4">
        <f>IFERROR(IF(--INDEX('Term investments'!$G:$G,ROW())&gt;=1,--INDEX('Term investments'!$G:$G,ROW())/100,--INDEX('Term investments'!$G:$G,ROW())),0)</f>
        <v/>
      </c>
      <c r="H4">
        <f>IFERROR(--INDEX('Term investments'!$H:$H,ROW()),0)</f>
        <v/>
      </c>
      <c r="I4">
        <f>IF(ISNUMBER(INDEX('Term investments'!$G:$G,ROW())),1,0)</f>
        <v/>
      </c>
      <c r="J4">
        <f>TRIM(SUBSTITUTE(INDEX('Call accounts and MMFs'!$A:$A,ROW())&amp;""," "," "))</f>
        <v/>
      </c>
      <c r="K4">
        <f>TRIM(SUBSTITUTE(INDEX('Call accounts and MMFs'!$B:$B,ROW())&amp;""," "," "))</f>
        <v/>
      </c>
      <c r="L4">
        <f>TRIM(SUBSTITUTE(INDEX('Call accounts and MMFs'!$C:$C,ROW())&amp;""," "," "))</f>
        <v/>
      </c>
      <c r="M4">
        <f>IFERROR(--INDEX('Call accounts and MMFs'!$D:$D,ROW()),0)</f>
        <v/>
      </c>
      <c r="N4">
        <f>IFERROR(IF(--INDEX('Call accounts and MMFs'!$E:$E,ROW())&gt;=1,--INDEX('Call accounts and MMFs'!$E:$E,ROW())/100,--INDEX('Call accounts and MMFs'!$E:$E,ROW())),0)</f>
        <v/>
      </c>
      <c r="O4">
        <f>IFERROR(--INDEX('Call accounts and MMFs'!$F:$F,ROW()),0)</f>
        <v/>
      </c>
      <c r="P4">
        <f>IF(ISNUMBER(INDEX('Call accounts and MMFs'!$E:$E,ROW())),1,0)</f>
        <v/>
      </c>
      <c r="Q4">
        <f>TRIM(SUBSTITUTE(INDEX('Pooled funds'!$B:$B,ROW())&amp;""," "," "))</f>
        <v/>
      </c>
      <c r="R4">
        <f>IFERROR(--INDEX('Pooled funds'!$C:$C,ROW()),0)</f>
        <v/>
      </c>
      <c r="S4">
        <f>IFERROR(--INDEX('Pooled funds'!$D:$D,ROW()),0)</f>
        <v/>
      </c>
      <c r="T4">
        <f>IFERROR(IF(--INDEX('Pooled funds'!$E:$E,ROW())&gt;=1,--INDEX('Pooled funds'!$E:$E,ROW())/100,--INDEX('Pooled funds'!$E:$E,ROW())),0)</f>
        <v/>
      </c>
      <c r="U4">
        <f>IF(ISNUMBER(INDEX('Pooled funds'!$E:$E,ROW())),1,0)</f>
        <v/>
      </c>
      <c r="V4">
        <f>TRIM(SUBSTITUTE(INDEX('Loans'!$A:$A,ROW())&amp;""," "," "))</f>
        <v/>
      </c>
      <c r="W4">
        <f>TRIM(SUBSTITUTE(INDEX('Loans'!$B:$B,ROW())&amp;""," "," "))</f>
        <v/>
      </c>
      <c r="X4">
        <f>TRIM(SUBSTITUTE(INDEX('Loans'!$C:$C,ROW())&amp;""," "," "))</f>
        <v/>
      </c>
      <c r="Y4">
        <f>IFERROR(--INDEX('Loans'!$D:$D,ROW()),0)</f>
        <v/>
      </c>
      <c r="Z4">
        <f>IFERROR(--INDEX('Loans'!$E:$E,ROW()),0)</f>
        <v/>
      </c>
      <c r="AA4">
        <f>IFERROR(--INDEX('Loans'!$F:$F,ROW()),0)</f>
        <v/>
      </c>
      <c r="AB4">
        <f>IFERROR(IF(--INDEX('Loans'!$G:$G,ROW())&gt;=1,--INDEX('Loans'!$G:$G,ROW())/100,--INDEX('Loans'!$G:$G,ROW())),0)</f>
        <v/>
      </c>
      <c r="AC4">
        <f>TRIM(SUBSTITUTE(INDEX('Loans'!$H:$H,ROW())&amp;""," "," "))</f>
        <v/>
      </c>
      <c r="AD4">
        <f>TRIM(SUBSTITUTE(INDEX('Loans'!$I:$I,ROW())&amp;""," "," "))</f>
        <v/>
      </c>
      <c r="AE4">
        <f>IFERROR(--INDEX('Loans'!$J:$J,ROW()),0)</f>
        <v/>
      </c>
      <c r="AF4">
        <f>TRIM(SUBSTITUTE(INDEX('Loans'!$K:$K,ROW())&amp;""," "," "))</f>
        <v/>
      </c>
      <c r="AG4">
        <f>IFERROR(--INDEX('Loans'!$L:$L,ROW()),0)</f>
        <v/>
      </c>
      <c r="AH4">
        <f>IF(ISNUMBER(INDEX('Loans'!$G:$G,ROW())),1,0)</f>
        <v/>
      </c>
    </row>
    <row r="5">
      <c r="A5">
        <f>TRIM(SUBSTITUTE(INDEX('Term investments'!$A:$A,ROW())&amp;""," "," "))</f>
        <v/>
      </c>
      <c r="B5">
        <f>TRIM(SUBSTITUTE(INDEX('Term investments'!$B:$B,ROW())&amp;""," "," "))</f>
        <v/>
      </c>
      <c r="C5">
        <f>TRIM(SUBSTITUTE(INDEX('Term investments'!$C:$C,ROW())&amp;""," "," "))</f>
        <v/>
      </c>
      <c r="D5">
        <f>IFERROR(--INDEX('Term investments'!$D:$D,ROW()),0)</f>
        <v/>
      </c>
      <c r="E5">
        <f>IFERROR(--INDEX('Term investments'!$E:$E,ROW()),0)</f>
        <v/>
      </c>
      <c r="F5">
        <f>IFERROR(--INDEX('Term investments'!$F:$F,ROW()),0)</f>
        <v/>
      </c>
      <c r="G5">
        <f>IFERROR(IF(--INDEX('Term investments'!$G:$G,ROW())&gt;=1,--INDEX('Term investments'!$G:$G,ROW())/100,--INDEX('Term investments'!$G:$G,ROW())),0)</f>
        <v/>
      </c>
      <c r="H5">
        <f>IFERROR(--INDEX('Term investments'!$H:$H,ROW()),0)</f>
        <v/>
      </c>
      <c r="I5">
        <f>IF(ISNUMBER(INDEX('Term investments'!$G:$G,ROW())),1,0)</f>
        <v/>
      </c>
      <c r="J5">
        <f>TRIM(SUBSTITUTE(INDEX('Call accounts and MMFs'!$A:$A,ROW())&amp;""," "," "))</f>
        <v/>
      </c>
      <c r="K5">
        <f>TRIM(SUBSTITUTE(INDEX('Call accounts and MMFs'!$B:$B,ROW())&amp;""," "," "))</f>
        <v/>
      </c>
      <c r="L5">
        <f>TRIM(SUBSTITUTE(INDEX('Call accounts and MMFs'!$C:$C,ROW())&amp;""," "," "))</f>
        <v/>
      </c>
      <c r="M5">
        <f>IFERROR(--INDEX('Call accounts and MMFs'!$D:$D,ROW()),0)</f>
        <v/>
      </c>
      <c r="N5">
        <f>IFERROR(IF(--INDEX('Call accounts and MMFs'!$E:$E,ROW())&gt;=1,--INDEX('Call accounts and MMFs'!$E:$E,ROW())/100,--INDEX('Call accounts and MMFs'!$E:$E,ROW())),0)</f>
        <v/>
      </c>
      <c r="O5">
        <f>IFERROR(--INDEX('Call accounts and MMFs'!$F:$F,ROW()),0)</f>
        <v/>
      </c>
      <c r="P5">
        <f>IF(ISNUMBER(INDEX('Call accounts and MMFs'!$E:$E,ROW())),1,0)</f>
        <v/>
      </c>
      <c r="Q5">
        <f>TRIM(SUBSTITUTE(INDEX('Pooled funds'!$B:$B,ROW())&amp;""," "," "))</f>
        <v/>
      </c>
      <c r="R5">
        <f>IFERROR(--INDEX('Pooled funds'!$C:$C,ROW()),0)</f>
        <v/>
      </c>
      <c r="S5">
        <f>IFERROR(--INDEX('Pooled funds'!$D:$D,ROW()),0)</f>
        <v/>
      </c>
      <c r="T5">
        <f>IFERROR(IF(--INDEX('Pooled funds'!$E:$E,ROW())&gt;=1,--INDEX('Pooled funds'!$E:$E,ROW())/100,--INDEX('Pooled funds'!$E:$E,ROW())),0)</f>
        <v/>
      </c>
      <c r="U5">
        <f>IF(ISNUMBER(INDEX('Pooled funds'!$E:$E,ROW())),1,0)</f>
        <v/>
      </c>
      <c r="V5">
        <f>TRIM(SUBSTITUTE(INDEX('Loans'!$A:$A,ROW())&amp;""," "," "))</f>
        <v/>
      </c>
      <c r="W5">
        <f>TRIM(SUBSTITUTE(INDEX('Loans'!$B:$B,ROW())&amp;""," "," "))</f>
        <v/>
      </c>
      <c r="X5">
        <f>TRIM(SUBSTITUTE(INDEX('Loans'!$C:$C,ROW())&amp;""," "," "))</f>
        <v/>
      </c>
      <c r="Y5">
        <f>IFERROR(--INDEX('Loans'!$D:$D,ROW()),0)</f>
        <v/>
      </c>
      <c r="Z5">
        <f>IFERROR(--INDEX('Loans'!$E:$E,ROW()),0)</f>
        <v/>
      </c>
      <c r="AA5">
        <f>IFERROR(--INDEX('Loans'!$F:$F,ROW()),0)</f>
        <v/>
      </c>
      <c r="AB5">
        <f>IFERROR(IF(--INDEX('Loans'!$G:$G,ROW())&gt;=1,--INDEX('Loans'!$G:$G,ROW())/100,--INDEX('Loans'!$G:$G,ROW())),0)</f>
        <v/>
      </c>
      <c r="AC5">
        <f>TRIM(SUBSTITUTE(INDEX('Loans'!$H:$H,ROW())&amp;""," "," "))</f>
        <v/>
      </c>
      <c r="AD5">
        <f>TRIM(SUBSTITUTE(INDEX('Loans'!$I:$I,ROW())&amp;""," "," "))</f>
        <v/>
      </c>
      <c r="AE5">
        <f>IFERROR(--INDEX('Loans'!$J:$J,ROW()),0)</f>
        <v/>
      </c>
      <c r="AF5">
        <f>TRIM(SUBSTITUTE(INDEX('Loans'!$K:$K,ROW())&amp;""," "," "))</f>
        <v/>
      </c>
      <c r="AG5">
        <f>IFERROR(--INDEX('Loans'!$L:$L,ROW()),0)</f>
        <v/>
      </c>
      <c r="AH5">
        <f>IF(ISNUMBER(INDEX('Loans'!$G:$G,ROW())),1,0)</f>
        <v/>
      </c>
    </row>
    <row r="6">
      <c r="A6">
        <f>TRIM(SUBSTITUTE(INDEX('Term investments'!$A:$A,ROW())&amp;""," "," "))</f>
        <v/>
      </c>
      <c r="B6">
        <f>TRIM(SUBSTITUTE(INDEX('Term investments'!$B:$B,ROW())&amp;""," "," "))</f>
        <v/>
      </c>
      <c r="C6">
        <f>TRIM(SUBSTITUTE(INDEX('Term investments'!$C:$C,ROW())&amp;""," "," "))</f>
        <v/>
      </c>
      <c r="D6">
        <f>IFERROR(--INDEX('Term investments'!$D:$D,ROW()),0)</f>
        <v/>
      </c>
      <c r="E6">
        <f>IFERROR(--INDEX('Term investments'!$E:$E,ROW()),0)</f>
        <v/>
      </c>
      <c r="F6">
        <f>IFERROR(--INDEX('Term investments'!$F:$F,ROW()),0)</f>
        <v/>
      </c>
      <c r="G6">
        <f>IFERROR(IF(--INDEX('Term investments'!$G:$G,ROW())&gt;=1,--INDEX('Term investments'!$G:$G,ROW())/100,--INDEX('Term investments'!$G:$G,ROW())),0)</f>
        <v/>
      </c>
      <c r="H6">
        <f>IFERROR(--INDEX('Term investments'!$H:$H,ROW()),0)</f>
        <v/>
      </c>
      <c r="I6">
        <f>IF(ISNUMBER(INDEX('Term investments'!$G:$G,ROW())),1,0)</f>
        <v/>
      </c>
      <c r="J6">
        <f>TRIM(SUBSTITUTE(INDEX('Call accounts and MMFs'!$A:$A,ROW())&amp;""," "," "))</f>
        <v/>
      </c>
      <c r="K6">
        <f>TRIM(SUBSTITUTE(INDEX('Call accounts and MMFs'!$B:$B,ROW())&amp;""," "," "))</f>
        <v/>
      </c>
      <c r="L6">
        <f>TRIM(SUBSTITUTE(INDEX('Call accounts and MMFs'!$C:$C,ROW())&amp;""," "," "))</f>
        <v/>
      </c>
      <c r="M6">
        <f>IFERROR(--INDEX('Call accounts and MMFs'!$D:$D,ROW()),0)</f>
        <v/>
      </c>
      <c r="N6">
        <f>IFERROR(IF(--INDEX('Call accounts and MMFs'!$E:$E,ROW())&gt;=1,--INDEX('Call accounts and MMFs'!$E:$E,ROW())/100,--INDEX('Call accounts and MMFs'!$E:$E,ROW())),0)</f>
        <v/>
      </c>
      <c r="O6">
        <f>IFERROR(--INDEX('Call accounts and MMFs'!$F:$F,ROW()),0)</f>
        <v/>
      </c>
      <c r="P6">
        <f>IF(ISNUMBER(INDEX('Call accounts and MMFs'!$E:$E,ROW())),1,0)</f>
        <v/>
      </c>
      <c r="Q6">
        <f>TRIM(SUBSTITUTE(INDEX('Pooled funds'!$B:$B,ROW())&amp;""," "," "))</f>
        <v/>
      </c>
      <c r="R6">
        <f>IFERROR(--INDEX('Pooled funds'!$C:$C,ROW()),0)</f>
        <v/>
      </c>
      <c r="S6">
        <f>IFERROR(--INDEX('Pooled funds'!$D:$D,ROW()),0)</f>
        <v/>
      </c>
      <c r="T6">
        <f>IFERROR(IF(--INDEX('Pooled funds'!$E:$E,ROW())&gt;=1,--INDEX('Pooled funds'!$E:$E,ROW())/100,--INDEX('Pooled funds'!$E:$E,ROW())),0)</f>
        <v/>
      </c>
      <c r="U6">
        <f>IF(ISNUMBER(INDEX('Pooled funds'!$E:$E,ROW())),1,0)</f>
        <v/>
      </c>
      <c r="V6">
        <f>TRIM(SUBSTITUTE(INDEX('Loans'!$A:$A,ROW())&amp;""," "," "))</f>
        <v/>
      </c>
      <c r="W6">
        <f>TRIM(SUBSTITUTE(INDEX('Loans'!$B:$B,ROW())&amp;""," "," "))</f>
        <v/>
      </c>
      <c r="X6">
        <f>TRIM(SUBSTITUTE(INDEX('Loans'!$C:$C,ROW())&amp;""," "," "))</f>
        <v/>
      </c>
      <c r="Y6">
        <f>IFERROR(--INDEX('Loans'!$D:$D,ROW()),0)</f>
        <v/>
      </c>
      <c r="Z6">
        <f>IFERROR(--INDEX('Loans'!$E:$E,ROW()),0)</f>
        <v/>
      </c>
      <c r="AA6">
        <f>IFERROR(--INDEX('Loans'!$F:$F,ROW()),0)</f>
        <v/>
      </c>
      <c r="AB6">
        <f>IFERROR(IF(--INDEX('Loans'!$G:$G,ROW())&gt;=1,--INDEX('Loans'!$G:$G,ROW())/100,--INDEX('Loans'!$G:$G,ROW())),0)</f>
        <v/>
      </c>
      <c r="AC6">
        <f>TRIM(SUBSTITUTE(INDEX('Loans'!$H:$H,ROW())&amp;""," "," "))</f>
        <v/>
      </c>
      <c r="AD6">
        <f>TRIM(SUBSTITUTE(INDEX('Loans'!$I:$I,ROW())&amp;""," "," "))</f>
        <v/>
      </c>
      <c r="AE6">
        <f>IFERROR(--INDEX('Loans'!$J:$J,ROW()),0)</f>
        <v/>
      </c>
      <c r="AF6">
        <f>TRIM(SUBSTITUTE(INDEX('Loans'!$K:$K,ROW())&amp;""," "," "))</f>
        <v/>
      </c>
      <c r="AG6">
        <f>IFERROR(--INDEX('Loans'!$L:$L,ROW()),0)</f>
        <v/>
      </c>
      <c r="AH6">
        <f>IF(ISNUMBER(INDEX('Loans'!$G:$G,ROW())),1,0)</f>
        <v/>
      </c>
    </row>
    <row r="7">
      <c r="A7">
        <f>TRIM(SUBSTITUTE(INDEX('Term investments'!$A:$A,ROW())&amp;""," "," "))</f>
        <v/>
      </c>
      <c r="B7">
        <f>TRIM(SUBSTITUTE(INDEX('Term investments'!$B:$B,ROW())&amp;""," "," "))</f>
        <v/>
      </c>
      <c r="C7">
        <f>TRIM(SUBSTITUTE(INDEX('Term investments'!$C:$C,ROW())&amp;""," "," "))</f>
        <v/>
      </c>
      <c r="D7">
        <f>IFERROR(--INDEX('Term investments'!$D:$D,ROW()),0)</f>
        <v/>
      </c>
      <c r="E7">
        <f>IFERROR(--INDEX('Term investments'!$E:$E,ROW()),0)</f>
        <v/>
      </c>
      <c r="F7">
        <f>IFERROR(--INDEX('Term investments'!$F:$F,ROW()),0)</f>
        <v/>
      </c>
      <c r="G7">
        <f>IFERROR(IF(--INDEX('Term investments'!$G:$G,ROW())&gt;=1,--INDEX('Term investments'!$G:$G,ROW())/100,--INDEX('Term investments'!$G:$G,ROW())),0)</f>
        <v/>
      </c>
      <c r="H7">
        <f>IFERROR(--INDEX('Term investments'!$H:$H,ROW()),0)</f>
        <v/>
      </c>
      <c r="I7">
        <f>IF(ISNUMBER(INDEX('Term investments'!$G:$G,ROW())),1,0)</f>
        <v/>
      </c>
      <c r="J7">
        <f>TRIM(SUBSTITUTE(INDEX('Call accounts and MMFs'!$A:$A,ROW())&amp;""," "," "))</f>
        <v/>
      </c>
      <c r="K7">
        <f>TRIM(SUBSTITUTE(INDEX('Call accounts and MMFs'!$B:$B,ROW())&amp;""," "," "))</f>
        <v/>
      </c>
      <c r="L7">
        <f>TRIM(SUBSTITUTE(INDEX('Call accounts and MMFs'!$C:$C,ROW())&amp;""," "," "))</f>
        <v/>
      </c>
      <c r="M7">
        <f>IFERROR(--INDEX('Call accounts and MMFs'!$D:$D,ROW()),0)</f>
        <v/>
      </c>
      <c r="N7">
        <f>IFERROR(IF(--INDEX('Call accounts and MMFs'!$E:$E,ROW())&gt;=1,--INDEX('Call accounts and MMFs'!$E:$E,ROW())/100,--INDEX('Call accounts and MMFs'!$E:$E,ROW())),0)</f>
        <v/>
      </c>
      <c r="O7">
        <f>IFERROR(--INDEX('Call accounts and MMFs'!$F:$F,ROW()),0)</f>
        <v/>
      </c>
      <c r="P7">
        <f>IF(ISNUMBER(INDEX('Call accounts and MMFs'!$E:$E,ROW())),1,0)</f>
        <v/>
      </c>
      <c r="Q7">
        <f>TRIM(SUBSTITUTE(INDEX('Pooled funds'!$B:$B,ROW())&amp;""," "," "))</f>
        <v/>
      </c>
      <c r="R7">
        <f>IFERROR(--INDEX('Pooled funds'!$C:$C,ROW()),0)</f>
        <v/>
      </c>
      <c r="S7">
        <f>IFERROR(--INDEX('Pooled funds'!$D:$D,ROW()),0)</f>
        <v/>
      </c>
      <c r="T7">
        <f>IFERROR(IF(--INDEX('Pooled funds'!$E:$E,ROW())&gt;=1,--INDEX('Pooled funds'!$E:$E,ROW())/100,--INDEX('Pooled funds'!$E:$E,ROW())),0)</f>
        <v/>
      </c>
      <c r="U7">
        <f>IF(ISNUMBER(INDEX('Pooled funds'!$E:$E,ROW())),1,0)</f>
        <v/>
      </c>
      <c r="V7">
        <f>TRIM(SUBSTITUTE(INDEX('Loans'!$A:$A,ROW())&amp;""," "," "))</f>
        <v/>
      </c>
      <c r="W7">
        <f>TRIM(SUBSTITUTE(INDEX('Loans'!$B:$B,ROW())&amp;""," "," "))</f>
        <v/>
      </c>
      <c r="X7">
        <f>TRIM(SUBSTITUTE(INDEX('Loans'!$C:$C,ROW())&amp;""," "," "))</f>
        <v/>
      </c>
      <c r="Y7">
        <f>IFERROR(--INDEX('Loans'!$D:$D,ROW()),0)</f>
        <v/>
      </c>
      <c r="Z7">
        <f>IFERROR(--INDEX('Loans'!$E:$E,ROW()),0)</f>
        <v/>
      </c>
      <c r="AA7">
        <f>IFERROR(--INDEX('Loans'!$F:$F,ROW()),0)</f>
        <v/>
      </c>
      <c r="AB7">
        <f>IFERROR(IF(--INDEX('Loans'!$G:$G,ROW())&gt;=1,--INDEX('Loans'!$G:$G,ROW())/100,--INDEX('Loans'!$G:$G,ROW())),0)</f>
        <v/>
      </c>
      <c r="AC7">
        <f>TRIM(SUBSTITUTE(INDEX('Loans'!$H:$H,ROW())&amp;""," "," "))</f>
        <v/>
      </c>
      <c r="AD7">
        <f>TRIM(SUBSTITUTE(INDEX('Loans'!$I:$I,ROW())&amp;""," "," "))</f>
        <v/>
      </c>
      <c r="AE7">
        <f>IFERROR(--INDEX('Loans'!$J:$J,ROW()),0)</f>
        <v/>
      </c>
      <c r="AF7">
        <f>TRIM(SUBSTITUTE(INDEX('Loans'!$K:$K,ROW())&amp;""," "," "))</f>
        <v/>
      </c>
      <c r="AG7">
        <f>IFERROR(--INDEX('Loans'!$L:$L,ROW()),0)</f>
        <v/>
      </c>
      <c r="AH7">
        <f>IF(ISNUMBER(INDEX('Loans'!$G:$G,ROW())),1,0)</f>
        <v/>
      </c>
    </row>
    <row r="8">
      <c r="A8">
        <f>TRIM(SUBSTITUTE(INDEX('Term investments'!$A:$A,ROW())&amp;""," "," "))</f>
        <v/>
      </c>
      <c r="B8">
        <f>TRIM(SUBSTITUTE(INDEX('Term investments'!$B:$B,ROW())&amp;""," "," "))</f>
        <v/>
      </c>
      <c r="C8">
        <f>TRIM(SUBSTITUTE(INDEX('Term investments'!$C:$C,ROW())&amp;""," "," "))</f>
        <v/>
      </c>
      <c r="D8">
        <f>IFERROR(--INDEX('Term investments'!$D:$D,ROW()),0)</f>
        <v/>
      </c>
      <c r="E8">
        <f>IFERROR(--INDEX('Term investments'!$E:$E,ROW()),0)</f>
        <v/>
      </c>
      <c r="F8">
        <f>IFERROR(--INDEX('Term investments'!$F:$F,ROW()),0)</f>
        <v/>
      </c>
      <c r="G8">
        <f>IFERROR(IF(--INDEX('Term investments'!$G:$G,ROW())&gt;=1,--INDEX('Term investments'!$G:$G,ROW())/100,--INDEX('Term investments'!$G:$G,ROW())),0)</f>
        <v/>
      </c>
      <c r="H8">
        <f>IFERROR(--INDEX('Term investments'!$H:$H,ROW()),0)</f>
        <v/>
      </c>
      <c r="I8">
        <f>IF(ISNUMBER(INDEX('Term investments'!$G:$G,ROW())),1,0)</f>
        <v/>
      </c>
      <c r="J8">
        <f>TRIM(SUBSTITUTE(INDEX('Call accounts and MMFs'!$A:$A,ROW())&amp;""," "," "))</f>
        <v/>
      </c>
      <c r="K8">
        <f>TRIM(SUBSTITUTE(INDEX('Call accounts and MMFs'!$B:$B,ROW())&amp;""," "," "))</f>
        <v/>
      </c>
      <c r="L8">
        <f>TRIM(SUBSTITUTE(INDEX('Call accounts and MMFs'!$C:$C,ROW())&amp;""," "," "))</f>
        <v/>
      </c>
      <c r="M8">
        <f>IFERROR(--INDEX('Call accounts and MMFs'!$D:$D,ROW()),0)</f>
        <v/>
      </c>
      <c r="N8">
        <f>IFERROR(IF(--INDEX('Call accounts and MMFs'!$E:$E,ROW())&gt;=1,--INDEX('Call accounts and MMFs'!$E:$E,ROW())/100,--INDEX('Call accounts and MMFs'!$E:$E,ROW())),0)</f>
        <v/>
      </c>
      <c r="O8">
        <f>IFERROR(--INDEX('Call accounts and MMFs'!$F:$F,ROW()),0)</f>
        <v/>
      </c>
      <c r="P8">
        <f>IF(ISNUMBER(INDEX('Call accounts and MMFs'!$E:$E,ROW())),1,0)</f>
        <v/>
      </c>
      <c r="Q8">
        <f>TRIM(SUBSTITUTE(INDEX('Pooled funds'!$B:$B,ROW())&amp;""," "," "))</f>
        <v/>
      </c>
      <c r="R8">
        <f>IFERROR(--INDEX('Pooled funds'!$C:$C,ROW()),0)</f>
        <v/>
      </c>
      <c r="S8">
        <f>IFERROR(--INDEX('Pooled funds'!$D:$D,ROW()),0)</f>
        <v/>
      </c>
      <c r="T8">
        <f>IFERROR(IF(--INDEX('Pooled funds'!$E:$E,ROW())&gt;=1,--INDEX('Pooled funds'!$E:$E,ROW())/100,--INDEX('Pooled funds'!$E:$E,ROW())),0)</f>
        <v/>
      </c>
      <c r="U8">
        <f>IF(ISNUMBER(INDEX('Pooled funds'!$E:$E,ROW())),1,0)</f>
        <v/>
      </c>
      <c r="V8">
        <f>TRIM(SUBSTITUTE(INDEX('Loans'!$A:$A,ROW())&amp;""," "," "))</f>
        <v/>
      </c>
      <c r="W8">
        <f>TRIM(SUBSTITUTE(INDEX('Loans'!$B:$B,ROW())&amp;""," "," "))</f>
        <v/>
      </c>
      <c r="X8">
        <f>TRIM(SUBSTITUTE(INDEX('Loans'!$C:$C,ROW())&amp;""," "," "))</f>
        <v/>
      </c>
      <c r="Y8">
        <f>IFERROR(--INDEX('Loans'!$D:$D,ROW()),0)</f>
        <v/>
      </c>
      <c r="Z8">
        <f>IFERROR(--INDEX('Loans'!$E:$E,ROW()),0)</f>
        <v/>
      </c>
      <c r="AA8">
        <f>IFERROR(--INDEX('Loans'!$F:$F,ROW()),0)</f>
        <v/>
      </c>
      <c r="AB8">
        <f>IFERROR(IF(--INDEX('Loans'!$G:$G,ROW())&gt;=1,--INDEX('Loans'!$G:$G,ROW())/100,--INDEX('Loans'!$G:$G,ROW())),0)</f>
        <v/>
      </c>
      <c r="AC8">
        <f>TRIM(SUBSTITUTE(INDEX('Loans'!$H:$H,ROW())&amp;""," "," "))</f>
        <v/>
      </c>
      <c r="AD8">
        <f>TRIM(SUBSTITUTE(INDEX('Loans'!$I:$I,ROW())&amp;""," "," "))</f>
        <v/>
      </c>
      <c r="AE8">
        <f>IFERROR(--INDEX('Loans'!$J:$J,ROW()),0)</f>
        <v/>
      </c>
      <c r="AF8">
        <f>TRIM(SUBSTITUTE(INDEX('Loans'!$K:$K,ROW())&amp;""," "," "))</f>
        <v/>
      </c>
      <c r="AG8">
        <f>IFERROR(--INDEX('Loans'!$L:$L,ROW()),0)</f>
        <v/>
      </c>
      <c r="AH8">
        <f>IF(ISNUMBER(INDEX('Loans'!$G:$G,ROW())),1,0)</f>
        <v/>
      </c>
    </row>
    <row r="9">
      <c r="A9">
        <f>TRIM(SUBSTITUTE(INDEX('Term investments'!$A:$A,ROW())&amp;""," "," "))</f>
        <v/>
      </c>
      <c r="B9">
        <f>TRIM(SUBSTITUTE(INDEX('Term investments'!$B:$B,ROW())&amp;""," "," "))</f>
        <v/>
      </c>
      <c r="C9">
        <f>TRIM(SUBSTITUTE(INDEX('Term investments'!$C:$C,ROW())&amp;""," "," "))</f>
        <v/>
      </c>
      <c r="D9">
        <f>IFERROR(--INDEX('Term investments'!$D:$D,ROW()),0)</f>
        <v/>
      </c>
      <c r="E9">
        <f>IFERROR(--INDEX('Term investments'!$E:$E,ROW()),0)</f>
        <v/>
      </c>
      <c r="F9">
        <f>IFERROR(--INDEX('Term investments'!$F:$F,ROW()),0)</f>
        <v/>
      </c>
      <c r="G9">
        <f>IFERROR(IF(--INDEX('Term investments'!$G:$G,ROW())&gt;=1,--INDEX('Term investments'!$G:$G,ROW())/100,--INDEX('Term investments'!$G:$G,ROW())),0)</f>
        <v/>
      </c>
      <c r="H9">
        <f>IFERROR(--INDEX('Term investments'!$H:$H,ROW()),0)</f>
        <v/>
      </c>
      <c r="I9">
        <f>IF(ISNUMBER(INDEX('Term investments'!$G:$G,ROW())),1,0)</f>
        <v/>
      </c>
      <c r="J9">
        <f>TRIM(SUBSTITUTE(INDEX('Call accounts and MMFs'!$A:$A,ROW())&amp;""," "," "))</f>
        <v/>
      </c>
      <c r="K9">
        <f>TRIM(SUBSTITUTE(INDEX('Call accounts and MMFs'!$B:$B,ROW())&amp;""," "," "))</f>
        <v/>
      </c>
      <c r="L9">
        <f>TRIM(SUBSTITUTE(INDEX('Call accounts and MMFs'!$C:$C,ROW())&amp;""," "," "))</f>
        <v/>
      </c>
      <c r="M9">
        <f>IFERROR(--INDEX('Call accounts and MMFs'!$D:$D,ROW()),0)</f>
        <v/>
      </c>
      <c r="N9">
        <f>IFERROR(IF(--INDEX('Call accounts and MMFs'!$E:$E,ROW())&gt;=1,--INDEX('Call accounts and MMFs'!$E:$E,ROW())/100,--INDEX('Call accounts and MMFs'!$E:$E,ROW())),0)</f>
        <v/>
      </c>
      <c r="O9">
        <f>IFERROR(--INDEX('Call accounts and MMFs'!$F:$F,ROW()),0)</f>
        <v/>
      </c>
      <c r="P9">
        <f>IF(ISNUMBER(INDEX('Call accounts and MMFs'!$E:$E,ROW())),1,0)</f>
        <v/>
      </c>
      <c r="Q9">
        <f>TRIM(SUBSTITUTE(INDEX('Pooled funds'!$B:$B,ROW())&amp;""," "," "))</f>
        <v/>
      </c>
      <c r="R9">
        <f>IFERROR(--INDEX('Pooled funds'!$C:$C,ROW()),0)</f>
        <v/>
      </c>
      <c r="S9">
        <f>IFERROR(--INDEX('Pooled funds'!$D:$D,ROW()),0)</f>
        <v/>
      </c>
      <c r="T9">
        <f>IFERROR(IF(--INDEX('Pooled funds'!$E:$E,ROW())&gt;=1,--INDEX('Pooled funds'!$E:$E,ROW())/100,--INDEX('Pooled funds'!$E:$E,ROW())),0)</f>
        <v/>
      </c>
      <c r="U9">
        <f>IF(ISNUMBER(INDEX('Pooled funds'!$E:$E,ROW())),1,0)</f>
        <v/>
      </c>
      <c r="V9">
        <f>TRIM(SUBSTITUTE(INDEX('Loans'!$A:$A,ROW())&amp;""," "," "))</f>
        <v/>
      </c>
      <c r="W9">
        <f>TRIM(SUBSTITUTE(INDEX('Loans'!$B:$B,ROW())&amp;""," "," "))</f>
        <v/>
      </c>
      <c r="X9">
        <f>TRIM(SUBSTITUTE(INDEX('Loans'!$C:$C,ROW())&amp;""," "," "))</f>
        <v/>
      </c>
      <c r="Y9">
        <f>IFERROR(--INDEX('Loans'!$D:$D,ROW()),0)</f>
        <v/>
      </c>
      <c r="Z9">
        <f>IFERROR(--INDEX('Loans'!$E:$E,ROW()),0)</f>
        <v/>
      </c>
      <c r="AA9">
        <f>IFERROR(--INDEX('Loans'!$F:$F,ROW()),0)</f>
        <v/>
      </c>
      <c r="AB9">
        <f>IFERROR(IF(--INDEX('Loans'!$G:$G,ROW())&gt;=1,--INDEX('Loans'!$G:$G,ROW())/100,--INDEX('Loans'!$G:$G,ROW())),0)</f>
        <v/>
      </c>
      <c r="AC9">
        <f>TRIM(SUBSTITUTE(INDEX('Loans'!$H:$H,ROW())&amp;""," "," "))</f>
        <v/>
      </c>
      <c r="AD9">
        <f>TRIM(SUBSTITUTE(INDEX('Loans'!$I:$I,ROW())&amp;""," "," "))</f>
        <v/>
      </c>
      <c r="AE9">
        <f>IFERROR(--INDEX('Loans'!$J:$J,ROW()),0)</f>
        <v/>
      </c>
      <c r="AF9">
        <f>TRIM(SUBSTITUTE(INDEX('Loans'!$K:$K,ROW())&amp;""," "," "))</f>
        <v/>
      </c>
      <c r="AG9">
        <f>IFERROR(--INDEX('Loans'!$L:$L,ROW()),0)</f>
        <v/>
      </c>
      <c r="AH9">
        <f>IF(ISNUMBER(INDEX('Loans'!$G:$G,ROW())),1,0)</f>
        <v/>
      </c>
    </row>
    <row r="10">
      <c r="A10">
        <f>TRIM(SUBSTITUTE(INDEX('Term investments'!$A:$A,ROW())&amp;""," "," "))</f>
        <v/>
      </c>
      <c r="B10">
        <f>TRIM(SUBSTITUTE(INDEX('Term investments'!$B:$B,ROW())&amp;""," "," "))</f>
        <v/>
      </c>
      <c r="C10">
        <f>TRIM(SUBSTITUTE(INDEX('Term investments'!$C:$C,ROW())&amp;""," "," "))</f>
        <v/>
      </c>
      <c r="D10">
        <f>IFERROR(--INDEX('Term investments'!$D:$D,ROW()),0)</f>
        <v/>
      </c>
      <c r="E10">
        <f>IFERROR(--INDEX('Term investments'!$E:$E,ROW()),0)</f>
        <v/>
      </c>
      <c r="F10">
        <f>IFERROR(--INDEX('Term investments'!$F:$F,ROW()),0)</f>
        <v/>
      </c>
      <c r="G10">
        <f>IFERROR(IF(--INDEX('Term investments'!$G:$G,ROW())&gt;=1,--INDEX('Term investments'!$G:$G,ROW())/100,--INDEX('Term investments'!$G:$G,ROW())),0)</f>
        <v/>
      </c>
      <c r="H10">
        <f>IFERROR(--INDEX('Term investments'!$H:$H,ROW()),0)</f>
        <v/>
      </c>
      <c r="I10">
        <f>IF(ISNUMBER(INDEX('Term investments'!$G:$G,ROW())),1,0)</f>
        <v/>
      </c>
      <c r="J10">
        <f>TRIM(SUBSTITUTE(INDEX('Call accounts and MMFs'!$A:$A,ROW())&amp;""," "," "))</f>
        <v/>
      </c>
      <c r="K10">
        <f>TRIM(SUBSTITUTE(INDEX('Call accounts and MMFs'!$B:$B,ROW())&amp;""," "," "))</f>
        <v/>
      </c>
      <c r="L10">
        <f>TRIM(SUBSTITUTE(INDEX('Call accounts and MMFs'!$C:$C,ROW())&amp;""," "," "))</f>
        <v/>
      </c>
      <c r="M10">
        <f>IFERROR(--INDEX('Call accounts and MMFs'!$D:$D,ROW()),0)</f>
        <v/>
      </c>
      <c r="N10">
        <f>IFERROR(IF(--INDEX('Call accounts and MMFs'!$E:$E,ROW())&gt;=1,--INDEX('Call accounts and MMFs'!$E:$E,ROW())/100,--INDEX('Call accounts and MMFs'!$E:$E,ROW())),0)</f>
        <v/>
      </c>
      <c r="O10">
        <f>IFERROR(--INDEX('Call accounts and MMFs'!$F:$F,ROW()),0)</f>
        <v/>
      </c>
      <c r="P10">
        <f>IF(ISNUMBER(INDEX('Call accounts and MMFs'!$E:$E,ROW())),1,0)</f>
        <v/>
      </c>
      <c r="Q10">
        <f>TRIM(SUBSTITUTE(INDEX('Pooled funds'!$B:$B,ROW())&amp;""," "," "))</f>
        <v/>
      </c>
      <c r="R10">
        <f>IFERROR(--INDEX('Pooled funds'!$C:$C,ROW()),0)</f>
        <v/>
      </c>
      <c r="S10">
        <f>IFERROR(--INDEX('Pooled funds'!$D:$D,ROW()),0)</f>
        <v/>
      </c>
      <c r="T10">
        <f>IFERROR(IF(--INDEX('Pooled funds'!$E:$E,ROW())&gt;=1,--INDEX('Pooled funds'!$E:$E,ROW())/100,--INDEX('Pooled funds'!$E:$E,ROW())),0)</f>
        <v/>
      </c>
      <c r="U10">
        <f>IF(ISNUMBER(INDEX('Pooled funds'!$E:$E,ROW())),1,0)</f>
        <v/>
      </c>
      <c r="V10">
        <f>TRIM(SUBSTITUTE(INDEX('Loans'!$A:$A,ROW())&amp;""," "," "))</f>
        <v/>
      </c>
      <c r="W10">
        <f>TRIM(SUBSTITUTE(INDEX('Loans'!$B:$B,ROW())&amp;""," "," "))</f>
        <v/>
      </c>
      <c r="X10">
        <f>TRIM(SUBSTITUTE(INDEX('Loans'!$C:$C,ROW())&amp;""," "," "))</f>
        <v/>
      </c>
      <c r="Y10">
        <f>IFERROR(--INDEX('Loans'!$D:$D,ROW()),0)</f>
        <v/>
      </c>
      <c r="Z10">
        <f>IFERROR(--INDEX('Loans'!$E:$E,ROW()),0)</f>
        <v/>
      </c>
      <c r="AA10">
        <f>IFERROR(--INDEX('Loans'!$F:$F,ROW()),0)</f>
        <v/>
      </c>
      <c r="AB10">
        <f>IFERROR(IF(--INDEX('Loans'!$G:$G,ROW())&gt;=1,--INDEX('Loans'!$G:$G,ROW())/100,--INDEX('Loans'!$G:$G,ROW())),0)</f>
        <v/>
      </c>
      <c r="AC10">
        <f>TRIM(SUBSTITUTE(INDEX('Loans'!$H:$H,ROW())&amp;""," "," "))</f>
        <v/>
      </c>
      <c r="AD10">
        <f>TRIM(SUBSTITUTE(INDEX('Loans'!$I:$I,ROW())&amp;""," "," "))</f>
        <v/>
      </c>
      <c r="AE10">
        <f>IFERROR(--INDEX('Loans'!$J:$J,ROW()),0)</f>
        <v/>
      </c>
      <c r="AF10">
        <f>TRIM(SUBSTITUTE(INDEX('Loans'!$K:$K,ROW())&amp;""," "," "))</f>
        <v/>
      </c>
      <c r="AG10">
        <f>IFERROR(--INDEX('Loans'!$L:$L,ROW()),0)</f>
        <v/>
      </c>
      <c r="AH10">
        <f>IF(ISNUMBER(INDEX('Loans'!$G:$G,ROW())),1,0)</f>
        <v/>
      </c>
    </row>
    <row r="11">
      <c r="A11">
        <f>TRIM(SUBSTITUTE(INDEX('Term investments'!$A:$A,ROW())&amp;""," "," "))</f>
        <v/>
      </c>
      <c r="B11">
        <f>TRIM(SUBSTITUTE(INDEX('Term investments'!$B:$B,ROW())&amp;""," "," "))</f>
        <v/>
      </c>
      <c r="C11">
        <f>TRIM(SUBSTITUTE(INDEX('Term investments'!$C:$C,ROW())&amp;""," "," "))</f>
        <v/>
      </c>
      <c r="D11">
        <f>IFERROR(--INDEX('Term investments'!$D:$D,ROW()),0)</f>
        <v/>
      </c>
      <c r="E11">
        <f>IFERROR(--INDEX('Term investments'!$E:$E,ROW()),0)</f>
        <v/>
      </c>
      <c r="F11">
        <f>IFERROR(--INDEX('Term investments'!$F:$F,ROW()),0)</f>
        <v/>
      </c>
      <c r="G11">
        <f>IFERROR(IF(--INDEX('Term investments'!$G:$G,ROW())&gt;=1,--INDEX('Term investments'!$G:$G,ROW())/100,--INDEX('Term investments'!$G:$G,ROW())),0)</f>
        <v/>
      </c>
      <c r="H11">
        <f>IFERROR(--INDEX('Term investments'!$H:$H,ROW()),0)</f>
        <v/>
      </c>
      <c r="I11">
        <f>IF(ISNUMBER(INDEX('Term investments'!$G:$G,ROW())),1,0)</f>
        <v/>
      </c>
      <c r="J11">
        <f>TRIM(SUBSTITUTE(INDEX('Call accounts and MMFs'!$A:$A,ROW())&amp;""," "," "))</f>
        <v/>
      </c>
      <c r="K11">
        <f>TRIM(SUBSTITUTE(INDEX('Call accounts and MMFs'!$B:$B,ROW())&amp;""," "," "))</f>
        <v/>
      </c>
      <c r="L11">
        <f>TRIM(SUBSTITUTE(INDEX('Call accounts and MMFs'!$C:$C,ROW())&amp;""," "," "))</f>
        <v/>
      </c>
      <c r="M11">
        <f>IFERROR(--INDEX('Call accounts and MMFs'!$D:$D,ROW()),0)</f>
        <v/>
      </c>
      <c r="N11">
        <f>IFERROR(IF(--INDEX('Call accounts and MMFs'!$E:$E,ROW())&gt;=1,--INDEX('Call accounts and MMFs'!$E:$E,ROW())/100,--INDEX('Call accounts and MMFs'!$E:$E,ROW())),0)</f>
        <v/>
      </c>
      <c r="O11">
        <f>IFERROR(--INDEX('Call accounts and MMFs'!$F:$F,ROW()),0)</f>
        <v/>
      </c>
      <c r="P11">
        <f>IF(ISNUMBER(INDEX('Call accounts and MMFs'!$E:$E,ROW())),1,0)</f>
        <v/>
      </c>
      <c r="Q11">
        <f>TRIM(SUBSTITUTE(INDEX('Pooled funds'!$B:$B,ROW())&amp;""," "," "))</f>
        <v/>
      </c>
      <c r="R11">
        <f>IFERROR(--INDEX('Pooled funds'!$C:$C,ROW()),0)</f>
        <v/>
      </c>
      <c r="S11">
        <f>IFERROR(--INDEX('Pooled funds'!$D:$D,ROW()),0)</f>
        <v/>
      </c>
      <c r="T11">
        <f>IFERROR(IF(--INDEX('Pooled funds'!$E:$E,ROW())&gt;=1,--INDEX('Pooled funds'!$E:$E,ROW())/100,--INDEX('Pooled funds'!$E:$E,ROW())),0)</f>
        <v/>
      </c>
      <c r="U11">
        <f>IF(ISNUMBER(INDEX('Pooled funds'!$E:$E,ROW())),1,0)</f>
        <v/>
      </c>
      <c r="V11">
        <f>TRIM(SUBSTITUTE(INDEX('Loans'!$A:$A,ROW())&amp;""," "," "))</f>
        <v/>
      </c>
      <c r="W11">
        <f>TRIM(SUBSTITUTE(INDEX('Loans'!$B:$B,ROW())&amp;""," "," "))</f>
        <v/>
      </c>
      <c r="X11">
        <f>TRIM(SUBSTITUTE(INDEX('Loans'!$C:$C,ROW())&amp;""," "," "))</f>
        <v/>
      </c>
      <c r="Y11">
        <f>IFERROR(--INDEX('Loans'!$D:$D,ROW()),0)</f>
        <v/>
      </c>
      <c r="Z11">
        <f>IFERROR(--INDEX('Loans'!$E:$E,ROW()),0)</f>
        <v/>
      </c>
      <c r="AA11">
        <f>IFERROR(--INDEX('Loans'!$F:$F,ROW()),0)</f>
        <v/>
      </c>
      <c r="AB11">
        <f>IFERROR(IF(--INDEX('Loans'!$G:$G,ROW())&gt;=1,--INDEX('Loans'!$G:$G,ROW())/100,--INDEX('Loans'!$G:$G,ROW())),0)</f>
        <v/>
      </c>
      <c r="AC11">
        <f>TRIM(SUBSTITUTE(INDEX('Loans'!$H:$H,ROW())&amp;""," "," "))</f>
        <v/>
      </c>
      <c r="AD11">
        <f>TRIM(SUBSTITUTE(INDEX('Loans'!$I:$I,ROW())&amp;""," "," "))</f>
        <v/>
      </c>
      <c r="AE11">
        <f>IFERROR(--INDEX('Loans'!$J:$J,ROW()),0)</f>
        <v/>
      </c>
      <c r="AF11">
        <f>TRIM(SUBSTITUTE(INDEX('Loans'!$K:$K,ROW())&amp;""," "," "))</f>
        <v/>
      </c>
      <c r="AG11">
        <f>IFERROR(--INDEX('Loans'!$L:$L,ROW()),0)</f>
        <v/>
      </c>
      <c r="AH11">
        <f>IF(ISNUMBER(INDEX('Loans'!$G:$G,ROW())),1,0)</f>
        <v/>
      </c>
    </row>
    <row r="12">
      <c r="A12">
        <f>TRIM(SUBSTITUTE(INDEX('Term investments'!$A:$A,ROW())&amp;""," "," "))</f>
        <v/>
      </c>
      <c r="B12">
        <f>TRIM(SUBSTITUTE(INDEX('Term investments'!$B:$B,ROW())&amp;""," "," "))</f>
        <v/>
      </c>
      <c r="C12">
        <f>TRIM(SUBSTITUTE(INDEX('Term investments'!$C:$C,ROW())&amp;""," "," "))</f>
        <v/>
      </c>
      <c r="D12">
        <f>IFERROR(--INDEX('Term investments'!$D:$D,ROW()),0)</f>
        <v/>
      </c>
      <c r="E12">
        <f>IFERROR(--INDEX('Term investments'!$E:$E,ROW()),0)</f>
        <v/>
      </c>
      <c r="F12">
        <f>IFERROR(--INDEX('Term investments'!$F:$F,ROW()),0)</f>
        <v/>
      </c>
      <c r="G12">
        <f>IFERROR(IF(--INDEX('Term investments'!$G:$G,ROW())&gt;=1,--INDEX('Term investments'!$G:$G,ROW())/100,--INDEX('Term investments'!$G:$G,ROW())),0)</f>
        <v/>
      </c>
      <c r="H12">
        <f>IFERROR(--INDEX('Term investments'!$H:$H,ROW()),0)</f>
        <v/>
      </c>
      <c r="I12">
        <f>IF(ISNUMBER(INDEX('Term investments'!$G:$G,ROW())),1,0)</f>
        <v/>
      </c>
      <c r="J12">
        <f>TRIM(SUBSTITUTE(INDEX('Call accounts and MMFs'!$A:$A,ROW())&amp;""," "," "))</f>
        <v/>
      </c>
      <c r="K12">
        <f>TRIM(SUBSTITUTE(INDEX('Call accounts and MMFs'!$B:$B,ROW())&amp;""," "," "))</f>
        <v/>
      </c>
      <c r="L12">
        <f>TRIM(SUBSTITUTE(INDEX('Call accounts and MMFs'!$C:$C,ROW())&amp;""," "," "))</f>
        <v/>
      </c>
      <c r="M12">
        <f>IFERROR(--INDEX('Call accounts and MMFs'!$D:$D,ROW()),0)</f>
        <v/>
      </c>
      <c r="N12">
        <f>IFERROR(IF(--INDEX('Call accounts and MMFs'!$E:$E,ROW())&gt;=1,--INDEX('Call accounts and MMFs'!$E:$E,ROW())/100,--INDEX('Call accounts and MMFs'!$E:$E,ROW())),0)</f>
        <v/>
      </c>
      <c r="O12">
        <f>IFERROR(--INDEX('Call accounts and MMFs'!$F:$F,ROW()),0)</f>
        <v/>
      </c>
      <c r="P12">
        <f>IF(ISNUMBER(INDEX('Call accounts and MMFs'!$E:$E,ROW())),1,0)</f>
        <v/>
      </c>
      <c r="Q12">
        <f>TRIM(SUBSTITUTE(INDEX('Pooled funds'!$B:$B,ROW())&amp;""," "," "))</f>
        <v/>
      </c>
      <c r="R12">
        <f>IFERROR(--INDEX('Pooled funds'!$C:$C,ROW()),0)</f>
        <v/>
      </c>
      <c r="S12">
        <f>IFERROR(--INDEX('Pooled funds'!$D:$D,ROW()),0)</f>
        <v/>
      </c>
      <c r="T12">
        <f>IFERROR(IF(--INDEX('Pooled funds'!$E:$E,ROW())&gt;=1,--INDEX('Pooled funds'!$E:$E,ROW())/100,--INDEX('Pooled funds'!$E:$E,ROW())),0)</f>
        <v/>
      </c>
      <c r="U12">
        <f>IF(ISNUMBER(INDEX('Pooled funds'!$E:$E,ROW())),1,0)</f>
        <v/>
      </c>
      <c r="V12">
        <f>TRIM(SUBSTITUTE(INDEX('Loans'!$A:$A,ROW())&amp;""," "," "))</f>
        <v/>
      </c>
      <c r="W12">
        <f>TRIM(SUBSTITUTE(INDEX('Loans'!$B:$B,ROW())&amp;""," "," "))</f>
        <v/>
      </c>
      <c r="X12">
        <f>TRIM(SUBSTITUTE(INDEX('Loans'!$C:$C,ROW())&amp;""," "," "))</f>
        <v/>
      </c>
      <c r="Y12">
        <f>IFERROR(--INDEX('Loans'!$D:$D,ROW()),0)</f>
        <v/>
      </c>
      <c r="Z12">
        <f>IFERROR(--INDEX('Loans'!$E:$E,ROW()),0)</f>
        <v/>
      </c>
      <c r="AA12">
        <f>IFERROR(--INDEX('Loans'!$F:$F,ROW()),0)</f>
        <v/>
      </c>
      <c r="AB12">
        <f>IFERROR(IF(--INDEX('Loans'!$G:$G,ROW())&gt;=1,--INDEX('Loans'!$G:$G,ROW())/100,--INDEX('Loans'!$G:$G,ROW())),0)</f>
        <v/>
      </c>
      <c r="AC12">
        <f>TRIM(SUBSTITUTE(INDEX('Loans'!$H:$H,ROW())&amp;""," "," "))</f>
        <v/>
      </c>
      <c r="AD12">
        <f>TRIM(SUBSTITUTE(INDEX('Loans'!$I:$I,ROW())&amp;""," "," "))</f>
        <v/>
      </c>
      <c r="AE12">
        <f>IFERROR(--INDEX('Loans'!$J:$J,ROW()),0)</f>
        <v/>
      </c>
      <c r="AF12">
        <f>TRIM(SUBSTITUTE(INDEX('Loans'!$K:$K,ROW())&amp;""," "," "))</f>
        <v/>
      </c>
      <c r="AG12">
        <f>IFERROR(--INDEX('Loans'!$L:$L,ROW()),0)</f>
        <v/>
      </c>
      <c r="AH12">
        <f>IF(ISNUMBER(INDEX('Loans'!$G:$G,ROW())),1,0)</f>
        <v/>
      </c>
    </row>
    <row r="13">
      <c r="A13">
        <f>TRIM(SUBSTITUTE(INDEX('Term investments'!$A:$A,ROW())&amp;""," "," "))</f>
        <v/>
      </c>
      <c r="B13">
        <f>TRIM(SUBSTITUTE(INDEX('Term investments'!$B:$B,ROW())&amp;""," "," "))</f>
        <v/>
      </c>
      <c r="C13">
        <f>TRIM(SUBSTITUTE(INDEX('Term investments'!$C:$C,ROW())&amp;""," "," "))</f>
        <v/>
      </c>
      <c r="D13">
        <f>IFERROR(--INDEX('Term investments'!$D:$D,ROW()),0)</f>
        <v/>
      </c>
      <c r="E13">
        <f>IFERROR(--INDEX('Term investments'!$E:$E,ROW()),0)</f>
        <v/>
      </c>
      <c r="F13">
        <f>IFERROR(--INDEX('Term investments'!$F:$F,ROW()),0)</f>
        <v/>
      </c>
      <c r="G13">
        <f>IFERROR(IF(--INDEX('Term investments'!$G:$G,ROW())&gt;=1,--INDEX('Term investments'!$G:$G,ROW())/100,--INDEX('Term investments'!$G:$G,ROW())),0)</f>
        <v/>
      </c>
      <c r="H13">
        <f>IFERROR(--INDEX('Term investments'!$H:$H,ROW()),0)</f>
        <v/>
      </c>
      <c r="I13">
        <f>IF(ISNUMBER(INDEX('Term investments'!$G:$G,ROW())),1,0)</f>
        <v/>
      </c>
      <c r="J13">
        <f>TRIM(SUBSTITUTE(INDEX('Call accounts and MMFs'!$A:$A,ROW())&amp;""," "," "))</f>
        <v/>
      </c>
      <c r="K13">
        <f>TRIM(SUBSTITUTE(INDEX('Call accounts and MMFs'!$B:$B,ROW())&amp;""," "," "))</f>
        <v/>
      </c>
      <c r="L13">
        <f>TRIM(SUBSTITUTE(INDEX('Call accounts and MMFs'!$C:$C,ROW())&amp;""," "," "))</f>
        <v/>
      </c>
      <c r="M13">
        <f>IFERROR(--INDEX('Call accounts and MMFs'!$D:$D,ROW()),0)</f>
        <v/>
      </c>
      <c r="N13">
        <f>IFERROR(IF(--INDEX('Call accounts and MMFs'!$E:$E,ROW())&gt;=1,--INDEX('Call accounts and MMFs'!$E:$E,ROW())/100,--INDEX('Call accounts and MMFs'!$E:$E,ROW())),0)</f>
        <v/>
      </c>
      <c r="O13">
        <f>IFERROR(--INDEX('Call accounts and MMFs'!$F:$F,ROW()),0)</f>
        <v/>
      </c>
      <c r="P13">
        <f>IF(ISNUMBER(INDEX('Call accounts and MMFs'!$E:$E,ROW())),1,0)</f>
        <v/>
      </c>
      <c r="Q13">
        <f>TRIM(SUBSTITUTE(INDEX('Pooled funds'!$B:$B,ROW())&amp;""," "," "))</f>
        <v/>
      </c>
      <c r="R13">
        <f>IFERROR(--INDEX('Pooled funds'!$C:$C,ROW()),0)</f>
        <v/>
      </c>
      <c r="S13">
        <f>IFERROR(--INDEX('Pooled funds'!$D:$D,ROW()),0)</f>
        <v/>
      </c>
      <c r="T13">
        <f>IFERROR(IF(--INDEX('Pooled funds'!$E:$E,ROW())&gt;=1,--INDEX('Pooled funds'!$E:$E,ROW())/100,--INDEX('Pooled funds'!$E:$E,ROW())),0)</f>
        <v/>
      </c>
      <c r="U13">
        <f>IF(ISNUMBER(INDEX('Pooled funds'!$E:$E,ROW())),1,0)</f>
        <v/>
      </c>
      <c r="V13">
        <f>TRIM(SUBSTITUTE(INDEX('Loans'!$A:$A,ROW())&amp;""," "," "))</f>
        <v/>
      </c>
      <c r="W13">
        <f>TRIM(SUBSTITUTE(INDEX('Loans'!$B:$B,ROW())&amp;""," "," "))</f>
        <v/>
      </c>
      <c r="X13">
        <f>TRIM(SUBSTITUTE(INDEX('Loans'!$C:$C,ROW())&amp;""," "," "))</f>
        <v/>
      </c>
      <c r="Y13">
        <f>IFERROR(--INDEX('Loans'!$D:$D,ROW()),0)</f>
        <v/>
      </c>
      <c r="Z13">
        <f>IFERROR(--INDEX('Loans'!$E:$E,ROW()),0)</f>
        <v/>
      </c>
      <c r="AA13">
        <f>IFERROR(--INDEX('Loans'!$F:$F,ROW()),0)</f>
        <v/>
      </c>
      <c r="AB13">
        <f>IFERROR(IF(--INDEX('Loans'!$G:$G,ROW())&gt;=1,--INDEX('Loans'!$G:$G,ROW())/100,--INDEX('Loans'!$G:$G,ROW())),0)</f>
        <v/>
      </c>
      <c r="AC13">
        <f>TRIM(SUBSTITUTE(INDEX('Loans'!$H:$H,ROW())&amp;""," "," "))</f>
        <v/>
      </c>
      <c r="AD13">
        <f>TRIM(SUBSTITUTE(INDEX('Loans'!$I:$I,ROW())&amp;""," "," "))</f>
        <v/>
      </c>
      <c r="AE13">
        <f>IFERROR(--INDEX('Loans'!$J:$J,ROW()),0)</f>
        <v/>
      </c>
      <c r="AF13">
        <f>TRIM(SUBSTITUTE(INDEX('Loans'!$K:$K,ROW())&amp;""," "," "))</f>
        <v/>
      </c>
      <c r="AG13">
        <f>IFERROR(--INDEX('Loans'!$L:$L,ROW()),0)</f>
        <v/>
      </c>
      <c r="AH13">
        <f>IF(ISNUMBER(INDEX('Loans'!$G:$G,ROW())),1,0)</f>
        <v/>
      </c>
    </row>
    <row r="14">
      <c r="A14">
        <f>TRIM(SUBSTITUTE(INDEX('Term investments'!$A:$A,ROW())&amp;""," "," "))</f>
        <v/>
      </c>
      <c r="B14">
        <f>TRIM(SUBSTITUTE(INDEX('Term investments'!$B:$B,ROW())&amp;""," "," "))</f>
        <v/>
      </c>
      <c r="C14">
        <f>TRIM(SUBSTITUTE(INDEX('Term investments'!$C:$C,ROW())&amp;""," "," "))</f>
        <v/>
      </c>
      <c r="D14">
        <f>IFERROR(--INDEX('Term investments'!$D:$D,ROW()),0)</f>
        <v/>
      </c>
      <c r="E14">
        <f>IFERROR(--INDEX('Term investments'!$E:$E,ROW()),0)</f>
        <v/>
      </c>
      <c r="F14">
        <f>IFERROR(--INDEX('Term investments'!$F:$F,ROW()),0)</f>
        <v/>
      </c>
      <c r="G14">
        <f>IFERROR(IF(--INDEX('Term investments'!$G:$G,ROW())&gt;=1,--INDEX('Term investments'!$G:$G,ROW())/100,--INDEX('Term investments'!$G:$G,ROW())),0)</f>
        <v/>
      </c>
      <c r="H14">
        <f>IFERROR(--INDEX('Term investments'!$H:$H,ROW()),0)</f>
        <v/>
      </c>
      <c r="I14">
        <f>IF(ISNUMBER(INDEX('Term investments'!$G:$G,ROW())),1,0)</f>
        <v/>
      </c>
      <c r="J14">
        <f>TRIM(SUBSTITUTE(INDEX('Call accounts and MMFs'!$A:$A,ROW())&amp;""," "," "))</f>
        <v/>
      </c>
      <c r="K14">
        <f>TRIM(SUBSTITUTE(INDEX('Call accounts and MMFs'!$B:$B,ROW())&amp;""," "," "))</f>
        <v/>
      </c>
      <c r="L14">
        <f>TRIM(SUBSTITUTE(INDEX('Call accounts and MMFs'!$C:$C,ROW())&amp;""," "," "))</f>
        <v/>
      </c>
      <c r="M14">
        <f>IFERROR(--INDEX('Call accounts and MMFs'!$D:$D,ROW()),0)</f>
        <v/>
      </c>
      <c r="N14">
        <f>IFERROR(IF(--INDEX('Call accounts and MMFs'!$E:$E,ROW())&gt;=1,--INDEX('Call accounts and MMFs'!$E:$E,ROW())/100,--INDEX('Call accounts and MMFs'!$E:$E,ROW())),0)</f>
        <v/>
      </c>
      <c r="O14">
        <f>IFERROR(--INDEX('Call accounts and MMFs'!$F:$F,ROW()),0)</f>
        <v/>
      </c>
      <c r="P14">
        <f>IF(ISNUMBER(INDEX('Call accounts and MMFs'!$E:$E,ROW())),1,0)</f>
        <v/>
      </c>
      <c r="Q14">
        <f>TRIM(SUBSTITUTE(INDEX('Pooled funds'!$B:$B,ROW())&amp;""," "," "))</f>
        <v/>
      </c>
      <c r="R14">
        <f>IFERROR(--INDEX('Pooled funds'!$C:$C,ROW()),0)</f>
        <v/>
      </c>
      <c r="S14">
        <f>IFERROR(--INDEX('Pooled funds'!$D:$D,ROW()),0)</f>
        <v/>
      </c>
      <c r="T14">
        <f>IFERROR(IF(--INDEX('Pooled funds'!$E:$E,ROW())&gt;=1,--INDEX('Pooled funds'!$E:$E,ROW())/100,--INDEX('Pooled funds'!$E:$E,ROW())),0)</f>
        <v/>
      </c>
      <c r="U14">
        <f>IF(ISNUMBER(INDEX('Pooled funds'!$E:$E,ROW())),1,0)</f>
        <v/>
      </c>
      <c r="V14">
        <f>TRIM(SUBSTITUTE(INDEX('Loans'!$A:$A,ROW())&amp;""," "," "))</f>
        <v/>
      </c>
      <c r="W14">
        <f>TRIM(SUBSTITUTE(INDEX('Loans'!$B:$B,ROW())&amp;""," "," "))</f>
        <v/>
      </c>
      <c r="X14">
        <f>TRIM(SUBSTITUTE(INDEX('Loans'!$C:$C,ROW())&amp;""," "," "))</f>
        <v/>
      </c>
      <c r="Y14">
        <f>IFERROR(--INDEX('Loans'!$D:$D,ROW()),0)</f>
        <v/>
      </c>
      <c r="Z14">
        <f>IFERROR(--INDEX('Loans'!$E:$E,ROW()),0)</f>
        <v/>
      </c>
      <c r="AA14">
        <f>IFERROR(--INDEX('Loans'!$F:$F,ROW()),0)</f>
        <v/>
      </c>
      <c r="AB14">
        <f>IFERROR(IF(--INDEX('Loans'!$G:$G,ROW())&gt;=1,--INDEX('Loans'!$G:$G,ROW())/100,--INDEX('Loans'!$G:$G,ROW())),0)</f>
        <v/>
      </c>
      <c r="AC14">
        <f>TRIM(SUBSTITUTE(INDEX('Loans'!$H:$H,ROW())&amp;""," "," "))</f>
        <v/>
      </c>
      <c r="AD14">
        <f>TRIM(SUBSTITUTE(INDEX('Loans'!$I:$I,ROW())&amp;""," "," "))</f>
        <v/>
      </c>
      <c r="AE14">
        <f>IFERROR(--INDEX('Loans'!$J:$J,ROW()),0)</f>
        <v/>
      </c>
      <c r="AF14">
        <f>TRIM(SUBSTITUTE(INDEX('Loans'!$K:$K,ROW())&amp;""," "," "))</f>
        <v/>
      </c>
      <c r="AG14">
        <f>IFERROR(--INDEX('Loans'!$L:$L,ROW()),0)</f>
        <v/>
      </c>
      <c r="AH14">
        <f>IF(ISNUMBER(INDEX('Loans'!$G:$G,ROW())),1,0)</f>
        <v/>
      </c>
    </row>
    <row r="15">
      <c r="A15">
        <f>TRIM(SUBSTITUTE(INDEX('Term investments'!$A:$A,ROW())&amp;""," "," "))</f>
        <v/>
      </c>
      <c r="B15">
        <f>TRIM(SUBSTITUTE(INDEX('Term investments'!$B:$B,ROW())&amp;""," "," "))</f>
        <v/>
      </c>
      <c r="C15">
        <f>TRIM(SUBSTITUTE(INDEX('Term investments'!$C:$C,ROW())&amp;""," "," "))</f>
        <v/>
      </c>
      <c r="D15">
        <f>IFERROR(--INDEX('Term investments'!$D:$D,ROW()),0)</f>
        <v/>
      </c>
      <c r="E15">
        <f>IFERROR(--INDEX('Term investments'!$E:$E,ROW()),0)</f>
        <v/>
      </c>
      <c r="F15">
        <f>IFERROR(--INDEX('Term investments'!$F:$F,ROW()),0)</f>
        <v/>
      </c>
      <c r="G15">
        <f>IFERROR(IF(--INDEX('Term investments'!$G:$G,ROW())&gt;=1,--INDEX('Term investments'!$G:$G,ROW())/100,--INDEX('Term investments'!$G:$G,ROW())),0)</f>
        <v/>
      </c>
      <c r="H15">
        <f>IFERROR(--INDEX('Term investments'!$H:$H,ROW()),0)</f>
        <v/>
      </c>
      <c r="I15">
        <f>IF(ISNUMBER(INDEX('Term investments'!$G:$G,ROW())),1,0)</f>
        <v/>
      </c>
      <c r="J15">
        <f>TRIM(SUBSTITUTE(INDEX('Call accounts and MMFs'!$A:$A,ROW())&amp;""," "," "))</f>
        <v/>
      </c>
      <c r="K15">
        <f>TRIM(SUBSTITUTE(INDEX('Call accounts and MMFs'!$B:$B,ROW())&amp;""," "," "))</f>
        <v/>
      </c>
      <c r="L15">
        <f>TRIM(SUBSTITUTE(INDEX('Call accounts and MMFs'!$C:$C,ROW())&amp;""," "," "))</f>
        <v/>
      </c>
      <c r="M15">
        <f>IFERROR(--INDEX('Call accounts and MMFs'!$D:$D,ROW()),0)</f>
        <v/>
      </c>
      <c r="N15">
        <f>IFERROR(IF(--INDEX('Call accounts and MMFs'!$E:$E,ROW())&gt;=1,--INDEX('Call accounts and MMFs'!$E:$E,ROW())/100,--INDEX('Call accounts and MMFs'!$E:$E,ROW())),0)</f>
        <v/>
      </c>
      <c r="O15">
        <f>IFERROR(--INDEX('Call accounts and MMFs'!$F:$F,ROW()),0)</f>
        <v/>
      </c>
      <c r="P15">
        <f>IF(ISNUMBER(INDEX('Call accounts and MMFs'!$E:$E,ROW())),1,0)</f>
        <v/>
      </c>
      <c r="Q15">
        <f>TRIM(SUBSTITUTE(INDEX('Pooled funds'!$B:$B,ROW())&amp;""," "," "))</f>
        <v/>
      </c>
      <c r="R15">
        <f>IFERROR(--INDEX('Pooled funds'!$C:$C,ROW()),0)</f>
        <v/>
      </c>
      <c r="S15">
        <f>IFERROR(--INDEX('Pooled funds'!$D:$D,ROW()),0)</f>
        <v/>
      </c>
      <c r="T15">
        <f>IFERROR(IF(--INDEX('Pooled funds'!$E:$E,ROW())&gt;=1,--INDEX('Pooled funds'!$E:$E,ROW())/100,--INDEX('Pooled funds'!$E:$E,ROW())),0)</f>
        <v/>
      </c>
      <c r="U15">
        <f>IF(ISNUMBER(INDEX('Pooled funds'!$E:$E,ROW())),1,0)</f>
        <v/>
      </c>
      <c r="V15">
        <f>TRIM(SUBSTITUTE(INDEX('Loans'!$A:$A,ROW())&amp;""," "," "))</f>
        <v/>
      </c>
      <c r="W15">
        <f>TRIM(SUBSTITUTE(INDEX('Loans'!$B:$B,ROW())&amp;""," "," "))</f>
        <v/>
      </c>
      <c r="X15">
        <f>TRIM(SUBSTITUTE(INDEX('Loans'!$C:$C,ROW())&amp;""," "," "))</f>
        <v/>
      </c>
      <c r="Y15">
        <f>IFERROR(--INDEX('Loans'!$D:$D,ROW()),0)</f>
        <v/>
      </c>
      <c r="Z15">
        <f>IFERROR(--INDEX('Loans'!$E:$E,ROW()),0)</f>
        <v/>
      </c>
      <c r="AA15">
        <f>IFERROR(--INDEX('Loans'!$F:$F,ROW()),0)</f>
        <v/>
      </c>
      <c r="AB15">
        <f>IFERROR(IF(--INDEX('Loans'!$G:$G,ROW())&gt;=1,--INDEX('Loans'!$G:$G,ROW())/100,--INDEX('Loans'!$G:$G,ROW())),0)</f>
        <v/>
      </c>
      <c r="AC15">
        <f>TRIM(SUBSTITUTE(INDEX('Loans'!$H:$H,ROW())&amp;""," "," "))</f>
        <v/>
      </c>
      <c r="AD15">
        <f>TRIM(SUBSTITUTE(INDEX('Loans'!$I:$I,ROW())&amp;""," "," "))</f>
        <v/>
      </c>
      <c r="AE15">
        <f>IFERROR(--INDEX('Loans'!$J:$J,ROW()),0)</f>
        <v/>
      </c>
      <c r="AF15">
        <f>TRIM(SUBSTITUTE(INDEX('Loans'!$K:$K,ROW())&amp;""," "," "))</f>
        <v/>
      </c>
      <c r="AG15">
        <f>IFERROR(--INDEX('Loans'!$L:$L,ROW()),0)</f>
        <v/>
      </c>
      <c r="AH15">
        <f>IF(ISNUMBER(INDEX('Loans'!$G:$G,ROW())),1,0)</f>
        <v/>
      </c>
    </row>
    <row r="16">
      <c r="A16">
        <f>TRIM(SUBSTITUTE(INDEX('Term investments'!$A:$A,ROW())&amp;""," "," "))</f>
        <v/>
      </c>
      <c r="B16">
        <f>TRIM(SUBSTITUTE(INDEX('Term investments'!$B:$B,ROW())&amp;""," "," "))</f>
        <v/>
      </c>
      <c r="C16">
        <f>TRIM(SUBSTITUTE(INDEX('Term investments'!$C:$C,ROW())&amp;""," "," "))</f>
        <v/>
      </c>
      <c r="D16">
        <f>IFERROR(--INDEX('Term investments'!$D:$D,ROW()),0)</f>
        <v/>
      </c>
      <c r="E16">
        <f>IFERROR(--INDEX('Term investments'!$E:$E,ROW()),0)</f>
        <v/>
      </c>
      <c r="F16">
        <f>IFERROR(--INDEX('Term investments'!$F:$F,ROW()),0)</f>
        <v/>
      </c>
      <c r="G16">
        <f>IFERROR(IF(--INDEX('Term investments'!$G:$G,ROW())&gt;=1,--INDEX('Term investments'!$G:$G,ROW())/100,--INDEX('Term investments'!$G:$G,ROW())),0)</f>
        <v/>
      </c>
      <c r="H16">
        <f>IFERROR(--INDEX('Term investments'!$H:$H,ROW()),0)</f>
        <v/>
      </c>
      <c r="I16">
        <f>IF(ISNUMBER(INDEX('Term investments'!$G:$G,ROW())),1,0)</f>
        <v/>
      </c>
      <c r="J16">
        <f>TRIM(SUBSTITUTE(INDEX('Call accounts and MMFs'!$A:$A,ROW())&amp;""," "," "))</f>
        <v/>
      </c>
      <c r="K16">
        <f>TRIM(SUBSTITUTE(INDEX('Call accounts and MMFs'!$B:$B,ROW())&amp;""," "," "))</f>
        <v/>
      </c>
      <c r="L16">
        <f>TRIM(SUBSTITUTE(INDEX('Call accounts and MMFs'!$C:$C,ROW())&amp;""," "," "))</f>
        <v/>
      </c>
      <c r="M16">
        <f>IFERROR(--INDEX('Call accounts and MMFs'!$D:$D,ROW()),0)</f>
        <v/>
      </c>
      <c r="N16">
        <f>IFERROR(IF(--INDEX('Call accounts and MMFs'!$E:$E,ROW())&gt;=1,--INDEX('Call accounts and MMFs'!$E:$E,ROW())/100,--INDEX('Call accounts and MMFs'!$E:$E,ROW())),0)</f>
        <v/>
      </c>
      <c r="O16">
        <f>IFERROR(--INDEX('Call accounts and MMFs'!$F:$F,ROW()),0)</f>
        <v/>
      </c>
      <c r="P16">
        <f>IF(ISNUMBER(INDEX('Call accounts and MMFs'!$E:$E,ROW())),1,0)</f>
        <v/>
      </c>
      <c r="Q16">
        <f>TRIM(SUBSTITUTE(INDEX('Pooled funds'!$B:$B,ROW())&amp;""," "," "))</f>
        <v/>
      </c>
      <c r="R16">
        <f>IFERROR(--INDEX('Pooled funds'!$C:$C,ROW()),0)</f>
        <v/>
      </c>
      <c r="S16">
        <f>IFERROR(--INDEX('Pooled funds'!$D:$D,ROW()),0)</f>
        <v/>
      </c>
      <c r="T16">
        <f>IFERROR(IF(--INDEX('Pooled funds'!$E:$E,ROW())&gt;=1,--INDEX('Pooled funds'!$E:$E,ROW())/100,--INDEX('Pooled funds'!$E:$E,ROW())),0)</f>
        <v/>
      </c>
      <c r="U16">
        <f>IF(ISNUMBER(INDEX('Pooled funds'!$E:$E,ROW())),1,0)</f>
        <v/>
      </c>
      <c r="V16">
        <f>TRIM(SUBSTITUTE(INDEX('Loans'!$A:$A,ROW())&amp;""," "," "))</f>
        <v/>
      </c>
      <c r="W16">
        <f>TRIM(SUBSTITUTE(INDEX('Loans'!$B:$B,ROW())&amp;""," "," "))</f>
        <v/>
      </c>
      <c r="X16">
        <f>TRIM(SUBSTITUTE(INDEX('Loans'!$C:$C,ROW())&amp;""," "," "))</f>
        <v/>
      </c>
      <c r="Y16">
        <f>IFERROR(--INDEX('Loans'!$D:$D,ROW()),0)</f>
        <v/>
      </c>
      <c r="Z16">
        <f>IFERROR(--INDEX('Loans'!$E:$E,ROW()),0)</f>
        <v/>
      </c>
      <c r="AA16">
        <f>IFERROR(--INDEX('Loans'!$F:$F,ROW()),0)</f>
        <v/>
      </c>
      <c r="AB16">
        <f>IFERROR(IF(--INDEX('Loans'!$G:$G,ROW())&gt;=1,--INDEX('Loans'!$G:$G,ROW())/100,--INDEX('Loans'!$G:$G,ROW())),0)</f>
        <v/>
      </c>
      <c r="AC16">
        <f>TRIM(SUBSTITUTE(INDEX('Loans'!$H:$H,ROW())&amp;""," "," "))</f>
        <v/>
      </c>
      <c r="AD16">
        <f>TRIM(SUBSTITUTE(INDEX('Loans'!$I:$I,ROW())&amp;""," "," "))</f>
        <v/>
      </c>
      <c r="AE16">
        <f>IFERROR(--INDEX('Loans'!$J:$J,ROW()),0)</f>
        <v/>
      </c>
      <c r="AF16">
        <f>TRIM(SUBSTITUTE(INDEX('Loans'!$K:$K,ROW())&amp;""," "," "))</f>
        <v/>
      </c>
      <c r="AG16">
        <f>IFERROR(--INDEX('Loans'!$L:$L,ROW()),0)</f>
        <v/>
      </c>
      <c r="AH16">
        <f>IF(ISNUMBER(INDEX('Loans'!$G:$G,ROW())),1,0)</f>
        <v/>
      </c>
    </row>
    <row r="17">
      <c r="A17">
        <f>TRIM(SUBSTITUTE(INDEX('Term investments'!$A:$A,ROW())&amp;""," "," "))</f>
        <v/>
      </c>
      <c r="B17">
        <f>TRIM(SUBSTITUTE(INDEX('Term investments'!$B:$B,ROW())&amp;""," "," "))</f>
        <v/>
      </c>
      <c r="C17">
        <f>TRIM(SUBSTITUTE(INDEX('Term investments'!$C:$C,ROW())&amp;""," "," "))</f>
        <v/>
      </c>
      <c r="D17">
        <f>IFERROR(--INDEX('Term investments'!$D:$D,ROW()),0)</f>
        <v/>
      </c>
      <c r="E17">
        <f>IFERROR(--INDEX('Term investments'!$E:$E,ROW()),0)</f>
        <v/>
      </c>
      <c r="F17">
        <f>IFERROR(--INDEX('Term investments'!$F:$F,ROW()),0)</f>
        <v/>
      </c>
      <c r="G17">
        <f>IFERROR(IF(--INDEX('Term investments'!$G:$G,ROW())&gt;=1,--INDEX('Term investments'!$G:$G,ROW())/100,--INDEX('Term investments'!$G:$G,ROW())),0)</f>
        <v/>
      </c>
      <c r="H17">
        <f>IFERROR(--INDEX('Term investments'!$H:$H,ROW()),0)</f>
        <v/>
      </c>
      <c r="I17">
        <f>IF(ISNUMBER(INDEX('Term investments'!$G:$G,ROW())),1,0)</f>
        <v/>
      </c>
      <c r="J17">
        <f>TRIM(SUBSTITUTE(INDEX('Call accounts and MMFs'!$A:$A,ROW())&amp;""," "," "))</f>
        <v/>
      </c>
      <c r="K17">
        <f>TRIM(SUBSTITUTE(INDEX('Call accounts and MMFs'!$B:$B,ROW())&amp;""," "," "))</f>
        <v/>
      </c>
      <c r="L17">
        <f>TRIM(SUBSTITUTE(INDEX('Call accounts and MMFs'!$C:$C,ROW())&amp;""," "," "))</f>
        <v/>
      </c>
      <c r="M17">
        <f>IFERROR(--INDEX('Call accounts and MMFs'!$D:$D,ROW()),0)</f>
        <v/>
      </c>
      <c r="N17">
        <f>IFERROR(IF(--INDEX('Call accounts and MMFs'!$E:$E,ROW())&gt;=1,--INDEX('Call accounts and MMFs'!$E:$E,ROW())/100,--INDEX('Call accounts and MMFs'!$E:$E,ROW())),0)</f>
        <v/>
      </c>
      <c r="O17">
        <f>IFERROR(--INDEX('Call accounts and MMFs'!$F:$F,ROW()),0)</f>
        <v/>
      </c>
      <c r="P17">
        <f>IF(ISNUMBER(INDEX('Call accounts and MMFs'!$E:$E,ROW())),1,0)</f>
        <v/>
      </c>
      <c r="Q17">
        <f>TRIM(SUBSTITUTE(INDEX('Pooled funds'!$B:$B,ROW())&amp;""," "," "))</f>
        <v/>
      </c>
      <c r="R17">
        <f>IFERROR(--INDEX('Pooled funds'!$C:$C,ROW()),0)</f>
        <v/>
      </c>
      <c r="S17">
        <f>IFERROR(--INDEX('Pooled funds'!$D:$D,ROW()),0)</f>
        <v/>
      </c>
      <c r="T17">
        <f>IFERROR(IF(--INDEX('Pooled funds'!$E:$E,ROW())&gt;=1,--INDEX('Pooled funds'!$E:$E,ROW())/100,--INDEX('Pooled funds'!$E:$E,ROW())),0)</f>
        <v/>
      </c>
      <c r="U17">
        <f>IF(ISNUMBER(INDEX('Pooled funds'!$E:$E,ROW())),1,0)</f>
        <v/>
      </c>
      <c r="V17">
        <f>TRIM(SUBSTITUTE(INDEX('Loans'!$A:$A,ROW())&amp;""," "," "))</f>
        <v/>
      </c>
      <c r="W17">
        <f>TRIM(SUBSTITUTE(INDEX('Loans'!$B:$B,ROW())&amp;""," "," "))</f>
        <v/>
      </c>
      <c r="X17">
        <f>TRIM(SUBSTITUTE(INDEX('Loans'!$C:$C,ROW())&amp;""," "," "))</f>
        <v/>
      </c>
      <c r="Y17">
        <f>IFERROR(--INDEX('Loans'!$D:$D,ROW()),0)</f>
        <v/>
      </c>
      <c r="Z17">
        <f>IFERROR(--INDEX('Loans'!$E:$E,ROW()),0)</f>
        <v/>
      </c>
      <c r="AA17">
        <f>IFERROR(--INDEX('Loans'!$F:$F,ROW()),0)</f>
        <v/>
      </c>
      <c r="AB17">
        <f>IFERROR(IF(--INDEX('Loans'!$G:$G,ROW())&gt;=1,--INDEX('Loans'!$G:$G,ROW())/100,--INDEX('Loans'!$G:$G,ROW())),0)</f>
        <v/>
      </c>
      <c r="AC17">
        <f>TRIM(SUBSTITUTE(INDEX('Loans'!$H:$H,ROW())&amp;""," "," "))</f>
        <v/>
      </c>
      <c r="AD17">
        <f>TRIM(SUBSTITUTE(INDEX('Loans'!$I:$I,ROW())&amp;""," "," "))</f>
        <v/>
      </c>
      <c r="AE17">
        <f>IFERROR(--INDEX('Loans'!$J:$J,ROW()),0)</f>
        <v/>
      </c>
      <c r="AF17">
        <f>TRIM(SUBSTITUTE(INDEX('Loans'!$K:$K,ROW())&amp;""," "," "))</f>
        <v/>
      </c>
      <c r="AG17">
        <f>IFERROR(--INDEX('Loans'!$L:$L,ROW()),0)</f>
        <v/>
      </c>
      <c r="AH17">
        <f>IF(ISNUMBER(INDEX('Loans'!$G:$G,ROW())),1,0)</f>
        <v/>
      </c>
    </row>
    <row r="18">
      <c r="A18">
        <f>TRIM(SUBSTITUTE(INDEX('Term investments'!$A:$A,ROW())&amp;""," "," "))</f>
        <v/>
      </c>
      <c r="B18">
        <f>TRIM(SUBSTITUTE(INDEX('Term investments'!$B:$B,ROW())&amp;""," "," "))</f>
        <v/>
      </c>
      <c r="C18">
        <f>TRIM(SUBSTITUTE(INDEX('Term investments'!$C:$C,ROW())&amp;""," "," "))</f>
        <v/>
      </c>
      <c r="D18">
        <f>IFERROR(--INDEX('Term investments'!$D:$D,ROW()),0)</f>
        <v/>
      </c>
      <c r="E18">
        <f>IFERROR(--INDEX('Term investments'!$E:$E,ROW()),0)</f>
        <v/>
      </c>
      <c r="F18">
        <f>IFERROR(--INDEX('Term investments'!$F:$F,ROW()),0)</f>
        <v/>
      </c>
      <c r="G18">
        <f>IFERROR(IF(--INDEX('Term investments'!$G:$G,ROW())&gt;=1,--INDEX('Term investments'!$G:$G,ROW())/100,--INDEX('Term investments'!$G:$G,ROW())),0)</f>
        <v/>
      </c>
      <c r="H18">
        <f>IFERROR(--INDEX('Term investments'!$H:$H,ROW()),0)</f>
        <v/>
      </c>
      <c r="I18">
        <f>IF(ISNUMBER(INDEX('Term investments'!$G:$G,ROW())),1,0)</f>
        <v/>
      </c>
      <c r="J18">
        <f>TRIM(SUBSTITUTE(INDEX('Call accounts and MMFs'!$A:$A,ROW())&amp;""," "," "))</f>
        <v/>
      </c>
      <c r="K18">
        <f>TRIM(SUBSTITUTE(INDEX('Call accounts and MMFs'!$B:$B,ROW())&amp;""," "," "))</f>
        <v/>
      </c>
      <c r="L18">
        <f>TRIM(SUBSTITUTE(INDEX('Call accounts and MMFs'!$C:$C,ROW())&amp;""," "," "))</f>
        <v/>
      </c>
      <c r="M18">
        <f>IFERROR(--INDEX('Call accounts and MMFs'!$D:$D,ROW()),0)</f>
        <v/>
      </c>
      <c r="N18">
        <f>IFERROR(IF(--INDEX('Call accounts and MMFs'!$E:$E,ROW())&gt;=1,--INDEX('Call accounts and MMFs'!$E:$E,ROW())/100,--INDEX('Call accounts and MMFs'!$E:$E,ROW())),0)</f>
        <v/>
      </c>
      <c r="O18">
        <f>IFERROR(--INDEX('Call accounts and MMFs'!$F:$F,ROW()),0)</f>
        <v/>
      </c>
      <c r="P18">
        <f>IF(ISNUMBER(INDEX('Call accounts and MMFs'!$E:$E,ROW())),1,0)</f>
        <v/>
      </c>
      <c r="Q18">
        <f>TRIM(SUBSTITUTE(INDEX('Pooled funds'!$B:$B,ROW())&amp;""," "," "))</f>
        <v/>
      </c>
      <c r="R18">
        <f>IFERROR(--INDEX('Pooled funds'!$C:$C,ROW()),0)</f>
        <v/>
      </c>
      <c r="S18">
        <f>IFERROR(--INDEX('Pooled funds'!$D:$D,ROW()),0)</f>
        <v/>
      </c>
      <c r="T18">
        <f>IFERROR(IF(--INDEX('Pooled funds'!$E:$E,ROW())&gt;=1,--INDEX('Pooled funds'!$E:$E,ROW())/100,--INDEX('Pooled funds'!$E:$E,ROW())),0)</f>
        <v/>
      </c>
      <c r="U18">
        <f>IF(ISNUMBER(INDEX('Pooled funds'!$E:$E,ROW())),1,0)</f>
        <v/>
      </c>
      <c r="V18">
        <f>TRIM(SUBSTITUTE(INDEX('Loans'!$A:$A,ROW())&amp;""," "," "))</f>
        <v/>
      </c>
      <c r="W18">
        <f>TRIM(SUBSTITUTE(INDEX('Loans'!$B:$B,ROW())&amp;""," "," "))</f>
        <v/>
      </c>
      <c r="X18">
        <f>TRIM(SUBSTITUTE(INDEX('Loans'!$C:$C,ROW())&amp;""," "," "))</f>
        <v/>
      </c>
      <c r="Y18">
        <f>IFERROR(--INDEX('Loans'!$D:$D,ROW()),0)</f>
        <v/>
      </c>
      <c r="Z18">
        <f>IFERROR(--INDEX('Loans'!$E:$E,ROW()),0)</f>
        <v/>
      </c>
      <c r="AA18">
        <f>IFERROR(--INDEX('Loans'!$F:$F,ROW()),0)</f>
        <v/>
      </c>
      <c r="AB18">
        <f>IFERROR(IF(--INDEX('Loans'!$G:$G,ROW())&gt;=1,--INDEX('Loans'!$G:$G,ROW())/100,--INDEX('Loans'!$G:$G,ROW())),0)</f>
        <v/>
      </c>
      <c r="AC18">
        <f>TRIM(SUBSTITUTE(INDEX('Loans'!$H:$H,ROW())&amp;""," "," "))</f>
        <v/>
      </c>
      <c r="AD18">
        <f>TRIM(SUBSTITUTE(INDEX('Loans'!$I:$I,ROW())&amp;""," "," "))</f>
        <v/>
      </c>
      <c r="AE18">
        <f>IFERROR(--INDEX('Loans'!$J:$J,ROW()),0)</f>
        <v/>
      </c>
      <c r="AF18">
        <f>TRIM(SUBSTITUTE(INDEX('Loans'!$K:$K,ROW())&amp;""," "," "))</f>
        <v/>
      </c>
      <c r="AG18">
        <f>IFERROR(--INDEX('Loans'!$L:$L,ROW()),0)</f>
        <v/>
      </c>
      <c r="AH18">
        <f>IF(ISNUMBER(INDEX('Loans'!$G:$G,ROW())),1,0)</f>
        <v/>
      </c>
    </row>
    <row r="19">
      <c r="A19">
        <f>TRIM(SUBSTITUTE(INDEX('Term investments'!$A:$A,ROW())&amp;""," "," "))</f>
        <v/>
      </c>
      <c r="B19">
        <f>TRIM(SUBSTITUTE(INDEX('Term investments'!$B:$B,ROW())&amp;""," "," "))</f>
        <v/>
      </c>
      <c r="C19">
        <f>TRIM(SUBSTITUTE(INDEX('Term investments'!$C:$C,ROW())&amp;""," "," "))</f>
        <v/>
      </c>
      <c r="D19">
        <f>IFERROR(--INDEX('Term investments'!$D:$D,ROW()),0)</f>
        <v/>
      </c>
      <c r="E19">
        <f>IFERROR(--INDEX('Term investments'!$E:$E,ROW()),0)</f>
        <v/>
      </c>
      <c r="F19">
        <f>IFERROR(--INDEX('Term investments'!$F:$F,ROW()),0)</f>
        <v/>
      </c>
      <c r="G19">
        <f>IFERROR(IF(--INDEX('Term investments'!$G:$G,ROW())&gt;=1,--INDEX('Term investments'!$G:$G,ROW())/100,--INDEX('Term investments'!$G:$G,ROW())),0)</f>
        <v/>
      </c>
      <c r="H19">
        <f>IFERROR(--INDEX('Term investments'!$H:$H,ROW()),0)</f>
        <v/>
      </c>
      <c r="I19">
        <f>IF(ISNUMBER(INDEX('Term investments'!$G:$G,ROW())),1,0)</f>
        <v/>
      </c>
      <c r="J19">
        <f>TRIM(SUBSTITUTE(INDEX('Call accounts and MMFs'!$A:$A,ROW())&amp;""," "," "))</f>
        <v/>
      </c>
      <c r="K19">
        <f>TRIM(SUBSTITUTE(INDEX('Call accounts and MMFs'!$B:$B,ROW())&amp;""," "," "))</f>
        <v/>
      </c>
      <c r="L19">
        <f>TRIM(SUBSTITUTE(INDEX('Call accounts and MMFs'!$C:$C,ROW())&amp;""," "," "))</f>
        <v/>
      </c>
      <c r="M19">
        <f>IFERROR(--INDEX('Call accounts and MMFs'!$D:$D,ROW()),0)</f>
        <v/>
      </c>
      <c r="N19">
        <f>IFERROR(IF(--INDEX('Call accounts and MMFs'!$E:$E,ROW())&gt;=1,--INDEX('Call accounts and MMFs'!$E:$E,ROW())/100,--INDEX('Call accounts and MMFs'!$E:$E,ROW())),0)</f>
        <v/>
      </c>
      <c r="O19">
        <f>IFERROR(--INDEX('Call accounts and MMFs'!$F:$F,ROW()),0)</f>
        <v/>
      </c>
      <c r="P19">
        <f>IF(ISNUMBER(INDEX('Call accounts and MMFs'!$E:$E,ROW())),1,0)</f>
        <v/>
      </c>
      <c r="Q19">
        <f>TRIM(SUBSTITUTE(INDEX('Pooled funds'!$B:$B,ROW())&amp;""," "," "))</f>
        <v/>
      </c>
      <c r="R19">
        <f>IFERROR(--INDEX('Pooled funds'!$C:$C,ROW()),0)</f>
        <v/>
      </c>
      <c r="S19">
        <f>IFERROR(--INDEX('Pooled funds'!$D:$D,ROW()),0)</f>
        <v/>
      </c>
      <c r="T19">
        <f>IFERROR(IF(--INDEX('Pooled funds'!$E:$E,ROW())&gt;=1,--INDEX('Pooled funds'!$E:$E,ROW())/100,--INDEX('Pooled funds'!$E:$E,ROW())),0)</f>
        <v/>
      </c>
      <c r="U19">
        <f>IF(ISNUMBER(INDEX('Pooled funds'!$E:$E,ROW())),1,0)</f>
        <v/>
      </c>
      <c r="V19">
        <f>TRIM(SUBSTITUTE(INDEX('Loans'!$A:$A,ROW())&amp;""," "," "))</f>
        <v/>
      </c>
      <c r="W19">
        <f>TRIM(SUBSTITUTE(INDEX('Loans'!$B:$B,ROW())&amp;""," "," "))</f>
        <v/>
      </c>
      <c r="X19">
        <f>TRIM(SUBSTITUTE(INDEX('Loans'!$C:$C,ROW())&amp;""," "," "))</f>
        <v/>
      </c>
      <c r="Y19">
        <f>IFERROR(--INDEX('Loans'!$D:$D,ROW()),0)</f>
        <v/>
      </c>
      <c r="Z19">
        <f>IFERROR(--INDEX('Loans'!$E:$E,ROW()),0)</f>
        <v/>
      </c>
      <c r="AA19">
        <f>IFERROR(--INDEX('Loans'!$F:$F,ROW()),0)</f>
        <v/>
      </c>
      <c r="AB19">
        <f>IFERROR(IF(--INDEX('Loans'!$G:$G,ROW())&gt;=1,--INDEX('Loans'!$G:$G,ROW())/100,--INDEX('Loans'!$G:$G,ROW())),0)</f>
        <v/>
      </c>
      <c r="AC19">
        <f>TRIM(SUBSTITUTE(INDEX('Loans'!$H:$H,ROW())&amp;""," "," "))</f>
        <v/>
      </c>
      <c r="AD19">
        <f>TRIM(SUBSTITUTE(INDEX('Loans'!$I:$I,ROW())&amp;""," "," "))</f>
        <v/>
      </c>
      <c r="AE19">
        <f>IFERROR(--INDEX('Loans'!$J:$J,ROW()),0)</f>
        <v/>
      </c>
      <c r="AF19">
        <f>TRIM(SUBSTITUTE(INDEX('Loans'!$K:$K,ROW())&amp;""," "," "))</f>
        <v/>
      </c>
      <c r="AG19">
        <f>IFERROR(--INDEX('Loans'!$L:$L,ROW()),0)</f>
        <v/>
      </c>
      <c r="AH19">
        <f>IF(ISNUMBER(INDEX('Loans'!$G:$G,ROW())),1,0)</f>
        <v/>
      </c>
    </row>
    <row r="20">
      <c r="A20">
        <f>TRIM(SUBSTITUTE(INDEX('Term investments'!$A:$A,ROW())&amp;""," "," "))</f>
        <v/>
      </c>
      <c r="B20">
        <f>TRIM(SUBSTITUTE(INDEX('Term investments'!$B:$B,ROW())&amp;""," "," "))</f>
        <v/>
      </c>
      <c r="C20">
        <f>TRIM(SUBSTITUTE(INDEX('Term investments'!$C:$C,ROW())&amp;""," "," "))</f>
        <v/>
      </c>
      <c r="D20">
        <f>IFERROR(--INDEX('Term investments'!$D:$D,ROW()),0)</f>
        <v/>
      </c>
      <c r="E20">
        <f>IFERROR(--INDEX('Term investments'!$E:$E,ROW()),0)</f>
        <v/>
      </c>
      <c r="F20">
        <f>IFERROR(--INDEX('Term investments'!$F:$F,ROW()),0)</f>
        <v/>
      </c>
      <c r="G20">
        <f>IFERROR(IF(--INDEX('Term investments'!$G:$G,ROW())&gt;=1,--INDEX('Term investments'!$G:$G,ROW())/100,--INDEX('Term investments'!$G:$G,ROW())),0)</f>
        <v/>
      </c>
      <c r="H20">
        <f>IFERROR(--INDEX('Term investments'!$H:$H,ROW()),0)</f>
        <v/>
      </c>
      <c r="I20">
        <f>IF(ISNUMBER(INDEX('Term investments'!$G:$G,ROW())),1,0)</f>
        <v/>
      </c>
      <c r="J20">
        <f>TRIM(SUBSTITUTE(INDEX('Call accounts and MMFs'!$A:$A,ROW())&amp;""," "," "))</f>
        <v/>
      </c>
      <c r="K20">
        <f>TRIM(SUBSTITUTE(INDEX('Call accounts and MMFs'!$B:$B,ROW())&amp;""," "," "))</f>
        <v/>
      </c>
      <c r="L20">
        <f>TRIM(SUBSTITUTE(INDEX('Call accounts and MMFs'!$C:$C,ROW())&amp;""," "," "))</f>
        <v/>
      </c>
      <c r="M20">
        <f>IFERROR(--INDEX('Call accounts and MMFs'!$D:$D,ROW()),0)</f>
        <v/>
      </c>
      <c r="N20">
        <f>IFERROR(IF(--INDEX('Call accounts and MMFs'!$E:$E,ROW())&gt;=1,--INDEX('Call accounts and MMFs'!$E:$E,ROW())/100,--INDEX('Call accounts and MMFs'!$E:$E,ROW())),0)</f>
        <v/>
      </c>
      <c r="O20">
        <f>IFERROR(--INDEX('Call accounts and MMFs'!$F:$F,ROW()),0)</f>
        <v/>
      </c>
      <c r="P20">
        <f>IF(ISNUMBER(INDEX('Call accounts and MMFs'!$E:$E,ROW())),1,0)</f>
        <v/>
      </c>
      <c r="Q20">
        <f>TRIM(SUBSTITUTE(INDEX('Pooled funds'!$B:$B,ROW())&amp;""," "," "))</f>
        <v/>
      </c>
      <c r="R20">
        <f>IFERROR(--INDEX('Pooled funds'!$C:$C,ROW()),0)</f>
        <v/>
      </c>
      <c r="S20">
        <f>IFERROR(--INDEX('Pooled funds'!$D:$D,ROW()),0)</f>
        <v/>
      </c>
      <c r="T20">
        <f>IFERROR(IF(--INDEX('Pooled funds'!$E:$E,ROW())&gt;=1,--INDEX('Pooled funds'!$E:$E,ROW())/100,--INDEX('Pooled funds'!$E:$E,ROW())),0)</f>
        <v/>
      </c>
      <c r="U20">
        <f>IF(ISNUMBER(INDEX('Pooled funds'!$E:$E,ROW())),1,0)</f>
        <v/>
      </c>
      <c r="V20">
        <f>TRIM(SUBSTITUTE(INDEX('Loans'!$A:$A,ROW())&amp;""," "," "))</f>
        <v/>
      </c>
      <c r="W20">
        <f>TRIM(SUBSTITUTE(INDEX('Loans'!$B:$B,ROW())&amp;""," "," "))</f>
        <v/>
      </c>
      <c r="X20">
        <f>TRIM(SUBSTITUTE(INDEX('Loans'!$C:$C,ROW())&amp;""," "," "))</f>
        <v/>
      </c>
      <c r="Y20">
        <f>IFERROR(--INDEX('Loans'!$D:$D,ROW()),0)</f>
        <v/>
      </c>
      <c r="Z20">
        <f>IFERROR(--INDEX('Loans'!$E:$E,ROW()),0)</f>
        <v/>
      </c>
      <c r="AA20">
        <f>IFERROR(--INDEX('Loans'!$F:$F,ROW()),0)</f>
        <v/>
      </c>
      <c r="AB20">
        <f>IFERROR(IF(--INDEX('Loans'!$G:$G,ROW())&gt;=1,--INDEX('Loans'!$G:$G,ROW())/100,--INDEX('Loans'!$G:$G,ROW())),0)</f>
        <v/>
      </c>
      <c r="AC20">
        <f>TRIM(SUBSTITUTE(INDEX('Loans'!$H:$H,ROW())&amp;""," "," "))</f>
        <v/>
      </c>
      <c r="AD20">
        <f>TRIM(SUBSTITUTE(INDEX('Loans'!$I:$I,ROW())&amp;""," "," "))</f>
        <v/>
      </c>
      <c r="AE20">
        <f>IFERROR(--INDEX('Loans'!$J:$J,ROW()),0)</f>
        <v/>
      </c>
      <c r="AF20">
        <f>TRIM(SUBSTITUTE(INDEX('Loans'!$K:$K,ROW())&amp;""," "," "))</f>
        <v/>
      </c>
      <c r="AG20">
        <f>IFERROR(--INDEX('Loans'!$L:$L,ROW()),0)</f>
        <v/>
      </c>
      <c r="AH20">
        <f>IF(ISNUMBER(INDEX('Loans'!$G:$G,ROW())),1,0)</f>
        <v/>
      </c>
    </row>
    <row r="21">
      <c r="A21">
        <f>TRIM(SUBSTITUTE(INDEX('Term investments'!$A:$A,ROW())&amp;""," "," "))</f>
        <v/>
      </c>
      <c r="B21">
        <f>TRIM(SUBSTITUTE(INDEX('Term investments'!$B:$B,ROW())&amp;""," "," "))</f>
        <v/>
      </c>
      <c r="C21">
        <f>TRIM(SUBSTITUTE(INDEX('Term investments'!$C:$C,ROW())&amp;""," "," "))</f>
        <v/>
      </c>
      <c r="D21">
        <f>IFERROR(--INDEX('Term investments'!$D:$D,ROW()),0)</f>
        <v/>
      </c>
      <c r="E21">
        <f>IFERROR(--INDEX('Term investments'!$E:$E,ROW()),0)</f>
        <v/>
      </c>
      <c r="F21">
        <f>IFERROR(--INDEX('Term investments'!$F:$F,ROW()),0)</f>
        <v/>
      </c>
      <c r="G21">
        <f>IFERROR(IF(--INDEX('Term investments'!$G:$G,ROW())&gt;=1,--INDEX('Term investments'!$G:$G,ROW())/100,--INDEX('Term investments'!$G:$G,ROW())),0)</f>
        <v/>
      </c>
      <c r="H21">
        <f>IFERROR(--INDEX('Term investments'!$H:$H,ROW()),0)</f>
        <v/>
      </c>
      <c r="I21">
        <f>IF(ISNUMBER(INDEX('Term investments'!$G:$G,ROW())),1,0)</f>
        <v/>
      </c>
      <c r="J21">
        <f>TRIM(SUBSTITUTE(INDEX('Call accounts and MMFs'!$A:$A,ROW())&amp;""," "," "))</f>
        <v/>
      </c>
      <c r="K21">
        <f>TRIM(SUBSTITUTE(INDEX('Call accounts and MMFs'!$B:$B,ROW())&amp;""," "," "))</f>
        <v/>
      </c>
      <c r="L21">
        <f>TRIM(SUBSTITUTE(INDEX('Call accounts and MMFs'!$C:$C,ROW())&amp;""," "," "))</f>
        <v/>
      </c>
      <c r="M21">
        <f>IFERROR(--INDEX('Call accounts and MMFs'!$D:$D,ROW()),0)</f>
        <v/>
      </c>
      <c r="N21">
        <f>IFERROR(IF(--INDEX('Call accounts and MMFs'!$E:$E,ROW())&gt;=1,--INDEX('Call accounts and MMFs'!$E:$E,ROW())/100,--INDEX('Call accounts and MMFs'!$E:$E,ROW())),0)</f>
        <v/>
      </c>
      <c r="O21">
        <f>IFERROR(--INDEX('Call accounts and MMFs'!$F:$F,ROW()),0)</f>
        <v/>
      </c>
      <c r="P21">
        <f>IF(ISNUMBER(INDEX('Call accounts and MMFs'!$E:$E,ROW())),1,0)</f>
        <v/>
      </c>
      <c r="Q21">
        <f>TRIM(SUBSTITUTE(INDEX('Pooled funds'!$B:$B,ROW())&amp;""," "," "))</f>
        <v/>
      </c>
      <c r="R21">
        <f>IFERROR(--INDEX('Pooled funds'!$C:$C,ROW()),0)</f>
        <v/>
      </c>
      <c r="S21">
        <f>IFERROR(--INDEX('Pooled funds'!$D:$D,ROW()),0)</f>
        <v/>
      </c>
      <c r="T21">
        <f>IFERROR(IF(--INDEX('Pooled funds'!$E:$E,ROW())&gt;=1,--INDEX('Pooled funds'!$E:$E,ROW())/100,--INDEX('Pooled funds'!$E:$E,ROW())),0)</f>
        <v/>
      </c>
      <c r="U21">
        <f>IF(ISNUMBER(INDEX('Pooled funds'!$E:$E,ROW())),1,0)</f>
        <v/>
      </c>
      <c r="V21">
        <f>TRIM(SUBSTITUTE(INDEX('Loans'!$A:$A,ROW())&amp;""," "," "))</f>
        <v/>
      </c>
      <c r="W21">
        <f>TRIM(SUBSTITUTE(INDEX('Loans'!$B:$B,ROW())&amp;""," "," "))</f>
        <v/>
      </c>
      <c r="X21">
        <f>TRIM(SUBSTITUTE(INDEX('Loans'!$C:$C,ROW())&amp;""," "," "))</f>
        <v/>
      </c>
      <c r="Y21">
        <f>IFERROR(--INDEX('Loans'!$D:$D,ROW()),0)</f>
        <v/>
      </c>
      <c r="Z21">
        <f>IFERROR(--INDEX('Loans'!$E:$E,ROW()),0)</f>
        <v/>
      </c>
      <c r="AA21">
        <f>IFERROR(--INDEX('Loans'!$F:$F,ROW()),0)</f>
        <v/>
      </c>
      <c r="AB21">
        <f>IFERROR(IF(--INDEX('Loans'!$G:$G,ROW())&gt;=1,--INDEX('Loans'!$G:$G,ROW())/100,--INDEX('Loans'!$G:$G,ROW())),0)</f>
        <v/>
      </c>
      <c r="AC21">
        <f>TRIM(SUBSTITUTE(INDEX('Loans'!$H:$H,ROW())&amp;""," "," "))</f>
        <v/>
      </c>
      <c r="AD21">
        <f>TRIM(SUBSTITUTE(INDEX('Loans'!$I:$I,ROW())&amp;""," "," "))</f>
        <v/>
      </c>
      <c r="AE21">
        <f>IFERROR(--INDEX('Loans'!$J:$J,ROW()),0)</f>
        <v/>
      </c>
      <c r="AF21">
        <f>TRIM(SUBSTITUTE(INDEX('Loans'!$K:$K,ROW())&amp;""," "," "))</f>
        <v/>
      </c>
      <c r="AG21">
        <f>IFERROR(--INDEX('Loans'!$L:$L,ROW()),0)</f>
        <v/>
      </c>
      <c r="AH21">
        <f>IF(ISNUMBER(INDEX('Loans'!$G:$G,ROW())),1,0)</f>
        <v/>
      </c>
    </row>
    <row r="22">
      <c r="A22">
        <f>TRIM(SUBSTITUTE(INDEX('Term investments'!$A:$A,ROW())&amp;""," "," "))</f>
        <v/>
      </c>
      <c r="B22">
        <f>TRIM(SUBSTITUTE(INDEX('Term investments'!$B:$B,ROW())&amp;""," "," "))</f>
        <v/>
      </c>
      <c r="C22">
        <f>TRIM(SUBSTITUTE(INDEX('Term investments'!$C:$C,ROW())&amp;""," "," "))</f>
        <v/>
      </c>
      <c r="D22">
        <f>IFERROR(--INDEX('Term investments'!$D:$D,ROW()),0)</f>
        <v/>
      </c>
      <c r="E22">
        <f>IFERROR(--INDEX('Term investments'!$E:$E,ROW()),0)</f>
        <v/>
      </c>
      <c r="F22">
        <f>IFERROR(--INDEX('Term investments'!$F:$F,ROW()),0)</f>
        <v/>
      </c>
      <c r="G22">
        <f>IFERROR(IF(--INDEX('Term investments'!$G:$G,ROW())&gt;=1,--INDEX('Term investments'!$G:$G,ROW())/100,--INDEX('Term investments'!$G:$G,ROW())),0)</f>
        <v/>
      </c>
      <c r="H22">
        <f>IFERROR(--INDEX('Term investments'!$H:$H,ROW()),0)</f>
        <v/>
      </c>
      <c r="I22">
        <f>IF(ISNUMBER(INDEX('Term investments'!$G:$G,ROW())),1,0)</f>
        <v/>
      </c>
      <c r="J22">
        <f>TRIM(SUBSTITUTE(INDEX('Call accounts and MMFs'!$A:$A,ROW())&amp;""," "," "))</f>
        <v/>
      </c>
      <c r="K22">
        <f>TRIM(SUBSTITUTE(INDEX('Call accounts and MMFs'!$B:$B,ROW())&amp;""," "," "))</f>
        <v/>
      </c>
      <c r="L22">
        <f>TRIM(SUBSTITUTE(INDEX('Call accounts and MMFs'!$C:$C,ROW())&amp;""," "," "))</f>
        <v/>
      </c>
      <c r="M22">
        <f>IFERROR(--INDEX('Call accounts and MMFs'!$D:$D,ROW()),0)</f>
        <v/>
      </c>
      <c r="N22">
        <f>IFERROR(IF(--INDEX('Call accounts and MMFs'!$E:$E,ROW())&gt;=1,--INDEX('Call accounts and MMFs'!$E:$E,ROW())/100,--INDEX('Call accounts and MMFs'!$E:$E,ROW())),0)</f>
        <v/>
      </c>
      <c r="O22">
        <f>IFERROR(--INDEX('Call accounts and MMFs'!$F:$F,ROW()),0)</f>
        <v/>
      </c>
      <c r="P22">
        <f>IF(ISNUMBER(INDEX('Call accounts and MMFs'!$E:$E,ROW())),1,0)</f>
        <v/>
      </c>
      <c r="Q22">
        <f>TRIM(SUBSTITUTE(INDEX('Pooled funds'!$B:$B,ROW())&amp;""," "," "))</f>
        <v/>
      </c>
      <c r="R22">
        <f>IFERROR(--INDEX('Pooled funds'!$C:$C,ROW()),0)</f>
        <v/>
      </c>
      <c r="S22">
        <f>IFERROR(--INDEX('Pooled funds'!$D:$D,ROW()),0)</f>
        <v/>
      </c>
      <c r="T22">
        <f>IFERROR(IF(--INDEX('Pooled funds'!$E:$E,ROW())&gt;=1,--INDEX('Pooled funds'!$E:$E,ROW())/100,--INDEX('Pooled funds'!$E:$E,ROW())),0)</f>
        <v/>
      </c>
      <c r="U22">
        <f>IF(ISNUMBER(INDEX('Pooled funds'!$E:$E,ROW())),1,0)</f>
        <v/>
      </c>
      <c r="V22">
        <f>TRIM(SUBSTITUTE(INDEX('Loans'!$A:$A,ROW())&amp;""," "," "))</f>
        <v/>
      </c>
      <c r="W22">
        <f>TRIM(SUBSTITUTE(INDEX('Loans'!$B:$B,ROW())&amp;""," "," "))</f>
        <v/>
      </c>
      <c r="X22">
        <f>TRIM(SUBSTITUTE(INDEX('Loans'!$C:$C,ROW())&amp;""," "," "))</f>
        <v/>
      </c>
      <c r="Y22">
        <f>IFERROR(--INDEX('Loans'!$D:$D,ROW()),0)</f>
        <v/>
      </c>
      <c r="Z22">
        <f>IFERROR(--INDEX('Loans'!$E:$E,ROW()),0)</f>
        <v/>
      </c>
      <c r="AA22">
        <f>IFERROR(--INDEX('Loans'!$F:$F,ROW()),0)</f>
        <v/>
      </c>
      <c r="AB22">
        <f>IFERROR(IF(--INDEX('Loans'!$G:$G,ROW())&gt;=1,--INDEX('Loans'!$G:$G,ROW())/100,--INDEX('Loans'!$G:$G,ROW())),0)</f>
        <v/>
      </c>
      <c r="AC22">
        <f>TRIM(SUBSTITUTE(INDEX('Loans'!$H:$H,ROW())&amp;""," "," "))</f>
        <v/>
      </c>
      <c r="AD22">
        <f>TRIM(SUBSTITUTE(INDEX('Loans'!$I:$I,ROW())&amp;""," "," "))</f>
        <v/>
      </c>
      <c r="AE22">
        <f>IFERROR(--INDEX('Loans'!$J:$J,ROW()),0)</f>
        <v/>
      </c>
      <c r="AF22">
        <f>TRIM(SUBSTITUTE(INDEX('Loans'!$K:$K,ROW())&amp;""," "," "))</f>
        <v/>
      </c>
      <c r="AG22">
        <f>IFERROR(--INDEX('Loans'!$L:$L,ROW()),0)</f>
        <v/>
      </c>
      <c r="AH22">
        <f>IF(ISNUMBER(INDEX('Loans'!$G:$G,ROW())),1,0)</f>
        <v/>
      </c>
    </row>
    <row r="23">
      <c r="A23">
        <f>TRIM(SUBSTITUTE(INDEX('Term investments'!$A:$A,ROW())&amp;""," "," "))</f>
        <v/>
      </c>
      <c r="B23">
        <f>TRIM(SUBSTITUTE(INDEX('Term investments'!$B:$B,ROW())&amp;""," "," "))</f>
        <v/>
      </c>
      <c r="C23">
        <f>TRIM(SUBSTITUTE(INDEX('Term investments'!$C:$C,ROW())&amp;""," "," "))</f>
        <v/>
      </c>
      <c r="D23">
        <f>IFERROR(--INDEX('Term investments'!$D:$D,ROW()),0)</f>
        <v/>
      </c>
      <c r="E23">
        <f>IFERROR(--INDEX('Term investments'!$E:$E,ROW()),0)</f>
        <v/>
      </c>
      <c r="F23">
        <f>IFERROR(--INDEX('Term investments'!$F:$F,ROW()),0)</f>
        <v/>
      </c>
      <c r="G23">
        <f>IFERROR(IF(--INDEX('Term investments'!$G:$G,ROW())&gt;=1,--INDEX('Term investments'!$G:$G,ROW())/100,--INDEX('Term investments'!$G:$G,ROW())),0)</f>
        <v/>
      </c>
      <c r="H23">
        <f>IFERROR(--INDEX('Term investments'!$H:$H,ROW()),0)</f>
        <v/>
      </c>
      <c r="I23">
        <f>IF(ISNUMBER(INDEX('Term investments'!$G:$G,ROW())),1,0)</f>
        <v/>
      </c>
      <c r="J23">
        <f>TRIM(SUBSTITUTE(INDEX('Call accounts and MMFs'!$A:$A,ROW())&amp;""," "," "))</f>
        <v/>
      </c>
      <c r="K23">
        <f>TRIM(SUBSTITUTE(INDEX('Call accounts and MMFs'!$B:$B,ROW())&amp;""," "," "))</f>
        <v/>
      </c>
      <c r="L23">
        <f>TRIM(SUBSTITUTE(INDEX('Call accounts and MMFs'!$C:$C,ROW())&amp;""," "," "))</f>
        <v/>
      </c>
      <c r="M23">
        <f>IFERROR(--INDEX('Call accounts and MMFs'!$D:$D,ROW()),0)</f>
        <v/>
      </c>
      <c r="N23">
        <f>IFERROR(IF(--INDEX('Call accounts and MMFs'!$E:$E,ROW())&gt;=1,--INDEX('Call accounts and MMFs'!$E:$E,ROW())/100,--INDEX('Call accounts and MMFs'!$E:$E,ROW())),0)</f>
        <v/>
      </c>
      <c r="O23">
        <f>IFERROR(--INDEX('Call accounts and MMFs'!$F:$F,ROW()),0)</f>
        <v/>
      </c>
      <c r="P23">
        <f>IF(ISNUMBER(INDEX('Call accounts and MMFs'!$E:$E,ROW())),1,0)</f>
        <v/>
      </c>
      <c r="Q23">
        <f>TRIM(SUBSTITUTE(INDEX('Pooled funds'!$B:$B,ROW())&amp;""," "," "))</f>
        <v/>
      </c>
      <c r="R23">
        <f>IFERROR(--INDEX('Pooled funds'!$C:$C,ROW()),0)</f>
        <v/>
      </c>
      <c r="S23">
        <f>IFERROR(--INDEX('Pooled funds'!$D:$D,ROW()),0)</f>
        <v/>
      </c>
      <c r="T23">
        <f>IFERROR(IF(--INDEX('Pooled funds'!$E:$E,ROW())&gt;=1,--INDEX('Pooled funds'!$E:$E,ROW())/100,--INDEX('Pooled funds'!$E:$E,ROW())),0)</f>
        <v/>
      </c>
      <c r="U23">
        <f>IF(ISNUMBER(INDEX('Pooled funds'!$E:$E,ROW())),1,0)</f>
        <v/>
      </c>
      <c r="V23">
        <f>TRIM(SUBSTITUTE(INDEX('Loans'!$A:$A,ROW())&amp;""," "," "))</f>
        <v/>
      </c>
      <c r="W23">
        <f>TRIM(SUBSTITUTE(INDEX('Loans'!$B:$B,ROW())&amp;""," "," "))</f>
        <v/>
      </c>
      <c r="X23">
        <f>TRIM(SUBSTITUTE(INDEX('Loans'!$C:$C,ROW())&amp;""," "," "))</f>
        <v/>
      </c>
      <c r="Y23">
        <f>IFERROR(--INDEX('Loans'!$D:$D,ROW()),0)</f>
        <v/>
      </c>
      <c r="Z23">
        <f>IFERROR(--INDEX('Loans'!$E:$E,ROW()),0)</f>
        <v/>
      </c>
      <c r="AA23">
        <f>IFERROR(--INDEX('Loans'!$F:$F,ROW()),0)</f>
        <v/>
      </c>
      <c r="AB23">
        <f>IFERROR(IF(--INDEX('Loans'!$G:$G,ROW())&gt;=1,--INDEX('Loans'!$G:$G,ROW())/100,--INDEX('Loans'!$G:$G,ROW())),0)</f>
        <v/>
      </c>
      <c r="AC23">
        <f>TRIM(SUBSTITUTE(INDEX('Loans'!$H:$H,ROW())&amp;""," "," "))</f>
        <v/>
      </c>
      <c r="AD23">
        <f>TRIM(SUBSTITUTE(INDEX('Loans'!$I:$I,ROW())&amp;""," "," "))</f>
        <v/>
      </c>
      <c r="AE23">
        <f>IFERROR(--INDEX('Loans'!$J:$J,ROW()),0)</f>
        <v/>
      </c>
      <c r="AF23">
        <f>TRIM(SUBSTITUTE(INDEX('Loans'!$K:$K,ROW())&amp;""," "," "))</f>
        <v/>
      </c>
      <c r="AG23">
        <f>IFERROR(--INDEX('Loans'!$L:$L,ROW()),0)</f>
        <v/>
      </c>
      <c r="AH23">
        <f>IF(ISNUMBER(INDEX('Loans'!$G:$G,ROW())),1,0)</f>
        <v/>
      </c>
    </row>
    <row r="24">
      <c r="A24">
        <f>TRIM(SUBSTITUTE(INDEX('Term investments'!$A:$A,ROW())&amp;""," "," "))</f>
        <v/>
      </c>
      <c r="B24">
        <f>TRIM(SUBSTITUTE(INDEX('Term investments'!$B:$B,ROW())&amp;""," "," "))</f>
        <v/>
      </c>
      <c r="C24">
        <f>TRIM(SUBSTITUTE(INDEX('Term investments'!$C:$C,ROW())&amp;""," "," "))</f>
        <v/>
      </c>
      <c r="D24">
        <f>IFERROR(--INDEX('Term investments'!$D:$D,ROW()),0)</f>
        <v/>
      </c>
      <c r="E24">
        <f>IFERROR(--INDEX('Term investments'!$E:$E,ROW()),0)</f>
        <v/>
      </c>
      <c r="F24">
        <f>IFERROR(--INDEX('Term investments'!$F:$F,ROW()),0)</f>
        <v/>
      </c>
      <c r="G24">
        <f>IFERROR(IF(--INDEX('Term investments'!$G:$G,ROW())&gt;=1,--INDEX('Term investments'!$G:$G,ROW())/100,--INDEX('Term investments'!$G:$G,ROW())),0)</f>
        <v/>
      </c>
      <c r="H24">
        <f>IFERROR(--INDEX('Term investments'!$H:$H,ROW()),0)</f>
        <v/>
      </c>
      <c r="I24">
        <f>IF(ISNUMBER(INDEX('Term investments'!$G:$G,ROW())),1,0)</f>
        <v/>
      </c>
      <c r="J24">
        <f>TRIM(SUBSTITUTE(INDEX('Call accounts and MMFs'!$A:$A,ROW())&amp;""," "," "))</f>
        <v/>
      </c>
      <c r="K24">
        <f>TRIM(SUBSTITUTE(INDEX('Call accounts and MMFs'!$B:$B,ROW())&amp;""," "," "))</f>
        <v/>
      </c>
      <c r="L24">
        <f>TRIM(SUBSTITUTE(INDEX('Call accounts and MMFs'!$C:$C,ROW())&amp;""," "," "))</f>
        <v/>
      </c>
      <c r="M24">
        <f>IFERROR(--INDEX('Call accounts and MMFs'!$D:$D,ROW()),0)</f>
        <v/>
      </c>
      <c r="N24">
        <f>IFERROR(IF(--INDEX('Call accounts and MMFs'!$E:$E,ROW())&gt;=1,--INDEX('Call accounts and MMFs'!$E:$E,ROW())/100,--INDEX('Call accounts and MMFs'!$E:$E,ROW())),0)</f>
        <v/>
      </c>
      <c r="O24">
        <f>IFERROR(--INDEX('Call accounts and MMFs'!$F:$F,ROW()),0)</f>
        <v/>
      </c>
      <c r="P24">
        <f>IF(ISNUMBER(INDEX('Call accounts and MMFs'!$E:$E,ROW())),1,0)</f>
        <v/>
      </c>
      <c r="Q24">
        <f>TRIM(SUBSTITUTE(INDEX('Pooled funds'!$B:$B,ROW())&amp;""," "," "))</f>
        <v/>
      </c>
      <c r="R24">
        <f>IFERROR(--INDEX('Pooled funds'!$C:$C,ROW()),0)</f>
        <v/>
      </c>
      <c r="S24">
        <f>IFERROR(--INDEX('Pooled funds'!$D:$D,ROW()),0)</f>
        <v/>
      </c>
      <c r="T24">
        <f>IFERROR(IF(--INDEX('Pooled funds'!$E:$E,ROW())&gt;=1,--INDEX('Pooled funds'!$E:$E,ROW())/100,--INDEX('Pooled funds'!$E:$E,ROW())),0)</f>
        <v/>
      </c>
      <c r="U24">
        <f>IF(ISNUMBER(INDEX('Pooled funds'!$E:$E,ROW())),1,0)</f>
        <v/>
      </c>
      <c r="V24">
        <f>TRIM(SUBSTITUTE(INDEX('Loans'!$A:$A,ROW())&amp;""," "," "))</f>
        <v/>
      </c>
      <c r="W24">
        <f>TRIM(SUBSTITUTE(INDEX('Loans'!$B:$B,ROW())&amp;""," "," "))</f>
        <v/>
      </c>
      <c r="X24">
        <f>TRIM(SUBSTITUTE(INDEX('Loans'!$C:$C,ROW())&amp;""," "," "))</f>
        <v/>
      </c>
      <c r="Y24">
        <f>IFERROR(--INDEX('Loans'!$D:$D,ROW()),0)</f>
        <v/>
      </c>
      <c r="Z24">
        <f>IFERROR(--INDEX('Loans'!$E:$E,ROW()),0)</f>
        <v/>
      </c>
      <c r="AA24">
        <f>IFERROR(--INDEX('Loans'!$F:$F,ROW()),0)</f>
        <v/>
      </c>
      <c r="AB24">
        <f>IFERROR(IF(--INDEX('Loans'!$G:$G,ROW())&gt;=1,--INDEX('Loans'!$G:$G,ROW())/100,--INDEX('Loans'!$G:$G,ROW())),0)</f>
        <v/>
      </c>
      <c r="AC24">
        <f>TRIM(SUBSTITUTE(INDEX('Loans'!$H:$H,ROW())&amp;""," "," "))</f>
        <v/>
      </c>
      <c r="AD24">
        <f>TRIM(SUBSTITUTE(INDEX('Loans'!$I:$I,ROW())&amp;""," "," "))</f>
        <v/>
      </c>
      <c r="AE24">
        <f>IFERROR(--INDEX('Loans'!$J:$J,ROW()),0)</f>
        <v/>
      </c>
      <c r="AF24">
        <f>TRIM(SUBSTITUTE(INDEX('Loans'!$K:$K,ROW())&amp;""," "," "))</f>
        <v/>
      </c>
      <c r="AG24">
        <f>IFERROR(--INDEX('Loans'!$L:$L,ROW()),0)</f>
        <v/>
      </c>
      <c r="AH24">
        <f>IF(ISNUMBER(INDEX('Loans'!$G:$G,ROW())),1,0)</f>
        <v/>
      </c>
    </row>
    <row r="25">
      <c r="A25">
        <f>TRIM(SUBSTITUTE(INDEX('Term investments'!$A:$A,ROW())&amp;""," "," "))</f>
        <v/>
      </c>
      <c r="B25">
        <f>TRIM(SUBSTITUTE(INDEX('Term investments'!$B:$B,ROW())&amp;""," "," "))</f>
        <v/>
      </c>
      <c r="C25">
        <f>TRIM(SUBSTITUTE(INDEX('Term investments'!$C:$C,ROW())&amp;""," "," "))</f>
        <v/>
      </c>
      <c r="D25">
        <f>IFERROR(--INDEX('Term investments'!$D:$D,ROW()),0)</f>
        <v/>
      </c>
      <c r="E25">
        <f>IFERROR(--INDEX('Term investments'!$E:$E,ROW()),0)</f>
        <v/>
      </c>
      <c r="F25">
        <f>IFERROR(--INDEX('Term investments'!$F:$F,ROW()),0)</f>
        <v/>
      </c>
      <c r="G25">
        <f>IFERROR(IF(--INDEX('Term investments'!$G:$G,ROW())&gt;=1,--INDEX('Term investments'!$G:$G,ROW())/100,--INDEX('Term investments'!$G:$G,ROW())),0)</f>
        <v/>
      </c>
      <c r="H25">
        <f>IFERROR(--INDEX('Term investments'!$H:$H,ROW()),0)</f>
        <v/>
      </c>
      <c r="I25">
        <f>IF(ISNUMBER(INDEX('Term investments'!$G:$G,ROW())),1,0)</f>
        <v/>
      </c>
      <c r="J25">
        <f>TRIM(SUBSTITUTE(INDEX('Call accounts and MMFs'!$A:$A,ROW())&amp;""," "," "))</f>
        <v/>
      </c>
      <c r="K25">
        <f>TRIM(SUBSTITUTE(INDEX('Call accounts and MMFs'!$B:$B,ROW())&amp;""," "," "))</f>
        <v/>
      </c>
      <c r="L25">
        <f>TRIM(SUBSTITUTE(INDEX('Call accounts and MMFs'!$C:$C,ROW())&amp;""," "," "))</f>
        <v/>
      </c>
      <c r="M25">
        <f>IFERROR(--INDEX('Call accounts and MMFs'!$D:$D,ROW()),0)</f>
        <v/>
      </c>
      <c r="N25">
        <f>IFERROR(IF(--INDEX('Call accounts and MMFs'!$E:$E,ROW())&gt;=1,--INDEX('Call accounts and MMFs'!$E:$E,ROW())/100,--INDEX('Call accounts and MMFs'!$E:$E,ROW())),0)</f>
        <v/>
      </c>
      <c r="O25">
        <f>IFERROR(--INDEX('Call accounts and MMFs'!$F:$F,ROW()),0)</f>
        <v/>
      </c>
      <c r="P25">
        <f>IF(ISNUMBER(INDEX('Call accounts and MMFs'!$E:$E,ROW())),1,0)</f>
        <v/>
      </c>
      <c r="Q25">
        <f>TRIM(SUBSTITUTE(INDEX('Pooled funds'!$B:$B,ROW())&amp;""," "," "))</f>
        <v/>
      </c>
      <c r="R25">
        <f>IFERROR(--INDEX('Pooled funds'!$C:$C,ROW()),0)</f>
        <v/>
      </c>
      <c r="S25">
        <f>IFERROR(--INDEX('Pooled funds'!$D:$D,ROW()),0)</f>
        <v/>
      </c>
      <c r="T25">
        <f>IFERROR(IF(--INDEX('Pooled funds'!$E:$E,ROW())&gt;=1,--INDEX('Pooled funds'!$E:$E,ROW())/100,--INDEX('Pooled funds'!$E:$E,ROW())),0)</f>
        <v/>
      </c>
      <c r="U25">
        <f>IF(ISNUMBER(INDEX('Pooled funds'!$E:$E,ROW())),1,0)</f>
        <v/>
      </c>
      <c r="V25">
        <f>TRIM(SUBSTITUTE(INDEX('Loans'!$A:$A,ROW())&amp;""," "," "))</f>
        <v/>
      </c>
      <c r="W25">
        <f>TRIM(SUBSTITUTE(INDEX('Loans'!$B:$B,ROW())&amp;""," "," "))</f>
        <v/>
      </c>
      <c r="X25">
        <f>TRIM(SUBSTITUTE(INDEX('Loans'!$C:$C,ROW())&amp;""," "," "))</f>
        <v/>
      </c>
      <c r="Y25">
        <f>IFERROR(--INDEX('Loans'!$D:$D,ROW()),0)</f>
        <v/>
      </c>
      <c r="Z25">
        <f>IFERROR(--INDEX('Loans'!$E:$E,ROW()),0)</f>
        <v/>
      </c>
      <c r="AA25">
        <f>IFERROR(--INDEX('Loans'!$F:$F,ROW()),0)</f>
        <v/>
      </c>
      <c r="AB25">
        <f>IFERROR(IF(--INDEX('Loans'!$G:$G,ROW())&gt;=1,--INDEX('Loans'!$G:$G,ROW())/100,--INDEX('Loans'!$G:$G,ROW())),0)</f>
        <v/>
      </c>
      <c r="AC25">
        <f>TRIM(SUBSTITUTE(INDEX('Loans'!$H:$H,ROW())&amp;""," "," "))</f>
        <v/>
      </c>
      <c r="AD25">
        <f>TRIM(SUBSTITUTE(INDEX('Loans'!$I:$I,ROW())&amp;""," "," "))</f>
        <v/>
      </c>
      <c r="AE25">
        <f>IFERROR(--INDEX('Loans'!$J:$J,ROW()),0)</f>
        <v/>
      </c>
      <c r="AF25">
        <f>TRIM(SUBSTITUTE(INDEX('Loans'!$K:$K,ROW())&amp;""," "," "))</f>
        <v/>
      </c>
      <c r="AG25">
        <f>IFERROR(--INDEX('Loans'!$L:$L,ROW()),0)</f>
        <v/>
      </c>
      <c r="AH25">
        <f>IF(ISNUMBER(INDEX('Loans'!$G:$G,ROW())),1,0)</f>
        <v/>
      </c>
    </row>
    <row r="26">
      <c r="A26">
        <f>TRIM(SUBSTITUTE(INDEX('Term investments'!$A:$A,ROW())&amp;""," "," "))</f>
        <v/>
      </c>
      <c r="B26">
        <f>TRIM(SUBSTITUTE(INDEX('Term investments'!$B:$B,ROW())&amp;""," "," "))</f>
        <v/>
      </c>
      <c r="C26">
        <f>TRIM(SUBSTITUTE(INDEX('Term investments'!$C:$C,ROW())&amp;""," "," "))</f>
        <v/>
      </c>
      <c r="D26">
        <f>IFERROR(--INDEX('Term investments'!$D:$D,ROW()),0)</f>
        <v/>
      </c>
      <c r="E26">
        <f>IFERROR(--INDEX('Term investments'!$E:$E,ROW()),0)</f>
        <v/>
      </c>
      <c r="F26">
        <f>IFERROR(--INDEX('Term investments'!$F:$F,ROW()),0)</f>
        <v/>
      </c>
      <c r="G26">
        <f>IFERROR(IF(--INDEX('Term investments'!$G:$G,ROW())&gt;=1,--INDEX('Term investments'!$G:$G,ROW())/100,--INDEX('Term investments'!$G:$G,ROW())),0)</f>
        <v/>
      </c>
      <c r="H26">
        <f>IFERROR(--INDEX('Term investments'!$H:$H,ROW()),0)</f>
        <v/>
      </c>
      <c r="I26">
        <f>IF(ISNUMBER(INDEX('Term investments'!$G:$G,ROW())),1,0)</f>
        <v/>
      </c>
      <c r="J26">
        <f>TRIM(SUBSTITUTE(INDEX('Call accounts and MMFs'!$A:$A,ROW())&amp;""," "," "))</f>
        <v/>
      </c>
      <c r="K26">
        <f>TRIM(SUBSTITUTE(INDEX('Call accounts and MMFs'!$B:$B,ROW())&amp;""," "," "))</f>
        <v/>
      </c>
      <c r="L26">
        <f>TRIM(SUBSTITUTE(INDEX('Call accounts and MMFs'!$C:$C,ROW())&amp;""," "," "))</f>
        <v/>
      </c>
      <c r="M26">
        <f>IFERROR(--INDEX('Call accounts and MMFs'!$D:$D,ROW()),0)</f>
        <v/>
      </c>
      <c r="N26">
        <f>IFERROR(IF(--INDEX('Call accounts and MMFs'!$E:$E,ROW())&gt;=1,--INDEX('Call accounts and MMFs'!$E:$E,ROW())/100,--INDEX('Call accounts and MMFs'!$E:$E,ROW())),0)</f>
        <v/>
      </c>
      <c r="O26">
        <f>IFERROR(--INDEX('Call accounts and MMFs'!$F:$F,ROW()),0)</f>
        <v/>
      </c>
      <c r="P26">
        <f>IF(ISNUMBER(INDEX('Call accounts and MMFs'!$E:$E,ROW())),1,0)</f>
        <v/>
      </c>
      <c r="Q26">
        <f>TRIM(SUBSTITUTE(INDEX('Pooled funds'!$B:$B,ROW())&amp;""," "," "))</f>
        <v/>
      </c>
      <c r="R26">
        <f>IFERROR(--INDEX('Pooled funds'!$C:$C,ROW()),0)</f>
        <v/>
      </c>
      <c r="S26">
        <f>IFERROR(--INDEX('Pooled funds'!$D:$D,ROW()),0)</f>
        <v/>
      </c>
      <c r="T26">
        <f>IFERROR(IF(--INDEX('Pooled funds'!$E:$E,ROW())&gt;=1,--INDEX('Pooled funds'!$E:$E,ROW())/100,--INDEX('Pooled funds'!$E:$E,ROW())),0)</f>
        <v/>
      </c>
      <c r="U26">
        <f>IF(ISNUMBER(INDEX('Pooled funds'!$E:$E,ROW())),1,0)</f>
        <v/>
      </c>
      <c r="V26">
        <f>TRIM(SUBSTITUTE(INDEX('Loans'!$A:$A,ROW())&amp;""," "," "))</f>
        <v/>
      </c>
      <c r="W26">
        <f>TRIM(SUBSTITUTE(INDEX('Loans'!$B:$B,ROW())&amp;""," "," "))</f>
        <v/>
      </c>
      <c r="X26">
        <f>TRIM(SUBSTITUTE(INDEX('Loans'!$C:$C,ROW())&amp;""," "," "))</f>
        <v/>
      </c>
      <c r="Y26">
        <f>IFERROR(--INDEX('Loans'!$D:$D,ROW()),0)</f>
        <v/>
      </c>
      <c r="Z26">
        <f>IFERROR(--INDEX('Loans'!$E:$E,ROW()),0)</f>
        <v/>
      </c>
      <c r="AA26">
        <f>IFERROR(--INDEX('Loans'!$F:$F,ROW()),0)</f>
        <v/>
      </c>
      <c r="AB26">
        <f>IFERROR(IF(--INDEX('Loans'!$G:$G,ROW())&gt;=1,--INDEX('Loans'!$G:$G,ROW())/100,--INDEX('Loans'!$G:$G,ROW())),0)</f>
        <v/>
      </c>
      <c r="AC26">
        <f>TRIM(SUBSTITUTE(INDEX('Loans'!$H:$H,ROW())&amp;""," "," "))</f>
        <v/>
      </c>
      <c r="AD26">
        <f>TRIM(SUBSTITUTE(INDEX('Loans'!$I:$I,ROW())&amp;""," "," "))</f>
        <v/>
      </c>
      <c r="AE26">
        <f>IFERROR(--INDEX('Loans'!$J:$J,ROW()),0)</f>
        <v/>
      </c>
      <c r="AF26">
        <f>TRIM(SUBSTITUTE(INDEX('Loans'!$K:$K,ROW())&amp;""," "," "))</f>
        <v/>
      </c>
      <c r="AG26">
        <f>IFERROR(--INDEX('Loans'!$L:$L,ROW()),0)</f>
        <v/>
      </c>
      <c r="AH26">
        <f>IF(ISNUMBER(INDEX('Loans'!$G:$G,ROW())),1,0)</f>
        <v/>
      </c>
    </row>
    <row r="27">
      <c r="A27">
        <f>TRIM(SUBSTITUTE(INDEX('Term investments'!$A:$A,ROW())&amp;""," "," "))</f>
        <v/>
      </c>
      <c r="B27">
        <f>TRIM(SUBSTITUTE(INDEX('Term investments'!$B:$B,ROW())&amp;""," "," "))</f>
        <v/>
      </c>
      <c r="C27">
        <f>TRIM(SUBSTITUTE(INDEX('Term investments'!$C:$C,ROW())&amp;""," "," "))</f>
        <v/>
      </c>
      <c r="D27">
        <f>IFERROR(--INDEX('Term investments'!$D:$D,ROW()),0)</f>
        <v/>
      </c>
      <c r="E27">
        <f>IFERROR(--INDEX('Term investments'!$E:$E,ROW()),0)</f>
        <v/>
      </c>
      <c r="F27">
        <f>IFERROR(--INDEX('Term investments'!$F:$F,ROW()),0)</f>
        <v/>
      </c>
      <c r="G27">
        <f>IFERROR(IF(--INDEX('Term investments'!$G:$G,ROW())&gt;=1,--INDEX('Term investments'!$G:$G,ROW())/100,--INDEX('Term investments'!$G:$G,ROW())),0)</f>
        <v/>
      </c>
      <c r="H27">
        <f>IFERROR(--INDEX('Term investments'!$H:$H,ROW()),0)</f>
        <v/>
      </c>
      <c r="I27">
        <f>IF(ISNUMBER(INDEX('Term investments'!$G:$G,ROW())),1,0)</f>
        <v/>
      </c>
      <c r="J27">
        <f>TRIM(SUBSTITUTE(INDEX('Call accounts and MMFs'!$A:$A,ROW())&amp;""," "," "))</f>
        <v/>
      </c>
      <c r="K27">
        <f>TRIM(SUBSTITUTE(INDEX('Call accounts and MMFs'!$B:$B,ROW())&amp;""," "," "))</f>
        <v/>
      </c>
      <c r="L27">
        <f>TRIM(SUBSTITUTE(INDEX('Call accounts and MMFs'!$C:$C,ROW())&amp;""," "," "))</f>
        <v/>
      </c>
      <c r="M27">
        <f>IFERROR(--INDEX('Call accounts and MMFs'!$D:$D,ROW()),0)</f>
        <v/>
      </c>
      <c r="N27">
        <f>IFERROR(IF(--INDEX('Call accounts and MMFs'!$E:$E,ROW())&gt;=1,--INDEX('Call accounts and MMFs'!$E:$E,ROW())/100,--INDEX('Call accounts and MMFs'!$E:$E,ROW())),0)</f>
        <v/>
      </c>
      <c r="O27">
        <f>IFERROR(--INDEX('Call accounts and MMFs'!$F:$F,ROW()),0)</f>
        <v/>
      </c>
      <c r="P27">
        <f>IF(ISNUMBER(INDEX('Call accounts and MMFs'!$E:$E,ROW())),1,0)</f>
        <v/>
      </c>
      <c r="Q27">
        <f>TRIM(SUBSTITUTE(INDEX('Pooled funds'!$B:$B,ROW())&amp;""," "," "))</f>
        <v/>
      </c>
      <c r="R27">
        <f>IFERROR(--INDEX('Pooled funds'!$C:$C,ROW()),0)</f>
        <v/>
      </c>
      <c r="S27">
        <f>IFERROR(--INDEX('Pooled funds'!$D:$D,ROW()),0)</f>
        <v/>
      </c>
      <c r="T27">
        <f>IFERROR(IF(--INDEX('Pooled funds'!$E:$E,ROW())&gt;=1,--INDEX('Pooled funds'!$E:$E,ROW())/100,--INDEX('Pooled funds'!$E:$E,ROW())),0)</f>
        <v/>
      </c>
      <c r="U27">
        <f>IF(ISNUMBER(INDEX('Pooled funds'!$E:$E,ROW())),1,0)</f>
        <v/>
      </c>
      <c r="V27">
        <f>TRIM(SUBSTITUTE(INDEX('Loans'!$A:$A,ROW())&amp;""," "," "))</f>
        <v/>
      </c>
      <c r="W27">
        <f>TRIM(SUBSTITUTE(INDEX('Loans'!$B:$B,ROW())&amp;""," "," "))</f>
        <v/>
      </c>
      <c r="X27">
        <f>TRIM(SUBSTITUTE(INDEX('Loans'!$C:$C,ROW())&amp;""," "," "))</f>
        <v/>
      </c>
      <c r="Y27">
        <f>IFERROR(--INDEX('Loans'!$D:$D,ROW()),0)</f>
        <v/>
      </c>
      <c r="Z27">
        <f>IFERROR(--INDEX('Loans'!$E:$E,ROW()),0)</f>
        <v/>
      </c>
      <c r="AA27">
        <f>IFERROR(--INDEX('Loans'!$F:$F,ROW()),0)</f>
        <v/>
      </c>
      <c r="AB27">
        <f>IFERROR(IF(--INDEX('Loans'!$G:$G,ROW())&gt;=1,--INDEX('Loans'!$G:$G,ROW())/100,--INDEX('Loans'!$G:$G,ROW())),0)</f>
        <v/>
      </c>
      <c r="AC27">
        <f>TRIM(SUBSTITUTE(INDEX('Loans'!$H:$H,ROW())&amp;""," "," "))</f>
        <v/>
      </c>
      <c r="AD27">
        <f>TRIM(SUBSTITUTE(INDEX('Loans'!$I:$I,ROW())&amp;""," "," "))</f>
        <v/>
      </c>
      <c r="AE27">
        <f>IFERROR(--INDEX('Loans'!$J:$J,ROW()),0)</f>
        <v/>
      </c>
      <c r="AF27">
        <f>TRIM(SUBSTITUTE(INDEX('Loans'!$K:$K,ROW())&amp;""," "," "))</f>
        <v/>
      </c>
      <c r="AG27">
        <f>IFERROR(--INDEX('Loans'!$L:$L,ROW()),0)</f>
        <v/>
      </c>
      <c r="AH27">
        <f>IF(ISNUMBER(INDEX('Loans'!$G:$G,ROW())),1,0)</f>
        <v/>
      </c>
    </row>
    <row r="28">
      <c r="A28">
        <f>TRIM(SUBSTITUTE(INDEX('Term investments'!$A:$A,ROW())&amp;""," "," "))</f>
        <v/>
      </c>
      <c r="B28">
        <f>TRIM(SUBSTITUTE(INDEX('Term investments'!$B:$B,ROW())&amp;""," "," "))</f>
        <v/>
      </c>
      <c r="C28">
        <f>TRIM(SUBSTITUTE(INDEX('Term investments'!$C:$C,ROW())&amp;""," "," "))</f>
        <v/>
      </c>
      <c r="D28">
        <f>IFERROR(--INDEX('Term investments'!$D:$D,ROW()),0)</f>
        <v/>
      </c>
      <c r="E28">
        <f>IFERROR(--INDEX('Term investments'!$E:$E,ROW()),0)</f>
        <v/>
      </c>
      <c r="F28">
        <f>IFERROR(--INDEX('Term investments'!$F:$F,ROW()),0)</f>
        <v/>
      </c>
      <c r="G28">
        <f>IFERROR(IF(--INDEX('Term investments'!$G:$G,ROW())&gt;=1,--INDEX('Term investments'!$G:$G,ROW())/100,--INDEX('Term investments'!$G:$G,ROW())),0)</f>
        <v/>
      </c>
      <c r="H28">
        <f>IFERROR(--INDEX('Term investments'!$H:$H,ROW()),0)</f>
        <v/>
      </c>
      <c r="I28">
        <f>IF(ISNUMBER(INDEX('Term investments'!$G:$G,ROW())),1,0)</f>
        <v/>
      </c>
      <c r="J28">
        <f>TRIM(SUBSTITUTE(INDEX('Call accounts and MMFs'!$A:$A,ROW())&amp;""," "," "))</f>
        <v/>
      </c>
      <c r="K28">
        <f>TRIM(SUBSTITUTE(INDEX('Call accounts and MMFs'!$B:$B,ROW())&amp;""," "," "))</f>
        <v/>
      </c>
      <c r="L28">
        <f>TRIM(SUBSTITUTE(INDEX('Call accounts and MMFs'!$C:$C,ROW())&amp;""," "," "))</f>
        <v/>
      </c>
      <c r="M28">
        <f>IFERROR(--INDEX('Call accounts and MMFs'!$D:$D,ROW()),0)</f>
        <v/>
      </c>
      <c r="N28">
        <f>IFERROR(IF(--INDEX('Call accounts and MMFs'!$E:$E,ROW())&gt;=1,--INDEX('Call accounts and MMFs'!$E:$E,ROW())/100,--INDEX('Call accounts and MMFs'!$E:$E,ROW())),0)</f>
        <v/>
      </c>
      <c r="O28">
        <f>IFERROR(--INDEX('Call accounts and MMFs'!$F:$F,ROW()),0)</f>
        <v/>
      </c>
      <c r="P28">
        <f>IF(ISNUMBER(INDEX('Call accounts and MMFs'!$E:$E,ROW())),1,0)</f>
        <v/>
      </c>
      <c r="Q28">
        <f>TRIM(SUBSTITUTE(INDEX('Pooled funds'!$B:$B,ROW())&amp;""," "," "))</f>
        <v/>
      </c>
      <c r="R28">
        <f>IFERROR(--INDEX('Pooled funds'!$C:$C,ROW()),0)</f>
        <v/>
      </c>
      <c r="S28">
        <f>IFERROR(--INDEX('Pooled funds'!$D:$D,ROW()),0)</f>
        <v/>
      </c>
      <c r="T28">
        <f>IFERROR(IF(--INDEX('Pooled funds'!$E:$E,ROW())&gt;=1,--INDEX('Pooled funds'!$E:$E,ROW())/100,--INDEX('Pooled funds'!$E:$E,ROW())),0)</f>
        <v/>
      </c>
      <c r="U28">
        <f>IF(ISNUMBER(INDEX('Pooled funds'!$E:$E,ROW())),1,0)</f>
        <v/>
      </c>
      <c r="V28">
        <f>TRIM(SUBSTITUTE(INDEX('Loans'!$A:$A,ROW())&amp;""," "," "))</f>
        <v/>
      </c>
      <c r="W28">
        <f>TRIM(SUBSTITUTE(INDEX('Loans'!$B:$B,ROW())&amp;""," "," "))</f>
        <v/>
      </c>
      <c r="X28">
        <f>TRIM(SUBSTITUTE(INDEX('Loans'!$C:$C,ROW())&amp;""," "," "))</f>
        <v/>
      </c>
      <c r="Y28">
        <f>IFERROR(--INDEX('Loans'!$D:$D,ROW()),0)</f>
        <v/>
      </c>
      <c r="Z28">
        <f>IFERROR(--INDEX('Loans'!$E:$E,ROW()),0)</f>
        <v/>
      </c>
      <c r="AA28">
        <f>IFERROR(--INDEX('Loans'!$F:$F,ROW()),0)</f>
        <v/>
      </c>
      <c r="AB28">
        <f>IFERROR(IF(--INDEX('Loans'!$G:$G,ROW())&gt;=1,--INDEX('Loans'!$G:$G,ROW())/100,--INDEX('Loans'!$G:$G,ROW())),0)</f>
        <v/>
      </c>
      <c r="AC28">
        <f>TRIM(SUBSTITUTE(INDEX('Loans'!$H:$H,ROW())&amp;""," "," "))</f>
        <v/>
      </c>
      <c r="AD28">
        <f>TRIM(SUBSTITUTE(INDEX('Loans'!$I:$I,ROW())&amp;""," "," "))</f>
        <v/>
      </c>
      <c r="AE28">
        <f>IFERROR(--INDEX('Loans'!$J:$J,ROW()),0)</f>
        <v/>
      </c>
      <c r="AF28">
        <f>TRIM(SUBSTITUTE(INDEX('Loans'!$K:$K,ROW())&amp;""," "," "))</f>
        <v/>
      </c>
      <c r="AG28">
        <f>IFERROR(--INDEX('Loans'!$L:$L,ROW()),0)</f>
        <v/>
      </c>
      <c r="AH28">
        <f>IF(ISNUMBER(INDEX('Loans'!$G:$G,ROW())),1,0)</f>
        <v/>
      </c>
    </row>
    <row r="29">
      <c r="A29">
        <f>TRIM(SUBSTITUTE(INDEX('Term investments'!$A:$A,ROW())&amp;""," "," "))</f>
        <v/>
      </c>
      <c r="B29">
        <f>TRIM(SUBSTITUTE(INDEX('Term investments'!$B:$B,ROW())&amp;""," "," "))</f>
        <v/>
      </c>
      <c r="C29">
        <f>TRIM(SUBSTITUTE(INDEX('Term investments'!$C:$C,ROW())&amp;""," "," "))</f>
        <v/>
      </c>
      <c r="D29">
        <f>IFERROR(--INDEX('Term investments'!$D:$D,ROW()),0)</f>
        <v/>
      </c>
      <c r="E29">
        <f>IFERROR(--INDEX('Term investments'!$E:$E,ROW()),0)</f>
        <v/>
      </c>
      <c r="F29">
        <f>IFERROR(--INDEX('Term investments'!$F:$F,ROW()),0)</f>
        <v/>
      </c>
      <c r="G29">
        <f>IFERROR(IF(--INDEX('Term investments'!$G:$G,ROW())&gt;=1,--INDEX('Term investments'!$G:$G,ROW())/100,--INDEX('Term investments'!$G:$G,ROW())),0)</f>
        <v/>
      </c>
      <c r="H29">
        <f>IFERROR(--INDEX('Term investments'!$H:$H,ROW()),0)</f>
        <v/>
      </c>
      <c r="I29">
        <f>IF(ISNUMBER(INDEX('Term investments'!$G:$G,ROW())),1,0)</f>
        <v/>
      </c>
      <c r="J29">
        <f>TRIM(SUBSTITUTE(INDEX('Call accounts and MMFs'!$A:$A,ROW())&amp;""," "," "))</f>
        <v/>
      </c>
      <c r="K29">
        <f>TRIM(SUBSTITUTE(INDEX('Call accounts and MMFs'!$B:$B,ROW())&amp;""," "," "))</f>
        <v/>
      </c>
      <c r="L29">
        <f>TRIM(SUBSTITUTE(INDEX('Call accounts and MMFs'!$C:$C,ROW())&amp;""," "," "))</f>
        <v/>
      </c>
      <c r="M29">
        <f>IFERROR(--INDEX('Call accounts and MMFs'!$D:$D,ROW()),0)</f>
        <v/>
      </c>
      <c r="N29">
        <f>IFERROR(IF(--INDEX('Call accounts and MMFs'!$E:$E,ROW())&gt;=1,--INDEX('Call accounts and MMFs'!$E:$E,ROW())/100,--INDEX('Call accounts and MMFs'!$E:$E,ROW())),0)</f>
        <v/>
      </c>
      <c r="O29">
        <f>IFERROR(--INDEX('Call accounts and MMFs'!$F:$F,ROW()),0)</f>
        <v/>
      </c>
      <c r="P29">
        <f>IF(ISNUMBER(INDEX('Call accounts and MMFs'!$E:$E,ROW())),1,0)</f>
        <v/>
      </c>
      <c r="Q29">
        <f>TRIM(SUBSTITUTE(INDEX('Pooled funds'!$B:$B,ROW())&amp;""," "," "))</f>
        <v/>
      </c>
      <c r="R29">
        <f>IFERROR(--INDEX('Pooled funds'!$C:$C,ROW()),0)</f>
        <v/>
      </c>
      <c r="S29">
        <f>IFERROR(--INDEX('Pooled funds'!$D:$D,ROW()),0)</f>
        <v/>
      </c>
      <c r="T29">
        <f>IFERROR(IF(--INDEX('Pooled funds'!$E:$E,ROW())&gt;=1,--INDEX('Pooled funds'!$E:$E,ROW())/100,--INDEX('Pooled funds'!$E:$E,ROW())),0)</f>
        <v/>
      </c>
      <c r="U29">
        <f>IF(ISNUMBER(INDEX('Pooled funds'!$E:$E,ROW())),1,0)</f>
        <v/>
      </c>
      <c r="V29">
        <f>TRIM(SUBSTITUTE(INDEX('Loans'!$A:$A,ROW())&amp;""," "," "))</f>
        <v/>
      </c>
      <c r="W29">
        <f>TRIM(SUBSTITUTE(INDEX('Loans'!$B:$B,ROW())&amp;""," "," "))</f>
        <v/>
      </c>
      <c r="X29">
        <f>TRIM(SUBSTITUTE(INDEX('Loans'!$C:$C,ROW())&amp;""," "," "))</f>
        <v/>
      </c>
      <c r="Y29">
        <f>IFERROR(--INDEX('Loans'!$D:$D,ROW()),0)</f>
        <v/>
      </c>
      <c r="Z29">
        <f>IFERROR(--INDEX('Loans'!$E:$E,ROW()),0)</f>
        <v/>
      </c>
      <c r="AA29">
        <f>IFERROR(--INDEX('Loans'!$F:$F,ROW()),0)</f>
        <v/>
      </c>
      <c r="AB29">
        <f>IFERROR(IF(--INDEX('Loans'!$G:$G,ROW())&gt;=1,--INDEX('Loans'!$G:$G,ROW())/100,--INDEX('Loans'!$G:$G,ROW())),0)</f>
        <v/>
      </c>
      <c r="AC29">
        <f>TRIM(SUBSTITUTE(INDEX('Loans'!$H:$H,ROW())&amp;""," "," "))</f>
        <v/>
      </c>
      <c r="AD29">
        <f>TRIM(SUBSTITUTE(INDEX('Loans'!$I:$I,ROW())&amp;""," "," "))</f>
        <v/>
      </c>
      <c r="AE29">
        <f>IFERROR(--INDEX('Loans'!$J:$J,ROW()),0)</f>
        <v/>
      </c>
      <c r="AF29">
        <f>TRIM(SUBSTITUTE(INDEX('Loans'!$K:$K,ROW())&amp;""," "," "))</f>
        <v/>
      </c>
      <c r="AG29">
        <f>IFERROR(--INDEX('Loans'!$L:$L,ROW()),0)</f>
        <v/>
      </c>
      <c r="AH29">
        <f>IF(ISNUMBER(INDEX('Loans'!$G:$G,ROW())),1,0)</f>
        <v/>
      </c>
    </row>
    <row r="30">
      <c r="A30">
        <f>TRIM(SUBSTITUTE(INDEX('Term investments'!$A:$A,ROW())&amp;""," "," "))</f>
        <v/>
      </c>
      <c r="B30">
        <f>TRIM(SUBSTITUTE(INDEX('Term investments'!$B:$B,ROW())&amp;""," "," "))</f>
        <v/>
      </c>
      <c r="C30">
        <f>TRIM(SUBSTITUTE(INDEX('Term investments'!$C:$C,ROW())&amp;""," "," "))</f>
        <v/>
      </c>
      <c r="D30">
        <f>IFERROR(--INDEX('Term investments'!$D:$D,ROW()),0)</f>
        <v/>
      </c>
      <c r="E30">
        <f>IFERROR(--INDEX('Term investments'!$E:$E,ROW()),0)</f>
        <v/>
      </c>
      <c r="F30">
        <f>IFERROR(--INDEX('Term investments'!$F:$F,ROW()),0)</f>
        <v/>
      </c>
      <c r="G30">
        <f>IFERROR(IF(--INDEX('Term investments'!$G:$G,ROW())&gt;=1,--INDEX('Term investments'!$G:$G,ROW())/100,--INDEX('Term investments'!$G:$G,ROW())),0)</f>
        <v/>
      </c>
      <c r="H30">
        <f>IFERROR(--INDEX('Term investments'!$H:$H,ROW()),0)</f>
        <v/>
      </c>
      <c r="I30">
        <f>IF(ISNUMBER(INDEX('Term investments'!$G:$G,ROW())),1,0)</f>
        <v/>
      </c>
      <c r="J30">
        <f>TRIM(SUBSTITUTE(INDEX('Call accounts and MMFs'!$A:$A,ROW())&amp;""," "," "))</f>
        <v/>
      </c>
      <c r="K30">
        <f>TRIM(SUBSTITUTE(INDEX('Call accounts and MMFs'!$B:$B,ROW())&amp;""," "," "))</f>
        <v/>
      </c>
      <c r="L30">
        <f>TRIM(SUBSTITUTE(INDEX('Call accounts and MMFs'!$C:$C,ROW())&amp;""," "," "))</f>
        <v/>
      </c>
      <c r="M30">
        <f>IFERROR(--INDEX('Call accounts and MMFs'!$D:$D,ROW()),0)</f>
        <v/>
      </c>
      <c r="N30">
        <f>IFERROR(IF(--INDEX('Call accounts and MMFs'!$E:$E,ROW())&gt;=1,--INDEX('Call accounts and MMFs'!$E:$E,ROW())/100,--INDEX('Call accounts and MMFs'!$E:$E,ROW())),0)</f>
        <v/>
      </c>
      <c r="O30">
        <f>IFERROR(--INDEX('Call accounts and MMFs'!$F:$F,ROW()),0)</f>
        <v/>
      </c>
      <c r="P30">
        <f>IF(ISNUMBER(INDEX('Call accounts and MMFs'!$E:$E,ROW())),1,0)</f>
        <v/>
      </c>
      <c r="Q30">
        <f>TRIM(SUBSTITUTE(INDEX('Pooled funds'!$B:$B,ROW())&amp;""," "," "))</f>
        <v/>
      </c>
      <c r="R30">
        <f>IFERROR(--INDEX('Pooled funds'!$C:$C,ROW()),0)</f>
        <v/>
      </c>
      <c r="S30">
        <f>IFERROR(--INDEX('Pooled funds'!$D:$D,ROW()),0)</f>
        <v/>
      </c>
      <c r="T30">
        <f>IFERROR(IF(--INDEX('Pooled funds'!$E:$E,ROW())&gt;=1,--INDEX('Pooled funds'!$E:$E,ROW())/100,--INDEX('Pooled funds'!$E:$E,ROW())),0)</f>
        <v/>
      </c>
      <c r="U30">
        <f>IF(ISNUMBER(INDEX('Pooled funds'!$E:$E,ROW())),1,0)</f>
        <v/>
      </c>
      <c r="V30">
        <f>TRIM(SUBSTITUTE(INDEX('Loans'!$A:$A,ROW())&amp;""," "," "))</f>
        <v/>
      </c>
      <c r="W30">
        <f>TRIM(SUBSTITUTE(INDEX('Loans'!$B:$B,ROW())&amp;""," "," "))</f>
        <v/>
      </c>
      <c r="X30">
        <f>TRIM(SUBSTITUTE(INDEX('Loans'!$C:$C,ROW())&amp;""," "," "))</f>
        <v/>
      </c>
      <c r="Y30">
        <f>IFERROR(--INDEX('Loans'!$D:$D,ROW()),0)</f>
        <v/>
      </c>
      <c r="Z30">
        <f>IFERROR(--INDEX('Loans'!$E:$E,ROW()),0)</f>
        <v/>
      </c>
      <c r="AA30">
        <f>IFERROR(--INDEX('Loans'!$F:$F,ROW()),0)</f>
        <v/>
      </c>
      <c r="AB30">
        <f>IFERROR(IF(--INDEX('Loans'!$G:$G,ROW())&gt;=1,--INDEX('Loans'!$G:$G,ROW())/100,--INDEX('Loans'!$G:$G,ROW())),0)</f>
        <v/>
      </c>
      <c r="AC30">
        <f>TRIM(SUBSTITUTE(INDEX('Loans'!$H:$H,ROW())&amp;""," "," "))</f>
        <v/>
      </c>
      <c r="AD30">
        <f>TRIM(SUBSTITUTE(INDEX('Loans'!$I:$I,ROW())&amp;""," "," "))</f>
        <v/>
      </c>
      <c r="AE30">
        <f>IFERROR(--INDEX('Loans'!$J:$J,ROW()),0)</f>
        <v/>
      </c>
      <c r="AF30">
        <f>TRIM(SUBSTITUTE(INDEX('Loans'!$K:$K,ROW())&amp;""," "," "))</f>
        <v/>
      </c>
      <c r="AG30">
        <f>IFERROR(--INDEX('Loans'!$L:$L,ROW()),0)</f>
        <v/>
      </c>
      <c r="AH30">
        <f>IF(ISNUMBER(INDEX('Loans'!$G:$G,ROW())),1,0)</f>
        <v/>
      </c>
    </row>
    <row r="31">
      <c r="A31">
        <f>TRIM(SUBSTITUTE(INDEX('Term investments'!$A:$A,ROW())&amp;""," "," "))</f>
        <v/>
      </c>
      <c r="B31">
        <f>TRIM(SUBSTITUTE(INDEX('Term investments'!$B:$B,ROW())&amp;""," "," "))</f>
        <v/>
      </c>
      <c r="C31">
        <f>TRIM(SUBSTITUTE(INDEX('Term investments'!$C:$C,ROW())&amp;""," "," "))</f>
        <v/>
      </c>
      <c r="D31">
        <f>IFERROR(--INDEX('Term investments'!$D:$D,ROW()),0)</f>
        <v/>
      </c>
      <c r="E31">
        <f>IFERROR(--INDEX('Term investments'!$E:$E,ROW()),0)</f>
        <v/>
      </c>
      <c r="F31">
        <f>IFERROR(--INDEX('Term investments'!$F:$F,ROW()),0)</f>
        <v/>
      </c>
      <c r="G31">
        <f>IFERROR(IF(--INDEX('Term investments'!$G:$G,ROW())&gt;=1,--INDEX('Term investments'!$G:$G,ROW())/100,--INDEX('Term investments'!$G:$G,ROW())),0)</f>
        <v/>
      </c>
      <c r="H31">
        <f>IFERROR(--INDEX('Term investments'!$H:$H,ROW()),0)</f>
        <v/>
      </c>
      <c r="I31">
        <f>IF(ISNUMBER(INDEX('Term investments'!$G:$G,ROW())),1,0)</f>
        <v/>
      </c>
      <c r="J31">
        <f>TRIM(SUBSTITUTE(INDEX('Call accounts and MMFs'!$A:$A,ROW())&amp;""," "," "))</f>
        <v/>
      </c>
      <c r="K31">
        <f>TRIM(SUBSTITUTE(INDEX('Call accounts and MMFs'!$B:$B,ROW())&amp;""," "," "))</f>
        <v/>
      </c>
      <c r="L31">
        <f>TRIM(SUBSTITUTE(INDEX('Call accounts and MMFs'!$C:$C,ROW())&amp;""," "," "))</f>
        <v/>
      </c>
      <c r="M31">
        <f>IFERROR(--INDEX('Call accounts and MMFs'!$D:$D,ROW()),0)</f>
        <v/>
      </c>
      <c r="N31">
        <f>IFERROR(IF(--INDEX('Call accounts and MMFs'!$E:$E,ROW())&gt;=1,--INDEX('Call accounts and MMFs'!$E:$E,ROW())/100,--INDEX('Call accounts and MMFs'!$E:$E,ROW())),0)</f>
        <v/>
      </c>
      <c r="O31">
        <f>IFERROR(--INDEX('Call accounts and MMFs'!$F:$F,ROW()),0)</f>
        <v/>
      </c>
      <c r="P31">
        <f>IF(ISNUMBER(INDEX('Call accounts and MMFs'!$E:$E,ROW())),1,0)</f>
        <v/>
      </c>
      <c r="Q31">
        <f>TRIM(SUBSTITUTE(INDEX('Pooled funds'!$B:$B,ROW())&amp;""," "," "))</f>
        <v/>
      </c>
      <c r="R31">
        <f>IFERROR(--INDEX('Pooled funds'!$C:$C,ROW()),0)</f>
        <v/>
      </c>
      <c r="S31">
        <f>IFERROR(--INDEX('Pooled funds'!$D:$D,ROW()),0)</f>
        <v/>
      </c>
      <c r="T31">
        <f>IFERROR(IF(--INDEX('Pooled funds'!$E:$E,ROW())&gt;=1,--INDEX('Pooled funds'!$E:$E,ROW())/100,--INDEX('Pooled funds'!$E:$E,ROW())),0)</f>
        <v/>
      </c>
      <c r="U31">
        <f>IF(ISNUMBER(INDEX('Pooled funds'!$E:$E,ROW())),1,0)</f>
        <v/>
      </c>
      <c r="V31">
        <f>TRIM(SUBSTITUTE(INDEX('Loans'!$A:$A,ROW())&amp;""," "," "))</f>
        <v/>
      </c>
      <c r="W31">
        <f>TRIM(SUBSTITUTE(INDEX('Loans'!$B:$B,ROW())&amp;""," "," "))</f>
        <v/>
      </c>
      <c r="X31">
        <f>TRIM(SUBSTITUTE(INDEX('Loans'!$C:$C,ROW())&amp;""," "," "))</f>
        <v/>
      </c>
      <c r="Y31">
        <f>IFERROR(--INDEX('Loans'!$D:$D,ROW()),0)</f>
        <v/>
      </c>
      <c r="Z31">
        <f>IFERROR(--INDEX('Loans'!$E:$E,ROW()),0)</f>
        <v/>
      </c>
      <c r="AA31">
        <f>IFERROR(--INDEX('Loans'!$F:$F,ROW()),0)</f>
        <v/>
      </c>
      <c r="AB31">
        <f>IFERROR(IF(--INDEX('Loans'!$G:$G,ROW())&gt;=1,--INDEX('Loans'!$G:$G,ROW())/100,--INDEX('Loans'!$G:$G,ROW())),0)</f>
        <v/>
      </c>
      <c r="AC31">
        <f>TRIM(SUBSTITUTE(INDEX('Loans'!$H:$H,ROW())&amp;""," "," "))</f>
        <v/>
      </c>
      <c r="AD31">
        <f>TRIM(SUBSTITUTE(INDEX('Loans'!$I:$I,ROW())&amp;""," "," "))</f>
        <v/>
      </c>
      <c r="AE31">
        <f>IFERROR(--INDEX('Loans'!$J:$J,ROW()),0)</f>
        <v/>
      </c>
      <c r="AF31">
        <f>TRIM(SUBSTITUTE(INDEX('Loans'!$K:$K,ROW())&amp;""," "," "))</f>
        <v/>
      </c>
      <c r="AG31">
        <f>IFERROR(--INDEX('Loans'!$L:$L,ROW()),0)</f>
        <v/>
      </c>
      <c r="AH31">
        <f>IF(ISNUMBER(INDEX('Loans'!$G:$G,ROW())),1,0)</f>
        <v/>
      </c>
    </row>
    <row r="32">
      <c r="A32">
        <f>TRIM(SUBSTITUTE(INDEX('Term investments'!$A:$A,ROW())&amp;""," "," "))</f>
        <v/>
      </c>
      <c r="B32">
        <f>TRIM(SUBSTITUTE(INDEX('Term investments'!$B:$B,ROW())&amp;""," "," "))</f>
        <v/>
      </c>
      <c r="C32">
        <f>TRIM(SUBSTITUTE(INDEX('Term investments'!$C:$C,ROW())&amp;""," "," "))</f>
        <v/>
      </c>
      <c r="D32">
        <f>IFERROR(--INDEX('Term investments'!$D:$D,ROW()),0)</f>
        <v/>
      </c>
      <c r="E32">
        <f>IFERROR(--INDEX('Term investments'!$E:$E,ROW()),0)</f>
        <v/>
      </c>
      <c r="F32">
        <f>IFERROR(--INDEX('Term investments'!$F:$F,ROW()),0)</f>
        <v/>
      </c>
      <c r="G32">
        <f>IFERROR(IF(--INDEX('Term investments'!$G:$G,ROW())&gt;=1,--INDEX('Term investments'!$G:$G,ROW())/100,--INDEX('Term investments'!$G:$G,ROW())),0)</f>
        <v/>
      </c>
      <c r="H32">
        <f>IFERROR(--INDEX('Term investments'!$H:$H,ROW()),0)</f>
        <v/>
      </c>
      <c r="I32">
        <f>IF(ISNUMBER(INDEX('Term investments'!$G:$G,ROW())),1,0)</f>
        <v/>
      </c>
      <c r="J32">
        <f>TRIM(SUBSTITUTE(INDEX('Call accounts and MMFs'!$A:$A,ROW())&amp;""," "," "))</f>
        <v/>
      </c>
      <c r="K32">
        <f>TRIM(SUBSTITUTE(INDEX('Call accounts and MMFs'!$B:$B,ROW())&amp;""," "," "))</f>
        <v/>
      </c>
      <c r="L32">
        <f>TRIM(SUBSTITUTE(INDEX('Call accounts and MMFs'!$C:$C,ROW())&amp;""," "," "))</f>
        <v/>
      </c>
      <c r="M32">
        <f>IFERROR(--INDEX('Call accounts and MMFs'!$D:$D,ROW()),0)</f>
        <v/>
      </c>
      <c r="N32">
        <f>IFERROR(IF(--INDEX('Call accounts and MMFs'!$E:$E,ROW())&gt;=1,--INDEX('Call accounts and MMFs'!$E:$E,ROW())/100,--INDEX('Call accounts and MMFs'!$E:$E,ROW())),0)</f>
        <v/>
      </c>
      <c r="O32">
        <f>IFERROR(--INDEX('Call accounts and MMFs'!$F:$F,ROW()),0)</f>
        <v/>
      </c>
      <c r="P32">
        <f>IF(ISNUMBER(INDEX('Call accounts and MMFs'!$E:$E,ROW())),1,0)</f>
        <v/>
      </c>
      <c r="Q32">
        <f>TRIM(SUBSTITUTE(INDEX('Pooled funds'!$B:$B,ROW())&amp;""," "," "))</f>
        <v/>
      </c>
      <c r="R32">
        <f>IFERROR(--INDEX('Pooled funds'!$C:$C,ROW()),0)</f>
        <v/>
      </c>
      <c r="S32">
        <f>IFERROR(--INDEX('Pooled funds'!$D:$D,ROW()),0)</f>
        <v/>
      </c>
      <c r="T32">
        <f>IFERROR(IF(--INDEX('Pooled funds'!$E:$E,ROW())&gt;=1,--INDEX('Pooled funds'!$E:$E,ROW())/100,--INDEX('Pooled funds'!$E:$E,ROW())),0)</f>
        <v/>
      </c>
      <c r="U32">
        <f>IF(ISNUMBER(INDEX('Pooled funds'!$E:$E,ROW())),1,0)</f>
        <v/>
      </c>
      <c r="V32">
        <f>TRIM(SUBSTITUTE(INDEX('Loans'!$A:$A,ROW())&amp;""," "," "))</f>
        <v/>
      </c>
      <c r="W32">
        <f>TRIM(SUBSTITUTE(INDEX('Loans'!$B:$B,ROW())&amp;""," "," "))</f>
        <v/>
      </c>
      <c r="X32">
        <f>TRIM(SUBSTITUTE(INDEX('Loans'!$C:$C,ROW())&amp;""," "," "))</f>
        <v/>
      </c>
      <c r="Y32">
        <f>IFERROR(--INDEX('Loans'!$D:$D,ROW()),0)</f>
        <v/>
      </c>
      <c r="Z32">
        <f>IFERROR(--INDEX('Loans'!$E:$E,ROW()),0)</f>
        <v/>
      </c>
      <c r="AA32">
        <f>IFERROR(--INDEX('Loans'!$F:$F,ROW()),0)</f>
        <v/>
      </c>
      <c r="AB32">
        <f>IFERROR(IF(--INDEX('Loans'!$G:$G,ROW())&gt;=1,--INDEX('Loans'!$G:$G,ROW())/100,--INDEX('Loans'!$G:$G,ROW())),0)</f>
        <v/>
      </c>
      <c r="AC32">
        <f>TRIM(SUBSTITUTE(INDEX('Loans'!$H:$H,ROW())&amp;""," "," "))</f>
        <v/>
      </c>
      <c r="AD32">
        <f>TRIM(SUBSTITUTE(INDEX('Loans'!$I:$I,ROW())&amp;""," "," "))</f>
        <v/>
      </c>
      <c r="AE32">
        <f>IFERROR(--INDEX('Loans'!$J:$J,ROW()),0)</f>
        <v/>
      </c>
      <c r="AF32">
        <f>TRIM(SUBSTITUTE(INDEX('Loans'!$K:$K,ROW())&amp;""," "," "))</f>
        <v/>
      </c>
      <c r="AG32">
        <f>IFERROR(--INDEX('Loans'!$L:$L,ROW()),0)</f>
        <v/>
      </c>
      <c r="AH32">
        <f>IF(ISNUMBER(INDEX('Loans'!$G:$G,ROW())),1,0)</f>
        <v/>
      </c>
    </row>
    <row r="33">
      <c r="A33">
        <f>TRIM(SUBSTITUTE(INDEX('Term investments'!$A:$A,ROW())&amp;""," "," "))</f>
        <v/>
      </c>
      <c r="B33">
        <f>TRIM(SUBSTITUTE(INDEX('Term investments'!$B:$B,ROW())&amp;""," "," "))</f>
        <v/>
      </c>
      <c r="C33">
        <f>TRIM(SUBSTITUTE(INDEX('Term investments'!$C:$C,ROW())&amp;""," "," "))</f>
        <v/>
      </c>
      <c r="D33">
        <f>IFERROR(--INDEX('Term investments'!$D:$D,ROW()),0)</f>
        <v/>
      </c>
      <c r="E33">
        <f>IFERROR(--INDEX('Term investments'!$E:$E,ROW()),0)</f>
        <v/>
      </c>
      <c r="F33">
        <f>IFERROR(--INDEX('Term investments'!$F:$F,ROW()),0)</f>
        <v/>
      </c>
      <c r="G33">
        <f>IFERROR(IF(--INDEX('Term investments'!$G:$G,ROW())&gt;=1,--INDEX('Term investments'!$G:$G,ROW())/100,--INDEX('Term investments'!$G:$G,ROW())),0)</f>
        <v/>
      </c>
      <c r="H33">
        <f>IFERROR(--INDEX('Term investments'!$H:$H,ROW()),0)</f>
        <v/>
      </c>
      <c r="I33">
        <f>IF(ISNUMBER(INDEX('Term investments'!$G:$G,ROW())),1,0)</f>
        <v/>
      </c>
      <c r="J33">
        <f>TRIM(SUBSTITUTE(INDEX('Call accounts and MMFs'!$A:$A,ROW())&amp;""," "," "))</f>
        <v/>
      </c>
      <c r="K33">
        <f>TRIM(SUBSTITUTE(INDEX('Call accounts and MMFs'!$B:$B,ROW())&amp;""," "," "))</f>
        <v/>
      </c>
      <c r="L33">
        <f>TRIM(SUBSTITUTE(INDEX('Call accounts and MMFs'!$C:$C,ROW())&amp;""," "," "))</f>
        <v/>
      </c>
      <c r="M33">
        <f>IFERROR(--INDEX('Call accounts and MMFs'!$D:$D,ROW()),0)</f>
        <v/>
      </c>
      <c r="N33">
        <f>IFERROR(IF(--INDEX('Call accounts and MMFs'!$E:$E,ROW())&gt;=1,--INDEX('Call accounts and MMFs'!$E:$E,ROW())/100,--INDEX('Call accounts and MMFs'!$E:$E,ROW())),0)</f>
        <v/>
      </c>
      <c r="O33">
        <f>IFERROR(--INDEX('Call accounts and MMFs'!$F:$F,ROW()),0)</f>
        <v/>
      </c>
      <c r="P33">
        <f>IF(ISNUMBER(INDEX('Call accounts and MMFs'!$E:$E,ROW())),1,0)</f>
        <v/>
      </c>
      <c r="Q33">
        <f>TRIM(SUBSTITUTE(INDEX('Pooled funds'!$B:$B,ROW())&amp;""," "," "))</f>
        <v/>
      </c>
      <c r="R33">
        <f>IFERROR(--INDEX('Pooled funds'!$C:$C,ROW()),0)</f>
        <v/>
      </c>
      <c r="S33">
        <f>IFERROR(--INDEX('Pooled funds'!$D:$D,ROW()),0)</f>
        <v/>
      </c>
      <c r="T33">
        <f>IFERROR(IF(--INDEX('Pooled funds'!$E:$E,ROW())&gt;=1,--INDEX('Pooled funds'!$E:$E,ROW())/100,--INDEX('Pooled funds'!$E:$E,ROW())),0)</f>
        <v/>
      </c>
      <c r="U33">
        <f>IF(ISNUMBER(INDEX('Pooled funds'!$E:$E,ROW())),1,0)</f>
        <v/>
      </c>
      <c r="V33">
        <f>TRIM(SUBSTITUTE(INDEX('Loans'!$A:$A,ROW())&amp;""," "," "))</f>
        <v/>
      </c>
      <c r="W33">
        <f>TRIM(SUBSTITUTE(INDEX('Loans'!$B:$B,ROW())&amp;""," "," "))</f>
        <v/>
      </c>
      <c r="X33">
        <f>TRIM(SUBSTITUTE(INDEX('Loans'!$C:$C,ROW())&amp;""," "," "))</f>
        <v/>
      </c>
      <c r="Y33">
        <f>IFERROR(--INDEX('Loans'!$D:$D,ROW()),0)</f>
        <v/>
      </c>
      <c r="Z33">
        <f>IFERROR(--INDEX('Loans'!$E:$E,ROW()),0)</f>
        <v/>
      </c>
      <c r="AA33">
        <f>IFERROR(--INDEX('Loans'!$F:$F,ROW()),0)</f>
        <v/>
      </c>
      <c r="AB33">
        <f>IFERROR(IF(--INDEX('Loans'!$G:$G,ROW())&gt;=1,--INDEX('Loans'!$G:$G,ROW())/100,--INDEX('Loans'!$G:$G,ROW())),0)</f>
        <v/>
      </c>
      <c r="AC33">
        <f>TRIM(SUBSTITUTE(INDEX('Loans'!$H:$H,ROW())&amp;""," "," "))</f>
        <v/>
      </c>
      <c r="AD33">
        <f>TRIM(SUBSTITUTE(INDEX('Loans'!$I:$I,ROW())&amp;""," "," "))</f>
        <v/>
      </c>
      <c r="AE33">
        <f>IFERROR(--INDEX('Loans'!$J:$J,ROW()),0)</f>
        <v/>
      </c>
      <c r="AF33">
        <f>TRIM(SUBSTITUTE(INDEX('Loans'!$K:$K,ROW())&amp;""," "," "))</f>
        <v/>
      </c>
      <c r="AG33">
        <f>IFERROR(--INDEX('Loans'!$L:$L,ROW()),0)</f>
        <v/>
      </c>
      <c r="AH33">
        <f>IF(ISNUMBER(INDEX('Loans'!$G:$G,ROW())),1,0)</f>
        <v/>
      </c>
    </row>
    <row r="34">
      <c r="A34">
        <f>TRIM(SUBSTITUTE(INDEX('Term investments'!$A:$A,ROW())&amp;""," "," "))</f>
        <v/>
      </c>
      <c r="B34">
        <f>TRIM(SUBSTITUTE(INDEX('Term investments'!$B:$B,ROW())&amp;""," "," "))</f>
        <v/>
      </c>
      <c r="C34">
        <f>TRIM(SUBSTITUTE(INDEX('Term investments'!$C:$C,ROW())&amp;""," "," "))</f>
        <v/>
      </c>
      <c r="D34">
        <f>IFERROR(--INDEX('Term investments'!$D:$D,ROW()),0)</f>
        <v/>
      </c>
      <c r="E34">
        <f>IFERROR(--INDEX('Term investments'!$E:$E,ROW()),0)</f>
        <v/>
      </c>
      <c r="F34">
        <f>IFERROR(--INDEX('Term investments'!$F:$F,ROW()),0)</f>
        <v/>
      </c>
      <c r="G34">
        <f>IFERROR(IF(--INDEX('Term investments'!$G:$G,ROW())&gt;=1,--INDEX('Term investments'!$G:$G,ROW())/100,--INDEX('Term investments'!$G:$G,ROW())),0)</f>
        <v/>
      </c>
      <c r="H34">
        <f>IFERROR(--INDEX('Term investments'!$H:$H,ROW()),0)</f>
        <v/>
      </c>
      <c r="I34">
        <f>IF(ISNUMBER(INDEX('Term investments'!$G:$G,ROW())),1,0)</f>
        <v/>
      </c>
      <c r="J34">
        <f>TRIM(SUBSTITUTE(INDEX('Call accounts and MMFs'!$A:$A,ROW())&amp;""," "," "))</f>
        <v/>
      </c>
      <c r="K34">
        <f>TRIM(SUBSTITUTE(INDEX('Call accounts and MMFs'!$B:$B,ROW())&amp;""," "," "))</f>
        <v/>
      </c>
      <c r="L34">
        <f>TRIM(SUBSTITUTE(INDEX('Call accounts and MMFs'!$C:$C,ROW())&amp;""," "," "))</f>
        <v/>
      </c>
      <c r="M34">
        <f>IFERROR(--INDEX('Call accounts and MMFs'!$D:$D,ROW()),0)</f>
        <v/>
      </c>
      <c r="N34">
        <f>IFERROR(IF(--INDEX('Call accounts and MMFs'!$E:$E,ROW())&gt;=1,--INDEX('Call accounts and MMFs'!$E:$E,ROW())/100,--INDEX('Call accounts and MMFs'!$E:$E,ROW())),0)</f>
        <v/>
      </c>
      <c r="O34">
        <f>IFERROR(--INDEX('Call accounts and MMFs'!$F:$F,ROW()),0)</f>
        <v/>
      </c>
      <c r="P34">
        <f>IF(ISNUMBER(INDEX('Call accounts and MMFs'!$E:$E,ROW())),1,0)</f>
        <v/>
      </c>
      <c r="Q34">
        <f>TRIM(SUBSTITUTE(INDEX('Pooled funds'!$B:$B,ROW())&amp;""," "," "))</f>
        <v/>
      </c>
      <c r="R34">
        <f>IFERROR(--INDEX('Pooled funds'!$C:$C,ROW()),0)</f>
        <v/>
      </c>
      <c r="S34">
        <f>IFERROR(--INDEX('Pooled funds'!$D:$D,ROW()),0)</f>
        <v/>
      </c>
      <c r="T34">
        <f>IFERROR(IF(--INDEX('Pooled funds'!$E:$E,ROW())&gt;=1,--INDEX('Pooled funds'!$E:$E,ROW())/100,--INDEX('Pooled funds'!$E:$E,ROW())),0)</f>
        <v/>
      </c>
      <c r="U34">
        <f>IF(ISNUMBER(INDEX('Pooled funds'!$E:$E,ROW())),1,0)</f>
        <v/>
      </c>
      <c r="V34">
        <f>TRIM(SUBSTITUTE(INDEX('Loans'!$A:$A,ROW())&amp;""," "," "))</f>
        <v/>
      </c>
      <c r="W34">
        <f>TRIM(SUBSTITUTE(INDEX('Loans'!$B:$B,ROW())&amp;""," "," "))</f>
        <v/>
      </c>
      <c r="X34">
        <f>TRIM(SUBSTITUTE(INDEX('Loans'!$C:$C,ROW())&amp;""," "," "))</f>
        <v/>
      </c>
      <c r="Y34">
        <f>IFERROR(--INDEX('Loans'!$D:$D,ROW()),0)</f>
        <v/>
      </c>
      <c r="Z34">
        <f>IFERROR(--INDEX('Loans'!$E:$E,ROW()),0)</f>
        <v/>
      </c>
      <c r="AA34">
        <f>IFERROR(--INDEX('Loans'!$F:$F,ROW()),0)</f>
        <v/>
      </c>
      <c r="AB34">
        <f>IFERROR(IF(--INDEX('Loans'!$G:$G,ROW())&gt;=1,--INDEX('Loans'!$G:$G,ROW())/100,--INDEX('Loans'!$G:$G,ROW())),0)</f>
        <v/>
      </c>
      <c r="AC34">
        <f>TRIM(SUBSTITUTE(INDEX('Loans'!$H:$H,ROW())&amp;""," "," "))</f>
        <v/>
      </c>
      <c r="AD34">
        <f>TRIM(SUBSTITUTE(INDEX('Loans'!$I:$I,ROW())&amp;""," "," "))</f>
        <v/>
      </c>
      <c r="AE34">
        <f>IFERROR(--INDEX('Loans'!$J:$J,ROW()),0)</f>
        <v/>
      </c>
      <c r="AF34">
        <f>TRIM(SUBSTITUTE(INDEX('Loans'!$K:$K,ROW())&amp;""," "," "))</f>
        <v/>
      </c>
      <c r="AG34">
        <f>IFERROR(--INDEX('Loans'!$L:$L,ROW()),0)</f>
        <v/>
      </c>
      <c r="AH34">
        <f>IF(ISNUMBER(INDEX('Loans'!$G:$G,ROW())),1,0)</f>
        <v/>
      </c>
    </row>
    <row r="35">
      <c r="A35">
        <f>TRIM(SUBSTITUTE(INDEX('Term investments'!$A:$A,ROW())&amp;""," "," "))</f>
        <v/>
      </c>
      <c r="B35">
        <f>TRIM(SUBSTITUTE(INDEX('Term investments'!$B:$B,ROW())&amp;""," "," "))</f>
        <v/>
      </c>
      <c r="C35">
        <f>TRIM(SUBSTITUTE(INDEX('Term investments'!$C:$C,ROW())&amp;""," "," "))</f>
        <v/>
      </c>
      <c r="D35">
        <f>IFERROR(--INDEX('Term investments'!$D:$D,ROW()),0)</f>
        <v/>
      </c>
      <c r="E35">
        <f>IFERROR(--INDEX('Term investments'!$E:$E,ROW()),0)</f>
        <v/>
      </c>
      <c r="F35">
        <f>IFERROR(--INDEX('Term investments'!$F:$F,ROW()),0)</f>
        <v/>
      </c>
      <c r="G35">
        <f>IFERROR(IF(--INDEX('Term investments'!$G:$G,ROW())&gt;=1,--INDEX('Term investments'!$G:$G,ROW())/100,--INDEX('Term investments'!$G:$G,ROW())),0)</f>
        <v/>
      </c>
      <c r="H35">
        <f>IFERROR(--INDEX('Term investments'!$H:$H,ROW()),0)</f>
        <v/>
      </c>
      <c r="I35">
        <f>IF(ISNUMBER(INDEX('Term investments'!$G:$G,ROW())),1,0)</f>
        <v/>
      </c>
      <c r="J35">
        <f>TRIM(SUBSTITUTE(INDEX('Call accounts and MMFs'!$A:$A,ROW())&amp;""," "," "))</f>
        <v/>
      </c>
      <c r="K35">
        <f>TRIM(SUBSTITUTE(INDEX('Call accounts and MMFs'!$B:$B,ROW())&amp;""," "," "))</f>
        <v/>
      </c>
      <c r="L35">
        <f>TRIM(SUBSTITUTE(INDEX('Call accounts and MMFs'!$C:$C,ROW())&amp;""," "," "))</f>
        <v/>
      </c>
      <c r="M35">
        <f>IFERROR(--INDEX('Call accounts and MMFs'!$D:$D,ROW()),0)</f>
        <v/>
      </c>
      <c r="N35">
        <f>IFERROR(IF(--INDEX('Call accounts and MMFs'!$E:$E,ROW())&gt;=1,--INDEX('Call accounts and MMFs'!$E:$E,ROW())/100,--INDEX('Call accounts and MMFs'!$E:$E,ROW())),0)</f>
        <v/>
      </c>
      <c r="O35">
        <f>IFERROR(--INDEX('Call accounts and MMFs'!$F:$F,ROW()),0)</f>
        <v/>
      </c>
      <c r="P35">
        <f>IF(ISNUMBER(INDEX('Call accounts and MMFs'!$E:$E,ROW())),1,0)</f>
        <v/>
      </c>
      <c r="Q35">
        <f>TRIM(SUBSTITUTE(INDEX('Pooled funds'!$B:$B,ROW())&amp;""," "," "))</f>
        <v/>
      </c>
      <c r="R35">
        <f>IFERROR(--INDEX('Pooled funds'!$C:$C,ROW()),0)</f>
        <v/>
      </c>
      <c r="S35">
        <f>IFERROR(--INDEX('Pooled funds'!$D:$D,ROW()),0)</f>
        <v/>
      </c>
      <c r="T35">
        <f>IFERROR(IF(--INDEX('Pooled funds'!$E:$E,ROW())&gt;=1,--INDEX('Pooled funds'!$E:$E,ROW())/100,--INDEX('Pooled funds'!$E:$E,ROW())),0)</f>
        <v/>
      </c>
      <c r="U35">
        <f>IF(ISNUMBER(INDEX('Pooled funds'!$E:$E,ROW())),1,0)</f>
        <v/>
      </c>
      <c r="V35">
        <f>TRIM(SUBSTITUTE(INDEX('Loans'!$A:$A,ROW())&amp;""," "," "))</f>
        <v/>
      </c>
      <c r="W35">
        <f>TRIM(SUBSTITUTE(INDEX('Loans'!$B:$B,ROW())&amp;""," "," "))</f>
        <v/>
      </c>
      <c r="X35">
        <f>TRIM(SUBSTITUTE(INDEX('Loans'!$C:$C,ROW())&amp;""," "," "))</f>
        <v/>
      </c>
      <c r="Y35">
        <f>IFERROR(--INDEX('Loans'!$D:$D,ROW()),0)</f>
        <v/>
      </c>
      <c r="Z35">
        <f>IFERROR(--INDEX('Loans'!$E:$E,ROW()),0)</f>
        <v/>
      </c>
      <c r="AA35">
        <f>IFERROR(--INDEX('Loans'!$F:$F,ROW()),0)</f>
        <v/>
      </c>
      <c r="AB35">
        <f>IFERROR(IF(--INDEX('Loans'!$G:$G,ROW())&gt;=1,--INDEX('Loans'!$G:$G,ROW())/100,--INDEX('Loans'!$G:$G,ROW())),0)</f>
        <v/>
      </c>
      <c r="AC35">
        <f>TRIM(SUBSTITUTE(INDEX('Loans'!$H:$H,ROW())&amp;""," "," "))</f>
        <v/>
      </c>
      <c r="AD35">
        <f>TRIM(SUBSTITUTE(INDEX('Loans'!$I:$I,ROW())&amp;""," "," "))</f>
        <v/>
      </c>
      <c r="AE35">
        <f>IFERROR(--INDEX('Loans'!$J:$J,ROW()),0)</f>
        <v/>
      </c>
      <c r="AF35">
        <f>TRIM(SUBSTITUTE(INDEX('Loans'!$K:$K,ROW())&amp;""," "," "))</f>
        <v/>
      </c>
      <c r="AG35">
        <f>IFERROR(--INDEX('Loans'!$L:$L,ROW()),0)</f>
        <v/>
      </c>
      <c r="AH35">
        <f>IF(ISNUMBER(INDEX('Loans'!$G:$G,ROW())),1,0)</f>
        <v/>
      </c>
    </row>
    <row r="36">
      <c r="A36">
        <f>TRIM(SUBSTITUTE(INDEX('Term investments'!$A:$A,ROW())&amp;""," "," "))</f>
        <v/>
      </c>
      <c r="B36">
        <f>TRIM(SUBSTITUTE(INDEX('Term investments'!$B:$B,ROW())&amp;""," "," "))</f>
        <v/>
      </c>
      <c r="C36">
        <f>TRIM(SUBSTITUTE(INDEX('Term investments'!$C:$C,ROW())&amp;""," "," "))</f>
        <v/>
      </c>
      <c r="D36">
        <f>IFERROR(--INDEX('Term investments'!$D:$D,ROW()),0)</f>
        <v/>
      </c>
      <c r="E36">
        <f>IFERROR(--INDEX('Term investments'!$E:$E,ROW()),0)</f>
        <v/>
      </c>
      <c r="F36">
        <f>IFERROR(--INDEX('Term investments'!$F:$F,ROW()),0)</f>
        <v/>
      </c>
      <c r="G36">
        <f>IFERROR(IF(--INDEX('Term investments'!$G:$G,ROW())&gt;=1,--INDEX('Term investments'!$G:$G,ROW())/100,--INDEX('Term investments'!$G:$G,ROW())),0)</f>
        <v/>
      </c>
      <c r="H36">
        <f>IFERROR(--INDEX('Term investments'!$H:$H,ROW()),0)</f>
        <v/>
      </c>
      <c r="I36">
        <f>IF(ISNUMBER(INDEX('Term investments'!$G:$G,ROW())),1,0)</f>
        <v/>
      </c>
      <c r="J36">
        <f>TRIM(SUBSTITUTE(INDEX('Call accounts and MMFs'!$A:$A,ROW())&amp;""," "," "))</f>
        <v/>
      </c>
      <c r="K36">
        <f>TRIM(SUBSTITUTE(INDEX('Call accounts and MMFs'!$B:$B,ROW())&amp;""," "," "))</f>
        <v/>
      </c>
      <c r="L36">
        <f>TRIM(SUBSTITUTE(INDEX('Call accounts and MMFs'!$C:$C,ROW())&amp;""," "," "))</f>
        <v/>
      </c>
      <c r="M36">
        <f>IFERROR(--INDEX('Call accounts and MMFs'!$D:$D,ROW()),0)</f>
        <v/>
      </c>
      <c r="N36">
        <f>IFERROR(IF(--INDEX('Call accounts and MMFs'!$E:$E,ROW())&gt;=1,--INDEX('Call accounts and MMFs'!$E:$E,ROW())/100,--INDEX('Call accounts and MMFs'!$E:$E,ROW())),0)</f>
        <v/>
      </c>
      <c r="O36">
        <f>IFERROR(--INDEX('Call accounts and MMFs'!$F:$F,ROW()),0)</f>
        <v/>
      </c>
      <c r="P36">
        <f>IF(ISNUMBER(INDEX('Call accounts and MMFs'!$E:$E,ROW())),1,0)</f>
        <v/>
      </c>
      <c r="Q36">
        <f>TRIM(SUBSTITUTE(INDEX('Pooled funds'!$B:$B,ROW())&amp;""," "," "))</f>
        <v/>
      </c>
      <c r="R36">
        <f>IFERROR(--INDEX('Pooled funds'!$C:$C,ROW()),0)</f>
        <v/>
      </c>
      <c r="S36">
        <f>IFERROR(--INDEX('Pooled funds'!$D:$D,ROW()),0)</f>
        <v/>
      </c>
      <c r="T36">
        <f>IFERROR(IF(--INDEX('Pooled funds'!$E:$E,ROW())&gt;=1,--INDEX('Pooled funds'!$E:$E,ROW())/100,--INDEX('Pooled funds'!$E:$E,ROW())),0)</f>
        <v/>
      </c>
      <c r="U36">
        <f>IF(ISNUMBER(INDEX('Pooled funds'!$E:$E,ROW())),1,0)</f>
        <v/>
      </c>
      <c r="V36">
        <f>TRIM(SUBSTITUTE(INDEX('Loans'!$A:$A,ROW())&amp;""," "," "))</f>
        <v/>
      </c>
      <c r="W36">
        <f>TRIM(SUBSTITUTE(INDEX('Loans'!$B:$B,ROW())&amp;""," "," "))</f>
        <v/>
      </c>
      <c r="X36">
        <f>TRIM(SUBSTITUTE(INDEX('Loans'!$C:$C,ROW())&amp;""," "," "))</f>
        <v/>
      </c>
      <c r="Y36">
        <f>IFERROR(--INDEX('Loans'!$D:$D,ROW()),0)</f>
        <v/>
      </c>
      <c r="Z36">
        <f>IFERROR(--INDEX('Loans'!$E:$E,ROW()),0)</f>
        <v/>
      </c>
      <c r="AA36">
        <f>IFERROR(--INDEX('Loans'!$F:$F,ROW()),0)</f>
        <v/>
      </c>
      <c r="AB36">
        <f>IFERROR(IF(--INDEX('Loans'!$G:$G,ROW())&gt;=1,--INDEX('Loans'!$G:$G,ROW())/100,--INDEX('Loans'!$G:$G,ROW())),0)</f>
        <v/>
      </c>
      <c r="AC36">
        <f>TRIM(SUBSTITUTE(INDEX('Loans'!$H:$H,ROW())&amp;""," "," "))</f>
        <v/>
      </c>
      <c r="AD36">
        <f>TRIM(SUBSTITUTE(INDEX('Loans'!$I:$I,ROW())&amp;""," "," "))</f>
        <v/>
      </c>
      <c r="AE36">
        <f>IFERROR(--INDEX('Loans'!$J:$J,ROW()),0)</f>
        <v/>
      </c>
      <c r="AF36">
        <f>TRIM(SUBSTITUTE(INDEX('Loans'!$K:$K,ROW())&amp;""," "," "))</f>
        <v/>
      </c>
      <c r="AG36">
        <f>IFERROR(--INDEX('Loans'!$L:$L,ROW()),0)</f>
        <v/>
      </c>
      <c r="AH36">
        <f>IF(ISNUMBER(INDEX('Loans'!$G:$G,ROW())),1,0)</f>
        <v/>
      </c>
    </row>
    <row r="37">
      <c r="A37">
        <f>TRIM(SUBSTITUTE(INDEX('Term investments'!$A:$A,ROW())&amp;""," "," "))</f>
        <v/>
      </c>
      <c r="B37">
        <f>TRIM(SUBSTITUTE(INDEX('Term investments'!$B:$B,ROW())&amp;""," "," "))</f>
        <v/>
      </c>
      <c r="C37">
        <f>TRIM(SUBSTITUTE(INDEX('Term investments'!$C:$C,ROW())&amp;""," "," "))</f>
        <v/>
      </c>
      <c r="D37">
        <f>IFERROR(--INDEX('Term investments'!$D:$D,ROW()),0)</f>
        <v/>
      </c>
      <c r="E37">
        <f>IFERROR(--INDEX('Term investments'!$E:$E,ROW()),0)</f>
        <v/>
      </c>
      <c r="F37">
        <f>IFERROR(--INDEX('Term investments'!$F:$F,ROW()),0)</f>
        <v/>
      </c>
      <c r="G37">
        <f>IFERROR(IF(--INDEX('Term investments'!$G:$G,ROW())&gt;=1,--INDEX('Term investments'!$G:$G,ROW())/100,--INDEX('Term investments'!$G:$G,ROW())),0)</f>
        <v/>
      </c>
      <c r="H37">
        <f>IFERROR(--INDEX('Term investments'!$H:$H,ROW()),0)</f>
        <v/>
      </c>
      <c r="I37">
        <f>IF(ISNUMBER(INDEX('Term investments'!$G:$G,ROW())),1,0)</f>
        <v/>
      </c>
      <c r="J37">
        <f>TRIM(SUBSTITUTE(INDEX('Call accounts and MMFs'!$A:$A,ROW())&amp;""," "," "))</f>
        <v/>
      </c>
      <c r="K37">
        <f>TRIM(SUBSTITUTE(INDEX('Call accounts and MMFs'!$B:$B,ROW())&amp;""," "," "))</f>
        <v/>
      </c>
      <c r="L37">
        <f>TRIM(SUBSTITUTE(INDEX('Call accounts and MMFs'!$C:$C,ROW())&amp;""," "," "))</f>
        <v/>
      </c>
      <c r="M37">
        <f>IFERROR(--INDEX('Call accounts and MMFs'!$D:$D,ROW()),0)</f>
        <v/>
      </c>
      <c r="N37">
        <f>IFERROR(IF(--INDEX('Call accounts and MMFs'!$E:$E,ROW())&gt;=1,--INDEX('Call accounts and MMFs'!$E:$E,ROW())/100,--INDEX('Call accounts and MMFs'!$E:$E,ROW())),0)</f>
        <v/>
      </c>
      <c r="O37">
        <f>IFERROR(--INDEX('Call accounts and MMFs'!$F:$F,ROW()),0)</f>
        <v/>
      </c>
      <c r="P37">
        <f>IF(ISNUMBER(INDEX('Call accounts and MMFs'!$E:$E,ROW())),1,0)</f>
        <v/>
      </c>
      <c r="Q37">
        <f>TRIM(SUBSTITUTE(INDEX('Pooled funds'!$B:$B,ROW())&amp;""," "," "))</f>
        <v/>
      </c>
      <c r="R37">
        <f>IFERROR(--INDEX('Pooled funds'!$C:$C,ROW()),0)</f>
        <v/>
      </c>
      <c r="S37">
        <f>IFERROR(--INDEX('Pooled funds'!$D:$D,ROW()),0)</f>
        <v/>
      </c>
      <c r="T37">
        <f>IFERROR(IF(--INDEX('Pooled funds'!$E:$E,ROW())&gt;=1,--INDEX('Pooled funds'!$E:$E,ROW())/100,--INDEX('Pooled funds'!$E:$E,ROW())),0)</f>
        <v/>
      </c>
      <c r="U37">
        <f>IF(ISNUMBER(INDEX('Pooled funds'!$E:$E,ROW())),1,0)</f>
        <v/>
      </c>
      <c r="V37">
        <f>TRIM(SUBSTITUTE(INDEX('Loans'!$A:$A,ROW())&amp;""," "," "))</f>
        <v/>
      </c>
      <c r="W37">
        <f>TRIM(SUBSTITUTE(INDEX('Loans'!$B:$B,ROW())&amp;""," "," "))</f>
        <v/>
      </c>
      <c r="X37">
        <f>TRIM(SUBSTITUTE(INDEX('Loans'!$C:$C,ROW())&amp;""," "," "))</f>
        <v/>
      </c>
      <c r="Y37">
        <f>IFERROR(--INDEX('Loans'!$D:$D,ROW()),0)</f>
        <v/>
      </c>
      <c r="Z37">
        <f>IFERROR(--INDEX('Loans'!$E:$E,ROW()),0)</f>
        <v/>
      </c>
      <c r="AA37">
        <f>IFERROR(--INDEX('Loans'!$F:$F,ROW()),0)</f>
        <v/>
      </c>
      <c r="AB37">
        <f>IFERROR(IF(--INDEX('Loans'!$G:$G,ROW())&gt;=1,--INDEX('Loans'!$G:$G,ROW())/100,--INDEX('Loans'!$G:$G,ROW())),0)</f>
        <v/>
      </c>
      <c r="AC37">
        <f>TRIM(SUBSTITUTE(INDEX('Loans'!$H:$H,ROW())&amp;""," "," "))</f>
        <v/>
      </c>
      <c r="AD37">
        <f>TRIM(SUBSTITUTE(INDEX('Loans'!$I:$I,ROW())&amp;""," "," "))</f>
        <v/>
      </c>
      <c r="AE37">
        <f>IFERROR(--INDEX('Loans'!$J:$J,ROW()),0)</f>
        <v/>
      </c>
      <c r="AF37">
        <f>TRIM(SUBSTITUTE(INDEX('Loans'!$K:$K,ROW())&amp;""," "," "))</f>
        <v/>
      </c>
      <c r="AG37">
        <f>IFERROR(--INDEX('Loans'!$L:$L,ROW()),0)</f>
        <v/>
      </c>
      <c r="AH37">
        <f>IF(ISNUMBER(INDEX('Loans'!$G:$G,ROW())),1,0)</f>
        <v/>
      </c>
    </row>
    <row r="38">
      <c r="A38">
        <f>TRIM(SUBSTITUTE(INDEX('Term investments'!$A:$A,ROW())&amp;""," "," "))</f>
        <v/>
      </c>
      <c r="B38">
        <f>TRIM(SUBSTITUTE(INDEX('Term investments'!$B:$B,ROW())&amp;""," "," "))</f>
        <v/>
      </c>
      <c r="C38">
        <f>TRIM(SUBSTITUTE(INDEX('Term investments'!$C:$C,ROW())&amp;""," "," "))</f>
        <v/>
      </c>
      <c r="D38">
        <f>IFERROR(--INDEX('Term investments'!$D:$D,ROW()),0)</f>
        <v/>
      </c>
      <c r="E38">
        <f>IFERROR(--INDEX('Term investments'!$E:$E,ROW()),0)</f>
        <v/>
      </c>
      <c r="F38">
        <f>IFERROR(--INDEX('Term investments'!$F:$F,ROW()),0)</f>
        <v/>
      </c>
      <c r="G38">
        <f>IFERROR(IF(--INDEX('Term investments'!$G:$G,ROW())&gt;=1,--INDEX('Term investments'!$G:$G,ROW())/100,--INDEX('Term investments'!$G:$G,ROW())),0)</f>
        <v/>
      </c>
      <c r="H38">
        <f>IFERROR(--INDEX('Term investments'!$H:$H,ROW()),0)</f>
        <v/>
      </c>
      <c r="I38">
        <f>IF(ISNUMBER(INDEX('Term investments'!$G:$G,ROW())),1,0)</f>
        <v/>
      </c>
      <c r="J38">
        <f>TRIM(SUBSTITUTE(INDEX('Call accounts and MMFs'!$A:$A,ROW())&amp;""," "," "))</f>
        <v/>
      </c>
      <c r="K38">
        <f>TRIM(SUBSTITUTE(INDEX('Call accounts and MMFs'!$B:$B,ROW())&amp;""," "," "))</f>
        <v/>
      </c>
      <c r="L38">
        <f>TRIM(SUBSTITUTE(INDEX('Call accounts and MMFs'!$C:$C,ROW())&amp;""," "," "))</f>
        <v/>
      </c>
      <c r="M38">
        <f>IFERROR(--INDEX('Call accounts and MMFs'!$D:$D,ROW()),0)</f>
        <v/>
      </c>
      <c r="N38">
        <f>IFERROR(IF(--INDEX('Call accounts and MMFs'!$E:$E,ROW())&gt;=1,--INDEX('Call accounts and MMFs'!$E:$E,ROW())/100,--INDEX('Call accounts and MMFs'!$E:$E,ROW())),0)</f>
        <v/>
      </c>
      <c r="O38">
        <f>IFERROR(--INDEX('Call accounts and MMFs'!$F:$F,ROW()),0)</f>
        <v/>
      </c>
      <c r="P38">
        <f>IF(ISNUMBER(INDEX('Call accounts and MMFs'!$E:$E,ROW())),1,0)</f>
        <v/>
      </c>
      <c r="Q38">
        <f>TRIM(SUBSTITUTE(INDEX('Pooled funds'!$B:$B,ROW())&amp;""," "," "))</f>
        <v/>
      </c>
      <c r="R38">
        <f>IFERROR(--INDEX('Pooled funds'!$C:$C,ROW()),0)</f>
        <v/>
      </c>
      <c r="S38">
        <f>IFERROR(--INDEX('Pooled funds'!$D:$D,ROW()),0)</f>
        <v/>
      </c>
      <c r="T38">
        <f>IFERROR(IF(--INDEX('Pooled funds'!$E:$E,ROW())&gt;=1,--INDEX('Pooled funds'!$E:$E,ROW())/100,--INDEX('Pooled funds'!$E:$E,ROW())),0)</f>
        <v/>
      </c>
      <c r="U38">
        <f>IF(ISNUMBER(INDEX('Pooled funds'!$E:$E,ROW())),1,0)</f>
        <v/>
      </c>
      <c r="V38">
        <f>TRIM(SUBSTITUTE(INDEX('Loans'!$A:$A,ROW())&amp;""," "," "))</f>
        <v/>
      </c>
      <c r="W38">
        <f>TRIM(SUBSTITUTE(INDEX('Loans'!$B:$B,ROW())&amp;""," "," "))</f>
        <v/>
      </c>
      <c r="X38">
        <f>TRIM(SUBSTITUTE(INDEX('Loans'!$C:$C,ROW())&amp;""," "," "))</f>
        <v/>
      </c>
      <c r="Y38">
        <f>IFERROR(--INDEX('Loans'!$D:$D,ROW()),0)</f>
        <v/>
      </c>
      <c r="Z38">
        <f>IFERROR(--INDEX('Loans'!$E:$E,ROW()),0)</f>
        <v/>
      </c>
      <c r="AA38">
        <f>IFERROR(--INDEX('Loans'!$F:$F,ROW()),0)</f>
        <v/>
      </c>
      <c r="AB38">
        <f>IFERROR(IF(--INDEX('Loans'!$G:$G,ROW())&gt;=1,--INDEX('Loans'!$G:$G,ROW())/100,--INDEX('Loans'!$G:$G,ROW())),0)</f>
        <v/>
      </c>
      <c r="AC38">
        <f>TRIM(SUBSTITUTE(INDEX('Loans'!$H:$H,ROW())&amp;""," "," "))</f>
        <v/>
      </c>
      <c r="AD38">
        <f>TRIM(SUBSTITUTE(INDEX('Loans'!$I:$I,ROW())&amp;""," "," "))</f>
        <v/>
      </c>
      <c r="AE38">
        <f>IFERROR(--INDEX('Loans'!$J:$J,ROW()),0)</f>
        <v/>
      </c>
      <c r="AF38">
        <f>TRIM(SUBSTITUTE(INDEX('Loans'!$K:$K,ROW())&amp;""," "," "))</f>
        <v/>
      </c>
      <c r="AG38">
        <f>IFERROR(--INDEX('Loans'!$L:$L,ROW()),0)</f>
        <v/>
      </c>
      <c r="AH38">
        <f>IF(ISNUMBER(INDEX('Loans'!$G:$G,ROW())),1,0)</f>
        <v/>
      </c>
    </row>
    <row r="39">
      <c r="A39">
        <f>TRIM(SUBSTITUTE(INDEX('Term investments'!$A:$A,ROW())&amp;""," "," "))</f>
        <v/>
      </c>
      <c r="B39">
        <f>TRIM(SUBSTITUTE(INDEX('Term investments'!$B:$B,ROW())&amp;""," "," "))</f>
        <v/>
      </c>
      <c r="C39">
        <f>TRIM(SUBSTITUTE(INDEX('Term investments'!$C:$C,ROW())&amp;""," "," "))</f>
        <v/>
      </c>
      <c r="D39">
        <f>IFERROR(--INDEX('Term investments'!$D:$D,ROW()),0)</f>
        <v/>
      </c>
      <c r="E39">
        <f>IFERROR(--INDEX('Term investments'!$E:$E,ROW()),0)</f>
        <v/>
      </c>
      <c r="F39">
        <f>IFERROR(--INDEX('Term investments'!$F:$F,ROW()),0)</f>
        <v/>
      </c>
      <c r="G39">
        <f>IFERROR(IF(--INDEX('Term investments'!$G:$G,ROW())&gt;=1,--INDEX('Term investments'!$G:$G,ROW())/100,--INDEX('Term investments'!$G:$G,ROW())),0)</f>
        <v/>
      </c>
      <c r="H39">
        <f>IFERROR(--INDEX('Term investments'!$H:$H,ROW()),0)</f>
        <v/>
      </c>
      <c r="I39">
        <f>IF(ISNUMBER(INDEX('Term investments'!$G:$G,ROW())),1,0)</f>
        <v/>
      </c>
      <c r="J39">
        <f>TRIM(SUBSTITUTE(INDEX('Call accounts and MMFs'!$A:$A,ROW())&amp;""," "," "))</f>
        <v/>
      </c>
      <c r="K39">
        <f>TRIM(SUBSTITUTE(INDEX('Call accounts and MMFs'!$B:$B,ROW())&amp;""," "," "))</f>
        <v/>
      </c>
      <c r="L39">
        <f>TRIM(SUBSTITUTE(INDEX('Call accounts and MMFs'!$C:$C,ROW())&amp;""," "," "))</f>
        <v/>
      </c>
      <c r="M39">
        <f>IFERROR(--INDEX('Call accounts and MMFs'!$D:$D,ROW()),0)</f>
        <v/>
      </c>
      <c r="N39">
        <f>IFERROR(IF(--INDEX('Call accounts and MMFs'!$E:$E,ROW())&gt;=1,--INDEX('Call accounts and MMFs'!$E:$E,ROW())/100,--INDEX('Call accounts and MMFs'!$E:$E,ROW())),0)</f>
        <v/>
      </c>
      <c r="O39">
        <f>IFERROR(--INDEX('Call accounts and MMFs'!$F:$F,ROW()),0)</f>
        <v/>
      </c>
      <c r="P39">
        <f>IF(ISNUMBER(INDEX('Call accounts and MMFs'!$E:$E,ROW())),1,0)</f>
        <v/>
      </c>
      <c r="Q39">
        <f>TRIM(SUBSTITUTE(INDEX('Pooled funds'!$B:$B,ROW())&amp;""," "," "))</f>
        <v/>
      </c>
      <c r="R39">
        <f>IFERROR(--INDEX('Pooled funds'!$C:$C,ROW()),0)</f>
        <v/>
      </c>
      <c r="S39">
        <f>IFERROR(--INDEX('Pooled funds'!$D:$D,ROW()),0)</f>
        <v/>
      </c>
      <c r="T39">
        <f>IFERROR(IF(--INDEX('Pooled funds'!$E:$E,ROW())&gt;=1,--INDEX('Pooled funds'!$E:$E,ROW())/100,--INDEX('Pooled funds'!$E:$E,ROW())),0)</f>
        <v/>
      </c>
      <c r="U39">
        <f>IF(ISNUMBER(INDEX('Pooled funds'!$E:$E,ROW())),1,0)</f>
        <v/>
      </c>
      <c r="V39">
        <f>TRIM(SUBSTITUTE(INDEX('Loans'!$A:$A,ROW())&amp;""," "," "))</f>
        <v/>
      </c>
      <c r="W39">
        <f>TRIM(SUBSTITUTE(INDEX('Loans'!$B:$B,ROW())&amp;""," "," "))</f>
        <v/>
      </c>
      <c r="X39">
        <f>TRIM(SUBSTITUTE(INDEX('Loans'!$C:$C,ROW())&amp;""," "," "))</f>
        <v/>
      </c>
      <c r="Y39">
        <f>IFERROR(--INDEX('Loans'!$D:$D,ROW()),0)</f>
        <v/>
      </c>
      <c r="Z39">
        <f>IFERROR(--INDEX('Loans'!$E:$E,ROW()),0)</f>
        <v/>
      </c>
      <c r="AA39">
        <f>IFERROR(--INDEX('Loans'!$F:$F,ROW()),0)</f>
        <v/>
      </c>
      <c r="AB39">
        <f>IFERROR(IF(--INDEX('Loans'!$G:$G,ROW())&gt;=1,--INDEX('Loans'!$G:$G,ROW())/100,--INDEX('Loans'!$G:$G,ROW())),0)</f>
        <v/>
      </c>
      <c r="AC39">
        <f>TRIM(SUBSTITUTE(INDEX('Loans'!$H:$H,ROW())&amp;""," "," "))</f>
        <v/>
      </c>
      <c r="AD39">
        <f>TRIM(SUBSTITUTE(INDEX('Loans'!$I:$I,ROW())&amp;""," "," "))</f>
        <v/>
      </c>
      <c r="AE39">
        <f>IFERROR(--INDEX('Loans'!$J:$J,ROW()),0)</f>
        <v/>
      </c>
      <c r="AF39">
        <f>TRIM(SUBSTITUTE(INDEX('Loans'!$K:$K,ROW())&amp;""," "," "))</f>
        <v/>
      </c>
      <c r="AG39">
        <f>IFERROR(--INDEX('Loans'!$L:$L,ROW()),0)</f>
        <v/>
      </c>
      <c r="AH39">
        <f>IF(ISNUMBER(INDEX('Loans'!$G:$G,ROW())),1,0)</f>
        <v/>
      </c>
    </row>
    <row r="40">
      <c r="A40">
        <f>TRIM(SUBSTITUTE(INDEX('Term investments'!$A:$A,ROW())&amp;""," "," "))</f>
        <v/>
      </c>
      <c r="B40">
        <f>TRIM(SUBSTITUTE(INDEX('Term investments'!$B:$B,ROW())&amp;""," "," "))</f>
        <v/>
      </c>
      <c r="C40">
        <f>TRIM(SUBSTITUTE(INDEX('Term investments'!$C:$C,ROW())&amp;""," "," "))</f>
        <v/>
      </c>
      <c r="D40">
        <f>IFERROR(--INDEX('Term investments'!$D:$D,ROW()),0)</f>
        <v/>
      </c>
      <c r="E40">
        <f>IFERROR(--INDEX('Term investments'!$E:$E,ROW()),0)</f>
        <v/>
      </c>
      <c r="F40">
        <f>IFERROR(--INDEX('Term investments'!$F:$F,ROW()),0)</f>
        <v/>
      </c>
      <c r="G40">
        <f>IFERROR(IF(--INDEX('Term investments'!$G:$G,ROW())&gt;=1,--INDEX('Term investments'!$G:$G,ROW())/100,--INDEX('Term investments'!$G:$G,ROW())),0)</f>
        <v/>
      </c>
      <c r="H40">
        <f>IFERROR(--INDEX('Term investments'!$H:$H,ROW()),0)</f>
        <v/>
      </c>
      <c r="I40">
        <f>IF(ISNUMBER(INDEX('Term investments'!$G:$G,ROW())),1,0)</f>
        <v/>
      </c>
      <c r="J40">
        <f>TRIM(SUBSTITUTE(INDEX('Call accounts and MMFs'!$A:$A,ROW())&amp;""," "," "))</f>
        <v/>
      </c>
      <c r="K40">
        <f>TRIM(SUBSTITUTE(INDEX('Call accounts and MMFs'!$B:$B,ROW())&amp;""," "," "))</f>
        <v/>
      </c>
      <c r="L40">
        <f>TRIM(SUBSTITUTE(INDEX('Call accounts and MMFs'!$C:$C,ROW())&amp;""," "," "))</f>
        <v/>
      </c>
      <c r="M40">
        <f>IFERROR(--INDEX('Call accounts and MMFs'!$D:$D,ROW()),0)</f>
        <v/>
      </c>
      <c r="N40">
        <f>IFERROR(IF(--INDEX('Call accounts and MMFs'!$E:$E,ROW())&gt;=1,--INDEX('Call accounts and MMFs'!$E:$E,ROW())/100,--INDEX('Call accounts and MMFs'!$E:$E,ROW())),0)</f>
        <v/>
      </c>
      <c r="O40">
        <f>IFERROR(--INDEX('Call accounts and MMFs'!$F:$F,ROW()),0)</f>
        <v/>
      </c>
      <c r="P40">
        <f>IF(ISNUMBER(INDEX('Call accounts and MMFs'!$E:$E,ROW())),1,0)</f>
        <v/>
      </c>
      <c r="Q40">
        <f>TRIM(SUBSTITUTE(INDEX('Pooled funds'!$B:$B,ROW())&amp;""," "," "))</f>
        <v/>
      </c>
      <c r="R40">
        <f>IFERROR(--INDEX('Pooled funds'!$C:$C,ROW()),0)</f>
        <v/>
      </c>
      <c r="S40">
        <f>IFERROR(--INDEX('Pooled funds'!$D:$D,ROW()),0)</f>
        <v/>
      </c>
      <c r="T40">
        <f>IFERROR(IF(--INDEX('Pooled funds'!$E:$E,ROW())&gt;=1,--INDEX('Pooled funds'!$E:$E,ROW())/100,--INDEX('Pooled funds'!$E:$E,ROW())),0)</f>
        <v/>
      </c>
      <c r="U40">
        <f>IF(ISNUMBER(INDEX('Pooled funds'!$E:$E,ROW())),1,0)</f>
        <v/>
      </c>
      <c r="V40">
        <f>TRIM(SUBSTITUTE(INDEX('Loans'!$A:$A,ROW())&amp;""," "," "))</f>
        <v/>
      </c>
      <c r="W40">
        <f>TRIM(SUBSTITUTE(INDEX('Loans'!$B:$B,ROW())&amp;""," "," "))</f>
        <v/>
      </c>
      <c r="X40">
        <f>TRIM(SUBSTITUTE(INDEX('Loans'!$C:$C,ROW())&amp;""," "," "))</f>
        <v/>
      </c>
      <c r="Y40">
        <f>IFERROR(--INDEX('Loans'!$D:$D,ROW()),0)</f>
        <v/>
      </c>
      <c r="Z40">
        <f>IFERROR(--INDEX('Loans'!$E:$E,ROW()),0)</f>
        <v/>
      </c>
      <c r="AA40">
        <f>IFERROR(--INDEX('Loans'!$F:$F,ROW()),0)</f>
        <v/>
      </c>
      <c r="AB40">
        <f>IFERROR(IF(--INDEX('Loans'!$G:$G,ROW())&gt;=1,--INDEX('Loans'!$G:$G,ROW())/100,--INDEX('Loans'!$G:$G,ROW())),0)</f>
        <v/>
      </c>
      <c r="AC40">
        <f>TRIM(SUBSTITUTE(INDEX('Loans'!$H:$H,ROW())&amp;""," "," "))</f>
        <v/>
      </c>
      <c r="AD40">
        <f>TRIM(SUBSTITUTE(INDEX('Loans'!$I:$I,ROW())&amp;""," "," "))</f>
        <v/>
      </c>
      <c r="AE40">
        <f>IFERROR(--INDEX('Loans'!$J:$J,ROW()),0)</f>
        <v/>
      </c>
      <c r="AF40">
        <f>TRIM(SUBSTITUTE(INDEX('Loans'!$K:$K,ROW())&amp;""," "," "))</f>
        <v/>
      </c>
      <c r="AG40">
        <f>IFERROR(--INDEX('Loans'!$L:$L,ROW()),0)</f>
        <v/>
      </c>
      <c r="AH40">
        <f>IF(ISNUMBER(INDEX('Loans'!$G:$G,ROW())),1,0)</f>
        <v/>
      </c>
    </row>
    <row r="41">
      <c r="A41">
        <f>TRIM(SUBSTITUTE(INDEX('Term investments'!$A:$A,ROW())&amp;""," "," "))</f>
        <v/>
      </c>
      <c r="B41">
        <f>TRIM(SUBSTITUTE(INDEX('Term investments'!$B:$B,ROW())&amp;""," "," "))</f>
        <v/>
      </c>
      <c r="C41">
        <f>TRIM(SUBSTITUTE(INDEX('Term investments'!$C:$C,ROW())&amp;""," "," "))</f>
        <v/>
      </c>
      <c r="D41">
        <f>IFERROR(--INDEX('Term investments'!$D:$D,ROW()),0)</f>
        <v/>
      </c>
      <c r="E41">
        <f>IFERROR(--INDEX('Term investments'!$E:$E,ROW()),0)</f>
        <v/>
      </c>
      <c r="F41">
        <f>IFERROR(--INDEX('Term investments'!$F:$F,ROW()),0)</f>
        <v/>
      </c>
      <c r="G41">
        <f>IFERROR(IF(--INDEX('Term investments'!$G:$G,ROW())&gt;=1,--INDEX('Term investments'!$G:$G,ROW())/100,--INDEX('Term investments'!$G:$G,ROW())),0)</f>
        <v/>
      </c>
      <c r="H41">
        <f>IFERROR(--INDEX('Term investments'!$H:$H,ROW()),0)</f>
        <v/>
      </c>
      <c r="I41">
        <f>IF(ISNUMBER(INDEX('Term investments'!$G:$G,ROW())),1,0)</f>
        <v/>
      </c>
      <c r="J41">
        <f>TRIM(SUBSTITUTE(INDEX('Call accounts and MMFs'!$A:$A,ROW())&amp;""," "," "))</f>
        <v/>
      </c>
      <c r="K41">
        <f>TRIM(SUBSTITUTE(INDEX('Call accounts and MMFs'!$B:$B,ROW())&amp;""," "," "))</f>
        <v/>
      </c>
      <c r="L41">
        <f>TRIM(SUBSTITUTE(INDEX('Call accounts and MMFs'!$C:$C,ROW())&amp;""," "," "))</f>
        <v/>
      </c>
      <c r="M41">
        <f>IFERROR(--INDEX('Call accounts and MMFs'!$D:$D,ROW()),0)</f>
        <v/>
      </c>
      <c r="N41">
        <f>IFERROR(IF(--INDEX('Call accounts and MMFs'!$E:$E,ROW())&gt;=1,--INDEX('Call accounts and MMFs'!$E:$E,ROW())/100,--INDEX('Call accounts and MMFs'!$E:$E,ROW())),0)</f>
        <v/>
      </c>
      <c r="O41">
        <f>IFERROR(--INDEX('Call accounts and MMFs'!$F:$F,ROW()),0)</f>
        <v/>
      </c>
      <c r="P41">
        <f>IF(ISNUMBER(INDEX('Call accounts and MMFs'!$E:$E,ROW())),1,0)</f>
        <v/>
      </c>
      <c r="Q41">
        <f>TRIM(SUBSTITUTE(INDEX('Pooled funds'!$B:$B,ROW())&amp;""," "," "))</f>
        <v/>
      </c>
      <c r="R41">
        <f>IFERROR(--INDEX('Pooled funds'!$C:$C,ROW()),0)</f>
        <v/>
      </c>
      <c r="S41">
        <f>IFERROR(--INDEX('Pooled funds'!$D:$D,ROW()),0)</f>
        <v/>
      </c>
      <c r="T41">
        <f>IFERROR(IF(--INDEX('Pooled funds'!$E:$E,ROW())&gt;=1,--INDEX('Pooled funds'!$E:$E,ROW())/100,--INDEX('Pooled funds'!$E:$E,ROW())),0)</f>
        <v/>
      </c>
      <c r="U41">
        <f>IF(ISNUMBER(INDEX('Pooled funds'!$E:$E,ROW())),1,0)</f>
        <v/>
      </c>
      <c r="V41">
        <f>TRIM(SUBSTITUTE(INDEX('Loans'!$A:$A,ROW())&amp;""," "," "))</f>
        <v/>
      </c>
      <c r="W41">
        <f>TRIM(SUBSTITUTE(INDEX('Loans'!$B:$B,ROW())&amp;""," "," "))</f>
        <v/>
      </c>
      <c r="X41">
        <f>TRIM(SUBSTITUTE(INDEX('Loans'!$C:$C,ROW())&amp;""," "," "))</f>
        <v/>
      </c>
      <c r="Y41">
        <f>IFERROR(--INDEX('Loans'!$D:$D,ROW()),0)</f>
        <v/>
      </c>
      <c r="Z41">
        <f>IFERROR(--INDEX('Loans'!$E:$E,ROW()),0)</f>
        <v/>
      </c>
      <c r="AA41">
        <f>IFERROR(--INDEX('Loans'!$F:$F,ROW()),0)</f>
        <v/>
      </c>
      <c r="AB41">
        <f>IFERROR(IF(--INDEX('Loans'!$G:$G,ROW())&gt;=1,--INDEX('Loans'!$G:$G,ROW())/100,--INDEX('Loans'!$G:$G,ROW())),0)</f>
        <v/>
      </c>
      <c r="AC41">
        <f>TRIM(SUBSTITUTE(INDEX('Loans'!$H:$H,ROW())&amp;""," "," "))</f>
        <v/>
      </c>
      <c r="AD41">
        <f>TRIM(SUBSTITUTE(INDEX('Loans'!$I:$I,ROW())&amp;""," "," "))</f>
        <v/>
      </c>
      <c r="AE41">
        <f>IFERROR(--INDEX('Loans'!$J:$J,ROW()),0)</f>
        <v/>
      </c>
      <c r="AF41">
        <f>TRIM(SUBSTITUTE(INDEX('Loans'!$K:$K,ROW())&amp;""," "," "))</f>
        <v/>
      </c>
      <c r="AG41">
        <f>IFERROR(--INDEX('Loans'!$L:$L,ROW()),0)</f>
        <v/>
      </c>
      <c r="AH41">
        <f>IF(ISNUMBER(INDEX('Loans'!$G:$G,ROW())),1,0)</f>
        <v/>
      </c>
    </row>
    <row r="42">
      <c r="A42">
        <f>TRIM(SUBSTITUTE(INDEX('Term investments'!$A:$A,ROW())&amp;""," "," "))</f>
        <v/>
      </c>
      <c r="B42">
        <f>TRIM(SUBSTITUTE(INDEX('Term investments'!$B:$B,ROW())&amp;""," "," "))</f>
        <v/>
      </c>
      <c r="C42">
        <f>TRIM(SUBSTITUTE(INDEX('Term investments'!$C:$C,ROW())&amp;""," "," "))</f>
        <v/>
      </c>
      <c r="D42">
        <f>IFERROR(--INDEX('Term investments'!$D:$D,ROW()),0)</f>
        <v/>
      </c>
      <c r="E42">
        <f>IFERROR(--INDEX('Term investments'!$E:$E,ROW()),0)</f>
        <v/>
      </c>
      <c r="F42">
        <f>IFERROR(--INDEX('Term investments'!$F:$F,ROW()),0)</f>
        <v/>
      </c>
      <c r="G42">
        <f>IFERROR(IF(--INDEX('Term investments'!$G:$G,ROW())&gt;=1,--INDEX('Term investments'!$G:$G,ROW())/100,--INDEX('Term investments'!$G:$G,ROW())),0)</f>
        <v/>
      </c>
      <c r="H42">
        <f>IFERROR(--INDEX('Term investments'!$H:$H,ROW()),0)</f>
        <v/>
      </c>
      <c r="I42">
        <f>IF(ISNUMBER(INDEX('Term investments'!$G:$G,ROW())),1,0)</f>
        <v/>
      </c>
      <c r="J42">
        <f>TRIM(SUBSTITUTE(INDEX('Call accounts and MMFs'!$A:$A,ROW())&amp;""," "," "))</f>
        <v/>
      </c>
      <c r="K42">
        <f>TRIM(SUBSTITUTE(INDEX('Call accounts and MMFs'!$B:$B,ROW())&amp;""," "," "))</f>
        <v/>
      </c>
      <c r="L42">
        <f>TRIM(SUBSTITUTE(INDEX('Call accounts and MMFs'!$C:$C,ROW())&amp;""," "," "))</f>
        <v/>
      </c>
      <c r="M42">
        <f>IFERROR(--INDEX('Call accounts and MMFs'!$D:$D,ROW()),0)</f>
        <v/>
      </c>
      <c r="N42">
        <f>IFERROR(IF(--INDEX('Call accounts and MMFs'!$E:$E,ROW())&gt;=1,--INDEX('Call accounts and MMFs'!$E:$E,ROW())/100,--INDEX('Call accounts and MMFs'!$E:$E,ROW())),0)</f>
        <v/>
      </c>
      <c r="O42">
        <f>IFERROR(--INDEX('Call accounts and MMFs'!$F:$F,ROW()),0)</f>
        <v/>
      </c>
      <c r="P42">
        <f>IF(ISNUMBER(INDEX('Call accounts and MMFs'!$E:$E,ROW())),1,0)</f>
        <v/>
      </c>
      <c r="Q42">
        <f>TRIM(SUBSTITUTE(INDEX('Pooled funds'!$B:$B,ROW())&amp;""," "," "))</f>
        <v/>
      </c>
      <c r="R42">
        <f>IFERROR(--INDEX('Pooled funds'!$C:$C,ROW()),0)</f>
        <v/>
      </c>
      <c r="S42">
        <f>IFERROR(--INDEX('Pooled funds'!$D:$D,ROW()),0)</f>
        <v/>
      </c>
      <c r="T42">
        <f>IFERROR(IF(--INDEX('Pooled funds'!$E:$E,ROW())&gt;=1,--INDEX('Pooled funds'!$E:$E,ROW())/100,--INDEX('Pooled funds'!$E:$E,ROW())),0)</f>
        <v/>
      </c>
      <c r="U42">
        <f>IF(ISNUMBER(INDEX('Pooled funds'!$E:$E,ROW())),1,0)</f>
        <v/>
      </c>
      <c r="V42">
        <f>TRIM(SUBSTITUTE(INDEX('Loans'!$A:$A,ROW())&amp;""," "," "))</f>
        <v/>
      </c>
      <c r="W42">
        <f>TRIM(SUBSTITUTE(INDEX('Loans'!$B:$B,ROW())&amp;""," "," "))</f>
        <v/>
      </c>
      <c r="X42">
        <f>TRIM(SUBSTITUTE(INDEX('Loans'!$C:$C,ROW())&amp;""," "," "))</f>
        <v/>
      </c>
      <c r="Y42">
        <f>IFERROR(--INDEX('Loans'!$D:$D,ROW()),0)</f>
        <v/>
      </c>
      <c r="Z42">
        <f>IFERROR(--INDEX('Loans'!$E:$E,ROW()),0)</f>
        <v/>
      </c>
      <c r="AA42">
        <f>IFERROR(--INDEX('Loans'!$F:$F,ROW()),0)</f>
        <v/>
      </c>
      <c r="AB42">
        <f>IFERROR(IF(--INDEX('Loans'!$G:$G,ROW())&gt;=1,--INDEX('Loans'!$G:$G,ROW())/100,--INDEX('Loans'!$G:$G,ROW())),0)</f>
        <v/>
      </c>
      <c r="AC42">
        <f>TRIM(SUBSTITUTE(INDEX('Loans'!$H:$H,ROW())&amp;""," "," "))</f>
        <v/>
      </c>
      <c r="AD42">
        <f>TRIM(SUBSTITUTE(INDEX('Loans'!$I:$I,ROW())&amp;""," "," "))</f>
        <v/>
      </c>
      <c r="AE42">
        <f>IFERROR(--INDEX('Loans'!$J:$J,ROW()),0)</f>
        <v/>
      </c>
      <c r="AF42">
        <f>TRIM(SUBSTITUTE(INDEX('Loans'!$K:$K,ROW())&amp;""," "," "))</f>
        <v/>
      </c>
      <c r="AG42">
        <f>IFERROR(--INDEX('Loans'!$L:$L,ROW()),0)</f>
        <v/>
      </c>
      <c r="AH42">
        <f>IF(ISNUMBER(INDEX('Loans'!$G:$G,ROW())),1,0)</f>
        <v/>
      </c>
    </row>
    <row r="43">
      <c r="A43">
        <f>TRIM(SUBSTITUTE(INDEX('Term investments'!$A:$A,ROW())&amp;""," "," "))</f>
        <v/>
      </c>
      <c r="B43">
        <f>TRIM(SUBSTITUTE(INDEX('Term investments'!$B:$B,ROW())&amp;""," "," "))</f>
        <v/>
      </c>
      <c r="C43">
        <f>TRIM(SUBSTITUTE(INDEX('Term investments'!$C:$C,ROW())&amp;""," "," "))</f>
        <v/>
      </c>
      <c r="D43">
        <f>IFERROR(--INDEX('Term investments'!$D:$D,ROW()),0)</f>
        <v/>
      </c>
      <c r="E43">
        <f>IFERROR(--INDEX('Term investments'!$E:$E,ROW()),0)</f>
        <v/>
      </c>
      <c r="F43">
        <f>IFERROR(--INDEX('Term investments'!$F:$F,ROW()),0)</f>
        <v/>
      </c>
      <c r="G43">
        <f>IFERROR(IF(--INDEX('Term investments'!$G:$G,ROW())&gt;=1,--INDEX('Term investments'!$G:$G,ROW())/100,--INDEX('Term investments'!$G:$G,ROW())),0)</f>
        <v/>
      </c>
      <c r="H43">
        <f>IFERROR(--INDEX('Term investments'!$H:$H,ROW()),0)</f>
        <v/>
      </c>
      <c r="I43">
        <f>IF(ISNUMBER(INDEX('Term investments'!$G:$G,ROW())),1,0)</f>
        <v/>
      </c>
      <c r="J43">
        <f>TRIM(SUBSTITUTE(INDEX('Call accounts and MMFs'!$A:$A,ROW())&amp;""," "," "))</f>
        <v/>
      </c>
      <c r="K43">
        <f>TRIM(SUBSTITUTE(INDEX('Call accounts and MMFs'!$B:$B,ROW())&amp;""," "," "))</f>
        <v/>
      </c>
      <c r="L43">
        <f>TRIM(SUBSTITUTE(INDEX('Call accounts and MMFs'!$C:$C,ROW())&amp;""," "," "))</f>
        <v/>
      </c>
      <c r="M43">
        <f>IFERROR(--INDEX('Call accounts and MMFs'!$D:$D,ROW()),0)</f>
        <v/>
      </c>
      <c r="N43">
        <f>IFERROR(IF(--INDEX('Call accounts and MMFs'!$E:$E,ROW())&gt;=1,--INDEX('Call accounts and MMFs'!$E:$E,ROW())/100,--INDEX('Call accounts and MMFs'!$E:$E,ROW())),0)</f>
        <v/>
      </c>
      <c r="O43">
        <f>IFERROR(--INDEX('Call accounts and MMFs'!$F:$F,ROW()),0)</f>
        <v/>
      </c>
      <c r="P43">
        <f>IF(ISNUMBER(INDEX('Call accounts and MMFs'!$E:$E,ROW())),1,0)</f>
        <v/>
      </c>
      <c r="Q43">
        <f>TRIM(SUBSTITUTE(INDEX('Pooled funds'!$B:$B,ROW())&amp;""," "," "))</f>
        <v/>
      </c>
      <c r="R43">
        <f>IFERROR(--INDEX('Pooled funds'!$C:$C,ROW()),0)</f>
        <v/>
      </c>
      <c r="S43">
        <f>IFERROR(--INDEX('Pooled funds'!$D:$D,ROW()),0)</f>
        <v/>
      </c>
      <c r="T43">
        <f>IFERROR(IF(--INDEX('Pooled funds'!$E:$E,ROW())&gt;=1,--INDEX('Pooled funds'!$E:$E,ROW())/100,--INDEX('Pooled funds'!$E:$E,ROW())),0)</f>
        <v/>
      </c>
      <c r="U43">
        <f>IF(ISNUMBER(INDEX('Pooled funds'!$E:$E,ROW())),1,0)</f>
        <v/>
      </c>
      <c r="V43">
        <f>TRIM(SUBSTITUTE(INDEX('Loans'!$A:$A,ROW())&amp;""," "," "))</f>
        <v/>
      </c>
      <c r="W43">
        <f>TRIM(SUBSTITUTE(INDEX('Loans'!$B:$B,ROW())&amp;""," "," "))</f>
        <v/>
      </c>
      <c r="X43">
        <f>TRIM(SUBSTITUTE(INDEX('Loans'!$C:$C,ROW())&amp;""," "," "))</f>
        <v/>
      </c>
      <c r="Y43">
        <f>IFERROR(--INDEX('Loans'!$D:$D,ROW()),0)</f>
        <v/>
      </c>
      <c r="Z43">
        <f>IFERROR(--INDEX('Loans'!$E:$E,ROW()),0)</f>
        <v/>
      </c>
      <c r="AA43">
        <f>IFERROR(--INDEX('Loans'!$F:$F,ROW()),0)</f>
        <v/>
      </c>
      <c r="AB43">
        <f>IFERROR(IF(--INDEX('Loans'!$G:$G,ROW())&gt;=1,--INDEX('Loans'!$G:$G,ROW())/100,--INDEX('Loans'!$G:$G,ROW())),0)</f>
        <v/>
      </c>
      <c r="AC43">
        <f>TRIM(SUBSTITUTE(INDEX('Loans'!$H:$H,ROW())&amp;""," "," "))</f>
        <v/>
      </c>
      <c r="AD43">
        <f>TRIM(SUBSTITUTE(INDEX('Loans'!$I:$I,ROW())&amp;""," "," "))</f>
        <v/>
      </c>
      <c r="AE43">
        <f>IFERROR(--INDEX('Loans'!$J:$J,ROW()),0)</f>
        <v/>
      </c>
      <c r="AF43">
        <f>TRIM(SUBSTITUTE(INDEX('Loans'!$K:$K,ROW())&amp;""," "," "))</f>
        <v/>
      </c>
      <c r="AG43">
        <f>IFERROR(--INDEX('Loans'!$L:$L,ROW()),0)</f>
        <v/>
      </c>
      <c r="AH43">
        <f>IF(ISNUMBER(INDEX('Loans'!$G:$G,ROW())),1,0)</f>
        <v/>
      </c>
    </row>
    <row r="44">
      <c r="A44">
        <f>TRIM(SUBSTITUTE(INDEX('Term investments'!$A:$A,ROW())&amp;""," "," "))</f>
        <v/>
      </c>
      <c r="B44">
        <f>TRIM(SUBSTITUTE(INDEX('Term investments'!$B:$B,ROW())&amp;""," "," "))</f>
        <v/>
      </c>
      <c r="C44">
        <f>TRIM(SUBSTITUTE(INDEX('Term investments'!$C:$C,ROW())&amp;""," "," "))</f>
        <v/>
      </c>
      <c r="D44">
        <f>IFERROR(--INDEX('Term investments'!$D:$D,ROW()),0)</f>
        <v/>
      </c>
      <c r="E44">
        <f>IFERROR(--INDEX('Term investments'!$E:$E,ROW()),0)</f>
        <v/>
      </c>
      <c r="F44">
        <f>IFERROR(--INDEX('Term investments'!$F:$F,ROW()),0)</f>
        <v/>
      </c>
      <c r="G44">
        <f>IFERROR(IF(--INDEX('Term investments'!$G:$G,ROW())&gt;=1,--INDEX('Term investments'!$G:$G,ROW())/100,--INDEX('Term investments'!$G:$G,ROW())),0)</f>
        <v/>
      </c>
      <c r="H44">
        <f>IFERROR(--INDEX('Term investments'!$H:$H,ROW()),0)</f>
        <v/>
      </c>
      <c r="I44">
        <f>IF(ISNUMBER(INDEX('Term investments'!$G:$G,ROW())),1,0)</f>
        <v/>
      </c>
      <c r="J44">
        <f>TRIM(SUBSTITUTE(INDEX('Call accounts and MMFs'!$A:$A,ROW())&amp;""," "," "))</f>
        <v/>
      </c>
      <c r="K44">
        <f>TRIM(SUBSTITUTE(INDEX('Call accounts and MMFs'!$B:$B,ROW())&amp;""," "," "))</f>
        <v/>
      </c>
      <c r="L44">
        <f>TRIM(SUBSTITUTE(INDEX('Call accounts and MMFs'!$C:$C,ROW())&amp;""," "," "))</f>
        <v/>
      </c>
      <c r="M44">
        <f>IFERROR(--INDEX('Call accounts and MMFs'!$D:$D,ROW()),0)</f>
        <v/>
      </c>
      <c r="N44">
        <f>IFERROR(IF(--INDEX('Call accounts and MMFs'!$E:$E,ROW())&gt;=1,--INDEX('Call accounts and MMFs'!$E:$E,ROW())/100,--INDEX('Call accounts and MMFs'!$E:$E,ROW())),0)</f>
        <v/>
      </c>
      <c r="O44">
        <f>IFERROR(--INDEX('Call accounts and MMFs'!$F:$F,ROW()),0)</f>
        <v/>
      </c>
      <c r="P44">
        <f>IF(ISNUMBER(INDEX('Call accounts and MMFs'!$E:$E,ROW())),1,0)</f>
        <v/>
      </c>
      <c r="Q44">
        <f>TRIM(SUBSTITUTE(INDEX('Pooled funds'!$B:$B,ROW())&amp;""," "," "))</f>
        <v/>
      </c>
      <c r="R44">
        <f>IFERROR(--INDEX('Pooled funds'!$C:$C,ROW()),0)</f>
        <v/>
      </c>
      <c r="S44">
        <f>IFERROR(--INDEX('Pooled funds'!$D:$D,ROW()),0)</f>
        <v/>
      </c>
      <c r="T44">
        <f>IFERROR(IF(--INDEX('Pooled funds'!$E:$E,ROW())&gt;=1,--INDEX('Pooled funds'!$E:$E,ROW())/100,--INDEX('Pooled funds'!$E:$E,ROW())),0)</f>
        <v/>
      </c>
      <c r="U44">
        <f>IF(ISNUMBER(INDEX('Pooled funds'!$E:$E,ROW())),1,0)</f>
        <v/>
      </c>
      <c r="V44">
        <f>TRIM(SUBSTITUTE(INDEX('Loans'!$A:$A,ROW())&amp;""," "," "))</f>
        <v/>
      </c>
      <c r="W44">
        <f>TRIM(SUBSTITUTE(INDEX('Loans'!$B:$B,ROW())&amp;""," "," "))</f>
        <v/>
      </c>
      <c r="X44">
        <f>TRIM(SUBSTITUTE(INDEX('Loans'!$C:$C,ROW())&amp;""," "," "))</f>
        <v/>
      </c>
      <c r="Y44">
        <f>IFERROR(--INDEX('Loans'!$D:$D,ROW()),0)</f>
        <v/>
      </c>
      <c r="Z44">
        <f>IFERROR(--INDEX('Loans'!$E:$E,ROW()),0)</f>
        <v/>
      </c>
      <c r="AA44">
        <f>IFERROR(--INDEX('Loans'!$F:$F,ROW()),0)</f>
        <v/>
      </c>
      <c r="AB44">
        <f>IFERROR(IF(--INDEX('Loans'!$G:$G,ROW())&gt;=1,--INDEX('Loans'!$G:$G,ROW())/100,--INDEX('Loans'!$G:$G,ROW())),0)</f>
        <v/>
      </c>
      <c r="AC44">
        <f>TRIM(SUBSTITUTE(INDEX('Loans'!$H:$H,ROW())&amp;""," "," "))</f>
        <v/>
      </c>
      <c r="AD44">
        <f>TRIM(SUBSTITUTE(INDEX('Loans'!$I:$I,ROW())&amp;""," "," "))</f>
        <v/>
      </c>
      <c r="AE44">
        <f>IFERROR(--INDEX('Loans'!$J:$J,ROW()),0)</f>
        <v/>
      </c>
      <c r="AF44">
        <f>TRIM(SUBSTITUTE(INDEX('Loans'!$K:$K,ROW())&amp;""," "," "))</f>
        <v/>
      </c>
      <c r="AG44">
        <f>IFERROR(--INDEX('Loans'!$L:$L,ROW()),0)</f>
        <v/>
      </c>
      <c r="AH44">
        <f>IF(ISNUMBER(INDEX('Loans'!$G:$G,ROW())),1,0)</f>
        <v/>
      </c>
    </row>
    <row r="45">
      <c r="A45">
        <f>TRIM(SUBSTITUTE(INDEX('Term investments'!$A:$A,ROW())&amp;""," "," "))</f>
        <v/>
      </c>
      <c r="B45">
        <f>TRIM(SUBSTITUTE(INDEX('Term investments'!$B:$B,ROW())&amp;""," "," "))</f>
        <v/>
      </c>
      <c r="C45">
        <f>TRIM(SUBSTITUTE(INDEX('Term investments'!$C:$C,ROW())&amp;""," "," "))</f>
        <v/>
      </c>
      <c r="D45">
        <f>IFERROR(--INDEX('Term investments'!$D:$D,ROW()),0)</f>
        <v/>
      </c>
      <c r="E45">
        <f>IFERROR(--INDEX('Term investments'!$E:$E,ROW()),0)</f>
        <v/>
      </c>
      <c r="F45">
        <f>IFERROR(--INDEX('Term investments'!$F:$F,ROW()),0)</f>
        <v/>
      </c>
      <c r="G45">
        <f>IFERROR(IF(--INDEX('Term investments'!$G:$G,ROW())&gt;=1,--INDEX('Term investments'!$G:$G,ROW())/100,--INDEX('Term investments'!$G:$G,ROW())),0)</f>
        <v/>
      </c>
      <c r="H45">
        <f>IFERROR(--INDEX('Term investments'!$H:$H,ROW()),0)</f>
        <v/>
      </c>
      <c r="I45">
        <f>IF(ISNUMBER(INDEX('Term investments'!$G:$G,ROW())),1,0)</f>
        <v/>
      </c>
      <c r="J45">
        <f>TRIM(SUBSTITUTE(INDEX('Call accounts and MMFs'!$A:$A,ROW())&amp;""," "," "))</f>
        <v/>
      </c>
      <c r="K45">
        <f>TRIM(SUBSTITUTE(INDEX('Call accounts and MMFs'!$B:$B,ROW())&amp;""," "," "))</f>
        <v/>
      </c>
      <c r="L45">
        <f>TRIM(SUBSTITUTE(INDEX('Call accounts and MMFs'!$C:$C,ROW())&amp;""," "," "))</f>
        <v/>
      </c>
      <c r="M45">
        <f>IFERROR(--INDEX('Call accounts and MMFs'!$D:$D,ROW()),0)</f>
        <v/>
      </c>
      <c r="N45">
        <f>IFERROR(IF(--INDEX('Call accounts and MMFs'!$E:$E,ROW())&gt;=1,--INDEX('Call accounts and MMFs'!$E:$E,ROW())/100,--INDEX('Call accounts and MMFs'!$E:$E,ROW())),0)</f>
        <v/>
      </c>
      <c r="O45">
        <f>IFERROR(--INDEX('Call accounts and MMFs'!$F:$F,ROW()),0)</f>
        <v/>
      </c>
      <c r="P45">
        <f>IF(ISNUMBER(INDEX('Call accounts and MMFs'!$E:$E,ROW())),1,0)</f>
        <v/>
      </c>
      <c r="Q45">
        <f>TRIM(SUBSTITUTE(INDEX('Pooled funds'!$B:$B,ROW())&amp;""," "," "))</f>
        <v/>
      </c>
      <c r="R45">
        <f>IFERROR(--INDEX('Pooled funds'!$C:$C,ROW()),0)</f>
        <v/>
      </c>
      <c r="S45">
        <f>IFERROR(--INDEX('Pooled funds'!$D:$D,ROW()),0)</f>
        <v/>
      </c>
      <c r="T45">
        <f>IFERROR(IF(--INDEX('Pooled funds'!$E:$E,ROW())&gt;=1,--INDEX('Pooled funds'!$E:$E,ROW())/100,--INDEX('Pooled funds'!$E:$E,ROW())),0)</f>
        <v/>
      </c>
      <c r="U45">
        <f>IF(ISNUMBER(INDEX('Pooled funds'!$E:$E,ROW())),1,0)</f>
        <v/>
      </c>
      <c r="V45">
        <f>TRIM(SUBSTITUTE(INDEX('Loans'!$A:$A,ROW())&amp;""," "," "))</f>
        <v/>
      </c>
      <c r="W45">
        <f>TRIM(SUBSTITUTE(INDEX('Loans'!$B:$B,ROW())&amp;""," "," "))</f>
        <v/>
      </c>
      <c r="X45">
        <f>TRIM(SUBSTITUTE(INDEX('Loans'!$C:$C,ROW())&amp;""," "," "))</f>
        <v/>
      </c>
      <c r="Y45">
        <f>IFERROR(--INDEX('Loans'!$D:$D,ROW()),0)</f>
        <v/>
      </c>
      <c r="Z45">
        <f>IFERROR(--INDEX('Loans'!$E:$E,ROW()),0)</f>
        <v/>
      </c>
      <c r="AA45">
        <f>IFERROR(--INDEX('Loans'!$F:$F,ROW()),0)</f>
        <v/>
      </c>
      <c r="AB45">
        <f>IFERROR(IF(--INDEX('Loans'!$G:$G,ROW())&gt;=1,--INDEX('Loans'!$G:$G,ROW())/100,--INDEX('Loans'!$G:$G,ROW())),0)</f>
        <v/>
      </c>
      <c r="AC45">
        <f>TRIM(SUBSTITUTE(INDEX('Loans'!$H:$H,ROW())&amp;""," "," "))</f>
        <v/>
      </c>
      <c r="AD45">
        <f>TRIM(SUBSTITUTE(INDEX('Loans'!$I:$I,ROW())&amp;""," "," "))</f>
        <v/>
      </c>
      <c r="AE45">
        <f>IFERROR(--INDEX('Loans'!$J:$J,ROW()),0)</f>
        <v/>
      </c>
      <c r="AF45">
        <f>TRIM(SUBSTITUTE(INDEX('Loans'!$K:$K,ROW())&amp;""," "," "))</f>
        <v/>
      </c>
      <c r="AG45">
        <f>IFERROR(--INDEX('Loans'!$L:$L,ROW()),0)</f>
        <v/>
      </c>
      <c r="AH45">
        <f>IF(ISNUMBER(INDEX('Loans'!$G:$G,ROW())),1,0)</f>
        <v/>
      </c>
    </row>
    <row r="46">
      <c r="A46">
        <f>TRIM(SUBSTITUTE(INDEX('Term investments'!$A:$A,ROW())&amp;""," "," "))</f>
        <v/>
      </c>
      <c r="B46">
        <f>TRIM(SUBSTITUTE(INDEX('Term investments'!$B:$B,ROW())&amp;""," "," "))</f>
        <v/>
      </c>
      <c r="C46">
        <f>TRIM(SUBSTITUTE(INDEX('Term investments'!$C:$C,ROW())&amp;""," "," "))</f>
        <v/>
      </c>
      <c r="D46">
        <f>IFERROR(--INDEX('Term investments'!$D:$D,ROW()),0)</f>
        <v/>
      </c>
      <c r="E46">
        <f>IFERROR(--INDEX('Term investments'!$E:$E,ROW()),0)</f>
        <v/>
      </c>
      <c r="F46">
        <f>IFERROR(--INDEX('Term investments'!$F:$F,ROW()),0)</f>
        <v/>
      </c>
      <c r="G46">
        <f>IFERROR(IF(--INDEX('Term investments'!$G:$G,ROW())&gt;=1,--INDEX('Term investments'!$G:$G,ROW())/100,--INDEX('Term investments'!$G:$G,ROW())),0)</f>
        <v/>
      </c>
      <c r="H46">
        <f>IFERROR(--INDEX('Term investments'!$H:$H,ROW()),0)</f>
        <v/>
      </c>
      <c r="I46">
        <f>IF(ISNUMBER(INDEX('Term investments'!$G:$G,ROW())),1,0)</f>
        <v/>
      </c>
      <c r="J46">
        <f>TRIM(SUBSTITUTE(INDEX('Call accounts and MMFs'!$A:$A,ROW())&amp;""," "," "))</f>
        <v/>
      </c>
      <c r="K46">
        <f>TRIM(SUBSTITUTE(INDEX('Call accounts and MMFs'!$B:$B,ROW())&amp;""," "," "))</f>
        <v/>
      </c>
      <c r="L46">
        <f>TRIM(SUBSTITUTE(INDEX('Call accounts and MMFs'!$C:$C,ROW())&amp;""," "," "))</f>
        <v/>
      </c>
      <c r="M46">
        <f>IFERROR(--INDEX('Call accounts and MMFs'!$D:$D,ROW()),0)</f>
        <v/>
      </c>
      <c r="N46">
        <f>IFERROR(IF(--INDEX('Call accounts and MMFs'!$E:$E,ROW())&gt;=1,--INDEX('Call accounts and MMFs'!$E:$E,ROW())/100,--INDEX('Call accounts and MMFs'!$E:$E,ROW())),0)</f>
        <v/>
      </c>
      <c r="O46">
        <f>IFERROR(--INDEX('Call accounts and MMFs'!$F:$F,ROW()),0)</f>
        <v/>
      </c>
      <c r="P46">
        <f>IF(ISNUMBER(INDEX('Call accounts and MMFs'!$E:$E,ROW())),1,0)</f>
        <v/>
      </c>
      <c r="Q46">
        <f>TRIM(SUBSTITUTE(INDEX('Pooled funds'!$B:$B,ROW())&amp;""," "," "))</f>
        <v/>
      </c>
      <c r="R46">
        <f>IFERROR(--INDEX('Pooled funds'!$C:$C,ROW()),0)</f>
        <v/>
      </c>
      <c r="S46">
        <f>IFERROR(--INDEX('Pooled funds'!$D:$D,ROW()),0)</f>
        <v/>
      </c>
      <c r="T46">
        <f>IFERROR(IF(--INDEX('Pooled funds'!$E:$E,ROW())&gt;=1,--INDEX('Pooled funds'!$E:$E,ROW())/100,--INDEX('Pooled funds'!$E:$E,ROW())),0)</f>
        <v/>
      </c>
      <c r="U46">
        <f>IF(ISNUMBER(INDEX('Pooled funds'!$E:$E,ROW())),1,0)</f>
        <v/>
      </c>
      <c r="V46">
        <f>TRIM(SUBSTITUTE(INDEX('Loans'!$A:$A,ROW())&amp;""," "," "))</f>
        <v/>
      </c>
      <c r="W46">
        <f>TRIM(SUBSTITUTE(INDEX('Loans'!$B:$B,ROW())&amp;""," "," "))</f>
        <v/>
      </c>
      <c r="X46">
        <f>TRIM(SUBSTITUTE(INDEX('Loans'!$C:$C,ROW())&amp;""," "," "))</f>
        <v/>
      </c>
      <c r="Y46">
        <f>IFERROR(--INDEX('Loans'!$D:$D,ROW()),0)</f>
        <v/>
      </c>
      <c r="Z46">
        <f>IFERROR(--INDEX('Loans'!$E:$E,ROW()),0)</f>
        <v/>
      </c>
      <c r="AA46">
        <f>IFERROR(--INDEX('Loans'!$F:$F,ROW()),0)</f>
        <v/>
      </c>
      <c r="AB46">
        <f>IFERROR(IF(--INDEX('Loans'!$G:$G,ROW())&gt;=1,--INDEX('Loans'!$G:$G,ROW())/100,--INDEX('Loans'!$G:$G,ROW())),0)</f>
        <v/>
      </c>
      <c r="AC46">
        <f>TRIM(SUBSTITUTE(INDEX('Loans'!$H:$H,ROW())&amp;""," "," "))</f>
        <v/>
      </c>
      <c r="AD46">
        <f>TRIM(SUBSTITUTE(INDEX('Loans'!$I:$I,ROW())&amp;""," "," "))</f>
        <v/>
      </c>
      <c r="AE46">
        <f>IFERROR(--INDEX('Loans'!$J:$J,ROW()),0)</f>
        <v/>
      </c>
      <c r="AF46">
        <f>TRIM(SUBSTITUTE(INDEX('Loans'!$K:$K,ROW())&amp;""," "," "))</f>
        <v/>
      </c>
      <c r="AG46">
        <f>IFERROR(--INDEX('Loans'!$L:$L,ROW()),0)</f>
        <v/>
      </c>
      <c r="AH46">
        <f>IF(ISNUMBER(INDEX('Loans'!$G:$G,ROW())),1,0)</f>
        <v/>
      </c>
    </row>
    <row r="47">
      <c r="A47">
        <f>TRIM(SUBSTITUTE(INDEX('Term investments'!$A:$A,ROW())&amp;""," "," "))</f>
        <v/>
      </c>
      <c r="B47">
        <f>TRIM(SUBSTITUTE(INDEX('Term investments'!$B:$B,ROW())&amp;""," "," "))</f>
        <v/>
      </c>
      <c r="C47">
        <f>TRIM(SUBSTITUTE(INDEX('Term investments'!$C:$C,ROW())&amp;""," "," "))</f>
        <v/>
      </c>
      <c r="D47">
        <f>IFERROR(--INDEX('Term investments'!$D:$D,ROW()),0)</f>
        <v/>
      </c>
      <c r="E47">
        <f>IFERROR(--INDEX('Term investments'!$E:$E,ROW()),0)</f>
        <v/>
      </c>
      <c r="F47">
        <f>IFERROR(--INDEX('Term investments'!$F:$F,ROW()),0)</f>
        <v/>
      </c>
      <c r="G47">
        <f>IFERROR(IF(--INDEX('Term investments'!$G:$G,ROW())&gt;=1,--INDEX('Term investments'!$G:$G,ROW())/100,--INDEX('Term investments'!$G:$G,ROW())),0)</f>
        <v/>
      </c>
      <c r="H47">
        <f>IFERROR(--INDEX('Term investments'!$H:$H,ROW()),0)</f>
        <v/>
      </c>
      <c r="I47">
        <f>IF(ISNUMBER(INDEX('Term investments'!$G:$G,ROW())),1,0)</f>
        <v/>
      </c>
      <c r="J47">
        <f>TRIM(SUBSTITUTE(INDEX('Call accounts and MMFs'!$A:$A,ROW())&amp;""," "," "))</f>
        <v/>
      </c>
      <c r="K47">
        <f>TRIM(SUBSTITUTE(INDEX('Call accounts and MMFs'!$B:$B,ROW())&amp;""," "," "))</f>
        <v/>
      </c>
      <c r="L47">
        <f>TRIM(SUBSTITUTE(INDEX('Call accounts and MMFs'!$C:$C,ROW())&amp;""," "," "))</f>
        <v/>
      </c>
      <c r="M47">
        <f>IFERROR(--INDEX('Call accounts and MMFs'!$D:$D,ROW()),0)</f>
        <v/>
      </c>
      <c r="N47">
        <f>IFERROR(IF(--INDEX('Call accounts and MMFs'!$E:$E,ROW())&gt;=1,--INDEX('Call accounts and MMFs'!$E:$E,ROW())/100,--INDEX('Call accounts and MMFs'!$E:$E,ROW())),0)</f>
        <v/>
      </c>
      <c r="O47">
        <f>IFERROR(--INDEX('Call accounts and MMFs'!$F:$F,ROW()),0)</f>
        <v/>
      </c>
      <c r="P47">
        <f>IF(ISNUMBER(INDEX('Call accounts and MMFs'!$E:$E,ROW())),1,0)</f>
        <v/>
      </c>
      <c r="Q47">
        <f>TRIM(SUBSTITUTE(INDEX('Pooled funds'!$B:$B,ROW())&amp;""," "," "))</f>
        <v/>
      </c>
      <c r="R47">
        <f>IFERROR(--INDEX('Pooled funds'!$C:$C,ROW()),0)</f>
        <v/>
      </c>
      <c r="S47">
        <f>IFERROR(--INDEX('Pooled funds'!$D:$D,ROW()),0)</f>
        <v/>
      </c>
      <c r="T47">
        <f>IFERROR(IF(--INDEX('Pooled funds'!$E:$E,ROW())&gt;=1,--INDEX('Pooled funds'!$E:$E,ROW())/100,--INDEX('Pooled funds'!$E:$E,ROW())),0)</f>
        <v/>
      </c>
      <c r="U47">
        <f>IF(ISNUMBER(INDEX('Pooled funds'!$E:$E,ROW())),1,0)</f>
        <v/>
      </c>
      <c r="V47">
        <f>TRIM(SUBSTITUTE(INDEX('Loans'!$A:$A,ROW())&amp;""," "," "))</f>
        <v/>
      </c>
      <c r="W47">
        <f>TRIM(SUBSTITUTE(INDEX('Loans'!$B:$B,ROW())&amp;""," "," "))</f>
        <v/>
      </c>
      <c r="X47">
        <f>TRIM(SUBSTITUTE(INDEX('Loans'!$C:$C,ROW())&amp;""," "," "))</f>
        <v/>
      </c>
      <c r="Y47">
        <f>IFERROR(--INDEX('Loans'!$D:$D,ROW()),0)</f>
        <v/>
      </c>
      <c r="Z47">
        <f>IFERROR(--INDEX('Loans'!$E:$E,ROW()),0)</f>
        <v/>
      </c>
      <c r="AA47">
        <f>IFERROR(--INDEX('Loans'!$F:$F,ROW()),0)</f>
        <v/>
      </c>
      <c r="AB47">
        <f>IFERROR(IF(--INDEX('Loans'!$G:$G,ROW())&gt;=1,--INDEX('Loans'!$G:$G,ROW())/100,--INDEX('Loans'!$G:$G,ROW())),0)</f>
        <v/>
      </c>
      <c r="AC47">
        <f>TRIM(SUBSTITUTE(INDEX('Loans'!$H:$H,ROW())&amp;""," "," "))</f>
        <v/>
      </c>
      <c r="AD47">
        <f>TRIM(SUBSTITUTE(INDEX('Loans'!$I:$I,ROW())&amp;""," "," "))</f>
        <v/>
      </c>
      <c r="AE47">
        <f>IFERROR(--INDEX('Loans'!$J:$J,ROW()),0)</f>
        <v/>
      </c>
      <c r="AF47">
        <f>TRIM(SUBSTITUTE(INDEX('Loans'!$K:$K,ROW())&amp;""," "," "))</f>
        <v/>
      </c>
      <c r="AG47">
        <f>IFERROR(--INDEX('Loans'!$L:$L,ROW()),0)</f>
        <v/>
      </c>
      <c r="AH47">
        <f>IF(ISNUMBER(INDEX('Loans'!$G:$G,ROW())),1,0)</f>
        <v/>
      </c>
    </row>
    <row r="48">
      <c r="A48">
        <f>TRIM(SUBSTITUTE(INDEX('Term investments'!$A:$A,ROW())&amp;""," "," "))</f>
        <v/>
      </c>
      <c r="B48">
        <f>TRIM(SUBSTITUTE(INDEX('Term investments'!$B:$B,ROW())&amp;""," "," "))</f>
        <v/>
      </c>
      <c r="C48">
        <f>TRIM(SUBSTITUTE(INDEX('Term investments'!$C:$C,ROW())&amp;""," "," "))</f>
        <v/>
      </c>
      <c r="D48">
        <f>IFERROR(--INDEX('Term investments'!$D:$D,ROW()),0)</f>
        <v/>
      </c>
      <c r="E48">
        <f>IFERROR(--INDEX('Term investments'!$E:$E,ROW()),0)</f>
        <v/>
      </c>
      <c r="F48">
        <f>IFERROR(--INDEX('Term investments'!$F:$F,ROW()),0)</f>
        <v/>
      </c>
      <c r="G48">
        <f>IFERROR(IF(--INDEX('Term investments'!$G:$G,ROW())&gt;=1,--INDEX('Term investments'!$G:$G,ROW())/100,--INDEX('Term investments'!$G:$G,ROW())),0)</f>
        <v/>
      </c>
      <c r="H48">
        <f>IFERROR(--INDEX('Term investments'!$H:$H,ROW()),0)</f>
        <v/>
      </c>
      <c r="I48">
        <f>IF(ISNUMBER(INDEX('Term investments'!$G:$G,ROW())),1,0)</f>
        <v/>
      </c>
      <c r="J48">
        <f>TRIM(SUBSTITUTE(INDEX('Call accounts and MMFs'!$A:$A,ROW())&amp;""," "," "))</f>
        <v/>
      </c>
      <c r="K48">
        <f>TRIM(SUBSTITUTE(INDEX('Call accounts and MMFs'!$B:$B,ROW())&amp;""," "," "))</f>
        <v/>
      </c>
      <c r="L48">
        <f>TRIM(SUBSTITUTE(INDEX('Call accounts and MMFs'!$C:$C,ROW())&amp;""," "," "))</f>
        <v/>
      </c>
      <c r="M48">
        <f>IFERROR(--INDEX('Call accounts and MMFs'!$D:$D,ROW()),0)</f>
        <v/>
      </c>
      <c r="N48">
        <f>IFERROR(IF(--INDEX('Call accounts and MMFs'!$E:$E,ROW())&gt;=1,--INDEX('Call accounts and MMFs'!$E:$E,ROW())/100,--INDEX('Call accounts and MMFs'!$E:$E,ROW())),0)</f>
        <v/>
      </c>
      <c r="O48">
        <f>IFERROR(--INDEX('Call accounts and MMFs'!$F:$F,ROW()),0)</f>
        <v/>
      </c>
      <c r="P48">
        <f>IF(ISNUMBER(INDEX('Call accounts and MMFs'!$E:$E,ROW())),1,0)</f>
        <v/>
      </c>
      <c r="Q48">
        <f>TRIM(SUBSTITUTE(INDEX('Pooled funds'!$B:$B,ROW())&amp;""," "," "))</f>
        <v/>
      </c>
      <c r="R48">
        <f>IFERROR(--INDEX('Pooled funds'!$C:$C,ROW()),0)</f>
        <v/>
      </c>
      <c r="S48">
        <f>IFERROR(--INDEX('Pooled funds'!$D:$D,ROW()),0)</f>
        <v/>
      </c>
      <c r="T48">
        <f>IFERROR(IF(--INDEX('Pooled funds'!$E:$E,ROW())&gt;=1,--INDEX('Pooled funds'!$E:$E,ROW())/100,--INDEX('Pooled funds'!$E:$E,ROW())),0)</f>
        <v/>
      </c>
      <c r="U48">
        <f>IF(ISNUMBER(INDEX('Pooled funds'!$E:$E,ROW())),1,0)</f>
        <v/>
      </c>
      <c r="V48">
        <f>TRIM(SUBSTITUTE(INDEX('Loans'!$A:$A,ROW())&amp;""," "," "))</f>
        <v/>
      </c>
      <c r="W48">
        <f>TRIM(SUBSTITUTE(INDEX('Loans'!$B:$B,ROW())&amp;""," "," "))</f>
        <v/>
      </c>
      <c r="X48">
        <f>TRIM(SUBSTITUTE(INDEX('Loans'!$C:$C,ROW())&amp;""," "," "))</f>
        <v/>
      </c>
      <c r="Y48">
        <f>IFERROR(--INDEX('Loans'!$D:$D,ROW()),0)</f>
        <v/>
      </c>
      <c r="Z48">
        <f>IFERROR(--INDEX('Loans'!$E:$E,ROW()),0)</f>
        <v/>
      </c>
      <c r="AA48">
        <f>IFERROR(--INDEX('Loans'!$F:$F,ROW()),0)</f>
        <v/>
      </c>
      <c r="AB48">
        <f>IFERROR(IF(--INDEX('Loans'!$G:$G,ROW())&gt;=1,--INDEX('Loans'!$G:$G,ROW())/100,--INDEX('Loans'!$G:$G,ROW())),0)</f>
        <v/>
      </c>
      <c r="AC48">
        <f>TRIM(SUBSTITUTE(INDEX('Loans'!$H:$H,ROW())&amp;""," "," "))</f>
        <v/>
      </c>
      <c r="AD48">
        <f>TRIM(SUBSTITUTE(INDEX('Loans'!$I:$I,ROW())&amp;""," "," "))</f>
        <v/>
      </c>
      <c r="AE48">
        <f>IFERROR(--INDEX('Loans'!$J:$J,ROW()),0)</f>
        <v/>
      </c>
      <c r="AF48">
        <f>TRIM(SUBSTITUTE(INDEX('Loans'!$K:$K,ROW())&amp;""," "," "))</f>
        <v/>
      </c>
      <c r="AG48">
        <f>IFERROR(--INDEX('Loans'!$L:$L,ROW()),0)</f>
        <v/>
      </c>
      <c r="AH48">
        <f>IF(ISNUMBER(INDEX('Loans'!$G:$G,ROW())),1,0)</f>
        <v/>
      </c>
    </row>
    <row r="49">
      <c r="A49">
        <f>TRIM(SUBSTITUTE(INDEX('Term investments'!$A:$A,ROW())&amp;""," "," "))</f>
        <v/>
      </c>
      <c r="B49">
        <f>TRIM(SUBSTITUTE(INDEX('Term investments'!$B:$B,ROW())&amp;""," "," "))</f>
        <v/>
      </c>
      <c r="C49">
        <f>TRIM(SUBSTITUTE(INDEX('Term investments'!$C:$C,ROW())&amp;""," "," "))</f>
        <v/>
      </c>
      <c r="D49">
        <f>IFERROR(--INDEX('Term investments'!$D:$D,ROW()),0)</f>
        <v/>
      </c>
      <c r="E49">
        <f>IFERROR(--INDEX('Term investments'!$E:$E,ROW()),0)</f>
        <v/>
      </c>
      <c r="F49">
        <f>IFERROR(--INDEX('Term investments'!$F:$F,ROW()),0)</f>
        <v/>
      </c>
      <c r="G49">
        <f>IFERROR(IF(--INDEX('Term investments'!$G:$G,ROW())&gt;=1,--INDEX('Term investments'!$G:$G,ROW())/100,--INDEX('Term investments'!$G:$G,ROW())),0)</f>
        <v/>
      </c>
      <c r="H49">
        <f>IFERROR(--INDEX('Term investments'!$H:$H,ROW()),0)</f>
        <v/>
      </c>
      <c r="I49">
        <f>IF(ISNUMBER(INDEX('Term investments'!$G:$G,ROW())),1,0)</f>
        <v/>
      </c>
      <c r="J49">
        <f>TRIM(SUBSTITUTE(INDEX('Call accounts and MMFs'!$A:$A,ROW())&amp;""," "," "))</f>
        <v/>
      </c>
      <c r="K49">
        <f>TRIM(SUBSTITUTE(INDEX('Call accounts and MMFs'!$B:$B,ROW())&amp;""," "," "))</f>
        <v/>
      </c>
      <c r="L49">
        <f>TRIM(SUBSTITUTE(INDEX('Call accounts and MMFs'!$C:$C,ROW())&amp;""," "," "))</f>
        <v/>
      </c>
      <c r="M49">
        <f>IFERROR(--INDEX('Call accounts and MMFs'!$D:$D,ROW()),0)</f>
        <v/>
      </c>
      <c r="N49">
        <f>IFERROR(IF(--INDEX('Call accounts and MMFs'!$E:$E,ROW())&gt;=1,--INDEX('Call accounts and MMFs'!$E:$E,ROW())/100,--INDEX('Call accounts and MMFs'!$E:$E,ROW())),0)</f>
        <v/>
      </c>
      <c r="O49">
        <f>IFERROR(--INDEX('Call accounts and MMFs'!$F:$F,ROW()),0)</f>
        <v/>
      </c>
      <c r="P49">
        <f>IF(ISNUMBER(INDEX('Call accounts and MMFs'!$E:$E,ROW())),1,0)</f>
        <v/>
      </c>
      <c r="Q49">
        <f>TRIM(SUBSTITUTE(INDEX('Pooled funds'!$B:$B,ROW())&amp;""," "," "))</f>
        <v/>
      </c>
      <c r="R49">
        <f>IFERROR(--INDEX('Pooled funds'!$C:$C,ROW()),0)</f>
        <v/>
      </c>
      <c r="S49">
        <f>IFERROR(--INDEX('Pooled funds'!$D:$D,ROW()),0)</f>
        <v/>
      </c>
      <c r="T49">
        <f>IFERROR(IF(--INDEX('Pooled funds'!$E:$E,ROW())&gt;=1,--INDEX('Pooled funds'!$E:$E,ROW())/100,--INDEX('Pooled funds'!$E:$E,ROW())),0)</f>
        <v/>
      </c>
      <c r="U49">
        <f>IF(ISNUMBER(INDEX('Pooled funds'!$E:$E,ROW())),1,0)</f>
        <v/>
      </c>
      <c r="V49">
        <f>TRIM(SUBSTITUTE(INDEX('Loans'!$A:$A,ROW())&amp;""," "," "))</f>
        <v/>
      </c>
      <c r="W49">
        <f>TRIM(SUBSTITUTE(INDEX('Loans'!$B:$B,ROW())&amp;""," "," "))</f>
        <v/>
      </c>
      <c r="X49">
        <f>TRIM(SUBSTITUTE(INDEX('Loans'!$C:$C,ROW())&amp;""," "," "))</f>
        <v/>
      </c>
      <c r="Y49">
        <f>IFERROR(--INDEX('Loans'!$D:$D,ROW()),0)</f>
        <v/>
      </c>
      <c r="Z49">
        <f>IFERROR(--INDEX('Loans'!$E:$E,ROW()),0)</f>
        <v/>
      </c>
      <c r="AA49">
        <f>IFERROR(--INDEX('Loans'!$F:$F,ROW()),0)</f>
        <v/>
      </c>
      <c r="AB49">
        <f>IFERROR(IF(--INDEX('Loans'!$G:$G,ROW())&gt;=1,--INDEX('Loans'!$G:$G,ROW())/100,--INDEX('Loans'!$G:$G,ROW())),0)</f>
        <v/>
      </c>
      <c r="AC49">
        <f>TRIM(SUBSTITUTE(INDEX('Loans'!$H:$H,ROW())&amp;""," "," "))</f>
        <v/>
      </c>
      <c r="AD49">
        <f>TRIM(SUBSTITUTE(INDEX('Loans'!$I:$I,ROW())&amp;""," "," "))</f>
        <v/>
      </c>
      <c r="AE49">
        <f>IFERROR(--INDEX('Loans'!$J:$J,ROW()),0)</f>
        <v/>
      </c>
      <c r="AF49">
        <f>TRIM(SUBSTITUTE(INDEX('Loans'!$K:$K,ROW())&amp;""," "," "))</f>
        <v/>
      </c>
      <c r="AG49">
        <f>IFERROR(--INDEX('Loans'!$L:$L,ROW()),0)</f>
        <v/>
      </c>
      <c r="AH49">
        <f>IF(ISNUMBER(INDEX('Loans'!$G:$G,ROW())),1,0)</f>
        <v/>
      </c>
    </row>
    <row r="50">
      <c r="A50">
        <f>TRIM(SUBSTITUTE(INDEX('Term investments'!$A:$A,ROW())&amp;""," "," "))</f>
        <v/>
      </c>
      <c r="B50">
        <f>TRIM(SUBSTITUTE(INDEX('Term investments'!$B:$B,ROW())&amp;""," "," "))</f>
        <v/>
      </c>
      <c r="C50">
        <f>TRIM(SUBSTITUTE(INDEX('Term investments'!$C:$C,ROW())&amp;""," "," "))</f>
        <v/>
      </c>
      <c r="D50">
        <f>IFERROR(--INDEX('Term investments'!$D:$D,ROW()),0)</f>
        <v/>
      </c>
      <c r="E50">
        <f>IFERROR(--INDEX('Term investments'!$E:$E,ROW()),0)</f>
        <v/>
      </c>
      <c r="F50">
        <f>IFERROR(--INDEX('Term investments'!$F:$F,ROW()),0)</f>
        <v/>
      </c>
      <c r="G50">
        <f>IFERROR(IF(--INDEX('Term investments'!$G:$G,ROW())&gt;=1,--INDEX('Term investments'!$G:$G,ROW())/100,--INDEX('Term investments'!$G:$G,ROW())),0)</f>
        <v/>
      </c>
      <c r="H50">
        <f>IFERROR(--INDEX('Term investments'!$H:$H,ROW()),0)</f>
        <v/>
      </c>
      <c r="I50">
        <f>IF(ISNUMBER(INDEX('Term investments'!$G:$G,ROW())),1,0)</f>
        <v/>
      </c>
      <c r="J50">
        <f>TRIM(SUBSTITUTE(INDEX('Call accounts and MMFs'!$A:$A,ROW())&amp;""," "," "))</f>
        <v/>
      </c>
      <c r="K50">
        <f>TRIM(SUBSTITUTE(INDEX('Call accounts and MMFs'!$B:$B,ROW())&amp;""," "," "))</f>
        <v/>
      </c>
      <c r="L50">
        <f>TRIM(SUBSTITUTE(INDEX('Call accounts and MMFs'!$C:$C,ROW())&amp;""," "," "))</f>
        <v/>
      </c>
      <c r="M50">
        <f>IFERROR(--INDEX('Call accounts and MMFs'!$D:$D,ROW()),0)</f>
        <v/>
      </c>
      <c r="N50">
        <f>IFERROR(IF(--INDEX('Call accounts and MMFs'!$E:$E,ROW())&gt;=1,--INDEX('Call accounts and MMFs'!$E:$E,ROW())/100,--INDEX('Call accounts and MMFs'!$E:$E,ROW())),0)</f>
        <v/>
      </c>
      <c r="O50">
        <f>IFERROR(--INDEX('Call accounts and MMFs'!$F:$F,ROW()),0)</f>
        <v/>
      </c>
      <c r="P50">
        <f>IF(ISNUMBER(INDEX('Call accounts and MMFs'!$E:$E,ROW())),1,0)</f>
        <v/>
      </c>
      <c r="Q50">
        <f>TRIM(SUBSTITUTE(INDEX('Pooled funds'!$B:$B,ROW())&amp;""," "," "))</f>
        <v/>
      </c>
      <c r="R50">
        <f>IFERROR(--INDEX('Pooled funds'!$C:$C,ROW()),0)</f>
        <v/>
      </c>
      <c r="S50">
        <f>IFERROR(--INDEX('Pooled funds'!$D:$D,ROW()),0)</f>
        <v/>
      </c>
      <c r="T50">
        <f>IFERROR(IF(--INDEX('Pooled funds'!$E:$E,ROW())&gt;=1,--INDEX('Pooled funds'!$E:$E,ROW())/100,--INDEX('Pooled funds'!$E:$E,ROW())),0)</f>
        <v/>
      </c>
      <c r="U50">
        <f>IF(ISNUMBER(INDEX('Pooled funds'!$E:$E,ROW())),1,0)</f>
        <v/>
      </c>
      <c r="V50">
        <f>TRIM(SUBSTITUTE(INDEX('Loans'!$A:$A,ROW())&amp;""," "," "))</f>
        <v/>
      </c>
      <c r="W50">
        <f>TRIM(SUBSTITUTE(INDEX('Loans'!$B:$B,ROW())&amp;""," "," "))</f>
        <v/>
      </c>
      <c r="X50">
        <f>TRIM(SUBSTITUTE(INDEX('Loans'!$C:$C,ROW())&amp;""," "," "))</f>
        <v/>
      </c>
      <c r="Y50">
        <f>IFERROR(--INDEX('Loans'!$D:$D,ROW()),0)</f>
        <v/>
      </c>
      <c r="Z50">
        <f>IFERROR(--INDEX('Loans'!$E:$E,ROW()),0)</f>
        <v/>
      </c>
      <c r="AA50">
        <f>IFERROR(--INDEX('Loans'!$F:$F,ROW()),0)</f>
        <v/>
      </c>
      <c r="AB50">
        <f>IFERROR(IF(--INDEX('Loans'!$G:$G,ROW())&gt;=1,--INDEX('Loans'!$G:$G,ROW())/100,--INDEX('Loans'!$G:$G,ROW())),0)</f>
        <v/>
      </c>
      <c r="AC50">
        <f>TRIM(SUBSTITUTE(INDEX('Loans'!$H:$H,ROW())&amp;""," "," "))</f>
        <v/>
      </c>
      <c r="AD50">
        <f>TRIM(SUBSTITUTE(INDEX('Loans'!$I:$I,ROW())&amp;""," "," "))</f>
        <v/>
      </c>
      <c r="AE50">
        <f>IFERROR(--INDEX('Loans'!$J:$J,ROW()),0)</f>
        <v/>
      </c>
      <c r="AF50">
        <f>TRIM(SUBSTITUTE(INDEX('Loans'!$K:$K,ROW())&amp;""," "," "))</f>
        <v/>
      </c>
      <c r="AG50">
        <f>IFERROR(--INDEX('Loans'!$L:$L,ROW()),0)</f>
        <v/>
      </c>
      <c r="AH50">
        <f>IF(ISNUMBER(INDEX('Loans'!$G:$G,ROW())),1,0)</f>
        <v/>
      </c>
    </row>
    <row r="51">
      <c r="A51">
        <f>TRIM(SUBSTITUTE(INDEX('Term investments'!$A:$A,ROW())&amp;""," "," "))</f>
        <v/>
      </c>
      <c r="B51">
        <f>TRIM(SUBSTITUTE(INDEX('Term investments'!$B:$B,ROW())&amp;""," "," "))</f>
        <v/>
      </c>
      <c r="C51">
        <f>TRIM(SUBSTITUTE(INDEX('Term investments'!$C:$C,ROW())&amp;""," "," "))</f>
        <v/>
      </c>
      <c r="D51">
        <f>IFERROR(--INDEX('Term investments'!$D:$D,ROW()),0)</f>
        <v/>
      </c>
      <c r="E51">
        <f>IFERROR(--INDEX('Term investments'!$E:$E,ROW()),0)</f>
        <v/>
      </c>
      <c r="F51">
        <f>IFERROR(--INDEX('Term investments'!$F:$F,ROW()),0)</f>
        <v/>
      </c>
      <c r="G51">
        <f>IFERROR(IF(--INDEX('Term investments'!$G:$G,ROW())&gt;=1,--INDEX('Term investments'!$G:$G,ROW())/100,--INDEX('Term investments'!$G:$G,ROW())),0)</f>
        <v/>
      </c>
      <c r="H51">
        <f>IFERROR(--INDEX('Term investments'!$H:$H,ROW()),0)</f>
        <v/>
      </c>
      <c r="I51">
        <f>IF(ISNUMBER(INDEX('Term investments'!$G:$G,ROW())),1,0)</f>
        <v/>
      </c>
      <c r="J51">
        <f>TRIM(SUBSTITUTE(INDEX('Call accounts and MMFs'!$A:$A,ROW())&amp;""," "," "))</f>
        <v/>
      </c>
      <c r="K51">
        <f>TRIM(SUBSTITUTE(INDEX('Call accounts and MMFs'!$B:$B,ROW())&amp;""," "," "))</f>
        <v/>
      </c>
      <c r="L51">
        <f>TRIM(SUBSTITUTE(INDEX('Call accounts and MMFs'!$C:$C,ROW())&amp;""," "," "))</f>
        <v/>
      </c>
      <c r="M51">
        <f>IFERROR(--INDEX('Call accounts and MMFs'!$D:$D,ROW()),0)</f>
        <v/>
      </c>
      <c r="N51">
        <f>IFERROR(IF(--INDEX('Call accounts and MMFs'!$E:$E,ROW())&gt;=1,--INDEX('Call accounts and MMFs'!$E:$E,ROW())/100,--INDEX('Call accounts and MMFs'!$E:$E,ROW())),0)</f>
        <v/>
      </c>
      <c r="O51">
        <f>IFERROR(--INDEX('Call accounts and MMFs'!$F:$F,ROW()),0)</f>
        <v/>
      </c>
      <c r="P51">
        <f>IF(ISNUMBER(INDEX('Call accounts and MMFs'!$E:$E,ROW())),1,0)</f>
        <v/>
      </c>
      <c r="Q51">
        <f>TRIM(SUBSTITUTE(INDEX('Pooled funds'!$B:$B,ROW())&amp;""," "," "))</f>
        <v/>
      </c>
      <c r="R51">
        <f>IFERROR(--INDEX('Pooled funds'!$C:$C,ROW()),0)</f>
        <v/>
      </c>
      <c r="S51">
        <f>IFERROR(--INDEX('Pooled funds'!$D:$D,ROW()),0)</f>
        <v/>
      </c>
      <c r="T51">
        <f>IFERROR(IF(--INDEX('Pooled funds'!$E:$E,ROW())&gt;=1,--INDEX('Pooled funds'!$E:$E,ROW())/100,--INDEX('Pooled funds'!$E:$E,ROW())),0)</f>
        <v/>
      </c>
      <c r="U51">
        <f>IF(ISNUMBER(INDEX('Pooled funds'!$E:$E,ROW())),1,0)</f>
        <v/>
      </c>
      <c r="V51">
        <f>TRIM(SUBSTITUTE(INDEX('Loans'!$A:$A,ROW())&amp;""," "," "))</f>
        <v/>
      </c>
      <c r="W51">
        <f>TRIM(SUBSTITUTE(INDEX('Loans'!$B:$B,ROW())&amp;""," "," "))</f>
        <v/>
      </c>
      <c r="X51">
        <f>TRIM(SUBSTITUTE(INDEX('Loans'!$C:$C,ROW())&amp;""," "," "))</f>
        <v/>
      </c>
      <c r="Y51">
        <f>IFERROR(--INDEX('Loans'!$D:$D,ROW()),0)</f>
        <v/>
      </c>
      <c r="Z51">
        <f>IFERROR(--INDEX('Loans'!$E:$E,ROW()),0)</f>
        <v/>
      </c>
      <c r="AA51">
        <f>IFERROR(--INDEX('Loans'!$F:$F,ROW()),0)</f>
        <v/>
      </c>
      <c r="AB51">
        <f>IFERROR(IF(--INDEX('Loans'!$G:$G,ROW())&gt;=1,--INDEX('Loans'!$G:$G,ROW())/100,--INDEX('Loans'!$G:$G,ROW())),0)</f>
        <v/>
      </c>
      <c r="AC51">
        <f>TRIM(SUBSTITUTE(INDEX('Loans'!$H:$H,ROW())&amp;""," "," "))</f>
        <v/>
      </c>
      <c r="AD51">
        <f>TRIM(SUBSTITUTE(INDEX('Loans'!$I:$I,ROW())&amp;""," "," "))</f>
        <v/>
      </c>
      <c r="AE51">
        <f>IFERROR(--INDEX('Loans'!$J:$J,ROW()),0)</f>
        <v/>
      </c>
      <c r="AF51">
        <f>TRIM(SUBSTITUTE(INDEX('Loans'!$K:$K,ROW())&amp;""," "," "))</f>
        <v/>
      </c>
      <c r="AG51">
        <f>IFERROR(--INDEX('Loans'!$L:$L,ROW()),0)</f>
        <v/>
      </c>
      <c r="AH51">
        <f>IF(ISNUMBER(INDEX('Loans'!$G:$G,ROW())),1,0)</f>
        <v/>
      </c>
    </row>
    <row r="52">
      <c r="A52">
        <f>TRIM(SUBSTITUTE(INDEX('Term investments'!$A:$A,ROW())&amp;""," "," "))</f>
        <v/>
      </c>
      <c r="B52">
        <f>TRIM(SUBSTITUTE(INDEX('Term investments'!$B:$B,ROW())&amp;""," "," "))</f>
        <v/>
      </c>
      <c r="C52">
        <f>TRIM(SUBSTITUTE(INDEX('Term investments'!$C:$C,ROW())&amp;""," "," "))</f>
        <v/>
      </c>
      <c r="D52">
        <f>IFERROR(--INDEX('Term investments'!$D:$D,ROW()),0)</f>
        <v/>
      </c>
      <c r="E52">
        <f>IFERROR(--INDEX('Term investments'!$E:$E,ROW()),0)</f>
        <v/>
      </c>
      <c r="F52">
        <f>IFERROR(--INDEX('Term investments'!$F:$F,ROW()),0)</f>
        <v/>
      </c>
      <c r="G52">
        <f>IFERROR(IF(--INDEX('Term investments'!$G:$G,ROW())&gt;=1,--INDEX('Term investments'!$G:$G,ROW())/100,--INDEX('Term investments'!$G:$G,ROW())),0)</f>
        <v/>
      </c>
      <c r="H52">
        <f>IFERROR(--INDEX('Term investments'!$H:$H,ROW()),0)</f>
        <v/>
      </c>
      <c r="I52">
        <f>IF(ISNUMBER(INDEX('Term investments'!$G:$G,ROW())),1,0)</f>
        <v/>
      </c>
      <c r="J52">
        <f>TRIM(SUBSTITUTE(INDEX('Call accounts and MMFs'!$A:$A,ROW())&amp;""," "," "))</f>
        <v/>
      </c>
      <c r="K52">
        <f>TRIM(SUBSTITUTE(INDEX('Call accounts and MMFs'!$B:$B,ROW())&amp;""," "," "))</f>
        <v/>
      </c>
      <c r="L52">
        <f>TRIM(SUBSTITUTE(INDEX('Call accounts and MMFs'!$C:$C,ROW())&amp;""," "," "))</f>
        <v/>
      </c>
      <c r="M52">
        <f>IFERROR(--INDEX('Call accounts and MMFs'!$D:$D,ROW()),0)</f>
        <v/>
      </c>
      <c r="N52">
        <f>IFERROR(IF(--INDEX('Call accounts and MMFs'!$E:$E,ROW())&gt;=1,--INDEX('Call accounts and MMFs'!$E:$E,ROW())/100,--INDEX('Call accounts and MMFs'!$E:$E,ROW())),0)</f>
        <v/>
      </c>
      <c r="O52">
        <f>IFERROR(--INDEX('Call accounts and MMFs'!$F:$F,ROW()),0)</f>
        <v/>
      </c>
      <c r="P52">
        <f>IF(ISNUMBER(INDEX('Call accounts and MMFs'!$E:$E,ROW())),1,0)</f>
        <v/>
      </c>
      <c r="Q52">
        <f>TRIM(SUBSTITUTE(INDEX('Pooled funds'!$B:$B,ROW())&amp;""," "," "))</f>
        <v/>
      </c>
      <c r="R52">
        <f>IFERROR(--INDEX('Pooled funds'!$C:$C,ROW()),0)</f>
        <v/>
      </c>
      <c r="S52">
        <f>IFERROR(--INDEX('Pooled funds'!$D:$D,ROW()),0)</f>
        <v/>
      </c>
      <c r="T52">
        <f>IFERROR(IF(--INDEX('Pooled funds'!$E:$E,ROW())&gt;=1,--INDEX('Pooled funds'!$E:$E,ROW())/100,--INDEX('Pooled funds'!$E:$E,ROW())),0)</f>
        <v/>
      </c>
      <c r="U52">
        <f>IF(ISNUMBER(INDEX('Pooled funds'!$E:$E,ROW())),1,0)</f>
        <v/>
      </c>
      <c r="V52">
        <f>TRIM(SUBSTITUTE(INDEX('Loans'!$A:$A,ROW())&amp;""," "," "))</f>
        <v/>
      </c>
      <c r="W52">
        <f>TRIM(SUBSTITUTE(INDEX('Loans'!$B:$B,ROW())&amp;""," "," "))</f>
        <v/>
      </c>
      <c r="X52">
        <f>TRIM(SUBSTITUTE(INDEX('Loans'!$C:$C,ROW())&amp;""," "," "))</f>
        <v/>
      </c>
      <c r="Y52">
        <f>IFERROR(--INDEX('Loans'!$D:$D,ROW()),0)</f>
        <v/>
      </c>
      <c r="Z52">
        <f>IFERROR(--INDEX('Loans'!$E:$E,ROW()),0)</f>
        <v/>
      </c>
      <c r="AA52">
        <f>IFERROR(--INDEX('Loans'!$F:$F,ROW()),0)</f>
        <v/>
      </c>
      <c r="AB52">
        <f>IFERROR(IF(--INDEX('Loans'!$G:$G,ROW())&gt;=1,--INDEX('Loans'!$G:$G,ROW())/100,--INDEX('Loans'!$G:$G,ROW())),0)</f>
        <v/>
      </c>
      <c r="AC52">
        <f>TRIM(SUBSTITUTE(INDEX('Loans'!$H:$H,ROW())&amp;""," "," "))</f>
        <v/>
      </c>
      <c r="AD52">
        <f>TRIM(SUBSTITUTE(INDEX('Loans'!$I:$I,ROW())&amp;""," "," "))</f>
        <v/>
      </c>
      <c r="AE52">
        <f>IFERROR(--INDEX('Loans'!$J:$J,ROW()),0)</f>
        <v/>
      </c>
      <c r="AF52">
        <f>TRIM(SUBSTITUTE(INDEX('Loans'!$K:$K,ROW())&amp;""," "," "))</f>
        <v/>
      </c>
      <c r="AG52">
        <f>IFERROR(--INDEX('Loans'!$L:$L,ROW()),0)</f>
        <v/>
      </c>
      <c r="AH52">
        <f>IF(ISNUMBER(INDEX('Loans'!$G:$G,ROW())),1,0)</f>
        <v/>
      </c>
    </row>
    <row r="53">
      <c r="A53">
        <f>TRIM(SUBSTITUTE(INDEX('Term investments'!$A:$A,ROW())&amp;""," "," "))</f>
        <v/>
      </c>
      <c r="B53">
        <f>TRIM(SUBSTITUTE(INDEX('Term investments'!$B:$B,ROW())&amp;""," "," "))</f>
        <v/>
      </c>
      <c r="C53">
        <f>TRIM(SUBSTITUTE(INDEX('Term investments'!$C:$C,ROW())&amp;""," "," "))</f>
        <v/>
      </c>
      <c r="D53">
        <f>IFERROR(--INDEX('Term investments'!$D:$D,ROW()),0)</f>
        <v/>
      </c>
      <c r="E53">
        <f>IFERROR(--INDEX('Term investments'!$E:$E,ROW()),0)</f>
        <v/>
      </c>
      <c r="F53">
        <f>IFERROR(--INDEX('Term investments'!$F:$F,ROW()),0)</f>
        <v/>
      </c>
      <c r="G53">
        <f>IFERROR(IF(--INDEX('Term investments'!$G:$G,ROW())&gt;=1,--INDEX('Term investments'!$G:$G,ROW())/100,--INDEX('Term investments'!$G:$G,ROW())),0)</f>
        <v/>
      </c>
      <c r="H53">
        <f>IFERROR(--INDEX('Term investments'!$H:$H,ROW()),0)</f>
        <v/>
      </c>
      <c r="I53">
        <f>IF(ISNUMBER(INDEX('Term investments'!$G:$G,ROW())),1,0)</f>
        <v/>
      </c>
      <c r="J53">
        <f>TRIM(SUBSTITUTE(INDEX('Call accounts and MMFs'!$A:$A,ROW())&amp;""," "," "))</f>
        <v/>
      </c>
      <c r="K53">
        <f>TRIM(SUBSTITUTE(INDEX('Call accounts and MMFs'!$B:$B,ROW())&amp;""," "," "))</f>
        <v/>
      </c>
      <c r="L53">
        <f>TRIM(SUBSTITUTE(INDEX('Call accounts and MMFs'!$C:$C,ROW())&amp;""," "," "))</f>
        <v/>
      </c>
      <c r="M53">
        <f>IFERROR(--INDEX('Call accounts and MMFs'!$D:$D,ROW()),0)</f>
        <v/>
      </c>
      <c r="N53">
        <f>IFERROR(IF(--INDEX('Call accounts and MMFs'!$E:$E,ROW())&gt;=1,--INDEX('Call accounts and MMFs'!$E:$E,ROW())/100,--INDEX('Call accounts and MMFs'!$E:$E,ROW())),0)</f>
        <v/>
      </c>
      <c r="O53">
        <f>IFERROR(--INDEX('Call accounts and MMFs'!$F:$F,ROW()),0)</f>
        <v/>
      </c>
      <c r="P53">
        <f>IF(ISNUMBER(INDEX('Call accounts and MMFs'!$E:$E,ROW())),1,0)</f>
        <v/>
      </c>
      <c r="Q53">
        <f>TRIM(SUBSTITUTE(INDEX('Pooled funds'!$B:$B,ROW())&amp;""," "," "))</f>
        <v/>
      </c>
      <c r="R53">
        <f>IFERROR(--INDEX('Pooled funds'!$C:$C,ROW()),0)</f>
        <v/>
      </c>
      <c r="S53">
        <f>IFERROR(--INDEX('Pooled funds'!$D:$D,ROW()),0)</f>
        <v/>
      </c>
      <c r="T53">
        <f>IFERROR(IF(--INDEX('Pooled funds'!$E:$E,ROW())&gt;=1,--INDEX('Pooled funds'!$E:$E,ROW())/100,--INDEX('Pooled funds'!$E:$E,ROW())),0)</f>
        <v/>
      </c>
      <c r="U53">
        <f>IF(ISNUMBER(INDEX('Pooled funds'!$E:$E,ROW())),1,0)</f>
        <v/>
      </c>
      <c r="V53">
        <f>TRIM(SUBSTITUTE(INDEX('Loans'!$A:$A,ROW())&amp;""," "," "))</f>
        <v/>
      </c>
      <c r="W53">
        <f>TRIM(SUBSTITUTE(INDEX('Loans'!$B:$B,ROW())&amp;""," "," "))</f>
        <v/>
      </c>
      <c r="X53">
        <f>TRIM(SUBSTITUTE(INDEX('Loans'!$C:$C,ROW())&amp;""," "," "))</f>
        <v/>
      </c>
      <c r="Y53">
        <f>IFERROR(--INDEX('Loans'!$D:$D,ROW()),0)</f>
        <v/>
      </c>
      <c r="Z53">
        <f>IFERROR(--INDEX('Loans'!$E:$E,ROW()),0)</f>
        <v/>
      </c>
      <c r="AA53">
        <f>IFERROR(--INDEX('Loans'!$F:$F,ROW()),0)</f>
        <v/>
      </c>
      <c r="AB53">
        <f>IFERROR(IF(--INDEX('Loans'!$G:$G,ROW())&gt;=1,--INDEX('Loans'!$G:$G,ROW())/100,--INDEX('Loans'!$G:$G,ROW())),0)</f>
        <v/>
      </c>
      <c r="AC53">
        <f>TRIM(SUBSTITUTE(INDEX('Loans'!$H:$H,ROW())&amp;""," "," "))</f>
        <v/>
      </c>
      <c r="AD53">
        <f>TRIM(SUBSTITUTE(INDEX('Loans'!$I:$I,ROW())&amp;""," "," "))</f>
        <v/>
      </c>
      <c r="AE53">
        <f>IFERROR(--INDEX('Loans'!$J:$J,ROW()),0)</f>
        <v/>
      </c>
      <c r="AF53">
        <f>TRIM(SUBSTITUTE(INDEX('Loans'!$K:$K,ROW())&amp;""," "," "))</f>
        <v/>
      </c>
      <c r="AG53">
        <f>IFERROR(--INDEX('Loans'!$L:$L,ROW()),0)</f>
        <v/>
      </c>
      <c r="AH53">
        <f>IF(ISNUMBER(INDEX('Loans'!$G:$G,ROW())),1,0)</f>
        <v/>
      </c>
    </row>
    <row r="54">
      <c r="A54">
        <f>TRIM(SUBSTITUTE(INDEX('Term investments'!$A:$A,ROW())&amp;""," "," "))</f>
        <v/>
      </c>
      <c r="B54">
        <f>TRIM(SUBSTITUTE(INDEX('Term investments'!$B:$B,ROW())&amp;""," "," "))</f>
        <v/>
      </c>
      <c r="C54">
        <f>TRIM(SUBSTITUTE(INDEX('Term investments'!$C:$C,ROW())&amp;""," "," "))</f>
        <v/>
      </c>
      <c r="D54">
        <f>IFERROR(--INDEX('Term investments'!$D:$D,ROW()),0)</f>
        <v/>
      </c>
      <c r="E54">
        <f>IFERROR(--INDEX('Term investments'!$E:$E,ROW()),0)</f>
        <v/>
      </c>
      <c r="F54">
        <f>IFERROR(--INDEX('Term investments'!$F:$F,ROW()),0)</f>
        <v/>
      </c>
      <c r="G54">
        <f>IFERROR(IF(--INDEX('Term investments'!$G:$G,ROW())&gt;=1,--INDEX('Term investments'!$G:$G,ROW())/100,--INDEX('Term investments'!$G:$G,ROW())),0)</f>
        <v/>
      </c>
      <c r="H54">
        <f>IFERROR(--INDEX('Term investments'!$H:$H,ROW()),0)</f>
        <v/>
      </c>
      <c r="I54">
        <f>IF(ISNUMBER(INDEX('Term investments'!$G:$G,ROW())),1,0)</f>
        <v/>
      </c>
      <c r="J54">
        <f>TRIM(SUBSTITUTE(INDEX('Call accounts and MMFs'!$A:$A,ROW())&amp;""," "," "))</f>
        <v/>
      </c>
      <c r="K54">
        <f>TRIM(SUBSTITUTE(INDEX('Call accounts and MMFs'!$B:$B,ROW())&amp;""," "," "))</f>
        <v/>
      </c>
      <c r="L54">
        <f>TRIM(SUBSTITUTE(INDEX('Call accounts and MMFs'!$C:$C,ROW())&amp;""," "," "))</f>
        <v/>
      </c>
      <c r="M54">
        <f>IFERROR(--INDEX('Call accounts and MMFs'!$D:$D,ROW()),0)</f>
        <v/>
      </c>
      <c r="N54">
        <f>IFERROR(IF(--INDEX('Call accounts and MMFs'!$E:$E,ROW())&gt;=1,--INDEX('Call accounts and MMFs'!$E:$E,ROW())/100,--INDEX('Call accounts and MMFs'!$E:$E,ROW())),0)</f>
        <v/>
      </c>
      <c r="O54">
        <f>IFERROR(--INDEX('Call accounts and MMFs'!$F:$F,ROW()),0)</f>
        <v/>
      </c>
      <c r="P54">
        <f>IF(ISNUMBER(INDEX('Call accounts and MMFs'!$E:$E,ROW())),1,0)</f>
        <v/>
      </c>
      <c r="Q54">
        <f>TRIM(SUBSTITUTE(INDEX('Pooled funds'!$B:$B,ROW())&amp;""," "," "))</f>
        <v/>
      </c>
      <c r="R54">
        <f>IFERROR(--INDEX('Pooled funds'!$C:$C,ROW()),0)</f>
        <v/>
      </c>
      <c r="S54">
        <f>IFERROR(--INDEX('Pooled funds'!$D:$D,ROW()),0)</f>
        <v/>
      </c>
      <c r="T54">
        <f>IFERROR(IF(--INDEX('Pooled funds'!$E:$E,ROW())&gt;=1,--INDEX('Pooled funds'!$E:$E,ROW())/100,--INDEX('Pooled funds'!$E:$E,ROW())),0)</f>
        <v/>
      </c>
      <c r="U54">
        <f>IF(ISNUMBER(INDEX('Pooled funds'!$E:$E,ROW())),1,0)</f>
        <v/>
      </c>
      <c r="V54">
        <f>TRIM(SUBSTITUTE(INDEX('Loans'!$A:$A,ROW())&amp;""," "," "))</f>
        <v/>
      </c>
      <c r="W54">
        <f>TRIM(SUBSTITUTE(INDEX('Loans'!$B:$B,ROW())&amp;""," "," "))</f>
        <v/>
      </c>
      <c r="X54">
        <f>TRIM(SUBSTITUTE(INDEX('Loans'!$C:$C,ROW())&amp;""," "," "))</f>
        <v/>
      </c>
      <c r="Y54">
        <f>IFERROR(--INDEX('Loans'!$D:$D,ROW()),0)</f>
        <v/>
      </c>
      <c r="Z54">
        <f>IFERROR(--INDEX('Loans'!$E:$E,ROW()),0)</f>
        <v/>
      </c>
      <c r="AA54">
        <f>IFERROR(--INDEX('Loans'!$F:$F,ROW()),0)</f>
        <v/>
      </c>
      <c r="AB54">
        <f>IFERROR(IF(--INDEX('Loans'!$G:$G,ROW())&gt;=1,--INDEX('Loans'!$G:$G,ROW())/100,--INDEX('Loans'!$G:$G,ROW())),0)</f>
        <v/>
      </c>
      <c r="AC54">
        <f>TRIM(SUBSTITUTE(INDEX('Loans'!$H:$H,ROW())&amp;""," "," "))</f>
        <v/>
      </c>
      <c r="AD54">
        <f>TRIM(SUBSTITUTE(INDEX('Loans'!$I:$I,ROW())&amp;""," "," "))</f>
        <v/>
      </c>
      <c r="AE54">
        <f>IFERROR(--INDEX('Loans'!$J:$J,ROW()),0)</f>
        <v/>
      </c>
      <c r="AF54">
        <f>TRIM(SUBSTITUTE(INDEX('Loans'!$K:$K,ROW())&amp;""," "," "))</f>
        <v/>
      </c>
      <c r="AG54">
        <f>IFERROR(--INDEX('Loans'!$L:$L,ROW()),0)</f>
        <v/>
      </c>
      <c r="AH54">
        <f>IF(ISNUMBER(INDEX('Loans'!$G:$G,ROW())),1,0)</f>
        <v/>
      </c>
    </row>
    <row r="55">
      <c r="A55">
        <f>TRIM(SUBSTITUTE(INDEX('Term investments'!$A:$A,ROW())&amp;""," "," "))</f>
        <v/>
      </c>
      <c r="B55">
        <f>TRIM(SUBSTITUTE(INDEX('Term investments'!$B:$B,ROW())&amp;""," "," "))</f>
        <v/>
      </c>
      <c r="C55">
        <f>TRIM(SUBSTITUTE(INDEX('Term investments'!$C:$C,ROW())&amp;""," "," "))</f>
        <v/>
      </c>
      <c r="D55">
        <f>IFERROR(--INDEX('Term investments'!$D:$D,ROW()),0)</f>
        <v/>
      </c>
      <c r="E55">
        <f>IFERROR(--INDEX('Term investments'!$E:$E,ROW()),0)</f>
        <v/>
      </c>
      <c r="F55">
        <f>IFERROR(--INDEX('Term investments'!$F:$F,ROW()),0)</f>
        <v/>
      </c>
      <c r="G55">
        <f>IFERROR(IF(--INDEX('Term investments'!$G:$G,ROW())&gt;=1,--INDEX('Term investments'!$G:$G,ROW())/100,--INDEX('Term investments'!$G:$G,ROW())),0)</f>
        <v/>
      </c>
      <c r="H55">
        <f>IFERROR(--INDEX('Term investments'!$H:$H,ROW()),0)</f>
        <v/>
      </c>
      <c r="I55">
        <f>IF(ISNUMBER(INDEX('Term investments'!$G:$G,ROW())),1,0)</f>
        <v/>
      </c>
      <c r="J55">
        <f>TRIM(SUBSTITUTE(INDEX('Call accounts and MMFs'!$A:$A,ROW())&amp;""," "," "))</f>
        <v/>
      </c>
      <c r="K55">
        <f>TRIM(SUBSTITUTE(INDEX('Call accounts and MMFs'!$B:$B,ROW())&amp;""," "," "))</f>
        <v/>
      </c>
      <c r="L55">
        <f>TRIM(SUBSTITUTE(INDEX('Call accounts and MMFs'!$C:$C,ROW())&amp;""," "," "))</f>
        <v/>
      </c>
      <c r="M55">
        <f>IFERROR(--INDEX('Call accounts and MMFs'!$D:$D,ROW()),0)</f>
        <v/>
      </c>
      <c r="N55">
        <f>IFERROR(IF(--INDEX('Call accounts and MMFs'!$E:$E,ROW())&gt;=1,--INDEX('Call accounts and MMFs'!$E:$E,ROW())/100,--INDEX('Call accounts and MMFs'!$E:$E,ROW())),0)</f>
        <v/>
      </c>
      <c r="O55">
        <f>IFERROR(--INDEX('Call accounts and MMFs'!$F:$F,ROW()),0)</f>
        <v/>
      </c>
      <c r="P55">
        <f>IF(ISNUMBER(INDEX('Call accounts and MMFs'!$E:$E,ROW())),1,0)</f>
        <v/>
      </c>
      <c r="Q55">
        <f>TRIM(SUBSTITUTE(INDEX('Pooled funds'!$B:$B,ROW())&amp;""," "," "))</f>
        <v/>
      </c>
      <c r="R55">
        <f>IFERROR(--INDEX('Pooled funds'!$C:$C,ROW()),0)</f>
        <v/>
      </c>
      <c r="S55">
        <f>IFERROR(--INDEX('Pooled funds'!$D:$D,ROW()),0)</f>
        <v/>
      </c>
      <c r="T55">
        <f>IFERROR(IF(--INDEX('Pooled funds'!$E:$E,ROW())&gt;=1,--INDEX('Pooled funds'!$E:$E,ROW())/100,--INDEX('Pooled funds'!$E:$E,ROW())),0)</f>
        <v/>
      </c>
      <c r="U55">
        <f>IF(ISNUMBER(INDEX('Pooled funds'!$E:$E,ROW())),1,0)</f>
        <v/>
      </c>
      <c r="V55">
        <f>TRIM(SUBSTITUTE(INDEX('Loans'!$A:$A,ROW())&amp;""," "," "))</f>
        <v/>
      </c>
      <c r="W55">
        <f>TRIM(SUBSTITUTE(INDEX('Loans'!$B:$B,ROW())&amp;""," "," "))</f>
        <v/>
      </c>
      <c r="X55">
        <f>TRIM(SUBSTITUTE(INDEX('Loans'!$C:$C,ROW())&amp;""," "," "))</f>
        <v/>
      </c>
      <c r="Y55">
        <f>IFERROR(--INDEX('Loans'!$D:$D,ROW()),0)</f>
        <v/>
      </c>
      <c r="Z55">
        <f>IFERROR(--INDEX('Loans'!$E:$E,ROW()),0)</f>
        <v/>
      </c>
      <c r="AA55">
        <f>IFERROR(--INDEX('Loans'!$F:$F,ROW()),0)</f>
        <v/>
      </c>
      <c r="AB55">
        <f>IFERROR(IF(--INDEX('Loans'!$G:$G,ROW())&gt;=1,--INDEX('Loans'!$G:$G,ROW())/100,--INDEX('Loans'!$G:$G,ROW())),0)</f>
        <v/>
      </c>
      <c r="AC55">
        <f>TRIM(SUBSTITUTE(INDEX('Loans'!$H:$H,ROW())&amp;""," "," "))</f>
        <v/>
      </c>
      <c r="AD55">
        <f>TRIM(SUBSTITUTE(INDEX('Loans'!$I:$I,ROW())&amp;""," "," "))</f>
        <v/>
      </c>
      <c r="AE55">
        <f>IFERROR(--INDEX('Loans'!$J:$J,ROW()),0)</f>
        <v/>
      </c>
      <c r="AF55">
        <f>TRIM(SUBSTITUTE(INDEX('Loans'!$K:$K,ROW())&amp;""," "," "))</f>
        <v/>
      </c>
      <c r="AG55">
        <f>IFERROR(--INDEX('Loans'!$L:$L,ROW()),0)</f>
        <v/>
      </c>
      <c r="AH55">
        <f>IF(ISNUMBER(INDEX('Loans'!$G:$G,ROW())),1,0)</f>
        <v/>
      </c>
    </row>
    <row r="56">
      <c r="A56">
        <f>TRIM(SUBSTITUTE(INDEX('Term investments'!$A:$A,ROW())&amp;""," "," "))</f>
        <v/>
      </c>
      <c r="B56">
        <f>TRIM(SUBSTITUTE(INDEX('Term investments'!$B:$B,ROW())&amp;""," "," "))</f>
        <v/>
      </c>
      <c r="C56">
        <f>TRIM(SUBSTITUTE(INDEX('Term investments'!$C:$C,ROW())&amp;""," "," "))</f>
        <v/>
      </c>
      <c r="D56">
        <f>IFERROR(--INDEX('Term investments'!$D:$D,ROW()),0)</f>
        <v/>
      </c>
      <c r="E56">
        <f>IFERROR(--INDEX('Term investments'!$E:$E,ROW()),0)</f>
        <v/>
      </c>
      <c r="F56">
        <f>IFERROR(--INDEX('Term investments'!$F:$F,ROW()),0)</f>
        <v/>
      </c>
      <c r="G56">
        <f>IFERROR(IF(--INDEX('Term investments'!$G:$G,ROW())&gt;=1,--INDEX('Term investments'!$G:$G,ROW())/100,--INDEX('Term investments'!$G:$G,ROW())),0)</f>
        <v/>
      </c>
      <c r="H56">
        <f>IFERROR(--INDEX('Term investments'!$H:$H,ROW()),0)</f>
        <v/>
      </c>
      <c r="I56">
        <f>IF(ISNUMBER(INDEX('Term investments'!$G:$G,ROW())),1,0)</f>
        <v/>
      </c>
      <c r="J56">
        <f>TRIM(SUBSTITUTE(INDEX('Call accounts and MMFs'!$A:$A,ROW())&amp;""," "," "))</f>
        <v/>
      </c>
      <c r="K56">
        <f>TRIM(SUBSTITUTE(INDEX('Call accounts and MMFs'!$B:$B,ROW())&amp;""," "," "))</f>
        <v/>
      </c>
      <c r="L56">
        <f>TRIM(SUBSTITUTE(INDEX('Call accounts and MMFs'!$C:$C,ROW())&amp;""," "," "))</f>
        <v/>
      </c>
      <c r="M56">
        <f>IFERROR(--INDEX('Call accounts and MMFs'!$D:$D,ROW()),0)</f>
        <v/>
      </c>
      <c r="N56">
        <f>IFERROR(IF(--INDEX('Call accounts and MMFs'!$E:$E,ROW())&gt;=1,--INDEX('Call accounts and MMFs'!$E:$E,ROW())/100,--INDEX('Call accounts and MMFs'!$E:$E,ROW())),0)</f>
        <v/>
      </c>
      <c r="O56">
        <f>IFERROR(--INDEX('Call accounts and MMFs'!$F:$F,ROW()),0)</f>
        <v/>
      </c>
      <c r="P56">
        <f>IF(ISNUMBER(INDEX('Call accounts and MMFs'!$E:$E,ROW())),1,0)</f>
        <v/>
      </c>
      <c r="Q56">
        <f>TRIM(SUBSTITUTE(INDEX('Pooled funds'!$B:$B,ROW())&amp;""," "," "))</f>
        <v/>
      </c>
      <c r="R56">
        <f>IFERROR(--INDEX('Pooled funds'!$C:$C,ROW()),0)</f>
        <v/>
      </c>
      <c r="S56">
        <f>IFERROR(--INDEX('Pooled funds'!$D:$D,ROW()),0)</f>
        <v/>
      </c>
      <c r="T56">
        <f>IFERROR(IF(--INDEX('Pooled funds'!$E:$E,ROW())&gt;=1,--INDEX('Pooled funds'!$E:$E,ROW())/100,--INDEX('Pooled funds'!$E:$E,ROW())),0)</f>
        <v/>
      </c>
      <c r="U56">
        <f>IF(ISNUMBER(INDEX('Pooled funds'!$E:$E,ROW())),1,0)</f>
        <v/>
      </c>
      <c r="V56">
        <f>TRIM(SUBSTITUTE(INDEX('Loans'!$A:$A,ROW())&amp;""," "," "))</f>
        <v/>
      </c>
      <c r="W56">
        <f>TRIM(SUBSTITUTE(INDEX('Loans'!$B:$B,ROW())&amp;""," "," "))</f>
        <v/>
      </c>
      <c r="X56">
        <f>TRIM(SUBSTITUTE(INDEX('Loans'!$C:$C,ROW())&amp;""," "," "))</f>
        <v/>
      </c>
      <c r="Y56">
        <f>IFERROR(--INDEX('Loans'!$D:$D,ROW()),0)</f>
        <v/>
      </c>
      <c r="Z56">
        <f>IFERROR(--INDEX('Loans'!$E:$E,ROW()),0)</f>
        <v/>
      </c>
      <c r="AA56">
        <f>IFERROR(--INDEX('Loans'!$F:$F,ROW()),0)</f>
        <v/>
      </c>
      <c r="AB56">
        <f>IFERROR(IF(--INDEX('Loans'!$G:$G,ROW())&gt;=1,--INDEX('Loans'!$G:$G,ROW())/100,--INDEX('Loans'!$G:$G,ROW())),0)</f>
        <v/>
      </c>
      <c r="AC56">
        <f>TRIM(SUBSTITUTE(INDEX('Loans'!$H:$H,ROW())&amp;""," "," "))</f>
        <v/>
      </c>
      <c r="AD56">
        <f>TRIM(SUBSTITUTE(INDEX('Loans'!$I:$I,ROW())&amp;""," "," "))</f>
        <v/>
      </c>
      <c r="AE56">
        <f>IFERROR(--INDEX('Loans'!$J:$J,ROW()),0)</f>
        <v/>
      </c>
      <c r="AF56">
        <f>TRIM(SUBSTITUTE(INDEX('Loans'!$K:$K,ROW())&amp;""," "," "))</f>
        <v/>
      </c>
      <c r="AG56">
        <f>IFERROR(--INDEX('Loans'!$L:$L,ROW()),0)</f>
        <v/>
      </c>
      <c r="AH56">
        <f>IF(ISNUMBER(INDEX('Loans'!$G:$G,ROW())),1,0)</f>
        <v/>
      </c>
    </row>
    <row r="57">
      <c r="A57">
        <f>TRIM(SUBSTITUTE(INDEX('Term investments'!$A:$A,ROW())&amp;""," "," "))</f>
        <v/>
      </c>
      <c r="B57">
        <f>TRIM(SUBSTITUTE(INDEX('Term investments'!$B:$B,ROW())&amp;""," "," "))</f>
        <v/>
      </c>
      <c r="C57">
        <f>TRIM(SUBSTITUTE(INDEX('Term investments'!$C:$C,ROW())&amp;""," "," "))</f>
        <v/>
      </c>
      <c r="D57">
        <f>IFERROR(--INDEX('Term investments'!$D:$D,ROW()),0)</f>
        <v/>
      </c>
      <c r="E57">
        <f>IFERROR(--INDEX('Term investments'!$E:$E,ROW()),0)</f>
        <v/>
      </c>
      <c r="F57">
        <f>IFERROR(--INDEX('Term investments'!$F:$F,ROW()),0)</f>
        <v/>
      </c>
      <c r="G57">
        <f>IFERROR(IF(--INDEX('Term investments'!$G:$G,ROW())&gt;=1,--INDEX('Term investments'!$G:$G,ROW())/100,--INDEX('Term investments'!$G:$G,ROW())),0)</f>
        <v/>
      </c>
      <c r="H57">
        <f>IFERROR(--INDEX('Term investments'!$H:$H,ROW()),0)</f>
        <v/>
      </c>
      <c r="I57">
        <f>IF(ISNUMBER(INDEX('Term investments'!$G:$G,ROW())),1,0)</f>
        <v/>
      </c>
      <c r="J57">
        <f>TRIM(SUBSTITUTE(INDEX('Call accounts and MMFs'!$A:$A,ROW())&amp;""," "," "))</f>
        <v/>
      </c>
      <c r="K57">
        <f>TRIM(SUBSTITUTE(INDEX('Call accounts and MMFs'!$B:$B,ROW())&amp;""," "," "))</f>
        <v/>
      </c>
      <c r="L57">
        <f>TRIM(SUBSTITUTE(INDEX('Call accounts and MMFs'!$C:$C,ROW())&amp;""," "," "))</f>
        <v/>
      </c>
      <c r="M57">
        <f>IFERROR(--INDEX('Call accounts and MMFs'!$D:$D,ROW()),0)</f>
        <v/>
      </c>
      <c r="N57">
        <f>IFERROR(IF(--INDEX('Call accounts and MMFs'!$E:$E,ROW())&gt;=1,--INDEX('Call accounts and MMFs'!$E:$E,ROW())/100,--INDEX('Call accounts and MMFs'!$E:$E,ROW())),0)</f>
        <v/>
      </c>
      <c r="O57">
        <f>IFERROR(--INDEX('Call accounts and MMFs'!$F:$F,ROW()),0)</f>
        <v/>
      </c>
      <c r="P57">
        <f>IF(ISNUMBER(INDEX('Call accounts and MMFs'!$E:$E,ROW())),1,0)</f>
        <v/>
      </c>
      <c r="Q57">
        <f>TRIM(SUBSTITUTE(INDEX('Pooled funds'!$B:$B,ROW())&amp;""," "," "))</f>
        <v/>
      </c>
      <c r="R57">
        <f>IFERROR(--INDEX('Pooled funds'!$C:$C,ROW()),0)</f>
        <v/>
      </c>
      <c r="S57">
        <f>IFERROR(--INDEX('Pooled funds'!$D:$D,ROW()),0)</f>
        <v/>
      </c>
      <c r="T57">
        <f>IFERROR(IF(--INDEX('Pooled funds'!$E:$E,ROW())&gt;=1,--INDEX('Pooled funds'!$E:$E,ROW())/100,--INDEX('Pooled funds'!$E:$E,ROW())),0)</f>
        <v/>
      </c>
      <c r="U57">
        <f>IF(ISNUMBER(INDEX('Pooled funds'!$E:$E,ROW())),1,0)</f>
        <v/>
      </c>
      <c r="V57">
        <f>TRIM(SUBSTITUTE(INDEX('Loans'!$A:$A,ROW())&amp;""," "," "))</f>
        <v/>
      </c>
      <c r="W57">
        <f>TRIM(SUBSTITUTE(INDEX('Loans'!$B:$B,ROW())&amp;""," "," "))</f>
        <v/>
      </c>
      <c r="X57">
        <f>TRIM(SUBSTITUTE(INDEX('Loans'!$C:$C,ROW())&amp;""," "," "))</f>
        <v/>
      </c>
      <c r="Y57">
        <f>IFERROR(--INDEX('Loans'!$D:$D,ROW()),0)</f>
        <v/>
      </c>
      <c r="Z57">
        <f>IFERROR(--INDEX('Loans'!$E:$E,ROW()),0)</f>
        <v/>
      </c>
      <c r="AA57">
        <f>IFERROR(--INDEX('Loans'!$F:$F,ROW()),0)</f>
        <v/>
      </c>
      <c r="AB57">
        <f>IFERROR(IF(--INDEX('Loans'!$G:$G,ROW())&gt;=1,--INDEX('Loans'!$G:$G,ROW())/100,--INDEX('Loans'!$G:$G,ROW())),0)</f>
        <v/>
      </c>
      <c r="AC57">
        <f>TRIM(SUBSTITUTE(INDEX('Loans'!$H:$H,ROW())&amp;""," "," "))</f>
        <v/>
      </c>
      <c r="AD57">
        <f>TRIM(SUBSTITUTE(INDEX('Loans'!$I:$I,ROW())&amp;""," "," "))</f>
        <v/>
      </c>
      <c r="AE57">
        <f>IFERROR(--INDEX('Loans'!$J:$J,ROW()),0)</f>
        <v/>
      </c>
      <c r="AF57">
        <f>TRIM(SUBSTITUTE(INDEX('Loans'!$K:$K,ROW())&amp;""," "," "))</f>
        <v/>
      </c>
      <c r="AG57">
        <f>IFERROR(--INDEX('Loans'!$L:$L,ROW()),0)</f>
        <v/>
      </c>
      <c r="AH57">
        <f>IF(ISNUMBER(INDEX('Loans'!$G:$G,ROW())),1,0)</f>
        <v/>
      </c>
    </row>
    <row r="58">
      <c r="A58">
        <f>TRIM(SUBSTITUTE(INDEX('Term investments'!$A:$A,ROW())&amp;""," "," "))</f>
        <v/>
      </c>
      <c r="B58">
        <f>TRIM(SUBSTITUTE(INDEX('Term investments'!$B:$B,ROW())&amp;""," "," "))</f>
        <v/>
      </c>
      <c r="C58">
        <f>TRIM(SUBSTITUTE(INDEX('Term investments'!$C:$C,ROW())&amp;""," "," "))</f>
        <v/>
      </c>
      <c r="D58">
        <f>IFERROR(--INDEX('Term investments'!$D:$D,ROW()),0)</f>
        <v/>
      </c>
      <c r="E58">
        <f>IFERROR(--INDEX('Term investments'!$E:$E,ROW()),0)</f>
        <v/>
      </c>
      <c r="F58">
        <f>IFERROR(--INDEX('Term investments'!$F:$F,ROW()),0)</f>
        <v/>
      </c>
      <c r="G58">
        <f>IFERROR(IF(--INDEX('Term investments'!$G:$G,ROW())&gt;=1,--INDEX('Term investments'!$G:$G,ROW())/100,--INDEX('Term investments'!$G:$G,ROW())),0)</f>
        <v/>
      </c>
      <c r="H58">
        <f>IFERROR(--INDEX('Term investments'!$H:$H,ROW()),0)</f>
        <v/>
      </c>
      <c r="I58">
        <f>IF(ISNUMBER(INDEX('Term investments'!$G:$G,ROW())),1,0)</f>
        <v/>
      </c>
      <c r="J58">
        <f>TRIM(SUBSTITUTE(INDEX('Call accounts and MMFs'!$A:$A,ROW())&amp;""," "," "))</f>
        <v/>
      </c>
      <c r="K58">
        <f>TRIM(SUBSTITUTE(INDEX('Call accounts and MMFs'!$B:$B,ROW())&amp;""," "," "))</f>
        <v/>
      </c>
      <c r="L58">
        <f>TRIM(SUBSTITUTE(INDEX('Call accounts and MMFs'!$C:$C,ROW())&amp;""," "," "))</f>
        <v/>
      </c>
      <c r="M58">
        <f>IFERROR(--INDEX('Call accounts and MMFs'!$D:$D,ROW()),0)</f>
        <v/>
      </c>
      <c r="N58">
        <f>IFERROR(IF(--INDEX('Call accounts and MMFs'!$E:$E,ROW())&gt;=1,--INDEX('Call accounts and MMFs'!$E:$E,ROW())/100,--INDEX('Call accounts and MMFs'!$E:$E,ROW())),0)</f>
        <v/>
      </c>
      <c r="O58">
        <f>IFERROR(--INDEX('Call accounts and MMFs'!$F:$F,ROW()),0)</f>
        <v/>
      </c>
      <c r="P58">
        <f>IF(ISNUMBER(INDEX('Call accounts and MMFs'!$E:$E,ROW())),1,0)</f>
        <v/>
      </c>
      <c r="Q58">
        <f>TRIM(SUBSTITUTE(INDEX('Pooled funds'!$B:$B,ROW())&amp;""," "," "))</f>
        <v/>
      </c>
      <c r="R58">
        <f>IFERROR(--INDEX('Pooled funds'!$C:$C,ROW()),0)</f>
        <v/>
      </c>
      <c r="S58">
        <f>IFERROR(--INDEX('Pooled funds'!$D:$D,ROW()),0)</f>
        <v/>
      </c>
      <c r="T58">
        <f>IFERROR(IF(--INDEX('Pooled funds'!$E:$E,ROW())&gt;=1,--INDEX('Pooled funds'!$E:$E,ROW())/100,--INDEX('Pooled funds'!$E:$E,ROW())),0)</f>
        <v/>
      </c>
      <c r="U58">
        <f>IF(ISNUMBER(INDEX('Pooled funds'!$E:$E,ROW())),1,0)</f>
        <v/>
      </c>
      <c r="V58">
        <f>TRIM(SUBSTITUTE(INDEX('Loans'!$A:$A,ROW())&amp;""," "," "))</f>
        <v/>
      </c>
      <c r="W58">
        <f>TRIM(SUBSTITUTE(INDEX('Loans'!$B:$B,ROW())&amp;""," "," "))</f>
        <v/>
      </c>
      <c r="X58">
        <f>TRIM(SUBSTITUTE(INDEX('Loans'!$C:$C,ROW())&amp;""," "," "))</f>
        <v/>
      </c>
      <c r="Y58">
        <f>IFERROR(--INDEX('Loans'!$D:$D,ROW()),0)</f>
        <v/>
      </c>
      <c r="Z58">
        <f>IFERROR(--INDEX('Loans'!$E:$E,ROW()),0)</f>
        <v/>
      </c>
      <c r="AA58">
        <f>IFERROR(--INDEX('Loans'!$F:$F,ROW()),0)</f>
        <v/>
      </c>
      <c r="AB58">
        <f>IFERROR(IF(--INDEX('Loans'!$G:$G,ROW())&gt;=1,--INDEX('Loans'!$G:$G,ROW())/100,--INDEX('Loans'!$G:$G,ROW())),0)</f>
        <v/>
      </c>
      <c r="AC58">
        <f>TRIM(SUBSTITUTE(INDEX('Loans'!$H:$H,ROW())&amp;""," "," "))</f>
        <v/>
      </c>
      <c r="AD58">
        <f>TRIM(SUBSTITUTE(INDEX('Loans'!$I:$I,ROW())&amp;""," "," "))</f>
        <v/>
      </c>
      <c r="AE58">
        <f>IFERROR(--INDEX('Loans'!$J:$J,ROW()),0)</f>
        <v/>
      </c>
      <c r="AF58">
        <f>TRIM(SUBSTITUTE(INDEX('Loans'!$K:$K,ROW())&amp;""," "," "))</f>
        <v/>
      </c>
      <c r="AG58">
        <f>IFERROR(--INDEX('Loans'!$L:$L,ROW()),0)</f>
        <v/>
      </c>
      <c r="AH58">
        <f>IF(ISNUMBER(INDEX('Loans'!$G:$G,ROW())),1,0)</f>
        <v/>
      </c>
    </row>
    <row r="59">
      <c r="A59">
        <f>TRIM(SUBSTITUTE(INDEX('Term investments'!$A:$A,ROW())&amp;""," "," "))</f>
        <v/>
      </c>
      <c r="B59">
        <f>TRIM(SUBSTITUTE(INDEX('Term investments'!$B:$B,ROW())&amp;""," "," "))</f>
        <v/>
      </c>
      <c r="C59">
        <f>TRIM(SUBSTITUTE(INDEX('Term investments'!$C:$C,ROW())&amp;""," "," "))</f>
        <v/>
      </c>
      <c r="D59">
        <f>IFERROR(--INDEX('Term investments'!$D:$D,ROW()),0)</f>
        <v/>
      </c>
      <c r="E59">
        <f>IFERROR(--INDEX('Term investments'!$E:$E,ROW()),0)</f>
        <v/>
      </c>
      <c r="F59">
        <f>IFERROR(--INDEX('Term investments'!$F:$F,ROW()),0)</f>
        <v/>
      </c>
      <c r="G59">
        <f>IFERROR(IF(--INDEX('Term investments'!$G:$G,ROW())&gt;=1,--INDEX('Term investments'!$G:$G,ROW())/100,--INDEX('Term investments'!$G:$G,ROW())),0)</f>
        <v/>
      </c>
      <c r="H59">
        <f>IFERROR(--INDEX('Term investments'!$H:$H,ROW()),0)</f>
        <v/>
      </c>
      <c r="I59">
        <f>IF(ISNUMBER(INDEX('Term investments'!$G:$G,ROW())),1,0)</f>
        <v/>
      </c>
      <c r="J59">
        <f>TRIM(SUBSTITUTE(INDEX('Call accounts and MMFs'!$A:$A,ROW())&amp;""," "," "))</f>
        <v/>
      </c>
      <c r="K59">
        <f>TRIM(SUBSTITUTE(INDEX('Call accounts and MMFs'!$B:$B,ROW())&amp;""," "," "))</f>
        <v/>
      </c>
      <c r="L59">
        <f>TRIM(SUBSTITUTE(INDEX('Call accounts and MMFs'!$C:$C,ROW())&amp;""," "," "))</f>
        <v/>
      </c>
      <c r="M59">
        <f>IFERROR(--INDEX('Call accounts and MMFs'!$D:$D,ROW()),0)</f>
        <v/>
      </c>
      <c r="N59">
        <f>IFERROR(IF(--INDEX('Call accounts and MMFs'!$E:$E,ROW())&gt;=1,--INDEX('Call accounts and MMFs'!$E:$E,ROW())/100,--INDEX('Call accounts and MMFs'!$E:$E,ROW())),0)</f>
        <v/>
      </c>
      <c r="O59">
        <f>IFERROR(--INDEX('Call accounts and MMFs'!$F:$F,ROW()),0)</f>
        <v/>
      </c>
      <c r="P59">
        <f>IF(ISNUMBER(INDEX('Call accounts and MMFs'!$E:$E,ROW())),1,0)</f>
        <v/>
      </c>
      <c r="Q59">
        <f>TRIM(SUBSTITUTE(INDEX('Pooled funds'!$B:$B,ROW())&amp;""," "," "))</f>
        <v/>
      </c>
      <c r="R59">
        <f>IFERROR(--INDEX('Pooled funds'!$C:$C,ROW()),0)</f>
        <v/>
      </c>
      <c r="S59">
        <f>IFERROR(--INDEX('Pooled funds'!$D:$D,ROW()),0)</f>
        <v/>
      </c>
      <c r="T59">
        <f>IFERROR(IF(--INDEX('Pooled funds'!$E:$E,ROW())&gt;=1,--INDEX('Pooled funds'!$E:$E,ROW())/100,--INDEX('Pooled funds'!$E:$E,ROW())),0)</f>
        <v/>
      </c>
      <c r="U59">
        <f>IF(ISNUMBER(INDEX('Pooled funds'!$E:$E,ROW())),1,0)</f>
        <v/>
      </c>
      <c r="V59">
        <f>TRIM(SUBSTITUTE(INDEX('Loans'!$A:$A,ROW())&amp;""," "," "))</f>
        <v/>
      </c>
      <c r="W59">
        <f>TRIM(SUBSTITUTE(INDEX('Loans'!$B:$B,ROW())&amp;""," "," "))</f>
        <v/>
      </c>
      <c r="X59">
        <f>TRIM(SUBSTITUTE(INDEX('Loans'!$C:$C,ROW())&amp;""," "," "))</f>
        <v/>
      </c>
      <c r="Y59">
        <f>IFERROR(--INDEX('Loans'!$D:$D,ROW()),0)</f>
        <v/>
      </c>
      <c r="Z59">
        <f>IFERROR(--INDEX('Loans'!$E:$E,ROW()),0)</f>
        <v/>
      </c>
      <c r="AA59">
        <f>IFERROR(--INDEX('Loans'!$F:$F,ROW()),0)</f>
        <v/>
      </c>
      <c r="AB59">
        <f>IFERROR(IF(--INDEX('Loans'!$G:$G,ROW())&gt;=1,--INDEX('Loans'!$G:$G,ROW())/100,--INDEX('Loans'!$G:$G,ROW())),0)</f>
        <v/>
      </c>
      <c r="AC59">
        <f>TRIM(SUBSTITUTE(INDEX('Loans'!$H:$H,ROW())&amp;""," "," "))</f>
        <v/>
      </c>
      <c r="AD59">
        <f>TRIM(SUBSTITUTE(INDEX('Loans'!$I:$I,ROW())&amp;""," "," "))</f>
        <v/>
      </c>
      <c r="AE59">
        <f>IFERROR(--INDEX('Loans'!$J:$J,ROW()),0)</f>
        <v/>
      </c>
      <c r="AF59">
        <f>TRIM(SUBSTITUTE(INDEX('Loans'!$K:$K,ROW())&amp;""," "," "))</f>
        <v/>
      </c>
      <c r="AG59">
        <f>IFERROR(--INDEX('Loans'!$L:$L,ROW()),0)</f>
        <v/>
      </c>
      <c r="AH59">
        <f>IF(ISNUMBER(INDEX('Loans'!$G:$G,ROW())),1,0)</f>
        <v/>
      </c>
    </row>
    <row r="60">
      <c r="A60">
        <f>TRIM(SUBSTITUTE(INDEX('Term investments'!$A:$A,ROW())&amp;""," "," "))</f>
        <v/>
      </c>
      <c r="B60">
        <f>TRIM(SUBSTITUTE(INDEX('Term investments'!$B:$B,ROW())&amp;""," "," "))</f>
        <v/>
      </c>
      <c r="C60">
        <f>TRIM(SUBSTITUTE(INDEX('Term investments'!$C:$C,ROW())&amp;""," "," "))</f>
        <v/>
      </c>
      <c r="D60">
        <f>IFERROR(--INDEX('Term investments'!$D:$D,ROW()),0)</f>
        <v/>
      </c>
      <c r="E60">
        <f>IFERROR(--INDEX('Term investments'!$E:$E,ROW()),0)</f>
        <v/>
      </c>
      <c r="F60">
        <f>IFERROR(--INDEX('Term investments'!$F:$F,ROW()),0)</f>
        <v/>
      </c>
      <c r="G60">
        <f>IFERROR(IF(--INDEX('Term investments'!$G:$G,ROW())&gt;=1,--INDEX('Term investments'!$G:$G,ROW())/100,--INDEX('Term investments'!$G:$G,ROW())),0)</f>
        <v/>
      </c>
      <c r="H60">
        <f>IFERROR(--INDEX('Term investments'!$H:$H,ROW()),0)</f>
        <v/>
      </c>
      <c r="I60">
        <f>IF(ISNUMBER(INDEX('Term investments'!$G:$G,ROW())),1,0)</f>
        <v/>
      </c>
      <c r="J60">
        <f>TRIM(SUBSTITUTE(INDEX('Call accounts and MMFs'!$A:$A,ROW())&amp;""," "," "))</f>
        <v/>
      </c>
      <c r="K60">
        <f>TRIM(SUBSTITUTE(INDEX('Call accounts and MMFs'!$B:$B,ROW())&amp;""," "," "))</f>
        <v/>
      </c>
      <c r="L60">
        <f>TRIM(SUBSTITUTE(INDEX('Call accounts and MMFs'!$C:$C,ROW())&amp;""," "," "))</f>
        <v/>
      </c>
      <c r="M60">
        <f>IFERROR(--INDEX('Call accounts and MMFs'!$D:$D,ROW()),0)</f>
        <v/>
      </c>
      <c r="N60">
        <f>IFERROR(IF(--INDEX('Call accounts and MMFs'!$E:$E,ROW())&gt;=1,--INDEX('Call accounts and MMFs'!$E:$E,ROW())/100,--INDEX('Call accounts and MMFs'!$E:$E,ROW())),0)</f>
        <v/>
      </c>
      <c r="O60">
        <f>IFERROR(--INDEX('Call accounts and MMFs'!$F:$F,ROW()),0)</f>
        <v/>
      </c>
      <c r="P60">
        <f>IF(ISNUMBER(INDEX('Call accounts and MMFs'!$E:$E,ROW())),1,0)</f>
        <v/>
      </c>
      <c r="Q60">
        <f>TRIM(SUBSTITUTE(INDEX('Pooled funds'!$B:$B,ROW())&amp;""," "," "))</f>
        <v/>
      </c>
      <c r="R60">
        <f>IFERROR(--INDEX('Pooled funds'!$C:$C,ROW()),0)</f>
        <v/>
      </c>
      <c r="S60">
        <f>IFERROR(--INDEX('Pooled funds'!$D:$D,ROW()),0)</f>
        <v/>
      </c>
      <c r="T60">
        <f>IFERROR(IF(--INDEX('Pooled funds'!$E:$E,ROW())&gt;=1,--INDEX('Pooled funds'!$E:$E,ROW())/100,--INDEX('Pooled funds'!$E:$E,ROW())),0)</f>
        <v/>
      </c>
      <c r="U60">
        <f>IF(ISNUMBER(INDEX('Pooled funds'!$E:$E,ROW())),1,0)</f>
        <v/>
      </c>
      <c r="V60">
        <f>TRIM(SUBSTITUTE(INDEX('Loans'!$A:$A,ROW())&amp;""," "," "))</f>
        <v/>
      </c>
      <c r="W60">
        <f>TRIM(SUBSTITUTE(INDEX('Loans'!$B:$B,ROW())&amp;""," "," "))</f>
        <v/>
      </c>
      <c r="X60">
        <f>TRIM(SUBSTITUTE(INDEX('Loans'!$C:$C,ROW())&amp;""," "," "))</f>
        <v/>
      </c>
      <c r="Y60">
        <f>IFERROR(--INDEX('Loans'!$D:$D,ROW()),0)</f>
        <v/>
      </c>
      <c r="Z60">
        <f>IFERROR(--INDEX('Loans'!$E:$E,ROW()),0)</f>
        <v/>
      </c>
      <c r="AA60">
        <f>IFERROR(--INDEX('Loans'!$F:$F,ROW()),0)</f>
        <v/>
      </c>
      <c r="AB60">
        <f>IFERROR(IF(--INDEX('Loans'!$G:$G,ROW())&gt;=1,--INDEX('Loans'!$G:$G,ROW())/100,--INDEX('Loans'!$G:$G,ROW())),0)</f>
        <v/>
      </c>
      <c r="AC60">
        <f>TRIM(SUBSTITUTE(INDEX('Loans'!$H:$H,ROW())&amp;""," "," "))</f>
        <v/>
      </c>
      <c r="AD60">
        <f>TRIM(SUBSTITUTE(INDEX('Loans'!$I:$I,ROW())&amp;""," "," "))</f>
        <v/>
      </c>
      <c r="AE60">
        <f>IFERROR(--INDEX('Loans'!$J:$J,ROW()),0)</f>
        <v/>
      </c>
      <c r="AF60">
        <f>TRIM(SUBSTITUTE(INDEX('Loans'!$K:$K,ROW())&amp;""," "," "))</f>
        <v/>
      </c>
      <c r="AG60">
        <f>IFERROR(--INDEX('Loans'!$L:$L,ROW()),0)</f>
        <v/>
      </c>
      <c r="AH60">
        <f>IF(ISNUMBER(INDEX('Loans'!$G:$G,ROW())),1,0)</f>
        <v/>
      </c>
    </row>
    <row r="61">
      <c r="A61">
        <f>TRIM(SUBSTITUTE(INDEX('Term investments'!$A:$A,ROW())&amp;""," "," "))</f>
        <v/>
      </c>
      <c r="B61">
        <f>TRIM(SUBSTITUTE(INDEX('Term investments'!$B:$B,ROW())&amp;""," "," "))</f>
        <v/>
      </c>
      <c r="C61">
        <f>TRIM(SUBSTITUTE(INDEX('Term investments'!$C:$C,ROW())&amp;""," "," "))</f>
        <v/>
      </c>
      <c r="D61">
        <f>IFERROR(--INDEX('Term investments'!$D:$D,ROW()),0)</f>
        <v/>
      </c>
      <c r="E61">
        <f>IFERROR(--INDEX('Term investments'!$E:$E,ROW()),0)</f>
        <v/>
      </c>
      <c r="F61">
        <f>IFERROR(--INDEX('Term investments'!$F:$F,ROW()),0)</f>
        <v/>
      </c>
      <c r="G61">
        <f>IFERROR(IF(--INDEX('Term investments'!$G:$G,ROW())&gt;=1,--INDEX('Term investments'!$G:$G,ROW())/100,--INDEX('Term investments'!$G:$G,ROW())),0)</f>
        <v/>
      </c>
      <c r="H61">
        <f>IFERROR(--INDEX('Term investments'!$H:$H,ROW()),0)</f>
        <v/>
      </c>
      <c r="I61">
        <f>IF(ISNUMBER(INDEX('Term investments'!$G:$G,ROW())),1,0)</f>
        <v/>
      </c>
      <c r="J61">
        <f>TRIM(SUBSTITUTE(INDEX('Call accounts and MMFs'!$A:$A,ROW())&amp;""," "," "))</f>
        <v/>
      </c>
      <c r="K61">
        <f>TRIM(SUBSTITUTE(INDEX('Call accounts and MMFs'!$B:$B,ROW())&amp;""," "," "))</f>
        <v/>
      </c>
      <c r="L61">
        <f>TRIM(SUBSTITUTE(INDEX('Call accounts and MMFs'!$C:$C,ROW())&amp;""," "," "))</f>
        <v/>
      </c>
      <c r="M61">
        <f>IFERROR(--INDEX('Call accounts and MMFs'!$D:$D,ROW()),0)</f>
        <v/>
      </c>
      <c r="N61">
        <f>IFERROR(IF(--INDEX('Call accounts and MMFs'!$E:$E,ROW())&gt;=1,--INDEX('Call accounts and MMFs'!$E:$E,ROW())/100,--INDEX('Call accounts and MMFs'!$E:$E,ROW())),0)</f>
        <v/>
      </c>
      <c r="O61">
        <f>IFERROR(--INDEX('Call accounts and MMFs'!$F:$F,ROW()),0)</f>
        <v/>
      </c>
      <c r="P61">
        <f>IF(ISNUMBER(INDEX('Call accounts and MMFs'!$E:$E,ROW())),1,0)</f>
        <v/>
      </c>
      <c r="Q61">
        <f>TRIM(SUBSTITUTE(INDEX('Pooled funds'!$B:$B,ROW())&amp;""," "," "))</f>
        <v/>
      </c>
      <c r="R61">
        <f>IFERROR(--INDEX('Pooled funds'!$C:$C,ROW()),0)</f>
        <v/>
      </c>
      <c r="S61">
        <f>IFERROR(--INDEX('Pooled funds'!$D:$D,ROW()),0)</f>
        <v/>
      </c>
      <c r="T61">
        <f>IFERROR(IF(--INDEX('Pooled funds'!$E:$E,ROW())&gt;=1,--INDEX('Pooled funds'!$E:$E,ROW())/100,--INDEX('Pooled funds'!$E:$E,ROW())),0)</f>
        <v/>
      </c>
      <c r="U61">
        <f>IF(ISNUMBER(INDEX('Pooled funds'!$E:$E,ROW())),1,0)</f>
        <v/>
      </c>
      <c r="V61">
        <f>TRIM(SUBSTITUTE(INDEX('Loans'!$A:$A,ROW())&amp;""," "," "))</f>
        <v/>
      </c>
      <c r="W61">
        <f>TRIM(SUBSTITUTE(INDEX('Loans'!$B:$B,ROW())&amp;""," "," "))</f>
        <v/>
      </c>
      <c r="X61">
        <f>TRIM(SUBSTITUTE(INDEX('Loans'!$C:$C,ROW())&amp;""," "," "))</f>
        <v/>
      </c>
      <c r="Y61">
        <f>IFERROR(--INDEX('Loans'!$D:$D,ROW()),0)</f>
        <v/>
      </c>
      <c r="Z61">
        <f>IFERROR(--INDEX('Loans'!$E:$E,ROW()),0)</f>
        <v/>
      </c>
      <c r="AA61">
        <f>IFERROR(--INDEX('Loans'!$F:$F,ROW()),0)</f>
        <v/>
      </c>
      <c r="AB61">
        <f>IFERROR(IF(--INDEX('Loans'!$G:$G,ROW())&gt;=1,--INDEX('Loans'!$G:$G,ROW())/100,--INDEX('Loans'!$G:$G,ROW())),0)</f>
        <v/>
      </c>
      <c r="AC61">
        <f>TRIM(SUBSTITUTE(INDEX('Loans'!$H:$H,ROW())&amp;""," "," "))</f>
        <v/>
      </c>
      <c r="AD61">
        <f>TRIM(SUBSTITUTE(INDEX('Loans'!$I:$I,ROW())&amp;""," "," "))</f>
        <v/>
      </c>
      <c r="AE61">
        <f>IFERROR(--INDEX('Loans'!$J:$J,ROW()),0)</f>
        <v/>
      </c>
      <c r="AF61">
        <f>TRIM(SUBSTITUTE(INDEX('Loans'!$K:$K,ROW())&amp;""," "," "))</f>
        <v/>
      </c>
      <c r="AG61">
        <f>IFERROR(--INDEX('Loans'!$L:$L,ROW()),0)</f>
        <v/>
      </c>
      <c r="AH61">
        <f>IF(ISNUMBER(INDEX('Loans'!$G:$G,ROW())),1,0)</f>
        <v/>
      </c>
    </row>
    <row r="62">
      <c r="A62">
        <f>TRIM(SUBSTITUTE(INDEX('Term investments'!$A:$A,ROW())&amp;""," "," "))</f>
        <v/>
      </c>
      <c r="B62">
        <f>TRIM(SUBSTITUTE(INDEX('Term investments'!$B:$B,ROW())&amp;""," "," "))</f>
        <v/>
      </c>
      <c r="C62">
        <f>TRIM(SUBSTITUTE(INDEX('Term investments'!$C:$C,ROW())&amp;""," "," "))</f>
        <v/>
      </c>
      <c r="D62">
        <f>IFERROR(--INDEX('Term investments'!$D:$D,ROW()),0)</f>
        <v/>
      </c>
      <c r="E62">
        <f>IFERROR(--INDEX('Term investments'!$E:$E,ROW()),0)</f>
        <v/>
      </c>
      <c r="F62">
        <f>IFERROR(--INDEX('Term investments'!$F:$F,ROW()),0)</f>
        <v/>
      </c>
      <c r="G62">
        <f>IFERROR(IF(--INDEX('Term investments'!$G:$G,ROW())&gt;=1,--INDEX('Term investments'!$G:$G,ROW())/100,--INDEX('Term investments'!$G:$G,ROW())),0)</f>
        <v/>
      </c>
      <c r="H62">
        <f>IFERROR(--INDEX('Term investments'!$H:$H,ROW()),0)</f>
        <v/>
      </c>
      <c r="I62">
        <f>IF(ISNUMBER(INDEX('Term investments'!$G:$G,ROW())),1,0)</f>
        <v/>
      </c>
      <c r="J62">
        <f>TRIM(SUBSTITUTE(INDEX('Call accounts and MMFs'!$A:$A,ROW())&amp;""," "," "))</f>
        <v/>
      </c>
      <c r="K62">
        <f>TRIM(SUBSTITUTE(INDEX('Call accounts and MMFs'!$B:$B,ROW())&amp;""," "," "))</f>
        <v/>
      </c>
      <c r="L62">
        <f>TRIM(SUBSTITUTE(INDEX('Call accounts and MMFs'!$C:$C,ROW())&amp;""," "," "))</f>
        <v/>
      </c>
      <c r="M62">
        <f>IFERROR(--INDEX('Call accounts and MMFs'!$D:$D,ROW()),0)</f>
        <v/>
      </c>
      <c r="N62">
        <f>IFERROR(IF(--INDEX('Call accounts and MMFs'!$E:$E,ROW())&gt;=1,--INDEX('Call accounts and MMFs'!$E:$E,ROW())/100,--INDEX('Call accounts and MMFs'!$E:$E,ROW())),0)</f>
        <v/>
      </c>
      <c r="O62">
        <f>IFERROR(--INDEX('Call accounts and MMFs'!$F:$F,ROW()),0)</f>
        <v/>
      </c>
      <c r="P62">
        <f>IF(ISNUMBER(INDEX('Call accounts and MMFs'!$E:$E,ROW())),1,0)</f>
        <v/>
      </c>
      <c r="Q62">
        <f>TRIM(SUBSTITUTE(INDEX('Pooled funds'!$B:$B,ROW())&amp;""," "," "))</f>
        <v/>
      </c>
      <c r="R62">
        <f>IFERROR(--INDEX('Pooled funds'!$C:$C,ROW()),0)</f>
        <v/>
      </c>
      <c r="S62">
        <f>IFERROR(--INDEX('Pooled funds'!$D:$D,ROW()),0)</f>
        <v/>
      </c>
      <c r="T62">
        <f>IFERROR(IF(--INDEX('Pooled funds'!$E:$E,ROW())&gt;=1,--INDEX('Pooled funds'!$E:$E,ROW())/100,--INDEX('Pooled funds'!$E:$E,ROW())),0)</f>
        <v/>
      </c>
      <c r="U62">
        <f>IF(ISNUMBER(INDEX('Pooled funds'!$E:$E,ROW())),1,0)</f>
        <v/>
      </c>
      <c r="V62">
        <f>TRIM(SUBSTITUTE(INDEX('Loans'!$A:$A,ROW())&amp;""," "," "))</f>
        <v/>
      </c>
      <c r="W62">
        <f>TRIM(SUBSTITUTE(INDEX('Loans'!$B:$B,ROW())&amp;""," "," "))</f>
        <v/>
      </c>
      <c r="X62">
        <f>TRIM(SUBSTITUTE(INDEX('Loans'!$C:$C,ROW())&amp;""," "," "))</f>
        <v/>
      </c>
      <c r="Y62">
        <f>IFERROR(--INDEX('Loans'!$D:$D,ROW()),0)</f>
        <v/>
      </c>
      <c r="Z62">
        <f>IFERROR(--INDEX('Loans'!$E:$E,ROW()),0)</f>
        <v/>
      </c>
      <c r="AA62">
        <f>IFERROR(--INDEX('Loans'!$F:$F,ROW()),0)</f>
        <v/>
      </c>
      <c r="AB62">
        <f>IFERROR(IF(--INDEX('Loans'!$G:$G,ROW())&gt;=1,--INDEX('Loans'!$G:$G,ROW())/100,--INDEX('Loans'!$G:$G,ROW())),0)</f>
        <v/>
      </c>
      <c r="AC62">
        <f>TRIM(SUBSTITUTE(INDEX('Loans'!$H:$H,ROW())&amp;""," "," "))</f>
        <v/>
      </c>
      <c r="AD62">
        <f>TRIM(SUBSTITUTE(INDEX('Loans'!$I:$I,ROW())&amp;""," "," "))</f>
        <v/>
      </c>
      <c r="AE62">
        <f>IFERROR(--INDEX('Loans'!$J:$J,ROW()),0)</f>
        <v/>
      </c>
      <c r="AF62">
        <f>TRIM(SUBSTITUTE(INDEX('Loans'!$K:$K,ROW())&amp;""," "," "))</f>
        <v/>
      </c>
      <c r="AG62">
        <f>IFERROR(--INDEX('Loans'!$L:$L,ROW()),0)</f>
        <v/>
      </c>
      <c r="AH62">
        <f>IF(ISNUMBER(INDEX('Loans'!$G:$G,ROW())),1,0)</f>
        <v/>
      </c>
    </row>
    <row r="63">
      <c r="A63">
        <f>TRIM(SUBSTITUTE(INDEX('Term investments'!$A:$A,ROW())&amp;""," "," "))</f>
        <v/>
      </c>
      <c r="B63">
        <f>TRIM(SUBSTITUTE(INDEX('Term investments'!$B:$B,ROW())&amp;""," "," "))</f>
        <v/>
      </c>
      <c r="C63">
        <f>TRIM(SUBSTITUTE(INDEX('Term investments'!$C:$C,ROW())&amp;""," "," "))</f>
        <v/>
      </c>
      <c r="D63">
        <f>IFERROR(--INDEX('Term investments'!$D:$D,ROW()),0)</f>
        <v/>
      </c>
      <c r="E63">
        <f>IFERROR(--INDEX('Term investments'!$E:$E,ROW()),0)</f>
        <v/>
      </c>
      <c r="F63">
        <f>IFERROR(--INDEX('Term investments'!$F:$F,ROW()),0)</f>
        <v/>
      </c>
      <c r="G63">
        <f>IFERROR(IF(--INDEX('Term investments'!$G:$G,ROW())&gt;=1,--INDEX('Term investments'!$G:$G,ROW())/100,--INDEX('Term investments'!$G:$G,ROW())),0)</f>
        <v/>
      </c>
      <c r="H63">
        <f>IFERROR(--INDEX('Term investments'!$H:$H,ROW()),0)</f>
        <v/>
      </c>
      <c r="I63">
        <f>IF(ISNUMBER(INDEX('Term investments'!$G:$G,ROW())),1,0)</f>
        <v/>
      </c>
      <c r="J63">
        <f>TRIM(SUBSTITUTE(INDEX('Call accounts and MMFs'!$A:$A,ROW())&amp;""," "," "))</f>
        <v/>
      </c>
      <c r="K63">
        <f>TRIM(SUBSTITUTE(INDEX('Call accounts and MMFs'!$B:$B,ROW())&amp;""," "," "))</f>
        <v/>
      </c>
      <c r="L63">
        <f>TRIM(SUBSTITUTE(INDEX('Call accounts and MMFs'!$C:$C,ROW())&amp;""," "," "))</f>
        <v/>
      </c>
      <c r="M63">
        <f>IFERROR(--INDEX('Call accounts and MMFs'!$D:$D,ROW()),0)</f>
        <v/>
      </c>
      <c r="N63">
        <f>IFERROR(IF(--INDEX('Call accounts and MMFs'!$E:$E,ROW())&gt;=1,--INDEX('Call accounts and MMFs'!$E:$E,ROW())/100,--INDEX('Call accounts and MMFs'!$E:$E,ROW())),0)</f>
        <v/>
      </c>
      <c r="O63">
        <f>IFERROR(--INDEX('Call accounts and MMFs'!$F:$F,ROW()),0)</f>
        <v/>
      </c>
      <c r="P63">
        <f>IF(ISNUMBER(INDEX('Call accounts and MMFs'!$E:$E,ROW())),1,0)</f>
        <v/>
      </c>
      <c r="Q63">
        <f>TRIM(SUBSTITUTE(INDEX('Pooled funds'!$B:$B,ROW())&amp;""," "," "))</f>
        <v/>
      </c>
      <c r="R63">
        <f>IFERROR(--INDEX('Pooled funds'!$C:$C,ROW()),0)</f>
        <v/>
      </c>
      <c r="S63">
        <f>IFERROR(--INDEX('Pooled funds'!$D:$D,ROW()),0)</f>
        <v/>
      </c>
      <c r="T63">
        <f>IFERROR(IF(--INDEX('Pooled funds'!$E:$E,ROW())&gt;=1,--INDEX('Pooled funds'!$E:$E,ROW())/100,--INDEX('Pooled funds'!$E:$E,ROW())),0)</f>
        <v/>
      </c>
      <c r="U63">
        <f>IF(ISNUMBER(INDEX('Pooled funds'!$E:$E,ROW())),1,0)</f>
        <v/>
      </c>
      <c r="V63">
        <f>TRIM(SUBSTITUTE(INDEX('Loans'!$A:$A,ROW())&amp;""," "," "))</f>
        <v/>
      </c>
      <c r="W63">
        <f>TRIM(SUBSTITUTE(INDEX('Loans'!$B:$B,ROW())&amp;""," "," "))</f>
        <v/>
      </c>
      <c r="X63">
        <f>TRIM(SUBSTITUTE(INDEX('Loans'!$C:$C,ROW())&amp;""," "," "))</f>
        <v/>
      </c>
      <c r="Y63">
        <f>IFERROR(--INDEX('Loans'!$D:$D,ROW()),0)</f>
        <v/>
      </c>
      <c r="Z63">
        <f>IFERROR(--INDEX('Loans'!$E:$E,ROW()),0)</f>
        <v/>
      </c>
      <c r="AA63">
        <f>IFERROR(--INDEX('Loans'!$F:$F,ROW()),0)</f>
        <v/>
      </c>
      <c r="AB63">
        <f>IFERROR(IF(--INDEX('Loans'!$G:$G,ROW())&gt;=1,--INDEX('Loans'!$G:$G,ROW())/100,--INDEX('Loans'!$G:$G,ROW())),0)</f>
        <v/>
      </c>
      <c r="AC63">
        <f>TRIM(SUBSTITUTE(INDEX('Loans'!$H:$H,ROW())&amp;""," "," "))</f>
        <v/>
      </c>
      <c r="AD63">
        <f>TRIM(SUBSTITUTE(INDEX('Loans'!$I:$I,ROW())&amp;""," "," "))</f>
        <v/>
      </c>
      <c r="AE63">
        <f>IFERROR(--INDEX('Loans'!$J:$J,ROW()),0)</f>
        <v/>
      </c>
      <c r="AF63">
        <f>TRIM(SUBSTITUTE(INDEX('Loans'!$K:$K,ROW())&amp;""," "," "))</f>
        <v/>
      </c>
      <c r="AG63">
        <f>IFERROR(--INDEX('Loans'!$L:$L,ROW()),0)</f>
        <v/>
      </c>
      <c r="AH63">
        <f>IF(ISNUMBER(INDEX('Loans'!$G:$G,ROW())),1,0)</f>
        <v/>
      </c>
    </row>
    <row r="64">
      <c r="A64">
        <f>TRIM(SUBSTITUTE(INDEX('Term investments'!$A:$A,ROW())&amp;""," "," "))</f>
        <v/>
      </c>
      <c r="B64">
        <f>TRIM(SUBSTITUTE(INDEX('Term investments'!$B:$B,ROW())&amp;""," "," "))</f>
        <v/>
      </c>
      <c r="C64">
        <f>TRIM(SUBSTITUTE(INDEX('Term investments'!$C:$C,ROW())&amp;""," "," "))</f>
        <v/>
      </c>
      <c r="D64">
        <f>IFERROR(--INDEX('Term investments'!$D:$D,ROW()),0)</f>
        <v/>
      </c>
      <c r="E64">
        <f>IFERROR(--INDEX('Term investments'!$E:$E,ROW()),0)</f>
        <v/>
      </c>
      <c r="F64">
        <f>IFERROR(--INDEX('Term investments'!$F:$F,ROW()),0)</f>
        <v/>
      </c>
      <c r="G64">
        <f>IFERROR(IF(--INDEX('Term investments'!$G:$G,ROW())&gt;=1,--INDEX('Term investments'!$G:$G,ROW())/100,--INDEX('Term investments'!$G:$G,ROW())),0)</f>
        <v/>
      </c>
      <c r="H64">
        <f>IFERROR(--INDEX('Term investments'!$H:$H,ROW()),0)</f>
        <v/>
      </c>
      <c r="I64">
        <f>IF(ISNUMBER(INDEX('Term investments'!$G:$G,ROW())),1,0)</f>
        <v/>
      </c>
      <c r="J64">
        <f>TRIM(SUBSTITUTE(INDEX('Call accounts and MMFs'!$A:$A,ROW())&amp;""," "," "))</f>
        <v/>
      </c>
      <c r="K64">
        <f>TRIM(SUBSTITUTE(INDEX('Call accounts and MMFs'!$B:$B,ROW())&amp;""," "," "))</f>
        <v/>
      </c>
      <c r="L64">
        <f>TRIM(SUBSTITUTE(INDEX('Call accounts and MMFs'!$C:$C,ROW())&amp;""," "," "))</f>
        <v/>
      </c>
      <c r="M64">
        <f>IFERROR(--INDEX('Call accounts and MMFs'!$D:$D,ROW()),0)</f>
        <v/>
      </c>
      <c r="N64">
        <f>IFERROR(IF(--INDEX('Call accounts and MMFs'!$E:$E,ROW())&gt;=1,--INDEX('Call accounts and MMFs'!$E:$E,ROW())/100,--INDEX('Call accounts and MMFs'!$E:$E,ROW())),0)</f>
        <v/>
      </c>
      <c r="O64">
        <f>IFERROR(--INDEX('Call accounts and MMFs'!$F:$F,ROW()),0)</f>
        <v/>
      </c>
      <c r="P64">
        <f>IF(ISNUMBER(INDEX('Call accounts and MMFs'!$E:$E,ROW())),1,0)</f>
        <v/>
      </c>
      <c r="Q64">
        <f>TRIM(SUBSTITUTE(INDEX('Pooled funds'!$B:$B,ROW())&amp;""," "," "))</f>
        <v/>
      </c>
      <c r="R64">
        <f>IFERROR(--INDEX('Pooled funds'!$C:$C,ROW()),0)</f>
        <v/>
      </c>
      <c r="S64">
        <f>IFERROR(--INDEX('Pooled funds'!$D:$D,ROW()),0)</f>
        <v/>
      </c>
      <c r="T64">
        <f>IFERROR(IF(--INDEX('Pooled funds'!$E:$E,ROW())&gt;=1,--INDEX('Pooled funds'!$E:$E,ROW())/100,--INDEX('Pooled funds'!$E:$E,ROW())),0)</f>
        <v/>
      </c>
      <c r="U64">
        <f>IF(ISNUMBER(INDEX('Pooled funds'!$E:$E,ROW())),1,0)</f>
        <v/>
      </c>
      <c r="V64">
        <f>TRIM(SUBSTITUTE(INDEX('Loans'!$A:$A,ROW())&amp;""," "," "))</f>
        <v/>
      </c>
      <c r="W64">
        <f>TRIM(SUBSTITUTE(INDEX('Loans'!$B:$B,ROW())&amp;""," "," "))</f>
        <v/>
      </c>
      <c r="X64">
        <f>TRIM(SUBSTITUTE(INDEX('Loans'!$C:$C,ROW())&amp;""," "," "))</f>
        <v/>
      </c>
      <c r="Y64">
        <f>IFERROR(--INDEX('Loans'!$D:$D,ROW()),0)</f>
        <v/>
      </c>
      <c r="Z64">
        <f>IFERROR(--INDEX('Loans'!$E:$E,ROW()),0)</f>
        <v/>
      </c>
      <c r="AA64">
        <f>IFERROR(--INDEX('Loans'!$F:$F,ROW()),0)</f>
        <v/>
      </c>
      <c r="AB64">
        <f>IFERROR(IF(--INDEX('Loans'!$G:$G,ROW())&gt;=1,--INDEX('Loans'!$G:$G,ROW())/100,--INDEX('Loans'!$G:$G,ROW())),0)</f>
        <v/>
      </c>
      <c r="AC64">
        <f>TRIM(SUBSTITUTE(INDEX('Loans'!$H:$H,ROW())&amp;""," "," "))</f>
        <v/>
      </c>
      <c r="AD64">
        <f>TRIM(SUBSTITUTE(INDEX('Loans'!$I:$I,ROW())&amp;""," "," "))</f>
        <v/>
      </c>
      <c r="AE64">
        <f>IFERROR(--INDEX('Loans'!$J:$J,ROW()),0)</f>
        <v/>
      </c>
      <c r="AF64">
        <f>TRIM(SUBSTITUTE(INDEX('Loans'!$K:$K,ROW())&amp;""," "," "))</f>
        <v/>
      </c>
      <c r="AG64">
        <f>IFERROR(--INDEX('Loans'!$L:$L,ROW()),0)</f>
        <v/>
      </c>
      <c r="AH64">
        <f>IF(ISNUMBER(INDEX('Loans'!$G:$G,ROW())),1,0)</f>
        <v/>
      </c>
    </row>
    <row r="65">
      <c r="A65">
        <f>TRIM(SUBSTITUTE(INDEX('Term investments'!$A:$A,ROW())&amp;""," "," "))</f>
        <v/>
      </c>
      <c r="B65">
        <f>TRIM(SUBSTITUTE(INDEX('Term investments'!$B:$B,ROW())&amp;""," "," "))</f>
        <v/>
      </c>
      <c r="C65">
        <f>TRIM(SUBSTITUTE(INDEX('Term investments'!$C:$C,ROW())&amp;""," "," "))</f>
        <v/>
      </c>
      <c r="D65">
        <f>IFERROR(--INDEX('Term investments'!$D:$D,ROW()),0)</f>
        <v/>
      </c>
      <c r="E65">
        <f>IFERROR(--INDEX('Term investments'!$E:$E,ROW()),0)</f>
        <v/>
      </c>
      <c r="F65">
        <f>IFERROR(--INDEX('Term investments'!$F:$F,ROW()),0)</f>
        <v/>
      </c>
      <c r="G65">
        <f>IFERROR(IF(--INDEX('Term investments'!$G:$G,ROW())&gt;=1,--INDEX('Term investments'!$G:$G,ROW())/100,--INDEX('Term investments'!$G:$G,ROW())),0)</f>
        <v/>
      </c>
      <c r="H65">
        <f>IFERROR(--INDEX('Term investments'!$H:$H,ROW()),0)</f>
        <v/>
      </c>
      <c r="I65">
        <f>IF(ISNUMBER(INDEX('Term investments'!$G:$G,ROW())),1,0)</f>
        <v/>
      </c>
      <c r="J65">
        <f>TRIM(SUBSTITUTE(INDEX('Call accounts and MMFs'!$A:$A,ROW())&amp;""," "," "))</f>
        <v/>
      </c>
      <c r="K65">
        <f>TRIM(SUBSTITUTE(INDEX('Call accounts and MMFs'!$B:$B,ROW())&amp;""," "," "))</f>
        <v/>
      </c>
      <c r="L65">
        <f>TRIM(SUBSTITUTE(INDEX('Call accounts and MMFs'!$C:$C,ROW())&amp;""," "," "))</f>
        <v/>
      </c>
      <c r="M65">
        <f>IFERROR(--INDEX('Call accounts and MMFs'!$D:$D,ROW()),0)</f>
        <v/>
      </c>
      <c r="N65">
        <f>IFERROR(IF(--INDEX('Call accounts and MMFs'!$E:$E,ROW())&gt;=1,--INDEX('Call accounts and MMFs'!$E:$E,ROW())/100,--INDEX('Call accounts and MMFs'!$E:$E,ROW())),0)</f>
        <v/>
      </c>
      <c r="O65">
        <f>IFERROR(--INDEX('Call accounts and MMFs'!$F:$F,ROW()),0)</f>
        <v/>
      </c>
      <c r="P65">
        <f>IF(ISNUMBER(INDEX('Call accounts and MMFs'!$E:$E,ROW())),1,0)</f>
        <v/>
      </c>
      <c r="Q65">
        <f>TRIM(SUBSTITUTE(INDEX('Pooled funds'!$B:$B,ROW())&amp;""," "," "))</f>
        <v/>
      </c>
      <c r="R65">
        <f>IFERROR(--INDEX('Pooled funds'!$C:$C,ROW()),0)</f>
        <v/>
      </c>
      <c r="S65">
        <f>IFERROR(--INDEX('Pooled funds'!$D:$D,ROW()),0)</f>
        <v/>
      </c>
      <c r="T65">
        <f>IFERROR(IF(--INDEX('Pooled funds'!$E:$E,ROW())&gt;=1,--INDEX('Pooled funds'!$E:$E,ROW())/100,--INDEX('Pooled funds'!$E:$E,ROW())),0)</f>
        <v/>
      </c>
      <c r="U65">
        <f>IF(ISNUMBER(INDEX('Pooled funds'!$E:$E,ROW())),1,0)</f>
        <v/>
      </c>
      <c r="V65">
        <f>TRIM(SUBSTITUTE(INDEX('Loans'!$A:$A,ROW())&amp;""," "," "))</f>
        <v/>
      </c>
      <c r="W65">
        <f>TRIM(SUBSTITUTE(INDEX('Loans'!$B:$B,ROW())&amp;""," "," "))</f>
        <v/>
      </c>
      <c r="X65">
        <f>TRIM(SUBSTITUTE(INDEX('Loans'!$C:$C,ROW())&amp;""," "," "))</f>
        <v/>
      </c>
      <c r="Y65">
        <f>IFERROR(--INDEX('Loans'!$D:$D,ROW()),0)</f>
        <v/>
      </c>
      <c r="Z65">
        <f>IFERROR(--INDEX('Loans'!$E:$E,ROW()),0)</f>
        <v/>
      </c>
      <c r="AA65">
        <f>IFERROR(--INDEX('Loans'!$F:$F,ROW()),0)</f>
        <v/>
      </c>
      <c r="AB65">
        <f>IFERROR(IF(--INDEX('Loans'!$G:$G,ROW())&gt;=1,--INDEX('Loans'!$G:$G,ROW())/100,--INDEX('Loans'!$G:$G,ROW())),0)</f>
        <v/>
      </c>
      <c r="AC65">
        <f>TRIM(SUBSTITUTE(INDEX('Loans'!$H:$H,ROW())&amp;""," "," "))</f>
        <v/>
      </c>
      <c r="AD65">
        <f>TRIM(SUBSTITUTE(INDEX('Loans'!$I:$I,ROW())&amp;""," "," "))</f>
        <v/>
      </c>
      <c r="AE65">
        <f>IFERROR(--INDEX('Loans'!$J:$J,ROW()),0)</f>
        <v/>
      </c>
      <c r="AF65">
        <f>TRIM(SUBSTITUTE(INDEX('Loans'!$K:$K,ROW())&amp;""," "," "))</f>
        <v/>
      </c>
      <c r="AG65">
        <f>IFERROR(--INDEX('Loans'!$L:$L,ROW()),0)</f>
        <v/>
      </c>
      <c r="AH65">
        <f>IF(ISNUMBER(INDEX('Loans'!$G:$G,ROW())),1,0)</f>
        <v/>
      </c>
    </row>
    <row r="66">
      <c r="A66">
        <f>TRIM(SUBSTITUTE(INDEX('Term investments'!$A:$A,ROW())&amp;""," "," "))</f>
        <v/>
      </c>
      <c r="B66">
        <f>TRIM(SUBSTITUTE(INDEX('Term investments'!$B:$B,ROW())&amp;""," "," "))</f>
        <v/>
      </c>
      <c r="C66">
        <f>TRIM(SUBSTITUTE(INDEX('Term investments'!$C:$C,ROW())&amp;""," "," "))</f>
        <v/>
      </c>
      <c r="D66">
        <f>IFERROR(--INDEX('Term investments'!$D:$D,ROW()),0)</f>
        <v/>
      </c>
      <c r="E66">
        <f>IFERROR(--INDEX('Term investments'!$E:$E,ROW()),0)</f>
        <v/>
      </c>
      <c r="F66">
        <f>IFERROR(--INDEX('Term investments'!$F:$F,ROW()),0)</f>
        <v/>
      </c>
      <c r="G66">
        <f>IFERROR(IF(--INDEX('Term investments'!$G:$G,ROW())&gt;=1,--INDEX('Term investments'!$G:$G,ROW())/100,--INDEX('Term investments'!$G:$G,ROW())),0)</f>
        <v/>
      </c>
      <c r="H66">
        <f>IFERROR(--INDEX('Term investments'!$H:$H,ROW()),0)</f>
        <v/>
      </c>
      <c r="I66">
        <f>IF(ISNUMBER(INDEX('Term investments'!$G:$G,ROW())),1,0)</f>
        <v/>
      </c>
      <c r="J66">
        <f>TRIM(SUBSTITUTE(INDEX('Call accounts and MMFs'!$A:$A,ROW())&amp;""," "," "))</f>
        <v/>
      </c>
      <c r="K66">
        <f>TRIM(SUBSTITUTE(INDEX('Call accounts and MMFs'!$B:$B,ROW())&amp;""," "," "))</f>
        <v/>
      </c>
      <c r="L66">
        <f>TRIM(SUBSTITUTE(INDEX('Call accounts and MMFs'!$C:$C,ROW())&amp;""," "," "))</f>
        <v/>
      </c>
      <c r="M66">
        <f>IFERROR(--INDEX('Call accounts and MMFs'!$D:$D,ROW()),0)</f>
        <v/>
      </c>
      <c r="N66">
        <f>IFERROR(IF(--INDEX('Call accounts and MMFs'!$E:$E,ROW())&gt;=1,--INDEX('Call accounts and MMFs'!$E:$E,ROW())/100,--INDEX('Call accounts and MMFs'!$E:$E,ROW())),0)</f>
        <v/>
      </c>
      <c r="O66">
        <f>IFERROR(--INDEX('Call accounts and MMFs'!$F:$F,ROW()),0)</f>
        <v/>
      </c>
      <c r="P66">
        <f>IF(ISNUMBER(INDEX('Call accounts and MMFs'!$E:$E,ROW())),1,0)</f>
        <v/>
      </c>
      <c r="Q66">
        <f>TRIM(SUBSTITUTE(INDEX('Pooled funds'!$B:$B,ROW())&amp;""," "," "))</f>
        <v/>
      </c>
      <c r="R66">
        <f>IFERROR(--INDEX('Pooled funds'!$C:$C,ROW()),0)</f>
        <v/>
      </c>
      <c r="S66">
        <f>IFERROR(--INDEX('Pooled funds'!$D:$D,ROW()),0)</f>
        <v/>
      </c>
      <c r="T66">
        <f>IFERROR(IF(--INDEX('Pooled funds'!$E:$E,ROW())&gt;=1,--INDEX('Pooled funds'!$E:$E,ROW())/100,--INDEX('Pooled funds'!$E:$E,ROW())),0)</f>
        <v/>
      </c>
      <c r="U66">
        <f>IF(ISNUMBER(INDEX('Pooled funds'!$E:$E,ROW())),1,0)</f>
        <v/>
      </c>
      <c r="V66">
        <f>TRIM(SUBSTITUTE(INDEX('Loans'!$A:$A,ROW())&amp;""," "," "))</f>
        <v/>
      </c>
      <c r="W66">
        <f>TRIM(SUBSTITUTE(INDEX('Loans'!$B:$B,ROW())&amp;""," "," "))</f>
        <v/>
      </c>
      <c r="X66">
        <f>TRIM(SUBSTITUTE(INDEX('Loans'!$C:$C,ROW())&amp;""," "," "))</f>
        <v/>
      </c>
      <c r="Y66">
        <f>IFERROR(--INDEX('Loans'!$D:$D,ROW()),0)</f>
        <v/>
      </c>
      <c r="Z66">
        <f>IFERROR(--INDEX('Loans'!$E:$E,ROW()),0)</f>
        <v/>
      </c>
      <c r="AA66">
        <f>IFERROR(--INDEX('Loans'!$F:$F,ROW()),0)</f>
        <v/>
      </c>
      <c r="AB66">
        <f>IFERROR(IF(--INDEX('Loans'!$G:$G,ROW())&gt;=1,--INDEX('Loans'!$G:$G,ROW())/100,--INDEX('Loans'!$G:$G,ROW())),0)</f>
        <v/>
      </c>
      <c r="AC66">
        <f>TRIM(SUBSTITUTE(INDEX('Loans'!$H:$H,ROW())&amp;""," "," "))</f>
        <v/>
      </c>
      <c r="AD66">
        <f>TRIM(SUBSTITUTE(INDEX('Loans'!$I:$I,ROW())&amp;""," "," "))</f>
        <v/>
      </c>
      <c r="AE66">
        <f>IFERROR(--INDEX('Loans'!$J:$J,ROW()),0)</f>
        <v/>
      </c>
      <c r="AF66">
        <f>TRIM(SUBSTITUTE(INDEX('Loans'!$K:$K,ROW())&amp;""," "," "))</f>
        <v/>
      </c>
      <c r="AG66">
        <f>IFERROR(--INDEX('Loans'!$L:$L,ROW()),0)</f>
        <v/>
      </c>
      <c r="AH66">
        <f>IF(ISNUMBER(INDEX('Loans'!$G:$G,ROW())),1,0)</f>
        <v/>
      </c>
    </row>
    <row r="67">
      <c r="A67">
        <f>TRIM(SUBSTITUTE(INDEX('Term investments'!$A:$A,ROW())&amp;""," "," "))</f>
        <v/>
      </c>
      <c r="B67">
        <f>TRIM(SUBSTITUTE(INDEX('Term investments'!$B:$B,ROW())&amp;""," "," "))</f>
        <v/>
      </c>
      <c r="C67">
        <f>TRIM(SUBSTITUTE(INDEX('Term investments'!$C:$C,ROW())&amp;""," "," "))</f>
        <v/>
      </c>
      <c r="D67">
        <f>IFERROR(--INDEX('Term investments'!$D:$D,ROW()),0)</f>
        <v/>
      </c>
      <c r="E67">
        <f>IFERROR(--INDEX('Term investments'!$E:$E,ROW()),0)</f>
        <v/>
      </c>
      <c r="F67">
        <f>IFERROR(--INDEX('Term investments'!$F:$F,ROW()),0)</f>
        <v/>
      </c>
      <c r="G67">
        <f>IFERROR(IF(--INDEX('Term investments'!$G:$G,ROW())&gt;=1,--INDEX('Term investments'!$G:$G,ROW())/100,--INDEX('Term investments'!$G:$G,ROW())),0)</f>
        <v/>
      </c>
      <c r="H67">
        <f>IFERROR(--INDEX('Term investments'!$H:$H,ROW()),0)</f>
        <v/>
      </c>
      <c r="I67">
        <f>IF(ISNUMBER(INDEX('Term investments'!$G:$G,ROW())),1,0)</f>
        <v/>
      </c>
      <c r="J67">
        <f>TRIM(SUBSTITUTE(INDEX('Call accounts and MMFs'!$A:$A,ROW())&amp;""," "," "))</f>
        <v/>
      </c>
      <c r="K67">
        <f>TRIM(SUBSTITUTE(INDEX('Call accounts and MMFs'!$B:$B,ROW())&amp;""," "," "))</f>
        <v/>
      </c>
      <c r="L67">
        <f>TRIM(SUBSTITUTE(INDEX('Call accounts and MMFs'!$C:$C,ROW())&amp;""," "," "))</f>
        <v/>
      </c>
      <c r="M67">
        <f>IFERROR(--INDEX('Call accounts and MMFs'!$D:$D,ROW()),0)</f>
        <v/>
      </c>
      <c r="N67">
        <f>IFERROR(IF(--INDEX('Call accounts and MMFs'!$E:$E,ROW())&gt;=1,--INDEX('Call accounts and MMFs'!$E:$E,ROW())/100,--INDEX('Call accounts and MMFs'!$E:$E,ROW())),0)</f>
        <v/>
      </c>
      <c r="O67">
        <f>IFERROR(--INDEX('Call accounts and MMFs'!$F:$F,ROW()),0)</f>
        <v/>
      </c>
      <c r="P67">
        <f>IF(ISNUMBER(INDEX('Call accounts and MMFs'!$E:$E,ROW())),1,0)</f>
        <v/>
      </c>
      <c r="Q67">
        <f>TRIM(SUBSTITUTE(INDEX('Pooled funds'!$B:$B,ROW())&amp;""," "," "))</f>
        <v/>
      </c>
      <c r="R67">
        <f>IFERROR(--INDEX('Pooled funds'!$C:$C,ROW()),0)</f>
        <v/>
      </c>
      <c r="S67">
        <f>IFERROR(--INDEX('Pooled funds'!$D:$D,ROW()),0)</f>
        <v/>
      </c>
      <c r="T67">
        <f>IFERROR(IF(--INDEX('Pooled funds'!$E:$E,ROW())&gt;=1,--INDEX('Pooled funds'!$E:$E,ROW())/100,--INDEX('Pooled funds'!$E:$E,ROW())),0)</f>
        <v/>
      </c>
      <c r="U67">
        <f>IF(ISNUMBER(INDEX('Pooled funds'!$E:$E,ROW())),1,0)</f>
        <v/>
      </c>
      <c r="V67">
        <f>TRIM(SUBSTITUTE(INDEX('Loans'!$A:$A,ROW())&amp;""," "," "))</f>
        <v/>
      </c>
      <c r="W67">
        <f>TRIM(SUBSTITUTE(INDEX('Loans'!$B:$B,ROW())&amp;""," "," "))</f>
        <v/>
      </c>
      <c r="X67">
        <f>TRIM(SUBSTITUTE(INDEX('Loans'!$C:$C,ROW())&amp;""," "," "))</f>
        <v/>
      </c>
      <c r="Y67">
        <f>IFERROR(--INDEX('Loans'!$D:$D,ROW()),0)</f>
        <v/>
      </c>
      <c r="Z67">
        <f>IFERROR(--INDEX('Loans'!$E:$E,ROW()),0)</f>
        <v/>
      </c>
      <c r="AA67">
        <f>IFERROR(--INDEX('Loans'!$F:$F,ROW()),0)</f>
        <v/>
      </c>
      <c r="AB67">
        <f>IFERROR(IF(--INDEX('Loans'!$G:$G,ROW())&gt;=1,--INDEX('Loans'!$G:$G,ROW())/100,--INDEX('Loans'!$G:$G,ROW())),0)</f>
        <v/>
      </c>
      <c r="AC67">
        <f>TRIM(SUBSTITUTE(INDEX('Loans'!$H:$H,ROW())&amp;""," "," "))</f>
        <v/>
      </c>
      <c r="AD67">
        <f>TRIM(SUBSTITUTE(INDEX('Loans'!$I:$I,ROW())&amp;""," "," "))</f>
        <v/>
      </c>
      <c r="AE67">
        <f>IFERROR(--INDEX('Loans'!$J:$J,ROW()),0)</f>
        <v/>
      </c>
      <c r="AF67">
        <f>TRIM(SUBSTITUTE(INDEX('Loans'!$K:$K,ROW())&amp;""," "," "))</f>
        <v/>
      </c>
      <c r="AG67">
        <f>IFERROR(--INDEX('Loans'!$L:$L,ROW()),0)</f>
        <v/>
      </c>
      <c r="AH67">
        <f>IF(ISNUMBER(INDEX('Loans'!$G:$G,ROW())),1,0)</f>
        <v/>
      </c>
    </row>
    <row r="68">
      <c r="A68">
        <f>TRIM(SUBSTITUTE(INDEX('Term investments'!$A:$A,ROW())&amp;""," "," "))</f>
        <v/>
      </c>
      <c r="B68">
        <f>TRIM(SUBSTITUTE(INDEX('Term investments'!$B:$B,ROW())&amp;""," "," "))</f>
        <v/>
      </c>
      <c r="C68">
        <f>TRIM(SUBSTITUTE(INDEX('Term investments'!$C:$C,ROW())&amp;""," "," "))</f>
        <v/>
      </c>
      <c r="D68">
        <f>IFERROR(--INDEX('Term investments'!$D:$D,ROW()),0)</f>
        <v/>
      </c>
      <c r="E68">
        <f>IFERROR(--INDEX('Term investments'!$E:$E,ROW()),0)</f>
        <v/>
      </c>
      <c r="F68">
        <f>IFERROR(--INDEX('Term investments'!$F:$F,ROW()),0)</f>
        <v/>
      </c>
      <c r="G68">
        <f>IFERROR(IF(--INDEX('Term investments'!$G:$G,ROW())&gt;=1,--INDEX('Term investments'!$G:$G,ROW())/100,--INDEX('Term investments'!$G:$G,ROW())),0)</f>
        <v/>
      </c>
      <c r="H68">
        <f>IFERROR(--INDEX('Term investments'!$H:$H,ROW()),0)</f>
        <v/>
      </c>
      <c r="I68">
        <f>IF(ISNUMBER(INDEX('Term investments'!$G:$G,ROW())),1,0)</f>
        <v/>
      </c>
      <c r="J68">
        <f>TRIM(SUBSTITUTE(INDEX('Call accounts and MMFs'!$A:$A,ROW())&amp;""," "," "))</f>
        <v/>
      </c>
      <c r="K68">
        <f>TRIM(SUBSTITUTE(INDEX('Call accounts and MMFs'!$B:$B,ROW())&amp;""," "," "))</f>
        <v/>
      </c>
      <c r="L68">
        <f>TRIM(SUBSTITUTE(INDEX('Call accounts and MMFs'!$C:$C,ROW())&amp;""," "," "))</f>
        <v/>
      </c>
      <c r="M68">
        <f>IFERROR(--INDEX('Call accounts and MMFs'!$D:$D,ROW()),0)</f>
        <v/>
      </c>
      <c r="N68">
        <f>IFERROR(IF(--INDEX('Call accounts and MMFs'!$E:$E,ROW())&gt;=1,--INDEX('Call accounts and MMFs'!$E:$E,ROW())/100,--INDEX('Call accounts and MMFs'!$E:$E,ROW())),0)</f>
        <v/>
      </c>
      <c r="O68">
        <f>IFERROR(--INDEX('Call accounts and MMFs'!$F:$F,ROW()),0)</f>
        <v/>
      </c>
      <c r="P68">
        <f>IF(ISNUMBER(INDEX('Call accounts and MMFs'!$E:$E,ROW())),1,0)</f>
        <v/>
      </c>
      <c r="Q68">
        <f>TRIM(SUBSTITUTE(INDEX('Pooled funds'!$B:$B,ROW())&amp;""," "," "))</f>
        <v/>
      </c>
      <c r="R68">
        <f>IFERROR(--INDEX('Pooled funds'!$C:$C,ROW()),0)</f>
        <v/>
      </c>
      <c r="S68">
        <f>IFERROR(--INDEX('Pooled funds'!$D:$D,ROW()),0)</f>
        <v/>
      </c>
      <c r="T68">
        <f>IFERROR(IF(--INDEX('Pooled funds'!$E:$E,ROW())&gt;=1,--INDEX('Pooled funds'!$E:$E,ROW())/100,--INDEX('Pooled funds'!$E:$E,ROW())),0)</f>
        <v/>
      </c>
      <c r="U68">
        <f>IF(ISNUMBER(INDEX('Pooled funds'!$E:$E,ROW())),1,0)</f>
        <v/>
      </c>
      <c r="V68">
        <f>TRIM(SUBSTITUTE(INDEX('Loans'!$A:$A,ROW())&amp;""," "," "))</f>
        <v/>
      </c>
      <c r="W68">
        <f>TRIM(SUBSTITUTE(INDEX('Loans'!$B:$B,ROW())&amp;""," "," "))</f>
        <v/>
      </c>
      <c r="X68">
        <f>TRIM(SUBSTITUTE(INDEX('Loans'!$C:$C,ROW())&amp;""," "," "))</f>
        <v/>
      </c>
      <c r="Y68">
        <f>IFERROR(--INDEX('Loans'!$D:$D,ROW()),0)</f>
        <v/>
      </c>
      <c r="Z68">
        <f>IFERROR(--INDEX('Loans'!$E:$E,ROW()),0)</f>
        <v/>
      </c>
      <c r="AA68">
        <f>IFERROR(--INDEX('Loans'!$F:$F,ROW()),0)</f>
        <v/>
      </c>
      <c r="AB68">
        <f>IFERROR(IF(--INDEX('Loans'!$G:$G,ROW())&gt;=1,--INDEX('Loans'!$G:$G,ROW())/100,--INDEX('Loans'!$G:$G,ROW())),0)</f>
        <v/>
      </c>
      <c r="AC68">
        <f>TRIM(SUBSTITUTE(INDEX('Loans'!$H:$H,ROW())&amp;""," "," "))</f>
        <v/>
      </c>
      <c r="AD68">
        <f>TRIM(SUBSTITUTE(INDEX('Loans'!$I:$I,ROW())&amp;""," "," "))</f>
        <v/>
      </c>
      <c r="AE68">
        <f>IFERROR(--INDEX('Loans'!$J:$J,ROW()),0)</f>
        <v/>
      </c>
      <c r="AF68">
        <f>TRIM(SUBSTITUTE(INDEX('Loans'!$K:$K,ROW())&amp;""," "," "))</f>
        <v/>
      </c>
      <c r="AG68">
        <f>IFERROR(--INDEX('Loans'!$L:$L,ROW()),0)</f>
        <v/>
      </c>
      <c r="AH68">
        <f>IF(ISNUMBER(INDEX('Loans'!$G:$G,ROW())),1,0)</f>
        <v/>
      </c>
    </row>
    <row r="69">
      <c r="A69">
        <f>TRIM(SUBSTITUTE(INDEX('Term investments'!$A:$A,ROW())&amp;""," "," "))</f>
        <v/>
      </c>
      <c r="B69">
        <f>TRIM(SUBSTITUTE(INDEX('Term investments'!$B:$B,ROW())&amp;""," "," "))</f>
        <v/>
      </c>
      <c r="C69">
        <f>TRIM(SUBSTITUTE(INDEX('Term investments'!$C:$C,ROW())&amp;""," "," "))</f>
        <v/>
      </c>
      <c r="D69">
        <f>IFERROR(--INDEX('Term investments'!$D:$D,ROW()),0)</f>
        <v/>
      </c>
      <c r="E69">
        <f>IFERROR(--INDEX('Term investments'!$E:$E,ROW()),0)</f>
        <v/>
      </c>
      <c r="F69">
        <f>IFERROR(--INDEX('Term investments'!$F:$F,ROW()),0)</f>
        <v/>
      </c>
      <c r="G69">
        <f>IFERROR(IF(--INDEX('Term investments'!$G:$G,ROW())&gt;=1,--INDEX('Term investments'!$G:$G,ROW())/100,--INDEX('Term investments'!$G:$G,ROW())),0)</f>
        <v/>
      </c>
      <c r="H69">
        <f>IFERROR(--INDEX('Term investments'!$H:$H,ROW()),0)</f>
        <v/>
      </c>
      <c r="I69">
        <f>IF(ISNUMBER(INDEX('Term investments'!$G:$G,ROW())),1,0)</f>
        <v/>
      </c>
      <c r="J69">
        <f>TRIM(SUBSTITUTE(INDEX('Call accounts and MMFs'!$A:$A,ROW())&amp;""," "," "))</f>
        <v/>
      </c>
      <c r="K69">
        <f>TRIM(SUBSTITUTE(INDEX('Call accounts and MMFs'!$B:$B,ROW())&amp;""," "," "))</f>
        <v/>
      </c>
      <c r="L69">
        <f>TRIM(SUBSTITUTE(INDEX('Call accounts and MMFs'!$C:$C,ROW())&amp;""," "," "))</f>
        <v/>
      </c>
      <c r="M69">
        <f>IFERROR(--INDEX('Call accounts and MMFs'!$D:$D,ROW()),0)</f>
        <v/>
      </c>
      <c r="N69">
        <f>IFERROR(IF(--INDEX('Call accounts and MMFs'!$E:$E,ROW())&gt;=1,--INDEX('Call accounts and MMFs'!$E:$E,ROW())/100,--INDEX('Call accounts and MMFs'!$E:$E,ROW())),0)</f>
        <v/>
      </c>
      <c r="O69">
        <f>IFERROR(--INDEX('Call accounts and MMFs'!$F:$F,ROW()),0)</f>
        <v/>
      </c>
      <c r="P69">
        <f>IF(ISNUMBER(INDEX('Call accounts and MMFs'!$E:$E,ROW())),1,0)</f>
        <v/>
      </c>
      <c r="Q69">
        <f>TRIM(SUBSTITUTE(INDEX('Pooled funds'!$B:$B,ROW())&amp;""," "," "))</f>
        <v/>
      </c>
      <c r="R69">
        <f>IFERROR(--INDEX('Pooled funds'!$C:$C,ROW()),0)</f>
        <v/>
      </c>
      <c r="S69">
        <f>IFERROR(--INDEX('Pooled funds'!$D:$D,ROW()),0)</f>
        <v/>
      </c>
      <c r="T69">
        <f>IFERROR(IF(--INDEX('Pooled funds'!$E:$E,ROW())&gt;=1,--INDEX('Pooled funds'!$E:$E,ROW())/100,--INDEX('Pooled funds'!$E:$E,ROW())),0)</f>
        <v/>
      </c>
      <c r="U69">
        <f>IF(ISNUMBER(INDEX('Pooled funds'!$E:$E,ROW())),1,0)</f>
        <v/>
      </c>
      <c r="V69">
        <f>TRIM(SUBSTITUTE(INDEX('Loans'!$A:$A,ROW())&amp;""," "," "))</f>
        <v/>
      </c>
      <c r="W69">
        <f>TRIM(SUBSTITUTE(INDEX('Loans'!$B:$B,ROW())&amp;""," "," "))</f>
        <v/>
      </c>
      <c r="X69">
        <f>TRIM(SUBSTITUTE(INDEX('Loans'!$C:$C,ROW())&amp;""," "," "))</f>
        <v/>
      </c>
      <c r="Y69">
        <f>IFERROR(--INDEX('Loans'!$D:$D,ROW()),0)</f>
        <v/>
      </c>
      <c r="Z69">
        <f>IFERROR(--INDEX('Loans'!$E:$E,ROW()),0)</f>
        <v/>
      </c>
      <c r="AA69">
        <f>IFERROR(--INDEX('Loans'!$F:$F,ROW()),0)</f>
        <v/>
      </c>
      <c r="AB69">
        <f>IFERROR(IF(--INDEX('Loans'!$G:$G,ROW())&gt;=1,--INDEX('Loans'!$G:$G,ROW())/100,--INDEX('Loans'!$G:$G,ROW())),0)</f>
        <v/>
      </c>
      <c r="AC69">
        <f>TRIM(SUBSTITUTE(INDEX('Loans'!$H:$H,ROW())&amp;""," "," "))</f>
        <v/>
      </c>
      <c r="AD69">
        <f>TRIM(SUBSTITUTE(INDEX('Loans'!$I:$I,ROW())&amp;""," "," "))</f>
        <v/>
      </c>
      <c r="AE69">
        <f>IFERROR(--INDEX('Loans'!$J:$J,ROW()),0)</f>
        <v/>
      </c>
      <c r="AF69">
        <f>TRIM(SUBSTITUTE(INDEX('Loans'!$K:$K,ROW())&amp;""," "," "))</f>
        <v/>
      </c>
      <c r="AG69">
        <f>IFERROR(--INDEX('Loans'!$L:$L,ROW()),0)</f>
        <v/>
      </c>
      <c r="AH69">
        <f>IF(ISNUMBER(INDEX('Loans'!$G:$G,ROW())),1,0)</f>
        <v/>
      </c>
    </row>
    <row r="70">
      <c r="A70">
        <f>TRIM(SUBSTITUTE(INDEX('Term investments'!$A:$A,ROW())&amp;""," "," "))</f>
        <v/>
      </c>
      <c r="B70">
        <f>TRIM(SUBSTITUTE(INDEX('Term investments'!$B:$B,ROW())&amp;""," "," "))</f>
        <v/>
      </c>
      <c r="C70">
        <f>TRIM(SUBSTITUTE(INDEX('Term investments'!$C:$C,ROW())&amp;""," "," "))</f>
        <v/>
      </c>
      <c r="D70">
        <f>IFERROR(--INDEX('Term investments'!$D:$D,ROW()),0)</f>
        <v/>
      </c>
      <c r="E70">
        <f>IFERROR(--INDEX('Term investments'!$E:$E,ROW()),0)</f>
        <v/>
      </c>
      <c r="F70">
        <f>IFERROR(--INDEX('Term investments'!$F:$F,ROW()),0)</f>
        <v/>
      </c>
      <c r="G70">
        <f>IFERROR(IF(--INDEX('Term investments'!$G:$G,ROW())&gt;=1,--INDEX('Term investments'!$G:$G,ROW())/100,--INDEX('Term investments'!$G:$G,ROW())),0)</f>
        <v/>
      </c>
      <c r="H70">
        <f>IFERROR(--INDEX('Term investments'!$H:$H,ROW()),0)</f>
        <v/>
      </c>
      <c r="I70">
        <f>IF(ISNUMBER(INDEX('Term investments'!$G:$G,ROW())),1,0)</f>
        <v/>
      </c>
      <c r="J70">
        <f>TRIM(SUBSTITUTE(INDEX('Call accounts and MMFs'!$A:$A,ROW())&amp;""," "," "))</f>
        <v/>
      </c>
      <c r="K70">
        <f>TRIM(SUBSTITUTE(INDEX('Call accounts and MMFs'!$B:$B,ROW())&amp;""," "," "))</f>
        <v/>
      </c>
      <c r="L70">
        <f>TRIM(SUBSTITUTE(INDEX('Call accounts and MMFs'!$C:$C,ROW())&amp;""," "," "))</f>
        <v/>
      </c>
      <c r="M70">
        <f>IFERROR(--INDEX('Call accounts and MMFs'!$D:$D,ROW()),0)</f>
        <v/>
      </c>
      <c r="N70">
        <f>IFERROR(IF(--INDEX('Call accounts and MMFs'!$E:$E,ROW())&gt;=1,--INDEX('Call accounts and MMFs'!$E:$E,ROW())/100,--INDEX('Call accounts and MMFs'!$E:$E,ROW())),0)</f>
        <v/>
      </c>
      <c r="O70">
        <f>IFERROR(--INDEX('Call accounts and MMFs'!$F:$F,ROW()),0)</f>
        <v/>
      </c>
      <c r="P70">
        <f>IF(ISNUMBER(INDEX('Call accounts and MMFs'!$E:$E,ROW())),1,0)</f>
        <v/>
      </c>
      <c r="Q70">
        <f>TRIM(SUBSTITUTE(INDEX('Pooled funds'!$B:$B,ROW())&amp;""," "," "))</f>
        <v/>
      </c>
      <c r="R70">
        <f>IFERROR(--INDEX('Pooled funds'!$C:$C,ROW()),0)</f>
        <v/>
      </c>
      <c r="S70">
        <f>IFERROR(--INDEX('Pooled funds'!$D:$D,ROW()),0)</f>
        <v/>
      </c>
      <c r="T70">
        <f>IFERROR(IF(--INDEX('Pooled funds'!$E:$E,ROW())&gt;=1,--INDEX('Pooled funds'!$E:$E,ROW())/100,--INDEX('Pooled funds'!$E:$E,ROW())),0)</f>
        <v/>
      </c>
      <c r="U70">
        <f>IF(ISNUMBER(INDEX('Pooled funds'!$E:$E,ROW())),1,0)</f>
        <v/>
      </c>
      <c r="V70">
        <f>TRIM(SUBSTITUTE(INDEX('Loans'!$A:$A,ROW())&amp;""," "," "))</f>
        <v/>
      </c>
      <c r="W70">
        <f>TRIM(SUBSTITUTE(INDEX('Loans'!$B:$B,ROW())&amp;""," "," "))</f>
        <v/>
      </c>
      <c r="X70">
        <f>TRIM(SUBSTITUTE(INDEX('Loans'!$C:$C,ROW())&amp;""," "," "))</f>
        <v/>
      </c>
      <c r="Y70">
        <f>IFERROR(--INDEX('Loans'!$D:$D,ROW()),0)</f>
        <v/>
      </c>
      <c r="Z70">
        <f>IFERROR(--INDEX('Loans'!$E:$E,ROW()),0)</f>
        <v/>
      </c>
      <c r="AA70">
        <f>IFERROR(--INDEX('Loans'!$F:$F,ROW()),0)</f>
        <v/>
      </c>
      <c r="AB70">
        <f>IFERROR(IF(--INDEX('Loans'!$G:$G,ROW())&gt;=1,--INDEX('Loans'!$G:$G,ROW())/100,--INDEX('Loans'!$G:$G,ROW())),0)</f>
        <v/>
      </c>
      <c r="AC70">
        <f>TRIM(SUBSTITUTE(INDEX('Loans'!$H:$H,ROW())&amp;""," "," "))</f>
        <v/>
      </c>
      <c r="AD70">
        <f>TRIM(SUBSTITUTE(INDEX('Loans'!$I:$I,ROW())&amp;""," "," "))</f>
        <v/>
      </c>
      <c r="AE70">
        <f>IFERROR(--INDEX('Loans'!$J:$J,ROW()),0)</f>
        <v/>
      </c>
      <c r="AF70">
        <f>TRIM(SUBSTITUTE(INDEX('Loans'!$K:$K,ROW())&amp;""," "," "))</f>
        <v/>
      </c>
      <c r="AG70">
        <f>IFERROR(--INDEX('Loans'!$L:$L,ROW()),0)</f>
        <v/>
      </c>
      <c r="AH70">
        <f>IF(ISNUMBER(INDEX('Loans'!$G:$G,ROW())),1,0)</f>
        <v/>
      </c>
    </row>
    <row r="71">
      <c r="A71">
        <f>TRIM(SUBSTITUTE(INDEX('Term investments'!$A:$A,ROW())&amp;""," "," "))</f>
        <v/>
      </c>
      <c r="B71">
        <f>TRIM(SUBSTITUTE(INDEX('Term investments'!$B:$B,ROW())&amp;""," "," "))</f>
        <v/>
      </c>
      <c r="C71">
        <f>TRIM(SUBSTITUTE(INDEX('Term investments'!$C:$C,ROW())&amp;""," "," "))</f>
        <v/>
      </c>
      <c r="D71">
        <f>IFERROR(--INDEX('Term investments'!$D:$D,ROW()),0)</f>
        <v/>
      </c>
      <c r="E71">
        <f>IFERROR(--INDEX('Term investments'!$E:$E,ROW()),0)</f>
        <v/>
      </c>
      <c r="F71">
        <f>IFERROR(--INDEX('Term investments'!$F:$F,ROW()),0)</f>
        <v/>
      </c>
      <c r="G71">
        <f>IFERROR(IF(--INDEX('Term investments'!$G:$G,ROW())&gt;=1,--INDEX('Term investments'!$G:$G,ROW())/100,--INDEX('Term investments'!$G:$G,ROW())),0)</f>
        <v/>
      </c>
      <c r="H71">
        <f>IFERROR(--INDEX('Term investments'!$H:$H,ROW()),0)</f>
        <v/>
      </c>
      <c r="I71">
        <f>IF(ISNUMBER(INDEX('Term investments'!$G:$G,ROW())),1,0)</f>
        <v/>
      </c>
      <c r="J71">
        <f>TRIM(SUBSTITUTE(INDEX('Call accounts and MMFs'!$A:$A,ROW())&amp;""," "," "))</f>
        <v/>
      </c>
      <c r="K71">
        <f>TRIM(SUBSTITUTE(INDEX('Call accounts and MMFs'!$B:$B,ROW())&amp;""," "," "))</f>
        <v/>
      </c>
      <c r="L71">
        <f>TRIM(SUBSTITUTE(INDEX('Call accounts and MMFs'!$C:$C,ROW())&amp;""," "," "))</f>
        <v/>
      </c>
      <c r="M71">
        <f>IFERROR(--INDEX('Call accounts and MMFs'!$D:$D,ROW()),0)</f>
        <v/>
      </c>
      <c r="N71">
        <f>IFERROR(IF(--INDEX('Call accounts and MMFs'!$E:$E,ROW())&gt;=1,--INDEX('Call accounts and MMFs'!$E:$E,ROW())/100,--INDEX('Call accounts and MMFs'!$E:$E,ROW())),0)</f>
        <v/>
      </c>
      <c r="O71">
        <f>IFERROR(--INDEX('Call accounts and MMFs'!$F:$F,ROW()),0)</f>
        <v/>
      </c>
      <c r="P71">
        <f>IF(ISNUMBER(INDEX('Call accounts and MMFs'!$E:$E,ROW())),1,0)</f>
        <v/>
      </c>
      <c r="Q71">
        <f>TRIM(SUBSTITUTE(INDEX('Pooled funds'!$B:$B,ROW())&amp;""," "," "))</f>
        <v/>
      </c>
      <c r="R71">
        <f>IFERROR(--INDEX('Pooled funds'!$C:$C,ROW()),0)</f>
        <v/>
      </c>
      <c r="S71">
        <f>IFERROR(--INDEX('Pooled funds'!$D:$D,ROW()),0)</f>
        <v/>
      </c>
      <c r="T71">
        <f>IFERROR(IF(--INDEX('Pooled funds'!$E:$E,ROW())&gt;=1,--INDEX('Pooled funds'!$E:$E,ROW())/100,--INDEX('Pooled funds'!$E:$E,ROW())),0)</f>
        <v/>
      </c>
      <c r="U71">
        <f>IF(ISNUMBER(INDEX('Pooled funds'!$E:$E,ROW())),1,0)</f>
        <v/>
      </c>
      <c r="V71">
        <f>TRIM(SUBSTITUTE(INDEX('Loans'!$A:$A,ROW())&amp;""," "," "))</f>
        <v/>
      </c>
      <c r="W71">
        <f>TRIM(SUBSTITUTE(INDEX('Loans'!$B:$B,ROW())&amp;""," "," "))</f>
        <v/>
      </c>
      <c r="X71">
        <f>TRIM(SUBSTITUTE(INDEX('Loans'!$C:$C,ROW())&amp;""," "," "))</f>
        <v/>
      </c>
      <c r="Y71">
        <f>IFERROR(--INDEX('Loans'!$D:$D,ROW()),0)</f>
        <v/>
      </c>
      <c r="Z71">
        <f>IFERROR(--INDEX('Loans'!$E:$E,ROW()),0)</f>
        <v/>
      </c>
      <c r="AA71">
        <f>IFERROR(--INDEX('Loans'!$F:$F,ROW()),0)</f>
        <v/>
      </c>
      <c r="AB71">
        <f>IFERROR(IF(--INDEX('Loans'!$G:$G,ROW())&gt;=1,--INDEX('Loans'!$G:$G,ROW())/100,--INDEX('Loans'!$G:$G,ROW())),0)</f>
        <v/>
      </c>
      <c r="AC71">
        <f>TRIM(SUBSTITUTE(INDEX('Loans'!$H:$H,ROW())&amp;""," "," "))</f>
        <v/>
      </c>
      <c r="AD71">
        <f>TRIM(SUBSTITUTE(INDEX('Loans'!$I:$I,ROW())&amp;""," "," "))</f>
        <v/>
      </c>
      <c r="AE71">
        <f>IFERROR(--INDEX('Loans'!$J:$J,ROW()),0)</f>
        <v/>
      </c>
      <c r="AF71">
        <f>TRIM(SUBSTITUTE(INDEX('Loans'!$K:$K,ROW())&amp;""," "," "))</f>
        <v/>
      </c>
      <c r="AG71">
        <f>IFERROR(--INDEX('Loans'!$L:$L,ROW()),0)</f>
        <v/>
      </c>
      <c r="AH71">
        <f>IF(ISNUMBER(INDEX('Loans'!$G:$G,ROW())),1,0)</f>
        <v/>
      </c>
    </row>
    <row r="72">
      <c r="A72">
        <f>TRIM(SUBSTITUTE(INDEX('Term investments'!$A:$A,ROW())&amp;""," "," "))</f>
        <v/>
      </c>
      <c r="B72">
        <f>TRIM(SUBSTITUTE(INDEX('Term investments'!$B:$B,ROW())&amp;""," "," "))</f>
        <v/>
      </c>
      <c r="C72">
        <f>TRIM(SUBSTITUTE(INDEX('Term investments'!$C:$C,ROW())&amp;""," "," "))</f>
        <v/>
      </c>
      <c r="D72">
        <f>IFERROR(--INDEX('Term investments'!$D:$D,ROW()),0)</f>
        <v/>
      </c>
      <c r="E72">
        <f>IFERROR(--INDEX('Term investments'!$E:$E,ROW()),0)</f>
        <v/>
      </c>
      <c r="F72">
        <f>IFERROR(--INDEX('Term investments'!$F:$F,ROW()),0)</f>
        <v/>
      </c>
      <c r="G72">
        <f>IFERROR(IF(--INDEX('Term investments'!$G:$G,ROW())&gt;=1,--INDEX('Term investments'!$G:$G,ROW())/100,--INDEX('Term investments'!$G:$G,ROW())),0)</f>
        <v/>
      </c>
      <c r="H72">
        <f>IFERROR(--INDEX('Term investments'!$H:$H,ROW()),0)</f>
        <v/>
      </c>
      <c r="I72">
        <f>IF(ISNUMBER(INDEX('Term investments'!$G:$G,ROW())),1,0)</f>
        <v/>
      </c>
      <c r="J72">
        <f>TRIM(SUBSTITUTE(INDEX('Call accounts and MMFs'!$A:$A,ROW())&amp;""," "," "))</f>
        <v/>
      </c>
      <c r="K72">
        <f>TRIM(SUBSTITUTE(INDEX('Call accounts and MMFs'!$B:$B,ROW())&amp;""," "," "))</f>
        <v/>
      </c>
      <c r="L72">
        <f>TRIM(SUBSTITUTE(INDEX('Call accounts and MMFs'!$C:$C,ROW())&amp;""," "," "))</f>
        <v/>
      </c>
      <c r="M72">
        <f>IFERROR(--INDEX('Call accounts and MMFs'!$D:$D,ROW()),0)</f>
        <v/>
      </c>
      <c r="N72">
        <f>IFERROR(IF(--INDEX('Call accounts and MMFs'!$E:$E,ROW())&gt;=1,--INDEX('Call accounts and MMFs'!$E:$E,ROW())/100,--INDEX('Call accounts and MMFs'!$E:$E,ROW())),0)</f>
        <v/>
      </c>
      <c r="O72">
        <f>IFERROR(--INDEX('Call accounts and MMFs'!$F:$F,ROW()),0)</f>
        <v/>
      </c>
      <c r="P72">
        <f>IF(ISNUMBER(INDEX('Call accounts and MMFs'!$E:$E,ROW())),1,0)</f>
        <v/>
      </c>
      <c r="Q72">
        <f>TRIM(SUBSTITUTE(INDEX('Pooled funds'!$B:$B,ROW())&amp;""," "," "))</f>
        <v/>
      </c>
      <c r="R72">
        <f>IFERROR(--INDEX('Pooled funds'!$C:$C,ROW()),0)</f>
        <v/>
      </c>
      <c r="S72">
        <f>IFERROR(--INDEX('Pooled funds'!$D:$D,ROW()),0)</f>
        <v/>
      </c>
      <c r="T72">
        <f>IFERROR(IF(--INDEX('Pooled funds'!$E:$E,ROW())&gt;=1,--INDEX('Pooled funds'!$E:$E,ROW())/100,--INDEX('Pooled funds'!$E:$E,ROW())),0)</f>
        <v/>
      </c>
      <c r="U72">
        <f>IF(ISNUMBER(INDEX('Pooled funds'!$E:$E,ROW())),1,0)</f>
        <v/>
      </c>
      <c r="V72">
        <f>TRIM(SUBSTITUTE(INDEX('Loans'!$A:$A,ROW())&amp;""," "," "))</f>
        <v/>
      </c>
      <c r="W72">
        <f>TRIM(SUBSTITUTE(INDEX('Loans'!$B:$B,ROW())&amp;""," "," "))</f>
        <v/>
      </c>
      <c r="X72">
        <f>TRIM(SUBSTITUTE(INDEX('Loans'!$C:$C,ROW())&amp;""," "," "))</f>
        <v/>
      </c>
      <c r="Y72">
        <f>IFERROR(--INDEX('Loans'!$D:$D,ROW()),0)</f>
        <v/>
      </c>
      <c r="Z72">
        <f>IFERROR(--INDEX('Loans'!$E:$E,ROW()),0)</f>
        <v/>
      </c>
      <c r="AA72">
        <f>IFERROR(--INDEX('Loans'!$F:$F,ROW()),0)</f>
        <v/>
      </c>
      <c r="AB72">
        <f>IFERROR(IF(--INDEX('Loans'!$G:$G,ROW())&gt;=1,--INDEX('Loans'!$G:$G,ROW())/100,--INDEX('Loans'!$G:$G,ROW())),0)</f>
        <v/>
      </c>
      <c r="AC72">
        <f>TRIM(SUBSTITUTE(INDEX('Loans'!$H:$H,ROW())&amp;""," "," "))</f>
        <v/>
      </c>
      <c r="AD72">
        <f>TRIM(SUBSTITUTE(INDEX('Loans'!$I:$I,ROW())&amp;""," "," "))</f>
        <v/>
      </c>
      <c r="AE72">
        <f>IFERROR(--INDEX('Loans'!$J:$J,ROW()),0)</f>
        <v/>
      </c>
      <c r="AF72">
        <f>TRIM(SUBSTITUTE(INDEX('Loans'!$K:$K,ROW())&amp;""," "," "))</f>
        <v/>
      </c>
      <c r="AG72">
        <f>IFERROR(--INDEX('Loans'!$L:$L,ROW()),0)</f>
        <v/>
      </c>
      <c r="AH72">
        <f>IF(ISNUMBER(INDEX('Loans'!$G:$G,ROW())),1,0)</f>
        <v/>
      </c>
    </row>
    <row r="73">
      <c r="A73">
        <f>TRIM(SUBSTITUTE(INDEX('Term investments'!$A:$A,ROW())&amp;""," "," "))</f>
        <v/>
      </c>
      <c r="B73">
        <f>TRIM(SUBSTITUTE(INDEX('Term investments'!$B:$B,ROW())&amp;""," "," "))</f>
        <v/>
      </c>
      <c r="C73">
        <f>TRIM(SUBSTITUTE(INDEX('Term investments'!$C:$C,ROW())&amp;""," "," "))</f>
        <v/>
      </c>
      <c r="D73">
        <f>IFERROR(--INDEX('Term investments'!$D:$D,ROW()),0)</f>
        <v/>
      </c>
      <c r="E73">
        <f>IFERROR(--INDEX('Term investments'!$E:$E,ROW()),0)</f>
        <v/>
      </c>
      <c r="F73">
        <f>IFERROR(--INDEX('Term investments'!$F:$F,ROW()),0)</f>
        <v/>
      </c>
      <c r="G73">
        <f>IFERROR(IF(--INDEX('Term investments'!$G:$G,ROW())&gt;=1,--INDEX('Term investments'!$G:$G,ROW())/100,--INDEX('Term investments'!$G:$G,ROW())),0)</f>
        <v/>
      </c>
      <c r="H73">
        <f>IFERROR(--INDEX('Term investments'!$H:$H,ROW()),0)</f>
        <v/>
      </c>
      <c r="I73">
        <f>IF(ISNUMBER(INDEX('Term investments'!$G:$G,ROW())),1,0)</f>
        <v/>
      </c>
      <c r="J73">
        <f>TRIM(SUBSTITUTE(INDEX('Call accounts and MMFs'!$A:$A,ROW())&amp;""," "," "))</f>
        <v/>
      </c>
      <c r="K73">
        <f>TRIM(SUBSTITUTE(INDEX('Call accounts and MMFs'!$B:$B,ROW())&amp;""," "," "))</f>
        <v/>
      </c>
      <c r="L73">
        <f>TRIM(SUBSTITUTE(INDEX('Call accounts and MMFs'!$C:$C,ROW())&amp;""," "," "))</f>
        <v/>
      </c>
      <c r="M73">
        <f>IFERROR(--INDEX('Call accounts and MMFs'!$D:$D,ROW()),0)</f>
        <v/>
      </c>
      <c r="N73">
        <f>IFERROR(IF(--INDEX('Call accounts and MMFs'!$E:$E,ROW())&gt;=1,--INDEX('Call accounts and MMFs'!$E:$E,ROW())/100,--INDEX('Call accounts and MMFs'!$E:$E,ROW())),0)</f>
        <v/>
      </c>
      <c r="O73">
        <f>IFERROR(--INDEX('Call accounts and MMFs'!$F:$F,ROW()),0)</f>
        <v/>
      </c>
      <c r="P73">
        <f>IF(ISNUMBER(INDEX('Call accounts and MMFs'!$E:$E,ROW())),1,0)</f>
        <v/>
      </c>
      <c r="Q73">
        <f>TRIM(SUBSTITUTE(INDEX('Pooled funds'!$B:$B,ROW())&amp;""," "," "))</f>
        <v/>
      </c>
      <c r="R73">
        <f>IFERROR(--INDEX('Pooled funds'!$C:$C,ROW()),0)</f>
        <v/>
      </c>
      <c r="S73">
        <f>IFERROR(--INDEX('Pooled funds'!$D:$D,ROW()),0)</f>
        <v/>
      </c>
      <c r="T73">
        <f>IFERROR(IF(--INDEX('Pooled funds'!$E:$E,ROW())&gt;=1,--INDEX('Pooled funds'!$E:$E,ROW())/100,--INDEX('Pooled funds'!$E:$E,ROW())),0)</f>
        <v/>
      </c>
      <c r="U73">
        <f>IF(ISNUMBER(INDEX('Pooled funds'!$E:$E,ROW())),1,0)</f>
        <v/>
      </c>
      <c r="V73">
        <f>TRIM(SUBSTITUTE(INDEX('Loans'!$A:$A,ROW())&amp;""," "," "))</f>
        <v/>
      </c>
      <c r="W73">
        <f>TRIM(SUBSTITUTE(INDEX('Loans'!$B:$B,ROW())&amp;""," "," "))</f>
        <v/>
      </c>
      <c r="X73">
        <f>TRIM(SUBSTITUTE(INDEX('Loans'!$C:$C,ROW())&amp;""," "," "))</f>
        <v/>
      </c>
      <c r="Y73">
        <f>IFERROR(--INDEX('Loans'!$D:$D,ROW()),0)</f>
        <v/>
      </c>
      <c r="Z73">
        <f>IFERROR(--INDEX('Loans'!$E:$E,ROW()),0)</f>
        <v/>
      </c>
      <c r="AA73">
        <f>IFERROR(--INDEX('Loans'!$F:$F,ROW()),0)</f>
        <v/>
      </c>
      <c r="AB73">
        <f>IFERROR(IF(--INDEX('Loans'!$G:$G,ROW())&gt;=1,--INDEX('Loans'!$G:$G,ROW())/100,--INDEX('Loans'!$G:$G,ROW())),0)</f>
        <v/>
      </c>
      <c r="AC73">
        <f>TRIM(SUBSTITUTE(INDEX('Loans'!$H:$H,ROW())&amp;""," "," "))</f>
        <v/>
      </c>
      <c r="AD73">
        <f>TRIM(SUBSTITUTE(INDEX('Loans'!$I:$I,ROW())&amp;""," "," "))</f>
        <v/>
      </c>
      <c r="AE73">
        <f>IFERROR(--INDEX('Loans'!$J:$J,ROW()),0)</f>
        <v/>
      </c>
      <c r="AF73">
        <f>TRIM(SUBSTITUTE(INDEX('Loans'!$K:$K,ROW())&amp;""," "," "))</f>
        <v/>
      </c>
      <c r="AG73">
        <f>IFERROR(--INDEX('Loans'!$L:$L,ROW()),0)</f>
        <v/>
      </c>
      <c r="AH73">
        <f>IF(ISNUMBER(INDEX('Loans'!$G:$G,ROW())),1,0)</f>
        <v/>
      </c>
    </row>
    <row r="74">
      <c r="A74">
        <f>TRIM(SUBSTITUTE(INDEX('Term investments'!$A:$A,ROW())&amp;""," "," "))</f>
        <v/>
      </c>
      <c r="B74">
        <f>TRIM(SUBSTITUTE(INDEX('Term investments'!$B:$B,ROW())&amp;""," "," "))</f>
        <v/>
      </c>
      <c r="C74">
        <f>TRIM(SUBSTITUTE(INDEX('Term investments'!$C:$C,ROW())&amp;""," "," "))</f>
        <v/>
      </c>
      <c r="D74">
        <f>IFERROR(--INDEX('Term investments'!$D:$D,ROW()),0)</f>
        <v/>
      </c>
      <c r="E74">
        <f>IFERROR(--INDEX('Term investments'!$E:$E,ROW()),0)</f>
        <v/>
      </c>
      <c r="F74">
        <f>IFERROR(--INDEX('Term investments'!$F:$F,ROW()),0)</f>
        <v/>
      </c>
      <c r="G74">
        <f>IFERROR(IF(--INDEX('Term investments'!$G:$G,ROW())&gt;=1,--INDEX('Term investments'!$G:$G,ROW())/100,--INDEX('Term investments'!$G:$G,ROW())),0)</f>
        <v/>
      </c>
      <c r="H74">
        <f>IFERROR(--INDEX('Term investments'!$H:$H,ROW()),0)</f>
        <v/>
      </c>
      <c r="I74">
        <f>IF(ISNUMBER(INDEX('Term investments'!$G:$G,ROW())),1,0)</f>
        <v/>
      </c>
      <c r="J74">
        <f>TRIM(SUBSTITUTE(INDEX('Call accounts and MMFs'!$A:$A,ROW())&amp;""," "," "))</f>
        <v/>
      </c>
      <c r="K74">
        <f>TRIM(SUBSTITUTE(INDEX('Call accounts and MMFs'!$B:$B,ROW())&amp;""," "," "))</f>
        <v/>
      </c>
      <c r="L74">
        <f>TRIM(SUBSTITUTE(INDEX('Call accounts and MMFs'!$C:$C,ROW())&amp;""," "," "))</f>
        <v/>
      </c>
      <c r="M74">
        <f>IFERROR(--INDEX('Call accounts and MMFs'!$D:$D,ROW()),0)</f>
        <v/>
      </c>
      <c r="N74">
        <f>IFERROR(IF(--INDEX('Call accounts and MMFs'!$E:$E,ROW())&gt;=1,--INDEX('Call accounts and MMFs'!$E:$E,ROW())/100,--INDEX('Call accounts and MMFs'!$E:$E,ROW())),0)</f>
        <v/>
      </c>
      <c r="O74">
        <f>IFERROR(--INDEX('Call accounts and MMFs'!$F:$F,ROW()),0)</f>
        <v/>
      </c>
      <c r="P74">
        <f>IF(ISNUMBER(INDEX('Call accounts and MMFs'!$E:$E,ROW())),1,0)</f>
        <v/>
      </c>
      <c r="Q74">
        <f>TRIM(SUBSTITUTE(INDEX('Pooled funds'!$B:$B,ROW())&amp;""," "," "))</f>
        <v/>
      </c>
      <c r="R74">
        <f>IFERROR(--INDEX('Pooled funds'!$C:$C,ROW()),0)</f>
        <v/>
      </c>
      <c r="S74">
        <f>IFERROR(--INDEX('Pooled funds'!$D:$D,ROW()),0)</f>
        <v/>
      </c>
      <c r="T74">
        <f>IFERROR(IF(--INDEX('Pooled funds'!$E:$E,ROW())&gt;=1,--INDEX('Pooled funds'!$E:$E,ROW())/100,--INDEX('Pooled funds'!$E:$E,ROW())),0)</f>
        <v/>
      </c>
      <c r="U74">
        <f>IF(ISNUMBER(INDEX('Pooled funds'!$E:$E,ROW())),1,0)</f>
        <v/>
      </c>
      <c r="V74">
        <f>TRIM(SUBSTITUTE(INDEX('Loans'!$A:$A,ROW())&amp;""," "," "))</f>
        <v/>
      </c>
      <c r="W74">
        <f>TRIM(SUBSTITUTE(INDEX('Loans'!$B:$B,ROW())&amp;""," "," "))</f>
        <v/>
      </c>
      <c r="X74">
        <f>TRIM(SUBSTITUTE(INDEX('Loans'!$C:$C,ROW())&amp;""," "," "))</f>
        <v/>
      </c>
      <c r="Y74">
        <f>IFERROR(--INDEX('Loans'!$D:$D,ROW()),0)</f>
        <v/>
      </c>
      <c r="Z74">
        <f>IFERROR(--INDEX('Loans'!$E:$E,ROW()),0)</f>
        <v/>
      </c>
      <c r="AA74">
        <f>IFERROR(--INDEX('Loans'!$F:$F,ROW()),0)</f>
        <v/>
      </c>
      <c r="AB74">
        <f>IFERROR(IF(--INDEX('Loans'!$G:$G,ROW())&gt;=1,--INDEX('Loans'!$G:$G,ROW())/100,--INDEX('Loans'!$G:$G,ROW())),0)</f>
        <v/>
      </c>
      <c r="AC74">
        <f>TRIM(SUBSTITUTE(INDEX('Loans'!$H:$H,ROW())&amp;""," "," "))</f>
        <v/>
      </c>
      <c r="AD74">
        <f>TRIM(SUBSTITUTE(INDEX('Loans'!$I:$I,ROW())&amp;""," "," "))</f>
        <v/>
      </c>
      <c r="AE74">
        <f>IFERROR(--INDEX('Loans'!$J:$J,ROW()),0)</f>
        <v/>
      </c>
      <c r="AF74">
        <f>TRIM(SUBSTITUTE(INDEX('Loans'!$K:$K,ROW())&amp;""," "," "))</f>
        <v/>
      </c>
      <c r="AG74">
        <f>IFERROR(--INDEX('Loans'!$L:$L,ROW()),0)</f>
        <v/>
      </c>
      <c r="AH74">
        <f>IF(ISNUMBER(INDEX('Loans'!$G:$G,ROW())),1,0)</f>
        <v/>
      </c>
    </row>
    <row r="75">
      <c r="A75">
        <f>TRIM(SUBSTITUTE(INDEX('Term investments'!$A:$A,ROW())&amp;""," "," "))</f>
        <v/>
      </c>
      <c r="B75">
        <f>TRIM(SUBSTITUTE(INDEX('Term investments'!$B:$B,ROW())&amp;""," "," "))</f>
        <v/>
      </c>
      <c r="C75">
        <f>TRIM(SUBSTITUTE(INDEX('Term investments'!$C:$C,ROW())&amp;""," "," "))</f>
        <v/>
      </c>
      <c r="D75">
        <f>IFERROR(--INDEX('Term investments'!$D:$D,ROW()),0)</f>
        <v/>
      </c>
      <c r="E75">
        <f>IFERROR(--INDEX('Term investments'!$E:$E,ROW()),0)</f>
        <v/>
      </c>
      <c r="F75">
        <f>IFERROR(--INDEX('Term investments'!$F:$F,ROW()),0)</f>
        <v/>
      </c>
      <c r="G75">
        <f>IFERROR(IF(--INDEX('Term investments'!$G:$G,ROW())&gt;=1,--INDEX('Term investments'!$G:$G,ROW())/100,--INDEX('Term investments'!$G:$G,ROW())),0)</f>
        <v/>
      </c>
      <c r="H75">
        <f>IFERROR(--INDEX('Term investments'!$H:$H,ROW()),0)</f>
        <v/>
      </c>
      <c r="I75">
        <f>IF(ISNUMBER(INDEX('Term investments'!$G:$G,ROW())),1,0)</f>
        <v/>
      </c>
      <c r="J75">
        <f>TRIM(SUBSTITUTE(INDEX('Call accounts and MMFs'!$A:$A,ROW())&amp;""," "," "))</f>
        <v/>
      </c>
      <c r="K75">
        <f>TRIM(SUBSTITUTE(INDEX('Call accounts and MMFs'!$B:$B,ROW())&amp;""," "," "))</f>
        <v/>
      </c>
      <c r="L75">
        <f>TRIM(SUBSTITUTE(INDEX('Call accounts and MMFs'!$C:$C,ROW())&amp;""," "," "))</f>
        <v/>
      </c>
      <c r="M75">
        <f>IFERROR(--INDEX('Call accounts and MMFs'!$D:$D,ROW()),0)</f>
        <v/>
      </c>
      <c r="N75">
        <f>IFERROR(IF(--INDEX('Call accounts and MMFs'!$E:$E,ROW())&gt;=1,--INDEX('Call accounts and MMFs'!$E:$E,ROW())/100,--INDEX('Call accounts and MMFs'!$E:$E,ROW())),0)</f>
        <v/>
      </c>
      <c r="O75">
        <f>IFERROR(--INDEX('Call accounts and MMFs'!$F:$F,ROW()),0)</f>
        <v/>
      </c>
      <c r="P75">
        <f>IF(ISNUMBER(INDEX('Call accounts and MMFs'!$E:$E,ROW())),1,0)</f>
        <v/>
      </c>
      <c r="Q75">
        <f>TRIM(SUBSTITUTE(INDEX('Pooled funds'!$B:$B,ROW())&amp;""," "," "))</f>
        <v/>
      </c>
      <c r="R75">
        <f>IFERROR(--INDEX('Pooled funds'!$C:$C,ROW()),0)</f>
        <v/>
      </c>
      <c r="S75">
        <f>IFERROR(--INDEX('Pooled funds'!$D:$D,ROW()),0)</f>
        <v/>
      </c>
      <c r="T75">
        <f>IFERROR(IF(--INDEX('Pooled funds'!$E:$E,ROW())&gt;=1,--INDEX('Pooled funds'!$E:$E,ROW())/100,--INDEX('Pooled funds'!$E:$E,ROW())),0)</f>
        <v/>
      </c>
      <c r="U75">
        <f>IF(ISNUMBER(INDEX('Pooled funds'!$E:$E,ROW())),1,0)</f>
        <v/>
      </c>
      <c r="V75">
        <f>TRIM(SUBSTITUTE(INDEX('Loans'!$A:$A,ROW())&amp;""," "," "))</f>
        <v/>
      </c>
      <c r="W75">
        <f>TRIM(SUBSTITUTE(INDEX('Loans'!$B:$B,ROW())&amp;""," "," "))</f>
        <v/>
      </c>
      <c r="X75">
        <f>TRIM(SUBSTITUTE(INDEX('Loans'!$C:$C,ROW())&amp;""," "," "))</f>
        <v/>
      </c>
      <c r="Y75">
        <f>IFERROR(--INDEX('Loans'!$D:$D,ROW()),0)</f>
        <v/>
      </c>
      <c r="Z75">
        <f>IFERROR(--INDEX('Loans'!$E:$E,ROW()),0)</f>
        <v/>
      </c>
      <c r="AA75">
        <f>IFERROR(--INDEX('Loans'!$F:$F,ROW()),0)</f>
        <v/>
      </c>
      <c r="AB75">
        <f>IFERROR(IF(--INDEX('Loans'!$G:$G,ROW())&gt;=1,--INDEX('Loans'!$G:$G,ROW())/100,--INDEX('Loans'!$G:$G,ROW())),0)</f>
        <v/>
      </c>
      <c r="AC75">
        <f>TRIM(SUBSTITUTE(INDEX('Loans'!$H:$H,ROW())&amp;""," "," "))</f>
        <v/>
      </c>
      <c r="AD75">
        <f>TRIM(SUBSTITUTE(INDEX('Loans'!$I:$I,ROW())&amp;""," "," "))</f>
        <v/>
      </c>
      <c r="AE75">
        <f>IFERROR(--INDEX('Loans'!$J:$J,ROW()),0)</f>
        <v/>
      </c>
      <c r="AF75">
        <f>TRIM(SUBSTITUTE(INDEX('Loans'!$K:$K,ROW())&amp;""," "," "))</f>
        <v/>
      </c>
      <c r="AG75">
        <f>IFERROR(--INDEX('Loans'!$L:$L,ROW()),0)</f>
        <v/>
      </c>
      <c r="AH75">
        <f>IF(ISNUMBER(INDEX('Loans'!$G:$G,ROW())),1,0)</f>
        <v/>
      </c>
    </row>
    <row r="76">
      <c r="A76">
        <f>TRIM(SUBSTITUTE(INDEX('Term investments'!$A:$A,ROW())&amp;""," "," "))</f>
        <v/>
      </c>
      <c r="B76">
        <f>TRIM(SUBSTITUTE(INDEX('Term investments'!$B:$B,ROW())&amp;""," "," "))</f>
        <v/>
      </c>
      <c r="C76">
        <f>TRIM(SUBSTITUTE(INDEX('Term investments'!$C:$C,ROW())&amp;""," "," "))</f>
        <v/>
      </c>
      <c r="D76">
        <f>IFERROR(--INDEX('Term investments'!$D:$D,ROW()),0)</f>
        <v/>
      </c>
      <c r="E76">
        <f>IFERROR(--INDEX('Term investments'!$E:$E,ROW()),0)</f>
        <v/>
      </c>
      <c r="F76">
        <f>IFERROR(--INDEX('Term investments'!$F:$F,ROW()),0)</f>
        <v/>
      </c>
      <c r="G76">
        <f>IFERROR(IF(--INDEX('Term investments'!$G:$G,ROW())&gt;=1,--INDEX('Term investments'!$G:$G,ROW())/100,--INDEX('Term investments'!$G:$G,ROW())),0)</f>
        <v/>
      </c>
      <c r="H76">
        <f>IFERROR(--INDEX('Term investments'!$H:$H,ROW()),0)</f>
        <v/>
      </c>
      <c r="I76">
        <f>IF(ISNUMBER(INDEX('Term investments'!$G:$G,ROW())),1,0)</f>
        <v/>
      </c>
      <c r="J76">
        <f>TRIM(SUBSTITUTE(INDEX('Call accounts and MMFs'!$A:$A,ROW())&amp;""," "," "))</f>
        <v/>
      </c>
      <c r="K76">
        <f>TRIM(SUBSTITUTE(INDEX('Call accounts and MMFs'!$B:$B,ROW())&amp;""," "," "))</f>
        <v/>
      </c>
      <c r="L76">
        <f>TRIM(SUBSTITUTE(INDEX('Call accounts and MMFs'!$C:$C,ROW())&amp;""," "," "))</f>
        <v/>
      </c>
      <c r="M76">
        <f>IFERROR(--INDEX('Call accounts and MMFs'!$D:$D,ROW()),0)</f>
        <v/>
      </c>
      <c r="N76">
        <f>IFERROR(IF(--INDEX('Call accounts and MMFs'!$E:$E,ROW())&gt;=1,--INDEX('Call accounts and MMFs'!$E:$E,ROW())/100,--INDEX('Call accounts and MMFs'!$E:$E,ROW())),0)</f>
        <v/>
      </c>
      <c r="O76">
        <f>IFERROR(--INDEX('Call accounts and MMFs'!$F:$F,ROW()),0)</f>
        <v/>
      </c>
      <c r="P76">
        <f>IF(ISNUMBER(INDEX('Call accounts and MMFs'!$E:$E,ROW())),1,0)</f>
        <v/>
      </c>
      <c r="Q76">
        <f>TRIM(SUBSTITUTE(INDEX('Pooled funds'!$B:$B,ROW())&amp;""," "," "))</f>
        <v/>
      </c>
      <c r="R76">
        <f>IFERROR(--INDEX('Pooled funds'!$C:$C,ROW()),0)</f>
        <v/>
      </c>
      <c r="S76">
        <f>IFERROR(--INDEX('Pooled funds'!$D:$D,ROW()),0)</f>
        <v/>
      </c>
      <c r="T76">
        <f>IFERROR(IF(--INDEX('Pooled funds'!$E:$E,ROW())&gt;=1,--INDEX('Pooled funds'!$E:$E,ROW())/100,--INDEX('Pooled funds'!$E:$E,ROW())),0)</f>
        <v/>
      </c>
      <c r="U76">
        <f>IF(ISNUMBER(INDEX('Pooled funds'!$E:$E,ROW())),1,0)</f>
        <v/>
      </c>
      <c r="V76">
        <f>TRIM(SUBSTITUTE(INDEX('Loans'!$A:$A,ROW())&amp;""," "," "))</f>
        <v/>
      </c>
      <c r="W76">
        <f>TRIM(SUBSTITUTE(INDEX('Loans'!$B:$B,ROW())&amp;""," "," "))</f>
        <v/>
      </c>
      <c r="X76">
        <f>TRIM(SUBSTITUTE(INDEX('Loans'!$C:$C,ROW())&amp;""," "," "))</f>
        <v/>
      </c>
      <c r="Y76">
        <f>IFERROR(--INDEX('Loans'!$D:$D,ROW()),0)</f>
        <v/>
      </c>
      <c r="Z76">
        <f>IFERROR(--INDEX('Loans'!$E:$E,ROW()),0)</f>
        <v/>
      </c>
      <c r="AA76">
        <f>IFERROR(--INDEX('Loans'!$F:$F,ROW()),0)</f>
        <v/>
      </c>
      <c r="AB76">
        <f>IFERROR(IF(--INDEX('Loans'!$G:$G,ROW())&gt;=1,--INDEX('Loans'!$G:$G,ROW())/100,--INDEX('Loans'!$G:$G,ROW())),0)</f>
        <v/>
      </c>
      <c r="AC76">
        <f>TRIM(SUBSTITUTE(INDEX('Loans'!$H:$H,ROW())&amp;""," "," "))</f>
        <v/>
      </c>
      <c r="AD76">
        <f>TRIM(SUBSTITUTE(INDEX('Loans'!$I:$I,ROW())&amp;""," "," "))</f>
        <v/>
      </c>
      <c r="AE76">
        <f>IFERROR(--INDEX('Loans'!$J:$J,ROW()),0)</f>
        <v/>
      </c>
      <c r="AF76">
        <f>TRIM(SUBSTITUTE(INDEX('Loans'!$K:$K,ROW())&amp;""," "," "))</f>
        <v/>
      </c>
      <c r="AG76">
        <f>IFERROR(--INDEX('Loans'!$L:$L,ROW()),0)</f>
        <v/>
      </c>
      <c r="AH76">
        <f>IF(ISNUMBER(INDEX('Loans'!$G:$G,ROW())),1,0)</f>
        <v/>
      </c>
    </row>
    <row r="77">
      <c r="A77">
        <f>TRIM(SUBSTITUTE(INDEX('Term investments'!$A:$A,ROW())&amp;""," "," "))</f>
        <v/>
      </c>
      <c r="B77">
        <f>TRIM(SUBSTITUTE(INDEX('Term investments'!$B:$B,ROW())&amp;""," "," "))</f>
        <v/>
      </c>
      <c r="C77">
        <f>TRIM(SUBSTITUTE(INDEX('Term investments'!$C:$C,ROW())&amp;""," "," "))</f>
        <v/>
      </c>
      <c r="D77">
        <f>IFERROR(--INDEX('Term investments'!$D:$D,ROW()),0)</f>
        <v/>
      </c>
      <c r="E77">
        <f>IFERROR(--INDEX('Term investments'!$E:$E,ROW()),0)</f>
        <v/>
      </c>
      <c r="F77">
        <f>IFERROR(--INDEX('Term investments'!$F:$F,ROW()),0)</f>
        <v/>
      </c>
      <c r="G77">
        <f>IFERROR(IF(--INDEX('Term investments'!$G:$G,ROW())&gt;=1,--INDEX('Term investments'!$G:$G,ROW())/100,--INDEX('Term investments'!$G:$G,ROW())),0)</f>
        <v/>
      </c>
      <c r="H77">
        <f>IFERROR(--INDEX('Term investments'!$H:$H,ROW()),0)</f>
        <v/>
      </c>
      <c r="I77">
        <f>IF(ISNUMBER(INDEX('Term investments'!$G:$G,ROW())),1,0)</f>
        <v/>
      </c>
      <c r="J77">
        <f>TRIM(SUBSTITUTE(INDEX('Call accounts and MMFs'!$A:$A,ROW())&amp;""," "," "))</f>
        <v/>
      </c>
      <c r="K77">
        <f>TRIM(SUBSTITUTE(INDEX('Call accounts and MMFs'!$B:$B,ROW())&amp;""," "," "))</f>
        <v/>
      </c>
      <c r="L77">
        <f>TRIM(SUBSTITUTE(INDEX('Call accounts and MMFs'!$C:$C,ROW())&amp;""," "," "))</f>
        <v/>
      </c>
      <c r="M77">
        <f>IFERROR(--INDEX('Call accounts and MMFs'!$D:$D,ROW()),0)</f>
        <v/>
      </c>
      <c r="N77">
        <f>IFERROR(IF(--INDEX('Call accounts and MMFs'!$E:$E,ROW())&gt;=1,--INDEX('Call accounts and MMFs'!$E:$E,ROW())/100,--INDEX('Call accounts and MMFs'!$E:$E,ROW())),0)</f>
        <v/>
      </c>
      <c r="O77">
        <f>IFERROR(--INDEX('Call accounts and MMFs'!$F:$F,ROW()),0)</f>
        <v/>
      </c>
      <c r="P77">
        <f>IF(ISNUMBER(INDEX('Call accounts and MMFs'!$E:$E,ROW())),1,0)</f>
        <v/>
      </c>
      <c r="Q77">
        <f>TRIM(SUBSTITUTE(INDEX('Pooled funds'!$B:$B,ROW())&amp;""," "," "))</f>
        <v/>
      </c>
      <c r="R77">
        <f>IFERROR(--INDEX('Pooled funds'!$C:$C,ROW()),0)</f>
        <v/>
      </c>
      <c r="S77">
        <f>IFERROR(--INDEX('Pooled funds'!$D:$D,ROW()),0)</f>
        <v/>
      </c>
      <c r="T77">
        <f>IFERROR(IF(--INDEX('Pooled funds'!$E:$E,ROW())&gt;=1,--INDEX('Pooled funds'!$E:$E,ROW())/100,--INDEX('Pooled funds'!$E:$E,ROW())),0)</f>
        <v/>
      </c>
      <c r="U77">
        <f>IF(ISNUMBER(INDEX('Pooled funds'!$E:$E,ROW())),1,0)</f>
        <v/>
      </c>
      <c r="V77">
        <f>TRIM(SUBSTITUTE(INDEX('Loans'!$A:$A,ROW())&amp;""," "," "))</f>
        <v/>
      </c>
      <c r="W77">
        <f>TRIM(SUBSTITUTE(INDEX('Loans'!$B:$B,ROW())&amp;""," "," "))</f>
        <v/>
      </c>
      <c r="X77">
        <f>TRIM(SUBSTITUTE(INDEX('Loans'!$C:$C,ROW())&amp;""," "," "))</f>
        <v/>
      </c>
      <c r="Y77">
        <f>IFERROR(--INDEX('Loans'!$D:$D,ROW()),0)</f>
        <v/>
      </c>
      <c r="Z77">
        <f>IFERROR(--INDEX('Loans'!$E:$E,ROW()),0)</f>
        <v/>
      </c>
      <c r="AA77">
        <f>IFERROR(--INDEX('Loans'!$F:$F,ROW()),0)</f>
        <v/>
      </c>
      <c r="AB77">
        <f>IFERROR(IF(--INDEX('Loans'!$G:$G,ROW())&gt;=1,--INDEX('Loans'!$G:$G,ROW())/100,--INDEX('Loans'!$G:$G,ROW())),0)</f>
        <v/>
      </c>
      <c r="AC77">
        <f>TRIM(SUBSTITUTE(INDEX('Loans'!$H:$H,ROW())&amp;""," "," "))</f>
        <v/>
      </c>
      <c r="AD77">
        <f>TRIM(SUBSTITUTE(INDEX('Loans'!$I:$I,ROW())&amp;""," "," "))</f>
        <v/>
      </c>
      <c r="AE77">
        <f>IFERROR(--INDEX('Loans'!$J:$J,ROW()),0)</f>
        <v/>
      </c>
      <c r="AF77">
        <f>TRIM(SUBSTITUTE(INDEX('Loans'!$K:$K,ROW())&amp;""," "," "))</f>
        <v/>
      </c>
      <c r="AG77">
        <f>IFERROR(--INDEX('Loans'!$L:$L,ROW()),0)</f>
        <v/>
      </c>
      <c r="AH77">
        <f>IF(ISNUMBER(INDEX('Loans'!$G:$G,ROW())),1,0)</f>
        <v/>
      </c>
    </row>
    <row r="78">
      <c r="A78">
        <f>TRIM(SUBSTITUTE(INDEX('Term investments'!$A:$A,ROW())&amp;""," "," "))</f>
        <v/>
      </c>
      <c r="B78">
        <f>TRIM(SUBSTITUTE(INDEX('Term investments'!$B:$B,ROW())&amp;""," "," "))</f>
        <v/>
      </c>
      <c r="C78">
        <f>TRIM(SUBSTITUTE(INDEX('Term investments'!$C:$C,ROW())&amp;""," "," "))</f>
        <v/>
      </c>
      <c r="D78">
        <f>IFERROR(--INDEX('Term investments'!$D:$D,ROW()),0)</f>
        <v/>
      </c>
      <c r="E78">
        <f>IFERROR(--INDEX('Term investments'!$E:$E,ROW()),0)</f>
        <v/>
      </c>
      <c r="F78">
        <f>IFERROR(--INDEX('Term investments'!$F:$F,ROW()),0)</f>
        <v/>
      </c>
      <c r="G78">
        <f>IFERROR(IF(--INDEX('Term investments'!$G:$G,ROW())&gt;=1,--INDEX('Term investments'!$G:$G,ROW())/100,--INDEX('Term investments'!$G:$G,ROW())),0)</f>
        <v/>
      </c>
      <c r="H78">
        <f>IFERROR(--INDEX('Term investments'!$H:$H,ROW()),0)</f>
        <v/>
      </c>
      <c r="I78">
        <f>IF(ISNUMBER(INDEX('Term investments'!$G:$G,ROW())),1,0)</f>
        <v/>
      </c>
      <c r="J78">
        <f>TRIM(SUBSTITUTE(INDEX('Call accounts and MMFs'!$A:$A,ROW())&amp;""," "," "))</f>
        <v/>
      </c>
      <c r="K78">
        <f>TRIM(SUBSTITUTE(INDEX('Call accounts and MMFs'!$B:$B,ROW())&amp;""," "," "))</f>
        <v/>
      </c>
      <c r="L78">
        <f>TRIM(SUBSTITUTE(INDEX('Call accounts and MMFs'!$C:$C,ROW())&amp;""," "," "))</f>
        <v/>
      </c>
      <c r="M78">
        <f>IFERROR(--INDEX('Call accounts and MMFs'!$D:$D,ROW()),0)</f>
        <v/>
      </c>
      <c r="N78">
        <f>IFERROR(IF(--INDEX('Call accounts and MMFs'!$E:$E,ROW())&gt;=1,--INDEX('Call accounts and MMFs'!$E:$E,ROW())/100,--INDEX('Call accounts and MMFs'!$E:$E,ROW())),0)</f>
        <v/>
      </c>
      <c r="O78">
        <f>IFERROR(--INDEX('Call accounts and MMFs'!$F:$F,ROW()),0)</f>
        <v/>
      </c>
      <c r="P78">
        <f>IF(ISNUMBER(INDEX('Call accounts and MMFs'!$E:$E,ROW())),1,0)</f>
        <v/>
      </c>
      <c r="Q78">
        <f>TRIM(SUBSTITUTE(INDEX('Pooled funds'!$B:$B,ROW())&amp;""," "," "))</f>
        <v/>
      </c>
      <c r="R78">
        <f>IFERROR(--INDEX('Pooled funds'!$C:$C,ROW()),0)</f>
        <v/>
      </c>
      <c r="S78">
        <f>IFERROR(--INDEX('Pooled funds'!$D:$D,ROW()),0)</f>
        <v/>
      </c>
      <c r="T78">
        <f>IFERROR(IF(--INDEX('Pooled funds'!$E:$E,ROW())&gt;=1,--INDEX('Pooled funds'!$E:$E,ROW())/100,--INDEX('Pooled funds'!$E:$E,ROW())),0)</f>
        <v/>
      </c>
      <c r="U78">
        <f>IF(ISNUMBER(INDEX('Pooled funds'!$E:$E,ROW())),1,0)</f>
        <v/>
      </c>
      <c r="V78">
        <f>TRIM(SUBSTITUTE(INDEX('Loans'!$A:$A,ROW())&amp;""," "," "))</f>
        <v/>
      </c>
      <c r="W78">
        <f>TRIM(SUBSTITUTE(INDEX('Loans'!$B:$B,ROW())&amp;""," "," "))</f>
        <v/>
      </c>
      <c r="X78">
        <f>TRIM(SUBSTITUTE(INDEX('Loans'!$C:$C,ROW())&amp;""," "," "))</f>
        <v/>
      </c>
      <c r="Y78">
        <f>IFERROR(--INDEX('Loans'!$D:$D,ROW()),0)</f>
        <v/>
      </c>
      <c r="Z78">
        <f>IFERROR(--INDEX('Loans'!$E:$E,ROW()),0)</f>
        <v/>
      </c>
      <c r="AA78">
        <f>IFERROR(--INDEX('Loans'!$F:$F,ROW()),0)</f>
        <v/>
      </c>
      <c r="AB78">
        <f>IFERROR(IF(--INDEX('Loans'!$G:$G,ROW())&gt;=1,--INDEX('Loans'!$G:$G,ROW())/100,--INDEX('Loans'!$G:$G,ROW())),0)</f>
        <v/>
      </c>
      <c r="AC78">
        <f>TRIM(SUBSTITUTE(INDEX('Loans'!$H:$H,ROW())&amp;""," "," "))</f>
        <v/>
      </c>
      <c r="AD78">
        <f>TRIM(SUBSTITUTE(INDEX('Loans'!$I:$I,ROW())&amp;""," "," "))</f>
        <v/>
      </c>
      <c r="AE78">
        <f>IFERROR(--INDEX('Loans'!$J:$J,ROW()),0)</f>
        <v/>
      </c>
      <c r="AF78">
        <f>TRIM(SUBSTITUTE(INDEX('Loans'!$K:$K,ROW())&amp;""," "," "))</f>
        <v/>
      </c>
      <c r="AG78">
        <f>IFERROR(--INDEX('Loans'!$L:$L,ROW()),0)</f>
        <v/>
      </c>
      <c r="AH78">
        <f>IF(ISNUMBER(INDEX('Loans'!$G:$G,ROW())),1,0)</f>
        <v/>
      </c>
    </row>
    <row r="79">
      <c r="A79">
        <f>TRIM(SUBSTITUTE(INDEX('Term investments'!$A:$A,ROW())&amp;""," "," "))</f>
        <v/>
      </c>
      <c r="B79">
        <f>TRIM(SUBSTITUTE(INDEX('Term investments'!$B:$B,ROW())&amp;""," "," "))</f>
        <v/>
      </c>
      <c r="C79">
        <f>TRIM(SUBSTITUTE(INDEX('Term investments'!$C:$C,ROW())&amp;""," "," "))</f>
        <v/>
      </c>
      <c r="D79">
        <f>IFERROR(--INDEX('Term investments'!$D:$D,ROW()),0)</f>
        <v/>
      </c>
      <c r="E79">
        <f>IFERROR(--INDEX('Term investments'!$E:$E,ROW()),0)</f>
        <v/>
      </c>
      <c r="F79">
        <f>IFERROR(--INDEX('Term investments'!$F:$F,ROW()),0)</f>
        <v/>
      </c>
      <c r="G79">
        <f>IFERROR(IF(--INDEX('Term investments'!$G:$G,ROW())&gt;=1,--INDEX('Term investments'!$G:$G,ROW())/100,--INDEX('Term investments'!$G:$G,ROW())),0)</f>
        <v/>
      </c>
      <c r="H79">
        <f>IFERROR(--INDEX('Term investments'!$H:$H,ROW()),0)</f>
        <v/>
      </c>
      <c r="I79">
        <f>IF(ISNUMBER(INDEX('Term investments'!$G:$G,ROW())),1,0)</f>
        <v/>
      </c>
      <c r="J79">
        <f>TRIM(SUBSTITUTE(INDEX('Call accounts and MMFs'!$A:$A,ROW())&amp;""," "," "))</f>
        <v/>
      </c>
      <c r="K79">
        <f>TRIM(SUBSTITUTE(INDEX('Call accounts and MMFs'!$B:$B,ROW())&amp;""," "," "))</f>
        <v/>
      </c>
      <c r="L79">
        <f>TRIM(SUBSTITUTE(INDEX('Call accounts and MMFs'!$C:$C,ROW())&amp;""," "," "))</f>
        <v/>
      </c>
      <c r="M79">
        <f>IFERROR(--INDEX('Call accounts and MMFs'!$D:$D,ROW()),0)</f>
        <v/>
      </c>
      <c r="N79">
        <f>IFERROR(IF(--INDEX('Call accounts and MMFs'!$E:$E,ROW())&gt;=1,--INDEX('Call accounts and MMFs'!$E:$E,ROW())/100,--INDEX('Call accounts and MMFs'!$E:$E,ROW())),0)</f>
        <v/>
      </c>
      <c r="O79">
        <f>IFERROR(--INDEX('Call accounts and MMFs'!$F:$F,ROW()),0)</f>
        <v/>
      </c>
      <c r="P79">
        <f>IF(ISNUMBER(INDEX('Call accounts and MMFs'!$E:$E,ROW())),1,0)</f>
        <v/>
      </c>
      <c r="Q79">
        <f>TRIM(SUBSTITUTE(INDEX('Pooled funds'!$B:$B,ROW())&amp;""," "," "))</f>
        <v/>
      </c>
      <c r="R79">
        <f>IFERROR(--INDEX('Pooled funds'!$C:$C,ROW()),0)</f>
        <v/>
      </c>
      <c r="S79">
        <f>IFERROR(--INDEX('Pooled funds'!$D:$D,ROW()),0)</f>
        <v/>
      </c>
      <c r="T79">
        <f>IFERROR(IF(--INDEX('Pooled funds'!$E:$E,ROW())&gt;=1,--INDEX('Pooled funds'!$E:$E,ROW())/100,--INDEX('Pooled funds'!$E:$E,ROW())),0)</f>
        <v/>
      </c>
      <c r="U79">
        <f>IF(ISNUMBER(INDEX('Pooled funds'!$E:$E,ROW())),1,0)</f>
        <v/>
      </c>
      <c r="V79">
        <f>TRIM(SUBSTITUTE(INDEX('Loans'!$A:$A,ROW())&amp;""," "," "))</f>
        <v/>
      </c>
      <c r="W79">
        <f>TRIM(SUBSTITUTE(INDEX('Loans'!$B:$B,ROW())&amp;""," "," "))</f>
        <v/>
      </c>
      <c r="X79">
        <f>TRIM(SUBSTITUTE(INDEX('Loans'!$C:$C,ROW())&amp;""," "," "))</f>
        <v/>
      </c>
      <c r="Y79">
        <f>IFERROR(--INDEX('Loans'!$D:$D,ROW()),0)</f>
        <v/>
      </c>
      <c r="Z79">
        <f>IFERROR(--INDEX('Loans'!$E:$E,ROW()),0)</f>
        <v/>
      </c>
      <c r="AA79">
        <f>IFERROR(--INDEX('Loans'!$F:$F,ROW()),0)</f>
        <v/>
      </c>
      <c r="AB79">
        <f>IFERROR(IF(--INDEX('Loans'!$G:$G,ROW())&gt;=1,--INDEX('Loans'!$G:$G,ROW())/100,--INDEX('Loans'!$G:$G,ROW())),0)</f>
        <v/>
      </c>
      <c r="AC79">
        <f>TRIM(SUBSTITUTE(INDEX('Loans'!$H:$H,ROW())&amp;""," "," "))</f>
        <v/>
      </c>
      <c r="AD79">
        <f>TRIM(SUBSTITUTE(INDEX('Loans'!$I:$I,ROW())&amp;""," "," "))</f>
        <v/>
      </c>
      <c r="AE79">
        <f>IFERROR(--INDEX('Loans'!$J:$J,ROW()),0)</f>
        <v/>
      </c>
      <c r="AF79">
        <f>TRIM(SUBSTITUTE(INDEX('Loans'!$K:$K,ROW())&amp;""," "," "))</f>
        <v/>
      </c>
      <c r="AG79">
        <f>IFERROR(--INDEX('Loans'!$L:$L,ROW()),0)</f>
        <v/>
      </c>
      <c r="AH79">
        <f>IF(ISNUMBER(INDEX('Loans'!$G:$G,ROW())),1,0)</f>
        <v/>
      </c>
    </row>
    <row r="80">
      <c r="A80">
        <f>TRIM(SUBSTITUTE(INDEX('Term investments'!$A:$A,ROW())&amp;""," "," "))</f>
        <v/>
      </c>
      <c r="B80">
        <f>TRIM(SUBSTITUTE(INDEX('Term investments'!$B:$B,ROW())&amp;""," "," "))</f>
        <v/>
      </c>
      <c r="C80">
        <f>TRIM(SUBSTITUTE(INDEX('Term investments'!$C:$C,ROW())&amp;""," "," "))</f>
        <v/>
      </c>
      <c r="D80">
        <f>IFERROR(--INDEX('Term investments'!$D:$D,ROW()),0)</f>
        <v/>
      </c>
      <c r="E80">
        <f>IFERROR(--INDEX('Term investments'!$E:$E,ROW()),0)</f>
        <v/>
      </c>
      <c r="F80">
        <f>IFERROR(--INDEX('Term investments'!$F:$F,ROW()),0)</f>
        <v/>
      </c>
      <c r="G80">
        <f>IFERROR(IF(--INDEX('Term investments'!$G:$G,ROW())&gt;=1,--INDEX('Term investments'!$G:$G,ROW())/100,--INDEX('Term investments'!$G:$G,ROW())),0)</f>
        <v/>
      </c>
      <c r="H80">
        <f>IFERROR(--INDEX('Term investments'!$H:$H,ROW()),0)</f>
        <v/>
      </c>
      <c r="I80">
        <f>IF(ISNUMBER(INDEX('Term investments'!$G:$G,ROW())),1,0)</f>
        <v/>
      </c>
      <c r="J80">
        <f>TRIM(SUBSTITUTE(INDEX('Call accounts and MMFs'!$A:$A,ROW())&amp;""," "," "))</f>
        <v/>
      </c>
      <c r="K80">
        <f>TRIM(SUBSTITUTE(INDEX('Call accounts and MMFs'!$B:$B,ROW())&amp;""," "," "))</f>
        <v/>
      </c>
      <c r="L80">
        <f>TRIM(SUBSTITUTE(INDEX('Call accounts and MMFs'!$C:$C,ROW())&amp;""," "," "))</f>
        <v/>
      </c>
      <c r="M80">
        <f>IFERROR(--INDEX('Call accounts and MMFs'!$D:$D,ROW()),0)</f>
        <v/>
      </c>
      <c r="N80">
        <f>IFERROR(IF(--INDEX('Call accounts and MMFs'!$E:$E,ROW())&gt;=1,--INDEX('Call accounts and MMFs'!$E:$E,ROW())/100,--INDEX('Call accounts and MMFs'!$E:$E,ROW())),0)</f>
        <v/>
      </c>
      <c r="O80">
        <f>IFERROR(--INDEX('Call accounts and MMFs'!$F:$F,ROW()),0)</f>
        <v/>
      </c>
      <c r="P80">
        <f>IF(ISNUMBER(INDEX('Call accounts and MMFs'!$E:$E,ROW())),1,0)</f>
        <v/>
      </c>
      <c r="Q80">
        <f>TRIM(SUBSTITUTE(INDEX('Pooled funds'!$B:$B,ROW())&amp;""," "," "))</f>
        <v/>
      </c>
      <c r="R80">
        <f>IFERROR(--INDEX('Pooled funds'!$C:$C,ROW()),0)</f>
        <v/>
      </c>
      <c r="S80">
        <f>IFERROR(--INDEX('Pooled funds'!$D:$D,ROW()),0)</f>
        <v/>
      </c>
      <c r="T80">
        <f>IFERROR(IF(--INDEX('Pooled funds'!$E:$E,ROW())&gt;=1,--INDEX('Pooled funds'!$E:$E,ROW())/100,--INDEX('Pooled funds'!$E:$E,ROW())),0)</f>
        <v/>
      </c>
      <c r="U80">
        <f>IF(ISNUMBER(INDEX('Pooled funds'!$E:$E,ROW())),1,0)</f>
        <v/>
      </c>
      <c r="V80">
        <f>TRIM(SUBSTITUTE(INDEX('Loans'!$A:$A,ROW())&amp;""," "," "))</f>
        <v/>
      </c>
      <c r="W80">
        <f>TRIM(SUBSTITUTE(INDEX('Loans'!$B:$B,ROW())&amp;""," "," "))</f>
        <v/>
      </c>
      <c r="X80">
        <f>TRIM(SUBSTITUTE(INDEX('Loans'!$C:$C,ROW())&amp;""," "," "))</f>
        <v/>
      </c>
      <c r="Y80">
        <f>IFERROR(--INDEX('Loans'!$D:$D,ROW()),0)</f>
        <v/>
      </c>
      <c r="Z80">
        <f>IFERROR(--INDEX('Loans'!$E:$E,ROW()),0)</f>
        <v/>
      </c>
      <c r="AA80">
        <f>IFERROR(--INDEX('Loans'!$F:$F,ROW()),0)</f>
        <v/>
      </c>
      <c r="AB80">
        <f>IFERROR(IF(--INDEX('Loans'!$G:$G,ROW())&gt;=1,--INDEX('Loans'!$G:$G,ROW())/100,--INDEX('Loans'!$G:$G,ROW())),0)</f>
        <v/>
      </c>
      <c r="AC80">
        <f>TRIM(SUBSTITUTE(INDEX('Loans'!$H:$H,ROW())&amp;""," "," "))</f>
        <v/>
      </c>
      <c r="AD80">
        <f>TRIM(SUBSTITUTE(INDEX('Loans'!$I:$I,ROW())&amp;""," "," "))</f>
        <v/>
      </c>
      <c r="AE80">
        <f>IFERROR(--INDEX('Loans'!$J:$J,ROW()),0)</f>
        <v/>
      </c>
      <c r="AF80">
        <f>TRIM(SUBSTITUTE(INDEX('Loans'!$K:$K,ROW())&amp;""," "," "))</f>
        <v/>
      </c>
      <c r="AG80">
        <f>IFERROR(--INDEX('Loans'!$L:$L,ROW()),0)</f>
        <v/>
      </c>
      <c r="AH80">
        <f>IF(ISNUMBER(INDEX('Loans'!$G:$G,ROW())),1,0)</f>
        <v/>
      </c>
    </row>
    <row r="81">
      <c r="A81">
        <f>TRIM(SUBSTITUTE(INDEX('Term investments'!$A:$A,ROW())&amp;""," "," "))</f>
        <v/>
      </c>
      <c r="B81">
        <f>TRIM(SUBSTITUTE(INDEX('Term investments'!$B:$B,ROW())&amp;""," "," "))</f>
        <v/>
      </c>
      <c r="C81">
        <f>TRIM(SUBSTITUTE(INDEX('Term investments'!$C:$C,ROW())&amp;""," "," "))</f>
        <v/>
      </c>
      <c r="D81">
        <f>IFERROR(--INDEX('Term investments'!$D:$D,ROW()),0)</f>
        <v/>
      </c>
      <c r="E81">
        <f>IFERROR(--INDEX('Term investments'!$E:$E,ROW()),0)</f>
        <v/>
      </c>
      <c r="F81">
        <f>IFERROR(--INDEX('Term investments'!$F:$F,ROW()),0)</f>
        <v/>
      </c>
      <c r="G81">
        <f>IFERROR(IF(--INDEX('Term investments'!$G:$G,ROW())&gt;=1,--INDEX('Term investments'!$G:$G,ROW())/100,--INDEX('Term investments'!$G:$G,ROW())),0)</f>
        <v/>
      </c>
      <c r="H81">
        <f>IFERROR(--INDEX('Term investments'!$H:$H,ROW()),0)</f>
        <v/>
      </c>
      <c r="I81">
        <f>IF(ISNUMBER(INDEX('Term investments'!$G:$G,ROW())),1,0)</f>
        <v/>
      </c>
      <c r="J81">
        <f>TRIM(SUBSTITUTE(INDEX('Call accounts and MMFs'!$A:$A,ROW())&amp;""," "," "))</f>
        <v/>
      </c>
      <c r="K81">
        <f>TRIM(SUBSTITUTE(INDEX('Call accounts and MMFs'!$B:$B,ROW())&amp;""," "," "))</f>
        <v/>
      </c>
      <c r="L81">
        <f>TRIM(SUBSTITUTE(INDEX('Call accounts and MMFs'!$C:$C,ROW())&amp;""," "," "))</f>
        <v/>
      </c>
      <c r="M81">
        <f>IFERROR(--INDEX('Call accounts and MMFs'!$D:$D,ROW()),0)</f>
        <v/>
      </c>
      <c r="N81">
        <f>IFERROR(IF(--INDEX('Call accounts and MMFs'!$E:$E,ROW())&gt;=1,--INDEX('Call accounts and MMFs'!$E:$E,ROW())/100,--INDEX('Call accounts and MMFs'!$E:$E,ROW())),0)</f>
        <v/>
      </c>
      <c r="O81">
        <f>IFERROR(--INDEX('Call accounts and MMFs'!$F:$F,ROW()),0)</f>
        <v/>
      </c>
      <c r="P81">
        <f>IF(ISNUMBER(INDEX('Call accounts and MMFs'!$E:$E,ROW())),1,0)</f>
        <v/>
      </c>
      <c r="Q81">
        <f>TRIM(SUBSTITUTE(INDEX('Pooled funds'!$B:$B,ROW())&amp;""," "," "))</f>
        <v/>
      </c>
      <c r="R81">
        <f>IFERROR(--INDEX('Pooled funds'!$C:$C,ROW()),0)</f>
        <v/>
      </c>
      <c r="S81">
        <f>IFERROR(--INDEX('Pooled funds'!$D:$D,ROW()),0)</f>
        <v/>
      </c>
      <c r="T81">
        <f>IFERROR(IF(--INDEX('Pooled funds'!$E:$E,ROW())&gt;=1,--INDEX('Pooled funds'!$E:$E,ROW())/100,--INDEX('Pooled funds'!$E:$E,ROW())),0)</f>
        <v/>
      </c>
      <c r="U81">
        <f>IF(ISNUMBER(INDEX('Pooled funds'!$E:$E,ROW())),1,0)</f>
        <v/>
      </c>
      <c r="V81">
        <f>TRIM(SUBSTITUTE(INDEX('Loans'!$A:$A,ROW())&amp;""," "," "))</f>
        <v/>
      </c>
      <c r="W81">
        <f>TRIM(SUBSTITUTE(INDEX('Loans'!$B:$B,ROW())&amp;""," "," "))</f>
        <v/>
      </c>
      <c r="X81">
        <f>TRIM(SUBSTITUTE(INDEX('Loans'!$C:$C,ROW())&amp;""," "," "))</f>
        <v/>
      </c>
      <c r="Y81">
        <f>IFERROR(--INDEX('Loans'!$D:$D,ROW()),0)</f>
        <v/>
      </c>
      <c r="Z81">
        <f>IFERROR(--INDEX('Loans'!$E:$E,ROW()),0)</f>
        <v/>
      </c>
      <c r="AA81">
        <f>IFERROR(--INDEX('Loans'!$F:$F,ROW()),0)</f>
        <v/>
      </c>
      <c r="AB81">
        <f>IFERROR(IF(--INDEX('Loans'!$G:$G,ROW())&gt;=1,--INDEX('Loans'!$G:$G,ROW())/100,--INDEX('Loans'!$G:$G,ROW())),0)</f>
        <v/>
      </c>
      <c r="AC81">
        <f>TRIM(SUBSTITUTE(INDEX('Loans'!$H:$H,ROW())&amp;""," "," "))</f>
        <v/>
      </c>
      <c r="AD81">
        <f>TRIM(SUBSTITUTE(INDEX('Loans'!$I:$I,ROW())&amp;""," "," "))</f>
        <v/>
      </c>
      <c r="AE81">
        <f>IFERROR(--INDEX('Loans'!$J:$J,ROW()),0)</f>
        <v/>
      </c>
      <c r="AF81">
        <f>TRIM(SUBSTITUTE(INDEX('Loans'!$K:$K,ROW())&amp;""," "," "))</f>
        <v/>
      </c>
      <c r="AG81">
        <f>IFERROR(--INDEX('Loans'!$L:$L,ROW()),0)</f>
        <v/>
      </c>
      <c r="AH81">
        <f>IF(ISNUMBER(INDEX('Loans'!$G:$G,ROW())),1,0)</f>
        <v/>
      </c>
    </row>
    <row r="82">
      <c r="A82">
        <f>TRIM(SUBSTITUTE(INDEX('Term investments'!$A:$A,ROW())&amp;""," "," "))</f>
        <v/>
      </c>
      <c r="B82">
        <f>TRIM(SUBSTITUTE(INDEX('Term investments'!$B:$B,ROW())&amp;""," "," "))</f>
        <v/>
      </c>
      <c r="C82">
        <f>TRIM(SUBSTITUTE(INDEX('Term investments'!$C:$C,ROW())&amp;""," "," "))</f>
        <v/>
      </c>
      <c r="D82">
        <f>IFERROR(--INDEX('Term investments'!$D:$D,ROW()),0)</f>
        <v/>
      </c>
      <c r="E82">
        <f>IFERROR(--INDEX('Term investments'!$E:$E,ROW()),0)</f>
        <v/>
      </c>
      <c r="F82">
        <f>IFERROR(--INDEX('Term investments'!$F:$F,ROW()),0)</f>
        <v/>
      </c>
      <c r="G82">
        <f>IFERROR(IF(--INDEX('Term investments'!$G:$G,ROW())&gt;=1,--INDEX('Term investments'!$G:$G,ROW())/100,--INDEX('Term investments'!$G:$G,ROW())),0)</f>
        <v/>
      </c>
      <c r="H82">
        <f>IFERROR(--INDEX('Term investments'!$H:$H,ROW()),0)</f>
        <v/>
      </c>
      <c r="I82">
        <f>IF(ISNUMBER(INDEX('Term investments'!$G:$G,ROW())),1,0)</f>
        <v/>
      </c>
      <c r="J82">
        <f>TRIM(SUBSTITUTE(INDEX('Call accounts and MMFs'!$A:$A,ROW())&amp;""," "," "))</f>
        <v/>
      </c>
      <c r="K82">
        <f>TRIM(SUBSTITUTE(INDEX('Call accounts and MMFs'!$B:$B,ROW())&amp;""," "," "))</f>
        <v/>
      </c>
      <c r="L82">
        <f>TRIM(SUBSTITUTE(INDEX('Call accounts and MMFs'!$C:$C,ROW())&amp;""," "," "))</f>
        <v/>
      </c>
      <c r="M82">
        <f>IFERROR(--INDEX('Call accounts and MMFs'!$D:$D,ROW()),0)</f>
        <v/>
      </c>
      <c r="N82">
        <f>IFERROR(IF(--INDEX('Call accounts and MMFs'!$E:$E,ROW())&gt;=1,--INDEX('Call accounts and MMFs'!$E:$E,ROW())/100,--INDEX('Call accounts and MMFs'!$E:$E,ROW())),0)</f>
        <v/>
      </c>
      <c r="O82">
        <f>IFERROR(--INDEX('Call accounts and MMFs'!$F:$F,ROW()),0)</f>
        <v/>
      </c>
      <c r="P82">
        <f>IF(ISNUMBER(INDEX('Call accounts and MMFs'!$E:$E,ROW())),1,0)</f>
        <v/>
      </c>
      <c r="Q82">
        <f>TRIM(SUBSTITUTE(INDEX('Pooled funds'!$B:$B,ROW())&amp;""," "," "))</f>
        <v/>
      </c>
      <c r="R82">
        <f>IFERROR(--INDEX('Pooled funds'!$C:$C,ROW()),0)</f>
        <v/>
      </c>
      <c r="S82">
        <f>IFERROR(--INDEX('Pooled funds'!$D:$D,ROW()),0)</f>
        <v/>
      </c>
      <c r="T82">
        <f>IFERROR(IF(--INDEX('Pooled funds'!$E:$E,ROW())&gt;=1,--INDEX('Pooled funds'!$E:$E,ROW())/100,--INDEX('Pooled funds'!$E:$E,ROW())),0)</f>
        <v/>
      </c>
      <c r="U82">
        <f>IF(ISNUMBER(INDEX('Pooled funds'!$E:$E,ROW())),1,0)</f>
        <v/>
      </c>
      <c r="V82">
        <f>TRIM(SUBSTITUTE(INDEX('Loans'!$A:$A,ROW())&amp;""," "," "))</f>
        <v/>
      </c>
      <c r="W82">
        <f>TRIM(SUBSTITUTE(INDEX('Loans'!$B:$B,ROW())&amp;""," "," "))</f>
        <v/>
      </c>
      <c r="X82">
        <f>TRIM(SUBSTITUTE(INDEX('Loans'!$C:$C,ROW())&amp;""," "," "))</f>
        <v/>
      </c>
      <c r="Y82">
        <f>IFERROR(--INDEX('Loans'!$D:$D,ROW()),0)</f>
        <v/>
      </c>
      <c r="Z82">
        <f>IFERROR(--INDEX('Loans'!$E:$E,ROW()),0)</f>
        <v/>
      </c>
      <c r="AA82">
        <f>IFERROR(--INDEX('Loans'!$F:$F,ROW()),0)</f>
        <v/>
      </c>
      <c r="AB82">
        <f>IFERROR(IF(--INDEX('Loans'!$G:$G,ROW())&gt;=1,--INDEX('Loans'!$G:$G,ROW())/100,--INDEX('Loans'!$G:$G,ROW())),0)</f>
        <v/>
      </c>
      <c r="AC82">
        <f>TRIM(SUBSTITUTE(INDEX('Loans'!$H:$H,ROW())&amp;""," "," "))</f>
        <v/>
      </c>
      <c r="AD82">
        <f>TRIM(SUBSTITUTE(INDEX('Loans'!$I:$I,ROW())&amp;""," "," "))</f>
        <v/>
      </c>
      <c r="AE82">
        <f>IFERROR(--INDEX('Loans'!$J:$J,ROW()),0)</f>
        <v/>
      </c>
      <c r="AF82">
        <f>TRIM(SUBSTITUTE(INDEX('Loans'!$K:$K,ROW())&amp;""," "," "))</f>
        <v/>
      </c>
      <c r="AG82">
        <f>IFERROR(--INDEX('Loans'!$L:$L,ROW()),0)</f>
        <v/>
      </c>
      <c r="AH82">
        <f>IF(ISNUMBER(INDEX('Loans'!$G:$G,ROW())),1,0)</f>
        <v/>
      </c>
    </row>
    <row r="83">
      <c r="A83">
        <f>TRIM(SUBSTITUTE(INDEX('Term investments'!$A:$A,ROW())&amp;""," "," "))</f>
        <v/>
      </c>
      <c r="B83">
        <f>TRIM(SUBSTITUTE(INDEX('Term investments'!$B:$B,ROW())&amp;""," "," "))</f>
        <v/>
      </c>
      <c r="C83">
        <f>TRIM(SUBSTITUTE(INDEX('Term investments'!$C:$C,ROW())&amp;""," "," "))</f>
        <v/>
      </c>
      <c r="D83">
        <f>IFERROR(--INDEX('Term investments'!$D:$D,ROW()),0)</f>
        <v/>
      </c>
      <c r="E83">
        <f>IFERROR(--INDEX('Term investments'!$E:$E,ROW()),0)</f>
        <v/>
      </c>
      <c r="F83">
        <f>IFERROR(--INDEX('Term investments'!$F:$F,ROW()),0)</f>
        <v/>
      </c>
      <c r="G83">
        <f>IFERROR(IF(--INDEX('Term investments'!$G:$G,ROW())&gt;=1,--INDEX('Term investments'!$G:$G,ROW())/100,--INDEX('Term investments'!$G:$G,ROW())),0)</f>
        <v/>
      </c>
      <c r="H83">
        <f>IFERROR(--INDEX('Term investments'!$H:$H,ROW()),0)</f>
        <v/>
      </c>
      <c r="I83">
        <f>IF(ISNUMBER(INDEX('Term investments'!$G:$G,ROW())),1,0)</f>
        <v/>
      </c>
      <c r="J83">
        <f>TRIM(SUBSTITUTE(INDEX('Call accounts and MMFs'!$A:$A,ROW())&amp;""," "," "))</f>
        <v/>
      </c>
      <c r="K83">
        <f>TRIM(SUBSTITUTE(INDEX('Call accounts and MMFs'!$B:$B,ROW())&amp;""," "," "))</f>
        <v/>
      </c>
      <c r="L83">
        <f>TRIM(SUBSTITUTE(INDEX('Call accounts and MMFs'!$C:$C,ROW())&amp;""," "," "))</f>
        <v/>
      </c>
      <c r="M83">
        <f>IFERROR(--INDEX('Call accounts and MMFs'!$D:$D,ROW()),0)</f>
        <v/>
      </c>
      <c r="N83">
        <f>IFERROR(IF(--INDEX('Call accounts and MMFs'!$E:$E,ROW())&gt;=1,--INDEX('Call accounts and MMFs'!$E:$E,ROW())/100,--INDEX('Call accounts and MMFs'!$E:$E,ROW())),0)</f>
        <v/>
      </c>
      <c r="O83">
        <f>IFERROR(--INDEX('Call accounts and MMFs'!$F:$F,ROW()),0)</f>
        <v/>
      </c>
      <c r="P83">
        <f>IF(ISNUMBER(INDEX('Call accounts and MMFs'!$E:$E,ROW())),1,0)</f>
        <v/>
      </c>
      <c r="Q83">
        <f>TRIM(SUBSTITUTE(INDEX('Pooled funds'!$B:$B,ROW())&amp;""," "," "))</f>
        <v/>
      </c>
      <c r="R83">
        <f>IFERROR(--INDEX('Pooled funds'!$C:$C,ROW()),0)</f>
        <v/>
      </c>
      <c r="S83">
        <f>IFERROR(--INDEX('Pooled funds'!$D:$D,ROW()),0)</f>
        <v/>
      </c>
      <c r="T83">
        <f>IFERROR(IF(--INDEX('Pooled funds'!$E:$E,ROW())&gt;=1,--INDEX('Pooled funds'!$E:$E,ROW())/100,--INDEX('Pooled funds'!$E:$E,ROW())),0)</f>
        <v/>
      </c>
      <c r="U83">
        <f>IF(ISNUMBER(INDEX('Pooled funds'!$E:$E,ROW())),1,0)</f>
        <v/>
      </c>
      <c r="V83">
        <f>TRIM(SUBSTITUTE(INDEX('Loans'!$A:$A,ROW())&amp;""," "," "))</f>
        <v/>
      </c>
      <c r="W83">
        <f>TRIM(SUBSTITUTE(INDEX('Loans'!$B:$B,ROW())&amp;""," "," "))</f>
        <v/>
      </c>
      <c r="X83">
        <f>TRIM(SUBSTITUTE(INDEX('Loans'!$C:$C,ROW())&amp;""," "," "))</f>
        <v/>
      </c>
      <c r="Y83">
        <f>IFERROR(--INDEX('Loans'!$D:$D,ROW()),0)</f>
        <v/>
      </c>
      <c r="Z83">
        <f>IFERROR(--INDEX('Loans'!$E:$E,ROW()),0)</f>
        <v/>
      </c>
      <c r="AA83">
        <f>IFERROR(--INDEX('Loans'!$F:$F,ROW()),0)</f>
        <v/>
      </c>
      <c r="AB83">
        <f>IFERROR(IF(--INDEX('Loans'!$G:$G,ROW())&gt;=1,--INDEX('Loans'!$G:$G,ROW())/100,--INDEX('Loans'!$G:$G,ROW())),0)</f>
        <v/>
      </c>
      <c r="AC83">
        <f>TRIM(SUBSTITUTE(INDEX('Loans'!$H:$H,ROW())&amp;""," "," "))</f>
        <v/>
      </c>
      <c r="AD83">
        <f>TRIM(SUBSTITUTE(INDEX('Loans'!$I:$I,ROW())&amp;""," "," "))</f>
        <v/>
      </c>
      <c r="AE83">
        <f>IFERROR(--INDEX('Loans'!$J:$J,ROW()),0)</f>
        <v/>
      </c>
      <c r="AF83">
        <f>TRIM(SUBSTITUTE(INDEX('Loans'!$K:$K,ROW())&amp;""," "," "))</f>
        <v/>
      </c>
      <c r="AG83">
        <f>IFERROR(--INDEX('Loans'!$L:$L,ROW()),0)</f>
        <v/>
      </c>
      <c r="AH83">
        <f>IF(ISNUMBER(INDEX('Loans'!$G:$G,ROW())),1,0)</f>
        <v/>
      </c>
    </row>
    <row r="84">
      <c r="A84">
        <f>TRIM(SUBSTITUTE(INDEX('Term investments'!$A:$A,ROW())&amp;""," "," "))</f>
        <v/>
      </c>
      <c r="B84">
        <f>TRIM(SUBSTITUTE(INDEX('Term investments'!$B:$B,ROW())&amp;""," "," "))</f>
        <v/>
      </c>
      <c r="C84">
        <f>TRIM(SUBSTITUTE(INDEX('Term investments'!$C:$C,ROW())&amp;""," "," "))</f>
        <v/>
      </c>
      <c r="D84">
        <f>IFERROR(--INDEX('Term investments'!$D:$D,ROW()),0)</f>
        <v/>
      </c>
      <c r="E84">
        <f>IFERROR(--INDEX('Term investments'!$E:$E,ROW()),0)</f>
        <v/>
      </c>
      <c r="F84">
        <f>IFERROR(--INDEX('Term investments'!$F:$F,ROW()),0)</f>
        <v/>
      </c>
      <c r="G84">
        <f>IFERROR(IF(--INDEX('Term investments'!$G:$G,ROW())&gt;=1,--INDEX('Term investments'!$G:$G,ROW())/100,--INDEX('Term investments'!$G:$G,ROW())),0)</f>
        <v/>
      </c>
      <c r="H84">
        <f>IFERROR(--INDEX('Term investments'!$H:$H,ROW()),0)</f>
        <v/>
      </c>
      <c r="I84">
        <f>IF(ISNUMBER(INDEX('Term investments'!$G:$G,ROW())),1,0)</f>
        <v/>
      </c>
      <c r="J84">
        <f>TRIM(SUBSTITUTE(INDEX('Call accounts and MMFs'!$A:$A,ROW())&amp;""," "," "))</f>
        <v/>
      </c>
      <c r="K84">
        <f>TRIM(SUBSTITUTE(INDEX('Call accounts and MMFs'!$B:$B,ROW())&amp;""," "," "))</f>
        <v/>
      </c>
      <c r="L84">
        <f>TRIM(SUBSTITUTE(INDEX('Call accounts and MMFs'!$C:$C,ROW())&amp;""," "," "))</f>
        <v/>
      </c>
      <c r="M84">
        <f>IFERROR(--INDEX('Call accounts and MMFs'!$D:$D,ROW()),0)</f>
        <v/>
      </c>
      <c r="N84">
        <f>IFERROR(IF(--INDEX('Call accounts and MMFs'!$E:$E,ROW())&gt;=1,--INDEX('Call accounts and MMFs'!$E:$E,ROW())/100,--INDEX('Call accounts and MMFs'!$E:$E,ROW())),0)</f>
        <v/>
      </c>
      <c r="O84">
        <f>IFERROR(--INDEX('Call accounts and MMFs'!$F:$F,ROW()),0)</f>
        <v/>
      </c>
      <c r="P84">
        <f>IF(ISNUMBER(INDEX('Call accounts and MMFs'!$E:$E,ROW())),1,0)</f>
        <v/>
      </c>
      <c r="Q84">
        <f>TRIM(SUBSTITUTE(INDEX('Pooled funds'!$B:$B,ROW())&amp;""," "," "))</f>
        <v/>
      </c>
      <c r="R84">
        <f>IFERROR(--INDEX('Pooled funds'!$C:$C,ROW()),0)</f>
        <v/>
      </c>
      <c r="S84">
        <f>IFERROR(--INDEX('Pooled funds'!$D:$D,ROW()),0)</f>
        <v/>
      </c>
      <c r="T84">
        <f>IFERROR(IF(--INDEX('Pooled funds'!$E:$E,ROW())&gt;=1,--INDEX('Pooled funds'!$E:$E,ROW())/100,--INDEX('Pooled funds'!$E:$E,ROW())),0)</f>
        <v/>
      </c>
      <c r="U84">
        <f>IF(ISNUMBER(INDEX('Pooled funds'!$E:$E,ROW())),1,0)</f>
        <v/>
      </c>
      <c r="V84">
        <f>TRIM(SUBSTITUTE(INDEX('Loans'!$A:$A,ROW())&amp;""," "," "))</f>
        <v/>
      </c>
      <c r="W84">
        <f>TRIM(SUBSTITUTE(INDEX('Loans'!$B:$B,ROW())&amp;""," "," "))</f>
        <v/>
      </c>
      <c r="X84">
        <f>TRIM(SUBSTITUTE(INDEX('Loans'!$C:$C,ROW())&amp;""," "," "))</f>
        <v/>
      </c>
      <c r="Y84">
        <f>IFERROR(--INDEX('Loans'!$D:$D,ROW()),0)</f>
        <v/>
      </c>
      <c r="Z84">
        <f>IFERROR(--INDEX('Loans'!$E:$E,ROW()),0)</f>
        <v/>
      </c>
      <c r="AA84">
        <f>IFERROR(--INDEX('Loans'!$F:$F,ROW()),0)</f>
        <v/>
      </c>
      <c r="AB84">
        <f>IFERROR(IF(--INDEX('Loans'!$G:$G,ROW())&gt;=1,--INDEX('Loans'!$G:$G,ROW())/100,--INDEX('Loans'!$G:$G,ROW())),0)</f>
        <v/>
      </c>
      <c r="AC84">
        <f>TRIM(SUBSTITUTE(INDEX('Loans'!$H:$H,ROW())&amp;""," "," "))</f>
        <v/>
      </c>
      <c r="AD84">
        <f>TRIM(SUBSTITUTE(INDEX('Loans'!$I:$I,ROW())&amp;""," "," "))</f>
        <v/>
      </c>
      <c r="AE84">
        <f>IFERROR(--INDEX('Loans'!$J:$J,ROW()),0)</f>
        <v/>
      </c>
      <c r="AF84">
        <f>TRIM(SUBSTITUTE(INDEX('Loans'!$K:$K,ROW())&amp;""," "," "))</f>
        <v/>
      </c>
      <c r="AG84">
        <f>IFERROR(--INDEX('Loans'!$L:$L,ROW()),0)</f>
        <v/>
      </c>
      <c r="AH84">
        <f>IF(ISNUMBER(INDEX('Loans'!$G:$G,ROW())),1,0)</f>
        <v/>
      </c>
    </row>
    <row r="85">
      <c r="A85">
        <f>TRIM(SUBSTITUTE(INDEX('Term investments'!$A:$A,ROW())&amp;""," "," "))</f>
        <v/>
      </c>
      <c r="B85">
        <f>TRIM(SUBSTITUTE(INDEX('Term investments'!$B:$B,ROW())&amp;""," "," "))</f>
        <v/>
      </c>
      <c r="C85">
        <f>TRIM(SUBSTITUTE(INDEX('Term investments'!$C:$C,ROW())&amp;""," "," "))</f>
        <v/>
      </c>
      <c r="D85">
        <f>IFERROR(--INDEX('Term investments'!$D:$D,ROW()),0)</f>
        <v/>
      </c>
      <c r="E85">
        <f>IFERROR(--INDEX('Term investments'!$E:$E,ROW()),0)</f>
        <v/>
      </c>
      <c r="F85">
        <f>IFERROR(--INDEX('Term investments'!$F:$F,ROW()),0)</f>
        <v/>
      </c>
      <c r="G85">
        <f>IFERROR(IF(--INDEX('Term investments'!$G:$G,ROW())&gt;=1,--INDEX('Term investments'!$G:$G,ROW())/100,--INDEX('Term investments'!$G:$G,ROW())),0)</f>
        <v/>
      </c>
      <c r="H85">
        <f>IFERROR(--INDEX('Term investments'!$H:$H,ROW()),0)</f>
        <v/>
      </c>
      <c r="I85">
        <f>IF(ISNUMBER(INDEX('Term investments'!$G:$G,ROW())),1,0)</f>
        <v/>
      </c>
      <c r="J85">
        <f>TRIM(SUBSTITUTE(INDEX('Call accounts and MMFs'!$A:$A,ROW())&amp;""," "," "))</f>
        <v/>
      </c>
      <c r="K85">
        <f>TRIM(SUBSTITUTE(INDEX('Call accounts and MMFs'!$B:$B,ROW())&amp;""," "," "))</f>
        <v/>
      </c>
      <c r="L85">
        <f>TRIM(SUBSTITUTE(INDEX('Call accounts and MMFs'!$C:$C,ROW())&amp;""," "," "))</f>
        <v/>
      </c>
      <c r="M85">
        <f>IFERROR(--INDEX('Call accounts and MMFs'!$D:$D,ROW()),0)</f>
        <v/>
      </c>
      <c r="N85">
        <f>IFERROR(IF(--INDEX('Call accounts and MMFs'!$E:$E,ROW())&gt;=1,--INDEX('Call accounts and MMFs'!$E:$E,ROW())/100,--INDEX('Call accounts and MMFs'!$E:$E,ROW())),0)</f>
        <v/>
      </c>
      <c r="O85">
        <f>IFERROR(--INDEX('Call accounts and MMFs'!$F:$F,ROW()),0)</f>
        <v/>
      </c>
      <c r="P85">
        <f>IF(ISNUMBER(INDEX('Call accounts and MMFs'!$E:$E,ROW())),1,0)</f>
        <v/>
      </c>
      <c r="Q85">
        <f>TRIM(SUBSTITUTE(INDEX('Pooled funds'!$B:$B,ROW())&amp;""," "," "))</f>
        <v/>
      </c>
      <c r="R85">
        <f>IFERROR(--INDEX('Pooled funds'!$C:$C,ROW()),0)</f>
        <v/>
      </c>
      <c r="S85">
        <f>IFERROR(--INDEX('Pooled funds'!$D:$D,ROW()),0)</f>
        <v/>
      </c>
      <c r="T85">
        <f>IFERROR(IF(--INDEX('Pooled funds'!$E:$E,ROW())&gt;=1,--INDEX('Pooled funds'!$E:$E,ROW())/100,--INDEX('Pooled funds'!$E:$E,ROW())),0)</f>
        <v/>
      </c>
      <c r="U85">
        <f>IF(ISNUMBER(INDEX('Pooled funds'!$E:$E,ROW())),1,0)</f>
        <v/>
      </c>
      <c r="V85">
        <f>TRIM(SUBSTITUTE(INDEX('Loans'!$A:$A,ROW())&amp;""," "," "))</f>
        <v/>
      </c>
      <c r="W85">
        <f>TRIM(SUBSTITUTE(INDEX('Loans'!$B:$B,ROW())&amp;""," "," "))</f>
        <v/>
      </c>
      <c r="X85">
        <f>TRIM(SUBSTITUTE(INDEX('Loans'!$C:$C,ROW())&amp;""," "," "))</f>
        <v/>
      </c>
      <c r="Y85">
        <f>IFERROR(--INDEX('Loans'!$D:$D,ROW()),0)</f>
        <v/>
      </c>
      <c r="Z85">
        <f>IFERROR(--INDEX('Loans'!$E:$E,ROW()),0)</f>
        <v/>
      </c>
      <c r="AA85">
        <f>IFERROR(--INDEX('Loans'!$F:$F,ROW()),0)</f>
        <v/>
      </c>
      <c r="AB85">
        <f>IFERROR(IF(--INDEX('Loans'!$G:$G,ROW())&gt;=1,--INDEX('Loans'!$G:$G,ROW())/100,--INDEX('Loans'!$G:$G,ROW())),0)</f>
        <v/>
      </c>
      <c r="AC85">
        <f>TRIM(SUBSTITUTE(INDEX('Loans'!$H:$H,ROW())&amp;""," "," "))</f>
        <v/>
      </c>
      <c r="AD85">
        <f>TRIM(SUBSTITUTE(INDEX('Loans'!$I:$I,ROW())&amp;""," "," "))</f>
        <v/>
      </c>
      <c r="AE85">
        <f>IFERROR(--INDEX('Loans'!$J:$J,ROW()),0)</f>
        <v/>
      </c>
      <c r="AF85">
        <f>TRIM(SUBSTITUTE(INDEX('Loans'!$K:$K,ROW())&amp;""," "," "))</f>
        <v/>
      </c>
      <c r="AG85">
        <f>IFERROR(--INDEX('Loans'!$L:$L,ROW()),0)</f>
        <v/>
      </c>
      <c r="AH85">
        <f>IF(ISNUMBER(INDEX('Loans'!$G:$G,ROW())),1,0)</f>
        <v/>
      </c>
    </row>
    <row r="86">
      <c r="A86">
        <f>TRIM(SUBSTITUTE(INDEX('Term investments'!$A:$A,ROW())&amp;""," "," "))</f>
        <v/>
      </c>
      <c r="B86">
        <f>TRIM(SUBSTITUTE(INDEX('Term investments'!$B:$B,ROW())&amp;""," "," "))</f>
        <v/>
      </c>
      <c r="C86">
        <f>TRIM(SUBSTITUTE(INDEX('Term investments'!$C:$C,ROW())&amp;""," "," "))</f>
        <v/>
      </c>
      <c r="D86">
        <f>IFERROR(--INDEX('Term investments'!$D:$D,ROW()),0)</f>
        <v/>
      </c>
      <c r="E86">
        <f>IFERROR(--INDEX('Term investments'!$E:$E,ROW()),0)</f>
        <v/>
      </c>
      <c r="F86">
        <f>IFERROR(--INDEX('Term investments'!$F:$F,ROW()),0)</f>
        <v/>
      </c>
      <c r="G86">
        <f>IFERROR(IF(--INDEX('Term investments'!$G:$G,ROW())&gt;=1,--INDEX('Term investments'!$G:$G,ROW())/100,--INDEX('Term investments'!$G:$G,ROW())),0)</f>
        <v/>
      </c>
      <c r="H86">
        <f>IFERROR(--INDEX('Term investments'!$H:$H,ROW()),0)</f>
        <v/>
      </c>
      <c r="I86">
        <f>IF(ISNUMBER(INDEX('Term investments'!$G:$G,ROW())),1,0)</f>
        <v/>
      </c>
      <c r="J86">
        <f>TRIM(SUBSTITUTE(INDEX('Call accounts and MMFs'!$A:$A,ROW())&amp;""," "," "))</f>
        <v/>
      </c>
      <c r="K86">
        <f>TRIM(SUBSTITUTE(INDEX('Call accounts and MMFs'!$B:$B,ROW())&amp;""," "," "))</f>
        <v/>
      </c>
      <c r="L86">
        <f>TRIM(SUBSTITUTE(INDEX('Call accounts and MMFs'!$C:$C,ROW())&amp;""," "," "))</f>
        <v/>
      </c>
      <c r="M86">
        <f>IFERROR(--INDEX('Call accounts and MMFs'!$D:$D,ROW()),0)</f>
        <v/>
      </c>
      <c r="N86">
        <f>IFERROR(IF(--INDEX('Call accounts and MMFs'!$E:$E,ROW())&gt;=1,--INDEX('Call accounts and MMFs'!$E:$E,ROW())/100,--INDEX('Call accounts and MMFs'!$E:$E,ROW())),0)</f>
        <v/>
      </c>
      <c r="O86">
        <f>IFERROR(--INDEX('Call accounts and MMFs'!$F:$F,ROW()),0)</f>
        <v/>
      </c>
      <c r="P86">
        <f>IF(ISNUMBER(INDEX('Call accounts and MMFs'!$E:$E,ROW())),1,0)</f>
        <v/>
      </c>
      <c r="Q86">
        <f>TRIM(SUBSTITUTE(INDEX('Pooled funds'!$B:$B,ROW())&amp;""," "," "))</f>
        <v/>
      </c>
      <c r="R86">
        <f>IFERROR(--INDEX('Pooled funds'!$C:$C,ROW()),0)</f>
        <v/>
      </c>
      <c r="S86">
        <f>IFERROR(--INDEX('Pooled funds'!$D:$D,ROW()),0)</f>
        <v/>
      </c>
      <c r="T86">
        <f>IFERROR(IF(--INDEX('Pooled funds'!$E:$E,ROW())&gt;=1,--INDEX('Pooled funds'!$E:$E,ROW())/100,--INDEX('Pooled funds'!$E:$E,ROW())),0)</f>
        <v/>
      </c>
      <c r="U86">
        <f>IF(ISNUMBER(INDEX('Pooled funds'!$E:$E,ROW())),1,0)</f>
        <v/>
      </c>
      <c r="V86">
        <f>TRIM(SUBSTITUTE(INDEX('Loans'!$A:$A,ROW())&amp;""," "," "))</f>
        <v/>
      </c>
      <c r="W86">
        <f>TRIM(SUBSTITUTE(INDEX('Loans'!$B:$B,ROW())&amp;""," "," "))</f>
        <v/>
      </c>
      <c r="X86">
        <f>TRIM(SUBSTITUTE(INDEX('Loans'!$C:$C,ROW())&amp;""," "," "))</f>
        <v/>
      </c>
      <c r="Y86">
        <f>IFERROR(--INDEX('Loans'!$D:$D,ROW()),0)</f>
        <v/>
      </c>
      <c r="Z86">
        <f>IFERROR(--INDEX('Loans'!$E:$E,ROW()),0)</f>
        <v/>
      </c>
      <c r="AA86">
        <f>IFERROR(--INDEX('Loans'!$F:$F,ROW()),0)</f>
        <v/>
      </c>
      <c r="AB86">
        <f>IFERROR(IF(--INDEX('Loans'!$G:$G,ROW())&gt;=1,--INDEX('Loans'!$G:$G,ROW())/100,--INDEX('Loans'!$G:$G,ROW())),0)</f>
        <v/>
      </c>
      <c r="AC86">
        <f>TRIM(SUBSTITUTE(INDEX('Loans'!$H:$H,ROW())&amp;""," "," "))</f>
        <v/>
      </c>
      <c r="AD86">
        <f>TRIM(SUBSTITUTE(INDEX('Loans'!$I:$I,ROW())&amp;""," "," "))</f>
        <v/>
      </c>
      <c r="AE86">
        <f>IFERROR(--INDEX('Loans'!$J:$J,ROW()),0)</f>
        <v/>
      </c>
      <c r="AF86">
        <f>TRIM(SUBSTITUTE(INDEX('Loans'!$K:$K,ROW())&amp;""," "," "))</f>
        <v/>
      </c>
      <c r="AG86">
        <f>IFERROR(--INDEX('Loans'!$L:$L,ROW()),0)</f>
        <v/>
      </c>
      <c r="AH86">
        <f>IF(ISNUMBER(INDEX('Loans'!$G:$G,ROW())),1,0)</f>
        <v/>
      </c>
    </row>
    <row r="87">
      <c r="A87">
        <f>TRIM(SUBSTITUTE(INDEX('Term investments'!$A:$A,ROW())&amp;""," "," "))</f>
        <v/>
      </c>
      <c r="B87">
        <f>TRIM(SUBSTITUTE(INDEX('Term investments'!$B:$B,ROW())&amp;""," "," "))</f>
        <v/>
      </c>
      <c r="C87">
        <f>TRIM(SUBSTITUTE(INDEX('Term investments'!$C:$C,ROW())&amp;""," "," "))</f>
        <v/>
      </c>
      <c r="D87">
        <f>IFERROR(--INDEX('Term investments'!$D:$D,ROW()),0)</f>
        <v/>
      </c>
      <c r="E87">
        <f>IFERROR(--INDEX('Term investments'!$E:$E,ROW()),0)</f>
        <v/>
      </c>
      <c r="F87">
        <f>IFERROR(--INDEX('Term investments'!$F:$F,ROW()),0)</f>
        <v/>
      </c>
      <c r="G87">
        <f>IFERROR(IF(--INDEX('Term investments'!$G:$G,ROW())&gt;=1,--INDEX('Term investments'!$G:$G,ROW())/100,--INDEX('Term investments'!$G:$G,ROW())),0)</f>
        <v/>
      </c>
      <c r="H87">
        <f>IFERROR(--INDEX('Term investments'!$H:$H,ROW()),0)</f>
        <v/>
      </c>
      <c r="I87">
        <f>IF(ISNUMBER(INDEX('Term investments'!$G:$G,ROW())),1,0)</f>
        <v/>
      </c>
      <c r="J87">
        <f>TRIM(SUBSTITUTE(INDEX('Call accounts and MMFs'!$A:$A,ROW())&amp;""," "," "))</f>
        <v/>
      </c>
      <c r="K87">
        <f>TRIM(SUBSTITUTE(INDEX('Call accounts and MMFs'!$B:$B,ROW())&amp;""," "," "))</f>
        <v/>
      </c>
      <c r="L87">
        <f>TRIM(SUBSTITUTE(INDEX('Call accounts and MMFs'!$C:$C,ROW())&amp;""," "," "))</f>
        <v/>
      </c>
      <c r="M87">
        <f>IFERROR(--INDEX('Call accounts and MMFs'!$D:$D,ROW()),0)</f>
        <v/>
      </c>
      <c r="N87">
        <f>IFERROR(IF(--INDEX('Call accounts and MMFs'!$E:$E,ROW())&gt;=1,--INDEX('Call accounts and MMFs'!$E:$E,ROW())/100,--INDEX('Call accounts and MMFs'!$E:$E,ROW())),0)</f>
        <v/>
      </c>
      <c r="O87">
        <f>IFERROR(--INDEX('Call accounts and MMFs'!$F:$F,ROW()),0)</f>
        <v/>
      </c>
      <c r="P87">
        <f>IF(ISNUMBER(INDEX('Call accounts and MMFs'!$E:$E,ROW())),1,0)</f>
        <v/>
      </c>
      <c r="Q87">
        <f>TRIM(SUBSTITUTE(INDEX('Pooled funds'!$B:$B,ROW())&amp;""," "," "))</f>
        <v/>
      </c>
      <c r="R87">
        <f>IFERROR(--INDEX('Pooled funds'!$C:$C,ROW()),0)</f>
        <v/>
      </c>
      <c r="S87">
        <f>IFERROR(--INDEX('Pooled funds'!$D:$D,ROW()),0)</f>
        <v/>
      </c>
      <c r="T87">
        <f>IFERROR(IF(--INDEX('Pooled funds'!$E:$E,ROW())&gt;=1,--INDEX('Pooled funds'!$E:$E,ROW())/100,--INDEX('Pooled funds'!$E:$E,ROW())),0)</f>
        <v/>
      </c>
      <c r="U87">
        <f>IF(ISNUMBER(INDEX('Pooled funds'!$E:$E,ROW())),1,0)</f>
        <v/>
      </c>
      <c r="V87">
        <f>TRIM(SUBSTITUTE(INDEX('Loans'!$A:$A,ROW())&amp;""," "," "))</f>
        <v/>
      </c>
      <c r="W87">
        <f>TRIM(SUBSTITUTE(INDEX('Loans'!$B:$B,ROW())&amp;""," "," "))</f>
        <v/>
      </c>
      <c r="X87">
        <f>TRIM(SUBSTITUTE(INDEX('Loans'!$C:$C,ROW())&amp;""," "," "))</f>
        <v/>
      </c>
      <c r="Y87">
        <f>IFERROR(--INDEX('Loans'!$D:$D,ROW()),0)</f>
        <v/>
      </c>
      <c r="Z87">
        <f>IFERROR(--INDEX('Loans'!$E:$E,ROW()),0)</f>
        <v/>
      </c>
      <c r="AA87">
        <f>IFERROR(--INDEX('Loans'!$F:$F,ROW()),0)</f>
        <v/>
      </c>
      <c r="AB87">
        <f>IFERROR(IF(--INDEX('Loans'!$G:$G,ROW())&gt;=1,--INDEX('Loans'!$G:$G,ROW())/100,--INDEX('Loans'!$G:$G,ROW())),0)</f>
        <v/>
      </c>
      <c r="AC87">
        <f>TRIM(SUBSTITUTE(INDEX('Loans'!$H:$H,ROW())&amp;""," "," "))</f>
        <v/>
      </c>
      <c r="AD87">
        <f>TRIM(SUBSTITUTE(INDEX('Loans'!$I:$I,ROW())&amp;""," "," "))</f>
        <v/>
      </c>
      <c r="AE87">
        <f>IFERROR(--INDEX('Loans'!$J:$J,ROW()),0)</f>
        <v/>
      </c>
      <c r="AF87">
        <f>TRIM(SUBSTITUTE(INDEX('Loans'!$K:$K,ROW())&amp;""," "," "))</f>
        <v/>
      </c>
      <c r="AG87">
        <f>IFERROR(--INDEX('Loans'!$L:$L,ROW()),0)</f>
        <v/>
      </c>
      <c r="AH87">
        <f>IF(ISNUMBER(INDEX('Loans'!$G:$G,ROW())),1,0)</f>
        <v/>
      </c>
    </row>
    <row r="88">
      <c r="A88">
        <f>TRIM(SUBSTITUTE(INDEX('Term investments'!$A:$A,ROW())&amp;""," "," "))</f>
        <v/>
      </c>
      <c r="B88">
        <f>TRIM(SUBSTITUTE(INDEX('Term investments'!$B:$B,ROW())&amp;""," "," "))</f>
        <v/>
      </c>
      <c r="C88">
        <f>TRIM(SUBSTITUTE(INDEX('Term investments'!$C:$C,ROW())&amp;""," "," "))</f>
        <v/>
      </c>
      <c r="D88">
        <f>IFERROR(--INDEX('Term investments'!$D:$D,ROW()),0)</f>
        <v/>
      </c>
      <c r="E88">
        <f>IFERROR(--INDEX('Term investments'!$E:$E,ROW()),0)</f>
        <v/>
      </c>
      <c r="F88">
        <f>IFERROR(--INDEX('Term investments'!$F:$F,ROW()),0)</f>
        <v/>
      </c>
      <c r="G88">
        <f>IFERROR(IF(--INDEX('Term investments'!$G:$G,ROW())&gt;=1,--INDEX('Term investments'!$G:$G,ROW())/100,--INDEX('Term investments'!$G:$G,ROW())),0)</f>
        <v/>
      </c>
      <c r="H88">
        <f>IFERROR(--INDEX('Term investments'!$H:$H,ROW()),0)</f>
        <v/>
      </c>
      <c r="I88">
        <f>IF(ISNUMBER(INDEX('Term investments'!$G:$G,ROW())),1,0)</f>
        <v/>
      </c>
      <c r="J88">
        <f>TRIM(SUBSTITUTE(INDEX('Call accounts and MMFs'!$A:$A,ROW())&amp;""," "," "))</f>
        <v/>
      </c>
      <c r="K88">
        <f>TRIM(SUBSTITUTE(INDEX('Call accounts and MMFs'!$B:$B,ROW())&amp;""," "," "))</f>
        <v/>
      </c>
      <c r="L88">
        <f>TRIM(SUBSTITUTE(INDEX('Call accounts and MMFs'!$C:$C,ROW())&amp;""," "," "))</f>
        <v/>
      </c>
      <c r="M88">
        <f>IFERROR(--INDEX('Call accounts and MMFs'!$D:$D,ROW()),0)</f>
        <v/>
      </c>
      <c r="N88">
        <f>IFERROR(IF(--INDEX('Call accounts and MMFs'!$E:$E,ROW())&gt;=1,--INDEX('Call accounts and MMFs'!$E:$E,ROW())/100,--INDEX('Call accounts and MMFs'!$E:$E,ROW())),0)</f>
        <v/>
      </c>
      <c r="O88">
        <f>IFERROR(--INDEX('Call accounts and MMFs'!$F:$F,ROW()),0)</f>
        <v/>
      </c>
      <c r="P88">
        <f>IF(ISNUMBER(INDEX('Call accounts and MMFs'!$E:$E,ROW())),1,0)</f>
        <v/>
      </c>
      <c r="Q88">
        <f>TRIM(SUBSTITUTE(INDEX('Pooled funds'!$B:$B,ROW())&amp;""," "," "))</f>
        <v/>
      </c>
      <c r="R88">
        <f>IFERROR(--INDEX('Pooled funds'!$C:$C,ROW()),0)</f>
        <v/>
      </c>
      <c r="S88">
        <f>IFERROR(--INDEX('Pooled funds'!$D:$D,ROW()),0)</f>
        <v/>
      </c>
      <c r="T88">
        <f>IFERROR(IF(--INDEX('Pooled funds'!$E:$E,ROW())&gt;=1,--INDEX('Pooled funds'!$E:$E,ROW())/100,--INDEX('Pooled funds'!$E:$E,ROW())),0)</f>
        <v/>
      </c>
      <c r="U88">
        <f>IF(ISNUMBER(INDEX('Pooled funds'!$E:$E,ROW())),1,0)</f>
        <v/>
      </c>
      <c r="V88">
        <f>TRIM(SUBSTITUTE(INDEX('Loans'!$A:$A,ROW())&amp;""," "," "))</f>
        <v/>
      </c>
      <c r="W88">
        <f>TRIM(SUBSTITUTE(INDEX('Loans'!$B:$B,ROW())&amp;""," "," "))</f>
        <v/>
      </c>
      <c r="X88">
        <f>TRIM(SUBSTITUTE(INDEX('Loans'!$C:$C,ROW())&amp;""," "," "))</f>
        <v/>
      </c>
      <c r="Y88">
        <f>IFERROR(--INDEX('Loans'!$D:$D,ROW()),0)</f>
        <v/>
      </c>
      <c r="Z88">
        <f>IFERROR(--INDEX('Loans'!$E:$E,ROW()),0)</f>
        <v/>
      </c>
      <c r="AA88">
        <f>IFERROR(--INDEX('Loans'!$F:$F,ROW()),0)</f>
        <v/>
      </c>
      <c r="AB88">
        <f>IFERROR(IF(--INDEX('Loans'!$G:$G,ROW())&gt;=1,--INDEX('Loans'!$G:$G,ROW())/100,--INDEX('Loans'!$G:$G,ROW())),0)</f>
        <v/>
      </c>
      <c r="AC88">
        <f>TRIM(SUBSTITUTE(INDEX('Loans'!$H:$H,ROW())&amp;""," "," "))</f>
        <v/>
      </c>
      <c r="AD88">
        <f>TRIM(SUBSTITUTE(INDEX('Loans'!$I:$I,ROW())&amp;""," "," "))</f>
        <v/>
      </c>
      <c r="AE88">
        <f>IFERROR(--INDEX('Loans'!$J:$J,ROW()),0)</f>
        <v/>
      </c>
      <c r="AF88">
        <f>TRIM(SUBSTITUTE(INDEX('Loans'!$K:$K,ROW())&amp;""," "," "))</f>
        <v/>
      </c>
      <c r="AG88">
        <f>IFERROR(--INDEX('Loans'!$L:$L,ROW()),0)</f>
        <v/>
      </c>
      <c r="AH88">
        <f>IF(ISNUMBER(INDEX('Loans'!$G:$G,ROW())),1,0)</f>
        <v/>
      </c>
    </row>
    <row r="89">
      <c r="A89">
        <f>TRIM(SUBSTITUTE(INDEX('Term investments'!$A:$A,ROW())&amp;""," "," "))</f>
        <v/>
      </c>
      <c r="B89">
        <f>TRIM(SUBSTITUTE(INDEX('Term investments'!$B:$B,ROW())&amp;""," "," "))</f>
        <v/>
      </c>
      <c r="C89">
        <f>TRIM(SUBSTITUTE(INDEX('Term investments'!$C:$C,ROW())&amp;""," "," "))</f>
        <v/>
      </c>
      <c r="D89">
        <f>IFERROR(--INDEX('Term investments'!$D:$D,ROW()),0)</f>
        <v/>
      </c>
      <c r="E89">
        <f>IFERROR(--INDEX('Term investments'!$E:$E,ROW()),0)</f>
        <v/>
      </c>
      <c r="F89">
        <f>IFERROR(--INDEX('Term investments'!$F:$F,ROW()),0)</f>
        <v/>
      </c>
      <c r="G89">
        <f>IFERROR(IF(--INDEX('Term investments'!$G:$G,ROW())&gt;=1,--INDEX('Term investments'!$G:$G,ROW())/100,--INDEX('Term investments'!$G:$G,ROW())),0)</f>
        <v/>
      </c>
      <c r="H89">
        <f>IFERROR(--INDEX('Term investments'!$H:$H,ROW()),0)</f>
        <v/>
      </c>
      <c r="I89">
        <f>IF(ISNUMBER(INDEX('Term investments'!$G:$G,ROW())),1,0)</f>
        <v/>
      </c>
      <c r="J89">
        <f>TRIM(SUBSTITUTE(INDEX('Call accounts and MMFs'!$A:$A,ROW())&amp;""," "," "))</f>
        <v/>
      </c>
      <c r="K89">
        <f>TRIM(SUBSTITUTE(INDEX('Call accounts and MMFs'!$B:$B,ROW())&amp;""," "," "))</f>
        <v/>
      </c>
      <c r="L89">
        <f>TRIM(SUBSTITUTE(INDEX('Call accounts and MMFs'!$C:$C,ROW())&amp;""," "," "))</f>
        <v/>
      </c>
      <c r="M89">
        <f>IFERROR(--INDEX('Call accounts and MMFs'!$D:$D,ROW()),0)</f>
        <v/>
      </c>
      <c r="N89">
        <f>IFERROR(IF(--INDEX('Call accounts and MMFs'!$E:$E,ROW())&gt;=1,--INDEX('Call accounts and MMFs'!$E:$E,ROW())/100,--INDEX('Call accounts and MMFs'!$E:$E,ROW())),0)</f>
        <v/>
      </c>
      <c r="O89">
        <f>IFERROR(--INDEX('Call accounts and MMFs'!$F:$F,ROW()),0)</f>
        <v/>
      </c>
      <c r="P89">
        <f>IF(ISNUMBER(INDEX('Call accounts and MMFs'!$E:$E,ROW())),1,0)</f>
        <v/>
      </c>
      <c r="Q89">
        <f>TRIM(SUBSTITUTE(INDEX('Pooled funds'!$B:$B,ROW())&amp;""," "," "))</f>
        <v/>
      </c>
      <c r="R89">
        <f>IFERROR(--INDEX('Pooled funds'!$C:$C,ROW()),0)</f>
        <v/>
      </c>
      <c r="S89">
        <f>IFERROR(--INDEX('Pooled funds'!$D:$D,ROW()),0)</f>
        <v/>
      </c>
      <c r="T89">
        <f>IFERROR(IF(--INDEX('Pooled funds'!$E:$E,ROW())&gt;=1,--INDEX('Pooled funds'!$E:$E,ROW())/100,--INDEX('Pooled funds'!$E:$E,ROW())),0)</f>
        <v/>
      </c>
      <c r="U89">
        <f>IF(ISNUMBER(INDEX('Pooled funds'!$E:$E,ROW())),1,0)</f>
        <v/>
      </c>
      <c r="V89">
        <f>TRIM(SUBSTITUTE(INDEX('Loans'!$A:$A,ROW())&amp;""," "," "))</f>
        <v/>
      </c>
      <c r="W89">
        <f>TRIM(SUBSTITUTE(INDEX('Loans'!$B:$B,ROW())&amp;""," "," "))</f>
        <v/>
      </c>
      <c r="X89">
        <f>TRIM(SUBSTITUTE(INDEX('Loans'!$C:$C,ROW())&amp;""," "," "))</f>
        <v/>
      </c>
      <c r="Y89">
        <f>IFERROR(--INDEX('Loans'!$D:$D,ROW()),0)</f>
        <v/>
      </c>
      <c r="Z89">
        <f>IFERROR(--INDEX('Loans'!$E:$E,ROW()),0)</f>
        <v/>
      </c>
      <c r="AA89">
        <f>IFERROR(--INDEX('Loans'!$F:$F,ROW()),0)</f>
        <v/>
      </c>
      <c r="AB89">
        <f>IFERROR(IF(--INDEX('Loans'!$G:$G,ROW())&gt;=1,--INDEX('Loans'!$G:$G,ROW())/100,--INDEX('Loans'!$G:$G,ROW())),0)</f>
        <v/>
      </c>
      <c r="AC89">
        <f>TRIM(SUBSTITUTE(INDEX('Loans'!$H:$H,ROW())&amp;""," "," "))</f>
        <v/>
      </c>
      <c r="AD89">
        <f>TRIM(SUBSTITUTE(INDEX('Loans'!$I:$I,ROW())&amp;""," "," "))</f>
        <v/>
      </c>
      <c r="AE89">
        <f>IFERROR(--INDEX('Loans'!$J:$J,ROW()),0)</f>
        <v/>
      </c>
      <c r="AF89">
        <f>TRIM(SUBSTITUTE(INDEX('Loans'!$K:$K,ROW())&amp;""," "," "))</f>
        <v/>
      </c>
      <c r="AG89">
        <f>IFERROR(--INDEX('Loans'!$L:$L,ROW()),0)</f>
        <v/>
      </c>
      <c r="AH89">
        <f>IF(ISNUMBER(INDEX('Loans'!$G:$G,ROW())),1,0)</f>
        <v/>
      </c>
    </row>
    <row r="90">
      <c r="A90">
        <f>TRIM(SUBSTITUTE(INDEX('Term investments'!$A:$A,ROW())&amp;""," "," "))</f>
        <v/>
      </c>
      <c r="B90">
        <f>TRIM(SUBSTITUTE(INDEX('Term investments'!$B:$B,ROW())&amp;""," "," "))</f>
        <v/>
      </c>
      <c r="C90">
        <f>TRIM(SUBSTITUTE(INDEX('Term investments'!$C:$C,ROW())&amp;""," "," "))</f>
        <v/>
      </c>
      <c r="D90">
        <f>IFERROR(--INDEX('Term investments'!$D:$D,ROW()),0)</f>
        <v/>
      </c>
      <c r="E90">
        <f>IFERROR(--INDEX('Term investments'!$E:$E,ROW()),0)</f>
        <v/>
      </c>
      <c r="F90">
        <f>IFERROR(--INDEX('Term investments'!$F:$F,ROW()),0)</f>
        <v/>
      </c>
      <c r="G90">
        <f>IFERROR(IF(--INDEX('Term investments'!$G:$G,ROW())&gt;=1,--INDEX('Term investments'!$G:$G,ROW())/100,--INDEX('Term investments'!$G:$G,ROW())),0)</f>
        <v/>
      </c>
      <c r="H90">
        <f>IFERROR(--INDEX('Term investments'!$H:$H,ROW()),0)</f>
        <v/>
      </c>
      <c r="I90">
        <f>IF(ISNUMBER(INDEX('Term investments'!$G:$G,ROW())),1,0)</f>
        <v/>
      </c>
      <c r="J90">
        <f>TRIM(SUBSTITUTE(INDEX('Call accounts and MMFs'!$A:$A,ROW())&amp;""," "," "))</f>
        <v/>
      </c>
      <c r="K90">
        <f>TRIM(SUBSTITUTE(INDEX('Call accounts and MMFs'!$B:$B,ROW())&amp;""," "," "))</f>
        <v/>
      </c>
      <c r="L90">
        <f>TRIM(SUBSTITUTE(INDEX('Call accounts and MMFs'!$C:$C,ROW())&amp;""," "," "))</f>
        <v/>
      </c>
      <c r="M90">
        <f>IFERROR(--INDEX('Call accounts and MMFs'!$D:$D,ROW()),0)</f>
        <v/>
      </c>
      <c r="N90">
        <f>IFERROR(IF(--INDEX('Call accounts and MMFs'!$E:$E,ROW())&gt;=1,--INDEX('Call accounts and MMFs'!$E:$E,ROW())/100,--INDEX('Call accounts and MMFs'!$E:$E,ROW())),0)</f>
        <v/>
      </c>
      <c r="O90">
        <f>IFERROR(--INDEX('Call accounts and MMFs'!$F:$F,ROW()),0)</f>
        <v/>
      </c>
      <c r="P90">
        <f>IF(ISNUMBER(INDEX('Call accounts and MMFs'!$E:$E,ROW())),1,0)</f>
        <v/>
      </c>
      <c r="Q90">
        <f>TRIM(SUBSTITUTE(INDEX('Pooled funds'!$B:$B,ROW())&amp;""," "," "))</f>
        <v/>
      </c>
      <c r="R90">
        <f>IFERROR(--INDEX('Pooled funds'!$C:$C,ROW()),0)</f>
        <v/>
      </c>
      <c r="S90">
        <f>IFERROR(--INDEX('Pooled funds'!$D:$D,ROW()),0)</f>
        <v/>
      </c>
      <c r="T90">
        <f>IFERROR(IF(--INDEX('Pooled funds'!$E:$E,ROW())&gt;=1,--INDEX('Pooled funds'!$E:$E,ROW())/100,--INDEX('Pooled funds'!$E:$E,ROW())),0)</f>
        <v/>
      </c>
      <c r="U90">
        <f>IF(ISNUMBER(INDEX('Pooled funds'!$E:$E,ROW())),1,0)</f>
        <v/>
      </c>
      <c r="V90">
        <f>TRIM(SUBSTITUTE(INDEX('Loans'!$A:$A,ROW())&amp;""," "," "))</f>
        <v/>
      </c>
      <c r="W90">
        <f>TRIM(SUBSTITUTE(INDEX('Loans'!$B:$B,ROW())&amp;""," "," "))</f>
        <v/>
      </c>
      <c r="X90">
        <f>TRIM(SUBSTITUTE(INDEX('Loans'!$C:$C,ROW())&amp;""," "," "))</f>
        <v/>
      </c>
      <c r="Y90">
        <f>IFERROR(--INDEX('Loans'!$D:$D,ROW()),0)</f>
        <v/>
      </c>
      <c r="Z90">
        <f>IFERROR(--INDEX('Loans'!$E:$E,ROW()),0)</f>
        <v/>
      </c>
      <c r="AA90">
        <f>IFERROR(--INDEX('Loans'!$F:$F,ROW()),0)</f>
        <v/>
      </c>
      <c r="AB90">
        <f>IFERROR(IF(--INDEX('Loans'!$G:$G,ROW())&gt;=1,--INDEX('Loans'!$G:$G,ROW())/100,--INDEX('Loans'!$G:$G,ROW())),0)</f>
        <v/>
      </c>
      <c r="AC90">
        <f>TRIM(SUBSTITUTE(INDEX('Loans'!$H:$H,ROW())&amp;""," "," "))</f>
        <v/>
      </c>
      <c r="AD90">
        <f>TRIM(SUBSTITUTE(INDEX('Loans'!$I:$I,ROW())&amp;""," "," "))</f>
        <v/>
      </c>
      <c r="AE90">
        <f>IFERROR(--INDEX('Loans'!$J:$J,ROW()),0)</f>
        <v/>
      </c>
      <c r="AF90">
        <f>TRIM(SUBSTITUTE(INDEX('Loans'!$K:$K,ROW())&amp;""," "," "))</f>
        <v/>
      </c>
      <c r="AG90">
        <f>IFERROR(--INDEX('Loans'!$L:$L,ROW()),0)</f>
        <v/>
      </c>
      <c r="AH90">
        <f>IF(ISNUMBER(INDEX('Loans'!$G:$G,ROW())),1,0)</f>
        <v/>
      </c>
    </row>
    <row r="91">
      <c r="A91">
        <f>TRIM(SUBSTITUTE(INDEX('Term investments'!$A:$A,ROW())&amp;""," "," "))</f>
        <v/>
      </c>
      <c r="B91">
        <f>TRIM(SUBSTITUTE(INDEX('Term investments'!$B:$B,ROW())&amp;""," "," "))</f>
        <v/>
      </c>
      <c r="C91">
        <f>TRIM(SUBSTITUTE(INDEX('Term investments'!$C:$C,ROW())&amp;""," "," "))</f>
        <v/>
      </c>
      <c r="D91">
        <f>IFERROR(--INDEX('Term investments'!$D:$D,ROW()),0)</f>
        <v/>
      </c>
      <c r="E91">
        <f>IFERROR(--INDEX('Term investments'!$E:$E,ROW()),0)</f>
        <v/>
      </c>
      <c r="F91">
        <f>IFERROR(--INDEX('Term investments'!$F:$F,ROW()),0)</f>
        <v/>
      </c>
      <c r="G91">
        <f>IFERROR(IF(--INDEX('Term investments'!$G:$G,ROW())&gt;=1,--INDEX('Term investments'!$G:$G,ROW())/100,--INDEX('Term investments'!$G:$G,ROW())),0)</f>
        <v/>
      </c>
      <c r="H91">
        <f>IFERROR(--INDEX('Term investments'!$H:$H,ROW()),0)</f>
        <v/>
      </c>
      <c r="I91">
        <f>IF(ISNUMBER(INDEX('Term investments'!$G:$G,ROW())),1,0)</f>
        <v/>
      </c>
      <c r="J91">
        <f>TRIM(SUBSTITUTE(INDEX('Call accounts and MMFs'!$A:$A,ROW())&amp;""," "," "))</f>
        <v/>
      </c>
      <c r="K91">
        <f>TRIM(SUBSTITUTE(INDEX('Call accounts and MMFs'!$B:$B,ROW())&amp;""," "," "))</f>
        <v/>
      </c>
      <c r="L91">
        <f>TRIM(SUBSTITUTE(INDEX('Call accounts and MMFs'!$C:$C,ROW())&amp;""," "," "))</f>
        <v/>
      </c>
      <c r="M91">
        <f>IFERROR(--INDEX('Call accounts and MMFs'!$D:$D,ROW()),0)</f>
        <v/>
      </c>
      <c r="N91">
        <f>IFERROR(IF(--INDEX('Call accounts and MMFs'!$E:$E,ROW())&gt;=1,--INDEX('Call accounts and MMFs'!$E:$E,ROW())/100,--INDEX('Call accounts and MMFs'!$E:$E,ROW())),0)</f>
        <v/>
      </c>
      <c r="O91">
        <f>IFERROR(--INDEX('Call accounts and MMFs'!$F:$F,ROW()),0)</f>
        <v/>
      </c>
      <c r="P91">
        <f>IF(ISNUMBER(INDEX('Call accounts and MMFs'!$E:$E,ROW())),1,0)</f>
        <v/>
      </c>
      <c r="Q91">
        <f>TRIM(SUBSTITUTE(INDEX('Pooled funds'!$B:$B,ROW())&amp;""," "," "))</f>
        <v/>
      </c>
      <c r="R91">
        <f>IFERROR(--INDEX('Pooled funds'!$C:$C,ROW()),0)</f>
        <v/>
      </c>
      <c r="S91">
        <f>IFERROR(--INDEX('Pooled funds'!$D:$D,ROW()),0)</f>
        <v/>
      </c>
      <c r="T91">
        <f>IFERROR(IF(--INDEX('Pooled funds'!$E:$E,ROW())&gt;=1,--INDEX('Pooled funds'!$E:$E,ROW())/100,--INDEX('Pooled funds'!$E:$E,ROW())),0)</f>
        <v/>
      </c>
      <c r="U91">
        <f>IF(ISNUMBER(INDEX('Pooled funds'!$E:$E,ROW())),1,0)</f>
        <v/>
      </c>
      <c r="V91">
        <f>TRIM(SUBSTITUTE(INDEX('Loans'!$A:$A,ROW())&amp;""," "," "))</f>
        <v/>
      </c>
      <c r="W91">
        <f>TRIM(SUBSTITUTE(INDEX('Loans'!$B:$B,ROW())&amp;""," "," "))</f>
        <v/>
      </c>
      <c r="X91">
        <f>TRIM(SUBSTITUTE(INDEX('Loans'!$C:$C,ROW())&amp;""," "," "))</f>
        <v/>
      </c>
      <c r="Y91">
        <f>IFERROR(--INDEX('Loans'!$D:$D,ROW()),0)</f>
        <v/>
      </c>
      <c r="Z91">
        <f>IFERROR(--INDEX('Loans'!$E:$E,ROW()),0)</f>
        <v/>
      </c>
      <c r="AA91">
        <f>IFERROR(--INDEX('Loans'!$F:$F,ROW()),0)</f>
        <v/>
      </c>
      <c r="AB91">
        <f>IFERROR(IF(--INDEX('Loans'!$G:$G,ROW())&gt;=1,--INDEX('Loans'!$G:$G,ROW())/100,--INDEX('Loans'!$G:$G,ROW())),0)</f>
        <v/>
      </c>
      <c r="AC91">
        <f>TRIM(SUBSTITUTE(INDEX('Loans'!$H:$H,ROW())&amp;""," "," "))</f>
        <v/>
      </c>
      <c r="AD91">
        <f>TRIM(SUBSTITUTE(INDEX('Loans'!$I:$I,ROW())&amp;""," "," "))</f>
        <v/>
      </c>
      <c r="AE91">
        <f>IFERROR(--INDEX('Loans'!$J:$J,ROW()),0)</f>
        <v/>
      </c>
      <c r="AF91">
        <f>TRIM(SUBSTITUTE(INDEX('Loans'!$K:$K,ROW())&amp;""," "," "))</f>
        <v/>
      </c>
      <c r="AG91">
        <f>IFERROR(--INDEX('Loans'!$L:$L,ROW()),0)</f>
        <v/>
      </c>
      <c r="AH91">
        <f>IF(ISNUMBER(INDEX('Loans'!$G:$G,ROW())),1,0)</f>
        <v/>
      </c>
    </row>
    <row r="92">
      <c r="A92">
        <f>TRIM(SUBSTITUTE(INDEX('Term investments'!$A:$A,ROW())&amp;""," "," "))</f>
        <v/>
      </c>
      <c r="B92">
        <f>TRIM(SUBSTITUTE(INDEX('Term investments'!$B:$B,ROW())&amp;""," "," "))</f>
        <v/>
      </c>
      <c r="C92">
        <f>TRIM(SUBSTITUTE(INDEX('Term investments'!$C:$C,ROW())&amp;""," "," "))</f>
        <v/>
      </c>
      <c r="D92">
        <f>IFERROR(--INDEX('Term investments'!$D:$D,ROW()),0)</f>
        <v/>
      </c>
      <c r="E92">
        <f>IFERROR(--INDEX('Term investments'!$E:$E,ROW()),0)</f>
        <v/>
      </c>
      <c r="F92">
        <f>IFERROR(--INDEX('Term investments'!$F:$F,ROW()),0)</f>
        <v/>
      </c>
      <c r="G92">
        <f>IFERROR(IF(--INDEX('Term investments'!$G:$G,ROW())&gt;=1,--INDEX('Term investments'!$G:$G,ROW())/100,--INDEX('Term investments'!$G:$G,ROW())),0)</f>
        <v/>
      </c>
      <c r="H92">
        <f>IFERROR(--INDEX('Term investments'!$H:$H,ROW()),0)</f>
        <v/>
      </c>
      <c r="I92">
        <f>IF(ISNUMBER(INDEX('Term investments'!$G:$G,ROW())),1,0)</f>
        <v/>
      </c>
      <c r="J92">
        <f>TRIM(SUBSTITUTE(INDEX('Call accounts and MMFs'!$A:$A,ROW())&amp;""," "," "))</f>
        <v/>
      </c>
      <c r="K92">
        <f>TRIM(SUBSTITUTE(INDEX('Call accounts and MMFs'!$B:$B,ROW())&amp;""," "," "))</f>
        <v/>
      </c>
      <c r="L92">
        <f>TRIM(SUBSTITUTE(INDEX('Call accounts and MMFs'!$C:$C,ROW())&amp;""," "," "))</f>
        <v/>
      </c>
      <c r="M92">
        <f>IFERROR(--INDEX('Call accounts and MMFs'!$D:$D,ROW()),0)</f>
        <v/>
      </c>
      <c r="N92">
        <f>IFERROR(IF(--INDEX('Call accounts and MMFs'!$E:$E,ROW())&gt;=1,--INDEX('Call accounts and MMFs'!$E:$E,ROW())/100,--INDEX('Call accounts and MMFs'!$E:$E,ROW())),0)</f>
        <v/>
      </c>
      <c r="O92">
        <f>IFERROR(--INDEX('Call accounts and MMFs'!$F:$F,ROW()),0)</f>
        <v/>
      </c>
      <c r="P92">
        <f>IF(ISNUMBER(INDEX('Call accounts and MMFs'!$E:$E,ROW())),1,0)</f>
        <v/>
      </c>
      <c r="Q92">
        <f>TRIM(SUBSTITUTE(INDEX('Pooled funds'!$B:$B,ROW())&amp;""," "," "))</f>
        <v/>
      </c>
      <c r="R92">
        <f>IFERROR(--INDEX('Pooled funds'!$C:$C,ROW()),0)</f>
        <v/>
      </c>
      <c r="S92">
        <f>IFERROR(--INDEX('Pooled funds'!$D:$D,ROW()),0)</f>
        <v/>
      </c>
      <c r="T92">
        <f>IFERROR(IF(--INDEX('Pooled funds'!$E:$E,ROW())&gt;=1,--INDEX('Pooled funds'!$E:$E,ROW())/100,--INDEX('Pooled funds'!$E:$E,ROW())),0)</f>
        <v/>
      </c>
      <c r="U92">
        <f>IF(ISNUMBER(INDEX('Pooled funds'!$E:$E,ROW())),1,0)</f>
        <v/>
      </c>
      <c r="V92">
        <f>TRIM(SUBSTITUTE(INDEX('Loans'!$A:$A,ROW())&amp;""," "," "))</f>
        <v/>
      </c>
      <c r="W92">
        <f>TRIM(SUBSTITUTE(INDEX('Loans'!$B:$B,ROW())&amp;""," "," "))</f>
        <v/>
      </c>
      <c r="X92">
        <f>TRIM(SUBSTITUTE(INDEX('Loans'!$C:$C,ROW())&amp;""," "," "))</f>
        <v/>
      </c>
      <c r="Y92">
        <f>IFERROR(--INDEX('Loans'!$D:$D,ROW()),0)</f>
        <v/>
      </c>
      <c r="Z92">
        <f>IFERROR(--INDEX('Loans'!$E:$E,ROW()),0)</f>
        <v/>
      </c>
      <c r="AA92">
        <f>IFERROR(--INDEX('Loans'!$F:$F,ROW()),0)</f>
        <v/>
      </c>
      <c r="AB92">
        <f>IFERROR(IF(--INDEX('Loans'!$G:$G,ROW())&gt;=1,--INDEX('Loans'!$G:$G,ROW())/100,--INDEX('Loans'!$G:$G,ROW())),0)</f>
        <v/>
      </c>
      <c r="AC92">
        <f>TRIM(SUBSTITUTE(INDEX('Loans'!$H:$H,ROW())&amp;""," "," "))</f>
        <v/>
      </c>
      <c r="AD92">
        <f>TRIM(SUBSTITUTE(INDEX('Loans'!$I:$I,ROW())&amp;""," "," "))</f>
        <v/>
      </c>
      <c r="AE92">
        <f>IFERROR(--INDEX('Loans'!$J:$J,ROW()),0)</f>
        <v/>
      </c>
      <c r="AF92">
        <f>TRIM(SUBSTITUTE(INDEX('Loans'!$K:$K,ROW())&amp;""," "," "))</f>
        <v/>
      </c>
      <c r="AG92">
        <f>IFERROR(--INDEX('Loans'!$L:$L,ROW()),0)</f>
        <v/>
      </c>
      <c r="AH92">
        <f>IF(ISNUMBER(INDEX('Loans'!$G:$G,ROW())),1,0)</f>
        <v/>
      </c>
    </row>
    <row r="93">
      <c r="A93">
        <f>TRIM(SUBSTITUTE(INDEX('Term investments'!$A:$A,ROW())&amp;""," "," "))</f>
        <v/>
      </c>
      <c r="B93">
        <f>TRIM(SUBSTITUTE(INDEX('Term investments'!$B:$B,ROW())&amp;""," "," "))</f>
        <v/>
      </c>
      <c r="C93">
        <f>TRIM(SUBSTITUTE(INDEX('Term investments'!$C:$C,ROW())&amp;""," "," "))</f>
        <v/>
      </c>
      <c r="D93">
        <f>IFERROR(--INDEX('Term investments'!$D:$D,ROW()),0)</f>
        <v/>
      </c>
      <c r="E93">
        <f>IFERROR(--INDEX('Term investments'!$E:$E,ROW()),0)</f>
        <v/>
      </c>
      <c r="F93">
        <f>IFERROR(--INDEX('Term investments'!$F:$F,ROW()),0)</f>
        <v/>
      </c>
      <c r="G93">
        <f>IFERROR(IF(--INDEX('Term investments'!$G:$G,ROW())&gt;=1,--INDEX('Term investments'!$G:$G,ROW())/100,--INDEX('Term investments'!$G:$G,ROW())),0)</f>
        <v/>
      </c>
      <c r="H93">
        <f>IFERROR(--INDEX('Term investments'!$H:$H,ROW()),0)</f>
        <v/>
      </c>
      <c r="I93">
        <f>IF(ISNUMBER(INDEX('Term investments'!$G:$G,ROW())),1,0)</f>
        <v/>
      </c>
      <c r="J93">
        <f>TRIM(SUBSTITUTE(INDEX('Call accounts and MMFs'!$A:$A,ROW())&amp;""," "," "))</f>
        <v/>
      </c>
      <c r="K93">
        <f>TRIM(SUBSTITUTE(INDEX('Call accounts and MMFs'!$B:$B,ROW())&amp;""," "," "))</f>
        <v/>
      </c>
      <c r="L93">
        <f>TRIM(SUBSTITUTE(INDEX('Call accounts and MMFs'!$C:$C,ROW())&amp;""," "," "))</f>
        <v/>
      </c>
      <c r="M93">
        <f>IFERROR(--INDEX('Call accounts and MMFs'!$D:$D,ROW()),0)</f>
        <v/>
      </c>
      <c r="N93">
        <f>IFERROR(IF(--INDEX('Call accounts and MMFs'!$E:$E,ROW())&gt;=1,--INDEX('Call accounts and MMFs'!$E:$E,ROW())/100,--INDEX('Call accounts and MMFs'!$E:$E,ROW())),0)</f>
        <v/>
      </c>
      <c r="O93">
        <f>IFERROR(--INDEX('Call accounts and MMFs'!$F:$F,ROW()),0)</f>
        <v/>
      </c>
      <c r="P93">
        <f>IF(ISNUMBER(INDEX('Call accounts and MMFs'!$E:$E,ROW())),1,0)</f>
        <v/>
      </c>
      <c r="Q93">
        <f>TRIM(SUBSTITUTE(INDEX('Pooled funds'!$B:$B,ROW())&amp;""," "," "))</f>
        <v/>
      </c>
      <c r="R93">
        <f>IFERROR(--INDEX('Pooled funds'!$C:$C,ROW()),0)</f>
        <v/>
      </c>
      <c r="S93">
        <f>IFERROR(--INDEX('Pooled funds'!$D:$D,ROW()),0)</f>
        <v/>
      </c>
      <c r="T93">
        <f>IFERROR(IF(--INDEX('Pooled funds'!$E:$E,ROW())&gt;=1,--INDEX('Pooled funds'!$E:$E,ROW())/100,--INDEX('Pooled funds'!$E:$E,ROW())),0)</f>
        <v/>
      </c>
      <c r="U93">
        <f>IF(ISNUMBER(INDEX('Pooled funds'!$E:$E,ROW())),1,0)</f>
        <v/>
      </c>
      <c r="V93">
        <f>TRIM(SUBSTITUTE(INDEX('Loans'!$A:$A,ROW())&amp;""," "," "))</f>
        <v/>
      </c>
      <c r="W93">
        <f>TRIM(SUBSTITUTE(INDEX('Loans'!$B:$B,ROW())&amp;""," "," "))</f>
        <v/>
      </c>
      <c r="X93">
        <f>TRIM(SUBSTITUTE(INDEX('Loans'!$C:$C,ROW())&amp;""," "," "))</f>
        <v/>
      </c>
      <c r="Y93">
        <f>IFERROR(--INDEX('Loans'!$D:$D,ROW()),0)</f>
        <v/>
      </c>
      <c r="Z93">
        <f>IFERROR(--INDEX('Loans'!$E:$E,ROW()),0)</f>
        <v/>
      </c>
      <c r="AA93">
        <f>IFERROR(--INDEX('Loans'!$F:$F,ROW()),0)</f>
        <v/>
      </c>
      <c r="AB93">
        <f>IFERROR(IF(--INDEX('Loans'!$G:$G,ROW())&gt;=1,--INDEX('Loans'!$G:$G,ROW())/100,--INDEX('Loans'!$G:$G,ROW())),0)</f>
        <v/>
      </c>
      <c r="AC93">
        <f>TRIM(SUBSTITUTE(INDEX('Loans'!$H:$H,ROW())&amp;""," "," "))</f>
        <v/>
      </c>
      <c r="AD93">
        <f>TRIM(SUBSTITUTE(INDEX('Loans'!$I:$I,ROW())&amp;""," "," "))</f>
        <v/>
      </c>
      <c r="AE93">
        <f>IFERROR(--INDEX('Loans'!$J:$J,ROW()),0)</f>
        <v/>
      </c>
      <c r="AF93">
        <f>TRIM(SUBSTITUTE(INDEX('Loans'!$K:$K,ROW())&amp;""," "," "))</f>
        <v/>
      </c>
      <c r="AG93">
        <f>IFERROR(--INDEX('Loans'!$L:$L,ROW()),0)</f>
        <v/>
      </c>
      <c r="AH93">
        <f>IF(ISNUMBER(INDEX('Loans'!$G:$G,ROW())),1,0)</f>
        <v/>
      </c>
    </row>
    <row r="94">
      <c r="A94">
        <f>TRIM(SUBSTITUTE(INDEX('Term investments'!$A:$A,ROW())&amp;""," "," "))</f>
        <v/>
      </c>
      <c r="B94">
        <f>TRIM(SUBSTITUTE(INDEX('Term investments'!$B:$B,ROW())&amp;""," "," "))</f>
        <v/>
      </c>
      <c r="C94">
        <f>TRIM(SUBSTITUTE(INDEX('Term investments'!$C:$C,ROW())&amp;""," "," "))</f>
        <v/>
      </c>
      <c r="D94">
        <f>IFERROR(--INDEX('Term investments'!$D:$D,ROW()),0)</f>
        <v/>
      </c>
      <c r="E94">
        <f>IFERROR(--INDEX('Term investments'!$E:$E,ROW()),0)</f>
        <v/>
      </c>
      <c r="F94">
        <f>IFERROR(--INDEX('Term investments'!$F:$F,ROW()),0)</f>
        <v/>
      </c>
      <c r="G94">
        <f>IFERROR(IF(--INDEX('Term investments'!$G:$G,ROW())&gt;=1,--INDEX('Term investments'!$G:$G,ROW())/100,--INDEX('Term investments'!$G:$G,ROW())),0)</f>
        <v/>
      </c>
      <c r="H94">
        <f>IFERROR(--INDEX('Term investments'!$H:$H,ROW()),0)</f>
        <v/>
      </c>
      <c r="I94">
        <f>IF(ISNUMBER(INDEX('Term investments'!$G:$G,ROW())),1,0)</f>
        <v/>
      </c>
      <c r="J94">
        <f>TRIM(SUBSTITUTE(INDEX('Call accounts and MMFs'!$A:$A,ROW())&amp;""," "," "))</f>
        <v/>
      </c>
      <c r="K94">
        <f>TRIM(SUBSTITUTE(INDEX('Call accounts and MMFs'!$B:$B,ROW())&amp;""," "," "))</f>
        <v/>
      </c>
      <c r="L94">
        <f>TRIM(SUBSTITUTE(INDEX('Call accounts and MMFs'!$C:$C,ROW())&amp;""," "," "))</f>
        <v/>
      </c>
      <c r="M94">
        <f>IFERROR(--INDEX('Call accounts and MMFs'!$D:$D,ROW()),0)</f>
        <v/>
      </c>
      <c r="N94">
        <f>IFERROR(IF(--INDEX('Call accounts and MMFs'!$E:$E,ROW())&gt;=1,--INDEX('Call accounts and MMFs'!$E:$E,ROW())/100,--INDEX('Call accounts and MMFs'!$E:$E,ROW())),0)</f>
        <v/>
      </c>
      <c r="O94">
        <f>IFERROR(--INDEX('Call accounts and MMFs'!$F:$F,ROW()),0)</f>
        <v/>
      </c>
      <c r="P94">
        <f>IF(ISNUMBER(INDEX('Call accounts and MMFs'!$E:$E,ROW())),1,0)</f>
        <v/>
      </c>
      <c r="Q94">
        <f>TRIM(SUBSTITUTE(INDEX('Pooled funds'!$B:$B,ROW())&amp;""," "," "))</f>
        <v/>
      </c>
      <c r="R94">
        <f>IFERROR(--INDEX('Pooled funds'!$C:$C,ROW()),0)</f>
        <v/>
      </c>
      <c r="S94">
        <f>IFERROR(--INDEX('Pooled funds'!$D:$D,ROW()),0)</f>
        <v/>
      </c>
      <c r="T94">
        <f>IFERROR(IF(--INDEX('Pooled funds'!$E:$E,ROW())&gt;=1,--INDEX('Pooled funds'!$E:$E,ROW())/100,--INDEX('Pooled funds'!$E:$E,ROW())),0)</f>
        <v/>
      </c>
      <c r="U94">
        <f>IF(ISNUMBER(INDEX('Pooled funds'!$E:$E,ROW())),1,0)</f>
        <v/>
      </c>
      <c r="V94">
        <f>TRIM(SUBSTITUTE(INDEX('Loans'!$A:$A,ROW())&amp;""," "," "))</f>
        <v/>
      </c>
      <c r="W94">
        <f>TRIM(SUBSTITUTE(INDEX('Loans'!$B:$B,ROW())&amp;""," "," "))</f>
        <v/>
      </c>
      <c r="X94">
        <f>TRIM(SUBSTITUTE(INDEX('Loans'!$C:$C,ROW())&amp;""," "," "))</f>
        <v/>
      </c>
      <c r="Y94">
        <f>IFERROR(--INDEX('Loans'!$D:$D,ROW()),0)</f>
        <v/>
      </c>
      <c r="Z94">
        <f>IFERROR(--INDEX('Loans'!$E:$E,ROW()),0)</f>
        <v/>
      </c>
      <c r="AA94">
        <f>IFERROR(--INDEX('Loans'!$F:$F,ROW()),0)</f>
        <v/>
      </c>
      <c r="AB94">
        <f>IFERROR(IF(--INDEX('Loans'!$G:$G,ROW())&gt;=1,--INDEX('Loans'!$G:$G,ROW())/100,--INDEX('Loans'!$G:$G,ROW())),0)</f>
        <v/>
      </c>
      <c r="AC94">
        <f>TRIM(SUBSTITUTE(INDEX('Loans'!$H:$H,ROW())&amp;""," "," "))</f>
        <v/>
      </c>
      <c r="AD94">
        <f>TRIM(SUBSTITUTE(INDEX('Loans'!$I:$I,ROW())&amp;""," "," "))</f>
        <v/>
      </c>
      <c r="AE94">
        <f>IFERROR(--INDEX('Loans'!$J:$J,ROW()),0)</f>
        <v/>
      </c>
      <c r="AF94">
        <f>TRIM(SUBSTITUTE(INDEX('Loans'!$K:$K,ROW())&amp;""," "," "))</f>
        <v/>
      </c>
      <c r="AG94">
        <f>IFERROR(--INDEX('Loans'!$L:$L,ROW()),0)</f>
        <v/>
      </c>
      <c r="AH94">
        <f>IF(ISNUMBER(INDEX('Loans'!$G:$G,ROW())),1,0)</f>
        <v/>
      </c>
    </row>
    <row r="95">
      <c r="A95">
        <f>TRIM(SUBSTITUTE(INDEX('Term investments'!$A:$A,ROW())&amp;""," "," "))</f>
        <v/>
      </c>
      <c r="B95">
        <f>TRIM(SUBSTITUTE(INDEX('Term investments'!$B:$B,ROW())&amp;""," "," "))</f>
        <v/>
      </c>
      <c r="C95">
        <f>TRIM(SUBSTITUTE(INDEX('Term investments'!$C:$C,ROW())&amp;""," "," "))</f>
        <v/>
      </c>
      <c r="D95">
        <f>IFERROR(--INDEX('Term investments'!$D:$D,ROW()),0)</f>
        <v/>
      </c>
      <c r="E95">
        <f>IFERROR(--INDEX('Term investments'!$E:$E,ROW()),0)</f>
        <v/>
      </c>
      <c r="F95">
        <f>IFERROR(--INDEX('Term investments'!$F:$F,ROW()),0)</f>
        <v/>
      </c>
      <c r="G95">
        <f>IFERROR(IF(--INDEX('Term investments'!$G:$G,ROW())&gt;=1,--INDEX('Term investments'!$G:$G,ROW())/100,--INDEX('Term investments'!$G:$G,ROW())),0)</f>
        <v/>
      </c>
      <c r="H95">
        <f>IFERROR(--INDEX('Term investments'!$H:$H,ROW()),0)</f>
        <v/>
      </c>
      <c r="I95">
        <f>IF(ISNUMBER(INDEX('Term investments'!$G:$G,ROW())),1,0)</f>
        <v/>
      </c>
      <c r="J95">
        <f>TRIM(SUBSTITUTE(INDEX('Call accounts and MMFs'!$A:$A,ROW())&amp;""," "," "))</f>
        <v/>
      </c>
      <c r="K95">
        <f>TRIM(SUBSTITUTE(INDEX('Call accounts and MMFs'!$B:$B,ROW())&amp;""," "," "))</f>
        <v/>
      </c>
      <c r="L95">
        <f>TRIM(SUBSTITUTE(INDEX('Call accounts and MMFs'!$C:$C,ROW())&amp;""," "," "))</f>
        <v/>
      </c>
      <c r="M95">
        <f>IFERROR(--INDEX('Call accounts and MMFs'!$D:$D,ROW()),0)</f>
        <v/>
      </c>
      <c r="N95">
        <f>IFERROR(IF(--INDEX('Call accounts and MMFs'!$E:$E,ROW())&gt;=1,--INDEX('Call accounts and MMFs'!$E:$E,ROW())/100,--INDEX('Call accounts and MMFs'!$E:$E,ROW())),0)</f>
        <v/>
      </c>
      <c r="O95">
        <f>IFERROR(--INDEX('Call accounts and MMFs'!$F:$F,ROW()),0)</f>
        <v/>
      </c>
      <c r="P95">
        <f>IF(ISNUMBER(INDEX('Call accounts and MMFs'!$E:$E,ROW())),1,0)</f>
        <v/>
      </c>
      <c r="Q95">
        <f>TRIM(SUBSTITUTE(INDEX('Pooled funds'!$B:$B,ROW())&amp;""," "," "))</f>
        <v/>
      </c>
      <c r="R95">
        <f>IFERROR(--INDEX('Pooled funds'!$C:$C,ROW()),0)</f>
        <v/>
      </c>
      <c r="S95">
        <f>IFERROR(--INDEX('Pooled funds'!$D:$D,ROW()),0)</f>
        <v/>
      </c>
      <c r="T95">
        <f>IFERROR(IF(--INDEX('Pooled funds'!$E:$E,ROW())&gt;=1,--INDEX('Pooled funds'!$E:$E,ROW())/100,--INDEX('Pooled funds'!$E:$E,ROW())),0)</f>
        <v/>
      </c>
      <c r="U95">
        <f>IF(ISNUMBER(INDEX('Pooled funds'!$E:$E,ROW())),1,0)</f>
        <v/>
      </c>
      <c r="V95">
        <f>TRIM(SUBSTITUTE(INDEX('Loans'!$A:$A,ROW())&amp;""," "," "))</f>
        <v/>
      </c>
      <c r="W95">
        <f>TRIM(SUBSTITUTE(INDEX('Loans'!$B:$B,ROW())&amp;""," "," "))</f>
        <v/>
      </c>
      <c r="X95">
        <f>TRIM(SUBSTITUTE(INDEX('Loans'!$C:$C,ROW())&amp;""," "," "))</f>
        <v/>
      </c>
      <c r="Y95">
        <f>IFERROR(--INDEX('Loans'!$D:$D,ROW()),0)</f>
        <v/>
      </c>
      <c r="Z95">
        <f>IFERROR(--INDEX('Loans'!$E:$E,ROW()),0)</f>
        <v/>
      </c>
      <c r="AA95">
        <f>IFERROR(--INDEX('Loans'!$F:$F,ROW()),0)</f>
        <v/>
      </c>
      <c r="AB95">
        <f>IFERROR(IF(--INDEX('Loans'!$G:$G,ROW())&gt;=1,--INDEX('Loans'!$G:$G,ROW())/100,--INDEX('Loans'!$G:$G,ROW())),0)</f>
        <v/>
      </c>
      <c r="AC95">
        <f>TRIM(SUBSTITUTE(INDEX('Loans'!$H:$H,ROW())&amp;""," "," "))</f>
        <v/>
      </c>
      <c r="AD95">
        <f>TRIM(SUBSTITUTE(INDEX('Loans'!$I:$I,ROW())&amp;""," "," "))</f>
        <v/>
      </c>
      <c r="AE95">
        <f>IFERROR(--INDEX('Loans'!$J:$J,ROW()),0)</f>
        <v/>
      </c>
      <c r="AF95">
        <f>TRIM(SUBSTITUTE(INDEX('Loans'!$K:$K,ROW())&amp;""," "," "))</f>
        <v/>
      </c>
      <c r="AG95">
        <f>IFERROR(--INDEX('Loans'!$L:$L,ROW()),0)</f>
        <v/>
      </c>
      <c r="AH95">
        <f>IF(ISNUMBER(INDEX('Loans'!$G:$G,ROW())),1,0)</f>
        <v/>
      </c>
    </row>
    <row r="96">
      <c r="A96">
        <f>TRIM(SUBSTITUTE(INDEX('Term investments'!$A:$A,ROW())&amp;""," "," "))</f>
        <v/>
      </c>
      <c r="B96">
        <f>TRIM(SUBSTITUTE(INDEX('Term investments'!$B:$B,ROW())&amp;""," "," "))</f>
        <v/>
      </c>
      <c r="C96">
        <f>TRIM(SUBSTITUTE(INDEX('Term investments'!$C:$C,ROW())&amp;""," "," "))</f>
        <v/>
      </c>
      <c r="D96">
        <f>IFERROR(--INDEX('Term investments'!$D:$D,ROW()),0)</f>
        <v/>
      </c>
      <c r="E96">
        <f>IFERROR(--INDEX('Term investments'!$E:$E,ROW()),0)</f>
        <v/>
      </c>
      <c r="F96">
        <f>IFERROR(--INDEX('Term investments'!$F:$F,ROW()),0)</f>
        <v/>
      </c>
      <c r="G96">
        <f>IFERROR(IF(--INDEX('Term investments'!$G:$G,ROW())&gt;=1,--INDEX('Term investments'!$G:$G,ROW())/100,--INDEX('Term investments'!$G:$G,ROW())),0)</f>
        <v/>
      </c>
      <c r="H96">
        <f>IFERROR(--INDEX('Term investments'!$H:$H,ROW()),0)</f>
        <v/>
      </c>
      <c r="I96">
        <f>IF(ISNUMBER(INDEX('Term investments'!$G:$G,ROW())),1,0)</f>
        <v/>
      </c>
      <c r="J96">
        <f>TRIM(SUBSTITUTE(INDEX('Call accounts and MMFs'!$A:$A,ROW())&amp;""," "," "))</f>
        <v/>
      </c>
      <c r="K96">
        <f>TRIM(SUBSTITUTE(INDEX('Call accounts and MMFs'!$B:$B,ROW())&amp;""," "," "))</f>
        <v/>
      </c>
      <c r="L96">
        <f>TRIM(SUBSTITUTE(INDEX('Call accounts and MMFs'!$C:$C,ROW())&amp;""," "," "))</f>
        <v/>
      </c>
      <c r="M96">
        <f>IFERROR(--INDEX('Call accounts and MMFs'!$D:$D,ROW()),0)</f>
        <v/>
      </c>
      <c r="N96">
        <f>IFERROR(IF(--INDEX('Call accounts and MMFs'!$E:$E,ROW())&gt;=1,--INDEX('Call accounts and MMFs'!$E:$E,ROW())/100,--INDEX('Call accounts and MMFs'!$E:$E,ROW())),0)</f>
        <v/>
      </c>
      <c r="O96">
        <f>IFERROR(--INDEX('Call accounts and MMFs'!$F:$F,ROW()),0)</f>
        <v/>
      </c>
      <c r="P96">
        <f>IF(ISNUMBER(INDEX('Call accounts and MMFs'!$E:$E,ROW())),1,0)</f>
        <v/>
      </c>
      <c r="Q96">
        <f>TRIM(SUBSTITUTE(INDEX('Pooled funds'!$B:$B,ROW())&amp;""," "," "))</f>
        <v/>
      </c>
      <c r="R96">
        <f>IFERROR(--INDEX('Pooled funds'!$C:$C,ROW()),0)</f>
        <v/>
      </c>
      <c r="S96">
        <f>IFERROR(--INDEX('Pooled funds'!$D:$D,ROW()),0)</f>
        <v/>
      </c>
      <c r="T96">
        <f>IFERROR(IF(--INDEX('Pooled funds'!$E:$E,ROW())&gt;=1,--INDEX('Pooled funds'!$E:$E,ROW())/100,--INDEX('Pooled funds'!$E:$E,ROW())),0)</f>
        <v/>
      </c>
      <c r="U96">
        <f>IF(ISNUMBER(INDEX('Pooled funds'!$E:$E,ROW())),1,0)</f>
        <v/>
      </c>
      <c r="V96">
        <f>TRIM(SUBSTITUTE(INDEX('Loans'!$A:$A,ROW())&amp;""," "," "))</f>
        <v/>
      </c>
      <c r="W96">
        <f>TRIM(SUBSTITUTE(INDEX('Loans'!$B:$B,ROW())&amp;""," "," "))</f>
        <v/>
      </c>
      <c r="X96">
        <f>TRIM(SUBSTITUTE(INDEX('Loans'!$C:$C,ROW())&amp;""," "," "))</f>
        <v/>
      </c>
      <c r="Y96">
        <f>IFERROR(--INDEX('Loans'!$D:$D,ROW()),0)</f>
        <v/>
      </c>
      <c r="Z96">
        <f>IFERROR(--INDEX('Loans'!$E:$E,ROW()),0)</f>
        <v/>
      </c>
      <c r="AA96">
        <f>IFERROR(--INDEX('Loans'!$F:$F,ROW()),0)</f>
        <v/>
      </c>
      <c r="AB96">
        <f>IFERROR(IF(--INDEX('Loans'!$G:$G,ROW())&gt;=1,--INDEX('Loans'!$G:$G,ROW())/100,--INDEX('Loans'!$G:$G,ROW())),0)</f>
        <v/>
      </c>
      <c r="AC96">
        <f>TRIM(SUBSTITUTE(INDEX('Loans'!$H:$H,ROW())&amp;""," "," "))</f>
        <v/>
      </c>
      <c r="AD96">
        <f>TRIM(SUBSTITUTE(INDEX('Loans'!$I:$I,ROW())&amp;""," "," "))</f>
        <v/>
      </c>
      <c r="AE96">
        <f>IFERROR(--INDEX('Loans'!$J:$J,ROW()),0)</f>
        <v/>
      </c>
      <c r="AF96">
        <f>TRIM(SUBSTITUTE(INDEX('Loans'!$K:$K,ROW())&amp;""," "," "))</f>
        <v/>
      </c>
      <c r="AG96">
        <f>IFERROR(--INDEX('Loans'!$L:$L,ROW()),0)</f>
        <v/>
      </c>
      <c r="AH96">
        <f>IF(ISNUMBER(INDEX('Loans'!$G:$G,ROW())),1,0)</f>
        <v/>
      </c>
    </row>
    <row r="97">
      <c r="A97">
        <f>TRIM(SUBSTITUTE(INDEX('Term investments'!$A:$A,ROW())&amp;""," "," "))</f>
        <v/>
      </c>
      <c r="B97">
        <f>TRIM(SUBSTITUTE(INDEX('Term investments'!$B:$B,ROW())&amp;""," "," "))</f>
        <v/>
      </c>
      <c r="C97">
        <f>TRIM(SUBSTITUTE(INDEX('Term investments'!$C:$C,ROW())&amp;""," "," "))</f>
        <v/>
      </c>
      <c r="D97">
        <f>IFERROR(--INDEX('Term investments'!$D:$D,ROW()),0)</f>
        <v/>
      </c>
      <c r="E97">
        <f>IFERROR(--INDEX('Term investments'!$E:$E,ROW()),0)</f>
        <v/>
      </c>
      <c r="F97">
        <f>IFERROR(--INDEX('Term investments'!$F:$F,ROW()),0)</f>
        <v/>
      </c>
      <c r="G97">
        <f>IFERROR(IF(--INDEX('Term investments'!$G:$G,ROW())&gt;=1,--INDEX('Term investments'!$G:$G,ROW())/100,--INDEX('Term investments'!$G:$G,ROW())),0)</f>
        <v/>
      </c>
      <c r="H97">
        <f>IFERROR(--INDEX('Term investments'!$H:$H,ROW()),0)</f>
        <v/>
      </c>
      <c r="I97">
        <f>IF(ISNUMBER(INDEX('Term investments'!$G:$G,ROW())),1,0)</f>
        <v/>
      </c>
      <c r="J97">
        <f>TRIM(SUBSTITUTE(INDEX('Call accounts and MMFs'!$A:$A,ROW())&amp;""," "," "))</f>
        <v/>
      </c>
      <c r="K97">
        <f>TRIM(SUBSTITUTE(INDEX('Call accounts and MMFs'!$B:$B,ROW())&amp;""," "," "))</f>
        <v/>
      </c>
      <c r="L97">
        <f>TRIM(SUBSTITUTE(INDEX('Call accounts and MMFs'!$C:$C,ROW())&amp;""," "," "))</f>
        <v/>
      </c>
      <c r="M97">
        <f>IFERROR(--INDEX('Call accounts and MMFs'!$D:$D,ROW()),0)</f>
        <v/>
      </c>
      <c r="N97">
        <f>IFERROR(IF(--INDEX('Call accounts and MMFs'!$E:$E,ROW())&gt;=1,--INDEX('Call accounts and MMFs'!$E:$E,ROW())/100,--INDEX('Call accounts and MMFs'!$E:$E,ROW())),0)</f>
        <v/>
      </c>
      <c r="O97">
        <f>IFERROR(--INDEX('Call accounts and MMFs'!$F:$F,ROW()),0)</f>
        <v/>
      </c>
      <c r="P97">
        <f>IF(ISNUMBER(INDEX('Call accounts and MMFs'!$E:$E,ROW())),1,0)</f>
        <v/>
      </c>
      <c r="Q97">
        <f>TRIM(SUBSTITUTE(INDEX('Pooled funds'!$B:$B,ROW())&amp;""," "," "))</f>
        <v/>
      </c>
      <c r="R97">
        <f>IFERROR(--INDEX('Pooled funds'!$C:$C,ROW()),0)</f>
        <v/>
      </c>
      <c r="S97">
        <f>IFERROR(--INDEX('Pooled funds'!$D:$D,ROW()),0)</f>
        <v/>
      </c>
      <c r="T97">
        <f>IFERROR(IF(--INDEX('Pooled funds'!$E:$E,ROW())&gt;=1,--INDEX('Pooled funds'!$E:$E,ROW())/100,--INDEX('Pooled funds'!$E:$E,ROW())),0)</f>
        <v/>
      </c>
      <c r="U97">
        <f>IF(ISNUMBER(INDEX('Pooled funds'!$E:$E,ROW())),1,0)</f>
        <v/>
      </c>
      <c r="V97">
        <f>TRIM(SUBSTITUTE(INDEX('Loans'!$A:$A,ROW())&amp;""," "," "))</f>
        <v/>
      </c>
      <c r="W97">
        <f>TRIM(SUBSTITUTE(INDEX('Loans'!$B:$B,ROW())&amp;""," "," "))</f>
        <v/>
      </c>
      <c r="X97">
        <f>TRIM(SUBSTITUTE(INDEX('Loans'!$C:$C,ROW())&amp;""," "," "))</f>
        <v/>
      </c>
      <c r="Y97">
        <f>IFERROR(--INDEX('Loans'!$D:$D,ROW()),0)</f>
        <v/>
      </c>
      <c r="Z97">
        <f>IFERROR(--INDEX('Loans'!$E:$E,ROW()),0)</f>
        <v/>
      </c>
      <c r="AA97">
        <f>IFERROR(--INDEX('Loans'!$F:$F,ROW()),0)</f>
        <v/>
      </c>
      <c r="AB97">
        <f>IFERROR(IF(--INDEX('Loans'!$G:$G,ROW())&gt;=1,--INDEX('Loans'!$G:$G,ROW())/100,--INDEX('Loans'!$G:$G,ROW())),0)</f>
        <v/>
      </c>
      <c r="AC97">
        <f>TRIM(SUBSTITUTE(INDEX('Loans'!$H:$H,ROW())&amp;""," "," "))</f>
        <v/>
      </c>
      <c r="AD97">
        <f>TRIM(SUBSTITUTE(INDEX('Loans'!$I:$I,ROW())&amp;""," "," "))</f>
        <v/>
      </c>
      <c r="AE97">
        <f>IFERROR(--INDEX('Loans'!$J:$J,ROW()),0)</f>
        <v/>
      </c>
      <c r="AF97">
        <f>TRIM(SUBSTITUTE(INDEX('Loans'!$K:$K,ROW())&amp;""," "," "))</f>
        <v/>
      </c>
      <c r="AG97">
        <f>IFERROR(--INDEX('Loans'!$L:$L,ROW()),0)</f>
        <v/>
      </c>
      <c r="AH97">
        <f>IF(ISNUMBER(INDEX('Loans'!$G:$G,ROW())),1,0)</f>
        <v/>
      </c>
    </row>
    <row r="98">
      <c r="A98">
        <f>TRIM(SUBSTITUTE(INDEX('Term investments'!$A:$A,ROW())&amp;""," "," "))</f>
        <v/>
      </c>
      <c r="B98">
        <f>TRIM(SUBSTITUTE(INDEX('Term investments'!$B:$B,ROW())&amp;""," "," "))</f>
        <v/>
      </c>
      <c r="C98">
        <f>TRIM(SUBSTITUTE(INDEX('Term investments'!$C:$C,ROW())&amp;""," "," "))</f>
        <v/>
      </c>
      <c r="D98">
        <f>IFERROR(--INDEX('Term investments'!$D:$D,ROW()),0)</f>
        <v/>
      </c>
      <c r="E98">
        <f>IFERROR(--INDEX('Term investments'!$E:$E,ROW()),0)</f>
        <v/>
      </c>
      <c r="F98">
        <f>IFERROR(--INDEX('Term investments'!$F:$F,ROW()),0)</f>
        <v/>
      </c>
      <c r="G98">
        <f>IFERROR(IF(--INDEX('Term investments'!$G:$G,ROW())&gt;=1,--INDEX('Term investments'!$G:$G,ROW())/100,--INDEX('Term investments'!$G:$G,ROW())),0)</f>
        <v/>
      </c>
      <c r="H98">
        <f>IFERROR(--INDEX('Term investments'!$H:$H,ROW()),0)</f>
        <v/>
      </c>
      <c r="I98">
        <f>IF(ISNUMBER(INDEX('Term investments'!$G:$G,ROW())),1,0)</f>
        <v/>
      </c>
      <c r="J98">
        <f>TRIM(SUBSTITUTE(INDEX('Call accounts and MMFs'!$A:$A,ROW())&amp;""," "," "))</f>
        <v/>
      </c>
      <c r="K98">
        <f>TRIM(SUBSTITUTE(INDEX('Call accounts and MMFs'!$B:$B,ROW())&amp;""," "," "))</f>
        <v/>
      </c>
      <c r="L98">
        <f>TRIM(SUBSTITUTE(INDEX('Call accounts and MMFs'!$C:$C,ROW())&amp;""," "," "))</f>
        <v/>
      </c>
      <c r="M98">
        <f>IFERROR(--INDEX('Call accounts and MMFs'!$D:$D,ROW()),0)</f>
        <v/>
      </c>
      <c r="N98">
        <f>IFERROR(IF(--INDEX('Call accounts and MMFs'!$E:$E,ROW())&gt;=1,--INDEX('Call accounts and MMFs'!$E:$E,ROW())/100,--INDEX('Call accounts and MMFs'!$E:$E,ROW())),0)</f>
        <v/>
      </c>
      <c r="O98">
        <f>IFERROR(--INDEX('Call accounts and MMFs'!$F:$F,ROW()),0)</f>
        <v/>
      </c>
      <c r="P98">
        <f>IF(ISNUMBER(INDEX('Call accounts and MMFs'!$E:$E,ROW())),1,0)</f>
        <v/>
      </c>
      <c r="Q98">
        <f>TRIM(SUBSTITUTE(INDEX('Pooled funds'!$B:$B,ROW())&amp;""," "," "))</f>
        <v/>
      </c>
      <c r="R98">
        <f>IFERROR(--INDEX('Pooled funds'!$C:$C,ROW()),0)</f>
        <v/>
      </c>
      <c r="S98">
        <f>IFERROR(--INDEX('Pooled funds'!$D:$D,ROW()),0)</f>
        <v/>
      </c>
      <c r="T98">
        <f>IFERROR(IF(--INDEX('Pooled funds'!$E:$E,ROW())&gt;=1,--INDEX('Pooled funds'!$E:$E,ROW())/100,--INDEX('Pooled funds'!$E:$E,ROW())),0)</f>
        <v/>
      </c>
      <c r="U98">
        <f>IF(ISNUMBER(INDEX('Pooled funds'!$E:$E,ROW())),1,0)</f>
        <v/>
      </c>
      <c r="V98">
        <f>TRIM(SUBSTITUTE(INDEX('Loans'!$A:$A,ROW())&amp;""," "," "))</f>
        <v/>
      </c>
      <c r="W98">
        <f>TRIM(SUBSTITUTE(INDEX('Loans'!$B:$B,ROW())&amp;""," "," "))</f>
        <v/>
      </c>
      <c r="X98">
        <f>TRIM(SUBSTITUTE(INDEX('Loans'!$C:$C,ROW())&amp;""," "," "))</f>
        <v/>
      </c>
      <c r="Y98">
        <f>IFERROR(--INDEX('Loans'!$D:$D,ROW()),0)</f>
        <v/>
      </c>
      <c r="Z98">
        <f>IFERROR(--INDEX('Loans'!$E:$E,ROW()),0)</f>
        <v/>
      </c>
      <c r="AA98">
        <f>IFERROR(--INDEX('Loans'!$F:$F,ROW()),0)</f>
        <v/>
      </c>
      <c r="AB98">
        <f>IFERROR(IF(--INDEX('Loans'!$G:$G,ROW())&gt;=1,--INDEX('Loans'!$G:$G,ROW())/100,--INDEX('Loans'!$G:$G,ROW())),0)</f>
        <v/>
      </c>
      <c r="AC98">
        <f>TRIM(SUBSTITUTE(INDEX('Loans'!$H:$H,ROW())&amp;""," "," "))</f>
        <v/>
      </c>
      <c r="AD98">
        <f>TRIM(SUBSTITUTE(INDEX('Loans'!$I:$I,ROW())&amp;""," "," "))</f>
        <v/>
      </c>
      <c r="AE98">
        <f>IFERROR(--INDEX('Loans'!$J:$J,ROW()),0)</f>
        <v/>
      </c>
      <c r="AF98">
        <f>TRIM(SUBSTITUTE(INDEX('Loans'!$K:$K,ROW())&amp;""," "," "))</f>
        <v/>
      </c>
      <c r="AG98">
        <f>IFERROR(--INDEX('Loans'!$L:$L,ROW()),0)</f>
        <v/>
      </c>
      <c r="AH98">
        <f>IF(ISNUMBER(INDEX('Loans'!$G:$G,ROW())),1,0)</f>
        <v/>
      </c>
    </row>
    <row r="99">
      <c r="A99">
        <f>TRIM(SUBSTITUTE(INDEX('Term investments'!$A:$A,ROW())&amp;""," "," "))</f>
        <v/>
      </c>
      <c r="B99">
        <f>TRIM(SUBSTITUTE(INDEX('Term investments'!$B:$B,ROW())&amp;""," "," "))</f>
        <v/>
      </c>
      <c r="C99">
        <f>TRIM(SUBSTITUTE(INDEX('Term investments'!$C:$C,ROW())&amp;""," "," "))</f>
        <v/>
      </c>
      <c r="D99">
        <f>IFERROR(--INDEX('Term investments'!$D:$D,ROW()),0)</f>
        <v/>
      </c>
      <c r="E99">
        <f>IFERROR(--INDEX('Term investments'!$E:$E,ROW()),0)</f>
        <v/>
      </c>
      <c r="F99">
        <f>IFERROR(--INDEX('Term investments'!$F:$F,ROW()),0)</f>
        <v/>
      </c>
      <c r="G99">
        <f>IFERROR(IF(--INDEX('Term investments'!$G:$G,ROW())&gt;=1,--INDEX('Term investments'!$G:$G,ROW())/100,--INDEX('Term investments'!$G:$G,ROW())),0)</f>
        <v/>
      </c>
      <c r="H99">
        <f>IFERROR(--INDEX('Term investments'!$H:$H,ROW()),0)</f>
        <v/>
      </c>
      <c r="I99">
        <f>IF(ISNUMBER(INDEX('Term investments'!$G:$G,ROW())),1,0)</f>
        <v/>
      </c>
      <c r="J99">
        <f>TRIM(SUBSTITUTE(INDEX('Call accounts and MMFs'!$A:$A,ROW())&amp;""," "," "))</f>
        <v/>
      </c>
      <c r="K99">
        <f>TRIM(SUBSTITUTE(INDEX('Call accounts and MMFs'!$B:$B,ROW())&amp;""," "," "))</f>
        <v/>
      </c>
      <c r="L99">
        <f>TRIM(SUBSTITUTE(INDEX('Call accounts and MMFs'!$C:$C,ROW())&amp;""," "," "))</f>
        <v/>
      </c>
      <c r="M99">
        <f>IFERROR(--INDEX('Call accounts and MMFs'!$D:$D,ROW()),0)</f>
        <v/>
      </c>
      <c r="N99">
        <f>IFERROR(IF(--INDEX('Call accounts and MMFs'!$E:$E,ROW())&gt;=1,--INDEX('Call accounts and MMFs'!$E:$E,ROW())/100,--INDEX('Call accounts and MMFs'!$E:$E,ROW())),0)</f>
        <v/>
      </c>
      <c r="O99">
        <f>IFERROR(--INDEX('Call accounts and MMFs'!$F:$F,ROW()),0)</f>
        <v/>
      </c>
      <c r="P99">
        <f>IF(ISNUMBER(INDEX('Call accounts and MMFs'!$E:$E,ROW())),1,0)</f>
        <v/>
      </c>
      <c r="Q99">
        <f>TRIM(SUBSTITUTE(INDEX('Pooled funds'!$B:$B,ROW())&amp;""," "," "))</f>
        <v/>
      </c>
      <c r="R99">
        <f>IFERROR(--INDEX('Pooled funds'!$C:$C,ROW()),0)</f>
        <v/>
      </c>
      <c r="S99">
        <f>IFERROR(--INDEX('Pooled funds'!$D:$D,ROW()),0)</f>
        <v/>
      </c>
      <c r="T99">
        <f>IFERROR(IF(--INDEX('Pooled funds'!$E:$E,ROW())&gt;=1,--INDEX('Pooled funds'!$E:$E,ROW())/100,--INDEX('Pooled funds'!$E:$E,ROW())),0)</f>
        <v/>
      </c>
      <c r="U99">
        <f>IF(ISNUMBER(INDEX('Pooled funds'!$E:$E,ROW())),1,0)</f>
        <v/>
      </c>
      <c r="V99">
        <f>TRIM(SUBSTITUTE(INDEX('Loans'!$A:$A,ROW())&amp;""," "," "))</f>
        <v/>
      </c>
      <c r="W99">
        <f>TRIM(SUBSTITUTE(INDEX('Loans'!$B:$B,ROW())&amp;""," "," "))</f>
        <v/>
      </c>
      <c r="X99">
        <f>TRIM(SUBSTITUTE(INDEX('Loans'!$C:$C,ROW())&amp;""," "," "))</f>
        <v/>
      </c>
      <c r="Y99">
        <f>IFERROR(--INDEX('Loans'!$D:$D,ROW()),0)</f>
        <v/>
      </c>
      <c r="Z99">
        <f>IFERROR(--INDEX('Loans'!$E:$E,ROW()),0)</f>
        <v/>
      </c>
      <c r="AA99">
        <f>IFERROR(--INDEX('Loans'!$F:$F,ROW()),0)</f>
        <v/>
      </c>
      <c r="AB99">
        <f>IFERROR(IF(--INDEX('Loans'!$G:$G,ROW())&gt;=1,--INDEX('Loans'!$G:$G,ROW())/100,--INDEX('Loans'!$G:$G,ROW())),0)</f>
        <v/>
      </c>
      <c r="AC99">
        <f>TRIM(SUBSTITUTE(INDEX('Loans'!$H:$H,ROW())&amp;""," "," "))</f>
        <v/>
      </c>
      <c r="AD99">
        <f>TRIM(SUBSTITUTE(INDEX('Loans'!$I:$I,ROW())&amp;""," "," "))</f>
        <v/>
      </c>
      <c r="AE99">
        <f>IFERROR(--INDEX('Loans'!$J:$J,ROW()),0)</f>
        <v/>
      </c>
      <c r="AF99">
        <f>TRIM(SUBSTITUTE(INDEX('Loans'!$K:$K,ROW())&amp;""," "," "))</f>
        <v/>
      </c>
      <c r="AG99">
        <f>IFERROR(--INDEX('Loans'!$L:$L,ROW()),0)</f>
        <v/>
      </c>
      <c r="AH99">
        <f>IF(ISNUMBER(INDEX('Loans'!$G:$G,ROW())),1,0)</f>
        <v/>
      </c>
    </row>
    <row r="100">
      <c r="A100">
        <f>TRIM(SUBSTITUTE(INDEX('Term investments'!$A:$A,ROW())&amp;""," "," "))</f>
        <v/>
      </c>
      <c r="B100">
        <f>TRIM(SUBSTITUTE(INDEX('Term investments'!$B:$B,ROW())&amp;""," "," "))</f>
        <v/>
      </c>
      <c r="C100">
        <f>TRIM(SUBSTITUTE(INDEX('Term investments'!$C:$C,ROW())&amp;""," "," "))</f>
        <v/>
      </c>
      <c r="D100">
        <f>IFERROR(--INDEX('Term investments'!$D:$D,ROW()),0)</f>
        <v/>
      </c>
      <c r="E100">
        <f>IFERROR(--INDEX('Term investments'!$E:$E,ROW()),0)</f>
        <v/>
      </c>
      <c r="F100">
        <f>IFERROR(--INDEX('Term investments'!$F:$F,ROW()),0)</f>
        <v/>
      </c>
      <c r="G100">
        <f>IFERROR(IF(--INDEX('Term investments'!$G:$G,ROW())&gt;=1,--INDEX('Term investments'!$G:$G,ROW())/100,--INDEX('Term investments'!$G:$G,ROW())),0)</f>
        <v/>
      </c>
      <c r="H100">
        <f>IFERROR(--INDEX('Term investments'!$H:$H,ROW()),0)</f>
        <v/>
      </c>
      <c r="I100">
        <f>IF(ISNUMBER(INDEX('Term investments'!$G:$G,ROW())),1,0)</f>
        <v/>
      </c>
      <c r="J100">
        <f>TRIM(SUBSTITUTE(INDEX('Call accounts and MMFs'!$A:$A,ROW())&amp;""," "," "))</f>
        <v/>
      </c>
      <c r="K100">
        <f>TRIM(SUBSTITUTE(INDEX('Call accounts and MMFs'!$B:$B,ROW())&amp;""," "," "))</f>
        <v/>
      </c>
      <c r="L100">
        <f>TRIM(SUBSTITUTE(INDEX('Call accounts and MMFs'!$C:$C,ROW())&amp;""," "," "))</f>
        <v/>
      </c>
      <c r="M100">
        <f>IFERROR(--INDEX('Call accounts and MMFs'!$D:$D,ROW()),0)</f>
        <v/>
      </c>
      <c r="N100">
        <f>IFERROR(IF(--INDEX('Call accounts and MMFs'!$E:$E,ROW())&gt;=1,--INDEX('Call accounts and MMFs'!$E:$E,ROW())/100,--INDEX('Call accounts and MMFs'!$E:$E,ROW())),0)</f>
        <v/>
      </c>
      <c r="O100">
        <f>IFERROR(--INDEX('Call accounts and MMFs'!$F:$F,ROW()),0)</f>
        <v/>
      </c>
      <c r="P100">
        <f>IF(ISNUMBER(INDEX('Call accounts and MMFs'!$E:$E,ROW())),1,0)</f>
        <v/>
      </c>
      <c r="Q100">
        <f>TRIM(SUBSTITUTE(INDEX('Pooled funds'!$B:$B,ROW())&amp;""," "," "))</f>
        <v/>
      </c>
      <c r="R100">
        <f>IFERROR(--INDEX('Pooled funds'!$C:$C,ROW()),0)</f>
        <v/>
      </c>
      <c r="S100">
        <f>IFERROR(--INDEX('Pooled funds'!$D:$D,ROW()),0)</f>
        <v/>
      </c>
      <c r="T100">
        <f>IFERROR(IF(--INDEX('Pooled funds'!$E:$E,ROW())&gt;=1,--INDEX('Pooled funds'!$E:$E,ROW())/100,--INDEX('Pooled funds'!$E:$E,ROW())),0)</f>
        <v/>
      </c>
      <c r="U100">
        <f>IF(ISNUMBER(INDEX('Pooled funds'!$E:$E,ROW())),1,0)</f>
        <v/>
      </c>
      <c r="V100">
        <f>TRIM(SUBSTITUTE(INDEX('Loans'!$A:$A,ROW())&amp;""," "," "))</f>
        <v/>
      </c>
      <c r="W100">
        <f>TRIM(SUBSTITUTE(INDEX('Loans'!$B:$B,ROW())&amp;""," "," "))</f>
        <v/>
      </c>
      <c r="X100">
        <f>TRIM(SUBSTITUTE(INDEX('Loans'!$C:$C,ROW())&amp;""," "," "))</f>
        <v/>
      </c>
      <c r="Y100">
        <f>IFERROR(--INDEX('Loans'!$D:$D,ROW()),0)</f>
        <v/>
      </c>
      <c r="Z100">
        <f>IFERROR(--INDEX('Loans'!$E:$E,ROW()),0)</f>
        <v/>
      </c>
      <c r="AA100">
        <f>IFERROR(--INDEX('Loans'!$F:$F,ROW()),0)</f>
        <v/>
      </c>
      <c r="AB100">
        <f>IFERROR(IF(--INDEX('Loans'!$G:$G,ROW())&gt;=1,--INDEX('Loans'!$G:$G,ROW())/100,--INDEX('Loans'!$G:$G,ROW())),0)</f>
        <v/>
      </c>
      <c r="AC100">
        <f>TRIM(SUBSTITUTE(INDEX('Loans'!$H:$H,ROW())&amp;""," "," "))</f>
        <v/>
      </c>
      <c r="AD100">
        <f>TRIM(SUBSTITUTE(INDEX('Loans'!$I:$I,ROW())&amp;""," "," "))</f>
        <v/>
      </c>
      <c r="AE100">
        <f>IFERROR(--INDEX('Loans'!$J:$J,ROW()),0)</f>
        <v/>
      </c>
      <c r="AF100">
        <f>TRIM(SUBSTITUTE(INDEX('Loans'!$K:$K,ROW())&amp;""," "," "))</f>
        <v/>
      </c>
      <c r="AG100">
        <f>IFERROR(--INDEX('Loans'!$L:$L,ROW()),0)</f>
        <v/>
      </c>
      <c r="AH100">
        <f>IF(ISNUMBER(INDEX('Loans'!$G:$G,ROW())),1,0)</f>
        <v/>
      </c>
    </row>
    <row r="101">
      <c r="A101">
        <f>TRIM(SUBSTITUTE(INDEX('Term investments'!$A:$A,ROW())&amp;""," "," "))</f>
        <v/>
      </c>
      <c r="B101">
        <f>TRIM(SUBSTITUTE(INDEX('Term investments'!$B:$B,ROW())&amp;""," "," "))</f>
        <v/>
      </c>
      <c r="C101">
        <f>TRIM(SUBSTITUTE(INDEX('Term investments'!$C:$C,ROW())&amp;""," "," "))</f>
        <v/>
      </c>
      <c r="D101">
        <f>IFERROR(--INDEX('Term investments'!$D:$D,ROW()),0)</f>
        <v/>
      </c>
      <c r="E101">
        <f>IFERROR(--INDEX('Term investments'!$E:$E,ROW()),0)</f>
        <v/>
      </c>
      <c r="F101">
        <f>IFERROR(--INDEX('Term investments'!$F:$F,ROW()),0)</f>
        <v/>
      </c>
      <c r="G101">
        <f>IFERROR(IF(--INDEX('Term investments'!$G:$G,ROW())&gt;=1,--INDEX('Term investments'!$G:$G,ROW())/100,--INDEX('Term investments'!$G:$G,ROW())),0)</f>
        <v/>
      </c>
      <c r="H101">
        <f>IFERROR(--INDEX('Term investments'!$H:$H,ROW()),0)</f>
        <v/>
      </c>
      <c r="I101">
        <f>IF(ISNUMBER(INDEX('Term investments'!$G:$G,ROW())),1,0)</f>
        <v/>
      </c>
      <c r="J101">
        <f>TRIM(SUBSTITUTE(INDEX('Call accounts and MMFs'!$A:$A,ROW())&amp;""," "," "))</f>
        <v/>
      </c>
      <c r="K101">
        <f>TRIM(SUBSTITUTE(INDEX('Call accounts and MMFs'!$B:$B,ROW())&amp;""," "," "))</f>
        <v/>
      </c>
      <c r="L101">
        <f>TRIM(SUBSTITUTE(INDEX('Call accounts and MMFs'!$C:$C,ROW())&amp;""," "," "))</f>
        <v/>
      </c>
      <c r="M101">
        <f>IFERROR(--INDEX('Call accounts and MMFs'!$D:$D,ROW()),0)</f>
        <v/>
      </c>
      <c r="N101">
        <f>IFERROR(IF(--INDEX('Call accounts and MMFs'!$E:$E,ROW())&gt;=1,--INDEX('Call accounts and MMFs'!$E:$E,ROW())/100,--INDEX('Call accounts and MMFs'!$E:$E,ROW())),0)</f>
        <v/>
      </c>
      <c r="O101">
        <f>IFERROR(--INDEX('Call accounts and MMFs'!$F:$F,ROW()),0)</f>
        <v/>
      </c>
      <c r="P101">
        <f>IF(ISNUMBER(INDEX('Call accounts and MMFs'!$E:$E,ROW())),1,0)</f>
        <v/>
      </c>
      <c r="Q101">
        <f>TRIM(SUBSTITUTE(INDEX('Pooled funds'!$B:$B,ROW())&amp;""," "," "))</f>
        <v/>
      </c>
      <c r="R101">
        <f>IFERROR(--INDEX('Pooled funds'!$C:$C,ROW()),0)</f>
        <v/>
      </c>
      <c r="S101">
        <f>IFERROR(--INDEX('Pooled funds'!$D:$D,ROW()),0)</f>
        <v/>
      </c>
      <c r="T101">
        <f>IFERROR(IF(--INDEX('Pooled funds'!$E:$E,ROW())&gt;=1,--INDEX('Pooled funds'!$E:$E,ROW())/100,--INDEX('Pooled funds'!$E:$E,ROW())),0)</f>
        <v/>
      </c>
      <c r="U101">
        <f>IF(ISNUMBER(INDEX('Pooled funds'!$E:$E,ROW())),1,0)</f>
        <v/>
      </c>
      <c r="V101">
        <f>TRIM(SUBSTITUTE(INDEX('Loans'!$A:$A,ROW())&amp;""," "," "))</f>
        <v/>
      </c>
      <c r="W101">
        <f>TRIM(SUBSTITUTE(INDEX('Loans'!$B:$B,ROW())&amp;""," "," "))</f>
        <v/>
      </c>
      <c r="X101">
        <f>TRIM(SUBSTITUTE(INDEX('Loans'!$C:$C,ROW())&amp;""," "," "))</f>
        <v/>
      </c>
      <c r="Y101">
        <f>IFERROR(--INDEX('Loans'!$D:$D,ROW()),0)</f>
        <v/>
      </c>
      <c r="Z101">
        <f>IFERROR(--INDEX('Loans'!$E:$E,ROW()),0)</f>
        <v/>
      </c>
      <c r="AA101">
        <f>IFERROR(--INDEX('Loans'!$F:$F,ROW()),0)</f>
        <v/>
      </c>
      <c r="AB101">
        <f>IFERROR(IF(--INDEX('Loans'!$G:$G,ROW())&gt;=1,--INDEX('Loans'!$G:$G,ROW())/100,--INDEX('Loans'!$G:$G,ROW())),0)</f>
        <v/>
      </c>
      <c r="AC101">
        <f>TRIM(SUBSTITUTE(INDEX('Loans'!$H:$H,ROW())&amp;""," "," "))</f>
        <v/>
      </c>
      <c r="AD101">
        <f>TRIM(SUBSTITUTE(INDEX('Loans'!$I:$I,ROW())&amp;""," "," "))</f>
        <v/>
      </c>
      <c r="AE101">
        <f>IFERROR(--INDEX('Loans'!$J:$J,ROW()),0)</f>
        <v/>
      </c>
      <c r="AF101">
        <f>TRIM(SUBSTITUTE(INDEX('Loans'!$K:$K,ROW())&amp;""," "," "))</f>
        <v/>
      </c>
      <c r="AG101">
        <f>IFERROR(--INDEX('Loans'!$L:$L,ROW()),0)</f>
        <v/>
      </c>
      <c r="AH101">
        <f>IF(ISNUMBER(INDEX('Loans'!$G:$G,ROW())),1,0)</f>
        <v/>
      </c>
    </row>
    <row r="102">
      <c r="A102">
        <f>TRIM(SUBSTITUTE(INDEX('Term investments'!$A:$A,ROW())&amp;""," "," "))</f>
        <v/>
      </c>
      <c r="B102">
        <f>TRIM(SUBSTITUTE(INDEX('Term investments'!$B:$B,ROW())&amp;""," "," "))</f>
        <v/>
      </c>
      <c r="C102">
        <f>TRIM(SUBSTITUTE(INDEX('Term investments'!$C:$C,ROW())&amp;""," "," "))</f>
        <v/>
      </c>
      <c r="D102">
        <f>IFERROR(--INDEX('Term investments'!$D:$D,ROW()),0)</f>
        <v/>
      </c>
      <c r="E102">
        <f>IFERROR(--INDEX('Term investments'!$E:$E,ROW()),0)</f>
        <v/>
      </c>
      <c r="F102">
        <f>IFERROR(--INDEX('Term investments'!$F:$F,ROW()),0)</f>
        <v/>
      </c>
      <c r="G102">
        <f>IFERROR(IF(--INDEX('Term investments'!$G:$G,ROW())&gt;=1,--INDEX('Term investments'!$G:$G,ROW())/100,--INDEX('Term investments'!$G:$G,ROW())),0)</f>
        <v/>
      </c>
      <c r="H102">
        <f>IFERROR(--INDEX('Term investments'!$H:$H,ROW()),0)</f>
        <v/>
      </c>
      <c r="I102">
        <f>IF(ISNUMBER(INDEX('Term investments'!$G:$G,ROW())),1,0)</f>
        <v/>
      </c>
      <c r="J102">
        <f>TRIM(SUBSTITUTE(INDEX('Call accounts and MMFs'!$A:$A,ROW())&amp;""," "," "))</f>
        <v/>
      </c>
      <c r="K102">
        <f>TRIM(SUBSTITUTE(INDEX('Call accounts and MMFs'!$B:$B,ROW())&amp;""," "," "))</f>
        <v/>
      </c>
      <c r="L102">
        <f>TRIM(SUBSTITUTE(INDEX('Call accounts and MMFs'!$C:$C,ROW())&amp;""," "," "))</f>
        <v/>
      </c>
      <c r="M102">
        <f>IFERROR(--INDEX('Call accounts and MMFs'!$D:$D,ROW()),0)</f>
        <v/>
      </c>
      <c r="N102">
        <f>IFERROR(IF(--INDEX('Call accounts and MMFs'!$E:$E,ROW())&gt;=1,--INDEX('Call accounts and MMFs'!$E:$E,ROW())/100,--INDEX('Call accounts and MMFs'!$E:$E,ROW())),0)</f>
        <v/>
      </c>
      <c r="O102">
        <f>IFERROR(--INDEX('Call accounts and MMFs'!$F:$F,ROW()),0)</f>
        <v/>
      </c>
      <c r="P102">
        <f>IF(ISNUMBER(INDEX('Call accounts and MMFs'!$E:$E,ROW())),1,0)</f>
        <v/>
      </c>
      <c r="Q102">
        <f>TRIM(SUBSTITUTE(INDEX('Pooled funds'!$B:$B,ROW())&amp;""," "," "))</f>
        <v/>
      </c>
      <c r="R102">
        <f>IFERROR(--INDEX('Pooled funds'!$C:$C,ROW()),0)</f>
        <v/>
      </c>
      <c r="S102">
        <f>IFERROR(--INDEX('Pooled funds'!$D:$D,ROW()),0)</f>
        <v/>
      </c>
      <c r="T102">
        <f>IFERROR(IF(--INDEX('Pooled funds'!$E:$E,ROW())&gt;=1,--INDEX('Pooled funds'!$E:$E,ROW())/100,--INDEX('Pooled funds'!$E:$E,ROW())),0)</f>
        <v/>
      </c>
      <c r="U102">
        <f>IF(ISNUMBER(INDEX('Pooled funds'!$E:$E,ROW())),1,0)</f>
        <v/>
      </c>
      <c r="V102">
        <f>TRIM(SUBSTITUTE(INDEX('Loans'!$A:$A,ROW())&amp;""," "," "))</f>
        <v/>
      </c>
      <c r="W102">
        <f>TRIM(SUBSTITUTE(INDEX('Loans'!$B:$B,ROW())&amp;""," "," "))</f>
        <v/>
      </c>
      <c r="X102">
        <f>TRIM(SUBSTITUTE(INDEX('Loans'!$C:$C,ROW())&amp;""," "," "))</f>
        <v/>
      </c>
      <c r="Y102">
        <f>IFERROR(--INDEX('Loans'!$D:$D,ROW()),0)</f>
        <v/>
      </c>
      <c r="Z102">
        <f>IFERROR(--INDEX('Loans'!$E:$E,ROW()),0)</f>
        <v/>
      </c>
      <c r="AA102">
        <f>IFERROR(--INDEX('Loans'!$F:$F,ROW()),0)</f>
        <v/>
      </c>
      <c r="AB102">
        <f>IFERROR(IF(--INDEX('Loans'!$G:$G,ROW())&gt;=1,--INDEX('Loans'!$G:$G,ROW())/100,--INDEX('Loans'!$G:$G,ROW())),0)</f>
        <v/>
      </c>
      <c r="AC102">
        <f>TRIM(SUBSTITUTE(INDEX('Loans'!$H:$H,ROW())&amp;""," "," "))</f>
        <v/>
      </c>
      <c r="AD102">
        <f>TRIM(SUBSTITUTE(INDEX('Loans'!$I:$I,ROW())&amp;""," "," "))</f>
        <v/>
      </c>
      <c r="AE102">
        <f>IFERROR(--INDEX('Loans'!$J:$J,ROW()),0)</f>
        <v/>
      </c>
      <c r="AF102">
        <f>TRIM(SUBSTITUTE(INDEX('Loans'!$K:$K,ROW())&amp;""," "," "))</f>
        <v/>
      </c>
      <c r="AG102">
        <f>IFERROR(--INDEX('Loans'!$L:$L,ROW()),0)</f>
        <v/>
      </c>
      <c r="AH102">
        <f>IF(ISNUMBER(INDEX('Loans'!$G:$G,ROW())),1,0)</f>
        <v/>
      </c>
    </row>
    <row r="103">
      <c r="A103">
        <f>TRIM(SUBSTITUTE(INDEX('Term investments'!$A:$A,ROW())&amp;""," "," "))</f>
        <v/>
      </c>
      <c r="B103">
        <f>TRIM(SUBSTITUTE(INDEX('Term investments'!$B:$B,ROW())&amp;""," "," "))</f>
        <v/>
      </c>
      <c r="C103">
        <f>TRIM(SUBSTITUTE(INDEX('Term investments'!$C:$C,ROW())&amp;""," "," "))</f>
        <v/>
      </c>
      <c r="D103">
        <f>IFERROR(--INDEX('Term investments'!$D:$D,ROW()),0)</f>
        <v/>
      </c>
      <c r="E103">
        <f>IFERROR(--INDEX('Term investments'!$E:$E,ROW()),0)</f>
        <v/>
      </c>
      <c r="F103">
        <f>IFERROR(--INDEX('Term investments'!$F:$F,ROW()),0)</f>
        <v/>
      </c>
      <c r="G103">
        <f>IFERROR(IF(--INDEX('Term investments'!$G:$G,ROW())&gt;=1,--INDEX('Term investments'!$G:$G,ROW())/100,--INDEX('Term investments'!$G:$G,ROW())),0)</f>
        <v/>
      </c>
      <c r="H103">
        <f>IFERROR(--INDEX('Term investments'!$H:$H,ROW()),0)</f>
        <v/>
      </c>
      <c r="I103">
        <f>IF(ISNUMBER(INDEX('Term investments'!$G:$G,ROW())),1,0)</f>
        <v/>
      </c>
      <c r="J103">
        <f>TRIM(SUBSTITUTE(INDEX('Call accounts and MMFs'!$A:$A,ROW())&amp;""," "," "))</f>
        <v/>
      </c>
      <c r="K103">
        <f>TRIM(SUBSTITUTE(INDEX('Call accounts and MMFs'!$B:$B,ROW())&amp;""," "," "))</f>
        <v/>
      </c>
      <c r="L103">
        <f>TRIM(SUBSTITUTE(INDEX('Call accounts and MMFs'!$C:$C,ROW())&amp;""," "," "))</f>
        <v/>
      </c>
      <c r="M103">
        <f>IFERROR(--INDEX('Call accounts and MMFs'!$D:$D,ROW()),0)</f>
        <v/>
      </c>
      <c r="N103">
        <f>IFERROR(IF(--INDEX('Call accounts and MMFs'!$E:$E,ROW())&gt;=1,--INDEX('Call accounts and MMFs'!$E:$E,ROW())/100,--INDEX('Call accounts and MMFs'!$E:$E,ROW())),0)</f>
        <v/>
      </c>
      <c r="O103">
        <f>IFERROR(--INDEX('Call accounts and MMFs'!$F:$F,ROW()),0)</f>
        <v/>
      </c>
      <c r="P103">
        <f>IF(ISNUMBER(INDEX('Call accounts and MMFs'!$E:$E,ROW())),1,0)</f>
        <v/>
      </c>
      <c r="Q103">
        <f>TRIM(SUBSTITUTE(INDEX('Pooled funds'!$B:$B,ROW())&amp;""," "," "))</f>
        <v/>
      </c>
      <c r="R103">
        <f>IFERROR(--INDEX('Pooled funds'!$C:$C,ROW()),0)</f>
        <v/>
      </c>
      <c r="S103">
        <f>IFERROR(--INDEX('Pooled funds'!$D:$D,ROW()),0)</f>
        <v/>
      </c>
      <c r="T103">
        <f>IFERROR(IF(--INDEX('Pooled funds'!$E:$E,ROW())&gt;=1,--INDEX('Pooled funds'!$E:$E,ROW())/100,--INDEX('Pooled funds'!$E:$E,ROW())),0)</f>
        <v/>
      </c>
      <c r="U103">
        <f>IF(ISNUMBER(INDEX('Pooled funds'!$E:$E,ROW())),1,0)</f>
        <v/>
      </c>
      <c r="V103">
        <f>TRIM(SUBSTITUTE(INDEX('Loans'!$A:$A,ROW())&amp;""," "," "))</f>
        <v/>
      </c>
      <c r="W103">
        <f>TRIM(SUBSTITUTE(INDEX('Loans'!$B:$B,ROW())&amp;""," "," "))</f>
        <v/>
      </c>
      <c r="X103">
        <f>TRIM(SUBSTITUTE(INDEX('Loans'!$C:$C,ROW())&amp;""," "," "))</f>
        <v/>
      </c>
      <c r="Y103">
        <f>IFERROR(--INDEX('Loans'!$D:$D,ROW()),0)</f>
        <v/>
      </c>
      <c r="Z103">
        <f>IFERROR(--INDEX('Loans'!$E:$E,ROW()),0)</f>
        <v/>
      </c>
      <c r="AA103">
        <f>IFERROR(--INDEX('Loans'!$F:$F,ROW()),0)</f>
        <v/>
      </c>
      <c r="AB103">
        <f>IFERROR(IF(--INDEX('Loans'!$G:$G,ROW())&gt;=1,--INDEX('Loans'!$G:$G,ROW())/100,--INDEX('Loans'!$G:$G,ROW())),0)</f>
        <v/>
      </c>
      <c r="AC103">
        <f>TRIM(SUBSTITUTE(INDEX('Loans'!$H:$H,ROW())&amp;""," "," "))</f>
        <v/>
      </c>
      <c r="AD103">
        <f>TRIM(SUBSTITUTE(INDEX('Loans'!$I:$I,ROW())&amp;""," "," "))</f>
        <v/>
      </c>
      <c r="AE103">
        <f>IFERROR(--INDEX('Loans'!$J:$J,ROW()),0)</f>
        <v/>
      </c>
      <c r="AF103">
        <f>TRIM(SUBSTITUTE(INDEX('Loans'!$K:$K,ROW())&amp;""," "," "))</f>
        <v/>
      </c>
      <c r="AG103">
        <f>IFERROR(--INDEX('Loans'!$L:$L,ROW()),0)</f>
        <v/>
      </c>
      <c r="AH103">
        <f>IF(ISNUMBER(INDEX('Loans'!$G:$G,ROW())),1,0)</f>
        <v/>
      </c>
    </row>
    <row r="104">
      <c r="A104">
        <f>TRIM(SUBSTITUTE(INDEX('Term investments'!$A:$A,ROW())&amp;""," "," "))</f>
        <v/>
      </c>
      <c r="B104">
        <f>TRIM(SUBSTITUTE(INDEX('Term investments'!$B:$B,ROW())&amp;""," "," "))</f>
        <v/>
      </c>
      <c r="C104">
        <f>TRIM(SUBSTITUTE(INDEX('Term investments'!$C:$C,ROW())&amp;""," "," "))</f>
        <v/>
      </c>
      <c r="D104">
        <f>IFERROR(--INDEX('Term investments'!$D:$D,ROW()),0)</f>
        <v/>
      </c>
      <c r="E104">
        <f>IFERROR(--INDEX('Term investments'!$E:$E,ROW()),0)</f>
        <v/>
      </c>
      <c r="F104">
        <f>IFERROR(--INDEX('Term investments'!$F:$F,ROW()),0)</f>
        <v/>
      </c>
      <c r="G104">
        <f>IFERROR(IF(--INDEX('Term investments'!$G:$G,ROW())&gt;=1,--INDEX('Term investments'!$G:$G,ROW())/100,--INDEX('Term investments'!$G:$G,ROW())),0)</f>
        <v/>
      </c>
      <c r="H104">
        <f>IFERROR(--INDEX('Term investments'!$H:$H,ROW()),0)</f>
        <v/>
      </c>
      <c r="I104">
        <f>IF(ISNUMBER(INDEX('Term investments'!$G:$G,ROW())),1,0)</f>
        <v/>
      </c>
      <c r="J104">
        <f>TRIM(SUBSTITUTE(INDEX('Call accounts and MMFs'!$A:$A,ROW())&amp;""," "," "))</f>
        <v/>
      </c>
      <c r="K104">
        <f>TRIM(SUBSTITUTE(INDEX('Call accounts and MMFs'!$B:$B,ROW())&amp;""," "," "))</f>
        <v/>
      </c>
      <c r="L104">
        <f>TRIM(SUBSTITUTE(INDEX('Call accounts and MMFs'!$C:$C,ROW())&amp;""," "," "))</f>
        <v/>
      </c>
      <c r="M104">
        <f>IFERROR(--INDEX('Call accounts and MMFs'!$D:$D,ROW()),0)</f>
        <v/>
      </c>
      <c r="N104">
        <f>IFERROR(IF(--INDEX('Call accounts and MMFs'!$E:$E,ROW())&gt;=1,--INDEX('Call accounts and MMFs'!$E:$E,ROW())/100,--INDEX('Call accounts and MMFs'!$E:$E,ROW())),0)</f>
        <v/>
      </c>
      <c r="O104">
        <f>IFERROR(--INDEX('Call accounts and MMFs'!$F:$F,ROW()),0)</f>
        <v/>
      </c>
      <c r="P104">
        <f>IF(ISNUMBER(INDEX('Call accounts and MMFs'!$E:$E,ROW())),1,0)</f>
        <v/>
      </c>
      <c r="Q104">
        <f>TRIM(SUBSTITUTE(INDEX('Pooled funds'!$B:$B,ROW())&amp;""," "," "))</f>
        <v/>
      </c>
      <c r="R104">
        <f>IFERROR(--INDEX('Pooled funds'!$C:$C,ROW()),0)</f>
        <v/>
      </c>
      <c r="S104">
        <f>IFERROR(--INDEX('Pooled funds'!$D:$D,ROW()),0)</f>
        <v/>
      </c>
      <c r="T104">
        <f>IFERROR(IF(--INDEX('Pooled funds'!$E:$E,ROW())&gt;=1,--INDEX('Pooled funds'!$E:$E,ROW())/100,--INDEX('Pooled funds'!$E:$E,ROW())),0)</f>
        <v/>
      </c>
      <c r="U104">
        <f>IF(ISNUMBER(INDEX('Pooled funds'!$E:$E,ROW())),1,0)</f>
        <v/>
      </c>
      <c r="V104">
        <f>TRIM(SUBSTITUTE(INDEX('Loans'!$A:$A,ROW())&amp;""," "," "))</f>
        <v/>
      </c>
      <c r="W104">
        <f>TRIM(SUBSTITUTE(INDEX('Loans'!$B:$B,ROW())&amp;""," "," "))</f>
        <v/>
      </c>
      <c r="X104">
        <f>TRIM(SUBSTITUTE(INDEX('Loans'!$C:$C,ROW())&amp;""," "," "))</f>
        <v/>
      </c>
      <c r="Y104">
        <f>IFERROR(--INDEX('Loans'!$D:$D,ROW()),0)</f>
        <v/>
      </c>
      <c r="Z104">
        <f>IFERROR(--INDEX('Loans'!$E:$E,ROW()),0)</f>
        <v/>
      </c>
      <c r="AA104">
        <f>IFERROR(--INDEX('Loans'!$F:$F,ROW()),0)</f>
        <v/>
      </c>
      <c r="AB104">
        <f>IFERROR(IF(--INDEX('Loans'!$G:$G,ROW())&gt;=1,--INDEX('Loans'!$G:$G,ROW())/100,--INDEX('Loans'!$G:$G,ROW())),0)</f>
        <v/>
      </c>
      <c r="AC104">
        <f>TRIM(SUBSTITUTE(INDEX('Loans'!$H:$H,ROW())&amp;""," "," "))</f>
        <v/>
      </c>
      <c r="AD104">
        <f>TRIM(SUBSTITUTE(INDEX('Loans'!$I:$I,ROW())&amp;""," "," "))</f>
        <v/>
      </c>
      <c r="AE104">
        <f>IFERROR(--INDEX('Loans'!$J:$J,ROW()),0)</f>
        <v/>
      </c>
      <c r="AF104">
        <f>TRIM(SUBSTITUTE(INDEX('Loans'!$K:$K,ROW())&amp;""," "," "))</f>
        <v/>
      </c>
      <c r="AG104">
        <f>IFERROR(--INDEX('Loans'!$L:$L,ROW()),0)</f>
        <v/>
      </c>
      <c r="AH104">
        <f>IF(ISNUMBER(INDEX('Loans'!$G:$G,ROW())),1,0)</f>
        <v/>
      </c>
    </row>
    <row r="105">
      <c r="A105">
        <f>TRIM(SUBSTITUTE(INDEX('Term investments'!$A:$A,ROW())&amp;""," "," "))</f>
        <v/>
      </c>
      <c r="B105">
        <f>TRIM(SUBSTITUTE(INDEX('Term investments'!$B:$B,ROW())&amp;""," "," "))</f>
        <v/>
      </c>
      <c r="C105">
        <f>TRIM(SUBSTITUTE(INDEX('Term investments'!$C:$C,ROW())&amp;""," "," "))</f>
        <v/>
      </c>
      <c r="D105">
        <f>IFERROR(--INDEX('Term investments'!$D:$D,ROW()),0)</f>
        <v/>
      </c>
      <c r="E105">
        <f>IFERROR(--INDEX('Term investments'!$E:$E,ROW()),0)</f>
        <v/>
      </c>
      <c r="F105">
        <f>IFERROR(--INDEX('Term investments'!$F:$F,ROW()),0)</f>
        <v/>
      </c>
      <c r="G105">
        <f>IFERROR(IF(--INDEX('Term investments'!$G:$G,ROW())&gt;=1,--INDEX('Term investments'!$G:$G,ROW())/100,--INDEX('Term investments'!$G:$G,ROW())),0)</f>
        <v/>
      </c>
      <c r="H105">
        <f>IFERROR(--INDEX('Term investments'!$H:$H,ROW()),0)</f>
        <v/>
      </c>
      <c r="I105">
        <f>IF(ISNUMBER(INDEX('Term investments'!$G:$G,ROW())),1,0)</f>
        <v/>
      </c>
      <c r="J105">
        <f>TRIM(SUBSTITUTE(INDEX('Call accounts and MMFs'!$A:$A,ROW())&amp;""," "," "))</f>
        <v/>
      </c>
      <c r="K105">
        <f>TRIM(SUBSTITUTE(INDEX('Call accounts and MMFs'!$B:$B,ROW())&amp;""," "," "))</f>
        <v/>
      </c>
      <c r="L105">
        <f>TRIM(SUBSTITUTE(INDEX('Call accounts and MMFs'!$C:$C,ROW())&amp;""," "," "))</f>
        <v/>
      </c>
      <c r="M105">
        <f>IFERROR(--INDEX('Call accounts and MMFs'!$D:$D,ROW()),0)</f>
        <v/>
      </c>
      <c r="N105">
        <f>IFERROR(IF(--INDEX('Call accounts and MMFs'!$E:$E,ROW())&gt;=1,--INDEX('Call accounts and MMFs'!$E:$E,ROW())/100,--INDEX('Call accounts and MMFs'!$E:$E,ROW())),0)</f>
        <v/>
      </c>
      <c r="O105">
        <f>IFERROR(--INDEX('Call accounts and MMFs'!$F:$F,ROW()),0)</f>
        <v/>
      </c>
      <c r="P105">
        <f>IF(ISNUMBER(INDEX('Call accounts and MMFs'!$E:$E,ROW())),1,0)</f>
        <v/>
      </c>
      <c r="Q105">
        <f>TRIM(SUBSTITUTE(INDEX('Pooled funds'!$B:$B,ROW())&amp;""," "," "))</f>
        <v/>
      </c>
      <c r="R105">
        <f>IFERROR(--INDEX('Pooled funds'!$C:$C,ROW()),0)</f>
        <v/>
      </c>
      <c r="S105">
        <f>IFERROR(--INDEX('Pooled funds'!$D:$D,ROW()),0)</f>
        <v/>
      </c>
      <c r="T105">
        <f>IFERROR(IF(--INDEX('Pooled funds'!$E:$E,ROW())&gt;=1,--INDEX('Pooled funds'!$E:$E,ROW())/100,--INDEX('Pooled funds'!$E:$E,ROW())),0)</f>
        <v/>
      </c>
      <c r="U105">
        <f>IF(ISNUMBER(INDEX('Pooled funds'!$E:$E,ROW())),1,0)</f>
        <v/>
      </c>
      <c r="V105">
        <f>TRIM(SUBSTITUTE(INDEX('Loans'!$A:$A,ROW())&amp;""," "," "))</f>
        <v/>
      </c>
      <c r="W105">
        <f>TRIM(SUBSTITUTE(INDEX('Loans'!$B:$B,ROW())&amp;""," "," "))</f>
        <v/>
      </c>
      <c r="X105">
        <f>TRIM(SUBSTITUTE(INDEX('Loans'!$C:$C,ROW())&amp;""," "," "))</f>
        <v/>
      </c>
      <c r="Y105">
        <f>IFERROR(--INDEX('Loans'!$D:$D,ROW()),0)</f>
        <v/>
      </c>
      <c r="Z105">
        <f>IFERROR(--INDEX('Loans'!$E:$E,ROW()),0)</f>
        <v/>
      </c>
      <c r="AA105">
        <f>IFERROR(--INDEX('Loans'!$F:$F,ROW()),0)</f>
        <v/>
      </c>
      <c r="AB105">
        <f>IFERROR(IF(--INDEX('Loans'!$G:$G,ROW())&gt;=1,--INDEX('Loans'!$G:$G,ROW())/100,--INDEX('Loans'!$G:$G,ROW())),0)</f>
        <v/>
      </c>
      <c r="AC105">
        <f>TRIM(SUBSTITUTE(INDEX('Loans'!$H:$H,ROW())&amp;""," "," "))</f>
        <v/>
      </c>
      <c r="AD105">
        <f>TRIM(SUBSTITUTE(INDEX('Loans'!$I:$I,ROW())&amp;""," "," "))</f>
        <v/>
      </c>
      <c r="AE105">
        <f>IFERROR(--INDEX('Loans'!$J:$J,ROW()),0)</f>
        <v/>
      </c>
      <c r="AF105">
        <f>TRIM(SUBSTITUTE(INDEX('Loans'!$K:$K,ROW())&amp;""," "," "))</f>
        <v/>
      </c>
      <c r="AG105">
        <f>IFERROR(--INDEX('Loans'!$L:$L,ROW()),0)</f>
        <v/>
      </c>
      <c r="AH105">
        <f>IF(ISNUMBER(INDEX('Loans'!$G:$G,ROW())),1,0)</f>
        <v/>
      </c>
    </row>
    <row r="106">
      <c r="A106">
        <f>TRIM(SUBSTITUTE(INDEX('Term investments'!$A:$A,ROW())&amp;""," "," "))</f>
        <v/>
      </c>
      <c r="B106">
        <f>TRIM(SUBSTITUTE(INDEX('Term investments'!$B:$B,ROW())&amp;""," "," "))</f>
        <v/>
      </c>
      <c r="C106">
        <f>TRIM(SUBSTITUTE(INDEX('Term investments'!$C:$C,ROW())&amp;""," "," "))</f>
        <v/>
      </c>
      <c r="D106">
        <f>IFERROR(--INDEX('Term investments'!$D:$D,ROW()),0)</f>
        <v/>
      </c>
      <c r="E106">
        <f>IFERROR(--INDEX('Term investments'!$E:$E,ROW()),0)</f>
        <v/>
      </c>
      <c r="F106">
        <f>IFERROR(--INDEX('Term investments'!$F:$F,ROW()),0)</f>
        <v/>
      </c>
      <c r="G106">
        <f>IFERROR(IF(--INDEX('Term investments'!$G:$G,ROW())&gt;=1,--INDEX('Term investments'!$G:$G,ROW())/100,--INDEX('Term investments'!$G:$G,ROW())),0)</f>
        <v/>
      </c>
      <c r="H106">
        <f>IFERROR(--INDEX('Term investments'!$H:$H,ROW()),0)</f>
        <v/>
      </c>
      <c r="I106">
        <f>IF(ISNUMBER(INDEX('Term investments'!$G:$G,ROW())),1,0)</f>
        <v/>
      </c>
      <c r="J106">
        <f>TRIM(SUBSTITUTE(INDEX('Call accounts and MMFs'!$A:$A,ROW())&amp;""," "," "))</f>
        <v/>
      </c>
      <c r="K106">
        <f>TRIM(SUBSTITUTE(INDEX('Call accounts and MMFs'!$B:$B,ROW())&amp;""," "," "))</f>
        <v/>
      </c>
      <c r="L106">
        <f>TRIM(SUBSTITUTE(INDEX('Call accounts and MMFs'!$C:$C,ROW())&amp;""," "," "))</f>
        <v/>
      </c>
      <c r="M106">
        <f>IFERROR(--INDEX('Call accounts and MMFs'!$D:$D,ROW()),0)</f>
        <v/>
      </c>
      <c r="N106">
        <f>IFERROR(IF(--INDEX('Call accounts and MMFs'!$E:$E,ROW())&gt;=1,--INDEX('Call accounts and MMFs'!$E:$E,ROW())/100,--INDEX('Call accounts and MMFs'!$E:$E,ROW())),0)</f>
        <v/>
      </c>
      <c r="O106">
        <f>IFERROR(--INDEX('Call accounts and MMFs'!$F:$F,ROW()),0)</f>
        <v/>
      </c>
      <c r="P106">
        <f>IF(ISNUMBER(INDEX('Call accounts and MMFs'!$E:$E,ROW())),1,0)</f>
        <v/>
      </c>
      <c r="Q106">
        <f>TRIM(SUBSTITUTE(INDEX('Pooled funds'!$B:$B,ROW())&amp;""," "," "))</f>
        <v/>
      </c>
      <c r="R106">
        <f>IFERROR(--INDEX('Pooled funds'!$C:$C,ROW()),0)</f>
        <v/>
      </c>
      <c r="S106">
        <f>IFERROR(--INDEX('Pooled funds'!$D:$D,ROW()),0)</f>
        <v/>
      </c>
      <c r="T106">
        <f>IFERROR(IF(--INDEX('Pooled funds'!$E:$E,ROW())&gt;=1,--INDEX('Pooled funds'!$E:$E,ROW())/100,--INDEX('Pooled funds'!$E:$E,ROW())),0)</f>
        <v/>
      </c>
      <c r="U106">
        <f>IF(ISNUMBER(INDEX('Pooled funds'!$E:$E,ROW())),1,0)</f>
        <v/>
      </c>
      <c r="V106">
        <f>TRIM(SUBSTITUTE(INDEX('Loans'!$A:$A,ROW())&amp;""," "," "))</f>
        <v/>
      </c>
      <c r="W106">
        <f>TRIM(SUBSTITUTE(INDEX('Loans'!$B:$B,ROW())&amp;""," "," "))</f>
        <v/>
      </c>
      <c r="X106">
        <f>TRIM(SUBSTITUTE(INDEX('Loans'!$C:$C,ROW())&amp;""," "," "))</f>
        <v/>
      </c>
      <c r="Y106">
        <f>IFERROR(--INDEX('Loans'!$D:$D,ROW()),0)</f>
        <v/>
      </c>
      <c r="Z106">
        <f>IFERROR(--INDEX('Loans'!$E:$E,ROW()),0)</f>
        <v/>
      </c>
      <c r="AA106">
        <f>IFERROR(--INDEX('Loans'!$F:$F,ROW()),0)</f>
        <v/>
      </c>
      <c r="AB106">
        <f>IFERROR(IF(--INDEX('Loans'!$G:$G,ROW())&gt;=1,--INDEX('Loans'!$G:$G,ROW())/100,--INDEX('Loans'!$G:$G,ROW())),0)</f>
        <v/>
      </c>
      <c r="AC106">
        <f>TRIM(SUBSTITUTE(INDEX('Loans'!$H:$H,ROW())&amp;""," "," "))</f>
        <v/>
      </c>
      <c r="AD106">
        <f>TRIM(SUBSTITUTE(INDEX('Loans'!$I:$I,ROW())&amp;""," "," "))</f>
        <v/>
      </c>
      <c r="AE106">
        <f>IFERROR(--INDEX('Loans'!$J:$J,ROW()),0)</f>
        <v/>
      </c>
      <c r="AF106">
        <f>TRIM(SUBSTITUTE(INDEX('Loans'!$K:$K,ROW())&amp;""," "," "))</f>
        <v/>
      </c>
      <c r="AG106">
        <f>IFERROR(--INDEX('Loans'!$L:$L,ROW()),0)</f>
        <v/>
      </c>
      <c r="AH106">
        <f>IF(ISNUMBER(INDEX('Loans'!$G:$G,ROW())),1,0)</f>
        <v/>
      </c>
    </row>
    <row r="107">
      <c r="A107">
        <f>TRIM(SUBSTITUTE(INDEX('Term investments'!$A:$A,ROW())&amp;""," "," "))</f>
        <v/>
      </c>
      <c r="B107">
        <f>TRIM(SUBSTITUTE(INDEX('Term investments'!$B:$B,ROW())&amp;""," "," "))</f>
        <v/>
      </c>
      <c r="C107">
        <f>TRIM(SUBSTITUTE(INDEX('Term investments'!$C:$C,ROW())&amp;""," "," "))</f>
        <v/>
      </c>
      <c r="D107">
        <f>IFERROR(--INDEX('Term investments'!$D:$D,ROW()),0)</f>
        <v/>
      </c>
      <c r="E107">
        <f>IFERROR(--INDEX('Term investments'!$E:$E,ROW()),0)</f>
        <v/>
      </c>
      <c r="F107">
        <f>IFERROR(--INDEX('Term investments'!$F:$F,ROW()),0)</f>
        <v/>
      </c>
      <c r="G107">
        <f>IFERROR(IF(--INDEX('Term investments'!$G:$G,ROW())&gt;=1,--INDEX('Term investments'!$G:$G,ROW())/100,--INDEX('Term investments'!$G:$G,ROW())),0)</f>
        <v/>
      </c>
      <c r="H107">
        <f>IFERROR(--INDEX('Term investments'!$H:$H,ROW()),0)</f>
        <v/>
      </c>
      <c r="I107">
        <f>IF(ISNUMBER(INDEX('Term investments'!$G:$G,ROW())),1,0)</f>
        <v/>
      </c>
      <c r="J107">
        <f>TRIM(SUBSTITUTE(INDEX('Call accounts and MMFs'!$A:$A,ROW())&amp;""," "," "))</f>
        <v/>
      </c>
      <c r="K107">
        <f>TRIM(SUBSTITUTE(INDEX('Call accounts and MMFs'!$B:$B,ROW())&amp;""," "," "))</f>
        <v/>
      </c>
      <c r="L107">
        <f>TRIM(SUBSTITUTE(INDEX('Call accounts and MMFs'!$C:$C,ROW())&amp;""," "," "))</f>
        <v/>
      </c>
      <c r="M107">
        <f>IFERROR(--INDEX('Call accounts and MMFs'!$D:$D,ROW()),0)</f>
        <v/>
      </c>
      <c r="N107">
        <f>IFERROR(IF(--INDEX('Call accounts and MMFs'!$E:$E,ROW())&gt;=1,--INDEX('Call accounts and MMFs'!$E:$E,ROW())/100,--INDEX('Call accounts and MMFs'!$E:$E,ROW())),0)</f>
        <v/>
      </c>
      <c r="O107">
        <f>IFERROR(--INDEX('Call accounts and MMFs'!$F:$F,ROW()),0)</f>
        <v/>
      </c>
      <c r="P107">
        <f>IF(ISNUMBER(INDEX('Call accounts and MMFs'!$E:$E,ROW())),1,0)</f>
        <v/>
      </c>
      <c r="Q107">
        <f>TRIM(SUBSTITUTE(INDEX('Pooled funds'!$B:$B,ROW())&amp;""," "," "))</f>
        <v/>
      </c>
      <c r="R107">
        <f>IFERROR(--INDEX('Pooled funds'!$C:$C,ROW()),0)</f>
        <v/>
      </c>
      <c r="S107">
        <f>IFERROR(--INDEX('Pooled funds'!$D:$D,ROW()),0)</f>
        <v/>
      </c>
      <c r="T107">
        <f>IFERROR(IF(--INDEX('Pooled funds'!$E:$E,ROW())&gt;=1,--INDEX('Pooled funds'!$E:$E,ROW())/100,--INDEX('Pooled funds'!$E:$E,ROW())),0)</f>
        <v/>
      </c>
      <c r="U107">
        <f>IF(ISNUMBER(INDEX('Pooled funds'!$E:$E,ROW())),1,0)</f>
        <v/>
      </c>
      <c r="V107">
        <f>TRIM(SUBSTITUTE(INDEX('Loans'!$A:$A,ROW())&amp;""," "," "))</f>
        <v/>
      </c>
      <c r="W107">
        <f>TRIM(SUBSTITUTE(INDEX('Loans'!$B:$B,ROW())&amp;""," "," "))</f>
        <v/>
      </c>
      <c r="X107">
        <f>TRIM(SUBSTITUTE(INDEX('Loans'!$C:$C,ROW())&amp;""," "," "))</f>
        <v/>
      </c>
      <c r="Y107">
        <f>IFERROR(--INDEX('Loans'!$D:$D,ROW()),0)</f>
        <v/>
      </c>
      <c r="Z107">
        <f>IFERROR(--INDEX('Loans'!$E:$E,ROW()),0)</f>
        <v/>
      </c>
      <c r="AA107">
        <f>IFERROR(--INDEX('Loans'!$F:$F,ROW()),0)</f>
        <v/>
      </c>
      <c r="AB107">
        <f>IFERROR(IF(--INDEX('Loans'!$G:$G,ROW())&gt;=1,--INDEX('Loans'!$G:$G,ROW())/100,--INDEX('Loans'!$G:$G,ROW())),0)</f>
        <v/>
      </c>
      <c r="AC107">
        <f>TRIM(SUBSTITUTE(INDEX('Loans'!$H:$H,ROW())&amp;""," "," "))</f>
        <v/>
      </c>
      <c r="AD107">
        <f>TRIM(SUBSTITUTE(INDEX('Loans'!$I:$I,ROW())&amp;""," "," "))</f>
        <v/>
      </c>
      <c r="AE107">
        <f>IFERROR(--INDEX('Loans'!$J:$J,ROW()),0)</f>
        <v/>
      </c>
      <c r="AF107">
        <f>TRIM(SUBSTITUTE(INDEX('Loans'!$K:$K,ROW())&amp;""," "," "))</f>
        <v/>
      </c>
      <c r="AG107">
        <f>IFERROR(--INDEX('Loans'!$L:$L,ROW()),0)</f>
        <v/>
      </c>
      <c r="AH107">
        <f>IF(ISNUMBER(INDEX('Loans'!$G:$G,ROW())),1,0)</f>
        <v/>
      </c>
    </row>
    <row r="108">
      <c r="A108">
        <f>TRIM(SUBSTITUTE(INDEX('Term investments'!$A:$A,ROW())&amp;""," "," "))</f>
        <v/>
      </c>
      <c r="B108">
        <f>TRIM(SUBSTITUTE(INDEX('Term investments'!$B:$B,ROW())&amp;""," "," "))</f>
        <v/>
      </c>
      <c r="C108">
        <f>TRIM(SUBSTITUTE(INDEX('Term investments'!$C:$C,ROW())&amp;""," "," "))</f>
        <v/>
      </c>
      <c r="D108">
        <f>IFERROR(--INDEX('Term investments'!$D:$D,ROW()),0)</f>
        <v/>
      </c>
      <c r="E108">
        <f>IFERROR(--INDEX('Term investments'!$E:$E,ROW()),0)</f>
        <v/>
      </c>
      <c r="F108">
        <f>IFERROR(--INDEX('Term investments'!$F:$F,ROW()),0)</f>
        <v/>
      </c>
      <c r="G108">
        <f>IFERROR(IF(--INDEX('Term investments'!$G:$G,ROW())&gt;=1,--INDEX('Term investments'!$G:$G,ROW())/100,--INDEX('Term investments'!$G:$G,ROW())),0)</f>
        <v/>
      </c>
      <c r="H108">
        <f>IFERROR(--INDEX('Term investments'!$H:$H,ROW()),0)</f>
        <v/>
      </c>
      <c r="I108">
        <f>IF(ISNUMBER(INDEX('Term investments'!$G:$G,ROW())),1,0)</f>
        <v/>
      </c>
      <c r="J108">
        <f>TRIM(SUBSTITUTE(INDEX('Call accounts and MMFs'!$A:$A,ROW())&amp;""," "," "))</f>
        <v/>
      </c>
      <c r="K108">
        <f>TRIM(SUBSTITUTE(INDEX('Call accounts and MMFs'!$B:$B,ROW())&amp;""," "," "))</f>
        <v/>
      </c>
      <c r="L108">
        <f>TRIM(SUBSTITUTE(INDEX('Call accounts and MMFs'!$C:$C,ROW())&amp;""," "," "))</f>
        <v/>
      </c>
      <c r="M108">
        <f>IFERROR(--INDEX('Call accounts and MMFs'!$D:$D,ROW()),0)</f>
        <v/>
      </c>
      <c r="N108">
        <f>IFERROR(IF(--INDEX('Call accounts and MMFs'!$E:$E,ROW())&gt;=1,--INDEX('Call accounts and MMFs'!$E:$E,ROW())/100,--INDEX('Call accounts and MMFs'!$E:$E,ROW())),0)</f>
        <v/>
      </c>
      <c r="O108">
        <f>IFERROR(--INDEX('Call accounts and MMFs'!$F:$F,ROW()),0)</f>
        <v/>
      </c>
      <c r="P108">
        <f>IF(ISNUMBER(INDEX('Call accounts and MMFs'!$E:$E,ROW())),1,0)</f>
        <v/>
      </c>
      <c r="Q108">
        <f>TRIM(SUBSTITUTE(INDEX('Pooled funds'!$B:$B,ROW())&amp;""," "," "))</f>
        <v/>
      </c>
      <c r="R108">
        <f>IFERROR(--INDEX('Pooled funds'!$C:$C,ROW()),0)</f>
        <v/>
      </c>
      <c r="S108">
        <f>IFERROR(--INDEX('Pooled funds'!$D:$D,ROW()),0)</f>
        <v/>
      </c>
      <c r="T108">
        <f>IFERROR(IF(--INDEX('Pooled funds'!$E:$E,ROW())&gt;=1,--INDEX('Pooled funds'!$E:$E,ROW())/100,--INDEX('Pooled funds'!$E:$E,ROW())),0)</f>
        <v/>
      </c>
      <c r="U108">
        <f>IF(ISNUMBER(INDEX('Pooled funds'!$E:$E,ROW())),1,0)</f>
        <v/>
      </c>
      <c r="V108">
        <f>TRIM(SUBSTITUTE(INDEX('Loans'!$A:$A,ROW())&amp;""," "," "))</f>
        <v/>
      </c>
      <c r="W108">
        <f>TRIM(SUBSTITUTE(INDEX('Loans'!$B:$B,ROW())&amp;""," "," "))</f>
        <v/>
      </c>
      <c r="X108">
        <f>TRIM(SUBSTITUTE(INDEX('Loans'!$C:$C,ROW())&amp;""," "," "))</f>
        <v/>
      </c>
      <c r="Y108">
        <f>IFERROR(--INDEX('Loans'!$D:$D,ROW()),0)</f>
        <v/>
      </c>
      <c r="Z108">
        <f>IFERROR(--INDEX('Loans'!$E:$E,ROW()),0)</f>
        <v/>
      </c>
      <c r="AA108">
        <f>IFERROR(--INDEX('Loans'!$F:$F,ROW()),0)</f>
        <v/>
      </c>
      <c r="AB108">
        <f>IFERROR(IF(--INDEX('Loans'!$G:$G,ROW())&gt;=1,--INDEX('Loans'!$G:$G,ROW())/100,--INDEX('Loans'!$G:$G,ROW())),0)</f>
        <v/>
      </c>
      <c r="AC108">
        <f>TRIM(SUBSTITUTE(INDEX('Loans'!$H:$H,ROW())&amp;""," "," "))</f>
        <v/>
      </c>
      <c r="AD108">
        <f>TRIM(SUBSTITUTE(INDEX('Loans'!$I:$I,ROW())&amp;""," "," "))</f>
        <v/>
      </c>
      <c r="AE108">
        <f>IFERROR(--INDEX('Loans'!$J:$J,ROW()),0)</f>
        <v/>
      </c>
      <c r="AF108">
        <f>TRIM(SUBSTITUTE(INDEX('Loans'!$K:$K,ROW())&amp;""," "," "))</f>
        <v/>
      </c>
      <c r="AG108">
        <f>IFERROR(--INDEX('Loans'!$L:$L,ROW()),0)</f>
        <v/>
      </c>
      <c r="AH108">
        <f>IF(ISNUMBER(INDEX('Loans'!$G:$G,ROW())),1,0)</f>
        <v/>
      </c>
    </row>
    <row r="109">
      <c r="A109">
        <f>TRIM(SUBSTITUTE(INDEX('Term investments'!$A:$A,ROW())&amp;""," "," "))</f>
        <v/>
      </c>
      <c r="B109">
        <f>TRIM(SUBSTITUTE(INDEX('Term investments'!$B:$B,ROW())&amp;""," "," "))</f>
        <v/>
      </c>
      <c r="C109">
        <f>TRIM(SUBSTITUTE(INDEX('Term investments'!$C:$C,ROW())&amp;""," "," "))</f>
        <v/>
      </c>
      <c r="D109">
        <f>IFERROR(--INDEX('Term investments'!$D:$D,ROW()),0)</f>
        <v/>
      </c>
      <c r="E109">
        <f>IFERROR(--INDEX('Term investments'!$E:$E,ROW()),0)</f>
        <v/>
      </c>
      <c r="F109">
        <f>IFERROR(--INDEX('Term investments'!$F:$F,ROW()),0)</f>
        <v/>
      </c>
      <c r="G109">
        <f>IFERROR(IF(--INDEX('Term investments'!$G:$G,ROW())&gt;=1,--INDEX('Term investments'!$G:$G,ROW())/100,--INDEX('Term investments'!$G:$G,ROW())),0)</f>
        <v/>
      </c>
      <c r="H109">
        <f>IFERROR(--INDEX('Term investments'!$H:$H,ROW()),0)</f>
        <v/>
      </c>
      <c r="I109">
        <f>IF(ISNUMBER(INDEX('Term investments'!$G:$G,ROW())),1,0)</f>
        <v/>
      </c>
      <c r="J109">
        <f>TRIM(SUBSTITUTE(INDEX('Call accounts and MMFs'!$A:$A,ROW())&amp;""," "," "))</f>
        <v/>
      </c>
      <c r="K109">
        <f>TRIM(SUBSTITUTE(INDEX('Call accounts and MMFs'!$B:$B,ROW())&amp;""," "," "))</f>
        <v/>
      </c>
      <c r="L109">
        <f>TRIM(SUBSTITUTE(INDEX('Call accounts and MMFs'!$C:$C,ROW())&amp;""," "," "))</f>
        <v/>
      </c>
      <c r="M109">
        <f>IFERROR(--INDEX('Call accounts and MMFs'!$D:$D,ROW()),0)</f>
        <v/>
      </c>
      <c r="N109">
        <f>IFERROR(IF(--INDEX('Call accounts and MMFs'!$E:$E,ROW())&gt;=1,--INDEX('Call accounts and MMFs'!$E:$E,ROW())/100,--INDEX('Call accounts and MMFs'!$E:$E,ROW())),0)</f>
        <v/>
      </c>
      <c r="O109">
        <f>IFERROR(--INDEX('Call accounts and MMFs'!$F:$F,ROW()),0)</f>
        <v/>
      </c>
      <c r="P109">
        <f>IF(ISNUMBER(INDEX('Call accounts and MMFs'!$E:$E,ROW())),1,0)</f>
        <v/>
      </c>
      <c r="Q109">
        <f>TRIM(SUBSTITUTE(INDEX('Pooled funds'!$B:$B,ROW())&amp;""," "," "))</f>
        <v/>
      </c>
      <c r="R109">
        <f>IFERROR(--INDEX('Pooled funds'!$C:$C,ROW()),0)</f>
        <v/>
      </c>
      <c r="S109">
        <f>IFERROR(--INDEX('Pooled funds'!$D:$D,ROW()),0)</f>
        <v/>
      </c>
      <c r="T109">
        <f>IFERROR(IF(--INDEX('Pooled funds'!$E:$E,ROW())&gt;=1,--INDEX('Pooled funds'!$E:$E,ROW())/100,--INDEX('Pooled funds'!$E:$E,ROW())),0)</f>
        <v/>
      </c>
      <c r="U109">
        <f>IF(ISNUMBER(INDEX('Pooled funds'!$E:$E,ROW())),1,0)</f>
        <v/>
      </c>
      <c r="V109">
        <f>TRIM(SUBSTITUTE(INDEX('Loans'!$A:$A,ROW())&amp;""," "," "))</f>
        <v/>
      </c>
      <c r="W109">
        <f>TRIM(SUBSTITUTE(INDEX('Loans'!$B:$B,ROW())&amp;""," "," "))</f>
        <v/>
      </c>
      <c r="X109">
        <f>TRIM(SUBSTITUTE(INDEX('Loans'!$C:$C,ROW())&amp;""," "," "))</f>
        <v/>
      </c>
      <c r="Y109">
        <f>IFERROR(--INDEX('Loans'!$D:$D,ROW()),0)</f>
        <v/>
      </c>
      <c r="Z109">
        <f>IFERROR(--INDEX('Loans'!$E:$E,ROW()),0)</f>
        <v/>
      </c>
      <c r="AA109">
        <f>IFERROR(--INDEX('Loans'!$F:$F,ROW()),0)</f>
        <v/>
      </c>
      <c r="AB109">
        <f>IFERROR(IF(--INDEX('Loans'!$G:$G,ROW())&gt;=1,--INDEX('Loans'!$G:$G,ROW())/100,--INDEX('Loans'!$G:$G,ROW())),0)</f>
        <v/>
      </c>
      <c r="AC109">
        <f>TRIM(SUBSTITUTE(INDEX('Loans'!$H:$H,ROW())&amp;""," "," "))</f>
        <v/>
      </c>
      <c r="AD109">
        <f>TRIM(SUBSTITUTE(INDEX('Loans'!$I:$I,ROW())&amp;""," "," "))</f>
        <v/>
      </c>
      <c r="AE109">
        <f>IFERROR(--INDEX('Loans'!$J:$J,ROW()),0)</f>
        <v/>
      </c>
      <c r="AF109">
        <f>TRIM(SUBSTITUTE(INDEX('Loans'!$K:$K,ROW())&amp;""," "," "))</f>
        <v/>
      </c>
      <c r="AG109">
        <f>IFERROR(--INDEX('Loans'!$L:$L,ROW()),0)</f>
        <v/>
      </c>
      <c r="AH109">
        <f>IF(ISNUMBER(INDEX('Loans'!$G:$G,ROW())),1,0)</f>
        <v/>
      </c>
    </row>
    <row r="110">
      <c r="A110">
        <f>TRIM(SUBSTITUTE(INDEX('Term investments'!$A:$A,ROW())&amp;""," "," "))</f>
        <v/>
      </c>
      <c r="B110">
        <f>TRIM(SUBSTITUTE(INDEX('Term investments'!$B:$B,ROW())&amp;""," "," "))</f>
        <v/>
      </c>
      <c r="C110">
        <f>TRIM(SUBSTITUTE(INDEX('Term investments'!$C:$C,ROW())&amp;""," "," "))</f>
        <v/>
      </c>
      <c r="D110">
        <f>IFERROR(--INDEX('Term investments'!$D:$D,ROW()),0)</f>
        <v/>
      </c>
      <c r="E110">
        <f>IFERROR(--INDEX('Term investments'!$E:$E,ROW()),0)</f>
        <v/>
      </c>
      <c r="F110">
        <f>IFERROR(--INDEX('Term investments'!$F:$F,ROW()),0)</f>
        <v/>
      </c>
      <c r="G110">
        <f>IFERROR(IF(--INDEX('Term investments'!$G:$G,ROW())&gt;=1,--INDEX('Term investments'!$G:$G,ROW())/100,--INDEX('Term investments'!$G:$G,ROW())),0)</f>
        <v/>
      </c>
      <c r="H110">
        <f>IFERROR(--INDEX('Term investments'!$H:$H,ROW()),0)</f>
        <v/>
      </c>
      <c r="I110">
        <f>IF(ISNUMBER(INDEX('Term investments'!$G:$G,ROW())),1,0)</f>
        <v/>
      </c>
      <c r="J110">
        <f>TRIM(SUBSTITUTE(INDEX('Call accounts and MMFs'!$A:$A,ROW())&amp;""," "," "))</f>
        <v/>
      </c>
      <c r="K110">
        <f>TRIM(SUBSTITUTE(INDEX('Call accounts and MMFs'!$B:$B,ROW())&amp;""," "," "))</f>
        <v/>
      </c>
      <c r="L110">
        <f>TRIM(SUBSTITUTE(INDEX('Call accounts and MMFs'!$C:$C,ROW())&amp;""," "," "))</f>
        <v/>
      </c>
      <c r="M110">
        <f>IFERROR(--INDEX('Call accounts and MMFs'!$D:$D,ROW()),0)</f>
        <v/>
      </c>
      <c r="N110">
        <f>IFERROR(IF(--INDEX('Call accounts and MMFs'!$E:$E,ROW())&gt;=1,--INDEX('Call accounts and MMFs'!$E:$E,ROW())/100,--INDEX('Call accounts and MMFs'!$E:$E,ROW())),0)</f>
        <v/>
      </c>
      <c r="O110">
        <f>IFERROR(--INDEX('Call accounts and MMFs'!$F:$F,ROW()),0)</f>
        <v/>
      </c>
      <c r="P110">
        <f>IF(ISNUMBER(INDEX('Call accounts and MMFs'!$E:$E,ROW())),1,0)</f>
        <v/>
      </c>
      <c r="Q110">
        <f>TRIM(SUBSTITUTE(INDEX('Pooled funds'!$B:$B,ROW())&amp;""," "," "))</f>
        <v/>
      </c>
      <c r="R110">
        <f>IFERROR(--INDEX('Pooled funds'!$C:$C,ROW()),0)</f>
        <v/>
      </c>
      <c r="S110">
        <f>IFERROR(--INDEX('Pooled funds'!$D:$D,ROW()),0)</f>
        <v/>
      </c>
      <c r="T110">
        <f>IFERROR(IF(--INDEX('Pooled funds'!$E:$E,ROW())&gt;=1,--INDEX('Pooled funds'!$E:$E,ROW())/100,--INDEX('Pooled funds'!$E:$E,ROW())),0)</f>
        <v/>
      </c>
      <c r="U110">
        <f>IF(ISNUMBER(INDEX('Pooled funds'!$E:$E,ROW())),1,0)</f>
        <v/>
      </c>
      <c r="V110">
        <f>TRIM(SUBSTITUTE(INDEX('Loans'!$A:$A,ROW())&amp;""," "," "))</f>
        <v/>
      </c>
      <c r="W110">
        <f>TRIM(SUBSTITUTE(INDEX('Loans'!$B:$B,ROW())&amp;""," "," "))</f>
        <v/>
      </c>
      <c r="X110">
        <f>TRIM(SUBSTITUTE(INDEX('Loans'!$C:$C,ROW())&amp;""," "," "))</f>
        <v/>
      </c>
      <c r="Y110">
        <f>IFERROR(--INDEX('Loans'!$D:$D,ROW()),0)</f>
        <v/>
      </c>
      <c r="Z110">
        <f>IFERROR(--INDEX('Loans'!$E:$E,ROW()),0)</f>
        <v/>
      </c>
      <c r="AA110">
        <f>IFERROR(--INDEX('Loans'!$F:$F,ROW()),0)</f>
        <v/>
      </c>
      <c r="AB110">
        <f>IFERROR(IF(--INDEX('Loans'!$G:$G,ROW())&gt;=1,--INDEX('Loans'!$G:$G,ROW())/100,--INDEX('Loans'!$G:$G,ROW())),0)</f>
        <v/>
      </c>
      <c r="AC110">
        <f>TRIM(SUBSTITUTE(INDEX('Loans'!$H:$H,ROW())&amp;""," "," "))</f>
        <v/>
      </c>
      <c r="AD110">
        <f>TRIM(SUBSTITUTE(INDEX('Loans'!$I:$I,ROW())&amp;""," "," "))</f>
        <v/>
      </c>
      <c r="AE110">
        <f>IFERROR(--INDEX('Loans'!$J:$J,ROW()),0)</f>
        <v/>
      </c>
      <c r="AF110">
        <f>TRIM(SUBSTITUTE(INDEX('Loans'!$K:$K,ROW())&amp;""," "," "))</f>
        <v/>
      </c>
      <c r="AG110">
        <f>IFERROR(--INDEX('Loans'!$L:$L,ROW()),0)</f>
        <v/>
      </c>
      <c r="AH110">
        <f>IF(ISNUMBER(INDEX('Loans'!$G:$G,ROW())),1,0)</f>
        <v/>
      </c>
    </row>
    <row r="111">
      <c r="A111">
        <f>TRIM(SUBSTITUTE(INDEX('Term investments'!$A:$A,ROW())&amp;""," "," "))</f>
        <v/>
      </c>
      <c r="B111">
        <f>TRIM(SUBSTITUTE(INDEX('Term investments'!$B:$B,ROW())&amp;""," "," "))</f>
        <v/>
      </c>
      <c r="C111">
        <f>TRIM(SUBSTITUTE(INDEX('Term investments'!$C:$C,ROW())&amp;""," "," "))</f>
        <v/>
      </c>
      <c r="D111">
        <f>IFERROR(--INDEX('Term investments'!$D:$D,ROW()),0)</f>
        <v/>
      </c>
      <c r="E111">
        <f>IFERROR(--INDEX('Term investments'!$E:$E,ROW()),0)</f>
        <v/>
      </c>
      <c r="F111">
        <f>IFERROR(--INDEX('Term investments'!$F:$F,ROW()),0)</f>
        <v/>
      </c>
      <c r="G111">
        <f>IFERROR(IF(--INDEX('Term investments'!$G:$G,ROW())&gt;=1,--INDEX('Term investments'!$G:$G,ROW())/100,--INDEX('Term investments'!$G:$G,ROW())),0)</f>
        <v/>
      </c>
      <c r="H111">
        <f>IFERROR(--INDEX('Term investments'!$H:$H,ROW()),0)</f>
        <v/>
      </c>
      <c r="I111">
        <f>IF(ISNUMBER(INDEX('Term investments'!$G:$G,ROW())),1,0)</f>
        <v/>
      </c>
      <c r="J111">
        <f>TRIM(SUBSTITUTE(INDEX('Call accounts and MMFs'!$A:$A,ROW())&amp;""," "," "))</f>
        <v/>
      </c>
      <c r="K111">
        <f>TRIM(SUBSTITUTE(INDEX('Call accounts and MMFs'!$B:$B,ROW())&amp;""," "," "))</f>
        <v/>
      </c>
      <c r="L111">
        <f>TRIM(SUBSTITUTE(INDEX('Call accounts and MMFs'!$C:$C,ROW())&amp;""," "," "))</f>
        <v/>
      </c>
      <c r="M111">
        <f>IFERROR(--INDEX('Call accounts and MMFs'!$D:$D,ROW()),0)</f>
        <v/>
      </c>
      <c r="N111">
        <f>IFERROR(IF(--INDEX('Call accounts and MMFs'!$E:$E,ROW())&gt;=1,--INDEX('Call accounts and MMFs'!$E:$E,ROW())/100,--INDEX('Call accounts and MMFs'!$E:$E,ROW())),0)</f>
        <v/>
      </c>
      <c r="O111">
        <f>IFERROR(--INDEX('Call accounts and MMFs'!$F:$F,ROW()),0)</f>
        <v/>
      </c>
      <c r="P111">
        <f>IF(ISNUMBER(INDEX('Call accounts and MMFs'!$E:$E,ROW())),1,0)</f>
        <v/>
      </c>
      <c r="Q111">
        <f>TRIM(SUBSTITUTE(INDEX('Pooled funds'!$B:$B,ROW())&amp;""," "," "))</f>
        <v/>
      </c>
      <c r="R111">
        <f>IFERROR(--INDEX('Pooled funds'!$C:$C,ROW()),0)</f>
        <v/>
      </c>
      <c r="S111">
        <f>IFERROR(--INDEX('Pooled funds'!$D:$D,ROW()),0)</f>
        <v/>
      </c>
      <c r="T111">
        <f>IFERROR(IF(--INDEX('Pooled funds'!$E:$E,ROW())&gt;=1,--INDEX('Pooled funds'!$E:$E,ROW())/100,--INDEX('Pooled funds'!$E:$E,ROW())),0)</f>
        <v/>
      </c>
      <c r="U111">
        <f>IF(ISNUMBER(INDEX('Pooled funds'!$E:$E,ROW())),1,0)</f>
        <v/>
      </c>
      <c r="V111">
        <f>TRIM(SUBSTITUTE(INDEX('Loans'!$A:$A,ROW())&amp;""," "," "))</f>
        <v/>
      </c>
      <c r="W111">
        <f>TRIM(SUBSTITUTE(INDEX('Loans'!$B:$B,ROW())&amp;""," "," "))</f>
        <v/>
      </c>
      <c r="X111">
        <f>TRIM(SUBSTITUTE(INDEX('Loans'!$C:$C,ROW())&amp;""," "," "))</f>
        <v/>
      </c>
      <c r="Y111">
        <f>IFERROR(--INDEX('Loans'!$D:$D,ROW()),0)</f>
        <v/>
      </c>
      <c r="Z111">
        <f>IFERROR(--INDEX('Loans'!$E:$E,ROW()),0)</f>
        <v/>
      </c>
      <c r="AA111">
        <f>IFERROR(--INDEX('Loans'!$F:$F,ROW()),0)</f>
        <v/>
      </c>
      <c r="AB111">
        <f>IFERROR(IF(--INDEX('Loans'!$G:$G,ROW())&gt;=1,--INDEX('Loans'!$G:$G,ROW())/100,--INDEX('Loans'!$G:$G,ROW())),0)</f>
        <v/>
      </c>
      <c r="AC111">
        <f>TRIM(SUBSTITUTE(INDEX('Loans'!$H:$H,ROW())&amp;""," "," "))</f>
        <v/>
      </c>
      <c r="AD111">
        <f>TRIM(SUBSTITUTE(INDEX('Loans'!$I:$I,ROW())&amp;""," "," "))</f>
        <v/>
      </c>
      <c r="AE111">
        <f>IFERROR(--INDEX('Loans'!$J:$J,ROW()),0)</f>
        <v/>
      </c>
      <c r="AF111">
        <f>TRIM(SUBSTITUTE(INDEX('Loans'!$K:$K,ROW())&amp;""," "," "))</f>
        <v/>
      </c>
      <c r="AG111">
        <f>IFERROR(--INDEX('Loans'!$L:$L,ROW()),0)</f>
        <v/>
      </c>
      <c r="AH111">
        <f>IF(ISNUMBER(INDEX('Loans'!$G:$G,ROW())),1,0)</f>
        <v/>
      </c>
    </row>
    <row r="112">
      <c r="A112">
        <f>TRIM(SUBSTITUTE(INDEX('Term investments'!$A:$A,ROW())&amp;""," "," "))</f>
        <v/>
      </c>
      <c r="B112">
        <f>TRIM(SUBSTITUTE(INDEX('Term investments'!$B:$B,ROW())&amp;""," "," "))</f>
        <v/>
      </c>
      <c r="C112">
        <f>TRIM(SUBSTITUTE(INDEX('Term investments'!$C:$C,ROW())&amp;""," "," "))</f>
        <v/>
      </c>
      <c r="D112">
        <f>IFERROR(--INDEX('Term investments'!$D:$D,ROW()),0)</f>
        <v/>
      </c>
      <c r="E112">
        <f>IFERROR(--INDEX('Term investments'!$E:$E,ROW()),0)</f>
        <v/>
      </c>
      <c r="F112">
        <f>IFERROR(--INDEX('Term investments'!$F:$F,ROW()),0)</f>
        <v/>
      </c>
      <c r="G112">
        <f>IFERROR(IF(--INDEX('Term investments'!$G:$G,ROW())&gt;=1,--INDEX('Term investments'!$G:$G,ROW())/100,--INDEX('Term investments'!$G:$G,ROW())),0)</f>
        <v/>
      </c>
      <c r="H112">
        <f>IFERROR(--INDEX('Term investments'!$H:$H,ROW()),0)</f>
        <v/>
      </c>
      <c r="I112">
        <f>IF(ISNUMBER(INDEX('Term investments'!$G:$G,ROW())),1,0)</f>
        <v/>
      </c>
      <c r="J112">
        <f>TRIM(SUBSTITUTE(INDEX('Call accounts and MMFs'!$A:$A,ROW())&amp;""," "," "))</f>
        <v/>
      </c>
      <c r="K112">
        <f>TRIM(SUBSTITUTE(INDEX('Call accounts and MMFs'!$B:$B,ROW())&amp;""," "," "))</f>
        <v/>
      </c>
      <c r="L112">
        <f>TRIM(SUBSTITUTE(INDEX('Call accounts and MMFs'!$C:$C,ROW())&amp;""," "," "))</f>
        <v/>
      </c>
      <c r="M112">
        <f>IFERROR(--INDEX('Call accounts and MMFs'!$D:$D,ROW()),0)</f>
        <v/>
      </c>
      <c r="N112">
        <f>IFERROR(IF(--INDEX('Call accounts and MMFs'!$E:$E,ROW())&gt;=1,--INDEX('Call accounts and MMFs'!$E:$E,ROW())/100,--INDEX('Call accounts and MMFs'!$E:$E,ROW())),0)</f>
        <v/>
      </c>
      <c r="O112">
        <f>IFERROR(--INDEX('Call accounts and MMFs'!$F:$F,ROW()),0)</f>
        <v/>
      </c>
      <c r="P112">
        <f>IF(ISNUMBER(INDEX('Call accounts and MMFs'!$E:$E,ROW())),1,0)</f>
        <v/>
      </c>
      <c r="Q112">
        <f>TRIM(SUBSTITUTE(INDEX('Pooled funds'!$B:$B,ROW())&amp;""," "," "))</f>
        <v/>
      </c>
      <c r="R112">
        <f>IFERROR(--INDEX('Pooled funds'!$C:$C,ROW()),0)</f>
        <v/>
      </c>
      <c r="S112">
        <f>IFERROR(--INDEX('Pooled funds'!$D:$D,ROW()),0)</f>
        <v/>
      </c>
      <c r="T112">
        <f>IFERROR(IF(--INDEX('Pooled funds'!$E:$E,ROW())&gt;=1,--INDEX('Pooled funds'!$E:$E,ROW())/100,--INDEX('Pooled funds'!$E:$E,ROW())),0)</f>
        <v/>
      </c>
      <c r="U112">
        <f>IF(ISNUMBER(INDEX('Pooled funds'!$E:$E,ROW())),1,0)</f>
        <v/>
      </c>
      <c r="V112">
        <f>TRIM(SUBSTITUTE(INDEX('Loans'!$A:$A,ROW())&amp;""," "," "))</f>
        <v/>
      </c>
      <c r="W112">
        <f>TRIM(SUBSTITUTE(INDEX('Loans'!$B:$B,ROW())&amp;""," "," "))</f>
        <v/>
      </c>
      <c r="X112">
        <f>TRIM(SUBSTITUTE(INDEX('Loans'!$C:$C,ROW())&amp;""," "," "))</f>
        <v/>
      </c>
      <c r="Y112">
        <f>IFERROR(--INDEX('Loans'!$D:$D,ROW()),0)</f>
        <v/>
      </c>
      <c r="Z112">
        <f>IFERROR(--INDEX('Loans'!$E:$E,ROW()),0)</f>
        <v/>
      </c>
      <c r="AA112">
        <f>IFERROR(--INDEX('Loans'!$F:$F,ROW()),0)</f>
        <v/>
      </c>
      <c r="AB112">
        <f>IFERROR(IF(--INDEX('Loans'!$G:$G,ROW())&gt;=1,--INDEX('Loans'!$G:$G,ROW())/100,--INDEX('Loans'!$G:$G,ROW())),0)</f>
        <v/>
      </c>
      <c r="AC112">
        <f>TRIM(SUBSTITUTE(INDEX('Loans'!$H:$H,ROW())&amp;""," "," "))</f>
        <v/>
      </c>
      <c r="AD112">
        <f>TRIM(SUBSTITUTE(INDEX('Loans'!$I:$I,ROW())&amp;""," "," "))</f>
        <v/>
      </c>
      <c r="AE112">
        <f>IFERROR(--INDEX('Loans'!$J:$J,ROW()),0)</f>
        <v/>
      </c>
      <c r="AF112">
        <f>TRIM(SUBSTITUTE(INDEX('Loans'!$K:$K,ROW())&amp;""," "," "))</f>
        <v/>
      </c>
      <c r="AG112">
        <f>IFERROR(--INDEX('Loans'!$L:$L,ROW()),0)</f>
        <v/>
      </c>
      <c r="AH112">
        <f>IF(ISNUMBER(INDEX('Loans'!$G:$G,ROW())),1,0)</f>
        <v/>
      </c>
    </row>
    <row r="113">
      <c r="A113">
        <f>TRIM(SUBSTITUTE(INDEX('Term investments'!$A:$A,ROW())&amp;""," "," "))</f>
        <v/>
      </c>
      <c r="B113">
        <f>TRIM(SUBSTITUTE(INDEX('Term investments'!$B:$B,ROW())&amp;""," "," "))</f>
        <v/>
      </c>
      <c r="C113">
        <f>TRIM(SUBSTITUTE(INDEX('Term investments'!$C:$C,ROW())&amp;""," "," "))</f>
        <v/>
      </c>
      <c r="D113">
        <f>IFERROR(--INDEX('Term investments'!$D:$D,ROW()),0)</f>
        <v/>
      </c>
      <c r="E113">
        <f>IFERROR(--INDEX('Term investments'!$E:$E,ROW()),0)</f>
        <v/>
      </c>
      <c r="F113">
        <f>IFERROR(--INDEX('Term investments'!$F:$F,ROW()),0)</f>
        <v/>
      </c>
      <c r="G113">
        <f>IFERROR(IF(--INDEX('Term investments'!$G:$G,ROW())&gt;=1,--INDEX('Term investments'!$G:$G,ROW())/100,--INDEX('Term investments'!$G:$G,ROW())),0)</f>
        <v/>
      </c>
      <c r="H113">
        <f>IFERROR(--INDEX('Term investments'!$H:$H,ROW()),0)</f>
        <v/>
      </c>
      <c r="I113">
        <f>IF(ISNUMBER(INDEX('Term investments'!$G:$G,ROW())),1,0)</f>
        <v/>
      </c>
      <c r="J113">
        <f>TRIM(SUBSTITUTE(INDEX('Call accounts and MMFs'!$A:$A,ROW())&amp;""," "," "))</f>
        <v/>
      </c>
      <c r="K113">
        <f>TRIM(SUBSTITUTE(INDEX('Call accounts and MMFs'!$B:$B,ROW())&amp;""," "," "))</f>
        <v/>
      </c>
      <c r="L113">
        <f>TRIM(SUBSTITUTE(INDEX('Call accounts and MMFs'!$C:$C,ROW())&amp;""," "," "))</f>
        <v/>
      </c>
      <c r="M113">
        <f>IFERROR(--INDEX('Call accounts and MMFs'!$D:$D,ROW()),0)</f>
        <v/>
      </c>
      <c r="N113">
        <f>IFERROR(IF(--INDEX('Call accounts and MMFs'!$E:$E,ROW())&gt;=1,--INDEX('Call accounts and MMFs'!$E:$E,ROW())/100,--INDEX('Call accounts and MMFs'!$E:$E,ROW())),0)</f>
        <v/>
      </c>
      <c r="O113">
        <f>IFERROR(--INDEX('Call accounts and MMFs'!$F:$F,ROW()),0)</f>
        <v/>
      </c>
      <c r="P113">
        <f>IF(ISNUMBER(INDEX('Call accounts and MMFs'!$E:$E,ROW())),1,0)</f>
        <v/>
      </c>
      <c r="Q113">
        <f>TRIM(SUBSTITUTE(INDEX('Pooled funds'!$B:$B,ROW())&amp;""," "," "))</f>
        <v/>
      </c>
      <c r="R113">
        <f>IFERROR(--INDEX('Pooled funds'!$C:$C,ROW()),0)</f>
        <v/>
      </c>
      <c r="S113">
        <f>IFERROR(--INDEX('Pooled funds'!$D:$D,ROW()),0)</f>
        <v/>
      </c>
      <c r="T113">
        <f>IFERROR(IF(--INDEX('Pooled funds'!$E:$E,ROW())&gt;=1,--INDEX('Pooled funds'!$E:$E,ROW())/100,--INDEX('Pooled funds'!$E:$E,ROW())),0)</f>
        <v/>
      </c>
      <c r="U113">
        <f>IF(ISNUMBER(INDEX('Pooled funds'!$E:$E,ROW())),1,0)</f>
        <v/>
      </c>
      <c r="V113">
        <f>TRIM(SUBSTITUTE(INDEX('Loans'!$A:$A,ROW())&amp;""," "," "))</f>
        <v/>
      </c>
      <c r="W113">
        <f>TRIM(SUBSTITUTE(INDEX('Loans'!$B:$B,ROW())&amp;""," "," "))</f>
        <v/>
      </c>
      <c r="X113">
        <f>TRIM(SUBSTITUTE(INDEX('Loans'!$C:$C,ROW())&amp;""," "," "))</f>
        <v/>
      </c>
      <c r="Y113">
        <f>IFERROR(--INDEX('Loans'!$D:$D,ROW()),0)</f>
        <v/>
      </c>
      <c r="Z113">
        <f>IFERROR(--INDEX('Loans'!$E:$E,ROW()),0)</f>
        <v/>
      </c>
      <c r="AA113">
        <f>IFERROR(--INDEX('Loans'!$F:$F,ROW()),0)</f>
        <v/>
      </c>
      <c r="AB113">
        <f>IFERROR(IF(--INDEX('Loans'!$G:$G,ROW())&gt;=1,--INDEX('Loans'!$G:$G,ROW())/100,--INDEX('Loans'!$G:$G,ROW())),0)</f>
        <v/>
      </c>
      <c r="AC113">
        <f>TRIM(SUBSTITUTE(INDEX('Loans'!$H:$H,ROW())&amp;""," "," "))</f>
        <v/>
      </c>
      <c r="AD113">
        <f>TRIM(SUBSTITUTE(INDEX('Loans'!$I:$I,ROW())&amp;""," "," "))</f>
        <v/>
      </c>
      <c r="AE113">
        <f>IFERROR(--INDEX('Loans'!$J:$J,ROW()),0)</f>
        <v/>
      </c>
      <c r="AF113">
        <f>TRIM(SUBSTITUTE(INDEX('Loans'!$K:$K,ROW())&amp;""," "," "))</f>
        <v/>
      </c>
      <c r="AG113">
        <f>IFERROR(--INDEX('Loans'!$L:$L,ROW()),0)</f>
        <v/>
      </c>
      <c r="AH113">
        <f>IF(ISNUMBER(INDEX('Loans'!$G:$G,ROW())),1,0)</f>
        <v/>
      </c>
    </row>
    <row r="114">
      <c r="A114">
        <f>TRIM(SUBSTITUTE(INDEX('Term investments'!$A:$A,ROW())&amp;""," "," "))</f>
        <v/>
      </c>
      <c r="B114">
        <f>TRIM(SUBSTITUTE(INDEX('Term investments'!$B:$B,ROW())&amp;""," "," "))</f>
        <v/>
      </c>
      <c r="C114">
        <f>TRIM(SUBSTITUTE(INDEX('Term investments'!$C:$C,ROW())&amp;""," "," "))</f>
        <v/>
      </c>
      <c r="D114">
        <f>IFERROR(--INDEX('Term investments'!$D:$D,ROW()),0)</f>
        <v/>
      </c>
      <c r="E114">
        <f>IFERROR(--INDEX('Term investments'!$E:$E,ROW()),0)</f>
        <v/>
      </c>
      <c r="F114">
        <f>IFERROR(--INDEX('Term investments'!$F:$F,ROW()),0)</f>
        <v/>
      </c>
      <c r="G114">
        <f>IFERROR(IF(--INDEX('Term investments'!$G:$G,ROW())&gt;=1,--INDEX('Term investments'!$G:$G,ROW())/100,--INDEX('Term investments'!$G:$G,ROW())),0)</f>
        <v/>
      </c>
      <c r="H114">
        <f>IFERROR(--INDEX('Term investments'!$H:$H,ROW()),0)</f>
        <v/>
      </c>
      <c r="I114">
        <f>IF(ISNUMBER(INDEX('Term investments'!$G:$G,ROW())),1,0)</f>
        <v/>
      </c>
      <c r="J114">
        <f>TRIM(SUBSTITUTE(INDEX('Call accounts and MMFs'!$A:$A,ROW())&amp;""," "," "))</f>
        <v/>
      </c>
      <c r="K114">
        <f>TRIM(SUBSTITUTE(INDEX('Call accounts and MMFs'!$B:$B,ROW())&amp;""," "," "))</f>
        <v/>
      </c>
      <c r="L114">
        <f>TRIM(SUBSTITUTE(INDEX('Call accounts and MMFs'!$C:$C,ROW())&amp;""," "," "))</f>
        <v/>
      </c>
      <c r="M114">
        <f>IFERROR(--INDEX('Call accounts and MMFs'!$D:$D,ROW()),0)</f>
        <v/>
      </c>
      <c r="N114">
        <f>IFERROR(IF(--INDEX('Call accounts and MMFs'!$E:$E,ROW())&gt;=1,--INDEX('Call accounts and MMFs'!$E:$E,ROW())/100,--INDEX('Call accounts and MMFs'!$E:$E,ROW())),0)</f>
        <v/>
      </c>
      <c r="O114">
        <f>IFERROR(--INDEX('Call accounts and MMFs'!$F:$F,ROW()),0)</f>
        <v/>
      </c>
      <c r="P114">
        <f>IF(ISNUMBER(INDEX('Call accounts and MMFs'!$E:$E,ROW())),1,0)</f>
        <v/>
      </c>
      <c r="Q114">
        <f>TRIM(SUBSTITUTE(INDEX('Pooled funds'!$B:$B,ROW())&amp;""," "," "))</f>
        <v/>
      </c>
      <c r="R114">
        <f>IFERROR(--INDEX('Pooled funds'!$C:$C,ROW()),0)</f>
        <v/>
      </c>
      <c r="S114">
        <f>IFERROR(--INDEX('Pooled funds'!$D:$D,ROW()),0)</f>
        <v/>
      </c>
      <c r="T114">
        <f>IFERROR(IF(--INDEX('Pooled funds'!$E:$E,ROW())&gt;=1,--INDEX('Pooled funds'!$E:$E,ROW())/100,--INDEX('Pooled funds'!$E:$E,ROW())),0)</f>
        <v/>
      </c>
      <c r="U114">
        <f>IF(ISNUMBER(INDEX('Pooled funds'!$E:$E,ROW())),1,0)</f>
        <v/>
      </c>
      <c r="V114">
        <f>TRIM(SUBSTITUTE(INDEX('Loans'!$A:$A,ROW())&amp;""," "," "))</f>
        <v/>
      </c>
      <c r="W114">
        <f>TRIM(SUBSTITUTE(INDEX('Loans'!$B:$B,ROW())&amp;""," "," "))</f>
        <v/>
      </c>
      <c r="X114">
        <f>TRIM(SUBSTITUTE(INDEX('Loans'!$C:$C,ROW())&amp;""," "," "))</f>
        <v/>
      </c>
      <c r="Y114">
        <f>IFERROR(--INDEX('Loans'!$D:$D,ROW()),0)</f>
        <v/>
      </c>
      <c r="Z114">
        <f>IFERROR(--INDEX('Loans'!$E:$E,ROW()),0)</f>
        <v/>
      </c>
      <c r="AA114">
        <f>IFERROR(--INDEX('Loans'!$F:$F,ROW()),0)</f>
        <v/>
      </c>
      <c r="AB114">
        <f>IFERROR(IF(--INDEX('Loans'!$G:$G,ROW())&gt;=1,--INDEX('Loans'!$G:$G,ROW())/100,--INDEX('Loans'!$G:$G,ROW())),0)</f>
        <v/>
      </c>
      <c r="AC114">
        <f>TRIM(SUBSTITUTE(INDEX('Loans'!$H:$H,ROW())&amp;""," "," "))</f>
        <v/>
      </c>
      <c r="AD114">
        <f>TRIM(SUBSTITUTE(INDEX('Loans'!$I:$I,ROW())&amp;""," "," "))</f>
        <v/>
      </c>
      <c r="AE114">
        <f>IFERROR(--INDEX('Loans'!$J:$J,ROW()),0)</f>
        <v/>
      </c>
      <c r="AF114">
        <f>TRIM(SUBSTITUTE(INDEX('Loans'!$K:$K,ROW())&amp;""," "," "))</f>
        <v/>
      </c>
      <c r="AG114">
        <f>IFERROR(--INDEX('Loans'!$L:$L,ROW()),0)</f>
        <v/>
      </c>
      <c r="AH114">
        <f>IF(ISNUMBER(INDEX('Loans'!$G:$G,ROW())),1,0)</f>
        <v/>
      </c>
    </row>
    <row r="115">
      <c r="A115">
        <f>TRIM(SUBSTITUTE(INDEX('Term investments'!$A:$A,ROW())&amp;""," "," "))</f>
        <v/>
      </c>
      <c r="B115">
        <f>TRIM(SUBSTITUTE(INDEX('Term investments'!$B:$B,ROW())&amp;""," "," "))</f>
        <v/>
      </c>
      <c r="C115">
        <f>TRIM(SUBSTITUTE(INDEX('Term investments'!$C:$C,ROW())&amp;""," "," "))</f>
        <v/>
      </c>
      <c r="D115">
        <f>IFERROR(--INDEX('Term investments'!$D:$D,ROW()),0)</f>
        <v/>
      </c>
      <c r="E115">
        <f>IFERROR(--INDEX('Term investments'!$E:$E,ROW()),0)</f>
        <v/>
      </c>
      <c r="F115">
        <f>IFERROR(--INDEX('Term investments'!$F:$F,ROW()),0)</f>
        <v/>
      </c>
      <c r="G115">
        <f>IFERROR(IF(--INDEX('Term investments'!$G:$G,ROW())&gt;=1,--INDEX('Term investments'!$G:$G,ROW())/100,--INDEX('Term investments'!$G:$G,ROW())),0)</f>
        <v/>
      </c>
      <c r="H115">
        <f>IFERROR(--INDEX('Term investments'!$H:$H,ROW()),0)</f>
        <v/>
      </c>
      <c r="I115">
        <f>IF(ISNUMBER(INDEX('Term investments'!$G:$G,ROW())),1,0)</f>
        <v/>
      </c>
      <c r="J115">
        <f>TRIM(SUBSTITUTE(INDEX('Call accounts and MMFs'!$A:$A,ROW())&amp;""," "," "))</f>
        <v/>
      </c>
      <c r="K115">
        <f>TRIM(SUBSTITUTE(INDEX('Call accounts and MMFs'!$B:$B,ROW())&amp;""," "," "))</f>
        <v/>
      </c>
      <c r="L115">
        <f>TRIM(SUBSTITUTE(INDEX('Call accounts and MMFs'!$C:$C,ROW())&amp;""," "," "))</f>
        <v/>
      </c>
      <c r="M115">
        <f>IFERROR(--INDEX('Call accounts and MMFs'!$D:$D,ROW()),0)</f>
        <v/>
      </c>
      <c r="N115">
        <f>IFERROR(IF(--INDEX('Call accounts and MMFs'!$E:$E,ROW())&gt;=1,--INDEX('Call accounts and MMFs'!$E:$E,ROW())/100,--INDEX('Call accounts and MMFs'!$E:$E,ROW())),0)</f>
        <v/>
      </c>
      <c r="O115">
        <f>IFERROR(--INDEX('Call accounts and MMFs'!$F:$F,ROW()),0)</f>
        <v/>
      </c>
      <c r="P115">
        <f>IF(ISNUMBER(INDEX('Call accounts and MMFs'!$E:$E,ROW())),1,0)</f>
        <v/>
      </c>
      <c r="Q115">
        <f>TRIM(SUBSTITUTE(INDEX('Pooled funds'!$B:$B,ROW())&amp;""," "," "))</f>
        <v/>
      </c>
      <c r="R115">
        <f>IFERROR(--INDEX('Pooled funds'!$C:$C,ROW()),0)</f>
        <v/>
      </c>
      <c r="S115">
        <f>IFERROR(--INDEX('Pooled funds'!$D:$D,ROW()),0)</f>
        <v/>
      </c>
      <c r="T115">
        <f>IFERROR(IF(--INDEX('Pooled funds'!$E:$E,ROW())&gt;=1,--INDEX('Pooled funds'!$E:$E,ROW())/100,--INDEX('Pooled funds'!$E:$E,ROW())),0)</f>
        <v/>
      </c>
      <c r="U115">
        <f>IF(ISNUMBER(INDEX('Pooled funds'!$E:$E,ROW())),1,0)</f>
        <v/>
      </c>
      <c r="V115">
        <f>TRIM(SUBSTITUTE(INDEX('Loans'!$A:$A,ROW())&amp;""," "," "))</f>
        <v/>
      </c>
      <c r="W115">
        <f>TRIM(SUBSTITUTE(INDEX('Loans'!$B:$B,ROW())&amp;""," "," "))</f>
        <v/>
      </c>
      <c r="X115">
        <f>TRIM(SUBSTITUTE(INDEX('Loans'!$C:$C,ROW())&amp;""," "," "))</f>
        <v/>
      </c>
      <c r="Y115">
        <f>IFERROR(--INDEX('Loans'!$D:$D,ROW()),0)</f>
        <v/>
      </c>
      <c r="Z115">
        <f>IFERROR(--INDEX('Loans'!$E:$E,ROW()),0)</f>
        <v/>
      </c>
      <c r="AA115">
        <f>IFERROR(--INDEX('Loans'!$F:$F,ROW()),0)</f>
        <v/>
      </c>
      <c r="AB115">
        <f>IFERROR(IF(--INDEX('Loans'!$G:$G,ROW())&gt;=1,--INDEX('Loans'!$G:$G,ROW())/100,--INDEX('Loans'!$G:$G,ROW())),0)</f>
        <v/>
      </c>
      <c r="AC115">
        <f>TRIM(SUBSTITUTE(INDEX('Loans'!$H:$H,ROW())&amp;""," "," "))</f>
        <v/>
      </c>
      <c r="AD115">
        <f>TRIM(SUBSTITUTE(INDEX('Loans'!$I:$I,ROW())&amp;""," "," "))</f>
        <v/>
      </c>
      <c r="AE115">
        <f>IFERROR(--INDEX('Loans'!$J:$J,ROW()),0)</f>
        <v/>
      </c>
      <c r="AF115">
        <f>TRIM(SUBSTITUTE(INDEX('Loans'!$K:$K,ROW())&amp;""," "," "))</f>
        <v/>
      </c>
      <c r="AG115">
        <f>IFERROR(--INDEX('Loans'!$L:$L,ROW()),0)</f>
        <v/>
      </c>
      <c r="AH115">
        <f>IF(ISNUMBER(INDEX('Loans'!$G:$G,ROW())),1,0)</f>
        <v/>
      </c>
    </row>
    <row r="116">
      <c r="A116">
        <f>TRIM(SUBSTITUTE(INDEX('Term investments'!$A:$A,ROW())&amp;""," "," "))</f>
        <v/>
      </c>
      <c r="B116">
        <f>TRIM(SUBSTITUTE(INDEX('Term investments'!$B:$B,ROW())&amp;""," "," "))</f>
        <v/>
      </c>
      <c r="C116">
        <f>TRIM(SUBSTITUTE(INDEX('Term investments'!$C:$C,ROW())&amp;""," "," "))</f>
        <v/>
      </c>
      <c r="D116">
        <f>IFERROR(--INDEX('Term investments'!$D:$D,ROW()),0)</f>
        <v/>
      </c>
      <c r="E116">
        <f>IFERROR(--INDEX('Term investments'!$E:$E,ROW()),0)</f>
        <v/>
      </c>
      <c r="F116">
        <f>IFERROR(--INDEX('Term investments'!$F:$F,ROW()),0)</f>
        <v/>
      </c>
      <c r="G116">
        <f>IFERROR(IF(--INDEX('Term investments'!$G:$G,ROW())&gt;=1,--INDEX('Term investments'!$G:$G,ROW())/100,--INDEX('Term investments'!$G:$G,ROW())),0)</f>
        <v/>
      </c>
      <c r="H116">
        <f>IFERROR(--INDEX('Term investments'!$H:$H,ROW()),0)</f>
        <v/>
      </c>
      <c r="I116">
        <f>IF(ISNUMBER(INDEX('Term investments'!$G:$G,ROW())),1,0)</f>
        <v/>
      </c>
      <c r="J116">
        <f>TRIM(SUBSTITUTE(INDEX('Call accounts and MMFs'!$A:$A,ROW())&amp;""," "," "))</f>
        <v/>
      </c>
      <c r="K116">
        <f>TRIM(SUBSTITUTE(INDEX('Call accounts and MMFs'!$B:$B,ROW())&amp;""," "," "))</f>
        <v/>
      </c>
      <c r="L116">
        <f>TRIM(SUBSTITUTE(INDEX('Call accounts and MMFs'!$C:$C,ROW())&amp;""," "," "))</f>
        <v/>
      </c>
      <c r="M116">
        <f>IFERROR(--INDEX('Call accounts and MMFs'!$D:$D,ROW()),0)</f>
        <v/>
      </c>
      <c r="N116">
        <f>IFERROR(IF(--INDEX('Call accounts and MMFs'!$E:$E,ROW())&gt;=1,--INDEX('Call accounts and MMFs'!$E:$E,ROW())/100,--INDEX('Call accounts and MMFs'!$E:$E,ROW())),0)</f>
        <v/>
      </c>
      <c r="O116">
        <f>IFERROR(--INDEX('Call accounts and MMFs'!$F:$F,ROW()),0)</f>
        <v/>
      </c>
      <c r="P116">
        <f>IF(ISNUMBER(INDEX('Call accounts and MMFs'!$E:$E,ROW())),1,0)</f>
        <v/>
      </c>
      <c r="Q116">
        <f>TRIM(SUBSTITUTE(INDEX('Pooled funds'!$B:$B,ROW())&amp;""," "," "))</f>
        <v/>
      </c>
      <c r="R116">
        <f>IFERROR(--INDEX('Pooled funds'!$C:$C,ROW()),0)</f>
        <v/>
      </c>
      <c r="S116">
        <f>IFERROR(--INDEX('Pooled funds'!$D:$D,ROW()),0)</f>
        <v/>
      </c>
      <c r="T116">
        <f>IFERROR(IF(--INDEX('Pooled funds'!$E:$E,ROW())&gt;=1,--INDEX('Pooled funds'!$E:$E,ROW())/100,--INDEX('Pooled funds'!$E:$E,ROW())),0)</f>
        <v/>
      </c>
      <c r="U116">
        <f>IF(ISNUMBER(INDEX('Pooled funds'!$E:$E,ROW())),1,0)</f>
        <v/>
      </c>
      <c r="V116">
        <f>TRIM(SUBSTITUTE(INDEX('Loans'!$A:$A,ROW())&amp;""," "," "))</f>
        <v/>
      </c>
      <c r="W116">
        <f>TRIM(SUBSTITUTE(INDEX('Loans'!$B:$B,ROW())&amp;""," "," "))</f>
        <v/>
      </c>
      <c r="X116">
        <f>TRIM(SUBSTITUTE(INDEX('Loans'!$C:$C,ROW())&amp;""," "," "))</f>
        <v/>
      </c>
      <c r="Y116">
        <f>IFERROR(--INDEX('Loans'!$D:$D,ROW()),0)</f>
        <v/>
      </c>
      <c r="Z116">
        <f>IFERROR(--INDEX('Loans'!$E:$E,ROW()),0)</f>
        <v/>
      </c>
      <c r="AA116">
        <f>IFERROR(--INDEX('Loans'!$F:$F,ROW()),0)</f>
        <v/>
      </c>
      <c r="AB116">
        <f>IFERROR(IF(--INDEX('Loans'!$G:$G,ROW())&gt;=1,--INDEX('Loans'!$G:$G,ROW())/100,--INDEX('Loans'!$G:$G,ROW())),0)</f>
        <v/>
      </c>
      <c r="AC116">
        <f>TRIM(SUBSTITUTE(INDEX('Loans'!$H:$H,ROW())&amp;""," "," "))</f>
        <v/>
      </c>
      <c r="AD116">
        <f>TRIM(SUBSTITUTE(INDEX('Loans'!$I:$I,ROW())&amp;""," "," "))</f>
        <v/>
      </c>
      <c r="AE116">
        <f>IFERROR(--INDEX('Loans'!$J:$J,ROW()),0)</f>
        <v/>
      </c>
      <c r="AF116">
        <f>TRIM(SUBSTITUTE(INDEX('Loans'!$K:$K,ROW())&amp;""," "," "))</f>
        <v/>
      </c>
      <c r="AG116">
        <f>IFERROR(--INDEX('Loans'!$L:$L,ROW()),0)</f>
        <v/>
      </c>
      <c r="AH116">
        <f>IF(ISNUMBER(INDEX('Loans'!$G:$G,ROW())),1,0)</f>
        <v/>
      </c>
    </row>
    <row r="117">
      <c r="A117">
        <f>TRIM(SUBSTITUTE(INDEX('Term investments'!$A:$A,ROW())&amp;""," "," "))</f>
        <v/>
      </c>
      <c r="B117">
        <f>TRIM(SUBSTITUTE(INDEX('Term investments'!$B:$B,ROW())&amp;""," "," "))</f>
        <v/>
      </c>
      <c r="C117">
        <f>TRIM(SUBSTITUTE(INDEX('Term investments'!$C:$C,ROW())&amp;""," "," "))</f>
        <v/>
      </c>
      <c r="D117">
        <f>IFERROR(--INDEX('Term investments'!$D:$D,ROW()),0)</f>
        <v/>
      </c>
      <c r="E117">
        <f>IFERROR(--INDEX('Term investments'!$E:$E,ROW()),0)</f>
        <v/>
      </c>
      <c r="F117">
        <f>IFERROR(--INDEX('Term investments'!$F:$F,ROW()),0)</f>
        <v/>
      </c>
      <c r="G117">
        <f>IFERROR(IF(--INDEX('Term investments'!$G:$G,ROW())&gt;=1,--INDEX('Term investments'!$G:$G,ROW())/100,--INDEX('Term investments'!$G:$G,ROW())),0)</f>
        <v/>
      </c>
      <c r="H117">
        <f>IFERROR(--INDEX('Term investments'!$H:$H,ROW()),0)</f>
        <v/>
      </c>
      <c r="I117">
        <f>IF(ISNUMBER(INDEX('Term investments'!$G:$G,ROW())),1,0)</f>
        <v/>
      </c>
      <c r="J117">
        <f>TRIM(SUBSTITUTE(INDEX('Call accounts and MMFs'!$A:$A,ROW())&amp;""," "," "))</f>
        <v/>
      </c>
      <c r="K117">
        <f>TRIM(SUBSTITUTE(INDEX('Call accounts and MMFs'!$B:$B,ROW())&amp;""," "," "))</f>
        <v/>
      </c>
      <c r="L117">
        <f>TRIM(SUBSTITUTE(INDEX('Call accounts and MMFs'!$C:$C,ROW())&amp;""," "," "))</f>
        <v/>
      </c>
      <c r="M117">
        <f>IFERROR(--INDEX('Call accounts and MMFs'!$D:$D,ROW()),0)</f>
        <v/>
      </c>
      <c r="N117">
        <f>IFERROR(IF(--INDEX('Call accounts and MMFs'!$E:$E,ROW())&gt;=1,--INDEX('Call accounts and MMFs'!$E:$E,ROW())/100,--INDEX('Call accounts and MMFs'!$E:$E,ROW())),0)</f>
        <v/>
      </c>
      <c r="O117">
        <f>IFERROR(--INDEX('Call accounts and MMFs'!$F:$F,ROW()),0)</f>
        <v/>
      </c>
      <c r="P117">
        <f>IF(ISNUMBER(INDEX('Call accounts and MMFs'!$E:$E,ROW())),1,0)</f>
        <v/>
      </c>
      <c r="Q117">
        <f>TRIM(SUBSTITUTE(INDEX('Pooled funds'!$B:$B,ROW())&amp;""," "," "))</f>
        <v/>
      </c>
      <c r="R117">
        <f>IFERROR(--INDEX('Pooled funds'!$C:$C,ROW()),0)</f>
        <v/>
      </c>
      <c r="S117">
        <f>IFERROR(--INDEX('Pooled funds'!$D:$D,ROW()),0)</f>
        <v/>
      </c>
      <c r="T117">
        <f>IFERROR(IF(--INDEX('Pooled funds'!$E:$E,ROW())&gt;=1,--INDEX('Pooled funds'!$E:$E,ROW())/100,--INDEX('Pooled funds'!$E:$E,ROW())),0)</f>
        <v/>
      </c>
      <c r="U117">
        <f>IF(ISNUMBER(INDEX('Pooled funds'!$E:$E,ROW())),1,0)</f>
        <v/>
      </c>
      <c r="V117">
        <f>TRIM(SUBSTITUTE(INDEX('Loans'!$A:$A,ROW())&amp;""," "," "))</f>
        <v/>
      </c>
      <c r="W117">
        <f>TRIM(SUBSTITUTE(INDEX('Loans'!$B:$B,ROW())&amp;""," "," "))</f>
        <v/>
      </c>
      <c r="X117">
        <f>TRIM(SUBSTITUTE(INDEX('Loans'!$C:$C,ROW())&amp;""," "," "))</f>
        <v/>
      </c>
      <c r="Y117">
        <f>IFERROR(--INDEX('Loans'!$D:$D,ROW()),0)</f>
        <v/>
      </c>
      <c r="Z117">
        <f>IFERROR(--INDEX('Loans'!$E:$E,ROW()),0)</f>
        <v/>
      </c>
      <c r="AA117">
        <f>IFERROR(--INDEX('Loans'!$F:$F,ROW()),0)</f>
        <v/>
      </c>
      <c r="AB117">
        <f>IFERROR(IF(--INDEX('Loans'!$G:$G,ROW())&gt;=1,--INDEX('Loans'!$G:$G,ROW())/100,--INDEX('Loans'!$G:$G,ROW())),0)</f>
        <v/>
      </c>
      <c r="AC117">
        <f>TRIM(SUBSTITUTE(INDEX('Loans'!$H:$H,ROW())&amp;""," "," "))</f>
        <v/>
      </c>
      <c r="AD117">
        <f>TRIM(SUBSTITUTE(INDEX('Loans'!$I:$I,ROW())&amp;""," "," "))</f>
        <v/>
      </c>
      <c r="AE117">
        <f>IFERROR(--INDEX('Loans'!$J:$J,ROW()),0)</f>
        <v/>
      </c>
      <c r="AF117">
        <f>TRIM(SUBSTITUTE(INDEX('Loans'!$K:$K,ROW())&amp;""," "," "))</f>
        <v/>
      </c>
      <c r="AG117">
        <f>IFERROR(--INDEX('Loans'!$L:$L,ROW()),0)</f>
        <v/>
      </c>
      <c r="AH117">
        <f>IF(ISNUMBER(INDEX('Loans'!$G:$G,ROW())),1,0)</f>
        <v/>
      </c>
    </row>
    <row r="118">
      <c r="A118">
        <f>TRIM(SUBSTITUTE(INDEX('Term investments'!$A:$A,ROW())&amp;""," "," "))</f>
        <v/>
      </c>
      <c r="B118">
        <f>TRIM(SUBSTITUTE(INDEX('Term investments'!$B:$B,ROW())&amp;""," "," "))</f>
        <v/>
      </c>
      <c r="C118">
        <f>TRIM(SUBSTITUTE(INDEX('Term investments'!$C:$C,ROW())&amp;""," "," "))</f>
        <v/>
      </c>
      <c r="D118">
        <f>IFERROR(--INDEX('Term investments'!$D:$D,ROW()),0)</f>
        <v/>
      </c>
      <c r="E118">
        <f>IFERROR(--INDEX('Term investments'!$E:$E,ROW()),0)</f>
        <v/>
      </c>
      <c r="F118">
        <f>IFERROR(--INDEX('Term investments'!$F:$F,ROW()),0)</f>
        <v/>
      </c>
      <c r="G118">
        <f>IFERROR(IF(--INDEX('Term investments'!$G:$G,ROW())&gt;=1,--INDEX('Term investments'!$G:$G,ROW())/100,--INDEX('Term investments'!$G:$G,ROW())),0)</f>
        <v/>
      </c>
      <c r="H118">
        <f>IFERROR(--INDEX('Term investments'!$H:$H,ROW()),0)</f>
        <v/>
      </c>
      <c r="I118">
        <f>IF(ISNUMBER(INDEX('Term investments'!$G:$G,ROW())),1,0)</f>
        <v/>
      </c>
      <c r="J118">
        <f>TRIM(SUBSTITUTE(INDEX('Call accounts and MMFs'!$A:$A,ROW())&amp;""," "," "))</f>
        <v/>
      </c>
      <c r="K118">
        <f>TRIM(SUBSTITUTE(INDEX('Call accounts and MMFs'!$B:$B,ROW())&amp;""," "," "))</f>
        <v/>
      </c>
      <c r="L118">
        <f>TRIM(SUBSTITUTE(INDEX('Call accounts and MMFs'!$C:$C,ROW())&amp;""," "," "))</f>
        <v/>
      </c>
      <c r="M118">
        <f>IFERROR(--INDEX('Call accounts and MMFs'!$D:$D,ROW()),0)</f>
        <v/>
      </c>
      <c r="N118">
        <f>IFERROR(IF(--INDEX('Call accounts and MMFs'!$E:$E,ROW())&gt;=1,--INDEX('Call accounts and MMFs'!$E:$E,ROW())/100,--INDEX('Call accounts and MMFs'!$E:$E,ROW())),0)</f>
        <v/>
      </c>
      <c r="O118">
        <f>IFERROR(--INDEX('Call accounts and MMFs'!$F:$F,ROW()),0)</f>
        <v/>
      </c>
      <c r="P118">
        <f>IF(ISNUMBER(INDEX('Call accounts and MMFs'!$E:$E,ROW())),1,0)</f>
        <v/>
      </c>
      <c r="Q118">
        <f>TRIM(SUBSTITUTE(INDEX('Pooled funds'!$B:$B,ROW())&amp;""," "," "))</f>
        <v/>
      </c>
      <c r="R118">
        <f>IFERROR(--INDEX('Pooled funds'!$C:$C,ROW()),0)</f>
        <v/>
      </c>
      <c r="S118">
        <f>IFERROR(--INDEX('Pooled funds'!$D:$D,ROW()),0)</f>
        <v/>
      </c>
      <c r="T118">
        <f>IFERROR(IF(--INDEX('Pooled funds'!$E:$E,ROW())&gt;=1,--INDEX('Pooled funds'!$E:$E,ROW())/100,--INDEX('Pooled funds'!$E:$E,ROW())),0)</f>
        <v/>
      </c>
      <c r="U118">
        <f>IF(ISNUMBER(INDEX('Pooled funds'!$E:$E,ROW())),1,0)</f>
        <v/>
      </c>
      <c r="V118">
        <f>TRIM(SUBSTITUTE(INDEX('Loans'!$A:$A,ROW())&amp;""," "," "))</f>
        <v/>
      </c>
      <c r="W118">
        <f>TRIM(SUBSTITUTE(INDEX('Loans'!$B:$B,ROW())&amp;""," "," "))</f>
        <v/>
      </c>
      <c r="X118">
        <f>TRIM(SUBSTITUTE(INDEX('Loans'!$C:$C,ROW())&amp;""," "," "))</f>
        <v/>
      </c>
      <c r="Y118">
        <f>IFERROR(--INDEX('Loans'!$D:$D,ROW()),0)</f>
        <v/>
      </c>
      <c r="Z118">
        <f>IFERROR(--INDEX('Loans'!$E:$E,ROW()),0)</f>
        <v/>
      </c>
      <c r="AA118">
        <f>IFERROR(--INDEX('Loans'!$F:$F,ROW()),0)</f>
        <v/>
      </c>
      <c r="AB118">
        <f>IFERROR(IF(--INDEX('Loans'!$G:$G,ROW())&gt;=1,--INDEX('Loans'!$G:$G,ROW())/100,--INDEX('Loans'!$G:$G,ROW())),0)</f>
        <v/>
      </c>
      <c r="AC118">
        <f>TRIM(SUBSTITUTE(INDEX('Loans'!$H:$H,ROW())&amp;""," "," "))</f>
        <v/>
      </c>
      <c r="AD118">
        <f>TRIM(SUBSTITUTE(INDEX('Loans'!$I:$I,ROW())&amp;""," "," "))</f>
        <v/>
      </c>
      <c r="AE118">
        <f>IFERROR(--INDEX('Loans'!$J:$J,ROW()),0)</f>
        <v/>
      </c>
      <c r="AF118">
        <f>TRIM(SUBSTITUTE(INDEX('Loans'!$K:$K,ROW())&amp;""," "," "))</f>
        <v/>
      </c>
      <c r="AG118">
        <f>IFERROR(--INDEX('Loans'!$L:$L,ROW()),0)</f>
        <v/>
      </c>
      <c r="AH118">
        <f>IF(ISNUMBER(INDEX('Loans'!$G:$G,ROW())),1,0)</f>
        <v/>
      </c>
    </row>
    <row r="119">
      <c r="A119">
        <f>TRIM(SUBSTITUTE(INDEX('Term investments'!$A:$A,ROW())&amp;""," "," "))</f>
        <v/>
      </c>
      <c r="B119">
        <f>TRIM(SUBSTITUTE(INDEX('Term investments'!$B:$B,ROW())&amp;""," "," "))</f>
        <v/>
      </c>
      <c r="C119">
        <f>TRIM(SUBSTITUTE(INDEX('Term investments'!$C:$C,ROW())&amp;""," "," "))</f>
        <v/>
      </c>
      <c r="D119">
        <f>IFERROR(--INDEX('Term investments'!$D:$D,ROW()),0)</f>
        <v/>
      </c>
      <c r="E119">
        <f>IFERROR(--INDEX('Term investments'!$E:$E,ROW()),0)</f>
        <v/>
      </c>
      <c r="F119">
        <f>IFERROR(--INDEX('Term investments'!$F:$F,ROW()),0)</f>
        <v/>
      </c>
      <c r="G119">
        <f>IFERROR(IF(--INDEX('Term investments'!$G:$G,ROW())&gt;=1,--INDEX('Term investments'!$G:$G,ROW())/100,--INDEX('Term investments'!$G:$G,ROW())),0)</f>
        <v/>
      </c>
      <c r="H119">
        <f>IFERROR(--INDEX('Term investments'!$H:$H,ROW()),0)</f>
        <v/>
      </c>
      <c r="I119">
        <f>IF(ISNUMBER(INDEX('Term investments'!$G:$G,ROW())),1,0)</f>
        <v/>
      </c>
      <c r="J119">
        <f>TRIM(SUBSTITUTE(INDEX('Call accounts and MMFs'!$A:$A,ROW())&amp;""," "," "))</f>
        <v/>
      </c>
      <c r="K119">
        <f>TRIM(SUBSTITUTE(INDEX('Call accounts and MMFs'!$B:$B,ROW())&amp;""," "," "))</f>
        <v/>
      </c>
      <c r="L119">
        <f>TRIM(SUBSTITUTE(INDEX('Call accounts and MMFs'!$C:$C,ROW())&amp;""," "," "))</f>
        <v/>
      </c>
      <c r="M119">
        <f>IFERROR(--INDEX('Call accounts and MMFs'!$D:$D,ROW()),0)</f>
        <v/>
      </c>
      <c r="N119">
        <f>IFERROR(IF(--INDEX('Call accounts and MMFs'!$E:$E,ROW())&gt;=1,--INDEX('Call accounts and MMFs'!$E:$E,ROW())/100,--INDEX('Call accounts and MMFs'!$E:$E,ROW())),0)</f>
        <v/>
      </c>
      <c r="O119">
        <f>IFERROR(--INDEX('Call accounts and MMFs'!$F:$F,ROW()),0)</f>
        <v/>
      </c>
      <c r="P119">
        <f>IF(ISNUMBER(INDEX('Call accounts and MMFs'!$E:$E,ROW())),1,0)</f>
        <v/>
      </c>
      <c r="Q119">
        <f>TRIM(SUBSTITUTE(INDEX('Pooled funds'!$B:$B,ROW())&amp;""," "," "))</f>
        <v/>
      </c>
      <c r="R119">
        <f>IFERROR(--INDEX('Pooled funds'!$C:$C,ROW()),0)</f>
        <v/>
      </c>
      <c r="S119">
        <f>IFERROR(--INDEX('Pooled funds'!$D:$D,ROW()),0)</f>
        <v/>
      </c>
      <c r="T119">
        <f>IFERROR(IF(--INDEX('Pooled funds'!$E:$E,ROW())&gt;=1,--INDEX('Pooled funds'!$E:$E,ROW())/100,--INDEX('Pooled funds'!$E:$E,ROW())),0)</f>
        <v/>
      </c>
      <c r="U119">
        <f>IF(ISNUMBER(INDEX('Pooled funds'!$E:$E,ROW())),1,0)</f>
        <v/>
      </c>
      <c r="V119">
        <f>TRIM(SUBSTITUTE(INDEX('Loans'!$A:$A,ROW())&amp;""," "," "))</f>
        <v/>
      </c>
      <c r="W119">
        <f>TRIM(SUBSTITUTE(INDEX('Loans'!$B:$B,ROW())&amp;""," "," "))</f>
        <v/>
      </c>
      <c r="X119">
        <f>TRIM(SUBSTITUTE(INDEX('Loans'!$C:$C,ROW())&amp;""," "," "))</f>
        <v/>
      </c>
      <c r="Y119">
        <f>IFERROR(--INDEX('Loans'!$D:$D,ROW()),0)</f>
        <v/>
      </c>
      <c r="Z119">
        <f>IFERROR(--INDEX('Loans'!$E:$E,ROW()),0)</f>
        <v/>
      </c>
      <c r="AA119">
        <f>IFERROR(--INDEX('Loans'!$F:$F,ROW()),0)</f>
        <v/>
      </c>
      <c r="AB119">
        <f>IFERROR(IF(--INDEX('Loans'!$G:$G,ROW())&gt;=1,--INDEX('Loans'!$G:$G,ROW())/100,--INDEX('Loans'!$G:$G,ROW())),0)</f>
        <v/>
      </c>
      <c r="AC119">
        <f>TRIM(SUBSTITUTE(INDEX('Loans'!$H:$H,ROW())&amp;""," "," "))</f>
        <v/>
      </c>
      <c r="AD119">
        <f>TRIM(SUBSTITUTE(INDEX('Loans'!$I:$I,ROW())&amp;""," "," "))</f>
        <v/>
      </c>
      <c r="AE119">
        <f>IFERROR(--INDEX('Loans'!$J:$J,ROW()),0)</f>
        <v/>
      </c>
      <c r="AF119">
        <f>TRIM(SUBSTITUTE(INDEX('Loans'!$K:$K,ROW())&amp;""," "," "))</f>
        <v/>
      </c>
      <c r="AG119">
        <f>IFERROR(--INDEX('Loans'!$L:$L,ROW()),0)</f>
        <v/>
      </c>
      <c r="AH119">
        <f>IF(ISNUMBER(INDEX('Loans'!$G:$G,ROW())),1,0)</f>
        <v/>
      </c>
    </row>
    <row r="120">
      <c r="A120">
        <f>TRIM(SUBSTITUTE(INDEX('Term investments'!$A:$A,ROW())&amp;""," "," "))</f>
        <v/>
      </c>
      <c r="B120">
        <f>TRIM(SUBSTITUTE(INDEX('Term investments'!$B:$B,ROW())&amp;""," "," "))</f>
        <v/>
      </c>
      <c r="C120">
        <f>TRIM(SUBSTITUTE(INDEX('Term investments'!$C:$C,ROW())&amp;""," "," "))</f>
        <v/>
      </c>
      <c r="D120">
        <f>IFERROR(--INDEX('Term investments'!$D:$D,ROW()),0)</f>
        <v/>
      </c>
      <c r="E120">
        <f>IFERROR(--INDEX('Term investments'!$E:$E,ROW()),0)</f>
        <v/>
      </c>
      <c r="F120">
        <f>IFERROR(--INDEX('Term investments'!$F:$F,ROW()),0)</f>
        <v/>
      </c>
      <c r="G120">
        <f>IFERROR(IF(--INDEX('Term investments'!$G:$G,ROW())&gt;=1,--INDEX('Term investments'!$G:$G,ROW())/100,--INDEX('Term investments'!$G:$G,ROW())),0)</f>
        <v/>
      </c>
      <c r="H120">
        <f>IFERROR(--INDEX('Term investments'!$H:$H,ROW()),0)</f>
        <v/>
      </c>
      <c r="I120">
        <f>IF(ISNUMBER(INDEX('Term investments'!$G:$G,ROW())),1,0)</f>
        <v/>
      </c>
      <c r="J120">
        <f>TRIM(SUBSTITUTE(INDEX('Call accounts and MMFs'!$A:$A,ROW())&amp;""," "," "))</f>
        <v/>
      </c>
      <c r="K120">
        <f>TRIM(SUBSTITUTE(INDEX('Call accounts and MMFs'!$B:$B,ROW())&amp;""," "," "))</f>
        <v/>
      </c>
      <c r="L120">
        <f>TRIM(SUBSTITUTE(INDEX('Call accounts and MMFs'!$C:$C,ROW())&amp;""," "," "))</f>
        <v/>
      </c>
      <c r="M120">
        <f>IFERROR(--INDEX('Call accounts and MMFs'!$D:$D,ROW()),0)</f>
        <v/>
      </c>
      <c r="N120">
        <f>IFERROR(IF(--INDEX('Call accounts and MMFs'!$E:$E,ROW())&gt;=1,--INDEX('Call accounts and MMFs'!$E:$E,ROW())/100,--INDEX('Call accounts and MMFs'!$E:$E,ROW())),0)</f>
        <v/>
      </c>
      <c r="O120">
        <f>IFERROR(--INDEX('Call accounts and MMFs'!$F:$F,ROW()),0)</f>
        <v/>
      </c>
      <c r="P120">
        <f>IF(ISNUMBER(INDEX('Call accounts and MMFs'!$E:$E,ROW())),1,0)</f>
        <v/>
      </c>
      <c r="Q120">
        <f>TRIM(SUBSTITUTE(INDEX('Pooled funds'!$B:$B,ROW())&amp;""," "," "))</f>
        <v/>
      </c>
      <c r="R120">
        <f>IFERROR(--INDEX('Pooled funds'!$C:$C,ROW()),0)</f>
        <v/>
      </c>
      <c r="S120">
        <f>IFERROR(--INDEX('Pooled funds'!$D:$D,ROW()),0)</f>
        <v/>
      </c>
      <c r="T120">
        <f>IFERROR(IF(--INDEX('Pooled funds'!$E:$E,ROW())&gt;=1,--INDEX('Pooled funds'!$E:$E,ROW())/100,--INDEX('Pooled funds'!$E:$E,ROW())),0)</f>
        <v/>
      </c>
      <c r="U120">
        <f>IF(ISNUMBER(INDEX('Pooled funds'!$E:$E,ROW())),1,0)</f>
        <v/>
      </c>
      <c r="V120">
        <f>TRIM(SUBSTITUTE(INDEX('Loans'!$A:$A,ROW())&amp;""," "," "))</f>
        <v/>
      </c>
      <c r="W120">
        <f>TRIM(SUBSTITUTE(INDEX('Loans'!$B:$B,ROW())&amp;""," "," "))</f>
        <v/>
      </c>
      <c r="X120">
        <f>TRIM(SUBSTITUTE(INDEX('Loans'!$C:$C,ROW())&amp;""," "," "))</f>
        <v/>
      </c>
      <c r="Y120">
        <f>IFERROR(--INDEX('Loans'!$D:$D,ROW()),0)</f>
        <v/>
      </c>
      <c r="Z120">
        <f>IFERROR(--INDEX('Loans'!$E:$E,ROW()),0)</f>
        <v/>
      </c>
      <c r="AA120">
        <f>IFERROR(--INDEX('Loans'!$F:$F,ROW()),0)</f>
        <v/>
      </c>
      <c r="AB120">
        <f>IFERROR(IF(--INDEX('Loans'!$G:$G,ROW())&gt;=1,--INDEX('Loans'!$G:$G,ROW())/100,--INDEX('Loans'!$G:$G,ROW())),0)</f>
        <v/>
      </c>
      <c r="AC120">
        <f>TRIM(SUBSTITUTE(INDEX('Loans'!$H:$H,ROW())&amp;""," "," "))</f>
        <v/>
      </c>
      <c r="AD120">
        <f>TRIM(SUBSTITUTE(INDEX('Loans'!$I:$I,ROW())&amp;""," "," "))</f>
        <v/>
      </c>
      <c r="AE120">
        <f>IFERROR(--INDEX('Loans'!$J:$J,ROW()),0)</f>
        <v/>
      </c>
      <c r="AF120">
        <f>TRIM(SUBSTITUTE(INDEX('Loans'!$K:$K,ROW())&amp;""," "," "))</f>
        <v/>
      </c>
      <c r="AG120">
        <f>IFERROR(--INDEX('Loans'!$L:$L,ROW()),0)</f>
        <v/>
      </c>
      <c r="AH120">
        <f>IF(ISNUMBER(INDEX('Loans'!$G:$G,ROW())),1,0)</f>
        <v/>
      </c>
    </row>
    <row r="121">
      <c r="A121">
        <f>TRIM(SUBSTITUTE(INDEX('Term investments'!$A:$A,ROW())&amp;""," "," "))</f>
        <v/>
      </c>
      <c r="B121">
        <f>TRIM(SUBSTITUTE(INDEX('Term investments'!$B:$B,ROW())&amp;""," "," "))</f>
        <v/>
      </c>
      <c r="C121">
        <f>TRIM(SUBSTITUTE(INDEX('Term investments'!$C:$C,ROW())&amp;""," "," "))</f>
        <v/>
      </c>
      <c r="D121">
        <f>IFERROR(--INDEX('Term investments'!$D:$D,ROW()),0)</f>
        <v/>
      </c>
      <c r="E121">
        <f>IFERROR(--INDEX('Term investments'!$E:$E,ROW()),0)</f>
        <v/>
      </c>
      <c r="F121">
        <f>IFERROR(--INDEX('Term investments'!$F:$F,ROW()),0)</f>
        <v/>
      </c>
      <c r="G121">
        <f>IFERROR(IF(--INDEX('Term investments'!$G:$G,ROW())&gt;=1,--INDEX('Term investments'!$G:$G,ROW())/100,--INDEX('Term investments'!$G:$G,ROW())),0)</f>
        <v/>
      </c>
      <c r="H121">
        <f>IFERROR(--INDEX('Term investments'!$H:$H,ROW()),0)</f>
        <v/>
      </c>
      <c r="I121">
        <f>IF(ISNUMBER(INDEX('Term investments'!$G:$G,ROW())),1,0)</f>
        <v/>
      </c>
      <c r="J121">
        <f>TRIM(SUBSTITUTE(INDEX('Call accounts and MMFs'!$A:$A,ROW())&amp;""," "," "))</f>
        <v/>
      </c>
      <c r="K121">
        <f>TRIM(SUBSTITUTE(INDEX('Call accounts and MMFs'!$B:$B,ROW())&amp;""," "," "))</f>
        <v/>
      </c>
      <c r="L121">
        <f>TRIM(SUBSTITUTE(INDEX('Call accounts and MMFs'!$C:$C,ROW())&amp;""," "," "))</f>
        <v/>
      </c>
      <c r="M121">
        <f>IFERROR(--INDEX('Call accounts and MMFs'!$D:$D,ROW()),0)</f>
        <v/>
      </c>
      <c r="N121">
        <f>IFERROR(IF(--INDEX('Call accounts and MMFs'!$E:$E,ROW())&gt;=1,--INDEX('Call accounts and MMFs'!$E:$E,ROW())/100,--INDEX('Call accounts and MMFs'!$E:$E,ROW())),0)</f>
        <v/>
      </c>
      <c r="O121">
        <f>IFERROR(--INDEX('Call accounts and MMFs'!$F:$F,ROW()),0)</f>
        <v/>
      </c>
      <c r="P121">
        <f>IF(ISNUMBER(INDEX('Call accounts and MMFs'!$E:$E,ROW())),1,0)</f>
        <v/>
      </c>
      <c r="Q121">
        <f>TRIM(SUBSTITUTE(INDEX('Pooled funds'!$B:$B,ROW())&amp;""," "," "))</f>
        <v/>
      </c>
      <c r="R121">
        <f>IFERROR(--INDEX('Pooled funds'!$C:$C,ROW()),0)</f>
        <v/>
      </c>
      <c r="S121">
        <f>IFERROR(--INDEX('Pooled funds'!$D:$D,ROW()),0)</f>
        <v/>
      </c>
      <c r="T121">
        <f>IFERROR(IF(--INDEX('Pooled funds'!$E:$E,ROW())&gt;=1,--INDEX('Pooled funds'!$E:$E,ROW())/100,--INDEX('Pooled funds'!$E:$E,ROW())),0)</f>
        <v/>
      </c>
      <c r="U121">
        <f>IF(ISNUMBER(INDEX('Pooled funds'!$E:$E,ROW())),1,0)</f>
        <v/>
      </c>
      <c r="V121">
        <f>TRIM(SUBSTITUTE(INDEX('Loans'!$A:$A,ROW())&amp;""," "," "))</f>
        <v/>
      </c>
      <c r="W121">
        <f>TRIM(SUBSTITUTE(INDEX('Loans'!$B:$B,ROW())&amp;""," "," "))</f>
        <v/>
      </c>
      <c r="X121">
        <f>TRIM(SUBSTITUTE(INDEX('Loans'!$C:$C,ROW())&amp;""," "," "))</f>
        <v/>
      </c>
      <c r="Y121">
        <f>IFERROR(--INDEX('Loans'!$D:$D,ROW()),0)</f>
        <v/>
      </c>
      <c r="Z121">
        <f>IFERROR(--INDEX('Loans'!$E:$E,ROW()),0)</f>
        <v/>
      </c>
      <c r="AA121">
        <f>IFERROR(--INDEX('Loans'!$F:$F,ROW()),0)</f>
        <v/>
      </c>
      <c r="AB121">
        <f>IFERROR(IF(--INDEX('Loans'!$G:$G,ROW())&gt;=1,--INDEX('Loans'!$G:$G,ROW())/100,--INDEX('Loans'!$G:$G,ROW())),0)</f>
        <v/>
      </c>
      <c r="AC121">
        <f>TRIM(SUBSTITUTE(INDEX('Loans'!$H:$H,ROW())&amp;""," "," "))</f>
        <v/>
      </c>
      <c r="AD121">
        <f>TRIM(SUBSTITUTE(INDEX('Loans'!$I:$I,ROW())&amp;""," "," "))</f>
        <v/>
      </c>
      <c r="AE121">
        <f>IFERROR(--INDEX('Loans'!$J:$J,ROW()),0)</f>
        <v/>
      </c>
      <c r="AF121">
        <f>TRIM(SUBSTITUTE(INDEX('Loans'!$K:$K,ROW())&amp;""," "," "))</f>
        <v/>
      </c>
      <c r="AG121">
        <f>IFERROR(--INDEX('Loans'!$L:$L,ROW()),0)</f>
        <v/>
      </c>
      <c r="AH121">
        <f>IF(ISNUMBER(INDEX('Loans'!$G:$G,ROW())),1,0)</f>
        <v/>
      </c>
    </row>
    <row r="122">
      <c r="A122">
        <f>TRIM(SUBSTITUTE(INDEX('Term investments'!$A:$A,ROW())&amp;""," "," "))</f>
        <v/>
      </c>
      <c r="B122">
        <f>TRIM(SUBSTITUTE(INDEX('Term investments'!$B:$B,ROW())&amp;""," "," "))</f>
        <v/>
      </c>
      <c r="C122">
        <f>TRIM(SUBSTITUTE(INDEX('Term investments'!$C:$C,ROW())&amp;""," "," "))</f>
        <v/>
      </c>
      <c r="D122">
        <f>IFERROR(--INDEX('Term investments'!$D:$D,ROW()),0)</f>
        <v/>
      </c>
      <c r="E122">
        <f>IFERROR(--INDEX('Term investments'!$E:$E,ROW()),0)</f>
        <v/>
      </c>
      <c r="F122">
        <f>IFERROR(--INDEX('Term investments'!$F:$F,ROW()),0)</f>
        <v/>
      </c>
      <c r="G122">
        <f>IFERROR(IF(--INDEX('Term investments'!$G:$G,ROW())&gt;=1,--INDEX('Term investments'!$G:$G,ROW())/100,--INDEX('Term investments'!$G:$G,ROW())),0)</f>
        <v/>
      </c>
      <c r="H122">
        <f>IFERROR(--INDEX('Term investments'!$H:$H,ROW()),0)</f>
        <v/>
      </c>
      <c r="I122">
        <f>IF(ISNUMBER(INDEX('Term investments'!$G:$G,ROW())),1,0)</f>
        <v/>
      </c>
      <c r="J122">
        <f>TRIM(SUBSTITUTE(INDEX('Call accounts and MMFs'!$A:$A,ROW())&amp;""," "," "))</f>
        <v/>
      </c>
      <c r="K122">
        <f>TRIM(SUBSTITUTE(INDEX('Call accounts and MMFs'!$B:$B,ROW())&amp;""," "," "))</f>
        <v/>
      </c>
      <c r="L122">
        <f>TRIM(SUBSTITUTE(INDEX('Call accounts and MMFs'!$C:$C,ROW())&amp;""," "," "))</f>
        <v/>
      </c>
      <c r="M122">
        <f>IFERROR(--INDEX('Call accounts and MMFs'!$D:$D,ROW()),0)</f>
        <v/>
      </c>
      <c r="N122">
        <f>IFERROR(IF(--INDEX('Call accounts and MMFs'!$E:$E,ROW())&gt;=1,--INDEX('Call accounts and MMFs'!$E:$E,ROW())/100,--INDEX('Call accounts and MMFs'!$E:$E,ROW())),0)</f>
        <v/>
      </c>
      <c r="O122">
        <f>IFERROR(--INDEX('Call accounts and MMFs'!$F:$F,ROW()),0)</f>
        <v/>
      </c>
      <c r="P122">
        <f>IF(ISNUMBER(INDEX('Call accounts and MMFs'!$E:$E,ROW())),1,0)</f>
        <v/>
      </c>
      <c r="Q122">
        <f>TRIM(SUBSTITUTE(INDEX('Pooled funds'!$B:$B,ROW())&amp;""," "," "))</f>
        <v/>
      </c>
      <c r="R122">
        <f>IFERROR(--INDEX('Pooled funds'!$C:$C,ROW()),0)</f>
        <v/>
      </c>
      <c r="S122">
        <f>IFERROR(--INDEX('Pooled funds'!$D:$D,ROW()),0)</f>
        <v/>
      </c>
      <c r="T122">
        <f>IFERROR(IF(--INDEX('Pooled funds'!$E:$E,ROW())&gt;=1,--INDEX('Pooled funds'!$E:$E,ROW())/100,--INDEX('Pooled funds'!$E:$E,ROW())),0)</f>
        <v/>
      </c>
      <c r="U122">
        <f>IF(ISNUMBER(INDEX('Pooled funds'!$E:$E,ROW())),1,0)</f>
        <v/>
      </c>
      <c r="V122">
        <f>TRIM(SUBSTITUTE(INDEX('Loans'!$A:$A,ROW())&amp;""," "," "))</f>
        <v/>
      </c>
      <c r="W122">
        <f>TRIM(SUBSTITUTE(INDEX('Loans'!$B:$B,ROW())&amp;""," "," "))</f>
        <v/>
      </c>
      <c r="X122">
        <f>TRIM(SUBSTITUTE(INDEX('Loans'!$C:$C,ROW())&amp;""," "," "))</f>
        <v/>
      </c>
      <c r="Y122">
        <f>IFERROR(--INDEX('Loans'!$D:$D,ROW()),0)</f>
        <v/>
      </c>
      <c r="Z122">
        <f>IFERROR(--INDEX('Loans'!$E:$E,ROW()),0)</f>
        <v/>
      </c>
      <c r="AA122">
        <f>IFERROR(--INDEX('Loans'!$F:$F,ROW()),0)</f>
        <v/>
      </c>
      <c r="AB122">
        <f>IFERROR(IF(--INDEX('Loans'!$G:$G,ROW())&gt;=1,--INDEX('Loans'!$G:$G,ROW())/100,--INDEX('Loans'!$G:$G,ROW())),0)</f>
        <v/>
      </c>
      <c r="AC122">
        <f>TRIM(SUBSTITUTE(INDEX('Loans'!$H:$H,ROW())&amp;""," "," "))</f>
        <v/>
      </c>
      <c r="AD122">
        <f>TRIM(SUBSTITUTE(INDEX('Loans'!$I:$I,ROW())&amp;""," "," "))</f>
        <v/>
      </c>
      <c r="AE122">
        <f>IFERROR(--INDEX('Loans'!$J:$J,ROW()),0)</f>
        <v/>
      </c>
      <c r="AF122">
        <f>TRIM(SUBSTITUTE(INDEX('Loans'!$K:$K,ROW())&amp;""," "," "))</f>
        <v/>
      </c>
      <c r="AG122">
        <f>IFERROR(--INDEX('Loans'!$L:$L,ROW()),0)</f>
        <v/>
      </c>
      <c r="AH122">
        <f>IF(ISNUMBER(INDEX('Loans'!$G:$G,ROW())),1,0)</f>
        <v/>
      </c>
    </row>
    <row r="123">
      <c r="A123">
        <f>TRIM(SUBSTITUTE(INDEX('Term investments'!$A:$A,ROW())&amp;""," "," "))</f>
        <v/>
      </c>
      <c r="B123">
        <f>TRIM(SUBSTITUTE(INDEX('Term investments'!$B:$B,ROW())&amp;""," "," "))</f>
        <v/>
      </c>
      <c r="C123">
        <f>TRIM(SUBSTITUTE(INDEX('Term investments'!$C:$C,ROW())&amp;""," "," "))</f>
        <v/>
      </c>
      <c r="D123">
        <f>IFERROR(--INDEX('Term investments'!$D:$D,ROW()),0)</f>
        <v/>
      </c>
      <c r="E123">
        <f>IFERROR(--INDEX('Term investments'!$E:$E,ROW()),0)</f>
        <v/>
      </c>
      <c r="F123">
        <f>IFERROR(--INDEX('Term investments'!$F:$F,ROW()),0)</f>
        <v/>
      </c>
      <c r="G123">
        <f>IFERROR(IF(--INDEX('Term investments'!$G:$G,ROW())&gt;=1,--INDEX('Term investments'!$G:$G,ROW())/100,--INDEX('Term investments'!$G:$G,ROW())),0)</f>
        <v/>
      </c>
      <c r="H123">
        <f>IFERROR(--INDEX('Term investments'!$H:$H,ROW()),0)</f>
        <v/>
      </c>
      <c r="I123">
        <f>IF(ISNUMBER(INDEX('Term investments'!$G:$G,ROW())),1,0)</f>
        <v/>
      </c>
      <c r="J123">
        <f>TRIM(SUBSTITUTE(INDEX('Call accounts and MMFs'!$A:$A,ROW())&amp;""," "," "))</f>
        <v/>
      </c>
      <c r="K123">
        <f>TRIM(SUBSTITUTE(INDEX('Call accounts and MMFs'!$B:$B,ROW())&amp;""," "," "))</f>
        <v/>
      </c>
      <c r="L123">
        <f>TRIM(SUBSTITUTE(INDEX('Call accounts and MMFs'!$C:$C,ROW())&amp;""," "," "))</f>
        <v/>
      </c>
      <c r="M123">
        <f>IFERROR(--INDEX('Call accounts and MMFs'!$D:$D,ROW()),0)</f>
        <v/>
      </c>
      <c r="N123">
        <f>IFERROR(IF(--INDEX('Call accounts and MMFs'!$E:$E,ROW())&gt;=1,--INDEX('Call accounts and MMFs'!$E:$E,ROW())/100,--INDEX('Call accounts and MMFs'!$E:$E,ROW())),0)</f>
        <v/>
      </c>
      <c r="O123">
        <f>IFERROR(--INDEX('Call accounts and MMFs'!$F:$F,ROW()),0)</f>
        <v/>
      </c>
      <c r="P123">
        <f>IF(ISNUMBER(INDEX('Call accounts and MMFs'!$E:$E,ROW())),1,0)</f>
        <v/>
      </c>
      <c r="Q123">
        <f>TRIM(SUBSTITUTE(INDEX('Pooled funds'!$B:$B,ROW())&amp;""," "," "))</f>
        <v/>
      </c>
      <c r="R123">
        <f>IFERROR(--INDEX('Pooled funds'!$C:$C,ROW()),0)</f>
        <v/>
      </c>
      <c r="S123">
        <f>IFERROR(--INDEX('Pooled funds'!$D:$D,ROW()),0)</f>
        <v/>
      </c>
      <c r="T123">
        <f>IFERROR(IF(--INDEX('Pooled funds'!$E:$E,ROW())&gt;=1,--INDEX('Pooled funds'!$E:$E,ROW())/100,--INDEX('Pooled funds'!$E:$E,ROW())),0)</f>
        <v/>
      </c>
      <c r="U123">
        <f>IF(ISNUMBER(INDEX('Pooled funds'!$E:$E,ROW())),1,0)</f>
        <v/>
      </c>
      <c r="V123">
        <f>TRIM(SUBSTITUTE(INDEX('Loans'!$A:$A,ROW())&amp;""," "," "))</f>
        <v/>
      </c>
      <c r="W123">
        <f>TRIM(SUBSTITUTE(INDEX('Loans'!$B:$B,ROW())&amp;""," "," "))</f>
        <v/>
      </c>
      <c r="X123">
        <f>TRIM(SUBSTITUTE(INDEX('Loans'!$C:$C,ROW())&amp;""," "," "))</f>
        <v/>
      </c>
      <c r="Y123">
        <f>IFERROR(--INDEX('Loans'!$D:$D,ROW()),0)</f>
        <v/>
      </c>
      <c r="Z123">
        <f>IFERROR(--INDEX('Loans'!$E:$E,ROW()),0)</f>
        <v/>
      </c>
      <c r="AA123">
        <f>IFERROR(--INDEX('Loans'!$F:$F,ROW()),0)</f>
        <v/>
      </c>
      <c r="AB123">
        <f>IFERROR(IF(--INDEX('Loans'!$G:$G,ROW())&gt;=1,--INDEX('Loans'!$G:$G,ROW())/100,--INDEX('Loans'!$G:$G,ROW())),0)</f>
        <v/>
      </c>
      <c r="AC123">
        <f>TRIM(SUBSTITUTE(INDEX('Loans'!$H:$H,ROW())&amp;""," "," "))</f>
        <v/>
      </c>
      <c r="AD123">
        <f>TRIM(SUBSTITUTE(INDEX('Loans'!$I:$I,ROW())&amp;""," "," "))</f>
        <v/>
      </c>
      <c r="AE123">
        <f>IFERROR(--INDEX('Loans'!$J:$J,ROW()),0)</f>
        <v/>
      </c>
      <c r="AF123">
        <f>TRIM(SUBSTITUTE(INDEX('Loans'!$K:$K,ROW())&amp;""," "," "))</f>
        <v/>
      </c>
      <c r="AG123">
        <f>IFERROR(--INDEX('Loans'!$L:$L,ROW()),0)</f>
        <v/>
      </c>
      <c r="AH123">
        <f>IF(ISNUMBER(INDEX('Loans'!$G:$G,ROW())),1,0)</f>
        <v/>
      </c>
    </row>
    <row r="124">
      <c r="A124">
        <f>TRIM(SUBSTITUTE(INDEX('Term investments'!$A:$A,ROW())&amp;""," "," "))</f>
        <v/>
      </c>
      <c r="B124">
        <f>TRIM(SUBSTITUTE(INDEX('Term investments'!$B:$B,ROW())&amp;""," "," "))</f>
        <v/>
      </c>
      <c r="C124">
        <f>TRIM(SUBSTITUTE(INDEX('Term investments'!$C:$C,ROW())&amp;""," "," "))</f>
        <v/>
      </c>
      <c r="D124">
        <f>IFERROR(--INDEX('Term investments'!$D:$D,ROW()),0)</f>
        <v/>
      </c>
      <c r="E124">
        <f>IFERROR(--INDEX('Term investments'!$E:$E,ROW()),0)</f>
        <v/>
      </c>
      <c r="F124">
        <f>IFERROR(--INDEX('Term investments'!$F:$F,ROW()),0)</f>
        <v/>
      </c>
      <c r="G124">
        <f>IFERROR(IF(--INDEX('Term investments'!$G:$G,ROW())&gt;=1,--INDEX('Term investments'!$G:$G,ROW())/100,--INDEX('Term investments'!$G:$G,ROW())),0)</f>
        <v/>
      </c>
      <c r="H124">
        <f>IFERROR(--INDEX('Term investments'!$H:$H,ROW()),0)</f>
        <v/>
      </c>
      <c r="I124">
        <f>IF(ISNUMBER(INDEX('Term investments'!$G:$G,ROW())),1,0)</f>
        <v/>
      </c>
      <c r="J124">
        <f>TRIM(SUBSTITUTE(INDEX('Call accounts and MMFs'!$A:$A,ROW())&amp;""," "," "))</f>
        <v/>
      </c>
      <c r="K124">
        <f>TRIM(SUBSTITUTE(INDEX('Call accounts and MMFs'!$B:$B,ROW())&amp;""," "," "))</f>
        <v/>
      </c>
      <c r="L124">
        <f>TRIM(SUBSTITUTE(INDEX('Call accounts and MMFs'!$C:$C,ROW())&amp;""," "," "))</f>
        <v/>
      </c>
      <c r="M124">
        <f>IFERROR(--INDEX('Call accounts and MMFs'!$D:$D,ROW()),0)</f>
        <v/>
      </c>
      <c r="N124">
        <f>IFERROR(IF(--INDEX('Call accounts and MMFs'!$E:$E,ROW())&gt;=1,--INDEX('Call accounts and MMFs'!$E:$E,ROW())/100,--INDEX('Call accounts and MMFs'!$E:$E,ROW())),0)</f>
        <v/>
      </c>
      <c r="O124">
        <f>IFERROR(--INDEX('Call accounts and MMFs'!$F:$F,ROW()),0)</f>
        <v/>
      </c>
      <c r="P124">
        <f>IF(ISNUMBER(INDEX('Call accounts and MMFs'!$E:$E,ROW())),1,0)</f>
        <v/>
      </c>
      <c r="Q124">
        <f>TRIM(SUBSTITUTE(INDEX('Pooled funds'!$B:$B,ROW())&amp;""," "," "))</f>
        <v/>
      </c>
      <c r="R124">
        <f>IFERROR(--INDEX('Pooled funds'!$C:$C,ROW()),0)</f>
        <v/>
      </c>
      <c r="S124">
        <f>IFERROR(--INDEX('Pooled funds'!$D:$D,ROW()),0)</f>
        <v/>
      </c>
      <c r="T124">
        <f>IFERROR(IF(--INDEX('Pooled funds'!$E:$E,ROW())&gt;=1,--INDEX('Pooled funds'!$E:$E,ROW())/100,--INDEX('Pooled funds'!$E:$E,ROW())),0)</f>
        <v/>
      </c>
      <c r="U124">
        <f>IF(ISNUMBER(INDEX('Pooled funds'!$E:$E,ROW())),1,0)</f>
        <v/>
      </c>
      <c r="V124">
        <f>TRIM(SUBSTITUTE(INDEX('Loans'!$A:$A,ROW())&amp;""," "," "))</f>
        <v/>
      </c>
      <c r="W124">
        <f>TRIM(SUBSTITUTE(INDEX('Loans'!$B:$B,ROW())&amp;""," "," "))</f>
        <v/>
      </c>
      <c r="X124">
        <f>TRIM(SUBSTITUTE(INDEX('Loans'!$C:$C,ROW())&amp;""," "," "))</f>
        <v/>
      </c>
      <c r="Y124">
        <f>IFERROR(--INDEX('Loans'!$D:$D,ROW()),0)</f>
        <v/>
      </c>
      <c r="Z124">
        <f>IFERROR(--INDEX('Loans'!$E:$E,ROW()),0)</f>
        <v/>
      </c>
      <c r="AA124">
        <f>IFERROR(--INDEX('Loans'!$F:$F,ROW()),0)</f>
        <v/>
      </c>
      <c r="AB124">
        <f>IFERROR(IF(--INDEX('Loans'!$G:$G,ROW())&gt;=1,--INDEX('Loans'!$G:$G,ROW())/100,--INDEX('Loans'!$G:$G,ROW())),0)</f>
        <v/>
      </c>
      <c r="AC124">
        <f>TRIM(SUBSTITUTE(INDEX('Loans'!$H:$H,ROW())&amp;""," "," "))</f>
        <v/>
      </c>
      <c r="AD124">
        <f>TRIM(SUBSTITUTE(INDEX('Loans'!$I:$I,ROW())&amp;""," "," "))</f>
        <v/>
      </c>
      <c r="AE124">
        <f>IFERROR(--INDEX('Loans'!$J:$J,ROW()),0)</f>
        <v/>
      </c>
      <c r="AF124">
        <f>TRIM(SUBSTITUTE(INDEX('Loans'!$K:$K,ROW())&amp;""," "," "))</f>
        <v/>
      </c>
      <c r="AG124">
        <f>IFERROR(--INDEX('Loans'!$L:$L,ROW()),0)</f>
        <v/>
      </c>
      <c r="AH124">
        <f>IF(ISNUMBER(INDEX('Loans'!$G:$G,ROW())),1,0)</f>
        <v/>
      </c>
    </row>
    <row r="125">
      <c r="A125">
        <f>TRIM(SUBSTITUTE(INDEX('Term investments'!$A:$A,ROW())&amp;""," "," "))</f>
        <v/>
      </c>
      <c r="B125">
        <f>TRIM(SUBSTITUTE(INDEX('Term investments'!$B:$B,ROW())&amp;""," "," "))</f>
        <v/>
      </c>
      <c r="C125">
        <f>TRIM(SUBSTITUTE(INDEX('Term investments'!$C:$C,ROW())&amp;""," "," "))</f>
        <v/>
      </c>
      <c r="D125">
        <f>IFERROR(--INDEX('Term investments'!$D:$D,ROW()),0)</f>
        <v/>
      </c>
      <c r="E125">
        <f>IFERROR(--INDEX('Term investments'!$E:$E,ROW()),0)</f>
        <v/>
      </c>
      <c r="F125">
        <f>IFERROR(--INDEX('Term investments'!$F:$F,ROW()),0)</f>
        <v/>
      </c>
      <c r="G125">
        <f>IFERROR(IF(--INDEX('Term investments'!$G:$G,ROW())&gt;=1,--INDEX('Term investments'!$G:$G,ROW())/100,--INDEX('Term investments'!$G:$G,ROW())),0)</f>
        <v/>
      </c>
      <c r="H125">
        <f>IFERROR(--INDEX('Term investments'!$H:$H,ROW()),0)</f>
        <v/>
      </c>
      <c r="I125">
        <f>IF(ISNUMBER(INDEX('Term investments'!$G:$G,ROW())),1,0)</f>
        <v/>
      </c>
      <c r="J125">
        <f>TRIM(SUBSTITUTE(INDEX('Call accounts and MMFs'!$A:$A,ROW())&amp;""," "," "))</f>
        <v/>
      </c>
      <c r="K125">
        <f>TRIM(SUBSTITUTE(INDEX('Call accounts and MMFs'!$B:$B,ROW())&amp;""," "," "))</f>
        <v/>
      </c>
      <c r="L125">
        <f>TRIM(SUBSTITUTE(INDEX('Call accounts and MMFs'!$C:$C,ROW())&amp;""," "," "))</f>
        <v/>
      </c>
      <c r="M125">
        <f>IFERROR(--INDEX('Call accounts and MMFs'!$D:$D,ROW()),0)</f>
        <v/>
      </c>
      <c r="N125">
        <f>IFERROR(IF(--INDEX('Call accounts and MMFs'!$E:$E,ROW())&gt;=1,--INDEX('Call accounts and MMFs'!$E:$E,ROW())/100,--INDEX('Call accounts and MMFs'!$E:$E,ROW())),0)</f>
        <v/>
      </c>
      <c r="O125">
        <f>IFERROR(--INDEX('Call accounts and MMFs'!$F:$F,ROW()),0)</f>
        <v/>
      </c>
      <c r="P125">
        <f>IF(ISNUMBER(INDEX('Call accounts and MMFs'!$E:$E,ROW())),1,0)</f>
        <v/>
      </c>
      <c r="Q125">
        <f>TRIM(SUBSTITUTE(INDEX('Pooled funds'!$B:$B,ROW())&amp;""," "," "))</f>
        <v/>
      </c>
      <c r="R125">
        <f>IFERROR(--INDEX('Pooled funds'!$C:$C,ROW()),0)</f>
        <v/>
      </c>
      <c r="S125">
        <f>IFERROR(--INDEX('Pooled funds'!$D:$D,ROW()),0)</f>
        <v/>
      </c>
      <c r="T125">
        <f>IFERROR(IF(--INDEX('Pooled funds'!$E:$E,ROW())&gt;=1,--INDEX('Pooled funds'!$E:$E,ROW())/100,--INDEX('Pooled funds'!$E:$E,ROW())),0)</f>
        <v/>
      </c>
      <c r="U125">
        <f>IF(ISNUMBER(INDEX('Pooled funds'!$E:$E,ROW())),1,0)</f>
        <v/>
      </c>
      <c r="V125">
        <f>TRIM(SUBSTITUTE(INDEX('Loans'!$A:$A,ROW())&amp;""," "," "))</f>
        <v/>
      </c>
      <c r="W125">
        <f>TRIM(SUBSTITUTE(INDEX('Loans'!$B:$B,ROW())&amp;""," "," "))</f>
        <v/>
      </c>
      <c r="X125">
        <f>TRIM(SUBSTITUTE(INDEX('Loans'!$C:$C,ROW())&amp;""," "," "))</f>
        <v/>
      </c>
      <c r="Y125">
        <f>IFERROR(--INDEX('Loans'!$D:$D,ROW()),0)</f>
        <v/>
      </c>
      <c r="Z125">
        <f>IFERROR(--INDEX('Loans'!$E:$E,ROW()),0)</f>
        <v/>
      </c>
      <c r="AA125">
        <f>IFERROR(--INDEX('Loans'!$F:$F,ROW()),0)</f>
        <v/>
      </c>
      <c r="AB125">
        <f>IFERROR(IF(--INDEX('Loans'!$G:$G,ROW())&gt;=1,--INDEX('Loans'!$G:$G,ROW())/100,--INDEX('Loans'!$G:$G,ROW())),0)</f>
        <v/>
      </c>
      <c r="AC125">
        <f>TRIM(SUBSTITUTE(INDEX('Loans'!$H:$H,ROW())&amp;""," "," "))</f>
        <v/>
      </c>
      <c r="AD125">
        <f>TRIM(SUBSTITUTE(INDEX('Loans'!$I:$I,ROW())&amp;""," "," "))</f>
        <v/>
      </c>
      <c r="AE125">
        <f>IFERROR(--INDEX('Loans'!$J:$J,ROW()),0)</f>
        <v/>
      </c>
      <c r="AF125">
        <f>TRIM(SUBSTITUTE(INDEX('Loans'!$K:$K,ROW())&amp;""," "," "))</f>
        <v/>
      </c>
      <c r="AG125">
        <f>IFERROR(--INDEX('Loans'!$L:$L,ROW()),0)</f>
        <v/>
      </c>
      <c r="AH125">
        <f>IF(ISNUMBER(INDEX('Loans'!$G:$G,ROW())),1,0)</f>
        <v/>
      </c>
    </row>
    <row r="126">
      <c r="A126">
        <f>TRIM(SUBSTITUTE(INDEX('Term investments'!$A:$A,ROW())&amp;""," "," "))</f>
        <v/>
      </c>
      <c r="B126">
        <f>TRIM(SUBSTITUTE(INDEX('Term investments'!$B:$B,ROW())&amp;""," "," "))</f>
        <v/>
      </c>
      <c r="C126">
        <f>TRIM(SUBSTITUTE(INDEX('Term investments'!$C:$C,ROW())&amp;""," "," "))</f>
        <v/>
      </c>
      <c r="D126">
        <f>IFERROR(--INDEX('Term investments'!$D:$D,ROW()),0)</f>
        <v/>
      </c>
      <c r="E126">
        <f>IFERROR(--INDEX('Term investments'!$E:$E,ROW()),0)</f>
        <v/>
      </c>
      <c r="F126">
        <f>IFERROR(--INDEX('Term investments'!$F:$F,ROW()),0)</f>
        <v/>
      </c>
      <c r="G126">
        <f>IFERROR(IF(--INDEX('Term investments'!$G:$G,ROW())&gt;=1,--INDEX('Term investments'!$G:$G,ROW())/100,--INDEX('Term investments'!$G:$G,ROW())),0)</f>
        <v/>
      </c>
      <c r="H126">
        <f>IFERROR(--INDEX('Term investments'!$H:$H,ROW()),0)</f>
        <v/>
      </c>
      <c r="I126">
        <f>IF(ISNUMBER(INDEX('Term investments'!$G:$G,ROW())),1,0)</f>
        <v/>
      </c>
      <c r="J126">
        <f>TRIM(SUBSTITUTE(INDEX('Call accounts and MMFs'!$A:$A,ROW())&amp;""," "," "))</f>
        <v/>
      </c>
      <c r="K126">
        <f>TRIM(SUBSTITUTE(INDEX('Call accounts and MMFs'!$B:$B,ROW())&amp;""," "," "))</f>
        <v/>
      </c>
      <c r="L126">
        <f>TRIM(SUBSTITUTE(INDEX('Call accounts and MMFs'!$C:$C,ROW())&amp;""," "," "))</f>
        <v/>
      </c>
      <c r="M126">
        <f>IFERROR(--INDEX('Call accounts and MMFs'!$D:$D,ROW()),0)</f>
        <v/>
      </c>
      <c r="N126">
        <f>IFERROR(IF(--INDEX('Call accounts and MMFs'!$E:$E,ROW())&gt;=1,--INDEX('Call accounts and MMFs'!$E:$E,ROW())/100,--INDEX('Call accounts and MMFs'!$E:$E,ROW())),0)</f>
        <v/>
      </c>
      <c r="O126">
        <f>IFERROR(--INDEX('Call accounts and MMFs'!$F:$F,ROW()),0)</f>
        <v/>
      </c>
      <c r="P126">
        <f>IF(ISNUMBER(INDEX('Call accounts and MMFs'!$E:$E,ROW())),1,0)</f>
        <v/>
      </c>
      <c r="Q126">
        <f>TRIM(SUBSTITUTE(INDEX('Pooled funds'!$B:$B,ROW())&amp;""," "," "))</f>
        <v/>
      </c>
      <c r="R126">
        <f>IFERROR(--INDEX('Pooled funds'!$C:$C,ROW()),0)</f>
        <v/>
      </c>
      <c r="S126">
        <f>IFERROR(--INDEX('Pooled funds'!$D:$D,ROW()),0)</f>
        <v/>
      </c>
      <c r="T126">
        <f>IFERROR(IF(--INDEX('Pooled funds'!$E:$E,ROW())&gt;=1,--INDEX('Pooled funds'!$E:$E,ROW())/100,--INDEX('Pooled funds'!$E:$E,ROW())),0)</f>
        <v/>
      </c>
      <c r="U126">
        <f>IF(ISNUMBER(INDEX('Pooled funds'!$E:$E,ROW())),1,0)</f>
        <v/>
      </c>
      <c r="V126">
        <f>TRIM(SUBSTITUTE(INDEX('Loans'!$A:$A,ROW())&amp;""," "," "))</f>
        <v/>
      </c>
      <c r="W126">
        <f>TRIM(SUBSTITUTE(INDEX('Loans'!$B:$B,ROW())&amp;""," "," "))</f>
        <v/>
      </c>
      <c r="X126">
        <f>TRIM(SUBSTITUTE(INDEX('Loans'!$C:$C,ROW())&amp;""," "," "))</f>
        <v/>
      </c>
      <c r="Y126">
        <f>IFERROR(--INDEX('Loans'!$D:$D,ROW()),0)</f>
        <v/>
      </c>
      <c r="Z126">
        <f>IFERROR(--INDEX('Loans'!$E:$E,ROW()),0)</f>
        <v/>
      </c>
      <c r="AA126">
        <f>IFERROR(--INDEX('Loans'!$F:$F,ROW()),0)</f>
        <v/>
      </c>
      <c r="AB126">
        <f>IFERROR(IF(--INDEX('Loans'!$G:$G,ROW())&gt;=1,--INDEX('Loans'!$G:$G,ROW())/100,--INDEX('Loans'!$G:$G,ROW())),0)</f>
        <v/>
      </c>
      <c r="AC126">
        <f>TRIM(SUBSTITUTE(INDEX('Loans'!$H:$H,ROW())&amp;""," "," "))</f>
        <v/>
      </c>
      <c r="AD126">
        <f>TRIM(SUBSTITUTE(INDEX('Loans'!$I:$I,ROW())&amp;""," "," "))</f>
        <v/>
      </c>
      <c r="AE126">
        <f>IFERROR(--INDEX('Loans'!$J:$J,ROW()),0)</f>
        <v/>
      </c>
      <c r="AF126">
        <f>TRIM(SUBSTITUTE(INDEX('Loans'!$K:$K,ROW())&amp;""," "," "))</f>
        <v/>
      </c>
      <c r="AG126">
        <f>IFERROR(--INDEX('Loans'!$L:$L,ROW()),0)</f>
        <v/>
      </c>
      <c r="AH126">
        <f>IF(ISNUMBER(INDEX('Loans'!$G:$G,ROW())),1,0)</f>
        <v/>
      </c>
    </row>
    <row r="127">
      <c r="A127">
        <f>TRIM(SUBSTITUTE(INDEX('Term investments'!$A:$A,ROW())&amp;""," "," "))</f>
        <v/>
      </c>
      <c r="B127">
        <f>TRIM(SUBSTITUTE(INDEX('Term investments'!$B:$B,ROW())&amp;""," "," "))</f>
        <v/>
      </c>
      <c r="C127">
        <f>TRIM(SUBSTITUTE(INDEX('Term investments'!$C:$C,ROW())&amp;""," "," "))</f>
        <v/>
      </c>
      <c r="D127">
        <f>IFERROR(--INDEX('Term investments'!$D:$D,ROW()),0)</f>
        <v/>
      </c>
      <c r="E127">
        <f>IFERROR(--INDEX('Term investments'!$E:$E,ROW()),0)</f>
        <v/>
      </c>
      <c r="F127">
        <f>IFERROR(--INDEX('Term investments'!$F:$F,ROW()),0)</f>
        <v/>
      </c>
      <c r="G127">
        <f>IFERROR(IF(--INDEX('Term investments'!$G:$G,ROW())&gt;=1,--INDEX('Term investments'!$G:$G,ROW())/100,--INDEX('Term investments'!$G:$G,ROW())),0)</f>
        <v/>
      </c>
      <c r="H127">
        <f>IFERROR(--INDEX('Term investments'!$H:$H,ROW()),0)</f>
        <v/>
      </c>
      <c r="I127">
        <f>IF(ISNUMBER(INDEX('Term investments'!$G:$G,ROW())),1,0)</f>
        <v/>
      </c>
      <c r="J127">
        <f>TRIM(SUBSTITUTE(INDEX('Call accounts and MMFs'!$A:$A,ROW())&amp;""," "," "))</f>
        <v/>
      </c>
      <c r="K127">
        <f>TRIM(SUBSTITUTE(INDEX('Call accounts and MMFs'!$B:$B,ROW())&amp;""," "," "))</f>
        <v/>
      </c>
      <c r="L127">
        <f>TRIM(SUBSTITUTE(INDEX('Call accounts and MMFs'!$C:$C,ROW())&amp;""," "," "))</f>
        <v/>
      </c>
      <c r="M127">
        <f>IFERROR(--INDEX('Call accounts and MMFs'!$D:$D,ROW()),0)</f>
        <v/>
      </c>
      <c r="N127">
        <f>IFERROR(IF(--INDEX('Call accounts and MMFs'!$E:$E,ROW())&gt;=1,--INDEX('Call accounts and MMFs'!$E:$E,ROW())/100,--INDEX('Call accounts and MMFs'!$E:$E,ROW())),0)</f>
        <v/>
      </c>
      <c r="O127">
        <f>IFERROR(--INDEX('Call accounts and MMFs'!$F:$F,ROW()),0)</f>
        <v/>
      </c>
      <c r="P127">
        <f>IF(ISNUMBER(INDEX('Call accounts and MMFs'!$E:$E,ROW())),1,0)</f>
        <v/>
      </c>
      <c r="Q127">
        <f>TRIM(SUBSTITUTE(INDEX('Pooled funds'!$B:$B,ROW())&amp;""," "," "))</f>
        <v/>
      </c>
      <c r="R127">
        <f>IFERROR(--INDEX('Pooled funds'!$C:$C,ROW()),0)</f>
        <v/>
      </c>
      <c r="S127">
        <f>IFERROR(--INDEX('Pooled funds'!$D:$D,ROW()),0)</f>
        <v/>
      </c>
      <c r="T127">
        <f>IFERROR(IF(--INDEX('Pooled funds'!$E:$E,ROW())&gt;=1,--INDEX('Pooled funds'!$E:$E,ROW())/100,--INDEX('Pooled funds'!$E:$E,ROW())),0)</f>
        <v/>
      </c>
      <c r="U127">
        <f>IF(ISNUMBER(INDEX('Pooled funds'!$E:$E,ROW())),1,0)</f>
        <v/>
      </c>
      <c r="V127">
        <f>TRIM(SUBSTITUTE(INDEX('Loans'!$A:$A,ROW())&amp;""," "," "))</f>
        <v/>
      </c>
      <c r="W127">
        <f>TRIM(SUBSTITUTE(INDEX('Loans'!$B:$B,ROW())&amp;""," "," "))</f>
        <v/>
      </c>
      <c r="X127">
        <f>TRIM(SUBSTITUTE(INDEX('Loans'!$C:$C,ROW())&amp;""," "," "))</f>
        <v/>
      </c>
      <c r="Y127">
        <f>IFERROR(--INDEX('Loans'!$D:$D,ROW()),0)</f>
        <v/>
      </c>
      <c r="Z127">
        <f>IFERROR(--INDEX('Loans'!$E:$E,ROW()),0)</f>
        <v/>
      </c>
      <c r="AA127">
        <f>IFERROR(--INDEX('Loans'!$F:$F,ROW()),0)</f>
        <v/>
      </c>
      <c r="AB127">
        <f>IFERROR(IF(--INDEX('Loans'!$G:$G,ROW())&gt;=1,--INDEX('Loans'!$G:$G,ROW())/100,--INDEX('Loans'!$G:$G,ROW())),0)</f>
        <v/>
      </c>
      <c r="AC127">
        <f>TRIM(SUBSTITUTE(INDEX('Loans'!$H:$H,ROW())&amp;""," "," "))</f>
        <v/>
      </c>
      <c r="AD127">
        <f>TRIM(SUBSTITUTE(INDEX('Loans'!$I:$I,ROW())&amp;""," "," "))</f>
        <v/>
      </c>
      <c r="AE127">
        <f>IFERROR(--INDEX('Loans'!$J:$J,ROW()),0)</f>
        <v/>
      </c>
      <c r="AF127">
        <f>TRIM(SUBSTITUTE(INDEX('Loans'!$K:$K,ROW())&amp;""," "," "))</f>
        <v/>
      </c>
      <c r="AG127">
        <f>IFERROR(--INDEX('Loans'!$L:$L,ROW()),0)</f>
        <v/>
      </c>
      <c r="AH127">
        <f>IF(ISNUMBER(INDEX('Loans'!$G:$G,ROW())),1,0)</f>
        <v/>
      </c>
    </row>
    <row r="128">
      <c r="A128">
        <f>TRIM(SUBSTITUTE(INDEX('Term investments'!$A:$A,ROW())&amp;""," "," "))</f>
        <v/>
      </c>
      <c r="B128">
        <f>TRIM(SUBSTITUTE(INDEX('Term investments'!$B:$B,ROW())&amp;""," "," "))</f>
        <v/>
      </c>
      <c r="C128">
        <f>TRIM(SUBSTITUTE(INDEX('Term investments'!$C:$C,ROW())&amp;""," "," "))</f>
        <v/>
      </c>
      <c r="D128">
        <f>IFERROR(--INDEX('Term investments'!$D:$D,ROW()),0)</f>
        <v/>
      </c>
      <c r="E128">
        <f>IFERROR(--INDEX('Term investments'!$E:$E,ROW()),0)</f>
        <v/>
      </c>
      <c r="F128">
        <f>IFERROR(--INDEX('Term investments'!$F:$F,ROW()),0)</f>
        <v/>
      </c>
      <c r="G128">
        <f>IFERROR(IF(--INDEX('Term investments'!$G:$G,ROW())&gt;=1,--INDEX('Term investments'!$G:$G,ROW())/100,--INDEX('Term investments'!$G:$G,ROW())),0)</f>
        <v/>
      </c>
      <c r="H128">
        <f>IFERROR(--INDEX('Term investments'!$H:$H,ROW()),0)</f>
        <v/>
      </c>
      <c r="I128">
        <f>IF(ISNUMBER(INDEX('Term investments'!$G:$G,ROW())),1,0)</f>
        <v/>
      </c>
      <c r="J128">
        <f>TRIM(SUBSTITUTE(INDEX('Call accounts and MMFs'!$A:$A,ROW())&amp;""," "," "))</f>
        <v/>
      </c>
      <c r="K128">
        <f>TRIM(SUBSTITUTE(INDEX('Call accounts and MMFs'!$B:$B,ROW())&amp;""," "," "))</f>
        <v/>
      </c>
      <c r="L128">
        <f>TRIM(SUBSTITUTE(INDEX('Call accounts and MMFs'!$C:$C,ROW())&amp;""," "," "))</f>
        <v/>
      </c>
      <c r="M128">
        <f>IFERROR(--INDEX('Call accounts and MMFs'!$D:$D,ROW()),0)</f>
        <v/>
      </c>
      <c r="N128">
        <f>IFERROR(IF(--INDEX('Call accounts and MMFs'!$E:$E,ROW())&gt;=1,--INDEX('Call accounts and MMFs'!$E:$E,ROW())/100,--INDEX('Call accounts and MMFs'!$E:$E,ROW())),0)</f>
        <v/>
      </c>
      <c r="O128">
        <f>IFERROR(--INDEX('Call accounts and MMFs'!$F:$F,ROW()),0)</f>
        <v/>
      </c>
      <c r="P128">
        <f>IF(ISNUMBER(INDEX('Call accounts and MMFs'!$E:$E,ROW())),1,0)</f>
        <v/>
      </c>
      <c r="Q128">
        <f>TRIM(SUBSTITUTE(INDEX('Pooled funds'!$B:$B,ROW())&amp;""," "," "))</f>
        <v/>
      </c>
      <c r="R128">
        <f>IFERROR(--INDEX('Pooled funds'!$C:$C,ROW()),0)</f>
        <v/>
      </c>
      <c r="S128">
        <f>IFERROR(--INDEX('Pooled funds'!$D:$D,ROW()),0)</f>
        <v/>
      </c>
      <c r="T128">
        <f>IFERROR(IF(--INDEX('Pooled funds'!$E:$E,ROW())&gt;=1,--INDEX('Pooled funds'!$E:$E,ROW())/100,--INDEX('Pooled funds'!$E:$E,ROW())),0)</f>
        <v/>
      </c>
      <c r="U128">
        <f>IF(ISNUMBER(INDEX('Pooled funds'!$E:$E,ROW())),1,0)</f>
        <v/>
      </c>
      <c r="V128">
        <f>TRIM(SUBSTITUTE(INDEX('Loans'!$A:$A,ROW())&amp;""," "," "))</f>
        <v/>
      </c>
      <c r="W128">
        <f>TRIM(SUBSTITUTE(INDEX('Loans'!$B:$B,ROW())&amp;""," "," "))</f>
        <v/>
      </c>
      <c r="X128">
        <f>TRIM(SUBSTITUTE(INDEX('Loans'!$C:$C,ROW())&amp;""," "," "))</f>
        <v/>
      </c>
      <c r="Y128">
        <f>IFERROR(--INDEX('Loans'!$D:$D,ROW()),0)</f>
        <v/>
      </c>
      <c r="Z128">
        <f>IFERROR(--INDEX('Loans'!$E:$E,ROW()),0)</f>
        <v/>
      </c>
      <c r="AA128">
        <f>IFERROR(--INDEX('Loans'!$F:$F,ROW()),0)</f>
        <v/>
      </c>
      <c r="AB128">
        <f>IFERROR(IF(--INDEX('Loans'!$G:$G,ROW())&gt;=1,--INDEX('Loans'!$G:$G,ROW())/100,--INDEX('Loans'!$G:$G,ROW())),0)</f>
        <v/>
      </c>
      <c r="AC128">
        <f>TRIM(SUBSTITUTE(INDEX('Loans'!$H:$H,ROW())&amp;""," "," "))</f>
        <v/>
      </c>
      <c r="AD128">
        <f>TRIM(SUBSTITUTE(INDEX('Loans'!$I:$I,ROW())&amp;""," "," "))</f>
        <v/>
      </c>
      <c r="AE128">
        <f>IFERROR(--INDEX('Loans'!$J:$J,ROW()),0)</f>
        <v/>
      </c>
      <c r="AF128">
        <f>TRIM(SUBSTITUTE(INDEX('Loans'!$K:$K,ROW())&amp;""," "," "))</f>
        <v/>
      </c>
      <c r="AG128">
        <f>IFERROR(--INDEX('Loans'!$L:$L,ROW()),0)</f>
        <v/>
      </c>
      <c r="AH128">
        <f>IF(ISNUMBER(INDEX('Loans'!$G:$G,ROW())),1,0)</f>
        <v/>
      </c>
    </row>
    <row r="129">
      <c r="A129">
        <f>TRIM(SUBSTITUTE(INDEX('Term investments'!$A:$A,ROW())&amp;""," "," "))</f>
        <v/>
      </c>
      <c r="B129">
        <f>TRIM(SUBSTITUTE(INDEX('Term investments'!$B:$B,ROW())&amp;""," "," "))</f>
        <v/>
      </c>
      <c r="C129">
        <f>TRIM(SUBSTITUTE(INDEX('Term investments'!$C:$C,ROW())&amp;""," "," "))</f>
        <v/>
      </c>
      <c r="D129">
        <f>IFERROR(--INDEX('Term investments'!$D:$D,ROW()),0)</f>
        <v/>
      </c>
      <c r="E129">
        <f>IFERROR(--INDEX('Term investments'!$E:$E,ROW()),0)</f>
        <v/>
      </c>
      <c r="F129">
        <f>IFERROR(--INDEX('Term investments'!$F:$F,ROW()),0)</f>
        <v/>
      </c>
      <c r="G129">
        <f>IFERROR(IF(--INDEX('Term investments'!$G:$G,ROW())&gt;=1,--INDEX('Term investments'!$G:$G,ROW())/100,--INDEX('Term investments'!$G:$G,ROW())),0)</f>
        <v/>
      </c>
      <c r="H129">
        <f>IFERROR(--INDEX('Term investments'!$H:$H,ROW()),0)</f>
        <v/>
      </c>
      <c r="I129">
        <f>IF(ISNUMBER(INDEX('Term investments'!$G:$G,ROW())),1,0)</f>
        <v/>
      </c>
      <c r="J129">
        <f>TRIM(SUBSTITUTE(INDEX('Call accounts and MMFs'!$A:$A,ROW())&amp;""," "," "))</f>
        <v/>
      </c>
      <c r="K129">
        <f>TRIM(SUBSTITUTE(INDEX('Call accounts and MMFs'!$B:$B,ROW())&amp;""," "," "))</f>
        <v/>
      </c>
      <c r="L129">
        <f>TRIM(SUBSTITUTE(INDEX('Call accounts and MMFs'!$C:$C,ROW())&amp;""," "," "))</f>
        <v/>
      </c>
      <c r="M129">
        <f>IFERROR(--INDEX('Call accounts and MMFs'!$D:$D,ROW()),0)</f>
        <v/>
      </c>
      <c r="N129">
        <f>IFERROR(IF(--INDEX('Call accounts and MMFs'!$E:$E,ROW())&gt;=1,--INDEX('Call accounts and MMFs'!$E:$E,ROW())/100,--INDEX('Call accounts and MMFs'!$E:$E,ROW())),0)</f>
        <v/>
      </c>
      <c r="O129">
        <f>IFERROR(--INDEX('Call accounts and MMFs'!$F:$F,ROW()),0)</f>
        <v/>
      </c>
      <c r="P129">
        <f>IF(ISNUMBER(INDEX('Call accounts and MMFs'!$E:$E,ROW())),1,0)</f>
        <v/>
      </c>
      <c r="Q129">
        <f>TRIM(SUBSTITUTE(INDEX('Pooled funds'!$B:$B,ROW())&amp;""," "," "))</f>
        <v/>
      </c>
      <c r="R129">
        <f>IFERROR(--INDEX('Pooled funds'!$C:$C,ROW()),0)</f>
        <v/>
      </c>
      <c r="S129">
        <f>IFERROR(--INDEX('Pooled funds'!$D:$D,ROW()),0)</f>
        <v/>
      </c>
      <c r="T129">
        <f>IFERROR(IF(--INDEX('Pooled funds'!$E:$E,ROW())&gt;=1,--INDEX('Pooled funds'!$E:$E,ROW())/100,--INDEX('Pooled funds'!$E:$E,ROW())),0)</f>
        <v/>
      </c>
      <c r="U129">
        <f>IF(ISNUMBER(INDEX('Pooled funds'!$E:$E,ROW())),1,0)</f>
        <v/>
      </c>
      <c r="V129">
        <f>TRIM(SUBSTITUTE(INDEX('Loans'!$A:$A,ROW())&amp;""," "," "))</f>
        <v/>
      </c>
      <c r="W129">
        <f>TRIM(SUBSTITUTE(INDEX('Loans'!$B:$B,ROW())&amp;""," "," "))</f>
        <v/>
      </c>
      <c r="X129">
        <f>TRIM(SUBSTITUTE(INDEX('Loans'!$C:$C,ROW())&amp;""," "," "))</f>
        <v/>
      </c>
      <c r="Y129">
        <f>IFERROR(--INDEX('Loans'!$D:$D,ROW()),0)</f>
        <v/>
      </c>
      <c r="Z129">
        <f>IFERROR(--INDEX('Loans'!$E:$E,ROW()),0)</f>
        <v/>
      </c>
      <c r="AA129">
        <f>IFERROR(--INDEX('Loans'!$F:$F,ROW()),0)</f>
        <v/>
      </c>
      <c r="AB129">
        <f>IFERROR(IF(--INDEX('Loans'!$G:$G,ROW())&gt;=1,--INDEX('Loans'!$G:$G,ROW())/100,--INDEX('Loans'!$G:$G,ROW())),0)</f>
        <v/>
      </c>
      <c r="AC129">
        <f>TRIM(SUBSTITUTE(INDEX('Loans'!$H:$H,ROW())&amp;""," "," "))</f>
        <v/>
      </c>
      <c r="AD129">
        <f>TRIM(SUBSTITUTE(INDEX('Loans'!$I:$I,ROW())&amp;""," "," "))</f>
        <v/>
      </c>
      <c r="AE129">
        <f>IFERROR(--INDEX('Loans'!$J:$J,ROW()),0)</f>
        <v/>
      </c>
      <c r="AF129">
        <f>TRIM(SUBSTITUTE(INDEX('Loans'!$K:$K,ROW())&amp;""," "," "))</f>
        <v/>
      </c>
      <c r="AG129">
        <f>IFERROR(--INDEX('Loans'!$L:$L,ROW()),0)</f>
        <v/>
      </c>
      <c r="AH129">
        <f>IF(ISNUMBER(INDEX('Loans'!$G:$G,ROW())),1,0)</f>
        <v/>
      </c>
    </row>
    <row r="130">
      <c r="A130">
        <f>TRIM(SUBSTITUTE(INDEX('Term investments'!$A:$A,ROW())&amp;""," "," "))</f>
        <v/>
      </c>
      <c r="B130">
        <f>TRIM(SUBSTITUTE(INDEX('Term investments'!$B:$B,ROW())&amp;""," "," "))</f>
        <v/>
      </c>
      <c r="C130">
        <f>TRIM(SUBSTITUTE(INDEX('Term investments'!$C:$C,ROW())&amp;""," "," "))</f>
        <v/>
      </c>
      <c r="D130">
        <f>IFERROR(--INDEX('Term investments'!$D:$D,ROW()),0)</f>
        <v/>
      </c>
      <c r="E130">
        <f>IFERROR(--INDEX('Term investments'!$E:$E,ROW()),0)</f>
        <v/>
      </c>
      <c r="F130">
        <f>IFERROR(--INDEX('Term investments'!$F:$F,ROW()),0)</f>
        <v/>
      </c>
      <c r="G130">
        <f>IFERROR(IF(--INDEX('Term investments'!$G:$G,ROW())&gt;=1,--INDEX('Term investments'!$G:$G,ROW())/100,--INDEX('Term investments'!$G:$G,ROW())),0)</f>
        <v/>
      </c>
      <c r="H130">
        <f>IFERROR(--INDEX('Term investments'!$H:$H,ROW()),0)</f>
        <v/>
      </c>
      <c r="I130">
        <f>IF(ISNUMBER(INDEX('Term investments'!$G:$G,ROW())),1,0)</f>
        <v/>
      </c>
      <c r="J130">
        <f>TRIM(SUBSTITUTE(INDEX('Call accounts and MMFs'!$A:$A,ROW())&amp;""," "," "))</f>
        <v/>
      </c>
      <c r="K130">
        <f>TRIM(SUBSTITUTE(INDEX('Call accounts and MMFs'!$B:$B,ROW())&amp;""," "," "))</f>
        <v/>
      </c>
      <c r="L130">
        <f>TRIM(SUBSTITUTE(INDEX('Call accounts and MMFs'!$C:$C,ROW())&amp;""," "," "))</f>
        <v/>
      </c>
      <c r="M130">
        <f>IFERROR(--INDEX('Call accounts and MMFs'!$D:$D,ROW()),0)</f>
        <v/>
      </c>
      <c r="N130">
        <f>IFERROR(IF(--INDEX('Call accounts and MMFs'!$E:$E,ROW())&gt;=1,--INDEX('Call accounts and MMFs'!$E:$E,ROW())/100,--INDEX('Call accounts and MMFs'!$E:$E,ROW())),0)</f>
        <v/>
      </c>
      <c r="O130">
        <f>IFERROR(--INDEX('Call accounts and MMFs'!$F:$F,ROW()),0)</f>
        <v/>
      </c>
      <c r="P130">
        <f>IF(ISNUMBER(INDEX('Call accounts and MMFs'!$E:$E,ROW())),1,0)</f>
        <v/>
      </c>
      <c r="Q130">
        <f>TRIM(SUBSTITUTE(INDEX('Pooled funds'!$B:$B,ROW())&amp;""," "," "))</f>
        <v/>
      </c>
      <c r="R130">
        <f>IFERROR(--INDEX('Pooled funds'!$C:$C,ROW()),0)</f>
        <v/>
      </c>
      <c r="S130">
        <f>IFERROR(--INDEX('Pooled funds'!$D:$D,ROW()),0)</f>
        <v/>
      </c>
      <c r="T130">
        <f>IFERROR(IF(--INDEX('Pooled funds'!$E:$E,ROW())&gt;=1,--INDEX('Pooled funds'!$E:$E,ROW())/100,--INDEX('Pooled funds'!$E:$E,ROW())),0)</f>
        <v/>
      </c>
      <c r="U130">
        <f>IF(ISNUMBER(INDEX('Pooled funds'!$E:$E,ROW())),1,0)</f>
        <v/>
      </c>
      <c r="V130">
        <f>TRIM(SUBSTITUTE(INDEX('Loans'!$A:$A,ROW())&amp;""," "," "))</f>
        <v/>
      </c>
      <c r="W130">
        <f>TRIM(SUBSTITUTE(INDEX('Loans'!$B:$B,ROW())&amp;""," "," "))</f>
        <v/>
      </c>
      <c r="X130">
        <f>TRIM(SUBSTITUTE(INDEX('Loans'!$C:$C,ROW())&amp;""," "," "))</f>
        <v/>
      </c>
      <c r="Y130">
        <f>IFERROR(--INDEX('Loans'!$D:$D,ROW()),0)</f>
        <v/>
      </c>
      <c r="Z130">
        <f>IFERROR(--INDEX('Loans'!$E:$E,ROW()),0)</f>
        <v/>
      </c>
      <c r="AA130">
        <f>IFERROR(--INDEX('Loans'!$F:$F,ROW()),0)</f>
        <v/>
      </c>
      <c r="AB130">
        <f>IFERROR(IF(--INDEX('Loans'!$G:$G,ROW())&gt;=1,--INDEX('Loans'!$G:$G,ROW())/100,--INDEX('Loans'!$G:$G,ROW())),0)</f>
        <v/>
      </c>
      <c r="AC130">
        <f>TRIM(SUBSTITUTE(INDEX('Loans'!$H:$H,ROW())&amp;""," "," "))</f>
        <v/>
      </c>
      <c r="AD130">
        <f>TRIM(SUBSTITUTE(INDEX('Loans'!$I:$I,ROW())&amp;""," "," "))</f>
        <v/>
      </c>
      <c r="AE130">
        <f>IFERROR(--INDEX('Loans'!$J:$J,ROW()),0)</f>
        <v/>
      </c>
      <c r="AF130">
        <f>TRIM(SUBSTITUTE(INDEX('Loans'!$K:$K,ROW())&amp;""," "," "))</f>
        <v/>
      </c>
      <c r="AG130">
        <f>IFERROR(--INDEX('Loans'!$L:$L,ROW()),0)</f>
        <v/>
      </c>
      <c r="AH130">
        <f>IF(ISNUMBER(INDEX('Loans'!$G:$G,ROW())),1,0)</f>
        <v/>
      </c>
    </row>
    <row r="131">
      <c r="A131">
        <f>TRIM(SUBSTITUTE(INDEX('Term investments'!$A:$A,ROW())&amp;""," "," "))</f>
        <v/>
      </c>
      <c r="B131">
        <f>TRIM(SUBSTITUTE(INDEX('Term investments'!$B:$B,ROW())&amp;""," "," "))</f>
        <v/>
      </c>
      <c r="C131">
        <f>TRIM(SUBSTITUTE(INDEX('Term investments'!$C:$C,ROW())&amp;""," "," "))</f>
        <v/>
      </c>
      <c r="D131">
        <f>IFERROR(--INDEX('Term investments'!$D:$D,ROW()),0)</f>
        <v/>
      </c>
      <c r="E131">
        <f>IFERROR(--INDEX('Term investments'!$E:$E,ROW()),0)</f>
        <v/>
      </c>
      <c r="F131">
        <f>IFERROR(--INDEX('Term investments'!$F:$F,ROW()),0)</f>
        <v/>
      </c>
      <c r="G131">
        <f>IFERROR(IF(--INDEX('Term investments'!$G:$G,ROW())&gt;=1,--INDEX('Term investments'!$G:$G,ROW())/100,--INDEX('Term investments'!$G:$G,ROW())),0)</f>
        <v/>
      </c>
      <c r="H131">
        <f>IFERROR(--INDEX('Term investments'!$H:$H,ROW()),0)</f>
        <v/>
      </c>
      <c r="I131">
        <f>IF(ISNUMBER(INDEX('Term investments'!$G:$G,ROW())),1,0)</f>
        <v/>
      </c>
      <c r="J131">
        <f>TRIM(SUBSTITUTE(INDEX('Call accounts and MMFs'!$A:$A,ROW())&amp;""," "," "))</f>
        <v/>
      </c>
      <c r="K131">
        <f>TRIM(SUBSTITUTE(INDEX('Call accounts and MMFs'!$B:$B,ROW())&amp;""," "," "))</f>
        <v/>
      </c>
      <c r="L131">
        <f>TRIM(SUBSTITUTE(INDEX('Call accounts and MMFs'!$C:$C,ROW())&amp;""," "," "))</f>
        <v/>
      </c>
      <c r="M131">
        <f>IFERROR(--INDEX('Call accounts and MMFs'!$D:$D,ROW()),0)</f>
        <v/>
      </c>
      <c r="N131">
        <f>IFERROR(IF(--INDEX('Call accounts and MMFs'!$E:$E,ROW())&gt;=1,--INDEX('Call accounts and MMFs'!$E:$E,ROW())/100,--INDEX('Call accounts and MMFs'!$E:$E,ROW())),0)</f>
        <v/>
      </c>
      <c r="O131">
        <f>IFERROR(--INDEX('Call accounts and MMFs'!$F:$F,ROW()),0)</f>
        <v/>
      </c>
      <c r="P131">
        <f>IF(ISNUMBER(INDEX('Call accounts and MMFs'!$E:$E,ROW())),1,0)</f>
        <v/>
      </c>
      <c r="Q131">
        <f>TRIM(SUBSTITUTE(INDEX('Pooled funds'!$B:$B,ROW())&amp;""," "," "))</f>
        <v/>
      </c>
      <c r="R131">
        <f>IFERROR(--INDEX('Pooled funds'!$C:$C,ROW()),0)</f>
        <v/>
      </c>
      <c r="S131">
        <f>IFERROR(--INDEX('Pooled funds'!$D:$D,ROW()),0)</f>
        <v/>
      </c>
      <c r="T131">
        <f>IFERROR(IF(--INDEX('Pooled funds'!$E:$E,ROW())&gt;=1,--INDEX('Pooled funds'!$E:$E,ROW())/100,--INDEX('Pooled funds'!$E:$E,ROW())),0)</f>
        <v/>
      </c>
      <c r="U131">
        <f>IF(ISNUMBER(INDEX('Pooled funds'!$E:$E,ROW())),1,0)</f>
        <v/>
      </c>
      <c r="V131">
        <f>TRIM(SUBSTITUTE(INDEX('Loans'!$A:$A,ROW())&amp;""," "," "))</f>
        <v/>
      </c>
      <c r="W131">
        <f>TRIM(SUBSTITUTE(INDEX('Loans'!$B:$B,ROW())&amp;""," "," "))</f>
        <v/>
      </c>
      <c r="X131">
        <f>TRIM(SUBSTITUTE(INDEX('Loans'!$C:$C,ROW())&amp;""," "," "))</f>
        <v/>
      </c>
      <c r="Y131">
        <f>IFERROR(--INDEX('Loans'!$D:$D,ROW()),0)</f>
        <v/>
      </c>
      <c r="Z131">
        <f>IFERROR(--INDEX('Loans'!$E:$E,ROW()),0)</f>
        <v/>
      </c>
      <c r="AA131">
        <f>IFERROR(--INDEX('Loans'!$F:$F,ROW()),0)</f>
        <v/>
      </c>
      <c r="AB131">
        <f>IFERROR(IF(--INDEX('Loans'!$G:$G,ROW())&gt;=1,--INDEX('Loans'!$G:$G,ROW())/100,--INDEX('Loans'!$G:$G,ROW())),0)</f>
        <v/>
      </c>
      <c r="AC131">
        <f>TRIM(SUBSTITUTE(INDEX('Loans'!$H:$H,ROW())&amp;""," "," "))</f>
        <v/>
      </c>
      <c r="AD131">
        <f>TRIM(SUBSTITUTE(INDEX('Loans'!$I:$I,ROW())&amp;""," "," "))</f>
        <v/>
      </c>
      <c r="AE131">
        <f>IFERROR(--INDEX('Loans'!$J:$J,ROW()),0)</f>
        <v/>
      </c>
      <c r="AF131">
        <f>TRIM(SUBSTITUTE(INDEX('Loans'!$K:$K,ROW())&amp;""," "," "))</f>
        <v/>
      </c>
      <c r="AG131">
        <f>IFERROR(--INDEX('Loans'!$L:$L,ROW()),0)</f>
        <v/>
      </c>
      <c r="AH131">
        <f>IF(ISNUMBER(INDEX('Loans'!$G:$G,ROW())),1,0)</f>
        <v/>
      </c>
    </row>
    <row r="132">
      <c r="A132">
        <f>TRIM(SUBSTITUTE(INDEX('Term investments'!$A:$A,ROW())&amp;""," "," "))</f>
        <v/>
      </c>
      <c r="B132">
        <f>TRIM(SUBSTITUTE(INDEX('Term investments'!$B:$B,ROW())&amp;""," "," "))</f>
        <v/>
      </c>
      <c r="C132">
        <f>TRIM(SUBSTITUTE(INDEX('Term investments'!$C:$C,ROW())&amp;""," "," "))</f>
        <v/>
      </c>
      <c r="D132">
        <f>IFERROR(--INDEX('Term investments'!$D:$D,ROW()),0)</f>
        <v/>
      </c>
      <c r="E132">
        <f>IFERROR(--INDEX('Term investments'!$E:$E,ROW()),0)</f>
        <v/>
      </c>
      <c r="F132">
        <f>IFERROR(--INDEX('Term investments'!$F:$F,ROW()),0)</f>
        <v/>
      </c>
      <c r="G132">
        <f>IFERROR(IF(--INDEX('Term investments'!$G:$G,ROW())&gt;=1,--INDEX('Term investments'!$G:$G,ROW())/100,--INDEX('Term investments'!$G:$G,ROW())),0)</f>
        <v/>
      </c>
      <c r="H132">
        <f>IFERROR(--INDEX('Term investments'!$H:$H,ROW()),0)</f>
        <v/>
      </c>
      <c r="I132">
        <f>IF(ISNUMBER(INDEX('Term investments'!$G:$G,ROW())),1,0)</f>
        <v/>
      </c>
      <c r="J132">
        <f>TRIM(SUBSTITUTE(INDEX('Call accounts and MMFs'!$A:$A,ROW())&amp;""," "," "))</f>
        <v/>
      </c>
      <c r="K132">
        <f>TRIM(SUBSTITUTE(INDEX('Call accounts and MMFs'!$B:$B,ROW())&amp;""," "," "))</f>
        <v/>
      </c>
      <c r="L132">
        <f>TRIM(SUBSTITUTE(INDEX('Call accounts and MMFs'!$C:$C,ROW())&amp;""," "," "))</f>
        <v/>
      </c>
      <c r="M132">
        <f>IFERROR(--INDEX('Call accounts and MMFs'!$D:$D,ROW()),0)</f>
        <v/>
      </c>
      <c r="N132">
        <f>IFERROR(IF(--INDEX('Call accounts and MMFs'!$E:$E,ROW())&gt;=1,--INDEX('Call accounts and MMFs'!$E:$E,ROW())/100,--INDEX('Call accounts and MMFs'!$E:$E,ROW())),0)</f>
        <v/>
      </c>
      <c r="O132">
        <f>IFERROR(--INDEX('Call accounts and MMFs'!$F:$F,ROW()),0)</f>
        <v/>
      </c>
      <c r="P132">
        <f>IF(ISNUMBER(INDEX('Call accounts and MMFs'!$E:$E,ROW())),1,0)</f>
        <v/>
      </c>
      <c r="Q132">
        <f>TRIM(SUBSTITUTE(INDEX('Pooled funds'!$B:$B,ROW())&amp;""," "," "))</f>
        <v/>
      </c>
      <c r="R132">
        <f>IFERROR(--INDEX('Pooled funds'!$C:$C,ROW()),0)</f>
        <v/>
      </c>
      <c r="S132">
        <f>IFERROR(--INDEX('Pooled funds'!$D:$D,ROW()),0)</f>
        <v/>
      </c>
      <c r="T132">
        <f>IFERROR(IF(--INDEX('Pooled funds'!$E:$E,ROW())&gt;=1,--INDEX('Pooled funds'!$E:$E,ROW())/100,--INDEX('Pooled funds'!$E:$E,ROW())),0)</f>
        <v/>
      </c>
      <c r="U132">
        <f>IF(ISNUMBER(INDEX('Pooled funds'!$E:$E,ROW())),1,0)</f>
        <v/>
      </c>
      <c r="V132">
        <f>TRIM(SUBSTITUTE(INDEX('Loans'!$A:$A,ROW())&amp;""," "," "))</f>
        <v/>
      </c>
      <c r="W132">
        <f>TRIM(SUBSTITUTE(INDEX('Loans'!$B:$B,ROW())&amp;""," "," "))</f>
        <v/>
      </c>
      <c r="X132">
        <f>TRIM(SUBSTITUTE(INDEX('Loans'!$C:$C,ROW())&amp;""," "," "))</f>
        <v/>
      </c>
      <c r="Y132">
        <f>IFERROR(--INDEX('Loans'!$D:$D,ROW()),0)</f>
        <v/>
      </c>
      <c r="Z132">
        <f>IFERROR(--INDEX('Loans'!$E:$E,ROW()),0)</f>
        <v/>
      </c>
      <c r="AA132">
        <f>IFERROR(--INDEX('Loans'!$F:$F,ROW()),0)</f>
        <v/>
      </c>
      <c r="AB132">
        <f>IFERROR(IF(--INDEX('Loans'!$G:$G,ROW())&gt;=1,--INDEX('Loans'!$G:$G,ROW())/100,--INDEX('Loans'!$G:$G,ROW())),0)</f>
        <v/>
      </c>
      <c r="AC132">
        <f>TRIM(SUBSTITUTE(INDEX('Loans'!$H:$H,ROW())&amp;""," "," "))</f>
        <v/>
      </c>
      <c r="AD132">
        <f>TRIM(SUBSTITUTE(INDEX('Loans'!$I:$I,ROW())&amp;""," "," "))</f>
        <v/>
      </c>
      <c r="AE132">
        <f>IFERROR(--INDEX('Loans'!$J:$J,ROW()),0)</f>
        <v/>
      </c>
      <c r="AF132">
        <f>TRIM(SUBSTITUTE(INDEX('Loans'!$K:$K,ROW())&amp;""," "," "))</f>
        <v/>
      </c>
      <c r="AG132">
        <f>IFERROR(--INDEX('Loans'!$L:$L,ROW()),0)</f>
        <v/>
      </c>
      <c r="AH132">
        <f>IF(ISNUMBER(INDEX('Loans'!$G:$G,ROW())),1,0)</f>
        <v/>
      </c>
    </row>
    <row r="133">
      <c r="A133">
        <f>TRIM(SUBSTITUTE(INDEX('Term investments'!$A:$A,ROW())&amp;""," "," "))</f>
        <v/>
      </c>
      <c r="B133">
        <f>TRIM(SUBSTITUTE(INDEX('Term investments'!$B:$B,ROW())&amp;""," "," "))</f>
        <v/>
      </c>
      <c r="C133">
        <f>TRIM(SUBSTITUTE(INDEX('Term investments'!$C:$C,ROW())&amp;""," "," "))</f>
        <v/>
      </c>
      <c r="D133">
        <f>IFERROR(--INDEX('Term investments'!$D:$D,ROW()),0)</f>
        <v/>
      </c>
      <c r="E133">
        <f>IFERROR(--INDEX('Term investments'!$E:$E,ROW()),0)</f>
        <v/>
      </c>
      <c r="F133">
        <f>IFERROR(--INDEX('Term investments'!$F:$F,ROW()),0)</f>
        <v/>
      </c>
      <c r="G133">
        <f>IFERROR(IF(--INDEX('Term investments'!$G:$G,ROW())&gt;=1,--INDEX('Term investments'!$G:$G,ROW())/100,--INDEX('Term investments'!$G:$G,ROW())),0)</f>
        <v/>
      </c>
      <c r="H133">
        <f>IFERROR(--INDEX('Term investments'!$H:$H,ROW()),0)</f>
        <v/>
      </c>
      <c r="I133">
        <f>IF(ISNUMBER(INDEX('Term investments'!$G:$G,ROW())),1,0)</f>
        <v/>
      </c>
      <c r="J133">
        <f>TRIM(SUBSTITUTE(INDEX('Call accounts and MMFs'!$A:$A,ROW())&amp;""," "," "))</f>
        <v/>
      </c>
      <c r="K133">
        <f>TRIM(SUBSTITUTE(INDEX('Call accounts and MMFs'!$B:$B,ROW())&amp;""," "," "))</f>
        <v/>
      </c>
      <c r="L133">
        <f>TRIM(SUBSTITUTE(INDEX('Call accounts and MMFs'!$C:$C,ROW())&amp;""," "," "))</f>
        <v/>
      </c>
      <c r="M133">
        <f>IFERROR(--INDEX('Call accounts and MMFs'!$D:$D,ROW()),0)</f>
        <v/>
      </c>
      <c r="N133">
        <f>IFERROR(IF(--INDEX('Call accounts and MMFs'!$E:$E,ROW())&gt;=1,--INDEX('Call accounts and MMFs'!$E:$E,ROW())/100,--INDEX('Call accounts and MMFs'!$E:$E,ROW())),0)</f>
        <v/>
      </c>
      <c r="O133">
        <f>IFERROR(--INDEX('Call accounts and MMFs'!$F:$F,ROW()),0)</f>
        <v/>
      </c>
      <c r="P133">
        <f>IF(ISNUMBER(INDEX('Call accounts and MMFs'!$E:$E,ROW())),1,0)</f>
        <v/>
      </c>
      <c r="Q133">
        <f>TRIM(SUBSTITUTE(INDEX('Pooled funds'!$B:$B,ROW())&amp;""," "," "))</f>
        <v/>
      </c>
      <c r="R133">
        <f>IFERROR(--INDEX('Pooled funds'!$C:$C,ROW()),0)</f>
        <v/>
      </c>
      <c r="S133">
        <f>IFERROR(--INDEX('Pooled funds'!$D:$D,ROW()),0)</f>
        <v/>
      </c>
      <c r="T133">
        <f>IFERROR(IF(--INDEX('Pooled funds'!$E:$E,ROW())&gt;=1,--INDEX('Pooled funds'!$E:$E,ROW())/100,--INDEX('Pooled funds'!$E:$E,ROW())),0)</f>
        <v/>
      </c>
      <c r="U133">
        <f>IF(ISNUMBER(INDEX('Pooled funds'!$E:$E,ROW())),1,0)</f>
        <v/>
      </c>
      <c r="V133">
        <f>TRIM(SUBSTITUTE(INDEX('Loans'!$A:$A,ROW())&amp;""," "," "))</f>
        <v/>
      </c>
      <c r="W133">
        <f>TRIM(SUBSTITUTE(INDEX('Loans'!$B:$B,ROW())&amp;""," "," "))</f>
        <v/>
      </c>
      <c r="X133">
        <f>TRIM(SUBSTITUTE(INDEX('Loans'!$C:$C,ROW())&amp;""," "," "))</f>
        <v/>
      </c>
      <c r="Y133">
        <f>IFERROR(--INDEX('Loans'!$D:$D,ROW()),0)</f>
        <v/>
      </c>
      <c r="Z133">
        <f>IFERROR(--INDEX('Loans'!$E:$E,ROW()),0)</f>
        <v/>
      </c>
      <c r="AA133">
        <f>IFERROR(--INDEX('Loans'!$F:$F,ROW()),0)</f>
        <v/>
      </c>
      <c r="AB133">
        <f>IFERROR(IF(--INDEX('Loans'!$G:$G,ROW())&gt;=1,--INDEX('Loans'!$G:$G,ROW())/100,--INDEX('Loans'!$G:$G,ROW())),0)</f>
        <v/>
      </c>
      <c r="AC133">
        <f>TRIM(SUBSTITUTE(INDEX('Loans'!$H:$H,ROW())&amp;""," "," "))</f>
        <v/>
      </c>
      <c r="AD133">
        <f>TRIM(SUBSTITUTE(INDEX('Loans'!$I:$I,ROW())&amp;""," "," "))</f>
        <v/>
      </c>
      <c r="AE133">
        <f>IFERROR(--INDEX('Loans'!$J:$J,ROW()),0)</f>
        <v/>
      </c>
      <c r="AF133">
        <f>TRIM(SUBSTITUTE(INDEX('Loans'!$K:$K,ROW())&amp;""," "," "))</f>
        <v/>
      </c>
      <c r="AG133">
        <f>IFERROR(--INDEX('Loans'!$L:$L,ROW()),0)</f>
        <v/>
      </c>
      <c r="AH133">
        <f>IF(ISNUMBER(INDEX('Loans'!$G:$G,ROW())),1,0)</f>
        <v/>
      </c>
    </row>
    <row r="134">
      <c r="A134">
        <f>TRIM(SUBSTITUTE(INDEX('Term investments'!$A:$A,ROW())&amp;""," "," "))</f>
        <v/>
      </c>
      <c r="B134">
        <f>TRIM(SUBSTITUTE(INDEX('Term investments'!$B:$B,ROW())&amp;""," "," "))</f>
        <v/>
      </c>
      <c r="C134">
        <f>TRIM(SUBSTITUTE(INDEX('Term investments'!$C:$C,ROW())&amp;""," "," "))</f>
        <v/>
      </c>
      <c r="D134">
        <f>IFERROR(--INDEX('Term investments'!$D:$D,ROW()),0)</f>
        <v/>
      </c>
      <c r="E134">
        <f>IFERROR(--INDEX('Term investments'!$E:$E,ROW()),0)</f>
        <v/>
      </c>
      <c r="F134">
        <f>IFERROR(--INDEX('Term investments'!$F:$F,ROW()),0)</f>
        <v/>
      </c>
      <c r="G134">
        <f>IFERROR(IF(--INDEX('Term investments'!$G:$G,ROW())&gt;=1,--INDEX('Term investments'!$G:$G,ROW())/100,--INDEX('Term investments'!$G:$G,ROW())),0)</f>
        <v/>
      </c>
      <c r="H134">
        <f>IFERROR(--INDEX('Term investments'!$H:$H,ROW()),0)</f>
        <v/>
      </c>
      <c r="I134">
        <f>IF(ISNUMBER(INDEX('Term investments'!$G:$G,ROW())),1,0)</f>
        <v/>
      </c>
      <c r="J134">
        <f>TRIM(SUBSTITUTE(INDEX('Call accounts and MMFs'!$A:$A,ROW())&amp;""," "," "))</f>
        <v/>
      </c>
      <c r="K134">
        <f>TRIM(SUBSTITUTE(INDEX('Call accounts and MMFs'!$B:$B,ROW())&amp;""," "," "))</f>
        <v/>
      </c>
      <c r="L134">
        <f>TRIM(SUBSTITUTE(INDEX('Call accounts and MMFs'!$C:$C,ROW())&amp;""," "," "))</f>
        <v/>
      </c>
      <c r="M134">
        <f>IFERROR(--INDEX('Call accounts and MMFs'!$D:$D,ROW()),0)</f>
        <v/>
      </c>
      <c r="N134">
        <f>IFERROR(IF(--INDEX('Call accounts and MMFs'!$E:$E,ROW())&gt;=1,--INDEX('Call accounts and MMFs'!$E:$E,ROW())/100,--INDEX('Call accounts and MMFs'!$E:$E,ROW())),0)</f>
        <v/>
      </c>
      <c r="O134">
        <f>IFERROR(--INDEX('Call accounts and MMFs'!$F:$F,ROW()),0)</f>
        <v/>
      </c>
      <c r="P134">
        <f>IF(ISNUMBER(INDEX('Call accounts and MMFs'!$E:$E,ROW())),1,0)</f>
        <v/>
      </c>
      <c r="Q134">
        <f>TRIM(SUBSTITUTE(INDEX('Pooled funds'!$B:$B,ROW())&amp;""," "," "))</f>
        <v/>
      </c>
      <c r="R134">
        <f>IFERROR(--INDEX('Pooled funds'!$C:$C,ROW()),0)</f>
        <v/>
      </c>
      <c r="S134">
        <f>IFERROR(--INDEX('Pooled funds'!$D:$D,ROW()),0)</f>
        <v/>
      </c>
      <c r="T134">
        <f>IFERROR(IF(--INDEX('Pooled funds'!$E:$E,ROW())&gt;=1,--INDEX('Pooled funds'!$E:$E,ROW())/100,--INDEX('Pooled funds'!$E:$E,ROW())),0)</f>
        <v/>
      </c>
      <c r="U134">
        <f>IF(ISNUMBER(INDEX('Pooled funds'!$E:$E,ROW())),1,0)</f>
        <v/>
      </c>
      <c r="V134">
        <f>TRIM(SUBSTITUTE(INDEX('Loans'!$A:$A,ROW())&amp;""," "," "))</f>
        <v/>
      </c>
      <c r="W134">
        <f>TRIM(SUBSTITUTE(INDEX('Loans'!$B:$B,ROW())&amp;""," "," "))</f>
        <v/>
      </c>
      <c r="X134">
        <f>TRIM(SUBSTITUTE(INDEX('Loans'!$C:$C,ROW())&amp;""," "," "))</f>
        <v/>
      </c>
      <c r="Y134">
        <f>IFERROR(--INDEX('Loans'!$D:$D,ROW()),0)</f>
        <v/>
      </c>
      <c r="Z134">
        <f>IFERROR(--INDEX('Loans'!$E:$E,ROW()),0)</f>
        <v/>
      </c>
      <c r="AA134">
        <f>IFERROR(--INDEX('Loans'!$F:$F,ROW()),0)</f>
        <v/>
      </c>
      <c r="AB134">
        <f>IFERROR(IF(--INDEX('Loans'!$G:$G,ROW())&gt;=1,--INDEX('Loans'!$G:$G,ROW())/100,--INDEX('Loans'!$G:$G,ROW())),0)</f>
        <v/>
      </c>
      <c r="AC134">
        <f>TRIM(SUBSTITUTE(INDEX('Loans'!$H:$H,ROW())&amp;""," "," "))</f>
        <v/>
      </c>
      <c r="AD134">
        <f>TRIM(SUBSTITUTE(INDEX('Loans'!$I:$I,ROW())&amp;""," "," "))</f>
        <v/>
      </c>
      <c r="AE134">
        <f>IFERROR(--INDEX('Loans'!$J:$J,ROW()),0)</f>
        <v/>
      </c>
      <c r="AF134">
        <f>TRIM(SUBSTITUTE(INDEX('Loans'!$K:$K,ROW())&amp;""," "," "))</f>
        <v/>
      </c>
      <c r="AG134">
        <f>IFERROR(--INDEX('Loans'!$L:$L,ROW()),0)</f>
        <v/>
      </c>
      <c r="AH134">
        <f>IF(ISNUMBER(INDEX('Loans'!$G:$G,ROW())),1,0)</f>
        <v/>
      </c>
    </row>
    <row r="135">
      <c r="A135">
        <f>TRIM(SUBSTITUTE(INDEX('Term investments'!$A:$A,ROW())&amp;""," "," "))</f>
        <v/>
      </c>
      <c r="B135">
        <f>TRIM(SUBSTITUTE(INDEX('Term investments'!$B:$B,ROW())&amp;""," "," "))</f>
        <v/>
      </c>
      <c r="C135">
        <f>TRIM(SUBSTITUTE(INDEX('Term investments'!$C:$C,ROW())&amp;""," "," "))</f>
        <v/>
      </c>
      <c r="D135">
        <f>IFERROR(--INDEX('Term investments'!$D:$D,ROW()),0)</f>
        <v/>
      </c>
      <c r="E135">
        <f>IFERROR(--INDEX('Term investments'!$E:$E,ROW()),0)</f>
        <v/>
      </c>
      <c r="F135">
        <f>IFERROR(--INDEX('Term investments'!$F:$F,ROW()),0)</f>
        <v/>
      </c>
      <c r="G135">
        <f>IFERROR(IF(--INDEX('Term investments'!$G:$G,ROW())&gt;=1,--INDEX('Term investments'!$G:$G,ROW())/100,--INDEX('Term investments'!$G:$G,ROW())),0)</f>
        <v/>
      </c>
      <c r="H135">
        <f>IFERROR(--INDEX('Term investments'!$H:$H,ROW()),0)</f>
        <v/>
      </c>
      <c r="I135">
        <f>IF(ISNUMBER(INDEX('Term investments'!$G:$G,ROW())),1,0)</f>
        <v/>
      </c>
      <c r="J135">
        <f>TRIM(SUBSTITUTE(INDEX('Call accounts and MMFs'!$A:$A,ROW())&amp;""," "," "))</f>
        <v/>
      </c>
      <c r="K135">
        <f>TRIM(SUBSTITUTE(INDEX('Call accounts and MMFs'!$B:$B,ROW())&amp;""," "," "))</f>
        <v/>
      </c>
      <c r="L135">
        <f>TRIM(SUBSTITUTE(INDEX('Call accounts and MMFs'!$C:$C,ROW())&amp;""," "," "))</f>
        <v/>
      </c>
      <c r="M135">
        <f>IFERROR(--INDEX('Call accounts and MMFs'!$D:$D,ROW()),0)</f>
        <v/>
      </c>
      <c r="N135">
        <f>IFERROR(IF(--INDEX('Call accounts and MMFs'!$E:$E,ROW())&gt;=1,--INDEX('Call accounts and MMFs'!$E:$E,ROW())/100,--INDEX('Call accounts and MMFs'!$E:$E,ROW())),0)</f>
        <v/>
      </c>
      <c r="O135">
        <f>IFERROR(--INDEX('Call accounts and MMFs'!$F:$F,ROW()),0)</f>
        <v/>
      </c>
      <c r="P135">
        <f>IF(ISNUMBER(INDEX('Call accounts and MMFs'!$E:$E,ROW())),1,0)</f>
        <v/>
      </c>
      <c r="Q135">
        <f>TRIM(SUBSTITUTE(INDEX('Pooled funds'!$B:$B,ROW())&amp;""," "," "))</f>
        <v/>
      </c>
      <c r="R135">
        <f>IFERROR(--INDEX('Pooled funds'!$C:$C,ROW()),0)</f>
        <v/>
      </c>
      <c r="S135">
        <f>IFERROR(--INDEX('Pooled funds'!$D:$D,ROW()),0)</f>
        <v/>
      </c>
      <c r="T135">
        <f>IFERROR(IF(--INDEX('Pooled funds'!$E:$E,ROW())&gt;=1,--INDEX('Pooled funds'!$E:$E,ROW())/100,--INDEX('Pooled funds'!$E:$E,ROW())),0)</f>
        <v/>
      </c>
      <c r="U135">
        <f>IF(ISNUMBER(INDEX('Pooled funds'!$E:$E,ROW())),1,0)</f>
        <v/>
      </c>
      <c r="V135">
        <f>TRIM(SUBSTITUTE(INDEX('Loans'!$A:$A,ROW())&amp;""," "," "))</f>
        <v/>
      </c>
      <c r="W135">
        <f>TRIM(SUBSTITUTE(INDEX('Loans'!$B:$B,ROW())&amp;""," "," "))</f>
        <v/>
      </c>
      <c r="X135">
        <f>TRIM(SUBSTITUTE(INDEX('Loans'!$C:$C,ROW())&amp;""," "," "))</f>
        <v/>
      </c>
      <c r="Y135">
        <f>IFERROR(--INDEX('Loans'!$D:$D,ROW()),0)</f>
        <v/>
      </c>
      <c r="Z135">
        <f>IFERROR(--INDEX('Loans'!$E:$E,ROW()),0)</f>
        <v/>
      </c>
      <c r="AA135">
        <f>IFERROR(--INDEX('Loans'!$F:$F,ROW()),0)</f>
        <v/>
      </c>
      <c r="AB135">
        <f>IFERROR(IF(--INDEX('Loans'!$G:$G,ROW())&gt;=1,--INDEX('Loans'!$G:$G,ROW())/100,--INDEX('Loans'!$G:$G,ROW())),0)</f>
        <v/>
      </c>
      <c r="AC135">
        <f>TRIM(SUBSTITUTE(INDEX('Loans'!$H:$H,ROW())&amp;""," "," "))</f>
        <v/>
      </c>
      <c r="AD135">
        <f>TRIM(SUBSTITUTE(INDEX('Loans'!$I:$I,ROW())&amp;""," "," "))</f>
        <v/>
      </c>
      <c r="AE135">
        <f>IFERROR(--INDEX('Loans'!$J:$J,ROW()),0)</f>
        <v/>
      </c>
      <c r="AF135">
        <f>TRIM(SUBSTITUTE(INDEX('Loans'!$K:$K,ROW())&amp;""," "," "))</f>
        <v/>
      </c>
      <c r="AG135">
        <f>IFERROR(--INDEX('Loans'!$L:$L,ROW()),0)</f>
        <v/>
      </c>
      <c r="AH135">
        <f>IF(ISNUMBER(INDEX('Loans'!$G:$G,ROW())),1,0)</f>
        <v/>
      </c>
    </row>
    <row r="136">
      <c r="A136">
        <f>TRIM(SUBSTITUTE(INDEX('Term investments'!$A:$A,ROW())&amp;""," "," "))</f>
        <v/>
      </c>
      <c r="B136">
        <f>TRIM(SUBSTITUTE(INDEX('Term investments'!$B:$B,ROW())&amp;""," "," "))</f>
        <v/>
      </c>
      <c r="C136">
        <f>TRIM(SUBSTITUTE(INDEX('Term investments'!$C:$C,ROW())&amp;""," "," "))</f>
        <v/>
      </c>
      <c r="D136">
        <f>IFERROR(--INDEX('Term investments'!$D:$D,ROW()),0)</f>
        <v/>
      </c>
      <c r="E136">
        <f>IFERROR(--INDEX('Term investments'!$E:$E,ROW()),0)</f>
        <v/>
      </c>
      <c r="F136">
        <f>IFERROR(--INDEX('Term investments'!$F:$F,ROW()),0)</f>
        <v/>
      </c>
      <c r="G136">
        <f>IFERROR(IF(--INDEX('Term investments'!$G:$G,ROW())&gt;=1,--INDEX('Term investments'!$G:$G,ROW())/100,--INDEX('Term investments'!$G:$G,ROW())),0)</f>
        <v/>
      </c>
      <c r="H136">
        <f>IFERROR(--INDEX('Term investments'!$H:$H,ROW()),0)</f>
        <v/>
      </c>
      <c r="I136">
        <f>IF(ISNUMBER(INDEX('Term investments'!$G:$G,ROW())),1,0)</f>
        <v/>
      </c>
      <c r="J136">
        <f>TRIM(SUBSTITUTE(INDEX('Call accounts and MMFs'!$A:$A,ROW())&amp;""," "," "))</f>
        <v/>
      </c>
      <c r="K136">
        <f>TRIM(SUBSTITUTE(INDEX('Call accounts and MMFs'!$B:$B,ROW())&amp;""," "," "))</f>
        <v/>
      </c>
      <c r="L136">
        <f>TRIM(SUBSTITUTE(INDEX('Call accounts and MMFs'!$C:$C,ROW())&amp;""," "," "))</f>
        <v/>
      </c>
      <c r="M136">
        <f>IFERROR(--INDEX('Call accounts and MMFs'!$D:$D,ROW()),0)</f>
        <v/>
      </c>
      <c r="N136">
        <f>IFERROR(IF(--INDEX('Call accounts and MMFs'!$E:$E,ROW())&gt;=1,--INDEX('Call accounts and MMFs'!$E:$E,ROW())/100,--INDEX('Call accounts and MMFs'!$E:$E,ROW())),0)</f>
        <v/>
      </c>
      <c r="O136">
        <f>IFERROR(--INDEX('Call accounts and MMFs'!$F:$F,ROW()),0)</f>
        <v/>
      </c>
      <c r="P136">
        <f>IF(ISNUMBER(INDEX('Call accounts and MMFs'!$E:$E,ROW())),1,0)</f>
        <v/>
      </c>
      <c r="Q136">
        <f>TRIM(SUBSTITUTE(INDEX('Pooled funds'!$B:$B,ROW())&amp;""," "," "))</f>
        <v/>
      </c>
      <c r="R136">
        <f>IFERROR(--INDEX('Pooled funds'!$C:$C,ROW()),0)</f>
        <v/>
      </c>
      <c r="S136">
        <f>IFERROR(--INDEX('Pooled funds'!$D:$D,ROW()),0)</f>
        <v/>
      </c>
      <c r="T136">
        <f>IFERROR(IF(--INDEX('Pooled funds'!$E:$E,ROW())&gt;=1,--INDEX('Pooled funds'!$E:$E,ROW())/100,--INDEX('Pooled funds'!$E:$E,ROW())),0)</f>
        <v/>
      </c>
      <c r="U136">
        <f>IF(ISNUMBER(INDEX('Pooled funds'!$E:$E,ROW())),1,0)</f>
        <v/>
      </c>
      <c r="V136">
        <f>TRIM(SUBSTITUTE(INDEX('Loans'!$A:$A,ROW())&amp;""," "," "))</f>
        <v/>
      </c>
      <c r="W136">
        <f>TRIM(SUBSTITUTE(INDEX('Loans'!$B:$B,ROW())&amp;""," "," "))</f>
        <v/>
      </c>
      <c r="X136">
        <f>TRIM(SUBSTITUTE(INDEX('Loans'!$C:$C,ROW())&amp;""," "," "))</f>
        <v/>
      </c>
      <c r="Y136">
        <f>IFERROR(--INDEX('Loans'!$D:$D,ROW()),0)</f>
        <v/>
      </c>
      <c r="Z136">
        <f>IFERROR(--INDEX('Loans'!$E:$E,ROW()),0)</f>
        <v/>
      </c>
      <c r="AA136">
        <f>IFERROR(--INDEX('Loans'!$F:$F,ROW()),0)</f>
        <v/>
      </c>
      <c r="AB136">
        <f>IFERROR(IF(--INDEX('Loans'!$G:$G,ROW())&gt;=1,--INDEX('Loans'!$G:$G,ROW())/100,--INDEX('Loans'!$G:$G,ROW())),0)</f>
        <v/>
      </c>
      <c r="AC136">
        <f>TRIM(SUBSTITUTE(INDEX('Loans'!$H:$H,ROW())&amp;""," "," "))</f>
        <v/>
      </c>
      <c r="AD136">
        <f>TRIM(SUBSTITUTE(INDEX('Loans'!$I:$I,ROW())&amp;""," "," "))</f>
        <v/>
      </c>
      <c r="AE136">
        <f>IFERROR(--INDEX('Loans'!$J:$J,ROW()),0)</f>
        <v/>
      </c>
      <c r="AF136">
        <f>TRIM(SUBSTITUTE(INDEX('Loans'!$K:$K,ROW())&amp;""," "," "))</f>
        <v/>
      </c>
      <c r="AG136">
        <f>IFERROR(--INDEX('Loans'!$L:$L,ROW()),0)</f>
        <v/>
      </c>
      <c r="AH136">
        <f>IF(ISNUMBER(INDEX('Loans'!$G:$G,ROW())),1,0)</f>
        <v/>
      </c>
    </row>
    <row r="137">
      <c r="A137">
        <f>TRIM(SUBSTITUTE(INDEX('Term investments'!$A:$A,ROW())&amp;""," "," "))</f>
        <v/>
      </c>
      <c r="B137">
        <f>TRIM(SUBSTITUTE(INDEX('Term investments'!$B:$B,ROW())&amp;""," "," "))</f>
        <v/>
      </c>
      <c r="C137">
        <f>TRIM(SUBSTITUTE(INDEX('Term investments'!$C:$C,ROW())&amp;""," "," "))</f>
        <v/>
      </c>
      <c r="D137">
        <f>IFERROR(--INDEX('Term investments'!$D:$D,ROW()),0)</f>
        <v/>
      </c>
      <c r="E137">
        <f>IFERROR(--INDEX('Term investments'!$E:$E,ROW()),0)</f>
        <v/>
      </c>
      <c r="F137">
        <f>IFERROR(--INDEX('Term investments'!$F:$F,ROW()),0)</f>
        <v/>
      </c>
      <c r="G137">
        <f>IFERROR(IF(--INDEX('Term investments'!$G:$G,ROW())&gt;=1,--INDEX('Term investments'!$G:$G,ROW())/100,--INDEX('Term investments'!$G:$G,ROW())),0)</f>
        <v/>
      </c>
      <c r="H137">
        <f>IFERROR(--INDEX('Term investments'!$H:$H,ROW()),0)</f>
        <v/>
      </c>
      <c r="I137">
        <f>IF(ISNUMBER(INDEX('Term investments'!$G:$G,ROW())),1,0)</f>
        <v/>
      </c>
      <c r="J137">
        <f>TRIM(SUBSTITUTE(INDEX('Call accounts and MMFs'!$A:$A,ROW())&amp;""," "," "))</f>
        <v/>
      </c>
      <c r="K137">
        <f>TRIM(SUBSTITUTE(INDEX('Call accounts and MMFs'!$B:$B,ROW())&amp;""," "," "))</f>
        <v/>
      </c>
      <c r="L137">
        <f>TRIM(SUBSTITUTE(INDEX('Call accounts and MMFs'!$C:$C,ROW())&amp;""," "," "))</f>
        <v/>
      </c>
      <c r="M137">
        <f>IFERROR(--INDEX('Call accounts and MMFs'!$D:$D,ROW()),0)</f>
        <v/>
      </c>
      <c r="N137">
        <f>IFERROR(IF(--INDEX('Call accounts and MMFs'!$E:$E,ROW())&gt;=1,--INDEX('Call accounts and MMFs'!$E:$E,ROW())/100,--INDEX('Call accounts and MMFs'!$E:$E,ROW())),0)</f>
        <v/>
      </c>
      <c r="O137">
        <f>IFERROR(--INDEX('Call accounts and MMFs'!$F:$F,ROW()),0)</f>
        <v/>
      </c>
      <c r="P137">
        <f>IF(ISNUMBER(INDEX('Call accounts and MMFs'!$E:$E,ROW())),1,0)</f>
        <v/>
      </c>
      <c r="Q137">
        <f>TRIM(SUBSTITUTE(INDEX('Pooled funds'!$B:$B,ROW())&amp;""," "," "))</f>
        <v/>
      </c>
      <c r="R137">
        <f>IFERROR(--INDEX('Pooled funds'!$C:$C,ROW()),0)</f>
        <v/>
      </c>
      <c r="S137">
        <f>IFERROR(--INDEX('Pooled funds'!$D:$D,ROW()),0)</f>
        <v/>
      </c>
      <c r="T137">
        <f>IFERROR(IF(--INDEX('Pooled funds'!$E:$E,ROW())&gt;=1,--INDEX('Pooled funds'!$E:$E,ROW())/100,--INDEX('Pooled funds'!$E:$E,ROW())),0)</f>
        <v/>
      </c>
      <c r="U137">
        <f>IF(ISNUMBER(INDEX('Pooled funds'!$E:$E,ROW())),1,0)</f>
        <v/>
      </c>
      <c r="V137">
        <f>TRIM(SUBSTITUTE(INDEX('Loans'!$A:$A,ROW())&amp;""," "," "))</f>
        <v/>
      </c>
      <c r="W137">
        <f>TRIM(SUBSTITUTE(INDEX('Loans'!$B:$B,ROW())&amp;""," "," "))</f>
        <v/>
      </c>
      <c r="X137">
        <f>TRIM(SUBSTITUTE(INDEX('Loans'!$C:$C,ROW())&amp;""," "," "))</f>
        <v/>
      </c>
      <c r="Y137">
        <f>IFERROR(--INDEX('Loans'!$D:$D,ROW()),0)</f>
        <v/>
      </c>
      <c r="Z137">
        <f>IFERROR(--INDEX('Loans'!$E:$E,ROW()),0)</f>
        <v/>
      </c>
      <c r="AA137">
        <f>IFERROR(--INDEX('Loans'!$F:$F,ROW()),0)</f>
        <v/>
      </c>
      <c r="AB137">
        <f>IFERROR(IF(--INDEX('Loans'!$G:$G,ROW())&gt;=1,--INDEX('Loans'!$G:$G,ROW())/100,--INDEX('Loans'!$G:$G,ROW())),0)</f>
        <v/>
      </c>
      <c r="AC137">
        <f>TRIM(SUBSTITUTE(INDEX('Loans'!$H:$H,ROW())&amp;""," "," "))</f>
        <v/>
      </c>
      <c r="AD137">
        <f>TRIM(SUBSTITUTE(INDEX('Loans'!$I:$I,ROW())&amp;""," "," "))</f>
        <v/>
      </c>
      <c r="AE137">
        <f>IFERROR(--INDEX('Loans'!$J:$J,ROW()),0)</f>
        <v/>
      </c>
      <c r="AF137">
        <f>TRIM(SUBSTITUTE(INDEX('Loans'!$K:$K,ROW())&amp;""," "," "))</f>
        <v/>
      </c>
      <c r="AG137">
        <f>IFERROR(--INDEX('Loans'!$L:$L,ROW()),0)</f>
        <v/>
      </c>
      <c r="AH137">
        <f>IF(ISNUMBER(INDEX('Loans'!$G:$G,ROW())),1,0)</f>
        <v/>
      </c>
    </row>
    <row r="138">
      <c r="A138">
        <f>TRIM(SUBSTITUTE(INDEX('Term investments'!$A:$A,ROW())&amp;""," "," "))</f>
        <v/>
      </c>
      <c r="B138">
        <f>TRIM(SUBSTITUTE(INDEX('Term investments'!$B:$B,ROW())&amp;""," "," "))</f>
        <v/>
      </c>
      <c r="C138">
        <f>TRIM(SUBSTITUTE(INDEX('Term investments'!$C:$C,ROW())&amp;""," "," "))</f>
        <v/>
      </c>
      <c r="D138">
        <f>IFERROR(--INDEX('Term investments'!$D:$D,ROW()),0)</f>
        <v/>
      </c>
      <c r="E138">
        <f>IFERROR(--INDEX('Term investments'!$E:$E,ROW()),0)</f>
        <v/>
      </c>
      <c r="F138">
        <f>IFERROR(--INDEX('Term investments'!$F:$F,ROW()),0)</f>
        <v/>
      </c>
      <c r="G138">
        <f>IFERROR(IF(--INDEX('Term investments'!$G:$G,ROW())&gt;=1,--INDEX('Term investments'!$G:$G,ROW())/100,--INDEX('Term investments'!$G:$G,ROW())),0)</f>
        <v/>
      </c>
      <c r="H138">
        <f>IFERROR(--INDEX('Term investments'!$H:$H,ROW()),0)</f>
        <v/>
      </c>
      <c r="I138">
        <f>IF(ISNUMBER(INDEX('Term investments'!$G:$G,ROW())),1,0)</f>
        <v/>
      </c>
      <c r="J138">
        <f>TRIM(SUBSTITUTE(INDEX('Call accounts and MMFs'!$A:$A,ROW())&amp;""," "," "))</f>
        <v/>
      </c>
      <c r="K138">
        <f>TRIM(SUBSTITUTE(INDEX('Call accounts and MMFs'!$B:$B,ROW())&amp;""," "," "))</f>
        <v/>
      </c>
      <c r="L138">
        <f>TRIM(SUBSTITUTE(INDEX('Call accounts and MMFs'!$C:$C,ROW())&amp;""," "," "))</f>
        <v/>
      </c>
      <c r="M138">
        <f>IFERROR(--INDEX('Call accounts and MMFs'!$D:$D,ROW()),0)</f>
        <v/>
      </c>
      <c r="N138">
        <f>IFERROR(IF(--INDEX('Call accounts and MMFs'!$E:$E,ROW())&gt;=1,--INDEX('Call accounts and MMFs'!$E:$E,ROW())/100,--INDEX('Call accounts and MMFs'!$E:$E,ROW())),0)</f>
        <v/>
      </c>
      <c r="O138">
        <f>IFERROR(--INDEX('Call accounts and MMFs'!$F:$F,ROW()),0)</f>
        <v/>
      </c>
      <c r="P138">
        <f>IF(ISNUMBER(INDEX('Call accounts and MMFs'!$E:$E,ROW())),1,0)</f>
        <v/>
      </c>
      <c r="Q138">
        <f>TRIM(SUBSTITUTE(INDEX('Pooled funds'!$B:$B,ROW())&amp;""," "," "))</f>
        <v/>
      </c>
      <c r="R138">
        <f>IFERROR(--INDEX('Pooled funds'!$C:$C,ROW()),0)</f>
        <v/>
      </c>
      <c r="S138">
        <f>IFERROR(--INDEX('Pooled funds'!$D:$D,ROW()),0)</f>
        <v/>
      </c>
      <c r="T138">
        <f>IFERROR(IF(--INDEX('Pooled funds'!$E:$E,ROW())&gt;=1,--INDEX('Pooled funds'!$E:$E,ROW())/100,--INDEX('Pooled funds'!$E:$E,ROW())),0)</f>
        <v/>
      </c>
      <c r="U138">
        <f>IF(ISNUMBER(INDEX('Pooled funds'!$E:$E,ROW())),1,0)</f>
        <v/>
      </c>
      <c r="V138">
        <f>TRIM(SUBSTITUTE(INDEX('Loans'!$A:$A,ROW())&amp;""," "," "))</f>
        <v/>
      </c>
      <c r="W138">
        <f>TRIM(SUBSTITUTE(INDEX('Loans'!$B:$B,ROW())&amp;""," "," "))</f>
        <v/>
      </c>
      <c r="X138">
        <f>TRIM(SUBSTITUTE(INDEX('Loans'!$C:$C,ROW())&amp;""," "," "))</f>
        <v/>
      </c>
      <c r="Y138">
        <f>IFERROR(--INDEX('Loans'!$D:$D,ROW()),0)</f>
        <v/>
      </c>
      <c r="Z138">
        <f>IFERROR(--INDEX('Loans'!$E:$E,ROW()),0)</f>
        <v/>
      </c>
      <c r="AA138">
        <f>IFERROR(--INDEX('Loans'!$F:$F,ROW()),0)</f>
        <v/>
      </c>
      <c r="AB138">
        <f>IFERROR(IF(--INDEX('Loans'!$G:$G,ROW())&gt;=1,--INDEX('Loans'!$G:$G,ROW())/100,--INDEX('Loans'!$G:$G,ROW())),0)</f>
        <v/>
      </c>
      <c r="AC138">
        <f>TRIM(SUBSTITUTE(INDEX('Loans'!$H:$H,ROW())&amp;""," "," "))</f>
        <v/>
      </c>
      <c r="AD138">
        <f>TRIM(SUBSTITUTE(INDEX('Loans'!$I:$I,ROW())&amp;""," "," "))</f>
        <v/>
      </c>
      <c r="AE138">
        <f>IFERROR(--INDEX('Loans'!$J:$J,ROW()),0)</f>
        <v/>
      </c>
      <c r="AF138">
        <f>TRIM(SUBSTITUTE(INDEX('Loans'!$K:$K,ROW())&amp;""," "," "))</f>
        <v/>
      </c>
      <c r="AG138">
        <f>IFERROR(--INDEX('Loans'!$L:$L,ROW()),0)</f>
        <v/>
      </c>
      <c r="AH138">
        <f>IF(ISNUMBER(INDEX('Loans'!$G:$G,ROW())),1,0)</f>
        <v/>
      </c>
    </row>
    <row r="139">
      <c r="A139">
        <f>TRIM(SUBSTITUTE(INDEX('Term investments'!$A:$A,ROW())&amp;""," "," "))</f>
        <v/>
      </c>
      <c r="B139">
        <f>TRIM(SUBSTITUTE(INDEX('Term investments'!$B:$B,ROW())&amp;""," "," "))</f>
        <v/>
      </c>
      <c r="C139">
        <f>TRIM(SUBSTITUTE(INDEX('Term investments'!$C:$C,ROW())&amp;""," "," "))</f>
        <v/>
      </c>
      <c r="D139">
        <f>IFERROR(--INDEX('Term investments'!$D:$D,ROW()),0)</f>
        <v/>
      </c>
      <c r="E139">
        <f>IFERROR(--INDEX('Term investments'!$E:$E,ROW()),0)</f>
        <v/>
      </c>
      <c r="F139">
        <f>IFERROR(--INDEX('Term investments'!$F:$F,ROW()),0)</f>
        <v/>
      </c>
      <c r="G139">
        <f>IFERROR(IF(--INDEX('Term investments'!$G:$G,ROW())&gt;=1,--INDEX('Term investments'!$G:$G,ROW())/100,--INDEX('Term investments'!$G:$G,ROW())),0)</f>
        <v/>
      </c>
      <c r="H139">
        <f>IFERROR(--INDEX('Term investments'!$H:$H,ROW()),0)</f>
        <v/>
      </c>
      <c r="I139">
        <f>IF(ISNUMBER(INDEX('Term investments'!$G:$G,ROW())),1,0)</f>
        <v/>
      </c>
      <c r="J139">
        <f>TRIM(SUBSTITUTE(INDEX('Call accounts and MMFs'!$A:$A,ROW())&amp;""," "," "))</f>
        <v/>
      </c>
      <c r="K139">
        <f>TRIM(SUBSTITUTE(INDEX('Call accounts and MMFs'!$B:$B,ROW())&amp;""," "," "))</f>
        <v/>
      </c>
      <c r="L139">
        <f>TRIM(SUBSTITUTE(INDEX('Call accounts and MMFs'!$C:$C,ROW())&amp;""," "," "))</f>
        <v/>
      </c>
      <c r="M139">
        <f>IFERROR(--INDEX('Call accounts and MMFs'!$D:$D,ROW()),0)</f>
        <v/>
      </c>
      <c r="N139">
        <f>IFERROR(IF(--INDEX('Call accounts and MMFs'!$E:$E,ROW())&gt;=1,--INDEX('Call accounts and MMFs'!$E:$E,ROW())/100,--INDEX('Call accounts and MMFs'!$E:$E,ROW())),0)</f>
        <v/>
      </c>
      <c r="O139">
        <f>IFERROR(--INDEX('Call accounts and MMFs'!$F:$F,ROW()),0)</f>
        <v/>
      </c>
      <c r="P139">
        <f>IF(ISNUMBER(INDEX('Call accounts and MMFs'!$E:$E,ROW())),1,0)</f>
        <v/>
      </c>
      <c r="Q139">
        <f>TRIM(SUBSTITUTE(INDEX('Pooled funds'!$B:$B,ROW())&amp;""," "," "))</f>
        <v/>
      </c>
      <c r="R139">
        <f>IFERROR(--INDEX('Pooled funds'!$C:$C,ROW()),0)</f>
        <v/>
      </c>
      <c r="S139">
        <f>IFERROR(--INDEX('Pooled funds'!$D:$D,ROW()),0)</f>
        <v/>
      </c>
      <c r="T139">
        <f>IFERROR(IF(--INDEX('Pooled funds'!$E:$E,ROW())&gt;=1,--INDEX('Pooled funds'!$E:$E,ROW())/100,--INDEX('Pooled funds'!$E:$E,ROW())),0)</f>
        <v/>
      </c>
      <c r="U139">
        <f>IF(ISNUMBER(INDEX('Pooled funds'!$E:$E,ROW())),1,0)</f>
        <v/>
      </c>
      <c r="V139">
        <f>TRIM(SUBSTITUTE(INDEX('Loans'!$A:$A,ROW())&amp;""," "," "))</f>
        <v/>
      </c>
      <c r="W139">
        <f>TRIM(SUBSTITUTE(INDEX('Loans'!$B:$B,ROW())&amp;""," "," "))</f>
        <v/>
      </c>
      <c r="X139">
        <f>TRIM(SUBSTITUTE(INDEX('Loans'!$C:$C,ROW())&amp;""," "," "))</f>
        <v/>
      </c>
      <c r="Y139">
        <f>IFERROR(--INDEX('Loans'!$D:$D,ROW()),0)</f>
        <v/>
      </c>
      <c r="Z139">
        <f>IFERROR(--INDEX('Loans'!$E:$E,ROW()),0)</f>
        <v/>
      </c>
      <c r="AA139">
        <f>IFERROR(--INDEX('Loans'!$F:$F,ROW()),0)</f>
        <v/>
      </c>
      <c r="AB139">
        <f>IFERROR(IF(--INDEX('Loans'!$G:$G,ROW())&gt;=1,--INDEX('Loans'!$G:$G,ROW())/100,--INDEX('Loans'!$G:$G,ROW())),0)</f>
        <v/>
      </c>
      <c r="AC139">
        <f>TRIM(SUBSTITUTE(INDEX('Loans'!$H:$H,ROW())&amp;""," "," "))</f>
        <v/>
      </c>
      <c r="AD139">
        <f>TRIM(SUBSTITUTE(INDEX('Loans'!$I:$I,ROW())&amp;""," "," "))</f>
        <v/>
      </c>
      <c r="AE139">
        <f>IFERROR(--INDEX('Loans'!$J:$J,ROW()),0)</f>
        <v/>
      </c>
      <c r="AF139">
        <f>TRIM(SUBSTITUTE(INDEX('Loans'!$K:$K,ROW())&amp;""," "," "))</f>
        <v/>
      </c>
      <c r="AG139">
        <f>IFERROR(--INDEX('Loans'!$L:$L,ROW()),0)</f>
        <v/>
      </c>
      <c r="AH139">
        <f>IF(ISNUMBER(INDEX('Loans'!$G:$G,ROW())),1,0)</f>
        <v/>
      </c>
    </row>
    <row r="140">
      <c r="A140">
        <f>TRIM(SUBSTITUTE(INDEX('Term investments'!$A:$A,ROW())&amp;""," "," "))</f>
        <v/>
      </c>
      <c r="B140">
        <f>TRIM(SUBSTITUTE(INDEX('Term investments'!$B:$B,ROW())&amp;""," "," "))</f>
        <v/>
      </c>
      <c r="C140">
        <f>TRIM(SUBSTITUTE(INDEX('Term investments'!$C:$C,ROW())&amp;""," "," "))</f>
        <v/>
      </c>
      <c r="D140">
        <f>IFERROR(--INDEX('Term investments'!$D:$D,ROW()),0)</f>
        <v/>
      </c>
      <c r="E140">
        <f>IFERROR(--INDEX('Term investments'!$E:$E,ROW()),0)</f>
        <v/>
      </c>
      <c r="F140">
        <f>IFERROR(--INDEX('Term investments'!$F:$F,ROW()),0)</f>
        <v/>
      </c>
      <c r="G140">
        <f>IFERROR(IF(--INDEX('Term investments'!$G:$G,ROW())&gt;=1,--INDEX('Term investments'!$G:$G,ROW())/100,--INDEX('Term investments'!$G:$G,ROW())),0)</f>
        <v/>
      </c>
      <c r="H140">
        <f>IFERROR(--INDEX('Term investments'!$H:$H,ROW()),0)</f>
        <v/>
      </c>
      <c r="I140">
        <f>IF(ISNUMBER(INDEX('Term investments'!$G:$G,ROW())),1,0)</f>
        <v/>
      </c>
      <c r="J140">
        <f>TRIM(SUBSTITUTE(INDEX('Call accounts and MMFs'!$A:$A,ROW())&amp;""," "," "))</f>
        <v/>
      </c>
      <c r="K140">
        <f>TRIM(SUBSTITUTE(INDEX('Call accounts and MMFs'!$B:$B,ROW())&amp;""," "," "))</f>
        <v/>
      </c>
      <c r="L140">
        <f>TRIM(SUBSTITUTE(INDEX('Call accounts and MMFs'!$C:$C,ROW())&amp;""," "," "))</f>
        <v/>
      </c>
      <c r="M140">
        <f>IFERROR(--INDEX('Call accounts and MMFs'!$D:$D,ROW()),0)</f>
        <v/>
      </c>
      <c r="N140">
        <f>IFERROR(IF(--INDEX('Call accounts and MMFs'!$E:$E,ROW())&gt;=1,--INDEX('Call accounts and MMFs'!$E:$E,ROW())/100,--INDEX('Call accounts and MMFs'!$E:$E,ROW())),0)</f>
        <v/>
      </c>
      <c r="O140">
        <f>IFERROR(--INDEX('Call accounts and MMFs'!$F:$F,ROW()),0)</f>
        <v/>
      </c>
      <c r="P140">
        <f>IF(ISNUMBER(INDEX('Call accounts and MMFs'!$E:$E,ROW())),1,0)</f>
        <v/>
      </c>
      <c r="Q140">
        <f>TRIM(SUBSTITUTE(INDEX('Pooled funds'!$B:$B,ROW())&amp;""," "," "))</f>
        <v/>
      </c>
      <c r="R140">
        <f>IFERROR(--INDEX('Pooled funds'!$C:$C,ROW()),0)</f>
        <v/>
      </c>
      <c r="S140">
        <f>IFERROR(--INDEX('Pooled funds'!$D:$D,ROW()),0)</f>
        <v/>
      </c>
      <c r="T140">
        <f>IFERROR(IF(--INDEX('Pooled funds'!$E:$E,ROW())&gt;=1,--INDEX('Pooled funds'!$E:$E,ROW())/100,--INDEX('Pooled funds'!$E:$E,ROW())),0)</f>
        <v/>
      </c>
      <c r="U140">
        <f>IF(ISNUMBER(INDEX('Pooled funds'!$E:$E,ROW())),1,0)</f>
        <v/>
      </c>
      <c r="V140">
        <f>TRIM(SUBSTITUTE(INDEX('Loans'!$A:$A,ROW())&amp;""," "," "))</f>
        <v/>
      </c>
      <c r="W140">
        <f>TRIM(SUBSTITUTE(INDEX('Loans'!$B:$B,ROW())&amp;""," "," "))</f>
        <v/>
      </c>
      <c r="X140">
        <f>TRIM(SUBSTITUTE(INDEX('Loans'!$C:$C,ROW())&amp;""," "," "))</f>
        <v/>
      </c>
      <c r="Y140">
        <f>IFERROR(--INDEX('Loans'!$D:$D,ROW()),0)</f>
        <v/>
      </c>
      <c r="Z140">
        <f>IFERROR(--INDEX('Loans'!$E:$E,ROW()),0)</f>
        <v/>
      </c>
      <c r="AA140">
        <f>IFERROR(--INDEX('Loans'!$F:$F,ROW()),0)</f>
        <v/>
      </c>
      <c r="AB140">
        <f>IFERROR(IF(--INDEX('Loans'!$G:$G,ROW())&gt;=1,--INDEX('Loans'!$G:$G,ROW())/100,--INDEX('Loans'!$G:$G,ROW())),0)</f>
        <v/>
      </c>
      <c r="AC140">
        <f>TRIM(SUBSTITUTE(INDEX('Loans'!$H:$H,ROW())&amp;""," "," "))</f>
        <v/>
      </c>
      <c r="AD140">
        <f>TRIM(SUBSTITUTE(INDEX('Loans'!$I:$I,ROW())&amp;""," "," "))</f>
        <v/>
      </c>
      <c r="AE140">
        <f>IFERROR(--INDEX('Loans'!$J:$J,ROW()),0)</f>
        <v/>
      </c>
      <c r="AF140">
        <f>TRIM(SUBSTITUTE(INDEX('Loans'!$K:$K,ROW())&amp;""," "," "))</f>
        <v/>
      </c>
      <c r="AG140">
        <f>IFERROR(--INDEX('Loans'!$L:$L,ROW()),0)</f>
        <v/>
      </c>
      <c r="AH140">
        <f>IF(ISNUMBER(INDEX('Loans'!$G:$G,ROW())),1,0)</f>
        <v/>
      </c>
    </row>
    <row r="141">
      <c r="A141">
        <f>TRIM(SUBSTITUTE(INDEX('Term investments'!$A:$A,ROW())&amp;""," "," "))</f>
        <v/>
      </c>
      <c r="B141">
        <f>TRIM(SUBSTITUTE(INDEX('Term investments'!$B:$B,ROW())&amp;""," "," "))</f>
        <v/>
      </c>
      <c r="C141">
        <f>TRIM(SUBSTITUTE(INDEX('Term investments'!$C:$C,ROW())&amp;""," "," "))</f>
        <v/>
      </c>
      <c r="D141">
        <f>IFERROR(--INDEX('Term investments'!$D:$D,ROW()),0)</f>
        <v/>
      </c>
      <c r="E141">
        <f>IFERROR(--INDEX('Term investments'!$E:$E,ROW()),0)</f>
        <v/>
      </c>
      <c r="F141">
        <f>IFERROR(--INDEX('Term investments'!$F:$F,ROW()),0)</f>
        <v/>
      </c>
      <c r="G141">
        <f>IFERROR(IF(--INDEX('Term investments'!$G:$G,ROW())&gt;=1,--INDEX('Term investments'!$G:$G,ROW())/100,--INDEX('Term investments'!$G:$G,ROW())),0)</f>
        <v/>
      </c>
      <c r="H141">
        <f>IFERROR(--INDEX('Term investments'!$H:$H,ROW()),0)</f>
        <v/>
      </c>
      <c r="I141">
        <f>IF(ISNUMBER(INDEX('Term investments'!$G:$G,ROW())),1,0)</f>
        <v/>
      </c>
      <c r="J141">
        <f>TRIM(SUBSTITUTE(INDEX('Call accounts and MMFs'!$A:$A,ROW())&amp;""," "," "))</f>
        <v/>
      </c>
      <c r="K141">
        <f>TRIM(SUBSTITUTE(INDEX('Call accounts and MMFs'!$B:$B,ROW())&amp;""," "," "))</f>
        <v/>
      </c>
      <c r="L141">
        <f>TRIM(SUBSTITUTE(INDEX('Call accounts and MMFs'!$C:$C,ROW())&amp;""," "," "))</f>
        <v/>
      </c>
      <c r="M141">
        <f>IFERROR(--INDEX('Call accounts and MMFs'!$D:$D,ROW()),0)</f>
        <v/>
      </c>
      <c r="N141">
        <f>IFERROR(IF(--INDEX('Call accounts and MMFs'!$E:$E,ROW())&gt;=1,--INDEX('Call accounts and MMFs'!$E:$E,ROW())/100,--INDEX('Call accounts and MMFs'!$E:$E,ROW())),0)</f>
        <v/>
      </c>
      <c r="O141">
        <f>IFERROR(--INDEX('Call accounts and MMFs'!$F:$F,ROW()),0)</f>
        <v/>
      </c>
      <c r="P141">
        <f>IF(ISNUMBER(INDEX('Call accounts and MMFs'!$E:$E,ROW())),1,0)</f>
        <v/>
      </c>
      <c r="Q141">
        <f>TRIM(SUBSTITUTE(INDEX('Pooled funds'!$B:$B,ROW())&amp;""," "," "))</f>
        <v/>
      </c>
      <c r="R141">
        <f>IFERROR(--INDEX('Pooled funds'!$C:$C,ROW()),0)</f>
        <v/>
      </c>
      <c r="S141">
        <f>IFERROR(--INDEX('Pooled funds'!$D:$D,ROW()),0)</f>
        <v/>
      </c>
      <c r="T141">
        <f>IFERROR(IF(--INDEX('Pooled funds'!$E:$E,ROW())&gt;=1,--INDEX('Pooled funds'!$E:$E,ROW())/100,--INDEX('Pooled funds'!$E:$E,ROW())),0)</f>
        <v/>
      </c>
      <c r="U141">
        <f>IF(ISNUMBER(INDEX('Pooled funds'!$E:$E,ROW())),1,0)</f>
        <v/>
      </c>
      <c r="V141">
        <f>TRIM(SUBSTITUTE(INDEX('Loans'!$A:$A,ROW())&amp;""," "," "))</f>
        <v/>
      </c>
      <c r="W141">
        <f>TRIM(SUBSTITUTE(INDEX('Loans'!$B:$B,ROW())&amp;""," "," "))</f>
        <v/>
      </c>
      <c r="X141">
        <f>TRIM(SUBSTITUTE(INDEX('Loans'!$C:$C,ROW())&amp;""," "," "))</f>
        <v/>
      </c>
      <c r="Y141">
        <f>IFERROR(--INDEX('Loans'!$D:$D,ROW()),0)</f>
        <v/>
      </c>
      <c r="Z141">
        <f>IFERROR(--INDEX('Loans'!$E:$E,ROW()),0)</f>
        <v/>
      </c>
      <c r="AA141">
        <f>IFERROR(--INDEX('Loans'!$F:$F,ROW()),0)</f>
        <v/>
      </c>
      <c r="AB141">
        <f>IFERROR(IF(--INDEX('Loans'!$G:$G,ROW())&gt;=1,--INDEX('Loans'!$G:$G,ROW())/100,--INDEX('Loans'!$G:$G,ROW())),0)</f>
        <v/>
      </c>
      <c r="AC141">
        <f>TRIM(SUBSTITUTE(INDEX('Loans'!$H:$H,ROW())&amp;""," "," "))</f>
        <v/>
      </c>
      <c r="AD141">
        <f>TRIM(SUBSTITUTE(INDEX('Loans'!$I:$I,ROW())&amp;""," "," "))</f>
        <v/>
      </c>
      <c r="AE141">
        <f>IFERROR(--INDEX('Loans'!$J:$J,ROW()),0)</f>
        <v/>
      </c>
      <c r="AF141">
        <f>TRIM(SUBSTITUTE(INDEX('Loans'!$K:$K,ROW())&amp;""," "," "))</f>
        <v/>
      </c>
      <c r="AG141">
        <f>IFERROR(--INDEX('Loans'!$L:$L,ROW()),0)</f>
        <v/>
      </c>
      <c r="AH141">
        <f>IF(ISNUMBER(INDEX('Loans'!$G:$G,ROW())),1,0)</f>
        <v/>
      </c>
    </row>
    <row r="142">
      <c r="A142">
        <f>TRIM(SUBSTITUTE(INDEX('Term investments'!$A:$A,ROW())&amp;""," "," "))</f>
        <v/>
      </c>
      <c r="B142">
        <f>TRIM(SUBSTITUTE(INDEX('Term investments'!$B:$B,ROW())&amp;""," "," "))</f>
        <v/>
      </c>
      <c r="C142">
        <f>TRIM(SUBSTITUTE(INDEX('Term investments'!$C:$C,ROW())&amp;""," "," "))</f>
        <v/>
      </c>
      <c r="D142">
        <f>IFERROR(--INDEX('Term investments'!$D:$D,ROW()),0)</f>
        <v/>
      </c>
      <c r="E142">
        <f>IFERROR(--INDEX('Term investments'!$E:$E,ROW()),0)</f>
        <v/>
      </c>
      <c r="F142">
        <f>IFERROR(--INDEX('Term investments'!$F:$F,ROW()),0)</f>
        <v/>
      </c>
      <c r="G142">
        <f>IFERROR(IF(--INDEX('Term investments'!$G:$G,ROW())&gt;=1,--INDEX('Term investments'!$G:$G,ROW())/100,--INDEX('Term investments'!$G:$G,ROW())),0)</f>
        <v/>
      </c>
      <c r="H142">
        <f>IFERROR(--INDEX('Term investments'!$H:$H,ROW()),0)</f>
        <v/>
      </c>
      <c r="I142">
        <f>IF(ISNUMBER(INDEX('Term investments'!$G:$G,ROW())),1,0)</f>
        <v/>
      </c>
      <c r="J142">
        <f>TRIM(SUBSTITUTE(INDEX('Call accounts and MMFs'!$A:$A,ROW())&amp;""," "," "))</f>
        <v/>
      </c>
      <c r="K142">
        <f>TRIM(SUBSTITUTE(INDEX('Call accounts and MMFs'!$B:$B,ROW())&amp;""," "," "))</f>
        <v/>
      </c>
      <c r="L142">
        <f>TRIM(SUBSTITUTE(INDEX('Call accounts and MMFs'!$C:$C,ROW())&amp;""," "," "))</f>
        <v/>
      </c>
      <c r="M142">
        <f>IFERROR(--INDEX('Call accounts and MMFs'!$D:$D,ROW()),0)</f>
        <v/>
      </c>
      <c r="N142">
        <f>IFERROR(IF(--INDEX('Call accounts and MMFs'!$E:$E,ROW())&gt;=1,--INDEX('Call accounts and MMFs'!$E:$E,ROW())/100,--INDEX('Call accounts and MMFs'!$E:$E,ROW())),0)</f>
        <v/>
      </c>
      <c r="O142">
        <f>IFERROR(--INDEX('Call accounts and MMFs'!$F:$F,ROW()),0)</f>
        <v/>
      </c>
      <c r="P142">
        <f>IF(ISNUMBER(INDEX('Call accounts and MMFs'!$E:$E,ROW())),1,0)</f>
        <v/>
      </c>
      <c r="Q142">
        <f>TRIM(SUBSTITUTE(INDEX('Pooled funds'!$B:$B,ROW())&amp;""," "," "))</f>
        <v/>
      </c>
      <c r="R142">
        <f>IFERROR(--INDEX('Pooled funds'!$C:$C,ROW()),0)</f>
        <v/>
      </c>
      <c r="S142">
        <f>IFERROR(--INDEX('Pooled funds'!$D:$D,ROW()),0)</f>
        <v/>
      </c>
      <c r="T142">
        <f>IFERROR(IF(--INDEX('Pooled funds'!$E:$E,ROW())&gt;=1,--INDEX('Pooled funds'!$E:$E,ROW())/100,--INDEX('Pooled funds'!$E:$E,ROW())),0)</f>
        <v/>
      </c>
      <c r="U142">
        <f>IF(ISNUMBER(INDEX('Pooled funds'!$E:$E,ROW())),1,0)</f>
        <v/>
      </c>
      <c r="V142">
        <f>TRIM(SUBSTITUTE(INDEX('Loans'!$A:$A,ROW())&amp;""," "," "))</f>
        <v/>
      </c>
      <c r="W142">
        <f>TRIM(SUBSTITUTE(INDEX('Loans'!$B:$B,ROW())&amp;""," "," "))</f>
        <v/>
      </c>
      <c r="X142">
        <f>TRIM(SUBSTITUTE(INDEX('Loans'!$C:$C,ROW())&amp;""," "," "))</f>
        <v/>
      </c>
      <c r="Y142">
        <f>IFERROR(--INDEX('Loans'!$D:$D,ROW()),0)</f>
        <v/>
      </c>
      <c r="Z142">
        <f>IFERROR(--INDEX('Loans'!$E:$E,ROW()),0)</f>
        <v/>
      </c>
      <c r="AA142">
        <f>IFERROR(--INDEX('Loans'!$F:$F,ROW()),0)</f>
        <v/>
      </c>
      <c r="AB142">
        <f>IFERROR(IF(--INDEX('Loans'!$G:$G,ROW())&gt;=1,--INDEX('Loans'!$G:$G,ROW())/100,--INDEX('Loans'!$G:$G,ROW())),0)</f>
        <v/>
      </c>
      <c r="AC142">
        <f>TRIM(SUBSTITUTE(INDEX('Loans'!$H:$H,ROW())&amp;""," "," "))</f>
        <v/>
      </c>
      <c r="AD142">
        <f>TRIM(SUBSTITUTE(INDEX('Loans'!$I:$I,ROW())&amp;""," "," "))</f>
        <v/>
      </c>
      <c r="AE142">
        <f>IFERROR(--INDEX('Loans'!$J:$J,ROW()),0)</f>
        <v/>
      </c>
      <c r="AF142">
        <f>TRIM(SUBSTITUTE(INDEX('Loans'!$K:$K,ROW())&amp;""," "," "))</f>
        <v/>
      </c>
      <c r="AG142">
        <f>IFERROR(--INDEX('Loans'!$L:$L,ROW()),0)</f>
        <v/>
      </c>
      <c r="AH142">
        <f>IF(ISNUMBER(INDEX('Loans'!$G:$G,ROW())),1,0)</f>
        <v/>
      </c>
    </row>
    <row r="143">
      <c r="A143">
        <f>TRIM(SUBSTITUTE(INDEX('Term investments'!$A:$A,ROW())&amp;""," "," "))</f>
        <v/>
      </c>
      <c r="B143">
        <f>TRIM(SUBSTITUTE(INDEX('Term investments'!$B:$B,ROW())&amp;""," "," "))</f>
        <v/>
      </c>
      <c r="C143">
        <f>TRIM(SUBSTITUTE(INDEX('Term investments'!$C:$C,ROW())&amp;""," "," "))</f>
        <v/>
      </c>
      <c r="D143">
        <f>IFERROR(--INDEX('Term investments'!$D:$D,ROW()),0)</f>
        <v/>
      </c>
      <c r="E143">
        <f>IFERROR(--INDEX('Term investments'!$E:$E,ROW()),0)</f>
        <v/>
      </c>
      <c r="F143">
        <f>IFERROR(--INDEX('Term investments'!$F:$F,ROW()),0)</f>
        <v/>
      </c>
      <c r="G143">
        <f>IFERROR(IF(--INDEX('Term investments'!$G:$G,ROW())&gt;=1,--INDEX('Term investments'!$G:$G,ROW())/100,--INDEX('Term investments'!$G:$G,ROW())),0)</f>
        <v/>
      </c>
      <c r="H143">
        <f>IFERROR(--INDEX('Term investments'!$H:$H,ROW()),0)</f>
        <v/>
      </c>
      <c r="I143">
        <f>IF(ISNUMBER(INDEX('Term investments'!$G:$G,ROW())),1,0)</f>
        <v/>
      </c>
      <c r="J143">
        <f>TRIM(SUBSTITUTE(INDEX('Call accounts and MMFs'!$A:$A,ROW())&amp;""," "," "))</f>
        <v/>
      </c>
      <c r="K143">
        <f>TRIM(SUBSTITUTE(INDEX('Call accounts and MMFs'!$B:$B,ROW())&amp;""," "," "))</f>
        <v/>
      </c>
      <c r="L143">
        <f>TRIM(SUBSTITUTE(INDEX('Call accounts and MMFs'!$C:$C,ROW())&amp;""," "," "))</f>
        <v/>
      </c>
      <c r="M143">
        <f>IFERROR(--INDEX('Call accounts and MMFs'!$D:$D,ROW()),0)</f>
        <v/>
      </c>
      <c r="N143">
        <f>IFERROR(IF(--INDEX('Call accounts and MMFs'!$E:$E,ROW())&gt;=1,--INDEX('Call accounts and MMFs'!$E:$E,ROW())/100,--INDEX('Call accounts and MMFs'!$E:$E,ROW())),0)</f>
        <v/>
      </c>
      <c r="O143">
        <f>IFERROR(--INDEX('Call accounts and MMFs'!$F:$F,ROW()),0)</f>
        <v/>
      </c>
      <c r="P143">
        <f>IF(ISNUMBER(INDEX('Call accounts and MMFs'!$E:$E,ROW())),1,0)</f>
        <v/>
      </c>
      <c r="Q143">
        <f>TRIM(SUBSTITUTE(INDEX('Pooled funds'!$B:$B,ROW())&amp;""," "," "))</f>
        <v/>
      </c>
      <c r="R143">
        <f>IFERROR(--INDEX('Pooled funds'!$C:$C,ROW()),0)</f>
        <v/>
      </c>
      <c r="S143">
        <f>IFERROR(--INDEX('Pooled funds'!$D:$D,ROW()),0)</f>
        <v/>
      </c>
      <c r="T143">
        <f>IFERROR(IF(--INDEX('Pooled funds'!$E:$E,ROW())&gt;=1,--INDEX('Pooled funds'!$E:$E,ROW())/100,--INDEX('Pooled funds'!$E:$E,ROW())),0)</f>
        <v/>
      </c>
      <c r="U143">
        <f>IF(ISNUMBER(INDEX('Pooled funds'!$E:$E,ROW())),1,0)</f>
        <v/>
      </c>
      <c r="V143">
        <f>TRIM(SUBSTITUTE(INDEX('Loans'!$A:$A,ROW())&amp;""," "," "))</f>
        <v/>
      </c>
      <c r="W143">
        <f>TRIM(SUBSTITUTE(INDEX('Loans'!$B:$B,ROW())&amp;""," "," "))</f>
        <v/>
      </c>
      <c r="X143">
        <f>TRIM(SUBSTITUTE(INDEX('Loans'!$C:$C,ROW())&amp;""," "," "))</f>
        <v/>
      </c>
      <c r="Y143">
        <f>IFERROR(--INDEX('Loans'!$D:$D,ROW()),0)</f>
        <v/>
      </c>
      <c r="Z143">
        <f>IFERROR(--INDEX('Loans'!$E:$E,ROW()),0)</f>
        <v/>
      </c>
      <c r="AA143">
        <f>IFERROR(--INDEX('Loans'!$F:$F,ROW()),0)</f>
        <v/>
      </c>
      <c r="AB143">
        <f>IFERROR(IF(--INDEX('Loans'!$G:$G,ROW())&gt;=1,--INDEX('Loans'!$G:$G,ROW())/100,--INDEX('Loans'!$G:$G,ROW())),0)</f>
        <v/>
      </c>
      <c r="AC143">
        <f>TRIM(SUBSTITUTE(INDEX('Loans'!$H:$H,ROW())&amp;""," "," "))</f>
        <v/>
      </c>
      <c r="AD143">
        <f>TRIM(SUBSTITUTE(INDEX('Loans'!$I:$I,ROW())&amp;""," "," "))</f>
        <v/>
      </c>
      <c r="AE143">
        <f>IFERROR(--INDEX('Loans'!$J:$J,ROW()),0)</f>
        <v/>
      </c>
      <c r="AF143">
        <f>TRIM(SUBSTITUTE(INDEX('Loans'!$K:$K,ROW())&amp;""," "," "))</f>
        <v/>
      </c>
      <c r="AG143">
        <f>IFERROR(--INDEX('Loans'!$L:$L,ROW()),0)</f>
        <v/>
      </c>
      <c r="AH143">
        <f>IF(ISNUMBER(INDEX('Loans'!$G:$G,ROW())),1,0)</f>
        <v/>
      </c>
    </row>
    <row r="144">
      <c r="A144">
        <f>TRIM(SUBSTITUTE(INDEX('Term investments'!$A:$A,ROW())&amp;""," "," "))</f>
        <v/>
      </c>
      <c r="B144">
        <f>TRIM(SUBSTITUTE(INDEX('Term investments'!$B:$B,ROW())&amp;""," "," "))</f>
        <v/>
      </c>
      <c r="C144">
        <f>TRIM(SUBSTITUTE(INDEX('Term investments'!$C:$C,ROW())&amp;""," "," "))</f>
        <v/>
      </c>
      <c r="D144">
        <f>IFERROR(--INDEX('Term investments'!$D:$D,ROW()),0)</f>
        <v/>
      </c>
      <c r="E144">
        <f>IFERROR(--INDEX('Term investments'!$E:$E,ROW()),0)</f>
        <v/>
      </c>
      <c r="F144">
        <f>IFERROR(--INDEX('Term investments'!$F:$F,ROW()),0)</f>
        <v/>
      </c>
      <c r="G144">
        <f>IFERROR(IF(--INDEX('Term investments'!$G:$G,ROW())&gt;=1,--INDEX('Term investments'!$G:$G,ROW())/100,--INDEX('Term investments'!$G:$G,ROW())),0)</f>
        <v/>
      </c>
      <c r="H144">
        <f>IFERROR(--INDEX('Term investments'!$H:$H,ROW()),0)</f>
        <v/>
      </c>
      <c r="I144">
        <f>IF(ISNUMBER(INDEX('Term investments'!$G:$G,ROW())),1,0)</f>
        <v/>
      </c>
      <c r="J144">
        <f>TRIM(SUBSTITUTE(INDEX('Call accounts and MMFs'!$A:$A,ROW())&amp;""," "," "))</f>
        <v/>
      </c>
      <c r="K144">
        <f>TRIM(SUBSTITUTE(INDEX('Call accounts and MMFs'!$B:$B,ROW())&amp;""," "," "))</f>
        <v/>
      </c>
      <c r="L144">
        <f>TRIM(SUBSTITUTE(INDEX('Call accounts and MMFs'!$C:$C,ROW())&amp;""," "," "))</f>
        <v/>
      </c>
      <c r="M144">
        <f>IFERROR(--INDEX('Call accounts and MMFs'!$D:$D,ROW()),0)</f>
        <v/>
      </c>
      <c r="N144">
        <f>IFERROR(IF(--INDEX('Call accounts and MMFs'!$E:$E,ROW())&gt;=1,--INDEX('Call accounts and MMFs'!$E:$E,ROW())/100,--INDEX('Call accounts and MMFs'!$E:$E,ROW())),0)</f>
        <v/>
      </c>
      <c r="O144">
        <f>IFERROR(--INDEX('Call accounts and MMFs'!$F:$F,ROW()),0)</f>
        <v/>
      </c>
      <c r="P144">
        <f>IF(ISNUMBER(INDEX('Call accounts and MMFs'!$E:$E,ROW())),1,0)</f>
        <v/>
      </c>
      <c r="Q144">
        <f>TRIM(SUBSTITUTE(INDEX('Pooled funds'!$B:$B,ROW())&amp;""," "," "))</f>
        <v/>
      </c>
      <c r="R144">
        <f>IFERROR(--INDEX('Pooled funds'!$C:$C,ROW()),0)</f>
        <v/>
      </c>
      <c r="S144">
        <f>IFERROR(--INDEX('Pooled funds'!$D:$D,ROW()),0)</f>
        <v/>
      </c>
      <c r="T144">
        <f>IFERROR(IF(--INDEX('Pooled funds'!$E:$E,ROW())&gt;=1,--INDEX('Pooled funds'!$E:$E,ROW())/100,--INDEX('Pooled funds'!$E:$E,ROW())),0)</f>
        <v/>
      </c>
      <c r="U144">
        <f>IF(ISNUMBER(INDEX('Pooled funds'!$E:$E,ROW())),1,0)</f>
        <v/>
      </c>
      <c r="V144">
        <f>TRIM(SUBSTITUTE(INDEX('Loans'!$A:$A,ROW())&amp;""," "," "))</f>
        <v/>
      </c>
      <c r="W144">
        <f>TRIM(SUBSTITUTE(INDEX('Loans'!$B:$B,ROW())&amp;""," "," "))</f>
        <v/>
      </c>
      <c r="X144">
        <f>TRIM(SUBSTITUTE(INDEX('Loans'!$C:$C,ROW())&amp;""," "," "))</f>
        <v/>
      </c>
      <c r="Y144">
        <f>IFERROR(--INDEX('Loans'!$D:$D,ROW()),0)</f>
        <v/>
      </c>
      <c r="Z144">
        <f>IFERROR(--INDEX('Loans'!$E:$E,ROW()),0)</f>
        <v/>
      </c>
      <c r="AA144">
        <f>IFERROR(--INDEX('Loans'!$F:$F,ROW()),0)</f>
        <v/>
      </c>
      <c r="AB144">
        <f>IFERROR(IF(--INDEX('Loans'!$G:$G,ROW())&gt;=1,--INDEX('Loans'!$G:$G,ROW())/100,--INDEX('Loans'!$G:$G,ROW())),0)</f>
        <v/>
      </c>
      <c r="AC144">
        <f>TRIM(SUBSTITUTE(INDEX('Loans'!$H:$H,ROW())&amp;""," "," "))</f>
        <v/>
      </c>
      <c r="AD144">
        <f>TRIM(SUBSTITUTE(INDEX('Loans'!$I:$I,ROW())&amp;""," "," "))</f>
        <v/>
      </c>
      <c r="AE144">
        <f>IFERROR(--INDEX('Loans'!$J:$J,ROW()),0)</f>
        <v/>
      </c>
      <c r="AF144">
        <f>TRIM(SUBSTITUTE(INDEX('Loans'!$K:$K,ROW())&amp;""," "," "))</f>
        <v/>
      </c>
      <c r="AG144">
        <f>IFERROR(--INDEX('Loans'!$L:$L,ROW()),0)</f>
        <v/>
      </c>
      <c r="AH144">
        <f>IF(ISNUMBER(INDEX('Loans'!$G:$G,ROW())),1,0)</f>
        <v/>
      </c>
    </row>
    <row r="145">
      <c r="A145">
        <f>TRIM(SUBSTITUTE(INDEX('Term investments'!$A:$A,ROW())&amp;""," "," "))</f>
        <v/>
      </c>
      <c r="B145">
        <f>TRIM(SUBSTITUTE(INDEX('Term investments'!$B:$B,ROW())&amp;""," "," "))</f>
        <v/>
      </c>
      <c r="C145">
        <f>TRIM(SUBSTITUTE(INDEX('Term investments'!$C:$C,ROW())&amp;""," "," "))</f>
        <v/>
      </c>
      <c r="D145">
        <f>IFERROR(--INDEX('Term investments'!$D:$D,ROW()),0)</f>
        <v/>
      </c>
      <c r="E145">
        <f>IFERROR(--INDEX('Term investments'!$E:$E,ROW()),0)</f>
        <v/>
      </c>
      <c r="F145">
        <f>IFERROR(--INDEX('Term investments'!$F:$F,ROW()),0)</f>
        <v/>
      </c>
      <c r="G145">
        <f>IFERROR(IF(--INDEX('Term investments'!$G:$G,ROW())&gt;=1,--INDEX('Term investments'!$G:$G,ROW())/100,--INDEX('Term investments'!$G:$G,ROW())),0)</f>
        <v/>
      </c>
      <c r="H145">
        <f>IFERROR(--INDEX('Term investments'!$H:$H,ROW()),0)</f>
        <v/>
      </c>
      <c r="I145">
        <f>IF(ISNUMBER(INDEX('Term investments'!$G:$G,ROW())),1,0)</f>
        <v/>
      </c>
      <c r="J145">
        <f>TRIM(SUBSTITUTE(INDEX('Call accounts and MMFs'!$A:$A,ROW())&amp;""," "," "))</f>
        <v/>
      </c>
      <c r="K145">
        <f>TRIM(SUBSTITUTE(INDEX('Call accounts and MMFs'!$B:$B,ROW())&amp;""," "," "))</f>
        <v/>
      </c>
      <c r="L145">
        <f>TRIM(SUBSTITUTE(INDEX('Call accounts and MMFs'!$C:$C,ROW())&amp;""," "," "))</f>
        <v/>
      </c>
      <c r="M145">
        <f>IFERROR(--INDEX('Call accounts and MMFs'!$D:$D,ROW()),0)</f>
        <v/>
      </c>
      <c r="N145">
        <f>IFERROR(IF(--INDEX('Call accounts and MMFs'!$E:$E,ROW())&gt;=1,--INDEX('Call accounts and MMFs'!$E:$E,ROW())/100,--INDEX('Call accounts and MMFs'!$E:$E,ROW())),0)</f>
        <v/>
      </c>
      <c r="O145">
        <f>IFERROR(--INDEX('Call accounts and MMFs'!$F:$F,ROW()),0)</f>
        <v/>
      </c>
      <c r="P145">
        <f>IF(ISNUMBER(INDEX('Call accounts and MMFs'!$E:$E,ROW())),1,0)</f>
        <v/>
      </c>
      <c r="Q145">
        <f>TRIM(SUBSTITUTE(INDEX('Pooled funds'!$B:$B,ROW())&amp;""," "," "))</f>
        <v/>
      </c>
      <c r="R145">
        <f>IFERROR(--INDEX('Pooled funds'!$C:$C,ROW()),0)</f>
        <v/>
      </c>
      <c r="S145">
        <f>IFERROR(--INDEX('Pooled funds'!$D:$D,ROW()),0)</f>
        <v/>
      </c>
      <c r="T145">
        <f>IFERROR(IF(--INDEX('Pooled funds'!$E:$E,ROW())&gt;=1,--INDEX('Pooled funds'!$E:$E,ROW())/100,--INDEX('Pooled funds'!$E:$E,ROW())),0)</f>
        <v/>
      </c>
      <c r="U145">
        <f>IF(ISNUMBER(INDEX('Pooled funds'!$E:$E,ROW())),1,0)</f>
        <v/>
      </c>
      <c r="V145">
        <f>TRIM(SUBSTITUTE(INDEX('Loans'!$A:$A,ROW())&amp;""," "," "))</f>
        <v/>
      </c>
      <c r="W145">
        <f>TRIM(SUBSTITUTE(INDEX('Loans'!$B:$B,ROW())&amp;""," "," "))</f>
        <v/>
      </c>
      <c r="X145">
        <f>TRIM(SUBSTITUTE(INDEX('Loans'!$C:$C,ROW())&amp;""," "," "))</f>
        <v/>
      </c>
      <c r="Y145">
        <f>IFERROR(--INDEX('Loans'!$D:$D,ROW()),0)</f>
        <v/>
      </c>
      <c r="Z145">
        <f>IFERROR(--INDEX('Loans'!$E:$E,ROW()),0)</f>
        <v/>
      </c>
      <c r="AA145">
        <f>IFERROR(--INDEX('Loans'!$F:$F,ROW()),0)</f>
        <v/>
      </c>
      <c r="AB145">
        <f>IFERROR(IF(--INDEX('Loans'!$G:$G,ROW())&gt;=1,--INDEX('Loans'!$G:$G,ROW())/100,--INDEX('Loans'!$G:$G,ROW())),0)</f>
        <v/>
      </c>
      <c r="AC145">
        <f>TRIM(SUBSTITUTE(INDEX('Loans'!$H:$H,ROW())&amp;""," "," "))</f>
        <v/>
      </c>
      <c r="AD145">
        <f>TRIM(SUBSTITUTE(INDEX('Loans'!$I:$I,ROW())&amp;""," "," "))</f>
        <v/>
      </c>
      <c r="AE145">
        <f>IFERROR(--INDEX('Loans'!$J:$J,ROW()),0)</f>
        <v/>
      </c>
      <c r="AF145">
        <f>TRIM(SUBSTITUTE(INDEX('Loans'!$K:$K,ROW())&amp;""," "," "))</f>
        <v/>
      </c>
      <c r="AG145">
        <f>IFERROR(--INDEX('Loans'!$L:$L,ROW()),0)</f>
        <v/>
      </c>
      <c r="AH145">
        <f>IF(ISNUMBER(INDEX('Loans'!$G:$G,ROW())),1,0)</f>
        <v/>
      </c>
    </row>
    <row r="146">
      <c r="A146">
        <f>TRIM(SUBSTITUTE(INDEX('Term investments'!$A:$A,ROW())&amp;""," "," "))</f>
        <v/>
      </c>
      <c r="B146">
        <f>TRIM(SUBSTITUTE(INDEX('Term investments'!$B:$B,ROW())&amp;""," "," "))</f>
        <v/>
      </c>
      <c r="C146">
        <f>TRIM(SUBSTITUTE(INDEX('Term investments'!$C:$C,ROW())&amp;""," "," "))</f>
        <v/>
      </c>
      <c r="D146">
        <f>IFERROR(--INDEX('Term investments'!$D:$D,ROW()),0)</f>
        <v/>
      </c>
      <c r="E146">
        <f>IFERROR(--INDEX('Term investments'!$E:$E,ROW()),0)</f>
        <v/>
      </c>
      <c r="F146">
        <f>IFERROR(--INDEX('Term investments'!$F:$F,ROW()),0)</f>
        <v/>
      </c>
      <c r="G146">
        <f>IFERROR(IF(--INDEX('Term investments'!$G:$G,ROW())&gt;=1,--INDEX('Term investments'!$G:$G,ROW())/100,--INDEX('Term investments'!$G:$G,ROW())),0)</f>
        <v/>
      </c>
      <c r="H146">
        <f>IFERROR(--INDEX('Term investments'!$H:$H,ROW()),0)</f>
        <v/>
      </c>
      <c r="I146">
        <f>IF(ISNUMBER(INDEX('Term investments'!$G:$G,ROW())),1,0)</f>
        <v/>
      </c>
      <c r="J146">
        <f>TRIM(SUBSTITUTE(INDEX('Call accounts and MMFs'!$A:$A,ROW())&amp;""," "," "))</f>
        <v/>
      </c>
      <c r="K146">
        <f>TRIM(SUBSTITUTE(INDEX('Call accounts and MMFs'!$B:$B,ROW())&amp;""," "," "))</f>
        <v/>
      </c>
      <c r="L146">
        <f>TRIM(SUBSTITUTE(INDEX('Call accounts and MMFs'!$C:$C,ROW())&amp;""," "," "))</f>
        <v/>
      </c>
      <c r="M146">
        <f>IFERROR(--INDEX('Call accounts and MMFs'!$D:$D,ROW()),0)</f>
        <v/>
      </c>
      <c r="N146">
        <f>IFERROR(IF(--INDEX('Call accounts and MMFs'!$E:$E,ROW())&gt;=1,--INDEX('Call accounts and MMFs'!$E:$E,ROW())/100,--INDEX('Call accounts and MMFs'!$E:$E,ROW())),0)</f>
        <v/>
      </c>
      <c r="O146">
        <f>IFERROR(--INDEX('Call accounts and MMFs'!$F:$F,ROW()),0)</f>
        <v/>
      </c>
      <c r="P146">
        <f>IF(ISNUMBER(INDEX('Call accounts and MMFs'!$E:$E,ROW())),1,0)</f>
        <v/>
      </c>
      <c r="Q146">
        <f>TRIM(SUBSTITUTE(INDEX('Pooled funds'!$B:$B,ROW())&amp;""," "," "))</f>
        <v/>
      </c>
      <c r="R146">
        <f>IFERROR(--INDEX('Pooled funds'!$C:$C,ROW()),0)</f>
        <v/>
      </c>
      <c r="S146">
        <f>IFERROR(--INDEX('Pooled funds'!$D:$D,ROW()),0)</f>
        <v/>
      </c>
      <c r="T146">
        <f>IFERROR(IF(--INDEX('Pooled funds'!$E:$E,ROW())&gt;=1,--INDEX('Pooled funds'!$E:$E,ROW())/100,--INDEX('Pooled funds'!$E:$E,ROW())),0)</f>
        <v/>
      </c>
      <c r="U146">
        <f>IF(ISNUMBER(INDEX('Pooled funds'!$E:$E,ROW())),1,0)</f>
        <v/>
      </c>
      <c r="V146">
        <f>TRIM(SUBSTITUTE(INDEX('Loans'!$A:$A,ROW())&amp;""," "," "))</f>
        <v/>
      </c>
      <c r="W146">
        <f>TRIM(SUBSTITUTE(INDEX('Loans'!$B:$B,ROW())&amp;""," "," "))</f>
        <v/>
      </c>
      <c r="X146">
        <f>TRIM(SUBSTITUTE(INDEX('Loans'!$C:$C,ROW())&amp;""," "," "))</f>
        <v/>
      </c>
      <c r="Y146">
        <f>IFERROR(--INDEX('Loans'!$D:$D,ROW()),0)</f>
        <v/>
      </c>
      <c r="Z146">
        <f>IFERROR(--INDEX('Loans'!$E:$E,ROW()),0)</f>
        <v/>
      </c>
      <c r="AA146">
        <f>IFERROR(--INDEX('Loans'!$F:$F,ROW()),0)</f>
        <v/>
      </c>
      <c r="AB146">
        <f>IFERROR(IF(--INDEX('Loans'!$G:$G,ROW())&gt;=1,--INDEX('Loans'!$G:$G,ROW())/100,--INDEX('Loans'!$G:$G,ROW())),0)</f>
        <v/>
      </c>
      <c r="AC146">
        <f>TRIM(SUBSTITUTE(INDEX('Loans'!$H:$H,ROW())&amp;""," "," "))</f>
        <v/>
      </c>
      <c r="AD146">
        <f>TRIM(SUBSTITUTE(INDEX('Loans'!$I:$I,ROW())&amp;""," "," "))</f>
        <v/>
      </c>
      <c r="AE146">
        <f>IFERROR(--INDEX('Loans'!$J:$J,ROW()),0)</f>
        <v/>
      </c>
      <c r="AF146">
        <f>TRIM(SUBSTITUTE(INDEX('Loans'!$K:$K,ROW())&amp;""," "," "))</f>
        <v/>
      </c>
      <c r="AG146">
        <f>IFERROR(--INDEX('Loans'!$L:$L,ROW()),0)</f>
        <v/>
      </c>
      <c r="AH146">
        <f>IF(ISNUMBER(INDEX('Loans'!$G:$G,ROW())),1,0)</f>
        <v/>
      </c>
    </row>
    <row r="147">
      <c r="A147">
        <f>TRIM(SUBSTITUTE(INDEX('Term investments'!$A:$A,ROW())&amp;""," "," "))</f>
        <v/>
      </c>
      <c r="B147">
        <f>TRIM(SUBSTITUTE(INDEX('Term investments'!$B:$B,ROW())&amp;""," "," "))</f>
        <v/>
      </c>
      <c r="C147">
        <f>TRIM(SUBSTITUTE(INDEX('Term investments'!$C:$C,ROW())&amp;""," "," "))</f>
        <v/>
      </c>
      <c r="D147">
        <f>IFERROR(--INDEX('Term investments'!$D:$D,ROW()),0)</f>
        <v/>
      </c>
      <c r="E147">
        <f>IFERROR(--INDEX('Term investments'!$E:$E,ROW()),0)</f>
        <v/>
      </c>
      <c r="F147">
        <f>IFERROR(--INDEX('Term investments'!$F:$F,ROW()),0)</f>
        <v/>
      </c>
      <c r="G147">
        <f>IFERROR(IF(--INDEX('Term investments'!$G:$G,ROW())&gt;=1,--INDEX('Term investments'!$G:$G,ROW())/100,--INDEX('Term investments'!$G:$G,ROW())),0)</f>
        <v/>
      </c>
      <c r="H147">
        <f>IFERROR(--INDEX('Term investments'!$H:$H,ROW()),0)</f>
        <v/>
      </c>
      <c r="I147">
        <f>IF(ISNUMBER(INDEX('Term investments'!$G:$G,ROW())),1,0)</f>
        <v/>
      </c>
      <c r="J147">
        <f>TRIM(SUBSTITUTE(INDEX('Call accounts and MMFs'!$A:$A,ROW())&amp;""," "," "))</f>
        <v/>
      </c>
      <c r="K147">
        <f>TRIM(SUBSTITUTE(INDEX('Call accounts and MMFs'!$B:$B,ROW())&amp;""," "," "))</f>
        <v/>
      </c>
      <c r="L147">
        <f>TRIM(SUBSTITUTE(INDEX('Call accounts and MMFs'!$C:$C,ROW())&amp;""," "," "))</f>
        <v/>
      </c>
      <c r="M147">
        <f>IFERROR(--INDEX('Call accounts and MMFs'!$D:$D,ROW()),0)</f>
        <v/>
      </c>
      <c r="N147">
        <f>IFERROR(IF(--INDEX('Call accounts and MMFs'!$E:$E,ROW())&gt;=1,--INDEX('Call accounts and MMFs'!$E:$E,ROW())/100,--INDEX('Call accounts and MMFs'!$E:$E,ROW())),0)</f>
        <v/>
      </c>
      <c r="O147">
        <f>IFERROR(--INDEX('Call accounts and MMFs'!$F:$F,ROW()),0)</f>
        <v/>
      </c>
      <c r="P147">
        <f>IF(ISNUMBER(INDEX('Call accounts and MMFs'!$E:$E,ROW())),1,0)</f>
        <v/>
      </c>
      <c r="Q147">
        <f>TRIM(SUBSTITUTE(INDEX('Pooled funds'!$B:$B,ROW())&amp;""," "," "))</f>
        <v/>
      </c>
      <c r="R147">
        <f>IFERROR(--INDEX('Pooled funds'!$C:$C,ROW()),0)</f>
        <v/>
      </c>
      <c r="S147">
        <f>IFERROR(--INDEX('Pooled funds'!$D:$D,ROW()),0)</f>
        <v/>
      </c>
      <c r="T147">
        <f>IFERROR(IF(--INDEX('Pooled funds'!$E:$E,ROW())&gt;=1,--INDEX('Pooled funds'!$E:$E,ROW())/100,--INDEX('Pooled funds'!$E:$E,ROW())),0)</f>
        <v/>
      </c>
      <c r="U147">
        <f>IF(ISNUMBER(INDEX('Pooled funds'!$E:$E,ROW())),1,0)</f>
        <v/>
      </c>
      <c r="V147">
        <f>TRIM(SUBSTITUTE(INDEX('Loans'!$A:$A,ROW())&amp;""," "," "))</f>
        <v/>
      </c>
      <c r="W147">
        <f>TRIM(SUBSTITUTE(INDEX('Loans'!$B:$B,ROW())&amp;""," "," "))</f>
        <v/>
      </c>
      <c r="X147">
        <f>TRIM(SUBSTITUTE(INDEX('Loans'!$C:$C,ROW())&amp;""," "," "))</f>
        <v/>
      </c>
      <c r="Y147">
        <f>IFERROR(--INDEX('Loans'!$D:$D,ROW()),0)</f>
        <v/>
      </c>
      <c r="Z147">
        <f>IFERROR(--INDEX('Loans'!$E:$E,ROW()),0)</f>
        <v/>
      </c>
      <c r="AA147">
        <f>IFERROR(--INDEX('Loans'!$F:$F,ROW()),0)</f>
        <v/>
      </c>
      <c r="AB147">
        <f>IFERROR(IF(--INDEX('Loans'!$G:$G,ROW())&gt;=1,--INDEX('Loans'!$G:$G,ROW())/100,--INDEX('Loans'!$G:$G,ROW())),0)</f>
        <v/>
      </c>
      <c r="AC147">
        <f>TRIM(SUBSTITUTE(INDEX('Loans'!$H:$H,ROW())&amp;""," "," "))</f>
        <v/>
      </c>
      <c r="AD147">
        <f>TRIM(SUBSTITUTE(INDEX('Loans'!$I:$I,ROW())&amp;""," "," "))</f>
        <v/>
      </c>
      <c r="AE147">
        <f>IFERROR(--INDEX('Loans'!$J:$J,ROW()),0)</f>
        <v/>
      </c>
      <c r="AF147">
        <f>TRIM(SUBSTITUTE(INDEX('Loans'!$K:$K,ROW())&amp;""," "," "))</f>
        <v/>
      </c>
      <c r="AG147">
        <f>IFERROR(--INDEX('Loans'!$L:$L,ROW()),0)</f>
        <v/>
      </c>
      <c r="AH147">
        <f>IF(ISNUMBER(INDEX('Loans'!$G:$G,ROW())),1,0)</f>
        <v/>
      </c>
    </row>
    <row r="148">
      <c r="A148">
        <f>TRIM(SUBSTITUTE(INDEX('Term investments'!$A:$A,ROW())&amp;""," "," "))</f>
        <v/>
      </c>
      <c r="B148">
        <f>TRIM(SUBSTITUTE(INDEX('Term investments'!$B:$B,ROW())&amp;""," "," "))</f>
        <v/>
      </c>
      <c r="C148">
        <f>TRIM(SUBSTITUTE(INDEX('Term investments'!$C:$C,ROW())&amp;""," "," "))</f>
        <v/>
      </c>
      <c r="D148">
        <f>IFERROR(--INDEX('Term investments'!$D:$D,ROW()),0)</f>
        <v/>
      </c>
      <c r="E148">
        <f>IFERROR(--INDEX('Term investments'!$E:$E,ROW()),0)</f>
        <v/>
      </c>
      <c r="F148">
        <f>IFERROR(--INDEX('Term investments'!$F:$F,ROW()),0)</f>
        <v/>
      </c>
      <c r="G148">
        <f>IFERROR(IF(--INDEX('Term investments'!$G:$G,ROW())&gt;=1,--INDEX('Term investments'!$G:$G,ROW())/100,--INDEX('Term investments'!$G:$G,ROW())),0)</f>
        <v/>
      </c>
      <c r="H148">
        <f>IFERROR(--INDEX('Term investments'!$H:$H,ROW()),0)</f>
        <v/>
      </c>
      <c r="I148">
        <f>IF(ISNUMBER(INDEX('Term investments'!$G:$G,ROW())),1,0)</f>
        <v/>
      </c>
      <c r="J148">
        <f>TRIM(SUBSTITUTE(INDEX('Call accounts and MMFs'!$A:$A,ROW())&amp;""," "," "))</f>
        <v/>
      </c>
      <c r="K148">
        <f>TRIM(SUBSTITUTE(INDEX('Call accounts and MMFs'!$B:$B,ROW())&amp;""," "," "))</f>
        <v/>
      </c>
      <c r="L148">
        <f>TRIM(SUBSTITUTE(INDEX('Call accounts and MMFs'!$C:$C,ROW())&amp;""," "," "))</f>
        <v/>
      </c>
      <c r="M148">
        <f>IFERROR(--INDEX('Call accounts and MMFs'!$D:$D,ROW()),0)</f>
        <v/>
      </c>
      <c r="N148">
        <f>IFERROR(IF(--INDEX('Call accounts and MMFs'!$E:$E,ROW())&gt;=1,--INDEX('Call accounts and MMFs'!$E:$E,ROW())/100,--INDEX('Call accounts and MMFs'!$E:$E,ROW())),0)</f>
        <v/>
      </c>
      <c r="O148">
        <f>IFERROR(--INDEX('Call accounts and MMFs'!$F:$F,ROW()),0)</f>
        <v/>
      </c>
      <c r="P148">
        <f>IF(ISNUMBER(INDEX('Call accounts and MMFs'!$E:$E,ROW())),1,0)</f>
        <v/>
      </c>
      <c r="Q148">
        <f>TRIM(SUBSTITUTE(INDEX('Pooled funds'!$B:$B,ROW())&amp;""," "," "))</f>
        <v/>
      </c>
      <c r="R148">
        <f>IFERROR(--INDEX('Pooled funds'!$C:$C,ROW()),0)</f>
        <v/>
      </c>
      <c r="S148">
        <f>IFERROR(--INDEX('Pooled funds'!$D:$D,ROW()),0)</f>
        <v/>
      </c>
      <c r="T148">
        <f>IFERROR(IF(--INDEX('Pooled funds'!$E:$E,ROW())&gt;=1,--INDEX('Pooled funds'!$E:$E,ROW())/100,--INDEX('Pooled funds'!$E:$E,ROW())),0)</f>
        <v/>
      </c>
      <c r="U148">
        <f>IF(ISNUMBER(INDEX('Pooled funds'!$E:$E,ROW())),1,0)</f>
        <v/>
      </c>
      <c r="V148">
        <f>TRIM(SUBSTITUTE(INDEX('Loans'!$A:$A,ROW())&amp;""," "," "))</f>
        <v/>
      </c>
      <c r="W148">
        <f>TRIM(SUBSTITUTE(INDEX('Loans'!$B:$B,ROW())&amp;""," "," "))</f>
        <v/>
      </c>
      <c r="X148">
        <f>TRIM(SUBSTITUTE(INDEX('Loans'!$C:$C,ROW())&amp;""," "," "))</f>
        <v/>
      </c>
      <c r="Y148">
        <f>IFERROR(--INDEX('Loans'!$D:$D,ROW()),0)</f>
        <v/>
      </c>
      <c r="Z148">
        <f>IFERROR(--INDEX('Loans'!$E:$E,ROW()),0)</f>
        <v/>
      </c>
      <c r="AA148">
        <f>IFERROR(--INDEX('Loans'!$F:$F,ROW()),0)</f>
        <v/>
      </c>
      <c r="AB148">
        <f>IFERROR(IF(--INDEX('Loans'!$G:$G,ROW())&gt;=1,--INDEX('Loans'!$G:$G,ROW())/100,--INDEX('Loans'!$G:$G,ROW())),0)</f>
        <v/>
      </c>
      <c r="AC148">
        <f>TRIM(SUBSTITUTE(INDEX('Loans'!$H:$H,ROW())&amp;""," "," "))</f>
        <v/>
      </c>
      <c r="AD148">
        <f>TRIM(SUBSTITUTE(INDEX('Loans'!$I:$I,ROW())&amp;""," "," "))</f>
        <v/>
      </c>
      <c r="AE148">
        <f>IFERROR(--INDEX('Loans'!$J:$J,ROW()),0)</f>
        <v/>
      </c>
      <c r="AF148">
        <f>TRIM(SUBSTITUTE(INDEX('Loans'!$K:$K,ROW())&amp;""," "," "))</f>
        <v/>
      </c>
      <c r="AG148">
        <f>IFERROR(--INDEX('Loans'!$L:$L,ROW()),0)</f>
        <v/>
      </c>
      <c r="AH148">
        <f>IF(ISNUMBER(INDEX('Loans'!$G:$G,ROW())),1,0)</f>
        <v/>
      </c>
    </row>
    <row r="149">
      <c r="A149">
        <f>TRIM(SUBSTITUTE(INDEX('Term investments'!$A:$A,ROW())&amp;""," "," "))</f>
        <v/>
      </c>
      <c r="B149">
        <f>TRIM(SUBSTITUTE(INDEX('Term investments'!$B:$B,ROW())&amp;""," "," "))</f>
        <v/>
      </c>
      <c r="C149">
        <f>TRIM(SUBSTITUTE(INDEX('Term investments'!$C:$C,ROW())&amp;""," "," "))</f>
        <v/>
      </c>
      <c r="D149">
        <f>IFERROR(--INDEX('Term investments'!$D:$D,ROW()),0)</f>
        <v/>
      </c>
      <c r="E149">
        <f>IFERROR(--INDEX('Term investments'!$E:$E,ROW()),0)</f>
        <v/>
      </c>
      <c r="F149">
        <f>IFERROR(--INDEX('Term investments'!$F:$F,ROW()),0)</f>
        <v/>
      </c>
      <c r="G149">
        <f>IFERROR(IF(--INDEX('Term investments'!$G:$G,ROW())&gt;=1,--INDEX('Term investments'!$G:$G,ROW())/100,--INDEX('Term investments'!$G:$G,ROW())),0)</f>
        <v/>
      </c>
      <c r="H149">
        <f>IFERROR(--INDEX('Term investments'!$H:$H,ROW()),0)</f>
        <v/>
      </c>
      <c r="I149">
        <f>IF(ISNUMBER(INDEX('Term investments'!$G:$G,ROW())),1,0)</f>
        <v/>
      </c>
      <c r="J149">
        <f>TRIM(SUBSTITUTE(INDEX('Call accounts and MMFs'!$A:$A,ROW())&amp;""," "," "))</f>
        <v/>
      </c>
      <c r="K149">
        <f>TRIM(SUBSTITUTE(INDEX('Call accounts and MMFs'!$B:$B,ROW())&amp;""," "," "))</f>
        <v/>
      </c>
      <c r="L149">
        <f>TRIM(SUBSTITUTE(INDEX('Call accounts and MMFs'!$C:$C,ROW())&amp;""," "," "))</f>
        <v/>
      </c>
      <c r="M149">
        <f>IFERROR(--INDEX('Call accounts and MMFs'!$D:$D,ROW()),0)</f>
        <v/>
      </c>
      <c r="N149">
        <f>IFERROR(IF(--INDEX('Call accounts and MMFs'!$E:$E,ROW())&gt;=1,--INDEX('Call accounts and MMFs'!$E:$E,ROW())/100,--INDEX('Call accounts and MMFs'!$E:$E,ROW())),0)</f>
        <v/>
      </c>
      <c r="O149">
        <f>IFERROR(--INDEX('Call accounts and MMFs'!$F:$F,ROW()),0)</f>
        <v/>
      </c>
      <c r="P149">
        <f>IF(ISNUMBER(INDEX('Call accounts and MMFs'!$E:$E,ROW())),1,0)</f>
        <v/>
      </c>
      <c r="Q149">
        <f>TRIM(SUBSTITUTE(INDEX('Pooled funds'!$B:$B,ROW())&amp;""," "," "))</f>
        <v/>
      </c>
      <c r="R149">
        <f>IFERROR(--INDEX('Pooled funds'!$C:$C,ROW()),0)</f>
        <v/>
      </c>
      <c r="S149">
        <f>IFERROR(--INDEX('Pooled funds'!$D:$D,ROW()),0)</f>
        <v/>
      </c>
      <c r="T149">
        <f>IFERROR(IF(--INDEX('Pooled funds'!$E:$E,ROW())&gt;=1,--INDEX('Pooled funds'!$E:$E,ROW())/100,--INDEX('Pooled funds'!$E:$E,ROW())),0)</f>
        <v/>
      </c>
      <c r="U149">
        <f>IF(ISNUMBER(INDEX('Pooled funds'!$E:$E,ROW())),1,0)</f>
        <v/>
      </c>
      <c r="V149">
        <f>TRIM(SUBSTITUTE(INDEX('Loans'!$A:$A,ROW())&amp;""," "," "))</f>
        <v/>
      </c>
      <c r="W149">
        <f>TRIM(SUBSTITUTE(INDEX('Loans'!$B:$B,ROW())&amp;""," "," "))</f>
        <v/>
      </c>
      <c r="X149">
        <f>TRIM(SUBSTITUTE(INDEX('Loans'!$C:$C,ROW())&amp;""," "," "))</f>
        <v/>
      </c>
      <c r="Y149">
        <f>IFERROR(--INDEX('Loans'!$D:$D,ROW()),0)</f>
        <v/>
      </c>
      <c r="Z149">
        <f>IFERROR(--INDEX('Loans'!$E:$E,ROW()),0)</f>
        <v/>
      </c>
      <c r="AA149">
        <f>IFERROR(--INDEX('Loans'!$F:$F,ROW()),0)</f>
        <v/>
      </c>
      <c r="AB149">
        <f>IFERROR(IF(--INDEX('Loans'!$G:$G,ROW())&gt;=1,--INDEX('Loans'!$G:$G,ROW())/100,--INDEX('Loans'!$G:$G,ROW())),0)</f>
        <v/>
      </c>
      <c r="AC149">
        <f>TRIM(SUBSTITUTE(INDEX('Loans'!$H:$H,ROW())&amp;""," "," "))</f>
        <v/>
      </c>
      <c r="AD149">
        <f>TRIM(SUBSTITUTE(INDEX('Loans'!$I:$I,ROW())&amp;""," "," "))</f>
        <v/>
      </c>
      <c r="AE149">
        <f>IFERROR(--INDEX('Loans'!$J:$J,ROW()),0)</f>
        <v/>
      </c>
      <c r="AF149">
        <f>TRIM(SUBSTITUTE(INDEX('Loans'!$K:$K,ROW())&amp;""," "," "))</f>
        <v/>
      </c>
      <c r="AG149">
        <f>IFERROR(--INDEX('Loans'!$L:$L,ROW()),0)</f>
        <v/>
      </c>
      <c r="AH149">
        <f>IF(ISNUMBER(INDEX('Loans'!$G:$G,ROW())),1,0)</f>
        <v/>
      </c>
    </row>
    <row r="150">
      <c r="A150">
        <f>TRIM(SUBSTITUTE(INDEX('Term investments'!$A:$A,ROW())&amp;""," "," "))</f>
        <v/>
      </c>
      <c r="B150">
        <f>TRIM(SUBSTITUTE(INDEX('Term investments'!$B:$B,ROW())&amp;""," "," "))</f>
        <v/>
      </c>
      <c r="C150">
        <f>TRIM(SUBSTITUTE(INDEX('Term investments'!$C:$C,ROW())&amp;""," "," "))</f>
        <v/>
      </c>
      <c r="D150">
        <f>IFERROR(--INDEX('Term investments'!$D:$D,ROW()),0)</f>
        <v/>
      </c>
      <c r="E150">
        <f>IFERROR(--INDEX('Term investments'!$E:$E,ROW()),0)</f>
        <v/>
      </c>
      <c r="F150">
        <f>IFERROR(--INDEX('Term investments'!$F:$F,ROW()),0)</f>
        <v/>
      </c>
      <c r="G150">
        <f>IFERROR(IF(--INDEX('Term investments'!$G:$G,ROW())&gt;=1,--INDEX('Term investments'!$G:$G,ROW())/100,--INDEX('Term investments'!$G:$G,ROW())),0)</f>
        <v/>
      </c>
      <c r="H150">
        <f>IFERROR(--INDEX('Term investments'!$H:$H,ROW()),0)</f>
        <v/>
      </c>
      <c r="I150">
        <f>IF(ISNUMBER(INDEX('Term investments'!$G:$G,ROW())),1,0)</f>
        <v/>
      </c>
      <c r="J150">
        <f>TRIM(SUBSTITUTE(INDEX('Call accounts and MMFs'!$A:$A,ROW())&amp;""," "," "))</f>
        <v/>
      </c>
      <c r="K150">
        <f>TRIM(SUBSTITUTE(INDEX('Call accounts and MMFs'!$B:$B,ROW())&amp;""," "," "))</f>
        <v/>
      </c>
      <c r="L150">
        <f>TRIM(SUBSTITUTE(INDEX('Call accounts and MMFs'!$C:$C,ROW())&amp;""," "," "))</f>
        <v/>
      </c>
      <c r="M150">
        <f>IFERROR(--INDEX('Call accounts and MMFs'!$D:$D,ROW()),0)</f>
        <v/>
      </c>
      <c r="N150">
        <f>IFERROR(IF(--INDEX('Call accounts and MMFs'!$E:$E,ROW())&gt;=1,--INDEX('Call accounts and MMFs'!$E:$E,ROW())/100,--INDEX('Call accounts and MMFs'!$E:$E,ROW())),0)</f>
        <v/>
      </c>
      <c r="O150">
        <f>IFERROR(--INDEX('Call accounts and MMFs'!$F:$F,ROW()),0)</f>
        <v/>
      </c>
      <c r="P150">
        <f>IF(ISNUMBER(INDEX('Call accounts and MMFs'!$E:$E,ROW())),1,0)</f>
        <v/>
      </c>
      <c r="Q150">
        <f>TRIM(SUBSTITUTE(INDEX('Pooled funds'!$B:$B,ROW())&amp;""," "," "))</f>
        <v/>
      </c>
      <c r="R150">
        <f>IFERROR(--INDEX('Pooled funds'!$C:$C,ROW()),0)</f>
        <v/>
      </c>
      <c r="S150">
        <f>IFERROR(--INDEX('Pooled funds'!$D:$D,ROW()),0)</f>
        <v/>
      </c>
      <c r="T150">
        <f>IFERROR(IF(--INDEX('Pooled funds'!$E:$E,ROW())&gt;=1,--INDEX('Pooled funds'!$E:$E,ROW())/100,--INDEX('Pooled funds'!$E:$E,ROW())),0)</f>
        <v/>
      </c>
      <c r="U150">
        <f>IF(ISNUMBER(INDEX('Pooled funds'!$E:$E,ROW())),1,0)</f>
        <v/>
      </c>
      <c r="V150">
        <f>TRIM(SUBSTITUTE(INDEX('Loans'!$A:$A,ROW())&amp;""," "," "))</f>
        <v/>
      </c>
      <c r="W150">
        <f>TRIM(SUBSTITUTE(INDEX('Loans'!$B:$B,ROW())&amp;""," "," "))</f>
        <v/>
      </c>
      <c r="X150">
        <f>TRIM(SUBSTITUTE(INDEX('Loans'!$C:$C,ROW())&amp;""," "," "))</f>
        <v/>
      </c>
      <c r="Y150">
        <f>IFERROR(--INDEX('Loans'!$D:$D,ROW()),0)</f>
        <v/>
      </c>
      <c r="Z150">
        <f>IFERROR(--INDEX('Loans'!$E:$E,ROW()),0)</f>
        <v/>
      </c>
      <c r="AA150">
        <f>IFERROR(--INDEX('Loans'!$F:$F,ROW()),0)</f>
        <v/>
      </c>
      <c r="AB150">
        <f>IFERROR(IF(--INDEX('Loans'!$G:$G,ROW())&gt;=1,--INDEX('Loans'!$G:$G,ROW())/100,--INDEX('Loans'!$G:$G,ROW())),0)</f>
        <v/>
      </c>
      <c r="AC150">
        <f>TRIM(SUBSTITUTE(INDEX('Loans'!$H:$H,ROW())&amp;""," "," "))</f>
        <v/>
      </c>
      <c r="AD150">
        <f>TRIM(SUBSTITUTE(INDEX('Loans'!$I:$I,ROW())&amp;""," "," "))</f>
        <v/>
      </c>
      <c r="AE150">
        <f>IFERROR(--INDEX('Loans'!$J:$J,ROW()),0)</f>
        <v/>
      </c>
      <c r="AF150">
        <f>TRIM(SUBSTITUTE(INDEX('Loans'!$K:$K,ROW())&amp;""," "," "))</f>
        <v/>
      </c>
      <c r="AG150">
        <f>IFERROR(--INDEX('Loans'!$L:$L,ROW()),0)</f>
        <v/>
      </c>
      <c r="AH150">
        <f>IF(ISNUMBER(INDEX('Loans'!$G:$G,ROW())),1,0)</f>
        <v/>
      </c>
    </row>
    <row r="151">
      <c r="A151">
        <f>TRIM(SUBSTITUTE(INDEX('Term investments'!$A:$A,ROW())&amp;""," "," "))</f>
        <v/>
      </c>
      <c r="B151">
        <f>TRIM(SUBSTITUTE(INDEX('Term investments'!$B:$B,ROW())&amp;""," "," "))</f>
        <v/>
      </c>
      <c r="C151">
        <f>TRIM(SUBSTITUTE(INDEX('Term investments'!$C:$C,ROW())&amp;""," "," "))</f>
        <v/>
      </c>
      <c r="D151">
        <f>IFERROR(--INDEX('Term investments'!$D:$D,ROW()),0)</f>
        <v/>
      </c>
      <c r="E151">
        <f>IFERROR(--INDEX('Term investments'!$E:$E,ROW()),0)</f>
        <v/>
      </c>
      <c r="F151">
        <f>IFERROR(--INDEX('Term investments'!$F:$F,ROW()),0)</f>
        <v/>
      </c>
      <c r="G151">
        <f>IFERROR(IF(--INDEX('Term investments'!$G:$G,ROW())&gt;=1,--INDEX('Term investments'!$G:$G,ROW())/100,--INDEX('Term investments'!$G:$G,ROW())),0)</f>
        <v/>
      </c>
      <c r="H151">
        <f>IFERROR(--INDEX('Term investments'!$H:$H,ROW()),0)</f>
        <v/>
      </c>
      <c r="I151">
        <f>IF(ISNUMBER(INDEX('Term investments'!$G:$G,ROW())),1,0)</f>
        <v/>
      </c>
      <c r="J151">
        <f>TRIM(SUBSTITUTE(INDEX('Call accounts and MMFs'!$A:$A,ROW())&amp;""," "," "))</f>
        <v/>
      </c>
      <c r="K151">
        <f>TRIM(SUBSTITUTE(INDEX('Call accounts and MMFs'!$B:$B,ROW())&amp;""," "," "))</f>
        <v/>
      </c>
      <c r="L151">
        <f>TRIM(SUBSTITUTE(INDEX('Call accounts and MMFs'!$C:$C,ROW())&amp;""," "," "))</f>
        <v/>
      </c>
      <c r="M151">
        <f>IFERROR(--INDEX('Call accounts and MMFs'!$D:$D,ROW()),0)</f>
        <v/>
      </c>
      <c r="N151">
        <f>IFERROR(IF(--INDEX('Call accounts and MMFs'!$E:$E,ROW())&gt;=1,--INDEX('Call accounts and MMFs'!$E:$E,ROW())/100,--INDEX('Call accounts and MMFs'!$E:$E,ROW())),0)</f>
        <v/>
      </c>
      <c r="O151">
        <f>IFERROR(--INDEX('Call accounts and MMFs'!$F:$F,ROW()),0)</f>
        <v/>
      </c>
      <c r="P151">
        <f>IF(ISNUMBER(INDEX('Call accounts and MMFs'!$E:$E,ROW())),1,0)</f>
        <v/>
      </c>
      <c r="Q151">
        <f>TRIM(SUBSTITUTE(INDEX('Pooled funds'!$B:$B,ROW())&amp;""," "," "))</f>
        <v/>
      </c>
      <c r="R151">
        <f>IFERROR(--INDEX('Pooled funds'!$C:$C,ROW()),0)</f>
        <v/>
      </c>
      <c r="S151">
        <f>IFERROR(--INDEX('Pooled funds'!$D:$D,ROW()),0)</f>
        <v/>
      </c>
      <c r="T151">
        <f>IFERROR(IF(--INDEX('Pooled funds'!$E:$E,ROW())&gt;=1,--INDEX('Pooled funds'!$E:$E,ROW())/100,--INDEX('Pooled funds'!$E:$E,ROW())),0)</f>
        <v/>
      </c>
      <c r="U151">
        <f>IF(ISNUMBER(INDEX('Pooled funds'!$E:$E,ROW())),1,0)</f>
        <v/>
      </c>
      <c r="V151">
        <f>TRIM(SUBSTITUTE(INDEX('Loans'!$A:$A,ROW())&amp;""," "," "))</f>
        <v/>
      </c>
      <c r="W151">
        <f>TRIM(SUBSTITUTE(INDEX('Loans'!$B:$B,ROW())&amp;""," "," "))</f>
        <v/>
      </c>
      <c r="X151">
        <f>TRIM(SUBSTITUTE(INDEX('Loans'!$C:$C,ROW())&amp;""," "," "))</f>
        <v/>
      </c>
      <c r="Y151">
        <f>IFERROR(--INDEX('Loans'!$D:$D,ROW()),0)</f>
        <v/>
      </c>
      <c r="Z151">
        <f>IFERROR(--INDEX('Loans'!$E:$E,ROW()),0)</f>
        <v/>
      </c>
      <c r="AA151">
        <f>IFERROR(--INDEX('Loans'!$F:$F,ROW()),0)</f>
        <v/>
      </c>
      <c r="AB151">
        <f>IFERROR(IF(--INDEX('Loans'!$G:$G,ROW())&gt;=1,--INDEX('Loans'!$G:$G,ROW())/100,--INDEX('Loans'!$G:$G,ROW())),0)</f>
        <v/>
      </c>
      <c r="AC151">
        <f>TRIM(SUBSTITUTE(INDEX('Loans'!$H:$H,ROW())&amp;""," "," "))</f>
        <v/>
      </c>
      <c r="AD151">
        <f>TRIM(SUBSTITUTE(INDEX('Loans'!$I:$I,ROW())&amp;""," "," "))</f>
        <v/>
      </c>
      <c r="AE151">
        <f>IFERROR(--INDEX('Loans'!$J:$J,ROW()),0)</f>
        <v/>
      </c>
      <c r="AF151">
        <f>TRIM(SUBSTITUTE(INDEX('Loans'!$K:$K,ROW())&amp;""," "," "))</f>
        <v/>
      </c>
      <c r="AG151">
        <f>IFERROR(--INDEX('Loans'!$L:$L,ROW()),0)</f>
        <v/>
      </c>
      <c r="AH151">
        <f>IF(ISNUMBER(INDEX('Loans'!$G:$G,ROW())),1,0)</f>
        <v/>
      </c>
    </row>
    <row r="152">
      <c r="A152">
        <f>TRIM(SUBSTITUTE(INDEX('Term investments'!$A:$A,ROW())&amp;""," "," "))</f>
        <v/>
      </c>
      <c r="B152">
        <f>TRIM(SUBSTITUTE(INDEX('Term investments'!$B:$B,ROW())&amp;""," "," "))</f>
        <v/>
      </c>
      <c r="C152">
        <f>TRIM(SUBSTITUTE(INDEX('Term investments'!$C:$C,ROW())&amp;""," "," "))</f>
        <v/>
      </c>
      <c r="D152">
        <f>IFERROR(--INDEX('Term investments'!$D:$D,ROW()),0)</f>
        <v/>
      </c>
      <c r="E152">
        <f>IFERROR(--INDEX('Term investments'!$E:$E,ROW()),0)</f>
        <v/>
      </c>
      <c r="F152">
        <f>IFERROR(--INDEX('Term investments'!$F:$F,ROW()),0)</f>
        <v/>
      </c>
      <c r="G152">
        <f>IFERROR(IF(--INDEX('Term investments'!$G:$G,ROW())&gt;=1,--INDEX('Term investments'!$G:$G,ROW())/100,--INDEX('Term investments'!$G:$G,ROW())),0)</f>
        <v/>
      </c>
      <c r="H152">
        <f>IFERROR(--INDEX('Term investments'!$H:$H,ROW()),0)</f>
        <v/>
      </c>
      <c r="I152">
        <f>IF(ISNUMBER(INDEX('Term investments'!$G:$G,ROW())),1,0)</f>
        <v/>
      </c>
      <c r="J152">
        <f>TRIM(SUBSTITUTE(INDEX('Call accounts and MMFs'!$A:$A,ROW())&amp;""," "," "))</f>
        <v/>
      </c>
      <c r="K152">
        <f>TRIM(SUBSTITUTE(INDEX('Call accounts and MMFs'!$B:$B,ROW())&amp;""," "," "))</f>
        <v/>
      </c>
      <c r="L152">
        <f>TRIM(SUBSTITUTE(INDEX('Call accounts and MMFs'!$C:$C,ROW())&amp;""," "," "))</f>
        <v/>
      </c>
      <c r="M152">
        <f>IFERROR(--INDEX('Call accounts and MMFs'!$D:$D,ROW()),0)</f>
        <v/>
      </c>
      <c r="N152">
        <f>IFERROR(IF(--INDEX('Call accounts and MMFs'!$E:$E,ROW())&gt;=1,--INDEX('Call accounts and MMFs'!$E:$E,ROW())/100,--INDEX('Call accounts and MMFs'!$E:$E,ROW())),0)</f>
        <v/>
      </c>
      <c r="O152">
        <f>IFERROR(--INDEX('Call accounts and MMFs'!$F:$F,ROW()),0)</f>
        <v/>
      </c>
      <c r="P152">
        <f>IF(ISNUMBER(INDEX('Call accounts and MMFs'!$E:$E,ROW())),1,0)</f>
        <v/>
      </c>
      <c r="Q152">
        <f>TRIM(SUBSTITUTE(INDEX('Pooled funds'!$B:$B,ROW())&amp;""," "," "))</f>
        <v/>
      </c>
      <c r="R152">
        <f>IFERROR(--INDEX('Pooled funds'!$C:$C,ROW()),0)</f>
        <v/>
      </c>
      <c r="S152">
        <f>IFERROR(--INDEX('Pooled funds'!$D:$D,ROW()),0)</f>
        <v/>
      </c>
      <c r="T152">
        <f>IFERROR(IF(--INDEX('Pooled funds'!$E:$E,ROW())&gt;=1,--INDEX('Pooled funds'!$E:$E,ROW())/100,--INDEX('Pooled funds'!$E:$E,ROW())),0)</f>
        <v/>
      </c>
      <c r="U152">
        <f>IF(ISNUMBER(INDEX('Pooled funds'!$E:$E,ROW())),1,0)</f>
        <v/>
      </c>
      <c r="V152">
        <f>TRIM(SUBSTITUTE(INDEX('Loans'!$A:$A,ROW())&amp;""," "," "))</f>
        <v/>
      </c>
      <c r="W152">
        <f>TRIM(SUBSTITUTE(INDEX('Loans'!$B:$B,ROW())&amp;""," "," "))</f>
        <v/>
      </c>
      <c r="X152">
        <f>TRIM(SUBSTITUTE(INDEX('Loans'!$C:$C,ROW())&amp;""," "," "))</f>
        <v/>
      </c>
      <c r="Y152">
        <f>IFERROR(--INDEX('Loans'!$D:$D,ROW()),0)</f>
        <v/>
      </c>
      <c r="Z152">
        <f>IFERROR(--INDEX('Loans'!$E:$E,ROW()),0)</f>
        <v/>
      </c>
      <c r="AA152">
        <f>IFERROR(--INDEX('Loans'!$F:$F,ROW()),0)</f>
        <v/>
      </c>
      <c r="AB152">
        <f>IFERROR(IF(--INDEX('Loans'!$G:$G,ROW())&gt;=1,--INDEX('Loans'!$G:$G,ROW())/100,--INDEX('Loans'!$G:$G,ROW())),0)</f>
        <v/>
      </c>
      <c r="AC152">
        <f>TRIM(SUBSTITUTE(INDEX('Loans'!$H:$H,ROW())&amp;""," "," "))</f>
        <v/>
      </c>
      <c r="AD152">
        <f>TRIM(SUBSTITUTE(INDEX('Loans'!$I:$I,ROW())&amp;""," "," "))</f>
        <v/>
      </c>
      <c r="AE152">
        <f>IFERROR(--INDEX('Loans'!$J:$J,ROW()),0)</f>
        <v/>
      </c>
      <c r="AF152">
        <f>TRIM(SUBSTITUTE(INDEX('Loans'!$K:$K,ROW())&amp;""," "," "))</f>
        <v/>
      </c>
      <c r="AG152">
        <f>IFERROR(--INDEX('Loans'!$L:$L,ROW()),0)</f>
        <v/>
      </c>
      <c r="AH152">
        <f>IF(ISNUMBER(INDEX('Loans'!$G:$G,ROW())),1,0)</f>
        <v/>
      </c>
    </row>
    <row r="153">
      <c r="A153">
        <f>TRIM(SUBSTITUTE(INDEX('Term investments'!$A:$A,ROW())&amp;""," "," "))</f>
        <v/>
      </c>
      <c r="B153">
        <f>TRIM(SUBSTITUTE(INDEX('Term investments'!$B:$B,ROW())&amp;""," "," "))</f>
        <v/>
      </c>
      <c r="C153">
        <f>TRIM(SUBSTITUTE(INDEX('Term investments'!$C:$C,ROW())&amp;""," "," "))</f>
        <v/>
      </c>
      <c r="D153">
        <f>IFERROR(--INDEX('Term investments'!$D:$D,ROW()),0)</f>
        <v/>
      </c>
      <c r="E153">
        <f>IFERROR(--INDEX('Term investments'!$E:$E,ROW()),0)</f>
        <v/>
      </c>
      <c r="F153">
        <f>IFERROR(--INDEX('Term investments'!$F:$F,ROW()),0)</f>
        <v/>
      </c>
      <c r="G153">
        <f>IFERROR(IF(--INDEX('Term investments'!$G:$G,ROW())&gt;=1,--INDEX('Term investments'!$G:$G,ROW())/100,--INDEX('Term investments'!$G:$G,ROW())),0)</f>
        <v/>
      </c>
      <c r="H153">
        <f>IFERROR(--INDEX('Term investments'!$H:$H,ROW()),0)</f>
        <v/>
      </c>
      <c r="I153">
        <f>IF(ISNUMBER(INDEX('Term investments'!$G:$G,ROW())),1,0)</f>
        <v/>
      </c>
      <c r="J153">
        <f>TRIM(SUBSTITUTE(INDEX('Call accounts and MMFs'!$A:$A,ROW())&amp;""," "," "))</f>
        <v/>
      </c>
      <c r="K153">
        <f>TRIM(SUBSTITUTE(INDEX('Call accounts and MMFs'!$B:$B,ROW())&amp;""," "," "))</f>
        <v/>
      </c>
      <c r="L153">
        <f>TRIM(SUBSTITUTE(INDEX('Call accounts and MMFs'!$C:$C,ROW())&amp;""," "," "))</f>
        <v/>
      </c>
      <c r="M153">
        <f>IFERROR(--INDEX('Call accounts and MMFs'!$D:$D,ROW()),0)</f>
        <v/>
      </c>
      <c r="N153">
        <f>IFERROR(IF(--INDEX('Call accounts and MMFs'!$E:$E,ROW())&gt;=1,--INDEX('Call accounts and MMFs'!$E:$E,ROW())/100,--INDEX('Call accounts and MMFs'!$E:$E,ROW())),0)</f>
        <v/>
      </c>
      <c r="O153">
        <f>IFERROR(--INDEX('Call accounts and MMFs'!$F:$F,ROW()),0)</f>
        <v/>
      </c>
      <c r="P153">
        <f>IF(ISNUMBER(INDEX('Call accounts and MMFs'!$E:$E,ROW())),1,0)</f>
        <v/>
      </c>
      <c r="Q153">
        <f>TRIM(SUBSTITUTE(INDEX('Pooled funds'!$B:$B,ROW())&amp;""," "," "))</f>
        <v/>
      </c>
      <c r="R153">
        <f>IFERROR(--INDEX('Pooled funds'!$C:$C,ROW()),0)</f>
        <v/>
      </c>
      <c r="S153">
        <f>IFERROR(--INDEX('Pooled funds'!$D:$D,ROW()),0)</f>
        <v/>
      </c>
      <c r="T153">
        <f>IFERROR(IF(--INDEX('Pooled funds'!$E:$E,ROW())&gt;=1,--INDEX('Pooled funds'!$E:$E,ROW())/100,--INDEX('Pooled funds'!$E:$E,ROW())),0)</f>
        <v/>
      </c>
      <c r="U153">
        <f>IF(ISNUMBER(INDEX('Pooled funds'!$E:$E,ROW())),1,0)</f>
        <v/>
      </c>
      <c r="V153">
        <f>TRIM(SUBSTITUTE(INDEX('Loans'!$A:$A,ROW())&amp;""," "," "))</f>
        <v/>
      </c>
      <c r="W153">
        <f>TRIM(SUBSTITUTE(INDEX('Loans'!$B:$B,ROW())&amp;""," "," "))</f>
        <v/>
      </c>
      <c r="X153">
        <f>TRIM(SUBSTITUTE(INDEX('Loans'!$C:$C,ROW())&amp;""," "," "))</f>
        <v/>
      </c>
      <c r="Y153">
        <f>IFERROR(--INDEX('Loans'!$D:$D,ROW()),0)</f>
        <v/>
      </c>
      <c r="Z153">
        <f>IFERROR(--INDEX('Loans'!$E:$E,ROW()),0)</f>
        <v/>
      </c>
      <c r="AA153">
        <f>IFERROR(--INDEX('Loans'!$F:$F,ROW()),0)</f>
        <v/>
      </c>
      <c r="AB153">
        <f>IFERROR(IF(--INDEX('Loans'!$G:$G,ROW())&gt;=1,--INDEX('Loans'!$G:$G,ROW())/100,--INDEX('Loans'!$G:$G,ROW())),0)</f>
        <v/>
      </c>
      <c r="AC153">
        <f>TRIM(SUBSTITUTE(INDEX('Loans'!$H:$H,ROW())&amp;""," "," "))</f>
        <v/>
      </c>
      <c r="AD153">
        <f>TRIM(SUBSTITUTE(INDEX('Loans'!$I:$I,ROW())&amp;""," "," "))</f>
        <v/>
      </c>
      <c r="AE153">
        <f>IFERROR(--INDEX('Loans'!$J:$J,ROW()),0)</f>
        <v/>
      </c>
      <c r="AF153">
        <f>TRIM(SUBSTITUTE(INDEX('Loans'!$K:$K,ROW())&amp;""," "," "))</f>
        <v/>
      </c>
      <c r="AG153">
        <f>IFERROR(--INDEX('Loans'!$L:$L,ROW()),0)</f>
        <v/>
      </c>
      <c r="AH153">
        <f>IF(ISNUMBER(INDEX('Loans'!$G:$G,ROW())),1,0)</f>
        <v/>
      </c>
    </row>
    <row r="154">
      <c r="A154">
        <f>TRIM(SUBSTITUTE(INDEX('Term investments'!$A:$A,ROW())&amp;""," "," "))</f>
        <v/>
      </c>
      <c r="B154">
        <f>TRIM(SUBSTITUTE(INDEX('Term investments'!$B:$B,ROW())&amp;""," "," "))</f>
        <v/>
      </c>
      <c r="C154">
        <f>TRIM(SUBSTITUTE(INDEX('Term investments'!$C:$C,ROW())&amp;""," "," "))</f>
        <v/>
      </c>
      <c r="D154">
        <f>IFERROR(--INDEX('Term investments'!$D:$D,ROW()),0)</f>
        <v/>
      </c>
      <c r="E154">
        <f>IFERROR(--INDEX('Term investments'!$E:$E,ROW()),0)</f>
        <v/>
      </c>
      <c r="F154">
        <f>IFERROR(--INDEX('Term investments'!$F:$F,ROW()),0)</f>
        <v/>
      </c>
      <c r="G154">
        <f>IFERROR(IF(--INDEX('Term investments'!$G:$G,ROW())&gt;=1,--INDEX('Term investments'!$G:$G,ROW())/100,--INDEX('Term investments'!$G:$G,ROW())),0)</f>
        <v/>
      </c>
      <c r="H154">
        <f>IFERROR(--INDEX('Term investments'!$H:$H,ROW()),0)</f>
        <v/>
      </c>
      <c r="I154">
        <f>IF(ISNUMBER(INDEX('Term investments'!$G:$G,ROW())),1,0)</f>
        <v/>
      </c>
      <c r="J154">
        <f>TRIM(SUBSTITUTE(INDEX('Call accounts and MMFs'!$A:$A,ROW())&amp;""," "," "))</f>
        <v/>
      </c>
      <c r="K154">
        <f>TRIM(SUBSTITUTE(INDEX('Call accounts and MMFs'!$B:$B,ROW())&amp;""," "," "))</f>
        <v/>
      </c>
      <c r="L154">
        <f>TRIM(SUBSTITUTE(INDEX('Call accounts and MMFs'!$C:$C,ROW())&amp;""," "," "))</f>
        <v/>
      </c>
      <c r="M154">
        <f>IFERROR(--INDEX('Call accounts and MMFs'!$D:$D,ROW()),0)</f>
        <v/>
      </c>
      <c r="N154">
        <f>IFERROR(IF(--INDEX('Call accounts and MMFs'!$E:$E,ROW())&gt;=1,--INDEX('Call accounts and MMFs'!$E:$E,ROW())/100,--INDEX('Call accounts and MMFs'!$E:$E,ROW())),0)</f>
        <v/>
      </c>
      <c r="O154">
        <f>IFERROR(--INDEX('Call accounts and MMFs'!$F:$F,ROW()),0)</f>
        <v/>
      </c>
      <c r="P154">
        <f>IF(ISNUMBER(INDEX('Call accounts and MMFs'!$E:$E,ROW())),1,0)</f>
        <v/>
      </c>
      <c r="Q154">
        <f>TRIM(SUBSTITUTE(INDEX('Pooled funds'!$B:$B,ROW())&amp;""," "," "))</f>
        <v/>
      </c>
      <c r="R154">
        <f>IFERROR(--INDEX('Pooled funds'!$C:$C,ROW()),0)</f>
        <v/>
      </c>
      <c r="S154">
        <f>IFERROR(--INDEX('Pooled funds'!$D:$D,ROW()),0)</f>
        <v/>
      </c>
      <c r="T154">
        <f>IFERROR(IF(--INDEX('Pooled funds'!$E:$E,ROW())&gt;=1,--INDEX('Pooled funds'!$E:$E,ROW())/100,--INDEX('Pooled funds'!$E:$E,ROW())),0)</f>
        <v/>
      </c>
      <c r="U154">
        <f>IF(ISNUMBER(INDEX('Pooled funds'!$E:$E,ROW())),1,0)</f>
        <v/>
      </c>
      <c r="V154">
        <f>TRIM(SUBSTITUTE(INDEX('Loans'!$A:$A,ROW())&amp;""," "," "))</f>
        <v/>
      </c>
      <c r="W154">
        <f>TRIM(SUBSTITUTE(INDEX('Loans'!$B:$B,ROW())&amp;""," "," "))</f>
        <v/>
      </c>
      <c r="X154">
        <f>TRIM(SUBSTITUTE(INDEX('Loans'!$C:$C,ROW())&amp;""," "," "))</f>
        <v/>
      </c>
      <c r="Y154">
        <f>IFERROR(--INDEX('Loans'!$D:$D,ROW()),0)</f>
        <v/>
      </c>
      <c r="Z154">
        <f>IFERROR(--INDEX('Loans'!$E:$E,ROW()),0)</f>
        <v/>
      </c>
      <c r="AA154">
        <f>IFERROR(--INDEX('Loans'!$F:$F,ROW()),0)</f>
        <v/>
      </c>
      <c r="AB154">
        <f>IFERROR(IF(--INDEX('Loans'!$G:$G,ROW())&gt;=1,--INDEX('Loans'!$G:$G,ROW())/100,--INDEX('Loans'!$G:$G,ROW())),0)</f>
        <v/>
      </c>
      <c r="AC154">
        <f>TRIM(SUBSTITUTE(INDEX('Loans'!$H:$H,ROW())&amp;""," "," "))</f>
        <v/>
      </c>
      <c r="AD154">
        <f>TRIM(SUBSTITUTE(INDEX('Loans'!$I:$I,ROW())&amp;""," "," "))</f>
        <v/>
      </c>
      <c r="AE154">
        <f>IFERROR(--INDEX('Loans'!$J:$J,ROW()),0)</f>
        <v/>
      </c>
      <c r="AF154">
        <f>TRIM(SUBSTITUTE(INDEX('Loans'!$K:$K,ROW())&amp;""," "," "))</f>
        <v/>
      </c>
      <c r="AG154">
        <f>IFERROR(--INDEX('Loans'!$L:$L,ROW()),0)</f>
        <v/>
      </c>
      <c r="AH154">
        <f>IF(ISNUMBER(INDEX('Loans'!$G:$G,ROW())),1,0)</f>
        <v/>
      </c>
    </row>
    <row r="155">
      <c r="A155">
        <f>TRIM(SUBSTITUTE(INDEX('Term investments'!$A:$A,ROW())&amp;""," "," "))</f>
        <v/>
      </c>
      <c r="B155">
        <f>TRIM(SUBSTITUTE(INDEX('Term investments'!$B:$B,ROW())&amp;""," "," "))</f>
        <v/>
      </c>
      <c r="C155">
        <f>TRIM(SUBSTITUTE(INDEX('Term investments'!$C:$C,ROW())&amp;""," "," "))</f>
        <v/>
      </c>
      <c r="D155">
        <f>IFERROR(--INDEX('Term investments'!$D:$D,ROW()),0)</f>
        <v/>
      </c>
      <c r="E155">
        <f>IFERROR(--INDEX('Term investments'!$E:$E,ROW()),0)</f>
        <v/>
      </c>
      <c r="F155">
        <f>IFERROR(--INDEX('Term investments'!$F:$F,ROW()),0)</f>
        <v/>
      </c>
      <c r="G155">
        <f>IFERROR(IF(--INDEX('Term investments'!$G:$G,ROW())&gt;=1,--INDEX('Term investments'!$G:$G,ROW())/100,--INDEX('Term investments'!$G:$G,ROW())),0)</f>
        <v/>
      </c>
      <c r="H155">
        <f>IFERROR(--INDEX('Term investments'!$H:$H,ROW()),0)</f>
        <v/>
      </c>
      <c r="I155">
        <f>IF(ISNUMBER(INDEX('Term investments'!$G:$G,ROW())),1,0)</f>
        <v/>
      </c>
      <c r="J155">
        <f>TRIM(SUBSTITUTE(INDEX('Call accounts and MMFs'!$A:$A,ROW())&amp;""," "," "))</f>
        <v/>
      </c>
      <c r="K155">
        <f>TRIM(SUBSTITUTE(INDEX('Call accounts and MMFs'!$B:$B,ROW())&amp;""," "," "))</f>
        <v/>
      </c>
      <c r="L155">
        <f>TRIM(SUBSTITUTE(INDEX('Call accounts and MMFs'!$C:$C,ROW())&amp;""," "," "))</f>
        <v/>
      </c>
      <c r="M155">
        <f>IFERROR(--INDEX('Call accounts and MMFs'!$D:$D,ROW()),0)</f>
        <v/>
      </c>
      <c r="N155">
        <f>IFERROR(IF(--INDEX('Call accounts and MMFs'!$E:$E,ROW())&gt;=1,--INDEX('Call accounts and MMFs'!$E:$E,ROW())/100,--INDEX('Call accounts and MMFs'!$E:$E,ROW())),0)</f>
        <v/>
      </c>
      <c r="O155">
        <f>IFERROR(--INDEX('Call accounts and MMFs'!$F:$F,ROW()),0)</f>
        <v/>
      </c>
      <c r="P155">
        <f>IF(ISNUMBER(INDEX('Call accounts and MMFs'!$E:$E,ROW())),1,0)</f>
        <v/>
      </c>
      <c r="Q155">
        <f>TRIM(SUBSTITUTE(INDEX('Pooled funds'!$B:$B,ROW())&amp;""," "," "))</f>
        <v/>
      </c>
      <c r="R155">
        <f>IFERROR(--INDEX('Pooled funds'!$C:$C,ROW()),0)</f>
        <v/>
      </c>
      <c r="S155">
        <f>IFERROR(--INDEX('Pooled funds'!$D:$D,ROW()),0)</f>
        <v/>
      </c>
      <c r="T155">
        <f>IFERROR(IF(--INDEX('Pooled funds'!$E:$E,ROW())&gt;=1,--INDEX('Pooled funds'!$E:$E,ROW())/100,--INDEX('Pooled funds'!$E:$E,ROW())),0)</f>
        <v/>
      </c>
      <c r="U155">
        <f>IF(ISNUMBER(INDEX('Pooled funds'!$E:$E,ROW())),1,0)</f>
        <v/>
      </c>
      <c r="V155">
        <f>TRIM(SUBSTITUTE(INDEX('Loans'!$A:$A,ROW())&amp;""," "," "))</f>
        <v/>
      </c>
      <c r="W155">
        <f>TRIM(SUBSTITUTE(INDEX('Loans'!$B:$B,ROW())&amp;""," "," "))</f>
        <v/>
      </c>
      <c r="X155">
        <f>TRIM(SUBSTITUTE(INDEX('Loans'!$C:$C,ROW())&amp;""," "," "))</f>
        <v/>
      </c>
      <c r="Y155">
        <f>IFERROR(--INDEX('Loans'!$D:$D,ROW()),0)</f>
        <v/>
      </c>
      <c r="Z155">
        <f>IFERROR(--INDEX('Loans'!$E:$E,ROW()),0)</f>
        <v/>
      </c>
      <c r="AA155">
        <f>IFERROR(--INDEX('Loans'!$F:$F,ROW()),0)</f>
        <v/>
      </c>
      <c r="AB155">
        <f>IFERROR(IF(--INDEX('Loans'!$G:$G,ROW())&gt;=1,--INDEX('Loans'!$G:$G,ROW())/100,--INDEX('Loans'!$G:$G,ROW())),0)</f>
        <v/>
      </c>
      <c r="AC155">
        <f>TRIM(SUBSTITUTE(INDEX('Loans'!$H:$H,ROW())&amp;""," "," "))</f>
        <v/>
      </c>
      <c r="AD155">
        <f>TRIM(SUBSTITUTE(INDEX('Loans'!$I:$I,ROW())&amp;""," "," "))</f>
        <v/>
      </c>
      <c r="AE155">
        <f>IFERROR(--INDEX('Loans'!$J:$J,ROW()),0)</f>
        <v/>
      </c>
      <c r="AF155">
        <f>TRIM(SUBSTITUTE(INDEX('Loans'!$K:$K,ROW())&amp;""," "," "))</f>
        <v/>
      </c>
      <c r="AG155">
        <f>IFERROR(--INDEX('Loans'!$L:$L,ROW()),0)</f>
        <v/>
      </c>
      <c r="AH155">
        <f>IF(ISNUMBER(INDEX('Loans'!$G:$G,ROW())),1,0)</f>
        <v/>
      </c>
    </row>
    <row r="156">
      <c r="A156">
        <f>TRIM(SUBSTITUTE(INDEX('Term investments'!$A:$A,ROW())&amp;""," "," "))</f>
        <v/>
      </c>
      <c r="B156">
        <f>TRIM(SUBSTITUTE(INDEX('Term investments'!$B:$B,ROW())&amp;""," "," "))</f>
        <v/>
      </c>
      <c r="C156">
        <f>TRIM(SUBSTITUTE(INDEX('Term investments'!$C:$C,ROW())&amp;""," "," "))</f>
        <v/>
      </c>
      <c r="D156">
        <f>IFERROR(--INDEX('Term investments'!$D:$D,ROW()),0)</f>
        <v/>
      </c>
      <c r="E156">
        <f>IFERROR(--INDEX('Term investments'!$E:$E,ROW()),0)</f>
        <v/>
      </c>
      <c r="F156">
        <f>IFERROR(--INDEX('Term investments'!$F:$F,ROW()),0)</f>
        <v/>
      </c>
      <c r="G156">
        <f>IFERROR(IF(--INDEX('Term investments'!$G:$G,ROW())&gt;=1,--INDEX('Term investments'!$G:$G,ROW())/100,--INDEX('Term investments'!$G:$G,ROW())),0)</f>
        <v/>
      </c>
      <c r="H156">
        <f>IFERROR(--INDEX('Term investments'!$H:$H,ROW()),0)</f>
        <v/>
      </c>
      <c r="I156">
        <f>IF(ISNUMBER(INDEX('Term investments'!$G:$G,ROW())),1,0)</f>
        <v/>
      </c>
      <c r="J156">
        <f>TRIM(SUBSTITUTE(INDEX('Call accounts and MMFs'!$A:$A,ROW())&amp;""," "," "))</f>
        <v/>
      </c>
      <c r="K156">
        <f>TRIM(SUBSTITUTE(INDEX('Call accounts and MMFs'!$B:$B,ROW())&amp;""," "," "))</f>
        <v/>
      </c>
      <c r="L156">
        <f>TRIM(SUBSTITUTE(INDEX('Call accounts and MMFs'!$C:$C,ROW())&amp;""," "," "))</f>
        <v/>
      </c>
      <c r="M156">
        <f>IFERROR(--INDEX('Call accounts and MMFs'!$D:$D,ROW()),0)</f>
        <v/>
      </c>
      <c r="N156">
        <f>IFERROR(IF(--INDEX('Call accounts and MMFs'!$E:$E,ROW())&gt;=1,--INDEX('Call accounts and MMFs'!$E:$E,ROW())/100,--INDEX('Call accounts and MMFs'!$E:$E,ROW())),0)</f>
        <v/>
      </c>
      <c r="O156">
        <f>IFERROR(--INDEX('Call accounts and MMFs'!$F:$F,ROW()),0)</f>
        <v/>
      </c>
      <c r="P156">
        <f>IF(ISNUMBER(INDEX('Call accounts and MMFs'!$E:$E,ROW())),1,0)</f>
        <v/>
      </c>
      <c r="Q156">
        <f>TRIM(SUBSTITUTE(INDEX('Pooled funds'!$B:$B,ROW())&amp;""," "," "))</f>
        <v/>
      </c>
      <c r="R156">
        <f>IFERROR(--INDEX('Pooled funds'!$C:$C,ROW()),0)</f>
        <v/>
      </c>
      <c r="S156">
        <f>IFERROR(--INDEX('Pooled funds'!$D:$D,ROW()),0)</f>
        <v/>
      </c>
      <c r="T156">
        <f>IFERROR(IF(--INDEX('Pooled funds'!$E:$E,ROW())&gt;=1,--INDEX('Pooled funds'!$E:$E,ROW())/100,--INDEX('Pooled funds'!$E:$E,ROW())),0)</f>
        <v/>
      </c>
      <c r="U156">
        <f>IF(ISNUMBER(INDEX('Pooled funds'!$E:$E,ROW())),1,0)</f>
        <v/>
      </c>
      <c r="V156">
        <f>TRIM(SUBSTITUTE(INDEX('Loans'!$A:$A,ROW())&amp;""," "," "))</f>
        <v/>
      </c>
      <c r="W156">
        <f>TRIM(SUBSTITUTE(INDEX('Loans'!$B:$B,ROW())&amp;""," "," "))</f>
        <v/>
      </c>
      <c r="X156">
        <f>TRIM(SUBSTITUTE(INDEX('Loans'!$C:$C,ROW())&amp;""," "," "))</f>
        <v/>
      </c>
      <c r="Y156">
        <f>IFERROR(--INDEX('Loans'!$D:$D,ROW()),0)</f>
        <v/>
      </c>
      <c r="Z156">
        <f>IFERROR(--INDEX('Loans'!$E:$E,ROW()),0)</f>
        <v/>
      </c>
      <c r="AA156">
        <f>IFERROR(--INDEX('Loans'!$F:$F,ROW()),0)</f>
        <v/>
      </c>
      <c r="AB156">
        <f>IFERROR(IF(--INDEX('Loans'!$G:$G,ROW())&gt;=1,--INDEX('Loans'!$G:$G,ROW())/100,--INDEX('Loans'!$G:$G,ROW())),0)</f>
        <v/>
      </c>
      <c r="AC156">
        <f>TRIM(SUBSTITUTE(INDEX('Loans'!$H:$H,ROW())&amp;""," "," "))</f>
        <v/>
      </c>
      <c r="AD156">
        <f>TRIM(SUBSTITUTE(INDEX('Loans'!$I:$I,ROW())&amp;""," "," "))</f>
        <v/>
      </c>
      <c r="AE156">
        <f>IFERROR(--INDEX('Loans'!$J:$J,ROW()),0)</f>
        <v/>
      </c>
      <c r="AF156">
        <f>TRIM(SUBSTITUTE(INDEX('Loans'!$K:$K,ROW())&amp;""," "," "))</f>
        <v/>
      </c>
      <c r="AG156">
        <f>IFERROR(--INDEX('Loans'!$L:$L,ROW()),0)</f>
        <v/>
      </c>
      <c r="AH156">
        <f>IF(ISNUMBER(INDEX('Loans'!$G:$G,ROW())),1,0)</f>
        <v/>
      </c>
    </row>
    <row r="157">
      <c r="A157">
        <f>TRIM(SUBSTITUTE(INDEX('Term investments'!$A:$A,ROW())&amp;""," "," "))</f>
        <v/>
      </c>
      <c r="B157">
        <f>TRIM(SUBSTITUTE(INDEX('Term investments'!$B:$B,ROW())&amp;""," "," "))</f>
        <v/>
      </c>
      <c r="C157">
        <f>TRIM(SUBSTITUTE(INDEX('Term investments'!$C:$C,ROW())&amp;""," "," "))</f>
        <v/>
      </c>
      <c r="D157">
        <f>IFERROR(--INDEX('Term investments'!$D:$D,ROW()),0)</f>
        <v/>
      </c>
      <c r="E157">
        <f>IFERROR(--INDEX('Term investments'!$E:$E,ROW()),0)</f>
        <v/>
      </c>
      <c r="F157">
        <f>IFERROR(--INDEX('Term investments'!$F:$F,ROW()),0)</f>
        <v/>
      </c>
      <c r="G157">
        <f>IFERROR(IF(--INDEX('Term investments'!$G:$G,ROW())&gt;=1,--INDEX('Term investments'!$G:$G,ROW())/100,--INDEX('Term investments'!$G:$G,ROW())),0)</f>
        <v/>
      </c>
      <c r="H157">
        <f>IFERROR(--INDEX('Term investments'!$H:$H,ROW()),0)</f>
        <v/>
      </c>
      <c r="I157">
        <f>IF(ISNUMBER(INDEX('Term investments'!$G:$G,ROW())),1,0)</f>
        <v/>
      </c>
      <c r="J157">
        <f>TRIM(SUBSTITUTE(INDEX('Call accounts and MMFs'!$A:$A,ROW())&amp;""," "," "))</f>
        <v/>
      </c>
      <c r="K157">
        <f>TRIM(SUBSTITUTE(INDEX('Call accounts and MMFs'!$B:$B,ROW())&amp;""," "," "))</f>
        <v/>
      </c>
      <c r="L157">
        <f>TRIM(SUBSTITUTE(INDEX('Call accounts and MMFs'!$C:$C,ROW())&amp;""," "," "))</f>
        <v/>
      </c>
      <c r="M157">
        <f>IFERROR(--INDEX('Call accounts and MMFs'!$D:$D,ROW()),0)</f>
        <v/>
      </c>
      <c r="N157">
        <f>IFERROR(IF(--INDEX('Call accounts and MMFs'!$E:$E,ROW())&gt;=1,--INDEX('Call accounts and MMFs'!$E:$E,ROW())/100,--INDEX('Call accounts and MMFs'!$E:$E,ROW())),0)</f>
        <v/>
      </c>
      <c r="O157">
        <f>IFERROR(--INDEX('Call accounts and MMFs'!$F:$F,ROW()),0)</f>
        <v/>
      </c>
      <c r="P157">
        <f>IF(ISNUMBER(INDEX('Call accounts and MMFs'!$E:$E,ROW())),1,0)</f>
        <v/>
      </c>
      <c r="Q157">
        <f>TRIM(SUBSTITUTE(INDEX('Pooled funds'!$B:$B,ROW())&amp;""," "," "))</f>
        <v/>
      </c>
      <c r="R157">
        <f>IFERROR(--INDEX('Pooled funds'!$C:$C,ROW()),0)</f>
        <v/>
      </c>
      <c r="S157">
        <f>IFERROR(--INDEX('Pooled funds'!$D:$D,ROW()),0)</f>
        <v/>
      </c>
      <c r="T157">
        <f>IFERROR(IF(--INDEX('Pooled funds'!$E:$E,ROW())&gt;=1,--INDEX('Pooled funds'!$E:$E,ROW())/100,--INDEX('Pooled funds'!$E:$E,ROW())),0)</f>
        <v/>
      </c>
      <c r="U157">
        <f>IF(ISNUMBER(INDEX('Pooled funds'!$E:$E,ROW())),1,0)</f>
        <v/>
      </c>
      <c r="V157">
        <f>TRIM(SUBSTITUTE(INDEX('Loans'!$A:$A,ROW())&amp;""," "," "))</f>
        <v/>
      </c>
      <c r="W157">
        <f>TRIM(SUBSTITUTE(INDEX('Loans'!$B:$B,ROW())&amp;""," "," "))</f>
        <v/>
      </c>
      <c r="X157">
        <f>TRIM(SUBSTITUTE(INDEX('Loans'!$C:$C,ROW())&amp;""," "," "))</f>
        <v/>
      </c>
      <c r="Y157">
        <f>IFERROR(--INDEX('Loans'!$D:$D,ROW()),0)</f>
        <v/>
      </c>
      <c r="Z157">
        <f>IFERROR(--INDEX('Loans'!$E:$E,ROW()),0)</f>
        <v/>
      </c>
      <c r="AA157">
        <f>IFERROR(--INDEX('Loans'!$F:$F,ROW()),0)</f>
        <v/>
      </c>
      <c r="AB157">
        <f>IFERROR(IF(--INDEX('Loans'!$G:$G,ROW())&gt;=1,--INDEX('Loans'!$G:$G,ROW())/100,--INDEX('Loans'!$G:$G,ROW())),0)</f>
        <v/>
      </c>
      <c r="AC157">
        <f>TRIM(SUBSTITUTE(INDEX('Loans'!$H:$H,ROW())&amp;""," "," "))</f>
        <v/>
      </c>
      <c r="AD157">
        <f>TRIM(SUBSTITUTE(INDEX('Loans'!$I:$I,ROW())&amp;""," "," "))</f>
        <v/>
      </c>
      <c r="AE157">
        <f>IFERROR(--INDEX('Loans'!$J:$J,ROW()),0)</f>
        <v/>
      </c>
      <c r="AF157">
        <f>TRIM(SUBSTITUTE(INDEX('Loans'!$K:$K,ROW())&amp;""," "," "))</f>
        <v/>
      </c>
      <c r="AG157">
        <f>IFERROR(--INDEX('Loans'!$L:$L,ROW()),0)</f>
        <v/>
      </c>
      <c r="AH157">
        <f>IF(ISNUMBER(INDEX('Loans'!$G:$G,ROW())),1,0)</f>
        <v/>
      </c>
    </row>
    <row r="158">
      <c r="A158">
        <f>TRIM(SUBSTITUTE(INDEX('Term investments'!$A:$A,ROW())&amp;""," "," "))</f>
        <v/>
      </c>
      <c r="B158">
        <f>TRIM(SUBSTITUTE(INDEX('Term investments'!$B:$B,ROW())&amp;""," "," "))</f>
        <v/>
      </c>
      <c r="C158">
        <f>TRIM(SUBSTITUTE(INDEX('Term investments'!$C:$C,ROW())&amp;""," "," "))</f>
        <v/>
      </c>
      <c r="D158">
        <f>IFERROR(--INDEX('Term investments'!$D:$D,ROW()),0)</f>
        <v/>
      </c>
      <c r="E158">
        <f>IFERROR(--INDEX('Term investments'!$E:$E,ROW()),0)</f>
        <v/>
      </c>
      <c r="F158">
        <f>IFERROR(--INDEX('Term investments'!$F:$F,ROW()),0)</f>
        <v/>
      </c>
      <c r="G158">
        <f>IFERROR(IF(--INDEX('Term investments'!$G:$G,ROW())&gt;=1,--INDEX('Term investments'!$G:$G,ROW())/100,--INDEX('Term investments'!$G:$G,ROW())),0)</f>
        <v/>
      </c>
      <c r="H158">
        <f>IFERROR(--INDEX('Term investments'!$H:$H,ROW()),0)</f>
        <v/>
      </c>
      <c r="I158">
        <f>IF(ISNUMBER(INDEX('Term investments'!$G:$G,ROW())),1,0)</f>
        <v/>
      </c>
      <c r="J158">
        <f>TRIM(SUBSTITUTE(INDEX('Call accounts and MMFs'!$A:$A,ROW())&amp;""," "," "))</f>
        <v/>
      </c>
      <c r="K158">
        <f>TRIM(SUBSTITUTE(INDEX('Call accounts and MMFs'!$B:$B,ROW())&amp;""," "," "))</f>
        <v/>
      </c>
      <c r="L158">
        <f>TRIM(SUBSTITUTE(INDEX('Call accounts and MMFs'!$C:$C,ROW())&amp;""," "," "))</f>
        <v/>
      </c>
      <c r="M158">
        <f>IFERROR(--INDEX('Call accounts and MMFs'!$D:$D,ROW()),0)</f>
        <v/>
      </c>
      <c r="N158">
        <f>IFERROR(IF(--INDEX('Call accounts and MMFs'!$E:$E,ROW())&gt;=1,--INDEX('Call accounts and MMFs'!$E:$E,ROW())/100,--INDEX('Call accounts and MMFs'!$E:$E,ROW())),0)</f>
        <v/>
      </c>
      <c r="O158">
        <f>IFERROR(--INDEX('Call accounts and MMFs'!$F:$F,ROW()),0)</f>
        <v/>
      </c>
      <c r="P158">
        <f>IF(ISNUMBER(INDEX('Call accounts and MMFs'!$E:$E,ROW())),1,0)</f>
        <v/>
      </c>
      <c r="Q158">
        <f>TRIM(SUBSTITUTE(INDEX('Pooled funds'!$B:$B,ROW())&amp;""," "," "))</f>
        <v/>
      </c>
      <c r="R158">
        <f>IFERROR(--INDEX('Pooled funds'!$C:$C,ROW()),0)</f>
        <v/>
      </c>
      <c r="S158">
        <f>IFERROR(--INDEX('Pooled funds'!$D:$D,ROW()),0)</f>
        <v/>
      </c>
      <c r="T158">
        <f>IFERROR(IF(--INDEX('Pooled funds'!$E:$E,ROW())&gt;=1,--INDEX('Pooled funds'!$E:$E,ROW())/100,--INDEX('Pooled funds'!$E:$E,ROW())),0)</f>
        <v/>
      </c>
      <c r="U158">
        <f>IF(ISNUMBER(INDEX('Pooled funds'!$E:$E,ROW())),1,0)</f>
        <v/>
      </c>
      <c r="V158">
        <f>TRIM(SUBSTITUTE(INDEX('Loans'!$A:$A,ROW())&amp;""," "," "))</f>
        <v/>
      </c>
      <c r="W158">
        <f>TRIM(SUBSTITUTE(INDEX('Loans'!$B:$B,ROW())&amp;""," "," "))</f>
        <v/>
      </c>
      <c r="X158">
        <f>TRIM(SUBSTITUTE(INDEX('Loans'!$C:$C,ROW())&amp;""," "," "))</f>
        <v/>
      </c>
      <c r="Y158">
        <f>IFERROR(--INDEX('Loans'!$D:$D,ROW()),0)</f>
        <v/>
      </c>
      <c r="Z158">
        <f>IFERROR(--INDEX('Loans'!$E:$E,ROW()),0)</f>
        <v/>
      </c>
      <c r="AA158">
        <f>IFERROR(--INDEX('Loans'!$F:$F,ROW()),0)</f>
        <v/>
      </c>
      <c r="AB158">
        <f>IFERROR(IF(--INDEX('Loans'!$G:$G,ROW())&gt;=1,--INDEX('Loans'!$G:$G,ROW())/100,--INDEX('Loans'!$G:$G,ROW())),0)</f>
        <v/>
      </c>
      <c r="AC158">
        <f>TRIM(SUBSTITUTE(INDEX('Loans'!$H:$H,ROW())&amp;""," "," "))</f>
        <v/>
      </c>
      <c r="AD158">
        <f>TRIM(SUBSTITUTE(INDEX('Loans'!$I:$I,ROW())&amp;""," "," "))</f>
        <v/>
      </c>
      <c r="AE158">
        <f>IFERROR(--INDEX('Loans'!$J:$J,ROW()),0)</f>
        <v/>
      </c>
      <c r="AF158">
        <f>TRIM(SUBSTITUTE(INDEX('Loans'!$K:$K,ROW())&amp;""," "," "))</f>
        <v/>
      </c>
      <c r="AG158">
        <f>IFERROR(--INDEX('Loans'!$L:$L,ROW()),0)</f>
        <v/>
      </c>
      <c r="AH158">
        <f>IF(ISNUMBER(INDEX('Loans'!$G:$G,ROW())),1,0)</f>
        <v/>
      </c>
    </row>
    <row r="159">
      <c r="A159">
        <f>TRIM(SUBSTITUTE(INDEX('Term investments'!$A:$A,ROW())&amp;""," "," "))</f>
        <v/>
      </c>
      <c r="B159">
        <f>TRIM(SUBSTITUTE(INDEX('Term investments'!$B:$B,ROW())&amp;""," "," "))</f>
        <v/>
      </c>
      <c r="C159">
        <f>TRIM(SUBSTITUTE(INDEX('Term investments'!$C:$C,ROW())&amp;""," "," "))</f>
        <v/>
      </c>
      <c r="D159">
        <f>IFERROR(--INDEX('Term investments'!$D:$D,ROW()),0)</f>
        <v/>
      </c>
      <c r="E159">
        <f>IFERROR(--INDEX('Term investments'!$E:$E,ROW()),0)</f>
        <v/>
      </c>
      <c r="F159">
        <f>IFERROR(--INDEX('Term investments'!$F:$F,ROW()),0)</f>
        <v/>
      </c>
      <c r="G159">
        <f>IFERROR(IF(--INDEX('Term investments'!$G:$G,ROW())&gt;=1,--INDEX('Term investments'!$G:$G,ROW())/100,--INDEX('Term investments'!$G:$G,ROW())),0)</f>
        <v/>
      </c>
      <c r="H159">
        <f>IFERROR(--INDEX('Term investments'!$H:$H,ROW()),0)</f>
        <v/>
      </c>
      <c r="I159">
        <f>IF(ISNUMBER(INDEX('Term investments'!$G:$G,ROW())),1,0)</f>
        <v/>
      </c>
      <c r="J159">
        <f>TRIM(SUBSTITUTE(INDEX('Call accounts and MMFs'!$A:$A,ROW())&amp;""," "," "))</f>
        <v/>
      </c>
      <c r="K159">
        <f>TRIM(SUBSTITUTE(INDEX('Call accounts and MMFs'!$B:$B,ROW())&amp;""," "," "))</f>
        <v/>
      </c>
      <c r="L159">
        <f>TRIM(SUBSTITUTE(INDEX('Call accounts and MMFs'!$C:$C,ROW())&amp;""," "," "))</f>
        <v/>
      </c>
      <c r="M159">
        <f>IFERROR(--INDEX('Call accounts and MMFs'!$D:$D,ROW()),0)</f>
        <v/>
      </c>
      <c r="N159">
        <f>IFERROR(IF(--INDEX('Call accounts and MMFs'!$E:$E,ROW())&gt;=1,--INDEX('Call accounts and MMFs'!$E:$E,ROW())/100,--INDEX('Call accounts and MMFs'!$E:$E,ROW())),0)</f>
        <v/>
      </c>
      <c r="O159">
        <f>IFERROR(--INDEX('Call accounts and MMFs'!$F:$F,ROW()),0)</f>
        <v/>
      </c>
      <c r="P159">
        <f>IF(ISNUMBER(INDEX('Call accounts and MMFs'!$E:$E,ROW())),1,0)</f>
        <v/>
      </c>
      <c r="Q159">
        <f>TRIM(SUBSTITUTE(INDEX('Pooled funds'!$B:$B,ROW())&amp;""," "," "))</f>
        <v/>
      </c>
      <c r="R159">
        <f>IFERROR(--INDEX('Pooled funds'!$C:$C,ROW()),0)</f>
        <v/>
      </c>
      <c r="S159">
        <f>IFERROR(--INDEX('Pooled funds'!$D:$D,ROW()),0)</f>
        <v/>
      </c>
      <c r="T159">
        <f>IFERROR(IF(--INDEX('Pooled funds'!$E:$E,ROW())&gt;=1,--INDEX('Pooled funds'!$E:$E,ROW())/100,--INDEX('Pooled funds'!$E:$E,ROW())),0)</f>
        <v/>
      </c>
      <c r="U159">
        <f>IF(ISNUMBER(INDEX('Pooled funds'!$E:$E,ROW())),1,0)</f>
        <v/>
      </c>
      <c r="V159">
        <f>TRIM(SUBSTITUTE(INDEX('Loans'!$A:$A,ROW())&amp;""," "," "))</f>
        <v/>
      </c>
      <c r="W159">
        <f>TRIM(SUBSTITUTE(INDEX('Loans'!$B:$B,ROW())&amp;""," "," "))</f>
        <v/>
      </c>
      <c r="X159">
        <f>TRIM(SUBSTITUTE(INDEX('Loans'!$C:$C,ROW())&amp;""," "," "))</f>
        <v/>
      </c>
      <c r="Y159">
        <f>IFERROR(--INDEX('Loans'!$D:$D,ROW()),0)</f>
        <v/>
      </c>
      <c r="Z159">
        <f>IFERROR(--INDEX('Loans'!$E:$E,ROW()),0)</f>
        <v/>
      </c>
      <c r="AA159">
        <f>IFERROR(--INDEX('Loans'!$F:$F,ROW()),0)</f>
        <v/>
      </c>
      <c r="AB159">
        <f>IFERROR(IF(--INDEX('Loans'!$G:$G,ROW())&gt;=1,--INDEX('Loans'!$G:$G,ROW())/100,--INDEX('Loans'!$G:$G,ROW())),0)</f>
        <v/>
      </c>
      <c r="AC159">
        <f>TRIM(SUBSTITUTE(INDEX('Loans'!$H:$H,ROW())&amp;""," "," "))</f>
        <v/>
      </c>
      <c r="AD159">
        <f>TRIM(SUBSTITUTE(INDEX('Loans'!$I:$I,ROW())&amp;""," "," "))</f>
        <v/>
      </c>
      <c r="AE159">
        <f>IFERROR(--INDEX('Loans'!$J:$J,ROW()),0)</f>
        <v/>
      </c>
      <c r="AF159">
        <f>TRIM(SUBSTITUTE(INDEX('Loans'!$K:$K,ROW())&amp;""," "," "))</f>
        <v/>
      </c>
      <c r="AG159">
        <f>IFERROR(--INDEX('Loans'!$L:$L,ROW()),0)</f>
        <v/>
      </c>
      <c r="AH159">
        <f>IF(ISNUMBER(INDEX('Loans'!$G:$G,ROW())),1,0)</f>
        <v/>
      </c>
    </row>
    <row r="160">
      <c r="A160">
        <f>TRIM(SUBSTITUTE(INDEX('Term investments'!$A:$A,ROW())&amp;""," "," "))</f>
        <v/>
      </c>
      <c r="B160">
        <f>TRIM(SUBSTITUTE(INDEX('Term investments'!$B:$B,ROW())&amp;""," "," "))</f>
        <v/>
      </c>
      <c r="C160">
        <f>TRIM(SUBSTITUTE(INDEX('Term investments'!$C:$C,ROW())&amp;""," "," "))</f>
        <v/>
      </c>
      <c r="D160">
        <f>IFERROR(--INDEX('Term investments'!$D:$D,ROW()),0)</f>
        <v/>
      </c>
      <c r="E160">
        <f>IFERROR(--INDEX('Term investments'!$E:$E,ROW()),0)</f>
        <v/>
      </c>
      <c r="F160">
        <f>IFERROR(--INDEX('Term investments'!$F:$F,ROW()),0)</f>
        <v/>
      </c>
      <c r="G160">
        <f>IFERROR(IF(--INDEX('Term investments'!$G:$G,ROW())&gt;=1,--INDEX('Term investments'!$G:$G,ROW())/100,--INDEX('Term investments'!$G:$G,ROW())),0)</f>
        <v/>
      </c>
      <c r="H160">
        <f>IFERROR(--INDEX('Term investments'!$H:$H,ROW()),0)</f>
        <v/>
      </c>
      <c r="I160">
        <f>IF(ISNUMBER(INDEX('Term investments'!$G:$G,ROW())),1,0)</f>
        <v/>
      </c>
      <c r="J160">
        <f>TRIM(SUBSTITUTE(INDEX('Call accounts and MMFs'!$A:$A,ROW())&amp;""," "," "))</f>
        <v/>
      </c>
      <c r="K160">
        <f>TRIM(SUBSTITUTE(INDEX('Call accounts and MMFs'!$B:$B,ROW())&amp;""," "," "))</f>
        <v/>
      </c>
      <c r="L160">
        <f>TRIM(SUBSTITUTE(INDEX('Call accounts and MMFs'!$C:$C,ROW())&amp;""," "," "))</f>
        <v/>
      </c>
      <c r="M160">
        <f>IFERROR(--INDEX('Call accounts and MMFs'!$D:$D,ROW()),0)</f>
        <v/>
      </c>
      <c r="N160">
        <f>IFERROR(IF(--INDEX('Call accounts and MMFs'!$E:$E,ROW())&gt;=1,--INDEX('Call accounts and MMFs'!$E:$E,ROW())/100,--INDEX('Call accounts and MMFs'!$E:$E,ROW())),0)</f>
        <v/>
      </c>
      <c r="O160">
        <f>IFERROR(--INDEX('Call accounts and MMFs'!$F:$F,ROW()),0)</f>
        <v/>
      </c>
      <c r="P160">
        <f>IF(ISNUMBER(INDEX('Call accounts and MMFs'!$E:$E,ROW())),1,0)</f>
        <v/>
      </c>
      <c r="Q160">
        <f>TRIM(SUBSTITUTE(INDEX('Pooled funds'!$B:$B,ROW())&amp;""," "," "))</f>
        <v/>
      </c>
      <c r="R160">
        <f>IFERROR(--INDEX('Pooled funds'!$C:$C,ROW()),0)</f>
        <v/>
      </c>
      <c r="S160">
        <f>IFERROR(--INDEX('Pooled funds'!$D:$D,ROW()),0)</f>
        <v/>
      </c>
      <c r="T160">
        <f>IFERROR(IF(--INDEX('Pooled funds'!$E:$E,ROW())&gt;=1,--INDEX('Pooled funds'!$E:$E,ROW())/100,--INDEX('Pooled funds'!$E:$E,ROW())),0)</f>
        <v/>
      </c>
      <c r="U160">
        <f>IF(ISNUMBER(INDEX('Pooled funds'!$E:$E,ROW())),1,0)</f>
        <v/>
      </c>
      <c r="V160">
        <f>TRIM(SUBSTITUTE(INDEX('Loans'!$A:$A,ROW())&amp;""," "," "))</f>
        <v/>
      </c>
      <c r="W160">
        <f>TRIM(SUBSTITUTE(INDEX('Loans'!$B:$B,ROW())&amp;""," "," "))</f>
        <v/>
      </c>
      <c r="X160">
        <f>TRIM(SUBSTITUTE(INDEX('Loans'!$C:$C,ROW())&amp;""," "," "))</f>
        <v/>
      </c>
      <c r="Y160">
        <f>IFERROR(--INDEX('Loans'!$D:$D,ROW()),0)</f>
        <v/>
      </c>
      <c r="Z160">
        <f>IFERROR(--INDEX('Loans'!$E:$E,ROW()),0)</f>
        <v/>
      </c>
      <c r="AA160">
        <f>IFERROR(--INDEX('Loans'!$F:$F,ROW()),0)</f>
        <v/>
      </c>
      <c r="AB160">
        <f>IFERROR(IF(--INDEX('Loans'!$G:$G,ROW())&gt;=1,--INDEX('Loans'!$G:$G,ROW())/100,--INDEX('Loans'!$G:$G,ROW())),0)</f>
        <v/>
      </c>
      <c r="AC160">
        <f>TRIM(SUBSTITUTE(INDEX('Loans'!$H:$H,ROW())&amp;""," "," "))</f>
        <v/>
      </c>
      <c r="AD160">
        <f>TRIM(SUBSTITUTE(INDEX('Loans'!$I:$I,ROW())&amp;""," "," "))</f>
        <v/>
      </c>
      <c r="AE160">
        <f>IFERROR(--INDEX('Loans'!$J:$J,ROW()),0)</f>
        <v/>
      </c>
      <c r="AF160">
        <f>TRIM(SUBSTITUTE(INDEX('Loans'!$K:$K,ROW())&amp;""," "," "))</f>
        <v/>
      </c>
      <c r="AG160">
        <f>IFERROR(--INDEX('Loans'!$L:$L,ROW()),0)</f>
        <v/>
      </c>
      <c r="AH160">
        <f>IF(ISNUMBER(INDEX('Loans'!$G:$G,ROW())),1,0)</f>
        <v/>
      </c>
    </row>
    <row r="161">
      <c r="A161">
        <f>TRIM(SUBSTITUTE(INDEX('Term investments'!$A:$A,ROW())&amp;""," "," "))</f>
        <v/>
      </c>
      <c r="B161">
        <f>TRIM(SUBSTITUTE(INDEX('Term investments'!$B:$B,ROW())&amp;""," "," "))</f>
        <v/>
      </c>
      <c r="C161">
        <f>TRIM(SUBSTITUTE(INDEX('Term investments'!$C:$C,ROW())&amp;""," "," "))</f>
        <v/>
      </c>
      <c r="D161">
        <f>IFERROR(--INDEX('Term investments'!$D:$D,ROW()),0)</f>
        <v/>
      </c>
      <c r="E161">
        <f>IFERROR(--INDEX('Term investments'!$E:$E,ROW()),0)</f>
        <v/>
      </c>
      <c r="F161">
        <f>IFERROR(--INDEX('Term investments'!$F:$F,ROW()),0)</f>
        <v/>
      </c>
      <c r="G161">
        <f>IFERROR(IF(--INDEX('Term investments'!$G:$G,ROW())&gt;=1,--INDEX('Term investments'!$G:$G,ROW())/100,--INDEX('Term investments'!$G:$G,ROW())),0)</f>
        <v/>
      </c>
      <c r="H161">
        <f>IFERROR(--INDEX('Term investments'!$H:$H,ROW()),0)</f>
        <v/>
      </c>
      <c r="I161">
        <f>IF(ISNUMBER(INDEX('Term investments'!$G:$G,ROW())),1,0)</f>
        <v/>
      </c>
      <c r="J161">
        <f>TRIM(SUBSTITUTE(INDEX('Call accounts and MMFs'!$A:$A,ROW())&amp;""," "," "))</f>
        <v/>
      </c>
      <c r="K161">
        <f>TRIM(SUBSTITUTE(INDEX('Call accounts and MMFs'!$B:$B,ROW())&amp;""," "," "))</f>
        <v/>
      </c>
      <c r="L161">
        <f>TRIM(SUBSTITUTE(INDEX('Call accounts and MMFs'!$C:$C,ROW())&amp;""," "," "))</f>
        <v/>
      </c>
      <c r="M161">
        <f>IFERROR(--INDEX('Call accounts and MMFs'!$D:$D,ROW()),0)</f>
        <v/>
      </c>
      <c r="N161">
        <f>IFERROR(IF(--INDEX('Call accounts and MMFs'!$E:$E,ROW())&gt;=1,--INDEX('Call accounts and MMFs'!$E:$E,ROW())/100,--INDEX('Call accounts and MMFs'!$E:$E,ROW())),0)</f>
        <v/>
      </c>
      <c r="O161">
        <f>IFERROR(--INDEX('Call accounts and MMFs'!$F:$F,ROW()),0)</f>
        <v/>
      </c>
      <c r="P161">
        <f>IF(ISNUMBER(INDEX('Call accounts and MMFs'!$E:$E,ROW())),1,0)</f>
        <v/>
      </c>
      <c r="Q161">
        <f>TRIM(SUBSTITUTE(INDEX('Pooled funds'!$B:$B,ROW())&amp;""," "," "))</f>
        <v/>
      </c>
      <c r="R161">
        <f>IFERROR(--INDEX('Pooled funds'!$C:$C,ROW()),0)</f>
        <v/>
      </c>
      <c r="S161">
        <f>IFERROR(--INDEX('Pooled funds'!$D:$D,ROW()),0)</f>
        <v/>
      </c>
      <c r="T161">
        <f>IFERROR(IF(--INDEX('Pooled funds'!$E:$E,ROW())&gt;=1,--INDEX('Pooled funds'!$E:$E,ROW())/100,--INDEX('Pooled funds'!$E:$E,ROW())),0)</f>
        <v/>
      </c>
      <c r="U161">
        <f>IF(ISNUMBER(INDEX('Pooled funds'!$E:$E,ROW())),1,0)</f>
        <v/>
      </c>
      <c r="V161">
        <f>TRIM(SUBSTITUTE(INDEX('Loans'!$A:$A,ROW())&amp;""," "," "))</f>
        <v/>
      </c>
      <c r="W161">
        <f>TRIM(SUBSTITUTE(INDEX('Loans'!$B:$B,ROW())&amp;""," "," "))</f>
        <v/>
      </c>
      <c r="X161">
        <f>TRIM(SUBSTITUTE(INDEX('Loans'!$C:$C,ROW())&amp;""," "," "))</f>
        <v/>
      </c>
      <c r="Y161">
        <f>IFERROR(--INDEX('Loans'!$D:$D,ROW()),0)</f>
        <v/>
      </c>
      <c r="Z161">
        <f>IFERROR(--INDEX('Loans'!$E:$E,ROW()),0)</f>
        <v/>
      </c>
      <c r="AA161">
        <f>IFERROR(--INDEX('Loans'!$F:$F,ROW()),0)</f>
        <v/>
      </c>
      <c r="AB161">
        <f>IFERROR(IF(--INDEX('Loans'!$G:$G,ROW())&gt;=1,--INDEX('Loans'!$G:$G,ROW())/100,--INDEX('Loans'!$G:$G,ROW())),0)</f>
        <v/>
      </c>
      <c r="AC161">
        <f>TRIM(SUBSTITUTE(INDEX('Loans'!$H:$H,ROW())&amp;""," "," "))</f>
        <v/>
      </c>
      <c r="AD161">
        <f>TRIM(SUBSTITUTE(INDEX('Loans'!$I:$I,ROW())&amp;""," "," "))</f>
        <v/>
      </c>
      <c r="AE161">
        <f>IFERROR(--INDEX('Loans'!$J:$J,ROW()),0)</f>
        <v/>
      </c>
      <c r="AF161">
        <f>TRIM(SUBSTITUTE(INDEX('Loans'!$K:$K,ROW())&amp;""," "," "))</f>
        <v/>
      </c>
      <c r="AG161">
        <f>IFERROR(--INDEX('Loans'!$L:$L,ROW()),0)</f>
        <v/>
      </c>
      <c r="AH161">
        <f>IF(ISNUMBER(INDEX('Loans'!$G:$G,ROW())),1,0)</f>
        <v/>
      </c>
    </row>
    <row r="162">
      <c r="A162">
        <f>TRIM(SUBSTITUTE(INDEX('Term investments'!$A:$A,ROW())&amp;""," "," "))</f>
        <v/>
      </c>
      <c r="B162">
        <f>TRIM(SUBSTITUTE(INDEX('Term investments'!$B:$B,ROW())&amp;""," "," "))</f>
        <v/>
      </c>
      <c r="C162">
        <f>TRIM(SUBSTITUTE(INDEX('Term investments'!$C:$C,ROW())&amp;""," "," "))</f>
        <v/>
      </c>
      <c r="D162">
        <f>IFERROR(--INDEX('Term investments'!$D:$D,ROW()),0)</f>
        <v/>
      </c>
      <c r="E162">
        <f>IFERROR(--INDEX('Term investments'!$E:$E,ROW()),0)</f>
        <v/>
      </c>
      <c r="F162">
        <f>IFERROR(--INDEX('Term investments'!$F:$F,ROW()),0)</f>
        <v/>
      </c>
      <c r="G162">
        <f>IFERROR(IF(--INDEX('Term investments'!$G:$G,ROW())&gt;=1,--INDEX('Term investments'!$G:$G,ROW())/100,--INDEX('Term investments'!$G:$G,ROW())),0)</f>
        <v/>
      </c>
      <c r="H162">
        <f>IFERROR(--INDEX('Term investments'!$H:$H,ROW()),0)</f>
        <v/>
      </c>
      <c r="I162">
        <f>IF(ISNUMBER(INDEX('Term investments'!$G:$G,ROW())),1,0)</f>
        <v/>
      </c>
      <c r="J162">
        <f>TRIM(SUBSTITUTE(INDEX('Call accounts and MMFs'!$A:$A,ROW())&amp;""," "," "))</f>
        <v/>
      </c>
      <c r="K162">
        <f>TRIM(SUBSTITUTE(INDEX('Call accounts and MMFs'!$B:$B,ROW())&amp;""," "," "))</f>
        <v/>
      </c>
      <c r="L162">
        <f>TRIM(SUBSTITUTE(INDEX('Call accounts and MMFs'!$C:$C,ROW())&amp;""," "," "))</f>
        <v/>
      </c>
      <c r="M162">
        <f>IFERROR(--INDEX('Call accounts and MMFs'!$D:$D,ROW()),0)</f>
        <v/>
      </c>
      <c r="N162">
        <f>IFERROR(IF(--INDEX('Call accounts and MMFs'!$E:$E,ROW())&gt;=1,--INDEX('Call accounts and MMFs'!$E:$E,ROW())/100,--INDEX('Call accounts and MMFs'!$E:$E,ROW())),0)</f>
        <v/>
      </c>
      <c r="O162">
        <f>IFERROR(--INDEX('Call accounts and MMFs'!$F:$F,ROW()),0)</f>
        <v/>
      </c>
      <c r="P162">
        <f>IF(ISNUMBER(INDEX('Call accounts and MMFs'!$E:$E,ROW())),1,0)</f>
        <v/>
      </c>
      <c r="Q162">
        <f>TRIM(SUBSTITUTE(INDEX('Pooled funds'!$B:$B,ROW())&amp;""," "," "))</f>
        <v/>
      </c>
      <c r="R162">
        <f>IFERROR(--INDEX('Pooled funds'!$C:$C,ROW()),0)</f>
        <v/>
      </c>
      <c r="S162">
        <f>IFERROR(--INDEX('Pooled funds'!$D:$D,ROW()),0)</f>
        <v/>
      </c>
      <c r="T162">
        <f>IFERROR(IF(--INDEX('Pooled funds'!$E:$E,ROW())&gt;=1,--INDEX('Pooled funds'!$E:$E,ROW())/100,--INDEX('Pooled funds'!$E:$E,ROW())),0)</f>
        <v/>
      </c>
      <c r="U162">
        <f>IF(ISNUMBER(INDEX('Pooled funds'!$E:$E,ROW())),1,0)</f>
        <v/>
      </c>
      <c r="V162">
        <f>TRIM(SUBSTITUTE(INDEX('Loans'!$A:$A,ROW())&amp;""," "," "))</f>
        <v/>
      </c>
      <c r="W162">
        <f>TRIM(SUBSTITUTE(INDEX('Loans'!$B:$B,ROW())&amp;""," "," "))</f>
        <v/>
      </c>
      <c r="X162">
        <f>TRIM(SUBSTITUTE(INDEX('Loans'!$C:$C,ROW())&amp;""," "," "))</f>
        <v/>
      </c>
      <c r="Y162">
        <f>IFERROR(--INDEX('Loans'!$D:$D,ROW()),0)</f>
        <v/>
      </c>
      <c r="Z162">
        <f>IFERROR(--INDEX('Loans'!$E:$E,ROW()),0)</f>
        <v/>
      </c>
      <c r="AA162">
        <f>IFERROR(--INDEX('Loans'!$F:$F,ROW()),0)</f>
        <v/>
      </c>
      <c r="AB162">
        <f>IFERROR(IF(--INDEX('Loans'!$G:$G,ROW())&gt;=1,--INDEX('Loans'!$G:$G,ROW())/100,--INDEX('Loans'!$G:$G,ROW())),0)</f>
        <v/>
      </c>
      <c r="AC162">
        <f>TRIM(SUBSTITUTE(INDEX('Loans'!$H:$H,ROW())&amp;""," "," "))</f>
        <v/>
      </c>
      <c r="AD162">
        <f>TRIM(SUBSTITUTE(INDEX('Loans'!$I:$I,ROW())&amp;""," "," "))</f>
        <v/>
      </c>
      <c r="AE162">
        <f>IFERROR(--INDEX('Loans'!$J:$J,ROW()),0)</f>
        <v/>
      </c>
      <c r="AF162">
        <f>TRIM(SUBSTITUTE(INDEX('Loans'!$K:$K,ROW())&amp;""," "," "))</f>
        <v/>
      </c>
      <c r="AG162">
        <f>IFERROR(--INDEX('Loans'!$L:$L,ROW()),0)</f>
        <v/>
      </c>
      <c r="AH162">
        <f>IF(ISNUMBER(INDEX('Loans'!$G:$G,ROW())),1,0)</f>
        <v/>
      </c>
    </row>
    <row r="163">
      <c r="A163">
        <f>TRIM(SUBSTITUTE(INDEX('Term investments'!$A:$A,ROW())&amp;""," "," "))</f>
        <v/>
      </c>
      <c r="B163">
        <f>TRIM(SUBSTITUTE(INDEX('Term investments'!$B:$B,ROW())&amp;""," "," "))</f>
        <v/>
      </c>
      <c r="C163">
        <f>TRIM(SUBSTITUTE(INDEX('Term investments'!$C:$C,ROW())&amp;""," "," "))</f>
        <v/>
      </c>
      <c r="D163">
        <f>IFERROR(--INDEX('Term investments'!$D:$D,ROW()),0)</f>
        <v/>
      </c>
      <c r="E163">
        <f>IFERROR(--INDEX('Term investments'!$E:$E,ROW()),0)</f>
        <v/>
      </c>
      <c r="F163">
        <f>IFERROR(--INDEX('Term investments'!$F:$F,ROW()),0)</f>
        <v/>
      </c>
      <c r="G163">
        <f>IFERROR(IF(--INDEX('Term investments'!$G:$G,ROW())&gt;=1,--INDEX('Term investments'!$G:$G,ROW())/100,--INDEX('Term investments'!$G:$G,ROW())),0)</f>
        <v/>
      </c>
      <c r="H163">
        <f>IFERROR(--INDEX('Term investments'!$H:$H,ROW()),0)</f>
        <v/>
      </c>
      <c r="I163">
        <f>IF(ISNUMBER(INDEX('Term investments'!$G:$G,ROW())),1,0)</f>
        <v/>
      </c>
      <c r="J163">
        <f>TRIM(SUBSTITUTE(INDEX('Call accounts and MMFs'!$A:$A,ROW())&amp;""," "," "))</f>
        <v/>
      </c>
      <c r="K163">
        <f>TRIM(SUBSTITUTE(INDEX('Call accounts and MMFs'!$B:$B,ROW())&amp;""," "," "))</f>
        <v/>
      </c>
      <c r="L163">
        <f>TRIM(SUBSTITUTE(INDEX('Call accounts and MMFs'!$C:$C,ROW())&amp;""," "," "))</f>
        <v/>
      </c>
      <c r="M163">
        <f>IFERROR(--INDEX('Call accounts and MMFs'!$D:$D,ROW()),0)</f>
        <v/>
      </c>
      <c r="N163">
        <f>IFERROR(IF(--INDEX('Call accounts and MMFs'!$E:$E,ROW())&gt;=1,--INDEX('Call accounts and MMFs'!$E:$E,ROW())/100,--INDEX('Call accounts and MMFs'!$E:$E,ROW())),0)</f>
        <v/>
      </c>
      <c r="O163">
        <f>IFERROR(--INDEX('Call accounts and MMFs'!$F:$F,ROW()),0)</f>
        <v/>
      </c>
      <c r="P163">
        <f>IF(ISNUMBER(INDEX('Call accounts and MMFs'!$E:$E,ROW())),1,0)</f>
        <v/>
      </c>
      <c r="Q163">
        <f>TRIM(SUBSTITUTE(INDEX('Pooled funds'!$B:$B,ROW())&amp;""," "," "))</f>
        <v/>
      </c>
      <c r="R163">
        <f>IFERROR(--INDEX('Pooled funds'!$C:$C,ROW()),0)</f>
        <v/>
      </c>
      <c r="S163">
        <f>IFERROR(--INDEX('Pooled funds'!$D:$D,ROW()),0)</f>
        <v/>
      </c>
      <c r="T163">
        <f>IFERROR(IF(--INDEX('Pooled funds'!$E:$E,ROW())&gt;=1,--INDEX('Pooled funds'!$E:$E,ROW())/100,--INDEX('Pooled funds'!$E:$E,ROW())),0)</f>
        <v/>
      </c>
      <c r="U163">
        <f>IF(ISNUMBER(INDEX('Pooled funds'!$E:$E,ROW())),1,0)</f>
        <v/>
      </c>
      <c r="V163">
        <f>TRIM(SUBSTITUTE(INDEX('Loans'!$A:$A,ROW())&amp;""," "," "))</f>
        <v/>
      </c>
      <c r="W163">
        <f>TRIM(SUBSTITUTE(INDEX('Loans'!$B:$B,ROW())&amp;""," "," "))</f>
        <v/>
      </c>
      <c r="X163">
        <f>TRIM(SUBSTITUTE(INDEX('Loans'!$C:$C,ROW())&amp;""," "," "))</f>
        <v/>
      </c>
      <c r="Y163">
        <f>IFERROR(--INDEX('Loans'!$D:$D,ROW()),0)</f>
        <v/>
      </c>
      <c r="Z163">
        <f>IFERROR(--INDEX('Loans'!$E:$E,ROW()),0)</f>
        <v/>
      </c>
      <c r="AA163">
        <f>IFERROR(--INDEX('Loans'!$F:$F,ROW()),0)</f>
        <v/>
      </c>
      <c r="AB163">
        <f>IFERROR(IF(--INDEX('Loans'!$G:$G,ROW())&gt;=1,--INDEX('Loans'!$G:$G,ROW())/100,--INDEX('Loans'!$G:$G,ROW())),0)</f>
        <v/>
      </c>
      <c r="AC163">
        <f>TRIM(SUBSTITUTE(INDEX('Loans'!$H:$H,ROW())&amp;""," "," "))</f>
        <v/>
      </c>
      <c r="AD163">
        <f>TRIM(SUBSTITUTE(INDEX('Loans'!$I:$I,ROW())&amp;""," "," "))</f>
        <v/>
      </c>
      <c r="AE163">
        <f>IFERROR(--INDEX('Loans'!$J:$J,ROW()),0)</f>
        <v/>
      </c>
      <c r="AF163">
        <f>TRIM(SUBSTITUTE(INDEX('Loans'!$K:$K,ROW())&amp;""," "," "))</f>
        <v/>
      </c>
      <c r="AG163">
        <f>IFERROR(--INDEX('Loans'!$L:$L,ROW()),0)</f>
        <v/>
      </c>
      <c r="AH163">
        <f>IF(ISNUMBER(INDEX('Loans'!$G:$G,ROW())),1,0)</f>
        <v/>
      </c>
    </row>
    <row r="164">
      <c r="A164">
        <f>TRIM(SUBSTITUTE(INDEX('Term investments'!$A:$A,ROW())&amp;""," "," "))</f>
        <v/>
      </c>
      <c r="B164">
        <f>TRIM(SUBSTITUTE(INDEX('Term investments'!$B:$B,ROW())&amp;""," "," "))</f>
        <v/>
      </c>
      <c r="C164">
        <f>TRIM(SUBSTITUTE(INDEX('Term investments'!$C:$C,ROW())&amp;""," "," "))</f>
        <v/>
      </c>
      <c r="D164">
        <f>IFERROR(--INDEX('Term investments'!$D:$D,ROW()),0)</f>
        <v/>
      </c>
      <c r="E164">
        <f>IFERROR(--INDEX('Term investments'!$E:$E,ROW()),0)</f>
        <v/>
      </c>
      <c r="F164">
        <f>IFERROR(--INDEX('Term investments'!$F:$F,ROW()),0)</f>
        <v/>
      </c>
      <c r="G164">
        <f>IFERROR(IF(--INDEX('Term investments'!$G:$G,ROW())&gt;=1,--INDEX('Term investments'!$G:$G,ROW())/100,--INDEX('Term investments'!$G:$G,ROW())),0)</f>
        <v/>
      </c>
      <c r="H164">
        <f>IFERROR(--INDEX('Term investments'!$H:$H,ROW()),0)</f>
        <v/>
      </c>
      <c r="I164">
        <f>IF(ISNUMBER(INDEX('Term investments'!$G:$G,ROW())),1,0)</f>
        <v/>
      </c>
      <c r="J164">
        <f>TRIM(SUBSTITUTE(INDEX('Call accounts and MMFs'!$A:$A,ROW())&amp;""," "," "))</f>
        <v/>
      </c>
      <c r="K164">
        <f>TRIM(SUBSTITUTE(INDEX('Call accounts and MMFs'!$B:$B,ROW())&amp;""," "," "))</f>
        <v/>
      </c>
      <c r="L164">
        <f>TRIM(SUBSTITUTE(INDEX('Call accounts and MMFs'!$C:$C,ROW())&amp;""," "," "))</f>
        <v/>
      </c>
      <c r="M164">
        <f>IFERROR(--INDEX('Call accounts and MMFs'!$D:$D,ROW()),0)</f>
        <v/>
      </c>
      <c r="N164">
        <f>IFERROR(IF(--INDEX('Call accounts and MMFs'!$E:$E,ROW())&gt;=1,--INDEX('Call accounts and MMFs'!$E:$E,ROW())/100,--INDEX('Call accounts and MMFs'!$E:$E,ROW())),0)</f>
        <v/>
      </c>
      <c r="O164">
        <f>IFERROR(--INDEX('Call accounts and MMFs'!$F:$F,ROW()),0)</f>
        <v/>
      </c>
      <c r="P164">
        <f>IF(ISNUMBER(INDEX('Call accounts and MMFs'!$E:$E,ROW())),1,0)</f>
        <v/>
      </c>
      <c r="Q164">
        <f>TRIM(SUBSTITUTE(INDEX('Pooled funds'!$B:$B,ROW())&amp;""," "," "))</f>
        <v/>
      </c>
      <c r="R164">
        <f>IFERROR(--INDEX('Pooled funds'!$C:$C,ROW()),0)</f>
        <v/>
      </c>
      <c r="S164">
        <f>IFERROR(--INDEX('Pooled funds'!$D:$D,ROW()),0)</f>
        <v/>
      </c>
      <c r="T164">
        <f>IFERROR(IF(--INDEX('Pooled funds'!$E:$E,ROW())&gt;=1,--INDEX('Pooled funds'!$E:$E,ROW())/100,--INDEX('Pooled funds'!$E:$E,ROW())),0)</f>
        <v/>
      </c>
      <c r="U164">
        <f>IF(ISNUMBER(INDEX('Pooled funds'!$E:$E,ROW())),1,0)</f>
        <v/>
      </c>
      <c r="V164">
        <f>TRIM(SUBSTITUTE(INDEX('Loans'!$A:$A,ROW())&amp;""," "," "))</f>
        <v/>
      </c>
      <c r="W164">
        <f>TRIM(SUBSTITUTE(INDEX('Loans'!$B:$B,ROW())&amp;""," "," "))</f>
        <v/>
      </c>
      <c r="X164">
        <f>TRIM(SUBSTITUTE(INDEX('Loans'!$C:$C,ROW())&amp;""," "," "))</f>
        <v/>
      </c>
      <c r="Y164">
        <f>IFERROR(--INDEX('Loans'!$D:$D,ROW()),0)</f>
        <v/>
      </c>
      <c r="Z164">
        <f>IFERROR(--INDEX('Loans'!$E:$E,ROW()),0)</f>
        <v/>
      </c>
      <c r="AA164">
        <f>IFERROR(--INDEX('Loans'!$F:$F,ROW()),0)</f>
        <v/>
      </c>
      <c r="AB164">
        <f>IFERROR(IF(--INDEX('Loans'!$G:$G,ROW())&gt;=1,--INDEX('Loans'!$G:$G,ROW())/100,--INDEX('Loans'!$G:$G,ROW())),0)</f>
        <v/>
      </c>
      <c r="AC164">
        <f>TRIM(SUBSTITUTE(INDEX('Loans'!$H:$H,ROW())&amp;""," "," "))</f>
        <v/>
      </c>
      <c r="AD164">
        <f>TRIM(SUBSTITUTE(INDEX('Loans'!$I:$I,ROW())&amp;""," "," "))</f>
        <v/>
      </c>
      <c r="AE164">
        <f>IFERROR(--INDEX('Loans'!$J:$J,ROW()),0)</f>
        <v/>
      </c>
      <c r="AF164">
        <f>TRIM(SUBSTITUTE(INDEX('Loans'!$K:$K,ROW())&amp;""," "," "))</f>
        <v/>
      </c>
      <c r="AG164">
        <f>IFERROR(--INDEX('Loans'!$L:$L,ROW()),0)</f>
        <v/>
      </c>
      <c r="AH164">
        <f>IF(ISNUMBER(INDEX('Loans'!$G:$G,ROW())),1,0)</f>
        <v/>
      </c>
    </row>
    <row r="165">
      <c r="A165">
        <f>TRIM(SUBSTITUTE(INDEX('Term investments'!$A:$A,ROW())&amp;""," "," "))</f>
        <v/>
      </c>
      <c r="B165">
        <f>TRIM(SUBSTITUTE(INDEX('Term investments'!$B:$B,ROW())&amp;""," "," "))</f>
        <v/>
      </c>
      <c r="C165">
        <f>TRIM(SUBSTITUTE(INDEX('Term investments'!$C:$C,ROW())&amp;""," "," "))</f>
        <v/>
      </c>
      <c r="D165">
        <f>IFERROR(--INDEX('Term investments'!$D:$D,ROW()),0)</f>
        <v/>
      </c>
      <c r="E165">
        <f>IFERROR(--INDEX('Term investments'!$E:$E,ROW()),0)</f>
        <v/>
      </c>
      <c r="F165">
        <f>IFERROR(--INDEX('Term investments'!$F:$F,ROW()),0)</f>
        <v/>
      </c>
      <c r="G165">
        <f>IFERROR(IF(--INDEX('Term investments'!$G:$G,ROW())&gt;=1,--INDEX('Term investments'!$G:$G,ROW())/100,--INDEX('Term investments'!$G:$G,ROW())),0)</f>
        <v/>
      </c>
      <c r="H165">
        <f>IFERROR(--INDEX('Term investments'!$H:$H,ROW()),0)</f>
        <v/>
      </c>
      <c r="I165">
        <f>IF(ISNUMBER(INDEX('Term investments'!$G:$G,ROW())),1,0)</f>
        <v/>
      </c>
      <c r="J165">
        <f>TRIM(SUBSTITUTE(INDEX('Call accounts and MMFs'!$A:$A,ROW())&amp;""," "," "))</f>
        <v/>
      </c>
      <c r="K165">
        <f>TRIM(SUBSTITUTE(INDEX('Call accounts and MMFs'!$B:$B,ROW())&amp;""," "," "))</f>
        <v/>
      </c>
      <c r="L165">
        <f>TRIM(SUBSTITUTE(INDEX('Call accounts and MMFs'!$C:$C,ROW())&amp;""," "," "))</f>
        <v/>
      </c>
      <c r="M165">
        <f>IFERROR(--INDEX('Call accounts and MMFs'!$D:$D,ROW()),0)</f>
        <v/>
      </c>
      <c r="N165">
        <f>IFERROR(IF(--INDEX('Call accounts and MMFs'!$E:$E,ROW())&gt;=1,--INDEX('Call accounts and MMFs'!$E:$E,ROW())/100,--INDEX('Call accounts and MMFs'!$E:$E,ROW())),0)</f>
        <v/>
      </c>
      <c r="O165">
        <f>IFERROR(--INDEX('Call accounts and MMFs'!$F:$F,ROW()),0)</f>
        <v/>
      </c>
      <c r="P165">
        <f>IF(ISNUMBER(INDEX('Call accounts and MMFs'!$E:$E,ROW())),1,0)</f>
        <v/>
      </c>
      <c r="Q165">
        <f>TRIM(SUBSTITUTE(INDEX('Pooled funds'!$B:$B,ROW())&amp;""," "," "))</f>
        <v/>
      </c>
      <c r="R165">
        <f>IFERROR(--INDEX('Pooled funds'!$C:$C,ROW()),0)</f>
        <v/>
      </c>
      <c r="S165">
        <f>IFERROR(--INDEX('Pooled funds'!$D:$D,ROW()),0)</f>
        <v/>
      </c>
      <c r="T165">
        <f>IFERROR(IF(--INDEX('Pooled funds'!$E:$E,ROW())&gt;=1,--INDEX('Pooled funds'!$E:$E,ROW())/100,--INDEX('Pooled funds'!$E:$E,ROW())),0)</f>
        <v/>
      </c>
      <c r="U165">
        <f>IF(ISNUMBER(INDEX('Pooled funds'!$E:$E,ROW())),1,0)</f>
        <v/>
      </c>
      <c r="V165">
        <f>TRIM(SUBSTITUTE(INDEX('Loans'!$A:$A,ROW())&amp;""," "," "))</f>
        <v/>
      </c>
      <c r="W165">
        <f>TRIM(SUBSTITUTE(INDEX('Loans'!$B:$B,ROW())&amp;""," "," "))</f>
        <v/>
      </c>
      <c r="X165">
        <f>TRIM(SUBSTITUTE(INDEX('Loans'!$C:$C,ROW())&amp;""," "," "))</f>
        <v/>
      </c>
      <c r="Y165">
        <f>IFERROR(--INDEX('Loans'!$D:$D,ROW()),0)</f>
        <v/>
      </c>
      <c r="Z165">
        <f>IFERROR(--INDEX('Loans'!$E:$E,ROW()),0)</f>
        <v/>
      </c>
      <c r="AA165">
        <f>IFERROR(--INDEX('Loans'!$F:$F,ROW()),0)</f>
        <v/>
      </c>
      <c r="AB165">
        <f>IFERROR(IF(--INDEX('Loans'!$G:$G,ROW())&gt;=1,--INDEX('Loans'!$G:$G,ROW())/100,--INDEX('Loans'!$G:$G,ROW())),0)</f>
        <v/>
      </c>
      <c r="AC165">
        <f>TRIM(SUBSTITUTE(INDEX('Loans'!$H:$H,ROW())&amp;""," "," "))</f>
        <v/>
      </c>
      <c r="AD165">
        <f>TRIM(SUBSTITUTE(INDEX('Loans'!$I:$I,ROW())&amp;""," "," "))</f>
        <v/>
      </c>
      <c r="AE165">
        <f>IFERROR(--INDEX('Loans'!$J:$J,ROW()),0)</f>
        <v/>
      </c>
      <c r="AF165">
        <f>TRIM(SUBSTITUTE(INDEX('Loans'!$K:$K,ROW())&amp;""," "," "))</f>
        <v/>
      </c>
      <c r="AG165">
        <f>IFERROR(--INDEX('Loans'!$L:$L,ROW()),0)</f>
        <v/>
      </c>
      <c r="AH165">
        <f>IF(ISNUMBER(INDEX('Loans'!$G:$G,ROW())),1,0)</f>
        <v/>
      </c>
    </row>
    <row r="166">
      <c r="A166">
        <f>TRIM(SUBSTITUTE(INDEX('Term investments'!$A:$A,ROW())&amp;""," "," "))</f>
        <v/>
      </c>
      <c r="B166">
        <f>TRIM(SUBSTITUTE(INDEX('Term investments'!$B:$B,ROW())&amp;""," "," "))</f>
        <v/>
      </c>
      <c r="C166">
        <f>TRIM(SUBSTITUTE(INDEX('Term investments'!$C:$C,ROW())&amp;""," "," "))</f>
        <v/>
      </c>
      <c r="D166">
        <f>IFERROR(--INDEX('Term investments'!$D:$D,ROW()),0)</f>
        <v/>
      </c>
      <c r="E166">
        <f>IFERROR(--INDEX('Term investments'!$E:$E,ROW()),0)</f>
        <v/>
      </c>
      <c r="F166">
        <f>IFERROR(--INDEX('Term investments'!$F:$F,ROW()),0)</f>
        <v/>
      </c>
      <c r="G166">
        <f>IFERROR(IF(--INDEX('Term investments'!$G:$G,ROW())&gt;=1,--INDEX('Term investments'!$G:$G,ROW())/100,--INDEX('Term investments'!$G:$G,ROW())),0)</f>
        <v/>
      </c>
      <c r="H166">
        <f>IFERROR(--INDEX('Term investments'!$H:$H,ROW()),0)</f>
        <v/>
      </c>
      <c r="I166">
        <f>IF(ISNUMBER(INDEX('Term investments'!$G:$G,ROW())),1,0)</f>
        <v/>
      </c>
      <c r="J166">
        <f>TRIM(SUBSTITUTE(INDEX('Call accounts and MMFs'!$A:$A,ROW())&amp;""," "," "))</f>
        <v/>
      </c>
      <c r="K166">
        <f>TRIM(SUBSTITUTE(INDEX('Call accounts and MMFs'!$B:$B,ROW())&amp;""," "," "))</f>
        <v/>
      </c>
      <c r="L166">
        <f>TRIM(SUBSTITUTE(INDEX('Call accounts and MMFs'!$C:$C,ROW())&amp;""," "," "))</f>
        <v/>
      </c>
      <c r="M166">
        <f>IFERROR(--INDEX('Call accounts and MMFs'!$D:$D,ROW()),0)</f>
        <v/>
      </c>
      <c r="N166">
        <f>IFERROR(IF(--INDEX('Call accounts and MMFs'!$E:$E,ROW())&gt;=1,--INDEX('Call accounts and MMFs'!$E:$E,ROW())/100,--INDEX('Call accounts and MMFs'!$E:$E,ROW())),0)</f>
        <v/>
      </c>
      <c r="O166">
        <f>IFERROR(--INDEX('Call accounts and MMFs'!$F:$F,ROW()),0)</f>
        <v/>
      </c>
      <c r="P166">
        <f>IF(ISNUMBER(INDEX('Call accounts and MMFs'!$E:$E,ROW())),1,0)</f>
        <v/>
      </c>
      <c r="Q166">
        <f>TRIM(SUBSTITUTE(INDEX('Pooled funds'!$B:$B,ROW())&amp;""," "," "))</f>
        <v/>
      </c>
      <c r="R166">
        <f>IFERROR(--INDEX('Pooled funds'!$C:$C,ROW()),0)</f>
        <v/>
      </c>
      <c r="S166">
        <f>IFERROR(--INDEX('Pooled funds'!$D:$D,ROW()),0)</f>
        <v/>
      </c>
      <c r="T166">
        <f>IFERROR(IF(--INDEX('Pooled funds'!$E:$E,ROW())&gt;=1,--INDEX('Pooled funds'!$E:$E,ROW())/100,--INDEX('Pooled funds'!$E:$E,ROW())),0)</f>
        <v/>
      </c>
      <c r="U166">
        <f>IF(ISNUMBER(INDEX('Pooled funds'!$E:$E,ROW())),1,0)</f>
        <v/>
      </c>
      <c r="V166">
        <f>TRIM(SUBSTITUTE(INDEX('Loans'!$A:$A,ROW())&amp;""," "," "))</f>
        <v/>
      </c>
      <c r="W166">
        <f>TRIM(SUBSTITUTE(INDEX('Loans'!$B:$B,ROW())&amp;""," "," "))</f>
        <v/>
      </c>
      <c r="X166">
        <f>TRIM(SUBSTITUTE(INDEX('Loans'!$C:$C,ROW())&amp;""," "," "))</f>
        <v/>
      </c>
      <c r="Y166">
        <f>IFERROR(--INDEX('Loans'!$D:$D,ROW()),0)</f>
        <v/>
      </c>
      <c r="Z166">
        <f>IFERROR(--INDEX('Loans'!$E:$E,ROW()),0)</f>
        <v/>
      </c>
      <c r="AA166">
        <f>IFERROR(--INDEX('Loans'!$F:$F,ROW()),0)</f>
        <v/>
      </c>
      <c r="AB166">
        <f>IFERROR(IF(--INDEX('Loans'!$G:$G,ROW())&gt;=1,--INDEX('Loans'!$G:$G,ROW())/100,--INDEX('Loans'!$G:$G,ROW())),0)</f>
        <v/>
      </c>
      <c r="AC166">
        <f>TRIM(SUBSTITUTE(INDEX('Loans'!$H:$H,ROW())&amp;""," "," "))</f>
        <v/>
      </c>
      <c r="AD166">
        <f>TRIM(SUBSTITUTE(INDEX('Loans'!$I:$I,ROW())&amp;""," "," "))</f>
        <v/>
      </c>
      <c r="AE166">
        <f>IFERROR(--INDEX('Loans'!$J:$J,ROW()),0)</f>
        <v/>
      </c>
      <c r="AF166">
        <f>TRIM(SUBSTITUTE(INDEX('Loans'!$K:$K,ROW())&amp;""," "," "))</f>
        <v/>
      </c>
      <c r="AG166">
        <f>IFERROR(--INDEX('Loans'!$L:$L,ROW()),0)</f>
        <v/>
      </c>
      <c r="AH166">
        <f>IF(ISNUMBER(INDEX('Loans'!$G:$G,ROW())),1,0)</f>
        <v/>
      </c>
    </row>
    <row r="167">
      <c r="A167">
        <f>TRIM(SUBSTITUTE(INDEX('Term investments'!$A:$A,ROW())&amp;""," "," "))</f>
        <v/>
      </c>
      <c r="B167">
        <f>TRIM(SUBSTITUTE(INDEX('Term investments'!$B:$B,ROW())&amp;""," "," "))</f>
        <v/>
      </c>
      <c r="C167">
        <f>TRIM(SUBSTITUTE(INDEX('Term investments'!$C:$C,ROW())&amp;""," "," "))</f>
        <v/>
      </c>
      <c r="D167">
        <f>IFERROR(--INDEX('Term investments'!$D:$D,ROW()),0)</f>
        <v/>
      </c>
      <c r="E167">
        <f>IFERROR(--INDEX('Term investments'!$E:$E,ROW()),0)</f>
        <v/>
      </c>
      <c r="F167">
        <f>IFERROR(--INDEX('Term investments'!$F:$F,ROW()),0)</f>
        <v/>
      </c>
      <c r="G167">
        <f>IFERROR(IF(--INDEX('Term investments'!$G:$G,ROW())&gt;=1,--INDEX('Term investments'!$G:$G,ROW())/100,--INDEX('Term investments'!$G:$G,ROW())),0)</f>
        <v/>
      </c>
      <c r="H167">
        <f>IFERROR(--INDEX('Term investments'!$H:$H,ROW()),0)</f>
        <v/>
      </c>
      <c r="I167">
        <f>IF(ISNUMBER(INDEX('Term investments'!$G:$G,ROW())),1,0)</f>
        <v/>
      </c>
      <c r="J167">
        <f>TRIM(SUBSTITUTE(INDEX('Call accounts and MMFs'!$A:$A,ROW())&amp;""," "," "))</f>
        <v/>
      </c>
      <c r="K167">
        <f>TRIM(SUBSTITUTE(INDEX('Call accounts and MMFs'!$B:$B,ROW())&amp;""," "," "))</f>
        <v/>
      </c>
      <c r="L167">
        <f>TRIM(SUBSTITUTE(INDEX('Call accounts and MMFs'!$C:$C,ROW())&amp;""," "," "))</f>
        <v/>
      </c>
      <c r="M167">
        <f>IFERROR(--INDEX('Call accounts and MMFs'!$D:$D,ROW()),0)</f>
        <v/>
      </c>
      <c r="N167">
        <f>IFERROR(IF(--INDEX('Call accounts and MMFs'!$E:$E,ROW())&gt;=1,--INDEX('Call accounts and MMFs'!$E:$E,ROW())/100,--INDEX('Call accounts and MMFs'!$E:$E,ROW())),0)</f>
        <v/>
      </c>
      <c r="O167">
        <f>IFERROR(--INDEX('Call accounts and MMFs'!$F:$F,ROW()),0)</f>
        <v/>
      </c>
      <c r="P167">
        <f>IF(ISNUMBER(INDEX('Call accounts and MMFs'!$E:$E,ROW())),1,0)</f>
        <v/>
      </c>
      <c r="Q167">
        <f>TRIM(SUBSTITUTE(INDEX('Pooled funds'!$B:$B,ROW())&amp;""," "," "))</f>
        <v/>
      </c>
      <c r="R167">
        <f>IFERROR(--INDEX('Pooled funds'!$C:$C,ROW()),0)</f>
        <v/>
      </c>
      <c r="S167">
        <f>IFERROR(--INDEX('Pooled funds'!$D:$D,ROW()),0)</f>
        <v/>
      </c>
      <c r="T167">
        <f>IFERROR(IF(--INDEX('Pooled funds'!$E:$E,ROW())&gt;=1,--INDEX('Pooled funds'!$E:$E,ROW())/100,--INDEX('Pooled funds'!$E:$E,ROW())),0)</f>
        <v/>
      </c>
      <c r="U167">
        <f>IF(ISNUMBER(INDEX('Pooled funds'!$E:$E,ROW())),1,0)</f>
        <v/>
      </c>
      <c r="V167">
        <f>TRIM(SUBSTITUTE(INDEX('Loans'!$A:$A,ROW())&amp;""," "," "))</f>
        <v/>
      </c>
      <c r="W167">
        <f>TRIM(SUBSTITUTE(INDEX('Loans'!$B:$B,ROW())&amp;""," "," "))</f>
        <v/>
      </c>
      <c r="X167">
        <f>TRIM(SUBSTITUTE(INDEX('Loans'!$C:$C,ROW())&amp;""," "," "))</f>
        <v/>
      </c>
      <c r="Y167">
        <f>IFERROR(--INDEX('Loans'!$D:$D,ROW()),0)</f>
        <v/>
      </c>
      <c r="Z167">
        <f>IFERROR(--INDEX('Loans'!$E:$E,ROW()),0)</f>
        <v/>
      </c>
      <c r="AA167">
        <f>IFERROR(--INDEX('Loans'!$F:$F,ROW()),0)</f>
        <v/>
      </c>
      <c r="AB167">
        <f>IFERROR(IF(--INDEX('Loans'!$G:$G,ROW())&gt;=1,--INDEX('Loans'!$G:$G,ROW())/100,--INDEX('Loans'!$G:$G,ROW())),0)</f>
        <v/>
      </c>
      <c r="AC167">
        <f>TRIM(SUBSTITUTE(INDEX('Loans'!$H:$H,ROW())&amp;""," "," "))</f>
        <v/>
      </c>
      <c r="AD167">
        <f>TRIM(SUBSTITUTE(INDEX('Loans'!$I:$I,ROW())&amp;""," "," "))</f>
        <v/>
      </c>
      <c r="AE167">
        <f>IFERROR(--INDEX('Loans'!$J:$J,ROW()),0)</f>
        <v/>
      </c>
      <c r="AF167">
        <f>TRIM(SUBSTITUTE(INDEX('Loans'!$K:$K,ROW())&amp;""," "," "))</f>
        <v/>
      </c>
      <c r="AG167">
        <f>IFERROR(--INDEX('Loans'!$L:$L,ROW()),0)</f>
        <v/>
      </c>
      <c r="AH167">
        <f>IF(ISNUMBER(INDEX('Loans'!$G:$G,ROW())),1,0)</f>
        <v/>
      </c>
    </row>
    <row r="168">
      <c r="A168">
        <f>TRIM(SUBSTITUTE(INDEX('Term investments'!$A:$A,ROW())&amp;""," "," "))</f>
        <v/>
      </c>
      <c r="B168">
        <f>TRIM(SUBSTITUTE(INDEX('Term investments'!$B:$B,ROW())&amp;""," "," "))</f>
        <v/>
      </c>
      <c r="C168">
        <f>TRIM(SUBSTITUTE(INDEX('Term investments'!$C:$C,ROW())&amp;""," "," "))</f>
        <v/>
      </c>
      <c r="D168">
        <f>IFERROR(--INDEX('Term investments'!$D:$D,ROW()),0)</f>
        <v/>
      </c>
      <c r="E168">
        <f>IFERROR(--INDEX('Term investments'!$E:$E,ROW()),0)</f>
        <v/>
      </c>
      <c r="F168">
        <f>IFERROR(--INDEX('Term investments'!$F:$F,ROW()),0)</f>
        <v/>
      </c>
      <c r="G168">
        <f>IFERROR(IF(--INDEX('Term investments'!$G:$G,ROW())&gt;=1,--INDEX('Term investments'!$G:$G,ROW())/100,--INDEX('Term investments'!$G:$G,ROW())),0)</f>
        <v/>
      </c>
      <c r="H168">
        <f>IFERROR(--INDEX('Term investments'!$H:$H,ROW()),0)</f>
        <v/>
      </c>
      <c r="I168">
        <f>IF(ISNUMBER(INDEX('Term investments'!$G:$G,ROW())),1,0)</f>
        <v/>
      </c>
      <c r="J168">
        <f>TRIM(SUBSTITUTE(INDEX('Call accounts and MMFs'!$A:$A,ROW())&amp;""," "," "))</f>
        <v/>
      </c>
      <c r="K168">
        <f>TRIM(SUBSTITUTE(INDEX('Call accounts and MMFs'!$B:$B,ROW())&amp;""," "," "))</f>
        <v/>
      </c>
      <c r="L168">
        <f>TRIM(SUBSTITUTE(INDEX('Call accounts and MMFs'!$C:$C,ROW())&amp;""," "," "))</f>
        <v/>
      </c>
      <c r="M168">
        <f>IFERROR(--INDEX('Call accounts and MMFs'!$D:$D,ROW()),0)</f>
        <v/>
      </c>
      <c r="N168">
        <f>IFERROR(IF(--INDEX('Call accounts and MMFs'!$E:$E,ROW())&gt;=1,--INDEX('Call accounts and MMFs'!$E:$E,ROW())/100,--INDEX('Call accounts and MMFs'!$E:$E,ROW())),0)</f>
        <v/>
      </c>
      <c r="O168">
        <f>IFERROR(--INDEX('Call accounts and MMFs'!$F:$F,ROW()),0)</f>
        <v/>
      </c>
      <c r="P168">
        <f>IF(ISNUMBER(INDEX('Call accounts and MMFs'!$E:$E,ROW())),1,0)</f>
        <v/>
      </c>
      <c r="Q168">
        <f>TRIM(SUBSTITUTE(INDEX('Pooled funds'!$B:$B,ROW())&amp;""," "," "))</f>
        <v/>
      </c>
      <c r="R168">
        <f>IFERROR(--INDEX('Pooled funds'!$C:$C,ROW()),0)</f>
        <v/>
      </c>
      <c r="S168">
        <f>IFERROR(--INDEX('Pooled funds'!$D:$D,ROW()),0)</f>
        <v/>
      </c>
      <c r="T168">
        <f>IFERROR(IF(--INDEX('Pooled funds'!$E:$E,ROW())&gt;=1,--INDEX('Pooled funds'!$E:$E,ROW())/100,--INDEX('Pooled funds'!$E:$E,ROW())),0)</f>
        <v/>
      </c>
      <c r="U168">
        <f>IF(ISNUMBER(INDEX('Pooled funds'!$E:$E,ROW())),1,0)</f>
        <v/>
      </c>
      <c r="V168">
        <f>TRIM(SUBSTITUTE(INDEX('Loans'!$A:$A,ROW())&amp;""," "," "))</f>
        <v/>
      </c>
      <c r="W168">
        <f>TRIM(SUBSTITUTE(INDEX('Loans'!$B:$B,ROW())&amp;""," "," "))</f>
        <v/>
      </c>
      <c r="X168">
        <f>TRIM(SUBSTITUTE(INDEX('Loans'!$C:$C,ROW())&amp;""," "," "))</f>
        <v/>
      </c>
      <c r="Y168">
        <f>IFERROR(--INDEX('Loans'!$D:$D,ROW()),0)</f>
        <v/>
      </c>
      <c r="Z168">
        <f>IFERROR(--INDEX('Loans'!$E:$E,ROW()),0)</f>
        <v/>
      </c>
      <c r="AA168">
        <f>IFERROR(--INDEX('Loans'!$F:$F,ROW()),0)</f>
        <v/>
      </c>
      <c r="AB168">
        <f>IFERROR(IF(--INDEX('Loans'!$G:$G,ROW())&gt;=1,--INDEX('Loans'!$G:$G,ROW())/100,--INDEX('Loans'!$G:$G,ROW())),0)</f>
        <v/>
      </c>
      <c r="AC168">
        <f>TRIM(SUBSTITUTE(INDEX('Loans'!$H:$H,ROW())&amp;""," "," "))</f>
        <v/>
      </c>
      <c r="AD168">
        <f>TRIM(SUBSTITUTE(INDEX('Loans'!$I:$I,ROW())&amp;""," "," "))</f>
        <v/>
      </c>
      <c r="AE168">
        <f>IFERROR(--INDEX('Loans'!$J:$J,ROW()),0)</f>
        <v/>
      </c>
      <c r="AF168">
        <f>TRIM(SUBSTITUTE(INDEX('Loans'!$K:$K,ROW())&amp;""," "," "))</f>
        <v/>
      </c>
      <c r="AG168">
        <f>IFERROR(--INDEX('Loans'!$L:$L,ROW()),0)</f>
        <v/>
      </c>
      <c r="AH168">
        <f>IF(ISNUMBER(INDEX('Loans'!$G:$G,ROW())),1,0)</f>
        <v/>
      </c>
    </row>
    <row r="169">
      <c r="A169">
        <f>TRIM(SUBSTITUTE(INDEX('Term investments'!$A:$A,ROW())&amp;""," "," "))</f>
        <v/>
      </c>
      <c r="B169">
        <f>TRIM(SUBSTITUTE(INDEX('Term investments'!$B:$B,ROW())&amp;""," "," "))</f>
        <v/>
      </c>
      <c r="C169">
        <f>TRIM(SUBSTITUTE(INDEX('Term investments'!$C:$C,ROW())&amp;""," "," "))</f>
        <v/>
      </c>
      <c r="D169">
        <f>IFERROR(--INDEX('Term investments'!$D:$D,ROW()),0)</f>
        <v/>
      </c>
      <c r="E169">
        <f>IFERROR(--INDEX('Term investments'!$E:$E,ROW()),0)</f>
        <v/>
      </c>
      <c r="F169">
        <f>IFERROR(--INDEX('Term investments'!$F:$F,ROW()),0)</f>
        <v/>
      </c>
      <c r="G169">
        <f>IFERROR(IF(--INDEX('Term investments'!$G:$G,ROW())&gt;=1,--INDEX('Term investments'!$G:$G,ROW())/100,--INDEX('Term investments'!$G:$G,ROW())),0)</f>
        <v/>
      </c>
      <c r="H169">
        <f>IFERROR(--INDEX('Term investments'!$H:$H,ROW()),0)</f>
        <v/>
      </c>
      <c r="I169">
        <f>IF(ISNUMBER(INDEX('Term investments'!$G:$G,ROW())),1,0)</f>
        <v/>
      </c>
      <c r="J169">
        <f>TRIM(SUBSTITUTE(INDEX('Call accounts and MMFs'!$A:$A,ROW())&amp;""," "," "))</f>
        <v/>
      </c>
      <c r="K169">
        <f>TRIM(SUBSTITUTE(INDEX('Call accounts and MMFs'!$B:$B,ROW())&amp;""," "," "))</f>
        <v/>
      </c>
      <c r="L169">
        <f>TRIM(SUBSTITUTE(INDEX('Call accounts and MMFs'!$C:$C,ROW())&amp;""," "," "))</f>
        <v/>
      </c>
      <c r="M169">
        <f>IFERROR(--INDEX('Call accounts and MMFs'!$D:$D,ROW()),0)</f>
        <v/>
      </c>
      <c r="N169">
        <f>IFERROR(IF(--INDEX('Call accounts and MMFs'!$E:$E,ROW())&gt;=1,--INDEX('Call accounts and MMFs'!$E:$E,ROW())/100,--INDEX('Call accounts and MMFs'!$E:$E,ROW())),0)</f>
        <v/>
      </c>
      <c r="O169">
        <f>IFERROR(--INDEX('Call accounts and MMFs'!$F:$F,ROW()),0)</f>
        <v/>
      </c>
      <c r="P169">
        <f>IF(ISNUMBER(INDEX('Call accounts and MMFs'!$E:$E,ROW())),1,0)</f>
        <v/>
      </c>
      <c r="Q169">
        <f>TRIM(SUBSTITUTE(INDEX('Pooled funds'!$B:$B,ROW())&amp;""," "," "))</f>
        <v/>
      </c>
      <c r="R169">
        <f>IFERROR(--INDEX('Pooled funds'!$C:$C,ROW()),0)</f>
        <v/>
      </c>
      <c r="S169">
        <f>IFERROR(--INDEX('Pooled funds'!$D:$D,ROW()),0)</f>
        <v/>
      </c>
      <c r="T169">
        <f>IFERROR(IF(--INDEX('Pooled funds'!$E:$E,ROW())&gt;=1,--INDEX('Pooled funds'!$E:$E,ROW())/100,--INDEX('Pooled funds'!$E:$E,ROW())),0)</f>
        <v/>
      </c>
      <c r="U169">
        <f>IF(ISNUMBER(INDEX('Pooled funds'!$E:$E,ROW())),1,0)</f>
        <v/>
      </c>
      <c r="V169">
        <f>TRIM(SUBSTITUTE(INDEX('Loans'!$A:$A,ROW())&amp;""," "," "))</f>
        <v/>
      </c>
      <c r="W169">
        <f>TRIM(SUBSTITUTE(INDEX('Loans'!$B:$B,ROW())&amp;""," "," "))</f>
        <v/>
      </c>
      <c r="X169">
        <f>TRIM(SUBSTITUTE(INDEX('Loans'!$C:$C,ROW())&amp;""," "," "))</f>
        <v/>
      </c>
      <c r="Y169">
        <f>IFERROR(--INDEX('Loans'!$D:$D,ROW()),0)</f>
        <v/>
      </c>
      <c r="Z169">
        <f>IFERROR(--INDEX('Loans'!$E:$E,ROW()),0)</f>
        <v/>
      </c>
      <c r="AA169">
        <f>IFERROR(--INDEX('Loans'!$F:$F,ROW()),0)</f>
        <v/>
      </c>
      <c r="AB169">
        <f>IFERROR(IF(--INDEX('Loans'!$G:$G,ROW())&gt;=1,--INDEX('Loans'!$G:$G,ROW())/100,--INDEX('Loans'!$G:$G,ROW())),0)</f>
        <v/>
      </c>
      <c r="AC169">
        <f>TRIM(SUBSTITUTE(INDEX('Loans'!$H:$H,ROW())&amp;""," "," "))</f>
        <v/>
      </c>
      <c r="AD169">
        <f>TRIM(SUBSTITUTE(INDEX('Loans'!$I:$I,ROW())&amp;""," "," "))</f>
        <v/>
      </c>
      <c r="AE169">
        <f>IFERROR(--INDEX('Loans'!$J:$J,ROW()),0)</f>
        <v/>
      </c>
      <c r="AF169">
        <f>TRIM(SUBSTITUTE(INDEX('Loans'!$K:$K,ROW())&amp;""," "," "))</f>
        <v/>
      </c>
      <c r="AG169">
        <f>IFERROR(--INDEX('Loans'!$L:$L,ROW()),0)</f>
        <v/>
      </c>
      <c r="AH169">
        <f>IF(ISNUMBER(INDEX('Loans'!$G:$G,ROW())),1,0)</f>
        <v/>
      </c>
    </row>
    <row r="170">
      <c r="A170">
        <f>TRIM(SUBSTITUTE(INDEX('Term investments'!$A:$A,ROW())&amp;""," "," "))</f>
        <v/>
      </c>
      <c r="B170">
        <f>TRIM(SUBSTITUTE(INDEX('Term investments'!$B:$B,ROW())&amp;""," "," "))</f>
        <v/>
      </c>
      <c r="C170">
        <f>TRIM(SUBSTITUTE(INDEX('Term investments'!$C:$C,ROW())&amp;""," "," "))</f>
        <v/>
      </c>
      <c r="D170">
        <f>IFERROR(--INDEX('Term investments'!$D:$D,ROW()),0)</f>
        <v/>
      </c>
      <c r="E170">
        <f>IFERROR(--INDEX('Term investments'!$E:$E,ROW()),0)</f>
        <v/>
      </c>
      <c r="F170">
        <f>IFERROR(--INDEX('Term investments'!$F:$F,ROW()),0)</f>
        <v/>
      </c>
      <c r="G170">
        <f>IFERROR(IF(--INDEX('Term investments'!$G:$G,ROW())&gt;=1,--INDEX('Term investments'!$G:$G,ROW())/100,--INDEX('Term investments'!$G:$G,ROW())),0)</f>
        <v/>
      </c>
      <c r="H170">
        <f>IFERROR(--INDEX('Term investments'!$H:$H,ROW()),0)</f>
        <v/>
      </c>
      <c r="I170">
        <f>IF(ISNUMBER(INDEX('Term investments'!$G:$G,ROW())),1,0)</f>
        <v/>
      </c>
      <c r="J170">
        <f>TRIM(SUBSTITUTE(INDEX('Call accounts and MMFs'!$A:$A,ROW())&amp;""," "," "))</f>
        <v/>
      </c>
      <c r="K170">
        <f>TRIM(SUBSTITUTE(INDEX('Call accounts and MMFs'!$B:$B,ROW())&amp;""," "," "))</f>
        <v/>
      </c>
      <c r="L170">
        <f>TRIM(SUBSTITUTE(INDEX('Call accounts and MMFs'!$C:$C,ROW())&amp;""," "," "))</f>
        <v/>
      </c>
      <c r="M170">
        <f>IFERROR(--INDEX('Call accounts and MMFs'!$D:$D,ROW()),0)</f>
        <v/>
      </c>
      <c r="N170">
        <f>IFERROR(IF(--INDEX('Call accounts and MMFs'!$E:$E,ROW())&gt;=1,--INDEX('Call accounts and MMFs'!$E:$E,ROW())/100,--INDEX('Call accounts and MMFs'!$E:$E,ROW())),0)</f>
        <v/>
      </c>
      <c r="O170">
        <f>IFERROR(--INDEX('Call accounts and MMFs'!$F:$F,ROW()),0)</f>
        <v/>
      </c>
      <c r="P170">
        <f>IF(ISNUMBER(INDEX('Call accounts and MMFs'!$E:$E,ROW())),1,0)</f>
        <v/>
      </c>
      <c r="Q170">
        <f>TRIM(SUBSTITUTE(INDEX('Pooled funds'!$B:$B,ROW())&amp;""," "," "))</f>
        <v/>
      </c>
      <c r="R170">
        <f>IFERROR(--INDEX('Pooled funds'!$C:$C,ROW()),0)</f>
        <v/>
      </c>
      <c r="S170">
        <f>IFERROR(--INDEX('Pooled funds'!$D:$D,ROW()),0)</f>
        <v/>
      </c>
      <c r="T170">
        <f>IFERROR(IF(--INDEX('Pooled funds'!$E:$E,ROW())&gt;=1,--INDEX('Pooled funds'!$E:$E,ROW())/100,--INDEX('Pooled funds'!$E:$E,ROW())),0)</f>
        <v/>
      </c>
      <c r="U170">
        <f>IF(ISNUMBER(INDEX('Pooled funds'!$E:$E,ROW())),1,0)</f>
        <v/>
      </c>
      <c r="V170">
        <f>TRIM(SUBSTITUTE(INDEX('Loans'!$A:$A,ROW())&amp;""," "," "))</f>
        <v/>
      </c>
      <c r="W170">
        <f>TRIM(SUBSTITUTE(INDEX('Loans'!$B:$B,ROW())&amp;""," "," "))</f>
        <v/>
      </c>
      <c r="X170">
        <f>TRIM(SUBSTITUTE(INDEX('Loans'!$C:$C,ROW())&amp;""," "," "))</f>
        <v/>
      </c>
      <c r="Y170">
        <f>IFERROR(--INDEX('Loans'!$D:$D,ROW()),0)</f>
        <v/>
      </c>
      <c r="Z170">
        <f>IFERROR(--INDEX('Loans'!$E:$E,ROW()),0)</f>
        <v/>
      </c>
      <c r="AA170">
        <f>IFERROR(--INDEX('Loans'!$F:$F,ROW()),0)</f>
        <v/>
      </c>
      <c r="AB170">
        <f>IFERROR(IF(--INDEX('Loans'!$G:$G,ROW())&gt;=1,--INDEX('Loans'!$G:$G,ROW())/100,--INDEX('Loans'!$G:$G,ROW())),0)</f>
        <v/>
      </c>
      <c r="AC170">
        <f>TRIM(SUBSTITUTE(INDEX('Loans'!$H:$H,ROW())&amp;""," "," "))</f>
        <v/>
      </c>
      <c r="AD170">
        <f>TRIM(SUBSTITUTE(INDEX('Loans'!$I:$I,ROW())&amp;""," "," "))</f>
        <v/>
      </c>
      <c r="AE170">
        <f>IFERROR(--INDEX('Loans'!$J:$J,ROW()),0)</f>
        <v/>
      </c>
      <c r="AF170">
        <f>TRIM(SUBSTITUTE(INDEX('Loans'!$K:$K,ROW())&amp;""," "," "))</f>
        <v/>
      </c>
      <c r="AG170">
        <f>IFERROR(--INDEX('Loans'!$L:$L,ROW()),0)</f>
        <v/>
      </c>
      <c r="AH170">
        <f>IF(ISNUMBER(INDEX('Loans'!$G:$G,ROW())),1,0)</f>
        <v/>
      </c>
    </row>
    <row r="171">
      <c r="A171">
        <f>TRIM(SUBSTITUTE(INDEX('Term investments'!$A:$A,ROW())&amp;""," "," "))</f>
        <v/>
      </c>
      <c r="B171">
        <f>TRIM(SUBSTITUTE(INDEX('Term investments'!$B:$B,ROW())&amp;""," "," "))</f>
        <v/>
      </c>
      <c r="C171">
        <f>TRIM(SUBSTITUTE(INDEX('Term investments'!$C:$C,ROW())&amp;""," "," "))</f>
        <v/>
      </c>
      <c r="D171">
        <f>IFERROR(--INDEX('Term investments'!$D:$D,ROW()),0)</f>
        <v/>
      </c>
      <c r="E171">
        <f>IFERROR(--INDEX('Term investments'!$E:$E,ROW()),0)</f>
        <v/>
      </c>
      <c r="F171">
        <f>IFERROR(--INDEX('Term investments'!$F:$F,ROW()),0)</f>
        <v/>
      </c>
      <c r="G171">
        <f>IFERROR(IF(--INDEX('Term investments'!$G:$G,ROW())&gt;=1,--INDEX('Term investments'!$G:$G,ROW())/100,--INDEX('Term investments'!$G:$G,ROW())),0)</f>
        <v/>
      </c>
      <c r="H171">
        <f>IFERROR(--INDEX('Term investments'!$H:$H,ROW()),0)</f>
        <v/>
      </c>
      <c r="I171">
        <f>IF(ISNUMBER(INDEX('Term investments'!$G:$G,ROW())),1,0)</f>
        <v/>
      </c>
      <c r="J171">
        <f>TRIM(SUBSTITUTE(INDEX('Call accounts and MMFs'!$A:$A,ROW())&amp;""," "," "))</f>
        <v/>
      </c>
      <c r="K171">
        <f>TRIM(SUBSTITUTE(INDEX('Call accounts and MMFs'!$B:$B,ROW())&amp;""," "," "))</f>
        <v/>
      </c>
      <c r="L171">
        <f>TRIM(SUBSTITUTE(INDEX('Call accounts and MMFs'!$C:$C,ROW())&amp;""," "," "))</f>
        <v/>
      </c>
      <c r="M171">
        <f>IFERROR(--INDEX('Call accounts and MMFs'!$D:$D,ROW()),0)</f>
        <v/>
      </c>
      <c r="N171">
        <f>IFERROR(IF(--INDEX('Call accounts and MMFs'!$E:$E,ROW())&gt;=1,--INDEX('Call accounts and MMFs'!$E:$E,ROW())/100,--INDEX('Call accounts and MMFs'!$E:$E,ROW())),0)</f>
        <v/>
      </c>
      <c r="O171">
        <f>IFERROR(--INDEX('Call accounts and MMFs'!$F:$F,ROW()),0)</f>
        <v/>
      </c>
      <c r="P171">
        <f>IF(ISNUMBER(INDEX('Call accounts and MMFs'!$E:$E,ROW())),1,0)</f>
        <v/>
      </c>
      <c r="Q171">
        <f>TRIM(SUBSTITUTE(INDEX('Pooled funds'!$B:$B,ROW())&amp;""," "," "))</f>
        <v/>
      </c>
      <c r="R171">
        <f>IFERROR(--INDEX('Pooled funds'!$C:$C,ROW()),0)</f>
        <v/>
      </c>
      <c r="S171">
        <f>IFERROR(--INDEX('Pooled funds'!$D:$D,ROW()),0)</f>
        <v/>
      </c>
      <c r="T171">
        <f>IFERROR(IF(--INDEX('Pooled funds'!$E:$E,ROW())&gt;=1,--INDEX('Pooled funds'!$E:$E,ROW())/100,--INDEX('Pooled funds'!$E:$E,ROW())),0)</f>
        <v/>
      </c>
      <c r="U171">
        <f>IF(ISNUMBER(INDEX('Pooled funds'!$E:$E,ROW())),1,0)</f>
        <v/>
      </c>
      <c r="V171">
        <f>TRIM(SUBSTITUTE(INDEX('Loans'!$A:$A,ROW())&amp;""," "," "))</f>
        <v/>
      </c>
      <c r="W171">
        <f>TRIM(SUBSTITUTE(INDEX('Loans'!$B:$B,ROW())&amp;""," "," "))</f>
        <v/>
      </c>
      <c r="X171">
        <f>TRIM(SUBSTITUTE(INDEX('Loans'!$C:$C,ROW())&amp;""," "," "))</f>
        <v/>
      </c>
      <c r="Y171">
        <f>IFERROR(--INDEX('Loans'!$D:$D,ROW()),0)</f>
        <v/>
      </c>
      <c r="Z171">
        <f>IFERROR(--INDEX('Loans'!$E:$E,ROW()),0)</f>
        <v/>
      </c>
      <c r="AA171">
        <f>IFERROR(--INDEX('Loans'!$F:$F,ROW()),0)</f>
        <v/>
      </c>
      <c r="AB171">
        <f>IFERROR(IF(--INDEX('Loans'!$G:$G,ROW())&gt;=1,--INDEX('Loans'!$G:$G,ROW())/100,--INDEX('Loans'!$G:$G,ROW())),0)</f>
        <v/>
      </c>
      <c r="AC171">
        <f>TRIM(SUBSTITUTE(INDEX('Loans'!$H:$H,ROW())&amp;""," "," "))</f>
        <v/>
      </c>
      <c r="AD171">
        <f>TRIM(SUBSTITUTE(INDEX('Loans'!$I:$I,ROW())&amp;""," "," "))</f>
        <v/>
      </c>
      <c r="AE171">
        <f>IFERROR(--INDEX('Loans'!$J:$J,ROW()),0)</f>
        <v/>
      </c>
      <c r="AF171">
        <f>TRIM(SUBSTITUTE(INDEX('Loans'!$K:$K,ROW())&amp;""," "," "))</f>
        <v/>
      </c>
      <c r="AG171">
        <f>IFERROR(--INDEX('Loans'!$L:$L,ROW()),0)</f>
        <v/>
      </c>
      <c r="AH171">
        <f>IF(ISNUMBER(INDEX('Loans'!$G:$G,ROW())),1,0)</f>
        <v/>
      </c>
    </row>
    <row r="172">
      <c r="A172">
        <f>TRIM(SUBSTITUTE(INDEX('Term investments'!$A:$A,ROW())&amp;""," "," "))</f>
        <v/>
      </c>
      <c r="B172">
        <f>TRIM(SUBSTITUTE(INDEX('Term investments'!$B:$B,ROW())&amp;""," "," "))</f>
        <v/>
      </c>
      <c r="C172">
        <f>TRIM(SUBSTITUTE(INDEX('Term investments'!$C:$C,ROW())&amp;""," "," "))</f>
        <v/>
      </c>
      <c r="D172">
        <f>IFERROR(--INDEX('Term investments'!$D:$D,ROW()),0)</f>
        <v/>
      </c>
      <c r="E172">
        <f>IFERROR(--INDEX('Term investments'!$E:$E,ROW()),0)</f>
        <v/>
      </c>
      <c r="F172">
        <f>IFERROR(--INDEX('Term investments'!$F:$F,ROW()),0)</f>
        <v/>
      </c>
      <c r="G172">
        <f>IFERROR(IF(--INDEX('Term investments'!$G:$G,ROW())&gt;=1,--INDEX('Term investments'!$G:$G,ROW())/100,--INDEX('Term investments'!$G:$G,ROW())),0)</f>
        <v/>
      </c>
      <c r="H172">
        <f>IFERROR(--INDEX('Term investments'!$H:$H,ROW()),0)</f>
        <v/>
      </c>
      <c r="I172">
        <f>IF(ISNUMBER(INDEX('Term investments'!$G:$G,ROW())),1,0)</f>
        <v/>
      </c>
      <c r="J172">
        <f>TRIM(SUBSTITUTE(INDEX('Call accounts and MMFs'!$A:$A,ROW())&amp;""," "," "))</f>
        <v/>
      </c>
      <c r="K172">
        <f>TRIM(SUBSTITUTE(INDEX('Call accounts and MMFs'!$B:$B,ROW())&amp;""," "," "))</f>
        <v/>
      </c>
      <c r="L172">
        <f>TRIM(SUBSTITUTE(INDEX('Call accounts and MMFs'!$C:$C,ROW())&amp;""," "," "))</f>
        <v/>
      </c>
      <c r="M172">
        <f>IFERROR(--INDEX('Call accounts and MMFs'!$D:$D,ROW()),0)</f>
        <v/>
      </c>
      <c r="N172">
        <f>IFERROR(IF(--INDEX('Call accounts and MMFs'!$E:$E,ROW())&gt;=1,--INDEX('Call accounts and MMFs'!$E:$E,ROW())/100,--INDEX('Call accounts and MMFs'!$E:$E,ROW())),0)</f>
        <v/>
      </c>
      <c r="O172">
        <f>IFERROR(--INDEX('Call accounts and MMFs'!$F:$F,ROW()),0)</f>
        <v/>
      </c>
      <c r="P172">
        <f>IF(ISNUMBER(INDEX('Call accounts and MMFs'!$E:$E,ROW())),1,0)</f>
        <v/>
      </c>
      <c r="Q172">
        <f>TRIM(SUBSTITUTE(INDEX('Pooled funds'!$B:$B,ROW())&amp;""," "," "))</f>
        <v/>
      </c>
      <c r="R172">
        <f>IFERROR(--INDEX('Pooled funds'!$C:$C,ROW()),0)</f>
        <v/>
      </c>
      <c r="S172">
        <f>IFERROR(--INDEX('Pooled funds'!$D:$D,ROW()),0)</f>
        <v/>
      </c>
      <c r="T172">
        <f>IFERROR(IF(--INDEX('Pooled funds'!$E:$E,ROW())&gt;=1,--INDEX('Pooled funds'!$E:$E,ROW())/100,--INDEX('Pooled funds'!$E:$E,ROW())),0)</f>
        <v/>
      </c>
      <c r="U172">
        <f>IF(ISNUMBER(INDEX('Pooled funds'!$E:$E,ROW())),1,0)</f>
        <v/>
      </c>
      <c r="V172">
        <f>TRIM(SUBSTITUTE(INDEX('Loans'!$A:$A,ROW())&amp;""," "," "))</f>
        <v/>
      </c>
      <c r="W172">
        <f>TRIM(SUBSTITUTE(INDEX('Loans'!$B:$B,ROW())&amp;""," "," "))</f>
        <v/>
      </c>
      <c r="X172">
        <f>TRIM(SUBSTITUTE(INDEX('Loans'!$C:$C,ROW())&amp;""," "," "))</f>
        <v/>
      </c>
      <c r="Y172">
        <f>IFERROR(--INDEX('Loans'!$D:$D,ROW()),0)</f>
        <v/>
      </c>
      <c r="Z172">
        <f>IFERROR(--INDEX('Loans'!$E:$E,ROW()),0)</f>
        <v/>
      </c>
      <c r="AA172">
        <f>IFERROR(--INDEX('Loans'!$F:$F,ROW()),0)</f>
        <v/>
      </c>
      <c r="AB172">
        <f>IFERROR(IF(--INDEX('Loans'!$G:$G,ROW())&gt;=1,--INDEX('Loans'!$G:$G,ROW())/100,--INDEX('Loans'!$G:$G,ROW())),0)</f>
        <v/>
      </c>
      <c r="AC172">
        <f>TRIM(SUBSTITUTE(INDEX('Loans'!$H:$H,ROW())&amp;""," "," "))</f>
        <v/>
      </c>
      <c r="AD172">
        <f>TRIM(SUBSTITUTE(INDEX('Loans'!$I:$I,ROW())&amp;""," "," "))</f>
        <v/>
      </c>
      <c r="AE172">
        <f>IFERROR(--INDEX('Loans'!$J:$J,ROW()),0)</f>
        <v/>
      </c>
      <c r="AF172">
        <f>TRIM(SUBSTITUTE(INDEX('Loans'!$K:$K,ROW())&amp;""," "," "))</f>
        <v/>
      </c>
      <c r="AG172">
        <f>IFERROR(--INDEX('Loans'!$L:$L,ROW()),0)</f>
        <v/>
      </c>
      <c r="AH172">
        <f>IF(ISNUMBER(INDEX('Loans'!$G:$G,ROW())),1,0)</f>
        <v/>
      </c>
    </row>
    <row r="173">
      <c r="A173">
        <f>TRIM(SUBSTITUTE(INDEX('Term investments'!$A:$A,ROW())&amp;""," "," "))</f>
        <v/>
      </c>
      <c r="B173">
        <f>TRIM(SUBSTITUTE(INDEX('Term investments'!$B:$B,ROW())&amp;""," "," "))</f>
        <v/>
      </c>
      <c r="C173">
        <f>TRIM(SUBSTITUTE(INDEX('Term investments'!$C:$C,ROW())&amp;""," "," "))</f>
        <v/>
      </c>
      <c r="D173">
        <f>IFERROR(--INDEX('Term investments'!$D:$D,ROW()),0)</f>
        <v/>
      </c>
      <c r="E173">
        <f>IFERROR(--INDEX('Term investments'!$E:$E,ROW()),0)</f>
        <v/>
      </c>
      <c r="F173">
        <f>IFERROR(--INDEX('Term investments'!$F:$F,ROW()),0)</f>
        <v/>
      </c>
      <c r="G173">
        <f>IFERROR(IF(--INDEX('Term investments'!$G:$G,ROW())&gt;=1,--INDEX('Term investments'!$G:$G,ROW())/100,--INDEX('Term investments'!$G:$G,ROW())),0)</f>
        <v/>
      </c>
      <c r="H173">
        <f>IFERROR(--INDEX('Term investments'!$H:$H,ROW()),0)</f>
        <v/>
      </c>
      <c r="I173">
        <f>IF(ISNUMBER(INDEX('Term investments'!$G:$G,ROW())),1,0)</f>
        <v/>
      </c>
      <c r="J173">
        <f>TRIM(SUBSTITUTE(INDEX('Call accounts and MMFs'!$A:$A,ROW())&amp;""," "," "))</f>
        <v/>
      </c>
      <c r="K173">
        <f>TRIM(SUBSTITUTE(INDEX('Call accounts and MMFs'!$B:$B,ROW())&amp;""," "," "))</f>
        <v/>
      </c>
      <c r="L173">
        <f>TRIM(SUBSTITUTE(INDEX('Call accounts and MMFs'!$C:$C,ROW())&amp;""," "," "))</f>
        <v/>
      </c>
      <c r="M173">
        <f>IFERROR(--INDEX('Call accounts and MMFs'!$D:$D,ROW()),0)</f>
        <v/>
      </c>
      <c r="N173">
        <f>IFERROR(IF(--INDEX('Call accounts and MMFs'!$E:$E,ROW())&gt;=1,--INDEX('Call accounts and MMFs'!$E:$E,ROW())/100,--INDEX('Call accounts and MMFs'!$E:$E,ROW())),0)</f>
        <v/>
      </c>
      <c r="O173">
        <f>IFERROR(--INDEX('Call accounts and MMFs'!$F:$F,ROW()),0)</f>
        <v/>
      </c>
      <c r="P173">
        <f>IF(ISNUMBER(INDEX('Call accounts and MMFs'!$E:$E,ROW())),1,0)</f>
        <v/>
      </c>
      <c r="Q173">
        <f>TRIM(SUBSTITUTE(INDEX('Pooled funds'!$B:$B,ROW())&amp;""," "," "))</f>
        <v/>
      </c>
      <c r="R173">
        <f>IFERROR(--INDEX('Pooled funds'!$C:$C,ROW()),0)</f>
        <v/>
      </c>
      <c r="S173">
        <f>IFERROR(--INDEX('Pooled funds'!$D:$D,ROW()),0)</f>
        <v/>
      </c>
      <c r="T173">
        <f>IFERROR(IF(--INDEX('Pooled funds'!$E:$E,ROW())&gt;=1,--INDEX('Pooled funds'!$E:$E,ROW())/100,--INDEX('Pooled funds'!$E:$E,ROW())),0)</f>
        <v/>
      </c>
      <c r="U173">
        <f>IF(ISNUMBER(INDEX('Pooled funds'!$E:$E,ROW())),1,0)</f>
        <v/>
      </c>
      <c r="V173">
        <f>TRIM(SUBSTITUTE(INDEX('Loans'!$A:$A,ROW())&amp;""," "," "))</f>
        <v/>
      </c>
      <c r="W173">
        <f>TRIM(SUBSTITUTE(INDEX('Loans'!$B:$B,ROW())&amp;""," "," "))</f>
        <v/>
      </c>
      <c r="X173">
        <f>TRIM(SUBSTITUTE(INDEX('Loans'!$C:$C,ROW())&amp;""," "," "))</f>
        <v/>
      </c>
      <c r="Y173">
        <f>IFERROR(--INDEX('Loans'!$D:$D,ROW()),0)</f>
        <v/>
      </c>
      <c r="Z173">
        <f>IFERROR(--INDEX('Loans'!$E:$E,ROW()),0)</f>
        <v/>
      </c>
      <c r="AA173">
        <f>IFERROR(--INDEX('Loans'!$F:$F,ROW()),0)</f>
        <v/>
      </c>
      <c r="AB173">
        <f>IFERROR(IF(--INDEX('Loans'!$G:$G,ROW())&gt;=1,--INDEX('Loans'!$G:$G,ROW())/100,--INDEX('Loans'!$G:$G,ROW())),0)</f>
        <v/>
      </c>
      <c r="AC173">
        <f>TRIM(SUBSTITUTE(INDEX('Loans'!$H:$H,ROW())&amp;""," "," "))</f>
        <v/>
      </c>
      <c r="AD173">
        <f>TRIM(SUBSTITUTE(INDEX('Loans'!$I:$I,ROW())&amp;""," "," "))</f>
        <v/>
      </c>
      <c r="AE173">
        <f>IFERROR(--INDEX('Loans'!$J:$J,ROW()),0)</f>
        <v/>
      </c>
      <c r="AF173">
        <f>TRIM(SUBSTITUTE(INDEX('Loans'!$K:$K,ROW())&amp;""," "," "))</f>
        <v/>
      </c>
      <c r="AG173">
        <f>IFERROR(--INDEX('Loans'!$L:$L,ROW()),0)</f>
        <v/>
      </c>
      <c r="AH173">
        <f>IF(ISNUMBER(INDEX('Loans'!$G:$G,ROW())),1,0)</f>
        <v/>
      </c>
    </row>
    <row r="174">
      <c r="A174">
        <f>TRIM(SUBSTITUTE(INDEX('Term investments'!$A:$A,ROW())&amp;""," "," "))</f>
        <v/>
      </c>
      <c r="B174">
        <f>TRIM(SUBSTITUTE(INDEX('Term investments'!$B:$B,ROW())&amp;""," "," "))</f>
        <v/>
      </c>
      <c r="C174">
        <f>TRIM(SUBSTITUTE(INDEX('Term investments'!$C:$C,ROW())&amp;""," "," "))</f>
        <v/>
      </c>
      <c r="D174">
        <f>IFERROR(--INDEX('Term investments'!$D:$D,ROW()),0)</f>
        <v/>
      </c>
      <c r="E174">
        <f>IFERROR(--INDEX('Term investments'!$E:$E,ROW()),0)</f>
        <v/>
      </c>
      <c r="F174">
        <f>IFERROR(--INDEX('Term investments'!$F:$F,ROW()),0)</f>
        <v/>
      </c>
      <c r="G174">
        <f>IFERROR(IF(--INDEX('Term investments'!$G:$G,ROW())&gt;=1,--INDEX('Term investments'!$G:$G,ROW())/100,--INDEX('Term investments'!$G:$G,ROW())),0)</f>
        <v/>
      </c>
      <c r="H174">
        <f>IFERROR(--INDEX('Term investments'!$H:$H,ROW()),0)</f>
        <v/>
      </c>
      <c r="I174">
        <f>IF(ISNUMBER(INDEX('Term investments'!$G:$G,ROW())),1,0)</f>
        <v/>
      </c>
      <c r="J174">
        <f>TRIM(SUBSTITUTE(INDEX('Call accounts and MMFs'!$A:$A,ROW())&amp;""," "," "))</f>
        <v/>
      </c>
      <c r="K174">
        <f>TRIM(SUBSTITUTE(INDEX('Call accounts and MMFs'!$B:$B,ROW())&amp;""," "," "))</f>
        <v/>
      </c>
      <c r="L174">
        <f>TRIM(SUBSTITUTE(INDEX('Call accounts and MMFs'!$C:$C,ROW())&amp;""," "," "))</f>
        <v/>
      </c>
      <c r="M174">
        <f>IFERROR(--INDEX('Call accounts and MMFs'!$D:$D,ROW()),0)</f>
        <v/>
      </c>
      <c r="N174">
        <f>IFERROR(IF(--INDEX('Call accounts and MMFs'!$E:$E,ROW())&gt;=1,--INDEX('Call accounts and MMFs'!$E:$E,ROW())/100,--INDEX('Call accounts and MMFs'!$E:$E,ROW())),0)</f>
        <v/>
      </c>
      <c r="O174">
        <f>IFERROR(--INDEX('Call accounts and MMFs'!$F:$F,ROW()),0)</f>
        <v/>
      </c>
      <c r="P174">
        <f>IF(ISNUMBER(INDEX('Call accounts and MMFs'!$E:$E,ROW())),1,0)</f>
        <v/>
      </c>
      <c r="Q174">
        <f>TRIM(SUBSTITUTE(INDEX('Pooled funds'!$B:$B,ROW())&amp;""," "," "))</f>
        <v/>
      </c>
      <c r="R174">
        <f>IFERROR(--INDEX('Pooled funds'!$C:$C,ROW()),0)</f>
        <v/>
      </c>
      <c r="S174">
        <f>IFERROR(--INDEX('Pooled funds'!$D:$D,ROW()),0)</f>
        <v/>
      </c>
      <c r="T174">
        <f>IFERROR(IF(--INDEX('Pooled funds'!$E:$E,ROW())&gt;=1,--INDEX('Pooled funds'!$E:$E,ROW())/100,--INDEX('Pooled funds'!$E:$E,ROW())),0)</f>
        <v/>
      </c>
      <c r="U174">
        <f>IF(ISNUMBER(INDEX('Pooled funds'!$E:$E,ROW())),1,0)</f>
        <v/>
      </c>
      <c r="V174">
        <f>TRIM(SUBSTITUTE(INDEX('Loans'!$A:$A,ROW())&amp;""," "," "))</f>
        <v/>
      </c>
      <c r="W174">
        <f>TRIM(SUBSTITUTE(INDEX('Loans'!$B:$B,ROW())&amp;""," "," "))</f>
        <v/>
      </c>
      <c r="X174">
        <f>TRIM(SUBSTITUTE(INDEX('Loans'!$C:$C,ROW())&amp;""," "," "))</f>
        <v/>
      </c>
      <c r="Y174">
        <f>IFERROR(--INDEX('Loans'!$D:$D,ROW()),0)</f>
        <v/>
      </c>
      <c r="Z174">
        <f>IFERROR(--INDEX('Loans'!$E:$E,ROW()),0)</f>
        <v/>
      </c>
      <c r="AA174">
        <f>IFERROR(--INDEX('Loans'!$F:$F,ROW()),0)</f>
        <v/>
      </c>
      <c r="AB174">
        <f>IFERROR(IF(--INDEX('Loans'!$G:$G,ROW())&gt;=1,--INDEX('Loans'!$G:$G,ROW())/100,--INDEX('Loans'!$G:$G,ROW())),0)</f>
        <v/>
      </c>
      <c r="AC174">
        <f>TRIM(SUBSTITUTE(INDEX('Loans'!$H:$H,ROW())&amp;""," "," "))</f>
        <v/>
      </c>
      <c r="AD174">
        <f>TRIM(SUBSTITUTE(INDEX('Loans'!$I:$I,ROW())&amp;""," "," "))</f>
        <v/>
      </c>
      <c r="AE174">
        <f>IFERROR(--INDEX('Loans'!$J:$J,ROW()),0)</f>
        <v/>
      </c>
      <c r="AF174">
        <f>TRIM(SUBSTITUTE(INDEX('Loans'!$K:$K,ROW())&amp;""," "," "))</f>
        <v/>
      </c>
      <c r="AG174">
        <f>IFERROR(--INDEX('Loans'!$L:$L,ROW()),0)</f>
        <v/>
      </c>
      <c r="AH174">
        <f>IF(ISNUMBER(INDEX('Loans'!$G:$G,ROW())),1,0)</f>
        <v/>
      </c>
    </row>
    <row r="175">
      <c r="A175">
        <f>TRIM(SUBSTITUTE(INDEX('Term investments'!$A:$A,ROW())&amp;""," "," "))</f>
        <v/>
      </c>
      <c r="B175">
        <f>TRIM(SUBSTITUTE(INDEX('Term investments'!$B:$B,ROW())&amp;""," "," "))</f>
        <v/>
      </c>
      <c r="C175">
        <f>TRIM(SUBSTITUTE(INDEX('Term investments'!$C:$C,ROW())&amp;""," "," "))</f>
        <v/>
      </c>
      <c r="D175">
        <f>IFERROR(--INDEX('Term investments'!$D:$D,ROW()),0)</f>
        <v/>
      </c>
      <c r="E175">
        <f>IFERROR(--INDEX('Term investments'!$E:$E,ROW()),0)</f>
        <v/>
      </c>
      <c r="F175">
        <f>IFERROR(--INDEX('Term investments'!$F:$F,ROW()),0)</f>
        <v/>
      </c>
      <c r="G175">
        <f>IFERROR(IF(--INDEX('Term investments'!$G:$G,ROW())&gt;=1,--INDEX('Term investments'!$G:$G,ROW())/100,--INDEX('Term investments'!$G:$G,ROW())),0)</f>
        <v/>
      </c>
      <c r="H175">
        <f>IFERROR(--INDEX('Term investments'!$H:$H,ROW()),0)</f>
        <v/>
      </c>
      <c r="I175">
        <f>IF(ISNUMBER(INDEX('Term investments'!$G:$G,ROW())),1,0)</f>
        <v/>
      </c>
      <c r="J175">
        <f>TRIM(SUBSTITUTE(INDEX('Call accounts and MMFs'!$A:$A,ROW())&amp;""," "," "))</f>
        <v/>
      </c>
      <c r="K175">
        <f>TRIM(SUBSTITUTE(INDEX('Call accounts and MMFs'!$B:$B,ROW())&amp;""," "," "))</f>
        <v/>
      </c>
      <c r="L175">
        <f>TRIM(SUBSTITUTE(INDEX('Call accounts and MMFs'!$C:$C,ROW())&amp;""," "," "))</f>
        <v/>
      </c>
      <c r="M175">
        <f>IFERROR(--INDEX('Call accounts and MMFs'!$D:$D,ROW()),0)</f>
        <v/>
      </c>
      <c r="N175">
        <f>IFERROR(IF(--INDEX('Call accounts and MMFs'!$E:$E,ROW())&gt;=1,--INDEX('Call accounts and MMFs'!$E:$E,ROW())/100,--INDEX('Call accounts and MMFs'!$E:$E,ROW())),0)</f>
        <v/>
      </c>
      <c r="O175">
        <f>IFERROR(--INDEX('Call accounts and MMFs'!$F:$F,ROW()),0)</f>
        <v/>
      </c>
      <c r="P175">
        <f>IF(ISNUMBER(INDEX('Call accounts and MMFs'!$E:$E,ROW())),1,0)</f>
        <v/>
      </c>
      <c r="Q175">
        <f>TRIM(SUBSTITUTE(INDEX('Pooled funds'!$B:$B,ROW())&amp;""," "," "))</f>
        <v/>
      </c>
      <c r="R175">
        <f>IFERROR(--INDEX('Pooled funds'!$C:$C,ROW()),0)</f>
        <v/>
      </c>
      <c r="S175">
        <f>IFERROR(--INDEX('Pooled funds'!$D:$D,ROW()),0)</f>
        <v/>
      </c>
      <c r="T175">
        <f>IFERROR(IF(--INDEX('Pooled funds'!$E:$E,ROW())&gt;=1,--INDEX('Pooled funds'!$E:$E,ROW())/100,--INDEX('Pooled funds'!$E:$E,ROW())),0)</f>
        <v/>
      </c>
      <c r="U175">
        <f>IF(ISNUMBER(INDEX('Pooled funds'!$E:$E,ROW())),1,0)</f>
        <v/>
      </c>
      <c r="V175">
        <f>TRIM(SUBSTITUTE(INDEX('Loans'!$A:$A,ROW())&amp;""," "," "))</f>
        <v/>
      </c>
      <c r="W175">
        <f>TRIM(SUBSTITUTE(INDEX('Loans'!$B:$B,ROW())&amp;""," "," "))</f>
        <v/>
      </c>
      <c r="X175">
        <f>TRIM(SUBSTITUTE(INDEX('Loans'!$C:$C,ROW())&amp;""," "," "))</f>
        <v/>
      </c>
      <c r="Y175">
        <f>IFERROR(--INDEX('Loans'!$D:$D,ROW()),0)</f>
        <v/>
      </c>
      <c r="Z175">
        <f>IFERROR(--INDEX('Loans'!$E:$E,ROW()),0)</f>
        <v/>
      </c>
      <c r="AA175">
        <f>IFERROR(--INDEX('Loans'!$F:$F,ROW()),0)</f>
        <v/>
      </c>
      <c r="AB175">
        <f>IFERROR(IF(--INDEX('Loans'!$G:$G,ROW())&gt;=1,--INDEX('Loans'!$G:$G,ROW())/100,--INDEX('Loans'!$G:$G,ROW())),0)</f>
        <v/>
      </c>
      <c r="AC175">
        <f>TRIM(SUBSTITUTE(INDEX('Loans'!$H:$H,ROW())&amp;""," "," "))</f>
        <v/>
      </c>
      <c r="AD175">
        <f>TRIM(SUBSTITUTE(INDEX('Loans'!$I:$I,ROW())&amp;""," "," "))</f>
        <v/>
      </c>
      <c r="AE175">
        <f>IFERROR(--INDEX('Loans'!$J:$J,ROW()),0)</f>
        <v/>
      </c>
      <c r="AF175">
        <f>TRIM(SUBSTITUTE(INDEX('Loans'!$K:$K,ROW())&amp;""," "," "))</f>
        <v/>
      </c>
      <c r="AG175">
        <f>IFERROR(--INDEX('Loans'!$L:$L,ROW()),0)</f>
        <v/>
      </c>
      <c r="AH175">
        <f>IF(ISNUMBER(INDEX('Loans'!$G:$G,ROW())),1,0)</f>
        <v/>
      </c>
    </row>
    <row r="176">
      <c r="A176">
        <f>TRIM(SUBSTITUTE(INDEX('Term investments'!$A:$A,ROW())&amp;""," "," "))</f>
        <v/>
      </c>
      <c r="B176">
        <f>TRIM(SUBSTITUTE(INDEX('Term investments'!$B:$B,ROW())&amp;""," "," "))</f>
        <v/>
      </c>
      <c r="C176">
        <f>TRIM(SUBSTITUTE(INDEX('Term investments'!$C:$C,ROW())&amp;""," "," "))</f>
        <v/>
      </c>
      <c r="D176">
        <f>IFERROR(--INDEX('Term investments'!$D:$D,ROW()),0)</f>
        <v/>
      </c>
      <c r="E176">
        <f>IFERROR(--INDEX('Term investments'!$E:$E,ROW()),0)</f>
        <v/>
      </c>
      <c r="F176">
        <f>IFERROR(--INDEX('Term investments'!$F:$F,ROW()),0)</f>
        <v/>
      </c>
      <c r="G176">
        <f>IFERROR(IF(--INDEX('Term investments'!$G:$G,ROW())&gt;=1,--INDEX('Term investments'!$G:$G,ROW())/100,--INDEX('Term investments'!$G:$G,ROW())),0)</f>
        <v/>
      </c>
      <c r="H176">
        <f>IFERROR(--INDEX('Term investments'!$H:$H,ROW()),0)</f>
        <v/>
      </c>
      <c r="I176">
        <f>IF(ISNUMBER(INDEX('Term investments'!$G:$G,ROW())),1,0)</f>
        <v/>
      </c>
      <c r="J176">
        <f>TRIM(SUBSTITUTE(INDEX('Call accounts and MMFs'!$A:$A,ROW())&amp;""," "," "))</f>
        <v/>
      </c>
      <c r="K176">
        <f>TRIM(SUBSTITUTE(INDEX('Call accounts and MMFs'!$B:$B,ROW())&amp;""," "," "))</f>
        <v/>
      </c>
      <c r="L176">
        <f>TRIM(SUBSTITUTE(INDEX('Call accounts and MMFs'!$C:$C,ROW())&amp;""," "," "))</f>
        <v/>
      </c>
      <c r="M176">
        <f>IFERROR(--INDEX('Call accounts and MMFs'!$D:$D,ROW()),0)</f>
        <v/>
      </c>
      <c r="N176">
        <f>IFERROR(IF(--INDEX('Call accounts and MMFs'!$E:$E,ROW())&gt;=1,--INDEX('Call accounts and MMFs'!$E:$E,ROW())/100,--INDEX('Call accounts and MMFs'!$E:$E,ROW())),0)</f>
        <v/>
      </c>
      <c r="O176">
        <f>IFERROR(--INDEX('Call accounts and MMFs'!$F:$F,ROW()),0)</f>
        <v/>
      </c>
      <c r="P176">
        <f>IF(ISNUMBER(INDEX('Call accounts and MMFs'!$E:$E,ROW())),1,0)</f>
        <v/>
      </c>
      <c r="Q176">
        <f>TRIM(SUBSTITUTE(INDEX('Pooled funds'!$B:$B,ROW())&amp;""," "," "))</f>
        <v/>
      </c>
      <c r="R176">
        <f>IFERROR(--INDEX('Pooled funds'!$C:$C,ROW()),0)</f>
        <v/>
      </c>
      <c r="S176">
        <f>IFERROR(--INDEX('Pooled funds'!$D:$D,ROW()),0)</f>
        <v/>
      </c>
      <c r="T176">
        <f>IFERROR(IF(--INDEX('Pooled funds'!$E:$E,ROW())&gt;=1,--INDEX('Pooled funds'!$E:$E,ROW())/100,--INDEX('Pooled funds'!$E:$E,ROW())),0)</f>
        <v/>
      </c>
      <c r="U176">
        <f>IF(ISNUMBER(INDEX('Pooled funds'!$E:$E,ROW())),1,0)</f>
        <v/>
      </c>
      <c r="V176">
        <f>TRIM(SUBSTITUTE(INDEX('Loans'!$A:$A,ROW())&amp;""," "," "))</f>
        <v/>
      </c>
      <c r="W176">
        <f>TRIM(SUBSTITUTE(INDEX('Loans'!$B:$B,ROW())&amp;""," "," "))</f>
        <v/>
      </c>
      <c r="X176">
        <f>TRIM(SUBSTITUTE(INDEX('Loans'!$C:$C,ROW())&amp;""," "," "))</f>
        <v/>
      </c>
      <c r="Y176">
        <f>IFERROR(--INDEX('Loans'!$D:$D,ROW()),0)</f>
        <v/>
      </c>
      <c r="Z176">
        <f>IFERROR(--INDEX('Loans'!$E:$E,ROW()),0)</f>
        <v/>
      </c>
      <c r="AA176">
        <f>IFERROR(--INDEX('Loans'!$F:$F,ROW()),0)</f>
        <v/>
      </c>
      <c r="AB176">
        <f>IFERROR(IF(--INDEX('Loans'!$G:$G,ROW())&gt;=1,--INDEX('Loans'!$G:$G,ROW())/100,--INDEX('Loans'!$G:$G,ROW())),0)</f>
        <v/>
      </c>
      <c r="AC176">
        <f>TRIM(SUBSTITUTE(INDEX('Loans'!$H:$H,ROW())&amp;""," "," "))</f>
        <v/>
      </c>
      <c r="AD176">
        <f>TRIM(SUBSTITUTE(INDEX('Loans'!$I:$I,ROW())&amp;""," "," "))</f>
        <v/>
      </c>
      <c r="AE176">
        <f>IFERROR(--INDEX('Loans'!$J:$J,ROW()),0)</f>
        <v/>
      </c>
      <c r="AF176">
        <f>TRIM(SUBSTITUTE(INDEX('Loans'!$K:$K,ROW())&amp;""," "," "))</f>
        <v/>
      </c>
      <c r="AG176">
        <f>IFERROR(--INDEX('Loans'!$L:$L,ROW()),0)</f>
        <v/>
      </c>
      <c r="AH176">
        <f>IF(ISNUMBER(INDEX('Loans'!$G:$G,ROW())),1,0)</f>
        <v/>
      </c>
    </row>
    <row r="177">
      <c r="A177">
        <f>TRIM(SUBSTITUTE(INDEX('Term investments'!$A:$A,ROW())&amp;""," "," "))</f>
        <v/>
      </c>
      <c r="B177">
        <f>TRIM(SUBSTITUTE(INDEX('Term investments'!$B:$B,ROW())&amp;""," "," "))</f>
        <v/>
      </c>
      <c r="C177">
        <f>TRIM(SUBSTITUTE(INDEX('Term investments'!$C:$C,ROW())&amp;""," "," "))</f>
        <v/>
      </c>
      <c r="D177">
        <f>IFERROR(--INDEX('Term investments'!$D:$D,ROW()),0)</f>
        <v/>
      </c>
      <c r="E177">
        <f>IFERROR(--INDEX('Term investments'!$E:$E,ROW()),0)</f>
        <v/>
      </c>
      <c r="F177">
        <f>IFERROR(--INDEX('Term investments'!$F:$F,ROW()),0)</f>
        <v/>
      </c>
      <c r="G177">
        <f>IFERROR(IF(--INDEX('Term investments'!$G:$G,ROW())&gt;=1,--INDEX('Term investments'!$G:$G,ROW())/100,--INDEX('Term investments'!$G:$G,ROW())),0)</f>
        <v/>
      </c>
      <c r="H177">
        <f>IFERROR(--INDEX('Term investments'!$H:$H,ROW()),0)</f>
        <v/>
      </c>
      <c r="I177">
        <f>IF(ISNUMBER(INDEX('Term investments'!$G:$G,ROW())),1,0)</f>
        <v/>
      </c>
      <c r="J177">
        <f>TRIM(SUBSTITUTE(INDEX('Call accounts and MMFs'!$A:$A,ROW())&amp;""," "," "))</f>
        <v/>
      </c>
      <c r="K177">
        <f>TRIM(SUBSTITUTE(INDEX('Call accounts and MMFs'!$B:$B,ROW())&amp;""," "," "))</f>
        <v/>
      </c>
      <c r="L177">
        <f>TRIM(SUBSTITUTE(INDEX('Call accounts and MMFs'!$C:$C,ROW())&amp;""," "," "))</f>
        <v/>
      </c>
      <c r="M177">
        <f>IFERROR(--INDEX('Call accounts and MMFs'!$D:$D,ROW()),0)</f>
        <v/>
      </c>
      <c r="N177">
        <f>IFERROR(IF(--INDEX('Call accounts and MMFs'!$E:$E,ROW())&gt;=1,--INDEX('Call accounts and MMFs'!$E:$E,ROW())/100,--INDEX('Call accounts and MMFs'!$E:$E,ROW())),0)</f>
        <v/>
      </c>
      <c r="O177">
        <f>IFERROR(--INDEX('Call accounts and MMFs'!$F:$F,ROW()),0)</f>
        <v/>
      </c>
      <c r="P177">
        <f>IF(ISNUMBER(INDEX('Call accounts and MMFs'!$E:$E,ROW())),1,0)</f>
        <v/>
      </c>
      <c r="Q177">
        <f>TRIM(SUBSTITUTE(INDEX('Pooled funds'!$B:$B,ROW())&amp;""," "," "))</f>
        <v/>
      </c>
      <c r="R177">
        <f>IFERROR(--INDEX('Pooled funds'!$C:$C,ROW()),0)</f>
        <v/>
      </c>
      <c r="S177">
        <f>IFERROR(--INDEX('Pooled funds'!$D:$D,ROW()),0)</f>
        <v/>
      </c>
      <c r="T177">
        <f>IFERROR(IF(--INDEX('Pooled funds'!$E:$E,ROW())&gt;=1,--INDEX('Pooled funds'!$E:$E,ROW())/100,--INDEX('Pooled funds'!$E:$E,ROW())),0)</f>
        <v/>
      </c>
      <c r="U177">
        <f>IF(ISNUMBER(INDEX('Pooled funds'!$E:$E,ROW())),1,0)</f>
        <v/>
      </c>
      <c r="V177">
        <f>TRIM(SUBSTITUTE(INDEX('Loans'!$A:$A,ROW())&amp;""," "," "))</f>
        <v/>
      </c>
      <c r="W177">
        <f>TRIM(SUBSTITUTE(INDEX('Loans'!$B:$B,ROW())&amp;""," "," "))</f>
        <v/>
      </c>
      <c r="X177">
        <f>TRIM(SUBSTITUTE(INDEX('Loans'!$C:$C,ROW())&amp;""," "," "))</f>
        <v/>
      </c>
      <c r="Y177">
        <f>IFERROR(--INDEX('Loans'!$D:$D,ROW()),0)</f>
        <v/>
      </c>
      <c r="Z177">
        <f>IFERROR(--INDEX('Loans'!$E:$E,ROW()),0)</f>
        <v/>
      </c>
      <c r="AA177">
        <f>IFERROR(--INDEX('Loans'!$F:$F,ROW()),0)</f>
        <v/>
      </c>
      <c r="AB177">
        <f>IFERROR(IF(--INDEX('Loans'!$G:$G,ROW())&gt;=1,--INDEX('Loans'!$G:$G,ROW())/100,--INDEX('Loans'!$G:$G,ROW())),0)</f>
        <v/>
      </c>
      <c r="AC177">
        <f>TRIM(SUBSTITUTE(INDEX('Loans'!$H:$H,ROW())&amp;""," "," "))</f>
        <v/>
      </c>
      <c r="AD177">
        <f>TRIM(SUBSTITUTE(INDEX('Loans'!$I:$I,ROW())&amp;""," "," "))</f>
        <v/>
      </c>
      <c r="AE177">
        <f>IFERROR(--INDEX('Loans'!$J:$J,ROW()),0)</f>
        <v/>
      </c>
      <c r="AF177">
        <f>TRIM(SUBSTITUTE(INDEX('Loans'!$K:$K,ROW())&amp;""," "," "))</f>
        <v/>
      </c>
      <c r="AG177">
        <f>IFERROR(--INDEX('Loans'!$L:$L,ROW()),0)</f>
        <v/>
      </c>
      <c r="AH177">
        <f>IF(ISNUMBER(INDEX('Loans'!$G:$G,ROW())),1,0)</f>
        <v/>
      </c>
    </row>
    <row r="178">
      <c r="A178">
        <f>TRIM(SUBSTITUTE(INDEX('Term investments'!$A:$A,ROW())&amp;""," "," "))</f>
        <v/>
      </c>
      <c r="B178">
        <f>TRIM(SUBSTITUTE(INDEX('Term investments'!$B:$B,ROW())&amp;""," "," "))</f>
        <v/>
      </c>
      <c r="C178">
        <f>TRIM(SUBSTITUTE(INDEX('Term investments'!$C:$C,ROW())&amp;""," "," "))</f>
        <v/>
      </c>
      <c r="D178">
        <f>IFERROR(--INDEX('Term investments'!$D:$D,ROW()),0)</f>
        <v/>
      </c>
      <c r="E178">
        <f>IFERROR(--INDEX('Term investments'!$E:$E,ROW()),0)</f>
        <v/>
      </c>
      <c r="F178">
        <f>IFERROR(--INDEX('Term investments'!$F:$F,ROW()),0)</f>
        <v/>
      </c>
      <c r="G178">
        <f>IFERROR(IF(--INDEX('Term investments'!$G:$G,ROW())&gt;=1,--INDEX('Term investments'!$G:$G,ROW())/100,--INDEX('Term investments'!$G:$G,ROW())),0)</f>
        <v/>
      </c>
      <c r="H178">
        <f>IFERROR(--INDEX('Term investments'!$H:$H,ROW()),0)</f>
        <v/>
      </c>
      <c r="I178">
        <f>IF(ISNUMBER(INDEX('Term investments'!$G:$G,ROW())),1,0)</f>
        <v/>
      </c>
      <c r="J178">
        <f>TRIM(SUBSTITUTE(INDEX('Call accounts and MMFs'!$A:$A,ROW())&amp;""," "," "))</f>
        <v/>
      </c>
      <c r="K178">
        <f>TRIM(SUBSTITUTE(INDEX('Call accounts and MMFs'!$B:$B,ROW())&amp;""," "," "))</f>
        <v/>
      </c>
      <c r="L178">
        <f>TRIM(SUBSTITUTE(INDEX('Call accounts and MMFs'!$C:$C,ROW())&amp;""," "," "))</f>
        <v/>
      </c>
      <c r="M178">
        <f>IFERROR(--INDEX('Call accounts and MMFs'!$D:$D,ROW()),0)</f>
        <v/>
      </c>
      <c r="N178">
        <f>IFERROR(IF(--INDEX('Call accounts and MMFs'!$E:$E,ROW())&gt;=1,--INDEX('Call accounts and MMFs'!$E:$E,ROW())/100,--INDEX('Call accounts and MMFs'!$E:$E,ROW())),0)</f>
        <v/>
      </c>
      <c r="O178">
        <f>IFERROR(--INDEX('Call accounts and MMFs'!$F:$F,ROW()),0)</f>
        <v/>
      </c>
      <c r="P178">
        <f>IF(ISNUMBER(INDEX('Call accounts and MMFs'!$E:$E,ROW())),1,0)</f>
        <v/>
      </c>
      <c r="Q178">
        <f>TRIM(SUBSTITUTE(INDEX('Pooled funds'!$B:$B,ROW())&amp;""," "," "))</f>
        <v/>
      </c>
      <c r="R178">
        <f>IFERROR(--INDEX('Pooled funds'!$C:$C,ROW()),0)</f>
        <v/>
      </c>
      <c r="S178">
        <f>IFERROR(--INDEX('Pooled funds'!$D:$D,ROW()),0)</f>
        <v/>
      </c>
      <c r="T178">
        <f>IFERROR(IF(--INDEX('Pooled funds'!$E:$E,ROW())&gt;=1,--INDEX('Pooled funds'!$E:$E,ROW())/100,--INDEX('Pooled funds'!$E:$E,ROW())),0)</f>
        <v/>
      </c>
      <c r="U178">
        <f>IF(ISNUMBER(INDEX('Pooled funds'!$E:$E,ROW())),1,0)</f>
        <v/>
      </c>
      <c r="V178">
        <f>TRIM(SUBSTITUTE(INDEX('Loans'!$A:$A,ROW())&amp;""," "," "))</f>
        <v/>
      </c>
      <c r="W178">
        <f>TRIM(SUBSTITUTE(INDEX('Loans'!$B:$B,ROW())&amp;""," "," "))</f>
        <v/>
      </c>
      <c r="X178">
        <f>TRIM(SUBSTITUTE(INDEX('Loans'!$C:$C,ROW())&amp;""," "," "))</f>
        <v/>
      </c>
      <c r="Y178">
        <f>IFERROR(--INDEX('Loans'!$D:$D,ROW()),0)</f>
        <v/>
      </c>
      <c r="Z178">
        <f>IFERROR(--INDEX('Loans'!$E:$E,ROW()),0)</f>
        <v/>
      </c>
      <c r="AA178">
        <f>IFERROR(--INDEX('Loans'!$F:$F,ROW()),0)</f>
        <v/>
      </c>
      <c r="AB178">
        <f>IFERROR(IF(--INDEX('Loans'!$G:$G,ROW())&gt;=1,--INDEX('Loans'!$G:$G,ROW())/100,--INDEX('Loans'!$G:$G,ROW())),0)</f>
        <v/>
      </c>
      <c r="AC178">
        <f>TRIM(SUBSTITUTE(INDEX('Loans'!$H:$H,ROW())&amp;""," "," "))</f>
        <v/>
      </c>
      <c r="AD178">
        <f>TRIM(SUBSTITUTE(INDEX('Loans'!$I:$I,ROW())&amp;""," "," "))</f>
        <v/>
      </c>
      <c r="AE178">
        <f>IFERROR(--INDEX('Loans'!$J:$J,ROW()),0)</f>
        <v/>
      </c>
      <c r="AF178">
        <f>TRIM(SUBSTITUTE(INDEX('Loans'!$K:$K,ROW())&amp;""," "," "))</f>
        <v/>
      </c>
      <c r="AG178">
        <f>IFERROR(--INDEX('Loans'!$L:$L,ROW()),0)</f>
        <v/>
      </c>
      <c r="AH178">
        <f>IF(ISNUMBER(INDEX('Loans'!$G:$G,ROW())),1,0)</f>
        <v/>
      </c>
    </row>
    <row r="179">
      <c r="A179">
        <f>TRIM(SUBSTITUTE(INDEX('Term investments'!$A:$A,ROW())&amp;""," "," "))</f>
        <v/>
      </c>
      <c r="B179">
        <f>TRIM(SUBSTITUTE(INDEX('Term investments'!$B:$B,ROW())&amp;""," "," "))</f>
        <v/>
      </c>
      <c r="C179">
        <f>TRIM(SUBSTITUTE(INDEX('Term investments'!$C:$C,ROW())&amp;""," "," "))</f>
        <v/>
      </c>
      <c r="D179">
        <f>IFERROR(--INDEX('Term investments'!$D:$D,ROW()),0)</f>
        <v/>
      </c>
      <c r="E179">
        <f>IFERROR(--INDEX('Term investments'!$E:$E,ROW()),0)</f>
        <v/>
      </c>
      <c r="F179">
        <f>IFERROR(--INDEX('Term investments'!$F:$F,ROW()),0)</f>
        <v/>
      </c>
      <c r="G179">
        <f>IFERROR(IF(--INDEX('Term investments'!$G:$G,ROW())&gt;=1,--INDEX('Term investments'!$G:$G,ROW())/100,--INDEX('Term investments'!$G:$G,ROW())),0)</f>
        <v/>
      </c>
      <c r="H179">
        <f>IFERROR(--INDEX('Term investments'!$H:$H,ROW()),0)</f>
        <v/>
      </c>
      <c r="I179">
        <f>IF(ISNUMBER(INDEX('Term investments'!$G:$G,ROW())),1,0)</f>
        <v/>
      </c>
      <c r="J179">
        <f>TRIM(SUBSTITUTE(INDEX('Call accounts and MMFs'!$A:$A,ROW())&amp;""," "," "))</f>
        <v/>
      </c>
      <c r="K179">
        <f>TRIM(SUBSTITUTE(INDEX('Call accounts and MMFs'!$B:$B,ROW())&amp;""," "," "))</f>
        <v/>
      </c>
      <c r="L179">
        <f>TRIM(SUBSTITUTE(INDEX('Call accounts and MMFs'!$C:$C,ROW())&amp;""," "," "))</f>
        <v/>
      </c>
      <c r="M179">
        <f>IFERROR(--INDEX('Call accounts and MMFs'!$D:$D,ROW()),0)</f>
        <v/>
      </c>
      <c r="N179">
        <f>IFERROR(IF(--INDEX('Call accounts and MMFs'!$E:$E,ROW())&gt;=1,--INDEX('Call accounts and MMFs'!$E:$E,ROW())/100,--INDEX('Call accounts and MMFs'!$E:$E,ROW())),0)</f>
        <v/>
      </c>
      <c r="O179">
        <f>IFERROR(--INDEX('Call accounts and MMFs'!$F:$F,ROW()),0)</f>
        <v/>
      </c>
      <c r="P179">
        <f>IF(ISNUMBER(INDEX('Call accounts and MMFs'!$E:$E,ROW())),1,0)</f>
        <v/>
      </c>
      <c r="Q179">
        <f>TRIM(SUBSTITUTE(INDEX('Pooled funds'!$B:$B,ROW())&amp;""," "," "))</f>
        <v/>
      </c>
      <c r="R179">
        <f>IFERROR(--INDEX('Pooled funds'!$C:$C,ROW()),0)</f>
        <v/>
      </c>
      <c r="S179">
        <f>IFERROR(--INDEX('Pooled funds'!$D:$D,ROW()),0)</f>
        <v/>
      </c>
      <c r="T179">
        <f>IFERROR(IF(--INDEX('Pooled funds'!$E:$E,ROW())&gt;=1,--INDEX('Pooled funds'!$E:$E,ROW())/100,--INDEX('Pooled funds'!$E:$E,ROW())),0)</f>
        <v/>
      </c>
      <c r="U179">
        <f>IF(ISNUMBER(INDEX('Pooled funds'!$E:$E,ROW())),1,0)</f>
        <v/>
      </c>
      <c r="V179">
        <f>TRIM(SUBSTITUTE(INDEX('Loans'!$A:$A,ROW())&amp;""," "," "))</f>
        <v/>
      </c>
      <c r="W179">
        <f>TRIM(SUBSTITUTE(INDEX('Loans'!$B:$B,ROW())&amp;""," "," "))</f>
        <v/>
      </c>
      <c r="X179">
        <f>TRIM(SUBSTITUTE(INDEX('Loans'!$C:$C,ROW())&amp;""," "," "))</f>
        <v/>
      </c>
      <c r="Y179">
        <f>IFERROR(--INDEX('Loans'!$D:$D,ROW()),0)</f>
        <v/>
      </c>
      <c r="Z179">
        <f>IFERROR(--INDEX('Loans'!$E:$E,ROW()),0)</f>
        <v/>
      </c>
      <c r="AA179">
        <f>IFERROR(--INDEX('Loans'!$F:$F,ROW()),0)</f>
        <v/>
      </c>
      <c r="AB179">
        <f>IFERROR(IF(--INDEX('Loans'!$G:$G,ROW())&gt;=1,--INDEX('Loans'!$G:$G,ROW())/100,--INDEX('Loans'!$G:$G,ROW())),0)</f>
        <v/>
      </c>
      <c r="AC179">
        <f>TRIM(SUBSTITUTE(INDEX('Loans'!$H:$H,ROW())&amp;""," "," "))</f>
        <v/>
      </c>
      <c r="AD179">
        <f>TRIM(SUBSTITUTE(INDEX('Loans'!$I:$I,ROW())&amp;""," "," "))</f>
        <v/>
      </c>
      <c r="AE179">
        <f>IFERROR(--INDEX('Loans'!$J:$J,ROW()),0)</f>
        <v/>
      </c>
      <c r="AF179">
        <f>TRIM(SUBSTITUTE(INDEX('Loans'!$K:$K,ROW())&amp;""," "," "))</f>
        <v/>
      </c>
      <c r="AG179">
        <f>IFERROR(--INDEX('Loans'!$L:$L,ROW()),0)</f>
        <v/>
      </c>
      <c r="AH179">
        <f>IF(ISNUMBER(INDEX('Loans'!$G:$G,ROW())),1,0)</f>
        <v/>
      </c>
    </row>
    <row r="180">
      <c r="A180">
        <f>TRIM(SUBSTITUTE(INDEX('Term investments'!$A:$A,ROW())&amp;""," "," "))</f>
        <v/>
      </c>
      <c r="B180">
        <f>TRIM(SUBSTITUTE(INDEX('Term investments'!$B:$B,ROW())&amp;""," "," "))</f>
        <v/>
      </c>
      <c r="C180">
        <f>TRIM(SUBSTITUTE(INDEX('Term investments'!$C:$C,ROW())&amp;""," "," "))</f>
        <v/>
      </c>
      <c r="D180">
        <f>IFERROR(--INDEX('Term investments'!$D:$D,ROW()),0)</f>
        <v/>
      </c>
      <c r="E180">
        <f>IFERROR(--INDEX('Term investments'!$E:$E,ROW()),0)</f>
        <v/>
      </c>
      <c r="F180">
        <f>IFERROR(--INDEX('Term investments'!$F:$F,ROW()),0)</f>
        <v/>
      </c>
      <c r="G180">
        <f>IFERROR(IF(--INDEX('Term investments'!$G:$G,ROW())&gt;=1,--INDEX('Term investments'!$G:$G,ROW())/100,--INDEX('Term investments'!$G:$G,ROW())),0)</f>
        <v/>
      </c>
      <c r="H180">
        <f>IFERROR(--INDEX('Term investments'!$H:$H,ROW()),0)</f>
        <v/>
      </c>
      <c r="I180">
        <f>IF(ISNUMBER(INDEX('Term investments'!$G:$G,ROW())),1,0)</f>
        <v/>
      </c>
      <c r="J180">
        <f>TRIM(SUBSTITUTE(INDEX('Call accounts and MMFs'!$A:$A,ROW())&amp;""," "," "))</f>
        <v/>
      </c>
      <c r="K180">
        <f>TRIM(SUBSTITUTE(INDEX('Call accounts and MMFs'!$B:$B,ROW())&amp;""," "," "))</f>
        <v/>
      </c>
      <c r="L180">
        <f>TRIM(SUBSTITUTE(INDEX('Call accounts and MMFs'!$C:$C,ROW())&amp;""," "," "))</f>
        <v/>
      </c>
      <c r="M180">
        <f>IFERROR(--INDEX('Call accounts and MMFs'!$D:$D,ROW()),0)</f>
        <v/>
      </c>
      <c r="N180">
        <f>IFERROR(IF(--INDEX('Call accounts and MMFs'!$E:$E,ROW())&gt;=1,--INDEX('Call accounts and MMFs'!$E:$E,ROW())/100,--INDEX('Call accounts and MMFs'!$E:$E,ROW())),0)</f>
        <v/>
      </c>
      <c r="O180">
        <f>IFERROR(--INDEX('Call accounts and MMFs'!$F:$F,ROW()),0)</f>
        <v/>
      </c>
      <c r="P180">
        <f>IF(ISNUMBER(INDEX('Call accounts and MMFs'!$E:$E,ROW())),1,0)</f>
        <v/>
      </c>
      <c r="Q180">
        <f>TRIM(SUBSTITUTE(INDEX('Pooled funds'!$B:$B,ROW())&amp;""," "," "))</f>
        <v/>
      </c>
      <c r="R180">
        <f>IFERROR(--INDEX('Pooled funds'!$C:$C,ROW()),0)</f>
        <v/>
      </c>
      <c r="S180">
        <f>IFERROR(--INDEX('Pooled funds'!$D:$D,ROW()),0)</f>
        <v/>
      </c>
      <c r="T180">
        <f>IFERROR(IF(--INDEX('Pooled funds'!$E:$E,ROW())&gt;=1,--INDEX('Pooled funds'!$E:$E,ROW())/100,--INDEX('Pooled funds'!$E:$E,ROW())),0)</f>
        <v/>
      </c>
      <c r="U180">
        <f>IF(ISNUMBER(INDEX('Pooled funds'!$E:$E,ROW())),1,0)</f>
        <v/>
      </c>
      <c r="V180">
        <f>TRIM(SUBSTITUTE(INDEX('Loans'!$A:$A,ROW())&amp;""," "," "))</f>
        <v/>
      </c>
      <c r="W180">
        <f>TRIM(SUBSTITUTE(INDEX('Loans'!$B:$B,ROW())&amp;""," "," "))</f>
        <v/>
      </c>
      <c r="X180">
        <f>TRIM(SUBSTITUTE(INDEX('Loans'!$C:$C,ROW())&amp;""," "," "))</f>
        <v/>
      </c>
      <c r="Y180">
        <f>IFERROR(--INDEX('Loans'!$D:$D,ROW()),0)</f>
        <v/>
      </c>
      <c r="Z180">
        <f>IFERROR(--INDEX('Loans'!$E:$E,ROW()),0)</f>
        <v/>
      </c>
      <c r="AA180">
        <f>IFERROR(--INDEX('Loans'!$F:$F,ROW()),0)</f>
        <v/>
      </c>
      <c r="AB180">
        <f>IFERROR(IF(--INDEX('Loans'!$G:$G,ROW())&gt;=1,--INDEX('Loans'!$G:$G,ROW())/100,--INDEX('Loans'!$G:$G,ROW())),0)</f>
        <v/>
      </c>
      <c r="AC180">
        <f>TRIM(SUBSTITUTE(INDEX('Loans'!$H:$H,ROW())&amp;""," "," "))</f>
        <v/>
      </c>
      <c r="AD180">
        <f>TRIM(SUBSTITUTE(INDEX('Loans'!$I:$I,ROW())&amp;""," "," "))</f>
        <v/>
      </c>
      <c r="AE180">
        <f>IFERROR(--INDEX('Loans'!$J:$J,ROW()),0)</f>
        <v/>
      </c>
      <c r="AF180">
        <f>TRIM(SUBSTITUTE(INDEX('Loans'!$K:$K,ROW())&amp;""," "," "))</f>
        <v/>
      </c>
      <c r="AG180">
        <f>IFERROR(--INDEX('Loans'!$L:$L,ROW()),0)</f>
        <v/>
      </c>
      <c r="AH180">
        <f>IF(ISNUMBER(INDEX('Loans'!$G:$G,ROW())),1,0)</f>
        <v/>
      </c>
    </row>
    <row r="181">
      <c r="A181">
        <f>TRIM(SUBSTITUTE(INDEX('Term investments'!$A:$A,ROW())&amp;""," "," "))</f>
        <v/>
      </c>
      <c r="B181">
        <f>TRIM(SUBSTITUTE(INDEX('Term investments'!$B:$B,ROW())&amp;""," "," "))</f>
        <v/>
      </c>
      <c r="C181">
        <f>TRIM(SUBSTITUTE(INDEX('Term investments'!$C:$C,ROW())&amp;""," "," "))</f>
        <v/>
      </c>
      <c r="D181">
        <f>IFERROR(--INDEX('Term investments'!$D:$D,ROW()),0)</f>
        <v/>
      </c>
      <c r="E181">
        <f>IFERROR(--INDEX('Term investments'!$E:$E,ROW()),0)</f>
        <v/>
      </c>
      <c r="F181">
        <f>IFERROR(--INDEX('Term investments'!$F:$F,ROW()),0)</f>
        <v/>
      </c>
      <c r="G181">
        <f>IFERROR(IF(--INDEX('Term investments'!$G:$G,ROW())&gt;=1,--INDEX('Term investments'!$G:$G,ROW())/100,--INDEX('Term investments'!$G:$G,ROW())),0)</f>
        <v/>
      </c>
      <c r="H181">
        <f>IFERROR(--INDEX('Term investments'!$H:$H,ROW()),0)</f>
        <v/>
      </c>
      <c r="I181">
        <f>IF(ISNUMBER(INDEX('Term investments'!$G:$G,ROW())),1,0)</f>
        <v/>
      </c>
      <c r="J181">
        <f>TRIM(SUBSTITUTE(INDEX('Call accounts and MMFs'!$A:$A,ROW())&amp;""," "," "))</f>
        <v/>
      </c>
      <c r="K181">
        <f>TRIM(SUBSTITUTE(INDEX('Call accounts and MMFs'!$B:$B,ROW())&amp;""," "," "))</f>
        <v/>
      </c>
      <c r="L181">
        <f>TRIM(SUBSTITUTE(INDEX('Call accounts and MMFs'!$C:$C,ROW())&amp;""," "," "))</f>
        <v/>
      </c>
      <c r="M181">
        <f>IFERROR(--INDEX('Call accounts and MMFs'!$D:$D,ROW()),0)</f>
        <v/>
      </c>
      <c r="N181">
        <f>IFERROR(IF(--INDEX('Call accounts and MMFs'!$E:$E,ROW())&gt;=1,--INDEX('Call accounts and MMFs'!$E:$E,ROW())/100,--INDEX('Call accounts and MMFs'!$E:$E,ROW())),0)</f>
        <v/>
      </c>
      <c r="O181">
        <f>IFERROR(--INDEX('Call accounts and MMFs'!$F:$F,ROW()),0)</f>
        <v/>
      </c>
      <c r="P181">
        <f>IF(ISNUMBER(INDEX('Call accounts and MMFs'!$E:$E,ROW())),1,0)</f>
        <v/>
      </c>
      <c r="Q181">
        <f>TRIM(SUBSTITUTE(INDEX('Pooled funds'!$B:$B,ROW())&amp;""," "," "))</f>
        <v/>
      </c>
      <c r="R181">
        <f>IFERROR(--INDEX('Pooled funds'!$C:$C,ROW()),0)</f>
        <v/>
      </c>
      <c r="S181">
        <f>IFERROR(--INDEX('Pooled funds'!$D:$D,ROW()),0)</f>
        <v/>
      </c>
      <c r="T181">
        <f>IFERROR(IF(--INDEX('Pooled funds'!$E:$E,ROW())&gt;=1,--INDEX('Pooled funds'!$E:$E,ROW())/100,--INDEX('Pooled funds'!$E:$E,ROW())),0)</f>
        <v/>
      </c>
      <c r="U181">
        <f>IF(ISNUMBER(INDEX('Pooled funds'!$E:$E,ROW())),1,0)</f>
        <v/>
      </c>
      <c r="V181">
        <f>TRIM(SUBSTITUTE(INDEX('Loans'!$A:$A,ROW())&amp;""," "," "))</f>
        <v/>
      </c>
      <c r="W181">
        <f>TRIM(SUBSTITUTE(INDEX('Loans'!$B:$B,ROW())&amp;""," "," "))</f>
        <v/>
      </c>
      <c r="X181">
        <f>TRIM(SUBSTITUTE(INDEX('Loans'!$C:$C,ROW())&amp;""," "," "))</f>
        <v/>
      </c>
      <c r="Y181">
        <f>IFERROR(--INDEX('Loans'!$D:$D,ROW()),0)</f>
        <v/>
      </c>
      <c r="Z181">
        <f>IFERROR(--INDEX('Loans'!$E:$E,ROW()),0)</f>
        <v/>
      </c>
      <c r="AA181">
        <f>IFERROR(--INDEX('Loans'!$F:$F,ROW()),0)</f>
        <v/>
      </c>
      <c r="AB181">
        <f>IFERROR(IF(--INDEX('Loans'!$G:$G,ROW())&gt;=1,--INDEX('Loans'!$G:$G,ROW())/100,--INDEX('Loans'!$G:$G,ROW())),0)</f>
        <v/>
      </c>
      <c r="AC181">
        <f>TRIM(SUBSTITUTE(INDEX('Loans'!$H:$H,ROW())&amp;""," "," "))</f>
        <v/>
      </c>
      <c r="AD181">
        <f>TRIM(SUBSTITUTE(INDEX('Loans'!$I:$I,ROW())&amp;""," "," "))</f>
        <v/>
      </c>
      <c r="AE181">
        <f>IFERROR(--INDEX('Loans'!$J:$J,ROW()),0)</f>
        <v/>
      </c>
      <c r="AF181">
        <f>TRIM(SUBSTITUTE(INDEX('Loans'!$K:$K,ROW())&amp;""," "," "))</f>
        <v/>
      </c>
      <c r="AG181">
        <f>IFERROR(--INDEX('Loans'!$L:$L,ROW()),0)</f>
        <v/>
      </c>
      <c r="AH181">
        <f>IF(ISNUMBER(INDEX('Loans'!$G:$G,ROW())),1,0)</f>
        <v/>
      </c>
    </row>
    <row r="182">
      <c r="A182">
        <f>TRIM(SUBSTITUTE(INDEX('Term investments'!$A:$A,ROW())&amp;""," "," "))</f>
        <v/>
      </c>
      <c r="B182">
        <f>TRIM(SUBSTITUTE(INDEX('Term investments'!$B:$B,ROW())&amp;""," "," "))</f>
        <v/>
      </c>
      <c r="C182">
        <f>TRIM(SUBSTITUTE(INDEX('Term investments'!$C:$C,ROW())&amp;""," "," "))</f>
        <v/>
      </c>
      <c r="D182">
        <f>IFERROR(--INDEX('Term investments'!$D:$D,ROW()),0)</f>
        <v/>
      </c>
      <c r="E182">
        <f>IFERROR(--INDEX('Term investments'!$E:$E,ROW()),0)</f>
        <v/>
      </c>
      <c r="F182">
        <f>IFERROR(--INDEX('Term investments'!$F:$F,ROW()),0)</f>
        <v/>
      </c>
      <c r="G182">
        <f>IFERROR(IF(--INDEX('Term investments'!$G:$G,ROW())&gt;=1,--INDEX('Term investments'!$G:$G,ROW())/100,--INDEX('Term investments'!$G:$G,ROW())),0)</f>
        <v/>
      </c>
      <c r="H182">
        <f>IFERROR(--INDEX('Term investments'!$H:$H,ROW()),0)</f>
        <v/>
      </c>
      <c r="I182">
        <f>IF(ISNUMBER(INDEX('Term investments'!$G:$G,ROW())),1,0)</f>
        <v/>
      </c>
      <c r="J182">
        <f>TRIM(SUBSTITUTE(INDEX('Call accounts and MMFs'!$A:$A,ROW())&amp;""," "," "))</f>
        <v/>
      </c>
      <c r="K182">
        <f>TRIM(SUBSTITUTE(INDEX('Call accounts and MMFs'!$B:$B,ROW())&amp;""," "," "))</f>
        <v/>
      </c>
      <c r="L182">
        <f>TRIM(SUBSTITUTE(INDEX('Call accounts and MMFs'!$C:$C,ROW())&amp;""," "," "))</f>
        <v/>
      </c>
      <c r="M182">
        <f>IFERROR(--INDEX('Call accounts and MMFs'!$D:$D,ROW()),0)</f>
        <v/>
      </c>
      <c r="N182">
        <f>IFERROR(IF(--INDEX('Call accounts and MMFs'!$E:$E,ROW())&gt;=1,--INDEX('Call accounts and MMFs'!$E:$E,ROW())/100,--INDEX('Call accounts and MMFs'!$E:$E,ROW())),0)</f>
        <v/>
      </c>
      <c r="O182">
        <f>IFERROR(--INDEX('Call accounts and MMFs'!$F:$F,ROW()),0)</f>
        <v/>
      </c>
      <c r="P182">
        <f>IF(ISNUMBER(INDEX('Call accounts and MMFs'!$E:$E,ROW())),1,0)</f>
        <v/>
      </c>
      <c r="Q182">
        <f>TRIM(SUBSTITUTE(INDEX('Pooled funds'!$B:$B,ROW())&amp;""," "," "))</f>
        <v/>
      </c>
      <c r="R182">
        <f>IFERROR(--INDEX('Pooled funds'!$C:$C,ROW()),0)</f>
        <v/>
      </c>
      <c r="S182">
        <f>IFERROR(--INDEX('Pooled funds'!$D:$D,ROW()),0)</f>
        <v/>
      </c>
      <c r="T182">
        <f>IFERROR(IF(--INDEX('Pooled funds'!$E:$E,ROW())&gt;=1,--INDEX('Pooled funds'!$E:$E,ROW())/100,--INDEX('Pooled funds'!$E:$E,ROW())),0)</f>
        <v/>
      </c>
      <c r="U182">
        <f>IF(ISNUMBER(INDEX('Pooled funds'!$E:$E,ROW())),1,0)</f>
        <v/>
      </c>
      <c r="V182">
        <f>TRIM(SUBSTITUTE(INDEX('Loans'!$A:$A,ROW())&amp;""," "," "))</f>
        <v/>
      </c>
      <c r="W182">
        <f>TRIM(SUBSTITUTE(INDEX('Loans'!$B:$B,ROW())&amp;""," "," "))</f>
        <v/>
      </c>
      <c r="X182">
        <f>TRIM(SUBSTITUTE(INDEX('Loans'!$C:$C,ROW())&amp;""," "," "))</f>
        <v/>
      </c>
      <c r="Y182">
        <f>IFERROR(--INDEX('Loans'!$D:$D,ROW()),0)</f>
        <v/>
      </c>
      <c r="Z182">
        <f>IFERROR(--INDEX('Loans'!$E:$E,ROW()),0)</f>
        <v/>
      </c>
      <c r="AA182">
        <f>IFERROR(--INDEX('Loans'!$F:$F,ROW()),0)</f>
        <v/>
      </c>
      <c r="AB182">
        <f>IFERROR(IF(--INDEX('Loans'!$G:$G,ROW())&gt;=1,--INDEX('Loans'!$G:$G,ROW())/100,--INDEX('Loans'!$G:$G,ROW())),0)</f>
        <v/>
      </c>
      <c r="AC182">
        <f>TRIM(SUBSTITUTE(INDEX('Loans'!$H:$H,ROW())&amp;""," "," "))</f>
        <v/>
      </c>
      <c r="AD182">
        <f>TRIM(SUBSTITUTE(INDEX('Loans'!$I:$I,ROW())&amp;""," "," "))</f>
        <v/>
      </c>
      <c r="AE182">
        <f>IFERROR(--INDEX('Loans'!$J:$J,ROW()),0)</f>
        <v/>
      </c>
      <c r="AF182">
        <f>TRIM(SUBSTITUTE(INDEX('Loans'!$K:$K,ROW())&amp;""," "," "))</f>
        <v/>
      </c>
      <c r="AG182">
        <f>IFERROR(--INDEX('Loans'!$L:$L,ROW()),0)</f>
        <v/>
      </c>
      <c r="AH182">
        <f>IF(ISNUMBER(INDEX('Loans'!$G:$G,ROW())),1,0)</f>
        <v/>
      </c>
    </row>
    <row r="183">
      <c r="A183">
        <f>TRIM(SUBSTITUTE(INDEX('Term investments'!$A:$A,ROW())&amp;""," "," "))</f>
        <v/>
      </c>
      <c r="B183">
        <f>TRIM(SUBSTITUTE(INDEX('Term investments'!$B:$B,ROW())&amp;""," "," "))</f>
        <v/>
      </c>
      <c r="C183">
        <f>TRIM(SUBSTITUTE(INDEX('Term investments'!$C:$C,ROW())&amp;""," "," "))</f>
        <v/>
      </c>
      <c r="D183">
        <f>IFERROR(--INDEX('Term investments'!$D:$D,ROW()),0)</f>
        <v/>
      </c>
      <c r="E183">
        <f>IFERROR(--INDEX('Term investments'!$E:$E,ROW()),0)</f>
        <v/>
      </c>
      <c r="F183">
        <f>IFERROR(--INDEX('Term investments'!$F:$F,ROW()),0)</f>
        <v/>
      </c>
      <c r="G183">
        <f>IFERROR(IF(--INDEX('Term investments'!$G:$G,ROW())&gt;=1,--INDEX('Term investments'!$G:$G,ROW())/100,--INDEX('Term investments'!$G:$G,ROW())),0)</f>
        <v/>
      </c>
      <c r="H183">
        <f>IFERROR(--INDEX('Term investments'!$H:$H,ROW()),0)</f>
        <v/>
      </c>
      <c r="I183">
        <f>IF(ISNUMBER(INDEX('Term investments'!$G:$G,ROW())),1,0)</f>
        <v/>
      </c>
      <c r="J183">
        <f>TRIM(SUBSTITUTE(INDEX('Call accounts and MMFs'!$A:$A,ROW())&amp;""," "," "))</f>
        <v/>
      </c>
      <c r="K183">
        <f>TRIM(SUBSTITUTE(INDEX('Call accounts and MMFs'!$B:$B,ROW())&amp;""," "," "))</f>
        <v/>
      </c>
      <c r="L183">
        <f>TRIM(SUBSTITUTE(INDEX('Call accounts and MMFs'!$C:$C,ROW())&amp;""," "," "))</f>
        <v/>
      </c>
      <c r="M183">
        <f>IFERROR(--INDEX('Call accounts and MMFs'!$D:$D,ROW()),0)</f>
        <v/>
      </c>
      <c r="N183">
        <f>IFERROR(IF(--INDEX('Call accounts and MMFs'!$E:$E,ROW())&gt;=1,--INDEX('Call accounts and MMFs'!$E:$E,ROW())/100,--INDEX('Call accounts and MMFs'!$E:$E,ROW())),0)</f>
        <v/>
      </c>
      <c r="O183">
        <f>IFERROR(--INDEX('Call accounts and MMFs'!$F:$F,ROW()),0)</f>
        <v/>
      </c>
      <c r="P183">
        <f>IF(ISNUMBER(INDEX('Call accounts and MMFs'!$E:$E,ROW())),1,0)</f>
        <v/>
      </c>
      <c r="Q183">
        <f>TRIM(SUBSTITUTE(INDEX('Pooled funds'!$B:$B,ROW())&amp;""," "," "))</f>
        <v/>
      </c>
      <c r="R183">
        <f>IFERROR(--INDEX('Pooled funds'!$C:$C,ROW()),0)</f>
        <v/>
      </c>
      <c r="S183">
        <f>IFERROR(--INDEX('Pooled funds'!$D:$D,ROW()),0)</f>
        <v/>
      </c>
      <c r="T183">
        <f>IFERROR(IF(--INDEX('Pooled funds'!$E:$E,ROW())&gt;=1,--INDEX('Pooled funds'!$E:$E,ROW())/100,--INDEX('Pooled funds'!$E:$E,ROW())),0)</f>
        <v/>
      </c>
      <c r="U183">
        <f>IF(ISNUMBER(INDEX('Pooled funds'!$E:$E,ROW())),1,0)</f>
        <v/>
      </c>
      <c r="V183">
        <f>TRIM(SUBSTITUTE(INDEX('Loans'!$A:$A,ROW())&amp;""," "," "))</f>
        <v/>
      </c>
      <c r="W183">
        <f>TRIM(SUBSTITUTE(INDEX('Loans'!$B:$B,ROW())&amp;""," "," "))</f>
        <v/>
      </c>
      <c r="X183">
        <f>TRIM(SUBSTITUTE(INDEX('Loans'!$C:$C,ROW())&amp;""," "," "))</f>
        <v/>
      </c>
      <c r="Y183">
        <f>IFERROR(--INDEX('Loans'!$D:$D,ROW()),0)</f>
        <v/>
      </c>
      <c r="Z183">
        <f>IFERROR(--INDEX('Loans'!$E:$E,ROW()),0)</f>
        <v/>
      </c>
      <c r="AA183">
        <f>IFERROR(--INDEX('Loans'!$F:$F,ROW()),0)</f>
        <v/>
      </c>
      <c r="AB183">
        <f>IFERROR(IF(--INDEX('Loans'!$G:$G,ROW())&gt;=1,--INDEX('Loans'!$G:$G,ROW())/100,--INDEX('Loans'!$G:$G,ROW())),0)</f>
        <v/>
      </c>
      <c r="AC183">
        <f>TRIM(SUBSTITUTE(INDEX('Loans'!$H:$H,ROW())&amp;""," "," "))</f>
        <v/>
      </c>
      <c r="AD183">
        <f>TRIM(SUBSTITUTE(INDEX('Loans'!$I:$I,ROW())&amp;""," "," "))</f>
        <v/>
      </c>
      <c r="AE183">
        <f>IFERROR(--INDEX('Loans'!$J:$J,ROW()),0)</f>
        <v/>
      </c>
      <c r="AF183">
        <f>TRIM(SUBSTITUTE(INDEX('Loans'!$K:$K,ROW())&amp;""," "," "))</f>
        <v/>
      </c>
      <c r="AG183">
        <f>IFERROR(--INDEX('Loans'!$L:$L,ROW()),0)</f>
        <v/>
      </c>
      <c r="AH183">
        <f>IF(ISNUMBER(INDEX('Loans'!$G:$G,ROW())),1,0)</f>
        <v/>
      </c>
    </row>
    <row r="184">
      <c r="A184">
        <f>TRIM(SUBSTITUTE(INDEX('Term investments'!$A:$A,ROW())&amp;""," "," "))</f>
        <v/>
      </c>
      <c r="B184">
        <f>TRIM(SUBSTITUTE(INDEX('Term investments'!$B:$B,ROW())&amp;""," "," "))</f>
        <v/>
      </c>
      <c r="C184">
        <f>TRIM(SUBSTITUTE(INDEX('Term investments'!$C:$C,ROW())&amp;""," "," "))</f>
        <v/>
      </c>
      <c r="D184">
        <f>IFERROR(--INDEX('Term investments'!$D:$D,ROW()),0)</f>
        <v/>
      </c>
      <c r="E184">
        <f>IFERROR(--INDEX('Term investments'!$E:$E,ROW()),0)</f>
        <v/>
      </c>
      <c r="F184">
        <f>IFERROR(--INDEX('Term investments'!$F:$F,ROW()),0)</f>
        <v/>
      </c>
      <c r="G184">
        <f>IFERROR(IF(--INDEX('Term investments'!$G:$G,ROW())&gt;=1,--INDEX('Term investments'!$G:$G,ROW())/100,--INDEX('Term investments'!$G:$G,ROW())),0)</f>
        <v/>
      </c>
      <c r="H184">
        <f>IFERROR(--INDEX('Term investments'!$H:$H,ROW()),0)</f>
        <v/>
      </c>
      <c r="I184">
        <f>IF(ISNUMBER(INDEX('Term investments'!$G:$G,ROW())),1,0)</f>
        <v/>
      </c>
      <c r="J184">
        <f>TRIM(SUBSTITUTE(INDEX('Call accounts and MMFs'!$A:$A,ROW())&amp;""," "," "))</f>
        <v/>
      </c>
      <c r="K184">
        <f>TRIM(SUBSTITUTE(INDEX('Call accounts and MMFs'!$B:$B,ROW())&amp;""," "," "))</f>
        <v/>
      </c>
      <c r="L184">
        <f>TRIM(SUBSTITUTE(INDEX('Call accounts and MMFs'!$C:$C,ROW())&amp;""," "," "))</f>
        <v/>
      </c>
      <c r="M184">
        <f>IFERROR(--INDEX('Call accounts and MMFs'!$D:$D,ROW()),0)</f>
        <v/>
      </c>
      <c r="N184">
        <f>IFERROR(IF(--INDEX('Call accounts and MMFs'!$E:$E,ROW())&gt;=1,--INDEX('Call accounts and MMFs'!$E:$E,ROW())/100,--INDEX('Call accounts and MMFs'!$E:$E,ROW())),0)</f>
        <v/>
      </c>
      <c r="O184">
        <f>IFERROR(--INDEX('Call accounts and MMFs'!$F:$F,ROW()),0)</f>
        <v/>
      </c>
      <c r="P184">
        <f>IF(ISNUMBER(INDEX('Call accounts and MMFs'!$E:$E,ROW())),1,0)</f>
        <v/>
      </c>
      <c r="Q184">
        <f>TRIM(SUBSTITUTE(INDEX('Pooled funds'!$B:$B,ROW())&amp;""," "," "))</f>
        <v/>
      </c>
      <c r="R184">
        <f>IFERROR(--INDEX('Pooled funds'!$C:$C,ROW()),0)</f>
        <v/>
      </c>
      <c r="S184">
        <f>IFERROR(--INDEX('Pooled funds'!$D:$D,ROW()),0)</f>
        <v/>
      </c>
      <c r="T184">
        <f>IFERROR(IF(--INDEX('Pooled funds'!$E:$E,ROW())&gt;=1,--INDEX('Pooled funds'!$E:$E,ROW())/100,--INDEX('Pooled funds'!$E:$E,ROW())),0)</f>
        <v/>
      </c>
      <c r="U184">
        <f>IF(ISNUMBER(INDEX('Pooled funds'!$E:$E,ROW())),1,0)</f>
        <v/>
      </c>
      <c r="V184">
        <f>TRIM(SUBSTITUTE(INDEX('Loans'!$A:$A,ROW())&amp;""," "," "))</f>
        <v/>
      </c>
      <c r="W184">
        <f>TRIM(SUBSTITUTE(INDEX('Loans'!$B:$B,ROW())&amp;""," "," "))</f>
        <v/>
      </c>
      <c r="X184">
        <f>TRIM(SUBSTITUTE(INDEX('Loans'!$C:$C,ROW())&amp;""," "," "))</f>
        <v/>
      </c>
      <c r="Y184">
        <f>IFERROR(--INDEX('Loans'!$D:$D,ROW()),0)</f>
        <v/>
      </c>
      <c r="Z184">
        <f>IFERROR(--INDEX('Loans'!$E:$E,ROW()),0)</f>
        <v/>
      </c>
      <c r="AA184">
        <f>IFERROR(--INDEX('Loans'!$F:$F,ROW()),0)</f>
        <v/>
      </c>
      <c r="AB184">
        <f>IFERROR(IF(--INDEX('Loans'!$G:$G,ROW())&gt;=1,--INDEX('Loans'!$G:$G,ROW())/100,--INDEX('Loans'!$G:$G,ROW())),0)</f>
        <v/>
      </c>
      <c r="AC184">
        <f>TRIM(SUBSTITUTE(INDEX('Loans'!$H:$H,ROW())&amp;""," "," "))</f>
        <v/>
      </c>
      <c r="AD184">
        <f>TRIM(SUBSTITUTE(INDEX('Loans'!$I:$I,ROW())&amp;""," "," "))</f>
        <v/>
      </c>
      <c r="AE184">
        <f>IFERROR(--INDEX('Loans'!$J:$J,ROW()),0)</f>
        <v/>
      </c>
      <c r="AF184">
        <f>TRIM(SUBSTITUTE(INDEX('Loans'!$K:$K,ROW())&amp;""," "," "))</f>
        <v/>
      </c>
      <c r="AG184">
        <f>IFERROR(--INDEX('Loans'!$L:$L,ROW()),0)</f>
        <v/>
      </c>
      <c r="AH184">
        <f>IF(ISNUMBER(INDEX('Loans'!$G:$G,ROW())),1,0)</f>
        <v/>
      </c>
    </row>
    <row r="185">
      <c r="A185">
        <f>TRIM(SUBSTITUTE(INDEX('Term investments'!$A:$A,ROW())&amp;""," "," "))</f>
        <v/>
      </c>
      <c r="B185">
        <f>TRIM(SUBSTITUTE(INDEX('Term investments'!$B:$B,ROW())&amp;""," "," "))</f>
        <v/>
      </c>
      <c r="C185">
        <f>TRIM(SUBSTITUTE(INDEX('Term investments'!$C:$C,ROW())&amp;""," "," "))</f>
        <v/>
      </c>
      <c r="D185">
        <f>IFERROR(--INDEX('Term investments'!$D:$D,ROW()),0)</f>
        <v/>
      </c>
      <c r="E185">
        <f>IFERROR(--INDEX('Term investments'!$E:$E,ROW()),0)</f>
        <v/>
      </c>
      <c r="F185">
        <f>IFERROR(--INDEX('Term investments'!$F:$F,ROW()),0)</f>
        <v/>
      </c>
      <c r="G185">
        <f>IFERROR(IF(--INDEX('Term investments'!$G:$G,ROW())&gt;=1,--INDEX('Term investments'!$G:$G,ROW())/100,--INDEX('Term investments'!$G:$G,ROW())),0)</f>
        <v/>
      </c>
      <c r="H185">
        <f>IFERROR(--INDEX('Term investments'!$H:$H,ROW()),0)</f>
        <v/>
      </c>
      <c r="I185">
        <f>IF(ISNUMBER(INDEX('Term investments'!$G:$G,ROW())),1,0)</f>
        <v/>
      </c>
      <c r="J185">
        <f>TRIM(SUBSTITUTE(INDEX('Call accounts and MMFs'!$A:$A,ROW())&amp;""," "," "))</f>
        <v/>
      </c>
      <c r="K185">
        <f>TRIM(SUBSTITUTE(INDEX('Call accounts and MMFs'!$B:$B,ROW())&amp;""," "," "))</f>
        <v/>
      </c>
      <c r="L185">
        <f>TRIM(SUBSTITUTE(INDEX('Call accounts and MMFs'!$C:$C,ROW())&amp;""," "," "))</f>
        <v/>
      </c>
      <c r="M185">
        <f>IFERROR(--INDEX('Call accounts and MMFs'!$D:$D,ROW()),0)</f>
        <v/>
      </c>
      <c r="N185">
        <f>IFERROR(IF(--INDEX('Call accounts and MMFs'!$E:$E,ROW())&gt;=1,--INDEX('Call accounts and MMFs'!$E:$E,ROW())/100,--INDEX('Call accounts and MMFs'!$E:$E,ROW())),0)</f>
        <v/>
      </c>
      <c r="O185">
        <f>IFERROR(--INDEX('Call accounts and MMFs'!$F:$F,ROW()),0)</f>
        <v/>
      </c>
      <c r="P185">
        <f>IF(ISNUMBER(INDEX('Call accounts and MMFs'!$E:$E,ROW())),1,0)</f>
        <v/>
      </c>
      <c r="Q185">
        <f>TRIM(SUBSTITUTE(INDEX('Pooled funds'!$B:$B,ROW())&amp;""," "," "))</f>
        <v/>
      </c>
      <c r="R185">
        <f>IFERROR(--INDEX('Pooled funds'!$C:$C,ROW()),0)</f>
        <v/>
      </c>
      <c r="S185">
        <f>IFERROR(--INDEX('Pooled funds'!$D:$D,ROW()),0)</f>
        <v/>
      </c>
      <c r="T185">
        <f>IFERROR(IF(--INDEX('Pooled funds'!$E:$E,ROW())&gt;=1,--INDEX('Pooled funds'!$E:$E,ROW())/100,--INDEX('Pooled funds'!$E:$E,ROW())),0)</f>
        <v/>
      </c>
      <c r="U185">
        <f>IF(ISNUMBER(INDEX('Pooled funds'!$E:$E,ROW())),1,0)</f>
        <v/>
      </c>
      <c r="V185">
        <f>TRIM(SUBSTITUTE(INDEX('Loans'!$A:$A,ROW())&amp;""," "," "))</f>
        <v/>
      </c>
      <c r="W185">
        <f>TRIM(SUBSTITUTE(INDEX('Loans'!$B:$B,ROW())&amp;""," "," "))</f>
        <v/>
      </c>
      <c r="X185">
        <f>TRIM(SUBSTITUTE(INDEX('Loans'!$C:$C,ROW())&amp;""," "," "))</f>
        <v/>
      </c>
      <c r="Y185">
        <f>IFERROR(--INDEX('Loans'!$D:$D,ROW()),0)</f>
        <v/>
      </c>
      <c r="Z185">
        <f>IFERROR(--INDEX('Loans'!$E:$E,ROW()),0)</f>
        <v/>
      </c>
      <c r="AA185">
        <f>IFERROR(--INDEX('Loans'!$F:$F,ROW()),0)</f>
        <v/>
      </c>
      <c r="AB185">
        <f>IFERROR(IF(--INDEX('Loans'!$G:$G,ROW())&gt;=1,--INDEX('Loans'!$G:$G,ROW())/100,--INDEX('Loans'!$G:$G,ROW())),0)</f>
        <v/>
      </c>
      <c r="AC185">
        <f>TRIM(SUBSTITUTE(INDEX('Loans'!$H:$H,ROW())&amp;""," "," "))</f>
        <v/>
      </c>
      <c r="AD185">
        <f>TRIM(SUBSTITUTE(INDEX('Loans'!$I:$I,ROW())&amp;""," "," "))</f>
        <v/>
      </c>
      <c r="AE185">
        <f>IFERROR(--INDEX('Loans'!$J:$J,ROW()),0)</f>
        <v/>
      </c>
      <c r="AF185">
        <f>TRIM(SUBSTITUTE(INDEX('Loans'!$K:$K,ROW())&amp;""," "," "))</f>
        <v/>
      </c>
      <c r="AG185">
        <f>IFERROR(--INDEX('Loans'!$L:$L,ROW()),0)</f>
        <v/>
      </c>
      <c r="AH185">
        <f>IF(ISNUMBER(INDEX('Loans'!$G:$G,ROW())),1,0)</f>
        <v/>
      </c>
    </row>
    <row r="186">
      <c r="A186">
        <f>TRIM(SUBSTITUTE(INDEX('Term investments'!$A:$A,ROW())&amp;""," "," "))</f>
        <v/>
      </c>
      <c r="B186">
        <f>TRIM(SUBSTITUTE(INDEX('Term investments'!$B:$B,ROW())&amp;""," "," "))</f>
        <v/>
      </c>
      <c r="C186">
        <f>TRIM(SUBSTITUTE(INDEX('Term investments'!$C:$C,ROW())&amp;""," "," "))</f>
        <v/>
      </c>
      <c r="D186">
        <f>IFERROR(--INDEX('Term investments'!$D:$D,ROW()),0)</f>
        <v/>
      </c>
      <c r="E186">
        <f>IFERROR(--INDEX('Term investments'!$E:$E,ROW()),0)</f>
        <v/>
      </c>
      <c r="F186">
        <f>IFERROR(--INDEX('Term investments'!$F:$F,ROW()),0)</f>
        <v/>
      </c>
      <c r="G186">
        <f>IFERROR(IF(--INDEX('Term investments'!$G:$G,ROW())&gt;=1,--INDEX('Term investments'!$G:$G,ROW())/100,--INDEX('Term investments'!$G:$G,ROW())),0)</f>
        <v/>
      </c>
      <c r="H186">
        <f>IFERROR(--INDEX('Term investments'!$H:$H,ROW()),0)</f>
        <v/>
      </c>
      <c r="I186">
        <f>IF(ISNUMBER(INDEX('Term investments'!$G:$G,ROW())),1,0)</f>
        <v/>
      </c>
      <c r="J186">
        <f>TRIM(SUBSTITUTE(INDEX('Call accounts and MMFs'!$A:$A,ROW())&amp;""," "," "))</f>
        <v/>
      </c>
      <c r="K186">
        <f>TRIM(SUBSTITUTE(INDEX('Call accounts and MMFs'!$B:$B,ROW())&amp;""," "," "))</f>
        <v/>
      </c>
      <c r="L186">
        <f>TRIM(SUBSTITUTE(INDEX('Call accounts and MMFs'!$C:$C,ROW())&amp;""," "," "))</f>
        <v/>
      </c>
      <c r="M186">
        <f>IFERROR(--INDEX('Call accounts and MMFs'!$D:$D,ROW()),0)</f>
        <v/>
      </c>
      <c r="N186">
        <f>IFERROR(IF(--INDEX('Call accounts and MMFs'!$E:$E,ROW())&gt;=1,--INDEX('Call accounts and MMFs'!$E:$E,ROW())/100,--INDEX('Call accounts and MMFs'!$E:$E,ROW())),0)</f>
        <v/>
      </c>
      <c r="O186">
        <f>IFERROR(--INDEX('Call accounts and MMFs'!$F:$F,ROW()),0)</f>
        <v/>
      </c>
      <c r="P186">
        <f>IF(ISNUMBER(INDEX('Call accounts and MMFs'!$E:$E,ROW())),1,0)</f>
        <v/>
      </c>
      <c r="Q186">
        <f>TRIM(SUBSTITUTE(INDEX('Pooled funds'!$B:$B,ROW())&amp;""," "," "))</f>
        <v/>
      </c>
      <c r="R186">
        <f>IFERROR(--INDEX('Pooled funds'!$C:$C,ROW()),0)</f>
        <v/>
      </c>
      <c r="S186">
        <f>IFERROR(--INDEX('Pooled funds'!$D:$D,ROW()),0)</f>
        <v/>
      </c>
      <c r="T186">
        <f>IFERROR(IF(--INDEX('Pooled funds'!$E:$E,ROW())&gt;=1,--INDEX('Pooled funds'!$E:$E,ROW())/100,--INDEX('Pooled funds'!$E:$E,ROW())),0)</f>
        <v/>
      </c>
      <c r="U186">
        <f>IF(ISNUMBER(INDEX('Pooled funds'!$E:$E,ROW())),1,0)</f>
        <v/>
      </c>
      <c r="V186">
        <f>TRIM(SUBSTITUTE(INDEX('Loans'!$A:$A,ROW())&amp;""," "," "))</f>
        <v/>
      </c>
      <c r="W186">
        <f>TRIM(SUBSTITUTE(INDEX('Loans'!$B:$B,ROW())&amp;""," "," "))</f>
        <v/>
      </c>
      <c r="X186">
        <f>TRIM(SUBSTITUTE(INDEX('Loans'!$C:$C,ROW())&amp;""," "," "))</f>
        <v/>
      </c>
      <c r="Y186">
        <f>IFERROR(--INDEX('Loans'!$D:$D,ROW()),0)</f>
        <v/>
      </c>
      <c r="Z186">
        <f>IFERROR(--INDEX('Loans'!$E:$E,ROW()),0)</f>
        <v/>
      </c>
      <c r="AA186">
        <f>IFERROR(--INDEX('Loans'!$F:$F,ROW()),0)</f>
        <v/>
      </c>
      <c r="AB186">
        <f>IFERROR(IF(--INDEX('Loans'!$G:$G,ROW())&gt;=1,--INDEX('Loans'!$G:$G,ROW())/100,--INDEX('Loans'!$G:$G,ROW())),0)</f>
        <v/>
      </c>
      <c r="AC186">
        <f>TRIM(SUBSTITUTE(INDEX('Loans'!$H:$H,ROW())&amp;""," "," "))</f>
        <v/>
      </c>
      <c r="AD186">
        <f>TRIM(SUBSTITUTE(INDEX('Loans'!$I:$I,ROW())&amp;""," "," "))</f>
        <v/>
      </c>
      <c r="AE186">
        <f>IFERROR(--INDEX('Loans'!$J:$J,ROW()),0)</f>
        <v/>
      </c>
      <c r="AF186">
        <f>TRIM(SUBSTITUTE(INDEX('Loans'!$K:$K,ROW())&amp;""," "," "))</f>
        <v/>
      </c>
      <c r="AG186">
        <f>IFERROR(--INDEX('Loans'!$L:$L,ROW()),0)</f>
        <v/>
      </c>
      <c r="AH186">
        <f>IF(ISNUMBER(INDEX('Loans'!$G:$G,ROW())),1,0)</f>
        <v/>
      </c>
    </row>
    <row r="187">
      <c r="A187">
        <f>TRIM(SUBSTITUTE(INDEX('Term investments'!$A:$A,ROW())&amp;""," "," "))</f>
        <v/>
      </c>
      <c r="B187">
        <f>TRIM(SUBSTITUTE(INDEX('Term investments'!$B:$B,ROW())&amp;""," "," "))</f>
        <v/>
      </c>
      <c r="C187">
        <f>TRIM(SUBSTITUTE(INDEX('Term investments'!$C:$C,ROW())&amp;""," "," "))</f>
        <v/>
      </c>
      <c r="D187">
        <f>IFERROR(--INDEX('Term investments'!$D:$D,ROW()),0)</f>
        <v/>
      </c>
      <c r="E187">
        <f>IFERROR(--INDEX('Term investments'!$E:$E,ROW()),0)</f>
        <v/>
      </c>
      <c r="F187">
        <f>IFERROR(--INDEX('Term investments'!$F:$F,ROW()),0)</f>
        <v/>
      </c>
      <c r="G187">
        <f>IFERROR(IF(--INDEX('Term investments'!$G:$G,ROW())&gt;=1,--INDEX('Term investments'!$G:$G,ROW())/100,--INDEX('Term investments'!$G:$G,ROW())),0)</f>
        <v/>
      </c>
      <c r="H187">
        <f>IFERROR(--INDEX('Term investments'!$H:$H,ROW()),0)</f>
        <v/>
      </c>
      <c r="I187">
        <f>IF(ISNUMBER(INDEX('Term investments'!$G:$G,ROW())),1,0)</f>
        <v/>
      </c>
      <c r="J187">
        <f>TRIM(SUBSTITUTE(INDEX('Call accounts and MMFs'!$A:$A,ROW())&amp;""," "," "))</f>
        <v/>
      </c>
      <c r="K187">
        <f>TRIM(SUBSTITUTE(INDEX('Call accounts and MMFs'!$B:$B,ROW())&amp;""," "," "))</f>
        <v/>
      </c>
      <c r="L187">
        <f>TRIM(SUBSTITUTE(INDEX('Call accounts and MMFs'!$C:$C,ROW())&amp;""," "," "))</f>
        <v/>
      </c>
      <c r="M187">
        <f>IFERROR(--INDEX('Call accounts and MMFs'!$D:$D,ROW()),0)</f>
        <v/>
      </c>
      <c r="N187">
        <f>IFERROR(IF(--INDEX('Call accounts and MMFs'!$E:$E,ROW())&gt;=1,--INDEX('Call accounts and MMFs'!$E:$E,ROW())/100,--INDEX('Call accounts and MMFs'!$E:$E,ROW())),0)</f>
        <v/>
      </c>
      <c r="O187">
        <f>IFERROR(--INDEX('Call accounts and MMFs'!$F:$F,ROW()),0)</f>
        <v/>
      </c>
      <c r="P187">
        <f>IF(ISNUMBER(INDEX('Call accounts and MMFs'!$E:$E,ROW())),1,0)</f>
        <v/>
      </c>
      <c r="Q187">
        <f>TRIM(SUBSTITUTE(INDEX('Pooled funds'!$B:$B,ROW())&amp;""," "," "))</f>
        <v/>
      </c>
      <c r="R187">
        <f>IFERROR(--INDEX('Pooled funds'!$C:$C,ROW()),0)</f>
        <v/>
      </c>
      <c r="S187">
        <f>IFERROR(--INDEX('Pooled funds'!$D:$D,ROW()),0)</f>
        <v/>
      </c>
      <c r="T187">
        <f>IFERROR(IF(--INDEX('Pooled funds'!$E:$E,ROW())&gt;=1,--INDEX('Pooled funds'!$E:$E,ROW())/100,--INDEX('Pooled funds'!$E:$E,ROW())),0)</f>
        <v/>
      </c>
      <c r="U187">
        <f>IF(ISNUMBER(INDEX('Pooled funds'!$E:$E,ROW())),1,0)</f>
        <v/>
      </c>
      <c r="V187">
        <f>TRIM(SUBSTITUTE(INDEX('Loans'!$A:$A,ROW())&amp;""," "," "))</f>
        <v/>
      </c>
      <c r="W187">
        <f>TRIM(SUBSTITUTE(INDEX('Loans'!$B:$B,ROW())&amp;""," "," "))</f>
        <v/>
      </c>
      <c r="X187">
        <f>TRIM(SUBSTITUTE(INDEX('Loans'!$C:$C,ROW())&amp;""," "," "))</f>
        <v/>
      </c>
      <c r="Y187">
        <f>IFERROR(--INDEX('Loans'!$D:$D,ROW()),0)</f>
        <v/>
      </c>
      <c r="Z187">
        <f>IFERROR(--INDEX('Loans'!$E:$E,ROW()),0)</f>
        <v/>
      </c>
      <c r="AA187">
        <f>IFERROR(--INDEX('Loans'!$F:$F,ROW()),0)</f>
        <v/>
      </c>
      <c r="AB187">
        <f>IFERROR(IF(--INDEX('Loans'!$G:$G,ROW())&gt;=1,--INDEX('Loans'!$G:$G,ROW())/100,--INDEX('Loans'!$G:$G,ROW())),0)</f>
        <v/>
      </c>
      <c r="AC187">
        <f>TRIM(SUBSTITUTE(INDEX('Loans'!$H:$H,ROW())&amp;""," "," "))</f>
        <v/>
      </c>
      <c r="AD187">
        <f>TRIM(SUBSTITUTE(INDEX('Loans'!$I:$I,ROW())&amp;""," "," "))</f>
        <v/>
      </c>
      <c r="AE187">
        <f>IFERROR(--INDEX('Loans'!$J:$J,ROW()),0)</f>
        <v/>
      </c>
      <c r="AF187">
        <f>TRIM(SUBSTITUTE(INDEX('Loans'!$K:$K,ROW())&amp;""," "," "))</f>
        <v/>
      </c>
      <c r="AG187">
        <f>IFERROR(--INDEX('Loans'!$L:$L,ROW()),0)</f>
        <v/>
      </c>
      <c r="AH187">
        <f>IF(ISNUMBER(INDEX('Loans'!$G:$G,ROW())),1,0)</f>
        <v/>
      </c>
    </row>
    <row r="188">
      <c r="A188">
        <f>TRIM(SUBSTITUTE(INDEX('Term investments'!$A:$A,ROW())&amp;""," "," "))</f>
        <v/>
      </c>
      <c r="B188">
        <f>TRIM(SUBSTITUTE(INDEX('Term investments'!$B:$B,ROW())&amp;""," "," "))</f>
        <v/>
      </c>
      <c r="C188">
        <f>TRIM(SUBSTITUTE(INDEX('Term investments'!$C:$C,ROW())&amp;""," "," "))</f>
        <v/>
      </c>
      <c r="D188">
        <f>IFERROR(--INDEX('Term investments'!$D:$D,ROW()),0)</f>
        <v/>
      </c>
      <c r="E188">
        <f>IFERROR(--INDEX('Term investments'!$E:$E,ROW()),0)</f>
        <v/>
      </c>
      <c r="F188">
        <f>IFERROR(--INDEX('Term investments'!$F:$F,ROW()),0)</f>
        <v/>
      </c>
      <c r="G188">
        <f>IFERROR(IF(--INDEX('Term investments'!$G:$G,ROW())&gt;=1,--INDEX('Term investments'!$G:$G,ROW())/100,--INDEX('Term investments'!$G:$G,ROW())),0)</f>
        <v/>
      </c>
      <c r="H188">
        <f>IFERROR(--INDEX('Term investments'!$H:$H,ROW()),0)</f>
        <v/>
      </c>
      <c r="I188">
        <f>IF(ISNUMBER(INDEX('Term investments'!$G:$G,ROW())),1,0)</f>
        <v/>
      </c>
      <c r="J188">
        <f>TRIM(SUBSTITUTE(INDEX('Call accounts and MMFs'!$A:$A,ROW())&amp;""," "," "))</f>
        <v/>
      </c>
      <c r="K188">
        <f>TRIM(SUBSTITUTE(INDEX('Call accounts and MMFs'!$B:$B,ROW())&amp;""," "," "))</f>
        <v/>
      </c>
      <c r="L188">
        <f>TRIM(SUBSTITUTE(INDEX('Call accounts and MMFs'!$C:$C,ROW())&amp;""," "," "))</f>
        <v/>
      </c>
      <c r="M188">
        <f>IFERROR(--INDEX('Call accounts and MMFs'!$D:$D,ROW()),0)</f>
        <v/>
      </c>
      <c r="N188">
        <f>IFERROR(IF(--INDEX('Call accounts and MMFs'!$E:$E,ROW())&gt;=1,--INDEX('Call accounts and MMFs'!$E:$E,ROW())/100,--INDEX('Call accounts and MMFs'!$E:$E,ROW())),0)</f>
        <v/>
      </c>
      <c r="O188">
        <f>IFERROR(--INDEX('Call accounts and MMFs'!$F:$F,ROW()),0)</f>
        <v/>
      </c>
      <c r="P188">
        <f>IF(ISNUMBER(INDEX('Call accounts and MMFs'!$E:$E,ROW())),1,0)</f>
        <v/>
      </c>
      <c r="Q188">
        <f>TRIM(SUBSTITUTE(INDEX('Pooled funds'!$B:$B,ROW())&amp;""," "," "))</f>
        <v/>
      </c>
      <c r="R188">
        <f>IFERROR(--INDEX('Pooled funds'!$C:$C,ROW()),0)</f>
        <v/>
      </c>
      <c r="S188">
        <f>IFERROR(--INDEX('Pooled funds'!$D:$D,ROW()),0)</f>
        <v/>
      </c>
      <c r="T188">
        <f>IFERROR(IF(--INDEX('Pooled funds'!$E:$E,ROW())&gt;=1,--INDEX('Pooled funds'!$E:$E,ROW())/100,--INDEX('Pooled funds'!$E:$E,ROW())),0)</f>
        <v/>
      </c>
      <c r="U188">
        <f>IF(ISNUMBER(INDEX('Pooled funds'!$E:$E,ROW())),1,0)</f>
        <v/>
      </c>
      <c r="V188">
        <f>TRIM(SUBSTITUTE(INDEX('Loans'!$A:$A,ROW())&amp;""," "," "))</f>
        <v/>
      </c>
      <c r="W188">
        <f>TRIM(SUBSTITUTE(INDEX('Loans'!$B:$B,ROW())&amp;""," "," "))</f>
        <v/>
      </c>
      <c r="X188">
        <f>TRIM(SUBSTITUTE(INDEX('Loans'!$C:$C,ROW())&amp;""," "," "))</f>
        <v/>
      </c>
      <c r="Y188">
        <f>IFERROR(--INDEX('Loans'!$D:$D,ROW()),0)</f>
        <v/>
      </c>
      <c r="Z188">
        <f>IFERROR(--INDEX('Loans'!$E:$E,ROW()),0)</f>
        <v/>
      </c>
      <c r="AA188">
        <f>IFERROR(--INDEX('Loans'!$F:$F,ROW()),0)</f>
        <v/>
      </c>
      <c r="AB188">
        <f>IFERROR(IF(--INDEX('Loans'!$G:$G,ROW())&gt;=1,--INDEX('Loans'!$G:$G,ROW())/100,--INDEX('Loans'!$G:$G,ROW())),0)</f>
        <v/>
      </c>
      <c r="AC188">
        <f>TRIM(SUBSTITUTE(INDEX('Loans'!$H:$H,ROW())&amp;""," "," "))</f>
        <v/>
      </c>
      <c r="AD188">
        <f>TRIM(SUBSTITUTE(INDEX('Loans'!$I:$I,ROW())&amp;""," "," "))</f>
        <v/>
      </c>
      <c r="AE188">
        <f>IFERROR(--INDEX('Loans'!$J:$J,ROW()),0)</f>
        <v/>
      </c>
      <c r="AF188">
        <f>TRIM(SUBSTITUTE(INDEX('Loans'!$K:$K,ROW())&amp;""," "," "))</f>
        <v/>
      </c>
      <c r="AG188">
        <f>IFERROR(--INDEX('Loans'!$L:$L,ROW()),0)</f>
        <v/>
      </c>
      <c r="AH188">
        <f>IF(ISNUMBER(INDEX('Loans'!$G:$G,ROW())),1,0)</f>
        <v/>
      </c>
    </row>
    <row r="189">
      <c r="A189">
        <f>TRIM(SUBSTITUTE(INDEX('Term investments'!$A:$A,ROW())&amp;""," "," "))</f>
        <v/>
      </c>
      <c r="B189">
        <f>TRIM(SUBSTITUTE(INDEX('Term investments'!$B:$B,ROW())&amp;""," "," "))</f>
        <v/>
      </c>
      <c r="C189">
        <f>TRIM(SUBSTITUTE(INDEX('Term investments'!$C:$C,ROW())&amp;""," "," "))</f>
        <v/>
      </c>
      <c r="D189">
        <f>IFERROR(--INDEX('Term investments'!$D:$D,ROW()),0)</f>
        <v/>
      </c>
      <c r="E189">
        <f>IFERROR(--INDEX('Term investments'!$E:$E,ROW()),0)</f>
        <v/>
      </c>
      <c r="F189">
        <f>IFERROR(--INDEX('Term investments'!$F:$F,ROW()),0)</f>
        <v/>
      </c>
      <c r="G189">
        <f>IFERROR(IF(--INDEX('Term investments'!$G:$G,ROW())&gt;=1,--INDEX('Term investments'!$G:$G,ROW())/100,--INDEX('Term investments'!$G:$G,ROW())),0)</f>
        <v/>
      </c>
      <c r="H189">
        <f>IFERROR(--INDEX('Term investments'!$H:$H,ROW()),0)</f>
        <v/>
      </c>
      <c r="I189">
        <f>IF(ISNUMBER(INDEX('Term investments'!$G:$G,ROW())),1,0)</f>
        <v/>
      </c>
      <c r="J189">
        <f>TRIM(SUBSTITUTE(INDEX('Call accounts and MMFs'!$A:$A,ROW())&amp;""," "," "))</f>
        <v/>
      </c>
      <c r="K189">
        <f>TRIM(SUBSTITUTE(INDEX('Call accounts and MMFs'!$B:$B,ROW())&amp;""," "," "))</f>
        <v/>
      </c>
      <c r="L189">
        <f>TRIM(SUBSTITUTE(INDEX('Call accounts and MMFs'!$C:$C,ROW())&amp;""," "," "))</f>
        <v/>
      </c>
      <c r="M189">
        <f>IFERROR(--INDEX('Call accounts and MMFs'!$D:$D,ROW()),0)</f>
        <v/>
      </c>
      <c r="N189">
        <f>IFERROR(IF(--INDEX('Call accounts and MMFs'!$E:$E,ROW())&gt;=1,--INDEX('Call accounts and MMFs'!$E:$E,ROW())/100,--INDEX('Call accounts and MMFs'!$E:$E,ROW())),0)</f>
        <v/>
      </c>
      <c r="O189">
        <f>IFERROR(--INDEX('Call accounts and MMFs'!$F:$F,ROW()),0)</f>
        <v/>
      </c>
      <c r="P189">
        <f>IF(ISNUMBER(INDEX('Call accounts and MMFs'!$E:$E,ROW())),1,0)</f>
        <v/>
      </c>
      <c r="Q189">
        <f>TRIM(SUBSTITUTE(INDEX('Pooled funds'!$B:$B,ROW())&amp;""," "," "))</f>
        <v/>
      </c>
      <c r="R189">
        <f>IFERROR(--INDEX('Pooled funds'!$C:$C,ROW()),0)</f>
        <v/>
      </c>
      <c r="S189">
        <f>IFERROR(--INDEX('Pooled funds'!$D:$D,ROW()),0)</f>
        <v/>
      </c>
      <c r="T189">
        <f>IFERROR(IF(--INDEX('Pooled funds'!$E:$E,ROW())&gt;=1,--INDEX('Pooled funds'!$E:$E,ROW())/100,--INDEX('Pooled funds'!$E:$E,ROW())),0)</f>
        <v/>
      </c>
      <c r="U189">
        <f>IF(ISNUMBER(INDEX('Pooled funds'!$E:$E,ROW())),1,0)</f>
        <v/>
      </c>
      <c r="V189">
        <f>TRIM(SUBSTITUTE(INDEX('Loans'!$A:$A,ROW())&amp;""," "," "))</f>
        <v/>
      </c>
      <c r="W189">
        <f>TRIM(SUBSTITUTE(INDEX('Loans'!$B:$B,ROW())&amp;""," "," "))</f>
        <v/>
      </c>
      <c r="X189">
        <f>TRIM(SUBSTITUTE(INDEX('Loans'!$C:$C,ROW())&amp;""," "," "))</f>
        <v/>
      </c>
      <c r="Y189">
        <f>IFERROR(--INDEX('Loans'!$D:$D,ROW()),0)</f>
        <v/>
      </c>
      <c r="Z189">
        <f>IFERROR(--INDEX('Loans'!$E:$E,ROW()),0)</f>
        <v/>
      </c>
      <c r="AA189">
        <f>IFERROR(--INDEX('Loans'!$F:$F,ROW()),0)</f>
        <v/>
      </c>
      <c r="AB189">
        <f>IFERROR(IF(--INDEX('Loans'!$G:$G,ROW())&gt;=1,--INDEX('Loans'!$G:$G,ROW())/100,--INDEX('Loans'!$G:$G,ROW())),0)</f>
        <v/>
      </c>
      <c r="AC189">
        <f>TRIM(SUBSTITUTE(INDEX('Loans'!$H:$H,ROW())&amp;""," "," "))</f>
        <v/>
      </c>
      <c r="AD189">
        <f>TRIM(SUBSTITUTE(INDEX('Loans'!$I:$I,ROW())&amp;""," "," "))</f>
        <v/>
      </c>
      <c r="AE189">
        <f>IFERROR(--INDEX('Loans'!$J:$J,ROW()),0)</f>
        <v/>
      </c>
      <c r="AF189">
        <f>TRIM(SUBSTITUTE(INDEX('Loans'!$K:$K,ROW())&amp;""," "," "))</f>
        <v/>
      </c>
      <c r="AG189">
        <f>IFERROR(--INDEX('Loans'!$L:$L,ROW()),0)</f>
        <v/>
      </c>
      <c r="AH189">
        <f>IF(ISNUMBER(INDEX('Loans'!$G:$G,ROW())),1,0)</f>
        <v/>
      </c>
    </row>
    <row r="190">
      <c r="A190">
        <f>TRIM(SUBSTITUTE(INDEX('Term investments'!$A:$A,ROW())&amp;""," "," "))</f>
        <v/>
      </c>
      <c r="B190">
        <f>TRIM(SUBSTITUTE(INDEX('Term investments'!$B:$B,ROW())&amp;""," "," "))</f>
        <v/>
      </c>
      <c r="C190">
        <f>TRIM(SUBSTITUTE(INDEX('Term investments'!$C:$C,ROW())&amp;""," "," "))</f>
        <v/>
      </c>
      <c r="D190">
        <f>IFERROR(--INDEX('Term investments'!$D:$D,ROW()),0)</f>
        <v/>
      </c>
      <c r="E190">
        <f>IFERROR(--INDEX('Term investments'!$E:$E,ROW()),0)</f>
        <v/>
      </c>
      <c r="F190">
        <f>IFERROR(--INDEX('Term investments'!$F:$F,ROW()),0)</f>
        <v/>
      </c>
      <c r="G190">
        <f>IFERROR(IF(--INDEX('Term investments'!$G:$G,ROW())&gt;=1,--INDEX('Term investments'!$G:$G,ROW())/100,--INDEX('Term investments'!$G:$G,ROW())),0)</f>
        <v/>
      </c>
      <c r="H190">
        <f>IFERROR(--INDEX('Term investments'!$H:$H,ROW()),0)</f>
        <v/>
      </c>
      <c r="I190">
        <f>IF(ISNUMBER(INDEX('Term investments'!$G:$G,ROW())),1,0)</f>
        <v/>
      </c>
      <c r="J190">
        <f>TRIM(SUBSTITUTE(INDEX('Call accounts and MMFs'!$A:$A,ROW())&amp;""," "," "))</f>
        <v/>
      </c>
      <c r="K190">
        <f>TRIM(SUBSTITUTE(INDEX('Call accounts and MMFs'!$B:$B,ROW())&amp;""," "," "))</f>
        <v/>
      </c>
      <c r="L190">
        <f>TRIM(SUBSTITUTE(INDEX('Call accounts and MMFs'!$C:$C,ROW())&amp;""," "," "))</f>
        <v/>
      </c>
      <c r="M190">
        <f>IFERROR(--INDEX('Call accounts and MMFs'!$D:$D,ROW()),0)</f>
        <v/>
      </c>
      <c r="N190">
        <f>IFERROR(IF(--INDEX('Call accounts and MMFs'!$E:$E,ROW())&gt;=1,--INDEX('Call accounts and MMFs'!$E:$E,ROW())/100,--INDEX('Call accounts and MMFs'!$E:$E,ROW())),0)</f>
        <v/>
      </c>
      <c r="O190">
        <f>IFERROR(--INDEX('Call accounts and MMFs'!$F:$F,ROW()),0)</f>
        <v/>
      </c>
      <c r="P190">
        <f>IF(ISNUMBER(INDEX('Call accounts and MMFs'!$E:$E,ROW())),1,0)</f>
        <v/>
      </c>
      <c r="Q190">
        <f>TRIM(SUBSTITUTE(INDEX('Pooled funds'!$B:$B,ROW())&amp;""," "," "))</f>
        <v/>
      </c>
      <c r="R190">
        <f>IFERROR(--INDEX('Pooled funds'!$C:$C,ROW()),0)</f>
        <v/>
      </c>
      <c r="S190">
        <f>IFERROR(--INDEX('Pooled funds'!$D:$D,ROW()),0)</f>
        <v/>
      </c>
      <c r="T190">
        <f>IFERROR(IF(--INDEX('Pooled funds'!$E:$E,ROW())&gt;=1,--INDEX('Pooled funds'!$E:$E,ROW())/100,--INDEX('Pooled funds'!$E:$E,ROW())),0)</f>
        <v/>
      </c>
      <c r="U190">
        <f>IF(ISNUMBER(INDEX('Pooled funds'!$E:$E,ROW())),1,0)</f>
        <v/>
      </c>
      <c r="V190">
        <f>TRIM(SUBSTITUTE(INDEX('Loans'!$A:$A,ROW())&amp;""," "," "))</f>
        <v/>
      </c>
      <c r="W190">
        <f>TRIM(SUBSTITUTE(INDEX('Loans'!$B:$B,ROW())&amp;""," "," "))</f>
        <v/>
      </c>
      <c r="X190">
        <f>TRIM(SUBSTITUTE(INDEX('Loans'!$C:$C,ROW())&amp;""," "," "))</f>
        <v/>
      </c>
      <c r="Y190">
        <f>IFERROR(--INDEX('Loans'!$D:$D,ROW()),0)</f>
        <v/>
      </c>
      <c r="Z190">
        <f>IFERROR(--INDEX('Loans'!$E:$E,ROW()),0)</f>
        <v/>
      </c>
      <c r="AA190">
        <f>IFERROR(--INDEX('Loans'!$F:$F,ROW()),0)</f>
        <v/>
      </c>
      <c r="AB190">
        <f>IFERROR(IF(--INDEX('Loans'!$G:$G,ROW())&gt;=1,--INDEX('Loans'!$G:$G,ROW())/100,--INDEX('Loans'!$G:$G,ROW())),0)</f>
        <v/>
      </c>
      <c r="AC190">
        <f>TRIM(SUBSTITUTE(INDEX('Loans'!$H:$H,ROW())&amp;""," "," "))</f>
        <v/>
      </c>
      <c r="AD190">
        <f>TRIM(SUBSTITUTE(INDEX('Loans'!$I:$I,ROW())&amp;""," "," "))</f>
        <v/>
      </c>
      <c r="AE190">
        <f>IFERROR(--INDEX('Loans'!$J:$J,ROW()),0)</f>
        <v/>
      </c>
      <c r="AF190">
        <f>TRIM(SUBSTITUTE(INDEX('Loans'!$K:$K,ROW())&amp;""," "," "))</f>
        <v/>
      </c>
      <c r="AG190">
        <f>IFERROR(--INDEX('Loans'!$L:$L,ROW()),0)</f>
        <v/>
      </c>
      <c r="AH190">
        <f>IF(ISNUMBER(INDEX('Loans'!$G:$G,ROW())),1,0)</f>
        <v/>
      </c>
    </row>
    <row r="191">
      <c r="A191">
        <f>TRIM(SUBSTITUTE(INDEX('Term investments'!$A:$A,ROW())&amp;""," "," "))</f>
        <v/>
      </c>
      <c r="B191">
        <f>TRIM(SUBSTITUTE(INDEX('Term investments'!$B:$B,ROW())&amp;""," "," "))</f>
        <v/>
      </c>
      <c r="C191">
        <f>TRIM(SUBSTITUTE(INDEX('Term investments'!$C:$C,ROW())&amp;""," "," "))</f>
        <v/>
      </c>
      <c r="D191">
        <f>IFERROR(--INDEX('Term investments'!$D:$D,ROW()),0)</f>
        <v/>
      </c>
      <c r="E191">
        <f>IFERROR(--INDEX('Term investments'!$E:$E,ROW()),0)</f>
        <v/>
      </c>
      <c r="F191">
        <f>IFERROR(--INDEX('Term investments'!$F:$F,ROW()),0)</f>
        <v/>
      </c>
      <c r="G191">
        <f>IFERROR(IF(--INDEX('Term investments'!$G:$G,ROW())&gt;=1,--INDEX('Term investments'!$G:$G,ROW())/100,--INDEX('Term investments'!$G:$G,ROW())),0)</f>
        <v/>
      </c>
      <c r="H191">
        <f>IFERROR(--INDEX('Term investments'!$H:$H,ROW()),0)</f>
        <v/>
      </c>
      <c r="I191">
        <f>IF(ISNUMBER(INDEX('Term investments'!$G:$G,ROW())),1,0)</f>
        <v/>
      </c>
      <c r="J191">
        <f>TRIM(SUBSTITUTE(INDEX('Call accounts and MMFs'!$A:$A,ROW())&amp;""," "," "))</f>
        <v/>
      </c>
      <c r="K191">
        <f>TRIM(SUBSTITUTE(INDEX('Call accounts and MMFs'!$B:$B,ROW())&amp;""," "," "))</f>
        <v/>
      </c>
      <c r="L191">
        <f>TRIM(SUBSTITUTE(INDEX('Call accounts and MMFs'!$C:$C,ROW())&amp;""," "," "))</f>
        <v/>
      </c>
      <c r="M191">
        <f>IFERROR(--INDEX('Call accounts and MMFs'!$D:$D,ROW()),0)</f>
        <v/>
      </c>
      <c r="N191">
        <f>IFERROR(IF(--INDEX('Call accounts and MMFs'!$E:$E,ROW())&gt;=1,--INDEX('Call accounts and MMFs'!$E:$E,ROW())/100,--INDEX('Call accounts and MMFs'!$E:$E,ROW())),0)</f>
        <v/>
      </c>
      <c r="O191">
        <f>IFERROR(--INDEX('Call accounts and MMFs'!$F:$F,ROW()),0)</f>
        <v/>
      </c>
      <c r="P191">
        <f>IF(ISNUMBER(INDEX('Call accounts and MMFs'!$E:$E,ROW())),1,0)</f>
        <v/>
      </c>
      <c r="Q191">
        <f>TRIM(SUBSTITUTE(INDEX('Pooled funds'!$B:$B,ROW())&amp;""," "," "))</f>
        <v/>
      </c>
      <c r="R191">
        <f>IFERROR(--INDEX('Pooled funds'!$C:$C,ROW()),0)</f>
        <v/>
      </c>
      <c r="S191">
        <f>IFERROR(--INDEX('Pooled funds'!$D:$D,ROW()),0)</f>
        <v/>
      </c>
      <c r="T191">
        <f>IFERROR(IF(--INDEX('Pooled funds'!$E:$E,ROW())&gt;=1,--INDEX('Pooled funds'!$E:$E,ROW())/100,--INDEX('Pooled funds'!$E:$E,ROW())),0)</f>
        <v/>
      </c>
      <c r="U191">
        <f>IF(ISNUMBER(INDEX('Pooled funds'!$E:$E,ROW())),1,0)</f>
        <v/>
      </c>
      <c r="V191">
        <f>TRIM(SUBSTITUTE(INDEX('Loans'!$A:$A,ROW())&amp;""," "," "))</f>
        <v/>
      </c>
      <c r="W191">
        <f>TRIM(SUBSTITUTE(INDEX('Loans'!$B:$B,ROW())&amp;""," "," "))</f>
        <v/>
      </c>
      <c r="X191">
        <f>TRIM(SUBSTITUTE(INDEX('Loans'!$C:$C,ROW())&amp;""," "," "))</f>
        <v/>
      </c>
      <c r="Y191">
        <f>IFERROR(--INDEX('Loans'!$D:$D,ROW()),0)</f>
        <v/>
      </c>
      <c r="Z191">
        <f>IFERROR(--INDEX('Loans'!$E:$E,ROW()),0)</f>
        <v/>
      </c>
      <c r="AA191">
        <f>IFERROR(--INDEX('Loans'!$F:$F,ROW()),0)</f>
        <v/>
      </c>
      <c r="AB191">
        <f>IFERROR(IF(--INDEX('Loans'!$G:$G,ROW())&gt;=1,--INDEX('Loans'!$G:$G,ROW())/100,--INDEX('Loans'!$G:$G,ROW())),0)</f>
        <v/>
      </c>
      <c r="AC191">
        <f>TRIM(SUBSTITUTE(INDEX('Loans'!$H:$H,ROW())&amp;""," "," "))</f>
        <v/>
      </c>
      <c r="AD191">
        <f>TRIM(SUBSTITUTE(INDEX('Loans'!$I:$I,ROW())&amp;""," "," "))</f>
        <v/>
      </c>
      <c r="AE191">
        <f>IFERROR(--INDEX('Loans'!$J:$J,ROW()),0)</f>
        <v/>
      </c>
      <c r="AF191">
        <f>TRIM(SUBSTITUTE(INDEX('Loans'!$K:$K,ROW())&amp;""," "," "))</f>
        <v/>
      </c>
      <c r="AG191">
        <f>IFERROR(--INDEX('Loans'!$L:$L,ROW()),0)</f>
        <v/>
      </c>
      <c r="AH191">
        <f>IF(ISNUMBER(INDEX('Loans'!$G:$G,ROW())),1,0)</f>
        <v/>
      </c>
    </row>
    <row r="192">
      <c r="A192">
        <f>TRIM(SUBSTITUTE(INDEX('Term investments'!$A:$A,ROW())&amp;""," "," "))</f>
        <v/>
      </c>
      <c r="B192">
        <f>TRIM(SUBSTITUTE(INDEX('Term investments'!$B:$B,ROW())&amp;""," "," "))</f>
        <v/>
      </c>
      <c r="C192">
        <f>TRIM(SUBSTITUTE(INDEX('Term investments'!$C:$C,ROW())&amp;""," "," "))</f>
        <v/>
      </c>
      <c r="D192">
        <f>IFERROR(--INDEX('Term investments'!$D:$D,ROW()),0)</f>
        <v/>
      </c>
      <c r="E192">
        <f>IFERROR(--INDEX('Term investments'!$E:$E,ROW()),0)</f>
        <v/>
      </c>
      <c r="F192">
        <f>IFERROR(--INDEX('Term investments'!$F:$F,ROW()),0)</f>
        <v/>
      </c>
      <c r="G192">
        <f>IFERROR(IF(--INDEX('Term investments'!$G:$G,ROW())&gt;=1,--INDEX('Term investments'!$G:$G,ROW())/100,--INDEX('Term investments'!$G:$G,ROW())),0)</f>
        <v/>
      </c>
      <c r="H192">
        <f>IFERROR(--INDEX('Term investments'!$H:$H,ROW()),0)</f>
        <v/>
      </c>
      <c r="I192">
        <f>IF(ISNUMBER(INDEX('Term investments'!$G:$G,ROW())),1,0)</f>
        <v/>
      </c>
      <c r="J192">
        <f>TRIM(SUBSTITUTE(INDEX('Call accounts and MMFs'!$A:$A,ROW())&amp;""," "," "))</f>
        <v/>
      </c>
      <c r="K192">
        <f>TRIM(SUBSTITUTE(INDEX('Call accounts and MMFs'!$B:$B,ROW())&amp;""," "," "))</f>
        <v/>
      </c>
      <c r="L192">
        <f>TRIM(SUBSTITUTE(INDEX('Call accounts and MMFs'!$C:$C,ROW())&amp;""," "," "))</f>
        <v/>
      </c>
      <c r="M192">
        <f>IFERROR(--INDEX('Call accounts and MMFs'!$D:$D,ROW()),0)</f>
        <v/>
      </c>
      <c r="N192">
        <f>IFERROR(IF(--INDEX('Call accounts and MMFs'!$E:$E,ROW())&gt;=1,--INDEX('Call accounts and MMFs'!$E:$E,ROW())/100,--INDEX('Call accounts and MMFs'!$E:$E,ROW())),0)</f>
        <v/>
      </c>
      <c r="O192">
        <f>IFERROR(--INDEX('Call accounts and MMFs'!$F:$F,ROW()),0)</f>
        <v/>
      </c>
      <c r="P192">
        <f>IF(ISNUMBER(INDEX('Call accounts and MMFs'!$E:$E,ROW())),1,0)</f>
        <v/>
      </c>
      <c r="Q192">
        <f>TRIM(SUBSTITUTE(INDEX('Pooled funds'!$B:$B,ROW())&amp;""," "," "))</f>
        <v/>
      </c>
      <c r="R192">
        <f>IFERROR(--INDEX('Pooled funds'!$C:$C,ROW()),0)</f>
        <v/>
      </c>
      <c r="S192">
        <f>IFERROR(--INDEX('Pooled funds'!$D:$D,ROW()),0)</f>
        <v/>
      </c>
      <c r="T192">
        <f>IFERROR(IF(--INDEX('Pooled funds'!$E:$E,ROW())&gt;=1,--INDEX('Pooled funds'!$E:$E,ROW())/100,--INDEX('Pooled funds'!$E:$E,ROW())),0)</f>
        <v/>
      </c>
      <c r="U192">
        <f>IF(ISNUMBER(INDEX('Pooled funds'!$E:$E,ROW())),1,0)</f>
        <v/>
      </c>
      <c r="V192">
        <f>TRIM(SUBSTITUTE(INDEX('Loans'!$A:$A,ROW())&amp;""," "," "))</f>
        <v/>
      </c>
      <c r="W192">
        <f>TRIM(SUBSTITUTE(INDEX('Loans'!$B:$B,ROW())&amp;""," "," "))</f>
        <v/>
      </c>
      <c r="X192">
        <f>TRIM(SUBSTITUTE(INDEX('Loans'!$C:$C,ROW())&amp;""," "," "))</f>
        <v/>
      </c>
      <c r="Y192">
        <f>IFERROR(--INDEX('Loans'!$D:$D,ROW()),0)</f>
        <v/>
      </c>
      <c r="Z192">
        <f>IFERROR(--INDEX('Loans'!$E:$E,ROW()),0)</f>
        <v/>
      </c>
      <c r="AA192">
        <f>IFERROR(--INDEX('Loans'!$F:$F,ROW()),0)</f>
        <v/>
      </c>
      <c r="AB192">
        <f>IFERROR(IF(--INDEX('Loans'!$G:$G,ROW())&gt;=1,--INDEX('Loans'!$G:$G,ROW())/100,--INDEX('Loans'!$G:$G,ROW())),0)</f>
        <v/>
      </c>
      <c r="AC192">
        <f>TRIM(SUBSTITUTE(INDEX('Loans'!$H:$H,ROW())&amp;""," "," "))</f>
        <v/>
      </c>
      <c r="AD192">
        <f>TRIM(SUBSTITUTE(INDEX('Loans'!$I:$I,ROW())&amp;""," "," "))</f>
        <v/>
      </c>
      <c r="AE192">
        <f>IFERROR(--INDEX('Loans'!$J:$J,ROW()),0)</f>
        <v/>
      </c>
      <c r="AF192">
        <f>TRIM(SUBSTITUTE(INDEX('Loans'!$K:$K,ROW())&amp;""," "," "))</f>
        <v/>
      </c>
      <c r="AG192">
        <f>IFERROR(--INDEX('Loans'!$L:$L,ROW()),0)</f>
        <v/>
      </c>
      <c r="AH192">
        <f>IF(ISNUMBER(INDEX('Loans'!$G:$G,ROW())),1,0)</f>
        <v/>
      </c>
    </row>
    <row r="193">
      <c r="A193">
        <f>TRIM(SUBSTITUTE(INDEX('Term investments'!$A:$A,ROW())&amp;""," "," "))</f>
        <v/>
      </c>
      <c r="B193">
        <f>TRIM(SUBSTITUTE(INDEX('Term investments'!$B:$B,ROW())&amp;""," "," "))</f>
        <v/>
      </c>
      <c r="C193">
        <f>TRIM(SUBSTITUTE(INDEX('Term investments'!$C:$C,ROW())&amp;""," "," "))</f>
        <v/>
      </c>
      <c r="D193">
        <f>IFERROR(--INDEX('Term investments'!$D:$D,ROW()),0)</f>
        <v/>
      </c>
      <c r="E193">
        <f>IFERROR(--INDEX('Term investments'!$E:$E,ROW()),0)</f>
        <v/>
      </c>
      <c r="F193">
        <f>IFERROR(--INDEX('Term investments'!$F:$F,ROW()),0)</f>
        <v/>
      </c>
      <c r="G193">
        <f>IFERROR(IF(--INDEX('Term investments'!$G:$G,ROW())&gt;=1,--INDEX('Term investments'!$G:$G,ROW())/100,--INDEX('Term investments'!$G:$G,ROW())),0)</f>
        <v/>
      </c>
      <c r="H193">
        <f>IFERROR(--INDEX('Term investments'!$H:$H,ROW()),0)</f>
        <v/>
      </c>
      <c r="I193">
        <f>IF(ISNUMBER(INDEX('Term investments'!$G:$G,ROW())),1,0)</f>
        <v/>
      </c>
      <c r="J193">
        <f>TRIM(SUBSTITUTE(INDEX('Call accounts and MMFs'!$A:$A,ROW())&amp;""," "," "))</f>
        <v/>
      </c>
      <c r="K193">
        <f>TRIM(SUBSTITUTE(INDEX('Call accounts and MMFs'!$B:$B,ROW())&amp;""," "," "))</f>
        <v/>
      </c>
      <c r="L193">
        <f>TRIM(SUBSTITUTE(INDEX('Call accounts and MMFs'!$C:$C,ROW())&amp;""," "," "))</f>
        <v/>
      </c>
      <c r="M193">
        <f>IFERROR(--INDEX('Call accounts and MMFs'!$D:$D,ROW()),0)</f>
        <v/>
      </c>
      <c r="N193">
        <f>IFERROR(IF(--INDEX('Call accounts and MMFs'!$E:$E,ROW())&gt;=1,--INDEX('Call accounts and MMFs'!$E:$E,ROW())/100,--INDEX('Call accounts and MMFs'!$E:$E,ROW())),0)</f>
        <v/>
      </c>
      <c r="O193">
        <f>IFERROR(--INDEX('Call accounts and MMFs'!$F:$F,ROW()),0)</f>
        <v/>
      </c>
      <c r="P193">
        <f>IF(ISNUMBER(INDEX('Call accounts and MMFs'!$E:$E,ROW())),1,0)</f>
        <v/>
      </c>
      <c r="Q193">
        <f>TRIM(SUBSTITUTE(INDEX('Pooled funds'!$B:$B,ROW())&amp;""," "," "))</f>
        <v/>
      </c>
      <c r="R193">
        <f>IFERROR(--INDEX('Pooled funds'!$C:$C,ROW()),0)</f>
        <v/>
      </c>
      <c r="S193">
        <f>IFERROR(--INDEX('Pooled funds'!$D:$D,ROW()),0)</f>
        <v/>
      </c>
      <c r="T193">
        <f>IFERROR(IF(--INDEX('Pooled funds'!$E:$E,ROW())&gt;=1,--INDEX('Pooled funds'!$E:$E,ROW())/100,--INDEX('Pooled funds'!$E:$E,ROW())),0)</f>
        <v/>
      </c>
      <c r="U193">
        <f>IF(ISNUMBER(INDEX('Pooled funds'!$E:$E,ROW())),1,0)</f>
        <v/>
      </c>
      <c r="V193">
        <f>TRIM(SUBSTITUTE(INDEX('Loans'!$A:$A,ROW())&amp;""," "," "))</f>
        <v/>
      </c>
      <c r="W193">
        <f>TRIM(SUBSTITUTE(INDEX('Loans'!$B:$B,ROW())&amp;""," "," "))</f>
        <v/>
      </c>
      <c r="X193">
        <f>TRIM(SUBSTITUTE(INDEX('Loans'!$C:$C,ROW())&amp;""," "," "))</f>
        <v/>
      </c>
      <c r="Y193">
        <f>IFERROR(--INDEX('Loans'!$D:$D,ROW()),0)</f>
        <v/>
      </c>
      <c r="Z193">
        <f>IFERROR(--INDEX('Loans'!$E:$E,ROW()),0)</f>
        <v/>
      </c>
      <c r="AA193">
        <f>IFERROR(--INDEX('Loans'!$F:$F,ROW()),0)</f>
        <v/>
      </c>
      <c r="AB193">
        <f>IFERROR(IF(--INDEX('Loans'!$G:$G,ROW())&gt;=1,--INDEX('Loans'!$G:$G,ROW())/100,--INDEX('Loans'!$G:$G,ROW())),0)</f>
        <v/>
      </c>
      <c r="AC193">
        <f>TRIM(SUBSTITUTE(INDEX('Loans'!$H:$H,ROW())&amp;""," "," "))</f>
        <v/>
      </c>
      <c r="AD193">
        <f>TRIM(SUBSTITUTE(INDEX('Loans'!$I:$I,ROW())&amp;""," "," "))</f>
        <v/>
      </c>
      <c r="AE193">
        <f>IFERROR(--INDEX('Loans'!$J:$J,ROW()),0)</f>
        <v/>
      </c>
      <c r="AF193">
        <f>TRIM(SUBSTITUTE(INDEX('Loans'!$K:$K,ROW())&amp;""," "," "))</f>
        <v/>
      </c>
      <c r="AG193">
        <f>IFERROR(--INDEX('Loans'!$L:$L,ROW()),0)</f>
        <v/>
      </c>
      <c r="AH193">
        <f>IF(ISNUMBER(INDEX('Loans'!$G:$G,ROW())),1,0)</f>
        <v/>
      </c>
    </row>
    <row r="194">
      <c r="A194">
        <f>TRIM(SUBSTITUTE(INDEX('Term investments'!$A:$A,ROW())&amp;""," "," "))</f>
        <v/>
      </c>
      <c r="B194">
        <f>TRIM(SUBSTITUTE(INDEX('Term investments'!$B:$B,ROW())&amp;""," "," "))</f>
        <v/>
      </c>
      <c r="C194">
        <f>TRIM(SUBSTITUTE(INDEX('Term investments'!$C:$C,ROW())&amp;""," "," "))</f>
        <v/>
      </c>
      <c r="D194">
        <f>IFERROR(--INDEX('Term investments'!$D:$D,ROW()),0)</f>
        <v/>
      </c>
      <c r="E194">
        <f>IFERROR(--INDEX('Term investments'!$E:$E,ROW()),0)</f>
        <v/>
      </c>
      <c r="F194">
        <f>IFERROR(--INDEX('Term investments'!$F:$F,ROW()),0)</f>
        <v/>
      </c>
      <c r="G194">
        <f>IFERROR(IF(--INDEX('Term investments'!$G:$G,ROW())&gt;=1,--INDEX('Term investments'!$G:$G,ROW())/100,--INDEX('Term investments'!$G:$G,ROW())),0)</f>
        <v/>
      </c>
      <c r="H194">
        <f>IFERROR(--INDEX('Term investments'!$H:$H,ROW()),0)</f>
        <v/>
      </c>
      <c r="I194">
        <f>IF(ISNUMBER(INDEX('Term investments'!$G:$G,ROW())),1,0)</f>
        <v/>
      </c>
      <c r="J194">
        <f>TRIM(SUBSTITUTE(INDEX('Call accounts and MMFs'!$A:$A,ROW())&amp;""," "," "))</f>
        <v/>
      </c>
      <c r="K194">
        <f>TRIM(SUBSTITUTE(INDEX('Call accounts and MMFs'!$B:$B,ROW())&amp;""," "," "))</f>
        <v/>
      </c>
      <c r="L194">
        <f>TRIM(SUBSTITUTE(INDEX('Call accounts and MMFs'!$C:$C,ROW())&amp;""," "," "))</f>
        <v/>
      </c>
      <c r="M194">
        <f>IFERROR(--INDEX('Call accounts and MMFs'!$D:$D,ROW()),0)</f>
        <v/>
      </c>
      <c r="N194">
        <f>IFERROR(IF(--INDEX('Call accounts and MMFs'!$E:$E,ROW())&gt;=1,--INDEX('Call accounts and MMFs'!$E:$E,ROW())/100,--INDEX('Call accounts and MMFs'!$E:$E,ROW())),0)</f>
        <v/>
      </c>
      <c r="O194">
        <f>IFERROR(--INDEX('Call accounts and MMFs'!$F:$F,ROW()),0)</f>
        <v/>
      </c>
      <c r="P194">
        <f>IF(ISNUMBER(INDEX('Call accounts and MMFs'!$E:$E,ROW())),1,0)</f>
        <v/>
      </c>
      <c r="Q194">
        <f>TRIM(SUBSTITUTE(INDEX('Pooled funds'!$B:$B,ROW())&amp;""," "," "))</f>
        <v/>
      </c>
      <c r="R194">
        <f>IFERROR(--INDEX('Pooled funds'!$C:$C,ROW()),0)</f>
        <v/>
      </c>
      <c r="S194">
        <f>IFERROR(--INDEX('Pooled funds'!$D:$D,ROW()),0)</f>
        <v/>
      </c>
      <c r="T194">
        <f>IFERROR(IF(--INDEX('Pooled funds'!$E:$E,ROW())&gt;=1,--INDEX('Pooled funds'!$E:$E,ROW())/100,--INDEX('Pooled funds'!$E:$E,ROW())),0)</f>
        <v/>
      </c>
      <c r="U194">
        <f>IF(ISNUMBER(INDEX('Pooled funds'!$E:$E,ROW())),1,0)</f>
        <v/>
      </c>
      <c r="V194">
        <f>TRIM(SUBSTITUTE(INDEX('Loans'!$A:$A,ROW())&amp;""," "," "))</f>
        <v/>
      </c>
      <c r="W194">
        <f>TRIM(SUBSTITUTE(INDEX('Loans'!$B:$B,ROW())&amp;""," "," "))</f>
        <v/>
      </c>
      <c r="X194">
        <f>TRIM(SUBSTITUTE(INDEX('Loans'!$C:$C,ROW())&amp;""," "," "))</f>
        <v/>
      </c>
      <c r="Y194">
        <f>IFERROR(--INDEX('Loans'!$D:$D,ROW()),0)</f>
        <v/>
      </c>
      <c r="Z194">
        <f>IFERROR(--INDEX('Loans'!$E:$E,ROW()),0)</f>
        <v/>
      </c>
      <c r="AA194">
        <f>IFERROR(--INDEX('Loans'!$F:$F,ROW()),0)</f>
        <v/>
      </c>
      <c r="AB194">
        <f>IFERROR(IF(--INDEX('Loans'!$G:$G,ROW())&gt;=1,--INDEX('Loans'!$G:$G,ROW())/100,--INDEX('Loans'!$G:$G,ROW())),0)</f>
        <v/>
      </c>
      <c r="AC194">
        <f>TRIM(SUBSTITUTE(INDEX('Loans'!$H:$H,ROW())&amp;""," "," "))</f>
        <v/>
      </c>
      <c r="AD194">
        <f>TRIM(SUBSTITUTE(INDEX('Loans'!$I:$I,ROW())&amp;""," "," "))</f>
        <v/>
      </c>
      <c r="AE194">
        <f>IFERROR(--INDEX('Loans'!$J:$J,ROW()),0)</f>
        <v/>
      </c>
      <c r="AF194">
        <f>TRIM(SUBSTITUTE(INDEX('Loans'!$K:$K,ROW())&amp;""," "," "))</f>
        <v/>
      </c>
      <c r="AG194">
        <f>IFERROR(--INDEX('Loans'!$L:$L,ROW()),0)</f>
        <v/>
      </c>
      <c r="AH194">
        <f>IF(ISNUMBER(INDEX('Loans'!$G:$G,ROW())),1,0)</f>
        <v/>
      </c>
    </row>
    <row r="195">
      <c r="A195">
        <f>TRIM(SUBSTITUTE(INDEX('Term investments'!$A:$A,ROW())&amp;""," "," "))</f>
        <v/>
      </c>
      <c r="B195">
        <f>TRIM(SUBSTITUTE(INDEX('Term investments'!$B:$B,ROW())&amp;""," "," "))</f>
        <v/>
      </c>
      <c r="C195">
        <f>TRIM(SUBSTITUTE(INDEX('Term investments'!$C:$C,ROW())&amp;""," "," "))</f>
        <v/>
      </c>
      <c r="D195">
        <f>IFERROR(--INDEX('Term investments'!$D:$D,ROW()),0)</f>
        <v/>
      </c>
      <c r="E195">
        <f>IFERROR(--INDEX('Term investments'!$E:$E,ROW()),0)</f>
        <v/>
      </c>
      <c r="F195">
        <f>IFERROR(--INDEX('Term investments'!$F:$F,ROW()),0)</f>
        <v/>
      </c>
      <c r="G195">
        <f>IFERROR(IF(--INDEX('Term investments'!$G:$G,ROW())&gt;=1,--INDEX('Term investments'!$G:$G,ROW())/100,--INDEX('Term investments'!$G:$G,ROW())),0)</f>
        <v/>
      </c>
      <c r="H195">
        <f>IFERROR(--INDEX('Term investments'!$H:$H,ROW()),0)</f>
        <v/>
      </c>
      <c r="I195">
        <f>IF(ISNUMBER(INDEX('Term investments'!$G:$G,ROW())),1,0)</f>
        <v/>
      </c>
      <c r="J195">
        <f>TRIM(SUBSTITUTE(INDEX('Call accounts and MMFs'!$A:$A,ROW())&amp;""," "," "))</f>
        <v/>
      </c>
      <c r="K195">
        <f>TRIM(SUBSTITUTE(INDEX('Call accounts and MMFs'!$B:$B,ROW())&amp;""," "," "))</f>
        <v/>
      </c>
      <c r="L195">
        <f>TRIM(SUBSTITUTE(INDEX('Call accounts and MMFs'!$C:$C,ROW())&amp;""," "," "))</f>
        <v/>
      </c>
      <c r="M195">
        <f>IFERROR(--INDEX('Call accounts and MMFs'!$D:$D,ROW()),0)</f>
        <v/>
      </c>
      <c r="N195">
        <f>IFERROR(IF(--INDEX('Call accounts and MMFs'!$E:$E,ROW())&gt;=1,--INDEX('Call accounts and MMFs'!$E:$E,ROW())/100,--INDEX('Call accounts and MMFs'!$E:$E,ROW())),0)</f>
        <v/>
      </c>
      <c r="O195">
        <f>IFERROR(--INDEX('Call accounts and MMFs'!$F:$F,ROW()),0)</f>
        <v/>
      </c>
      <c r="P195">
        <f>IF(ISNUMBER(INDEX('Call accounts and MMFs'!$E:$E,ROW())),1,0)</f>
        <v/>
      </c>
      <c r="Q195">
        <f>TRIM(SUBSTITUTE(INDEX('Pooled funds'!$B:$B,ROW())&amp;""," "," "))</f>
        <v/>
      </c>
      <c r="R195">
        <f>IFERROR(--INDEX('Pooled funds'!$C:$C,ROW()),0)</f>
        <v/>
      </c>
      <c r="S195">
        <f>IFERROR(--INDEX('Pooled funds'!$D:$D,ROW()),0)</f>
        <v/>
      </c>
      <c r="T195">
        <f>IFERROR(IF(--INDEX('Pooled funds'!$E:$E,ROW())&gt;=1,--INDEX('Pooled funds'!$E:$E,ROW())/100,--INDEX('Pooled funds'!$E:$E,ROW())),0)</f>
        <v/>
      </c>
      <c r="U195">
        <f>IF(ISNUMBER(INDEX('Pooled funds'!$E:$E,ROW())),1,0)</f>
        <v/>
      </c>
      <c r="V195">
        <f>TRIM(SUBSTITUTE(INDEX('Loans'!$A:$A,ROW())&amp;""," "," "))</f>
        <v/>
      </c>
      <c r="W195">
        <f>TRIM(SUBSTITUTE(INDEX('Loans'!$B:$B,ROW())&amp;""," "," "))</f>
        <v/>
      </c>
      <c r="X195">
        <f>TRIM(SUBSTITUTE(INDEX('Loans'!$C:$C,ROW())&amp;""," "," "))</f>
        <v/>
      </c>
      <c r="Y195">
        <f>IFERROR(--INDEX('Loans'!$D:$D,ROW()),0)</f>
        <v/>
      </c>
      <c r="Z195">
        <f>IFERROR(--INDEX('Loans'!$E:$E,ROW()),0)</f>
        <v/>
      </c>
      <c r="AA195">
        <f>IFERROR(--INDEX('Loans'!$F:$F,ROW()),0)</f>
        <v/>
      </c>
      <c r="AB195">
        <f>IFERROR(IF(--INDEX('Loans'!$G:$G,ROW())&gt;=1,--INDEX('Loans'!$G:$G,ROW())/100,--INDEX('Loans'!$G:$G,ROW())),0)</f>
        <v/>
      </c>
      <c r="AC195">
        <f>TRIM(SUBSTITUTE(INDEX('Loans'!$H:$H,ROW())&amp;""," "," "))</f>
        <v/>
      </c>
      <c r="AD195">
        <f>TRIM(SUBSTITUTE(INDEX('Loans'!$I:$I,ROW())&amp;""," "," "))</f>
        <v/>
      </c>
      <c r="AE195">
        <f>IFERROR(--INDEX('Loans'!$J:$J,ROW()),0)</f>
        <v/>
      </c>
      <c r="AF195">
        <f>TRIM(SUBSTITUTE(INDEX('Loans'!$K:$K,ROW())&amp;""," "," "))</f>
        <v/>
      </c>
      <c r="AG195">
        <f>IFERROR(--INDEX('Loans'!$L:$L,ROW()),0)</f>
        <v/>
      </c>
      <c r="AH195">
        <f>IF(ISNUMBER(INDEX('Loans'!$G:$G,ROW())),1,0)</f>
        <v/>
      </c>
    </row>
    <row r="196">
      <c r="A196">
        <f>TRIM(SUBSTITUTE(INDEX('Term investments'!$A:$A,ROW())&amp;""," "," "))</f>
        <v/>
      </c>
      <c r="B196">
        <f>TRIM(SUBSTITUTE(INDEX('Term investments'!$B:$B,ROW())&amp;""," "," "))</f>
        <v/>
      </c>
      <c r="C196">
        <f>TRIM(SUBSTITUTE(INDEX('Term investments'!$C:$C,ROW())&amp;""," "," "))</f>
        <v/>
      </c>
      <c r="D196">
        <f>IFERROR(--INDEX('Term investments'!$D:$D,ROW()),0)</f>
        <v/>
      </c>
      <c r="E196">
        <f>IFERROR(--INDEX('Term investments'!$E:$E,ROW()),0)</f>
        <v/>
      </c>
      <c r="F196">
        <f>IFERROR(--INDEX('Term investments'!$F:$F,ROW()),0)</f>
        <v/>
      </c>
      <c r="G196">
        <f>IFERROR(IF(--INDEX('Term investments'!$G:$G,ROW())&gt;=1,--INDEX('Term investments'!$G:$G,ROW())/100,--INDEX('Term investments'!$G:$G,ROW())),0)</f>
        <v/>
      </c>
      <c r="H196">
        <f>IFERROR(--INDEX('Term investments'!$H:$H,ROW()),0)</f>
        <v/>
      </c>
      <c r="I196">
        <f>IF(ISNUMBER(INDEX('Term investments'!$G:$G,ROW())),1,0)</f>
        <v/>
      </c>
      <c r="J196">
        <f>TRIM(SUBSTITUTE(INDEX('Call accounts and MMFs'!$A:$A,ROW())&amp;""," "," "))</f>
        <v/>
      </c>
      <c r="K196">
        <f>TRIM(SUBSTITUTE(INDEX('Call accounts and MMFs'!$B:$B,ROW())&amp;""," "," "))</f>
        <v/>
      </c>
      <c r="L196">
        <f>TRIM(SUBSTITUTE(INDEX('Call accounts and MMFs'!$C:$C,ROW())&amp;""," "," "))</f>
        <v/>
      </c>
      <c r="M196">
        <f>IFERROR(--INDEX('Call accounts and MMFs'!$D:$D,ROW()),0)</f>
        <v/>
      </c>
      <c r="N196">
        <f>IFERROR(IF(--INDEX('Call accounts and MMFs'!$E:$E,ROW())&gt;=1,--INDEX('Call accounts and MMFs'!$E:$E,ROW())/100,--INDEX('Call accounts and MMFs'!$E:$E,ROW())),0)</f>
        <v/>
      </c>
      <c r="O196">
        <f>IFERROR(--INDEX('Call accounts and MMFs'!$F:$F,ROW()),0)</f>
        <v/>
      </c>
      <c r="P196">
        <f>IF(ISNUMBER(INDEX('Call accounts and MMFs'!$E:$E,ROW())),1,0)</f>
        <v/>
      </c>
      <c r="Q196">
        <f>TRIM(SUBSTITUTE(INDEX('Pooled funds'!$B:$B,ROW())&amp;""," "," "))</f>
        <v/>
      </c>
      <c r="R196">
        <f>IFERROR(--INDEX('Pooled funds'!$C:$C,ROW()),0)</f>
        <v/>
      </c>
      <c r="S196">
        <f>IFERROR(--INDEX('Pooled funds'!$D:$D,ROW()),0)</f>
        <v/>
      </c>
      <c r="T196">
        <f>IFERROR(IF(--INDEX('Pooled funds'!$E:$E,ROW())&gt;=1,--INDEX('Pooled funds'!$E:$E,ROW())/100,--INDEX('Pooled funds'!$E:$E,ROW())),0)</f>
        <v/>
      </c>
      <c r="U196">
        <f>IF(ISNUMBER(INDEX('Pooled funds'!$E:$E,ROW())),1,0)</f>
        <v/>
      </c>
      <c r="V196">
        <f>TRIM(SUBSTITUTE(INDEX('Loans'!$A:$A,ROW())&amp;""," "," "))</f>
        <v/>
      </c>
      <c r="W196">
        <f>TRIM(SUBSTITUTE(INDEX('Loans'!$B:$B,ROW())&amp;""," "," "))</f>
        <v/>
      </c>
      <c r="X196">
        <f>TRIM(SUBSTITUTE(INDEX('Loans'!$C:$C,ROW())&amp;""," "," "))</f>
        <v/>
      </c>
      <c r="Y196">
        <f>IFERROR(--INDEX('Loans'!$D:$D,ROW()),0)</f>
        <v/>
      </c>
      <c r="Z196">
        <f>IFERROR(--INDEX('Loans'!$E:$E,ROW()),0)</f>
        <v/>
      </c>
      <c r="AA196">
        <f>IFERROR(--INDEX('Loans'!$F:$F,ROW()),0)</f>
        <v/>
      </c>
      <c r="AB196">
        <f>IFERROR(IF(--INDEX('Loans'!$G:$G,ROW())&gt;=1,--INDEX('Loans'!$G:$G,ROW())/100,--INDEX('Loans'!$G:$G,ROW())),0)</f>
        <v/>
      </c>
      <c r="AC196">
        <f>TRIM(SUBSTITUTE(INDEX('Loans'!$H:$H,ROW())&amp;""," "," "))</f>
        <v/>
      </c>
      <c r="AD196">
        <f>TRIM(SUBSTITUTE(INDEX('Loans'!$I:$I,ROW())&amp;""," "," "))</f>
        <v/>
      </c>
      <c r="AE196">
        <f>IFERROR(--INDEX('Loans'!$J:$J,ROW()),0)</f>
        <v/>
      </c>
      <c r="AF196">
        <f>TRIM(SUBSTITUTE(INDEX('Loans'!$K:$K,ROW())&amp;""," "," "))</f>
        <v/>
      </c>
      <c r="AG196">
        <f>IFERROR(--INDEX('Loans'!$L:$L,ROW()),0)</f>
        <v/>
      </c>
      <c r="AH196">
        <f>IF(ISNUMBER(INDEX('Loans'!$G:$G,ROW())),1,0)</f>
        <v/>
      </c>
    </row>
    <row r="197">
      <c r="A197">
        <f>TRIM(SUBSTITUTE(INDEX('Term investments'!$A:$A,ROW())&amp;""," "," "))</f>
        <v/>
      </c>
      <c r="B197">
        <f>TRIM(SUBSTITUTE(INDEX('Term investments'!$B:$B,ROW())&amp;""," "," "))</f>
        <v/>
      </c>
      <c r="C197">
        <f>TRIM(SUBSTITUTE(INDEX('Term investments'!$C:$C,ROW())&amp;""," "," "))</f>
        <v/>
      </c>
      <c r="D197">
        <f>IFERROR(--INDEX('Term investments'!$D:$D,ROW()),0)</f>
        <v/>
      </c>
      <c r="E197">
        <f>IFERROR(--INDEX('Term investments'!$E:$E,ROW()),0)</f>
        <v/>
      </c>
      <c r="F197">
        <f>IFERROR(--INDEX('Term investments'!$F:$F,ROW()),0)</f>
        <v/>
      </c>
      <c r="G197">
        <f>IFERROR(IF(--INDEX('Term investments'!$G:$G,ROW())&gt;=1,--INDEX('Term investments'!$G:$G,ROW())/100,--INDEX('Term investments'!$G:$G,ROW())),0)</f>
        <v/>
      </c>
      <c r="H197">
        <f>IFERROR(--INDEX('Term investments'!$H:$H,ROW()),0)</f>
        <v/>
      </c>
      <c r="I197">
        <f>IF(ISNUMBER(INDEX('Term investments'!$G:$G,ROW())),1,0)</f>
        <v/>
      </c>
      <c r="J197">
        <f>TRIM(SUBSTITUTE(INDEX('Call accounts and MMFs'!$A:$A,ROW())&amp;""," "," "))</f>
        <v/>
      </c>
      <c r="K197">
        <f>TRIM(SUBSTITUTE(INDEX('Call accounts and MMFs'!$B:$B,ROW())&amp;""," "," "))</f>
        <v/>
      </c>
      <c r="L197">
        <f>TRIM(SUBSTITUTE(INDEX('Call accounts and MMFs'!$C:$C,ROW())&amp;""," "," "))</f>
        <v/>
      </c>
      <c r="M197">
        <f>IFERROR(--INDEX('Call accounts and MMFs'!$D:$D,ROW()),0)</f>
        <v/>
      </c>
      <c r="N197">
        <f>IFERROR(IF(--INDEX('Call accounts and MMFs'!$E:$E,ROW())&gt;=1,--INDEX('Call accounts and MMFs'!$E:$E,ROW())/100,--INDEX('Call accounts and MMFs'!$E:$E,ROW())),0)</f>
        <v/>
      </c>
      <c r="O197">
        <f>IFERROR(--INDEX('Call accounts and MMFs'!$F:$F,ROW()),0)</f>
        <v/>
      </c>
      <c r="P197">
        <f>IF(ISNUMBER(INDEX('Call accounts and MMFs'!$E:$E,ROW())),1,0)</f>
        <v/>
      </c>
      <c r="Q197">
        <f>TRIM(SUBSTITUTE(INDEX('Pooled funds'!$B:$B,ROW())&amp;""," "," "))</f>
        <v/>
      </c>
      <c r="R197">
        <f>IFERROR(--INDEX('Pooled funds'!$C:$C,ROW()),0)</f>
        <v/>
      </c>
      <c r="S197">
        <f>IFERROR(--INDEX('Pooled funds'!$D:$D,ROW()),0)</f>
        <v/>
      </c>
      <c r="T197">
        <f>IFERROR(IF(--INDEX('Pooled funds'!$E:$E,ROW())&gt;=1,--INDEX('Pooled funds'!$E:$E,ROW())/100,--INDEX('Pooled funds'!$E:$E,ROW())),0)</f>
        <v/>
      </c>
      <c r="U197">
        <f>IF(ISNUMBER(INDEX('Pooled funds'!$E:$E,ROW())),1,0)</f>
        <v/>
      </c>
      <c r="V197">
        <f>TRIM(SUBSTITUTE(INDEX('Loans'!$A:$A,ROW())&amp;""," "," "))</f>
        <v/>
      </c>
      <c r="W197">
        <f>TRIM(SUBSTITUTE(INDEX('Loans'!$B:$B,ROW())&amp;""," "," "))</f>
        <v/>
      </c>
      <c r="X197">
        <f>TRIM(SUBSTITUTE(INDEX('Loans'!$C:$C,ROW())&amp;""," "," "))</f>
        <v/>
      </c>
      <c r="Y197">
        <f>IFERROR(--INDEX('Loans'!$D:$D,ROW()),0)</f>
        <v/>
      </c>
      <c r="Z197">
        <f>IFERROR(--INDEX('Loans'!$E:$E,ROW()),0)</f>
        <v/>
      </c>
      <c r="AA197">
        <f>IFERROR(--INDEX('Loans'!$F:$F,ROW()),0)</f>
        <v/>
      </c>
      <c r="AB197">
        <f>IFERROR(IF(--INDEX('Loans'!$G:$G,ROW())&gt;=1,--INDEX('Loans'!$G:$G,ROW())/100,--INDEX('Loans'!$G:$G,ROW())),0)</f>
        <v/>
      </c>
      <c r="AC197">
        <f>TRIM(SUBSTITUTE(INDEX('Loans'!$H:$H,ROW())&amp;""," "," "))</f>
        <v/>
      </c>
      <c r="AD197">
        <f>TRIM(SUBSTITUTE(INDEX('Loans'!$I:$I,ROW())&amp;""," "," "))</f>
        <v/>
      </c>
      <c r="AE197">
        <f>IFERROR(--INDEX('Loans'!$J:$J,ROW()),0)</f>
        <v/>
      </c>
      <c r="AF197">
        <f>TRIM(SUBSTITUTE(INDEX('Loans'!$K:$K,ROW())&amp;""," "," "))</f>
        <v/>
      </c>
      <c r="AG197">
        <f>IFERROR(--INDEX('Loans'!$L:$L,ROW()),0)</f>
        <v/>
      </c>
      <c r="AH197">
        <f>IF(ISNUMBER(INDEX('Loans'!$G:$G,ROW())),1,0)</f>
        <v/>
      </c>
    </row>
    <row r="198">
      <c r="A198">
        <f>TRIM(SUBSTITUTE(INDEX('Term investments'!$A:$A,ROW())&amp;""," "," "))</f>
        <v/>
      </c>
      <c r="B198">
        <f>TRIM(SUBSTITUTE(INDEX('Term investments'!$B:$B,ROW())&amp;""," "," "))</f>
        <v/>
      </c>
      <c r="C198">
        <f>TRIM(SUBSTITUTE(INDEX('Term investments'!$C:$C,ROW())&amp;""," "," "))</f>
        <v/>
      </c>
      <c r="D198">
        <f>IFERROR(--INDEX('Term investments'!$D:$D,ROW()),0)</f>
        <v/>
      </c>
      <c r="E198">
        <f>IFERROR(--INDEX('Term investments'!$E:$E,ROW()),0)</f>
        <v/>
      </c>
      <c r="F198">
        <f>IFERROR(--INDEX('Term investments'!$F:$F,ROW()),0)</f>
        <v/>
      </c>
      <c r="G198">
        <f>IFERROR(IF(--INDEX('Term investments'!$G:$G,ROW())&gt;=1,--INDEX('Term investments'!$G:$G,ROW())/100,--INDEX('Term investments'!$G:$G,ROW())),0)</f>
        <v/>
      </c>
      <c r="H198">
        <f>IFERROR(--INDEX('Term investments'!$H:$H,ROW()),0)</f>
        <v/>
      </c>
      <c r="I198">
        <f>IF(ISNUMBER(INDEX('Term investments'!$G:$G,ROW())),1,0)</f>
        <v/>
      </c>
      <c r="J198">
        <f>TRIM(SUBSTITUTE(INDEX('Call accounts and MMFs'!$A:$A,ROW())&amp;""," "," "))</f>
        <v/>
      </c>
      <c r="K198">
        <f>TRIM(SUBSTITUTE(INDEX('Call accounts and MMFs'!$B:$B,ROW())&amp;""," "," "))</f>
        <v/>
      </c>
      <c r="L198">
        <f>TRIM(SUBSTITUTE(INDEX('Call accounts and MMFs'!$C:$C,ROW())&amp;""," "," "))</f>
        <v/>
      </c>
      <c r="M198">
        <f>IFERROR(--INDEX('Call accounts and MMFs'!$D:$D,ROW()),0)</f>
        <v/>
      </c>
      <c r="N198">
        <f>IFERROR(IF(--INDEX('Call accounts and MMFs'!$E:$E,ROW())&gt;=1,--INDEX('Call accounts and MMFs'!$E:$E,ROW())/100,--INDEX('Call accounts and MMFs'!$E:$E,ROW())),0)</f>
        <v/>
      </c>
      <c r="O198">
        <f>IFERROR(--INDEX('Call accounts and MMFs'!$F:$F,ROW()),0)</f>
        <v/>
      </c>
      <c r="P198">
        <f>IF(ISNUMBER(INDEX('Call accounts and MMFs'!$E:$E,ROW())),1,0)</f>
        <v/>
      </c>
      <c r="Q198">
        <f>TRIM(SUBSTITUTE(INDEX('Pooled funds'!$B:$B,ROW())&amp;""," "," "))</f>
        <v/>
      </c>
      <c r="R198">
        <f>IFERROR(--INDEX('Pooled funds'!$C:$C,ROW()),0)</f>
        <v/>
      </c>
      <c r="S198">
        <f>IFERROR(--INDEX('Pooled funds'!$D:$D,ROW()),0)</f>
        <v/>
      </c>
      <c r="T198">
        <f>IFERROR(IF(--INDEX('Pooled funds'!$E:$E,ROW())&gt;=1,--INDEX('Pooled funds'!$E:$E,ROW())/100,--INDEX('Pooled funds'!$E:$E,ROW())),0)</f>
        <v/>
      </c>
      <c r="U198">
        <f>IF(ISNUMBER(INDEX('Pooled funds'!$E:$E,ROW())),1,0)</f>
        <v/>
      </c>
      <c r="V198">
        <f>TRIM(SUBSTITUTE(INDEX('Loans'!$A:$A,ROW())&amp;""," "," "))</f>
        <v/>
      </c>
      <c r="W198">
        <f>TRIM(SUBSTITUTE(INDEX('Loans'!$B:$B,ROW())&amp;""," "," "))</f>
        <v/>
      </c>
      <c r="X198">
        <f>TRIM(SUBSTITUTE(INDEX('Loans'!$C:$C,ROW())&amp;""," "," "))</f>
        <v/>
      </c>
      <c r="Y198">
        <f>IFERROR(--INDEX('Loans'!$D:$D,ROW()),0)</f>
        <v/>
      </c>
      <c r="Z198">
        <f>IFERROR(--INDEX('Loans'!$E:$E,ROW()),0)</f>
        <v/>
      </c>
      <c r="AA198">
        <f>IFERROR(--INDEX('Loans'!$F:$F,ROW()),0)</f>
        <v/>
      </c>
      <c r="AB198">
        <f>IFERROR(IF(--INDEX('Loans'!$G:$G,ROW())&gt;=1,--INDEX('Loans'!$G:$G,ROW())/100,--INDEX('Loans'!$G:$G,ROW())),0)</f>
        <v/>
      </c>
      <c r="AC198">
        <f>TRIM(SUBSTITUTE(INDEX('Loans'!$H:$H,ROW())&amp;""," "," "))</f>
        <v/>
      </c>
      <c r="AD198">
        <f>TRIM(SUBSTITUTE(INDEX('Loans'!$I:$I,ROW())&amp;""," "," "))</f>
        <v/>
      </c>
      <c r="AE198">
        <f>IFERROR(--INDEX('Loans'!$J:$J,ROW()),0)</f>
        <v/>
      </c>
      <c r="AF198">
        <f>TRIM(SUBSTITUTE(INDEX('Loans'!$K:$K,ROW())&amp;""," "," "))</f>
        <v/>
      </c>
      <c r="AG198">
        <f>IFERROR(--INDEX('Loans'!$L:$L,ROW()),0)</f>
        <v/>
      </c>
      <c r="AH198">
        <f>IF(ISNUMBER(INDEX('Loans'!$G:$G,ROW())),1,0)</f>
        <v/>
      </c>
    </row>
    <row r="199">
      <c r="A199">
        <f>TRIM(SUBSTITUTE(INDEX('Term investments'!$A:$A,ROW())&amp;""," "," "))</f>
        <v/>
      </c>
      <c r="B199">
        <f>TRIM(SUBSTITUTE(INDEX('Term investments'!$B:$B,ROW())&amp;""," "," "))</f>
        <v/>
      </c>
      <c r="C199">
        <f>TRIM(SUBSTITUTE(INDEX('Term investments'!$C:$C,ROW())&amp;""," "," "))</f>
        <v/>
      </c>
      <c r="D199">
        <f>IFERROR(--INDEX('Term investments'!$D:$D,ROW()),0)</f>
        <v/>
      </c>
      <c r="E199">
        <f>IFERROR(--INDEX('Term investments'!$E:$E,ROW()),0)</f>
        <v/>
      </c>
      <c r="F199">
        <f>IFERROR(--INDEX('Term investments'!$F:$F,ROW()),0)</f>
        <v/>
      </c>
      <c r="G199">
        <f>IFERROR(IF(--INDEX('Term investments'!$G:$G,ROW())&gt;=1,--INDEX('Term investments'!$G:$G,ROW())/100,--INDEX('Term investments'!$G:$G,ROW())),0)</f>
        <v/>
      </c>
      <c r="H199">
        <f>IFERROR(--INDEX('Term investments'!$H:$H,ROW()),0)</f>
        <v/>
      </c>
      <c r="I199">
        <f>IF(ISNUMBER(INDEX('Term investments'!$G:$G,ROW())),1,0)</f>
        <v/>
      </c>
      <c r="J199">
        <f>TRIM(SUBSTITUTE(INDEX('Call accounts and MMFs'!$A:$A,ROW())&amp;""," "," "))</f>
        <v/>
      </c>
      <c r="K199">
        <f>TRIM(SUBSTITUTE(INDEX('Call accounts and MMFs'!$B:$B,ROW())&amp;""," "," "))</f>
        <v/>
      </c>
      <c r="L199">
        <f>TRIM(SUBSTITUTE(INDEX('Call accounts and MMFs'!$C:$C,ROW())&amp;""," "," "))</f>
        <v/>
      </c>
      <c r="M199">
        <f>IFERROR(--INDEX('Call accounts and MMFs'!$D:$D,ROW()),0)</f>
        <v/>
      </c>
      <c r="N199">
        <f>IFERROR(IF(--INDEX('Call accounts and MMFs'!$E:$E,ROW())&gt;=1,--INDEX('Call accounts and MMFs'!$E:$E,ROW())/100,--INDEX('Call accounts and MMFs'!$E:$E,ROW())),0)</f>
        <v/>
      </c>
      <c r="O199">
        <f>IFERROR(--INDEX('Call accounts and MMFs'!$F:$F,ROW()),0)</f>
        <v/>
      </c>
      <c r="P199">
        <f>IF(ISNUMBER(INDEX('Call accounts and MMFs'!$E:$E,ROW())),1,0)</f>
        <v/>
      </c>
      <c r="Q199">
        <f>TRIM(SUBSTITUTE(INDEX('Pooled funds'!$B:$B,ROW())&amp;""," "," "))</f>
        <v/>
      </c>
      <c r="R199">
        <f>IFERROR(--INDEX('Pooled funds'!$C:$C,ROW()),0)</f>
        <v/>
      </c>
      <c r="S199">
        <f>IFERROR(--INDEX('Pooled funds'!$D:$D,ROW()),0)</f>
        <v/>
      </c>
      <c r="T199">
        <f>IFERROR(IF(--INDEX('Pooled funds'!$E:$E,ROW())&gt;=1,--INDEX('Pooled funds'!$E:$E,ROW())/100,--INDEX('Pooled funds'!$E:$E,ROW())),0)</f>
        <v/>
      </c>
      <c r="U199">
        <f>IF(ISNUMBER(INDEX('Pooled funds'!$E:$E,ROW())),1,0)</f>
        <v/>
      </c>
      <c r="V199">
        <f>TRIM(SUBSTITUTE(INDEX('Loans'!$A:$A,ROW())&amp;""," "," "))</f>
        <v/>
      </c>
      <c r="W199">
        <f>TRIM(SUBSTITUTE(INDEX('Loans'!$B:$B,ROW())&amp;""," "," "))</f>
        <v/>
      </c>
      <c r="X199">
        <f>TRIM(SUBSTITUTE(INDEX('Loans'!$C:$C,ROW())&amp;""," "," "))</f>
        <v/>
      </c>
      <c r="Y199">
        <f>IFERROR(--INDEX('Loans'!$D:$D,ROW()),0)</f>
        <v/>
      </c>
      <c r="Z199">
        <f>IFERROR(--INDEX('Loans'!$E:$E,ROW()),0)</f>
        <v/>
      </c>
      <c r="AA199">
        <f>IFERROR(--INDEX('Loans'!$F:$F,ROW()),0)</f>
        <v/>
      </c>
      <c r="AB199">
        <f>IFERROR(IF(--INDEX('Loans'!$G:$G,ROW())&gt;=1,--INDEX('Loans'!$G:$G,ROW())/100,--INDEX('Loans'!$G:$G,ROW())),0)</f>
        <v/>
      </c>
      <c r="AC199">
        <f>TRIM(SUBSTITUTE(INDEX('Loans'!$H:$H,ROW())&amp;""," "," "))</f>
        <v/>
      </c>
      <c r="AD199">
        <f>TRIM(SUBSTITUTE(INDEX('Loans'!$I:$I,ROW())&amp;""," "," "))</f>
        <v/>
      </c>
      <c r="AE199">
        <f>IFERROR(--INDEX('Loans'!$J:$J,ROW()),0)</f>
        <v/>
      </c>
      <c r="AF199">
        <f>TRIM(SUBSTITUTE(INDEX('Loans'!$K:$K,ROW())&amp;""," "," "))</f>
        <v/>
      </c>
      <c r="AG199">
        <f>IFERROR(--INDEX('Loans'!$L:$L,ROW()),0)</f>
        <v/>
      </c>
      <c r="AH199">
        <f>IF(ISNUMBER(INDEX('Loans'!$G:$G,ROW())),1,0)</f>
        <v/>
      </c>
    </row>
    <row r="200">
      <c r="A200">
        <f>TRIM(SUBSTITUTE(INDEX('Term investments'!$A:$A,ROW())&amp;""," "," "))</f>
        <v/>
      </c>
      <c r="B200">
        <f>TRIM(SUBSTITUTE(INDEX('Term investments'!$B:$B,ROW())&amp;""," "," "))</f>
        <v/>
      </c>
      <c r="C200">
        <f>TRIM(SUBSTITUTE(INDEX('Term investments'!$C:$C,ROW())&amp;""," "," "))</f>
        <v/>
      </c>
      <c r="D200">
        <f>IFERROR(--INDEX('Term investments'!$D:$D,ROW()),0)</f>
        <v/>
      </c>
      <c r="E200">
        <f>IFERROR(--INDEX('Term investments'!$E:$E,ROW()),0)</f>
        <v/>
      </c>
      <c r="F200">
        <f>IFERROR(--INDEX('Term investments'!$F:$F,ROW()),0)</f>
        <v/>
      </c>
      <c r="G200">
        <f>IFERROR(IF(--INDEX('Term investments'!$G:$G,ROW())&gt;=1,--INDEX('Term investments'!$G:$G,ROW())/100,--INDEX('Term investments'!$G:$G,ROW())),0)</f>
        <v/>
      </c>
      <c r="H200">
        <f>IFERROR(--INDEX('Term investments'!$H:$H,ROW()),0)</f>
        <v/>
      </c>
      <c r="I200">
        <f>IF(ISNUMBER(INDEX('Term investments'!$G:$G,ROW())),1,0)</f>
        <v/>
      </c>
      <c r="J200">
        <f>TRIM(SUBSTITUTE(INDEX('Call accounts and MMFs'!$A:$A,ROW())&amp;""," "," "))</f>
        <v/>
      </c>
      <c r="K200">
        <f>TRIM(SUBSTITUTE(INDEX('Call accounts and MMFs'!$B:$B,ROW())&amp;""," "," "))</f>
        <v/>
      </c>
      <c r="L200">
        <f>TRIM(SUBSTITUTE(INDEX('Call accounts and MMFs'!$C:$C,ROW())&amp;""," "," "))</f>
        <v/>
      </c>
      <c r="M200">
        <f>IFERROR(--INDEX('Call accounts and MMFs'!$D:$D,ROW()),0)</f>
        <v/>
      </c>
      <c r="N200">
        <f>IFERROR(IF(--INDEX('Call accounts and MMFs'!$E:$E,ROW())&gt;=1,--INDEX('Call accounts and MMFs'!$E:$E,ROW())/100,--INDEX('Call accounts and MMFs'!$E:$E,ROW())),0)</f>
        <v/>
      </c>
      <c r="O200">
        <f>IFERROR(--INDEX('Call accounts and MMFs'!$F:$F,ROW()),0)</f>
        <v/>
      </c>
      <c r="P200">
        <f>IF(ISNUMBER(INDEX('Call accounts and MMFs'!$E:$E,ROW())),1,0)</f>
        <v/>
      </c>
      <c r="Q200">
        <f>TRIM(SUBSTITUTE(INDEX('Pooled funds'!$B:$B,ROW())&amp;""," "," "))</f>
        <v/>
      </c>
      <c r="R200">
        <f>IFERROR(--INDEX('Pooled funds'!$C:$C,ROW()),0)</f>
        <v/>
      </c>
      <c r="S200">
        <f>IFERROR(--INDEX('Pooled funds'!$D:$D,ROW()),0)</f>
        <v/>
      </c>
      <c r="T200">
        <f>IFERROR(IF(--INDEX('Pooled funds'!$E:$E,ROW())&gt;=1,--INDEX('Pooled funds'!$E:$E,ROW())/100,--INDEX('Pooled funds'!$E:$E,ROW())),0)</f>
        <v/>
      </c>
      <c r="U200">
        <f>IF(ISNUMBER(INDEX('Pooled funds'!$E:$E,ROW())),1,0)</f>
        <v/>
      </c>
      <c r="V200">
        <f>TRIM(SUBSTITUTE(INDEX('Loans'!$A:$A,ROW())&amp;""," "," "))</f>
        <v/>
      </c>
      <c r="W200">
        <f>TRIM(SUBSTITUTE(INDEX('Loans'!$B:$B,ROW())&amp;""," "," "))</f>
        <v/>
      </c>
      <c r="X200">
        <f>TRIM(SUBSTITUTE(INDEX('Loans'!$C:$C,ROW())&amp;""," "," "))</f>
        <v/>
      </c>
      <c r="Y200">
        <f>IFERROR(--INDEX('Loans'!$D:$D,ROW()),0)</f>
        <v/>
      </c>
      <c r="Z200">
        <f>IFERROR(--INDEX('Loans'!$E:$E,ROW()),0)</f>
        <v/>
      </c>
      <c r="AA200">
        <f>IFERROR(--INDEX('Loans'!$F:$F,ROW()),0)</f>
        <v/>
      </c>
      <c r="AB200">
        <f>IFERROR(IF(--INDEX('Loans'!$G:$G,ROW())&gt;=1,--INDEX('Loans'!$G:$G,ROW())/100,--INDEX('Loans'!$G:$G,ROW())),0)</f>
        <v/>
      </c>
      <c r="AC200">
        <f>TRIM(SUBSTITUTE(INDEX('Loans'!$H:$H,ROW())&amp;""," "," "))</f>
        <v/>
      </c>
      <c r="AD200">
        <f>TRIM(SUBSTITUTE(INDEX('Loans'!$I:$I,ROW())&amp;""," "," "))</f>
        <v/>
      </c>
      <c r="AE200">
        <f>IFERROR(--INDEX('Loans'!$J:$J,ROW()),0)</f>
        <v/>
      </c>
      <c r="AF200">
        <f>TRIM(SUBSTITUTE(INDEX('Loans'!$K:$K,ROW())&amp;""," "," "))</f>
        <v/>
      </c>
      <c r="AG200">
        <f>IFERROR(--INDEX('Loans'!$L:$L,ROW()),0)</f>
        <v/>
      </c>
      <c r="AH200">
        <f>IF(ISNUMBER(INDEX('Loans'!$G:$G,ROW())),1,0)</f>
        <v/>
      </c>
    </row>
    <row r="201">
      <c r="A201">
        <f>TRIM(SUBSTITUTE(INDEX('Term investments'!$A:$A,ROW())&amp;""," "," "))</f>
        <v/>
      </c>
      <c r="B201">
        <f>TRIM(SUBSTITUTE(INDEX('Term investments'!$B:$B,ROW())&amp;""," "," "))</f>
        <v/>
      </c>
      <c r="C201">
        <f>TRIM(SUBSTITUTE(INDEX('Term investments'!$C:$C,ROW())&amp;""," "," "))</f>
        <v/>
      </c>
      <c r="D201">
        <f>IFERROR(--INDEX('Term investments'!$D:$D,ROW()),0)</f>
        <v/>
      </c>
      <c r="E201">
        <f>IFERROR(--INDEX('Term investments'!$E:$E,ROW()),0)</f>
        <v/>
      </c>
      <c r="F201">
        <f>IFERROR(--INDEX('Term investments'!$F:$F,ROW()),0)</f>
        <v/>
      </c>
      <c r="G201">
        <f>IFERROR(IF(--INDEX('Term investments'!$G:$G,ROW())&gt;=1,--INDEX('Term investments'!$G:$G,ROW())/100,--INDEX('Term investments'!$G:$G,ROW())),0)</f>
        <v/>
      </c>
      <c r="H201">
        <f>IFERROR(--INDEX('Term investments'!$H:$H,ROW()),0)</f>
        <v/>
      </c>
      <c r="I201">
        <f>IF(ISNUMBER(INDEX('Term investments'!$G:$G,ROW())),1,0)</f>
        <v/>
      </c>
      <c r="J201">
        <f>TRIM(SUBSTITUTE(INDEX('Call accounts and MMFs'!$A:$A,ROW())&amp;""," "," "))</f>
        <v/>
      </c>
      <c r="K201">
        <f>TRIM(SUBSTITUTE(INDEX('Call accounts and MMFs'!$B:$B,ROW())&amp;""," "," "))</f>
        <v/>
      </c>
      <c r="L201">
        <f>TRIM(SUBSTITUTE(INDEX('Call accounts and MMFs'!$C:$C,ROW())&amp;""," "," "))</f>
        <v/>
      </c>
      <c r="M201">
        <f>IFERROR(--INDEX('Call accounts and MMFs'!$D:$D,ROW()),0)</f>
        <v/>
      </c>
      <c r="N201">
        <f>IFERROR(IF(--INDEX('Call accounts and MMFs'!$E:$E,ROW())&gt;=1,--INDEX('Call accounts and MMFs'!$E:$E,ROW())/100,--INDEX('Call accounts and MMFs'!$E:$E,ROW())),0)</f>
        <v/>
      </c>
      <c r="O201">
        <f>IFERROR(--INDEX('Call accounts and MMFs'!$F:$F,ROW()),0)</f>
        <v/>
      </c>
      <c r="P201">
        <f>IF(ISNUMBER(INDEX('Call accounts and MMFs'!$E:$E,ROW())),1,0)</f>
        <v/>
      </c>
      <c r="Q201">
        <f>TRIM(SUBSTITUTE(INDEX('Pooled funds'!$B:$B,ROW())&amp;""," "," "))</f>
        <v/>
      </c>
      <c r="R201">
        <f>IFERROR(--INDEX('Pooled funds'!$C:$C,ROW()),0)</f>
        <v/>
      </c>
      <c r="S201">
        <f>IFERROR(--INDEX('Pooled funds'!$D:$D,ROW()),0)</f>
        <v/>
      </c>
      <c r="T201">
        <f>IFERROR(IF(--INDEX('Pooled funds'!$E:$E,ROW())&gt;=1,--INDEX('Pooled funds'!$E:$E,ROW())/100,--INDEX('Pooled funds'!$E:$E,ROW())),0)</f>
        <v/>
      </c>
      <c r="U201">
        <f>IF(ISNUMBER(INDEX('Pooled funds'!$E:$E,ROW())),1,0)</f>
        <v/>
      </c>
      <c r="V201">
        <f>TRIM(SUBSTITUTE(INDEX('Loans'!$A:$A,ROW())&amp;""," "," "))</f>
        <v/>
      </c>
      <c r="W201">
        <f>TRIM(SUBSTITUTE(INDEX('Loans'!$B:$B,ROW())&amp;""," "," "))</f>
        <v/>
      </c>
      <c r="X201">
        <f>TRIM(SUBSTITUTE(INDEX('Loans'!$C:$C,ROW())&amp;""," "," "))</f>
        <v/>
      </c>
      <c r="Y201">
        <f>IFERROR(--INDEX('Loans'!$D:$D,ROW()),0)</f>
        <v/>
      </c>
      <c r="Z201">
        <f>IFERROR(--INDEX('Loans'!$E:$E,ROW()),0)</f>
        <v/>
      </c>
      <c r="AA201">
        <f>IFERROR(--INDEX('Loans'!$F:$F,ROW()),0)</f>
        <v/>
      </c>
      <c r="AB201">
        <f>IFERROR(IF(--INDEX('Loans'!$G:$G,ROW())&gt;=1,--INDEX('Loans'!$G:$G,ROW())/100,--INDEX('Loans'!$G:$G,ROW())),0)</f>
        <v/>
      </c>
      <c r="AC201">
        <f>TRIM(SUBSTITUTE(INDEX('Loans'!$H:$H,ROW())&amp;""," "," "))</f>
        <v/>
      </c>
      <c r="AD201">
        <f>TRIM(SUBSTITUTE(INDEX('Loans'!$I:$I,ROW())&amp;""," "," "))</f>
        <v/>
      </c>
      <c r="AE201">
        <f>IFERROR(--INDEX('Loans'!$J:$J,ROW()),0)</f>
        <v/>
      </c>
      <c r="AF201">
        <f>TRIM(SUBSTITUTE(INDEX('Loans'!$K:$K,ROW())&amp;""," "," "))</f>
        <v/>
      </c>
      <c r="AG201">
        <f>IFERROR(--INDEX('Loans'!$L:$L,ROW()),0)</f>
        <v/>
      </c>
      <c r="AH201">
        <f>IF(ISNUMBER(INDEX('Loans'!$G:$G,ROW())),1,0)</f>
        <v/>
      </c>
    </row>
    <row r="202">
      <c r="A202">
        <f>TRIM(SUBSTITUTE(INDEX('Term investments'!$A:$A,ROW())&amp;""," "," "))</f>
        <v/>
      </c>
      <c r="B202">
        <f>TRIM(SUBSTITUTE(INDEX('Term investments'!$B:$B,ROW())&amp;""," "," "))</f>
        <v/>
      </c>
      <c r="C202">
        <f>TRIM(SUBSTITUTE(INDEX('Term investments'!$C:$C,ROW())&amp;""," "," "))</f>
        <v/>
      </c>
      <c r="D202">
        <f>IFERROR(--INDEX('Term investments'!$D:$D,ROW()),0)</f>
        <v/>
      </c>
      <c r="E202">
        <f>IFERROR(--INDEX('Term investments'!$E:$E,ROW()),0)</f>
        <v/>
      </c>
      <c r="F202">
        <f>IFERROR(--INDEX('Term investments'!$F:$F,ROW()),0)</f>
        <v/>
      </c>
      <c r="G202">
        <f>IFERROR(IF(--INDEX('Term investments'!$G:$G,ROW())&gt;=1,--INDEX('Term investments'!$G:$G,ROW())/100,--INDEX('Term investments'!$G:$G,ROW())),0)</f>
        <v/>
      </c>
      <c r="H202">
        <f>IFERROR(--INDEX('Term investments'!$H:$H,ROW()),0)</f>
        <v/>
      </c>
      <c r="I202">
        <f>IF(ISNUMBER(INDEX('Term investments'!$G:$G,ROW())),1,0)</f>
        <v/>
      </c>
      <c r="J202">
        <f>TRIM(SUBSTITUTE(INDEX('Call accounts and MMFs'!$A:$A,ROW())&amp;""," "," "))</f>
        <v/>
      </c>
      <c r="K202">
        <f>TRIM(SUBSTITUTE(INDEX('Call accounts and MMFs'!$B:$B,ROW())&amp;""," "," "))</f>
        <v/>
      </c>
      <c r="L202">
        <f>TRIM(SUBSTITUTE(INDEX('Call accounts and MMFs'!$C:$C,ROW())&amp;""," "," "))</f>
        <v/>
      </c>
      <c r="M202">
        <f>IFERROR(--INDEX('Call accounts and MMFs'!$D:$D,ROW()),0)</f>
        <v/>
      </c>
      <c r="N202">
        <f>IFERROR(IF(--INDEX('Call accounts and MMFs'!$E:$E,ROW())&gt;=1,--INDEX('Call accounts and MMFs'!$E:$E,ROW())/100,--INDEX('Call accounts and MMFs'!$E:$E,ROW())),0)</f>
        <v/>
      </c>
      <c r="O202">
        <f>IFERROR(--INDEX('Call accounts and MMFs'!$F:$F,ROW()),0)</f>
        <v/>
      </c>
      <c r="P202">
        <f>IF(ISNUMBER(INDEX('Call accounts and MMFs'!$E:$E,ROW())),1,0)</f>
        <v/>
      </c>
      <c r="Q202">
        <f>TRIM(SUBSTITUTE(INDEX('Pooled funds'!$B:$B,ROW())&amp;""," "," "))</f>
        <v/>
      </c>
      <c r="R202">
        <f>IFERROR(--INDEX('Pooled funds'!$C:$C,ROW()),0)</f>
        <v/>
      </c>
      <c r="S202">
        <f>IFERROR(--INDEX('Pooled funds'!$D:$D,ROW()),0)</f>
        <v/>
      </c>
      <c r="T202">
        <f>IFERROR(IF(--INDEX('Pooled funds'!$E:$E,ROW())&gt;=1,--INDEX('Pooled funds'!$E:$E,ROW())/100,--INDEX('Pooled funds'!$E:$E,ROW())),0)</f>
        <v/>
      </c>
      <c r="U202">
        <f>IF(ISNUMBER(INDEX('Pooled funds'!$E:$E,ROW())),1,0)</f>
        <v/>
      </c>
      <c r="V202">
        <f>TRIM(SUBSTITUTE(INDEX('Loans'!$A:$A,ROW())&amp;""," "," "))</f>
        <v/>
      </c>
      <c r="W202">
        <f>TRIM(SUBSTITUTE(INDEX('Loans'!$B:$B,ROW())&amp;""," "," "))</f>
        <v/>
      </c>
      <c r="X202">
        <f>TRIM(SUBSTITUTE(INDEX('Loans'!$C:$C,ROW())&amp;""," "," "))</f>
        <v/>
      </c>
      <c r="Y202">
        <f>IFERROR(--INDEX('Loans'!$D:$D,ROW()),0)</f>
        <v/>
      </c>
      <c r="Z202">
        <f>IFERROR(--INDEX('Loans'!$E:$E,ROW()),0)</f>
        <v/>
      </c>
      <c r="AA202">
        <f>IFERROR(--INDEX('Loans'!$F:$F,ROW()),0)</f>
        <v/>
      </c>
      <c r="AB202">
        <f>IFERROR(IF(--INDEX('Loans'!$G:$G,ROW())&gt;=1,--INDEX('Loans'!$G:$G,ROW())/100,--INDEX('Loans'!$G:$G,ROW())),0)</f>
        <v/>
      </c>
      <c r="AC202">
        <f>TRIM(SUBSTITUTE(INDEX('Loans'!$H:$H,ROW())&amp;""," "," "))</f>
        <v/>
      </c>
      <c r="AD202">
        <f>TRIM(SUBSTITUTE(INDEX('Loans'!$I:$I,ROW())&amp;""," "," "))</f>
        <v/>
      </c>
      <c r="AE202">
        <f>IFERROR(--INDEX('Loans'!$J:$J,ROW()),0)</f>
        <v/>
      </c>
      <c r="AF202">
        <f>TRIM(SUBSTITUTE(INDEX('Loans'!$K:$K,ROW())&amp;""," "," "))</f>
        <v/>
      </c>
      <c r="AG202">
        <f>IFERROR(--INDEX('Loans'!$L:$L,ROW()),0)</f>
        <v/>
      </c>
      <c r="AH202">
        <f>IF(ISNUMBER(INDEX('Loans'!$G:$G,ROW())),1,0)</f>
        <v/>
      </c>
    </row>
    <row r="203">
      <c r="A203">
        <f>TRIM(SUBSTITUTE(INDEX('Term investments'!$A:$A,ROW())&amp;""," "," "))</f>
        <v/>
      </c>
      <c r="B203">
        <f>TRIM(SUBSTITUTE(INDEX('Term investments'!$B:$B,ROW())&amp;""," "," "))</f>
        <v/>
      </c>
      <c r="C203">
        <f>TRIM(SUBSTITUTE(INDEX('Term investments'!$C:$C,ROW())&amp;""," "," "))</f>
        <v/>
      </c>
      <c r="D203">
        <f>IFERROR(--INDEX('Term investments'!$D:$D,ROW()),0)</f>
        <v/>
      </c>
      <c r="E203">
        <f>IFERROR(--INDEX('Term investments'!$E:$E,ROW()),0)</f>
        <v/>
      </c>
      <c r="F203">
        <f>IFERROR(--INDEX('Term investments'!$F:$F,ROW()),0)</f>
        <v/>
      </c>
      <c r="G203">
        <f>IFERROR(IF(--INDEX('Term investments'!$G:$G,ROW())&gt;=1,--INDEX('Term investments'!$G:$G,ROW())/100,--INDEX('Term investments'!$G:$G,ROW())),0)</f>
        <v/>
      </c>
      <c r="H203">
        <f>IFERROR(--INDEX('Term investments'!$H:$H,ROW()),0)</f>
        <v/>
      </c>
      <c r="I203">
        <f>IF(ISNUMBER(INDEX('Term investments'!$G:$G,ROW())),1,0)</f>
        <v/>
      </c>
      <c r="J203">
        <f>TRIM(SUBSTITUTE(INDEX('Call accounts and MMFs'!$A:$A,ROW())&amp;""," "," "))</f>
        <v/>
      </c>
      <c r="K203">
        <f>TRIM(SUBSTITUTE(INDEX('Call accounts and MMFs'!$B:$B,ROW())&amp;""," "," "))</f>
        <v/>
      </c>
      <c r="L203">
        <f>TRIM(SUBSTITUTE(INDEX('Call accounts and MMFs'!$C:$C,ROW())&amp;""," "," "))</f>
        <v/>
      </c>
      <c r="M203">
        <f>IFERROR(--INDEX('Call accounts and MMFs'!$D:$D,ROW()),0)</f>
        <v/>
      </c>
      <c r="N203">
        <f>IFERROR(IF(--INDEX('Call accounts and MMFs'!$E:$E,ROW())&gt;=1,--INDEX('Call accounts and MMFs'!$E:$E,ROW())/100,--INDEX('Call accounts and MMFs'!$E:$E,ROW())),0)</f>
        <v/>
      </c>
      <c r="O203">
        <f>IFERROR(--INDEX('Call accounts and MMFs'!$F:$F,ROW()),0)</f>
        <v/>
      </c>
      <c r="P203">
        <f>IF(ISNUMBER(INDEX('Call accounts and MMFs'!$E:$E,ROW())),1,0)</f>
        <v/>
      </c>
      <c r="Q203">
        <f>TRIM(SUBSTITUTE(INDEX('Pooled funds'!$B:$B,ROW())&amp;""," "," "))</f>
        <v/>
      </c>
      <c r="R203">
        <f>IFERROR(--INDEX('Pooled funds'!$C:$C,ROW()),0)</f>
        <v/>
      </c>
      <c r="S203">
        <f>IFERROR(--INDEX('Pooled funds'!$D:$D,ROW()),0)</f>
        <v/>
      </c>
      <c r="T203">
        <f>IFERROR(IF(--INDEX('Pooled funds'!$E:$E,ROW())&gt;=1,--INDEX('Pooled funds'!$E:$E,ROW())/100,--INDEX('Pooled funds'!$E:$E,ROW())),0)</f>
        <v/>
      </c>
      <c r="U203">
        <f>IF(ISNUMBER(INDEX('Pooled funds'!$E:$E,ROW())),1,0)</f>
        <v/>
      </c>
      <c r="V203">
        <f>TRIM(SUBSTITUTE(INDEX('Loans'!$A:$A,ROW())&amp;""," "," "))</f>
        <v/>
      </c>
      <c r="W203">
        <f>TRIM(SUBSTITUTE(INDEX('Loans'!$B:$B,ROW())&amp;""," "," "))</f>
        <v/>
      </c>
      <c r="X203">
        <f>TRIM(SUBSTITUTE(INDEX('Loans'!$C:$C,ROW())&amp;""," "," "))</f>
        <v/>
      </c>
      <c r="Y203">
        <f>IFERROR(--INDEX('Loans'!$D:$D,ROW()),0)</f>
        <v/>
      </c>
      <c r="Z203">
        <f>IFERROR(--INDEX('Loans'!$E:$E,ROW()),0)</f>
        <v/>
      </c>
      <c r="AA203">
        <f>IFERROR(--INDEX('Loans'!$F:$F,ROW()),0)</f>
        <v/>
      </c>
      <c r="AB203">
        <f>IFERROR(IF(--INDEX('Loans'!$G:$G,ROW())&gt;=1,--INDEX('Loans'!$G:$G,ROW())/100,--INDEX('Loans'!$G:$G,ROW())),0)</f>
        <v/>
      </c>
      <c r="AC203">
        <f>TRIM(SUBSTITUTE(INDEX('Loans'!$H:$H,ROW())&amp;""," "," "))</f>
        <v/>
      </c>
      <c r="AD203">
        <f>TRIM(SUBSTITUTE(INDEX('Loans'!$I:$I,ROW())&amp;""," "," "))</f>
        <v/>
      </c>
      <c r="AE203">
        <f>IFERROR(--INDEX('Loans'!$J:$J,ROW()),0)</f>
        <v/>
      </c>
      <c r="AF203">
        <f>TRIM(SUBSTITUTE(INDEX('Loans'!$K:$K,ROW())&amp;""," "," "))</f>
        <v/>
      </c>
      <c r="AG203">
        <f>IFERROR(--INDEX('Loans'!$L:$L,ROW()),0)</f>
        <v/>
      </c>
      <c r="AH203">
        <f>IF(ISNUMBER(INDEX('Loans'!$G:$G,ROW())),1,0)</f>
        <v/>
      </c>
    </row>
    <row r="204">
      <c r="A204">
        <f>TRIM(SUBSTITUTE(INDEX('Term investments'!$A:$A,ROW())&amp;""," "," "))</f>
        <v/>
      </c>
      <c r="B204">
        <f>TRIM(SUBSTITUTE(INDEX('Term investments'!$B:$B,ROW())&amp;""," "," "))</f>
        <v/>
      </c>
      <c r="C204">
        <f>TRIM(SUBSTITUTE(INDEX('Term investments'!$C:$C,ROW())&amp;""," "," "))</f>
        <v/>
      </c>
      <c r="D204">
        <f>IFERROR(--INDEX('Term investments'!$D:$D,ROW()),0)</f>
        <v/>
      </c>
      <c r="E204">
        <f>IFERROR(--INDEX('Term investments'!$E:$E,ROW()),0)</f>
        <v/>
      </c>
      <c r="F204">
        <f>IFERROR(--INDEX('Term investments'!$F:$F,ROW()),0)</f>
        <v/>
      </c>
      <c r="G204">
        <f>IFERROR(IF(--INDEX('Term investments'!$G:$G,ROW())&gt;=1,--INDEX('Term investments'!$G:$G,ROW())/100,--INDEX('Term investments'!$G:$G,ROW())),0)</f>
        <v/>
      </c>
      <c r="H204">
        <f>IFERROR(--INDEX('Term investments'!$H:$H,ROW()),0)</f>
        <v/>
      </c>
      <c r="I204">
        <f>IF(ISNUMBER(INDEX('Term investments'!$G:$G,ROW())),1,0)</f>
        <v/>
      </c>
      <c r="J204">
        <f>TRIM(SUBSTITUTE(INDEX('Call accounts and MMFs'!$A:$A,ROW())&amp;""," "," "))</f>
        <v/>
      </c>
      <c r="K204">
        <f>TRIM(SUBSTITUTE(INDEX('Call accounts and MMFs'!$B:$B,ROW())&amp;""," "," "))</f>
        <v/>
      </c>
      <c r="L204">
        <f>TRIM(SUBSTITUTE(INDEX('Call accounts and MMFs'!$C:$C,ROW())&amp;""," "," "))</f>
        <v/>
      </c>
      <c r="M204">
        <f>IFERROR(--INDEX('Call accounts and MMFs'!$D:$D,ROW()),0)</f>
        <v/>
      </c>
      <c r="N204">
        <f>IFERROR(IF(--INDEX('Call accounts and MMFs'!$E:$E,ROW())&gt;=1,--INDEX('Call accounts and MMFs'!$E:$E,ROW())/100,--INDEX('Call accounts and MMFs'!$E:$E,ROW())),0)</f>
        <v/>
      </c>
      <c r="O204">
        <f>IFERROR(--INDEX('Call accounts and MMFs'!$F:$F,ROW()),0)</f>
        <v/>
      </c>
      <c r="P204">
        <f>IF(ISNUMBER(INDEX('Call accounts and MMFs'!$E:$E,ROW())),1,0)</f>
        <v/>
      </c>
      <c r="Q204">
        <f>TRIM(SUBSTITUTE(INDEX('Pooled funds'!$B:$B,ROW())&amp;""," "," "))</f>
        <v/>
      </c>
      <c r="R204">
        <f>IFERROR(--INDEX('Pooled funds'!$C:$C,ROW()),0)</f>
        <v/>
      </c>
      <c r="S204">
        <f>IFERROR(--INDEX('Pooled funds'!$D:$D,ROW()),0)</f>
        <v/>
      </c>
      <c r="T204">
        <f>IFERROR(IF(--INDEX('Pooled funds'!$E:$E,ROW())&gt;=1,--INDEX('Pooled funds'!$E:$E,ROW())/100,--INDEX('Pooled funds'!$E:$E,ROW())),0)</f>
        <v/>
      </c>
      <c r="U204">
        <f>IF(ISNUMBER(INDEX('Pooled funds'!$E:$E,ROW())),1,0)</f>
        <v/>
      </c>
      <c r="V204">
        <f>TRIM(SUBSTITUTE(INDEX('Loans'!$A:$A,ROW())&amp;""," "," "))</f>
        <v/>
      </c>
      <c r="W204">
        <f>TRIM(SUBSTITUTE(INDEX('Loans'!$B:$B,ROW())&amp;""," "," "))</f>
        <v/>
      </c>
      <c r="X204">
        <f>TRIM(SUBSTITUTE(INDEX('Loans'!$C:$C,ROW())&amp;""," "," "))</f>
        <v/>
      </c>
      <c r="Y204">
        <f>IFERROR(--INDEX('Loans'!$D:$D,ROW()),0)</f>
        <v/>
      </c>
      <c r="Z204">
        <f>IFERROR(--INDEX('Loans'!$E:$E,ROW()),0)</f>
        <v/>
      </c>
      <c r="AA204">
        <f>IFERROR(--INDEX('Loans'!$F:$F,ROW()),0)</f>
        <v/>
      </c>
      <c r="AB204">
        <f>IFERROR(IF(--INDEX('Loans'!$G:$G,ROW())&gt;=1,--INDEX('Loans'!$G:$G,ROW())/100,--INDEX('Loans'!$G:$G,ROW())),0)</f>
        <v/>
      </c>
      <c r="AC204">
        <f>TRIM(SUBSTITUTE(INDEX('Loans'!$H:$H,ROW())&amp;""," "," "))</f>
        <v/>
      </c>
      <c r="AD204">
        <f>TRIM(SUBSTITUTE(INDEX('Loans'!$I:$I,ROW())&amp;""," "," "))</f>
        <v/>
      </c>
      <c r="AE204">
        <f>IFERROR(--INDEX('Loans'!$J:$J,ROW()),0)</f>
        <v/>
      </c>
      <c r="AF204">
        <f>TRIM(SUBSTITUTE(INDEX('Loans'!$K:$K,ROW())&amp;""," "," "))</f>
        <v/>
      </c>
      <c r="AG204">
        <f>IFERROR(--INDEX('Loans'!$L:$L,ROW()),0)</f>
        <v/>
      </c>
      <c r="AH204">
        <f>IF(ISNUMBER(INDEX('Loans'!$G:$G,ROW())),1,0)</f>
        <v/>
      </c>
    </row>
    <row r="205">
      <c r="A205">
        <f>TRIM(SUBSTITUTE(INDEX('Term investments'!$A:$A,ROW())&amp;""," "," "))</f>
        <v/>
      </c>
      <c r="B205">
        <f>TRIM(SUBSTITUTE(INDEX('Term investments'!$B:$B,ROW())&amp;""," "," "))</f>
        <v/>
      </c>
      <c r="C205">
        <f>TRIM(SUBSTITUTE(INDEX('Term investments'!$C:$C,ROW())&amp;""," "," "))</f>
        <v/>
      </c>
      <c r="D205">
        <f>IFERROR(--INDEX('Term investments'!$D:$D,ROW()),0)</f>
        <v/>
      </c>
      <c r="E205">
        <f>IFERROR(--INDEX('Term investments'!$E:$E,ROW()),0)</f>
        <v/>
      </c>
      <c r="F205">
        <f>IFERROR(--INDEX('Term investments'!$F:$F,ROW()),0)</f>
        <v/>
      </c>
      <c r="G205">
        <f>IFERROR(IF(--INDEX('Term investments'!$G:$G,ROW())&gt;=1,--INDEX('Term investments'!$G:$G,ROW())/100,--INDEX('Term investments'!$G:$G,ROW())),0)</f>
        <v/>
      </c>
      <c r="H205">
        <f>IFERROR(--INDEX('Term investments'!$H:$H,ROW()),0)</f>
        <v/>
      </c>
      <c r="I205">
        <f>IF(ISNUMBER(INDEX('Term investments'!$G:$G,ROW())),1,0)</f>
        <v/>
      </c>
      <c r="J205">
        <f>TRIM(SUBSTITUTE(INDEX('Call accounts and MMFs'!$A:$A,ROW())&amp;""," "," "))</f>
        <v/>
      </c>
      <c r="K205">
        <f>TRIM(SUBSTITUTE(INDEX('Call accounts and MMFs'!$B:$B,ROW())&amp;""," "," "))</f>
        <v/>
      </c>
      <c r="L205">
        <f>TRIM(SUBSTITUTE(INDEX('Call accounts and MMFs'!$C:$C,ROW())&amp;""," "," "))</f>
        <v/>
      </c>
      <c r="M205">
        <f>IFERROR(--INDEX('Call accounts and MMFs'!$D:$D,ROW()),0)</f>
        <v/>
      </c>
      <c r="N205">
        <f>IFERROR(IF(--INDEX('Call accounts and MMFs'!$E:$E,ROW())&gt;=1,--INDEX('Call accounts and MMFs'!$E:$E,ROW())/100,--INDEX('Call accounts and MMFs'!$E:$E,ROW())),0)</f>
        <v/>
      </c>
      <c r="O205">
        <f>IFERROR(--INDEX('Call accounts and MMFs'!$F:$F,ROW()),0)</f>
        <v/>
      </c>
      <c r="P205">
        <f>IF(ISNUMBER(INDEX('Call accounts and MMFs'!$E:$E,ROW())),1,0)</f>
        <v/>
      </c>
      <c r="Q205">
        <f>TRIM(SUBSTITUTE(INDEX('Pooled funds'!$B:$B,ROW())&amp;""," "," "))</f>
        <v/>
      </c>
      <c r="R205">
        <f>IFERROR(--INDEX('Pooled funds'!$C:$C,ROW()),0)</f>
        <v/>
      </c>
      <c r="S205">
        <f>IFERROR(--INDEX('Pooled funds'!$D:$D,ROW()),0)</f>
        <v/>
      </c>
      <c r="T205">
        <f>IFERROR(IF(--INDEX('Pooled funds'!$E:$E,ROW())&gt;=1,--INDEX('Pooled funds'!$E:$E,ROW())/100,--INDEX('Pooled funds'!$E:$E,ROW())),0)</f>
        <v/>
      </c>
      <c r="U205">
        <f>IF(ISNUMBER(INDEX('Pooled funds'!$E:$E,ROW())),1,0)</f>
        <v/>
      </c>
      <c r="V205">
        <f>TRIM(SUBSTITUTE(INDEX('Loans'!$A:$A,ROW())&amp;""," "," "))</f>
        <v/>
      </c>
      <c r="W205">
        <f>TRIM(SUBSTITUTE(INDEX('Loans'!$B:$B,ROW())&amp;""," "," "))</f>
        <v/>
      </c>
      <c r="X205">
        <f>TRIM(SUBSTITUTE(INDEX('Loans'!$C:$C,ROW())&amp;""," "," "))</f>
        <v/>
      </c>
      <c r="Y205">
        <f>IFERROR(--INDEX('Loans'!$D:$D,ROW()),0)</f>
        <v/>
      </c>
      <c r="Z205">
        <f>IFERROR(--INDEX('Loans'!$E:$E,ROW()),0)</f>
        <v/>
      </c>
      <c r="AA205">
        <f>IFERROR(--INDEX('Loans'!$F:$F,ROW()),0)</f>
        <v/>
      </c>
      <c r="AB205">
        <f>IFERROR(IF(--INDEX('Loans'!$G:$G,ROW())&gt;=1,--INDEX('Loans'!$G:$G,ROW())/100,--INDEX('Loans'!$G:$G,ROW())),0)</f>
        <v/>
      </c>
      <c r="AC205">
        <f>TRIM(SUBSTITUTE(INDEX('Loans'!$H:$H,ROW())&amp;""," "," "))</f>
        <v/>
      </c>
      <c r="AD205">
        <f>TRIM(SUBSTITUTE(INDEX('Loans'!$I:$I,ROW())&amp;""," "," "))</f>
        <v/>
      </c>
      <c r="AE205">
        <f>IFERROR(--INDEX('Loans'!$J:$J,ROW()),0)</f>
        <v/>
      </c>
      <c r="AF205">
        <f>TRIM(SUBSTITUTE(INDEX('Loans'!$K:$K,ROW())&amp;""," "," "))</f>
        <v/>
      </c>
      <c r="AG205">
        <f>IFERROR(--INDEX('Loans'!$L:$L,ROW()),0)</f>
        <v/>
      </c>
      <c r="AH205">
        <f>IF(ISNUMBER(INDEX('Loans'!$G:$G,ROW())),1,0)</f>
        <v/>
      </c>
    </row>
    <row r="206">
      <c r="A206">
        <f>TRIM(SUBSTITUTE(INDEX('Term investments'!$A:$A,ROW())&amp;""," "," "))</f>
        <v/>
      </c>
      <c r="B206">
        <f>TRIM(SUBSTITUTE(INDEX('Term investments'!$B:$B,ROW())&amp;""," "," "))</f>
        <v/>
      </c>
      <c r="C206">
        <f>TRIM(SUBSTITUTE(INDEX('Term investments'!$C:$C,ROW())&amp;""," "," "))</f>
        <v/>
      </c>
      <c r="D206">
        <f>IFERROR(--INDEX('Term investments'!$D:$D,ROW()),0)</f>
        <v/>
      </c>
      <c r="E206">
        <f>IFERROR(--INDEX('Term investments'!$E:$E,ROW()),0)</f>
        <v/>
      </c>
      <c r="F206">
        <f>IFERROR(--INDEX('Term investments'!$F:$F,ROW()),0)</f>
        <v/>
      </c>
      <c r="G206">
        <f>IFERROR(IF(--INDEX('Term investments'!$G:$G,ROW())&gt;=1,--INDEX('Term investments'!$G:$G,ROW())/100,--INDEX('Term investments'!$G:$G,ROW())),0)</f>
        <v/>
      </c>
      <c r="H206">
        <f>IFERROR(--INDEX('Term investments'!$H:$H,ROW()),0)</f>
        <v/>
      </c>
      <c r="I206">
        <f>IF(ISNUMBER(INDEX('Term investments'!$G:$G,ROW())),1,0)</f>
        <v/>
      </c>
      <c r="J206">
        <f>TRIM(SUBSTITUTE(INDEX('Call accounts and MMFs'!$A:$A,ROW())&amp;""," "," "))</f>
        <v/>
      </c>
      <c r="K206">
        <f>TRIM(SUBSTITUTE(INDEX('Call accounts and MMFs'!$B:$B,ROW())&amp;""," "," "))</f>
        <v/>
      </c>
      <c r="L206">
        <f>TRIM(SUBSTITUTE(INDEX('Call accounts and MMFs'!$C:$C,ROW())&amp;""," "," "))</f>
        <v/>
      </c>
      <c r="M206">
        <f>IFERROR(--INDEX('Call accounts and MMFs'!$D:$D,ROW()),0)</f>
        <v/>
      </c>
      <c r="N206">
        <f>IFERROR(IF(--INDEX('Call accounts and MMFs'!$E:$E,ROW())&gt;=1,--INDEX('Call accounts and MMFs'!$E:$E,ROW())/100,--INDEX('Call accounts and MMFs'!$E:$E,ROW())),0)</f>
        <v/>
      </c>
      <c r="O206">
        <f>IFERROR(--INDEX('Call accounts and MMFs'!$F:$F,ROW()),0)</f>
        <v/>
      </c>
      <c r="P206">
        <f>IF(ISNUMBER(INDEX('Call accounts and MMFs'!$E:$E,ROW())),1,0)</f>
        <v/>
      </c>
      <c r="Q206">
        <f>TRIM(SUBSTITUTE(INDEX('Pooled funds'!$B:$B,ROW())&amp;""," "," "))</f>
        <v/>
      </c>
      <c r="R206">
        <f>IFERROR(--INDEX('Pooled funds'!$C:$C,ROW()),0)</f>
        <v/>
      </c>
      <c r="S206">
        <f>IFERROR(--INDEX('Pooled funds'!$D:$D,ROW()),0)</f>
        <v/>
      </c>
      <c r="T206">
        <f>IFERROR(IF(--INDEX('Pooled funds'!$E:$E,ROW())&gt;=1,--INDEX('Pooled funds'!$E:$E,ROW())/100,--INDEX('Pooled funds'!$E:$E,ROW())),0)</f>
        <v/>
      </c>
      <c r="U206">
        <f>IF(ISNUMBER(INDEX('Pooled funds'!$E:$E,ROW())),1,0)</f>
        <v/>
      </c>
      <c r="V206">
        <f>TRIM(SUBSTITUTE(INDEX('Loans'!$A:$A,ROW())&amp;""," "," "))</f>
        <v/>
      </c>
      <c r="W206">
        <f>TRIM(SUBSTITUTE(INDEX('Loans'!$B:$B,ROW())&amp;""," "," "))</f>
        <v/>
      </c>
      <c r="X206">
        <f>TRIM(SUBSTITUTE(INDEX('Loans'!$C:$C,ROW())&amp;""," "," "))</f>
        <v/>
      </c>
      <c r="Y206">
        <f>IFERROR(--INDEX('Loans'!$D:$D,ROW()),0)</f>
        <v/>
      </c>
      <c r="Z206">
        <f>IFERROR(--INDEX('Loans'!$E:$E,ROW()),0)</f>
        <v/>
      </c>
      <c r="AA206">
        <f>IFERROR(--INDEX('Loans'!$F:$F,ROW()),0)</f>
        <v/>
      </c>
      <c r="AB206">
        <f>IFERROR(IF(--INDEX('Loans'!$G:$G,ROW())&gt;=1,--INDEX('Loans'!$G:$G,ROW())/100,--INDEX('Loans'!$G:$G,ROW())),0)</f>
        <v/>
      </c>
      <c r="AC206">
        <f>TRIM(SUBSTITUTE(INDEX('Loans'!$H:$H,ROW())&amp;""," "," "))</f>
        <v/>
      </c>
      <c r="AD206">
        <f>TRIM(SUBSTITUTE(INDEX('Loans'!$I:$I,ROW())&amp;""," "," "))</f>
        <v/>
      </c>
      <c r="AE206">
        <f>IFERROR(--INDEX('Loans'!$J:$J,ROW()),0)</f>
        <v/>
      </c>
      <c r="AF206">
        <f>TRIM(SUBSTITUTE(INDEX('Loans'!$K:$K,ROW())&amp;""," "," "))</f>
        <v/>
      </c>
      <c r="AG206">
        <f>IFERROR(--INDEX('Loans'!$L:$L,ROW()),0)</f>
        <v/>
      </c>
      <c r="AH206">
        <f>IF(ISNUMBER(INDEX('Loans'!$G:$G,ROW())),1,0)</f>
        <v/>
      </c>
    </row>
    <row r="207">
      <c r="A207">
        <f>TRIM(SUBSTITUTE(INDEX('Term investments'!$A:$A,ROW())&amp;""," "," "))</f>
        <v/>
      </c>
      <c r="B207">
        <f>TRIM(SUBSTITUTE(INDEX('Term investments'!$B:$B,ROW())&amp;""," "," "))</f>
        <v/>
      </c>
      <c r="C207">
        <f>TRIM(SUBSTITUTE(INDEX('Term investments'!$C:$C,ROW())&amp;""," "," "))</f>
        <v/>
      </c>
      <c r="D207">
        <f>IFERROR(--INDEX('Term investments'!$D:$D,ROW()),0)</f>
        <v/>
      </c>
      <c r="E207">
        <f>IFERROR(--INDEX('Term investments'!$E:$E,ROW()),0)</f>
        <v/>
      </c>
      <c r="F207">
        <f>IFERROR(--INDEX('Term investments'!$F:$F,ROW()),0)</f>
        <v/>
      </c>
      <c r="G207">
        <f>IFERROR(IF(--INDEX('Term investments'!$G:$G,ROW())&gt;=1,--INDEX('Term investments'!$G:$G,ROW())/100,--INDEX('Term investments'!$G:$G,ROW())),0)</f>
        <v/>
      </c>
      <c r="H207">
        <f>IFERROR(--INDEX('Term investments'!$H:$H,ROW()),0)</f>
        <v/>
      </c>
      <c r="I207">
        <f>IF(ISNUMBER(INDEX('Term investments'!$G:$G,ROW())),1,0)</f>
        <v/>
      </c>
      <c r="J207">
        <f>TRIM(SUBSTITUTE(INDEX('Call accounts and MMFs'!$A:$A,ROW())&amp;""," "," "))</f>
        <v/>
      </c>
      <c r="K207">
        <f>TRIM(SUBSTITUTE(INDEX('Call accounts and MMFs'!$B:$B,ROW())&amp;""," "," "))</f>
        <v/>
      </c>
      <c r="L207">
        <f>TRIM(SUBSTITUTE(INDEX('Call accounts and MMFs'!$C:$C,ROW())&amp;""," "," "))</f>
        <v/>
      </c>
      <c r="M207">
        <f>IFERROR(--INDEX('Call accounts and MMFs'!$D:$D,ROW()),0)</f>
        <v/>
      </c>
      <c r="N207">
        <f>IFERROR(IF(--INDEX('Call accounts and MMFs'!$E:$E,ROW())&gt;=1,--INDEX('Call accounts and MMFs'!$E:$E,ROW())/100,--INDEX('Call accounts and MMFs'!$E:$E,ROW())),0)</f>
        <v/>
      </c>
      <c r="O207">
        <f>IFERROR(--INDEX('Call accounts and MMFs'!$F:$F,ROW()),0)</f>
        <v/>
      </c>
      <c r="P207">
        <f>IF(ISNUMBER(INDEX('Call accounts and MMFs'!$E:$E,ROW())),1,0)</f>
        <v/>
      </c>
      <c r="Q207">
        <f>TRIM(SUBSTITUTE(INDEX('Pooled funds'!$B:$B,ROW())&amp;""," "," "))</f>
        <v/>
      </c>
      <c r="R207">
        <f>IFERROR(--INDEX('Pooled funds'!$C:$C,ROW()),0)</f>
        <v/>
      </c>
      <c r="S207">
        <f>IFERROR(--INDEX('Pooled funds'!$D:$D,ROW()),0)</f>
        <v/>
      </c>
      <c r="T207">
        <f>IFERROR(IF(--INDEX('Pooled funds'!$E:$E,ROW())&gt;=1,--INDEX('Pooled funds'!$E:$E,ROW())/100,--INDEX('Pooled funds'!$E:$E,ROW())),0)</f>
        <v/>
      </c>
      <c r="U207">
        <f>IF(ISNUMBER(INDEX('Pooled funds'!$E:$E,ROW())),1,0)</f>
        <v/>
      </c>
      <c r="V207">
        <f>TRIM(SUBSTITUTE(INDEX('Loans'!$A:$A,ROW())&amp;""," "," "))</f>
        <v/>
      </c>
      <c r="W207">
        <f>TRIM(SUBSTITUTE(INDEX('Loans'!$B:$B,ROW())&amp;""," "," "))</f>
        <v/>
      </c>
      <c r="X207">
        <f>TRIM(SUBSTITUTE(INDEX('Loans'!$C:$C,ROW())&amp;""," "," "))</f>
        <v/>
      </c>
      <c r="Y207">
        <f>IFERROR(--INDEX('Loans'!$D:$D,ROW()),0)</f>
        <v/>
      </c>
      <c r="Z207">
        <f>IFERROR(--INDEX('Loans'!$E:$E,ROW()),0)</f>
        <v/>
      </c>
      <c r="AA207">
        <f>IFERROR(--INDEX('Loans'!$F:$F,ROW()),0)</f>
        <v/>
      </c>
      <c r="AB207">
        <f>IFERROR(IF(--INDEX('Loans'!$G:$G,ROW())&gt;=1,--INDEX('Loans'!$G:$G,ROW())/100,--INDEX('Loans'!$G:$G,ROW())),0)</f>
        <v/>
      </c>
      <c r="AC207">
        <f>TRIM(SUBSTITUTE(INDEX('Loans'!$H:$H,ROW())&amp;""," "," "))</f>
        <v/>
      </c>
      <c r="AD207">
        <f>TRIM(SUBSTITUTE(INDEX('Loans'!$I:$I,ROW())&amp;""," "," "))</f>
        <v/>
      </c>
      <c r="AE207">
        <f>IFERROR(--INDEX('Loans'!$J:$J,ROW()),0)</f>
        <v/>
      </c>
      <c r="AF207">
        <f>TRIM(SUBSTITUTE(INDEX('Loans'!$K:$K,ROW())&amp;""," "," "))</f>
        <v/>
      </c>
      <c r="AG207">
        <f>IFERROR(--INDEX('Loans'!$L:$L,ROW()),0)</f>
        <v/>
      </c>
      <c r="AH207">
        <f>IF(ISNUMBER(INDEX('Loans'!$G:$G,ROW())),1,0)</f>
        <v/>
      </c>
    </row>
    <row r="208">
      <c r="A208">
        <f>TRIM(SUBSTITUTE(INDEX('Term investments'!$A:$A,ROW())&amp;""," "," "))</f>
        <v/>
      </c>
      <c r="B208">
        <f>TRIM(SUBSTITUTE(INDEX('Term investments'!$B:$B,ROW())&amp;""," "," "))</f>
        <v/>
      </c>
      <c r="C208">
        <f>TRIM(SUBSTITUTE(INDEX('Term investments'!$C:$C,ROW())&amp;""," "," "))</f>
        <v/>
      </c>
      <c r="D208">
        <f>IFERROR(--INDEX('Term investments'!$D:$D,ROW()),0)</f>
        <v/>
      </c>
      <c r="E208">
        <f>IFERROR(--INDEX('Term investments'!$E:$E,ROW()),0)</f>
        <v/>
      </c>
      <c r="F208">
        <f>IFERROR(--INDEX('Term investments'!$F:$F,ROW()),0)</f>
        <v/>
      </c>
      <c r="G208">
        <f>IFERROR(IF(--INDEX('Term investments'!$G:$G,ROW())&gt;=1,--INDEX('Term investments'!$G:$G,ROW())/100,--INDEX('Term investments'!$G:$G,ROW())),0)</f>
        <v/>
      </c>
      <c r="H208">
        <f>IFERROR(--INDEX('Term investments'!$H:$H,ROW()),0)</f>
        <v/>
      </c>
      <c r="I208">
        <f>IF(ISNUMBER(INDEX('Term investments'!$G:$G,ROW())),1,0)</f>
        <v/>
      </c>
      <c r="J208">
        <f>TRIM(SUBSTITUTE(INDEX('Call accounts and MMFs'!$A:$A,ROW())&amp;""," "," "))</f>
        <v/>
      </c>
      <c r="K208">
        <f>TRIM(SUBSTITUTE(INDEX('Call accounts and MMFs'!$B:$B,ROW())&amp;""," "," "))</f>
        <v/>
      </c>
      <c r="L208">
        <f>TRIM(SUBSTITUTE(INDEX('Call accounts and MMFs'!$C:$C,ROW())&amp;""," "," "))</f>
        <v/>
      </c>
      <c r="M208">
        <f>IFERROR(--INDEX('Call accounts and MMFs'!$D:$D,ROW()),0)</f>
        <v/>
      </c>
      <c r="N208">
        <f>IFERROR(IF(--INDEX('Call accounts and MMFs'!$E:$E,ROW())&gt;=1,--INDEX('Call accounts and MMFs'!$E:$E,ROW())/100,--INDEX('Call accounts and MMFs'!$E:$E,ROW())),0)</f>
        <v/>
      </c>
      <c r="O208">
        <f>IFERROR(--INDEX('Call accounts and MMFs'!$F:$F,ROW()),0)</f>
        <v/>
      </c>
      <c r="P208">
        <f>IF(ISNUMBER(INDEX('Call accounts and MMFs'!$E:$E,ROW())),1,0)</f>
        <v/>
      </c>
      <c r="Q208">
        <f>TRIM(SUBSTITUTE(INDEX('Pooled funds'!$B:$B,ROW())&amp;""," "," "))</f>
        <v/>
      </c>
      <c r="R208">
        <f>IFERROR(--INDEX('Pooled funds'!$C:$C,ROW()),0)</f>
        <v/>
      </c>
      <c r="S208">
        <f>IFERROR(--INDEX('Pooled funds'!$D:$D,ROW()),0)</f>
        <v/>
      </c>
      <c r="T208">
        <f>IFERROR(IF(--INDEX('Pooled funds'!$E:$E,ROW())&gt;=1,--INDEX('Pooled funds'!$E:$E,ROW())/100,--INDEX('Pooled funds'!$E:$E,ROW())),0)</f>
        <v/>
      </c>
      <c r="U208">
        <f>IF(ISNUMBER(INDEX('Pooled funds'!$E:$E,ROW())),1,0)</f>
        <v/>
      </c>
      <c r="V208">
        <f>TRIM(SUBSTITUTE(INDEX('Loans'!$A:$A,ROW())&amp;""," "," "))</f>
        <v/>
      </c>
      <c r="W208">
        <f>TRIM(SUBSTITUTE(INDEX('Loans'!$B:$B,ROW())&amp;""," "," "))</f>
        <v/>
      </c>
      <c r="X208">
        <f>TRIM(SUBSTITUTE(INDEX('Loans'!$C:$C,ROW())&amp;""," "," "))</f>
        <v/>
      </c>
      <c r="Y208">
        <f>IFERROR(--INDEX('Loans'!$D:$D,ROW()),0)</f>
        <v/>
      </c>
      <c r="Z208">
        <f>IFERROR(--INDEX('Loans'!$E:$E,ROW()),0)</f>
        <v/>
      </c>
      <c r="AA208">
        <f>IFERROR(--INDEX('Loans'!$F:$F,ROW()),0)</f>
        <v/>
      </c>
      <c r="AB208">
        <f>IFERROR(IF(--INDEX('Loans'!$G:$G,ROW())&gt;=1,--INDEX('Loans'!$G:$G,ROW())/100,--INDEX('Loans'!$G:$G,ROW())),0)</f>
        <v/>
      </c>
      <c r="AC208">
        <f>TRIM(SUBSTITUTE(INDEX('Loans'!$H:$H,ROW())&amp;""," "," "))</f>
        <v/>
      </c>
      <c r="AD208">
        <f>TRIM(SUBSTITUTE(INDEX('Loans'!$I:$I,ROW())&amp;""," "," "))</f>
        <v/>
      </c>
      <c r="AE208">
        <f>IFERROR(--INDEX('Loans'!$J:$J,ROW()),0)</f>
        <v/>
      </c>
      <c r="AF208">
        <f>TRIM(SUBSTITUTE(INDEX('Loans'!$K:$K,ROW())&amp;""," "," "))</f>
        <v/>
      </c>
      <c r="AG208">
        <f>IFERROR(--INDEX('Loans'!$L:$L,ROW()),0)</f>
        <v/>
      </c>
      <c r="AH208">
        <f>IF(ISNUMBER(INDEX('Loans'!$G:$G,ROW())),1,0)</f>
        <v/>
      </c>
    </row>
    <row r="209">
      <c r="A209">
        <f>TRIM(SUBSTITUTE(INDEX('Term investments'!$A:$A,ROW())&amp;""," "," "))</f>
        <v/>
      </c>
      <c r="B209">
        <f>TRIM(SUBSTITUTE(INDEX('Term investments'!$B:$B,ROW())&amp;""," "," "))</f>
        <v/>
      </c>
      <c r="C209">
        <f>TRIM(SUBSTITUTE(INDEX('Term investments'!$C:$C,ROW())&amp;""," "," "))</f>
        <v/>
      </c>
      <c r="D209">
        <f>IFERROR(--INDEX('Term investments'!$D:$D,ROW()),0)</f>
        <v/>
      </c>
      <c r="E209">
        <f>IFERROR(--INDEX('Term investments'!$E:$E,ROW()),0)</f>
        <v/>
      </c>
      <c r="F209">
        <f>IFERROR(--INDEX('Term investments'!$F:$F,ROW()),0)</f>
        <v/>
      </c>
      <c r="G209">
        <f>IFERROR(IF(--INDEX('Term investments'!$G:$G,ROW())&gt;=1,--INDEX('Term investments'!$G:$G,ROW())/100,--INDEX('Term investments'!$G:$G,ROW())),0)</f>
        <v/>
      </c>
      <c r="H209">
        <f>IFERROR(--INDEX('Term investments'!$H:$H,ROW()),0)</f>
        <v/>
      </c>
      <c r="I209">
        <f>IF(ISNUMBER(INDEX('Term investments'!$G:$G,ROW())),1,0)</f>
        <v/>
      </c>
      <c r="J209">
        <f>TRIM(SUBSTITUTE(INDEX('Call accounts and MMFs'!$A:$A,ROW())&amp;""," "," "))</f>
        <v/>
      </c>
      <c r="K209">
        <f>TRIM(SUBSTITUTE(INDEX('Call accounts and MMFs'!$B:$B,ROW())&amp;""," "," "))</f>
        <v/>
      </c>
      <c r="L209">
        <f>TRIM(SUBSTITUTE(INDEX('Call accounts and MMFs'!$C:$C,ROW())&amp;""," "," "))</f>
        <v/>
      </c>
      <c r="M209">
        <f>IFERROR(--INDEX('Call accounts and MMFs'!$D:$D,ROW()),0)</f>
        <v/>
      </c>
      <c r="N209">
        <f>IFERROR(IF(--INDEX('Call accounts and MMFs'!$E:$E,ROW())&gt;=1,--INDEX('Call accounts and MMFs'!$E:$E,ROW())/100,--INDEX('Call accounts and MMFs'!$E:$E,ROW())),0)</f>
        <v/>
      </c>
      <c r="O209">
        <f>IFERROR(--INDEX('Call accounts and MMFs'!$F:$F,ROW()),0)</f>
        <v/>
      </c>
      <c r="P209">
        <f>IF(ISNUMBER(INDEX('Call accounts and MMFs'!$E:$E,ROW())),1,0)</f>
        <v/>
      </c>
      <c r="Q209">
        <f>TRIM(SUBSTITUTE(INDEX('Pooled funds'!$B:$B,ROW())&amp;""," "," "))</f>
        <v/>
      </c>
      <c r="R209">
        <f>IFERROR(--INDEX('Pooled funds'!$C:$C,ROW()),0)</f>
        <v/>
      </c>
      <c r="S209">
        <f>IFERROR(--INDEX('Pooled funds'!$D:$D,ROW()),0)</f>
        <v/>
      </c>
      <c r="T209">
        <f>IFERROR(IF(--INDEX('Pooled funds'!$E:$E,ROW())&gt;=1,--INDEX('Pooled funds'!$E:$E,ROW())/100,--INDEX('Pooled funds'!$E:$E,ROW())),0)</f>
        <v/>
      </c>
      <c r="U209">
        <f>IF(ISNUMBER(INDEX('Pooled funds'!$E:$E,ROW())),1,0)</f>
        <v/>
      </c>
      <c r="V209">
        <f>TRIM(SUBSTITUTE(INDEX('Loans'!$A:$A,ROW())&amp;""," "," "))</f>
        <v/>
      </c>
      <c r="W209">
        <f>TRIM(SUBSTITUTE(INDEX('Loans'!$B:$B,ROW())&amp;""," "," "))</f>
        <v/>
      </c>
      <c r="X209">
        <f>TRIM(SUBSTITUTE(INDEX('Loans'!$C:$C,ROW())&amp;""," "," "))</f>
        <v/>
      </c>
      <c r="Y209">
        <f>IFERROR(--INDEX('Loans'!$D:$D,ROW()),0)</f>
        <v/>
      </c>
      <c r="Z209">
        <f>IFERROR(--INDEX('Loans'!$E:$E,ROW()),0)</f>
        <v/>
      </c>
      <c r="AA209">
        <f>IFERROR(--INDEX('Loans'!$F:$F,ROW()),0)</f>
        <v/>
      </c>
      <c r="AB209">
        <f>IFERROR(IF(--INDEX('Loans'!$G:$G,ROW())&gt;=1,--INDEX('Loans'!$G:$G,ROW())/100,--INDEX('Loans'!$G:$G,ROW())),0)</f>
        <v/>
      </c>
      <c r="AC209">
        <f>TRIM(SUBSTITUTE(INDEX('Loans'!$H:$H,ROW())&amp;""," "," "))</f>
        <v/>
      </c>
      <c r="AD209">
        <f>TRIM(SUBSTITUTE(INDEX('Loans'!$I:$I,ROW())&amp;""," "," "))</f>
        <v/>
      </c>
      <c r="AE209">
        <f>IFERROR(--INDEX('Loans'!$J:$J,ROW()),0)</f>
        <v/>
      </c>
      <c r="AF209">
        <f>TRIM(SUBSTITUTE(INDEX('Loans'!$K:$K,ROW())&amp;""," "," "))</f>
        <v/>
      </c>
      <c r="AG209">
        <f>IFERROR(--INDEX('Loans'!$L:$L,ROW()),0)</f>
        <v/>
      </c>
      <c r="AH209">
        <f>IF(ISNUMBER(INDEX('Loans'!$G:$G,ROW())),1,0)</f>
        <v/>
      </c>
    </row>
    <row r="210">
      <c r="A210">
        <f>TRIM(SUBSTITUTE(INDEX('Term investments'!$A:$A,ROW())&amp;""," "," "))</f>
        <v/>
      </c>
      <c r="B210">
        <f>TRIM(SUBSTITUTE(INDEX('Term investments'!$B:$B,ROW())&amp;""," "," "))</f>
        <v/>
      </c>
      <c r="C210">
        <f>TRIM(SUBSTITUTE(INDEX('Term investments'!$C:$C,ROW())&amp;""," "," "))</f>
        <v/>
      </c>
      <c r="D210">
        <f>IFERROR(--INDEX('Term investments'!$D:$D,ROW()),0)</f>
        <v/>
      </c>
      <c r="E210">
        <f>IFERROR(--INDEX('Term investments'!$E:$E,ROW()),0)</f>
        <v/>
      </c>
      <c r="F210">
        <f>IFERROR(--INDEX('Term investments'!$F:$F,ROW()),0)</f>
        <v/>
      </c>
      <c r="G210">
        <f>IFERROR(IF(--INDEX('Term investments'!$G:$G,ROW())&gt;=1,--INDEX('Term investments'!$G:$G,ROW())/100,--INDEX('Term investments'!$G:$G,ROW())),0)</f>
        <v/>
      </c>
      <c r="H210">
        <f>IFERROR(--INDEX('Term investments'!$H:$H,ROW()),0)</f>
        <v/>
      </c>
      <c r="I210">
        <f>IF(ISNUMBER(INDEX('Term investments'!$G:$G,ROW())),1,0)</f>
        <v/>
      </c>
      <c r="J210">
        <f>TRIM(SUBSTITUTE(INDEX('Call accounts and MMFs'!$A:$A,ROW())&amp;""," "," "))</f>
        <v/>
      </c>
      <c r="K210">
        <f>TRIM(SUBSTITUTE(INDEX('Call accounts and MMFs'!$B:$B,ROW())&amp;""," "," "))</f>
        <v/>
      </c>
      <c r="L210">
        <f>TRIM(SUBSTITUTE(INDEX('Call accounts and MMFs'!$C:$C,ROW())&amp;""," "," "))</f>
        <v/>
      </c>
      <c r="M210">
        <f>IFERROR(--INDEX('Call accounts and MMFs'!$D:$D,ROW()),0)</f>
        <v/>
      </c>
      <c r="N210">
        <f>IFERROR(IF(--INDEX('Call accounts and MMFs'!$E:$E,ROW())&gt;=1,--INDEX('Call accounts and MMFs'!$E:$E,ROW())/100,--INDEX('Call accounts and MMFs'!$E:$E,ROW())),0)</f>
        <v/>
      </c>
      <c r="O210">
        <f>IFERROR(--INDEX('Call accounts and MMFs'!$F:$F,ROW()),0)</f>
        <v/>
      </c>
      <c r="P210">
        <f>IF(ISNUMBER(INDEX('Call accounts and MMFs'!$E:$E,ROW())),1,0)</f>
        <v/>
      </c>
      <c r="Q210">
        <f>TRIM(SUBSTITUTE(INDEX('Pooled funds'!$B:$B,ROW())&amp;""," "," "))</f>
        <v/>
      </c>
      <c r="R210">
        <f>IFERROR(--INDEX('Pooled funds'!$C:$C,ROW()),0)</f>
        <v/>
      </c>
      <c r="S210">
        <f>IFERROR(--INDEX('Pooled funds'!$D:$D,ROW()),0)</f>
        <v/>
      </c>
      <c r="T210">
        <f>IFERROR(IF(--INDEX('Pooled funds'!$E:$E,ROW())&gt;=1,--INDEX('Pooled funds'!$E:$E,ROW())/100,--INDEX('Pooled funds'!$E:$E,ROW())),0)</f>
        <v/>
      </c>
      <c r="U210">
        <f>IF(ISNUMBER(INDEX('Pooled funds'!$E:$E,ROW())),1,0)</f>
        <v/>
      </c>
      <c r="V210">
        <f>TRIM(SUBSTITUTE(INDEX('Loans'!$A:$A,ROW())&amp;""," "," "))</f>
        <v/>
      </c>
      <c r="W210">
        <f>TRIM(SUBSTITUTE(INDEX('Loans'!$B:$B,ROW())&amp;""," "," "))</f>
        <v/>
      </c>
      <c r="X210">
        <f>TRIM(SUBSTITUTE(INDEX('Loans'!$C:$C,ROW())&amp;""," "," "))</f>
        <v/>
      </c>
      <c r="Y210">
        <f>IFERROR(--INDEX('Loans'!$D:$D,ROW()),0)</f>
        <v/>
      </c>
      <c r="Z210">
        <f>IFERROR(--INDEX('Loans'!$E:$E,ROW()),0)</f>
        <v/>
      </c>
      <c r="AA210">
        <f>IFERROR(--INDEX('Loans'!$F:$F,ROW()),0)</f>
        <v/>
      </c>
      <c r="AB210">
        <f>IFERROR(IF(--INDEX('Loans'!$G:$G,ROW())&gt;=1,--INDEX('Loans'!$G:$G,ROW())/100,--INDEX('Loans'!$G:$G,ROW())),0)</f>
        <v/>
      </c>
      <c r="AC210">
        <f>TRIM(SUBSTITUTE(INDEX('Loans'!$H:$H,ROW())&amp;""," "," "))</f>
        <v/>
      </c>
      <c r="AD210">
        <f>TRIM(SUBSTITUTE(INDEX('Loans'!$I:$I,ROW())&amp;""," "," "))</f>
        <v/>
      </c>
      <c r="AE210">
        <f>IFERROR(--INDEX('Loans'!$J:$J,ROW()),0)</f>
        <v/>
      </c>
      <c r="AF210">
        <f>TRIM(SUBSTITUTE(INDEX('Loans'!$K:$K,ROW())&amp;""," "," "))</f>
        <v/>
      </c>
      <c r="AG210">
        <f>IFERROR(--INDEX('Loans'!$L:$L,ROW()),0)</f>
        <v/>
      </c>
      <c r="AH210">
        <f>IF(ISNUMBER(INDEX('Loans'!$G:$G,ROW())),1,0)</f>
        <v/>
      </c>
    </row>
    <row r="211">
      <c r="A211">
        <f>TRIM(SUBSTITUTE(INDEX('Term investments'!$A:$A,ROW())&amp;""," "," "))</f>
        <v/>
      </c>
      <c r="B211">
        <f>TRIM(SUBSTITUTE(INDEX('Term investments'!$B:$B,ROW())&amp;""," "," "))</f>
        <v/>
      </c>
      <c r="C211">
        <f>TRIM(SUBSTITUTE(INDEX('Term investments'!$C:$C,ROW())&amp;""," "," "))</f>
        <v/>
      </c>
      <c r="D211">
        <f>IFERROR(--INDEX('Term investments'!$D:$D,ROW()),0)</f>
        <v/>
      </c>
      <c r="E211">
        <f>IFERROR(--INDEX('Term investments'!$E:$E,ROW()),0)</f>
        <v/>
      </c>
      <c r="F211">
        <f>IFERROR(--INDEX('Term investments'!$F:$F,ROW()),0)</f>
        <v/>
      </c>
      <c r="G211">
        <f>IFERROR(IF(--INDEX('Term investments'!$G:$G,ROW())&gt;=1,--INDEX('Term investments'!$G:$G,ROW())/100,--INDEX('Term investments'!$G:$G,ROW())),0)</f>
        <v/>
      </c>
      <c r="H211">
        <f>IFERROR(--INDEX('Term investments'!$H:$H,ROW()),0)</f>
        <v/>
      </c>
      <c r="I211">
        <f>IF(ISNUMBER(INDEX('Term investments'!$G:$G,ROW())),1,0)</f>
        <v/>
      </c>
      <c r="J211">
        <f>TRIM(SUBSTITUTE(INDEX('Call accounts and MMFs'!$A:$A,ROW())&amp;""," "," "))</f>
        <v/>
      </c>
      <c r="K211">
        <f>TRIM(SUBSTITUTE(INDEX('Call accounts and MMFs'!$B:$B,ROW())&amp;""," "," "))</f>
        <v/>
      </c>
      <c r="L211">
        <f>TRIM(SUBSTITUTE(INDEX('Call accounts and MMFs'!$C:$C,ROW())&amp;""," "," "))</f>
        <v/>
      </c>
      <c r="M211">
        <f>IFERROR(--INDEX('Call accounts and MMFs'!$D:$D,ROW()),0)</f>
        <v/>
      </c>
      <c r="N211">
        <f>IFERROR(IF(--INDEX('Call accounts and MMFs'!$E:$E,ROW())&gt;=1,--INDEX('Call accounts and MMFs'!$E:$E,ROW())/100,--INDEX('Call accounts and MMFs'!$E:$E,ROW())),0)</f>
        <v/>
      </c>
      <c r="O211">
        <f>IFERROR(--INDEX('Call accounts and MMFs'!$F:$F,ROW()),0)</f>
        <v/>
      </c>
      <c r="P211">
        <f>IF(ISNUMBER(INDEX('Call accounts and MMFs'!$E:$E,ROW())),1,0)</f>
        <v/>
      </c>
      <c r="Q211">
        <f>TRIM(SUBSTITUTE(INDEX('Pooled funds'!$B:$B,ROW())&amp;""," "," "))</f>
        <v/>
      </c>
      <c r="R211">
        <f>IFERROR(--INDEX('Pooled funds'!$C:$C,ROW()),0)</f>
        <v/>
      </c>
      <c r="S211">
        <f>IFERROR(--INDEX('Pooled funds'!$D:$D,ROW()),0)</f>
        <v/>
      </c>
      <c r="T211">
        <f>IFERROR(IF(--INDEX('Pooled funds'!$E:$E,ROW())&gt;=1,--INDEX('Pooled funds'!$E:$E,ROW())/100,--INDEX('Pooled funds'!$E:$E,ROW())),0)</f>
        <v/>
      </c>
      <c r="U211">
        <f>IF(ISNUMBER(INDEX('Pooled funds'!$E:$E,ROW())),1,0)</f>
        <v/>
      </c>
      <c r="V211">
        <f>TRIM(SUBSTITUTE(INDEX('Loans'!$A:$A,ROW())&amp;""," "," "))</f>
        <v/>
      </c>
      <c r="W211">
        <f>TRIM(SUBSTITUTE(INDEX('Loans'!$B:$B,ROW())&amp;""," "," "))</f>
        <v/>
      </c>
      <c r="X211">
        <f>TRIM(SUBSTITUTE(INDEX('Loans'!$C:$C,ROW())&amp;""," "," "))</f>
        <v/>
      </c>
      <c r="Y211">
        <f>IFERROR(--INDEX('Loans'!$D:$D,ROW()),0)</f>
        <v/>
      </c>
      <c r="Z211">
        <f>IFERROR(--INDEX('Loans'!$E:$E,ROW()),0)</f>
        <v/>
      </c>
      <c r="AA211">
        <f>IFERROR(--INDEX('Loans'!$F:$F,ROW()),0)</f>
        <v/>
      </c>
      <c r="AB211">
        <f>IFERROR(IF(--INDEX('Loans'!$G:$G,ROW())&gt;=1,--INDEX('Loans'!$G:$G,ROW())/100,--INDEX('Loans'!$G:$G,ROW())),0)</f>
        <v/>
      </c>
      <c r="AC211">
        <f>TRIM(SUBSTITUTE(INDEX('Loans'!$H:$H,ROW())&amp;""," "," "))</f>
        <v/>
      </c>
      <c r="AD211">
        <f>TRIM(SUBSTITUTE(INDEX('Loans'!$I:$I,ROW())&amp;""," "," "))</f>
        <v/>
      </c>
      <c r="AE211">
        <f>IFERROR(--INDEX('Loans'!$J:$J,ROW()),0)</f>
        <v/>
      </c>
      <c r="AF211">
        <f>TRIM(SUBSTITUTE(INDEX('Loans'!$K:$K,ROW())&amp;""," "," "))</f>
        <v/>
      </c>
      <c r="AG211">
        <f>IFERROR(--INDEX('Loans'!$L:$L,ROW()),0)</f>
        <v/>
      </c>
      <c r="AH211">
        <f>IF(ISNUMBER(INDEX('Loans'!$G:$G,ROW())),1,0)</f>
        <v/>
      </c>
    </row>
    <row r="212">
      <c r="A212">
        <f>TRIM(SUBSTITUTE(INDEX('Term investments'!$A:$A,ROW())&amp;""," "," "))</f>
        <v/>
      </c>
      <c r="B212">
        <f>TRIM(SUBSTITUTE(INDEX('Term investments'!$B:$B,ROW())&amp;""," "," "))</f>
        <v/>
      </c>
      <c r="C212">
        <f>TRIM(SUBSTITUTE(INDEX('Term investments'!$C:$C,ROW())&amp;""," "," "))</f>
        <v/>
      </c>
      <c r="D212">
        <f>IFERROR(--INDEX('Term investments'!$D:$D,ROW()),0)</f>
        <v/>
      </c>
      <c r="E212">
        <f>IFERROR(--INDEX('Term investments'!$E:$E,ROW()),0)</f>
        <v/>
      </c>
      <c r="F212">
        <f>IFERROR(--INDEX('Term investments'!$F:$F,ROW()),0)</f>
        <v/>
      </c>
      <c r="G212">
        <f>IFERROR(IF(--INDEX('Term investments'!$G:$G,ROW())&gt;=1,--INDEX('Term investments'!$G:$G,ROW())/100,--INDEX('Term investments'!$G:$G,ROW())),0)</f>
        <v/>
      </c>
      <c r="H212">
        <f>IFERROR(--INDEX('Term investments'!$H:$H,ROW()),0)</f>
        <v/>
      </c>
      <c r="I212">
        <f>IF(ISNUMBER(INDEX('Term investments'!$G:$G,ROW())),1,0)</f>
        <v/>
      </c>
      <c r="J212">
        <f>TRIM(SUBSTITUTE(INDEX('Call accounts and MMFs'!$A:$A,ROW())&amp;""," "," "))</f>
        <v/>
      </c>
      <c r="K212">
        <f>TRIM(SUBSTITUTE(INDEX('Call accounts and MMFs'!$B:$B,ROW())&amp;""," "," "))</f>
        <v/>
      </c>
      <c r="L212">
        <f>TRIM(SUBSTITUTE(INDEX('Call accounts and MMFs'!$C:$C,ROW())&amp;""," "," "))</f>
        <v/>
      </c>
      <c r="M212">
        <f>IFERROR(--INDEX('Call accounts and MMFs'!$D:$D,ROW()),0)</f>
        <v/>
      </c>
      <c r="N212">
        <f>IFERROR(IF(--INDEX('Call accounts and MMFs'!$E:$E,ROW())&gt;=1,--INDEX('Call accounts and MMFs'!$E:$E,ROW())/100,--INDEX('Call accounts and MMFs'!$E:$E,ROW())),0)</f>
        <v/>
      </c>
      <c r="O212">
        <f>IFERROR(--INDEX('Call accounts and MMFs'!$F:$F,ROW()),0)</f>
        <v/>
      </c>
      <c r="P212">
        <f>IF(ISNUMBER(INDEX('Call accounts and MMFs'!$E:$E,ROW())),1,0)</f>
        <v/>
      </c>
      <c r="Q212">
        <f>TRIM(SUBSTITUTE(INDEX('Pooled funds'!$B:$B,ROW())&amp;""," "," "))</f>
        <v/>
      </c>
      <c r="R212">
        <f>IFERROR(--INDEX('Pooled funds'!$C:$C,ROW()),0)</f>
        <v/>
      </c>
      <c r="S212">
        <f>IFERROR(--INDEX('Pooled funds'!$D:$D,ROW()),0)</f>
        <v/>
      </c>
      <c r="T212">
        <f>IFERROR(IF(--INDEX('Pooled funds'!$E:$E,ROW())&gt;=1,--INDEX('Pooled funds'!$E:$E,ROW())/100,--INDEX('Pooled funds'!$E:$E,ROW())),0)</f>
        <v/>
      </c>
      <c r="U212">
        <f>IF(ISNUMBER(INDEX('Pooled funds'!$E:$E,ROW())),1,0)</f>
        <v/>
      </c>
      <c r="V212">
        <f>TRIM(SUBSTITUTE(INDEX('Loans'!$A:$A,ROW())&amp;""," "," "))</f>
        <v/>
      </c>
      <c r="W212">
        <f>TRIM(SUBSTITUTE(INDEX('Loans'!$B:$B,ROW())&amp;""," "," "))</f>
        <v/>
      </c>
      <c r="X212">
        <f>TRIM(SUBSTITUTE(INDEX('Loans'!$C:$C,ROW())&amp;""," "," "))</f>
        <v/>
      </c>
      <c r="Y212">
        <f>IFERROR(--INDEX('Loans'!$D:$D,ROW()),0)</f>
        <v/>
      </c>
      <c r="Z212">
        <f>IFERROR(--INDEX('Loans'!$E:$E,ROW()),0)</f>
        <v/>
      </c>
      <c r="AA212">
        <f>IFERROR(--INDEX('Loans'!$F:$F,ROW()),0)</f>
        <v/>
      </c>
      <c r="AB212">
        <f>IFERROR(IF(--INDEX('Loans'!$G:$G,ROW())&gt;=1,--INDEX('Loans'!$G:$G,ROW())/100,--INDEX('Loans'!$G:$G,ROW())),0)</f>
        <v/>
      </c>
      <c r="AC212">
        <f>TRIM(SUBSTITUTE(INDEX('Loans'!$H:$H,ROW())&amp;""," "," "))</f>
        <v/>
      </c>
      <c r="AD212">
        <f>TRIM(SUBSTITUTE(INDEX('Loans'!$I:$I,ROW())&amp;""," "," "))</f>
        <v/>
      </c>
      <c r="AE212">
        <f>IFERROR(--INDEX('Loans'!$J:$J,ROW()),0)</f>
        <v/>
      </c>
      <c r="AF212">
        <f>TRIM(SUBSTITUTE(INDEX('Loans'!$K:$K,ROW())&amp;""," "," "))</f>
        <v/>
      </c>
      <c r="AG212">
        <f>IFERROR(--INDEX('Loans'!$L:$L,ROW()),0)</f>
        <v/>
      </c>
      <c r="AH212">
        <f>IF(ISNUMBER(INDEX('Loans'!$G:$G,ROW())),1,0)</f>
        <v/>
      </c>
    </row>
    <row r="213">
      <c r="A213">
        <f>TRIM(SUBSTITUTE(INDEX('Term investments'!$A:$A,ROW())&amp;""," "," "))</f>
        <v/>
      </c>
      <c r="B213">
        <f>TRIM(SUBSTITUTE(INDEX('Term investments'!$B:$B,ROW())&amp;""," "," "))</f>
        <v/>
      </c>
      <c r="C213">
        <f>TRIM(SUBSTITUTE(INDEX('Term investments'!$C:$C,ROW())&amp;""," "," "))</f>
        <v/>
      </c>
      <c r="D213">
        <f>IFERROR(--INDEX('Term investments'!$D:$D,ROW()),0)</f>
        <v/>
      </c>
      <c r="E213">
        <f>IFERROR(--INDEX('Term investments'!$E:$E,ROW()),0)</f>
        <v/>
      </c>
      <c r="F213">
        <f>IFERROR(--INDEX('Term investments'!$F:$F,ROW()),0)</f>
        <v/>
      </c>
      <c r="G213">
        <f>IFERROR(IF(--INDEX('Term investments'!$G:$G,ROW())&gt;=1,--INDEX('Term investments'!$G:$G,ROW())/100,--INDEX('Term investments'!$G:$G,ROW())),0)</f>
        <v/>
      </c>
      <c r="H213">
        <f>IFERROR(--INDEX('Term investments'!$H:$H,ROW()),0)</f>
        <v/>
      </c>
      <c r="I213">
        <f>IF(ISNUMBER(INDEX('Term investments'!$G:$G,ROW())),1,0)</f>
        <v/>
      </c>
      <c r="J213">
        <f>TRIM(SUBSTITUTE(INDEX('Call accounts and MMFs'!$A:$A,ROW())&amp;""," "," "))</f>
        <v/>
      </c>
      <c r="K213">
        <f>TRIM(SUBSTITUTE(INDEX('Call accounts and MMFs'!$B:$B,ROW())&amp;""," "," "))</f>
        <v/>
      </c>
      <c r="L213">
        <f>TRIM(SUBSTITUTE(INDEX('Call accounts and MMFs'!$C:$C,ROW())&amp;""," "," "))</f>
        <v/>
      </c>
      <c r="M213">
        <f>IFERROR(--INDEX('Call accounts and MMFs'!$D:$D,ROW()),0)</f>
        <v/>
      </c>
      <c r="N213">
        <f>IFERROR(IF(--INDEX('Call accounts and MMFs'!$E:$E,ROW())&gt;=1,--INDEX('Call accounts and MMFs'!$E:$E,ROW())/100,--INDEX('Call accounts and MMFs'!$E:$E,ROW())),0)</f>
        <v/>
      </c>
      <c r="O213">
        <f>IFERROR(--INDEX('Call accounts and MMFs'!$F:$F,ROW()),0)</f>
        <v/>
      </c>
      <c r="P213">
        <f>IF(ISNUMBER(INDEX('Call accounts and MMFs'!$E:$E,ROW())),1,0)</f>
        <v/>
      </c>
      <c r="Q213">
        <f>TRIM(SUBSTITUTE(INDEX('Pooled funds'!$B:$B,ROW())&amp;""," "," "))</f>
        <v/>
      </c>
      <c r="R213">
        <f>IFERROR(--INDEX('Pooled funds'!$C:$C,ROW()),0)</f>
        <v/>
      </c>
      <c r="S213">
        <f>IFERROR(--INDEX('Pooled funds'!$D:$D,ROW()),0)</f>
        <v/>
      </c>
      <c r="T213">
        <f>IFERROR(IF(--INDEX('Pooled funds'!$E:$E,ROW())&gt;=1,--INDEX('Pooled funds'!$E:$E,ROW())/100,--INDEX('Pooled funds'!$E:$E,ROW())),0)</f>
        <v/>
      </c>
      <c r="U213">
        <f>IF(ISNUMBER(INDEX('Pooled funds'!$E:$E,ROW())),1,0)</f>
        <v/>
      </c>
      <c r="V213">
        <f>TRIM(SUBSTITUTE(INDEX('Loans'!$A:$A,ROW())&amp;""," "," "))</f>
        <v/>
      </c>
      <c r="W213">
        <f>TRIM(SUBSTITUTE(INDEX('Loans'!$B:$B,ROW())&amp;""," "," "))</f>
        <v/>
      </c>
      <c r="X213">
        <f>TRIM(SUBSTITUTE(INDEX('Loans'!$C:$C,ROW())&amp;""," "," "))</f>
        <v/>
      </c>
      <c r="Y213">
        <f>IFERROR(--INDEX('Loans'!$D:$D,ROW()),0)</f>
        <v/>
      </c>
      <c r="Z213">
        <f>IFERROR(--INDEX('Loans'!$E:$E,ROW()),0)</f>
        <v/>
      </c>
      <c r="AA213">
        <f>IFERROR(--INDEX('Loans'!$F:$F,ROW()),0)</f>
        <v/>
      </c>
      <c r="AB213">
        <f>IFERROR(IF(--INDEX('Loans'!$G:$G,ROW())&gt;=1,--INDEX('Loans'!$G:$G,ROW())/100,--INDEX('Loans'!$G:$G,ROW())),0)</f>
        <v/>
      </c>
      <c r="AC213">
        <f>TRIM(SUBSTITUTE(INDEX('Loans'!$H:$H,ROW())&amp;""," "," "))</f>
        <v/>
      </c>
      <c r="AD213">
        <f>TRIM(SUBSTITUTE(INDEX('Loans'!$I:$I,ROW())&amp;""," "," "))</f>
        <v/>
      </c>
      <c r="AE213">
        <f>IFERROR(--INDEX('Loans'!$J:$J,ROW()),0)</f>
        <v/>
      </c>
      <c r="AF213">
        <f>TRIM(SUBSTITUTE(INDEX('Loans'!$K:$K,ROW())&amp;""," "," "))</f>
        <v/>
      </c>
      <c r="AG213">
        <f>IFERROR(--INDEX('Loans'!$L:$L,ROW()),0)</f>
        <v/>
      </c>
      <c r="AH213">
        <f>IF(ISNUMBER(INDEX('Loans'!$G:$G,ROW())),1,0)</f>
        <v/>
      </c>
    </row>
    <row r="214">
      <c r="A214">
        <f>TRIM(SUBSTITUTE(INDEX('Term investments'!$A:$A,ROW())&amp;""," "," "))</f>
        <v/>
      </c>
      <c r="B214">
        <f>TRIM(SUBSTITUTE(INDEX('Term investments'!$B:$B,ROW())&amp;""," "," "))</f>
        <v/>
      </c>
      <c r="C214">
        <f>TRIM(SUBSTITUTE(INDEX('Term investments'!$C:$C,ROW())&amp;""," "," "))</f>
        <v/>
      </c>
      <c r="D214">
        <f>IFERROR(--INDEX('Term investments'!$D:$D,ROW()),0)</f>
        <v/>
      </c>
      <c r="E214">
        <f>IFERROR(--INDEX('Term investments'!$E:$E,ROW()),0)</f>
        <v/>
      </c>
      <c r="F214">
        <f>IFERROR(--INDEX('Term investments'!$F:$F,ROW()),0)</f>
        <v/>
      </c>
      <c r="G214">
        <f>IFERROR(IF(--INDEX('Term investments'!$G:$G,ROW())&gt;=1,--INDEX('Term investments'!$G:$G,ROW())/100,--INDEX('Term investments'!$G:$G,ROW())),0)</f>
        <v/>
      </c>
      <c r="H214">
        <f>IFERROR(--INDEX('Term investments'!$H:$H,ROW()),0)</f>
        <v/>
      </c>
      <c r="I214">
        <f>IF(ISNUMBER(INDEX('Term investments'!$G:$G,ROW())),1,0)</f>
        <v/>
      </c>
      <c r="J214">
        <f>TRIM(SUBSTITUTE(INDEX('Call accounts and MMFs'!$A:$A,ROW())&amp;""," "," "))</f>
        <v/>
      </c>
      <c r="K214">
        <f>TRIM(SUBSTITUTE(INDEX('Call accounts and MMFs'!$B:$B,ROW())&amp;""," "," "))</f>
        <v/>
      </c>
      <c r="L214">
        <f>TRIM(SUBSTITUTE(INDEX('Call accounts and MMFs'!$C:$C,ROW())&amp;""," "," "))</f>
        <v/>
      </c>
      <c r="M214">
        <f>IFERROR(--INDEX('Call accounts and MMFs'!$D:$D,ROW()),0)</f>
        <v/>
      </c>
      <c r="N214">
        <f>IFERROR(IF(--INDEX('Call accounts and MMFs'!$E:$E,ROW())&gt;=1,--INDEX('Call accounts and MMFs'!$E:$E,ROW())/100,--INDEX('Call accounts and MMFs'!$E:$E,ROW())),0)</f>
        <v/>
      </c>
      <c r="O214">
        <f>IFERROR(--INDEX('Call accounts and MMFs'!$F:$F,ROW()),0)</f>
        <v/>
      </c>
      <c r="P214">
        <f>IF(ISNUMBER(INDEX('Call accounts and MMFs'!$E:$E,ROW())),1,0)</f>
        <v/>
      </c>
      <c r="Q214">
        <f>TRIM(SUBSTITUTE(INDEX('Pooled funds'!$B:$B,ROW())&amp;""," "," "))</f>
        <v/>
      </c>
      <c r="R214">
        <f>IFERROR(--INDEX('Pooled funds'!$C:$C,ROW()),0)</f>
        <v/>
      </c>
      <c r="S214">
        <f>IFERROR(--INDEX('Pooled funds'!$D:$D,ROW()),0)</f>
        <v/>
      </c>
      <c r="T214">
        <f>IFERROR(IF(--INDEX('Pooled funds'!$E:$E,ROW())&gt;=1,--INDEX('Pooled funds'!$E:$E,ROW())/100,--INDEX('Pooled funds'!$E:$E,ROW())),0)</f>
        <v/>
      </c>
      <c r="U214">
        <f>IF(ISNUMBER(INDEX('Pooled funds'!$E:$E,ROW())),1,0)</f>
        <v/>
      </c>
      <c r="V214">
        <f>TRIM(SUBSTITUTE(INDEX('Loans'!$A:$A,ROW())&amp;""," "," "))</f>
        <v/>
      </c>
      <c r="W214">
        <f>TRIM(SUBSTITUTE(INDEX('Loans'!$B:$B,ROW())&amp;""," "," "))</f>
        <v/>
      </c>
      <c r="X214">
        <f>TRIM(SUBSTITUTE(INDEX('Loans'!$C:$C,ROW())&amp;""," "," "))</f>
        <v/>
      </c>
      <c r="Y214">
        <f>IFERROR(--INDEX('Loans'!$D:$D,ROW()),0)</f>
        <v/>
      </c>
      <c r="Z214">
        <f>IFERROR(--INDEX('Loans'!$E:$E,ROW()),0)</f>
        <v/>
      </c>
      <c r="AA214">
        <f>IFERROR(--INDEX('Loans'!$F:$F,ROW()),0)</f>
        <v/>
      </c>
      <c r="AB214">
        <f>IFERROR(IF(--INDEX('Loans'!$G:$G,ROW())&gt;=1,--INDEX('Loans'!$G:$G,ROW())/100,--INDEX('Loans'!$G:$G,ROW())),0)</f>
        <v/>
      </c>
      <c r="AC214">
        <f>TRIM(SUBSTITUTE(INDEX('Loans'!$H:$H,ROW())&amp;""," "," "))</f>
        <v/>
      </c>
      <c r="AD214">
        <f>TRIM(SUBSTITUTE(INDEX('Loans'!$I:$I,ROW())&amp;""," "," "))</f>
        <v/>
      </c>
      <c r="AE214">
        <f>IFERROR(--INDEX('Loans'!$J:$J,ROW()),0)</f>
        <v/>
      </c>
      <c r="AF214">
        <f>TRIM(SUBSTITUTE(INDEX('Loans'!$K:$K,ROW())&amp;""," "," "))</f>
        <v/>
      </c>
      <c r="AG214">
        <f>IFERROR(--INDEX('Loans'!$L:$L,ROW()),0)</f>
        <v/>
      </c>
      <c r="AH214">
        <f>IF(ISNUMBER(INDEX('Loans'!$G:$G,ROW())),1,0)</f>
        <v/>
      </c>
    </row>
    <row r="215">
      <c r="A215">
        <f>TRIM(SUBSTITUTE(INDEX('Term investments'!$A:$A,ROW())&amp;""," "," "))</f>
        <v/>
      </c>
      <c r="B215">
        <f>TRIM(SUBSTITUTE(INDEX('Term investments'!$B:$B,ROW())&amp;""," "," "))</f>
        <v/>
      </c>
      <c r="C215">
        <f>TRIM(SUBSTITUTE(INDEX('Term investments'!$C:$C,ROW())&amp;""," "," "))</f>
        <v/>
      </c>
      <c r="D215">
        <f>IFERROR(--INDEX('Term investments'!$D:$D,ROW()),0)</f>
        <v/>
      </c>
      <c r="E215">
        <f>IFERROR(--INDEX('Term investments'!$E:$E,ROW()),0)</f>
        <v/>
      </c>
      <c r="F215">
        <f>IFERROR(--INDEX('Term investments'!$F:$F,ROW()),0)</f>
        <v/>
      </c>
      <c r="G215">
        <f>IFERROR(IF(--INDEX('Term investments'!$G:$G,ROW())&gt;=1,--INDEX('Term investments'!$G:$G,ROW())/100,--INDEX('Term investments'!$G:$G,ROW())),0)</f>
        <v/>
      </c>
      <c r="H215">
        <f>IFERROR(--INDEX('Term investments'!$H:$H,ROW()),0)</f>
        <v/>
      </c>
      <c r="I215">
        <f>IF(ISNUMBER(INDEX('Term investments'!$G:$G,ROW())),1,0)</f>
        <v/>
      </c>
      <c r="J215">
        <f>TRIM(SUBSTITUTE(INDEX('Call accounts and MMFs'!$A:$A,ROW())&amp;""," "," "))</f>
        <v/>
      </c>
      <c r="K215">
        <f>TRIM(SUBSTITUTE(INDEX('Call accounts and MMFs'!$B:$B,ROW())&amp;""," "," "))</f>
        <v/>
      </c>
      <c r="L215">
        <f>TRIM(SUBSTITUTE(INDEX('Call accounts and MMFs'!$C:$C,ROW())&amp;""," "," "))</f>
        <v/>
      </c>
      <c r="M215">
        <f>IFERROR(--INDEX('Call accounts and MMFs'!$D:$D,ROW()),0)</f>
        <v/>
      </c>
      <c r="N215">
        <f>IFERROR(IF(--INDEX('Call accounts and MMFs'!$E:$E,ROW())&gt;=1,--INDEX('Call accounts and MMFs'!$E:$E,ROW())/100,--INDEX('Call accounts and MMFs'!$E:$E,ROW())),0)</f>
        <v/>
      </c>
      <c r="O215">
        <f>IFERROR(--INDEX('Call accounts and MMFs'!$F:$F,ROW()),0)</f>
        <v/>
      </c>
      <c r="P215">
        <f>IF(ISNUMBER(INDEX('Call accounts and MMFs'!$E:$E,ROW())),1,0)</f>
        <v/>
      </c>
      <c r="Q215">
        <f>TRIM(SUBSTITUTE(INDEX('Pooled funds'!$B:$B,ROW())&amp;""," "," "))</f>
        <v/>
      </c>
      <c r="R215">
        <f>IFERROR(--INDEX('Pooled funds'!$C:$C,ROW()),0)</f>
        <v/>
      </c>
      <c r="S215">
        <f>IFERROR(--INDEX('Pooled funds'!$D:$D,ROW()),0)</f>
        <v/>
      </c>
      <c r="T215">
        <f>IFERROR(IF(--INDEX('Pooled funds'!$E:$E,ROW())&gt;=1,--INDEX('Pooled funds'!$E:$E,ROW())/100,--INDEX('Pooled funds'!$E:$E,ROW())),0)</f>
        <v/>
      </c>
      <c r="U215">
        <f>IF(ISNUMBER(INDEX('Pooled funds'!$E:$E,ROW())),1,0)</f>
        <v/>
      </c>
      <c r="V215">
        <f>TRIM(SUBSTITUTE(INDEX('Loans'!$A:$A,ROW())&amp;""," "," "))</f>
        <v/>
      </c>
      <c r="W215">
        <f>TRIM(SUBSTITUTE(INDEX('Loans'!$B:$B,ROW())&amp;""," "," "))</f>
        <v/>
      </c>
      <c r="X215">
        <f>TRIM(SUBSTITUTE(INDEX('Loans'!$C:$C,ROW())&amp;""," "," "))</f>
        <v/>
      </c>
      <c r="Y215">
        <f>IFERROR(--INDEX('Loans'!$D:$D,ROW()),0)</f>
        <v/>
      </c>
      <c r="Z215">
        <f>IFERROR(--INDEX('Loans'!$E:$E,ROW()),0)</f>
        <v/>
      </c>
      <c r="AA215">
        <f>IFERROR(--INDEX('Loans'!$F:$F,ROW()),0)</f>
        <v/>
      </c>
      <c r="AB215">
        <f>IFERROR(IF(--INDEX('Loans'!$G:$G,ROW())&gt;=1,--INDEX('Loans'!$G:$G,ROW())/100,--INDEX('Loans'!$G:$G,ROW())),0)</f>
        <v/>
      </c>
      <c r="AC215">
        <f>TRIM(SUBSTITUTE(INDEX('Loans'!$H:$H,ROW())&amp;""," "," "))</f>
        <v/>
      </c>
      <c r="AD215">
        <f>TRIM(SUBSTITUTE(INDEX('Loans'!$I:$I,ROW())&amp;""," "," "))</f>
        <v/>
      </c>
      <c r="AE215">
        <f>IFERROR(--INDEX('Loans'!$J:$J,ROW()),0)</f>
        <v/>
      </c>
      <c r="AF215">
        <f>TRIM(SUBSTITUTE(INDEX('Loans'!$K:$K,ROW())&amp;""," "," "))</f>
        <v/>
      </c>
      <c r="AG215">
        <f>IFERROR(--INDEX('Loans'!$L:$L,ROW()),0)</f>
        <v/>
      </c>
      <c r="AH215">
        <f>IF(ISNUMBER(INDEX('Loans'!$G:$G,ROW())),1,0)</f>
        <v/>
      </c>
    </row>
    <row r="216">
      <c r="A216">
        <f>TRIM(SUBSTITUTE(INDEX('Term investments'!$A:$A,ROW())&amp;""," "," "))</f>
        <v/>
      </c>
      <c r="B216">
        <f>TRIM(SUBSTITUTE(INDEX('Term investments'!$B:$B,ROW())&amp;""," "," "))</f>
        <v/>
      </c>
      <c r="C216">
        <f>TRIM(SUBSTITUTE(INDEX('Term investments'!$C:$C,ROW())&amp;""," "," "))</f>
        <v/>
      </c>
      <c r="D216">
        <f>IFERROR(--INDEX('Term investments'!$D:$D,ROW()),0)</f>
        <v/>
      </c>
      <c r="E216">
        <f>IFERROR(--INDEX('Term investments'!$E:$E,ROW()),0)</f>
        <v/>
      </c>
      <c r="F216">
        <f>IFERROR(--INDEX('Term investments'!$F:$F,ROW()),0)</f>
        <v/>
      </c>
      <c r="G216">
        <f>IFERROR(IF(--INDEX('Term investments'!$G:$G,ROW())&gt;=1,--INDEX('Term investments'!$G:$G,ROW())/100,--INDEX('Term investments'!$G:$G,ROW())),0)</f>
        <v/>
      </c>
      <c r="H216">
        <f>IFERROR(--INDEX('Term investments'!$H:$H,ROW()),0)</f>
        <v/>
      </c>
      <c r="I216">
        <f>IF(ISNUMBER(INDEX('Term investments'!$G:$G,ROW())),1,0)</f>
        <v/>
      </c>
      <c r="J216">
        <f>TRIM(SUBSTITUTE(INDEX('Call accounts and MMFs'!$A:$A,ROW())&amp;""," "," "))</f>
        <v/>
      </c>
      <c r="K216">
        <f>TRIM(SUBSTITUTE(INDEX('Call accounts and MMFs'!$B:$B,ROW())&amp;""," "," "))</f>
        <v/>
      </c>
      <c r="L216">
        <f>TRIM(SUBSTITUTE(INDEX('Call accounts and MMFs'!$C:$C,ROW())&amp;""," "," "))</f>
        <v/>
      </c>
      <c r="M216">
        <f>IFERROR(--INDEX('Call accounts and MMFs'!$D:$D,ROW()),0)</f>
        <v/>
      </c>
      <c r="N216">
        <f>IFERROR(IF(--INDEX('Call accounts and MMFs'!$E:$E,ROW())&gt;=1,--INDEX('Call accounts and MMFs'!$E:$E,ROW())/100,--INDEX('Call accounts and MMFs'!$E:$E,ROW())),0)</f>
        <v/>
      </c>
      <c r="O216">
        <f>IFERROR(--INDEX('Call accounts and MMFs'!$F:$F,ROW()),0)</f>
        <v/>
      </c>
      <c r="P216">
        <f>IF(ISNUMBER(INDEX('Call accounts and MMFs'!$E:$E,ROW())),1,0)</f>
        <v/>
      </c>
      <c r="Q216">
        <f>TRIM(SUBSTITUTE(INDEX('Pooled funds'!$B:$B,ROW())&amp;""," "," "))</f>
        <v/>
      </c>
      <c r="R216">
        <f>IFERROR(--INDEX('Pooled funds'!$C:$C,ROW()),0)</f>
        <v/>
      </c>
      <c r="S216">
        <f>IFERROR(--INDEX('Pooled funds'!$D:$D,ROW()),0)</f>
        <v/>
      </c>
      <c r="T216">
        <f>IFERROR(IF(--INDEX('Pooled funds'!$E:$E,ROW())&gt;=1,--INDEX('Pooled funds'!$E:$E,ROW())/100,--INDEX('Pooled funds'!$E:$E,ROW())),0)</f>
        <v/>
      </c>
      <c r="U216">
        <f>IF(ISNUMBER(INDEX('Pooled funds'!$E:$E,ROW())),1,0)</f>
        <v/>
      </c>
      <c r="V216">
        <f>TRIM(SUBSTITUTE(INDEX('Loans'!$A:$A,ROW())&amp;""," "," "))</f>
        <v/>
      </c>
      <c r="W216">
        <f>TRIM(SUBSTITUTE(INDEX('Loans'!$B:$B,ROW())&amp;""," "," "))</f>
        <v/>
      </c>
      <c r="X216">
        <f>TRIM(SUBSTITUTE(INDEX('Loans'!$C:$C,ROW())&amp;""," "," "))</f>
        <v/>
      </c>
      <c r="Y216">
        <f>IFERROR(--INDEX('Loans'!$D:$D,ROW()),0)</f>
        <v/>
      </c>
      <c r="Z216">
        <f>IFERROR(--INDEX('Loans'!$E:$E,ROW()),0)</f>
        <v/>
      </c>
      <c r="AA216">
        <f>IFERROR(--INDEX('Loans'!$F:$F,ROW()),0)</f>
        <v/>
      </c>
      <c r="AB216">
        <f>IFERROR(IF(--INDEX('Loans'!$G:$G,ROW())&gt;=1,--INDEX('Loans'!$G:$G,ROW())/100,--INDEX('Loans'!$G:$G,ROW())),0)</f>
        <v/>
      </c>
      <c r="AC216">
        <f>TRIM(SUBSTITUTE(INDEX('Loans'!$H:$H,ROW())&amp;""," "," "))</f>
        <v/>
      </c>
      <c r="AD216">
        <f>TRIM(SUBSTITUTE(INDEX('Loans'!$I:$I,ROW())&amp;""," "," "))</f>
        <v/>
      </c>
      <c r="AE216">
        <f>IFERROR(--INDEX('Loans'!$J:$J,ROW()),0)</f>
        <v/>
      </c>
      <c r="AF216">
        <f>TRIM(SUBSTITUTE(INDEX('Loans'!$K:$K,ROW())&amp;""," "," "))</f>
        <v/>
      </c>
      <c r="AG216">
        <f>IFERROR(--INDEX('Loans'!$L:$L,ROW()),0)</f>
        <v/>
      </c>
      <c r="AH216">
        <f>IF(ISNUMBER(INDEX('Loans'!$G:$G,ROW())),1,0)</f>
        <v/>
      </c>
    </row>
    <row r="217">
      <c r="A217">
        <f>TRIM(SUBSTITUTE(INDEX('Term investments'!$A:$A,ROW())&amp;""," "," "))</f>
        <v/>
      </c>
      <c r="B217">
        <f>TRIM(SUBSTITUTE(INDEX('Term investments'!$B:$B,ROW())&amp;""," "," "))</f>
        <v/>
      </c>
      <c r="C217">
        <f>TRIM(SUBSTITUTE(INDEX('Term investments'!$C:$C,ROW())&amp;""," "," "))</f>
        <v/>
      </c>
      <c r="D217">
        <f>IFERROR(--INDEX('Term investments'!$D:$D,ROW()),0)</f>
        <v/>
      </c>
      <c r="E217">
        <f>IFERROR(--INDEX('Term investments'!$E:$E,ROW()),0)</f>
        <v/>
      </c>
      <c r="F217">
        <f>IFERROR(--INDEX('Term investments'!$F:$F,ROW()),0)</f>
        <v/>
      </c>
      <c r="G217">
        <f>IFERROR(IF(--INDEX('Term investments'!$G:$G,ROW())&gt;=1,--INDEX('Term investments'!$G:$G,ROW())/100,--INDEX('Term investments'!$G:$G,ROW())),0)</f>
        <v/>
      </c>
      <c r="H217">
        <f>IFERROR(--INDEX('Term investments'!$H:$H,ROW()),0)</f>
        <v/>
      </c>
      <c r="I217">
        <f>IF(ISNUMBER(INDEX('Term investments'!$G:$G,ROW())),1,0)</f>
        <v/>
      </c>
      <c r="J217">
        <f>TRIM(SUBSTITUTE(INDEX('Call accounts and MMFs'!$A:$A,ROW())&amp;""," "," "))</f>
        <v/>
      </c>
      <c r="K217">
        <f>TRIM(SUBSTITUTE(INDEX('Call accounts and MMFs'!$B:$B,ROW())&amp;""," "," "))</f>
        <v/>
      </c>
      <c r="L217">
        <f>TRIM(SUBSTITUTE(INDEX('Call accounts and MMFs'!$C:$C,ROW())&amp;""," "," "))</f>
        <v/>
      </c>
      <c r="M217">
        <f>IFERROR(--INDEX('Call accounts and MMFs'!$D:$D,ROW()),0)</f>
        <v/>
      </c>
      <c r="N217">
        <f>IFERROR(IF(--INDEX('Call accounts and MMFs'!$E:$E,ROW())&gt;=1,--INDEX('Call accounts and MMFs'!$E:$E,ROW())/100,--INDEX('Call accounts and MMFs'!$E:$E,ROW())),0)</f>
        <v/>
      </c>
      <c r="O217">
        <f>IFERROR(--INDEX('Call accounts and MMFs'!$F:$F,ROW()),0)</f>
        <v/>
      </c>
      <c r="P217">
        <f>IF(ISNUMBER(INDEX('Call accounts and MMFs'!$E:$E,ROW())),1,0)</f>
        <v/>
      </c>
      <c r="Q217">
        <f>TRIM(SUBSTITUTE(INDEX('Pooled funds'!$B:$B,ROW())&amp;""," "," "))</f>
        <v/>
      </c>
      <c r="R217">
        <f>IFERROR(--INDEX('Pooled funds'!$C:$C,ROW()),0)</f>
        <v/>
      </c>
      <c r="S217">
        <f>IFERROR(--INDEX('Pooled funds'!$D:$D,ROW()),0)</f>
        <v/>
      </c>
      <c r="T217">
        <f>IFERROR(IF(--INDEX('Pooled funds'!$E:$E,ROW())&gt;=1,--INDEX('Pooled funds'!$E:$E,ROW())/100,--INDEX('Pooled funds'!$E:$E,ROW())),0)</f>
        <v/>
      </c>
      <c r="U217">
        <f>IF(ISNUMBER(INDEX('Pooled funds'!$E:$E,ROW())),1,0)</f>
        <v/>
      </c>
      <c r="V217">
        <f>TRIM(SUBSTITUTE(INDEX('Loans'!$A:$A,ROW())&amp;""," "," "))</f>
        <v/>
      </c>
      <c r="W217">
        <f>TRIM(SUBSTITUTE(INDEX('Loans'!$B:$B,ROW())&amp;""," "," "))</f>
        <v/>
      </c>
      <c r="X217">
        <f>TRIM(SUBSTITUTE(INDEX('Loans'!$C:$C,ROW())&amp;""," "," "))</f>
        <v/>
      </c>
      <c r="Y217">
        <f>IFERROR(--INDEX('Loans'!$D:$D,ROW()),0)</f>
        <v/>
      </c>
      <c r="Z217">
        <f>IFERROR(--INDEX('Loans'!$E:$E,ROW()),0)</f>
        <v/>
      </c>
      <c r="AA217">
        <f>IFERROR(--INDEX('Loans'!$F:$F,ROW()),0)</f>
        <v/>
      </c>
      <c r="AB217">
        <f>IFERROR(IF(--INDEX('Loans'!$G:$G,ROW())&gt;=1,--INDEX('Loans'!$G:$G,ROW())/100,--INDEX('Loans'!$G:$G,ROW())),0)</f>
        <v/>
      </c>
      <c r="AC217">
        <f>TRIM(SUBSTITUTE(INDEX('Loans'!$H:$H,ROW())&amp;""," "," "))</f>
        <v/>
      </c>
      <c r="AD217">
        <f>TRIM(SUBSTITUTE(INDEX('Loans'!$I:$I,ROW())&amp;""," "," "))</f>
        <v/>
      </c>
      <c r="AE217">
        <f>IFERROR(--INDEX('Loans'!$J:$J,ROW()),0)</f>
        <v/>
      </c>
      <c r="AF217">
        <f>TRIM(SUBSTITUTE(INDEX('Loans'!$K:$K,ROW())&amp;""," "," "))</f>
        <v/>
      </c>
      <c r="AG217">
        <f>IFERROR(--INDEX('Loans'!$L:$L,ROW()),0)</f>
        <v/>
      </c>
      <c r="AH217">
        <f>IF(ISNUMBER(INDEX('Loans'!$G:$G,ROW())),1,0)</f>
        <v/>
      </c>
    </row>
    <row r="218">
      <c r="A218">
        <f>TRIM(SUBSTITUTE(INDEX('Term investments'!$A:$A,ROW())&amp;""," "," "))</f>
        <v/>
      </c>
      <c r="B218">
        <f>TRIM(SUBSTITUTE(INDEX('Term investments'!$B:$B,ROW())&amp;""," "," "))</f>
        <v/>
      </c>
      <c r="C218">
        <f>TRIM(SUBSTITUTE(INDEX('Term investments'!$C:$C,ROW())&amp;""," "," "))</f>
        <v/>
      </c>
      <c r="D218">
        <f>IFERROR(--INDEX('Term investments'!$D:$D,ROW()),0)</f>
        <v/>
      </c>
      <c r="E218">
        <f>IFERROR(--INDEX('Term investments'!$E:$E,ROW()),0)</f>
        <v/>
      </c>
      <c r="F218">
        <f>IFERROR(--INDEX('Term investments'!$F:$F,ROW()),0)</f>
        <v/>
      </c>
      <c r="G218">
        <f>IFERROR(IF(--INDEX('Term investments'!$G:$G,ROW())&gt;=1,--INDEX('Term investments'!$G:$G,ROW())/100,--INDEX('Term investments'!$G:$G,ROW())),0)</f>
        <v/>
      </c>
      <c r="H218">
        <f>IFERROR(--INDEX('Term investments'!$H:$H,ROW()),0)</f>
        <v/>
      </c>
      <c r="I218">
        <f>IF(ISNUMBER(INDEX('Term investments'!$G:$G,ROW())),1,0)</f>
        <v/>
      </c>
      <c r="J218">
        <f>TRIM(SUBSTITUTE(INDEX('Call accounts and MMFs'!$A:$A,ROW())&amp;""," "," "))</f>
        <v/>
      </c>
      <c r="K218">
        <f>TRIM(SUBSTITUTE(INDEX('Call accounts and MMFs'!$B:$B,ROW())&amp;""," "," "))</f>
        <v/>
      </c>
      <c r="L218">
        <f>TRIM(SUBSTITUTE(INDEX('Call accounts and MMFs'!$C:$C,ROW())&amp;""," "," "))</f>
        <v/>
      </c>
      <c r="M218">
        <f>IFERROR(--INDEX('Call accounts and MMFs'!$D:$D,ROW()),0)</f>
        <v/>
      </c>
      <c r="N218">
        <f>IFERROR(IF(--INDEX('Call accounts and MMFs'!$E:$E,ROW())&gt;=1,--INDEX('Call accounts and MMFs'!$E:$E,ROW())/100,--INDEX('Call accounts and MMFs'!$E:$E,ROW())),0)</f>
        <v/>
      </c>
      <c r="O218">
        <f>IFERROR(--INDEX('Call accounts and MMFs'!$F:$F,ROW()),0)</f>
        <v/>
      </c>
      <c r="P218">
        <f>IF(ISNUMBER(INDEX('Call accounts and MMFs'!$E:$E,ROW())),1,0)</f>
        <v/>
      </c>
      <c r="Q218">
        <f>TRIM(SUBSTITUTE(INDEX('Pooled funds'!$B:$B,ROW())&amp;""," "," "))</f>
        <v/>
      </c>
      <c r="R218">
        <f>IFERROR(--INDEX('Pooled funds'!$C:$C,ROW()),0)</f>
        <v/>
      </c>
      <c r="S218">
        <f>IFERROR(--INDEX('Pooled funds'!$D:$D,ROW()),0)</f>
        <v/>
      </c>
      <c r="T218">
        <f>IFERROR(IF(--INDEX('Pooled funds'!$E:$E,ROW())&gt;=1,--INDEX('Pooled funds'!$E:$E,ROW())/100,--INDEX('Pooled funds'!$E:$E,ROW())),0)</f>
        <v/>
      </c>
      <c r="U218">
        <f>IF(ISNUMBER(INDEX('Pooled funds'!$E:$E,ROW())),1,0)</f>
        <v/>
      </c>
      <c r="V218">
        <f>TRIM(SUBSTITUTE(INDEX('Loans'!$A:$A,ROW())&amp;""," "," "))</f>
        <v/>
      </c>
      <c r="W218">
        <f>TRIM(SUBSTITUTE(INDEX('Loans'!$B:$B,ROW())&amp;""," "," "))</f>
        <v/>
      </c>
      <c r="X218">
        <f>TRIM(SUBSTITUTE(INDEX('Loans'!$C:$C,ROW())&amp;""," "," "))</f>
        <v/>
      </c>
      <c r="Y218">
        <f>IFERROR(--INDEX('Loans'!$D:$D,ROW()),0)</f>
        <v/>
      </c>
      <c r="Z218">
        <f>IFERROR(--INDEX('Loans'!$E:$E,ROW()),0)</f>
        <v/>
      </c>
      <c r="AA218">
        <f>IFERROR(--INDEX('Loans'!$F:$F,ROW()),0)</f>
        <v/>
      </c>
      <c r="AB218">
        <f>IFERROR(IF(--INDEX('Loans'!$G:$G,ROW())&gt;=1,--INDEX('Loans'!$G:$G,ROW())/100,--INDEX('Loans'!$G:$G,ROW())),0)</f>
        <v/>
      </c>
      <c r="AC218">
        <f>TRIM(SUBSTITUTE(INDEX('Loans'!$H:$H,ROW())&amp;""," "," "))</f>
        <v/>
      </c>
      <c r="AD218">
        <f>TRIM(SUBSTITUTE(INDEX('Loans'!$I:$I,ROW())&amp;""," "," "))</f>
        <v/>
      </c>
      <c r="AE218">
        <f>IFERROR(--INDEX('Loans'!$J:$J,ROW()),0)</f>
        <v/>
      </c>
      <c r="AF218">
        <f>TRIM(SUBSTITUTE(INDEX('Loans'!$K:$K,ROW())&amp;""," "," "))</f>
        <v/>
      </c>
      <c r="AG218">
        <f>IFERROR(--INDEX('Loans'!$L:$L,ROW()),0)</f>
        <v/>
      </c>
      <c r="AH218">
        <f>IF(ISNUMBER(INDEX('Loans'!$G:$G,ROW())),1,0)</f>
        <v/>
      </c>
    </row>
    <row r="219">
      <c r="A219">
        <f>TRIM(SUBSTITUTE(INDEX('Term investments'!$A:$A,ROW())&amp;""," "," "))</f>
        <v/>
      </c>
      <c r="B219">
        <f>TRIM(SUBSTITUTE(INDEX('Term investments'!$B:$B,ROW())&amp;""," "," "))</f>
        <v/>
      </c>
      <c r="C219">
        <f>TRIM(SUBSTITUTE(INDEX('Term investments'!$C:$C,ROW())&amp;""," "," "))</f>
        <v/>
      </c>
      <c r="D219">
        <f>IFERROR(--INDEX('Term investments'!$D:$D,ROW()),0)</f>
        <v/>
      </c>
      <c r="E219">
        <f>IFERROR(--INDEX('Term investments'!$E:$E,ROW()),0)</f>
        <v/>
      </c>
      <c r="F219">
        <f>IFERROR(--INDEX('Term investments'!$F:$F,ROW()),0)</f>
        <v/>
      </c>
      <c r="G219">
        <f>IFERROR(IF(--INDEX('Term investments'!$G:$G,ROW())&gt;=1,--INDEX('Term investments'!$G:$G,ROW())/100,--INDEX('Term investments'!$G:$G,ROW())),0)</f>
        <v/>
      </c>
      <c r="H219">
        <f>IFERROR(--INDEX('Term investments'!$H:$H,ROW()),0)</f>
        <v/>
      </c>
      <c r="I219">
        <f>IF(ISNUMBER(INDEX('Term investments'!$G:$G,ROW())),1,0)</f>
        <v/>
      </c>
      <c r="J219">
        <f>TRIM(SUBSTITUTE(INDEX('Call accounts and MMFs'!$A:$A,ROW())&amp;""," "," "))</f>
        <v/>
      </c>
      <c r="K219">
        <f>TRIM(SUBSTITUTE(INDEX('Call accounts and MMFs'!$B:$B,ROW())&amp;""," "," "))</f>
        <v/>
      </c>
      <c r="L219">
        <f>TRIM(SUBSTITUTE(INDEX('Call accounts and MMFs'!$C:$C,ROW())&amp;""," "," "))</f>
        <v/>
      </c>
      <c r="M219">
        <f>IFERROR(--INDEX('Call accounts and MMFs'!$D:$D,ROW()),0)</f>
        <v/>
      </c>
      <c r="N219">
        <f>IFERROR(IF(--INDEX('Call accounts and MMFs'!$E:$E,ROW())&gt;=1,--INDEX('Call accounts and MMFs'!$E:$E,ROW())/100,--INDEX('Call accounts and MMFs'!$E:$E,ROW())),0)</f>
        <v/>
      </c>
      <c r="O219">
        <f>IFERROR(--INDEX('Call accounts and MMFs'!$F:$F,ROW()),0)</f>
        <v/>
      </c>
      <c r="P219">
        <f>IF(ISNUMBER(INDEX('Call accounts and MMFs'!$E:$E,ROW())),1,0)</f>
        <v/>
      </c>
      <c r="Q219">
        <f>TRIM(SUBSTITUTE(INDEX('Pooled funds'!$B:$B,ROW())&amp;""," "," "))</f>
        <v/>
      </c>
      <c r="R219">
        <f>IFERROR(--INDEX('Pooled funds'!$C:$C,ROW()),0)</f>
        <v/>
      </c>
      <c r="S219">
        <f>IFERROR(--INDEX('Pooled funds'!$D:$D,ROW()),0)</f>
        <v/>
      </c>
      <c r="T219">
        <f>IFERROR(IF(--INDEX('Pooled funds'!$E:$E,ROW())&gt;=1,--INDEX('Pooled funds'!$E:$E,ROW())/100,--INDEX('Pooled funds'!$E:$E,ROW())),0)</f>
        <v/>
      </c>
      <c r="U219">
        <f>IF(ISNUMBER(INDEX('Pooled funds'!$E:$E,ROW())),1,0)</f>
        <v/>
      </c>
      <c r="V219">
        <f>TRIM(SUBSTITUTE(INDEX('Loans'!$A:$A,ROW())&amp;""," "," "))</f>
        <v/>
      </c>
      <c r="W219">
        <f>TRIM(SUBSTITUTE(INDEX('Loans'!$B:$B,ROW())&amp;""," "," "))</f>
        <v/>
      </c>
      <c r="X219">
        <f>TRIM(SUBSTITUTE(INDEX('Loans'!$C:$C,ROW())&amp;""," "," "))</f>
        <v/>
      </c>
      <c r="Y219">
        <f>IFERROR(--INDEX('Loans'!$D:$D,ROW()),0)</f>
        <v/>
      </c>
      <c r="Z219">
        <f>IFERROR(--INDEX('Loans'!$E:$E,ROW()),0)</f>
        <v/>
      </c>
      <c r="AA219">
        <f>IFERROR(--INDEX('Loans'!$F:$F,ROW()),0)</f>
        <v/>
      </c>
      <c r="AB219">
        <f>IFERROR(IF(--INDEX('Loans'!$G:$G,ROW())&gt;=1,--INDEX('Loans'!$G:$G,ROW())/100,--INDEX('Loans'!$G:$G,ROW())),0)</f>
        <v/>
      </c>
      <c r="AC219">
        <f>TRIM(SUBSTITUTE(INDEX('Loans'!$H:$H,ROW())&amp;""," "," "))</f>
        <v/>
      </c>
      <c r="AD219">
        <f>TRIM(SUBSTITUTE(INDEX('Loans'!$I:$I,ROW())&amp;""," "," "))</f>
        <v/>
      </c>
      <c r="AE219">
        <f>IFERROR(--INDEX('Loans'!$J:$J,ROW()),0)</f>
        <v/>
      </c>
      <c r="AF219">
        <f>TRIM(SUBSTITUTE(INDEX('Loans'!$K:$K,ROW())&amp;""," "," "))</f>
        <v/>
      </c>
      <c r="AG219">
        <f>IFERROR(--INDEX('Loans'!$L:$L,ROW()),0)</f>
        <v/>
      </c>
      <c r="AH219">
        <f>IF(ISNUMBER(INDEX('Loans'!$G:$G,ROW())),1,0)</f>
        <v/>
      </c>
    </row>
    <row r="220">
      <c r="A220">
        <f>TRIM(SUBSTITUTE(INDEX('Term investments'!$A:$A,ROW())&amp;""," "," "))</f>
        <v/>
      </c>
      <c r="B220">
        <f>TRIM(SUBSTITUTE(INDEX('Term investments'!$B:$B,ROW())&amp;""," "," "))</f>
        <v/>
      </c>
      <c r="C220">
        <f>TRIM(SUBSTITUTE(INDEX('Term investments'!$C:$C,ROW())&amp;""," "," "))</f>
        <v/>
      </c>
      <c r="D220">
        <f>IFERROR(--INDEX('Term investments'!$D:$D,ROW()),0)</f>
        <v/>
      </c>
      <c r="E220">
        <f>IFERROR(--INDEX('Term investments'!$E:$E,ROW()),0)</f>
        <v/>
      </c>
      <c r="F220">
        <f>IFERROR(--INDEX('Term investments'!$F:$F,ROW()),0)</f>
        <v/>
      </c>
      <c r="G220">
        <f>IFERROR(IF(--INDEX('Term investments'!$G:$G,ROW())&gt;=1,--INDEX('Term investments'!$G:$G,ROW())/100,--INDEX('Term investments'!$G:$G,ROW())),0)</f>
        <v/>
      </c>
      <c r="H220">
        <f>IFERROR(--INDEX('Term investments'!$H:$H,ROW()),0)</f>
        <v/>
      </c>
      <c r="I220">
        <f>IF(ISNUMBER(INDEX('Term investments'!$G:$G,ROW())),1,0)</f>
        <v/>
      </c>
      <c r="J220">
        <f>TRIM(SUBSTITUTE(INDEX('Call accounts and MMFs'!$A:$A,ROW())&amp;""," "," "))</f>
        <v/>
      </c>
      <c r="K220">
        <f>TRIM(SUBSTITUTE(INDEX('Call accounts and MMFs'!$B:$B,ROW())&amp;""," "," "))</f>
        <v/>
      </c>
      <c r="L220">
        <f>TRIM(SUBSTITUTE(INDEX('Call accounts and MMFs'!$C:$C,ROW())&amp;""," "," "))</f>
        <v/>
      </c>
      <c r="M220">
        <f>IFERROR(--INDEX('Call accounts and MMFs'!$D:$D,ROW()),0)</f>
        <v/>
      </c>
      <c r="N220">
        <f>IFERROR(IF(--INDEX('Call accounts and MMFs'!$E:$E,ROW())&gt;=1,--INDEX('Call accounts and MMFs'!$E:$E,ROW())/100,--INDEX('Call accounts and MMFs'!$E:$E,ROW())),0)</f>
        <v/>
      </c>
      <c r="O220">
        <f>IFERROR(--INDEX('Call accounts and MMFs'!$F:$F,ROW()),0)</f>
        <v/>
      </c>
      <c r="P220">
        <f>IF(ISNUMBER(INDEX('Call accounts and MMFs'!$E:$E,ROW())),1,0)</f>
        <v/>
      </c>
      <c r="Q220">
        <f>TRIM(SUBSTITUTE(INDEX('Pooled funds'!$B:$B,ROW())&amp;""," "," "))</f>
        <v/>
      </c>
      <c r="R220">
        <f>IFERROR(--INDEX('Pooled funds'!$C:$C,ROW()),0)</f>
        <v/>
      </c>
      <c r="S220">
        <f>IFERROR(--INDEX('Pooled funds'!$D:$D,ROW()),0)</f>
        <v/>
      </c>
      <c r="T220">
        <f>IFERROR(IF(--INDEX('Pooled funds'!$E:$E,ROW())&gt;=1,--INDEX('Pooled funds'!$E:$E,ROW())/100,--INDEX('Pooled funds'!$E:$E,ROW())),0)</f>
        <v/>
      </c>
      <c r="U220">
        <f>IF(ISNUMBER(INDEX('Pooled funds'!$E:$E,ROW())),1,0)</f>
        <v/>
      </c>
      <c r="V220">
        <f>TRIM(SUBSTITUTE(INDEX('Loans'!$A:$A,ROW())&amp;""," "," "))</f>
        <v/>
      </c>
      <c r="W220">
        <f>TRIM(SUBSTITUTE(INDEX('Loans'!$B:$B,ROW())&amp;""," "," "))</f>
        <v/>
      </c>
      <c r="X220">
        <f>TRIM(SUBSTITUTE(INDEX('Loans'!$C:$C,ROW())&amp;""," "," "))</f>
        <v/>
      </c>
      <c r="Y220">
        <f>IFERROR(--INDEX('Loans'!$D:$D,ROW()),0)</f>
        <v/>
      </c>
      <c r="Z220">
        <f>IFERROR(--INDEX('Loans'!$E:$E,ROW()),0)</f>
        <v/>
      </c>
      <c r="AA220">
        <f>IFERROR(--INDEX('Loans'!$F:$F,ROW()),0)</f>
        <v/>
      </c>
      <c r="AB220">
        <f>IFERROR(IF(--INDEX('Loans'!$G:$G,ROW())&gt;=1,--INDEX('Loans'!$G:$G,ROW())/100,--INDEX('Loans'!$G:$G,ROW())),0)</f>
        <v/>
      </c>
      <c r="AC220">
        <f>TRIM(SUBSTITUTE(INDEX('Loans'!$H:$H,ROW())&amp;""," "," "))</f>
        <v/>
      </c>
      <c r="AD220">
        <f>TRIM(SUBSTITUTE(INDEX('Loans'!$I:$I,ROW())&amp;""," "," "))</f>
        <v/>
      </c>
      <c r="AE220">
        <f>IFERROR(--INDEX('Loans'!$J:$J,ROW()),0)</f>
        <v/>
      </c>
      <c r="AF220">
        <f>TRIM(SUBSTITUTE(INDEX('Loans'!$K:$K,ROW())&amp;""," "," "))</f>
        <v/>
      </c>
      <c r="AG220">
        <f>IFERROR(--INDEX('Loans'!$L:$L,ROW()),0)</f>
        <v/>
      </c>
      <c r="AH220">
        <f>IF(ISNUMBER(INDEX('Loans'!$G:$G,ROW())),1,0)</f>
        <v/>
      </c>
    </row>
    <row r="221">
      <c r="A221">
        <f>TRIM(SUBSTITUTE(INDEX('Term investments'!$A:$A,ROW())&amp;""," "," "))</f>
        <v/>
      </c>
      <c r="B221">
        <f>TRIM(SUBSTITUTE(INDEX('Term investments'!$B:$B,ROW())&amp;""," "," "))</f>
        <v/>
      </c>
      <c r="C221">
        <f>TRIM(SUBSTITUTE(INDEX('Term investments'!$C:$C,ROW())&amp;""," "," "))</f>
        <v/>
      </c>
      <c r="D221">
        <f>IFERROR(--INDEX('Term investments'!$D:$D,ROW()),0)</f>
        <v/>
      </c>
      <c r="E221">
        <f>IFERROR(--INDEX('Term investments'!$E:$E,ROW()),0)</f>
        <v/>
      </c>
      <c r="F221">
        <f>IFERROR(--INDEX('Term investments'!$F:$F,ROW()),0)</f>
        <v/>
      </c>
      <c r="G221">
        <f>IFERROR(IF(--INDEX('Term investments'!$G:$G,ROW())&gt;=1,--INDEX('Term investments'!$G:$G,ROW())/100,--INDEX('Term investments'!$G:$G,ROW())),0)</f>
        <v/>
      </c>
      <c r="H221">
        <f>IFERROR(--INDEX('Term investments'!$H:$H,ROW()),0)</f>
        <v/>
      </c>
      <c r="I221">
        <f>IF(ISNUMBER(INDEX('Term investments'!$G:$G,ROW())),1,0)</f>
        <v/>
      </c>
      <c r="J221">
        <f>TRIM(SUBSTITUTE(INDEX('Call accounts and MMFs'!$A:$A,ROW())&amp;""," "," "))</f>
        <v/>
      </c>
      <c r="K221">
        <f>TRIM(SUBSTITUTE(INDEX('Call accounts and MMFs'!$B:$B,ROW())&amp;""," "," "))</f>
        <v/>
      </c>
      <c r="L221">
        <f>TRIM(SUBSTITUTE(INDEX('Call accounts and MMFs'!$C:$C,ROW())&amp;""," "," "))</f>
        <v/>
      </c>
      <c r="M221">
        <f>IFERROR(--INDEX('Call accounts and MMFs'!$D:$D,ROW()),0)</f>
        <v/>
      </c>
      <c r="N221">
        <f>IFERROR(IF(--INDEX('Call accounts and MMFs'!$E:$E,ROW())&gt;=1,--INDEX('Call accounts and MMFs'!$E:$E,ROW())/100,--INDEX('Call accounts and MMFs'!$E:$E,ROW())),0)</f>
        <v/>
      </c>
      <c r="O221">
        <f>IFERROR(--INDEX('Call accounts and MMFs'!$F:$F,ROW()),0)</f>
        <v/>
      </c>
      <c r="P221">
        <f>IF(ISNUMBER(INDEX('Call accounts and MMFs'!$E:$E,ROW())),1,0)</f>
        <v/>
      </c>
      <c r="Q221">
        <f>TRIM(SUBSTITUTE(INDEX('Pooled funds'!$B:$B,ROW())&amp;""," "," "))</f>
        <v/>
      </c>
      <c r="R221">
        <f>IFERROR(--INDEX('Pooled funds'!$C:$C,ROW()),0)</f>
        <v/>
      </c>
      <c r="S221">
        <f>IFERROR(--INDEX('Pooled funds'!$D:$D,ROW()),0)</f>
        <v/>
      </c>
      <c r="T221">
        <f>IFERROR(IF(--INDEX('Pooled funds'!$E:$E,ROW())&gt;=1,--INDEX('Pooled funds'!$E:$E,ROW())/100,--INDEX('Pooled funds'!$E:$E,ROW())),0)</f>
        <v/>
      </c>
      <c r="U221">
        <f>IF(ISNUMBER(INDEX('Pooled funds'!$E:$E,ROW())),1,0)</f>
        <v/>
      </c>
      <c r="V221">
        <f>TRIM(SUBSTITUTE(INDEX('Loans'!$A:$A,ROW())&amp;""," "," "))</f>
        <v/>
      </c>
      <c r="W221">
        <f>TRIM(SUBSTITUTE(INDEX('Loans'!$B:$B,ROW())&amp;""," "," "))</f>
        <v/>
      </c>
      <c r="X221">
        <f>TRIM(SUBSTITUTE(INDEX('Loans'!$C:$C,ROW())&amp;""," "," "))</f>
        <v/>
      </c>
      <c r="Y221">
        <f>IFERROR(--INDEX('Loans'!$D:$D,ROW()),0)</f>
        <v/>
      </c>
      <c r="Z221">
        <f>IFERROR(--INDEX('Loans'!$E:$E,ROW()),0)</f>
        <v/>
      </c>
      <c r="AA221">
        <f>IFERROR(--INDEX('Loans'!$F:$F,ROW()),0)</f>
        <v/>
      </c>
      <c r="AB221">
        <f>IFERROR(IF(--INDEX('Loans'!$G:$G,ROW())&gt;=1,--INDEX('Loans'!$G:$G,ROW())/100,--INDEX('Loans'!$G:$G,ROW())),0)</f>
        <v/>
      </c>
      <c r="AC221">
        <f>TRIM(SUBSTITUTE(INDEX('Loans'!$H:$H,ROW())&amp;""," "," "))</f>
        <v/>
      </c>
      <c r="AD221">
        <f>TRIM(SUBSTITUTE(INDEX('Loans'!$I:$I,ROW())&amp;""," "," "))</f>
        <v/>
      </c>
      <c r="AE221">
        <f>IFERROR(--INDEX('Loans'!$J:$J,ROW()),0)</f>
        <v/>
      </c>
      <c r="AF221">
        <f>TRIM(SUBSTITUTE(INDEX('Loans'!$K:$K,ROW())&amp;""," "," "))</f>
        <v/>
      </c>
      <c r="AG221">
        <f>IFERROR(--INDEX('Loans'!$L:$L,ROW()),0)</f>
        <v/>
      </c>
      <c r="AH221">
        <f>IF(ISNUMBER(INDEX('Loans'!$G:$G,ROW())),1,0)</f>
        <v/>
      </c>
    </row>
    <row r="222">
      <c r="A222">
        <f>TRIM(SUBSTITUTE(INDEX('Term investments'!$A:$A,ROW())&amp;""," "," "))</f>
        <v/>
      </c>
      <c r="B222">
        <f>TRIM(SUBSTITUTE(INDEX('Term investments'!$B:$B,ROW())&amp;""," "," "))</f>
        <v/>
      </c>
      <c r="C222">
        <f>TRIM(SUBSTITUTE(INDEX('Term investments'!$C:$C,ROW())&amp;""," "," "))</f>
        <v/>
      </c>
      <c r="D222">
        <f>IFERROR(--INDEX('Term investments'!$D:$D,ROW()),0)</f>
        <v/>
      </c>
      <c r="E222">
        <f>IFERROR(--INDEX('Term investments'!$E:$E,ROW()),0)</f>
        <v/>
      </c>
      <c r="F222">
        <f>IFERROR(--INDEX('Term investments'!$F:$F,ROW()),0)</f>
        <v/>
      </c>
      <c r="G222">
        <f>IFERROR(IF(--INDEX('Term investments'!$G:$G,ROW())&gt;=1,--INDEX('Term investments'!$G:$G,ROW())/100,--INDEX('Term investments'!$G:$G,ROW())),0)</f>
        <v/>
      </c>
      <c r="H222">
        <f>IFERROR(--INDEX('Term investments'!$H:$H,ROW()),0)</f>
        <v/>
      </c>
      <c r="I222">
        <f>IF(ISNUMBER(INDEX('Term investments'!$G:$G,ROW())),1,0)</f>
        <v/>
      </c>
      <c r="J222">
        <f>TRIM(SUBSTITUTE(INDEX('Call accounts and MMFs'!$A:$A,ROW())&amp;""," "," "))</f>
        <v/>
      </c>
      <c r="K222">
        <f>TRIM(SUBSTITUTE(INDEX('Call accounts and MMFs'!$B:$B,ROW())&amp;""," "," "))</f>
        <v/>
      </c>
      <c r="L222">
        <f>TRIM(SUBSTITUTE(INDEX('Call accounts and MMFs'!$C:$C,ROW())&amp;""," "," "))</f>
        <v/>
      </c>
      <c r="M222">
        <f>IFERROR(--INDEX('Call accounts and MMFs'!$D:$D,ROW()),0)</f>
        <v/>
      </c>
      <c r="N222">
        <f>IFERROR(IF(--INDEX('Call accounts and MMFs'!$E:$E,ROW())&gt;=1,--INDEX('Call accounts and MMFs'!$E:$E,ROW())/100,--INDEX('Call accounts and MMFs'!$E:$E,ROW())),0)</f>
        <v/>
      </c>
      <c r="O222">
        <f>IFERROR(--INDEX('Call accounts and MMFs'!$F:$F,ROW()),0)</f>
        <v/>
      </c>
      <c r="P222">
        <f>IF(ISNUMBER(INDEX('Call accounts and MMFs'!$E:$E,ROW())),1,0)</f>
        <v/>
      </c>
      <c r="Q222">
        <f>TRIM(SUBSTITUTE(INDEX('Pooled funds'!$B:$B,ROW())&amp;""," "," "))</f>
        <v/>
      </c>
      <c r="R222">
        <f>IFERROR(--INDEX('Pooled funds'!$C:$C,ROW()),0)</f>
        <v/>
      </c>
      <c r="S222">
        <f>IFERROR(--INDEX('Pooled funds'!$D:$D,ROW()),0)</f>
        <v/>
      </c>
      <c r="T222">
        <f>IFERROR(IF(--INDEX('Pooled funds'!$E:$E,ROW())&gt;=1,--INDEX('Pooled funds'!$E:$E,ROW())/100,--INDEX('Pooled funds'!$E:$E,ROW())),0)</f>
        <v/>
      </c>
      <c r="U222">
        <f>IF(ISNUMBER(INDEX('Pooled funds'!$E:$E,ROW())),1,0)</f>
        <v/>
      </c>
      <c r="V222">
        <f>TRIM(SUBSTITUTE(INDEX('Loans'!$A:$A,ROW())&amp;""," "," "))</f>
        <v/>
      </c>
      <c r="W222">
        <f>TRIM(SUBSTITUTE(INDEX('Loans'!$B:$B,ROW())&amp;""," "," "))</f>
        <v/>
      </c>
      <c r="X222">
        <f>TRIM(SUBSTITUTE(INDEX('Loans'!$C:$C,ROW())&amp;""," "," "))</f>
        <v/>
      </c>
      <c r="Y222">
        <f>IFERROR(--INDEX('Loans'!$D:$D,ROW()),0)</f>
        <v/>
      </c>
      <c r="Z222">
        <f>IFERROR(--INDEX('Loans'!$E:$E,ROW()),0)</f>
        <v/>
      </c>
      <c r="AA222">
        <f>IFERROR(--INDEX('Loans'!$F:$F,ROW()),0)</f>
        <v/>
      </c>
      <c r="AB222">
        <f>IFERROR(IF(--INDEX('Loans'!$G:$G,ROW())&gt;=1,--INDEX('Loans'!$G:$G,ROW())/100,--INDEX('Loans'!$G:$G,ROW())),0)</f>
        <v/>
      </c>
      <c r="AC222">
        <f>TRIM(SUBSTITUTE(INDEX('Loans'!$H:$H,ROW())&amp;""," "," "))</f>
        <v/>
      </c>
      <c r="AD222">
        <f>TRIM(SUBSTITUTE(INDEX('Loans'!$I:$I,ROW())&amp;""," "," "))</f>
        <v/>
      </c>
      <c r="AE222">
        <f>IFERROR(--INDEX('Loans'!$J:$J,ROW()),0)</f>
        <v/>
      </c>
      <c r="AF222">
        <f>TRIM(SUBSTITUTE(INDEX('Loans'!$K:$K,ROW())&amp;""," "," "))</f>
        <v/>
      </c>
      <c r="AG222">
        <f>IFERROR(--INDEX('Loans'!$L:$L,ROW()),0)</f>
        <v/>
      </c>
      <c r="AH222">
        <f>IF(ISNUMBER(INDEX('Loans'!$G:$G,ROW())),1,0)</f>
        <v/>
      </c>
    </row>
    <row r="223">
      <c r="A223">
        <f>TRIM(SUBSTITUTE(INDEX('Term investments'!$A:$A,ROW())&amp;""," "," "))</f>
        <v/>
      </c>
      <c r="B223">
        <f>TRIM(SUBSTITUTE(INDEX('Term investments'!$B:$B,ROW())&amp;""," "," "))</f>
        <v/>
      </c>
      <c r="C223">
        <f>TRIM(SUBSTITUTE(INDEX('Term investments'!$C:$C,ROW())&amp;""," "," "))</f>
        <v/>
      </c>
      <c r="D223">
        <f>IFERROR(--INDEX('Term investments'!$D:$D,ROW()),0)</f>
        <v/>
      </c>
      <c r="E223">
        <f>IFERROR(--INDEX('Term investments'!$E:$E,ROW()),0)</f>
        <v/>
      </c>
      <c r="F223">
        <f>IFERROR(--INDEX('Term investments'!$F:$F,ROW()),0)</f>
        <v/>
      </c>
      <c r="G223">
        <f>IFERROR(IF(--INDEX('Term investments'!$G:$G,ROW())&gt;=1,--INDEX('Term investments'!$G:$G,ROW())/100,--INDEX('Term investments'!$G:$G,ROW())),0)</f>
        <v/>
      </c>
      <c r="H223">
        <f>IFERROR(--INDEX('Term investments'!$H:$H,ROW()),0)</f>
        <v/>
      </c>
      <c r="I223">
        <f>IF(ISNUMBER(INDEX('Term investments'!$G:$G,ROW())),1,0)</f>
        <v/>
      </c>
      <c r="J223">
        <f>TRIM(SUBSTITUTE(INDEX('Call accounts and MMFs'!$A:$A,ROW())&amp;""," "," "))</f>
        <v/>
      </c>
      <c r="K223">
        <f>TRIM(SUBSTITUTE(INDEX('Call accounts and MMFs'!$B:$B,ROW())&amp;""," "," "))</f>
        <v/>
      </c>
      <c r="L223">
        <f>TRIM(SUBSTITUTE(INDEX('Call accounts and MMFs'!$C:$C,ROW())&amp;""," "," "))</f>
        <v/>
      </c>
      <c r="M223">
        <f>IFERROR(--INDEX('Call accounts and MMFs'!$D:$D,ROW()),0)</f>
        <v/>
      </c>
      <c r="N223">
        <f>IFERROR(IF(--INDEX('Call accounts and MMFs'!$E:$E,ROW())&gt;=1,--INDEX('Call accounts and MMFs'!$E:$E,ROW())/100,--INDEX('Call accounts and MMFs'!$E:$E,ROW())),0)</f>
        <v/>
      </c>
      <c r="O223">
        <f>IFERROR(--INDEX('Call accounts and MMFs'!$F:$F,ROW()),0)</f>
        <v/>
      </c>
      <c r="P223">
        <f>IF(ISNUMBER(INDEX('Call accounts and MMFs'!$E:$E,ROW())),1,0)</f>
        <v/>
      </c>
      <c r="Q223">
        <f>TRIM(SUBSTITUTE(INDEX('Pooled funds'!$B:$B,ROW())&amp;""," "," "))</f>
        <v/>
      </c>
      <c r="R223">
        <f>IFERROR(--INDEX('Pooled funds'!$C:$C,ROW()),0)</f>
        <v/>
      </c>
      <c r="S223">
        <f>IFERROR(--INDEX('Pooled funds'!$D:$D,ROW()),0)</f>
        <v/>
      </c>
      <c r="T223">
        <f>IFERROR(IF(--INDEX('Pooled funds'!$E:$E,ROW())&gt;=1,--INDEX('Pooled funds'!$E:$E,ROW())/100,--INDEX('Pooled funds'!$E:$E,ROW())),0)</f>
        <v/>
      </c>
      <c r="U223">
        <f>IF(ISNUMBER(INDEX('Pooled funds'!$E:$E,ROW())),1,0)</f>
        <v/>
      </c>
      <c r="V223">
        <f>TRIM(SUBSTITUTE(INDEX('Loans'!$A:$A,ROW())&amp;""," "," "))</f>
        <v/>
      </c>
      <c r="W223">
        <f>TRIM(SUBSTITUTE(INDEX('Loans'!$B:$B,ROW())&amp;""," "," "))</f>
        <v/>
      </c>
      <c r="X223">
        <f>TRIM(SUBSTITUTE(INDEX('Loans'!$C:$C,ROW())&amp;""," "," "))</f>
        <v/>
      </c>
      <c r="Y223">
        <f>IFERROR(--INDEX('Loans'!$D:$D,ROW()),0)</f>
        <v/>
      </c>
      <c r="Z223">
        <f>IFERROR(--INDEX('Loans'!$E:$E,ROW()),0)</f>
        <v/>
      </c>
      <c r="AA223">
        <f>IFERROR(--INDEX('Loans'!$F:$F,ROW()),0)</f>
        <v/>
      </c>
      <c r="AB223">
        <f>IFERROR(IF(--INDEX('Loans'!$G:$G,ROW())&gt;=1,--INDEX('Loans'!$G:$G,ROW())/100,--INDEX('Loans'!$G:$G,ROW())),0)</f>
        <v/>
      </c>
      <c r="AC223">
        <f>TRIM(SUBSTITUTE(INDEX('Loans'!$H:$H,ROW())&amp;""," "," "))</f>
        <v/>
      </c>
      <c r="AD223">
        <f>TRIM(SUBSTITUTE(INDEX('Loans'!$I:$I,ROW())&amp;""," "," "))</f>
        <v/>
      </c>
      <c r="AE223">
        <f>IFERROR(--INDEX('Loans'!$J:$J,ROW()),0)</f>
        <v/>
      </c>
      <c r="AF223">
        <f>TRIM(SUBSTITUTE(INDEX('Loans'!$K:$K,ROW())&amp;""," "," "))</f>
        <v/>
      </c>
      <c r="AG223">
        <f>IFERROR(--INDEX('Loans'!$L:$L,ROW()),0)</f>
        <v/>
      </c>
      <c r="AH223">
        <f>IF(ISNUMBER(INDEX('Loans'!$G:$G,ROW())),1,0)</f>
        <v/>
      </c>
    </row>
    <row r="224">
      <c r="A224">
        <f>TRIM(SUBSTITUTE(INDEX('Term investments'!$A:$A,ROW())&amp;""," "," "))</f>
        <v/>
      </c>
      <c r="B224">
        <f>TRIM(SUBSTITUTE(INDEX('Term investments'!$B:$B,ROW())&amp;""," "," "))</f>
        <v/>
      </c>
      <c r="C224">
        <f>TRIM(SUBSTITUTE(INDEX('Term investments'!$C:$C,ROW())&amp;""," "," "))</f>
        <v/>
      </c>
      <c r="D224">
        <f>IFERROR(--INDEX('Term investments'!$D:$D,ROW()),0)</f>
        <v/>
      </c>
      <c r="E224">
        <f>IFERROR(--INDEX('Term investments'!$E:$E,ROW()),0)</f>
        <v/>
      </c>
      <c r="F224">
        <f>IFERROR(--INDEX('Term investments'!$F:$F,ROW()),0)</f>
        <v/>
      </c>
      <c r="G224">
        <f>IFERROR(IF(--INDEX('Term investments'!$G:$G,ROW())&gt;=1,--INDEX('Term investments'!$G:$G,ROW())/100,--INDEX('Term investments'!$G:$G,ROW())),0)</f>
        <v/>
      </c>
      <c r="H224">
        <f>IFERROR(--INDEX('Term investments'!$H:$H,ROW()),0)</f>
        <v/>
      </c>
      <c r="I224">
        <f>IF(ISNUMBER(INDEX('Term investments'!$G:$G,ROW())),1,0)</f>
        <v/>
      </c>
      <c r="J224">
        <f>TRIM(SUBSTITUTE(INDEX('Call accounts and MMFs'!$A:$A,ROW())&amp;""," "," "))</f>
        <v/>
      </c>
      <c r="K224">
        <f>TRIM(SUBSTITUTE(INDEX('Call accounts and MMFs'!$B:$B,ROW())&amp;""," "," "))</f>
        <v/>
      </c>
      <c r="L224">
        <f>TRIM(SUBSTITUTE(INDEX('Call accounts and MMFs'!$C:$C,ROW())&amp;""," "," "))</f>
        <v/>
      </c>
      <c r="M224">
        <f>IFERROR(--INDEX('Call accounts and MMFs'!$D:$D,ROW()),0)</f>
        <v/>
      </c>
      <c r="N224">
        <f>IFERROR(IF(--INDEX('Call accounts and MMFs'!$E:$E,ROW())&gt;=1,--INDEX('Call accounts and MMFs'!$E:$E,ROW())/100,--INDEX('Call accounts and MMFs'!$E:$E,ROW())),0)</f>
        <v/>
      </c>
      <c r="O224">
        <f>IFERROR(--INDEX('Call accounts and MMFs'!$F:$F,ROW()),0)</f>
        <v/>
      </c>
      <c r="P224">
        <f>IF(ISNUMBER(INDEX('Call accounts and MMFs'!$E:$E,ROW())),1,0)</f>
        <v/>
      </c>
      <c r="Q224">
        <f>TRIM(SUBSTITUTE(INDEX('Pooled funds'!$B:$B,ROW())&amp;""," "," "))</f>
        <v/>
      </c>
      <c r="R224">
        <f>IFERROR(--INDEX('Pooled funds'!$C:$C,ROW()),0)</f>
        <v/>
      </c>
      <c r="S224">
        <f>IFERROR(--INDEX('Pooled funds'!$D:$D,ROW()),0)</f>
        <v/>
      </c>
      <c r="T224">
        <f>IFERROR(IF(--INDEX('Pooled funds'!$E:$E,ROW())&gt;=1,--INDEX('Pooled funds'!$E:$E,ROW())/100,--INDEX('Pooled funds'!$E:$E,ROW())),0)</f>
        <v/>
      </c>
      <c r="U224">
        <f>IF(ISNUMBER(INDEX('Pooled funds'!$E:$E,ROW())),1,0)</f>
        <v/>
      </c>
      <c r="V224">
        <f>TRIM(SUBSTITUTE(INDEX('Loans'!$A:$A,ROW())&amp;""," "," "))</f>
        <v/>
      </c>
      <c r="W224">
        <f>TRIM(SUBSTITUTE(INDEX('Loans'!$B:$B,ROW())&amp;""," "," "))</f>
        <v/>
      </c>
      <c r="X224">
        <f>TRIM(SUBSTITUTE(INDEX('Loans'!$C:$C,ROW())&amp;""," "," "))</f>
        <v/>
      </c>
      <c r="Y224">
        <f>IFERROR(--INDEX('Loans'!$D:$D,ROW()),0)</f>
        <v/>
      </c>
      <c r="Z224">
        <f>IFERROR(--INDEX('Loans'!$E:$E,ROW()),0)</f>
        <v/>
      </c>
      <c r="AA224">
        <f>IFERROR(--INDEX('Loans'!$F:$F,ROW()),0)</f>
        <v/>
      </c>
      <c r="AB224">
        <f>IFERROR(IF(--INDEX('Loans'!$G:$G,ROW())&gt;=1,--INDEX('Loans'!$G:$G,ROW())/100,--INDEX('Loans'!$G:$G,ROW())),0)</f>
        <v/>
      </c>
      <c r="AC224">
        <f>TRIM(SUBSTITUTE(INDEX('Loans'!$H:$H,ROW())&amp;""," "," "))</f>
        <v/>
      </c>
      <c r="AD224">
        <f>TRIM(SUBSTITUTE(INDEX('Loans'!$I:$I,ROW())&amp;""," "," "))</f>
        <v/>
      </c>
      <c r="AE224">
        <f>IFERROR(--INDEX('Loans'!$J:$J,ROW()),0)</f>
        <v/>
      </c>
      <c r="AF224">
        <f>TRIM(SUBSTITUTE(INDEX('Loans'!$K:$K,ROW())&amp;""," "," "))</f>
        <v/>
      </c>
      <c r="AG224">
        <f>IFERROR(--INDEX('Loans'!$L:$L,ROW()),0)</f>
        <v/>
      </c>
      <c r="AH224">
        <f>IF(ISNUMBER(INDEX('Loans'!$G:$G,ROW())),1,0)</f>
        <v/>
      </c>
    </row>
    <row r="225">
      <c r="A225">
        <f>TRIM(SUBSTITUTE(INDEX('Term investments'!$A:$A,ROW())&amp;""," "," "))</f>
        <v/>
      </c>
      <c r="B225">
        <f>TRIM(SUBSTITUTE(INDEX('Term investments'!$B:$B,ROW())&amp;""," "," "))</f>
        <v/>
      </c>
      <c r="C225">
        <f>TRIM(SUBSTITUTE(INDEX('Term investments'!$C:$C,ROW())&amp;""," "," "))</f>
        <v/>
      </c>
      <c r="D225">
        <f>IFERROR(--INDEX('Term investments'!$D:$D,ROW()),0)</f>
        <v/>
      </c>
      <c r="E225">
        <f>IFERROR(--INDEX('Term investments'!$E:$E,ROW()),0)</f>
        <v/>
      </c>
      <c r="F225">
        <f>IFERROR(--INDEX('Term investments'!$F:$F,ROW()),0)</f>
        <v/>
      </c>
      <c r="G225">
        <f>IFERROR(IF(--INDEX('Term investments'!$G:$G,ROW())&gt;=1,--INDEX('Term investments'!$G:$G,ROW())/100,--INDEX('Term investments'!$G:$G,ROW())),0)</f>
        <v/>
      </c>
      <c r="H225">
        <f>IFERROR(--INDEX('Term investments'!$H:$H,ROW()),0)</f>
        <v/>
      </c>
      <c r="I225">
        <f>IF(ISNUMBER(INDEX('Term investments'!$G:$G,ROW())),1,0)</f>
        <v/>
      </c>
      <c r="J225">
        <f>TRIM(SUBSTITUTE(INDEX('Call accounts and MMFs'!$A:$A,ROW())&amp;""," "," "))</f>
        <v/>
      </c>
      <c r="K225">
        <f>TRIM(SUBSTITUTE(INDEX('Call accounts and MMFs'!$B:$B,ROW())&amp;""," "," "))</f>
        <v/>
      </c>
      <c r="L225">
        <f>TRIM(SUBSTITUTE(INDEX('Call accounts and MMFs'!$C:$C,ROW())&amp;""," "," "))</f>
        <v/>
      </c>
      <c r="M225">
        <f>IFERROR(--INDEX('Call accounts and MMFs'!$D:$D,ROW()),0)</f>
        <v/>
      </c>
      <c r="N225">
        <f>IFERROR(IF(--INDEX('Call accounts and MMFs'!$E:$E,ROW())&gt;=1,--INDEX('Call accounts and MMFs'!$E:$E,ROW())/100,--INDEX('Call accounts and MMFs'!$E:$E,ROW())),0)</f>
        <v/>
      </c>
      <c r="O225">
        <f>IFERROR(--INDEX('Call accounts and MMFs'!$F:$F,ROW()),0)</f>
        <v/>
      </c>
      <c r="P225">
        <f>IF(ISNUMBER(INDEX('Call accounts and MMFs'!$E:$E,ROW())),1,0)</f>
        <v/>
      </c>
      <c r="Q225">
        <f>TRIM(SUBSTITUTE(INDEX('Pooled funds'!$B:$B,ROW())&amp;""," "," "))</f>
        <v/>
      </c>
      <c r="R225">
        <f>IFERROR(--INDEX('Pooled funds'!$C:$C,ROW()),0)</f>
        <v/>
      </c>
      <c r="S225">
        <f>IFERROR(--INDEX('Pooled funds'!$D:$D,ROW()),0)</f>
        <v/>
      </c>
      <c r="T225">
        <f>IFERROR(IF(--INDEX('Pooled funds'!$E:$E,ROW())&gt;=1,--INDEX('Pooled funds'!$E:$E,ROW())/100,--INDEX('Pooled funds'!$E:$E,ROW())),0)</f>
        <v/>
      </c>
      <c r="U225">
        <f>IF(ISNUMBER(INDEX('Pooled funds'!$E:$E,ROW())),1,0)</f>
        <v/>
      </c>
      <c r="V225">
        <f>TRIM(SUBSTITUTE(INDEX('Loans'!$A:$A,ROW())&amp;""," "," "))</f>
        <v/>
      </c>
      <c r="W225">
        <f>TRIM(SUBSTITUTE(INDEX('Loans'!$B:$B,ROW())&amp;""," "," "))</f>
        <v/>
      </c>
      <c r="X225">
        <f>TRIM(SUBSTITUTE(INDEX('Loans'!$C:$C,ROW())&amp;""," "," "))</f>
        <v/>
      </c>
      <c r="Y225">
        <f>IFERROR(--INDEX('Loans'!$D:$D,ROW()),0)</f>
        <v/>
      </c>
      <c r="Z225">
        <f>IFERROR(--INDEX('Loans'!$E:$E,ROW()),0)</f>
        <v/>
      </c>
      <c r="AA225">
        <f>IFERROR(--INDEX('Loans'!$F:$F,ROW()),0)</f>
        <v/>
      </c>
      <c r="AB225">
        <f>IFERROR(IF(--INDEX('Loans'!$G:$G,ROW())&gt;=1,--INDEX('Loans'!$G:$G,ROW())/100,--INDEX('Loans'!$G:$G,ROW())),0)</f>
        <v/>
      </c>
      <c r="AC225">
        <f>TRIM(SUBSTITUTE(INDEX('Loans'!$H:$H,ROW())&amp;""," "," "))</f>
        <v/>
      </c>
      <c r="AD225">
        <f>TRIM(SUBSTITUTE(INDEX('Loans'!$I:$I,ROW())&amp;""," "," "))</f>
        <v/>
      </c>
      <c r="AE225">
        <f>IFERROR(--INDEX('Loans'!$J:$J,ROW()),0)</f>
        <v/>
      </c>
      <c r="AF225">
        <f>TRIM(SUBSTITUTE(INDEX('Loans'!$K:$K,ROW())&amp;""," "," "))</f>
        <v/>
      </c>
      <c r="AG225">
        <f>IFERROR(--INDEX('Loans'!$L:$L,ROW()),0)</f>
        <v/>
      </c>
      <c r="AH225">
        <f>IF(ISNUMBER(INDEX('Loans'!$G:$G,ROW())),1,0)</f>
        <v/>
      </c>
    </row>
    <row r="226">
      <c r="A226">
        <f>TRIM(SUBSTITUTE(INDEX('Term investments'!$A:$A,ROW())&amp;""," "," "))</f>
        <v/>
      </c>
      <c r="B226">
        <f>TRIM(SUBSTITUTE(INDEX('Term investments'!$B:$B,ROW())&amp;""," "," "))</f>
        <v/>
      </c>
      <c r="C226">
        <f>TRIM(SUBSTITUTE(INDEX('Term investments'!$C:$C,ROW())&amp;""," "," "))</f>
        <v/>
      </c>
      <c r="D226">
        <f>IFERROR(--INDEX('Term investments'!$D:$D,ROW()),0)</f>
        <v/>
      </c>
      <c r="E226">
        <f>IFERROR(--INDEX('Term investments'!$E:$E,ROW()),0)</f>
        <v/>
      </c>
      <c r="F226">
        <f>IFERROR(--INDEX('Term investments'!$F:$F,ROW()),0)</f>
        <v/>
      </c>
      <c r="G226">
        <f>IFERROR(IF(--INDEX('Term investments'!$G:$G,ROW())&gt;=1,--INDEX('Term investments'!$G:$G,ROW())/100,--INDEX('Term investments'!$G:$G,ROW())),0)</f>
        <v/>
      </c>
      <c r="H226">
        <f>IFERROR(--INDEX('Term investments'!$H:$H,ROW()),0)</f>
        <v/>
      </c>
      <c r="I226">
        <f>IF(ISNUMBER(INDEX('Term investments'!$G:$G,ROW())),1,0)</f>
        <v/>
      </c>
      <c r="J226">
        <f>TRIM(SUBSTITUTE(INDEX('Call accounts and MMFs'!$A:$A,ROW())&amp;""," "," "))</f>
        <v/>
      </c>
      <c r="K226">
        <f>TRIM(SUBSTITUTE(INDEX('Call accounts and MMFs'!$B:$B,ROW())&amp;""," "," "))</f>
        <v/>
      </c>
      <c r="L226">
        <f>TRIM(SUBSTITUTE(INDEX('Call accounts and MMFs'!$C:$C,ROW())&amp;""," "," "))</f>
        <v/>
      </c>
      <c r="M226">
        <f>IFERROR(--INDEX('Call accounts and MMFs'!$D:$D,ROW()),0)</f>
        <v/>
      </c>
      <c r="N226">
        <f>IFERROR(IF(--INDEX('Call accounts and MMFs'!$E:$E,ROW())&gt;=1,--INDEX('Call accounts and MMFs'!$E:$E,ROW())/100,--INDEX('Call accounts and MMFs'!$E:$E,ROW())),0)</f>
        <v/>
      </c>
      <c r="O226">
        <f>IFERROR(--INDEX('Call accounts and MMFs'!$F:$F,ROW()),0)</f>
        <v/>
      </c>
      <c r="P226">
        <f>IF(ISNUMBER(INDEX('Call accounts and MMFs'!$E:$E,ROW())),1,0)</f>
        <v/>
      </c>
      <c r="Q226">
        <f>TRIM(SUBSTITUTE(INDEX('Pooled funds'!$B:$B,ROW())&amp;""," "," "))</f>
        <v/>
      </c>
      <c r="R226">
        <f>IFERROR(--INDEX('Pooled funds'!$C:$C,ROW()),0)</f>
        <v/>
      </c>
      <c r="S226">
        <f>IFERROR(--INDEX('Pooled funds'!$D:$D,ROW()),0)</f>
        <v/>
      </c>
      <c r="T226">
        <f>IFERROR(IF(--INDEX('Pooled funds'!$E:$E,ROW())&gt;=1,--INDEX('Pooled funds'!$E:$E,ROW())/100,--INDEX('Pooled funds'!$E:$E,ROW())),0)</f>
        <v/>
      </c>
      <c r="U226">
        <f>IF(ISNUMBER(INDEX('Pooled funds'!$E:$E,ROW())),1,0)</f>
        <v/>
      </c>
      <c r="V226">
        <f>TRIM(SUBSTITUTE(INDEX('Loans'!$A:$A,ROW())&amp;""," "," "))</f>
        <v/>
      </c>
      <c r="W226">
        <f>TRIM(SUBSTITUTE(INDEX('Loans'!$B:$B,ROW())&amp;""," "," "))</f>
        <v/>
      </c>
      <c r="X226">
        <f>TRIM(SUBSTITUTE(INDEX('Loans'!$C:$C,ROW())&amp;""," "," "))</f>
        <v/>
      </c>
      <c r="Y226">
        <f>IFERROR(--INDEX('Loans'!$D:$D,ROW()),0)</f>
        <v/>
      </c>
      <c r="Z226">
        <f>IFERROR(--INDEX('Loans'!$E:$E,ROW()),0)</f>
        <v/>
      </c>
      <c r="AA226">
        <f>IFERROR(--INDEX('Loans'!$F:$F,ROW()),0)</f>
        <v/>
      </c>
      <c r="AB226">
        <f>IFERROR(IF(--INDEX('Loans'!$G:$G,ROW())&gt;=1,--INDEX('Loans'!$G:$G,ROW())/100,--INDEX('Loans'!$G:$G,ROW())),0)</f>
        <v/>
      </c>
      <c r="AC226">
        <f>TRIM(SUBSTITUTE(INDEX('Loans'!$H:$H,ROW())&amp;""," "," "))</f>
        <v/>
      </c>
      <c r="AD226">
        <f>TRIM(SUBSTITUTE(INDEX('Loans'!$I:$I,ROW())&amp;""," "," "))</f>
        <v/>
      </c>
      <c r="AE226">
        <f>IFERROR(--INDEX('Loans'!$J:$J,ROW()),0)</f>
        <v/>
      </c>
      <c r="AF226">
        <f>TRIM(SUBSTITUTE(INDEX('Loans'!$K:$K,ROW())&amp;""," "," "))</f>
        <v/>
      </c>
      <c r="AG226">
        <f>IFERROR(--INDEX('Loans'!$L:$L,ROW()),0)</f>
        <v/>
      </c>
      <c r="AH226">
        <f>IF(ISNUMBER(INDEX('Loans'!$G:$G,ROW())),1,0)</f>
        <v/>
      </c>
    </row>
    <row r="227">
      <c r="A227">
        <f>TRIM(SUBSTITUTE(INDEX('Term investments'!$A:$A,ROW())&amp;""," "," "))</f>
        <v/>
      </c>
      <c r="B227">
        <f>TRIM(SUBSTITUTE(INDEX('Term investments'!$B:$B,ROW())&amp;""," "," "))</f>
        <v/>
      </c>
      <c r="C227">
        <f>TRIM(SUBSTITUTE(INDEX('Term investments'!$C:$C,ROW())&amp;""," "," "))</f>
        <v/>
      </c>
      <c r="D227">
        <f>IFERROR(--INDEX('Term investments'!$D:$D,ROW()),0)</f>
        <v/>
      </c>
      <c r="E227">
        <f>IFERROR(--INDEX('Term investments'!$E:$E,ROW()),0)</f>
        <v/>
      </c>
      <c r="F227">
        <f>IFERROR(--INDEX('Term investments'!$F:$F,ROW()),0)</f>
        <v/>
      </c>
      <c r="G227">
        <f>IFERROR(IF(--INDEX('Term investments'!$G:$G,ROW())&gt;=1,--INDEX('Term investments'!$G:$G,ROW())/100,--INDEX('Term investments'!$G:$G,ROW())),0)</f>
        <v/>
      </c>
      <c r="H227">
        <f>IFERROR(--INDEX('Term investments'!$H:$H,ROW()),0)</f>
        <v/>
      </c>
      <c r="I227">
        <f>IF(ISNUMBER(INDEX('Term investments'!$G:$G,ROW())),1,0)</f>
        <v/>
      </c>
      <c r="J227">
        <f>TRIM(SUBSTITUTE(INDEX('Call accounts and MMFs'!$A:$A,ROW())&amp;""," "," "))</f>
        <v/>
      </c>
      <c r="K227">
        <f>TRIM(SUBSTITUTE(INDEX('Call accounts and MMFs'!$B:$B,ROW())&amp;""," "," "))</f>
        <v/>
      </c>
      <c r="L227">
        <f>TRIM(SUBSTITUTE(INDEX('Call accounts and MMFs'!$C:$C,ROW())&amp;""," "," "))</f>
        <v/>
      </c>
      <c r="M227">
        <f>IFERROR(--INDEX('Call accounts and MMFs'!$D:$D,ROW()),0)</f>
        <v/>
      </c>
      <c r="N227">
        <f>IFERROR(IF(--INDEX('Call accounts and MMFs'!$E:$E,ROW())&gt;=1,--INDEX('Call accounts and MMFs'!$E:$E,ROW())/100,--INDEX('Call accounts and MMFs'!$E:$E,ROW())),0)</f>
        <v/>
      </c>
      <c r="O227">
        <f>IFERROR(--INDEX('Call accounts and MMFs'!$F:$F,ROW()),0)</f>
        <v/>
      </c>
      <c r="P227">
        <f>IF(ISNUMBER(INDEX('Call accounts and MMFs'!$E:$E,ROW())),1,0)</f>
        <v/>
      </c>
      <c r="Q227">
        <f>TRIM(SUBSTITUTE(INDEX('Pooled funds'!$B:$B,ROW())&amp;""," "," "))</f>
        <v/>
      </c>
      <c r="R227">
        <f>IFERROR(--INDEX('Pooled funds'!$C:$C,ROW()),0)</f>
        <v/>
      </c>
      <c r="S227">
        <f>IFERROR(--INDEX('Pooled funds'!$D:$D,ROW()),0)</f>
        <v/>
      </c>
      <c r="T227">
        <f>IFERROR(IF(--INDEX('Pooled funds'!$E:$E,ROW())&gt;=1,--INDEX('Pooled funds'!$E:$E,ROW())/100,--INDEX('Pooled funds'!$E:$E,ROW())),0)</f>
        <v/>
      </c>
      <c r="U227">
        <f>IF(ISNUMBER(INDEX('Pooled funds'!$E:$E,ROW())),1,0)</f>
        <v/>
      </c>
      <c r="V227">
        <f>TRIM(SUBSTITUTE(INDEX('Loans'!$A:$A,ROW())&amp;""," "," "))</f>
        <v/>
      </c>
      <c r="W227">
        <f>TRIM(SUBSTITUTE(INDEX('Loans'!$B:$B,ROW())&amp;""," "," "))</f>
        <v/>
      </c>
      <c r="X227">
        <f>TRIM(SUBSTITUTE(INDEX('Loans'!$C:$C,ROW())&amp;""," "," "))</f>
        <v/>
      </c>
      <c r="Y227">
        <f>IFERROR(--INDEX('Loans'!$D:$D,ROW()),0)</f>
        <v/>
      </c>
      <c r="Z227">
        <f>IFERROR(--INDEX('Loans'!$E:$E,ROW()),0)</f>
        <v/>
      </c>
      <c r="AA227">
        <f>IFERROR(--INDEX('Loans'!$F:$F,ROW()),0)</f>
        <v/>
      </c>
      <c r="AB227">
        <f>IFERROR(IF(--INDEX('Loans'!$G:$G,ROW())&gt;=1,--INDEX('Loans'!$G:$G,ROW())/100,--INDEX('Loans'!$G:$G,ROW())),0)</f>
        <v/>
      </c>
      <c r="AC227">
        <f>TRIM(SUBSTITUTE(INDEX('Loans'!$H:$H,ROW())&amp;""," "," "))</f>
        <v/>
      </c>
      <c r="AD227">
        <f>TRIM(SUBSTITUTE(INDEX('Loans'!$I:$I,ROW())&amp;""," "," "))</f>
        <v/>
      </c>
      <c r="AE227">
        <f>IFERROR(--INDEX('Loans'!$J:$J,ROW()),0)</f>
        <v/>
      </c>
      <c r="AF227">
        <f>TRIM(SUBSTITUTE(INDEX('Loans'!$K:$K,ROW())&amp;""," "," "))</f>
        <v/>
      </c>
      <c r="AG227">
        <f>IFERROR(--INDEX('Loans'!$L:$L,ROW()),0)</f>
        <v/>
      </c>
      <c r="AH227">
        <f>IF(ISNUMBER(INDEX('Loans'!$G:$G,ROW())),1,0)</f>
        <v/>
      </c>
    </row>
    <row r="228">
      <c r="A228">
        <f>TRIM(SUBSTITUTE(INDEX('Term investments'!$A:$A,ROW())&amp;""," "," "))</f>
        <v/>
      </c>
      <c r="B228">
        <f>TRIM(SUBSTITUTE(INDEX('Term investments'!$B:$B,ROW())&amp;""," "," "))</f>
        <v/>
      </c>
      <c r="C228">
        <f>TRIM(SUBSTITUTE(INDEX('Term investments'!$C:$C,ROW())&amp;""," "," "))</f>
        <v/>
      </c>
      <c r="D228">
        <f>IFERROR(--INDEX('Term investments'!$D:$D,ROW()),0)</f>
        <v/>
      </c>
      <c r="E228">
        <f>IFERROR(--INDEX('Term investments'!$E:$E,ROW()),0)</f>
        <v/>
      </c>
      <c r="F228">
        <f>IFERROR(--INDEX('Term investments'!$F:$F,ROW()),0)</f>
        <v/>
      </c>
      <c r="G228">
        <f>IFERROR(IF(--INDEX('Term investments'!$G:$G,ROW())&gt;=1,--INDEX('Term investments'!$G:$G,ROW())/100,--INDEX('Term investments'!$G:$G,ROW())),0)</f>
        <v/>
      </c>
      <c r="H228">
        <f>IFERROR(--INDEX('Term investments'!$H:$H,ROW()),0)</f>
        <v/>
      </c>
      <c r="I228">
        <f>IF(ISNUMBER(INDEX('Term investments'!$G:$G,ROW())),1,0)</f>
        <v/>
      </c>
      <c r="J228">
        <f>TRIM(SUBSTITUTE(INDEX('Call accounts and MMFs'!$A:$A,ROW())&amp;""," "," "))</f>
        <v/>
      </c>
      <c r="K228">
        <f>TRIM(SUBSTITUTE(INDEX('Call accounts and MMFs'!$B:$B,ROW())&amp;""," "," "))</f>
        <v/>
      </c>
      <c r="L228">
        <f>TRIM(SUBSTITUTE(INDEX('Call accounts and MMFs'!$C:$C,ROW())&amp;""," "," "))</f>
        <v/>
      </c>
      <c r="M228">
        <f>IFERROR(--INDEX('Call accounts and MMFs'!$D:$D,ROW()),0)</f>
        <v/>
      </c>
      <c r="N228">
        <f>IFERROR(IF(--INDEX('Call accounts and MMFs'!$E:$E,ROW())&gt;=1,--INDEX('Call accounts and MMFs'!$E:$E,ROW())/100,--INDEX('Call accounts and MMFs'!$E:$E,ROW())),0)</f>
        <v/>
      </c>
      <c r="O228">
        <f>IFERROR(--INDEX('Call accounts and MMFs'!$F:$F,ROW()),0)</f>
        <v/>
      </c>
      <c r="P228">
        <f>IF(ISNUMBER(INDEX('Call accounts and MMFs'!$E:$E,ROW())),1,0)</f>
        <v/>
      </c>
      <c r="Q228">
        <f>TRIM(SUBSTITUTE(INDEX('Pooled funds'!$B:$B,ROW())&amp;""," "," "))</f>
        <v/>
      </c>
      <c r="R228">
        <f>IFERROR(--INDEX('Pooled funds'!$C:$C,ROW()),0)</f>
        <v/>
      </c>
      <c r="S228">
        <f>IFERROR(--INDEX('Pooled funds'!$D:$D,ROW()),0)</f>
        <v/>
      </c>
      <c r="T228">
        <f>IFERROR(IF(--INDEX('Pooled funds'!$E:$E,ROW())&gt;=1,--INDEX('Pooled funds'!$E:$E,ROW())/100,--INDEX('Pooled funds'!$E:$E,ROW())),0)</f>
        <v/>
      </c>
      <c r="U228">
        <f>IF(ISNUMBER(INDEX('Pooled funds'!$E:$E,ROW())),1,0)</f>
        <v/>
      </c>
      <c r="V228">
        <f>TRIM(SUBSTITUTE(INDEX('Loans'!$A:$A,ROW())&amp;""," "," "))</f>
        <v/>
      </c>
      <c r="W228">
        <f>TRIM(SUBSTITUTE(INDEX('Loans'!$B:$B,ROW())&amp;""," "," "))</f>
        <v/>
      </c>
      <c r="X228">
        <f>TRIM(SUBSTITUTE(INDEX('Loans'!$C:$C,ROW())&amp;""," "," "))</f>
        <v/>
      </c>
      <c r="Y228">
        <f>IFERROR(--INDEX('Loans'!$D:$D,ROW()),0)</f>
        <v/>
      </c>
      <c r="Z228">
        <f>IFERROR(--INDEX('Loans'!$E:$E,ROW()),0)</f>
        <v/>
      </c>
      <c r="AA228">
        <f>IFERROR(--INDEX('Loans'!$F:$F,ROW()),0)</f>
        <v/>
      </c>
      <c r="AB228">
        <f>IFERROR(IF(--INDEX('Loans'!$G:$G,ROW())&gt;=1,--INDEX('Loans'!$G:$G,ROW())/100,--INDEX('Loans'!$G:$G,ROW())),0)</f>
        <v/>
      </c>
      <c r="AC228">
        <f>TRIM(SUBSTITUTE(INDEX('Loans'!$H:$H,ROW())&amp;""," "," "))</f>
        <v/>
      </c>
      <c r="AD228">
        <f>TRIM(SUBSTITUTE(INDEX('Loans'!$I:$I,ROW())&amp;""," "," "))</f>
        <v/>
      </c>
      <c r="AE228">
        <f>IFERROR(--INDEX('Loans'!$J:$J,ROW()),0)</f>
        <v/>
      </c>
      <c r="AF228">
        <f>TRIM(SUBSTITUTE(INDEX('Loans'!$K:$K,ROW())&amp;""," "," "))</f>
        <v/>
      </c>
      <c r="AG228">
        <f>IFERROR(--INDEX('Loans'!$L:$L,ROW()),0)</f>
        <v/>
      </c>
      <c r="AH228">
        <f>IF(ISNUMBER(INDEX('Loans'!$G:$G,ROW())),1,0)</f>
        <v/>
      </c>
    </row>
    <row r="229">
      <c r="A229">
        <f>TRIM(SUBSTITUTE(INDEX('Term investments'!$A:$A,ROW())&amp;""," "," "))</f>
        <v/>
      </c>
      <c r="B229">
        <f>TRIM(SUBSTITUTE(INDEX('Term investments'!$B:$B,ROW())&amp;""," "," "))</f>
        <v/>
      </c>
      <c r="C229">
        <f>TRIM(SUBSTITUTE(INDEX('Term investments'!$C:$C,ROW())&amp;""," "," "))</f>
        <v/>
      </c>
      <c r="D229">
        <f>IFERROR(--INDEX('Term investments'!$D:$D,ROW()),0)</f>
        <v/>
      </c>
      <c r="E229">
        <f>IFERROR(--INDEX('Term investments'!$E:$E,ROW()),0)</f>
        <v/>
      </c>
      <c r="F229">
        <f>IFERROR(--INDEX('Term investments'!$F:$F,ROW()),0)</f>
        <v/>
      </c>
      <c r="G229">
        <f>IFERROR(IF(--INDEX('Term investments'!$G:$G,ROW())&gt;=1,--INDEX('Term investments'!$G:$G,ROW())/100,--INDEX('Term investments'!$G:$G,ROW())),0)</f>
        <v/>
      </c>
      <c r="H229">
        <f>IFERROR(--INDEX('Term investments'!$H:$H,ROW()),0)</f>
        <v/>
      </c>
      <c r="I229">
        <f>IF(ISNUMBER(INDEX('Term investments'!$G:$G,ROW())),1,0)</f>
        <v/>
      </c>
      <c r="J229">
        <f>TRIM(SUBSTITUTE(INDEX('Call accounts and MMFs'!$A:$A,ROW())&amp;""," "," "))</f>
        <v/>
      </c>
      <c r="K229">
        <f>TRIM(SUBSTITUTE(INDEX('Call accounts and MMFs'!$B:$B,ROW())&amp;""," "," "))</f>
        <v/>
      </c>
      <c r="L229">
        <f>TRIM(SUBSTITUTE(INDEX('Call accounts and MMFs'!$C:$C,ROW())&amp;""," "," "))</f>
        <v/>
      </c>
      <c r="M229">
        <f>IFERROR(--INDEX('Call accounts and MMFs'!$D:$D,ROW()),0)</f>
        <v/>
      </c>
      <c r="N229">
        <f>IFERROR(IF(--INDEX('Call accounts and MMFs'!$E:$E,ROW())&gt;=1,--INDEX('Call accounts and MMFs'!$E:$E,ROW())/100,--INDEX('Call accounts and MMFs'!$E:$E,ROW())),0)</f>
        <v/>
      </c>
      <c r="O229">
        <f>IFERROR(--INDEX('Call accounts and MMFs'!$F:$F,ROW()),0)</f>
        <v/>
      </c>
      <c r="P229">
        <f>IF(ISNUMBER(INDEX('Call accounts and MMFs'!$E:$E,ROW())),1,0)</f>
        <v/>
      </c>
      <c r="Q229">
        <f>TRIM(SUBSTITUTE(INDEX('Pooled funds'!$B:$B,ROW())&amp;""," "," "))</f>
        <v/>
      </c>
      <c r="R229">
        <f>IFERROR(--INDEX('Pooled funds'!$C:$C,ROW()),0)</f>
        <v/>
      </c>
      <c r="S229">
        <f>IFERROR(--INDEX('Pooled funds'!$D:$D,ROW()),0)</f>
        <v/>
      </c>
      <c r="T229">
        <f>IFERROR(IF(--INDEX('Pooled funds'!$E:$E,ROW())&gt;=1,--INDEX('Pooled funds'!$E:$E,ROW())/100,--INDEX('Pooled funds'!$E:$E,ROW())),0)</f>
        <v/>
      </c>
      <c r="U229">
        <f>IF(ISNUMBER(INDEX('Pooled funds'!$E:$E,ROW())),1,0)</f>
        <v/>
      </c>
      <c r="V229">
        <f>TRIM(SUBSTITUTE(INDEX('Loans'!$A:$A,ROW())&amp;""," "," "))</f>
        <v/>
      </c>
      <c r="W229">
        <f>TRIM(SUBSTITUTE(INDEX('Loans'!$B:$B,ROW())&amp;""," "," "))</f>
        <v/>
      </c>
      <c r="X229">
        <f>TRIM(SUBSTITUTE(INDEX('Loans'!$C:$C,ROW())&amp;""," "," "))</f>
        <v/>
      </c>
      <c r="Y229">
        <f>IFERROR(--INDEX('Loans'!$D:$D,ROW()),0)</f>
        <v/>
      </c>
      <c r="Z229">
        <f>IFERROR(--INDEX('Loans'!$E:$E,ROW()),0)</f>
        <v/>
      </c>
      <c r="AA229">
        <f>IFERROR(--INDEX('Loans'!$F:$F,ROW()),0)</f>
        <v/>
      </c>
      <c r="AB229">
        <f>IFERROR(IF(--INDEX('Loans'!$G:$G,ROW())&gt;=1,--INDEX('Loans'!$G:$G,ROW())/100,--INDEX('Loans'!$G:$G,ROW())),0)</f>
        <v/>
      </c>
      <c r="AC229">
        <f>TRIM(SUBSTITUTE(INDEX('Loans'!$H:$H,ROW())&amp;""," "," "))</f>
        <v/>
      </c>
      <c r="AD229">
        <f>TRIM(SUBSTITUTE(INDEX('Loans'!$I:$I,ROW())&amp;""," "," "))</f>
        <v/>
      </c>
      <c r="AE229">
        <f>IFERROR(--INDEX('Loans'!$J:$J,ROW()),0)</f>
        <v/>
      </c>
      <c r="AF229">
        <f>TRIM(SUBSTITUTE(INDEX('Loans'!$K:$K,ROW())&amp;""," "," "))</f>
        <v/>
      </c>
      <c r="AG229">
        <f>IFERROR(--INDEX('Loans'!$L:$L,ROW()),0)</f>
        <v/>
      </c>
      <c r="AH229">
        <f>IF(ISNUMBER(INDEX('Loans'!$G:$G,ROW())),1,0)</f>
        <v/>
      </c>
    </row>
    <row r="230">
      <c r="A230">
        <f>TRIM(SUBSTITUTE(INDEX('Term investments'!$A:$A,ROW())&amp;""," "," "))</f>
        <v/>
      </c>
      <c r="B230">
        <f>TRIM(SUBSTITUTE(INDEX('Term investments'!$B:$B,ROW())&amp;""," "," "))</f>
        <v/>
      </c>
      <c r="C230">
        <f>TRIM(SUBSTITUTE(INDEX('Term investments'!$C:$C,ROW())&amp;""," "," "))</f>
        <v/>
      </c>
      <c r="D230">
        <f>IFERROR(--INDEX('Term investments'!$D:$D,ROW()),0)</f>
        <v/>
      </c>
      <c r="E230">
        <f>IFERROR(--INDEX('Term investments'!$E:$E,ROW()),0)</f>
        <v/>
      </c>
      <c r="F230">
        <f>IFERROR(--INDEX('Term investments'!$F:$F,ROW()),0)</f>
        <v/>
      </c>
      <c r="G230">
        <f>IFERROR(IF(--INDEX('Term investments'!$G:$G,ROW())&gt;=1,--INDEX('Term investments'!$G:$G,ROW())/100,--INDEX('Term investments'!$G:$G,ROW())),0)</f>
        <v/>
      </c>
      <c r="H230">
        <f>IFERROR(--INDEX('Term investments'!$H:$H,ROW()),0)</f>
        <v/>
      </c>
      <c r="I230">
        <f>IF(ISNUMBER(INDEX('Term investments'!$G:$G,ROW())),1,0)</f>
        <v/>
      </c>
      <c r="J230">
        <f>TRIM(SUBSTITUTE(INDEX('Call accounts and MMFs'!$A:$A,ROW())&amp;""," "," "))</f>
        <v/>
      </c>
      <c r="K230">
        <f>TRIM(SUBSTITUTE(INDEX('Call accounts and MMFs'!$B:$B,ROW())&amp;""," "," "))</f>
        <v/>
      </c>
      <c r="L230">
        <f>TRIM(SUBSTITUTE(INDEX('Call accounts and MMFs'!$C:$C,ROW())&amp;""," "," "))</f>
        <v/>
      </c>
      <c r="M230">
        <f>IFERROR(--INDEX('Call accounts and MMFs'!$D:$D,ROW()),0)</f>
        <v/>
      </c>
      <c r="N230">
        <f>IFERROR(IF(--INDEX('Call accounts and MMFs'!$E:$E,ROW())&gt;=1,--INDEX('Call accounts and MMFs'!$E:$E,ROW())/100,--INDEX('Call accounts and MMFs'!$E:$E,ROW())),0)</f>
        <v/>
      </c>
      <c r="O230">
        <f>IFERROR(--INDEX('Call accounts and MMFs'!$F:$F,ROW()),0)</f>
        <v/>
      </c>
      <c r="P230">
        <f>IF(ISNUMBER(INDEX('Call accounts and MMFs'!$E:$E,ROW())),1,0)</f>
        <v/>
      </c>
      <c r="Q230">
        <f>TRIM(SUBSTITUTE(INDEX('Pooled funds'!$B:$B,ROW())&amp;""," "," "))</f>
        <v/>
      </c>
      <c r="R230">
        <f>IFERROR(--INDEX('Pooled funds'!$C:$C,ROW()),0)</f>
        <v/>
      </c>
      <c r="S230">
        <f>IFERROR(--INDEX('Pooled funds'!$D:$D,ROW()),0)</f>
        <v/>
      </c>
      <c r="T230">
        <f>IFERROR(IF(--INDEX('Pooled funds'!$E:$E,ROW())&gt;=1,--INDEX('Pooled funds'!$E:$E,ROW())/100,--INDEX('Pooled funds'!$E:$E,ROW())),0)</f>
        <v/>
      </c>
      <c r="U230">
        <f>IF(ISNUMBER(INDEX('Pooled funds'!$E:$E,ROW())),1,0)</f>
        <v/>
      </c>
      <c r="V230">
        <f>TRIM(SUBSTITUTE(INDEX('Loans'!$A:$A,ROW())&amp;""," "," "))</f>
        <v/>
      </c>
      <c r="W230">
        <f>TRIM(SUBSTITUTE(INDEX('Loans'!$B:$B,ROW())&amp;""," "," "))</f>
        <v/>
      </c>
      <c r="X230">
        <f>TRIM(SUBSTITUTE(INDEX('Loans'!$C:$C,ROW())&amp;""," "," "))</f>
        <v/>
      </c>
      <c r="Y230">
        <f>IFERROR(--INDEX('Loans'!$D:$D,ROW()),0)</f>
        <v/>
      </c>
      <c r="Z230">
        <f>IFERROR(--INDEX('Loans'!$E:$E,ROW()),0)</f>
        <v/>
      </c>
      <c r="AA230">
        <f>IFERROR(--INDEX('Loans'!$F:$F,ROW()),0)</f>
        <v/>
      </c>
      <c r="AB230">
        <f>IFERROR(IF(--INDEX('Loans'!$G:$G,ROW())&gt;=1,--INDEX('Loans'!$G:$G,ROW())/100,--INDEX('Loans'!$G:$G,ROW())),0)</f>
        <v/>
      </c>
      <c r="AC230">
        <f>TRIM(SUBSTITUTE(INDEX('Loans'!$H:$H,ROW())&amp;""," "," "))</f>
        <v/>
      </c>
      <c r="AD230">
        <f>TRIM(SUBSTITUTE(INDEX('Loans'!$I:$I,ROW())&amp;""," "," "))</f>
        <v/>
      </c>
      <c r="AE230">
        <f>IFERROR(--INDEX('Loans'!$J:$J,ROW()),0)</f>
        <v/>
      </c>
      <c r="AF230">
        <f>TRIM(SUBSTITUTE(INDEX('Loans'!$K:$K,ROW())&amp;""," "," "))</f>
        <v/>
      </c>
      <c r="AG230">
        <f>IFERROR(--INDEX('Loans'!$L:$L,ROW()),0)</f>
        <v/>
      </c>
      <c r="AH230">
        <f>IF(ISNUMBER(INDEX('Loans'!$G:$G,ROW())),1,0)</f>
        <v/>
      </c>
    </row>
    <row r="231">
      <c r="A231">
        <f>TRIM(SUBSTITUTE(INDEX('Term investments'!$A:$A,ROW())&amp;""," "," "))</f>
        <v/>
      </c>
      <c r="B231">
        <f>TRIM(SUBSTITUTE(INDEX('Term investments'!$B:$B,ROW())&amp;""," "," "))</f>
        <v/>
      </c>
      <c r="C231">
        <f>TRIM(SUBSTITUTE(INDEX('Term investments'!$C:$C,ROW())&amp;""," "," "))</f>
        <v/>
      </c>
      <c r="D231">
        <f>IFERROR(--INDEX('Term investments'!$D:$D,ROW()),0)</f>
        <v/>
      </c>
      <c r="E231">
        <f>IFERROR(--INDEX('Term investments'!$E:$E,ROW()),0)</f>
        <v/>
      </c>
      <c r="F231">
        <f>IFERROR(--INDEX('Term investments'!$F:$F,ROW()),0)</f>
        <v/>
      </c>
      <c r="G231">
        <f>IFERROR(IF(--INDEX('Term investments'!$G:$G,ROW())&gt;=1,--INDEX('Term investments'!$G:$G,ROW())/100,--INDEX('Term investments'!$G:$G,ROW())),0)</f>
        <v/>
      </c>
      <c r="H231">
        <f>IFERROR(--INDEX('Term investments'!$H:$H,ROW()),0)</f>
        <v/>
      </c>
      <c r="I231">
        <f>IF(ISNUMBER(INDEX('Term investments'!$G:$G,ROW())),1,0)</f>
        <v/>
      </c>
      <c r="J231">
        <f>TRIM(SUBSTITUTE(INDEX('Call accounts and MMFs'!$A:$A,ROW())&amp;""," "," "))</f>
        <v/>
      </c>
      <c r="K231">
        <f>TRIM(SUBSTITUTE(INDEX('Call accounts and MMFs'!$B:$B,ROW())&amp;""," "," "))</f>
        <v/>
      </c>
      <c r="L231">
        <f>TRIM(SUBSTITUTE(INDEX('Call accounts and MMFs'!$C:$C,ROW())&amp;""," "," "))</f>
        <v/>
      </c>
      <c r="M231">
        <f>IFERROR(--INDEX('Call accounts and MMFs'!$D:$D,ROW()),0)</f>
        <v/>
      </c>
      <c r="N231">
        <f>IFERROR(IF(--INDEX('Call accounts and MMFs'!$E:$E,ROW())&gt;=1,--INDEX('Call accounts and MMFs'!$E:$E,ROW())/100,--INDEX('Call accounts and MMFs'!$E:$E,ROW())),0)</f>
        <v/>
      </c>
      <c r="O231">
        <f>IFERROR(--INDEX('Call accounts and MMFs'!$F:$F,ROW()),0)</f>
        <v/>
      </c>
      <c r="P231">
        <f>IF(ISNUMBER(INDEX('Call accounts and MMFs'!$E:$E,ROW())),1,0)</f>
        <v/>
      </c>
      <c r="Q231">
        <f>TRIM(SUBSTITUTE(INDEX('Pooled funds'!$B:$B,ROW())&amp;""," "," "))</f>
        <v/>
      </c>
      <c r="R231">
        <f>IFERROR(--INDEX('Pooled funds'!$C:$C,ROW()),0)</f>
        <v/>
      </c>
      <c r="S231">
        <f>IFERROR(--INDEX('Pooled funds'!$D:$D,ROW()),0)</f>
        <v/>
      </c>
      <c r="T231">
        <f>IFERROR(IF(--INDEX('Pooled funds'!$E:$E,ROW())&gt;=1,--INDEX('Pooled funds'!$E:$E,ROW())/100,--INDEX('Pooled funds'!$E:$E,ROW())),0)</f>
        <v/>
      </c>
      <c r="U231">
        <f>IF(ISNUMBER(INDEX('Pooled funds'!$E:$E,ROW())),1,0)</f>
        <v/>
      </c>
      <c r="V231">
        <f>TRIM(SUBSTITUTE(INDEX('Loans'!$A:$A,ROW())&amp;""," "," "))</f>
        <v/>
      </c>
      <c r="W231">
        <f>TRIM(SUBSTITUTE(INDEX('Loans'!$B:$B,ROW())&amp;""," "," "))</f>
        <v/>
      </c>
      <c r="X231">
        <f>TRIM(SUBSTITUTE(INDEX('Loans'!$C:$C,ROW())&amp;""," "," "))</f>
        <v/>
      </c>
      <c r="Y231">
        <f>IFERROR(--INDEX('Loans'!$D:$D,ROW()),0)</f>
        <v/>
      </c>
      <c r="Z231">
        <f>IFERROR(--INDEX('Loans'!$E:$E,ROW()),0)</f>
        <v/>
      </c>
      <c r="AA231">
        <f>IFERROR(--INDEX('Loans'!$F:$F,ROW()),0)</f>
        <v/>
      </c>
      <c r="AB231">
        <f>IFERROR(IF(--INDEX('Loans'!$G:$G,ROW())&gt;=1,--INDEX('Loans'!$G:$G,ROW())/100,--INDEX('Loans'!$G:$G,ROW())),0)</f>
        <v/>
      </c>
      <c r="AC231">
        <f>TRIM(SUBSTITUTE(INDEX('Loans'!$H:$H,ROW())&amp;""," "," "))</f>
        <v/>
      </c>
      <c r="AD231">
        <f>TRIM(SUBSTITUTE(INDEX('Loans'!$I:$I,ROW())&amp;""," "," "))</f>
        <v/>
      </c>
      <c r="AE231">
        <f>IFERROR(--INDEX('Loans'!$J:$J,ROW()),0)</f>
        <v/>
      </c>
      <c r="AF231">
        <f>TRIM(SUBSTITUTE(INDEX('Loans'!$K:$K,ROW())&amp;""," "," "))</f>
        <v/>
      </c>
      <c r="AG231">
        <f>IFERROR(--INDEX('Loans'!$L:$L,ROW()),0)</f>
        <v/>
      </c>
      <c r="AH231">
        <f>IF(ISNUMBER(INDEX('Loans'!$G:$G,ROW())),1,0)</f>
        <v/>
      </c>
    </row>
    <row r="232">
      <c r="A232">
        <f>TRIM(SUBSTITUTE(INDEX('Term investments'!$A:$A,ROW())&amp;""," "," "))</f>
        <v/>
      </c>
      <c r="B232">
        <f>TRIM(SUBSTITUTE(INDEX('Term investments'!$B:$B,ROW())&amp;""," "," "))</f>
        <v/>
      </c>
      <c r="C232">
        <f>TRIM(SUBSTITUTE(INDEX('Term investments'!$C:$C,ROW())&amp;""," "," "))</f>
        <v/>
      </c>
      <c r="D232">
        <f>IFERROR(--INDEX('Term investments'!$D:$D,ROW()),0)</f>
        <v/>
      </c>
      <c r="E232">
        <f>IFERROR(--INDEX('Term investments'!$E:$E,ROW()),0)</f>
        <v/>
      </c>
      <c r="F232">
        <f>IFERROR(--INDEX('Term investments'!$F:$F,ROW()),0)</f>
        <v/>
      </c>
      <c r="G232">
        <f>IFERROR(IF(--INDEX('Term investments'!$G:$G,ROW())&gt;=1,--INDEX('Term investments'!$G:$G,ROW())/100,--INDEX('Term investments'!$G:$G,ROW())),0)</f>
        <v/>
      </c>
      <c r="H232">
        <f>IFERROR(--INDEX('Term investments'!$H:$H,ROW()),0)</f>
        <v/>
      </c>
      <c r="I232">
        <f>IF(ISNUMBER(INDEX('Term investments'!$G:$G,ROW())),1,0)</f>
        <v/>
      </c>
      <c r="J232">
        <f>TRIM(SUBSTITUTE(INDEX('Call accounts and MMFs'!$A:$A,ROW())&amp;""," "," "))</f>
        <v/>
      </c>
      <c r="K232">
        <f>TRIM(SUBSTITUTE(INDEX('Call accounts and MMFs'!$B:$B,ROW())&amp;""," "," "))</f>
        <v/>
      </c>
      <c r="L232">
        <f>TRIM(SUBSTITUTE(INDEX('Call accounts and MMFs'!$C:$C,ROW())&amp;""," "," "))</f>
        <v/>
      </c>
      <c r="M232">
        <f>IFERROR(--INDEX('Call accounts and MMFs'!$D:$D,ROW()),0)</f>
        <v/>
      </c>
      <c r="N232">
        <f>IFERROR(IF(--INDEX('Call accounts and MMFs'!$E:$E,ROW())&gt;=1,--INDEX('Call accounts and MMFs'!$E:$E,ROW())/100,--INDEX('Call accounts and MMFs'!$E:$E,ROW())),0)</f>
        <v/>
      </c>
      <c r="O232">
        <f>IFERROR(--INDEX('Call accounts and MMFs'!$F:$F,ROW()),0)</f>
        <v/>
      </c>
      <c r="P232">
        <f>IF(ISNUMBER(INDEX('Call accounts and MMFs'!$E:$E,ROW())),1,0)</f>
        <v/>
      </c>
      <c r="Q232">
        <f>TRIM(SUBSTITUTE(INDEX('Pooled funds'!$B:$B,ROW())&amp;""," "," "))</f>
        <v/>
      </c>
      <c r="R232">
        <f>IFERROR(--INDEX('Pooled funds'!$C:$C,ROW()),0)</f>
        <v/>
      </c>
      <c r="S232">
        <f>IFERROR(--INDEX('Pooled funds'!$D:$D,ROW()),0)</f>
        <v/>
      </c>
      <c r="T232">
        <f>IFERROR(IF(--INDEX('Pooled funds'!$E:$E,ROW())&gt;=1,--INDEX('Pooled funds'!$E:$E,ROW())/100,--INDEX('Pooled funds'!$E:$E,ROW())),0)</f>
        <v/>
      </c>
      <c r="U232">
        <f>IF(ISNUMBER(INDEX('Pooled funds'!$E:$E,ROW())),1,0)</f>
        <v/>
      </c>
      <c r="V232">
        <f>TRIM(SUBSTITUTE(INDEX('Loans'!$A:$A,ROW())&amp;""," "," "))</f>
        <v/>
      </c>
      <c r="W232">
        <f>TRIM(SUBSTITUTE(INDEX('Loans'!$B:$B,ROW())&amp;""," "," "))</f>
        <v/>
      </c>
      <c r="X232">
        <f>TRIM(SUBSTITUTE(INDEX('Loans'!$C:$C,ROW())&amp;""," "," "))</f>
        <v/>
      </c>
      <c r="Y232">
        <f>IFERROR(--INDEX('Loans'!$D:$D,ROW()),0)</f>
        <v/>
      </c>
      <c r="Z232">
        <f>IFERROR(--INDEX('Loans'!$E:$E,ROW()),0)</f>
        <v/>
      </c>
      <c r="AA232">
        <f>IFERROR(--INDEX('Loans'!$F:$F,ROW()),0)</f>
        <v/>
      </c>
      <c r="AB232">
        <f>IFERROR(IF(--INDEX('Loans'!$G:$G,ROW())&gt;=1,--INDEX('Loans'!$G:$G,ROW())/100,--INDEX('Loans'!$G:$G,ROW())),0)</f>
        <v/>
      </c>
      <c r="AC232">
        <f>TRIM(SUBSTITUTE(INDEX('Loans'!$H:$H,ROW())&amp;""," "," "))</f>
        <v/>
      </c>
      <c r="AD232">
        <f>TRIM(SUBSTITUTE(INDEX('Loans'!$I:$I,ROW())&amp;""," "," "))</f>
        <v/>
      </c>
      <c r="AE232">
        <f>IFERROR(--INDEX('Loans'!$J:$J,ROW()),0)</f>
        <v/>
      </c>
      <c r="AF232">
        <f>TRIM(SUBSTITUTE(INDEX('Loans'!$K:$K,ROW())&amp;""," "," "))</f>
        <v/>
      </c>
      <c r="AG232">
        <f>IFERROR(--INDEX('Loans'!$L:$L,ROW()),0)</f>
        <v/>
      </c>
      <c r="AH232">
        <f>IF(ISNUMBER(INDEX('Loans'!$G:$G,ROW())),1,0)</f>
        <v/>
      </c>
    </row>
    <row r="233">
      <c r="A233">
        <f>TRIM(SUBSTITUTE(INDEX('Term investments'!$A:$A,ROW())&amp;""," "," "))</f>
        <v/>
      </c>
      <c r="B233">
        <f>TRIM(SUBSTITUTE(INDEX('Term investments'!$B:$B,ROW())&amp;""," "," "))</f>
        <v/>
      </c>
      <c r="C233">
        <f>TRIM(SUBSTITUTE(INDEX('Term investments'!$C:$C,ROW())&amp;""," "," "))</f>
        <v/>
      </c>
      <c r="D233">
        <f>IFERROR(--INDEX('Term investments'!$D:$D,ROW()),0)</f>
        <v/>
      </c>
      <c r="E233">
        <f>IFERROR(--INDEX('Term investments'!$E:$E,ROW()),0)</f>
        <v/>
      </c>
      <c r="F233">
        <f>IFERROR(--INDEX('Term investments'!$F:$F,ROW()),0)</f>
        <v/>
      </c>
      <c r="G233">
        <f>IFERROR(IF(--INDEX('Term investments'!$G:$G,ROW())&gt;=1,--INDEX('Term investments'!$G:$G,ROW())/100,--INDEX('Term investments'!$G:$G,ROW())),0)</f>
        <v/>
      </c>
      <c r="H233">
        <f>IFERROR(--INDEX('Term investments'!$H:$H,ROW()),0)</f>
        <v/>
      </c>
      <c r="I233">
        <f>IF(ISNUMBER(INDEX('Term investments'!$G:$G,ROW())),1,0)</f>
        <v/>
      </c>
      <c r="J233">
        <f>TRIM(SUBSTITUTE(INDEX('Call accounts and MMFs'!$A:$A,ROW())&amp;""," "," "))</f>
        <v/>
      </c>
      <c r="K233">
        <f>TRIM(SUBSTITUTE(INDEX('Call accounts and MMFs'!$B:$B,ROW())&amp;""," "," "))</f>
        <v/>
      </c>
      <c r="L233">
        <f>TRIM(SUBSTITUTE(INDEX('Call accounts and MMFs'!$C:$C,ROW())&amp;""," "," "))</f>
        <v/>
      </c>
      <c r="M233">
        <f>IFERROR(--INDEX('Call accounts and MMFs'!$D:$D,ROW()),0)</f>
        <v/>
      </c>
      <c r="N233">
        <f>IFERROR(IF(--INDEX('Call accounts and MMFs'!$E:$E,ROW())&gt;=1,--INDEX('Call accounts and MMFs'!$E:$E,ROW())/100,--INDEX('Call accounts and MMFs'!$E:$E,ROW())),0)</f>
        <v/>
      </c>
      <c r="O233">
        <f>IFERROR(--INDEX('Call accounts and MMFs'!$F:$F,ROW()),0)</f>
        <v/>
      </c>
      <c r="P233">
        <f>IF(ISNUMBER(INDEX('Call accounts and MMFs'!$E:$E,ROW())),1,0)</f>
        <v/>
      </c>
      <c r="Q233">
        <f>TRIM(SUBSTITUTE(INDEX('Pooled funds'!$B:$B,ROW())&amp;""," "," "))</f>
        <v/>
      </c>
      <c r="R233">
        <f>IFERROR(--INDEX('Pooled funds'!$C:$C,ROW()),0)</f>
        <v/>
      </c>
      <c r="S233">
        <f>IFERROR(--INDEX('Pooled funds'!$D:$D,ROW()),0)</f>
        <v/>
      </c>
      <c r="T233">
        <f>IFERROR(IF(--INDEX('Pooled funds'!$E:$E,ROW())&gt;=1,--INDEX('Pooled funds'!$E:$E,ROW())/100,--INDEX('Pooled funds'!$E:$E,ROW())),0)</f>
        <v/>
      </c>
      <c r="U233">
        <f>IF(ISNUMBER(INDEX('Pooled funds'!$E:$E,ROW())),1,0)</f>
        <v/>
      </c>
      <c r="V233">
        <f>TRIM(SUBSTITUTE(INDEX('Loans'!$A:$A,ROW())&amp;""," "," "))</f>
        <v/>
      </c>
      <c r="W233">
        <f>TRIM(SUBSTITUTE(INDEX('Loans'!$B:$B,ROW())&amp;""," "," "))</f>
        <v/>
      </c>
      <c r="X233">
        <f>TRIM(SUBSTITUTE(INDEX('Loans'!$C:$C,ROW())&amp;""," "," "))</f>
        <v/>
      </c>
      <c r="Y233">
        <f>IFERROR(--INDEX('Loans'!$D:$D,ROW()),0)</f>
        <v/>
      </c>
      <c r="Z233">
        <f>IFERROR(--INDEX('Loans'!$E:$E,ROW()),0)</f>
        <v/>
      </c>
      <c r="AA233">
        <f>IFERROR(--INDEX('Loans'!$F:$F,ROW()),0)</f>
        <v/>
      </c>
      <c r="AB233">
        <f>IFERROR(IF(--INDEX('Loans'!$G:$G,ROW())&gt;=1,--INDEX('Loans'!$G:$G,ROW())/100,--INDEX('Loans'!$G:$G,ROW())),0)</f>
        <v/>
      </c>
      <c r="AC233">
        <f>TRIM(SUBSTITUTE(INDEX('Loans'!$H:$H,ROW())&amp;""," "," "))</f>
        <v/>
      </c>
      <c r="AD233">
        <f>TRIM(SUBSTITUTE(INDEX('Loans'!$I:$I,ROW())&amp;""," "," "))</f>
        <v/>
      </c>
      <c r="AE233">
        <f>IFERROR(--INDEX('Loans'!$J:$J,ROW()),0)</f>
        <v/>
      </c>
      <c r="AF233">
        <f>TRIM(SUBSTITUTE(INDEX('Loans'!$K:$K,ROW())&amp;""," "," "))</f>
        <v/>
      </c>
      <c r="AG233">
        <f>IFERROR(--INDEX('Loans'!$L:$L,ROW()),0)</f>
        <v/>
      </c>
      <c r="AH233">
        <f>IF(ISNUMBER(INDEX('Loans'!$G:$G,ROW())),1,0)</f>
        <v/>
      </c>
    </row>
    <row r="234">
      <c r="A234">
        <f>TRIM(SUBSTITUTE(INDEX('Term investments'!$A:$A,ROW())&amp;""," "," "))</f>
        <v/>
      </c>
      <c r="B234">
        <f>TRIM(SUBSTITUTE(INDEX('Term investments'!$B:$B,ROW())&amp;""," "," "))</f>
        <v/>
      </c>
      <c r="C234">
        <f>TRIM(SUBSTITUTE(INDEX('Term investments'!$C:$C,ROW())&amp;""," "," "))</f>
        <v/>
      </c>
      <c r="D234">
        <f>IFERROR(--INDEX('Term investments'!$D:$D,ROW()),0)</f>
        <v/>
      </c>
      <c r="E234">
        <f>IFERROR(--INDEX('Term investments'!$E:$E,ROW()),0)</f>
        <v/>
      </c>
      <c r="F234">
        <f>IFERROR(--INDEX('Term investments'!$F:$F,ROW()),0)</f>
        <v/>
      </c>
      <c r="G234">
        <f>IFERROR(IF(--INDEX('Term investments'!$G:$G,ROW())&gt;=1,--INDEX('Term investments'!$G:$G,ROW())/100,--INDEX('Term investments'!$G:$G,ROW())),0)</f>
        <v/>
      </c>
      <c r="H234">
        <f>IFERROR(--INDEX('Term investments'!$H:$H,ROW()),0)</f>
        <v/>
      </c>
      <c r="I234">
        <f>IF(ISNUMBER(INDEX('Term investments'!$G:$G,ROW())),1,0)</f>
        <v/>
      </c>
      <c r="J234">
        <f>TRIM(SUBSTITUTE(INDEX('Call accounts and MMFs'!$A:$A,ROW())&amp;""," "," "))</f>
        <v/>
      </c>
      <c r="K234">
        <f>TRIM(SUBSTITUTE(INDEX('Call accounts and MMFs'!$B:$B,ROW())&amp;""," "," "))</f>
        <v/>
      </c>
      <c r="L234">
        <f>TRIM(SUBSTITUTE(INDEX('Call accounts and MMFs'!$C:$C,ROW())&amp;""," "," "))</f>
        <v/>
      </c>
      <c r="M234">
        <f>IFERROR(--INDEX('Call accounts and MMFs'!$D:$D,ROW()),0)</f>
        <v/>
      </c>
      <c r="N234">
        <f>IFERROR(IF(--INDEX('Call accounts and MMFs'!$E:$E,ROW())&gt;=1,--INDEX('Call accounts and MMFs'!$E:$E,ROW())/100,--INDEX('Call accounts and MMFs'!$E:$E,ROW())),0)</f>
        <v/>
      </c>
      <c r="O234">
        <f>IFERROR(--INDEX('Call accounts and MMFs'!$F:$F,ROW()),0)</f>
        <v/>
      </c>
      <c r="P234">
        <f>IF(ISNUMBER(INDEX('Call accounts and MMFs'!$E:$E,ROW())),1,0)</f>
        <v/>
      </c>
      <c r="Q234">
        <f>TRIM(SUBSTITUTE(INDEX('Pooled funds'!$B:$B,ROW())&amp;""," "," "))</f>
        <v/>
      </c>
      <c r="R234">
        <f>IFERROR(--INDEX('Pooled funds'!$C:$C,ROW()),0)</f>
        <v/>
      </c>
      <c r="S234">
        <f>IFERROR(--INDEX('Pooled funds'!$D:$D,ROW()),0)</f>
        <v/>
      </c>
      <c r="T234">
        <f>IFERROR(IF(--INDEX('Pooled funds'!$E:$E,ROW())&gt;=1,--INDEX('Pooled funds'!$E:$E,ROW())/100,--INDEX('Pooled funds'!$E:$E,ROW())),0)</f>
        <v/>
      </c>
      <c r="U234">
        <f>IF(ISNUMBER(INDEX('Pooled funds'!$E:$E,ROW())),1,0)</f>
        <v/>
      </c>
      <c r="V234">
        <f>TRIM(SUBSTITUTE(INDEX('Loans'!$A:$A,ROW())&amp;""," "," "))</f>
        <v/>
      </c>
      <c r="W234">
        <f>TRIM(SUBSTITUTE(INDEX('Loans'!$B:$B,ROW())&amp;""," "," "))</f>
        <v/>
      </c>
      <c r="X234">
        <f>TRIM(SUBSTITUTE(INDEX('Loans'!$C:$C,ROW())&amp;""," "," "))</f>
        <v/>
      </c>
      <c r="Y234">
        <f>IFERROR(--INDEX('Loans'!$D:$D,ROW()),0)</f>
        <v/>
      </c>
      <c r="Z234">
        <f>IFERROR(--INDEX('Loans'!$E:$E,ROW()),0)</f>
        <v/>
      </c>
      <c r="AA234">
        <f>IFERROR(--INDEX('Loans'!$F:$F,ROW()),0)</f>
        <v/>
      </c>
      <c r="AB234">
        <f>IFERROR(IF(--INDEX('Loans'!$G:$G,ROW())&gt;=1,--INDEX('Loans'!$G:$G,ROW())/100,--INDEX('Loans'!$G:$G,ROW())),0)</f>
        <v/>
      </c>
      <c r="AC234">
        <f>TRIM(SUBSTITUTE(INDEX('Loans'!$H:$H,ROW())&amp;""," "," "))</f>
        <v/>
      </c>
      <c r="AD234">
        <f>TRIM(SUBSTITUTE(INDEX('Loans'!$I:$I,ROW())&amp;""," "," "))</f>
        <v/>
      </c>
      <c r="AE234">
        <f>IFERROR(--INDEX('Loans'!$J:$J,ROW()),0)</f>
        <v/>
      </c>
      <c r="AF234">
        <f>TRIM(SUBSTITUTE(INDEX('Loans'!$K:$K,ROW())&amp;""," "," "))</f>
        <v/>
      </c>
      <c r="AG234">
        <f>IFERROR(--INDEX('Loans'!$L:$L,ROW()),0)</f>
        <v/>
      </c>
      <c r="AH234">
        <f>IF(ISNUMBER(INDEX('Loans'!$G:$G,ROW())),1,0)</f>
        <v/>
      </c>
    </row>
    <row r="235">
      <c r="A235">
        <f>TRIM(SUBSTITUTE(INDEX('Term investments'!$A:$A,ROW())&amp;""," "," "))</f>
        <v/>
      </c>
      <c r="B235">
        <f>TRIM(SUBSTITUTE(INDEX('Term investments'!$B:$B,ROW())&amp;""," "," "))</f>
        <v/>
      </c>
      <c r="C235">
        <f>TRIM(SUBSTITUTE(INDEX('Term investments'!$C:$C,ROW())&amp;""," "," "))</f>
        <v/>
      </c>
      <c r="D235">
        <f>IFERROR(--INDEX('Term investments'!$D:$D,ROW()),0)</f>
        <v/>
      </c>
      <c r="E235">
        <f>IFERROR(--INDEX('Term investments'!$E:$E,ROW()),0)</f>
        <v/>
      </c>
      <c r="F235">
        <f>IFERROR(--INDEX('Term investments'!$F:$F,ROW()),0)</f>
        <v/>
      </c>
      <c r="G235">
        <f>IFERROR(IF(--INDEX('Term investments'!$G:$G,ROW())&gt;=1,--INDEX('Term investments'!$G:$G,ROW())/100,--INDEX('Term investments'!$G:$G,ROW())),0)</f>
        <v/>
      </c>
      <c r="H235">
        <f>IFERROR(--INDEX('Term investments'!$H:$H,ROW()),0)</f>
        <v/>
      </c>
      <c r="I235">
        <f>IF(ISNUMBER(INDEX('Term investments'!$G:$G,ROW())),1,0)</f>
        <v/>
      </c>
      <c r="J235">
        <f>TRIM(SUBSTITUTE(INDEX('Call accounts and MMFs'!$A:$A,ROW())&amp;""," "," "))</f>
        <v/>
      </c>
      <c r="K235">
        <f>TRIM(SUBSTITUTE(INDEX('Call accounts and MMFs'!$B:$B,ROW())&amp;""," "," "))</f>
        <v/>
      </c>
      <c r="L235">
        <f>TRIM(SUBSTITUTE(INDEX('Call accounts and MMFs'!$C:$C,ROW())&amp;""," "," "))</f>
        <v/>
      </c>
      <c r="M235">
        <f>IFERROR(--INDEX('Call accounts and MMFs'!$D:$D,ROW()),0)</f>
        <v/>
      </c>
      <c r="N235">
        <f>IFERROR(IF(--INDEX('Call accounts and MMFs'!$E:$E,ROW())&gt;=1,--INDEX('Call accounts and MMFs'!$E:$E,ROW())/100,--INDEX('Call accounts and MMFs'!$E:$E,ROW())),0)</f>
        <v/>
      </c>
      <c r="O235">
        <f>IFERROR(--INDEX('Call accounts and MMFs'!$F:$F,ROW()),0)</f>
        <v/>
      </c>
      <c r="P235">
        <f>IF(ISNUMBER(INDEX('Call accounts and MMFs'!$E:$E,ROW())),1,0)</f>
        <v/>
      </c>
      <c r="Q235">
        <f>TRIM(SUBSTITUTE(INDEX('Pooled funds'!$B:$B,ROW())&amp;""," "," "))</f>
        <v/>
      </c>
      <c r="R235">
        <f>IFERROR(--INDEX('Pooled funds'!$C:$C,ROW()),0)</f>
        <v/>
      </c>
      <c r="S235">
        <f>IFERROR(--INDEX('Pooled funds'!$D:$D,ROW()),0)</f>
        <v/>
      </c>
      <c r="T235">
        <f>IFERROR(IF(--INDEX('Pooled funds'!$E:$E,ROW())&gt;=1,--INDEX('Pooled funds'!$E:$E,ROW())/100,--INDEX('Pooled funds'!$E:$E,ROW())),0)</f>
        <v/>
      </c>
      <c r="U235">
        <f>IF(ISNUMBER(INDEX('Pooled funds'!$E:$E,ROW())),1,0)</f>
        <v/>
      </c>
      <c r="V235">
        <f>TRIM(SUBSTITUTE(INDEX('Loans'!$A:$A,ROW())&amp;""," "," "))</f>
        <v/>
      </c>
      <c r="W235">
        <f>TRIM(SUBSTITUTE(INDEX('Loans'!$B:$B,ROW())&amp;""," "," "))</f>
        <v/>
      </c>
      <c r="X235">
        <f>TRIM(SUBSTITUTE(INDEX('Loans'!$C:$C,ROW())&amp;""," "," "))</f>
        <v/>
      </c>
      <c r="Y235">
        <f>IFERROR(--INDEX('Loans'!$D:$D,ROW()),0)</f>
        <v/>
      </c>
      <c r="Z235">
        <f>IFERROR(--INDEX('Loans'!$E:$E,ROW()),0)</f>
        <v/>
      </c>
      <c r="AA235">
        <f>IFERROR(--INDEX('Loans'!$F:$F,ROW()),0)</f>
        <v/>
      </c>
      <c r="AB235">
        <f>IFERROR(IF(--INDEX('Loans'!$G:$G,ROW())&gt;=1,--INDEX('Loans'!$G:$G,ROW())/100,--INDEX('Loans'!$G:$G,ROW())),0)</f>
        <v/>
      </c>
      <c r="AC235">
        <f>TRIM(SUBSTITUTE(INDEX('Loans'!$H:$H,ROW())&amp;""," "," "))</f>
        <v/>
      </c>
      <c r="AD235">
        <f>TRIM(SUBSTITUTE(INDEX('Loans'!$I:$I,ROW())&amp;""," "," "))</f>
        <v/>
      </c>
      <c r="AE235">
        <f>IFERROR(--INDEX('Loans'!$J:$J,ROW()),0)</f>
        <v/>
      </c>
      <c r="AF235">
        <f>TRIM(SUBSTITUTE(INDEX('Loans'!$K:$K,ROW())&amp;""," "," "))</f>
        <v/>
      </c>
      <c r="AG235">
        <f>IFERROR(--INDEX('Loans'!$L:$L,ROW()),0)</f>
        <v/>
      </c>
      <c r="AH235">
        <f>IF(ISNUMBER(INDEX('Loans'!$G:$G,ROW())),1,0)</f>
        <v/>
      </c>
    </row>
    <row r="236">
      <c r="A236">
        <f>TRIM(SUBSTITUTE(INDEX('Term investments'!$A:$A,ROW())&amp;""," "," "))</f>
        <v/>
      </c>
      <c r="B236">
        <f>TRIM(SUBSTITUTE(INDEX('Term investments'!$B:$B,ROW())&amp;""," "," "))</f>
        <v/>
      </c>
      <c r="C236">
        <f>TRIM(SUBSTITUTE(INDEX('Term investments'!$C:$C,ROW())&amp;""," "," "))</f>
        <v/>
      </c>
      <c r="D236">
        <f>IFERROR(--INDEX('Term investments'!$D:$D,ROW()),0)</f>
        <v/>
      </c>
      <c r="E236">
        <f>IFERROR(--INDEX('Term investments'!$E:$E,ROW()),0)</f>
        <v/>
      </c>
      <c r="F236">
        <f>IFERROR(--INDEX('Term investments'!$F:$F,ROW()),0)</f>
        <v/>
      </c>
      <c r="G236">
        <f>IFERROR(IF(--INDEX('Term investments'!$G:$G,ROW())&gt;=1,--INDEX('Term investments'!$G:$G,ROW())/100,--INDEX('Term investments'!$G:$G,ROW())),0)</f>
        <v/>
      </c>
      <c r="H236">
        <f>IFERROR(--INDEX('Term investments'!$H:$H,ROW()),0)</f>
        <v/>
      </c>
      <c r="I236">
        <f>IF(ISNUMBER(INDEX('Term investments'!$G:$G,ROW())),1,0)</f>
        <v/>
      </c>
      <c r="J236">
        <f>TRIM(SUBSTITUTE(INDEX('Call accounts and MMFs'!$A:$A,ROW())&amp;""," "," "))</f>
        <v/>
      </c>
      <c r="K236">
        <f>TRIM(SUBSTITUTE(INDEX('Call accounts and MMFs'!$B:$B,ROW())&amp;""," "," "))</f>
        <v/>
      </c>
      <c r="L236">
        <f>TRIM(SUBSTITUTE(INDEX('Call accounts and MMFs'!$C:$C,ROW())&amp;""," "," "))</f>
        <v/>
      </c>
      <c r="M236">
        <f>IFERROR(--INDEX('Call accounts and MMFs'!$D:$D,ROW()),0)</f>
        <v/>
      </c>
      <c r="N236">
        <f>IFERROR(IF(--INDEX('Call accounts and MMFs'!$E:$E,ROW())&gt;=1,--INDEX('Call accounts and MMFs'!$E:$E,ROW())/100,--INDEX('Call accounts and MMFs'!$E:$E,ROW())),0)</f>
        <v/>
      </c>
      <c r="O236">
        <f>IFERROR(--INDEX('Call accounts and MMFs'!$F:$F,ROW()),0)</f>
        <v/>
      </c>
      <c r="P236">
        <f>IF(ISNUMBER(INDEX('Call accounts and MMFs'!$E:$E,ROW())),1,0)</f>
        <v/>
      </c>
      <c r="Q236">
        <f>TRIM(SUBSTITUTE(INDEX('Pooled funds'!$B:$B,ROW())&amp;""," "," "))</f>
        <v/>
      </c>
      <c r="R236">
        <f>IFERROR(--INDEX('Pooled funds'!$C:$C,ROW()),0)</f>
        <v/>
      </c>
      <c r="S236">
        <f>IFERROR(--INDEX('Pooled funds'!$D:$D,ROW()),0)</f>
        <v/>
      </c>
      <c r="T236">
        <f>IFERROR(IF(--INDEX('Pooled funds'!$E:$E,ROW())&gt;=1,--INDEX('Pooled funds'!$E:$E,ROW())/100,--INDEX('Pooled funds'!$E:$E,ROW())),0)</f>
        <v/>
      </c>
      <c r="U236">
        <f>IF(ISNUMBER(INDEX('Pooled funds'!$E:$E,ROW())),1,0)</f>
        <v/>
      </c>
      <c r="V236">
        <f>TRIM(SUBSTITUTE(INDEX('Loans'!$A:$A,ROW())&amp;""," "," "))</f>
        <v/>
      </c>
      <c r="W236">
        <f>TRIM(SUBSTITUTE(INDEX('Loans'!$B:$B,ROW())&amp;""," "," "))</f>
        <v/>
      </c>
      <c r="X236">
        <f>TRIM(SUBSTITUTE(INDEX('Loans'!$C:$C,ROW())&amp;""," "," "))</f>
        <v/>
      </c>
      <c r="Y236">
        <f>IFERROR(--INDEX('Loans'!$D:$D,ROW()),0)</f>
        <v/>
      </c>
      <c r="Z236">
        <f>IFERROR(--INDEX('Loans'!$E:$E,ROW()),0)</f>
        <v/>
      </c>
      <c r="AA236">
        <f>IFERROR(--INDEX('Loans'!$F:$F,ROW()),0)</f>
        <v/>
      </c>
      <c r="AB236">
        <f>IFERROR(IF(--INDEX('Loans'!$G:$G,ROW())&gt;=1,--INDEX('Loans'!$G:$G,ROW())/100,--INDEX('Loans'!$G:$G,ROW())),0)</f>
        <v/>
      </c>
      <c r="AC236">
        <f>TRIM(SUBSTITUTE(INDEX('Loans'!$H:$H,ROW())&amp;""," "," "))</f>
        <v/>
      </c>
      <c r="AD236">
        <f>TRIM(SUBSTITUTE(INDEX('Loans'!$I:$I,ROW())&amp;""," "," "))</f>
        <v/>
      </c>
      <c r="AE236">
        <f>IFERROR(--INDEX('Loans'!$J:$J,ROW()),0)</f>
        <v/>
      </c>
      <c r="AF236">
        <f>TRIM(SUBSTITUTE(INDEX('Loans'!$K:$K,ROW())&amp;""," "," "))</f>
        <v/>
      </c>
      <c r="AG236">
        <f>IFERROR(--INDEX('Loans'!$L:$L,ROW()),0)</f>
        <v/>
      </c>
      <c r="AH236">
        <f>IF(ISNUMBER(INDEX('Loans'!$G:$G,ROW())),1,0)</f>
        <v/>
      </c>
    </row>
    <row r="237">
      <c r="A237">
        <f>TRIM(SUBSTITUTE(INDEX('Term investments'!$A:$A,ROW())&amp;""," "," "))</f>
        <v/>
      </c>
      <c r="B237">
        <f>TRIM(SUBSTITUTE(INDEX('Term investments'!$B:$B,ROW())&amp;""," "," "))</f>
        <v/>
      </c>
      <c r="C237">
        <f>TRIM(SUBSTITUTE(INDEX('Term investments'!$C:$C,ROW())&amp;""," "," "))</f>
        <v/>
      </c>
      <c r="D237">
        <f>IFERROR(--INDEX('Term investments'!$D:$D,ROW()),0)</f>
        <v/>
      </c>
      <c r="E237">
        <f>IFERROR(--INDEX('Term investments'!$E:$E,ROW()),0)</f>
        <v/>
      </c>
      <c r="F237">
        <f>IFERROR(--INDEX('Term investments'!$F:$F,ROW()),0)</f>
        <v/>
      </c>
      <c r="G237">
        <f>IFERROR(IF(--INDEX('Term investments'!$G:$G,ROW())&gt;=1,--INDEX('Term investments'!$G:$G,ROW())/100,--INDEX('Term investments'!$G:$G,ROW())),0)</f>
        <v/>
      </c>
      <c r="H237">
        <f>IFERROR(--INDEX('Term investments'!$H:$H,ROW()),0)</f>
        <v/>
      </c>
      <c r="I237">
        <f>IF(ISNUMBER(INDEX('Term investments'!$G:$G,ROW())),1,0)</f>
        <v/>
      </c>
      <c r="J237">
        <f>TRIM(SUBSTITUTE(INDEX('Call accounts and MMFs'!$A:$A,ROW())&amp;""," "," "))</f>
        <v/>
      </c>
      <c r="K237">
        <f>TRIM(SUBSTITUTE(INDEX('Call accounts and MMFs'!$B:$B,ROW())&amp;""," "," "))</f>
        <v/>
      </c>
      <c r="L237">
        <f>TRIM(SUBSTITUTE(INDEX('Call accounts and MMFs'!$C:$C,ROW())&amp;""," "," "))</f>
        <v/>
      </c>
      <c r="M237">
        <f>IFERROR(--INDEX('Call accounts and MMFs'!$D:$D,ROW()),0)</f>
        <v/>
      </c>
      <c r="N237">
        <f>IFERROR(IF(--INDEX('Call accounts and MMFs'!$E:$E,ROW())&gt;=1,--INDEX('Call accounts and MMFs'!$E:$E,ROW())/100,--INDEX('Call accounts and MMFs'!$E:$E,ROW())),0)</f>
        <v/>
      </c>
      <c r="O237">
        <f>IFERROR(--INDEX('Call accounts and MMFs'!$F:$F,ROW()),0)</f>
        <v/>
      </c>
      <c r="P237">
        <f>IF(ISNUMBER(INDEX('Call accounts and MMFs'!$E:$E,ROW())),1,0)</f>
        <v/>
      </c>
      <c r="Q237">
        <f>TRIM(SUBSTITUTE(INDEX('Pooled funds'!$B:$B,ROW())&amp;""," "," "))</f>
        <v/>
      </c>
      <c r="R237">
        <f>IFERROR(--INDEX('Pooled funds'!$C:$C,ROW()),0)</f>
        <v/>
      </c>
      <c r="S237">
        <f>IFERROR(--INDEX('Pooled funds'!$D:$D,ROW()),0)</f>
        <v/>
      </c>
      <c r="T237">
        <f>IFERROR(IF(--INDEX('Pooled funds'!$E:$E,ROW())&gt;=1,--INDEX('Pooled funds'!$E:$E,ROW())/100,--INDEX('Pooled funds'!$E:$E,ROW())),0)</f>
        <v/>
      </c>
      <c r="U237">
        <f>IF(ISNUMBER(INDEX('Pooled funds'!$E:$E,ROW())),1,0)</f>
        <v/>
      </c>
      <c r="V237">
        <f>TRIM(SUBSTITUTE(INDEX('Loans'!$A:$A,ROW())&amp;""," "," "))</f>
        <v/>
      </c>
      <c r="W237">
        <f>TRIM(SUBSTITUTE(INDEX('Loans'!$B:$B,ROW())&amp;""," "," "))</f>
        <v/>
      </c>
      <c r="X237">
        <f>TRIM(SUBSTITUTE(INDEX('Loans'!$C:$C,ROW())&amp;""," "," "))</f>
        <v/>
      </c>
      <c r="Y237">
        <f>IFERROR(--INDEX('Loans'!$D:$D,ROW()),0)</f>
        <v/>
      </c>
      <c r="Z237">
        <f>IFERROR(--INDEX('Loans'!$E:$E,ROW()),0)</f>
        <v/>
      </c>
      <c r="AA237">
        <f>IFERROR(--INDEX('Loans'!$F:$F,ROW()),0)</f>
        <v/>
      </c>
      <c r="AB237">
        <f>IFERROR(IF(--INDEX('Loans'!$G:$G,ROW())&gt;=1,--INDEX('Loans'!$G:$G,ROW())/100,--INDEX('Loans'!$G:$G,ROW())),0)</f>
        <v/>
      </c>
      <c r="AC237">
        <f>TRIM(SUBSTITUTE(INDEX('Loans'!$H:$H,ROW())&amp;""," "," "))</f>
        <v/>
      </c>
      <c r="AD237">
        <f>TRIM(SUBSTITUTE(INDEX('Loans'!$I:$I,ROW())&amp;""," "," "))</f>
        <v/>
      </c>
      <c r="AE237">
        <f>IFERROR(--INDEX('Loans'!$J:$J,ROW()),0)</f>
        <v/>
      </c>
      <c r="AF237">
        <f>TRIM(SUBSTITUTE(INDEX('Loans'!$K:$K,ROW())&amp;""," "," "))</f>
        <v/>
      </c>
      <c r="AG237">
        <f>IFERROR(--INDEX('Loans'!$L:$L,ROW()),0)</f>
        <v/>
      </c>
      <c r="AH237">
        <f>IF(ISNUMBER(INDEX('Loans'!$G:$G,ROW())),1,0)</f>
        <v/>
      </c>
    </row>
    <row r="238">
      <c r="A238">
        <f>TRIM(SUBSTITUTE(INDEX('Term investments'!$A:$A,ROW())&amp;""," "," "))</f>
        <v/>
      </c>
      <c r="B238">
        <f>TRIM(SUBSTITUTE(INDEX('Term investments'!$B:$B,ROW())&amp;""," "," "))</f>
        <v/>
      </c>
      <c r="C238">
        <f>TRIM(SUBSTITUTE(INDEX('Term investments'!$C:$C,ROW())&amp;""," "," "))</f>
        <v/>
      </c>
      <c r="D238">
        <f>IFERROR(--INDEX('Term investments'!$D:$D,ROW()),0)</f>
        <v/>
      </c>
      <c r="E238">
        <f>IFERROR(--INDEX('Term investments'!$E:$E,ROW()),0)</f>
        <v/>
      </c>
      <c r="F238">
        <f>IFERROR(--INDEX('Term investments'!$F:$F,ROW()),0)</f>
        <v/>
      </c>
      <c r="G238">
        <f>IFERROR(IF(--INDEX('Term investments'!$G:$G,ROW())&gt;=1,--INDEX('Term investments'!$G:$G,ROW())/100,--INDEX('Term investments'!$G:$G,ROW())),0)</f>
        <v/>
      </c>
      <c r="H238">
        <f>IFERROR(--INDEX('Term investments'!$H:$H,ROW()),0)</f>
        <v/>
      </c>
      <c r="I238">
        <f>IF(ISNUMBER(INDEX('Term investments'!$G:$G,ROW())),1,0)</f>
        <v/>
      </c>
      <c r="J238">
        <f>TRIM(SUBSTITUTE(INDEX('Call accounts and MMFs'!$A:$A,ROW())&amp;""," "," "))</f>
        <v/>
      </c>
      <c r="K238">
        <f>TRIM(SUBSTITUTE(INDEX('Call accounts and MMFs'!$B:$B,ROW())&amp;""," "," "))</f>
        <v/>
      </c>
      <c r="L238">
        <f>TRIM(SUBSTITUTE(INDEX('Call accounts and MMFs'!$C:$C,ROW())&amp;""," "," "))</f>
        <v/>
      </c>
      <c r="M238">
        <f>IFERROR(--INDEX('Call accounts and MMFs'!$D:$D,ROW()),0)</f>
        <v/>
      </c>
      <c r="N238">
        <f>IFERROR(IF(--INDEX('Call accounts and MMFs'!$E:$E,ROW())&gt;=1,--INDEX('Call accounts and MMFs'!$E:$E,ROW())/100,--INDEX('Call accounts and MMFs'!$E:$E,ROW())),0)</f>
        <v/>
      </c>
      <c r="O238">
        <f>IFERROR(--INDEX('Call accounts and MMFs'!$F:$F,ROW()),0)</f>
        <v/>
      </c>
      <c r="P238">
        <f>IF(ISNUMBER(INDEX('Call accounts and MMFs'!$E:$E,ROW())),1,0)</f>
        <v/>
      </c>
      <c r="Q238">
        <f>TRIM(SUBSTITUTE(INDEX('Pooled funds'!$B:$B,ROW())&amp;""," "," "))</f>
        <v/>
      </c>
      <c r="R238">
        <f>IFERROR(--INDEX('Pooled funds'!$C:$C,ROW()),0)</f>
        <v/>
      </c>
      <c r="S238">
        <f>IFERROR(--INDEX('Pooled funds'!$D:$D,ROW()),0)</f>
        <v/>
      </c>
      <c r="T238">
        <f>IFERROR(IF(--INDEX('Pooled funds'!$E:$E,ROW())&gt;=1,--INDEX('Pooled funds'!$E:$E,ROW())/100,--INDEX('Pooled funds'!$E:$E,ROW())),0)</f>
        <v/>
      </c>
      <c r="U238">
        <f>IF(ISNUMBER(INDEX('Pooled funds'!$E:$E,ROW())),1,0)</f>
        <v/>
      </c>
      <c r="V238">
        <f>TRIM(SUBSTITUTE(INDEX('Loans'!$A:$A,ROW())&amp;""," "," "))</f>
        <v/>
      </c>
      <c r="W238">
        <f>TRIM(SUBSTITUTE(INDEX('Loans'!$B:$B,ROW())&amp;""," "," "))</f>
        <v/>
      </c>
      <c r="X238">
        <f>TRIM(SUBSTITUTE(INDEX('Loans'!$C:$C,ROW())&amp;""," "," "))</f>
        <v/>
      </c>
      <c r="Y238">
        <f>IFERROR(--INDEX('Loans'!$D:$D,ROW()),0)</f>
        <v/>
      </c>
      <c r="Z238">
        <f>IFERROR(--INDEX('Loans'!$E:$E,ROW()),0)</f>
        <v/>
      </c>
      <c r="AA238">
        <f>IFERROR(--INDEX('Loans'!$F:$F,ROW()),0)</f>
        <v/>
      </c>
      <c r="AB238">
        <f>IFERROR(IF(--INDEX('Loans'!$G:$G,ROW())&gt;=1,--INDEX('Loans'!$G:$G,ROW())/100,--INDEX('Loans'!$G:$G,ROW())),0)</f>
        <v/>
      </c>
      <c r="AC238">
        <f>TRIM(SUBSTITUTE(INDEX('Loans'!$H:$H,ROW())&amp;""," "," "))</f>
        <v/>
      </c>
      <c r="AD238">
        <f>TRIM(SUBSTITUTE(INDEX('Loans'!$I:$I,ROW())&amp;""," "," "))</f>
        <v/>
      </c>
      <c r="AE238">
        <f>IFERROR(--INDEX('Loans'!$J:$J,ROW()),0)</f>
        <v/>
      </c>
      <c r="AF238">
        <f>TRIM(SUBSTITUTE(INDEX('Loans'!$K:$K,ROW())&amp;""," "," "))</f>
        <v/>
      </c>
      <c r="AG238">
        <f>IFERROR(--INDEX('Loans'!$L:$L,ROW()),0)</f>
        <v/>
      </c>
      <c r="AH238">
        <f>IF(ISNUMBER(INDEX('Loans'!$G:$G,ROW())),1,0)</f>
        <v/>
      </c>
    </row>
    <row r="239">
      <c r="A239">
        <f>TRIM(SUBSTITUTE(INDEX('Term investments'!$A:$A,ROW())&amp;""," "," "))</f>
        <v/>
      </c>
      <c r="B239">
        <f>TRIM(SUBSTITUTE(INDEX('Term investments'!$B:$B,ROW())&amp;""," "," "))</f>
        <v/>
      </c>
      <c r="C239">
        <f>TRIM(SUBSTITUTE(INDEX('Term investments'!$C:$C,ROW())&amp;""," "," "))</f>
        <v/>
      </c>
      <c r="D239">
        <f>IFERROR(--INDEX('Term investments'!$D:$D,ROW()),0)</f>
        <v/>
      </c>
      <c r="E239">
        <f>IFERROR(--INDEX('Term investments'!$E:$E,ROW()),0)</f>
        <v/>
      </c>
      <c r="F239">
        <f>IFERROR(--INDEX('Term investments'!$F:$F,ROW()),0)</f>
        <v/>
      </c>
      <c r="G239">
        <f>IFERROR(IF(--INDEX('Term investments'!$G:$G,ROW())&gt;=1,--INDEX('Term investments'!$G:$G,ROW())/100,--INDEX('Term investments'!$G:$G,ROW())),0)</f>
        <v/>
      </c>
      <c r="H239">
        <f>IFERROR(--INDEX('Term investments'!$H:$H,ROW()),0)</f>
        <v/>
      </c>
      <c r="I239">
        <f>IF(ISNUMBER(INDEX('Term investments'!$G:$G,ROW())),1,0)</f>
        <v/>
      </c>
      <c r="J239">
        <f>TRIM(SUBSTITUTE(INDEX('Call accounts and MMFs'!$A:$A,ROW())&amp;""," "," "))</f>
        <v/>
      </c>
      <c r="K239">
        <f>TRIM(SUBSTITUTE(INDEX('Call accounts and MMFs'!$B:$B,ROW())&amp;""," "," "))</f>
        <v/>
      </c>
      <c r="L239">
        <f>TRIM(SUBSTITUTE(INDEX('Call accounts and MMFs'!$C:$C,ROW())&amp;""," "," "))</f>
        <v/>
      </c>
      <c r="M239">
        <f>IFERROR(--INDEX('Call accounts and MMFs'!$D:$D,ROW()),0)</f>
        <v/>
      </c>
      <c r="N239">
        <f>IFERROR(IF(--INDEX('Call accounts and MMFs'!$E:$E,ROW())&gt;=1,--INDEX('Call accounts and MMFs'!$E:$E,ROW())/100,--INDEX('Call accounts and MMFs'!$E:$E,ROW())),0)</f>
        <v/>
      </c>
      <c r="O239">
        <f>IFERROR(--INDEX('Call accounts and MMFs'!$F:$F,ROW()),0)</f>
        <v/>
      </c>
      <c r="P239">
        <f>IF(ISNUMBER(INDEX('Call accounts and MMFs'!$E:$E,ROW())),1,0)</f>
        <v/>
      </c>
      <c r="Q239">
        <f>TRIM(SUBSTITUTE(INDEX('Pooled funds'!$B:$B,ROW())&amp;""," "," "))</f>
        <v/>
      </c>
      <c r="R239">
        <f>IFERROR(--INDEX('Pooled funds'!$C:$C,ROW()),0)</f>
        <v/>
      </c>
      <c r="S239">
        <f>IFERROR(--INDEX('Pooled funds'!$D:$D,ROW()),0)</f>
        <v/>
      </c>
      <c r="T239">
        <f>IFERROR(IF(--INDEX('Pooled funds'!$E:$E,ROW())&gt;=1,--INDEX('Pooled funds'!$E:$E,ROW())/100,--INDEX('Pooled funds'!$E:$E,ROW())),0)</f>
        <v/>
      </c>
      <c r="U239">
        <f>IF(ISNUMBER(INDEX('Pooled funds'!$E:$E,ROW())),1,0)</f>
        <v/>
      </c>
      <c r="V239">
        <f>TRIM(SUBSTITUTE(INDEX('Loans'!$A:$A,ROW())&amp;""," "," "))</f>
        <v/>
      </c>
      <c r="W239">
        <f>TRIM(SUBSTITUTE(INDEX('Loans'!$B:$B,ROW())&amp;""," "," "))</f>
        <v/>
      </c>
      <c r="X239">
        <f>TRIM(SUBSTITUTE(INDEX('Loans'!$C:$C,ROW())&amp;""," "," "))</f>
        <v/>
      </c>
      <c r="Y239">
        <f>IFERROR(--INDEX('Loans'!$D:$D,ROW()),0)</f>
        <v/>
      </c>
      <c r="Z239">
        <f>IFERROR(--INDEX('Loans'!$E:$E,ROW()),0)</f>
        <v/>
      </c>
      <c r="AA239">
        <f>IFERROR(--INDEX('Loans'!$F:$F,ROW()),0)</f>
        <v/>
      </c>
      <c r="AB239">
        <f>IFERROR(IF(--INDEX('Loans'!$G:$G,ROW())&gt;=1,--INDEX('Loans'!$G:$G,ROW())/100,--INDEX('Loans'!$G:$G,ROW())),0)</f>
        <v/>
      </c>
      <c r="AC239">
        <f>TRIM(SUBSTITUTE(INDEX('Loans'!$H:$H,ROW())&amp;""," "," "))</f>
        <v/>
      </c>
      <c r="AD239">
        <f>TRIM(SUBSTITUTE(INDEX('Loans'!$I:$I,ROW())&amp;""," "," "))</f>
        <v/>
      </c>
      <c r="AE239">
        <f>IFERROR(--INDEX('Loans'!$J:$J,ROW()),0)</f>
        <v/>
      </c>
      <c r="AF239">
        <f>TRIM(SUBSTITUTE(INDEX('Loans'!$K:$K,ROW())&amp;""," "," "))</f>
        <v/>
      </c>
      <c r="AG239">
        <f>IFERROR(--INDEX('Loans'!$L:$L,ROW()),0)</f>
        <v/>
      </c>
      <c r="AH239">
        <f>IF(ISNUMBER(INDEX('Loans'!$G:$G,ROW())),1,0)</f>
        <v/>
      </c>
    </row>
    <row r="240">
      <c r="A240">
        <f>TRIM(SUBSTITUTE(INDEX('Term investments'!$A:$A,ROW())&amp;""," "," "))</f>
        <v/>
      </c>
      <c r="B240">
        <f>TRIM(SUBSTITUTE(INDEX('Term investments'!$B:$B,ROW())&amp;""," "," "))</f>
        <v/>
      </c>
      <c r="C240">
        <f>TRIM(SUBSTITUTE(INDEX('Term investments'!$C:$C,ROW())&amp;""," "," "))</f>
        <v/>
      </c>
      <c r="D240">
        <f>IFERROR(--INDEX('Term investments'!$D:$D,ROW()),0)</f>
        <v/>
      </c>
      <c r="E240">
        <f>IFERROR(--INDEX('Term investments'!$E:$E,ROW()),0)</f>
        <v/>
      </c>
      <c r="F240">
        <f>IFERROR(--INDEX('Term investments'!$F:$F,ROW()),0)</f>
        <v/>
      </c>
      <c r="G240">
        <f>IFERROR(IF(--INDEX('Term investments'!$G:$G,ROW())&gt;=1,--INDEX('Term investments'!$G:$G,ROW())/100,--INDEX('Term investments'!$G:$G,ROW())),0)</f>
        <v/>
      </c>
      <c r="H240">
        <f>IFERROR(--INDEX('Term investments'!$H:$H,ROW()),0)</f>
        <v/>
      </c>
      <c r="I240">
        <f>IF(ISNUMBER(INDEX('Term investments'!$G:$G,ROW())),1,0)</f>
        <v/>
      </c>
      <c r="J240">
        <f>TRIM(SUBSTITUTE(INDEX('Call accounts and MMFs'!$A:$A,ROW())&amp;""," "," "))</f>
        <v/>
      </c>
      <c r="K240">
        <f>TRIM(SUBSTITUTE(INDEX('Call accounts and MMFs'!$B:$B,ROW())&amp;""," "," "))</f>
        <v/>
      </c>
      <c r="L240">
        <f>TRIM(SUBSTITUTE(INDEX('Call accounts and MMFs'!$C:$C,ROW())&amp;""," "," "))</f>
        <v/>
      </c>
      <c r="M240">
        <f>IFERROR(--INDEX('Call accounts and MMFs'!$D:$D,ROW()),0)</f>
        <v/>
      </c>
      <c r="N240">
        <f>IFERROR(IF(--INDEX('Call accounts and MMFs'!$E:$E,ROW())&gt;=1,--INDEX('Call accounts and MMFs'!$E:$E,ROW())/100,--INDEX('Call accounts and MMFs'!$E:$E,ROW())),0)</f>
        <v/>
      </c>
      <c r="O240">
        <f>IFERROR(--INDEX('Call accounts and MMFs'!$F:$F,ROW()),0)</f>
        <v/>
      </c>
      <c r="P240">
        <f>IF(ISNUMBER(INDEX('Call accounts and MMFs'!$E:$E,ROW())),1,0)</f>
        <v/>
      </c>
      <c r="Q240">
        <f>TRIM(SUBSTITUTE(INDEX('Pooled funds'!$B:$B,ROW())&amp;""," "," "))</f>
        <v/>
      </c>
      <c r="R240">
        <f>IFERROR(--INDEX('Pooled funds'!$C:$C,ROW()),0)</f>
        <v/>
      </c>
      <c r="S240">
        <f>IFERROR(--INDEX('Pooled funds'!$D:$D,ROW()),0)</f>
        <v/>
      </c>
      <c r="T240">
        <f>IFERROR(IF(--INDEX('Pooled funds'!$E:$E,ROW())&gt;=1,--INDEX('Pooled funds'!$E:$E,ROW())/100,--INDEX('Pooled funds'!$E:$E,ROW())),0)</f>
        <v/>
      </c>
      <c r="U240">
        <f>IF(ISNUMBER(INDEX('Pooled funds'!$E:$E,ROW())),1,0)</f>
        <v/>
      </c>
      <c r="V240">
        <f>TRIM(SUBSTITUTE(INDEX('Loans'!$A:$A,ROW())&amp;""," "," "))</f>
        <v/>
      </c>
      <c r="W240">
        <f>TRIM(SUBSTITUTE(INDEX('Loans'!$B:$B,ROW())&amp;""," "," "))</f>
        <v/>
      </c>
      <c r="X240">
        <f>TRIM(SUBSTITUTE(INDEX('Loans'!$C:$C,ROW())&amp;""," "," "))</f>
        <v/>
      </c>
      <c r="Y240">
        <f>IFERROR(--INDEX('Loans'!$D:$D,ROW()),0)</f>
        <v/>
      </c>
      <c r="Z240">
        <f>IFERROR(--INDEX('Loans'!$E:$E,ROW()),0)</f>
        <v/>
      </c>
      <c r="AA240">
        <f>IFERROR(--INDEX('Loans'!$F:$F,ROW()),0)</f>
        <v/>
      </c>
      <c r="AB240">
        <f>IFERROR(IF(--INDEX('Loans'!$G:$G,ROW())&gt;=1,--INDEX('Loans'!$G:$G,ROW())/100,--INDEX('Loans'!$G:$G,ROW())),0)</f>
        <v/>
      </c>
      <c r="AC240">
        <f>TRIM(SUBSTITUTE(INDEX('Loans'!$H:$H,ROW())&amp;""," "," "))</f>
        <v/>
      </c>
      <c r="AD240">
        <f>TRIM(SUBSTITUTE(INDEX('Loans'!$I:$I,ROW())&amp;""," "," "))</f>
        <v/>
      </c>
      <c r="AE240">
        <f>IFERROR(--INDEX('Loans'!$J:$J,ROW()),0)</f>
        <v/>
      </c>
      <c r="AF240">
        <f>TRIM(SUBSTITUTE(INDEX('Loans'!$K:$K,ROW())&amp;""," "," "))</f>
        <v/>
      </c>
      <c r="AG240">
        <f>IFERROR(--INDEX('Loans'!$L:$L,ROW()),0)</f>
        <v/>
      </c>
      <c r="AH240">
        <f>IF(ISNUMBER(INDEX('Loans'!$G:$G,ROW())),1,0)</f>
        <v/>
      </c>
    </row>
    <row r="241">
      <c r="A241">
        <f>TRIM(SUBSTITUTE(INDEX('Term investments'!$A:$A,ROW())&amp;""," "," "))</f>
        <v/>
      </c>
      <c r="B241">
        <f>TRIM(SUBSTITUTE(INDEX('Term investments'!$B:$B,ROW())&amp;""," "," "))</f>
        <v/>
      </c>
      <c r="C241">
        <f>TRIM(SUBSTITUTE(INDEX('Term investments'!$C:$C,ROW())&amp;""," "," "))</f>
        <v/>
      </c>
      <c r="D241">
        <f>IFERROR(--INDEX('Term investments'!$D:$D,ROW()),0)</f>
        <v/>
      </c>
      <c r="E241">
        <f>IFERROR(--INDEX('Term investments'!$E:$E,ROW()),0)</f>
        <v/>
      </c>
      <c r="F241">
        <f>IFERROR(--INDEX('Term investments'!$F:$F,ROW()),0)</f>
        <v/>
      </c>
      <c r="G241">
        <f>IFERROR(IF(--INDEX('Term investments'!$G:$G,ROW())&gt;=1,--INDEX('Term investments'!$G:$G,ROW())/100,--INDEX('Term investments'!$G:$G,ROW())),0)</f>
        <v/>
      </c>
      <c r="H241">
        <f>IFERROR(--INDEX('Term investments'!$H:$H,ROW()),0)</f>
        <v/>
      </c>
      <c r="I241">
        <f>IF(ISNUMBER(INDEX('Term investments'!$G:$G,ROW())),1,0)</f>
        <v/>
      </c>
      <c r="J241">
        <f>TRIM(SUBSTITUTE(INDEX('Call accounts and MMFs'!$A:$A,ROW())&amp;""," "," "))</f>
        <v/>
      </c>
      <c r="K241">
        <f>TRIM(SUBSTITUTE(INDEX('Call accounts and MMFs'!$B:$B,ROW())&amp;""," "," "))</f>
        <v/>
      </c>
      <c r="L241">
        <f>TRIM(SUBSTITUTE(INDEX('Call accounts and MMFs'!$C:$C,ROW())&amp;""," "," "))</f>
        <v/>
      </c>
      <c r="M241">
        <f>IFERROR(--INDEX('Call accounts and MMFs'!$D:$D,ROW()),0)</f>
        <v/>
      </c>
      <c r="N241">
        <f>IFERROR(IF(--INDEX('Call accounts and MMFs'!$E:$E,ROW())&gt;=1,--INDEX('Call accounts and MMFs'!$E:$E,ROW())/100,--INDEX('Call accounts and MMFs'!$E:$E,ROW())),0)</f>
        <v/>
      </c>
      <c r="O241">
        <f>IFERROR(--INDEX('Call accounts and MMFs'!$F:$F,ROW()),0)</f>
        <v/>
      </c>
      <c r="P241">
        <f>IF(ISNUMBER(INDEX('Call accounts and MMFs'!$E:$E,ROW())),1,0)</f>
        <v/>
      </c>
      <c r="Q241">
        <f>TRIM(SUBSTITUTE(INDEX('Pooled funds'!$B:$B,ROW())&amp;""," "," "))</f>
        <v/>
      </c>
      <c r="R241">
        <f>IFERROR(--INDEX('Pooled funds'!$C:$C,ROW()),0)</f>
        <v/>
      </c>
      <c r="S241">
        <f>IFERROR(--INDEX('Pooled funds'!$D:$D,ROW()),0)</f>
        <v/>
      </c>
      <c r="T241">
        <f>IFERROR(IF(--INDEX('Pooled funds'!$E:$E,ROW())&gt;=1,--INDEX('Pooled funds'!$E:$E,ROW())/100,--INDEX('Pooled funds'!$E:$E,ROW())),0)</f>
        <v/>
      </c>
      <c r="U241">
        <f>IF(ISNUMBER(INDEX('Pooled funds'!$E:$E,ROW())),1,0)</f>
        <v/>
      </c>
      <c r="V241">
        <f>TRIM(SUBSTITUTE(INDEX('Loans'!$A:$A,ROW())&amp;""," "," "))</f>
        <v/>
      </c>
      <c r="W241">
        <f>TRIM(SUBSTITUTE(INDEX('Loans'!$B:$B,ROW())&amp;""," "," "))</f>
        <v/>
      </c>
      <c r="X241">
        <f>TRIM(SUBSTITUTE(INDEX('Loans'!$C:$C,ROW())&amp;""," "," "))</f>
        <v/>
      </c>
      <c r="Y241">
        <f>IFERROR(--INDEX('Loans'!$D:$D,ROW()),0)</f>
        <v/>
      </c>
      <c r="Z241">
        <f>IFERROR(--INDEX('Loans'!$E:$E,ROW()),0)</f>
        <v/>
      </c>
      <c r="AA241">
        <f>IFERROR(--INDEX('Loans'!$F:$F,ROW()),0)</f>
        <v/>
      </c>
      <c r="AB241">
        <f>IFERROR(IF(--INDEX('Loans'!$G:$G,ROW())&gt;=1,--INDEX('Loans'!$G:$G,ROW())/100,--INDEX('Loans'!$G:$G,ROW())),0)</f>
        <v/>
      </c>
      <c r="AC241">
        <f>TRIM(SUBSTITUTE(INDEX('Loans'!$H:$H,ROW())&amp;""," "," "))</f>
        <v/>
      </c>
      <c r="AD241">
        <f>TRIM(SUBSTITUTE(INDEX('Loans'!$I:$I,ROW())&amp;""," "," "))</f>
        <v/>
      </c>
      <c r="AE241">
        <f>IFERROR(--INDEX('Loans'!$J:$J,ROW()),0)</f>
        <v/>
      </c>
      <c r="AF241">
        <f>TRIM(SUBSTITUTE(INDEX('Loans'!$K:$K,ROW())&amp;""," "," "))</f>
        <v/>
      </c>
      <c r="AG241">
        <f>IFERROR(--INDEX('Loans'!$L:$L,ROW()),0)</f>
        <v/>
      </c>
      <c r="AH241">
        <f>IF(ISNUMBER(INDEX('Loans'!$G:$G,ROW())),1,0)</f>
        <v/>
      </c>
    </row>
    <row r="242">
      <c r="A242">
        <f>TRIM(SUBSTITUTE(INDEX('Term investments'!$A:$A,ROW())&amp;""," "," "))</f>
        <v/>
      </c>
      <c r="B242">
        <f>TRIM(SUBSTITUTE(INDEX('Term investments'!$B:$B,ROW())&amp;""," "," "))</f>
        <v/>
      </c>
      <c r="C242">
        <f>TRIM(SUBSTITUTE(INDEX('Term investments'!$C:$C,ROW())&amp;""," "," "))</f>
        <v/>
      </c>
      <c r="D242">
        <f>IFERROR(--INDEX('Term investments'!$D:$D,ROW()),0)</f>
        <v/>
      </c>
      <c r="E242">
        <f>IFERROR(--INDEX('Term investments'!$E:$E,ROW()),0)</f>
        <v/>
      </c>
      <c r="F242">
        <f>IFERROR(--INDEX('Term investments'!$F:$F,ROW()),0)</f>
        <v/>
      </c>
      <c r="G242">
        <f>IFERROR(IF(--INDEX('Term investments'!$G:$G,ROW())&gt;=1,--INDEX('Term investments'!$G:$G,ROW())/100,--INDEX('Term investments'!$G:$G,ROW())),0)</f>
        <v/>
      </c>
      <c r="H242">
        <f>IFERROR(--INDEX('Term investments'!$H:$H,ROW()),0)</f>
        <v/>
      </c>
      <c r="I242">
        <f>IF(ISNUMBER(INDEX('Term investments'!$G:$G,ROW())),1,0)</f>
        <v/>
      </c>
      <c r="J242">
        <f>TRIM(SUBSTITUTE(INDEX('Call accounts and MMFs'!$A:$A,ROW())&amp;""," "," "))</f>
        <v/>
      </c>
      <c r="K242">
        <f>TRIM(SUBSTITUTE(INDEX('Call accounts and MMFs'!$B:$B,ROW())&amp;""," "," "))</f>
        <v/>
      </c>
      <c r="L242">
        <f>TRIM(SUBSTITUTE(INDEX('Call accounts and MMFs'!$C:$C,ROW())&amp;""," "," "))</f>
        <v/>
      </c>
      <c r="M242">
        <f>IFERROR(--INDEX('Call accounts and MMFs'!$D:$D,ROW()),0)</f>
        <v/>
      </c>
      <c r="N242">
        <f>IFERROR(IF(--INDEX('Call accounts and MMFs'!$E:$E,ROW())&gt;=1,--INDEX('Call accounts and MMFs'!$E:$E,ROW())/100,--INDEX('Call accounts and MMFs'!$E:$E,ROW())),0)</f>
        <v/>
      </c>
      <c r="O242">
        <f>IFERROR(--INDEX('Call accounts and MMFs'!$F:$F,ROW()),0)</f>
        <v/>
      </c>
      <c r="P242">
        <f>IF(ISNUMBER(INDEX('Call accounts and MMFs'!$E:$E,ROW())),1,0)</f>
        <v/>
      </c>
      <c r="Q242">
        <f>TRIM(SUBSTITUTE(INDEX('Pooled funds'!$B:$B,ROW())&amp;""," "," "))</f>
        <v/>
      </c>
      <c r="R242">
        <f>IFERROR(--INDEX('Pooled funds'!$C:$C,ROW()),0)</f>
        <v/>
      </c>
      <c r="S242">
        <f>IFERROR(--INDEX('Pooled funds'!$D:$D,ROW()),0)</f>
        <v/>
      </c>
      <c r="T242">
        <f>IFERROR(IF(--INDEX('Pooled funds'!$E:$E,ROW())&gt;=1,--INDEX('Pooled funds'!$E:$E,ROW())/100,--INDEX('Pooled funds'!$E:$E,ROW())),0)</f>
        <v/>
      </c>
      <c r="U242">
        <f>IF(ISNUMBER(INDEX('Pooled funds'!$E:$E,ROW())),1,0)</f>
        <v/>
      </c>
      <c r="V242">
        <f>TRIM(SUBSTITUTE(INDEX('Loans'!$A:$A,ROW())&amp;""," "," "))</f>
        <v/>
      </c>
      <c r="W242">
        <f>TRIM(SUBSTITUTE(INDEX('Loans'!$B:$B,ROW())&amp;""," "," "))</f>
        <v/>
      </c>
      <c r="X242">
        <f>TRIM(SUBSTITUTE(INDEX('Loans'!$C:$C,ROW())&amp;""," "," "))</f>
        <v/>
      </c>
      <c r="Y242">
        <f>IFERROR(--INDEX('Loans'!$D:$D,ROW()),0)</f>
        <v/>
      </c>
      <c r="Z242">
        <f>IFERROR(--INDEX('Loans'!$E:$E,ROW()),0)</f>
        <v/>
      </c>
      <c r="AA242">
        <f>IFERROR(--INDEX('Loans'!$F:$F,ROW()),0)</f>
        <v/>
      </c>
      <c r="AB242">
        <f>IFERROR(IF(--INDEX('Loans'!$G:$G,ROW())&gt;=1,--INDEX('Loans'!$G:$G,ROW())/100,--INDEX('Loans'!$G:$G,ROW())),0)</f>
        <v/>
      </c>
      <c r="AC242">
        <f>TRIM(SUBSTITUTE(INDEX('Loans'!$H:$H,ROW())&amp;""," "," "))</f>
        <v/>
      </c>
      <c r="AD242">
        <f>TRIM(SUBSTITUTE(INDEX('Loans'!$I:$I,ROW())&amp;""," "," "))</f>
        <v/>
      </c>
      <c r="AE242">
        <f>IFERROR(--INDEX('Loans'!$J:$J,ROW()),0)</f>
        <v/>
      </c>
      <c r="AF242">
        <f>TRIM(SUBSTITUTE(INDEX('Loans'!$K:$K,ROW())&amp;""," "," "))</f>
        <v/>
      </c>
      <c r="AG242">
        <f>IFERROR(--INDEX('Loans'!$L:$L,ROW()),0)</f>
        <v/>
      </c>
      <c r="AH242">
        <f>IF(ISNUMBER(INDEX('Loans'!$G:$G,ROW())),1,0)</f>
        <v/>
      </c>
    </row>
    <row r="243">
      <c r="A243">
        <f>TRIM(SUBSTITUTE(INDEX('Term investments'!$A:$A,ROW())&amp;""," "," "))</f>
        <v/>
      </c>
      <c r="B243">
        <f>TRIM(SUBSTITUTE(INDEX('Term investments'!$B:$B,ROW())&amp;""," "," "))</f>
        <v/>
      </c>
      <c r="C243">
        <f>TRIM(SUBSTITUTE(INDEX('Term investments'!$C:$C,ROW())&amp;""," "," "))</f>
        <v/>
      </c>
      <c r="D243">
        <f>IFERROR(--INDEX('Term investments'!$D:$D,ROW()),0)</f>
        <v/>
      </c>
      <c r="E243">
        <f>IFERROR(--INDEX('Term investments'!$E:$E,ROW()),0)</f>
        <v/>
      </c>
      <c r="F243">
        <f>IFERROR(--INDEX('Term investments'!$F:$F,ROW()),0)</f>
        <v/>
      </c>
      <c r="G243">
        <f>IFERROR(IF(--INDEX('Term investments'!$G:$G,ROW())&gt;=1,--INDEX('Term investments'!$G:$G,ROW())/100,--INDEX('Term investments'!$G:$G,ROW())),0)</f>
        <v/>
      </c>
      <c r="H243">
        <f>IFERROR(--INDEX('Term investments'!$H:$H,ROW()),0)</f>
        <v/>
      </c>
      <c r="I243">
        <f>IF(ISNUMBER(INDEX('Term investments'!$G:$G,ROW())),1,0)</f>
        <v/>
      </c>
      <c r="J243">
        <f>TRIM(SUBSTITUTE(INDEX('Call accounts and MMFs'!$A:$A,ROW())&amp;""," "," "))</f>
        <v/>
      </c>
      <c r="K243">
        <f>TRIM(SUBSTITUTE(INDEX('Call accounts and MMFs'!$B:$B,ROW())&amp;""," "," "))</f>
        <v/>
      </c>
      <c r="L243">
        <f>TRIM(SUBSTITUTE(INDEX('Call accounts and MMFs'!$C:$C,ROW())&amp;""," "," "))</f>
        <v/>
      </c>
      <c r="M243">
        <f>IFERROR(--INDEX('Call accounts and MMFs'!$D:$D,ROW()),0)</f>
        <v/>
      </c>
      <c r="N243">
        <f>IFERROR(IF(--INDEX('Call accounts and MMFs'!$E:$E,ROW())&gt;=1,--INDEX('Call accounts and MMFs'!$E:$E,ROW())/100,--INDEX('Call accounts and MMFs'!$E:$E,ROW())),0)</f>
        <v/>
      </c>
      <c r="O243">
        <f>IFERROR(--INDEX('Call accounts and MMFs'!$F:$F,ROW()),0)</f>
        <v/>
      </c>
      <c r="P243">
        <f>IF(ISNUMBER(INDEX('Call accounts and MMFs'!$E:$E,ROW())),1,0)</f>
        <v/>
      </c>
      <c r="Q243">
        <f>TRIM(SUBSTITUTE(INDEX('Pooled funds'!$B:$B,ROW())&amp;""," "," "))</f>
        <v/>
      </c>
      <c r="R243">
        <f>IFERROR(--INDEX('Pooled funds'!$C:$C,ROW()),0)</f>
        <v/>
      </c>
      <c r="S243">
        <f>IFERROR(--INDEX('Pooled funds'!$D:$D,ROW()),0)</f>
        <v/>
      </c>
      <c r="T243">
        <f>IFERROR(IF(--INDEX('Pooled funds'!$E:$E,ROW())&gt;=1,--INDEX('Pooled funds'!$E:$E,ROW())/100,--INDEX('Pooled funds'!$E:$E,ROW())),0)</f>
        <v/>
      </c>
      <c r="U243">
        <f>IF(ISNUMBER(INDEX('Pooled funds'!$E:$E,ROW())),1,0)</f>
        <v/>
      </c>
      <c r="V243">
        <f>TRIM(SUBSTITUTE(INDEX('Loans'!$A:$A,ROW())&amp;""," "," "))</f>
        <v/>
      </c>
      <c r="W243">
        <f>TRIM(SUBSTITUTE(INDEX('Loans'!$B:$B,ROW())&amp;""," "," "))</f>
        <v/>
      </c>
      <c r="X243">
        <f>TRIM(SUBSTITUTE(INDEX('Loans'!$C:$C,ROW())&amp;""," "," "))</f>
        <v/>
      </c>
      <c r="Y243">
        <f>IFERROR(--INDEX('Loans'!$D:$D,ROW()),0)</f>
        <v/>
      </c>
      <c r="Z243">
        <f>IFERROR(--INDEX('Loans'!$E:$E,ROW()),0)</f>
        <v/>
      </c>
      <c r="AA243">
        <f>IFERROR(--INDEX('Loans'!$F:$F,ROW()),0)</f>
        <v/>
      </c>
      <c r="AB243">
        <f>IFERROR(IF(--INDEX('Loans'!$G:$G,ROW())&gt;=1,--INDEX('Loans'!$G:$G,ROW())/100,--INDEX('Loans'!$G:$G,ROW())),0)</f>
        <v/>
      </c>
      <c r="AC243">
        <f>TRIM(SUBSTITUTE(INDEX('Loans'!$H:$H,ROW())&amp;""," "," "))</f>
        <v/>
      </c>
      <c r="AD243">
        <f>TRIM(SUBSTITUTE(INDEX('Loans'!$I:$I,ROW())&amp;""," "," "))</f>
        <v/>
      </c>
      <c r="AE243">
        <f>IFERROR(--INDEX('Loans'!$J:$J,ROW()),0)</f>
        <v/>
      </c>
      <c r="AF243">
        <f>TRIM(SUBSTITUTE(INDEX('Loans'!$K:$K,ROW())&amp;""," "," "))</f>
        <v/>
      </c>
      <c r="AG243">
        <f>IFERROR(--INDEX('Loans'!$L:$L,ROW()),0)</f>
        <v/>
      </c>
      <c r="AH243">
        <f>IF(ISNUMBER(INDEX('Loans'!$G:$G,ROW())),1,0)</f>
        <v/>
      </c>
    </row>
    <row r="244">
      <c r="A244">
        <f>TRIM(SUBSTITUTE(INDEX('Term investments'!$A:$A,ROW())&amp;""," "," "))</f>
        <v/>
      </c>
      <c r="B244">
        <f>TRIM(SUBSTITUTE(INDEX('Term investments'!$B:$B,ROW())&amp;""," "," "))</f>
        <v/>
      </c>
      <c r="C244">
        <f>TRIM(SUBSTITUTE(INDEX('Term investments'!$C:$C,ROW())&amp;""," "," "))</f>
        <v/>
      </c>
      <c r="D244">
        <f>IFERROR(--INDEX('Term investments'!$D:$D,ROW()),0)</f>
        <v/>
      </c>
      <c r="E244">
        <f>IFERROR(--INDEX('Term investments'!$E:$E,ROW()),0)</f>
        <v/>
      </c>
      <c r="F244">
        <f>IFERROR(--INDEX('Term investments'!$F:$F,ROW()),0)</f>
        <v/>
      </c>
      <c r="G244">
        <f>IFERROR(IF(--INDEX('Term investments'!$G:$G,ROW())&gt;=1,--INDEX('Term investments'!$G:$G,ROW())/100,--INDEX('Term investments'!$G:$G,ROW())),0)</f>
        <v/>
      </c>
      <c r="H244">
        <f>IFERROR(--INDEX('Term investments'!$H:$H,ROW()),0)</f>
        <v/>
      </c>
      <c r="I244">
        <f>IF(ISNUMBER(INDEX('Term investments'!$G:$G,ROW())),1,0)</f>
        <v/>
      </c>
      <c r="J244">
        <f>TRIM(SUBSTITUTE(INDEX('Call accounts and MMFs'!$A:$A,ROW())&amp;""," "," "))</f>
        <v/>
      </c>
      <c r="K244">
        <f>TRIM(SUBSTITUTE(INDEX('Call accounts and MMFs'!$B:$B,ROW())&amp;""," "," "))</f>
        <v/>
      </c>
      <c r="L244">
        <f>TRIM(SUBSTITUTE(INDEX('Call accounts and MMFs'!$C:$C,ROW())&amp;""," "," "))</f>
        <v/>
      </c>
      <c r="M244">
        <f>IFERROR(--INDEX('Call accounts and MMFs'!$D:$D,ROW()),0)</f>
        <v/>
      </c>
      <c r="N244">
        <f>IFERROR(IF(--INDEX('Call accounts and MMFs'!$E:$E,ROW())&gt;=1,--INDEX('Call accounts and MMFs'!$E:$E,ROW())/100,--INDEX('Call accounts and MMFs'!$E:$E,ROW())),0)</f>
        <v/>
      </c>
      <c r="O244">
        <f>IFERROR(--INDEX('Call accounts and MMFs'!$F:$F,ROW()),0)</f>
        <v/>
      </c>
      <c r="P244">
        <f>IF(ISNUMBER(INDEX('Call accounts and MMFs'!$E:$E,ROW())),1,0)</f>
        <v/>
      </c>
      <c r="Q244">
        <f>TRIM(SUBSTITUTE(INDEX('Pooled funds'!$B:$B,ROW())&amp;""," "," "))</f>
        <v/>
      </c>
      <c r="R244">
        <f>IFERROR(--INDEX('Pooled funds'!$C:$C,ROW()),0)</f>
        <v/>
      </c>
      <c r="S244">
        <f>IFERROR(--INDEX('Pooled funds'!$D:$D,ROW()),0)</f>
        <v/>
      </c>
      <c r="T244">
        <f>IFERROR(IF(--INDEX('Pooled funds'!$E:$E,ROW())&gt;=1,--INDEX('Pooled funds'!$E:$E,ROW())/100,--INDEX('Pooled funds'!$E:$E,ROW())),0)</f>
        <v/>
      </c>
      <c r="U244">
        <f>IF(ISNUMBER(INDEX('Pooled funds'!$E:$E,ROW())),1,0)</f>
        <v/>
      </c>
      <c r="V244">
        <f>TRIM(SUBSTITUTE(INDEX('Loans'!$A:$A,ROW())&amp;""," "," "))</f>
        <v/>
      </c>
      <c r="W244">
        <f>TRIM(SUBSTITUTE(INDEX('Loans'!$B:$B,ROW())&amp;""," "," "))</f>
        <v/>
      </c>
      <c r="X244">
        <f>TRIM(SUBSTITUTE(INDEX('Loans'!$C:$C,ROW())&amp;""," "," "))</f>
        <v/>
      </c>
      <c r="Y244">
        <f>IFERROR(--INDEX('Loans'!$D:$D,ROW()),0)</f>
        <v/>
      </c>
      <c r="Z244">
        <f>IFERROR(--INDEX('Loans'!$E:$E,ROW()),0)</f>
        <v/>
      </c>
      <c r="AA244">
        <f>IFERROR(--INDEX('Loans'!$F:$F,ROW()),0)</f>
        <v/>
      </c>
      <c r="AB244">
        <f>IFERROR(IF(--INDEX('Loans'!$G:$G,ROW())&gt;=1,--INDEX('Loans'!$G:$G,ROW())/100,--INDEX('Loans'!$G:$G,ROW())),0)</f>
        <v/>
      </c>
      <c r="AC244">
        <f>TRIM(SUBSTITUTE(INDEX('Loans'!$H:$H,ROW())&amp;""," "," "))</f>
        <v/>
      </c>
      <c r="AD244">
        <f>TRIM(SUBSTITUTE(INDEX('Loans'!$I:$I,ROW())&amp;""," "," "))</f>
        <v/>
      </c>
      <c r="AE244">
        <f>IFERROR(--INDEX('Loans'!$J:$J,ROW()),0)</f>
        <v/>
      </c>
      <c r="AF244">
        <f>TRIM(SUBSTITUTE(INDEX('Loans'!$K:$K,ROW())&amp;""," "," "))</f>
        <v/>
      </c>
      <c r="AG244">
        <f>IFERROR(--INDEX('Loans'!$L:$L,ROW()),0)</f>
        <v/>
      </c>
      <c r="AH244">
        <f>IF(ISNUMBER(INDEX('Loans'!$G:$G,ROW())),1,0)</f>
        <v/>
      </c>
    </row>
    <row r="245">
      <c r="A245">
        <f>TRIM(SUBSTITUTE(INDEX('Term investments'!$A:$A,ROW())&amp;""," "," "))</f>
        <v/>
      </c>
      <c r="B245">
        <f>TRIM(SUBSTITUTE(INDEX('Term investments'!$B:$B,ROW())&amp;""," "," "))</f>
        <v/>
      </c>
      <c r="C245">
        <f>TRIM(SUBSTITUTE(INDEX('Term investments'!$C:$C,ROW())&amp;""," "," "))</f>
        <v/>
      </c>
      <c r="D245">
        <f>IFERROR(--INDEX('Term investments'!$D:$D,ROW()),0)</f>
        <v/>
      </c>
      <c r="E245">
        <f>IFERROR(--INDEX('Term investments'!$E:$E,ROW()),0)</f>
        <v/>
      </c>
      <c r="F245">
        <f>IFERROR(--INDEX('Term investments'!$F:$F,ROW()),0)</f>
        <v/>
      </c>
      <c r="G245">
        <f>IFERROR(IF(--INDEX('Term investments'!$G:$G,ROW())&gt;=1,--INDEX('Term investments'!$G:$G,ROW())/100,--INDEX('Term investments'!$G:$G,ROW())),0)</f>
        <v/>
      </c>
      <c r="H245">
        <f>IFERROR(--INDEX('Term investments'!$H:$H,ROW()),0)</f>
        <v/>
      </c>
      <c r="I245">
        <f>IF(ISNUMBER(INDEX('Term investments'!$G:$G,ROW())),1,0)</f>
        <v/>
      </c>
      <c r="J245">
        <f>TRIM(SUBSTITUTE(INDEX('Call accounts and MMFs'!$A:$A,ROW())&amp;""," "," "))</f>
        <v/>
      </c>
      <c r="K245">
        <f>TRIM(SUBSTITUTE(INDEX('Call accounts and MMFs'!$B:$B,ROW())&amp;""," "," "))</f>
        <v/>
      </c>
      <c r="L245">
        <f>TRIM(SUBSTITUTE(INDEX('Call accounts and MMFs'!$C:$C,ROW())&amp;""," "," "))</f>
        <v/>
      </c>
      <c r="M245">
        <f>IFERROR(--INDEX('Call accounts and MMFs'!$D:$D,ROW()),0)</f>
        <v/>
      </c>
      <c r="N245">
        <f>IFERROR(IF(--INDEX('Call accounts and MMFs'!$E:$E,ROW())&gt;=1,--INDEX('Call accounts and MMFs'!$E:$E,ROW())/100,--INDEX('Call accounts and MMFs'!$E:$E,ROW())),0)</f>
        <v/>
      </c>
      <c r="O245">
        <f>IFERROR(--INDEX('Call accounts and MMFs'!$F:$F,ROW()),0)</f>
        <v/>
      </c>
      <c r="P245">
        <f>IF(ISNUMBER(INDEX('Call accounts and MMFs'!$E:$E,ROW())),1,0)</f>
        <v/>
      </c>
      <c r="Q245">
        <f>TRIM(SUBSTITUTE(INDEX('Pooled funds'!$B:$B,ROW())&amp;""," "," "))</f>
        <v/>
      </c>
      <c r="R245">
        <f>IFERROR(--INDEX('Pooled funds'!$C:$C,ROW()),0)</f>
        <v/>
      </c>
      <c r="S245">
        <f>IFERROR(--INDEX('Pooled funds'!$D:$D,ROW()),0)</f>
        <v/>
      </c>
      <c r="T245">
        <f>IFERROR(IF(--INDEX('Pooled funds'!$E:$E,ROW())&gt;=1,--INDEX('Pooled funds'!$E:$E,ROW())/100,--INDEX('Pooled funds'!$E:$E,ROW())),0)</f>
        <v/>
      </c>
      <c r="U245">
        <f>IF(ISNUMBER(INDEX('Pooled funds'!$E:$E,ROW())),1,0)</f>
        <v/>
      </c>
      <c r="V245">
        <f>TRIM(SUBSTITUTE(INDEX('Loans'!$A:$A,ROW())&amp;""," "," "))</f>
        <v/>
      </c>
      <c r="W245">
        <f>TRIM(SUBSTITUTE(INDEX('Loans'!$B:$B,ROW())&amp;""," "," "))</f>
        <v/>
      </c>
      <c r="X245">
        <f>TRIM(SUBSTITUTE(INDEX('Loans'!$C:$C,ROW())&amp;""," "," "))</f>
        <v/>
      </c>
      <c r="Y245">
        <f>IFERROR(--INDEX('Loans'!$D:$D,ROW()),0)</f>
        <v/>
      </c>
      <c r="Z245">
        <f>IFERROR(--INDEX('Loans'!$E:$E,ROW()),0)</f>
        <v/>
      </c>
      <c r="AA245">
        <f>IFERROR(--INDEX('Loans'!$F:$F,ROW()),0)</f>
        <v/>
      </c>
      <c r="AB245">
        <f>IFERROR(IF(--INDEX('Loans'!$G:$G,ROW())&gt;=1,--INDEX('Loans'!$G:$G,ROW())/100,--INDEX('Loans'!$G:$G,ROW())),0)</f>
        <v/>
      </c>
      <c r="AC245">
        <f>TRIM(SUBSTITUTE(INDEX('Loans'!$H:$H,ROW())&amp;""," "," "))</f>
        <v/>
      </c>
      <c r="AD245">
        <f>TRIM(SUBSTITUTE(INDEX('Loans'!$I:$I,ROW())&amp;""," "," "))</f>
        <v/>
      </c>
      <c r="AE245">
        <f>IFERROR(--INDEX('Loans'!$J:$J,ROW()),0)</f>
        <v/>
      </c>
      <c r="AF245">
        <f>TRIM(SUBSTITUTE(INDEX('Loans'!$K:$K,ROW())&amp;""," "," "))</f>
        <v/>
      </c>
      <c r="AG245">
        <f>IFERROR(--INDEX('Loans'!$L:$L,ROW()),0)</f>
        <v/>
      </c>
      <c r="AH245">
        <f>IF(ISNUMBER(INDEX('Loans'!$G:$G,ROW())),1,0)</f>
        <v/>
      </c>
    </row>
    <row r="246">
      <c r="A246">
        <f>TRIM(SUBSTITUTE(INDEX('Term investments'!$A:$A,ROW())&amp;""," "," "))</f>
        <v/>
      </c>
      <c r="B246">
        <f>TRIM(SUBSTITUTE(INDEX('Term investments'!$B:$B,ROW())&amp;""," "," "))</f>
        <v/>
      </c>
      <c r="C246">
        <f>TRIM(SUBSTITUTE(INDEX('Term investments'!$C:$C,ROW())&amp;""," "," "))</f>
        <v/>
      </c>
      <c r="D246">
        <f>IFERROR(--INDEX('Term investments'!$D:$D,ROW()),0)</f>
        <v/>
      </c>
      <c r="E246">
        <f>IFERROR(--INDEX('Term investments'!$E:$E,ROW()),0)</f>
        <v/>
      </c>
      <c r="F246">
        <f>IFERROR(--INDEX('Term investments'!$F:$F,ROW()),0)</f>
        <v/>
      </c>
      <c r="G246">
        <f>IFERROR(IF(--INDEX('Term investments'!$G:$G,ROW())&gt;=1,--INDEX('Term investments'!$G:$G,ROW())/100,--INDEX('Term investments'!$G:$G,ROW())),0)</f>
        <v/>
      </c>
      <c r="H246">
        <f>IFERROR(--INDEX('Term investments'!$H:$H,ROW()),0)</f>
        <v/>
      </c>
      <c r="I246">
        <f>IF(ISNUMBER(INDEX('Term investments'!$G:$G,ROW())),1,0)</f>
        <v/>
      </c>
      <c r="J246">
        <f>TRIM(SUBSTITUTE(INDEX('Call accounts and MMFs'!$A:$A,ROW())&amp;""," "," "))</f>
        <v/>
      </c>
      <c r="K246">
        <f>TRIM(SUBSTITUTE(INDEX('Call accounts and MMFs'!$B:$B,ROW())&amp;""," "," "))</f>
        <v/>
      </c>
      <c r="L246">
        <f>TRIM(SUBSTITUTE(INDEX('Call accounts and MMFs'!$C:$C,ROW())&amp;""," "," "))</f>
        <v/>
      </c>
      <c r="M246">
        <f>IFERROR(--INDEX('Call accounts and MMFs'!$D:$D,ROW()),0)</f>
        <v/>
      </c>
      <c r="N246">
        <f>IFERROR(IF(--INDEX('Call accounts and MMFs'!$E:$E,ROW())&gt;=1,--INDEX('Call accounts and MMFs'!$E:$E,ROW())/100,--INDEX('Call accounts and MMFs'!$E:$E,ROW())),0)</f>
        <v/>
      </c>
      <c r="O246">
        <f>IFERROR(--INDEX('Call accounts and MMFs'!$F:$F,ROW()),0)</f>
        <v/>
      </c>
      <c r="P246">
        <f>IF(ISNUMBER(INDEX('Call accounts and MMFs'!$E:$E,ROW())),1,0)</f>
        <v/>
      </c>
      <c r="Q246">
        <f>TRIM(SUBSTITUTE(INDEX('Pooled funds'!$B:$B,ROW())&amp;""," "," "))</f>
        <v/>
      </c>
      <c r="R246">
        <f>IFERROR(--INDEX('Pooled funds'!$C:$C,ROW()),0)</f>
        <v/>
      </c>
      <c r="S246">
        <f>IFERROR(--INDEX('Pooled funds'!$D:$D,ROW()),0)</f>
        <v/>
      </c>
      <c r="T246">
        <f>IFERROR(IF(--INDEX('Pooled funds'!$E:$E,ROW())&gt;=1,--INDEX('Pooled funds'!$E:$E,ROW())/100,--INDEX('Pooled funds'!$E:$E,ROW())),0)</f>
        <v/>
      </c>
      <c r="U246">
        <f>IF(ISNUMBER(INDEX('Pooled funds'!$E:$E,ROW())),1,0)</f>
        <v/>
      </c>
      <c r="V246">
        <f>TRIM(SUBSTITUTE(INDEX('Loans'!$A:$A,ROW())&amp;""," "," "))</f>
        <v/>
      </c>
      <c r="W246">
        <f>TRIM(SUBSTITUTE(INDEX('Loans'!$B:$B,ROW())&amp;""," "," "))</f>
        <v/>
      </c>
      <c r="X246">
        <f>TRIM(SUBSTITUTE(INDEX('Loans'!$C:$C,ROW())&amp;""," "," "))</f>
        <v/>
      </c>
      <c r="Y246">
        <f>IFERROR(--INDEX('Loans'!$D:$D,ROW()),0)</f>
        <v/>
      </c>
      <c r="Z246">
        <f>IFERROR(--INDEX('Loans'!$E:$E,ROW()),0)</f>
        <v/>
      </c>
      <c r="AA246">
        <f>IFERROR(--INDEX('Loans'!$F:$F,ROW()),0)</f>
        <v/>
      </c>
      <c r="AB246">
        <f>IFERROR(IF(--INDEX('Loans'!$G:$G,ROW())&gt;=1,--INDEX('Loans'!$G:$G,ROW())/100,--INDEX('Loans'!$G:$G,ROW())),0)</f>
        <v/>
      </c>
      <c r="AC246">
        <f>TRIM(SUBSTITUTE(INDEX('Loans'!$H:$H,ROW())&amp;""," "," "))</f>
        <v/>
      </c>
      <c r="AD246">
        <f>TRIM(SUBSTITUTE(INDEX('Loans'!$I:$I,ROW())&amp;""," "," "))</f>
        <v/>
      </c>
      <c r="AE246">
        <f>IFERROR(--INDEX('Loans'!$J:$J,ROW()),0)</f>
        <v/>
      </c>
      <c r="AF246">
        <f>TRIM(SUBSTITUTE(INDEX('Loans'!$K:$K,ROW())&amp;""," "," "))</f>
        <v/>
      </c>
      <c r="AG246">
        <f>IFERROR(--INDEX('Loans'!$L:$L,ROW()),0)</f>
        <v/>
      </c>
      <c r="AH246">
        <f>IF(ISNUMBER(INDEX('Loans'!$G:$G,ROW())),1,0)</f>
        <v/>
      </c>
    </row>
    <row r="247">
      <c r="A247">
        <f>TRIM(SUBSTITUTE(INDEX('Term investments'!$A:$A,ROW())&amp;""," "," "))</f>
        <v/>
      </c>
      <c r="B247">
        <f>TRIM(SUBSTITUTE(INDEX('Term investments'!$B:$B,ROW())&amp;""," "," "))</f>
        <v/>
      </c>
      <c r="C247">
        <f>TRIM(SUBSTITUTE(INDEX('Term investments'!$C:$C,ROW())&amp;""," "," "))</f>
        <v/>
      </c>
      <c r="D247">
        <f>IFERROR(--INDEX('Term investments'!$D:$D,ROW()),0)</f>
        <v/>
      </c>
      <c r="E247">
        <f>IFERROR(--INDEX('Term investments'!$E:$E,ROW()),0)</f>
        <v/>
      </c>
      <c r="F247">
        <f>IFERROR(--INDEX('Term investments'!$F:$F,ROW()),0)</f>
        <v/>
      </c>
      <c r="G247">
        <f>IFERROR(IF(--INDEX('Term investments'!$G:$G,ROW())&gt;=1,--INDEX('Term investments'!$G:$G,ROW())/100,--INDEX('Term investments'!$G:$G,ROW())),0)</f>
        <v/>
      </c>
      <c r="H247">
        <f>IFERROR(--INDEX('Term investments'!$H:$H,ROW()),0)</f>
        <v/>
      </c>
      <c r="I247">
        <f>IF(ISNUMBER(INDEX('Term investments'!$G:$G,ROW())),1,0)</f>
        <v/>
      </c>
      <c r="J247">
        <f>TRIM(SUBSTITUTE(INDEX('Call accounts and MMFs'!$A:$A,ROW())&amp;""," "," "))</f>
        <v/>
      </c>
      <c r="K247">
        <f>TRIM(SUBSTITUTE(INDEX('Call accounts and MMFs'!$B:$B,ROW())&amp;""," "," "))</f>
        <v/>
      </c>
      <c r="L247">
        <f>TRIM(SUBSTITUTE(INDEX('Call accounts and MMFs'!$C:$C,ROW())&amp;""," "," "))</f>
        <v/>
      </c>
      <c r="M247">
        <f>IFERROR(--INDEX('Call accounts and MMFs'!$D:$D,ROW()),0)</f>
        <v/>
      </c>
      <c r="N247">
        <f>IFERROR(IF(--INDEX('Call accounts and MMFs'!$E:$E,ROW())&gt;=1,--INDEX('Call accounts and MMFs'!$E:$E,ROW())/100,--INDEX('Call accounts and MMFs'!$E:$E,ROW())),0)</f>
        <v/>
      </c>
      <c r="O247">
        <f>IFERROR(--INDEX('Call accounts and MMFs'!$F:$F,ROW()),0)</f>
        <v/>
      </c>
      <c r="P247">
        <f>IF(ISNUMBER(INDEX('Call accounts and MMFs'!$E:$E,ROW())),1,0)</f>
        <v/>
      </c>
      <c r="Q247">
        <f>TRIM(SUBSTITUTE(INDEX('Pooled funds'!$B:$B,ROW())&amp;""," "," "))</f>
        <v/>
      </c>
      <c r="R247">
        <f>IFERROR(--INDEX('Pooled funds'!$C:$C,ROW()),0)</f>
        <v/>
      </c>
      <c r="S247">
        <f>IFERROR(--INDEX('Pooled funds'!$D:$D,ROW()),0)</f>
        <v/>
      </c>
      <c r="T247">
        <f>IFERROR(IF(--INDEX('Pooled funds'!$E:$E,ROW())&gt;=1,--INDEX('Pooled funds'!$E:$E,ROW())/100,--INDEX('Pooled funds'!$E:$E,ROW())),0)</f>
        <v/>
      </c>
      <c r="U247">
        <f>IF(ISNUMBER(INDEX('Pooled funds'!$E:$E,ROW())),1,0)</f>
        <v/>
      </c>
      <c r="V247">
        <f>TRIM(SUBSTITUTE(INDEX('Loans'!$A:$A,ROW())&amp;""," "," "))</f>
        <v/>
      </c>
      <c r="W247">
        <f>TRIM(SUBSTITUTE(INDEX('Loans'!$B:$B,ROW())&amp;""," "," "))</f>
        <v/>
      </c>
      <c r="X247">
        <f>TRIM(SUBSTITUTE(INDEX('Loans'!$C:$C,ROW())&amp;""," "," "))</f>
        <v/>
      </c>
      <c r="Y247">
        <f>IFERROR(--INDEX('Loans'!$D:$D,ROW()),0)</f>
        <v/>
      </c>
      <c r="Z247">
        <f>IFERROR(--INDEX('Loans'!$E:$E,ROW()),0)</f>
        <v/>
      </c>
      <c r="AA247">
        <f>IFERROR(--INDEX('Loans'!$F:$F,ROW()),0)</f>
        <v/>
      </c>
      <c r="AB247">
        <f>IFERROR(IF(--INDEX('Loans'!$G:$G,ROW())&gt;=1,--INDEX('Loans'!$G:$G,ROW())/100,--INDEX('Loans'!$G:$G,ROW())),0)</f>
        <v/>
      </c>
      <c r="AC247">
        <f>TRIM(SUBSTITUTE(INDEX('Loans'!$H:$H,ROW())&amp;""," "," "))</f>
        <v/>
      </c>
      <c r="AD247">
        <f>TRIM(SUBSTITUTE(INDEX('Loans'!$I:$I,ROW())&amp;""," "," "))</f>
        <v/>
      </c>
      <c r="AE247">
        <f>IFERROR(--INDEX('Loans'!$J:$J,ROW()),0)</f>
        <v/>
      </c>
      <c r="AF247">
        <f>TRIM(SUBSTITUTE(INDEX('Loans'!$K:$K,ROW())&amp;""," "," "))</f>
        <v/>
      </c>
      <c r="AG247">
        <f>IFERROR(--INDEX('Loans'!$L:$L,ROW()),0)</f>
        <v/>
      </c>
      <c r="AH247">
        <f>IF(ISNUMBER(INDEX('Loans'!$G:$G,ROW())),1,0)</f>
        <v/>
      </c>
    </row>
    <row r="248">
      <c r="A248">
        <f>TRIM(SUBSTITUTE(INDEX('Term investments'!$A:$A,ROW())&amp;""," "," "))</f>
        <v/>
      </c>
      <c r="B248">
        <f>TRIM(SUBSTITUTE(INDEX('Term investments'!$B:$B,ROW())&amp;""," "," "))</f>
        <v/>
      </c>
      <c r="C248">
        <f>TRIM(SUBSTITUTE(INDEX('Term investments'!$C:$C,ROW())&amp;""," "," "))</f>
        <v/>
      </c>
      <c r="D248">
        <f>IFERROR(--INDEX('Term investments'!$D:$D,ROW()),0)</f>
        <v/>
      </c>
      <c r="E248">
        <f>IFERROR(--INDEX('Term investments'!$E:$E,ROW()),0)</f>
        <v/>
      </c>
      <c r="F248">
        <f>IFERROR(--INDEX('Term investments'!$F:$F,ROW()),0)</f>
        <v/>
      </c>
      <c r="G248">
        <f>IFERROR(IF(--INDEX('Term investments'!$G:$G,ROW())&gt;=1,--INDEX('Term investments'!$G:$G,ROW())/100,--INDEX('Term investments'!$G:$G,ROW())),0)</f>
        <v/>
      </c>
      <c r="H248">
        <f>IFERROR(--INDEX('Term investments'!$H:$H,ROW()),0)</f>
        <v/>
      </c>
      <c r="I248">
        <f>IF(ISNUMBER(INDEX('Term investments'!$G:$G,ROW())),1,0)</f>
        <v/>
      </c>
      <c r="J248">
        <f>TRIM(SUBSTITUTE(INDEX('Call accounts and MMFs'!$A:$A,ROW())&amp;""," "," "))</f>
        <v/>
      </c>
      <c r="K248">
        <f>TRIM(SUBSTITUTE(INDEX('Call accounts and MMFs'!$B:$B,ROW())&amp;""," "," "))</f>
        <v/>
      </c>
      <c r="L248">
        <f>TRIM(SUBSTITUTE(INDEX('Call accounts and MMFs'!$C:$C,ROW())&amp;""," "," "))</f>
        <v/>
      </c>
      <c r="M248">
        <f>IFERROR(--INDEX('Call accounts and MMFs'!$D:$D,ROW()),0)</f>
        <v/>
      </c>
      <c r="N248">
        <f>IFERROR(IF(--INDEX('Call accounts and MMFs'!$E:$E,ROW())&gt;=1,--INDEX('Call accounts and MMFs'!$E:$E,ROW())/100,--INDEX('Call accounts and MMFs'!$E:$E,ROW())),0)</f>
        <v/>
      </c>
      <c r="O248">
        <f>IFERROR(--INDEX('Call accounts and MMFs'!$F:$F,ROW()),0)</f>
        <v/>
      </c>
      <c r="P248">
        <f>IF(ISNUMBER(INDEX('Call accounts and MMFs'!$E:$E,ROW())),1,0)</f>
        <v/>
      </c>
      <c r="Q248">
        <f>TRIM(SUBSTITUTE(INDEX('Pooled funds'!$B:$B,ROW())&amp;""," "," "))</f>
        <v/>
      </c>
      <c r="R248">
        <f>IFERROR(--INDEX('Pooled funds'!$C:$C,ROW()),0)</f>
        <v/>
      </c>
      <c r="S248">
        <f>IFERROR(--INDEX('Pooled funds'!$D:$D,ROW()),0)</f>
        <v/>
      </c>
      <c r="T248">
        <f>IFERROR(IF(--INDEX('Pooled funds'!$E:$E,ROW())&gt;=1,--INDEX('Pooled funds'!$E:$E,ROW())/100,--INDEX('Pooled funds'!$E:$E,ROW())),0)</f>
        <v/>
      </c>
      <c r="U248">
        <f>IF(ISNUMBER(INDEX('Pooled funds'!$E:$E,ROW())),1,0)</f>
        <v/>
      </c>
      <c r="V248">
        <f>TRIM(SUBSTITUTE(INDEX('Loans'!$A:$A,ROW())&amp;""," "," "))</f>
        <v/>
      </c>
      <c r="W248">
        <f>TRIM(SUBSTITUTE(INDEX('Loans'!$B:$B,ROW())&amp;""," "," "))</f>
        <v/>
      </c>
      <c r="X248">
        <f>TRIM(SUBSTITUTE(INDEX('Loans'!$C:$C,ROW())&amp;""," "," "))</f>
        <v/>
      </c>
      <c r="Y248">
        <f>IFERROR(--INDEX('Loans'!$D:$D,ROW()),0)</f>
        <v/>
      </c>
      <c r="Z248">
        <f>IFERROR(--INDEX('Loans'!$E:$E,ROW()),0)</f>
        <v/>
      </c>
      <c r="AA248">
        <f>IFERROR(--INDEX('Loans'!$F:$F,ROW()),0)</f>
        <v/>
      </c>
      <c r="AB248">
        <f>IFERROR(IF(--INDEX('Loans'!$G:$G,ROW())&gt;=1,--INDEX('Loans'!$G:$G,ROW())/100,--INDEX('Loans'!$G:$G,ROW())),0)</f>
        <v/>
      </c>
      <c r="AC248">
        <f>TRIM(SUBSTITUTE(INDEX('Loans'!$H:$H,ROW())&amp;""," "," "))</f>
        <v/>
      </c>
      <c r="AD248">
        <f>TRIM(SUBSTITUTE(INDEX('Loans'!$I:$I,ROW())&amp;""," "," "))</f>
        <v/>
      </c>
      <c r="AE248">
        <f>IFERROR(--INDEX('Loans'!$J:$J,ROW()),0)</f>
        <v/>
      </c>
      <c r="AF248">
        <f>TRIM(SUBSTITUTE(INDEX('Loans'!$K:$K,ROW())&amp;""," "," "))</f>
        <v/>
      </c>
      <c r="AG248">
        <f>IFERROR(--INDEX('Loans'!$L:$L,ROW()),0)</f>
        <v/>
      </c>
      <c r="AH248">
        <f>IF(ISNUMBER(INDEX('Loans'!$G:$G,ROW())),1,0)</f>
        <v/>
      </c>
    </row>
    <row r="249">
      <c r="A249">
        <f>TRIM(SUBSTITUTE(INDEX('Term investments'!$A:$A,ROW())&amp;""," "," "))</f>
        <v/>
      </c>
      <c r="B249">
        <f>TRIM(SUBSTITUTE(INDEX('Term investments'!$B:$B,ROW())&amp;""," "," "))</f>
        <v/>
      </c>
      <c r="C249">
        <f>TRIM(SUBSTITUTE(INDEX('Term investments'!$C:$C,ROW())&amp;""," "," "))</f>
        <v/>
      </c>
      <c r="D249">
        <f>IFERROR(--INDEX('Term investments'!$D:$D,ROW()),0)</f>
        <v/>
      </c>
      <c r="E249">
        <f>IFERROR(--INDEX('Term investments'!$E:$E,ROW()),0)</f>
        <v/>
      </c>
      <c r="F249">
        <f>IFERROR(--INDEX('Term investments'!$F:$F,ROW()),0)</f>
        <v/>
      </c>
      <c r="G249">
        <f>IFERROR(IF(--INDEX('Term investments'!$G:$G,ROW())&gt;=1,--INDEX('Term investments'!$G:$G,ROW())/100,--INDEX('Term investments'!$G:$G,ROW())),0)</f>
        <v/>
      </c>
      <c r="H249">
        <f>IFERROR(--INDEX('Term investments'!$H:$H,ROW()),0)</f>
        <v/>
      </c>
      <c r="I249">
        <f>IF(ISNUMBER(INDEX('Term investments'!$G:$G,ROW())),1,0)</f>
        <v/>
      </c>
      <c r="J249">
        <f>TRIM(SUBSTITUTE(INDEX('Call accounts and MMFs'!$A:$A,ROW())&amp;""," "," "))</f>
        <v/>
      </c>
      <c r="K249">
        <f>TRIM(SUBSTITUTE(INDEX('Call accounts and MMFs'!$B:$B,ROW())&amp;""," "," "))</f>
        <v/>
      </c>
      <c r="L249">
        <f>TRIM(SUBSTITUTE(INDEX('Call accounts and MMFs'!$C:$C,ROW())&amp;""," "," "))</f>
        <v/>
      </c>
      <c r="M249">
        <f>IFERROR(--INDEX('Call accounts and MMFs'!$D:$D,ROW()),0)</f>
        <v/>
      </c>
      <c r="N249">
        <f>IFERROR(IF(--INDEX('Call accounts and MMFs'!$E:$E,ROW())&gt;=1,--INDEX('Call accounts and MMFs'!$E:$E,ROW())/100,--INDEX('Call accounts and MMFs'!$E:$E,ROW())),0)</f>
        <v/>
      </c>
      <c r="O249">
        <f>IFERROR(--INDEX('Call accounts and MMFs'!$F:$F,ROW()),0)</f>
        <v/>
      </c>
      <c r="P249">
        <f>IF(ISNUMBER(INDEX('Call accounts and MMFs'!$E:$E,ROW())),1,0)</f>
        <v/>
      </c>
      <c r="Q249">
        <f>TRIM(SUBSTITUTE(INDEX('Pooled funds'!$B:$B,ROW())&amp;""," "," "))</f>
        <v/>
      </c>
      <c r="R249">
        <f>IFERROR(--INDEX('Pooled funds'!$C:$C,ROW()),0)</f>
        <v/>
      </c>
      <c r="S249">
        <f>IFERROR(--INDEX('Pooled funds'!$D:$D,ROW()),0)</f>
        <v/>
      </c>
      <c r="T249">
        <f>IFERROR(IF(--INDEX('Pooled funds'!$E:$E,ROW())&gt;=1,--INDEX('Pooled funds'!$E:$E,ROW())/100,--INDEX('Pooled funds'!$E:$E,ROW())),0)</f>
        <v/>
      </c>
      <c r="U249">
        <f>IF(ISNUMBER(INDEX('Pooled funds'!$E:$E,ROW())),1,0)</f>
        <v/>
      </c>
      <c r="V249">
        <f>TRIM(SUBSTITUTE(INDEX('Loans'!$A:$A,ROW())&amp;""," "," "))</f>
        <v/>
      </c>
      <c r="W249">
        <f>TRIM(SUBSTITUTE(INDEX('Loans'!$B:$B,ROW())&amp;""," "," "))</f>
        <v/>
      </c>
      <c r="X249">
        <f>TRIM(SUBSTITUTE(INDEX('Loans'!$C:$C,ROW())&amp;""," "," "))</f>
        <v/>
      </c>
      <c r="Y249">
        <f>IFERROR(--INDEX('Loans'!$D:$D,ROW()),0)</f>
        <v/>
      </c>
      <c r="Z249">
        <f>IFERROR(--INDEX('Loans'!$E:$E,ROW()),0)</f>
        <v/>
      </c>
      <c r="AA249">
        <f>IFERROR(--INDEX('Loans'!$F:$F,ROW()),0)</f>
        <v/>
      </c>
      <c r="AB249">
        <f>IFERROR(IF(--INDEX('Loans'!$G:$G,ROW())&gt;=1,--INDEX('Loans'!$G:$G,ROW())/100,--INDEX('Loans'!$G:$G,ROW())),0)</f>
        <v/>
      </c>
      <c r="AC249">
        <f>TRIM(SUBSTITUTE(INDEX('Loans'!$H:$H,ROW())&amp;""," "," "))</f>
        <v/>
      </c>
      <c r="AD249">
        <f>TRIM(SUBSTITUTE(INDEX('Loans'!$I:$I,ROW())&amp;""," "," "))</f>
        <v/>
      </c>
      <c r="AE249">
        <f>IFERROR(--INDEX('Loans'!$J:$J,ROW()),0)</f>
        <v/>
      </c>
      <c r="AF249">
        <f>TRIM(SUBSTITUTE(INDEX('Loans'!$K:$K,ROW())&amp;""," "," "))</f>
        <v/>
      </c>
      <c r="AG249">
        <f>IFERROR(--INDEX('Loans'!$L:$L,ROW()),0)</f>
        <v/>
      </c>
      <c r="AH249">
        <f>IF(ISNUMBER(INDEX('Loans'!$G:$G,ROW())),1,0)</f>
        <v/>
      </c>
    </row>
    <row r="250">
      <c r="A250">
        <f>TRIM(SUBSTITUTE(INDEX('Term investments'!$A:$A,ROW())&amp;""," "," "))</f>
        <v/>
      </c>
      <c r="B250">
        <f>TRIM(SUBSTITUTE(INDEX('Term investments'!$B:$B,ROW())&amp;""," "," "))</f>
        <v/>
      </c>
      <c r="C250">
        <f>TRIM(SUBSTITUTE(INDEX('Term investments'!$C:$C,ROW())&amp;""," "," "))</f>
        <v/>
      </c>
      <c r="D250">
        <f>IFERROR(--INDEX('Term investments'!$D:$D,ROW()),0)</f>
        <v/>
      </c>
      <c r="E250">
        <f>IFERROR(--INDEX('Term investments'!$E:$E,ROW()),0)</f>
        <v/>
      </c>
      <c r="F250">
        <f>IFERROR(--INDEX('Term investments'!$F:$F,ROW()),0)</f>
        <v/>
      </c>
      <c r="G250">
        <f>IFERROR(IF(--INDEX('Term investments'!$G:$G,ROW())&gt;=1,--INDEX('Term investments'!$G:$G,ROW())/100,--INDEX('Term investments'!$G:$G,ROW())),0)</f>
        <v/>
      </c>
      <c r="H250">
        <f>IFERROR(--INDEX('Term investments'!$H:$H,ROW()),0)</f>
        <v/>
      </c>
      <c r="I250">
        <f>IF(ISNUMBER(INDEX('Term investments'!$G:$G,ROW())),1,0)</f>
        <v/>
      </c>
      <c r="J250">
        <f>TRIM(SUBSTITUTE(INDEX('Call accounts and MMFs'!$A:$A,ROW())&amp;""," "," "))</f>
        <v/>
      </c>
      <c r="K250">
        <f>TRIM(SUBSTITUTE(INDEX('Call accounts and MMFs'!$B:$B,ROW())&amp;""," "," "))</f>
        <v/>
      </c>
      <c r="L250">
        <f>TRIM(SUBSTITUTE(INDEX('Call accounts and MMFs'!$C:$C,ROW())&amp;""," "," "))</f>
        <v/>
      </c>
      <c r="M250">
        <f>IFERROR(--INDEX('Call accounts and MMFs'!$D:$D,ROW()),0)</f>
        <v/>
      </c>
      <c r="N250">
        <f>IFERROR(IF(--INDEX('Call accounts and MMFs'!$E:$E,ROW())&gt;=1,--INDEX('Call accounts and MMFs'!$E:$E,ROW())/100,--INDEX('Call accounts and MMFs'!$E:$E,ROW())),0)</f>
        <v/>
      </c>
      <c r="O250">
        <f>IFERROR(--INDEX('Call accounts and MMFs'!$F:$F,ROW()),0)</f>
        <v/>
      </c>
      <c r="P250">
        <f>IF(ISNUMBER(INDEX('Call accounts and MMFs'!$E:$E,ROW())),1,0)</f>
        <v/>
      </c>
      <c r="Q250">
        <f>TRIM(SUBSTITUTE(INDEX('Pooled funds'!$B:$B,ROW())&amp;""," "," "))</f>
        <v/>
      </c>
      <c r="R250">
        <f>IFERROR(--INDEX('Pooled funds'!$C:$C,ROW()),0)</f>
        <v/>
      </c>
      <c r="S250">
        <f>IFERROR(--INDEX('Pooled funds'!$D:$D,ROW()),0)</f>
        <v/>
      </c>
      <c r="T250">
        <f>IFERROR(IF(--INDEX('Pooled funds'!$E:$E,ROW())&gt;=1,--INDEX('Pooled funds'!$E:$E,ROW())/100,--INDEX('Pooled funds'!$E:$E,ROW())),0)</f>
        <v/>
      </c>
      <c r="U250">
        <f>IF(ISNUMBER(INDEX('Pooled funds'!$E:$E,ROW())),1,0)</f>
        <v/>
      </c>
      <c r="V250">
        <f>TRIM(SUBSTITUTE(INDEX('Loans'!$A:$A,ROW())&amp;""," "," "))</f>
        <v/>
      </c>
      <c r="W250">
        <f>TRIM(SUBSTITUTE(INDEX('Loans'!$B:$B,ROW())&amp;""," "," "))</f>
        <v/>
      </c>
      <c r="X250">
        <f>TRIM(SUBSTITUTE(INDEX('Loans'!$C:$C,ROW())&amp;""," "," "))</f>
        <v/>
      </c>
      <c r="Y250">
        <f>IFERROR(--INDEX('Loans'!$D:$D,ROW()),0)</f>
        <v/>
      </c>
      <c r="Z250">
        <f>IFERROR(--INDEX('Loans'!$E:$E,ROW()),0)</f>
        <v/>
      </c>
      <c r="AA250">
        <f>IFERROR(--INDEX('Loans'!$F:$F,ROW()),0)</f>
        <v/>
      </c>
      <c r="AB250">
        <f>IFERROR(IF(--INDEX('Loans'!$G:$G,ROW())&gt;=1,--INDEX('Loans'!$G:$G,ROW())/100,--INDEX('Loans'!$G:$G,ROW())),0)</f>
        <v/>
      </c>
      <c r="AC250">
        <f>TRIM(SUBSTITUTE(INDEX('Loans'!$H:$H,ROW())&amp;""," "," "))</f>
        <v/>
      </c>
      <c r="AD250">
        <f>TRIM(SUBSTITUTE(INDEX('Loans'!$I:$I,ROW())&amp;""," "," "))</f>
        <v/>
      </c>
      <c r="AE250">
        <f>IFERROR(--INDEX('Loans'!$J:$J,ROW()),0)</f>
        <v/>
      </c>
      <c r="AF250">
        <f>TRIM(SUBSTITUTE(INDEX('Loans'!$K:$K,ROW())&amp;""," "," "))</f>
        <v/>
      </c>
      <c r="AG250">
        <f>IFERROR(--INDEX('Loans'!$L:$L,ROW()),0)</f>
        <v/>
      </c>
      <c r="AH250">
        <f>IF(ISNUMBER(INDEX('Loans'!$G:$G,ROW())),1,0)</f>
        <v/>
      </c>
    </row>
    <row r="251">
      <c r="A251">
        <f>TRIM(SUBSTITUTE(INDEX('Term investments'!$A:$A,ROW())&amp;""," "," "))</f>
        <v/>
      </c>
      <c r="B251">
        <f>TRIM(SUBSTITUTE(INDEX('Term investments'!$B:$B,ROW())&amp;""," "," "))</f>
        <v/>
      </c>
      <c r="C251">
        <f>TRIM(SUBSTITUTE(INDEX('Term investments'!$C:$C,ROW())&amp;""," "," "))</f>
        <v/>
      </c>
      <c r="D251">
        <f>IFERROR(--INDEX('Term investments'!$D:$D,ROW()),0)</f>
        <v/>
      </c>
      <c r="E251">
        <f>IFERROR(--INDEX('Term investments'!$E:$E,ROW()),0)</f>
        <v/>
      </c>
      <c r="F251">
        <f>IFERROR(--INDEX('Term investments'!$F:$F,ROW()),0)</f>
        <v/>
      </c>
      <c r="G251">
        <f>IFERROR(IF(--INDEX('Term investments'!$G:$G,ROW())&gt;=1,--INDEX('Term investments'!$G:$G,ROW())/100,--INDEX('Term investments'!$G:$G,ROW())),0)</f>
        <v/>
      </c>
      <c r="H251">
        <f>IFERROR(--INDEX('Term investments'!$H:$H,ROW()),0)</f>
        <v/>
      </c>
      <c r="I251">
        <f>IF(ISNUMBER(INDEX('Term investments'!$G:$G,ROW())),1,0)</f>
        <v/>
      </c>
      <c r="J251">
        <f>TRIM(SUBSTITUTE(INDEX('Call accounts and MMFs'!$A:$A,ROW())&amp;""," "," "))</f>
        <v/>
      </c>
      <c r="K251">
        <f>TRIM(SUBSTITUTE(INDEX('Call accounts and MMFs'!$B:$B,ROW())&amp;""," "," "))</f>
        <v/>
      </c>
      <c r="L251">
        <f>TRIM(SUBSTITUTE(INDEX('Call accounts and MMFs'!$C:$C,ROW())&amp;""," "," "))</f>
        <v/>
      </c>
      <c r="M251">
        <f>IFERROR(--INDEX('Call accounts and MMFs'!$D:$D,ROW()),0)</f>
        <v/>
      </c>
      <c r="N251">
        <f>IFERROR(IF(--INDEX('Call accounts and MMFs'!$E:$E,ROW())&gt;=1,--INDEX('Call accounts and MMFs'!$E:$E,ROW())/100,--INDEX('Call accounts and MMFs'!$E:$E,ROW())),0)</f>
        <v/>
      </c>
      <c r="O251">
        <f>IFERROR(--INDEX('Call accounts and MMFs'!$F:$F,ROW()),0)</f>
        <v/>
      </c>
      <c r="P251">
        <f>IF(ISNUMBER(INDEX('Call accounts and MMFs'!$E:$E,ROW())),1,0)</f>
        <v/>
      </c>
      <c r="Q251">
        <f>TRIM(SUBSTITUTE(INDEX('Pooled funds'!$B:$B,ROW())&amp;""," "," "))</f>
        <v/>
      </c>
      <c r="R251">
        <f>IFERROR(--INDEX('Pooled funds'!$C:$C,ROW()),0)</f>
        <v/>
      </c>
      <c r="S251">
        <f>IFERROR(--INDEX('Pooled funds'!$D:$D,ROW()),0)</f>
        <v/>
      </c>
      <c r="T251">
        <f>IFERROR(IF(--INDEX('Pooled funds'!$E:$E,ROW())&gt;=1,--INDEX('Pooled funds'!$E:$E,ROW())/100,--INDEX('Pooled funds'!$E:$E,ROW())),0)</f>
        <v/>
      </c>
      <c r="U251">
        <f>IF(ISNUMBER(INDEX('Pooled funds'!$E:$E,ROW())),1,0)</f>
        <v/>
      </c>
      <c r="V251">
        <f>TRIM(SUBSTITUTE(INDEX('Loans'!$A:$A,ROW())&amp;""," "," "))</f>
        <v/>
      </c>
      <c r="W251">
        <f>TRIM(SUBSTITUTE(INDEX('Loans'!$B:$B,ROW())&amp;""," "," "))</f>
        <v/>
      </c>
      <c r="X251">
        <f>TRIM(SUBSTITUTE(INDEX('Loans'!$C:$C,ROW())&amp;""," "," "))</f>
        <v/>
      </c>
      <c r="Y251">
        <f>IFERROR(--INDEX('Loans'!$D:$D,ROW()),0)</f>
        <v/>
      </c>
      <c r="Z251">
        <f>IFERROR(--INDEX('Loans'!$E:$E,ROW()),0)</f>
        <v/>
      </c>
      <c r="AA251">
        <f>IFERROR(--INDEX('Loans'!$F:$F,ROW()),0)</f>
        <v/>
      </c>
      <c r="AB251">
        <f>IFERROR(IF(--INDEX('Loans'!$G:$G,ROW())&gt;=1,--INDEX('Loans'!$G:$G,ROW())/100,--INDEX('Loans'!$G:$G,ROW())),0)</f>
        <v/>
      </c>
      <c r="AC251">
        <f>TRIM(SUBSTITUTE(INDEX('Loans'!$H:$H,ROW())&amp;""," "," "))</f>
        <v/>
      </c>
      <c r="AD251">
        <f>TRIM(SUBSTITUTE(INDEX('Loans'!$I:$I,ROW())&amp;""," "," "))</f>
        <v/>
      </c>
      <c r="AE251">
        <f>IFERROR(--INDEX('Loans'!$J:$J,ROW()),0)</f>
        <v/>
      </c>
      <c r="AF251">
        <f>TRIM(SUBSTITUTE(INDEX('Loans'!$K:$K,ROW())&amp;""," "," "))</f>
        <v/>
      </c>
      <c r="AG251">
        <f>IFERROR(--INDEX('Loans'!$L:$L,ROW()),0)</f>
        <v/>
      </c>
      <c r="AH251">
        <f>IF(ISNUMBER(INDEX('Loans'!$G:$G,ROW())),1,0)</f>
        <v/>
      </c>
    </row>
    <row r="252">
      <c r="A252">
        <f>TRIM(SUBSTITUTE(INDEX('Term investments'!$A:$A,ROW())&amp;""," "," "))</f>
        <v/>
      </c>
      <c r="B252">
        <f>TRIM(SUBSTITUTE(INDEX('Term investments'!$B:$B,ROW())&amp;""," "," "))</f>
        <v/>
      </c>
      <c r="C252">
        <f>TRIM(SUBSTITUTE(INDEX('Term investments'!$C:$C,ROW())&amp;""," "," "))</f>
        <v/>
      </c>
      <c r="D252">
        <f>IFERROR(--INDEX('Term investments'!$D:$D,ROW()),0)</f>
        <v/>
      </c>
      <c r="E252">
        <f>IFERROR(--INDEX('Term investments'!$E:$E,ROW()),0)</f>
        <v/>
      </c>
      <c r="F252">
        <f>IFERROR(--INDEX('Term investments'!$F:$F,ROW()),0)</f>
        <v/>
      </c>
      <c r="G252">
        <f>IFERROR(IF(--INDEX('Term investments'!$G:$G,ROW())&gt;=1,--INDEX('Term investments'!$G:$G,ROW())/100,--INDEX('Term investments'!$G:$G,ROW())),0)</f>
        <v/>
      </c>
      <c r="H252">
        <f>IFERROR(--INDEX('Term investments'!$H:$H,ROW()),0)</f>
        <v/>
      </c>
      <c r="I252">
        <f>IF(ISNUMBER(INDEX('Term investments'!$G:$G,ROW())),1,0)</f>
        <v/>
      </c>
      <c r="J252">
        <f>TRIM(SUBSTITUTE(INDEX('Call accounts and MMFs'!$A:$A,ROW())&amp;""," "," "))</f>
        <v/>
      </c>
      <c r="K252">
        <f>TRIM(SUBSTITUTE(INDEX('Call accounts and MMFs'!$B:$B,ROW())&amp;""," "," "))</f>
        <v/>
      </c>
      <c r="L252">
        <f>TRIM(SUBSTITUTE(INDEX('Call accounts and MMFs'!$C:$C,ROW())&amp;""," "," "))</f>
        <v/>
      </c>
      <c r="M252">
        <f>IFERROR(--INDEX('Call accounts and MMFs'!$D:$D,ROW()),0)</f>
        <v/>
      </c>
      <c r="N252">
        <f>IFERROR(IF(--INDEX('Call accounts and MMFs'!$E:$E,ROW())&gt;=1,--INDEX('Call accounts and MMFs'!$E:$E,ROW())/100,--INDEX('Call accounts and MMFs'!$E:$E,ROW())),0)</f>
        <v/>
      </c>
      <c r="O252">
        <f>IFERROR(--INDEX('Call accounts and MMFs'!$F:$F,ROW()),0)</f>
        <v/>
      </c>
      <c r="P252">
        <f>IF(ISNUMBER(INDEX('Call accounts and MMFs'!$E:$E,ROW())),1,0)</f>
        <v/>
      </c>
      <c r="Q252">
        <f>TRIM(SUBSTITUTE(INDEX('Pooled funds'!$B:$B,ROW())&amp;""," "," "))</f>
        <v/>
      </c>
      <c r="R252">
        <f>IFERROR(--INDEX('Pooled funds'!$C:$C,ROW()),0)</f>
        <v/>
      </c>
      <c r="S252">
        <f>IFERROR(--INDEX('Pooled funds'!$D:$D,ROW()),0)</f>
        <v/>
      </c>
      <c r="T252">
        <f>IFERROR(IF(--INDEX('Pooled funds'!$E:$E,ROW())&gt;=1,--INDEX('Pooled funds'!$E:$E,ROW())/100,--INDEX('Pooled funds'!$E:$E,ROW())),0)</f>
        <v/>
      </c>
      <c r="U252">
        <f>IF(ISNUMBER(INDEX('Pooled funds'!$E:$E,ROW())),1,0)</f>
        <v/>
      </c>
      <c r="V252">
        <f>TRIM(SUBSTITUTE(INDEX('Loans'!$A:$A,ROW())&amp;""," "," "))</f>
        <v/>
      </c>
      <c r="W252">
        <f>TRIM(SUBSTITUTE(INDEX('Loans'!$B:$B,ROW())&amp;""," "," "))</f>
        <v/>
      </c>
      <c r="X252">
        <f>TRIM(SUBSTITUTE(INDEX('Loans'!$C:$C,ROW())&amp;""," "," "))</f>
        <v/>
      </c>
      <c r="Y252">
        <f>IFERROR(--INDEX('Loans'!$D:$D,ROW()),0)</f>
        <v/>
      </c>
      <c r="Z252">
        <f>IFERROR(--INDEX('Loans'!$E:$E,ROW()),0)</f>
        <v/>
      </c>
      <c r="AA252">
        <f>IFERROR(--INDEX('Loans'!$F:$F,ROW()),0)</f>
        <v/>
      </c>
      <c r="AB252">
        <f>IFERROR(IF(--INDEX('Loans'!$G:$G,ROW())&gt;=1,--INDEX('Loans'!$G:$G,ROW())/100,--INDEX('Loans'!$G:$G,ROW())),0)</f>
        <v/>
      </c>
      <c r="AC252">
        <f>TRIM(SUBSTITUTE(INDEX('Loans'!$H:$H,ROW())&amp;""," "," "))</f>
        <v/>
      </c>
      <c r="AD252">
        <f>TRIM(SUBSTITUTE(INDEX('Loans'!$I:$I,ROW())&amp;""," "," "))</f>
        <v/>
      </c>
      <c r="AE252">
        <f>IFERROR(--INDEX('Loans'!$J:$J,ROW()),0)</f>
        <v/>
      </c>
      <c r="AF252">
        <f>TRIM(SUBSTITUTE(INDEX('Loans'!$K:$K,ROW())&amp;""," "," "))</f>
        <v/>
      </c>
      <c r="AG252">
        <f>IFERROR(--INDEX('Loans'!$L:$L,ROW()),0)</f>
        <v/>
      </c>
      <c r="AH252">
        <f>IF(ISNUMBER(INDEX('Loans'!$G:$G,ROW())),1,0)</f>
        <v/>
      </c>
    </row>
    <row r="253">
      <c r="A253">
        <f>TRIM(SUBSTITUTE(INDEX('Term investments'!$A:$A,ROW())&amp;""," "," "))</f>
        <v/>
      </c>
      <c r="B253">
        <f>TRIM(SUBSTITUTE(INDEX('Term investments'!$B:$B,ROW())&amp;""," "," "))</f>
        <v/>
      </c>
      <c r="C253">
        <f>TRIM(SUBSTITUTE(INDEX('Term investments'!$C:$C,ROW())&amp;""," "," "))</f>
        <v/>
      </c>
      <c r="D253">
        <f>IFERROR(--INDEX('Term investments'!$D:$D,ROW()),0)</f>
        <v/>
      </c>
      <c r="E253">
        <f>IFERROR(--INDEX('Term investments'!$E:$E,ROW()),0)</f>
        <v/>
      </c>
      <c r="F253">
        <f>IFERROR(--INDEX('Term investments'!$F:$F,ROW()),0)</f>
        <v/>
      </c>
      <c r="G253">
        <f>IFERROR(IF(--INDEX('Term investments'!$G:$G,ROW())&gt;=1,--INDEX('Term investments'!$G:$G,ROW())/100,--INDEX('Term investments'!$G:$G,ROW())),0)</f>
        <v/>
      </c>
      <c r="H253">
        <f>IFERROR(--INDEX('Term investments'!$H:$H,ROW()),0)</f>
        <v/>
      </c>
      <c r="I253">
        <f>IF(ISNUMBER(INDEX('Term investments'!$G:$G,ROW())),1,0)</f>
        <v/>
      </c>
      <c r="J253">
        <f>TRIM(SUBSTITUTE(INDEX('Call accounts and MMFs'!$A:$A,ROW())&amp;""," "," "))</f>
        <v/>
      </c>
      <c r="K253">
        <f>TRIM(SUBSTITUTE(INDEX('Call accounts and MMFs'!$B:$B,ROW())&amp;""," "," "))</f>
        <v/>
      </c>
      <c r="L253">
        <f>TRIM(SUBSTITUTE(INDEX('Call accounts and MMFs'!$C:$C,ROW())&amp;""," "," "))</f>
        <v/>
      </c>
      <c r="M253">
        <f>IFERROR(--INDEX('Call accounts and MMFs'!$D:$D,ROW()),0)</f>
        <v/>
      </c>
      <c r="N253">
        <f>IFERROR(IF(--INDEX('Call accounts and MMFs'!$E:$E,ROW())&gt;=1,--INDEX('Call accounts and MMFs'!$E:$E,ROW())/100,--INDEX('Call accounts and MMFs'!$E:$E,ROW())),0)</f>
        <v/>
      </c>
      <c r="O253">
        <f>IFERROR(--INDEX('Call accounts and MMFs'!$F:$F,ROW()),0)</f>
        <v/>
      </c>
      <c r="P253">
        <f>IF(ISNUMBER(INDEX('Call accounts and MMFs'!$E:$E,ROW())),1,0)</f>
        <v/>
      </c>
      <c r="Q253">
        <f>TRIM(SUBSTITUTE(INDEX('Pooled funds'!$B:$B,ROW())&amp;""," "," "))</f>
        <v/>
      </c>
      <c r="R253">
        <f>IFERROR(--INDEX('Pooled funds'!$C:$C,ROW()),0)</f>
        <v/>
      </c>
      <c r="S253">
        <f>IFERROR(--INDEX('Pooled funds'!$D:$D,ROW()),0)</f>
        <v/>
      </c>
      <c r="T253">
        <f>IFERROR(IF(--INDEX('Pooled funds'!$E:$E,ROW())&gt;=1,--INDEX('Pooled funds'!$E:$E,ROW())/100,--INDEX('Pooled funds'!$E:$E,ROW())),0)</f>
        <v/>
      </c>
      <c r="U253">
        <f>IF(ISNUMBER(INDEX('Pooled funds'!$E:$E,ROW())),1,0)</f>
        <v/>
      </c>
      <c r="V253">
        <f>TRIM(SUBSTITUTE(INDEX('Loans'!$A:$A,ROW())&amp;""," "," "))</f>
        <v/>
      </c>
      <c r="W253">
        <f>TRIM(SUBSTITUTE(INDEX('Loans'!$B:$B,ROW())&amp;""," "," "))</f>
        <v/>
      </c>
      <c r="X253">
        <f>TRIM(SUBSTITUTE(INDEX('Loans'!$C:$C,ROW())&amp;""," "," "))</f>
        <v/>
      </c>
      <c r="Y253">
        <f>IFERROR(--INDEX('Loans'!$D:$D,ROW()),0)</f>
        <v/>
      </c>
      <c r="Z253">
        <f>IFERROR(--INDEX('Loans'!$E:$E,ROW()),0)</f>
        <v/>
      </c>
      <c r="AA253">
        <f>IFERROR(--INDEX('Loans'!$F:$F,ROW()),0)</f>
        <v/>
      </c>
      <c r="AB253">
        <f>IFERROR(IF(--INDEX('Loans'!$G:$G,ROW())&gt;=1,--INDEX('Loans'!$G:$G,ROW())/100,--INDEX('Loans'!$G:$G,ROW())),0)</f>
        <v/>
      </c>
      <c r="AC253">
        <f>TRIM(SUBSTITUTE(INDEX('Loans'!$H:$H,ROW())&amp;""," "," "))</f>
        <v/>
      </c>
      <c r="AD253">
        <f>TRIM(SUBSTITUTE(INDEX('Loans'!$I:$I,ROW())&amp;""," "," "))</f>
        <v/>
      </c>
      <c r="AE253">
        <f>IFERROR(--INDEX('Loans'!$J:$J,ROW()),0)</f>
        <v/>
      </c>
      <c r="AF253">
        <f>TRIM(SUBSTITUTE(INDEX('Loans'!$K:$K,ROW())&amp;""," "," "))</f>
        <v/>
      </c>
      <c r="AG253">
        <f>IFERROR(--INDEX('Loans'!$L:$L,ROW()),0)</f>
        <v/>
      </c>
      <c r="AH253">
        <f>IF(ISNUMBER(INDEX('Loans'!$G:$G,ROW())),1,0)</f>
        <v/>
      </c>
    </row>
    <row r="254">
      <c r="A254">
        <f>TRIM(SUBSTITUTE(INDEX('Term investments'!$A:$A,ROW())&amp;""," "," "))</f>
        <v/>
      </c>
      <c r="B254">
        <f>TRIM(SUBSTITUTE(INDEX('Term investments'!$B:$B,ROW())&amp;""," "," "))</f>
        <v/>
      </c>
      <c r="C254">
        <f>TRIM(SUBSTITUTE(INDEX('Term investments'!$C:$C,ROW())&amp;""," "," "))</f>
        <v/>
      </c>
      <c r="D254">
        <f>IFERROR(--INDEX('Term investments'!$D:$D,ROW()),0)</f>
        <v/>
      </c>
      <c r="E254">
        <f>IFERROR(--INDEX('Term investments'!$E:$E,ROW()),0)</f>
        <v/>
      </c>
      <c r="F254">
        <f>IFERROR(--INDEX('Term investments'!$F:$F,ROW()),0)</f>
        <v/>
      </c>
      <c r="G254">
        <f>IFERROR(IF(--INDEX('Term investments'!$G:$G,ROW())&gt;=1,--INDEX('Term investments'!$G:$G,ROW())/100,--INDEX('Term investments'!$G:$G,ROW())),0)</f>
        <v/>
      </c>
      <c r="H254">
        <f>IFERROR(--INDEX('Term investments'!$H:$H,ROW()),0)</f>
        <v/>
      </c>
      <c r="I254">
        <f>IF(ISNUMBER(INDEX('Term investments'!$G:$G,ROW())),1,0)</f>
        <v/>
      </c>
      <c r="J254">
        <f>TRIM(SUBSTITUTE(INDEX('Call accounts and MMFs'!$A:$A,ROW())&amp;""," "," "))</f>
        <v/>
      </c>
      <c r="K254">
        <f>TRIM(SUBSTITUTE(INDEX('Call accounts and MMFs'!$B:$B,ROW())&amp;""," "," "))</f>
        <v/>
      </c>
      <c r="L254">
        <f>TRIM(SUBSTITUTE(INDEX('Call accounts and MMFs'!$C:$C,ROW())&amp;""," "," "))</f>
        <v/>
      </c>
      <c r="M254">
        <f>IFERROR(--INDEX('Call accounts and MMFs'!$D:$D,ROW()),0)</f>
        <v/>
      </c>
      <c r="N254">
        <f>IFERROR(IF(--INDEX('Call accounts and MMFs'!$E:$E,ROW())&gt;=1,--INDEX('Call accounts and MMFs'!$E:$E,ROW())/100,--INDEX('Call accounts and MMFs'!$E:$E,ROW())),0)</f>
        <v/>
      </c>
      <c r="O254">
        <f>IFERROR(--INDEX('Call accounts and MMFs'!$F:$F,ROW()),0)</f>
        <v/>
      </c>
      <c r="P254">
        <f>IF(ISNUMBER(INDEX('Call accounts and MMFs'!$E:$E,ROW())),1,0)</f>
        <v/>
      </c>
      <c r="Q254">
        <f>TRIM(SUBSTITUTE(INDEX('Pooled funds'!$B:$B,ROW())&amp;""," "," "))</f>
        <v/>
      </c>
      <c r="R254">
        <f>IFERROR(--INDEX('Pooled funds'!$C:$C,ROW()),0)</f>
        <v/>
      </c>
      <c r="S254">
        <f>IFERROR(--INDEX('Pooled funds'!$D:$D,ROW()),0)</f>
        <v/>
      </c>
      <c r="T254">
        <f>IFERROR(IF(--INDEX('Pooled funds'!$E:$E,ROW())&gt;=1,--INDEX('Pooled funds'!$E:$E,ROW())/100,--INDEX('Pooled funds'!$E:$E,ROW())),0)</f>
        <v/>
      </c>
      <c r="U254">
        <f>IF(ISNUMBER(INDEX('Pooled funds'!$E:$E,ROW())),1,0)</f>
        <v/>
      </c>
      <c r="V254">
        <f>TRIM(SUBSTITUTE(INDEX('Loans'!$A:$A,ROW())&amp;""," "," "))</f>
        <v/>
      </c>
      <c r="W254">
        <f>TRIM(SUBSTITUTE(INDEX('Loans'!$B:$B,ROW())&amp;""," "," "))</f>
        <v/>
      </c>
      <c r="X254">
        <f>TRIM(SUBSTITUTE(INDEX('Loans'!$C:$C,ROW())&amp;""," "," "))</f>
        <v/>
      </c>
      <c r="Y254">
        <f>IFERROR(--INDEX('Loans'!$D:$D,ROW()),0)</f>
        <v/>
      </c>
      <c r="Z254">
        <f>IFERROR(--INDEX('Loans'!$E:$E,ROW()),0)</f>
        <v/>
      </c>
      <c r="AA254">
        <f>IFERROR(--INDEX('Loans'!$F:$F,ROW()),0)</f>
        <v/>
      </c>
      <c r="AB254">
        <f>IFERROR(IF(--INDEX('Loans'!$G:$G,ROW())&gt;=1,--INDEX('Loans'!$G:$G,ROW())/100,--INDEX('Loans'!$G:$G,ROW())),0)</f>
        <v/>
      </c>
      <c r="AC254">
        <f>TRIM(SUBSTITUTE(INDEX('Loans'!$H:$H,ROW())&amp;""," "," "))</f>
        <v/>
      </c>
      <c r="AD254">
        <f>TRIM(SUBSTITUTE(INDEX('Loans'!$I:$I,ROW())&amp;""," "," "))</f>
        <v/>
      </c>
      <c r="AE254">
        <f>IFERROR(--INDEX('Loans'!$J:$J,ROW()),0)</f>
        <v/>
      </c>
      <c r="AF254">
        <f>TRIM(SUBSTITUTE(INDEX('Loans'!$K:$K,ROW())&amp;""," "," "))</f>
        <v/>
      </c>
      <c r="AG254">
        <f>IFERROR(--INDEX('Loans'!$L:$L,ROW()),0)</f>
        <v/>
      </c>
      <c r="AH254">
        <f>IF(ISNUMBER(INDEX('Loans'!$G:$G,ROW())),1,0)</f>
        <v/>
      </c>
    </row>
    <row r="255">
      <c r="A255">
        <f>TRIM(SUBSTITUTE(INDEX('Term investments'!$A:$A,ROW())&amp;""," "," "))</f>
        <v/>
      </c>
      <c r="B255">
        <f>TRIM(SUBSTITUTE(INDEX('Term investments'!$B:$B,ROW())&amp;""," "," "))</f>
        <v/>
      </c>
      <c r="C255">
        <f>TRIM(SUBSTITUTE(INDEX('Term investments'!$C:$C,ROW())&amp;""," "," "))</f>
        <v/>
      </c>
      <c r="D255">
        <f>IFERROR(--INDEX('Term investments'!$D:$D,ROW()),0)</f>
        <v/>
      </c>
      <c r="E255">
        <f>IFERROR(--INDEX('Term investments'!$E:$E,ROW()),0)</f>
        <v/>
      </c>
      <c r="F255">
        <f>IFERROR(--INDEX('Term investments'!$F:$F,ROW()),0)</f>
        <v/>
      </c>
      <c r="G255">
        <f>IFERROR(IF(--INDEX('Term investments'!$G:$G,ROW())&gt;=1,--INDEX('Term investments'!$G:$G,ROW())/100,--INDEX('Term investments'!$G:$G,ROW())),0)</f>
        <v/>
      </c>
      <c r="H255">
        <f>IFERROR(--INDEX('Term investments'!$H:$H,ROW()),0)</f>
        <v/>
      </c>
      <c r="I255">
        <f>IF(ISNUMBER(INDEX('Term investments'!$G:$G,ROW())),1,0)</f>
        <v/>
      </c>
      <c r="J255">
        <f>TRIM(SUBSTITUTE(INDEX('Call accounts and MMFs'!$A:$A,ROW())&amp;""," "," "))</f>
        <v/>
      </c>
      <c r="K255">
        <f>TRIM(SUBSTITUTE(INDEX('Call accounts and MMFs'!$B:$B,ROW())&amp;""," "," "))</f>
        <v/>
      </c>
      <c r="L255">
        <f>TRIM(SUBSTITUTE(INDEX('Call accounts and MMFs'!$C:$C,ROW())&amp;""," "," "))</f>
        <v/>
      </c>
      <c r="M255">
        <f>IFERROR(--INDEX('Call accounts and MMFs'!$D:$D,ROW()),0)</f>
        <v/>
      </c>
      <c r="N255">
        <f>IFERROR(IF(--INDEX('Call accounts and MMFs'!$E:$E,ROW())&gt;=1,--INDEX('Call accounts and MMFs'!$E:$E,ROW())/100,--INDEX('Call accounts and MMFs'!$E:$E,ROW())),0)</f>
        <v/>
      </c>
      <c r="O255">
        <f>IFERROR(--INDEX('Call accounts and MMFs'!$F:$F,ROW()),0)</f>
        <v/>
      </c>
      <c r="P255">
        <f>IF(ISNUMBER(INDEX('Call accounts and MMFs'!$E:$E,ROW())),1,0)</f>
        <v/>
      </c>
      <c r="Q255">
        <f>TRIM(SUBSTITUTE(INDEX('Pooled funds'!$B:$B,ROW())&amp;""," "," "))</f>
        <v/>
      </c>
      <c r="R255">
        <f>IFERROR(--INDEX('Pooled funds'!$C:$C,ROW()),0)</f>
        <v/>
      </c>
      <c r="S255">
        <f>IFERROR(--INDEX('Pooled funds'!$D:$D,ROW()),0)</f>
        <v/>
      </c>
      <c r="T255">
        <f>IFERROR(IF(--INDEX('Pooled funds'!$E:$E,ROW())&gt;=1,--INDEX('Pooled funds'!$E:$E,ROW())/100,--INDEX('Pooled funds'!$E:$E,ROW())),0)</f>
        <v/>
      </c>
      <c r="U255">
        <f>IF(ISNUMBER(INDEX('Pooled funds'!$E:$E,ROW())),1,0)</f>
        <v/>
      </c>
      <c r="V255">
        <f>TRIM(SUBSTITUTE(INDEX('Loans'!$A:$A,ROW())&amp;""," "," "))</f>
        <v/>
      </c>
      <c r="W255">
        <f>TRIM(SUBSTITUTE(INDEX('Loans'!$B:$B,ROW())&amp;""," "," "))</f>
        <v/>
      </c>
      <c r="X255">
        <f>TRIM(SUBSTITUTE(INDEX('Loans'!$C:$C,ROW())&amp;""," "," "))</f>
        <v/>
      </c>
      <c r="Y255">
        <f>IFERROR(--INDEX('Loans'!$D:$D,ROW()),0)</f>
        <v/>
      </c>
      <c r="Z255">
        <f>IFERROR(--INDEX('Loans'!$E:$E,ROW()),0)</f>
        <v/>
      </c>
      <c r="AA255">
        <f>IFERROR(--INDEX('Loans'!$F:$F,ROW()),0)</f>
        <v/>
      </c>
      <c r="AB255">
        <f>IFERROR(IF(--INDEX('Loans'!$G:$G,ROW())&gt;=1,--INDEX('Loans'!$G:$G,ROW())/100,--INDEX('Loans'!$G:$G,ROW())),0)</f>
        <v/>
      </c>
      <c r="AC255">
        <f>TRIM(SUBSTITUTE(INDEX('Loans'!$H:$H,ROW())&amp;""," "," "))</f>
        <v/>
      </c>
      <c r="AD255">
        <f>TRIM(SUBSTITUTE(INDEX('Loans'!$I:$I,ROW())&amp;""," "," "))</f>
        <v/>
      </c>
      <c r="AE255">
        <f>IFERROR(--INDEX('Loans'!$J:$J,ROW()),0)</f>
        <v/>
      </c>
      <c r="AF255">
        <f>TRIM(SUBSTITUTE(INDEX('Loans'!$K:$K,ROW())&amp;""," "," "))</f>
        <v/>
      </c>
      <c r="AG255">
        <f>IFERROR(--INDEX('Loans'!$L:$L,ROW()),0)</f>
        <v/>
      </c>
      <c r="AH255">
        <f>IF(ISNUMBER(INDEX('Loans'!$G:$G,ROW())),1,0)</f>
        <v/>
      </c>
    </row>
    <row r="256">
      <c r="A256">
        <f>TRIM(SUBSTITUTE(INDEX('Term investments'!$A:$A,ROW())&amp;""," "," "))</f>
        <v/>
      </c>
      <c r="B256">
        <f>TRIM(SUBSTITUTE(INDEX('Term investments'!$B:$B,ROW())&amp;""," "," "))</f>
        <v/>
      </c>
      <c r="C256">
        <f>TRIM(SUBSTITUTE(INDEX('Term investments'!$C:$C,ROW())&amp;""," "," "))</f>
        <v/>
      </c>
      <c r="D256">
        <f>IFERROR(--INDEX('Term investments'!$D:$D,ROW()),0)</f>
        <v/>
      </c>
      <c r="E256">
        <f>IFERROR(--INDEX('Term investments'!$E:$E,ROW()),0)</f>
        <v/>
      </c>
      <c r="F256">
        <f>IFERROR(--INDEX('Term investments'!$F:$F,ROW()),0)</f>
        <v/>
      </c>
      <c r="G256">
        <f>IFERROR(IF(--INDEX('Term investments'!$G:$G,ROW())&gt;=1,--INDEX('Term investments'!$G:$G,ROW())/100,--INDEX('Term investments'!$G:$G,ROW())),0)</f>
        <v/>
      </c>
      <c r="H256">
        <f>IFERROR(--INDEX('Term investments'!$H:$H,ROW()),0)</f>
        <v/>
      </c>
      <c r="I256">
        <f>IF(ISNUMBER(INDEX('Term investments'!$G:$G,ROW())),1,0)</f>
        <v/>
      </c>
      <c r="J256">
        <f>TRIM(SUBSTITUTE(INDEX('Call accounts and MMFs'!$A:$A,ROW())&amp;""," "," "))</f>
        <v/>
      </c>
      <c r="K256">
        <f>TRIM(SUBSTITUTE(INDEX('Call accounts and MMFs'!$B:$B,ROW())&amp;""," "," "))</f>
        <v/>
      </c>
      <c r="L256">
        <f>TRIM(SUBSTITUTE(INDEX('Call accounts and MMFs'!$C:$C,ROW())&amp;""," "," "))</f>
        <v/>
      </c>
      <c r="M256">
        <f>IFERROR(--INDEX('Call accounts and MMFs'!$D:$D,ROW()),0)</f>
        <v/>
      </c>
      <c r="N256">
        <f>IFERROR(IF(--INDEX('Call accounts and MMFs'!$E:$E,ROW())&gt;=1,--INDEX('Call accounts and MMFs'!$E:$E,ROW())/100,--INDEX('Call accounts and MMFs'!$E:$E,ROW())),0)</f>
        <v/>
      </c>
      <c r="O256">
        <f>IFERROR(--INDEX('Call accounts and MMFs'!$F:$F,ROW()),0)</f>
        <v/>
      </c>
      <c r="P256">
        <f>IF(ISNUMBER(INDEX('Call accounts and MMFs'!$E:$E,ROW())),1,0)</f>
        <v/>
      </c>
      <c r="Q256">
        <f>TRIM(SUBSTITUTE(INDEX('Pooled funds'!$B:$B,ROW())&amp;""," "," "))</f>
        <v/>
      </c>
      <c r="R256">
        <f>IFERROR(--INDEX('Pooled funds'!$C:$C,ROW()),0)</f>
        <v/>
      </c>
      <c r="S256">
        <f>IFERROR(--INDEX('Pooled funds'!$D:$D,ROW()),0)</f>
        <v/>
      </c>
      <c r="T256">
        <f>IFERROR(IF(--INDEX('Pooled funds'!$E:$E,ROW())&gt;=1,--INDEX('Pooled funds'!$E:$E,ROW())/100,--INDEX('Pooled funds'!$E:$E,ROW())),0)</f>
        <v/>
      </c>
      <c r="U256">
        <f>IF(ISNUMBER(INDEX('Pooled funds'!$E:$E,ROW())),1,0)</f>
        <v/>
      </c>
      <c r="V256">
        <f>TRIM(SUBSTITUTE(INDEX('Loans'!$A:$A,ROW())&amp;""," "," "))</f>
        <v/>
      </c>
      <c r="W256">
        <f>TRIM(SUBSTITUTE(INDEX('Loans'!$B:$B,ROW())&amp;""," "," "))</f>
        <v/>
      </c>
      <c r="X256">
        <f>TRIM(SUBSTITUTE(INDEX('Loans'!$C:$C,ROW())&amp;""," "," "))</f>
        <v/>
      </c>
      <c r="Y256">
        <f>IFERROR(--INDEX('Loans'!$D:$D,ROW()),0)</f>
        <v/>
      </c>
      <c r="Z256">
        <f>IFERROR(--INDEX('Loans'!$E:$E,ROW()),0)</f>
        <v/>
      </c>
      <c r="AA256">
        <f>IFERROR(--INDEX('Loans'!$F:$F,ROW()),0)</f>
        <v/>
      </c>
      <c r="AB256">
        <f>IFERROR(IF(--INDEX('Loans'!$G:$G,ROW())&gt;=1,--INDEX('Loans'!$G:$G,ROW())/100,--INDEX('Loans'!$G:$G,ROW())),0)</f>
        <v/>
      </c>
      <c r="AC256">
        <f>TRIM(SUBSTITUTE(INDEX('Loans'!$H:$H,ROW())&amp;""," "," "))</f>
        <v/>
      </c>
      <c r="AD256">
        <f>TRIM(SUBSTITUTE(INDEX('Loans'!$I:$I,ROW())&amp;""," "," "))</f>
        <v/>
      </c>
      <c r="AE256">
        <f>IFERROR(--INDEX('Loans'!$J:$J,ROW()),0)</f>
        <v/>
      </c>
      <c r="AF256">
        <f>TRIM(SUBSTITUTE(INDEX('Loans'!$K:$K,ROW())&amp;""," "," "))</f>
        <v/>
      </c>
      <c r="AG256">
        <f>IFERROR(--INDEX('Loans'!$L:$L,ROW()),0)</f>
        <v/>
      </c>
      <c r="AH256">
        <f>IF(ISNUMBER(INDEX('Loans'!$G:$G,ROW())),1,0)</f>
        <v/>
      </c>
    </row>
    <row r="257">
      <c r="A257">
        <f>TRIM(SUBSTITUTE(INDEX('Term investments'!$A:$A,ROW())&amp;""," "," "))</f>
        <v/>
      </c>
      <c r="B257">
        <f>TRIM(SUBSTITUTE(INDEX('Term investments'!$B:$B,ROW())&amp;""," "," "))</f>
        <v/>
      </c>
      <c r="C257">
        <f>TRIM(SUBSTITUTE(INDEX('Term investments'!$C:$C,ROW())&amp;""," "," "))</f>
        <v/>
      </c>
      <c r="D257">
        <f>IFERROR(--INDEX('Term investments'!$D:$D,ROW()),0)</f>
        <v/>
      </c>
      <c r="E257">
        <f>IFERROR(--INDEX('Term investments'!$E:$E,ROW()),0)</f>
        <v/>
      </c>
      <c r="F257">
        <f>IFERROR(--INDEX('Term investments'!$F:$F,ROW()),0)</f>
        <v/>
      </c>
      <c r="G257">
        <f>IFERROR(IF(--INDEX('Term investments'!$G:$G,ROW())&gt;=1,--INDEX('Term investments'!$G:$G,ROW())/100,--INDEX('Term investments'!$G:$G,ROW())),0)</f>
        <v/>
      </c>
      <c r="H257">
        <f>IFERROR(--INDEX('Term investments'!$H:$H,ROW()),0)</f>
        <v/>
      </c>
      <c r="I257">
        <f>IF(ISNUMBER(INDEX('Term investments'!$G:$G,ROW())),1,0)</f>
        <v/>
      </c>
      <c r="J257">
        <f>TRIM(SUBSTITUTE(INDEX('Call accounts and MMFs'!$A:$A,ROW())&amp;""," "," "))</f>
        <v/>
      </c>
      <c r="K257">
        <f>TRIM(SUBSTITUTE(INDEX('Call accounts and MMFs'!$B:$B,ROW())&amp;""," "," "))</f>
        <v/>
      </c>
      <c r="L257">
        <f>TRIM(SUBSTITUTE(INDEX('Call accounts and MMFs'!$C:$C,ROW())&amp;""," "," "))</f>
        <v/>
      </c>
      <c r="M257">
        <f>IFERROR(--INDEX('Call accounts and MMFs'!$D:$D,ROW()),0)</f>
        <v/>
      </c>
      <c r="N257">
        <f>IFERROR(IF(--INDEX('Call accounts and MMFs'!$E:$E,ROW())&gt;=1,--INDEX('Call accounts and MMFs'!$E:$E,ROW())/100,--INDEX('Call accounts and MMFs'!$E:$E,ROW())),0)</f>
        <v/>
      </c>
      <c r="O257">
        <f>IFERROR(--INDEX('Call accounts and MMFs'!$F:$F,ROW()),0)</f>
        <v/>
      </c>
      <c r="P257">
        <f>IF(ISNUMBER(INDEX('Call accounts and MMFs'!$E:$E,ROW())),1,0)</f>
        <v/>
      </c>
      <c r="Q257">
        <f>TRIM(SUBSTITUTE(INDEX('Pooled funds'!$B:$B,ROW())&amp;""," "," "))</f>
        <v/>
      </c>
      <c r="R257">
        <f>IFERROR(--INDEX('Pooled funds'!$C:$C,ROW()),0)</f>
        <v/>
      </c>
      <c r="S257">
        <f>IFERROR(--INDEX('Pooled funds'!$D:$D,ROW()),0)</f>
        <v/>
      </c>
      <c r="T257">
        <f>IFERROR(IF(--INDEX('Pooled funds'!$E:$E,ROW())&gt;=1,--INDEX('Pooled funds'!$E:$E,ROW())/100,--INDEX('Pooled funds'!$E:$E,ROW())),0)</f>
        <v/>
      </c>
      <c r="U257">
        <f>IF(ISNUMBER(INDEX('Pooled funds'!$E:$E,ROW())),1,0)</f>
        <v/>
      </c>
      <c r="V257">
        <f>TRIM(SUBSTITUTE(INDEX('Loans'!$A:$A,ROW())&amp;""," "," "))</f>
        <v/>
      </c>
      <c r="W257">
        <f>TRIM(SUBSTITUTE(INDEX('Loans'!$B:$B,ROW())&amp;""," "," "))</f>
        <v/>
      </c>
      <c r="X257">
        <f>TRIM(SUBSTITUTE(INDEX('Loans'!$C:$C,ROW())&amp;""," "," "))</f>
        <v/>
      </c>
      <c r="Y257">
        <f>IFERROR(--INDEX('Loans'!$D:$D,ROW()),0)</f>
        <v/>
      </c>
      <c r="Z257">
        <f>IFERROR(--INDEX('Loans'!$E:$E,ROW()),0)</f>
        <v/>
      </c>
      <c r="AA257">
        <f>IFERROR(--INDEX('Loans'!$F:$F,ROW()),0)</f>
        <v/>
      </c>
      <c r="AB257">
        <f>IFERROR(IF(--INDEX('Loans'!$G:$G,ROW())&gt;=1,--INDEX('Loans'!$G:$G,ROW())/100,--INDEX('Loans'!$G:$G,ROW())),0)</f>
        <v/>
      </c>
      <c r="AC257">
        <f>TRIM(SUBSTITUTE(INDEX('Loans'!$H:$H,ROW())&amp;""," "," "))</f>
        <v/>
      </c>
      <c r="AD257">
        <f>TRIM(SUBSTITUTE(INDEX('Loans'!$I:$I,ROW())&amp;""," "," "))</f>
        <v/>
      </c>
      <c r="AE257">
        <f>IFERROR(--INDEX('Loans'!$J:$J,ROW()),0)</f>
        <v/>
      </c>
      <c r="AF257">
        <f>TRIM(SUBSTITUTE(INDEX('Loans'!$K:$K,ROW())&amp;""," "," "))</f>
        <v/>
      </c>
      <c r="AG257">
        <f>IFERROR(--INDEX('Loans'!$L:$L,ROW()),0)</f>
        <v/>
      </c>
      <c r="AH257">
        <f>IF(ISNUMBER(INDEX('Loans'!$G:$G,ROW())),1,0)</f>
        <v/>
      </c>
    </row>
    <row r="258">
      <c r="A258">
        <f>TRIM(SUBSTITUTE(INDEX('Term investments'!$A:$A,ROW())&amp;""," "," "))</f>
        <v/>
      </c>
      <c r="B258">
        <f>TRIM(SUBSTITUTE(INDEX('Term investments'!$B:$B,ROW())&amp;""," "," "))</f>
        <v/>
      </c>
      <c r="C258">
        <f>TRIM(SUBSTITUTE(INDEX('Term investments'!$C:$C,ROW())&amp;""," "," "))</f>
        <v/>
      </c>
      <c r="D258">
        <f>IFERROR(--INDEX('Term investments'!$D:$D,ROW()),0)</f>
        <v/>
      </c>
      <c r="E258">
        <f>IFERROR(--INDEX('Term investments'!$E:$E,ROW()),0)</f>
        <v/>
      </c>
      <c r="F258">
        <f>IFERROR(--INDEX('Term investments'!$F:$F,ROW()),0)</f>
        <v/>
      </c>
      <c r="G258">
        <f>IFERROR(IF(--INDEX('Term investments'!$G:$G,ROW())&gt;=1,--INDEX('Term investments'!$G:$G,ROW())/100,--INDEX('Term investments'!$G:$G,ROW())),0)</f>
        <v/>
      </c>
      <c r="H258">
        <f>IFERROR(--INDEX('Term investments'!$H:$H,ROW()),0)</f>
        <v/>
      </c>
      <c r="I258">
        <f>IF(ISNUMBER(INDEX('Term investments'!$G:$G,ROW())),1,0)</f>
        <v/>
      </c>
      <c r="J258">
        <f>TRIM(SUBSTITUTE(INDEX('Call accounts and MMFs'!$A:$A,ROW())&amp;""," "," "))</f>
        <v/>
      </c>
      <c r="K258">
        <f>TRIM(SUBSTITUTE(INDEX('Call accounts and MMFs'!$B:$B,ROW())&amp;""," "," "))</f>
        <v/>
      </c>
      <c r="L258">
        <f>TRIM(SUBSTITUTE(INDEX('Call accounts and MMFs'!$C:$C,ROW())&amp;""," "," "))</f>
        <v/>
      </c>
      <c r="M258">
        <f>IFERROR(--INDEX('Call accounts and MMFs'!$D:$D,ROW()),0)</f>
        <v/>
      </c>
      <c r="N258">
        <f>IFERROR(IF(--INDEX('Call accounts and MMFs'!$E:$E,ROW())&gt;=1,--INDEX('Call accounts and MMFs'!$E:$E,ROW())/100,--INDEX('Call accounts and MMFs'!$E:$E,ROW())),0)</f>
        <v/>
      </c>
      <c r="O258">
        <f>IFERROR(--INDEX('Call accounts and MMFs'!$F:$F,ROW()),0)</f>
        <v/>
      </c>
      <c r="P258">
        <f>IF(ISNUMBER(INDEX('Call accounts and MMFs'!$E:$E,ROW())),1,0)</f>
        <v/>
      </c>
      <c r="Q258">
        <f>TRIM(SUBSTITUTE(INDEX('Pooled funds'!$B:$B,ROW())&amp;""," "," "))</f>
        <v/>
      </c>
      <c r="R258">
        <f>IFERROR(--INDEX('Pooled funds'!$C:$C,ROW()),0)</f>
        <v/>
      </c>
      <c r="S258">
        <f>IFERROR(--INDEX('Pooled funds'!$D:$D,ROW()),0)</f>
        <v/>
      </c>
      <c r="T258">
        <f>IFERROR(IF(--INDEX('Pooled funds'!$E:$E,ROW())&gt;=1,--INDEX('Pooled funds'!$E:$E,ROW())/100,--INDEX('Pooled funds'!$E:$E,ROW())),0)</f>
        <v/>
      </c>
      <c r="U258">
        <f>IF(ISNUMBER(INDEX('Pooled funds'!$E:$E,ROW())),1,0)</f>
        <v/>
      </c>
      <c r="V258">
        <f>TRIM(SUBSTITUTE(INDEX('Loans'!$A:$A,ROW())&amp;""," "," "))</f>
        <v/>
      </c>
      <c r="W258">
        <f>TRIM(SUBSTITUTE(INDEX('Loans'!$B:$B,ROW())&amp;""," "," "))</f>
        <v/>
      </c>
      <c r="X258">
        <f>TRIM(SUBSTITUTE(INDEX('Loans'!$C:$C,ROW())&amp;""," "," "))</f>
        <v/>
      </c>
      <c r="Y258">
        <f>IFERROR(--INDEX('Loans'!$D:$D,ROW()),0)</f>
        <v/>
      </c>
      <c r="Z258">
        <f>IFERROR(--INDEX('Loans'!$E:$E,ROW()),0)</f>
        <v/>
      </c>
      <c r="AA258">
        <f>IFERROR(--INDEX('Loans'!$F:$F,ROW()),0)</f>
        <v/>
      </c>
      <c r="AB258">
        <f>IFERROR(IF(--INDEX('Loans'!$G:$G,ROW())&gt;=1,--INDEX('Loans'!$G:$G,ROW())/100,--INDEX('Loans'!$G:$G,ROW())),0)</f>
        <v/>
      </c>
      <c r="AC258">
        <f>TRIM(SUBSTITUTE(INDEX('Loans'!$H:$H,ROW())&amp;""," "," "))</f>
        <v/>
      </c>
      <c r="AD258">
        <f>TRIM(SUBSTITUTE(INDEX('Loans'!$I:$I,ROW())&amp;""," "," "))</f>
        <v/>
      </c>
      <c r="AE258">
        <f>IFERROR(--INDEX('Loans'!$J:$J,ROW()),0)</f>
        <v/>
      </c>
      <c r="AF258">
        <f>TRIM(SUBSTITUTE(INDEX('Loans'!$K:$K,ROW())&amp;""," "," "))</f>
        <v/>
      </c>
      <c r="AG258">
        <f>IFERROR(--INDEX('Loans'!$L:$L,ROW()),0)</f>
        <v/>
      </c>
      <c r="AH258">
        <f>IF(ISNUMBER(INDEX('Loans'!$G:$G,ROW())),1,0)</f>
        <v/>
      </c>
    </row>
    <row r="259">
      <c r="A259">
        <f>TRIM(SUBSTITUTE(INDEX('Term investments'!$A:$A,ROW())&amp;""," "," "))</f>
        <v/>
      </c>
      <c r="B259">
        <f>TRIM(SUBSTITUTE(INDEX('Term investments'!$B:$B,ROW())&amp;""," "," "))</f>
        <v/>
      </c>
      <c r="C259">
        <f>TRIM(SUBSTITUTE(INDEX('Term investments'!$C:$C,ROW())&amp;""," "," "))</f>
        <v/>
      </c>
      <c r="D259">
        <f>IFERROR(--INDEX('Term investments'!$D:$D,ROW()),0)</f>
        <v/>
      </c>
      <c r="E259">
        <f>IFERROR(--INDEX('Term investments'!$E:$E,ROW()),0)</f>
        <v/>
      </c>
      <c r="F259">
        <f>IFERROR(--INDEX('Term investments'!$F:$F,ROW()),0)</f>
        <v/>
      </c>
      <c r="G259">
        <f>IFERROR(IF(--INDEX('Term investments'!$G:$G,ROW())&gt;=1,--INDEX('Term investments'!$G:$G,ROW())/100,--INDEX('Term investments'!$G:$G,ROW())),0)</f>
        <v/>
      </c>
      <c r="H259">
        <f>IFERROR(--INDEX('Term investments'!$H:$H,ROW()),0)</f>
        <v/>
      </c>
      <c r="I259">
        <f>IF(ISNUMBER(INDEX('Term investments'!$G:$G,ROW())),1,0)</f>
        <v/>
      </c>
      <c r="J259">
        <f>TRIM(SUBSTITUTE(INDEX('Call accounts and MMFs'!$A:$A,ROW())&amp;""," "," "))</f>
        <v/>
      </c>
      <c r="K259">
        <f>TRIM(SUBSTITUTE(INDEX('Call accounts and MMFs'!$B:$B,ROW())&amp;""," "," "))</f>
        <v/>
      </c>
      <c r="L259">
        <f>TRIM(SUBSTITUTE(INDEX('Call accounts and MMFs'!$C:$C,ROW())&amp;""," "," "))</f>
        <v/>
      </c>
      <c r="M259">
        <f>IFERROR(--INDEX('Call accounts and MMFs'!$D:$D,ROW()),0)</f>
        <v/>
      </c>
      <c r="N259">
        <f>IFERROR(IF(--INDEX('Call accounts and MMFs'!$E:$E,ROW())&gt;=1,--INDEX('Call accounts and MMFs'!$E:$E,ROW())/100,--INDEX('Call accounts and MMFs'!$E:$E,ROW())),0)</f>
        <v/>
      </c>
      <c r="O259">
        <f>IFERROR(--INDEX('Call accounts and MMFs'!$F:$F,ROW()),0)</f>
        <v/>
      </c>
      <c r="P259">
        <f>IF(ISNUMBER(INDEX('Call accounts and MMFs'!$E:$E,ROW())),1,0)</f>
        <v/>
      </c>
      <c r="Q259">
        <f>TRIM(SUBSTITUTE(INDEX('Pooled funds'!$B:$B,ROW())&amp;""," "," "))</f>
        <v/>
      </c>
      <c r="R259">
        <f>IFERROR(--INDEX('Pooled funds'!$C:$C,ROW()),0)</f>
        <v/>
      </c>
      <c r="S259">
        <f>IFERROR(--INDEX('Pooled funds'!$D:$D,ROW()),0)</f>
        <v/>
      </c>
      <c r="T259">
        <f>IFERROR(IF(--INDEX('Pooled funds'!$E:$E,ROW())&gt;=1,--INDEX('Pooled funds'!$E:$E,ROW())/100,--INDEX('Pooled funds'!$E:$E,ROW())),0)</f>
        <v/>
      </c>
      <c r="U259">
        <f>IF(ISNUMBER(INDEX('Pooled funds'!$E:$E,ROW())),1,0)</f>
        <v/>
      </c>
      <c r="V259">
        <f>TRIM(SUBSTITUTE(INDEX('Loans'!$A:$A,ROW())&amp;""," "," "))</f>
        <v/>
      </c>
      <c r="W259">
        <f>TRIM(SUBSTITUTE(INDEX('Loans'!$B:$B,ROW())&amp;""," "," "))</f>
        <v/>
      </c>
      <c r="X259">
        <f>TRIM(SUBSTITUTE(INDEX('Loans'!$C:$C,ROW())&amp;""," "," "))</f>
        <v/>
      </c>
      <c r="Y259">
        <f>IFERROR(--INDEX('Loans'!$D:$D,ROW()),0)</f>
        <v/>
      </c>
      <c r="Z259">
        <f>IFERROR(--INDEX('Loans'!$E:$E,ROW()),0)</f>
        <v/>
      </c>
      <c r="AA259">
        <f>IFERROR(--INDEX('Loans'!$F:$F,ROW()),0)</f>
        <v/>
      </c>
      <c r="AB259">
        <f>IFERROR(IF(--INDEX('Loans'!$G:$G,ROW())&gt;=1,--INDEX('Loans'!$G:$G,ROW())/100,--INDEX('Loans'!$G:$G,ROW())),0)</f>
        <v/>
      </c>
      <c r="AC259">
        <f>TRIM(SUBSTITUTE(INDEX('Loans'!$H:$H,ROW())&amp;""," "," "))</f>
        <v/>
      </c>
      <c r="AD259">
        <f>TRIM(SUBSTITUTE(INDEX('Loans'!$I:$I,ROW())&amp;""," "," "))</f>
        <v/>
      </c>
      <c r="AE259">
        <f>IFERROR(--INDEX('Loans'!$J:$J,ROW()),0)</f>
        <v/>
      </c>
      <c r="AF259">
        <f>TRIM(SUBSTITUTE(INDEX('Loans'!$K:$K,ROW())&amp;""," "," "))</f>
        <v/>
      </c>
      <c r="AG259">
        <f>IFERROR(--INDEX('Loans'!$L:$L,ROW()),0)</f>
        <v/>
      </c>
      <c r="AH259">
        <f>IF(ISNUMBER(INDEX('Loans'!$G:$G,ROW())),1,0)</f>
        <v/>
      </c>
    </row>
    <row r="260">
      <c r="A260">
        <f>TRIM(SUBSTITUTE(INDEX('Term investments'!$A:$A,ROW())&amp;""," "," "))</f>
        <v/>
      </c>
      <c r="B260">
        <f>TRIM(SUBSTITUTE(INDEX('Term investments'!$B:$B,ROW())&amp;""," "," "))</f>
        <v/>
      </c>
      <c r="C260">
        <f>TRIM(SUBSTITUTE(INDEX('Term investments'!$C:$C,ROW())&amp;""," "," "))</f>
        <v/>
      </c>
      <c r="D260">
        <f>IFERROR(--INDEX('Term investments'!$D:$D,ROW()),0)</f>
        <v/>
      </c>
      <c r="E260">
        <f>IFERROR(--INDEX('Term investments'!$E:$E,ROW()),0)</f>
        <v/>
      </c>
      <c r="F260">
        <f>IFERROR(--INDEX('Term investments'!$F:$F,ROW()),0)</f>
        <v/>
      </c>
      <c r="G260">
        <f>IFERROR(IF(--INDEX('Term investments'!$G:$G,ROW())&gt;=1,--INDEX('Term investments'!$G:$G,ROW())/100,--INDEX('Term investments'!$G:$G,ROW())),0)</f>
        <v/>
      </c>
      <c r="H260">
        <f>IFERROR(--INDEX('Term investments'!$H:$H,ROW()),0)</f>
        <v/>
      </c>
      <c r="I260">
        <f>IF(ISNUMBER(INDEX('Term investments'!$G:$G,ROW())),1,0)</f>
        <v/>
      </c>
      <c r="J260">
        <f>TRIM(SUBSTITUTE(INDEX('Call accounts and MMFs'!$A:$A,ROW())&amp;""," "," "))</f>
        <v/>
      </c>
      <c r="K260">
        <f>TRIM(SUBSTITUTE(INDEX('Call accounts and MMFs'!$B:$B,ROW())&amp;""," "," "))</f>
        <v/>
      </c>
      <c r="L260">
        <f>TRIM(SUBSTITUTE(INDEX('Call accounts and MMFs'!$C:$C,ROW())&amp;""," "," "))</f>
        <v/>
      </c>
      <c r="M260">
        <f>IFERROR(--INDEX('Call accounts and MMFs'!$D:$D,ROW()),0)</f>
        <v/>
      </c>
      <c r="N260">
        <f>IFERROR(IF(--INDEX('Call accounts and MMFs'!$E:$E,ROW())&gt;=1,--INDEX('Call accounts and MMFs'!$E:$E,ROW())/100,--INDEX('Call accounts and MMFs'!$E:$E,ROW())),0)</f>
        <v/>
      </c>
      <c r="O260">
        <f>IFERROR(--INDEX('Call accounts and MMFs'!$F:$F,ROW()),0)</f>
        <v/>
      </c>
      <c r="P260">
        <f>IF(ISNUMBER(INDEX('Call accounts and MMFs'!$E:$E,ROW())),1,0)</f>
        <v/>
      </c>
      <c r="Q260">
        <f>TRIM(SUBSTITUTE(INDEX('Pooled funds'!$B:$B,ROW())&amp;""," "," "))</f>
        <v/>
      </c>
      <c r="R260">
        <f>IFERROR(--INDEX('Pooled funds'!$C:$C,ROW()),0)</f>
        <v/>
      </c>
      <c r="S260">
        <f>IFERROR(--INDEX('Pooled funds'!$D:$D,ROW()),0)</f>
        <v/>
      </c>
      <c r="T260">
        <f>IFERROR(IF(--INDEX('Pooled funds'!$E:$E,ROW())&gt;=1,--INDEX('Pooled funds'!$E:$E,ROW())/100,--INDEX('Pooled funds'!$E:$E,ROW())),0)</f>
        <v/>
      </c>
      <c r="U260">
        <f>IF(ISNUMBER(INDEX('Pooled funds'!$E:$E,ROW())),1,0)</f>
        <v/>
      </c>
      <c r="V260">
        <f>TRIM(SUBSTITUTE(INDEX('Loans'!$A:$A,ROW())&amp;""," "," "))</f>
        <v/>
      </c>
      <c r="W260">
        <f>TRIM(SUBSTITUTE(INDEX('Loans'!$B:$B,ROW())&amp;""," "," "))</f>
        <v/>
      </c>
      <c r="X260">
        <f>TRIM(SUBSTITUTE(INDEX('Loans'!$C:$C,ROW())&amp;""," "," "))</f>
        <v/>
      </c>
      <c r="Y260">
        <f>IFERROR(--INDEX('Loans'!$D:$D,ROW()),0)</f>
        <v/>
      </c>
      <c r="Z260">
        <f>IFERROR(--INDEX('Loans'!$E:$E,ROW()),0)</f>
        <v/>
      </c>
      <c r="AA260">
        <f>IFERROR(--INDEX('Loans'!$F:$F,ROW()),0)</f>
        <v/>
      </c>
      <c r="AB260">
        <f>IFERROR(IF(--INDEX('Loans'!$G:$G,ROW())&gt;=1,--INDEX('Loans'!$G:$G,ROW())/100,--INDEX('Loans'!$G:$G,ROW())),0)</f>
        <v/>
      </c>
      <c r="AC260">
        <f>TRIM(SUBSTITUTE(INDEX('Loans'!$H:$H,ROW())&amp;""," "," "))</f>
        <v/>
      </c>
      <c r="AD260">
        <f>TRIM(SUBSTITUTE(INDEX('Loans'!$I:$I,ROW())&amp;""," "," "))</f>
        <v/>
      </c>
      <c r="AE260">
        <f>IFERROR(--INDEX('Loans'!$J:$J,ROW()),0)</f>
        <v/>
      </c>
      <c r="AF260">
        <f>TRIM(SUBSTITUTE(INDEX('Loans'!$K:$K,ROW())&amp;""," "," "))</f>
        <v/>
      </c>
      <c r="AG260">
        <f>IFERROR(--INDEX('Loans'!$L:$L,ROW()),0)</f>
        <v/>
      </c>
      <c r="AH260">
        <f>IF(ISNUMBER(INDEX('Loans'!$G:$G,ROW())),1,0)</f>
        <v/>
      </c>
    </row>
    <row r="261">
      <c r="A261">
        <f>TRIM(SUBSTITUTE(INDEX('Term investments'!$A:$A,ROW())&amp;""," "," "))</f>
        <v/>
      </c>
      <c r="B261">
        <f>TRIM(SUBSTITUTE(INDEX('Term investments'!$B:$B,ROW())&amp;""," "," "))</f>
        <v/>
      </c>
      <c r="C261">
        <f>TRIM(SUBSTITUTE(INDEX('Term investments'!$C:$C,ROW())&amp;""," "," "))</f>
        <v/>
      </c>
      <c r="D261">
        <f>IFERROR(--INDEX('Term investments'!$D:$D,ROW()),0)</f>
        <v/>
      </c>
      <c r="E261">
        <f>IFERROR(--INDEX('Term investments'!$E:$E,ROW()),0)</f>
        <v/>
      </c>
      <c r="F261">
        <f>IFERROR(--INDEX('Term investments'!$F:$F,ROW()),0)</f>
        <v/>
      </c>
      <c r="G261">
        <f>IFERROR(IF(--INDEX('Term investments'!$G:$G,ROW())&gt;=1,--INDEX('Term investments'!$G:$G,ROW())/100,--INDEX('Term investments'!$G:$G,ROW())),0)</f>
        <v/>
      </c>
      <c r="H261">
        <f>IFERROR(--INDEX('Term investments'!$H:$H,ROW()),0)</f>
        <v/>
      </c>
      <c r="I261">
        <f>IF(ISNUMBER(INDEX('Term investments'!$G:$G,ROW())),1,0)</f>
        <v/>
      </c>
      <c r="J261">
        <f>TRIM(SUBSTITUTE(INDEX('Call accounts and MMFs'!$A:$A,ROW())&amp;""," "," "))</f>
        <v/>
      </c>
      <c r="K261">
        <f>TRIM(SUBSTITUTE(INDEX('Call accounts and MMFs'!$B:$B,ROW())&amp;""," "," "))</f>
        <v/>
      </c>
      <c r="L261">
        <f>TRIM(SUBSTITUTE(INDEX('Call accounts and MMFs'!$C:$C,ROW())&amp;""," "," "))</f>
        <v/>
      </c>
      <c r="M261">
        <f>IFERROR(--INDEX('Call accounts and MMFs'!$D:$D,ROW()),0)</f>
        <v/>
      </c>
      <c r="N261">
        <f>IFERROR(IF(--INDEX('Call accounts and MMFs'!$E:$E,ROW())&gt;=1,--INDEX('Call accounts and MMFs'!$E:$E,ROW())/100,--INDEX('Call accounts and MMFs'!$E:$E,ROW())),0)</f>
        <v/>
      </c>
      <c r="O261">
        <f>IFERROR(--INDEX('Call accounts and MMFs'!$F:$F,ROW()),0)</f>
        <v/>
      </c>
      <c r="P261">
        <f>IF(ISNUMBER(INDEX('Call accounts and MMFs'!$E:$E,ROW())),1,0)</f>
        <v/>
      </c>
      <c r="Q261">
        <f>TRIM(SUBSTITUTE(INDEX('Pooled funds'!$B:$B,ROW())&amp;""," "," "))</f>
        <v/>
      </c>
      <c r="R261">
        <f>IFERROR(--INDEX('Pooled funds'!$C:$C,ROW()),0)</f>
        <v/>
      </c>
      <c r="S261">
        <f>IFERROR(--INDEX('Pooled funds'!$D:$D,ROW()),0)</f>
        <v/>
      </c>
      <c r="T261">
        <f>IFERROR(IF(--INDEX('Pooled funds'!$E:$E,ROW())&gt;=1,--INDEX('Pooled funds'!$E:$E,ROW())/100,--INDEX('Pooled funds'!$E:$E,ROW())),0)</f>
        <v/>
      </c>
      <c r="U261">
        <f>IF(ISNUMBER(INDEX('Pooled funds'!$E:$E,ROW())),1,0)</f>
        <v/>
      </c>
      <c r="V261">
        <f>TRIM(SUBSTITUTE(INDEX('Loans'!$A:$A,ROW())&amp;""," "," "))</f>
        <v/>
      </c>
      <c r="W261">
        <f>TRIM(SUBSTITUTE(INDEX('Loans'!$B:$B,ROW())&amp;""," "," "))</f>
        <v/>
      </c>
      <c r="X261">
        <f>TRIM(SUBSTITUTE(INDEX('Loans'!$C:$C,ROW())&amp;""," "," "))</f>
        <v/>
      </c>
      <c r="Y261">
        <f>IFERROR(--INDEX('Loans'!$D:$D,ROW()),0)</f>
        <v/>
      </c>
      <c r="Z261">
        <f>IFERROR(--INDEX('Loans'!$E:$E,ROW()),0)</f>
        <v/>
      </c>
      <c r="AA261">
        <f>IFERROR(--INDEX('Loans'!$F:$F,ROW()),0)</f>
        <v/>
      </c>
      <c r="AB261">
        <f>IFERROR(IF(--INDEX('Loans'!$G:$G,ROW())&gt;=1,--INDEX('Loans'!$G:$G,ROW())/100,--INDEX('Loans'!$G:$G,ROW())),0)</f>
        <v/>
      </c>
      <c r="AC261">
        <f>TRIM(SUBSTITUTE(INDEX('Loans'!$H:$H,ROW())&amp;""," "," "))</f>
        <v/>
      </c>
      <c r="AD261">
        <f>TRIM(SUBSTITUTE(INDEX('Loans'!$I:$I,ROW())&amp;""," "," "))</f>
        <v/>
      </c>
      <c r="AE261">
        <f>IFERROR(--INDEX('Loans'!$J:$J,ROW()),0)</f>
        <v/>
      </c>
      <c r="AF261">
        <f>TRIM(SUBSTITUTE(INDEX('Loans'!$K:$K,ROW())&amp;""," "," "))</f>
        <v/>
      </c>
      <c r="AG261">
        <f>IFERROR(--INDEX('Loans'!$L:$L,ROW()),0)</f>
        <v/>
      </c>
      <c r="AH261">
        <f>IF(ISNUMBER(INDEX('Loans'!$G:$G,ROW())),1,0)</f>
        <v/>
      </c>
    </row>
    <row r="262">
      <c r="A262">
        <f>TRIM(SUBSTITUTE(INDEX('Term investments'!$A:$A,ROW())&amp;""," "," "))</f>
        <v/>
      </c>
      <c r="B262">
        <f>TRIM(SUBSTITUTE(INDEX('Term investments'!$B:$B,ROW())&amp;""," "," "))</f>
        <v/>
      </c>
      <c r="C262">
        <f>TRIM(SUBSTITUTE(INDEX('Term investments'!$C:$C,ROW())&amp;""," "," "))</f>
        <v/>
      </c>
      <c r="D262">
        <f>IFERROR(--INDEX('Term investments'!$D:$D,ROW()),0)</f>
        <v/>
      </c>
      <c r="E262">
        <f>IFERROR(--INDEX('Term investments'!$E:$E,ROW()),0)</f>
        <v/>
      </c>
      <c r="F262">
        <f>IFERROR(--INDEX('Term investments'!$F:$F,ROW()),0)</f>
        <v/>
      </c>
      <c r="G262">
        <f>IFERROR(IF(--INDEX('Term investments'!$G:$G,ROW())&gt;=1,--INDEX('Term investments'!$G:$G,ROW())/100,--INDEX('Term investments'!$G:$G,ROW())),0)</f>
        <v/>
      </c>
      <c r="H262">
        <f>IFERROR(--INDEX('Term investments'!$H:$H,ROW()),0)</f>
        <v/>
      </c>
      <c r="I262">
        <f>IF(ISNUMBER(INDEX('Term investments'!$G:$G,ROW())),1,0)</f>
        <v/>
      </c>
      <c r="J262">
        <f>TRIM(SUBSTITUTE(INDEX('Call accounts and MMFs'!$A:$A,ROW())&amp;""," "," "))</f>
        <v/>
      </c>
      <c r="K262">
        <f>TRIM(SUBSTITUTE(INDEX('Call accounts and MMFs'!$B:$B,ROW())&amp;""," "," "))</f>
        <v/>
      </c>
      <c r="L262">
        <f>TRIM(SUBSTITUTE(INDEX('Call accounts and MMFs'!$C:$C,ROW())&amp;""," "," "))</f>
        <v/>
      </c>
      <c r="M262">
        <f>IFERROR(--INDEX('Call accounts and MMFs'!$D:$D,ROW()),0)</f>
        <v/>
      </c>
      <c r="N262">
        <f>IFERROR(IF(--INDEX('Call accounts and MMFs'!$E:$E,ROW())&gt;=1,--INDEX('Call accounts and MMFs'!$E:$E,ROW())/100,--INDEX('Call accounts and MMFs'!$E:$E,ROW())),0)</f>
        <v/>
      </c>
      <c r="O262">
        <f>IFERROR(--INDEX('Call accounts and MMFs'!$F:$F,ROW()),0)</f>
        <v/>
      </c>
      <c r="P262">
        <f>IF(ISNUMBER(INDEX('Call accounts and MMFs'!$E:$E,ROW())),1,0)</f>
        <v/>
      </c>
      <c r="Q262">
        <f>TRIM(SUBSTITUTE(INDEX('Pooled funds'!$B:$B,ROW())&amp;""," "," "))</f>
        <v/>
      </c>
      <c r="R262">
        <f>IFERROR(--INDEX('Pooled funds'!$C:$C,ROW()),0)</f>
        <v/>
      </c>
      <c r="S262">
        <f>IFERROR(--INDEX('Pooled funds'!$D:$D,ROW()),0)</f>
        <v/>
      </c>
      <c r="T262">
        <f>IFERROR(IF(--INDEX('Pooled funds'!$E:$E,ROW())&gt;=1,--INDEX('Pooled funds'!$E:$E,ROW())/100,--INDEX('Pooled funds'!$E:$E,ROW())),0)</f>
        <v/>
      </c>
      <c r="U262">
        <f>IF(ISNUMBER(INDEX('Pooled funds'!$E:$E,ROW())),1,0)</f>
        <v/>
      </c>
      <c r="V262">
        <f>TRIM(SUBSTITUTE(INDEX('Loans'!$A:$A,ROW())&amp;""," "," "))</f>
        <v/>
      </c>
      <c r="W262">
        <f>TRIM(SUBSTITUTE(INDEX('Loans'!$B:$B,ROW())&amp;""," "," "))</f>
        <v/>
      </c>
      <c r="X262">
        <f>TRIM(SUBSTITUTE(INDEX('Loans'!$C:$C,ROW())&amp;""," "," "))</f>
        <v/>
      </c>
      <c r="Y262">
        <f>IFERROR(--INDEX('Loans'!$D:$D,ROW()),0)</f>
        <v/>
      </c>
      <c r="Z262">
        <f>IFERROR(--INDEX('Loans'!$E:$E,ROW()),0)</f>
        <v/>
      </c>
      <c r="AA262">
        <f>IFERROR(--INDEX('Loans'!$F:$F,ROW()),0)</f>
        <v/>
      </c>
      <c r="AB262">
        <f>IFERROR(IF(--INDEX('Loans'!$G:$G,ROW())&gt;=1,--INDEX('Loans'!$G:$G,ROW())/100,--INDEX('Loans'!$G:$G,ROW())),0)</f>
        <v/>
      </c>
      <c r="AC262">
        <f>TRIM(SUBSTITUTE(INDEX('Loans'!$H:$H,ROW())&amp;""," "," "))</f>
        <v/>
      </c>
      <c r="AD262">
        <f>TRIM(SUBSTITUTE(INDEX('Loans'!$I:$I,ROW())&amp;""," "," "))</f>
        <v/>
      </c>
      <c r="AE262">
        <f>IFERROR(--INDEX('Loans'!$J:$J,ROW()),0)</f>
        <v/>
      </c>
      <c r="AF262">
        <f>TRIM(SUBSTITUTE(INDEX('Loans'!$K:$K,ROW())&amp;""," "," "))</f>
        <v/>
      </c>
      <c r="AG262">
        <f>IFERROR(--INDEX('Loans'!$L:$L,ROW()),0)</f>
        <v/>
      </c>
      <c r="AH262">
        <f>IF(ISNUMBER(INDEX('Loans'!$G:$G,ROW())),1,0)</f>
        <v/>
      </c>
    </row>
    <row r="263">
      <c r="A263">
        <f>TRIM(SUBSTITUTE(INDEX('Term investments'!$A:$A,ROW())&amp;""," "," "))</f>
        <v/>
      </c>
      <c r="B263">
        <f>TRIM(SUBSTITUTE(INDEX('Term investments'!$B:$B,ROW())&amp;""," "," "))</f>
        <v/>
      </c>
      <c r="C263">
        <f>TRIM(SUBSTITUTE(INDEX('Term investments'!$C:$C,ROW())&amp;""," "," "))</f>
        <v/>
      </c>
      <c r="D263">
        <f>IFERROR(--INDEX('Term investments'!$D:$D,ROW()),0)</f>
        <v/>
      </c>
      <c r="E263">
        <f>IFERROR(--INDEX('Term investments'!$E:$E,ROW()),0)</f>
        <v/>
      </c>
      <c r="F263">
        <f>IFERROR(--INDEX('Term investments'!$F:$F,ROW()),0)</f>
        <v/>
      </c>
      <c r="G263">
        <f>IFERROR(IF(--INDEX('Term investments'!$G:$G,ROW())&gt;=1,--INDEX('Term investments'!$G:$G,ROW())/100,--INDEX('Term investments'!$G:$G,ROW())),0)</f>
        <v/>
      </c>
      <c r="H263">
        <f>IFERROR(--INDEX('Term investments'!$H:$H,ROW()),0)</f>
        <v/>
      </c>
      <c r="I263">
        <f>IF(ISNUMBER(INDEX('Term investments'!$G:$G,ROW())),1,0)</f>
        <v/>
      </c>
      <c r="J263">
        <f>TRIM(SUBSTITUTE(INDEX('Call accounts and MMFs'!$A:$A,ROW())&amp;""," "," "))</f>
        <v/>
      </c>
      <c r="K263">
        <f>TRIM(SUBSTITUTE(INDEX('Call accounts and MMFs'!$B:$B,ROW())&amp;""," "," "))</f>
        <v/>
      </c>
      <c r="L263">
        <f>TRIM(SUBSTITUTE(INDEX('Call accounts and MMFs'!$C:$C,ROW())&amp;""," "," "))</f>
        <v/>
      </c>
      <c r="M263">
        <f>IFERROR(--INDEX('Call accounts and MMFs'!$D:$D,ROW()),0)</f>
        <v/>
      </c>
      <c r="N263">
        <f>IFERROR(IF(--INDEX('Call accounts and MMFs'!$E:$E,ROW())&gt;=1,--INDEX('Call accounts and MMFs'!$E:$E,ROW())/100,--INDEX('Call accounts and MMFs'!$E:$E,ROW())),0)</f>
        <v/>
      </c>
      <c r="O263">
        <f>IFERROR(--INDEX('Call accounts and MMFs'!$F:$F,ROW()),0)</f>
        <v/>
      </c>
      <c r="P263">
        <f>IF(ISNUMBER(INDEX('Call accounts and MMFs'!$E:$E,ROW())),1,0)</f>
        <v/>
      </c>
      <c r="Q263">
        <f>TRIM(SUBSTITUTE(INDEX('Pooled funds'!$B:$B,ROW())&amp;""," "," "))</f>
        <v/>
      </c>
      <c r="R263">
        <f>IFERROR(--INDEX('Pooled funds'!$C:$C,ROW()),0)</f>
        <v/>
      </c>
      <c r="S263">
        <f>IFERROR(--INDEX('Pooled funds'!$D:$D,ROW()),0)</f>
        <v/>
      </c>
      <c r="T263">
        <f>IFERROR(IF(--INDEX('Pooled funds'!$E:$E,ROW())&gt;=1,--INDEX('Pooled funds'!$E:$E,ROW())/100,--INDEX('Pooled funds'!$E:$E,ROW())),0)</f>
        <v/>
      </c>
      <c r="U263">
        <f>IF(ISNUMBER(INDEX('Pooled funds'!$E:$E,ROW())),1,0)</f>
        <v/>
      </c>
      <c r="V263">
        <f>TRIM(SUBSTITUTE(INDEX('Loans'!$A:$A,ROW())&amp;""," "," "))</f>
        <v/>
      </c>
      <c r="W263">
        <f>TRIM(SUBSTITUTE(INDEX('Loans'!$B:$B,ROW())&amp;""," "," "))</f>
        <v/>
      </c>
      <c r="X263">
        <f>TRIM(SUBSTITUTE(INDEX('Loans'!$C:$C,ROW())&amp;""," "," "))</f>
        <v/>
      </c>
      <c r="Y263">
        <f>IFERROR(--INDEX('Loans'!$D:$D,ROW()),0)</f>
        <v/>
      </c>
      <c r="Z263">
        <f>IFERROR(--INDEX('Loans'!$E:$E,ROW()),0)</f>
        <v/>
      </c>
      <c r="AA263">
        <f>IFERROR(--INDEX('Loans'!$F:$F,ROW()),0)</f>
        <v/>
      </c>
      <c r="AB263">
        <f>IFERROR(IF(--INDEX('Loans'!$G:$G,ROW())&gt;=1,--INDEX('Loans'!$G:$G,ROW())/100,--INDEX('Loans'!$G:$G,ROW())),0)</f>
        <v/>
      </c>
      <c r="AC263">
        <f>TRIM(SUBSTITUTE(INDEX('Loans'!$H:$H,ROW())&amp;""," "," "))</f>
        <v/>
      </c>
      <c r="AD263">
        <f>TRIM(SUBSTITUTE(INDEX('Loans'!$I:$I,ROW())&amp;""," "," "))</f>
        <v/>
      </c>
      <c r="AE263">
        <f>IFERROR(--INDEX('Loans'!$J:$J,ROW()),0)</f>
        <v/>
      </c>
      <c r="AF263">
        <f>TRIM(SUBSTITUTE(INDEX('Loans'!$K:$K,ROW())&amp;""," "," "))</f>
        <v/>
      </c>
      <c r="AG263">
        <f>IFERROR(--INDEX('Loans'!$L:$L,ROW()),0)</f>
        <v/>
      </c>
      <c r="AH263">
        <f>IF(ISNUMBER(INDEX('Loans'!$G:$G,ROW())),1,0)</f>
        <v/>
      </c>
    </row>
    <row r="264">
      <c r="A264">
        <f>TRIM(SUBSTITUTE(INDEX('Term investments'!$A:$A,ROW())&amp;""," "," "))</f>
        <v/>
      </c>
      <c r="B264">
        <f>TRIM(SUBSTITUTE(INDEX('Term investments'!$B:$B,ROW())&amp;""," "," "))</f>
        <v/>
      </c>
      <c r="C264">
        <f>TRIM(SUBSTITUTE(INDEX('Term investments'!$C:$C,ROW())&amp;""," "," "))</f>
        <v/>
      </c>
      <c r="D264">
        <f>IFERROR(--INDEX('Term investments'!$D:$D,ROW()),0)</f>
        <v/>
      </c>
      <c r="E264">
        <f>IFERROR(--INDEX('Term investments'!$E:$E,ROW()),0)</f>
        <v/>
      </c>
      <c r="F264">
        <f>IFERROR(--INDEX('Term investments'!$F:$F,ROW()),0)</f>
        <v/>
      </c>
      <c r="G264">
        <f>IFERROR(IF(--INDEX('Term investments'!$G:$G,ROW())&gt;=1,--INDEX('Term investments'!$G:$G,ROW())/100,--INDEX('Term investments'!$G:$G,ROW())),0)</f>
        <v/>
      </c>
      <c r="H264">
        <f>IFERROR(--INDEX('Term investments'!$H:$H,ROW()),0)</f>
        <v/>
      </c>
      <c r="I264">
        <f>IF(ISNUMBER(INDEX('Term investments'!$G:$G,ROW())),1,0)</f>
        <v/>
      </c>
      <c r="J264">
        <f>TRIM(SUBSTITUTE(INDEX('Call accounts and MMFs'!$A:$A,ROW())&amp;""," "," "))</f>
        <v/>
      </c>
      <c r="K264">
        <f>TRIM(SUBSTITUTE(INDEX('Call accounts and MMFs'!$B:$B,ROW())&amp;""," "," "))</f>
        <v/>
      </c>
      <c r="L264">
        <f>TRIM(SUBSTITUTE(INDEX('Call accounts and MMFs'!$C:$C,ROW())&amp;""," "," "))</f>
        <v/>
      </c>
      <c r="M264">
        <f>IFERROR(--INDEX('Call accounts and MMFs'!$D:$D,ROW()),0)</f>
        <v/>
      </c>
      <c r="N264">
        <f>IFERROR(IF(--INDEX('Call accounts and MMFs'!$E:$E,ROW())&gt;=1,--INDEX('Call accounts and MMFs'!$E:$E,ROW())/100,--INDEX('Call accounts and MMFs'!$E:$E,ROW())),0)</f>
        <v/>
      </c>
      <c r="O264">
        <f>IFERROR(--INDEX('Call accounts and MMFs'!$F:$F,ROW()),0)</f>
        <v/>
      </c>
      <c r="P264">
        <f>IF(ISNUMBER(INDEX('Call accounts and MMFs'!$E:$E,ROW())),1,0)</f>
        <v/>
      </c>
      <c r="Q264">
        <f>TRIM(SUBSTITUTE(INDEX('Pooled funds'!$B:$B,ROW())&amp;""," "," "))</f>
        <v/>
      </c>
      <c r="R264">
        <f>IFERROR(--INDEX('Pooled funds'!$C:$C,ROW()),0)</f>
        <v/>
      </c>
      <c r="S264">
        <f>IFERROR(--INDEX('Pooled funds'!$D:$D,ROW()),0)</f>
        <v/>
      </c>
      <c r="T264">
        <f>IFERROR(IF(--INDEX('Pooled funds'!$E:$E,ROW())&gt;=1,--INDEX('Pooled funds'!$E:$E,ROW())/100,--INDEX('Pooled funds'!$E:$E,ROW())),0)</f>
        <v/>
      </c>
      <c r="U264">
        <f>IF(ISNUMBER(INDEX('Pooled funds'!$E:$E,ROW())),1,0)</f>
        <v/>
      </c>
      <c r="V264">
        <f>TRIM(SUBSTITUTE(INDEX('Loans'!$A:$A,ROW())&amp;""," "," "))</f>
        <v/>
      </c>
      <c r="W264">
        <f>TRIM(SUBSTITUTE(INDEX('Loans'!$B:$B,ROW())&amp;""," "," "))</f>
        <v/>
      </c>
      <c r="X264">
        <f>TRIM(SUBSTITUTE(INDEX('Loans'!$C:$C,ROW())&amp;""," "," "))</f>
        <v/>
      </c>
      <c r="Y264">
        <f>IFERROR(--INDEX('Loans'!$D:$D,ROW()),0)</f>
        <v/>
      </c>
      <c r="Z264">
        <f>IFERROR(--INDEX('Loans'!$E:$E,ROW()),0)</f>
        <v/>
      </c>
      <c r="AA264">
        <f>IFERROR(--INDEX('Loans'!$F:$F,ROW()),0)</f>
        <v/>
      </c>
      <c r="AB264">
        <f>IFERROR(IF(--INDEX('Loans'!$G:$G,ROW())&gt;=1,--INDEX('Loans'!$G:$G,ROW())/100,--INDEX('Loans'!$G:$G,ROW())),0)</f>
        <v/>
      </c>
      <c r="AC264">
        <f>TRIM(SUBSTITUTE(INDEX('Loans'!$H:$H,ROW())&amp;""," "," "))</f>
        <v/>
      </c>
      <c r="AD264">
        <f>TRIM(SUBSTITUTE(INDEX('Loans'!$I:$I,ROW())&amp;""," "," "))</f>
        <v/>
      </c>
      <c r="AE264">
        <f>IFERROR(--INDEX('Loans'!$J:$J,ROW()),0)</f>
        <v/>
      </c>
      <c r="AF264">
        <f>TRIM(SUBSTITUTE(INDEX('Loans'!$K:$K,ROW())&amp;""," "," "))</f>
        <v/>
      </c>
      <c r="AG264">
        <f>IFERROR(--INDEX('Loans'!$L:$L,ROW()),0)</f>
        <v/>
      </c>
      <c r="AH264">
        <f>IF(ISNUMBER(INDEX('Loans'!$G:$G,ROW())),1,0)</f>
        <v/>
      </c>
    </row>
    <row r="265">
      <c r="A265">
        <f>TRIM(SUBSTITUTE(INDEX('Term investments'!$A:$A,ROW())&amp;""," "," "))</f>
        <v/>
      </c>
      <c r="B265">
        <f>TRIM(SUBSTITUTE(INDEX('Term investments'!$B:$B,ROW())&amp;""," "," "))</f>
        <v/>
      </c>
      <c r="C265">
        <f>TRIM(SUBSTITUTE(INDEX('Term investments'!$C:$C,ROW())&amp;""," "," "))</f>
        <v/>
      </c>
      <c r="D265">
        <f>IFERROR(--INDEX('Term investments'!$D:$D,ROW()),0)</f>
        <v/>
      </c>
      <c r="E265">
        <f>IFERROR(--INDEX('Term investments'!$E:$E,ROW()),0)</f>
        <v/>
      </c>
      <c r="F265">
        <f>IFERROR(--INDEX('Term investments'!$F:$F,ROW()),0)</f>
        <v/>
      </c>
      <c r="G265">
        <f>IFERROR(IF(--INDEX('Term investments'!$G:$G,ROW())&gt;=1,--INDEX('Term investments'!$G:$G,ROW())/100,--INDEX('Term investments'!$G:$G,ROW())),0)</f>
        <v/>
      </c>
      <c r="H265">
        <f>IFERROR(--INDEX('Term investments'!$H:$H,ROW()),0)</f>
        <v/>
      </c>
      <c r="I265">
        <f>IF(ISNUMBER(INDEX('Term investments'!$G:$G,ROW())),1,0)</f>
        <v/>
      </c>
      <c r="J265">
        <f>TRIM(SUBSTITUTE(INDEX('Call accounts and MMFs'!$A:$A,ROW())&amp;""," "," "))</f>
        <v/>
      </c>
      <c r="K265">
        <f>TRIM(SUBSTITUTE(INDEX('Call accounts and MMFs'!$B:$B,ROW())&amp;""," "," "))</f>
        <v/>
      </c>
      <c r="L265">
        <f>TRIM(SUBSTITUTE(INDEX('Call accounts and MMFs'!$C:$C,ROW())&amp;""," "," "))</f>
        <v/>
      </c>
      <c r="M265">
        <f>IFERROR(--INDEX('Call accounts and MMFs'!$D:$D,ROW()),0)</f>
        <v/>
      </c>
      <c r="N265">
        <f>IFERROR(IF(--INDEX('Call accounts and MMFs'!$E:$E,ROW())&gt;=1,--INDEX('Call accounts and MMFs'!$E:$E,ROW())/100,--INDEX('Call accounts and MMFs'!$E:$E,ROW())),0)</f>
        <v/>
      </c>
      <c r="O265">
        <f>IFERROR(--INDEX('Call accounts and MMFs'!$F:$F,ROW()),0)</f>
        <v/>
      </c>
      <c r="P265">
        <f>IF(ISNUMBER(INDEX('Call accounts and MMFs'!$E:$E,ROW())),1,0)</f>
        <v/>
      </c>
      <c r="Q265">
        <f>TRIM(SUBSTITUTE(INDEX('Pooled funds'!$B:$B,ROW())&amp;""," "," "))</f>
        <v/>
      </c>
      <c r="R265">
        <f>IFERROR(--INDEX('Pooled funds'!$C:$C,ROW()),0)</f>
        <v/>
      </c>
      <c r="S265">
        <f>IFERROR(--INDEX('Pooled funds'!$D:$D,ROW()),0)</f>
        <v/>
      </c>
      <c r="T265">
        <f>IFERROR(IF(--INDEX('Pooled funds'!$E:$E,ROW())&gt;=1,--INDEX('Pooled funds'!$E:$E,ROW())/100,--INDEX('Pooled funds'!$E:$E,ROW())),0)</f>
        <v/>
      </c>
      <c r="U265">
        <f>IF(ISNUMBER(INDEX('Pooled funds'!$E:$E,ROW())),1,0)</f>
        <v/>
      </c>
      <c r="V265">
        <f>TRIM(SUBSTITUTE(INDEX('Loans'!$A:$A,ROW())&amp;""," "," "))</f>
        <v/>
      </c>
      <c r="W265">
        <f>TRIM(SUBSTITUTE(INDEX('Loans'!$B:$B,ROW())&amp;""," "," "))</f>
        <v/>
      </c>
      <c r="X265">
        <f>TRIM(SUBSTITUTE(INDEX('Loans'!$C:$C,ROW())&amp;""," "," "))</f>
        <v/>
      </c>
      <c r="Y265">
        <f>IFERROR(--INDEX('Loans'!$D:$D,ROW()),0)</f>
        <v/>
      </c>
      <c r="Z265">
        <f>IFERROR(--INDEX('Loans'!$E:$E,ROW()),0)</f>
        <v/>
      </c>
      <c r="AA265">
        <f>IFERROR(--INDEX('Loans'!$F:$F,ROW()),0)</f>
        <v/>
      </c>
      <c r="AB265">
        <f>IFERROR(IF(--INDEX('Loans'!$G:$G,ROW())&gt;=1,--INDEX('Loans'!$G:$G,ROW())/100,--INDEX('Loans'!$G:$G,ROW())),0)</f>
        <v/>
      </c>
      <c r="AC265">
        <f>TRIM(SUBSTITUTE(INDEX('Loans'!$H:$H,ROW())&amp;""," "," "))</f>
        <v/>
      </c>
      <c r="AD265">
        <f>TRIM(SUBSTITUTE(INDEX('Loans'!$I:$I,ROW())&amp;""," "," "))</f>
        <v/>
      </c>
      <c r="AE265">
        <f>IFERROR(--INDEX('Loans'!$J:$J,ROW()),0)</f>
        <v/>
      </c>
      <c r="AF265">
        <f>TRIM(SUBSTITUTE(INDEX('Loans'!$K:$K,ROW())&amp;""," "," "))</f>
        <v/>
      </c>
      <c r="AG265">
        <f>IFERROR(--INDEX('Loans'!$L:$L,ROW()),0)</f>
        <v/>
      </c>
      <c r="AH265">
        <f>IF(ISNUMBER(INDEX('Loans'!$G:$G,ROW())),1,0)</f>
        <v/>
      </c>
    </row>
    <row r="266">
      <c r="A266">
        <f>TRIM(SUBSTITUTE(INDEX('Term investments'!$A:$A,ROW())&amp;""," "," "))</f>
        <v/>
      </c>
      <c r="B266">
        <f>TRIM(SUBSTITUTE(INDEX('Term investments'!$B:$B,ROW())&amp;""," "," "))</f>
        <v/>
      </c>
      <c r="C266">
        <f>TRIM(SUBSTITUTE(INDEX('Term investments'!$C:$C,ROW())&amp;""," "," "))</f>
        <v/>
      </c>
      <c r="D266">
        <f>IFERROR(--INDEX('Term investments'!$D:$D,ROW()),0)</f>
        <v/>
      </c>
      <c r="E266">
        <f>IFERROR(--INDEX('Term investments'!$E:$E,ROW()),0)</f>
        <v/>
      </c>
      <c r="F266">
        <f>IFERROR(--INDEX('Term investments'!$F:$F,ROW()),0)</f>
        <v/>
      </c>
      <c r="G266">
        <f>IFERROR(IF(--INDEX('Term investments'!$G:$G,ROW())&gt;=1,--INDEX('Term investments'!$G:$G,ROW())/100,--INDEX('Term investments'!$G:$G,ROW())),0)</f>
        <v/>
      </c>
      <c r="H266">
        <f>IFERROR(--INDEX('Term investments'!$H:$H,ROW()),0)</f>
        <v/>
      </c>
      <c r="I266">
        <f>IF(ISNUMBER(INDEX('Term investments'!$G:$G,ROW())),1,0)</f>
        <v/>
      </c>
      <c r="J266">
        <f>TRIM(SUBSTITUTE(INDEX('Call accounts and MMFs'!$A:$A,ROW())&amp;""," "," "))</f>
        <v/>
      </c>
      <c r="K266">
        <f>TRIM(SUBSTITUTE(INDEX('Call accounts and MMFs'!$B:$B,ROW())&amp;""," "," "))</f>
        <v/>
      </c>
      <c r="L266">
        <f>TRIM(SUBSTITUTE(INDEX('Call accounts and MMFs'!$C:$C,ROW())&amp;""," "," "))</f>
        <v/>
      </c>
      <c r="M266">
        <f>IFERROR(--INDEX('Call accounts and MMFs'!$D:$D,ROW()),0)</f>
        <v/>
      </c>
      <c r="N266">
        <f>IFERROR(IF(--INDEX('Call accounts and MMFs'!$E:$E,ROW())&gt;=1,--INDEX('Call accounts and MMFs'!$E:$E,ROW())/100,--INDEX('Call accounts and MMFs'!$E:$E,ROW())),0)</f>
        <v/>
      </c>
      <c r="O266">
        <f>IFERROR(--INDEX('Call accounts and MMFs'!$F:$F,ROW()),0)</f>
        <v/>
      </c>
      <c r="P266">
        <f>IF(ISNUMBER(INDEX('Call accounts and MMFs'!$E:$E,ROW())),1,0)</f>
        <v/>
      </c>
      <c r="Q266">
        <f>TRIM(SUBSTITUTE(INDEX('Pooled funds'!$B:$B,ROW())&amp;""," "," "))</f>
        <v/>
      </c>
      <c r="R266">
        <f>IFERROR(--INDEX('Pooled funds'!$C:$C,ROW()),0)</f>
        <v/>
      </c>
      <c r="S266">
        <f>IFERROR(--INDEX('Pooled funds'!$D:$D,ROW()),0)</f>
        <v/>
      </c>
      <c r="T266">
        <f>IFERROR(IF(--INDEX('Pooled funds'!$E:$E,ROW())&gt;=1,--INDEX('Pooled funds'!$E:$E,ROW())/100,--INDEX('Pooled funds'!$E:$E,ROW())),0)</f>
        <v/>
      </c>
      <c r="U266">
        <f>IF(ISNUMBER(INDEX('Pooled funds'!$E:$E,ROW())),1,0)</f>
        <v/>
      </c>
      <c r="V266">
        <f>TRIM(SUBSTITUTE(INDEX('Loans'!$A:$A,ROW())&amp;""," "," "))</f>
        <v/>
      </c>
      <c r="W266">
        <f>TRIM(SUBSTITUTE(INDEX('Loans'!$B:$B,ROW())&amp;""," "," "))</f>
        <v/>
      </c>
      <c r="X266">
        <f>TRIM(SUBSTITUTE(INDEX('Loans'!$C:$C,ROW())&amp;""," "," "))</f>
        <v/>
      </c>
      <c r="Y266">
        <f>IFERROR(--INDEX('Loans'!$D:$D,ROW()),0)</f>
        <v/>
      </c>
      <c r="Z266">
        <f>IFERROR(--INDEX('Loans'!$E:$E,ROW()),0)</f>
        <v/>
      </c>
      <c r="AA266">
        <f>IFERROR(--INDEX('Loans'!$F:$F,ROW()),0)</f>
        <v/>
      </c>
      <c r="AB266">
        <f>IFERROR(IF(--INDEX('Loans'!$G:$G,ROW())&gt;=1,--INDEX('Loans'!$G:$G,ROW())/100,--INDEX('Loans'!$G:$G,ROW())),0)</f>
        <v/>
      </c>
      <c r="AC266">
        <f>TRIM(SUBSTITUTE(INDEX('Loans'!$H:$H,ROW())&amp;""," "," "))</f>
        <v/>
      </c>
      <c r="AD266">
        <f>TRIM(SUBSTITUTE(INDEX('Loans'!$I:$I,ROW())&amp;""," "," "))</f>
        <v/>
      </c>
      <c r="AE266">
        <f>IFERROR(--INDEX('Loans'!$J:$J,ROW()),0)</f>
        <v/>
      </c>
      <c r="AF266">
        <f>TRIM(SUBSTITUTE(INDEX('Loans'!$K:$K,ROW())&amp;""," "," "))</f>
        <v/>
      </c>
      <c r="AG266">
        <f>IFERROR(--INDEX('Loans'!$L:$L,ROW()),0)</f>
        <v/>
      </c>
      <c r="AH266">
        <f>IF(ISNUMBER(INDEX('Loans'!$G:$G,ROW())),1,0)</f>
        <v/>
      </c>
    </row>
    <row r="267">
      <c r="A267">
        <f>TRIM(SUBSTITUTE(INDEX('Term investments'!$A:$A,ROW())&amp;""," "," "))</f>
        <v/>
      </c>
      <c r="B267">
        <f>TRIM(SUBSTITUTE(INDEX('Term investments'!$B:$B,ROW())&amp;""," "," "))</f>
        <v/>
      </c>
      <c r="C267">
        <f>TRIM(SUBSTITUTE(INDEX('Term investments'!$C:$C,ROW())&amp;""," "," "))</f>
        <v/>
      </c>
      <c r="D267">
        <f>IFERROR(--INDEX('Term investments'!$D:$D,ROW()),0)</f>
        <v/>
      </c>
      <c r="E267">
        <f>IFERROR(--INDEX('Term investments'!$E:$E,ROW()),0)</f>
        <v/>
      </c>
      <c r="F267">
        <f>IFERROR(--INDEX('Term investments'!$F:$F,ROW()),0)</f>
        <v/>
      </c>
      <c r="G267">
        <f>IFERROR(IF(--INDEX('Term investments'!$G:$G,ROW())&gt;=1,--INDEX('Term investments'!$G:$G,ROW())/100,--INDEX('Term investments'!$G:$G,ROW())),0)</f>
        <v/>
      </c>
      <c r="H267">
        <f>IFERROR(--INDEX('Term investments'!$H:$H,ROW()),0)</f>
        <v/>
      </c>
      <c r="I267">
        <f>IF(ISNUMBER(INDEX('Term investments'!$G:$G,ROW())),1,0)</f>
        <v/>
      </c>
      <c r="J267">
        <f>TRIM(SUBSTITUTE(INDEX('Call accounts and MMFs'!$A:$A,ROW())&amp;""," "," "))</f>
        <v/>
      </c>
      <c r="K267">
        <f>TRIM(SUBSTITUTE(INDEX('Call accounts and MMFs'!$B:$B,ROW())&amp;""," "," "))</f>
        <v/>
      </c>
      <c r="L267">
        <f>TRIM(SUBSTITUTE(INDEX('Call accounts and MMFs'!$C:$C,ROW())&amp;""," "," "))</f>
        <v/>
      </c>
      <c r="M267">
        <f>IFERROR(--INDEX('Call accounts and MMFs'!$D:$D,ROW()),0)</f>
        <v/>
      </c>
      <c r="N267">
        <f>IFERROR(IF(--INDEX('Call accounts and MMFs'!$E:$E,ROW())&gt;=1,--INDEX('Call accounts and MMFs'!$E:$E,ROW())/100,--INDEX('Call accounts and MMFs'!$E:$E,ROW())),0)</f>
        <v/>
      </c>
      <c r="O267">
        <f>IFERROR(--INDEX('Call accounts and MMFs'!$F:$F,ROW()),0)</f>
        <v/>
      </c>
      <c r="P267">
        <f>IF(ISNUMBER(INDEX('Call accounts and MMFs'!$E:$E,ROW())),1,0)</f>
        <v/>
      </c>
      <c r="Q267">
        <f>TRIM(SUBSTITUTE(INDEX('Pooled funds'!$B:$B,ROW())&amp;""," "," "))</f>
        <v/>
      </c>
      <c r="R267">
        <f>IFERROR(--INDEX('Pooled funds'!$C:$C,ROW()),0)</f>
        <v/>
      </c>
      <c r="S267">
        <f>IFERROR(--INDEX('Pooled funds'!$D:$D,ROW()),0)</f>
        <v/>
      </c>
      <c r="T267">
        <f>IFERROR(IF(--INDEX('Pooled funds'!$E:$E,ROW())&gt;=1,--INDEX('Pooled funds'!$E:$E,ROW())/100,--INDEX('Pooled funds'!$E:$E,ROW())),0)</f>
        <v/>
      </c>
      <c r="U267">
        <f>IF(ISNUMBER(INDEX('Pooled funds'!$E:$E,ROW())),1,0)</f>
        <v/>
      </c>
      <c r="V267">
        <f>TRIM(SUBSTITUTE(INDEX('Loans'!$A:$A,ROW())&amp;""," "," "))</f>
        <v/>
      </c>
      <c r="W267">
        <f>TRIM(SUBSTITUTE(INDEX('Loans'!$B:$B,ROW())&amp;""," "," "))</f>
        <v/>
      </c>
      <c r="X267">
        <f>TRIM(SUBSTITUTE(INDEX('Loans'!$C:$C,ROW())&amp;""," "," "))</f>
        <v/>
      </c>
      <c r="Y267">
        <f>IFERROR(--INDEX('Loans'!$D:$D,ROW()),0)</f>
        <v/>
      </c>
      <c r="Z267">
        <f>IFERROR(--INDEX('Loans'!$E:$E,ROW()),0)</f>
        <v/>
      </c>
      <c r="AA267">
        <f>IFERROR(--INDEX('Loans'!$F:$F,ROW()),0)</f>
        <v/>
      </c>
      <c r="AB267">
        <f>IFERROR(IF(--INDEX('Loans'!$G:$G,ROW())&gt;=1,--INDEX('Loans'!$G:$G,ROW())/100,--INDEX('Loans'!$G:$G,ROW())),0)</f>
        <v/>
      </c>
      <c r="AC267">
        <f>TRIM(SUBSTITUTE(INDEX('Loans'!$H:$H,ROW())&amp;""," "," "))</f>
        <v/>
      </c>
      <c r="AD267">
        <f>TRIM(SUBSTITUTE(INDEX('Loans'!$I:$I,ROW())&amp;""," "," "))</f>
        <v/>
      </c>
      <c r="AE267">
        <f>IFERROR(--INDEX('Loans'!$J:$J,ROW()),0)</f>
        <v/>
      </c>
      <c r="AF267">
        <f>TRIM(SUBSTITUTE(INDEX('Loans'!$K:$K,ROW())&amp;""," "," "))</f>
        <v/>
      </c>
      <c r="AG267">
        <f>IFERROR(--INDEX('Loans'!$L:$L,ROW()),0)</f>
        <v/>
      </c>
      <c r="AH267">
        <f>IF(ISNUMBER(INDEX('Loans'!$G:$G,ROW())),1,0)</f>
        <v/>
      </c>
    </row>
    <row r="268">
      <c r="A268">
        <f>TRIM(SUBSTITUTE(INDEX('Term investments'!$A:$A,ROW())&amp;""," "," "))</f>
        <v/>
      </c>
      <c r="B268">
        <f>TRIM(SUBSTITUTE(INDEX('Term investments'!$B:$B,ROW())&amp;""," "," "))</f>
        <v/>
      </c>
      <c r="C268">
        <f>TRIM(SUBSTITUTE(INDEX('Term investments'!$C:$C,ROW())&amp;""," "," "))</f>
        <v/>
      </c>
      <c r="D268">
        <f>IFERROR(--INDEX('Term investments'!$D:$D,ROW()),0)</f>
        <v/>
      </c>
      <c r="E268">
        <f>IFERROR(--INDEX('Term investments'!$E:$E,ROW()),0)</f>
        <v/>
      </c>
      <c r="F268">
        <f>IFERROR(--INDEX('Term investments'!$F:$F,ROW()),0)</f>
        <v/>
      </c>
      <c r="G268">
        <f>IFERROR(IF(--INDEX('Term investments'!$G:$G,ROW())&gt;=1,--INDEX('Term investments'!$G:$G,ROW())/100,--INDEX('Term investments'!$G:$G,ROW())),0)</f>
        <v/>
      </c>
      <c r="H268">
        <f>IFERROR(--INDEX('Term investments'!$H:$H,ROW()),0)</f>
        <v/>
      </c>
      <c r="I268">
        <f>IF(ISNUMBER(INDEX('Term investments'!$G:$G,ROW())),1,0)</f>
        <v/>
      </c>
      <c r="J268">
        <f>TRIM(SUBSTITUTE(INDEX('Call accounts and MMFs'!$A:$A,ROW())&amp;""," "," "))</f>
        <v/>
      </c>
      <c r="K268">
        <f>TRIM(SUBSTITUTE(INDEX('Call accounts and MMFs'!$B:$B,ROW())&amp;""," "," "))</f>
        <v/>
      </c>
      <c r="L268">
        <f>TRIM(SUBSTITUTE(INDEX('Call accounts and MMFs'!$C:$C,ROW())&amp;""," "," "))</f>
        <v/>
      </c>
      <c r="M268">
        <f>IFERROR(--INDEX('Call accounts and MMFs'!$D:$D,ROW()),0)</f>
        <v/>
      </c>
      <c r="N268">
        <f>IFERROR(IF(--INDEX('Call accounts and MMFs'!$E:$E,ROW())&gt;=1,--INDEX('Call accounts and MMFs'!$E:$E,ROW())/100,--INDEX('Call accounts and MMFs'!$E:$E,ROW())),0)</f>
        <v/>
      </c>
      <c r="O268">
        <f>IFERROR(--INDEX('Call accounts and MMFs'!$F:$F,ROW()),0)</f>
        <v/>
      </c>
      <c r="P268">
        <f>IF(ISNUMBER(INDEX('Call accounts and MMFs'!$E:$E,ROW())),1,0)</f>
        <v/>
      </c>
      <c r="Q268">
        <f>TRIM(SUBSTITUTE(INDEX('Pooled funds'!$B:$B,ROW())&amp;""," "," "))</f>
        <v/>
      </c>
      <c r="R268">
        <f>IFERROR(--INDEX('Pooled funds'!$C:$C,ROW()),0)</f>
        <v/>
      </c>
      <c r="S268">
        <f>IFERROR(--INDEX('Pooled funds'!$D:$D,ROW()),0)</f>
        <v/>
      </c>
      <c r="T268">
        <f>IFERROR(IF(--INDEX('Pooled funds'!$E:$E,ROW())&gt;=1,--INDEX('Pooled funds'!$E:$E,ROW())/100,--INDEX('Pooled funds'!$E:$E,ROW())),0)</f>
        <v/>
      </c>
      <c r="U268">
        <f>IF(ISNUMBER(INDEX('Pooled funds'!$E:$E,ROW())),1,0)</f>
        <v/>
      </c>
      <c r="V268">
        <f>TRIM(SUBSTITUTE(INDEX('Loans'!$A:$A,ROW())&amp;""," "," "))</f>
        <v/>
      </c>
      <c r="W268">
        <f>TRIM(SUBSTITUTE(INDEX('Loans'!$B:$B,ROW())&amp;""," "," "))</f>
        <v/>
      </c>
      <c r="X268">
        <f>TRIM(SUBSTITUTE(INDEX('Loans'!$C:$C,ROW())&amp;""," "," "))</f>
        <v/>
      </c>
      <c r="Y268">
        <f>IFERROR(--INDEX('Loans'!$D:$D,ROW()),0)</f>
        <v/>
      </c>
      <c r="Z268">
        <f>IFERROR(--INDEX('Loans'!$E:$E,ROW()),0)</f>
        <v/>
      </c>
      <c r="AA268">
        <f>IFERROR(--INDEX('Loans'!$F:$F,ROW()),0)</f>
        <v/>
      </c>
      <c r="AB268">
        <f>IFERROR(IF(--INDEX('Loans'!$G:$G,ROW())&gt;=1,--INDEX('Loans'!$G:$G,ROW())/100,--INDEX('Loans'!$G:$G,ROW())),0)</f>
        <v/>
      </c>
      <c r="AC268">
        <f>TRIM(SUBSTITUTE(INDEX('Loans'!$H:$H,ROW())&amp;""," "," "))</f>
        <v/>
      </c>
      <c r="AD268">
        <f>TRIM(SUBSTITUTE(INDEX('Loans'!$I:$I,ROW())&amp;""," "," "))</f>
        <v/>
      </c>
      <c r="AE268">
        <f>IFERROR(--INDEX('Loans'!$J:$J,ROW()),0)</f>
        <v/>
      </c>
      <c r="AF268">
        <f>TRIM(SUBSTITUTE(INDEX('Loans'!$K:$K,ROW())&amp;""," "," "))</f>
        <v/>
      </c>
      <c r="AG268">
        <f>IFERROR(--INDEX('Loans'!$L:$L,ROW()),0)</f>
        <v/>
      </c>
      <c r="AH268">
        <f>IF(ISNUMBER(INDEX('Loans'!$G:$G,ROW())),1,0)</f>
        <v/>
      </c>
    </row>
    <row r="269">
      <c r="A269">
        <f>TRIM(SUBSTITUTE(INDEX('Term investments'!$A:$A,ROW())&amp;""," "," "))</f>
        <v/>
      </c>
      <c r="B269">
        <f>TRIM(SUBSTITUTE(INDEX('Term investments'!$B:$B,ROW())&amp;""," "," "))</f>
        <v/>
      </c>
      <c r="C269">
        <f>TRIM(SUBSTITUTE(INDEX('Term investments'!$C:$C,ROW())&amp;""," "," "))</f>
        <v/>
      </c>
      <c r="D269">
        <f>IFERROR(--INDEX('Term investments'!$D:$D,ROW()),0)</f>
        <v/>
      </c>
      <c r="E269">
        <f>IFERROR(--INDEX('Term investments'!$E:$E,ROW()),0)</f>
        <v/>
      </c>
      <c r="F269">
        <f>IFERROR(--INDEX('Term investments'!$F:$F,ROW()),0)</f>
        <v/>
      </c>
      <c r="G269">
        <f>IFERROR(IF(--INDEX('Term investments'!$G:$G,ROW())&gt;=1,--INDEX('Term investments'!$G:$G,ROW())/100,--INDEX('Term investments'!$G:$G,ROW())),0)</f>
        <v/>
      </c>
      <c r="H269">
        <f>IFERROR(--INDEX('Term investments'!$H:$H,ROW()),0)</f>
        <v/>
      </c>
      <c r="I269">
        <f>IF(ISNUMBER(INDEX('Term investments'!$G:$G,ROW())),1,0)</f>
        <v/>
      </c>
      <c r="J269">
        <f>TRIM(SUBSTITUTE(INDEX('Call accounts and MMFs'!$A:$A,ROW())&amp;""," "," "))</f>
        <v/>
      </c>
      <c r="K269">
        <f>TRIM(SUBSTITUTE(INDEX('Call accounts and MMFs'!$B:$B,ROW())&amp;""," "," "))</f>
        <v/>
      </c>
      <c r="L269">
        <f>TRIM(SUBSTITUTE(INDEX('Call accounts and MMFs'!$C:$C,ROW())&amp;""," "," "))</f>
        <v/>
      </c>
      <c r="M269">
        <f>IFERROR(--INDEX('Call accounts and MMFs'!$D:$D,ROW()),0)</f>
        <v/>
      </c>
      <c r="N269">
        <f>IFERROR(IF(--INDEX('Call accounts and MMFs'!$E:$E,ROW())&gt;=1,--INDEX('Call accounts and MMFs'!$E:$E,ROW())/100,--INDEX('Call accounts and MMFs'!$E:$E,ROW())),0)</f>
        <v/>
      </c>
      <c r="O269">
        <f>IFERROR(--INDEX('Call accounts and MMFs'!$F:$F,ROW()),0)</f>
        <v/>
      </c>
      <c r="P269">
        <f>IF(ISNUMBER(INDEX('Call accounts and MMFs'!$E:$E,ROW())),1,0)</f>
        <v/>
      </c>
      <c r="Q269">
        <f>TRIM(SUBSTITUTE(INDEX('Pooled funds'!$B:$B,ROW())&amp;""," "," "))</f>
        <v/>
      </c>
      <c r="R269">
        <f>IFERROR(--INDEX('Pooled funds'!$C:$C,ROW()),0)</f>
        <v/>
      </c>
      <c r="S269">
        <f>IFERROR(--INDEX('Pooled funds'!$D:$D,ROW()),0)</f>
        <v/>
      </c>
      <c r="T269">
        <f>IFERROR(IF(--INDEX('Pooled funds'!$E:$E,ROW())&gt;=1,--INDEX('Pooled funds'!$E:$E,ROW())/100,--INDEX('Pooled funds'!$E:$E,ROW())),0)</f>
        <v/>
      </c>
      <c r="U269">
        <f>IF(ISNUMBER(INDEX('Pooled funds'!$E:$E,ROW())),1,0)</f>
        <v/>
      </c>
      <c r="V269">
        <f>TRIM(SUBSTITUTE(INDEX('Loans'!$A:$A,ROW())&amp;""," "," "))</f>
        <v/>
      </c>
      <c r="W269">
        <f>TRIM(SUBSTITUTE(INDEX('Loans'!$B:$B,ROW())&amp;""," "," "))</f>
        <v/>
      </c>
      <c r="X269">
        <f>TRIM(SUBSTITUTE(INDEX('Loans'!$C:$C,ROW())&amp;""," "," "))</f>
        <v/>
      </c>
      <c r="Y269">
        <f>IFERROR(--INDEX('Loans'!$D:$D,ROW()),0)</f>
        <v/>
      </c>
      <c r="Z269">
        <f>IFERROR(--INDEX('Loans'!$E:$E,ROW()),0)</f>
        <v/>
      </c>
      <c r="AA269">
        <f>IFERROR(--INDEX('Loans'!$F:$F,ROW()),0)</f>
        <v/>
      </c>
      <c r="AB269">
        <f>IFERROR(IF(--INDEX('Loans'!$G:$G,ROW())&gt;=1,--INDEX('Loans'!$G:$G,ROW())/100,--INDEX('Loans'!$G:$G,ROW())),0)</f>
        <v/>
      </c>
      <c r="AC269">
        <f>TRIM(SUBSTITUTE(INDEX('Loans'!$H:$H,ROW())&amp;""," "," "))</f>
        <v/>
      </c>
      <c r="AD269">
        <f>TRIM(SUBSTITUTE(INDEX('Loans'!$I:$I,ROW())&amp;""," "," "))</f>
        <v/>
      </c>
      <c r="AE269">
        <f>IFERROR(--INDEX('Loans'!$J:$J,ROW()),0)</f>
        <v/>
      </c>
      <c r="AF269">
        <f>TRIM(SUBSTITUTE(INDEX('Loans'!$K:$K,ROW())&amp;""," "," "))</f>
        <v/>
      </c>
      <c r="AG269">
        <f>IFERROR(--INDEX('Loans'!$L:$L,ROW()),0)</f>
        <v/>
      </c>
      <c r="AH269">
        <f>IF(ISNUMBER(INDEX('Loans'!$G:$G,ROW())),1,0)</f>
        <v/>
      </c>
    </row>
    <row r="270">
      <c r="A270">
        <f>TRIM(SUBSTITUTE(INDEX('Term investments'!$A:$A,ROW())&amp;""," "," "))</f>
        <v/>
      </c>
      <c r="B270">
        <f>TRIM(SUBSTITUTE(INDEX('Term investments'!$B:$B,ROW())&amp;""," "," "))</f>
        <v/>
      </c>
      <c r="C270">
        <f>TRIM(SUBSTITUTE(INDEX('Term investments'!$C:$C,ROW())&amp;""," "," "))</f>
        <v/>
      </c>
      <c r="D270">
        <f>IFERROR(--INDEX('Term investments'!$D:$D,ROW()),0)</f>
        <v/>
      </c>
      <c r="E270">
        <f>IFERROR(--INDEX('Term investments'!$E:$E,ROW()),0)</f>
        <v/>
      </c>
      <c r="F270">
        <f>IFERROR(--INDEX('Term investments'!$F:$F,ROW()),0)</f>
        <v/>
      </c>
      <c r="G270">
        <f>IFERROR(IF(--INDEX('Term investments'!$G:$G,ROW())&gt;=1,--INDEX('Term investments'!$G:$G,ROW())/100,--INDEX('Term investments'!$G:$G,ROW())),0)</f>
        <v/>
      </c>
      <c r="H270">
        <f>IFERROR(--INDEX('Term investments'!$H:$H,ROW()),0)</f>
        <v/>
      </c>
      <c r="I270">
        <f>IF(ISNUMBER(INDEX('Term investments'!$G:$G,ROW())),1,0)</f>
        <v/>
      </c>
      <c r="J270">
        <f>TRIM(SUBSTITUTE(INDEX('Call accounts and MMFs'!$A:$A,ROW())&amp;""," "," "))</f>
        <v/>
      </c>
      <c r="K270">
        <f>TRIM(SUBSTITUTE(INDEX('Call accounts and MMFs'!$B:$B,ROW())&amp;""," "," "))</f>
        <v/>
      </c>
      <c r="L270">
        <f>TRIM(SUBSTITUTE(INDEX('Call accounts and MMFs'!$C:$C,ROW())&amp;""," "," "))</f>
        <v/>
      </c>
      <c r="M270">
        <f>IFERROR(--INDEX('Call accounts and MMFs'!$D:$D,ROW()),0)</f>
        <v/>
      </c>
      <c r="N270">
        <f>IFERROR(IF(--INDEX('Call accounts and MMFs'!$E:$E,ROW())&gt;=1,--INDEX('Call accounts and MMFs'!$E:$E,ROW())/100,--INDEX('Call accounts and MMFs'!$E:$E,ROW())),0)</f>
        <v/>
      </c>
      <c r="O270">
        <f>IFERROR(--INDEX('Call accounts and MMFs'!$F:$F,ROW()),0)</f>
        <v/>
      </c>
      <c r="P270">
        <f>IF(ISNUMBER(INDEX('Call accounts and MMFs'!$E:$E,ROW())),1,0)</f>
        <v/>
      </c>
      <c r="Q270">
        <f>TRIM(SUBSTITUTE(INDEX('Pooled funds'!$B:$B,ROW())&amp;""," "," "))</f>
        <v/>
      </c>
      <c r="R270">
        <f>IFERROR(--INDEX('Pooled funds'!$C:$C,ROW()),0)</f>
        <v/>
      </c>
      <c r="S270">
        <f>IFERROR(--INDEX('Pooled funds'!$D:$D,ROW()),0)</f>
        <v/>
      </c>
      <c r="T270">
        <f>IFERROR(IF(--INDEX('Pooled funds'!$E:$E,ROW())&gt;=1,--INDEX('Pooled funds'!$E:$E,ROW())/100,--INDEX('Pooled funds'!$E:$E,ROW())),0)</f>
        <v/>
      </c>
      <c r="U270">
        <f>IF(ISNUMBER(INDEX('Pooled funds'!$E:$E,ROW())),1,0)</f>
        <v/>
      </c>
      <c r="V270">
        <f>TRIM(SUBSTITUTE(INDEX('Loans'!$A:$A,ROW())&amp;""," "," "))</f>
        <v/>
      </c>
      <c r="W270">
        <f>TRIM(SUBSTITUTE(INDEX('Loans'!$B:$B,ROW())&amp;""," "," "))</f>
        <v/>
      </c>
      <c r="X270">
        <f>TRIM(SUBSTITUTE(INDEX('Loans'!$C:$C,ROW())&amp;""," "," "))</f>
        <v/>
      </c>
      <c r="Y270">
        <f>IFERROR(--INDEX('Loans'!$D:$D,ROW()),0)</f>
        <v/>
      </c>
      <c r="Z270">
        <f>IFERROR(--INDEX('Loans'!$E:$E,ROW()),0)</f>
        <v/>
      </c>
      <c r="AA270">
        <f>IFERROR(--INDEX('Loans'!$F:$F,ROW()),0)</f>
        <v/>
      </c>
      <c r="AB270">
        <f>IFERROR(IF(--INDEX('Loans'!$G:$G,ROW())&gt;=1,--INDEX('Loans'!$G:$G,ROW())/100,--INDEX('Loans'!$G:$G,ROW())),0)</f>
        <v/>
      </c>
      <c r="AC270">
        <f>TRIM(SUBSTITUTE(INDEX('Loans'!$H:$H,ROW())&amp;""," "," "))</f>
        <v/>
      </c>
      <c r="AD270">
        <f>TRIM(SUBSTITUTE(INDEX('Loans'!$I:$I,ROW())&amp;""," "," "))</f>
        <v/>
      </c>
      <c r="AE270">
        <f>IFERROR(--INDEX('Loans'!$J:$J,ROW()),0)</f>
        <v/>
      </c>
      <c r="AF270">
        <f>TRIM(SUBSTITUTE(INDEX('Loans'!$K:$K,ROW())&amp;""," "," "))</f>
        <v/>
      </c>
      <c r="AG270">
        <f>IFERROR(--INDEX('Loans'!$L:$L,ROW()),0)</f>
        <v/>
      </c>
      <c r="AH270">
        <f>IF(ISNUMBER(INDEX('Loans'!$G:$G,ROW())),1,0)</f>
        <v/>
      </c>
    </row>
    <row r="271">
      <c r="A271">
        <f>TRIM(SUBSTITUTE(INDEX('Term investments'!$A:$A,ROW())&amp;""," "," "))</f>
        <v/>
      </c>
      <c r="B271">
        <f>TRIM(SUBSTITUTE(INDEX('Term investments'!$B:$B,ROW())&amp;""," "," "))</f>
        <v/>
      </c>
      <c r="C271">
        <f>TRIM(SUBSTITUTE(INDEX('Term investments'!$C:$C,ROW())&amp;""," "," "))</f>
        <v/>
      </c>
      <c r="D271">
        <f>IFERROR(--INDEX('Term investments'!$D:$D,ROW()),0)</f>
        <v/>
      </c>
      <c r="E271">
        <f>IFERROR(--INDEX('Term investments'!$E:$E,ROW()),0)</f>
        <v/>
      </c>
      <c r="F271">
        <f>IFERROR(--INDEX('Term investments'!$F:$F,ROW()),0)</f>
        <v/>
      </c>
      <c r="G271">
        <f>IFERROR(IF(--INDEX('Term investments'!$G:$G,ROW())&gt;=1,--INDEX('Term investments'!$G:$G,ROW())/100,--INDEX('Term investments'!$G:$G,ROW())),0)</f>
        <v/>
      </c>
      <c r="H271">
        <f>IFERROR(--INDEX('Term investments'!$H:$H,ROW()),0)</f>
        <v/>
      </c>
      <c r="I271">
        <f>IF(ISNUMBER(INDEX('Term investments'!$G:$G,ROW())),1,0)</f>
        <v/>
      </c>
      <c r="J271">
        <f>TRIM(SUBSTITUTE(INDEX('Call accounts and MMFs'!$A:$A,ROW())&amp;""," "," "))</f>
        <v/>
      </c>
      <c r="K271">
        <f>TRIM(SUBSTITUTE(INDEX('Call accounts and MMFs'!$B:$B,ROW())&amp;""," "," "))</f>
        <v/>
      </c>
      <c r="L271">
        <f>TRIM(SUBSTITUTE(INDEX('Call accounts and MMFs'!$C:$C,ROW())&amp;""," "," "))</f>
        <v/>
      </c>
      <c r="M271">
        <f>IFERROR(--INDEX('Call accounts and MMFs'!$D:$D,ROW()),0)</f>
        <v/>
      </c>
      <c r="N271">
        <f>IFERROR(IF(--INDEX('Call accounts and MMFs'!$E:$E,ROW())&gt;=1,--INDEX('Call accounts and MMFs'!$E:$E,ROW())/100,--INDEX('Call accounts and MMFs'!$E:$E,ROW())),0)</f>
        <v/>
      </c>
      <c r="O271">
        <f>IFERROR(--INDEX('Call accounts and MMFs'!$F:$F,ROW()),0)</f>
        <v/>
      </c>
      <c r="P271">
        <f>IF(ISNUMBER(INDEX('Call accounts and MMFs'!$E:$E,ROW())),1,0)</f>
        <v/>
      </c>
      <c r="Q271">
        <f>TRIM(SUBSTITUTE(INDEX('Pooled funds'!$B:$B,ROW())&amp;""," "," "))</f>
        <v/>
      </c>
      <c r="R271">
        <f>IFERROR(--INDEX('Pooled funds'!$C:$C,ROW()),0)</f>
        <v/>
      </c>
      <c r="S271">
        <f>IFERROR(--INDEX('Pooled funds'!$D:$D,ROW()),0)</f>
        <v/>
      </c>
      <c r="T271">
        <f>IFERROR(IF(--INDEX('Pooled funds'!$E:$E,ROW())&gt;=1,--INDEX('Pooled funds'!$E:$E,ROW())/100,--INDEX('Pooled funds'!$E:$E,ROW())),0)</f>
        <v/>
      </c>
      <c r="U271">
        <f>IF(ISNUMBER(INDEX('Pooled funds'!$E:$E,ROW())),1,0)</f>
        <v/>
      </c>
      <c r="V271">
        <f>TRIM(SUBSTITUTE(INDEX('Loans'!$A:$A,ROW())&amp;""," "," "))</f>
        <v/>
      </c>
      <c r="W271">
        <f>TRIM(SUBSTITUTE(INDEX('Loans'!$B:$B,ROW())&amp;""," "," "))</f>
        <v/>
      </c>
      <c r="X271">
        <f>TRIM(SUBSTITUTE(INDEX('Loans'!$C:$C,ROW())&amp;""," "," "))</f>
        <v/>
      </c>
      <c r="Y271">
        <f>IFERROR(--INDEX('Loans'!$D:$D,ROW()),0)</f>
        <v/>
      </c>
      <c r="Z271">
        <f>IFERROR(--INDEX('Loans'!$E:$E,ROW()),0)</f>
        <v/>
      </c>
      <c r="AA271">
        <f>IFERROR(--INDEX('Loans'!$F:$F,ROW()),0)</f>
        <v/>
      </c>
      <c r="AB271">
        <f>IFERROR(IF(--INDEX('Loans'!$G:$G,ROW())&gt;=1,--INDEX('Loans'!$G:$G,ROW())/100,--INDEX('Loans'!$G:$G,ROW())),0)</f>
        <v/>
      </c>
      <c r="AC271">
        <f>TRIM(SUBSTITUTE(INDEX('Loans'!$H:$H,ROW())&amp;""," "," "))</f>
        <v/>
      </c>
      <c r="AD271">
        <f>TRIM(SUBSTITUTE(INDEX('Loans'!$I:$I,ROW())&amp;""," "," "))</f>
        <v/>
      </c>
      <c r="AE271">
        <f>IFERROR(--INDEX('Loans'!$J:$J,ROW()),0)</f>
        <v/>
      </c>
      <c r="AF271">
        <f>TRIM(SUBSTITUTE(INDEX('Loans'!$K:$K,ROW())&amp;""," "," "))</f>
        <v/>
      </c>
      <c r="AG271">
        <f>IFERROR(--INDEX('Loans'!$L:$L,ROW()),0)</f>
        <v/>
      </c>
      <c r="AH271">
        <f>IF(ISNUMBER(INDEX('Loans'!$G:$G,ROW())),1,0)</f>
        <v/>
      </c>
    </row>
    <row r="272">
      <c r="A272">
        <f>TRIM(SUBSTITUTE(INDEX('Term investments'!$A:$A,ROW())&amp;""," "," "))</f>
        <v/>
      </c>
      <c r="B272">
        <f>TRIM(SUBSTITUTE(INDEX('Term investments'!$B:$B,ROW())&amp;""," "," "))</f>
        <v/>
      </c>
      <c r="C272">
        <f>TRIM(SUBSTITUTE(INDEX('Term investments'!$C:$C,ROW())&amp;""," "," "))</f>
        <v/>
      </c>
      <c r="D272">
        <f>IFERROR(--INDEX('Term investments'!$D:$D,ROW()),0)</f>
        <v/>
      </c>
      <c r="E272">
        <f>IFERROR(--INDEX('Term investments'!$E:$E,ROW()),0)</f>
        <v/>
      </c>
      <c r="F272">
        <f>IFERROR(--INDEX('Term investments'!$F:$F,ROW()),0)</f>
        <v/>
      </c>
      <c r="G272">
        <f>IFERROR(IF(--INDEX('Term investments'!$G:$G,ROW())&gt;=1,--INDEX('Term investments'!$G:$G,ROW())/100,--INDEX('Term investments'!$G:$G,ROW())),0)</f>
        <v/>
      </c>
      <c r="H272">
        <f>IFERROR(--INDEX('Term investments'!$H:$H,ROW()),0)</f>
        <v/>
      </c>
      <c r="I272">
        <f>IF(ISNUMBER(INDEX('Term investments'!$G:$G,ROW())),1,0)</f>
        <v/>
      </c>
      <c r="J272">
        <f>TRIM(SUBSTITUTE(INDEX('Call accounts and MMFs'!$A:$A,ROW())&amp;""," "," "))</f>
        <v/>
      </c>
      <c r="K272">
        <f>TRIM(SUBSTITUTE(INDEX('Call accounts and MMFs'!$B:$B,ROW())&amp;""," "," "))</f>
        <v/>
      </c>
      <c r="L272">
        <f>TRIM(SUBSTITUTE(INDEX('Call accounts and MMFs'!$C:$C,ROW())&amp;""," "," "))</f>
        <v/>
      </c>
      <c r="M272">
        <f>IFERROR(--INDEX('Call accounts and MMFs'!$D:$D,ROW()),0)</f>
        <v/>
      </c>
      <c r="N272">
        <f>IFERROR(IF(--INDEX('Call accounts and MMFs'!$E:$E,ROW())&gt;=1,--INDEX('Call accounts and MMFs'!$E:$E,ROW())/100,--INDEX('Call accounts and MMFs'!$E:$E,ROW())),0)</f>
        <v/>
      </c>
      <c r="O272">
        <f>IFERROR(--INDEX('Call accounts and MMFs'!$F:$F,ROW()),0)</f>
        <v/>
      </c>
      <c r="P272">
        <f>IF(ISNUMBER(INDEX('Call accounts and MMFs'!$E:$E,ROW())),1,0)</f>
        <v/>
      </c>
      <c r="Q272">
        <f>TRIM(SUBSTITUTE(INDEX('Pooled funds'!$B:$B,ROW())&amp;""," "," "))</f>
        <v/>
      </c>
      <c r="R272">
        <f>IFERROR(--INDEX('Pooled funds'!$C:$C,ROW()),0)</f>
        <v/>
      </c>
      <c r="S272">
        <f>IFERROR(--INDEX('Pooled funds'!$D:$D,ROW()),0)</f>
        <v/>
      </c>
      <c r="T272">
        <f>IFERROR(IF(--INDEX('Pooled funds'!$E:$E,ROW())&gt;=1,--INDEX('Pooled funds'!$E:$E,ROW())/100,--INDEX('Pooled funds'!$E:$E,ROW())),0)</f>
        <v/>
      </c>
      <c r="U272">
        <f>IF(ISNUMBER(INDEX('Pooled funds'!$E:$E,ROW())),1,0)</f>
        <v/>
      </c>
      <c r="V272">
        <f>TRIM(SUBSTITUTE(INDEX('Loans'!$A:$A,ROW())&amp;""," "," "))</f>
        <v/>
      </c>
      <c r="W272">
        <f>TRIM(SUBSTITUTE(INDEX('Loans'!$B:$B,ROW())&amp;""," "," "))</f>
        <v/>
      </c>
      <c r="X272">
        <f>TRIM(SUBSTITUTE(INDEX('Loans'!$C:$C,ROW())&amp;""," "," "))</f>
        <v/>
      </c>
      <c r="Y272">
        <f>IFERROR(--INDEX('Loans'!$D:$D,ROW()),0)</f>
        <v/>
      </c>
      <c r="Z272">
        <f>IFERROR(--INDEX('Loans'!$E:$E,ROW()),0)</f>
        <v/>
      </c>
      <c r="AA272">
        <f>IFERROR(--INDEX('Loans'!$F:$F,ROW()),0)</f>
        <v/>
      </c>
      <c r="AB272">
        <f>IFERROR(IF(--INDEX('Loans'!$G:$G,ROW())&gt;=1,--INDEX('Loans'!$G:$G,ROW())/100,--INDEX('Loans'!$G:$G,ROW())),0)</f>
        <v/>
      </c>
      <c r="AC272">
        <f>TRIM(SUBSTITUTE(INDEX('Loans'!$H:$H,ROW())&amp;""," "," "))</f>
        <v/>
      </c>
      <c r="AD272">
        <f>TRIM(SUBSTITUTE(INDEX('Loans'!$I:$I,ROW())&amp;""," "," "))</f>
        <v/>
      </c>
      <c r="AE272">
        <f>IFERROR(--INDEX('Loans'!$J:$J,ROW()),0)</f>
        <v/>
      </c>
      <c r="AF272">
        <f>TRIM(SUBSTITUTE(INDEX('Loans'!$K:$K,ROW())&amp;""," "," "))</f>
        <v/>
      </c>
      <c r="AG272">
        <f>IFERROR(--INDEX('Loans'!$L:$L,ROW()),0)</f>
        <v/>
      </c>
      <c r="AH272">
        <f>IF(ISNUMBER(INDEX('Loans'!$G:$G,ROW())),1,0)</f>
        <v/>
      </c>
    </row>
    <row r="273">
      <c r="A273">
        <f>TRIM(SUBSTITUTE(INDEX('Term investments'!$A:$A,ROW())&amp;""," "," "))</f>
        <v/>
      </c>
      <c r="B273">
        <f>TRIM(SUBSTITUTE(INDEX('Term investments'!$B:$B,ROW())&amp;""," "," "))</f>
        <v/>
      </c>
      <c r="C273">
        <f>TRIM(SUBSTITUTE(INDEX('Term investments'!$C:$C,ROW())&amp;""," "," "))</f>
        <v/>
      </c>
      <c r="D273">
        <f>IFERROR(--INDEX('Term investments'!$D:$D,ROW()),0)</f>
        <v/>
      </c>
      <c r="E273">
        <f>IFERROR(--INDEX('Term investments'!$E:$E,ROW()),0)</f>
        <v/>
      </c>
      <c r="F273">
        <f>IFERROR(--INDEX('Term investments'!$F:$F,ROW()),0)</f>
        <v/>
      </c>
      <c r="G273">
        <f>IFERROR(IF(--INDEX('Term investments'!$G:$G,ROW())&gt;=1,--INDEX('Term investments'!$G:$G,ROW())/100,--INDEX('Term investments'!$G:$G,ROW())),0)</f>
        <v/>
      </c>
      <c r="H273">
        <f>IFERROR(--INDEX('Term investments'!$H:$H,ROW()),0)</f>
        <v/>
      </c>
      <c r="I273">
        <f>IF(ISNUMBER(INDEX('Term investments'!$G:$G,ROW())),1,0)</f>
        <v/>
      </c>
      <c r="J273">
        <f>TRIM(SUBSTITUTE(INDEX('Call accounts and MMFs'!$A:$A,ROW())&amp;""," "," "))</f>
        <v/>
      </c>
      <c r="K273">
        <f>TRIM(SUBSTITUTE(INDEX('Call accounts and MMFs'!$B:$B,ROW())&amp;""," "," "))</f>
        <v/>
      </c>
      <c r="L273">
        <f>TRIM(SUBSTITUTE(INDEX('Call accounts and MMFs'!$C:$C,ROW())&amp;""," "," "))</f>
        <v/>
      </c>
      <c r="M273">
        <f>IFERROR(--INDEX('Call accounts and MMFs'!$D:$D,ROW()),0)</f>
        <v/>
      </c>
      <c r="N273">
        <f>IFERROR(IF(--INDEX('Call accounts and MMFs'!$E:$E,ROW())&gt;=1,--INDEX('Call accounts and MMFs'!$E:$E,ROW())/100,--INDEX('Call accounts and MMFs'!$E:$E,ROW())),0)</f>
        <v/>
      </c>
      <c r="O273">
        <f>IFERROR(--INDEX('Call accounts and MMFs'!$F:$F,ROW()),0)</f>
        <v/>
      </c>
      <c r="P273">
        <f>IF(ISNUMBER(INDEX('Call accounts and MMFs'!$E:$E,ROW())),1,0)</f>
        <v/>
      </c>
      <c r="Q273">
        <f>TRIM(SUBSTITUTE(INDEX('Pooled funds'!$B:$B,ROW())&amp;""," "," "))</f>
        <v/>
      </c>
      <c r="R273">
        <f>IFERROR(--INDEX('Pooled funds'!$C:$C,ROW()),0)</f>
        <v/>
      </c>
      <c r="S273">
        <f>IFERROR(--INDEX('Pooled funds'!$D:$D,ROW()),0)</f>
        <v/>
      </c>
      <c r="T273">
        <f>IFERROR(IF(--INDEX('Pooled funds'!$E:$E,ROW())&gt;=1,--INDEX('Pooled funds'!$E:$E,ROW())/100,--INDEX('Pooled funds'!$E:$E,ROW())),0)</f>
        <v/>
      </c>
      <c r="U273">
        <f>IF(ISNUMBER(INDEX('Pooled funds'!$E:$E,ROW())),1,0)</f>
        <v/>
      </c>
      <c r="V273">
        <f>TRIM(SUBSTITUTE(INDEX('Loans'!$A:$A,ROW())&amp;""," "," "))</f>
        <v/>
      </c>
      <c r="W273">
        <f>TRIM(SUBSTITUTE(INDEX('Loans'!$B:$B,ROW())&amp;""," "," "))</f>
        <v/>
      </c>
      <c r="X273">
        <f>TRIM(SUBSTITUTE(INDEX('Loans'!$C:$C,ROW())&amp;""," "," "))</f>
        <v/>
      </c>
      <c r="Y273">
        <f>IFERROR(--INDEX('Loans'!$D:$D,ROW()),0)</f>
        <v/>
      </c>
      <c r="Z273">
        <f>IFERROR(--INDEX('Loans'!$E:$E,ROW()),0)</f>
        <v/>
      </c>
      <c r="AA273">
        <f>IFERROR(--INDEX('Loans'!$F:$F,ROW()),0)</f>
        <v/>
      </c>
      <c r="AB273">
        <f>IFERROR(IF(--INDEX('Loans'!$G:$G,ROW())&gt;=1,--INDEX('Loans'!$G:$G,ROW())/100,--INDEX('Loans'!$G:$G,ROW())),0)</f>
        <v/>
      </c>
      <c r="AC273">
        <f>TRIM(SUBSTITUTE(INDEX('Loans'!$H:$H,ROW())&amp;""," "," "))</f>
        <v/>
      </c>
      <c r="AD273">
        <f>TRIM(SUBSTITUTE(INDEX('Loans'!$I:$I,ROW())&amp;""," "," "))</f>
        <v/>
      </c>
      <c r="AE273">
        <f>IFERROR(--INDEX('Loans'!$J:$J,ROW()),0)</f>
        <v/>
      </c>
      <c r="AF273">
        <f>TRIM(SUBSTITUTE(INDEX('Loans'!$K:$K,ROW())&amp;""," "," "))</f>
        <v/>
      </c>
      <c r="AG273">
        <f>IFERROR(--INDEX('Loans'!$L:$L,ROW()),0)</f>
        <v/>
      </c>
      <c r="AH273">
        <f>IF(ISNUMBER(INDEX('Loans'!$G:$G,ROW())),1,0)</f>
        <v/>
      </c>
    </row>
    <row r="274">
      <c r="A274">
        <f>TRIM(SUBSTITUTE(INDEX('Term investments'!$A:$A,ROW())&amp;""," "," "))</f>
        <v/>
      </c>
      <c r="B274">
        <f>TRIM(SUBSTITUTE(INDEX('Term investments'!$B:$B,ROW())&amp;""," "," "))</f>
        <v/>
      </c>
      <c r="C274">
        <f>TRIM(SUBSTITUTE(INDEX('Term investments'!$C:$C,ROW())&amp;""," "," "))</f>
        <v/>
      </c>
      <c r="D274">
        <f>IFERROR(--INDEX('Term investments'!$D:$D,ROW()),0)</f>
        <v/>
      </c>
      <c r="E274">
        <f>IFERROR(--INDEX('Term investments'!$E:$E,ROW()),0)</f>
        <v/>
      </c>
      <c r="F274">
        <f>IFERROR(--INDEX('Term investments'!$F:$F,ROW()),0)</f>
        <v/>
      </c>
      <c r="G274">
        <f>IFERROR(IF(--INDEX('Term investments'!$G:$G,ROW())&gt;=1,--INDEX('Term investments'!$G:$G,ROW())/100,--INDEX('Term investments'!$G:$G,ROW())),0)</f>
        <v/>
      </c>
      <c r="H274">
        <f>IFERROR(--INDEX('Term investments'!$H:$H,ROW()),0)</f>
        <v/>
      </c>
      <c r="I274">
        <f>IF(ISNUMBER(INDEX('Term investments'!$G:$G,ROW())),1,0)</f>
        <v/>
      </c>
      <c r="J274">
        <f>TRIM(SUBSTITUTE(INDEX('Call accounts and MMFs'!$A:$A,ROW())&amp;""," "," "))</f>
        <v/>
      </c>
      <c r="K274">
        <f>TRIM(SUBSTITUTE(INDEX('Call accounts and MMFs'!$B:$B,ROW())&amp;""," "," "))</f>
        <v/>
      </c>
      <c r="L274">
        <f>TRIM(SUBSTITUTE(INDEX('Call accounts and MMFs'!$C:$C,ROW())&amp;""," "," "))</f>
        <v/>
      </c>
      <c r="M274">
        <f>IFERROR(--INDEX('Call accounts and MMFs'!$D:$D,ROW()),0)</f>
        <v/>
      </c>
      <c r="N274">
        <f>IFERROR(IF(--INDEX('Call accounts and MMFs'!$E:$E,ROW())&gt;=1,--INDEX('Call accounts and MMFs'!$E:$E,ROW())/100,--INDEX('Call accounts and MMFs'!$E:$E,ROW())),0)</f>
        <v/>
      </c>
      <c r="O274">
        <f>IFERROR(--INDEX('Call accounts and MMFs'!$F:$F,ROW()),0)</f>
        <v/>
      </c>
      <c r="P274">
        <f>IF(ISNUMBER(INDEX('Call accounts and MMFs'!$E:$E,ROW())),1,0)</f>
        <v/>
      </c>
      <c r="Q274">
        <f>TRIM(SUBSTITUTE(INDEX('Pooled funds'!$B:$B,ROW())&amp;""," "," "))</f>
        <v/>
      </c>
      <c r="R274">
        <f>IFERROR(--INDEX('Pooled funds'!$C:$C,ROW()),0)</f>
        <v/>
      </c>
      <c r="S274">
        <f>IFERROR(--INDEX('Pooled funds'!$D:$D,ROW()),0)</f>
        <v/>
      </c>
      <c r="T274">
        <f>IFERROR(IF(--INDEX('Pooled funds'!$E:$E,ROW())&gt;=1,--INDEX('Pooled funds'!$E:$E,ROW())/100,--INDEX('Pooled funds'!$E:$E,ROW())),0)</f>
        <v/>
      </c>
      <c r="U274">
        <f>IF(ISNUMBER(INDEX('Pooled funds'!$E:$E,ROW())),1,0)</f>
        <v/>
      </c>
      <c r="V274">
        <f>TRIM(SUBSTITUTE(INDEX('Loans'!$A:$A,ROW())&amp;""," "," "))</f>
        <v/>
      </c>
      <c r="W274">
        <f>TRIM(SUBSTITUTE(INDEX('Loans'!$B:$B,ROW())&amp;""," "," "))</f>
        <v/>
      </c>
      <c r="X274">
        <f>TRIM(SUBSTITUTE(INDEX('Loans'!$C:$C,ROW())&amp;""," "," "))</f>
        <v/>
      </c>
      <c r="Y274">
        <f>IFERROR(--INDEX('Loans'!$D:$D,ROW()),0)</f>
        <v/>
      </c>
      <c r="Z274">
        <f>IFERROR(--INDEX('Loans'!$E:$E,ROW()),0)</f>
        <v/>
      </c>
      <c r="AA274">
        <f>IFERROR(--INDEX('Loans'!$F:$F,ROW()),0)</f>
        <v/>
      </c>
      <c r="AB274">
        <f>IFERROR(IF(--INDEX('Loans'!$G:$G,ROW())&gt;=1,--INDEX('Loans'!$G:$G,ROW())/100,--INDEX('Loans'!$G:$G,ROW())),0)</f>
        <v/>
      </c>
      <c r="AC274">
        <f>TRIM(SUBSTITUTE(INDEX('Loans'!$H:$H,ROW())&amp;""," "," "))</f>
        <v/>
      </c>
      <c r="AD274">
        <f>TRIM(SUBSTITUTE(INDEX('Loans'!$I:$I,ROW())&amp;""," "," "))</f>
        <v/>
      </c>
      <c r="AE274">
        <f>IFERROR(--INDEX('Loans'!$J:$J,ROW()),0)</f>
        <v/>
      </c>
      <c r="AF274">
        <f>TRIM(SUBSTITUTE(INDEX('Loans'!$K:$K,ROW())&amp;""," "," "))</f>
        <v/>
      </c>
      <c r="AG274">
        <f>IFERROR(--INDEX('Loans'!$L:$L,ROW()),0)</f>
        <v/>
      </c>
      <c r="AH274">
        <f>IF(ISNUMBER(INDEX('Loans'!$G:$G,ROW())),1,0)</f>
        <v/>
      </c>
    </row>
    <row r="275">
      <c r="A275">
        <f>TRIM(SUBSTITUTE(INDEX('Term investments'!$A:$A,ROW())&amp;""," "," "))</f>
        <v/>
      </c>
      <c r="B275">
        <f>TRIM(SUBSTITUTE(INDEX('Term investments'!$B:$B,ROW())&amp;""," "," "))</f>
        <v/>
      </c>
      <c r="C275">
        <f>TRIM(SUBSTITUTE(INDEX('Term investments'!$C:$C,ROW())&amp;""," "," "))</f>
        <v/>
      </c>
      <c r="D275">
        <f>IFERROR(--INDEX('Term investments'!$D:$D,ROW()),0)</f>
        <v/>
      </c>
      <c r="E275">
        <f>IFERROR(--INDEX('Term investments'!$E:$E,ROW()),0)</f>
        <v/>
      </c>
      <c r="F275">
        <f>IFERROR(--INDEX('Term investments'!$F:$F,ROW()),0)</f>
        <v/>
      </c>
      <c r="G275">
        <f>IFERROR(IF(--INDEX('Term investments'!$G:$G,ROW())&gt;=1,--INDEX('Term investments'!$G:$G,ROW())/100,--INDEX('Term investments'!$G:$G,ROW())),0)</f>
        <v/>
      </c>
      <c r="H275">
        <f>IFERROR(--INDEX('Term investments'!$H:$H,ROW()),0)</f>
        <v/>
      </c>
      <c r="I275">
        <f>IF(ISNUMBER(INDEX('Term investments'!$G:$G,ROW())),1,0)</f>
        <v/>
      </c>
      <c r="J275">
        <f>TRIM(SUBSTITUTE(INDEX('Call accounts and MMFs'!$A:$A,ROW())&amp;""," "," "))</f>
        <v/>
      </c>
      <c r="K275">
        <f>TRIM(SUBSTITUTE(INDEX('Call accounts and MMFs'!$B:$B,ROW())&amp;""," "," "))</f>
        <v/>
      </c>
      <c r="L275">
        <f>TRIM(SUBSTITUTE(INDEX('Call accounts and MMFs'!$C:$C,ROW())&amp;""," "," "))</f>
        <v/>
      </c>
      <c r="M275">
        <f>IFERROR(--INDEX('Call accounts and MMFs'!$D:$D,ROW()),0)</f>
        <v/>
      </c>
      <c r="N275">
        <f>IFERROR(IF(--INDEX('Call accounts and MMFs'!$E:$E,ROW())&gt;=1,--INDEX('Call accounts and MMFs'!$E:$E,ROW())/100,--INDEX('Call accounts and MMFs'!$E:$E,ROW())),0)</f>
        <v/>
      </c>
      <c r="O275">
        <f>IFERROR(--INDEX('Call accounts and MMFs'!$F:$F,ROW()),0)</f>
        <v/>
      </c>
      <c r="P275">
        <f>IF(ISNUMBER(INDEX('Call accounts and MMFs'!$E:$E,ROW())),1,0)</f>
        <v/>
      </c>
      <c r="Q275">
        <f>TRIM(SUBSTITUTE(INDEX('Pooled funds'!$B:$B,ROW())&amp;""," "," "))</f>
        <v/>
      </c>
      <c r="R275">
        <f>IFERROR(--INDEX('Pooled funds'!$C:$C,ROW()),0)</f>
        <v/>
      </c>
      <c r="S275">
        <f>IFERROR(--INDEX('Pooled funds'!$D:$D,ROW()),0)</f>
        <v/>
      </c>
      <c r="T275">
        <f>IFERROR(IF(--INDEX('Pooled funds'!$E:$E,ROW())&gt;=1,--INDEX('Pooled funds'!$E:$E,ROW())/100,--INDEX('Pooled funds'!$E:$E,ROW())),0)</f>
        <v/>
      </c>
      <c r="U275">
        <f>IF(ISNUMBER(INDEX('Pooled funds'!$E:$E,ROW())),1,0)</f>
        <v/>
      </c>
      <c r="V275">
        <f>TRIM(SUBSTITUTE(INDEX('Loans'!$A:$A,ROW())&amp;""," "," "))</f>
        <v/>
      </c>
      <c r="W275">
        <f>TRIM(SUBSTITUTE(INDEX('Loans'!$B:$B,ROW())&amp;""," "," "))</f>
        <v/>
      </c>
      <c r="X275">
        <f>TRIM(SUBSTITUTE(INDEX('Loans'!$C:$C,ROW())&amp;""," "," "))</f>
        <v/>
      </c>
      <c r="Y275">
        <f>IFERROR(--INDEX('Loans'!$D:$D,ROW()),0)</f>
        <v/>
      </c>
      <c r="Z275">
        <f>IFERROR(--INDEX('Loans'!$E:$E,ROW()),0)</f>
        <v/>
      </c>
      <c r="AA275">
        <f>IFERROR(--INDEX('Loans'!$F:$F,ROW()),0)</f>
        <v/>
      </c>
      <c r="AB275">
        <f>IFERROR(IF(--INDEX('Loans'!$G:$G,ROW())&gt;=1,--INDEX('Loans'!$G:$G,ROW())/100,--INDEX('Loans'!$G:$G,ROW())),0)</f>
        <v/>
      </c>
      <c r="AC275">
        <f>TRIM(SUBSTITUTE(INDEX('Loans'!$H:$H,ROW())&amp;""," "," "))</f>
        <v/>
      </c>
      <c r="AD275">
        <f>TRIM(SUBSTITUTE(INDEX('Loans'!$I:$I,ROW())&amp;""," "," "))</f>
        <v/>
      </c>
      <c r="AE275">
        <f>IFERROR(--INDEX('Loans'!$J:$J,ROW()),0)</f>
        <v/>
      </c>
      <c r="AF275">
        <f>TRIM(SUBSTITUTE(INDEX('Loans'!$K:$K,ROW())&amp;""," "," "))</f>
        <v/>
      </c>
      <c r="AG275">
        <f>IFERROR(--INDEX('Loans'!$L:$L,ROW()),0)</f>
        <v/>
      </c>
      <c r="AH275">
        <f>IF(ISNUMBER(INDEX('Loans'!$G:$G,ROW())),1,0)</f>
        <v/>
      </c>
    </row>
    <row r="276">
      <c r="A276">
        <f>TRIM(SUBSTITUTE(INDEX('Term investments'!$A:$A,ROW())&amp;""," "," "))</f>
        <v/>
      </c>
      <c r="B276">
        <f>TRIM(SUBSTITUTE(INDEX('Term investments'!$B:$B,ROW())&amp;""," "," "))</f>
        <v/>
      </c>
      <c r="C276">
        <f>TRIM(SUBSTITUTE(INDEX('Term investments'!$C:$C,ROW())&amp;""," "," "))</f>
        <v/>
      </c>
      <c r="D276">
        <f>IFERROR(--INDEX('Term investments'!$D:$D,ROW()),0)</f>
        <v/>
      </c>
      <c r="E276">
        <f>IFERROR(--INDEX('Term investments'!$E:$E,ROW()),0)</f>
        <v/>
      </c>
      <c r="F276">
        <f>IFERROR(--INDEX('Term investments'!$F:$F,ROW()),0)</f>
        <v/>
      </c>
      <c r="G276">
        <f>IFERROR(IF(--INDEX('Term investments'!$G:$G,ROW())&gt;=1,--INDEX('Term investments'!$G:$G,ROW())/100,--INDEX('Term investments'!$G:$G,ROW())),0)</f>
        <v/>
      </c>
      <c r="H276">
        <f>IFERROR(--INDEX('Term investments'!$H:$H,ROW()),0)</f>
        <v/>
      </c>
      <c r="I276">
        <f>IF(ISNUMBER(INDEX('Term investments'!$G:$G,ROW())),1,0)</f>
        <v/>
      </c>
      <c r="J276">
        <f>TRIM(SUBSTITUTE(INDEX('Call accounts and MMFs'!$A:$A,ROW())&amp;""," "," "))</f>
        <v/>
      </c>
      <c r="K276">
        <f>TRIM(SUBSTITUTE(INDEX('Call accounts and MMFs'!$B:$B,ROW())&amp;""," "," "))</f>
        <v/>
      </c>
      <c r="L276">
        <f>TRIM(SUBSTITUTE(INDEX('Call accounts and MMFs'!$C:$C,ROW())&amp;""," "," "))</f>
        <v/>
      </c>
      <c r="M276">
        <f>IFERROR(--INDEX('Call accounts and MMFs'!$D:$D,ROW()),0)</f>
        <v/>
      </c>
      <c r="N276">
        <f>IFERROR(IF(--INDEX('Call accounts and MMFs'!$E:$E,ROW())&gt;=1,--INDEX('Call accounts and MMFs'!$E:$E,ROW())/100,--INDEX('Call accounts and MMFs'!$E:$E,ROW())),0)</f>
        <v/>
      </c>
      <c r="O276">
        <f>IFERROR(--INDEX('Call accounts and MMFs'!$F:$F,ROW()),0)</f>
        <v/>
      </c>
      <c r="P276">
        <f>IF(ISNUMBER(INDEX('Call accounts and MMFs'!$E:$E,ROW())),1,0)</f>
        <v/>
      </c>
      <c r="Q276">
        <f>TRIM(SUBSTITUTE(INDEX('Pooled funds'!$B:$B,ROW())&amp;""," "," "))</f>
        <v/>
      </c>
      <c r="R276">
        <f>IFERROR(--INDEX('Pooled funds'!$C:$C,ROW()),0)</f>
        <v/>
      </c>
      <c r="S276">
        <f>IFERROR(--INDEX('Pooled funds'!$D:$D,ROW()),0)</f>
        <v/>
      </c>
      <c r="T276">
        <f>IFERROR(IF(--INDEX('Pooled funds'!$E:$E,ROW())&gt;=1,--INDEX('Pooled funds'!$E:$E,ROW())/100,--INDEX('Pooled funds'!$E:$E,ROW())),0)</f>
        <v/>
      </c>
      <c r="U276">
        <f>IF(ISNUMBER(INDEX('Pooled funds'!$E:$E,ROW())),1,0)</f>
        <v/>
      </c>
      <c r="V276">
        <f>TRIM(SUBSTITUTE(INDEX('Loans'!$A:$A,ROW())&amp;""," "," "))</f>
        <v/>
      </c>
      <c r="W276">
        <f>TRIM(SUBSTITUTE(INDEX('Loans'!$B:$B,ROW())&amp;""," "," "))</f>
        <v/>
      </c>
      <c r="X276">
        <f>TRIM(SUBSTITUTE(INDEX('Loans'!$C:$C,ROW())&amp;""," "," "))</f>
        <v/>
      </c>
      <c r="Y276">
        <f>IFERROR(--INDEX('Loans'!$D:$D,ROW()),0)</f>
        <v/>
      </c>
      <c r="Z276">
        <f>IFERROR(--INDEX('Loans'!$E:$E,ROW()),0)</f>
        <v/>
      </c>
      <c r="AA276">
        <f>IFERROR(--INDEX('Loans'!$F:$F,ROW()),0)</f>
        <v/>
      </c>
      <c r="AB276">
        <f>IFERROR(IF(--INDEX('Loans'!$G:$G,ROW())&gt;=1,--INDEX('Loans'!$G:$G,ROW())/100,--INDEX('Loans'!$G:$G,ROW())),0)</f>
        <v/>
      </c>
      <c r="AC276">
        <f>TRIM(SUBSTITUTE(INDEX('Loans'!$H:$H,ROW())&amp;""," "," "))</f>
        <v/>
      </c>
      <c r="AD276">
        <f>TRIM(SUBSTITUTE(INDEX('Loans'!$I:$I,ROW())&amp;""," "," "))</f>
        <v/>
      </c>
      <c r="AE276">
        <f>IFERROR(--INDEX('Loans'!$J:$J,ROW()),0)</f>
        <v/>
      </c>
      <c r="AF276">
        <f>TRIM(SUBSTITUTE(INDEX('Loans'!$K:$K,ROW())&amp;""," "," "))</f>
        <v/>
      </c>
      <c r="AG276">
        <f>IFERROR(--INDEX('Loans'!$L:$L,ROW()),0)</f>
        <v/>
      </c>
      <c r="AH276">
        <f>IF(ISNUMBER(INDEX('Loans'!$G:$G,ROW())),1,0)</f>
        <v/>
      </c>
    </row>
    <row r="277">
      <c r="A277">
        <f>TRIM(SUBSTITUTE(INDEX('Term investments'!$A:$A,ROW())&amp;""," "," "))</f>
        <v/>
      </c>
      <c r="B277">
        <f>TRIM(SUBSTITUTE(INDEX('Term investments'!$B:$B,ROW())&amp;""," "," "))</f>
        <v/>
      </c>
      <c r="C277">
        <f>TRIM(SUBSTITUTE(INDEX('Term investments'!$C:$C,ROW())&amp;""," "," "))</f>
        <v/>
      </c>
      <c r="D277">
        <f>IFERROR(--INDEX('Term investments'!$D:$D,ROW()),0)</f>
        <v/>
      </c>
      <c r="E277">
        <f>IFERROR(--INDEX('Term investments'!$E:$E,ROW()),0)</f>
        <v/>
      </c>
      <c r="F277">
        <f>IFERROR(--INDEX('Term investments'!$F:$F,ROW()),0)</f>
        <v/>
      </c>
      <c r="G277">
        <f>IFERROR(IF(--INDEX('Term investments'!$G:$G,ROW())&gt;=1,--INDEX('Term investments'!$G:$G,ROW())/100,--INDEX('Term investments'!$G:$G,ROW())),0)</f>
        <v/>
      </c>
      <c r="H277">
        <f>IFERROR(--INDEX('Term investments'!$H:$H,ROW()),0)</f>
        <v/>
      </c>
      <c r="I277">
        <f>IF(ISNUMBER(INDEX('Term investments'!$G:$G,ROW())),1,0)</f>
        <v/>
      </c>
      <c r="J277">
        <f>TRIM(SUBSTITUTE(INDEX('Call accounts and MMFs'!$A:$A,ROW())&amp;""," "," "))</f>
        <v/>
      </c>
      <c r="K277">
        <f>TRIM(SUBSTITUTE(INDEX('Call accounts and MMFs'!$B:$B,ROW())&amp;""," "," "))</f>
        <v/>
      </c>
      <c r="L277">
        <f>TRIM(SUBSTITUTE(INDEX('Call accounts and MMFs'!$C:$C,ROW())&amp;""," "," "))</f>
        <v/>
      </c>
      <c r="M277">
        <f>IFERROR(--INDEX('Call accounts and MMFs'!$D:$D,ROW()),0)</f>
        <v/>
      </c>
      <c r="N277">
        <f>IFERROR(IF(--INDEX('Call accounts and MMFs'!$E:$E,ROW())&gt;=1,--INDEX('Call accounts and MMFs'!$E:$E,ROW())/100,--INDEX('Call accounts and MMFs'!$E:$E,ROW())),0)</f>
        <v/>
      </c>
      <c r="O277">
        <f>IFERROR(--INDEX('Call accounts and MMFs'!$F:$F,ROW()),0)</f>
        <v/>
      </c>
      <c r="P277">
        <f>IF(ISNUMBER(INDEX('Call accounts and MMFs'!$E:$E,ROW())),1,0)</f>
        <v/>
      </c>
      <c r="Q277">
        <f>TRIM(SUBSTITUTE(INDEX('Pooled funds'!$B:$B,ROW())&amp;""," "," "))</f>
        <v/>
      </c>
      <c r="R277">
        <f>IFERROR(--INDEX('Pooled funds'!$C:$C,ROW()),0)</f>
        <v/>
      </c>
      <c r="S277">
        <f>IFERROR(--INDEX('Pooled funds'!$D:$D,ROW()),0)</f>
        <v/>
      </c>
      <c r="T277">
        <f>IFERROR(IF(--INDEX('Pooled funds'!$E:$E,ROW())&gt;=1,--INDEX('Pooled funds'!$E:$E,ROW())/100,--INDEX('Pooled funds'!$E:$E,ROW())),0)</f>
        <v/>
      </c>
      <c r="U277">
        <f>IF(ISNUMBER(INDEX('Pooled funds'!$E:$E,ROW())),1,0)</f>
        <v/>
      </c>
      <c r="V277">
        <f>TRIM(SUBSTITUTE(INDEX('Loans'!$A:$A,ROW())&amp;""," "," "))</f>
        <v/>
      </c>
      <c r="W277">
        <f>TRIM(SUBSTITUTE(INDEX('Loans'!$B:$B,ROW())&amp;""," "," "))</f>
        <v/>
      </c>
      <c r="X277">
        <f>TRIM(SUBSTITUTE(INDEX('Loans'!$C:$C,ROW())&amp;""," "," "))</f>
        <v/>
      </c>
      <c r="Y277">
        <f>IFERROR(--INDEX('Loans'!$D:$D,ROW()),0)</f>
        <v/>
      </c>
      <c r="Z277">
        <f>IFERROR(--INDEX('Loans'!$E:$E,ROW()),0)</f>
        <v/>
      </c>
      <c r="AA277">
        <f>IFERROR(--INDEX('Loans'!$F:$F,ROW()),0)</f>
        <v/>
      </c>
      <c r="AB277">
        <f>IFERROR(IF(--INDEX('Loans'!$G:$G,ROW())&gt;=1,--INDEX('Loans'!$G:$G,ROW())/100,--INDEX('Loans'!$G:$G,ROW())),0)</f>
        <v/>
      </c>
      <c r="AC277">
        <f>TRIM(SUBSTITUTE(INDEX('Loans'!$H:$H,ROW())&amp;""," "," "))</f>
        <v/>
      </c>
      <c r="AD277">
        <f>TRIM(SUBSTITUTE(INDEX('Loans'!$I:$I,ROW())&amp;""," "," "))</f>
        <v/>
      </c>
      <c r="AE277">
        <f>IFERROR(--INDEX('Loans'!$J:$J,ROW()),0)</f>
        <v/>
      </c>
      <c r="AF277">
        <f>TRIM(SUBSTITUTE(INDEX('Loans'!$K:$K,ROW())&amp;""," "," "))</f>
        <v/>
      </c>
      <c r="AG277">
        <f>IFERROR(--INDEX('Loans'!$L:$L,ROW()),0)</f>
        <v/>
      </c>
      <c r="AH277">
        <f>IF(ISNUMBER(INDEX('Loans'!$G:$G,ROW())),1,0)</f>
        <v/>
      </c>
    </row>
    <row r="278">
      <c r="A278">
        <f>TRIM(SUBSTITUTE(INDEX('Term investments'!$A:$A,ROW())&amp;""," "," "))</f>
        <v/>
      </c>
      <c r="B278">
        <f>TRIM(SUBSTITUTE(INDEX('Term investments'!$B:$B,ROW())&amp;""," "," "))</f>
        <v/>
      </c>
      <c r="C278">
        <f>TRIM(SUBSTITUTE(INDEX('Term investments'!$C:$C,ROW())&amp;""," "," "))</f>
        <v/>
      </c>
      <c r="D278">
        <f>IFERROR(--INDEX('Term investments'!$D:$D,ROW()),0)</f>
        <v/>
      </c>
      <c r="E278">
        <f>IFERROR(--INDEX('Term investments'!$E:$E,ROW()),0)</f>
        <v/>
      </c>
      <c r="F278">
        <f>IFERROR(--INDEX('Term investments'!$F:$F,ROW()),0)</f>
        <v/>
      </c>
      <c r="G278">
        <f>IFERROR(IF(--INDEX('Term investments'!$G:$G,ROW())&gt;=1,--INDEX('Term investments'!$G:$G,ROW())/100,--INDEX('Term investments'!$G:$G,ROW())),0)</f>
        <v/>
      </c>
      <c r="H278">
        <f>IFERROR(--INDEX('Term investments'!$H:$H,ROW()),0)</f>
        <v/>
      </c>
      <c r="I278">
        <f>IF(ISNUMBER(INDEX('Term investments'!$G:$G,ROW())),1,0)</f>
        <v/>
      </c>
      <c r="J278">
        <f>TRIM(SUBSTITUTE(INDEX('Call accounts and MMFs'!$A:$A,ROW())&amp;""," "," "))</f>
        <v/>
      </c>
      <c r="K278">
        <f>TRIM(SUBSTITUTE(INDEX('Call accounts and MMFs'!$B:$B,ROW())&amp;""," "," "))</f>
        <v/>
      </c>
      <c r="L278">
        <f>TRIM(SUBSTITUTE(INDEX('Call accounts and MMFs'!$C:$C,ROW())&amp;""," "," "))</f>
        <v/>
      </c>
      <c r="M278">
        <f>IFERROR(--INDEX('Call accounts and MMFs'!$D:$D,ROW()),0)</f>
        <v/>
      </c>
      <c r="N278">
        <f>IFERROR(IF(--INDEX('Call accounts and MMFs'!$E:$E,ROW())&gt;=1,--INDEX('Call accounts and MMFs'!$E:$E,ROW())/100,--INDEX('Call accounts and MMFs'!$E:$E,ROW())),0)</f>
        <v/>
      </c>
      <c r="O278">
        <f>IFERROR(--INDEX('Call accounts and MMFs'!$F:$F,ROW()),0)</f>
        <v/>
      </c>
      <c r="P278">
        <f>IF(ISNUMBER(INDEX('Call accounts and MMFs'!$E:$E,ROW())),1,0)</f>
        <v/>
      </c>
      <c r="Q278">
        <f>TRIM(SUBSTITUTE(INDEX('Pooled funds'!$B:$B,ROW())&amp;""," "," "))</f>
        <v/>
      </c>
      <c r="R278">
        <f>IFERROR(--INDEX('Pooled funds'!$C:$C,ROW()),0)</f>
        <v/>
      </c>
      <c r="S278">
        <f>IFERROR(--INDEX('Pooled funds'!$D:$D,ROW()),0)</f>
        <v/>
      </c>
      <c r="T278">
        <f>IFERROR(IF(--INDEX('Pooled funds'!$E:$E,ROW())&gt;=1,--INDEX('Pooled funds'!$E:$E,ROW())/100,--INDEX('Pooled funds'!$E:$E,ROW())),0)</f>
        <v/>
      </c>
      <c r="U278">
        <f>IF(ISNUMBER(INDEX('Pooled funds'!$E:$E,ROW())),1,0)</f>
        <v/>
      </c>
      <c r="V278">
        <f>TRIM(SUBSTITUTE(INDEX('Loans'!$A:$A,ROW())&amp;""," "," "))</f>
        <v/>
      </c>
      <c r="W278">
        <f>TRIM(SUBSTITUTE(INDEX('Loans'!$B:$B,ROW())&amp;""," "," "))</f>
        <v/>
      </c>
      <c r="X278">
        <f>TRIM(SUBSTITUTE(INDEX('Loans'!$C:$C,ROW())&amp;""," "," "))</f>
        <v/>
      </c>
      <c r="Y278">
        <f>IFERROR(--INDEX('Loans'!$D:$D,ROW()),0)</f>
        <v/>
      </c>
      <c r="Z278">
        <f>IFERROR(--INDEX('Loans'!$E:$E,ROW()),0)</f>
        <v/>
      </c>
      <c r="AA278">
        <f>IFERROR(--INDEX('Loans'!$F:$F,ROW()),0)</f>
        <v/>
      </c>
      <c r="AB278">
        <f>IFERROR(IF(--INDEX('Loans'!$G:$G,ROW())&gt;=1,--INDEX('Loans'!$G:$G,ROW())/100,--INDEX('Loans'!$G:$G,ROW())),0)</f>
        <v/>
      </c>
      <c r="AC278">
        <f>TRIM(SUBSTITUTE(INDEX('Loans'!$H:$H,ROW())&amp;""," "," "))</f>
        <v/>
      </c>
      <c r="AD278">
        <f>TRIM(SUBSTITUTE(INDEX('Loans'!$I:$I,ROW())&amp;""," "," "))</f>
        <v/>
      </c>
      <c r="AE278">
        <f>IFERROR(--INDEX('Loans'!$J:$J,ROW()),0)</f>
        <v/>
      </c>
      <c r="AF278">
        <f>TRIM(SUBSTITUTE(INDEX('Loans'!$K:$K,ROW())&amp;""," "," "))</f>
        <v/>
      </c>
      <c r="AG278">
        <f>IFERROR(--INDEX('Loans'!$L:$L,ROW()),0)</f>
        <v/>
      </c>
      <c r="AH278">
        <f>IF(ISNUMBER(INDEX('Loans'!$G:$G,ROW())),1,0)</f>
        <v/>
      </c>
    </row>
    <row r="279">
      <c r="A279">
        <f>TRIM(SUBSTITUTE(INDEX('Term investments'!$A:$A,ROW())&amp;""," "," "))</f>
        <v/>
      </c>
      <c r="B279">
        <f>TRIM(SUBSTITUTE(INDEX('Term investments'!$B:$B,ROW())&amp;""," "," "))</f>
        <v/>
      </c>
      <c r="C279">
        <f>TRIM(SUBSTITUTE(INDEX('Term investments'!$C:$C,ROW())&amp;""," "," "))</f>
        <v/>
      </c>
      <c r="D279">
        <f>IFERROR(--INDEX('Term investments'!$D:$D,ROW()),0)</f>
        <v/>
      </c>
      <c r="E279">
        <f>IFERROR(--INDEX('Term investments'!$E:$E,ROW()),0)</f>
        <v/>
      </c>
      <c r="F279">
        <f>IFERROR(--INDEX('Term investments'!$F:$F,ROW()),0)</f>
        <v/>
      </c>
      <c r="G279">
        <f>IFERROR(IF(--INDEX('Term investments'!$G:$G,ROW())&gt;=1,--INDEX('Term investments'!$G:$G,ROW())/100,--INDEX('Term investments'!$G:$G,ROW())),0)</f>
        <v/>
      </c>
      <c r="H279">
        <f>IFERROR(--INDEX('Term investments'!$H:$H,ROW()),0)</f>
        <v/>
      </c>
      <c r="I279">
        <f>IF(ISNUMBER(INDEX('Term investments'!$G:$G,ROW())),1,0)</f>
        <v/>
      </c>
      <c r="J279">
        <f>TRIM(SUBSTITUTE(INDEX('Call accounts and MMFs'!$A:$A,ROW())&amp;""," "," "))</f>
        <v/>
      </c>
      <c r="K279">
        <f>TRIM(SUBSTITUTE(INDEX('Call accounts and MMFs'!$B:$B,ROW())&amp;""," "," "))</f>
        <v/>
      </c>
      <c r="L279">
        <f>TRIM(SUBSTITUTE(INDEX('Call accounts and MMFs'!$C:$C,ROW())&amp;""," "," "))</f>
        <v/>
      </c>
      <c r="M279">
        <f>IFERROR(--INDEX('Call accounts and MMFs'!$D:$D,ROW()),0)</f>
        <v/>
      </c>
      <c r="N279">
        <f>IFERROR(IF(--INDEX('Call accounts and MMFs'!$E:$E,ROW())&gt;=1,--INDEX('Call accounts and MMFs'!$E:$E,ROW())/100,--INDEX('Call accounts and MMFs'!$E:$E,ROW())),0)</f>
        <v/>
      </c>
      <c r="O279">
        <f>IFERROR(--INDEX('Call accounts and MMFs'!$F:$F,ROW()),0)</f>
        <v/>
      </c>
      <c r="P279">
        <f>IF(ISNUMBER(INDEX('Call accounts and MMFs'!$E:$E,ROW())),1,0)</f>
        <v/>
      </c>
      <c r="Q279">
        <f>TRIM(SUBSTITUTE(INDEX('Pooled funds'!$B:$B,ROW())&amp;""," "," "))</f>
        <v/>
      </c>
      <c r="R279">
        <f>IFERROR(--INDEX('Pooled funds'!$C:$C,ROW()),0)</f>
        <v/>
      </c>
      <c r="S279">
        <f>IFERROR(--INDEX('Pooled funds'!$D:$D,ROW()),0)</f>
        <v/>
      </c>
      <c r="T279">
        <f>IFERROR(IF(--INDEX('Pooled funds'!$E:$E,ROW())&gt;=1,--INDEX('Pooled funds'!$E:$E,ROW())/100,--INDEX('Pooled funds'!$E:$E,ROW())),0)</f>
        <v/>
      </c>
      <c r="U279">
        <f>IF(ISNUMBER(INDEX('Pooled funds'!$E:$E,ROW())),1,0)</f>
        <v/>
      </c>
      <c r="V279">
        <f>TRIM(SUBSTITUTE(INDEX('Loans'!$A:$A,ROW())&amp;""," "," "))</f>
        <v/>
      </c>
      <c r="W279">
        <f>TRIM(SUBSTITUTE(INDEX('Loans'!$B:$B,ROW())&amp;""," "," "))</f>
        <v/>
      </c>
      <c r="X279">
        <f>TRIM(SUBSTITUTE(INDEX('Loans'!$C:$C,ROW())&amp;""," "," "))</f>
        <v/>
      </c>
      <c r="Y279">
        <f>IFERROR(--INDEX('Loans'!$D:$D,ROW()),0)</f>
        <v/>
      </c>
      <c r="Z279">
        <f>IFERROR(--INDEX('Loans'!$E:$E,ROW()),0)</f>
        <v/>
      </c>
      <c r="AA279">
        <f>IFERROR(--INDEX('Loans'!$F:$F,ROW()),0)</f>
        <v/>
      </c>
      <c r="AB279">
        <f>IFERROR(IF(--INDEX('Loans'!$G:$G,ROW())&gt;=1,--INDEX('Loans'!$G:$G,ROW())/100,--INDEX('Loans'!$G:$G,ROW())),0)</f>
        <v/>
      </c>
      <c r="AC279">
        <f>TRIM(SUBSTITUTE(INDEX('Loans'!$H:$H,ROW())&amp;""," "," "))</f>
        <v/>
      </c>
      <c r="AD279">
        <f>TRIM(SUBSTITUTE(INDEX('Loans'!$I:$I,ROW())&amp;""," "," "))</f>
        <v/>
      </c>
      <c r="AE279">
        <f>IFERROR(--INDEX('Loans'!$J:$J,ROW()),0)</f>
        <v/>
      </c>
      <c r="AF279">
        <f>TRIM(SUBSTITUTE(INDEX('Loans'!$K:$K,ROW())&amp;""," "," "))</f>
        <v/>
      </c>
      <c r="AG279">
        <f>IFERROR(--INDEX('Loans'!$L:$L,ROW()),0)</f>
        <v/>
      </c>
      <c r="AH279">
        <f>IF(ISNUMBER(INDEX('Loans'!$G:$G,ROW())),1,0)</f>
        <v/>
      </c>
    </row>
    <row r="280">
      <c r="A280">
        <f>TRIM(SUBSTITUTE(INDEX('Term investments'!$A:$A,ROW())&amp;""," "," "))</f>
        <v/>
      </c>
      <c r="B280">
        <f>TRIM(SUBSTITUTE(INDEX('Term investments'!$B:$B,ROW())&amp;""," "," "))</f>
        <v/>
      </c>
      <c r="C280">
        <f>TRIM(SUBSTITUTE(INDEX('Term investments'!$C:$C,ROW())&amp;""," "," "))</f>
        <v/>
      </c>
      <c r="D280">
        <f>IFERROR(--INDEX('Term investments'!$D:$D,ROW()),0)</f>
        <v/>
      </c>
      <c r="E280">
        <f>IFERROR(--INDEX('Term investments'!$E:$E,ROW()),0)</f>
        <v/>
      </c>
      <c r="F280">
        <f>IFERROR(--INDEX('Term investments'!$F:$F,ROW()),0)</f>
        <v/>
      </c>
      <c r="G280">
        <f>IFERROR(IF(--INDEX('Term investments'!$G:$G,ROW())&gt;=1,--INDEX('Term investments'!$G:$G,ROW())/100,--INDEX('Term investments'!$G:$G,ROW())),0)</f>
        <v/>
      </c>
      <c r="H280">
        <f>IFERROR(--INDEX('Term investments'!$H:$H,ROW()),0)</f>
        <v/>
      </c>
      <c r="I280">
        <f>IF(ISNUMBER(INDEX('Term investments'!$G:$G,ROW())),1,0)</f>
        <v/>
      </c>
      <c r="J280">
        <f>TRIM(SUBSTITUTE(INDEX('Call accounts and MMFs'!$A:$A,ROW())&amp;""," "," "))</f>
        <v/>
      </c>
      <c r="K280">
        <f>TRIM(SUBSTITUTE(INDEX('Call accounts and MMFs'!$B:$B,ROW())&amp;""," "," "))</f>
        <v/>
      </c>
      <c r="L280">
        <f>TRIM(SUBSTITUTE(INDEX('Call accounts and MMFs'!$C:$C,ROW())&amp;""," "," "))</f>
        <v/>
      </c>
      <c r="M280">
        <f>IFERROR(--INDEX('Call accounts and MMFs'!$D:$D,ROW()),0)</f>
        <v/>
      </c>
      <c r="N280">
        <f>IFERROR(IF(--INDEX('Call accounts and MMFs'!$E:$E,ROW())&gt;=1,--INDEX('Call accounts and MMFs'!$E:$E,ROW())/100,--INDEX('Call accounts and MMFs'!$E:$E,ROW())),0)</f>
        <v/>
      </c>
      <c r="O280">
        <f>IFERROR(--INDEX('Call accounts and MMFs'!$F:$F,ROW()),0)</f>
        <v/>
      </c>
      <c r="P280">
        <f>IF(ISNUMBER(INDEX('Call accounts and MMFs'!$E:$E,ROW())),1,0)</f>
        <v/>
      </c>
      <c r="Q280">
        <f>TRIM(SUBSTITUTE(INDEX('Pooled funds'!$B:$B,ROW())&amp;""," "," "))</f>
        <v/>
      </c>
      <c r="R280">
        <f>IFERROR(--INDEX('Pooled funds'!$C:$C,ROW()),0)</f>
        <v/>
      </c>
      <c r="S280">
        <f>IFERROR(--INDEX('Pooled funds'!$D:$D,ROW()),0)</f>
        <v/>
      </c>
      <c r="T280">
        <f>IFERROR(IF(--INDEX('Pooled funds'!$E:$E,ROW())&gt;=1,--INDEX('Pooled funds'!$E:$E,ROW())/100,--INDEX('Pooled funds'!$E:$E,ROW())),0)</f>
        <v/>
      </c>
      <c r="U280">
        <f>IF(ISNUMBER(INDEX('Pooled funds'!$E:$E,ROW())),1,0)</f>
        <v/>
      </c>
      <c r="V280">
        <f>TRIM(SUBSTITUTE(INDEX('Loans'!$A:$A,ROW())&amp;""," "," "))</f>
        <v/>
      </c>
      <c r="W280">
        <f>TRIM(SUBSTITUTE(INDEX('Loans'!$B:$B,ROW())&amp;""," "," "))</f>
        <v/>
      </c>
      <c r="X280">
        <f>TRIM(SUBSTITUTE(INDEX('Loans'!$C:$C,ROW())&amp;""," "," "))</f>
        <v/>
      </c>
      <c r="Y280">
        <f>IFERROR(--INDEX('Loans'!$D:$D,ROW()),0)</f>
        <v/>
      </c>
      <c r="Z280">
        <f>IFERROR(--INDEX('Loans'!$E:$E,ROW()),0)</f>
        <v/>
      </c>
      <c r="AA280">
        <f>IFERROR(--INDEX('Loans'!$F:$F,ROW()),0)</f>
        <v/>
      </c>
      <c r="AB280">
        <f>IFERROR(IF(--INDEX('Loans'!$G:$G,ROW())&gt;=1,--INDEX('Loans'!$G:$G,ROW())/100,--INDEX('Loans'!$G:$G,ROW())),0)</f>
        <v/>
      </c>
      <c r="AC280">
        <f>TRIM(SUBSTITUTE(INDEX('Loans'!$H:$H,ROW())&amp;""," "," "))</f>
        <v/>
      </c>
      <c r="AD280">
        <f>TRIM(SUBSTITUTE(INDEX('Loans'!$I:$I,ROW())&amp;""," "," "))</f>
        <v/>
      </c>
      <c r="AE280">
        <f>IFERROR(--INDEX('Loans'!$J:$J,ROW()),0)</f>
        <v/>
      </c>
      <c r="AF280">
        <f>TRIM(SUBSTITUTE(INDEX('Loans'!$K:$K,ROW())&amp;""," "," "))</f>
        <v/>
      </c>
      <c r="AG280">
        <f>IFERROR(--INDEX('Loans'!$L:$L,ROW()),0)</f>
        <v/>
      </c>
      <c r="AH280">
        <f>IF(ISNUMBER(INDEX('Loans'!$G:$G,ROW())),1,0)</f>
        <v/>
      </c>
    </row>
    <row r="281">
      <c r="A281">
        <f>TRIM(SUBSTITUTE(INDEX('Term investments'!$A:$A,ROW())&amp;""," "," "))</f>
        <v/>
      </c>
      <c r="B281">
        <f>TRIM(SUBSTITUTE(INDEX('Term investments'!$B:$B,ROW())&amp;""," "," "))</f>
        <v/>
      </c>
      <c r="C281">
        <f>TRIM(SUBSTITUTE(INDEX('Term investments'!$C:$C,ROW())&amp;""," "," "))</f>
        <v/>
      </c>
      <c r="D281">
        <f>IFERROR(--INDEX('Term investments'!$D:$D,ROW()),0)</f>
        <v/>
      </c>
      <c r="E281">
        <f>IFERROR(--INDEX('Term investments'!$E:$E,ROW()),0)</f>
        <v/>
      </c>
      <c r="F281">
        <f>IFERROR(--INDEX('Term investments'!$F:$F,ROW()),0)</f>
        <v/>
      </c>
      <c r="G281">
        <f>IFERROR(IF(--INDEX('Term investments'!$G:$G,ROW())&gt;=1,--INDEX('Term investments'!$G:$G,ROW())/100,--INDEX('Term investments'!$G:$G,ROW())),0)</f>
        <v/>
      </c>
      <c r="H281">
        <f>IFERROR(--INDEX('Term investments'!$H:$H,ROW()),0)</f>
        <v/>
      </c>
      <c r="I281">
        <f>IF(ISNUMBER(INDEX('Term investments'!$G:$G,ROW())),1,0)</f>
        <v/>
      </c>
      <c r="J281">
        <f>TRIM(SUBSTITUTE(INDEX('Call accounts and MMFs'!$A:$A,ROW())&amp;""," "," "))</f>
        <v/>
      </c>
      <c r="K281">
        <f>TRIM(SUBSTITUTE(INDEX('Call accounts and MMFs'!$B:$B,ROW())&amp;""," "," "))</f>
        <v/>
      </c>
      <c r="L281">
        <f>TRIM(SUBSTITUTE(INDEX('Call accounts and MMFs'!$C:$C,ROW())&amp;""," "," "))</f>
        <v/>
      </c>
      <c r="M281">
        <f>IFERROR(--INDEX('Call accounts and MMFs'!$D:$D,ROW()),0)</f>
        <v/>
      </c>
      <c r="N281">
        <f>IFERROR(IF(--INDEX('Call accounts and MMFs'!$E:$E,ROW())&gt;=1,--INDEX('Call accounts and MMFs'!$E:$E,ROW())/100,--INDEX('Call accounts and MMFs'!$E:$E,ROW())),0)</f>
        <v/>
      </c>
      <c r="O281">
        <f>IFERROR(--INDEX('Call accounts and MMFs'!$F:$F,ROW()),0)</f>
        <v/>
      </c>
      <c r="P281">
        <f>IF(ISNUMBER(INDEX('Call accounts and MMFs'!$E:$E,ROW())),1,0)</f>
        <v/>
      </c>
      <c r="Q281">
        <f>TRIM(SUBSTITUTE(INDEX('Pooled funds'!$B:$B,ROW())&amp;""," "," "))</f>
        <v/>
      </c>
      <c r="R281">
        <f>IFERROR(--INDEX('Pooled funds'!$C:$C,ROW()),0)</f>
        <v/>
      </c>
      <c r="S281">
        <f>IFERROR(--INDEX('Pooled funds'!$D:$D,ROW()),0)</f>
        <v/>
      </c>
      <c r="T281">
        <f>IFERROR(IF(--INDEX('Pooled funds'!$E:$E,ROW())&gt;=1,--INDEX('Pooled funds'!$E:$E,ROW())/100,--INDEX('Pooled funds'!$E:$E,ROW())),0)</f>
        <v/>
      </c>
      <c r="U281">
        <f>IF(ISNUMBER(INDEX('Pooled funds'!$E:$E,ROW())),1,0)</f>
        <v/>
      </c>
      <c r="V281">
        <f>TRIM(SUBSTITUTE(INDEX('Loans'!$A:$A,ROW())&amp;""," "," "))</f>
        <v/>
      </c>
      <c r="W281">
        <f>TRIM(SUBSTITUTE(INDEX('Loans'!$B:$B,ROW())&amp;""," "," "))</f>
        <v/>
      </c>
      <c r="X281">
        <f>TRIM(SUBSTITUTE(INDEX('Loans'!$C:$C,ROW())&amp;""," "," "))</f>
        <v/>
      </c>
      <c r="Y281">
        <f>IFERROR(--INDEX('Loans'!$D:$D,ROW()),0)</f>
        <v/>
      </c>
      <c r="Z281">
        <f>IFERROR(--INDEX('Loans'!$E:$E,ROW()),0)</f>
        <v/>
      </c>
      <c r="AA281">
        <f>IFERROR(--INDEX('Loans'!$F:$F,ROW()),0)</f>
        <v/>
      </c>
      <c r="AB281">
        <f>IFERROR(IF(--INDEX('Loans'!$G:$G,ROW())&gt;=1,--INDEX('Loans'!$G:$G,ROW())/100,--INDEX('Loans'!$G:$G,ROW())),0)</f>
        <v/>
      </c>
      <c r="AC281">
        <f>TRIM(SUBSTITUTE(INDEX('Loans'!$H:$H,ROW())&amp;""," "," "))</f>
        <v/>
      </c>
      <c r="AD281">
        <f>TRIM(SUBSTITUTE(INDEX('Loans'!$I:$I,ROW())&amp;""," "," "))</f>
        <v/>
      </c>
      <c r="AE281">
        <f>IFERROR(--INDEX('Loans'!$J:$J,ROW()),0)</f>
        <v/>
      </c>
      <c r="AF281">
        <f>TRIM(SUBSTITUTE(INDEX('Loans'!$K:$K,ROW())&amp;""," "," "))</f>
        <v/>
      </c>
      <c r="AG281">
        <f>IFERROR(--INDEX('Loans'!$L:$L,ROW()),0)</f>
        <v/>
      </c>
      <c r="AH281">
        <f>IF(ISNUMBER(INDEX('Loans'!$G:$G,ROW())),1,0)</f>
        <v/>
      </c>
    </row>
    <row r="282">
      <c r="A282">
        <f>TRIM(SUBSTITUTE(INDEX('Term investments'!$A:$A,ROW())&amp;""," "," "))</f>
        <v/>
      </c>
      <c r="B282">
        <f>TRIM(SUBSTITUTE(INDEX('Term investments'!$B:$B,ROW())&amp;""," "," "))</f>
        <v/>
      </c>
      <c r="C282">
        <f>TRIM(SUBSTITUTE(INDEX('Term investments'!$C:$C,ROW())&amp;""," "," "))</f>
        <v/>
      </c>
      <c r="D282">
        <f>IFERROR(--INDEX('Term investments'!$D:$D,ROW()),0)</f>
        <v/>
      </c>
      <c r="E282">
        <f>IFERROR(--INDEX('Term investments'!$E:$E,ROW()),0)</f>
        <v/>
      </c>
      <c r="F282">
        <f>IFERROR(--INDEX('Term investments'!$F:$F,ROW()),0)</f>
        <v/>
      </c>
      <c r="G282">
        <f>IFERROR(IF(--INDEX('Term investments'!$G:$G,ROW())&gt;=1,--INDEX('Term investments'!$G:$G,ROW())/100,--INDEX('Term investments'!$G:$G,ROW())),0)</f>
        <v/>
      </c>
      <c r="H282">
        <f>IFERROR(--INDEX('Term investments'!$H:$H,ROW()),0)</f>
        <v/>
      </c>
      <c r="I282">
        <f>IF(ISNUMBER(INDEX('Term investments'!$G:$G,ROW())),1,0)</f>
        <v/>
      </c>
      <c r="J282">
        <f>TRIM(SUBSTITUTE(INDEX('Call accounts and MMFs'!$A:$A,ROW())&amp;""," "," "))</f>
        <v/>
      </c>
      <c r="K282">
        <f>TRIM(SUBSTITUTE(INDEX('Call accounts and MMFs'!$B:$B,ROW())&amp;""," "," "))</f>
        <v/>
      </c>
      <c r="L282">
        <f>TRIM(SUBSTITUTE(INDEX('Call accounts and MMFs'!$C:$C,ROW())&amp;""," "," "))</f>
        <v/>
      </c>
      <c r="M282">
        <f>IFERROR(--INDEX('Call accounts and MMFs'!$D:$D,ROW()),0)</f>
        <v/>
      </c>
      <c r="N282">
        <f>IFERROR(IF(--INDEX('Call accounts and MMFs'!$E:$E,ROW())&gt;=1,--INDEX('Call accounts and MMFs'!$E:$E,ROW())/100,--INDEX('Call accounts and MMFs'!$E:$E,ROW())),0)</f>
        <v/>
      </c>
      <c r="O282">
        <f>IFERROR(--INDEX('Call accounts and MMFs'!$F:$F,ROW()),0)</f>
        <v/>
      </c>
      <c r="P282">
        <f>IF(ISNUMBER(INDEX('Call accounts and MMFs'!$E:$E,ROW())),1,0)</f>
        <v/>
      </c>
      <c r="Q282">
        <f>TRIM(SUBSTITUTE(INDEX('Pooled funds'!$B:$B,ROW())&amp;""," "," "))</f>
        <v/>
      </c>
      <c r="R282">
        <f>IFERROR(--INDEX('Pooled funds'!$C:$C,ROW()),0)</f>
        <v/>
      </c>
      <c r="S282">
        <f>IFERROR(--INDEX('Pooled funds'!$D:$D,ROW()),0)</f>
        <v/>
      </c>
      <c r="T282">
        <f>IFERROR(IF(--INDEX('Pooled funds'!$E:$E,ROW())&gt;=1,--INDEX('Pooled funds'!$E:$E,ROW())/100,--INDEX('Pooled funds'!$E:$E,ROW())),0)</f>
        <v/>
      </c>
      <c r="U282">
        <f>IF(ISNUMBER(INDEX('Pooled funds'!$E:$E,ROW())),1,0)</f>
        <v/>
      </c>
      <c r="V282">
        <f>TRIM(SUBSTITUTE(INDEX('Loans'!$A:$A,ROW())&amp;""," "," "))</f>
        <v/>
      </c>
      <c r="W282">
        <f>TRIM(SUBSTITUTE(INDEX('Loans'!$B:$B,ROW())&amp;""," "," "))</f>
        <v/>
      </c>
      <c r="X282">
        <f>TRIM(SUBSTITUTE(INDEX('Loans'!$C:$C,ROW())&amp;""," "," "))</f>
        <v/>
      </c>
      <c r="Y282">
        <f>IFERROR(--INDEX('Loans'!$D:$D,ROW()),0)</f>
        <v/>
      </c>
      <c r="Z282">
        <f>IFERROR(--INDEX('Loans'!$E:$E,ROW()),0)</f>
        <v/>
      </c>
      <c r="AA282">
        <f>IFERROR(--INDEX('Loans'!$F:$F,ROW()),0)</f>
        <v/>
      </c>
      <c r="AB282">
        <f>IFERROR(IF(--INDEX('Loans'!$G:$G,ROW())&gt;=1,--INDEX('Loans'!$G:$G,ROW())/100,--INDEX('Loans'!$G:$G,ROW())),0)</f>
        <v/>
      </c>
      <c r="AC282">
        <f>TRIM(SUBSTITUTE(INDEX('Loans'!$H:$H,ROW())&amp;""," "," "))</f>
        <v/>
      </c>
      <c r="AD282">
        <f>TRIM(SUBSTITUTE(INDEX('Loans'!$I:$I,ROW())&amp;""," "," "))</f>
        <v/>
      </c>
      <c r="AE282">
        <f>IFERROR(--INDEX('Loans'!$J:$J,ROW()),0)</f>
        <v/>
      </c>
      <c r="AF282">
        <f>TRIM(SUBSTITUTE(INDEX('Loans'!$K:$K,ROW())&amp;""," "," "))</f>
        <v/>
      </c>
      <c r="AG282">
        <f>IFERROR(--INDEX('Loans'!$L:$L,ROW()),0)</f>
        <v/>
      </c>
      <c r="AH282">
        <f>IF(ISNUMBER(INDEX('Loans'!$G:$G,ROW())),1,0)</f>
        <v/>
      </c>
    </row>
    <row r="283">
      <c r="A283">
        <f>TRIM(SUBSTITUTE(INDEX('Term investments'!$A:$A,ROW())&amp;""," "," "))</f>
        <v/>
      </c>
      <c r="B283">
        <f>TRIM(SUBSTITUTE(INDEX('Term investments'!$B:$B,ROW())&amp;""," "," "))</f>
        <v/>
      </c>
      <c r="C283">
        <f>TRIM(SUBSTITUTE(INDEX('Term investments'!$C:$C,ROW())&amp;""," "," "))</f>
        <v/>
      </c>
      <c r="D283">
        <f>IFERROR(--INDEX('Term investments'!$D:$D,ROW()),0)</f>
        <v/>
      </c>
      <c r="E283">
        <f>IFERROR(--INDEX('Term investments'!$E:$E,ROW()),0)</f>
        <v/>
      </c>
      <c r="F283">
        <f>IFERROR(--INDEX('Term investments'!$F:$F,ROW()),0)</f>
        <v/>
      </c>
      <c r="G283">
        <f>IFERROR(IF(--INDEX('Term investments'!$G:$G,ROW())&gt;=1,--INDEX('Term investments'!$G:$G,ROW())/100,--INDEX('Term investments'!$G:$G,ROW())),0)</f>
        <v/>
      </c>
      <c r="H283">
        <f>IFERROR(--INDEX('Term investments'!$H:$H,ROW()),0)</f>
        <v/>
      </c>
      <c r="I283">
        <f>IF(ISNUMBER(INDEX('Term investments'!$G:$G,ROW())),1,0)</f>
        <v/>
      </c>
      <c r="J283">
        <f>TRIM(SUBSTITUTE(INDEX('Call accounts and MMFs'!$A:$A,ROW())&amp;""," "," "))</f>
        <v/>
      </c>
      <c r="K283">
        <f>TRIM(SUBSTITUTE(INDEX('Call accounts and MMFs'!$B:$B,ROW())&amp;""," "," "))</f>
        <v/>
      </c>
      <c r="L283">
        <f>TRIM(SUBSTITUTE(INDEX('Call accounts and MMFs'!$C:$C,ROW())&amp;""," "," "))</f>
        <v/>
      </c>
      <c r="M283">
        <f>IFERROR(--INDEX('Call accounts and MMFs'!$D:$D,ROW()),0)</f>
        <v/>
      </c>
      <c r="N283">
        <f>IFERROR(IF(--INDEX('Call accounts and MMFs'!$E:$E,ROW())&gt;=1,--INDEX('Call accounts and MMFs'!$E:$E,ROW())/100,--INDEX('Call accounts and MMFs'!$E:$E,ROW())),0)</f>
        <v/>
      </c>
      <c r="O283">
        <f>IFERROR(--INDEX('Call accounts and MMFs'!$F:$F,ROW()),0)</f>
        <v/>
      </c>
      <c r="P283">
        <f>IF(ISNUMBER(INDEX('Call accounts and MMFs'!$E:$E,ROW())),1,0)</f>
        <v/>
      </c>
      <c r="Q283">
        <f>TRIM(SUBSTITUTE(INDEX('Pooled funds'!$B:$B,ROW())&amp;""," "," "))</f>
        <v/>
      </c>
      <c r="R283">
        <f>IFERROR(--INDEX('Pooled funds'!$C:$C,ROW()),0)</f>
        <v/>
      </c>
      <c r="S283">
        <f>IFERROR(--INDEX('Pooled funds'!$D:$D,ROW()),0)</f>
        <v/>
      </c>
      <c r="T283">
        <f>IFERROR(IF(--INDEX('Pooled funds'!$E:$E,ROW())&gt;=1,--INDEX('Pooled funds'!$E:$E,ROW())/100,--INDEX('Pooled funds'!$E:$E,ROW())),0)</f>
        <v/>
      </c>
      <c r="U283">
        <f>IF(ISNUMBER(INDEX('Pooled funds'!$E:$E,ROW())),1,0)</f>
        <v/>
      </c>
      <c r="V283">
        <f>TRIM(SUBSTITUTE(INDEX('Loans'!$A:$A,ROW())&amp;""," "," "))</f>
        <v/>
      </c>
      <c r="W283">
        <f>TRIM(SUBSTITUTE(INDEX('Loans'!$B:$B,ROW())&amp;""," "," "))</f>
        <v/>
      </c>
      <c r="X283">
        <f>TRIM(SUBSTITUTE(INDEX('Loans'!$C:$C,ROW())&amp;""," "," "))</f>
        <v/>
      </c>
      <c r="Y283">
        <f>IFERROR(--INDEX('Loans'!$D:$D,ROW()),0)</f>
        <v/>
      </c>
      <c r="Z283">
        <f>IFERROR(--INDEX('Loans'!$E:$E,ROW()),0)</f>
        <v/>
      </c>
      <c r="AA283">
        <f>IFERROR(--INDEX('Loans'!$F:$F,ROW()),0)</f>
        <v/>
      </c>
      <c r="AB283">
        <f>IFERROR(IF(--INDEX('Loans'!$G:$G,ROW())&gt;=1,--INDEX('Loans'!$G:$G,ROW())/100,--INDEX('Loans'!$G:$G,ROW())),0)</f>
        <v/>
      </c>
      <c r="AC283">
        <f>TRIM(SUBSTITUTE(INDEX('Loans'!$H:$H,ROW())&amp;""," "," "))</f>
        <v/>
      </c>
      <c r="AD283">
        <f>TRIM(SUBSTITUTE(INDEX('Loans'!$I:$I,ROW())&amp;""," "," "))</f>
        <v/>
      </c>
      <c r="AE283">
        <f>IFERROR(--INDEX('Loans'!$J:$J,ROW()),0)</f>
        <v/>
      </c>
      <c r="AF283">
        <f>TRIM(SUBSTITUTE(INDEX('Loans'!$K:$K,ROW())&amp;""," "," "))</f>
        <v/>
      </c>
      <c r="AG283">
        <f>IFERROR(--INDEX('Loans'!$L:$L,ROW()),0)</f>
        <v/>
      </c>
      <c r="AH283">
        <f>IF(ISNUMBER(INDEX('Loans'!$G:$G,ROW())),1,0)</f>
        <v/>
      </c>
    </row>
    <row r="284">
      <c r="A284">
        <f>TRIM(SUBSTITUTE(INDEX('Term investments'!$A:$A,ROW())&amp;""," "," "))</f>
        <v/>
      </c>
      <c r="B284">
        <f>TRIM(SUBSTITUTE(INDEX('Term investments'!$B:$B,ROW())&amp;""," "," "))</f>
        <v/>
      </c>
      <c r="C284">
        <f>TRIM(SUBSTITUTE(INDEX('Term investments'!$C:$C,ROW())&amp;""," "," "))</f>
        <v/>
      </c>
      <c r="D284">
        <f>IFERROR(--INDEX('Term investments'!$D:$D,ROW()),0)</f>
        <v/>
      </c>
      <c r="E284">
        <f>IFERROR(--INDEX('Term investments'!$E:$E,ROW()),0)</f>
        <v/>
      </c>
      <c r="F284">
        <f>IFERROR(--INDEX('Term investments'!$F:$F,ROW()),0)</f>
        <v/>
      </c>
      <c r="G284">
        <f>IFERROR(IF(--INDEX('Term investments'!$G:$G,ROW())&gt;=1,--INDEX('Term investments'!$G:$G,ROW())/100,--INDEX('Term investments'!$G:$G,ROW())),0)</f>
        <v/>
      </c>
      <c r="H284">
        <f>IFERROR(--INDEX('Term investments'!$H:$H,ROW()),0)</f>
        <v/>
      </c>
      <c r="I284">
        <f>IF(ISNUMBER(INDEX('Term investments'!$G:$G,ROW())),1,0)</f>
        <v/>
      </c>
      <c r="J284">
        <f>TRIM(SUBSTITUTE(INDEX('Call accounts and MMFs'!$A:$A,ROW())&amp;""," "," "))</f>
        <v/>
      </c>
      <c r="K284">
        <f>TRIM(SUBSTITUTE(INDEX('Call accounts and MMFs'!$B:$B,ROW())&amp;""," "," "))</f>
        <v/>
      </c>
      <c r="L284">
        <f>TRIM(SUBSTITUTE(INDEX('Call accounts and MMFs'!$C:$C,ROW())&amp;""," "," "))</f>
        <v/>
      </c>
      <c r="M284">
        <f>IFERROR(--INDEX('Call accounts and MMFs'!$D:$D,ROW()),0)</f>
        <v/>
      </c>
      <c r="N284">
        <f>IFERROR(IF(--INDEX('Call accounts and MMFs'!$E:$E,ROW())&gt;=1,--INDEX('Call accounts and MMFs'!$E:$E,ROW())/100,--INDEX('Call accounts and MMFs'!$E:$E,ROW())),0)</f>
        <v/>
      </c>
      <c r="O284">
        <f>IFERROR(--INDEX('Call accounts and MMFs'!$F:$F,ROW()),0)</f>
        <v/>
      </c>
      <c r="P284">
        <f>IF(ISNUMBER(INDEX('Call accounts and MMFs'!$E:$E,ROW())),1,0)</f>
        <v/>
      </c>
      <c r="Q284">
        <f>TRIM(SUBSTITUTE(INDEX('Pooled funds'!$B:$B,ROW())&amp;""," "," "))</f>
        <v/>
      </c>
      <c r="R284">
        <f>IFERROR(--INDEX('Pooled funds'!$C:$C,ROW()),0)</f>
        <v/>
      </c>
      <c r="S284">
        <f>IFERROR(--INDEX('Pooled funds'!$D:$D,ROW()),0)</f>
        <v/>
      </c>
      <c r="T284">
        <f>IFERROR(IF(--INDEX('Pooled funds'!$E:$E,ROW())&gt;=1,--INDEX('Pooled funds'!$E:$E,ROW())/100,--INDEX('Pooled funds'!$E:$E,ROW())),0)</f>
        <v/>
      </c>
      <c r="U284">
        <f>IF(ISNUMBER(INDEX('Pooled funds'!$E:$E,ROW())),1,0)</f>
        <v/>
      </c>
      <c r="V284">
        <f>TRIM(SUBSTITUTE(INDEX('Loans'!$A:$A,ROW())&amp;""," "," "))</f>
        <v/>
      </c>
      <c r="W284">
        <f>TRIM(SUBSTITUTE(INDEX('Loans'!$B:$B,ROW())&amp;""," "," "))</f>
        <v/>
      </c>
      <c r="X284">
        <f>TRIM(SUBSTITUTE(INDEX('Loans'!$C:$C,ROW())&amp;""," "," "))</f>
        <v/>
      </c>
      <c r="Y284">
        <f>IFERROR(--INDEX('Loans'!$D:$D,ROW()),0)</f>
        <v/>
      </c>
      <c r="Z284">
        <f>IFERROR(--INDEX('Loans'!$E:$E,ROW()),0)</f>
        <v/>
      </c>
      <c r="AA284">
        <f>IFERROR(--INDEX('Loans'!$F:$F,ROW()),0)</f>
        <v/>
      </c>
      <c r="AB284">
        <f>IFERROR(IF(--INDEX('Loans'!$G:$G,ROW())&gt;=1,--INDEX('Loans'!$G:$G,ROW())/100,--INDEX('Loans'!$G:$G,ROW())),0)</f>
        <v/>
      </c>
      <c r="AC284">
        <f>TRIM(SUBSTITUTE(INDEX('Loans'!$H:$H,ROW())&amp;""," "," "))</f>
        <v/>
      </c>
      <c r="AD284">
        <f>TRIM(SUBSTITUTE(INDEX('Loans'!$I:$I,ROW())&amp;""," "," "))</f>
        <v/>
      </c>
      <c r="AE284">
        <f>IFERROR(--INDEX('Loans'!$J:$J,ROW()),0)</f>
        <v/>
      </c>
      <c r="AF284">
        <f>TRIM(SUBSTITUTE(INDEX('Loans'!$K:$K,ROW())&amp;""," "," "))</f>
        <v/>
      </c>
      <c r="AG284">
        <f>IFERROR(--INDEX('Loans'!$L:$L,ROW()),0)</f>
        <v/>
      </c>
      <c r="AH284">
        <f>IF(ISNUMBER(INDEX('Loans'!$G:$G,ROW())),1,0)</f>
        <v/>
      </c>
    </row>
    <row r="285">
      <c r="A285">
        <f>TRIM(SUBSTITUTE(INDEX('Term investments'!$A:$A,ROW())&amp;""," "," "))</f>
        <v/>
      </c>
      <c r="B285">
        <f>TRIM(SUBSTITUTE(INDEX('Term investments'!$B:$B,ROW())&amp;""," "," "))</f>
        <v/>
      </c>
      <c r="C285">
        <f>TRIM(SUBSTITUTE(INDEX('Term investments'!$C:$C,ROW())&amp;""," "," "))</f>
        <v/>
      </c>
      <c r="D285">
        <f>IFERROR(--INDEX('Term investments'!$D:$D,ROW()),0)</f>
        <v/>
      </c>
      <c r="E285">
        <f>IFERROR(--INDEX('Term investments'!$E:$E,ROW()),0)</f>
        <v/>
      </c>
      <c r="F285">
        <f>IFERROR(--INDEX('Term investments'!$F:$F,ROW()),0)</f>
        <v/>
      </c>
      <c r="G285">
        <f>IFERROR(IF(--INDEX('Term investments'!$G:$G,ROW())&gt;=1,--INDEX('Term investments'!$G:$G,ROW())/100,--INDEX('Term investments'!$G:$G,ROW())),0)</f>
        <v/>
      </c>
      <c r="H285">
        <f>IFERROR(--INDEX('Term investments'!$H:$H,ROW()),0)</f>
        <v/>
      </c>
      <c r="I285">
        <f>IF(ISNUMBER(INDEX('Term investments'!$G:$G,ROW())),1,0)</f>
        <v/>
      </c>
      <c r="J285">
        <f>TRIM(SUBSTITUTE(INDEX('Call accounts and MMFs'!$A:$A,ROW())&amp;""," "," "))</f>
        <v/>
      </c>
      <c r="K285">
        <f>TRIM(SUBSTITUTE(INDEX('Call accounts and MMFs'!$B:$B,ROW())&amp;""," "," "))</f>
        <v/>
      </c>
      <c r="L285">
        <f>TRIM(SUBSTITUTE(INDEX('Call accounts and MMFs'!$C:$C,ROW())&amp;""," "," "))</f>
        <v/>
      </c>
      <c r="M285">
        <f>IFERROR(--INDEX('Call accounts and MMFs'!$D:$D,ROW()),0)</f>
        <v/>
      </c>
      <c r="N285">
        <f>IFERROR(IF(--INDEX('Call accounts and MMFs'!$E:$E,ROW())&gt;=1,--INDEX('Call accounts and MMFs'!$E:$E,ROW())/100,--INDEX('Call accounts and MMFs'!$E:$E,ROW())),0)</f>
        <v/>
      </c>
      <c r="O285">
        <f>IFERROR(--INDEX('Call accounts and MMFs'!$F:$F,ROW()),0)</f>
        <v/>
      </c>
      <c r="P285">
        <f>IF(ISNUMBER(INDEX('Call accounts and MMFs'!$E:$E,ROW())),1,0)</f>
        <v/>
      </c>
      <c r="Q285">
        <f>TRIM(SUBSTITUTE(INDEX('Pooled funds'!$B:$B,ROW())&amp;""," "," "))</f>
        <v/>
      </c>
      <c r="R285">
        <f>IFERROR(--INDEX('Pooled funds'!$C:$C,ROW()),0)</f>
        <v/>
      </c>
      <c r="S285">
        <f>IFERROR(--INDEX('Pooled funds'!$D:$D,ROW()),0)</f>
        <v/>
      </c>
      <c r="T285">
        <f>IFERROR(IF(--INDEX('Pooled funds'!$E:$E,ROW())&gt;=1,--INDEX('Pooled funds'!$E:$E,ROW())/100,--INDEX('Pooled funds'!$E:$E,ROW())),0)</f>
        <v/>
      </c>
      <c r="U285">
        <f>IF(ISNUMBER(INDEX('Pooled funds'!$E:$E,ROW())),1,0)</f>
        <v/>
      </c>
      <c r="V285">
        <f>TRIM(SUBSTITUTE(INDEX('Loans'!$A:$A,ROW())&amp;""," "," "))</f>
        <v/>
      </c>
      <c r="W285">
        <f>TRIM(SUBSTITUTE(INDEX('Loans'!$B:$B,ROW())&amp;""," "," "))</f>
        <v/>
      </c>
      <c r="X285">
        <f>TRIM(SUBSTITUTE(INDEX('Loans'!$C:$C,ROW())&amp;""," "," "))</f>
        <v/>
      </c>
      <c r="Y285">
        <f>IFERROR(--INDEX('Loans'!$D:$D,ROW()),0)</f>
        <v/>
      </c>
      <c r="Z285">
        <f>IFERROR(--INDEX('Loans'!$E:$E,ROW()),0)</f>
        <v/>
      </c>
      <c r="AA285">
        <f>IFERROR(--INDEX('Loans'!$F:$F,ROW()),0)</f>
        <v/>
      </c>
      <c r="AB285">
        <f>IFERROR(IF(--INDEX('Loans'!$G:$G,ROW())&gt;=1,--INDEX('Loans'!$G:$G,ROW())/100,--INDEX('Loans'!$G:$G,ROW())),0)</f>
        <v/>
      </c>
      <c r="AC285">
        <f>TRIM(SUBSTITUTE(INDEX('Loans'!$H:$H,ROW())&amp;""," "," "))</f>
        <v/>
      </c>
      <c r="AD285">
        <f>TRIM(SUBSTITUTE(INDEX('Loans'!$I:$I,ROW())&amp;""," "," "))</f>
        <v/>
      </c>
      <c r="AE285">
        <f>IFERROR(--INDEX('Loans'!$J:$J,ROW()),0)</f>
        <v/>
      </c>
      <c r="AF285">
        <f>TRIM(SUBSTITUTE(INDEX('Loans'!$K:$K,ROW())&amp;""," "," "))</f>
        <v/>
      </c>
      <c r="AG285">
        <f>IFERROR(--INDEX('Loans'!$L:$L,ROW()),0)</f>
        <v/>
      </c>
      <c r="AH285">
        <f>IF(ISNUMBER(INDEX('Loans'!$G:$G,ROW())),1,0)</f>
        <v/>
      </c>
    </row>
    <row r="286">
      <c r="A286">
        <f>TRIM(SUBSTITUTE(INDEX('Term investments'!$A:$A,ROW())&amp;""," "," "))</f>
        <v/>
      </c>
      <c r="B286">
        <f>TRIM(SUBSTITUTE(INDEX('Term investments'!$B:$B,ROW())&amp;""," "," "))</f>
        <v/>
      </c>
      <c r="C286">
        <f>TRIM(SUBSTITUTE(INDEX('Term investments'!$C:$C,ROW())&amp;""," "," "))</f>
        <v/>
      </c>
      <c r="D286">
        <f>IFERROR(--INDEX('Term investments'!$D:$D,ROW()),0)</f>
        <v/>
      </c>
      <c r="E286">
        <f>IFERROR(--INDEX('Term investments'!$E:$E,ROW()),0)</f>
        <v/>
      </c>
      <c r="F286">
        <f>IFERROR(--INDEX('Term investments'!$F:$F,ROW()),0)</f>
        <v/>
      </c>
      <c r="G286">
        <f>IFERROR(IF(--INDEX('Term investments'!$G:$G,ROW())&gt;=1,--INDEX('Term investments'!$G:$G,ROW())/100,--INDEX('Term investments'!$G:$G,ROW())),0)</f>
        <v/>
      </c>
      <c r="H286">
        <f>IFERROR(--INDEX('Term investments'!$H:$H,ROW()),0)</f>
        <v/>
      </c>
      <c r="I286">
        <f>IF(ISNUMBER(INDEX('Term investments'!$G:$G,ROW())),1,0)</f>
        <v/>
      </c>
      <c r="J286">
        <f>TRIM(SUBSTITUTE(INDEX('Call accounts and MMFs'!$A:$A,ROW())&amp;""," "," "))</f>
        <v/>
      </c>
      <c r="K286">
        <f>TRIM(SUBSTITUTE(INDEX('Call accounts and MMFs'!$B:$B,ROW())&amp;""," "," "))</f>
        <v/>
      </c>
      <c r="L286">
        <f>TRIM(SUBSTITUTE(INDEX('Call accounts and MMFs'!$C:$C,ROW())&amp;""," "," "))</f>
        <v/>
      </c>
      <c r="M286">
        <f>IFERROR(--INDEX('Call accounts and MMFs'!$D:$D,ROW()),0)</f>
        <v/>
      </c>
      <c r="N286">
        <f>IFERROR(IF(--INDEX('Call accounts and MMFs'!$E:$E,ROW())&gt;=1,--INDEX('Call accounts and MMFs'!$E:$E,ROW())/100,--INDEX('Call accounts and MMFs'!$E:$E,ROW())),0)</f>
        <v/>
      </c>
      <c r="O286">
        <f>IFERROR(--INDEX('Call accounts and MMFs'!$F:$F,ROW()),0)</f>
        <v/>
      </c>
      <c r="P286">
        <f>IF(ISNUMBER(INDEX('Call accounts and MMFs'!$E:$E,ROW())),1,0)</f>
        <v/>
      </c>
      <c r="Q286">
        <f>TRIM(SUBSTITUTE(INDEX('Pooled funds'!$B:$B,ROW())&amp;""," "," "))</f>
        <v/>
      </c>
      <c r="R286">
        <f>IFERROR(--INDEX('Pooled funds'!$C:$C,ROW()),0)</f>
        <v/>
      </c>
      <c r="S286">
        <f>IFERROR(--INDEX('Pooled funds'!$D:$D,ROW()),0)</f>
        <v/>
      </c>
      <c r="T286">
        <f>IFERROR(IF(--INDEX('Pooled funds'!$E:$E,ROW())&gt;=1,--INDEX('Pooled funds'!$E:$E,ROW())/100,--INDEX('Pooled funds'!$E:$E,ROW())),0)</f>
        <v/>
      </c>
      <c r="U286">
        <f>IF(ISNUMBER(INDEX('Pooled funds'!$E:$E,ROW())),1,0)</f>
        <v/>
      </c>
      <c r="V286">
        <f>TRIM(SUBSTITUTE(INDEX('Loans'!$A:$A,ROW())&amp;""," "," "))</f>
        <v/>
      </c>
      <c r="W286">
        <f>TRIM(SUBSTITUTE(INDEX('Loans'!$B:$B,ROW())&amp;""," "," "))</f>
        <v/>
      </c>
      <c r="X286">
        <f>TRIM(SUBSTITUTE(INDEX('Loans'!$C:$C,ROW())&amp;""," "," "))</f>
        <v/>
      </c>
      <c r="Y286">
        <f>IFERROR(--INDEX('Loans'!$D:$D,ROW()),0)</f>
        <v/>
      </c>
      <c r="Z286">
        <f>IFERROR(--INDEX('Loans'!$E:$E,ROW()),0)</f>
        <v/>
      </c>
      <c r="AA286">
        <f>IFERROR(--INDEX('Loans'!$F:$F,ROW()),0)</f>
        <v/>
      </c>
      <c r="AB286">
        <f>IFERROR(IF(--INDEX('Loans'!$G:$G,ROW())&gt;=1,--INDEX('Loans'!$G:$G,ROW())/100,--INDEX('Loans'!$G:$G,ROW())),0)</f>
        <v/>
      </c>
      <c r="AC286">
        <f>TRIM(SUBSTITUTE(INDEX('Loans'!$H:$H,ROW())&amp;""," "," "))</f>
        <v/>
      </c>
      <c r="AD286">
        <f>TRIM(SUBSTITUTE(INDEX('Loans'!$I:$I,ROW())&amp;""," "," "))</f>
        <v/>
      </c>
      <c r="AE286">
        <f>IFERROR(--INDEX('Loans'!$J:$J,ROW()),0)</f>
        <v/>
      </c>
      <c r="AF286">
        <f>TRIM(SUBSTITUTE(INDEX('Loans'!$K:$K,ROW())&amp;""," "," "))</f>
        <v/>
      </c>
      <c r="AG286">
        <f>IFERROR(--INDEX('Loans'!$L:$L,ROW()),0)</f>
        <v/>
      </c>
      <c r="AH286">
        <f>IF(ISNUMBER(INDEX('Loans'!$G:$G,ROW())),1,0)</f>
        <v/>
      </c>
    </row>
    <row r="287">
      <c r="A287">
        <f>TRIM(SUBSTITUTE(INDEX('Term investments'!$A:$A,ROW())&amp;""," "," "))</f>
        <v/>
      </c>
      <c r="B287">
        <f>TRIM(SUBSTITUTE(INDEX('Term investments'!$B:$B,ROW())&amp;""," "," "))</f>
        <v/>
      </c>
      <c r="C287">
        <f>TRIM(SUBSTITUTE(INDEX('Term investments'!$C:$C,ROW())&amp;""," "," "))</f>
        <v/>
      </c>
      <c r="D287">
        <f>IFERROR(--INDEX('Term investments'!$D:$D,ROW()),0)</f>
        <v/>
      </c>
      <c r="E287">
        <f>IFERROR(--INDEX('Term investments'!$E:$E,ROW()),0)</f>
        <v/>
      </c>
      <c r="F287">
        <f>IFERROR(--INDEX('Term investments'!$F:$F,ROW()),0)</f>
        <v/>
      </c>
      <c r="G287">
        <f>IFERROR(IF(--INDEX('Term investments'!$G:$G,ROW())&gt;=1,--INDEX('Term investments'!$G:$G,ROW())/100,--INDEX('Term investments'!$G:$G,ROW())),0)</f>
        <v/>
      </c>
      <c r="H287">
        <f>IFERROR(--INDEX('Term investments'!$H:$H,ROW()),0)</f>
        <v/>
      </c>
      <c r="I287">
        <f>IF(ISNUMBER(INDEX('Term investments'!$G:$G,ROW())),1,0)</f>
        <v/>
      </c>
      <c r="J287">
        <f>TRIM(SUBSTITUTE(INDEX('Call accounts and MMFs'!$A:$A,ROW())&amp;""," "," "))</f>
        <v/>
      </c>
      <c r="K287">
        <f>TRIM(SUBSTITUTE(INDEX('Call accounts and MMFs'!$B:$B,ROW())&amp;""," "," "))</f>
        <v/>
      </c>
      <c r="L287">
        <f>TRIM(SUBSTITUTE(INDEX('Call accounts and MMFs'!$C:$C,ROW())&amp;""," "," "))</f>
        <v/>
      </c>
      <c r="M287">
        <f>IFERROR(--INDEX('Call accounts and MMFs'!$D:$D,ROW()),0)</f>
        <v/>
      </c>
      <c r="N287">
        <f>IFERROR(IF(--INDEX('Call accounts and MMFs'!$E:$E,ROW())&gt;=1,--INDEX('Call accounts and MMFs'!$E:$E,ROW())/100,--INDEX('Call accounts and MMFs'!$E:$E,ROW())),0)</f>
        <v/>
      </c>
      <c r="O287">
        <f>IFERROR(--INDEX('Call accounts and MMFs'!$F:$F,ROW()),0)</f>
        <v/>
      </c>
      <c r="P287">
        <f>IF(ISNUMBER(INDEX('Call accounts and MMFs'!$E:$E,ROW())),1,0)</f>
        <v/>
      </c>
      <c r="Q287">
        <f>TRIM(SUBSTITUTE(INDEX('Pooled funds'!$B:$B,ROW())&amp;""," "," "))</f>
        <v/>
      </c>
      <c r="R287">
        <f>IFERROR(--INDEX('Pooled funds'!$C:$C,ROW()),0)</f>
        <v/>
      </c>
      <c r="S287">
        <f>IFERROR(--INDEX('Pooled funds'!$D:$D,ROW()),0)</f>
        <v/>
      </c>
      <c r="T287">
        <f>IFERROR(IF(--INDEX('Pooled funds'!$E:$E,ROW())&gt;=1,--INDEX('Pooled funds'!$E:$E,ROW())/100,--INDEX('Pooled funds'!$E:$E,ROW())),0)</f>
        <v/>
      </c>
      <c r="U287">
        <f>IF(ISNUMBER(INDEX('Pooled funds'!$E:$E,ROW())),1,0)</f>
        <v/>
      </c>
      <c r="V287">
        <f>TRIM(SUBSTITUTE(INDEX('Loans'!$A:$A,ROW())&amp;""," "," "))</f>
        <v/>
      </c>
      <c r="W287">
        <f>TRIM(SUBSTITUTE(INDEX('Loans'!$B:$B,ROW())&amp;""," "," "))</f>
        <v/>
      </c>
      <c r="X287">
        <f>TRIM(SUBSTITUTE(INDEX('Loans'!$C:$C,ROW())&amp;""," "," "))</f>
        <v/>
      </c>
      <c r="Y287">
        <f>IFERROR(--INDEX('Loans'!$D:$D,ROW()),0)</f>
        <v/>
      </c>
      <c r="Z287">
        <f>IFERROR(--INDEX('Loans'!$E:$E,ROW()),0)</f>
        <v/>
      </c>
      <c r="AA287">
        <f>IFERROR(--INDEX('Loans'!$F:$F,ROW()),0)</f>
        <v/>
      </c>
      <c r="AB287">
        <f>IFERROR(IF(--INDEX('Loans'!$G:$G,ROW())&gt;=1,--INDEX('Loans'!$G:$G,ROW())/100,--INDEX('Loans'!$G:$G,ROW())),0)</f>
        <v/>
      </c>
      <c r="AC287">
        <f>TRIM(SUBSTITUTE(INDEX('Loans'!$H:$H,ROW())&amp;""," "," "))</f>
        <v/>
      </c>
      <c r="AD287">
        <f>TRIM(SUBSTITUTE(INDEX('Loans'!$I:$I,ROW())&amp;""," "," "))</f>
        <v/>
      </c>
      <c r="AE287">
        <f>IFERROR(--INDEX('Loans'!$J:$J,ROW()),0)</f>
        <v/>
      </c>
      <c r="AF287">
        <f>TRIM(SUBSTITUTE(INDEX('Loans'!$K:$K,ROW())&amp;""," "," "))</f>
        <v/>
      </c>
      <c r="AG287">
        <f>IFERROR(--INDEX('Loans'!$L:$L,ROW()),0)</f>
        <v/>
      </c>
      <c r="AH287">
        <f>IF(ISNUMBER(INDEX('Loans'!$G:$G,ROW())),1,0)</f>
        <v/>
      </c>
    </row>
    <row r="288">
      <c r="A288">
        <f>TRIM(SUBSTITUTE(INDEX('Term investments'!$A:$A,ROW())&amp;""," "," "))</f>
        <v/>
      </c>
      <c r="B288">
        <f>TRIM(SUBSTITUTE(INDEX('Term investments'!$B:$B,ROW())&amp;""," "," "))</f>
        <v/>
      </c>
      <c r="C288">
        <f>TRIM(SUBSTITUTE(INDEX('Term investments'!$C:$C,ROW())&amp;""," "," "))</f>
        <v/>
      </c>
      <c r="D288">
        <f>IFERROR(--INDEX('Term investments'!$D:$D,ROW()),0)</f>
        <v/>
      </c>
      <c r="E288">
        <f>IFERROR(--INDEX('Term investments'!$E:$E,ROW()),0)</f>
        <v/>
      </c>
      <c r="F288">
        <f>IFERROR(--INDEX('Term investments'!$F:$F,ROW()),0)</f>
        <v/>
      </c>
      <c r="G288">
        <f>IFERROR(IF(--INDEX('Term investments'!$G:$G,ROW())&gt;=1,--INDEX('Term investments'!$G:$G,ROW())/100,--INDEX('Term investments'!$G:$G,ROW())),0)</f>
        <v/>
      </c>
      <c r="H288">
        <f>IFERROR(--INDEX('Term investments'!$H:$H,ROW()),0)</f>
        <v/>
      </c>
      <c r="I288">
        <f>IF(ISNUMBER(INDEX('Term investments'!$G:$G,ROW())),1,0)</f>
        <v/>
      </c>
      <c r="J288">
        <f>TRIM(SUBSTITUTE(INDEX('Call accounts and MMFs'!$A:$A,ROW())&amp;""," "," "))</f>
        <v/>
      </c>
      <c r="K288">
        <f>TRIM(SUBSTITUTE(INDEX('Call accounts and MMFs'!$B:$B,ROW())&amp;""," "," "))</f>
        <v/>
      </c>
      <c r="L288">
        <f>TRIM(SUBSTITUTE(INDEX('Call accounts and MMFs'!$C:$C,ROW())&amp;""," "," "))</f>
        <v/>
      </c>
      <c r="M288">
        <f>IFERROR(--INDEX('Call accounts and MMFs'!$D:$D,ROW()),0)</f>
        <v/>
      </c>
      <c r="N288">
        <f>IFERROR(IF(--INDEX('Call accounts and MMFs'!$E:$E,ROW())&gt;=1,--INDEX('Call accounts and MMFs'!$E:$E,ROW())/100,--INDEX('Call accounts and MMFs'!$E:$E,ROW())),0)</f>
        <v/>
      </c>
      <c r="O288">
        <f>IFERROR(--INDEX('Call accounts and MMFs'!$F:$F,ROW()),0)</f>
        <v/>
      </c>
      <c r="P288">
        <f>IF(ISNUMBER(INDEX('Call accounts and MMFs'!$E:$E,ROW())),1,0)</f>
        <v/>
      </c>
      <c r="Q288">
        <f>TRIM(SUBSTITUTE(INDEX('Pooled funds'!$B:$B,ROW())&amp;""," "," "))</f>
        <v/>
      </c>
      <c r="R288">
        <f>IFERROR(--INDEX('Pooled funds'!$C:$C,ROW()),0)</f>
        <v/>
      </c>
      <c r="S288">
        <f>IFERROR(--INDEX('Pooled funds'!$D:$D,ROW()),0)</f>
        <v/>
      </c>
      <c r="T288">
        <f>IFERROR(IF(--INDEX('Pooled funds'!$E:$E,ROW())&gt;=1,--INDEX('Pooled funds'!$E:$E,ROW())/100,--INDEX('Pooled funds'!$E:$E,ROW())),0)</f>
        <v/>
      </c>
      <c r="U288">
        <f>IF(ISNUMBER(INDEX('Pooled funds'!$E:$E,ROW())),1,0)</f>
        <v/>
      </c>
      <c r="V288">
        <f>TRIM(SUBSTITUTE(INDEX('Loans'!$A:$A,ROW())&amp;""," "," "))</f>
        <v/>
      </c>
      <c r="W288">
        <f>TRIM(SUBSTITUTE(INDEX('Loans'!$B:$B,ROW())&amp;""," "," "))</f>
        <v/>
      </c>
      <c r="X288">
        <f>TRIM(SUBSTITUTE(INDEX('Loans'!$C:$C,ROW())&amp;""," "," "))</f>
        <v/>
      </c>
      <c r="Y288">
        <f>IFERROR(--INDEX('Loans'!$D:$D,ROW()),0)</f>
        <v/>
      </c>
      <c r="Z288">
        <f>IFERROR(--INDEX('Loans'!$E:$E,ROW()),0)</f>
        <v/>
      </c>
      <c r="AA288">
        <f>IFERROR(--INDEX('Loans'!$F:$F,ROW()),0)</f>
        <v/>
      </c>
      <c r="AB288">
        <f>IFERROR(IF(--INDEX('Loans'!$G:$G,ROW())&gt;=1,--INDEX('Loans'!$G:$G,ROW())/100,--INDEX('Loans'!$G:$G,ROW())),0)</f>
        <v/>
      </c>
      <c r="AC288">
        <f>TRIM(SUBSTITUTE(INDEX('Loans'!$H:$H,ROW())&amp;""," "," "))</f>
        <v/>
      </c>
      <c r="AD288">
        <f>TRIM(SUBSTITUTE(INDEX('Loans'!$I:$I,ROW())&amp;""," "," "))</f>
        <v/>
      </c>
      <c r="AE288">
        <f>IFERROR(--INDEX('Loans'!$J:$J,ROW()),0)</f>
        <v/>
      </c>
      <c r="AF288">
        <f>TRIM(SUBSTITUTE(INDEX('Loans'!$K:$K,ROW())&amp;""," "," "))</f>
        <v/>
      </c>
      <c r="AG288">
        <f>IFERROR(--INDEX('Loans'!$L:$L,ROW()),0)</f>
        <v/>
      </c>
      <c r="AH288">
        <f>IF(ISNUMBER(INDEX('Loans'!$G:$G,ROW())),1,0)</f>
        <v/>
      </c>
    </row>
    <row r="289">
      <c r="A289">
        <f>TRIM(SUBSTITUTE(INDEX('Term investments'!$A:$A,ROW())&amp;""," "," "))</f>
        <v/>
      </c>
      <c r="B289">
        <f>TRIM(SUBSTITUTE(INDEX('Term investments'!$B:$B,ROW())&amp;""," "," "))</f>
        <v/>
      </c>
      <c r="C289">
        <f>TRIM(SUBSTITUTE(INDEX('Term investments'!$C:$C,ROW())&amp;""," "," "))</f>
        <v/>
      </c>
      <c r="D289">
        <f>IFERROR(--INDEX('Term investments'!$D:$D,ROW()),0)</f>
        <v/>
      </c>
      <c r="E289">
        <f>IFERROR(--INDEX('Term investments'!$E:$E,ROW()),0)</f>
        <v/>
      </c>
      <c r="F289">
        <f>IFERROR(--INDEX('Term investments'!$F:$F,ROW()),0)</f>
        <v/>
      </c>
      <c r="G289">
        <f>IFERROR(IF(--INDEX('Term investments'!$G:$G,ROW())&gt;=1,--INDEX('Term investments'!$G:$G,ROW())/100,--INDEX('Term investments'!$G:$G,ROW())),0)</f>
        <v/>
      </c>
      <c r="H289">
        <f>IFERROR(--INDEX('Term investments'!$H:$H,ROW()),0)</f>
        <v/>
      </c>
      <c r="I289">
        <f>IF(ISNUMBER(INDEX('Term investments'!$G:$G,ROW())),1,0)</f>
        <v/>
      </c>
      <c r="J289">
        <f>TRIM(SUBSTITUTE(INDEX('Call accounts and MMFs'!$A:$A,ROW())&amp;""," "," "))</f>
        <v/>
      </c>
      <c r="K289">
        <f>TRIM(SUBSTITUTE(INDEX('Call accounts and MMFs'!$B:$B,ROW())&amp;""," "," "))</f>
        <v/>
      </c>
      <c r="L289">
        <f>TRIM(SUBSTITUTE(INDEX('Call accounts and MMFs'!$C:$C,ROW())&amp;""," "," "))</f>
        <v/>
      </c>
      <c r="M289">
        <f>IFERROR(--INDEX('Call accounts and MMFs'!$D:$D,ROW()),0)</f>
        <v/>
      </c>
      <c r="N289">
        <f>IFERROR(IF(--INDEX('Call accounts and MMFs'!$E:$E,ROW())&gt;=1,--INDEX('Call accounts and MMFs'!$E:$E,ROW())/100,--INDEX('Call accounts and MMFs'!$E:$E,ROW())),0)</f>
        <v/>
      </c>
      <c r="O289">
        <f>IFERROR(--INDEX('Call accounts and MMFs'!$F:$F,ROW()),0)</f>
        <v/>
      </c>
      <c r="P289">
        <f>IF(ISNUMBER(INDEX('Call accounts and MMFs'!$E:$E,ROW())),1,0)</f>
        <v/>
      </c>
      <c r="Q289">
        <f>TRIM(SUBSTITUTE(INDEX('Pooled funds'!$B:$B,ROW())&amp;""," "," "))</f>
        <v/>
      </c>
      <c r="R289">
        <f>IFERROR(--INDEX('Pooled funds'!$C:$C,ROW()),0)</f>
        <v/>
      </c>
      <c r="S289">
        <f>IFERROR(--INDEX('Pooled funds'!$D:$D,ROW()),0)</f>
        <v/>
      </c>
      <c r="T289">
        <f>IFERROR(IF(--INDEX('Pooled funds'!$E:$E,ROW())&gt;=1,--INDEX('Pooled funds'!$E:$E,ROW())/100,--INDEX('Pooled funds'!$E:$E,ROW())),0)</f>
        <v/>
      </c>
      <c r="U289">
        <f>IF(ISNUMBER(INDEX('Pooled funds'!$E:$E,ROW())),1,0)</f>
        <v/>
      </c>
      <c r="V289">
        <f>TRIM(SUBSTITUTE(INDEX('Loans'!$A:$A,ROW())&amp;""," "," "))</f>
        <v/>
      </c>
      <c r="W289">
        <f>TRIM(SUBSTITUTE(INDEX('Loans'!$B:$B,ROW())&amp;""," "," "))</f>
        <v/>
      </c>
      <c r="X289">
        <f>TRIM(SUBSTITUTE(INDEX('Loans'!$C:$C,ROW())&amp;""," "," "))</f>
        <v/>
      </c>
      <c r="Y289">
        <f>IFERROR(--INDEX('Loans'!$D:$D,ROW()),0)</f>
        <v/>
      </c>
      <c r="Z289">
        <f>IFERROR(--INDEX('Loans'!$E:$E,ROW()),0)</f>
        <v/>
      </c>
      <c r="AA289">
        <f>IFERROR(--INDEX('Loans'!$F:$F,ROW()),0)</f>
        <v/>
      </c>
      <c r="AB289">
        <f>IFERROR(IF(--INDEX('Loans'!$G:$G,ROW())&gt;=1,--INDEX('Loans'!$G:$G,ROW())/100,--INDEX('Loans'!$G:$G,ROW())),0)</f>
        <v/>
      </c>
      <c r="AC289">
        <f>TRIM(SUBSTITUTE(INDEX('Loans'!$H:$H,ROW())&amp;""," "," "))</f>
        <v/>
      </c>
      <c r="AD289">
        <f>TRIM(SUBSTITUTE(INDEX('Loans'!$I:$I,ROW())&amp;""," "," "))</f>
        <v/>
      </c>
      <c r="AE289">
        <f>IFERROR(--INDEX('Loans'!$J:$J,ROW()),0)</f>
        <v/>
      </c>
      <c r="AF289">
        <f>TRIM(SUBSTITUTE(INDEX('Loans'!$K:$K,ROW())&amp;""," "," "))</f>
        <v/>
      </c>
      <c r="AG289">
        <f>IFERROR(--INDEX('Loans'!$L:$L,ROW()),0)</f>
        <v/>
      </c>
      <c r="AH289">
        <f>IF(ISNUMBER(INDEX('Loans'!$G:$G,ROW())),1,0)</f>
        <v/>
      </c>
    </row>
    <row r="290">
      <c r="A290">
        <f>TRIM(SUBSTITUTE(INDEX('Term investments'!$A:$A,ROW())&amp;""," "," "))</f>
        <v/>
      </c>
      <c r="B290">
        <f>TRIM(SUBSTITUTE(INDEX('Term investments'!$B:$B,ROW())&amp;""," "," "))</f>
        <v/>
      </c>
      <c r="C290">
        <f>TRIM(SUBSTITUTE(INDEX('Term investments'!$C:$C,ROW())&amp;""," "," "))</f>
        <v/>
      </c>
      <c r="D290">
        <f>IFERROR(--INDEX('Term investments'!$D:$D,ROW()),0)</f>
        <v/>
      </c>
      <c r="E290">
        <f>IFERROR(--INDEX('Term investments'!$E:$E,ROW()),0)</f>
        <v/>
      </c>
      <c r="F290">
        <f>IFERROR(--INDEX('Term investments'!$F:$F,ROW()),0)</f>
        <v/>
      </c>
      <c r="G290">
        <f>IFERROR(IF(--INDEX('Term investments'!$G:$G,ROW())&gt;=1,--INDEX('Term investments'!$G:$G,ROW())/100,--INDEX('Term investments'!$G:$G,ROW())),0)</f>
        <v/>
      </c>
      <c r="H290">
        <f>IFERROR(--INDEX('Term investments'!$H:$H,ROW()),0)</f>
        <v/>
      </c>
      <c r="I290">
        <f>IF(ISNUMBER(INDEX('Term investments'!$G:$G,ROW())),1,0)</f>
        <v/>
      </c>
      <c r="J290">
        <f>TRIM(SUBSTITUTE(INDEX('Call accounts and MMFs'!$A:$A,ROW())&amp;""," "," "))</f>
        <v/>
      </c>
      <c r="K290">
        <f>TRIM(SUBSTITUTE(INDEX('Call accounts and MMFs'!$B:$B,ROW())&amp;""," "," "))</f>
        <v/>
      </c>
      <c r="L290">
        <f>TRIM(SUBSTITUTE(INDEX('Call accounts and MMFs'!$C:$C,ROW())&amp;""," "," "))</f>
        <v/>
      </c>
      <c r="M290">
        <f>IFERROR(--INDEX('Call accounts and MMFs'!$D:$D,ROW()),0)</f>
        <v/>
      </c>
      <c r="N290">
        <f>IFERROR(IF(--INDEX('Call accounts and MMFs'!$E:$E,ROW())&gt;=1,--INDEX('Call accounts and MMFs'!$E:$E,ROW())/100,--INDEX('Call accounts and MMFs'!$E:$E,ROW())),0)</f>
        <v/>
      </c>
      <c r="O290">
        <f>IFERROR(--INDEX('Call accounts and MMFs'!$F:$F,ROW()),0)</f>
        <v/>
      </c>
      <c r="P290">
        <f>IF(ISNUMBER(INDEX('Call accounts and MMFs'!$E:$E,ROW())),1,0)</f>
        <v/>
      </c>
      <c r="Q290">
        <f>TRIM(SUBSTITUTE(INDEX('Pooled funds'!$B:$B,ROW())&amp;""," "," "))</f>
        <v/>
      </c>
      <c r="R290">
        <f>IFERROR(--INDEX('Pooled funds'!$C:$C,ROW()),0)</f>
        <v/>
      </c>
      <c r="S290">
        <f>IFERROR(--INDEX('Pooled funds'!$D:$D,ROW()),0)</f>
        <v/>
      </c>
      <c r="T290">
        <f>IFERROR(IF(--INDEX('Pooled funds'!$E:$E,ROW())&gt;=1,--INDEX('Pooled funds'!$E:$E,ROW())/100,--INDEX('Pooled funds'!$E:$E,ROW())),0)</f>
        <v/>
      </c>
      <c r="U290">
        <f>IF(ISNUMBER(INDEX('Pooled funds'!$E:$E,ROW())),1,0)</f>
        <v/>
      </c>
      <c r="V290">
        <f>TRIM(SUBSTITUTE(INDEX('Loans'!$A:$A,ROW())&amp;""," "," "))</f>
        <v/>
      </c>
      <c r="W290">
        <f>TRIM(SUBSTITUTE(INDEX('Loans'!$B:$B,ROW())&amp;""," "," "))</f>
        <v/>
      </c>
      <c r="X290">
        <f>TRIM(SUBSTITUTE(INDEX('Loans'!$C:$C,ROW())&amp;""," "," "))</f>
        <v/>
      </c>
      <c r="Y290">
        <f>IFERROR(--INDEX('Loans'!$D:$D,ROW()),0)</f>
        <v/>
      </c>
      <c r="Z290">
        <f>IFERROR(--INDEX('Loans'!$E:$E,ROW()),0)</f>
        <v/>
      </c>
      <c r="AA290">
        <f>IFERROR(--INDEX('Loans'!$F:$F,ROW()),0)</f>
        <v/>
      </c>
      <c r="AB290">
        <f>IFERROR(IF(--INDEX('Loans'!$G:$G,ROW())&gt;=1,--INDEX('Loans'!$G:$G,ROW())/100,--INDEX('Loans'!$G:$G,ROW())),0)</f>
        <v/>
      </c>
      <c r="AC290">
        <f>TRIM(SUBSTITUTE(INDEX('Loans'!$H:$H,ROW())&amp;""," "," "))</f>
        <v/>
      </c>
      <c r="AD290">
        <f>TRIM(SUBSTITUTE(INDEX('Loans'!$I:$I,ROW())&amp;""," "," "))</f>
        <v/>
      </c>
      <c r="AE290">
        <f>IFERROR(--INDEX('Loans'!$J:$J,ROW()),0)</f>
        <v/>
      </c>
      <c r="AF290">
        <f>TRIM(SUBSTITUTE(INDEX('Loans'!$K:$K,ROW())&amp;""," "," "))</f>
        <v/>
      </c>
      <c r="AG290">
        <f>IFERROR(--INDEX('Loans'!$L:$L,ROW()),0)</f>
        <v/>
      </c>
      <c r="AH290">
        <f>IF(ISNUMBER(INDEX('Loans'!$G:$G,ROW())),1,0)</f>
        <v/>
      </c>
    </row>
    <row r="291">
      <c r="A291">
        <f>TRIM(SUBSTITUTE(INDEX('Term investments'!$A:$A,ROW())&amp;""," "," "))</f>
        <v/>
      </c>
      <c r="B291">
        <f>TRIM(SUBSTITUTE(INDEX('Term investments'!$B:$B,ROW())&amp;""," "," "))</f>
        <v/>
      </c>
      <c r="C291">
        <f>TRIM(SUBSTITUTE(INDEX('Term investments'!$C:$C,ROW())&amp;""," "," "))</f>
        <v/>
      </c>
      <c r="D291">
        <f>IFERROR(--INDEX('Term investments'!$D:$D,ROW()),0)</f>
        <v/>
      </c>
      <c r="E291">
        <f>IFERROR(--INDEX('Term investments'!$E:$E,ROW()),0)</f>
        <v/>
      </c>
      <c r="F291">
        <f>IFERROR(--INDEX('Term investments'!$F:$F,ROW()),0)</f>
        <v/>
      </c>
      <c r="G291">
        <f>IFERROR(IF(--INDEX('Term investments'!$G:$G,ROW())&gt;=1,--INDEX('Term investments'!$G:$G,ROW())/100,--INDEX('Term investments'!$G:$G,ROW())),0)</f>
        <v/>
      </c>
      <c r="H291">
        <f>IFERROR(--INDEX('Term investments'!$H:$H,ROW()),0)</f>
        <v/>
      </c>
      <c r="I291">
        <f>IF(ISNUMBER(INDEX('Term investments'!$G:$G,ROW())),1,0)</f>
        <v/>
      </c>
      <c r="J291">
        <f>TRIM(SUBSTITUTE(INDEX('Call accounts and MMFs'!$A:$A,ROW())&amp;""," "," "))</f>
        <v/>
      </c>
      <c r="K291">
        <f>TRIM(SUBSTITUTE(INDEX('Call accounts and MMFs'!$B:$B,ROW())&amp;""," "," "))</f>
        <v/>
      </c>
      <c r="L291">
        <f>TRIM(SUBSTITUTE(INDEX('Call accounts and MMFs'!$C:$C,ROW())&amp;""," "," "))</f>
        <v/>
      </c>
      <c r="M291">
        <f>IFERROR(--INDEX('Call accounts and MMFs'!$D:$D,ROW()),0)</f>
        <v/>
      </c>
      <c r="N291">
        <f>IFERROR(IF(--INDEX('Call accounts and MMFs'!$E:$E,ROW())&gt;=1,--INDEX('Call accounts and MMFs'!$E:$E,ROW())/100,--INDEX('Call accounts and MMFs'!$E:$E,ROW())),0)</f>
        <v/>
      </c>
      <c r="O291">
        <f>IFERROR(--INDEX('Call accounts and MMFs'!$F:$F,ROW()),0)</f>
        <v/>
      </c>
      <c r="P291">
        <f>IF(ISNUMBER(INDEX('Call accounts and MMFs'!$E:$E,ROW())),1,0)</f>
        <v/>
      </c>
      <c r="Q291">
        <f>TRIM(SUBSTITUTE(INDEX('Pooled funds'!$B:$B,ROW())&amp;""," "," "))</f>
        <v/>
      </c>
      <c r="R291">
        <f>IFERROR(--INDEX('Pooled funds'!$C:$C,ROW()),0)</f>
        <v/>
      </c>
      <c r="S291">
        <f>IFERROR(--INDEX('Pooled funds'!$D:$D,ROW()),0)</f>
        <v/>
      </c>
      <c r="T291">
        <f>IFERROR(IF(--INDEX('Pooled funds'!$E:$E,ROW())&gt;=1,--INDEX('Pooled funds'!$E:$E,ROW())/100,--INDEX('Pooled funds'!$E:$E,ROW())),0)</f>
        <v/>
      </c>
      <c r="U291">
        <f>IF(ISNUMBER(INDEX('Pooled funds'!$E:$E,ROW())),1,0)</f>
        <v/>
      </c>
      <c r="V291">
        <f>TRIM(SUBSTITUTE(INDEX('Loans'!$A:$A,ROW())&amp;""," "," "))</f>
        <v/>
      </c>
      <c r="W291">
        <f>TRIM(SUBSTITUTE(INDEX('Loans'!$B:$B,ROW())&amp;""," "," "))</f>
        <v/>
      </c>
      <c r="X291">
        <f>TRIM(SUBSTITUTE(INDEX('Loans'!$C:$C,ROW())&amp;""," "," "))</f>
        <v/>
      </c>
      <c r="Y291">
        <f>IFERROR(--INDEX('Loans'!$D:$D,ROW()),0)</f>
        <v/>
      </c>
      <c r="Z291">
        <f>IFERROR(--INDEX('Loans'!$E:$E,ROW()),0)</f>
        <v/>
      </c>
      <c r="AA291">
        <f>IFERROR(--INDEX('Loans'!$F:$F,ROW()),0)</f>
        <v/>
      </c>
      <c r="AB291">
        <f>IFERROR(IF(--INDEX('Loans'!$G:$G,ROW())&gt;=1,--INDEX('Loans'!$G:$G,ROW())/100,--INDEX('Loans'!$G:$G,ROW())),0)</f>
        <v/>
      </c>
      <c r="AC291">
        <f>TRIM(SUBSTITUTE(INDEX('Loans'!$H:$H,ROW())&amp;""," "," "))</f>
        <v/>
      </c>
      <c r="AD291">
        <f>TRIM(SUBSTITUTE(INDEX('Loans'!$I:$I,ROW())&amp;""," "," "))</f>
        <v/>
      </c>
      <c r="AE291">
        <f>IFERROR(--INDEX('Loans'!$J:$J,ROW()),0)</f>
        <v/>
      </c>
      <c r="AF291">
        <f>TRIM(SUBSTITUTE(INDEX('Loans'!$K:$K,ROW())&amp;""," "," "))</f>
        <v/>
      </c>
      <c r="AG291">
        <f>IFERROR(--INDEX('Loans'!$L:$L,ROW()),0)</f>
        <v/>
      </c>
      <c r="AH291">
        <f>IF(ISNUMBER(INDEX('Loans'!$G:$G,ROW())),1,0)</f>
        <v/>
      </c>
    </row>
    <row r="292">
      <c r="A292">
        <f>TRIM(SUBSTITUTE(INDEX('Term investments'!$A:$A,ROW())&amp;""," "," "))</f>
        <v/>
      </c>
      <c r="B292">
        <f>TRIM(SUBSTITUTE(INDEX('Term investments'!$B:$B,ROW())&amp;""," "," "))</f>
        <v/>
      </c>
      <c r="C292">
        <f>TRIM(SUBSTITUTE(INDEX('Term investments'!$C:$C,ROW())&amp;""," "," "))</f>
        <v/>
      </c>
      <c r="D292">
        <f>IFERROR(--INDEX('Term investments'!$D:$D,ROW()),0)</f>
        <v/>
      </c>
      <c r="E292">
        <f>IFERROR(--INDEX('Term investments'!$E:$E,ROW()),0)</f>
        <v/>
      </c>
      <c r="F292">
        <f>IFERROR(--INDEX('Term investments'!$F:$F,ROW()),0)</f>
        <v/>
      </c>
      <c r="G292">
        <f>IFERROR(IF(--INDEX('Term investments'!$G:$G,ROW())&gt;=1,--INDEX('Term investments'!$G:$G,ROW())/100,--INDEX('Term investments'!$G:$G,ROW())),0)</f>
        <v/>
      </c>
      <c r="H292">
        <f>IFERROR(--INDEX('Term investments'!$H:$H,ROW()),0)</f>
        <v/>
      </c>
      <c r="I292">
        <f>IF(ISNUMBER(INDEX('Term investments'!$G:$G,ROW())),1,0)</f>
        <v/>
      </c>
      <c r="J292">
        <f>TRIM(SUBSTITUTE(INDEX('Call accounts and MMFs'!$A:$A,ROW())&amp;""," "," "))</f>
        <v/>
      </c>
      <c r="K292">
        <f>TRIM(SUBSTITUTE(INDEX('Call accounts and MMFs'!$B:$B,ROW())&amp;""," "," "))</f>
        <v/>
      </c>
      <c r="L292">
        <f>TRIM(SUBSTITUTE(INDEX('Call accounts and MMFs'!$C:$C,ROW())&amp;""," "," "))</f>
        <v/>
      </c>
      <c r="M292">
        <f>IFERROR(--INDEX('Call accounts and MMFs'!$D:$D,ROW()),0)</f>
        <v/>
      </c>
      <c r="N292">
        <f>IFERROR(IF(--INDEX('Call accounts and MMFs'!$E:$E,ROW())&gt;=1,--INDEX('Call accounts and MMFs'!$E:$E,ROW())/100,--INDEX('Call accounts and MMFs'!$E:$E,ROW())),0)</f>
        <v/>
      </c>
      <c r="O292">
        <f>IFERROR(--INDEX('Call accounts and MMFs'!$F:$F,ROW()),0)</f>
        <v/>
      </c>
      <c r="P292">
        <f>IF(ISNUMBER(INDEX('Call accounts and MMFs'!$E:$E,ROW())),1,0)</f>
        <v/>
      </c>
      <c r="Q292">
        <f>TRIM(SUBSTITUTE(INDEX('Pooled funds'!$B:$B,ROW())&amp;""," "," "))</f>
        <v/>
      </c>
      <c r="R292">
        <f>IFERROR(--INDEX('Pooled funds'!$C:$C,ROW()),0)</f>
        <v/>
      </c>
      <c r="S292">
        <f>IFERROR(--INDEX('Pooled funds'!$D:$D,ROW()),0)</f>
        <v/>
      </c>
      <c r="T292">
        <f>IFERROR(IF(--INDEX('Pooled funds'!$E:$E,ROW())&gt;=1,--INDEX('Pooled funds'!$E:$E,ROW())/100,--INDEX('Pooled funds'!$E:$E,ROW())),0)</f>
        <v/>
      </c>
      <c r="U292">
        <f>IF(ISNUMBER(INDEX('Pooled funds'!$E:$E,ROW())),1,0)</f>
        <v/>
      </c>
      <c r="V292">
        <f>TRIM(SUBSTITUTE(INDEX('Loans'!$A:$A,ROW())&amp;""," "," "))</f>
        <v/>
      </c>
      <c r="W292">
        <f>TRIM(SUBSTITUTE(INDEX('Loans'!$B:$B,ROW())&amp;""," "," "))</f>
        <v/>
      </c>
      <c r="X292">
        <f>TRIM(SUBSTITUTE(INDEX('Loans'!$C:$C,ROW())&amp;""," "," "))</f>
        <v/>
      </c>
      <c r="Y292">
        <f>IFERROR(--INDEX('Loans'!$D:$D,ROW()),0)</f>
        <v/>
      </c>
      <c r="Z292">
        <f>IFERROR(--INDEX('Loans'!$E:$E,ROW()),0)</f>
        <v/>
      </c>
      <c r="AA292">
        <f>IFERROR(--INDEX('Loans'!$F:$F,ROW()),0)</f>
        <v/>
      </c>
      <c r="AB292">
        <f>IFERROR(IF(--INDEX('Loans'!$G:$G,ROW())&gt;=1,--INDEX('Loans'!$G:$G,ROW())/100,--INDEX('Loans'!$G:$G,ROW())),0)</f>
        <v/>
      </c>
      <c r="AC292">
        <f>TRIM(SUBSTITUTE(INDEX('Loans'!$H:$H,ROW())&amp;""," "," "))</f>
        <v/>
      </c>
      <c r="AD292">
        <f>TRIM(SUBSTITUTE(INDEX('Loans'!$I:$I,ROW())&amp;""," "," "))</f>
        <v/>
      </c>
      <c r="AE292">
        <f>IFERROR(--INDEX('Loans'!$J:$J,ROW()),0)</f>
        <v/>
      </c>
      <c r="AF292">
        <f>TRIM(SUBSTITUTE(INDEX('Loans'!$K:$K,ROW())&amp;""," "," "))</f>
        <v/>
      </c>
      <c r="AG292">
        <f>IFERROR(--INDEX('Loans'!$L:$L,ROW()),0)</f>
        <v/>
      </c>
      <c r="AH292">
        <f>IF(ISNUMBER(INDEX('Loans'!$G:$G,ROW())),1,0)</f>
        <v/>
      </c>
    </row>
    <row r="293">
      <c r="A293">
        <f>TRIM(SUBSTITUTE(INDEX('Term investments'!$A:$A,ROW())&amp;""," "," "))</f>
        <v/>
      </c>
      <c r="B293">
        <f>TRIM(SUBSTITUTE(INDEX('Term investments'!$B:$B,ROW())&amp;""," "," "))</f>
        <v/>
      </c>
      <c r="C293">
        <f>TRIM(SUBSTITUTE(INDEX('Term investments'!$C:$C,ROW())&amp;""," "," "))</f>
        <v/>
      </c>
      <c r="D293">
        <f>IFERROR(--INDEX('Term investments'!$D:$D,ROW()),0)</f>
        <v/>
      </c>
      <c r="E293">
        <f>IFERROR(--INDEX('Term investments'!$E:$E,ROW()),0)</f>
        <v/>
      </c>
      <c r="F293">
        <f>IFERROR(--INDEX('Term investments'!$F:$F,ROW()),0)</f>
        <v/>
      </c>
      <c r="G293">
        <f>IFERROR(IF(--INDEX('Term investments'!$G:$G,ROW())&gt;=1,--INDEX('Term investments'!$G:$G,ROW())/100,--INDEX('Term investments'!$G:$G,ROW())),0)</f>
        <v/>
      </c>
      <c r="H293">
        <f>IFERROR(--INDEX('Term investments'!$H:$H,ROW()),0)</f>
        <v/>
      </c>
      <c r="I293">
        <f>IF(ISNUMBER(INDEX('Term investments'!$G:$G,ROW())),1,0)</f>
        <v/>
      </c>
      <c r="J293">
        <f>TRIM(SUBSTITUTE(INDEX('Call accounts and MMFs'!$A:$A,ROW())&amp;""," "," "))</f>
        <v/>
      </c>
      <c r="K293">
        <f>TRIM(SUBSTITUTE(INDEX('Call accounts and MMFs'!$B:$B,ROW())&amp;""," "," "))</f>
        <v/>
      </c>
      <c r="L293">
        <f>TRIM(SUBSTITUTE(INDEX('Call accounts and MMFs'!$C:$C,ROW())&amp;""," "," "))</f>
        <v/>
      </c>
      <c r="M293">
        <f>IFERROR(--INDEX('Call accounts and MMFs'!$D:$D,ROW()),0)</f>
        <v/>
      </c>
      <c r="N293">
        <f>IFERROR(IF(--INDEX('Call accounts and MMFs'!$E:$E,ROW())&gt;=1,--INDEX('Call accounts and MMFs'!$E:$E,ROW())/100,--INDEX('Call accounts and MMFs'!$E:$E,ROW())),0)</f>
        <v/>
      </c>
      <c r="O293">
        <f>IFERROR(--INDEX('Call accounts and MMFs'!$F:$F,ROW()),0)</f>
        <v/>
      </c>
      <c r="P293">
        <f>IF(ISNUMBER(INDEX('Call accounts and MMFs'!$E:$E,ROW())),1,0)</f>
        <v/>
      </c>
      <c r="Q293">
        <f>TRIM(SUBSTITUTE(INDEX('Pooled funds'!$B:$B,ROW())&amp;""," "," "))</f>
        <v/>
      </c>
      <c r="R293">
        <f>IFERROR(--INDEX('Pooled funds'!$C:$C,ROW()),0)</f>
        <v/>
      </c>
      <c r="S293">
        <f>IFERROR(--INDEX('Pooled funds'!$D:$D,ROW()),0)</f>
        <v/>
      </c>
      <c r="T293">
        <f>IFERROR(IF(--INDEX('Pooled funds'!$E:$E,ROW())&gt;=1,--INDEX('Pooled funds'!$E:$E,ROW())/100,--INDEX('Pooled funds'!$E:$E,ROW())),0)</f>
        <v/>
      </c>
      <c r="U293">
        <f>IF(ISNUMBER(INDEX('Pooled funds'!$E:$E,ROW())),1,0)</f>
        <v/>
      </c>
      <c r="V293">
        <f>TRIM(SUBSTITUTE(INDEX('Loans'!$A:$A,ROW())&amp;""," "," "))</f>
        <v/>
      </c>
      <c r="W293">
        <f>TRIM(SUBSTITUTE(INDEX('Loans'!$B:$B,ROW())&amp;""," "," "))</f>
        <v/>
      </c>
      <c r="X293">
        <f>TRIM(SUBSTITUTE(INDEX('Loans'!$C:$C,ROW())&amp;""," "," "))</f>
        <v/>
      </c>
      <c r="Y293">
        <f>IFERROR(--INDEX('Loans'!$D:$D,ROW()),0)</f>
        <v/>
      </c>
      <c r="Z293">
        <f>IFERROR(--INDEX('Loans'!$E:$E,ROW()),0)</f>
        <v/>
      </c>
      <c r="AA293">
        <f>IFERROR(--INDEX('Loans'!$F:$F,ROW()),0)</f>
        <v/>
      </c>
      <c r="AB293">
        <f>IFERROR(IF(--INDEX('Loans'!$G:$G,ROW())&gt;=1,--INDEX('Loans'!$G:$G,ROW())/100,--INDEX('Loans'!$G:$G,ROW())),0)</f>
        <v/>
      </c>
      <c r="AC293">
        <f>TRIM(SUBSTITUTE(INDEX('Loans'!$H:$H,ROW())&amp;""," "," "))</f>
        <v/>
      </c>
      <c r="AD293">
        <f>TRIM(SUBSTITUTE(INDEX('Loans'!$I:$I,ROW())&amp;""," "," "))</f>
        <v/>
      </c>
      <c r="AE293">
        <f>IFERROR(--INDEX('Loans'!$J:$J,ROW()),0)</f>
        <v/>
      </c>
      <c r="AF293">
        <f>TRIM(SUBSTITUTE(INDEX('Loans'!$K:$K,ROW())&amp;""," "," "))</f>
        <v/>
      </c>
      <c r="AG293">
        <f>IFERROR(--INDEX('Loans'!$L:$L,ROW()),0)</f>
        <v/>
      </c>
      <c r="AH293">
        <f>IF(ISNUMBER(INDEX('Loans'!$G:$G,ROW())),1,0)</f>
        <v/>
      </c>
    </row>
    <row r="294">
      <c r="A294">
        <f>TRIM(SUBSTITUTE(INDEX('Term investments'!$A:$A,ROW())&amp;""," "," "))</f>
        <v/>
      </c>
      <c r="B294">
        <f>TRIM(SUBSTITUTE(INDEX('Term investments'!$B:$B,ROW())&amp;""," "," "))</f>
        <v/>
      </c>
      <c r="C294">
        <f>TRIM(SUBSTITUTE(INDEX('Term investments'!$C:$C,ROW())&amp;""," "," "))</f>
        <v/>
      </c>
      <c r="D294">
        <f>IFERROR(--INDEX('Term investments'!$D:$D,ROW()),0)</f>
        <v/>
      </c>
      <c r="E294">
        <f>IFERROR(--INDEX('Term investments'!$E:$E,ROW()),0)</f>
        <v/>
      </c>
      <c r="F294">
        <f>IFERROR(--INDEX('Term investments'!$F:$F,ROW()),0)</f>
        <v/>
      </c>
      <c r="G294">
        <f>IFERROR(IF(--INDEX('Term investments'!$G:$G,ROW())&gt;=1,--INDEX('Term investments'!$G:$G,ROW())/100,--INDEX('Term investments'!$G:$G,ROW())),0)</f>
        <v/>
      </c>
      <c r="H294">
        <f>IFERROR(--INDEX('Term investments'!$H:$H,ROW()),0)</f>
        <v/>
      </c>
      <c r="I294">
        <f>IF(ISNUMBER(INDEX('Term investments'!$G:$G,ROW())),1,0)</f>
        <v/>
      </c>
      <c r="J294">
        <f>TRIM(SUBSTITUTE(INDEX('Call accounts and MMFs'!$A:$A,ROW())&amp;""," "," "))</f>
        <v/>
      </c>
      <c r="K294">
        <f>TRIM(SUBSTITUTE(INDEX('Call accounts and MMFs'!$B:$B,ROW())&amp;""," "," "))</f>
        <v/>
      </c>
      <c r="L294">
        <f>TRIM(SUBSTITUTE(INDEX('Call accounts and MMFs'!$C:$C,ROW())&amp;""," "," "))</f>
        <v/>
      </c>
      <c r="M294">
        <f>IFERROR(--INDEX('Call accounts and MMFs'!$D:$D,ROW()),0)</f>
        <v/>
      </c>
      <c r="N294">
        <f>IFERROR(IF(--INDEX('Call accounts and MMFs'!$E:$E,ROW())&gt;=1,--INDEX('Call accounts and MMFs'!$E:$E,ROW())/100,--INDEX('Call accounts and MMFs'!$E:$E,ROW())),0)</f>
        <v/>
      </c>
      <c r="O294">
        <f>IFERROR(--INDEX('Call accounts and MMFs'!$F:$F,ROW()),0)</f>
        <v/>
      </c>
      <c r="P294">
        <f>IF(ISNUMBER(INDEX('Call accounts and MMFs'!$E:$E,ROW())),1,0)</f>
        <v/>
      </c>
      <c r="Q294">
        <f>TRIM(SUBSTITUTE(INDEX('Pooled funds'!$B:$B,ROW())&amp;""," "," "))</f>
        <v/>
      </c>
      <c r="R294">
        <f>IFERROR(--INDEX('Pooled funds'!$C:$C,ROW()),0)</f>
        <v/>
      </c>
      <c r="S294">
        <f>IFERROR(--INDEX('Pooled funds'!$D:$D,ROW()),0)</f>
        <v/>
      </c>
      <c r="T294">
        <f>IFERROR(IF(--INDEX('Pooled funds'!$E:$E,ROW())&gt;=1,--INDEX('Pooled funds'!$E:$E,ROW())/100,--INDEX('Pooled funds'!$E:$E,ROW())),0)</f>
        <v/>
      </c>
      <c r="U294">
        <f>IF(ISNUMBER(INDEX('Pooled funds'!$E:$E,ROW())),1,0)</f>
        <v/>
      </c>
      <c r="V294">
        <f>TRIM(SUBSTITUTE(INDEX('Loans'!$A:$A,ROW())&amp;""," "," "))</f>
        <v/>
      </c>
      <c r="W294">
        <f>TRIM(SUBSTITUTE(INDEX('Loans'!$B:$B,ROW())&amp;""," "," "))</f>
        <v/>
      </c>
      <c r="X294">
        <f>TRIM(SUBSTITUTE(INDEX('Loans'!$C:$C,ROW())&amp;""," "," "))</f>
        <v/>
      </c>
      <c r="Y294">
        <f>IFERROR(--INDEX('Loans'!$D:$D,ROW()),0)</f>
        <v/>
      </c>
      <c r="Z294">
        <f>IFERROR(--INDEX('Loans'!$E:$E,ROW()),0)</f>
        <v/>
      </c>
      <c r="AA294">
        <f>IFERROR(--INDEX('Loans'!$F:$F,ROW()),0)</f>
        <v/>
      </c>
      <c r="AB294">
        <f>IFERROR(IF(--INDEX('Loans'!$G:$G,ROW())&gt;=1,--INDEX('Loans'!$G:$G,ROW())/100,--INDEX('Loans'!$G:$G,ROW())),0)</f>
        <v/>
      </c>
      <c r="AC294">
        <f>TRIM(SUBSTITUTE(INDEX('Loans'!$H:$H,ROW())&amp;""," "," "))</f>
        <v/>
      </c>
      <c r="AD294">
        <f>TRIM(SUBSTITUTE(INDEX('Loans'!$I:$I,ROW())&amp;""," "," "))</f>
        <v/>
      </c>
      <c r="AE294">
        <f>IFERROR(--INDEX('Loans'!$J:$J,ROW()),0)</f>
        <v/>
      </c>
      <c r="AF294">
        <f>TRIM(SUBSTITUTE(INDEX('Loans'!$K:$K,ROW())&amp;""," "," "))</f>
        <v/>
      </c>
      <c r="AG294">
        <f>IFERROR(--INDEX('Loans'!$L:$L,ROW()),0)</f>
        <v/>
      </c>
      <c r="AH294">
        <f>IF(ISNUMBER(INDEX('Loans'!$G:$G,ROW())),1,0)</f>
        <v/>
      </c>
    </row>
    <row r="295">
      <c r="A295">
        <f>TRIM(SUBSTITUTE(INDEX('Term investments'!$A:$A,ROW())&amp;""," "," "))</f>
        <v/>
      </c>
      <c r="B295">
        <f>TRIM(SUBSTITUTE(INDEX('Term investments'!$B:$B,ROW())&amp;""," "," "))</f>
        <v/>
      </c>
      <c r="C295">
        <f>TRIM(SUBSTITUTE(INDEX('Term investments'!$C:$C,ROW())&amp;""," "," "))</f>
        <v/>
      </c>
      <c r="D295">
        <f>IFERROR(--INDEX('Term investments'!$D:$D,ROW()),0)</f>
        <v/>
      </c>
      <c r="E295">
        <f>IFERROR(--INDEX('Term investments'!$E:$E,ROW()),0)</f>
        <v/>
      </c>
      <c r="F295">
        <f>IFERROR(--INDEX('Term investments'!$F:$F,ROW()),0)</f>
        <v/>
      </c>
      <c r="G295">
        <f>IFERROR(IF(--INDEX('Term investments'!$G:$G,ROW())&gt;=1,--INDEX('Term investments'!$G:$G,ROW())/100,--INDEX('Term investments'!$G:$G,ROW())),0)</f>
        <v/>
      </c>
      <c r="H295">
        <f>IFERROR(--INDEX('Term investments'!$H:$H,ROW()),0)</f>
        <v/>
      </c>
      <c r="I295">
        <f>IF(ISNUMBER(INDEX('Term investments'!$G:$G,ROW())),1,0)</f>
        <v/>
      </c>
      <c r="J295">
        <f>TRIM(SUBSTITUTE(INDEX('Call accounts and MMFs'!$A:$A,ROW())&amp;""," "," "))</f>
        <v/>
      </c>
      <c r="K295">
        <f>TRIM(SUBSTITUTE(INDEX('Call accounts and MMFs'!$B:$B,ROW())&amp;""," "," "))</f>
        <v/>
      </c>
      <c r="L295">
        <f>TRIM(SUBSTITUTE(INDEX('Call accounts and MMFs'!$C:$C,ROW())&amp;""," "," "))</f>
        <v/>
      </c>
      <c r="M295">
        <f>IFERROR(--INDEX('Call accounts and MMFs'!$D:$D,ROW()),0)</f>
        <v/>
      </c>
      <c r="N295">
        <f>IFERROR(IF(--INDEX('Call accounts and MMFs'!$E:$E,ROW())&gt;=1,--INDEX('Call accounts and MMFs'!$E:$E,ROW())/100,--INDEX('Call accounts and MMFs'!$E:$E,ROW())),0)</f>
        <v/>
      </c>
      <c r="O295">
        <f>IFERROR(--INDEX('Call accounts and MMFs'!$F:$F,ROW()),0)</f>
        <v/>
      </c>
      <c r="P295">
        <f>IF(ISNUMBER(INDEX('Call accounts and MMFs'!$E:$E,ROW())),1,0)</f>
        <v/>
      </c>
      <c r="Q295">
        <f>TRIM(SUBSTITUTE(INDEX('Pooled funds'!$B:$B,ROW())&amp;""," "," "))</f>
        <v/>
      </c>
      <c r="R295">
        <f>IFERROR(--INDEX('Pooled funds'!$C:$C,ROW()),0)</f>
        <v/>
      </c>
      <c r="S295">
        <f>IFERROR(--INDEX('Pooled funds'!$D:$D,ROW()),0)</f>
        <v/>
      </c>
      <c r="T295">
        <f>IFERROR(IF(--INDEX('Pooled funds'!$E:$E,ROW())&gt;=1,--INDEX('Pooled funds'!$E:$E,ROW())/100,--INDEX('Pooled funds'!$E:$E,ROW())),0)</f>
        <v/>
      </c>
      <c r="U295">
        <f>IF(ISNUMBER(INDEX('Pooled funds'!$E:$E,ROW())),1,0)</f>
        <v/>
      </c>
      <c r="V295">
        <f>TRIM(SUBSTITUTE(INDEX('Loans'!$A:$A,ROW())&amp;""," "," "))</f>
        <v/>
      </c>
      <c r="W295">
        <f>TRIM(SUBSTITUTE(INDEX('Loans'!$B:$B,ROW())&amp;""," "," "))</f>
        <v/>
      </c>
      <c r="X295">
        <f>TRIM(SUBSTITUTE(INDEX('Loans'!$C:$C,ROW())&amp;""," "," "))</f>
        <v/>
      </c>
      <c r="Y295">
        <f>IFERROR(--INDEX('Loans'!$D:$D,ROW()),0)</f>
        <v/>
      </c>
      <c r="Z295">
        <f>IFERROR(--INDEX('Loans'!$E:$E,ROW()),0)</f>
        <v/>
      </c>
      <c r="AA295">
        <f>IFERROR(--INDEX('Loans'!$F:$F,ROW()),0)</f>
        <v/>
      </c>
      <c r="AB295">
        <f>IFERROR(IF(--INDEX('Loans'!$G:$G,ROW())&gt;=1,--INDEX('Loans'!$G:$G,ROW())/100,--INDEX('Loans'!$G:$G,ROW())),0)</f>
        <v/>
      </c>
      <c r="AC295">
        <f>TRIM(SUBSTITUTE(INDEX('Loans'!$H:$H,ROW())&amp;""," "," "))</f>
        <v/>
      </c>
      <c r="AD295">
        <f>TRIM(SUBSTITUTE(INDEX('Loans'!$I:$I,ROW())&amp;""," "," "))</f>
        <v/>
      </c>
      <c r="AE295">
        <f>IFERROR(--INDEX('Loans'!$J:$J,ROW()),0)</f>
        <v/>
      </c>
      <c r="AF295">
        <f>TRIM(SUBSTITUTE(INDEX('Loans'!$K:$K,ROW())&amp;""," "," "))</f>
        <v/>
      </c>
      <c r="AG295">
        <f>IFERROR(--INDEX('Loans'!$L:$L,ROW()),0)</f>
        <v/>
      </c>
      <c r="AH295">
        <f>IF(ISNUMBER(INDEX('Loans'!$G:$G,ROW())),1,0)</f>
        <v/>
      </c>
    </row>
    <row r="296">
      <c r="A296">
        <f>TRIM(SUBSTITUTE(INDEX('Term investments'!$A:$A,ROW())&amp;""," "," "))</f>
        <v/>
      </c>
      <c r="B296">
        <f>TRIM(SUBSTITUTE(INDEX('Term investments'!$B:$B,ROW())&amp;""," "," "))</f>
        <v/>
      </c>
      <c r="C296">
        <f>TRIM(SUBSTITUTE(INDEX('Term investments'!$C:$C,ROW())&amp;""," "," "))</f>
        <v/>
      </c>
      <c r="D296">
        <f>IFERROR(--INDEX('Term investments'!$D:$D,ROW()),0)</f>
        <v/>
      </c>
      <c r="E296">
        <f>IFERROR(--INDEX('Term investments'!$E:$E,ROW()),0)</f>
        <v/>
      </c>
      <c r="F296">
        <f>IFERROR(--INDEX('Term investments'!$F:$F,ROW()),0)</f>
        <v/>
      </c>
      <c r="G296">
        <f>IFERROR(IF(--INDEX('Term investments'!$G:$G,ROW())&gt;=1,--INDEX('Term investments'!$G:$G,ROW())/100,--INDEX('Term investments'!$G:$G,ROW())),0)</f>
        <v/>
      </c>
      <c r="H296">
        <f>IFERROR(--INDEX('Term investments'!$H:$H,ROW()),0)</f>
        <v/>
      </c>
      <c r="I296">
        <f>IF(ISNUMBER(INDEX('Term investments'!$G:$G,ROW())),1,0)</f>
        <v/>
      </c>
      <c r="J296">
        <f>TRIM(SUBSTITUTE(INDEX('Call accounts and MMFs'!$A:$A,ROW())&amp;""," "," "))</f>
        <v/>
      </c>
      <c r="K296">
        <f>TRIM(SUBSTITUTE(INDEX('Call accounts and MMFs'!$B:$B,ROW())&amp;""," "," "))</f>
        <v/>
      </c>
      <c r="L296">
        <f>TRIM(SUBSTITUTE(INDEX('Call accounts and MMFs'!$C:$C,ROW())&amp;""," "," "))</f>
        <v/>
      </c>
      <c r="M296">
        <f>IFERROR(--INDEX('Call accounts and MMFs'!$D:$D,ROW()),0)</f>
        <v/>
      </c>
      <c r="N296">
        <f>IFERROR(IF(--INDEX('Call accounts and MMFs'!$E:$E,ROW())&gt;=1,--INDEX('Call accounts and MMFs'!$E:$E,ROW())/100,--INDEX('Call accounts and MMFs'!$E:$E,ROW())),0)</f>
        <v/>
      </c>
      <c r="O296">
        <f>IFERROR(--INDEX('Call accounts and MMFs'!$F:$F,ROW()),0)</f>
        <v/>
      </c>
      <c r="P296">
        <f>IF(ISNUMBER(INDEX('Call accounts and MMFs'!$E:$E,ROW())),1,0)</f>
        <v/>
      </c>
      <c r="Q296">
        <f>TRIM(SUBSTITUTE(INDEX('Pooled funds'!$B:$B,ROW())&amp;""," "," "))</f>
        <v/>
      </c>
      <c r="R296">
        <f>IFERROR(--INDEX('Pooled funds'!$C:$C,ROW()),0)</f>
        <v/>
      </c>
      <c r="S296">
        <f>IFERROR(--INDEX('Pooled funds'!$D:$D,ROW()),0)</f>
        <v/>
      </c>
      <c r="T296">
        <f>IFERROR(IF(--INDEX('Pooled funds'!$E:$E,ROW())&gt;=1,--INDEX('Pooled funds'!$E:$E,ROW())/100,--INDEX('Pooled funds'!$E:$E,ROW())),0)</f>
        <v/>
      </c>
      <c r="U296">
        <f>IF(ISNUMBER(INDEX('Pooled funds'!$E:$E,ROW())),1,0)</f>
        <v/>
      </c>
      <c r="V296">
        <f>TRIM(SUBSTITUTE(INDEX('Loans'!$A:$A,ROW())&amp;""," "," "))</f>
        <v/>
      </c>
      <c r="W296">
        <f>TRIM(SUBSTITUTE(INDEX('Loans'!$B:$B,ROW())&amp;""," "," "))</f>
        <v/>
      </c>
      <c r="X296">
        <f>TRIM(SUBSTITUTE(INDEX('Loans'!$C:$C,ROW())&amp;""," "," "))</f>
        <v/>
      </c>
      <c r="Y296">
        <f>IFERROR(--INDEX('Loans'!$D:$D,ROW()),0)</f>
        <v/>
      </c>
      <c r="Z296">
        <f>IFERROR(--INDEX('Loans'!$E:$E,ROW()),0)</f>
        <v/>
      </c>
      <c r="AA296">
        <f>IFERROR(--INDEX('Loans'!$F:$F,ROW()),0)</f>
        <v/>
      </c>
      <c r="AB296">
        <f>IFERROR(IF(--INDEX('Loans'!$G:$G,ROW())&gt;=1,--INDEX('Loans'!$G:$G,ROW())/100,--INDEX('Loans'!$G:$G,ROW())),0)</f>
        <v/>
      </c>
      <c r="AC296">
        <f>TRIM(SUBSTITUTE(INDEX('Loans'!$H:$H,ROW())&amp;""," "," "))</f>
        <v/>
      </c>
      <c r="AD296">
        <f>TRIM(SUBSTITUTE(INDEX('Loans'!$I:$I,ROW())&amp;""," "," "))</f>
        <v/>
      </c>
      <c r="AE296">
        <f>IFERROR(--INDEX('Loans'!$J:$J,ROW()),0)</f>
        <v/>
      </c>
      <c r="AF296">
        <f>TRIM(SUBSTITUTE(INDEX('Loans'!$K:$K,ROW())&amp;""," "," "))</f>
        <v/>
      </c>
      <c r="AG296">
        <f>IFERROR(--INDEX('Loans'!$L:$L,ROW()),0)</f>
        <v/>
      </c>
      <c r="AH296">
        <f>IF(ISNUMBER(INDEX('Loans'!$G:$G,ROW())),1,0)</f>
        <v/>
      </c>
    </row>
    <row r="297">
      <c r="A297">
        <f>TRIM(SUBSTITUTE(INDEX('Term investments'!$A:$A,ROW())&amp;""," "," "))</f>
        <v/>
      </c>
      <c r="B297">
        <f>TRIM(SUBSTITUTE(INDEX('Term investments'!$B:$B,ROW())&amp;""," "," "))</f>
        <v/>
      </c>
      <c r="C297">
        <f>TRIM(SUBSTITUTE(INDEX('Term investments'!$C:$C,ROW())&amp;""," "," "))</f>
        <v/>
      </c>
      <c r="D297">
        <f>IFERROR(--INDEX('Term investments'!$D:$D,ROW()),0)</f>
        <v/>
      </c>
      <c r="E297">
        <f>IFERROR(--INDEX('Term investments'!$E:$E,ROW()),0)</f>
        <v/>
      </c>
      <c r="F297">
        <f>IFERROR(--INDEX('Term investments'!$F:$F,ROW()),0)</f>
        <v/>
      </c>
      <c r="G297">
        <f>IFERROR(IF(--INDEX('Term investments'!$G:$G,ROW())&gt;=1,--INDEX('Term investments'!$G:$G,ROW())/100,--INDEX('Term investments'!$G:$G,ROW())),0)</f>
        <v/>
      </c>
      <c r="H297">
        <f>IFERROR(--INDEX('Term investments'!$H:$H,ROW()),0)</f>
        <v/>
      </c>
      <c r="I297">
        <f>IF(ISNUMBER(INDEX('Term investments'!$G:$G,ROW())),1,0)</f>
        <v/>
      </c>
      <c r="J297">
        <f>TRIM(SUBSTITUTE(INDEX('Call accounts and MMFs'!$A:$A,ROW())&amp;""," "," "))</f>
        <v/>
      </c>
      <c r="K297">
        <f>TRIM(SUBSTITUTE(INDEX('Call accounts and MMFs'!$B:$B,ROW())&amp;""," "," "))</f>
        <v/>
      </c>
      <c r="L297">
        <f>TRIM(SUBSTITUTE(INDEX('Call accounts and MMFs'!$C:$C,ROW())&amp;""," "," "))</f>
        <v/>
      </c>
      <c r="M297">
        <f>IFERROR(--INDEX('Call accounts and MMFs'!$D:$D,ROW()),0)</f>
        <v/>
      </c>
      <c r="N297">
        <f>IFERROR(IF(--INDEX('Call accounts and MMFs'!$E:$E,ROW())&gt;=1,--INDEX('Call accounts and MMFs'!$E:$E,ROW())/100,--INDEX('Call accounts and MMFs'!$E:$E,ROW())),0)</f>
        <v/>
      </c>
      <c r="O297">
        <f>IFERROR(--INDEX('Call accounts and MMFs'!$F:$F,ROW()),0)</f>
        <v/>
      </c>
      <c r="P297">
        <f>IF(ISNUMBER(INDEX('Call accounts and MMFs'!$E:$E,ROW())),1,0)</f>
        <v/>
      </c>
      <c r="Q297">
        <f>TRIM(SUBSTITUTE(INDEX('Pooled funds'!$B:$B,ROW())&amp;""," "," "))</f>
        <v/>
      </c>
      <c r="R297">
        <f>IFERROR(--INDEX('Pooled funds'!$C:$C,ROW()),0)</f>
        <v/>
      </c>
      <c r="S297">
        <f>IFERROR(--INDEX('Pooled funds'!$D:$D,ROW()),0)</f>
        <v/>
      </c>
      <c r="T297">
        <f>IFERROR(IF(--INDEX('Pooled funds'!$E:$E,ROW())&gt;=1,--INDEX('Pooled funds'!$E:$E,ROW())/100,--INDEX('Pooled funds'!$E:$E,ROW())),0)</f>
        <v/>
      </c>
      <c r="U297">
        <f>IF(ISNUMBER(INDEX('Pooled funds'!$E:$E,ROW())),1,0)</f>
        <v/>
      </c>
      <c r="V297">
        <f>TRIM(SUBSTITUTE(INDEX('Loans'!$A:$A,ROW())&amp;""," "," "))</f>
        <v/>
      </c>
      <c r="W297">
        <f>TRIM(SUBSTITUTE(INDEX('Loans'!$B:$B,ROW())&amp;""," "," "))</f>
        <v/>
      </c>
      <c r="X297">
        <f>TRIM(SUBSTITUTE(INDEX('Loans'!$C:$C,ROW())&amp;""," "," "))</f>
        <v/>
      </c>
      <c r="Y297">
        <f>IFERROR(--INDEX('Loans'!$D:$D,ROW()),0)</f>
        <v/>
      </c>
      <c r="Z297">
        <f>IFERROR(--INDEX('Loans'!$E:$E,ROW()),0)</f>
        <v/>
      </c>
      <c r="AA297">
        <f>IFERROR(--INDEX('Loans'!$F:$F,ROW()),0)</f>
        <v/>
      </c>
      <c r="AB297">
        <f>IFERROR(IF(--INDEX('Loans'!$G:$G,ROW())&gt;=1,--INDEX('Loans'!$G:$G,ROW())/100,--INDEX('Loans'!$G:$G,ROW())),0)</f>
        <v/>
      </c>
      <c r="AC297">
        <f>TRIM(SUBSTITUTE(INDEX('Loans'!$H:$H,ROW())&amp;""," "," "))</f>
        <v/>
      </c>
      <c r="AD297">
        <f>TRIM(SUBSTITUTE(INDEX('Loans'!$I:$I,ROW())&amp;""," "," "))</f>
        <v/>
      </c>
      <c r="AE297">
        <f>IFERROR(--INDEX('Loans'!$J:$J,ROW()),0)</f>
        <v/>
      </c>
      <c r="AF297">
        <f>TRIM(SUBSTITUTE(INDEX('Loans'!$K:$K,ROW())&amp;""," "," "))</f>
        <v/>
      </c>
      <c r="AG297">
        <f>IFERROR(--INDEX('Loans'!$L:$L,ROW()),0)</f>
        <v/>
      </c>
      <c r="AH297">
        <f>IF(ISNUMBER(INDEX('Loans'!$G:$G,ROW())),1,0)</f>
        <v/>
      </c>
    </row>
    <row r="298">
      <c r="A298">
        <f>TRIM(SUBSTITUTE(INDEX('Term investments'!$A:$A,ROW())&amp;""," "," "))</f>
        <v/>
      </c>
      <c r="B298">
        <f>TRIM(SUBSTITUTE(INDEX('Term investments'!$B:$B,ROW())&amp;""," "," "))</f>
        <v/>
      </c>
      <c r="C298">
        <f>TRIM(SUBSTITUTE(INDEX('Term investments'!$C:$C,ROW())&amp;""," "," "))</f>
        <v/>
      </c>
      <c r="D298">
        <f>IFERROR(--INDEX('Term investments'!$D:$D,ROW()),0)</f>
        <v/>
      </c>
      <c r="E298">
        <f>IFERROR(--INDEX('Term investments'!$E:$E,ROW()),0)</f>
        <v/>
      </c>
      <c r="F298">
        <f>IFERROR(--INDEX('Term investments'!$F:$F,ROW()),0)</f>
        <v/>
      </c>
      <c r="G298">
        <f>IFERROR(IF(--INDEX('Term investments'!$G:$G,ROW())&gt;=1,--INDEX('Term investments'!$G:$G,ROW())/100,--INDEX('Term investments'!$G:$G,ROW())),0)</f>
        <v/>
      </c>
      <c r="H298">
        <f>IFERROR(--INDEX('Term investments'!$H:$H,ROW()),0)</f>
        <v/>
      </c>
      <c r="I298">
        <f>IF(ISNUMBER(INDEX('Term investments'!$G:$G,ROW())),1,0)</f>
        <v/>
      </c>
      <c r="J298">
        <f>TRIM(SUBSTITUTE(INDEX('Call accounts and MMFs'!$A:$A,ROW())&amp;""," "," "))</f>
        <v/>
      </c>
      <c r="K298">
        <f>TRIM(SUBSTITUTE(INDEX('Call accounts and MMFs'!$B:$B,ROW())&amp;""," "," "))</f>
        <v/>
      </c>
      <c r="L298">
        <f>TRIM(SUBSTITUTE(INDEX('Call accounts and MMFs'!$C:$C,ROW())&amp;""," "," "))</f>
        <v/>
      </c>
      <c r="M298">
        <f>IFERROR(--INDEX('Call accounts and MMFs'!$D:$D,ROW()),0)</f>
        <v/>
      </c>
      <c r="N298">
        <f>IFERROR(IF(--INDEX('Call accounts and MMFs'!$E:$E,ROW())&gt;=1,--INDEX('Call accounts and MMFs'!$E:$E,ROW())/100,--INDEX('Call accounts and MMFs'!$E:$E,ROW())),0)</f>
        <v/>
      </c>
      <c r="O298">
        <f>IFERROR(--INDEX('Call accounts and MMFs'!$F:$F,ROW()),0)</f>
        <v/>
      </c>
      <c r="P298">
        <f>IF(ISNUMBER(INDEX('Call accounts and MMFs'!$E:$E,ROW())),1,0)</f>
        <v/>
      </c>
      <c r="Q298">
        <f>TRIM(SUBSTITUTE(INDEX('Pooled funds'!$B:$B,ROW())&amp;""," "," "))</f>
        <v/>
      </c>
      <c r="R298">
        <f>IFERROR(--INDEX('Pooled funds'!$C:$C,ROW()),0)</f>
        <v/>
      </c>
      <c r="S298">
        <f>IFERROR(--INDEX('Pooled funds'!$D:$D,ROW()),0)</f>
        <v/>
      </c>
      <c r="T298">
        <f>IFERROR(IF(--INDEX('Pooled funds'!$E:$E,ROW())&gt;=1,--INDEX('Pooled funds'!$E:$E,ROW())/100,--INDEX('Pooled funds'!$E:$E,ROW())),0)</f>
        <v/>
      </c>
      <c r="U298">
        <f>IF(ISNUMBER(INDEX('Pooled funds'!$E:$E,ROW())),1,0)</f>
        <v/>
      </c>
      <c r="V298">
        <f>TRIM(SUBSTITUTE(INDEX('Loans'!$A:$A,ROW())&amp;""," "," "))</f>
        <v/>
      </c>
      <c r="W298">
        <f>TRIM(SUBSTITUTE(INDEX('Loans'!$B:$B,ROW())&amp;""," "," "))</f>
        <v/>
      </c>
      <c r="X298">
        <f>TRIM(SUBSTITUTE(INDEX('Loans'!$C:$C,ROW())&amp;""," "," "))</f>
        <v/>
      </c>
      <c r="Y298">
        <f>IFERROR(--INDEX('Loans'!$D:$D,ROW()),0)</f>
        <v/>
      </c>
      <c r="Z298">
        <f>IFERROR(--INDEX('Loans'!$E:$E,ROW()),0)</f>
        <v/>
      </c>
      <c r="AA298">
        <f>IFERROR(--INDEX('Loans'!$F:$F,ROW()),0)</f>
        <v/>
      </c>
      <c r="AB298">
        <f>IFERROR(IF(--INDEX('Loans'!$G:$G,ROW())&gt;=1,--INDEX('Loans'!$G:$G,ROW())/100,--INDEX('Loans'!$G:$G,ROW())),0)</f>
        <v/>
      </c>
      <c r="AC298">
        <f>TRIM(SUBSTITUTE(INDEX('Loans'!$H:$H,ROW())&amp;""," "," "))</f>
        <v/>
      </c>
      <c r="AD298">
        <f>TRIM(SUBSTITUTE(INDEX('Loans'!$I:$I,ROW())&amp;""," "," "))</f>
        <v/>
      </c>
      <c r="AE298">
        <f>IFERROR(--INDEX('Loans'!$J:$J,ROW()),0)</f>
        <v/>
      </c>
      <c r="AF298">
        <f>TRIM(SUBSTITUTE(INDEX('Loans'!$K:$K,ROW())&amp;""," "," "))</f>
        <v/>
      </c>
      <c r="AG298">
        <f>IFERROR(--INDEX('Loans'!$L:$L,ROW()),0)</f>
        <v/>
      </c>
      <c r="AH298">
        <f>IF(ISNUMBER(INDEX('Loans'!$G:$G,ROW())),1,0)</f>
        <v/>
      </c>
    </row>
    <row r="299">
      <c r="A299">
        <f>TRIM(SUBSTITUTE(INDEX('Term investments'!$A:$A,ROW())&amp;""," "," "))</f>
        <v/>
      </c>
      <c r="B299">
        <f>TRIM(SUBSTITUTE(INDEX('Term investments'!$B:$B,ROW())&amp;""," "," "))</f>
        <v/>
      </c>
      <c r="C299">
        <f>TRIM(SUBSTITUTE(INDEX('Term investments'!$C:$C,ROW())&amp;""," "," "))</f>
        <v/>
      </c>
      <c r="D299">
        <f>IFERROR(--INDEX('Term investments'!$D:$D,ROW()),0)</f>
        <v/>
      </c>
      <c r="E299">
        <f>IFERROR(--INDEX('Term investments'!$E:$E,ROW()),0)</f>
        <v/>
      </c>
      <c r="F299">
        <f>IFERROR(--INDEX('Term investments'!$F:$F,ROW()),0)</f>
        <v/>
      </c>
      <c r="G299">
        <f>IFERROR(IF(--INDEX('Term investments'!$G:$G,ROW())&gt;=1,--INDEX('Term investments'!$G:$G,ROW())/100,--INDEX('Term investments'!$G:$G,ROW())),0)</f>
        <v/>
      </c>
      <c r="H299">
        <f>IFERROR(--INDEX('Term investments'!$H:$H,ROW()),0)</f>
        <v/>
      </c>
      <c r="I299">
        <f>IF(ISNUMBER(INDEX('Term investments'!$G:$G,ROW())),1,0)</f>
        <v/>
      </c>
      <c r="J299">
        <f>TRIM(SUBSTITUTE(INDEX('Call accounts and MMFs'!$A:$A,ROW())&amp;""," "," "))</f>
        <v/>
      </c>
      <c r="K299">
        <f>TRIM(SUBSTITUTE(INDEX('Call accounts and MMFs'!$B:$B,ROW())&amp;""," "," "))</f>
        <v/>
      </c>
      <c r="L299">
        <f>TRIM(SUBSTITUTE(INDEX('Call accounts and MMFs'!$C:$C,ROW())&amp;""," "," "))</f>
        <v/>
      </c>
      <c r="M299">
        <f>IFERROR(--INDEX('Call accounts and MMFs'!$D:$D,ROW()),0)</f>
        <v/>
      </c>
      <c r="N299">
        <f>IFERROR(IF(--INDEX('Call accounts and MMFs'!$E:$E,ROW())&gt;=1,--INDEX('Call accounts and MMFs'!$E:$E,ROW())/100,--INDEX('Call accounts and MMFs'!$E:$E,ROW())),0)</f>
        <v/>
      </c>
      <c r="O299">
        <f>IFERROR(--INDEX('Call accounts and MMFs'!$F:$F,ROW()),0)</f>
        <v/>
      </c>
      <c r="P299">
        <f>IF(ISNUMBER(INDEX('Call accounts and MMFs'!$E:$E,ROW())),1,0)</f>
        <v/>
      </c>
      <c r="Q299">
        <f>TRIM(SUBSTITUTE(INDEX('Pooled funds'!$B:$B,ROW())&amp;""," "," "))</f>
        <v/>
      </c>
      <c r="R299">
        <f>IFERROR(--INDEX('Pooled funds'!$C:$C,ROW()),0)</f>
        <v/>
      </c>
      <c r="S299">
        <f>IFERROR(--INDEX('Pooled funds'!$D:$D,ROW()),0)</f>
        <v/>
      </c>
      <c r="T299">
        <f>IFERROR(IF(--INDEX('Pooled funds'!$E:$E,ROW())&gt;=1,--INDEX('Pooled funds'!$E:$E,ROW())/100,--INDEX('Pooled funds'!$E:$E,ROW())),0)</f>
        <v/>
      </c>
      <c r="U299">
        <f>IF(ISNUMBER(INDEX('Pooled funds'!$E:$E,ROW())),1,0)</f>
        <v/>
      </c>
      <c r="V299">
        <f>TRIM(SUBSTITUTE(INDEX('Loans'!$A:$A,ROW())&amp;""," "," "))</f>
        <v/>
      </c>
      <c r="W299">
        <f>TRIM(SUBSTITUTE(INDEX('Loans'!$B:$B,ROW())&amp;""," "," "))</f>
        <v/>
      </c>
      <c r="X299">
        <f>TRIM(SUBSTITUTE(INDEX('Loans'!$C:$C,ROW())&amp;""," "," "))</f>
        <v/>
      </c>
      <c r="Y299">
        <f>IFERROR(--INDEX('Loans'!$D:$D,ROW()),0)</f>
        <v/>
      </c>
      <c r="Z299">
        <f>IFERROR(--INDEX('Loans'!$E:$E,ROW()),0)</f>
        <v/>
      </c>
      <c r="AA299">
        <f>IFERROR(--INDEX('Loans'!$F:$F,ROW()),0)</f>
        <v/>
      </c>
      <c r="AB299">
        <f>IFERROR(IF(--INDEX('Loans'!$G:$G,ROW())&gt;=1,--INDEX('Loans'!$G:$G,ROW())/100,--INDEX('Loans'!$G:$G,ROW())),0)</f>
        <v/>
      </c>
      <c r="AC299">
        <f>TRIM(SUBSTITUTE(INDEX('Loans'!$H:$H,ROW())&amp;""," "," "))</f>
        <v/>
      </c>
      <c r="AD299">
        <f>TRIM(SUBSTITUTE(INDEX('Loans'!$I:$I,ROW())&amp;""," "," "))</f>
        <v/>
      </c>
      <c r="AE299">
        <f>IFERROR(--INDEX('Loans'!$J:$J,ROW()),0)</f>
        <v/>
      </c>
      <c r="AF299">
        <f>TRIM(SUBSTITUTE(INDEX('Loans'!$K:$K,ROW())&amp;""," "," "))</f>
        <v/>
      </c>
      <c r="AG299">
        <f>IFERROR(--INDEX('Loans'!$L:$L,ROW()),0)</f>
        <v/>
      </c>
      <c r="AH299">
        <f>IF(ISNUMBER(INDEX('Loans'!$G:$G,ROW())),1,0)</f>
        <v/>
      </c>
    </row>
    <row r="300">
      <c r="A300">
        <f>TRIM(SUBSTITUTE(INDEX('Term investments'!$A:$A,ROW())&amp;""," "," "))</f>
        <v/>
      </c>
      <c r="B300">
        <f>TRIM(SUBSTITUTE(INDEX('Term investments'!$B:$B,ROW())&amp;""," "," "))</f>
        <v/>
      </c>
      <c r="C300">
        <f>TRIM(SUBSTITUTE(INDEX('Term investments'!$C:$C,ROW())&amp;""," "," "))</f>
        <v/>
      </c>
      <c r="D300">
        <f>IFERROR(--INDEX('Term investments'!$D:$D,ROW()),0)</f>
        <v/>
      </c>
      <c r="E300">
        <f>IFERROR(--INDEX('Term investments'!$E:$E,ROW()),0)</f>
        <v/>
      </c>
      <c r="F300">
        <f>IFERROR(--INDEX('Term investments'!$F:$F,ROW()),0)</f>
        <v/>
      </c>
      <c r="G300">
        <f>IFERROR(IF(--INDEX('Term investments'!$G:$G,ROW())&gt;=1,--INDEX('Term investments'!$G:$G,ROW())/100,--INDEX('Term investments'!$G:$G,ROW())),0)</f>
        <v/>
      </c>
      <c r="H300">
        <f>IFERROR(--INDEX('Term investments'!$H:$H,ROW()),0)</f>
        <v/>
      </c>
      <c r="I300">
        <f>IF(ISNUMBER(INDEX('Term investments'!$G:$G,ROW())),1,0)</f>
        <v/>
      </c>
      <c r="J300">
        <f>TRIM(SUBSTITUTE(INDEX('Call accounts and MMFs'!$A:$A,ROW())&amp;""," "," "))</f>
        <v/>
      </c>
      <c r="K300">
        <f>TRIM(SUBSTITUTE(INDEX('Call accounts and MMFs'!$B:$B,ROW())&amp;""," "," "))</f>
        <v/>
      </c>
      <c r="L300">
        <f>TRIM(SUBSTITUTE(INDEX('Call accounts and MMFs'!$C:$C,ROW())&amp;""," "," "))</f>
        <v/>
      </c>
      <c r="M300">
        <f>IFERROR(--INDEX('Call accounts and MMFs'!$D:$D,ROW()),0)</f>
        <v/>
      </c>
      <c r="N300">
        <f>IFERROR(IF(--INDEX('Call accounts and MMFs'!$E:$E,ROW())&gt;=1,--INDEX('Call accounts and MMFs'!$E:$E,ROW())/100,--INDEX('Call accounts and MMFs'!$E:$E,ROW())),0)</f>
        <v/>
      </c>
      <c r="O300">
        <f>IFERROR(--INDEX('Call accounts and MMFs'!$F:$F,ROW()),0)</f>
        <v/>
      </c>
      <c r="P300">
        <f>IF(ISNUMBER(INDEX('Call accounts and MMFs'!$E:$E,ROW())),1,0)</f>
        <v/>
      </c>
      <c r="Q300">
        <f>TRIM(SUBSTITUTE(INDEX('Pooled funds'!$B:$B,ROW())&amp;""," "," "))</f>
        <v/>
      </c>
      <c r="R300">
        <f>IFERROR(--INDEX('Pooled funds'!$C:$C,ROW()),0)</f>
        <v/>
      </c>
      <c r="S300">
        <f>IFERROR(--INDEX('Pooled funds'!$D:$D,ROW()),0)</f>
        <v/>
      </c>
      <c r="T300">
        <f>IFERROR(IF(--INDEX('Pooled funds'!$E:$E,ROW())&gt;=1,--INDEX('Pooled funds'!$E:$E,ROW())/100,--INDEX('Pooled funds'!$E:$E,ROW())),0)</f>
        <v/>
      </c>
      <c r="U300">
        <f>IF(ISNUMBER(INDEX('Pooled funds'!$E:$E,ROW())),1,0)</f>
        <v/>
      </c>
      <c r="V300">
        <f>TRIM(SUBSTITUTE(INDEX('Loans'!$A:$A,ROW())&amp;""," "," "))</f>
        <v/>
      </c>
      <c r="W300">
        <f>TRIM(SUBSTITUTE(INDEX('Loans'!$B:$B,ROW())&amp;""," "," "))</f>
        <v/>
      </c>
      <c r="X300">
        <f>TRIM(SUBSTITUTE(INDEX('Loans'!$C:$C,ROW())&amp;""," "," "))</f>
        <v/>
      </c>
      <c r="Y300">
        <f>IFERROR(--INDEX('Loans'!$D:$D,ROW()),0)</f>
        <v/>
      </c>
      <c r="Z300">
        <f>IFERROR(--INDEX('Loans'!$E:$E,ROW()),0)</f>
        <v/>
      </c>
      <c r="AA300">
        <f>IFERROR(--INDEX('Loans'!$F:$F,ROW()),0)</f>
        <v/>
      </c>
      <c r="AB300">
        <f>IFERROR(IF(--INDEX('Loans'!$G:$G,ROW())&gt;=1,--INDEX('Loans'!$G:$G,ROW())/100,--INDEX('Loans'!$G:$G,ROW())),0)</f>
        <v/>
      </c>
      <c r="AC300">
        <f>TRIM(SUBSTITUTE(INDEX('Loans'!$H:$H,ROW())&amp;""," "," "))</f>
        <v/>
      </c>
      <c r="AD300">
        <f>TRIM(SUBSTITUTE(INDEX('Loans'!$I:$I,ROW())&amp;""," "," "))</f>
        <v/>
      </c>
      <c r="AE300">
        <f>IFERROR(--INDEX('Loans'!$J:$J,ROW()),0)</f>
        <v/>
      </c>
      <c r="AF300">
        <f>TRIM(SUBSTITUTE(INDEX('Loans'!$K:$K,ROW())&amp;""," "," "))</f>
        <v/>
      </c>
      <c r="AG300">
        <f>IFERROR(--INDEX('Loans'!$L:$L,ROW()),0)</f>
        <v/>
      </c>
      <c r="AH300">
        <f>IF(ISNUMBER(INDEX('Loans'!$G:$G,ROW())),1,0)</f>
        <v/>
      </c>
    </row>
    <row r="301">
      <c r="A301">
        <f>TRIM(SUBSTITUTE(INDEX('Term investments'!$A:$A,ROW())&amp;""," "," "))</f>
        <v/>
      </c>
      <c r="B301">
        <f>TRIM(SUBSTITUTE(INDEX('Term investments'!$B:$B,ROW())&amp;""," "," "))</f>
        <v/>
      </c>
      <c r="C301">
        <f>TRIM(SUBSTITUTE(INDEX('Term investments'!$C:$C,ROW())&amp;""," "," "))</f>
        <v/>
      </c>
      <c r="D301">
        <f>IFERROR(--INDEX('Term investments'!$D:$D,ROW()),0)</f>
        <v/>
      </c>
      <c r="E301">
        <f>IFERROR(--INDEX('Term investments'!$E:$E,ROW()),0)</f>
        <v/>
      </c>
      <c r="F301">
        <f>IFERROR(--INDEX('Term investments'!$F:$F,ROW()),0)</f>
        <v/>
      </c>
      <c r="G301">
        <f>IFERROR(IF(--INDEX('Term investments'!$G:$G,ROW())&gt;=1,--INDEX('Term investments'!$G:$G,ROW())/100,--INDEX('Term investments'!$G:$G,ROW())),0)</f>
        <v/>
      </c>
      <c r="H301">
        <f>IFERROR(--INDEX('Term investments'!$H:$H,ROW()),0)</f>
        <v/>
      </c>
      <c r="I301">
        <f>IF(ISNUMBER(INDEX('Term investments'!$G:$G,ROW())),1,0)</f>
        <v/>
      </c>
      <c r="J301">
        <f>TRIM(SUBSTITUTE(INDEX('Call accounts and MMFs'!$A:$A,ROW())&amp;""," "," "))</f>
        <v/>
      </c>
      <c r="K301">
        <f>TRIM(SUBSTITUTE(INDEX('Call accounts and MMFs'!$B:$B,ROW())&amp;""," "," "))</f>
        <v/>
      </c>
      <c r="L301">
        <f>TRIM(SUBSTITUTE(INDEX('Call accounts and MMFs'!$C:$C,ROW())&amp;""," "," "))</f>
        <v/>
      </c>
      <c r="M301">
        <f>IFERROR(--INDEX('Call accounts and MMFs'!$D:$D,ROW()),0)</f>
        <v/>
      </c>
      <c r="N301">
        <f>IFERROR(IF(--INDEX('Call accounts and MMFs'!$E:$E,ROW())&gt;=1,--INDEX('Call accounts and MMFs'!$E:$E,ROW())/100,--INDEX('Call accounts and MMFs'!$E:$E,ROW())),0)</f>
        <v/>
      </c>
      <c r="O301">
        <f>IFERROR(--INDEX('Call accounts and MMFs'!$F:$F,ROW()),0)</f>
        <v/>
      </c>
      <c r="P301">
        <f>IF(ISNUMBER(INDEX('Call accounts and MMFs'!$E:$E,ROW())),1,0)</f>
        <v/>
      </c>
      <c r="Q301">
        <f>TRIM(SUBSTITUTE(INDEX('Pooled funds'!$B:$B,ROW())&amp;""," "," "))</f>
        <v/>
      </c>
      <c r="R301">
        <f>IFERROR(--INDEX('Pooled funds'!$C:$C,ROW()),0)</f>
        <v/>
      </c>
      <c r="S301">
        <f>IFERROR(--INDEX('Pooled funds'!$D:$D,ROW()),0)</f>
        <v/>
      </c>
      <c r="T301">
        <f>IFERROR(IF(--INDEX('Pooled funds'!$E:$E,ROW())&gt;=1,--INDEX('Pooled funds'!$E:$E,ROW())/100,--INDEX('Pooled funds'!$E:$E,ROW())),0)</f>
        <v/>
      </c>
      <c r="U301">
        <f>IF(ISNUMBER(INDEX('Pooled funds'!$E:$E,ROW())),1,0)</f>
        <v/>
      </c>
      <c r="V301">
        <f>TRIM(SUBSTITUTE(INDEX('Loans'!$A:$A,ROW())&amp;""," "," "))</f>
        <v/>
      </c>
      <c r="W301">
        <f>TRIM(SUBSTITUTE(INDEX('Loans'!$B:$B,ROW())&amp;""," "," "))</f>
        <v/>
      </c>
      <c r="X301">
        <f>TRIM(SUBSTITUTE(INDEX('Loans'!$C:$C,ROW())&amp;""," "," "))</f>
        <v/>
      </c>
      <c r="Y301">
        <f>IFERROR(--INDEX('Loans'!$D:$D,ROW()),0)</f>
        <v/>
      </c>
      <c r="Z301">
        <f>IFERROR(--INDEX('Loans'!$E:$E,ROW()),0)</f>
        <v/>
      </c>
      <c r="AA301">
        <f>IFERROR(--INDEX('Loans'!$F:$F,ROW()),0)</f>
        <v/>
      </c>
      <c r="AB301">
        <f>IFERROR(IF(--INDEX('Loans'!$G:$G,ROW())&gt;=1,--INDEX('Loans'!$G:$G,ROW())/100,--INDEX('Loans'!$G:$G,ROW())),0)</f>
        <v/>
      </c>
      <c r="AC301">
        <f>TRIM(SUBSTITUTE(INDEX('Loans'!$H:$H,ROW())&amp;""," "," "))</f>
        <v/>
      </c>
      <c r="AD301">
        <f>TRIM(SUBSTITUTE(INDEX('Loans'!$I:$I,ROW())&amp;""," "," "))</f>
        <v/>
      </c>
      <c r="AE301">
        <f>IFERROR(--INDEX('Loans'!$J:$J,ROW()),0)</f>
        <v/>
      </c>
      <c r="AF301">
        <f>TRIM(SUBSTITUTE(INDEX('Loans'!$K:$K,ROW())&amp;""," "," "))</f>
        <v/>
      </c>
      <c r="AG301">
        <f>IFERROR(--INDEX('Loans'!$L:$L,ROW()),0)</f>
        <v/>
      </c>
      <c r="AH301">
        <f>IF(ISNUMBER(INDEX('Loans'!$G:$G,ROW())),1,0)</f>
        <v/>
      </c>
    </row>
    <row r="302">
      <c r="A302">
        <f>TRIM(SUBSTITUTE(INDEX('Term investments'!$A:$A,ROW())&amp;""," "," "))</f>
        <v/>
      </c>
      <c r="B302">
        <f>TRIM(SUBSTITUTE(INDEX('Term investments'!$B:$B,ROW())&amp;""," "," "))</f>
        <v/>
      </c>
      <c r="C302">
        <f>TRIM(SUBSTITUTE(INDEX('Term investments'!$C:$C,ROW())&amp;""," "," "))</f>
        <v/>
      </c>
      <c r="D302">
        <f>IFERROR(--INDEX('Term investments'!$D:$D,ROW()),0)</f>
        <v/>
      </c>
      <c r="E302">
        <f>IFERROR(--INDEX('Term investments'!$E:$E,ROW()),0)</f>
        <v/>
      </c>
      <c r="F302">
        <f>IFERROR(--INDEX('Term investments'!$F:$F,ROW()),0)</f>
        <v/>
      </c>
      <c r="G302">
        <f>IFERROR(IF(--INDEX('Term investments'!$G:$G,ROW())&gt;=1,--INDEX('Term investments'!$G:$G,ROW())/100,--INDEX('Term investments'!$G:$G,ROW())),0)</f>
        <v/>
      </c>
      <c r="H302">
        <f>IFERROR(--INDEX('Term investments'!$H:$H,ROW()),0)</f>
        <v/>
      </c>
      <c r="I302">
        <f>IF(ISNUMBER(INDEX('Term investments'!$G:$G,ROW())),1,0)</f>
        <v/>
      </c>
      <c r="J302">
        <f>TRIM(SUBSTITUTE(INDEX('Call accounts and MMFs'!$A:$A,ROW())&amp;""," "," "))</f>
        <v/>
      </c>
      <c r="K302">
        <f>TRIM(SUBSTITUTE(INDEX('Call accounts and MMFs'!$B:$B,ROW())&amp;""," "," "))</f>
        <v/>
      </c>
      <c r="L302">
        <f>TRIM(SUBSTITUTE(INDEX('Call accounts and MMFs'!$C:$C,ROW())&amp;""," "," "))</f>
        <v/>
      </c>
      <c r="M302">
        <f>IFERROR(--INDEX('Call accounts and MMFs'!$D:$D,ROW()),0)</f>
        <v/>
      </c>
      <c r="N302">
        <f>IFERROR(IF(--INDEX('Call accounts and MMFs'!$E:$E,ROW())&gt;=1,--INDEX('Call accounts and MMFs'!$E:$E,ROW())/100,--INDEX('Call accounts and MMFs'!$E:$E,ROW())),0)</f>
        <v/>
      </c>
      <c r="O302">
        <f>IFERROR(--INDEX('Call accounts and MMFs'!$F:$F,ROW()),0)</f>
        <v/>
      </c>
      <c r="P302">
        <f>IF(ISNUMBER(INDEX('Call accounts and MMFs'!$E:$E,ROW())),1,0)</f>
        <v/>
      </c>
      <c r="Q302">
        <f>TRIM(SUBSTITUTE(INDEX('Pooled funds'!$B:$B,ROW())&amp;""," "," "))</f>
        <v/>
      </c>
      <c r="R302">
        <f>IFERROR(--INDEX('Pooled funds'!$C:$C,ROW()),0)</f>
        <v/>
      </c>
      <c r="S302">
        <f>IFERROR(--INDEX('Pooled funds'!$D:$D,ROW()),0)</f>
        <v/>
      </c>
      <c r="T302">
        <f>IFERROR(IF(--INDEX('Pooled funds'!$E:$E,ROW())&gt;=1,--INDEX('Pooled funds'!$E:$E,ROW())/100,--INDEX('Pooled funds'!$E:$E,ROW())),0)</f>
        <v/>
      </c>
      <c r="U302">
        <f>IF(ISNUMBER(INDEX('Pooled funds'!$E:$E,ROW())),1,0)</f>
        <v/>
      </c>
      <c r="V302">
        <f>TRIM(SUBSTITUTE(INDEX('Loans'!$A:$A,ROW())&amp;""," "," "))</f>
        <v/>
      </c>
      <c r="W302">
        <f>TRIM(SUBSTITUTE(INDEX('Loans'!$B:$B,ROW())&amp;""," "," "))</f>
        <v/>
      </c>
      <c r="X302">
        <f>TRIM(SUBSTITUTE(INDEX('Loans'!$C:$C,ROW())&amp;""," "," "))</f>
        <v/>
      </c>
      <c r="Y302">
        <f>IFERROR(--INDEX('Loans'!$D:$D,ROW()),0)</f>
        <v/>
      </c>
      <c r="Z302">
        <f>IFERROR(--INDEX('Loans'!$E:$E,ROW()),0)</f>
        <v/>
      </c>
      <c r="AA302">
        <f>IFERROR(--INDEX('Loans'!$F:$F,ROW()),0)</f>
        <v/>
      </c>
      <c r="AB302">
        <f>IFERROR(IF(--INDEX('Loans'!$G:$G,ROW())&gt;=1,--INDEX('Loans'!$G:$G,ROW())/100,--INDEX('Loans'!$G:$G,ROW())),0)</f>
        <v/>
      </c>
      <c r="AC302">
        <f>TRIM(SUBSTITUTE(INDEX('Loans'!$H:$H,ROW())&amp;""," "," "))</f>
        <v/>
      </c>
      <c r="AD302">
        <f>TRIM(SUBSTITUTE(INDEX('Loans'!$I:$I,ROW())&amp;""," "," "))</f>
        <v/>
      </c>
      <c r="AE302">
        <f>IFERROR(--INDEX('Loans'!$J:$J,ROW()),0)</f>
        <v/>
      </c>
      <c r="AF302">
        <f>TRIM(SUBSTITUTE(INDEX('Loans'!$K:$K,ROW())&amp;""," "," "))</f>
        <v/>
      </c>
      <c r="AG302">
        <f>IFERROR(--INDEX('Loans'!$L:$L,ROW()),0)</f>
        <v/>
      </c>
      <c r="AH302">
        <f>IF(ISNUMBER(INDEX('Loans'!$G:$G,ROW())),1,0)</f>
        <v/>
      </c>
    </row>
    <row r="303">
      <c r="A303">
        <f>TRIM(SUBSTITUTE(INDEX('Term investments'!$A:$A,ROW())&amp;""," "," "))</f>
        <v/>
      </c>
      <c r="B303">
        <f>TRIM(SUBSTITUTE(INDEX('Term investments'!$B:$B,ROW())&amp;""," "," "))</f>
        <v/>
      </c>
      <c r="C303">
        <f>TRIM(SUBSTITUTE(INDEX('Term investments'!$C:$C,ROW())&amp;""," "," "))</f>
        <v/>
      </c>
      <c r="D303">
        <f>IFERROR(--INDEX('Term investments'!$D:$D,ROW()),0)</f>
        <v/>
      </c>
      <c r="E303">
        <f>IFERROR(--INDEX('Term investments'!$E:$E,ROW()),0)</f>
        <v/>
      </c>
      <c r="F303">
        <f>IFERROR(--INDEX('Term investments'!$F:$F,ROW()),0)</f>
        <v/>
      </c>
      <c r="G303">
        <f>IFERROR(IF(--INDEX('Term investments'!$G:$G,ROW())&gt;=1,--INDEX('Term investments'!$G:$G,ROW())/100,--INDEX('Term investments'!$G:$G,ROW())),0)</f>
        <v/>
      </c>
      <c r="H303">
        <f>IFERROR(--INDEX('Term investments'!$H:$H,ROW()),0)</f>
        <v/>
      </c>
      <c r="I303">
        <f>IF(ISNUMBER(INDEX('Term investments'!$G:$G,ROW())),1,0)</f>
        <v/>
      </c>
      <c r="J303">
        <f>TRIM(SUBSTITUTE(INDEX('Call accounts and MMFs'!$A:$A,ROW())&amp;""," "," "))</f>
        <v/>
      </c>
      <c r="K303">
        <f>TRIM(SUBSTITUTE(INDEX('Call accounts and MMFs'!$B:$B,ROW())&amp;""," "," "))</f>
        <v/>
      </c>
      <c r="L303">
        <f>TRIM(SUBSTITUTE(INDEX('Call accounts and MMFs'!$C:$C,ROW())&amp;""," "," "))</f>
        <v/>
      </c>
      <c r="M303">
        <f>IFERROR(--INDEX('Call accounts and MMFs'!$D:$D,ROW()),0)</f>
        <v/>
      </c>
      <c r="N303">
        <f>IFERROR(IF(--INDEX('Call accounts and MMFs'!$E:$E,ROW())&gt;=1,--INDEX('Call accounts and MMFs'!$E:$E,ROW())/100,--INDEX('Call accounts and MMFs'!$E:$E,ROW())),0)</f>
        <v/>
      </c>
      <c r="O303">
        <f>IFERROR(--INDEX('Call accounts and MMFs'!$F:$F,ROW()),0)</f>
        <v/>
      </c>
      <c r="P303">
        <f>IF(ISNUMBER(INDEX('Call accounts and MMFs'!$E:$E,ROW())),1,0)</f>
        <v/>
      </c>
      <c r="Q303">
        <f>TRIM(SUBSTITUTE(INDEX('Pooled funds'!$B:$B,ROW())&amp;""," "," "))</f>
        <v/>
      </c>
      <c r="R303">
        <f>IFERROR(--INDEX('Pooled funds'!$C:$C,ROW()),0)</f>
        <v/>
      </c>
      <c r="S303">
        <f>IFERROR(--INDEX('Pooled funds'!$D:$D,ROW()),0)</f>
        <v/>
      </c>
      <c r="T303">
        <f>IFERROR(IF(--INDEX('Pooled funds'!$E:$E,ROW())&gt;=1,--INDEX('Pooled funds'!$E:$E,ROW())/100,--INDEX('Pooled funds'!$E:$E,ROW())),0)</f>
        <v/>
      </c>
      <c r="U303">
        <f>IF(ISNUMBER(INDEX('Pooled funds'!$E:$E,ROW())),1,0)</f>
        <v/>
      </c>
      <c r="V303">
        <f>TRIM(SUBSTITUTE(INDEX('Loans'!$A:$A,ROW())&amp;""," "," "))</f>
        <v/>
      </c>
      <c r="W303">
        <f>TRIM(SUBSTITUTE(INDEX('Loans'!$B:$B,ROW())&amp;""," "," "))</f>
        <v/>
      </c>
      <c r="X303">
        <f>TRIM(SUBSTITUTE(INDEX('Loans'!$C:$C,ROW())&amp;""," "," "))</f>
        <v/>
      </c>
      <c r="Y303">
        <f>IFERROR(--INDEX('Loans'!$D:$D,ROW()),0)</f>
        <v/>
      </c>
      <c r="Z303">
        <f>IFERROR(--INDEX('Loans'!$E:$E,ROW()),0)</f>
        <v/>
      </c>
      <c r="AA303">
        <f>IFERROR(--INDEX('Loans'!$F:$F,ROW()),0)</f>
        <v/>
      </c>
      <c r="AB303">
        <f>IFERROR(IF(--INDEX('Loans'!$G:$G,ROW())&gt;=1,--INDEX('Loans'!$G:$G,ROW())/100,--INDEX('Loans'!$G:$G,ROW())),0)</f>
        <v/>
      </c>
      <c r="AC303">
        <f>TRIM(SUBSTITUTE(INDEX('Loans'!$H:$H,ROW())&amp;""," "," "))</f>
        <v/>
      </c>
      <c r="AD303">
        <f>TRIM(SUBSTITUTE(INDEX('Loans'!$I:$I,ROW())&amp;""," "," "))</f>
        <v/>
      </c>
      <c r="AE303">
        <f>IFERROR(--INDEX('Loans'!$J:$J,ROW()),0)</f>
        <v/>
      </c>
      <c r="AF303">
        <f>TRIM(SUBSTITUTE(INDEX('Loans'!$K:$K,ROW())&amp;""," "," "))</f>
        <v/>
      </c>
      <c r="AG303">
        <f>IFERROR(--INDEX('Loans'!$L:$L,ROW()),0)</f>
        <v/>
      </c>
      <c r="AH303">
        <f>IF(ISNUMBER(INDEX('Loans'!$G:$G,ROW())),1,0)</f>
        <v/>
      </c>
    </row>
    <row r="304">
      <c r="A304">
        <f>TRIM(SUBSTITUTE(INDEX('Term investments'!$A:$A,ROW())&amp;""," "," "))</f>
        <v/>
      </c>
      <c r="B304">
        <f>TRIM(SUBSTITUTE(INDEX('Term investments'!$B:$B,ROW())&amp;""," "," "))</f>
        <v/>
      </c>
      <c r="C304">
        <f>TRIM(SUBSTITUTE(INDEX('Term investments'!$C:$C,ROW())&amp;""," "," "))</f>
        <v/>
      </c>
      <c r="D304">
        <f>IFERROR(--INDEX('Term investments'!$D:$D,ROW()),0)</f>
        <v/>
      </c>
      <c r="E304">
        <f>IFERROR(--INDEX('Term investments'!$E:$E,ROW()),0)</f>
        <v/>
      </c>
      <c r="F304">
        <f>IFERROR(--INDEX('Term investments'!$F:$F,ROW()),0)</f>
        <v/>
      </c>
      <c r="G304">
        <f>IFERROR(IF(--INDEX('Term investments'!$G:$G,ROW())&gt;=1,--INDEX('Term investments'!$G:$G,ROW())/100,--INDEX('Term investments'!$G:$G,ROW())),0)</f>
        <v/>
      </c>
      <c r="H304">
        <f>IFERROR(--INDEX('Term investments'!$H:$H,ROW()),0)</f>
        <v/>
      </c>
      <c r="I304">
        <f>IF(ISNUMBER(INDEX('Term investments'!$G:$G,ROW())),1,0)</f>
        <v/>
      </c>
      <c r="J304">
        <f>TRIM(SUBSTITUTE(INDEX('Call accounts and MMFs'!$A:$A,ROW())&amp;""," "," "))</f>
        <v/>
      </c>
      <c r="K304">
        <f>TRIM(SUBSTITUTE(INDEX('Call accounts and MMFs'!$B:$B,ROW())&amp;""," "," "))</f>
        <v/>
      </c>
      <c r="L304">
        <f>TRIM(SUBSTITUTE(INDEX('Call accounts and MMFs'!$C:$C,ROW())&amp;""," "," "))</f>
        <v/>
      </c>
      <c r="M304">
        <f>IFERROR(--INDEX('Call accounts and MMFs'!$D:$D,ROW()),0)</f>
        <v/>
      </c>
      <c r="N304">
        <f>IFERROR(IF(--INDEX('Call accounts and MMFs'!$E:$E,ROW())&gt;=1,--INDEX('Call accounts and MMFs'!$E:$E,ROW())/100,--INDEX('Call accounts and MMFs'!$E:$E,ROW())),0)</f>
        <v/>
      </c>
      <c r="O304">
        <f>IFERROR(--INDEX('Call accounts and MMFs'!$F:$F,ROW()),0)</f>
        <v/>
      </c>
      <c r="P304">
        <f>IF(ISNUMBER(INDEX('Call accounts and MMFs'!$E:$E,ROW())),1,0)</f>
        <v/>
      </c>
      <c r="Q304">
        <f>TRIM(SUBSTITUTE(INDEX('Pooled funds'!$B:$B,ROW())&amp;""," "," "))</f>
        <v/>
      </c>
      <c r="R304">
        <f>IFERROR(--INDEX('Pooled funds'!$C:$C,ROW()),0)</f>
        <v/>
      </c>
      <c r="S304">
        <f>IFERROR(--INDEX('Pooled funds'!$D:$D,ROW()),0)</f>
        <v/>
      </c>
      <c r="T304">
        <f>IFERROR(IF(--INDEX('Pooled funds'!$E:$E,ROW())&gt;=1,--INDEX('Pooled funds'!$E:$E,ROW())/100,--INDEX('Pooled funds'!$E:$E,ROW())),0)</f>
        <v/>
      </c>
      <c r="U304">
        <f>IF(ISNUMBER(INDEX('Pooled funds'!$E:$E,ROW())),1,0)</f>
        <v/>
      </c>
      <c r="V304">
        <f>TRIM(SUBSTITUTE(INDEX('Loans'!$A:$A,ROW())&amp;""," "," "))</f>
        <v/>
      </c>
      <c r="W304">
        <f>TRIM(SUBSTITUTE(INDEX('Loans'!$B:$B,ROW())&amp;""," "," "))</f>
        <v/>
      </c>
      <c r="X304">
        <f>TRIM(SUBSTITUTE(INDEX('Loans'!$C:$C,ROW())&amp;""," "," "))</f>
        <v/>
      </c>
      <c r="Y304">
        <f>IFERROR(--INDEX('Loans'!$D:$D,ROW()),0)</f>
        <v/>
      </c>
      <c r="Z304">
        <f>IFERROR(--INDEX('Loans'!$E:$E,ROW()),0)</f>
        <v/>
      </c>
      <c r="AA304">
        <f>IFERROR(--INDEX('Loans'!$F:$F,ROW()),0)</f>
        <v/>
      </c>
      <c r="AB304">
        <f>IFERROR(IF(--INDEX('Loans'!$G:$G,ROW())&gt;=1,--INDEX('Loans'!$G:$G,ROW())/100,--INDEX('Loans'!$G:$G,ROW())),0)</f>
        <v/>
      </c>
      <c r="AC304">
        <f>TRIM(SUBSTITUTE(INDEX('Loans'!$H:$H,ROW())&amp;""," "," "))</f>
        <v/>
      </c>
      <c r="AD304">
        <f>TRIM(SUBSTITUTE(INDEX('Loans'!$I:$I,ROW())&amp;""," "," "))</f>
        <v/>
      </c>
      <c r="AE304">
        <f>IFERROR(--INDEX('Loans'!$J:$J,ROW()),0)</f>
        <v/>
      </c>
      <c r="AF304">
        <f>TRIM(SUBSTITUTE(INDEX('Loans'!$K:$K,ROW())&amp;""," "," "))</f>
        <v/>
      </c>
      <c r="AG304">
        <f>IFERROR(--INDEX('Loans'!$L:$L,ROW()),0)</f>
        <v/>
      </c>
      <c r="AH304">
        <f>IF(ISNUMBER(INDEX('Loans'!$G:$G,ROW())),1,0)</f>
        <v/>
      </c>
    </row>
    <row r="305">
      <c r="A305">
        <f>TRIM(SUBSTITUTE(INDEX('Term investments'!$A:$A,ROW())&amp;""," "," "))</f>
        <v/>
      </c>
      <c r="B305">
        <f>TRIM(SUBSTITUTE(INDEX('Term investments'!$B:$B,ROW())&amp;""," "," "))</f>
        <v/>
      </c>
      <c r="C305">
        <f>TRIM(SUBSTITUTE(INDEX('Term investments'!$C:$C,ROW())&amp;""," "," "))</f>
        <v/>
      </c>
      <c r="D305">
        <f>IFERROR(--INDEX('Term investments'!$D:$D,ROW()),0)</f>
        <v/>
      </c>
      <c r="E305">
        <f>IFERROR(--INDEX('Term investments'!$E:$E,ROW()),0)</f>
        <v/>
      </c>
      <c r="F305">
        <f>IFERROR(--INDEX('Term investments'!$F:$F,ROW()),0)</f>
        <v/>
      </c>
      <c r="G305">
        <f>IFERROR(IF(--INDEX('Term investments'!$G:$G,ROW())&gt;=1,--INDEX('Term investments'!$G:$G,ROW())/100,--INDEX('Term investments'!$G:$G,ROW())),0)</f>
        <v/>
      </c>
      <c r="H305">
        <f>IFERROR(--INDEX('Term investments'!$H:$H,ROW()),0)</f>
        <v/>
      </c>
      <c r="I305">
        <f>IF(ISNUMBER(INDEX('Term investments'!$G:$G,ROW())),1,0)</f>
        <v/>
      </c>
      <c r="J305">
        <f>TRIM(SUBSTITUTE(INDEX('Call accounts and MMFs'!$A:$A,ROW())&amp;""," "," "))</f>
        <v/>
      </c>
      <c r="K305">
        <f>TRIM(SUBSTITUTE(INDEX('Call accounts and MMFs'!$B:$B,ROW())&amp;""," "," "))</f>
        <v/>
      </c>
      <c r="L305">
        <f>TRIM(SUBSTITUTE(INDEX('Call accounts and MMFs'!$C:$C,ROW())&amp;""," "," "))</f>
        <v/>
      </c>
      <c r="M305">
        <f>IFERROR(--INDEX('Call accounts and MMFs'!$D:$D,ROW()),0)</f>
        <v/>
      </c>
      <c r="N305">
        <f>IFERROR(IF(--INDEX('Call accounts and MMFs'!$E:$E,ROW())&gt;=1,--INDEX('Call accounts and MMFs'!$E:$E,ROW())/100,--INDEX('Call accounts and MMFs'!$E:$E,ROW())),0)</f>
        <v/>
      </c>
      <c r="O305">
        <f>IFERROR(--INDEX('Call accounts and MMFs'!$F:$F,ROW()),0)</f>
        <v/>
      </c>
      <c r="P305">
        <f>IF(ISNUMBER(INDEX('Call accounts and MMFs'!$E:$E,ROW())),1,0)</f>
        <v/>
      </c>
      <c r="Q305">
        <f>TRIM(SUBSTITUTE(INDEX('Pooled funds'!$B:$B,ROW())&amp;""," "," "))</f>
        <v/>
      </c>
      <c r="R305">
        <f>IFERROR(--INDEX('Pooled funds'!$C:$C,ROW()),0)</f>
        <v/>
      </c>
      <c r="S305">
        <f>IFERROR(--INDEX('Pooled funds'!$D:$D,ROW()),0)</f>
        <v/>
      </c>
      <c r="T305">
        <f>IFERROR(IF(--INDEX('Pooled funds'!$E:$E,ROW())&gt;=1,--INDEX('Pooled funds'!$E:$E,ROW())/100,--INDEX('Pooled funds'!$E:$E,ROW())),0)</f>
        <v/>
      </c>
      <c r="U305">
        <f>IF(ISNUMBER(INDEX('Pooled funds'!$E:$E,ROW())),1,0)</f>
        <v/>
      </c>
      <c r="V305">
        <f>TRIM(SUBSTITUTE(INDEX('Loans'!$A:$A,ROW())&amp;""," "," "))</f>
        <v/>
      </c>
      <c r="W305">
        <f>TRIM(SUBSTITUTE(INDEX('Loans'!$B:$B,ROW())&amp;""," "," "))</f>
        <v/>
      </c>
      <c r="X305">
        <f>TRIM(SUBSTITUTE(INDEX('Loans'!$C:$C,ROW())&amp;""," "," "))</f>
        <v/>
      </c>
      <c r="Y305">
        <f>IFERROR(--INDEX('Loans'!$D:$D,ROW()),0)</f>
        <v/>
      </c>
      <c r="Z305">
        <f>IFERROR(--INDEX('Loans'!$E:$E,ROW()),0)</f>
        <v/>
      </c>
      <c r="AA305">
        <f>IFERROR(--INDEX('Loans'!$F:$F,ROW()),0)</f>
        <v/>
      </c>
      <c r="AB305">
        <f>IFERROR(IF(--INDEX('Loans'!$G:$G,ROW())&gt;=1,--INDEX('Loans'!$G:$G,ROW())/100,--INDEX('Loans'!$G:$G,ROW())),0)</f>
        <v/>
      </c>
      <c r="AC305">
        <f>TRIM(SUBSTITUTE(INDEX('Loans'!$H:$H,ROW())&amp;""," "," "))</f>
        <v/>
      </c>
      <c r="AD305">
        <f>TRIM(SUBSTITUTE(INDEX('Loans'!$I:$I,ROW())&amp;""," "," "))</f>
        <v/>
      </c>
      <c r="AE305">
        <f>IFERROR(--INDEX('Loans'!$J:$J,ROW()),0)</f>
        <v/>
      </c>
      <c r="AF305">
        <f>TRIM(SUBSTITUTE(INDEX('Loans'!$K:$K,ROW())&amp;""," "," "))</f>
        <v/>
      </c>
      <c r="AG305">
        <f>IFERROR(--INDEX('Loans'!$L:$L,ROW()),0)</f>
        <v/>
      </c>
      <c r="AH305">
        <f>IF(ISNUMBER(INDEX('Loans'!$G:$G,ROW())),1,0)</f>
        <v/>
      </c>
    </row>
    <row r="306">
      <c r="A306">
        <f>TRIM(SUBSTITUTE(INDEX('Term investments'!$A:$A,ROW())&amp;""," "," "))</f>
        <v/>
      </c>
      <c r="B306">
        <f>TRIM(SUBSTITUTE(INDEX('Term investments'!$B:$B,ROW())&amp;""," "," "))</f>
        <v/>
      </c>
      <c r="C306">
        <f>TRIM(SUBSTITUTE(INDEX('Term investments'!$C:$C,ROW())&amp;""," "," "))</f>
        <v/>
      </c>
      <c r="D306">
        <f>IFERROR(--INDEX('Term investments'!$D:$D,ROW()),0)</f>
        <v/>
      </c>
      <c r="E306">
        <f>IFERROR(--INDEX('Term investments'!$E:$E,ROW()),0)</f>
        <v/>
      </c>
      <c r="F306">
        <f>IFERROR(--INDEX('Term investments'!$F:$F,ROW()),0)</f>
        <v/>
      </c>
      <c r="G306">
        <f>IFERROR(IF(--INDEX('Term investments'!$G:$G,ROW())&gt;=1,--INDEX('Term investments'!$G:$G,ROW())/100,--INDEX('Term investments'!$G:$G,ROW())),0)</f>
        <v/>
      </c>
      <c r="H306">
        <f>IFERROR(--INDEX('Term investments'!$H:$H,ROW()),0)</f>
        <v/>
      </c>
      <c r="I306">
        <f>IF(ISNUMBER(INDEX('Term investments'!$G:$G,ROW())),1,0)</f>
        <v/>
      </c>
      <c r="J306">
        <f>TRIM(SUBSTITUTE(INDEX('Call accounts and MMFs'!$A:$A,ROW())&amp;""," "," "))</f>
        <v/>
      </c>
      <c r="K306">
        <f>TRIM(SUBSTITUTE(INDEX('Call accounts and MMFs'!$B:$B,ROW())&amp;""," "," "))</f>
        <v/>
      </c>
      <c r="L306">
        <f>TRIM(SUBSTITUTE(INDEX('Call accounts and MMFs'!$C:$C,ROW())&amp;""," "," "))</f>
        <v/>
      </c>
      <c r="M306">
        <f>IFERROR(--INDEX('Call accounts and MMFs'!$D:$D,ROW()),0)</f>
        <v/>
      </c>
      <c r="N306">
        <f>IFERROR(IF(--INDEX('Call accounts and MMFs'!$E:$E,ROW())&gt;=1,--INDEX('Call accounts and MMFs'!$E:$E,ROW())/100,--INDEX('Call accounts and MMFs'!$E:$E,ROW())),0)</f>
        <v/>
      </c>
      <c r="O306">
        <f>IFERROR(--INDEX('Call accounts and MMFs'!$F:$F,ROW()),0)</f>
        <v/>
      </c>
      <c r="P306">
        <f>IF(ISNUMBER(INDEX('Call accounts and MMFs'!$E:$E,ROW())),1,0)</f>
        <v/>
      </c>
      <c r="Q306">
        <f>TRIM(SUBSTITUTE(INDEX('Pooled funds'!$B:$B,ROW())&amp;""," "," "))</f>
        <v/>
      </c>
      <c r="R306">
        <f>IFERROR(--INDEX('Pooled funds'!$C:$C,ROW()),0)</f>
        <v/>
      </c>
      <c r="S306">
        <f>IFERROR(--INDEX('Pooled funds'!$D:$D,ROW()),0)</f>
        <v/>
      </c>
      <c r="T306">
        <f>IFERROR(IF(--INDEX('Pooled funds'!$E:$E,ROW())&gt;=1,--INDEX('Pooled funds'!$E:$E,ROW())/100,--INDEX('Pooled funds'!$E:$E,ROW())),0)</f>
        <v/>
      </c>
      <c r="U306">
        <f>IF(ISNUMBER(INDEX('Pooled funds'!$E:$E,ROW())),1,0)</f>
        <v/>
      </c>
      <c r="V306">
        <f>TRIM(SUBSTITUTE(INDEX('Loans'!$A:$A,ROW())&amp;""," "," "))</f>
        <v/>
      </c>
      <c r="W306">
        <f>TRIM(SUBSTITUTE(INDEX('Loans'!$B:$B,ROW())&amp;""," "," "))</f>
        <v/>
      </c>
      <c r="X306">
        <f>TRIM(SUBSTITUTE(INDEX('Loans'!$C:$C,ROW())&amp;""," "," "))</f>
        <v/>
      </c>
      <c r="Y306">
        <f>IFERROR(--INDEX('Loans'!$D:$D,ROW()),0)</f>
        <v/>
      </c>
      <c r="Z306">
        <f>IFERROR(--INDEX('Loans'!$E:$E,ROW()),0)</f>
        <v/>
      </c>
      <c r="AA306">
        <f>IFERROR(--INDEX('Loans'!$F:$F,ROW()),0)</f>
        <v/>
      </c>
      <c r="AB306">
        <f>IFERROR(IF(--INDEX('Loans'!$G:$G,ROW())&gt;=1,--INDEX('Loans'!$G:$G,ROW())/100,--INDEX('Loans'!$G:$G,ROW())),0)</f>
        <v/>
      </c>
      <c r="AC306">
        <f>TRIM(SUBSTITUTE(INDEX('Loans'!$H:$H,ROW())&amp;""," "," "))</f>
        <v/>
      </c>
      <c r="AD306">
        <f>TRIM(SUBSTITUTE(INDEX('Loans'!$I:$I,ROW())&amp;""," "," "))</f>
        <v/>
      </c>
      <c r="AE306">
        <f>IFERROR(--INDEX('Loans'!$J:$J,ROW()),0)</f>
        <v/>
      </c>
      <c r="AF306">
        <f>TRIM(SUBSTITUTE(INDEX('Loans'!$K:$K,ROW())&amp;""," "," "))</f>
        <v/>
      </c>
      <c r="AG306">
        <f>IFERROR(--INDEX('Loans'!$L:$L,ROW()),0)</f>
        <v/>
      </c>
      <c r="AH306">
        <f>IF(ISNUMBER(INDEX('Loans'!$G:$G,ROW())),1,0)</f>
        <v/>
      </c>
    </row>
    <row r="307">
      <c r="A307">
        <f>TRIM(SUBSTITUTE(INDEX('Term investments'!$A:$A,ROW())&amp;""," "," "))</f>
        <v/>
      </c>
      <c r="B307">
        <f>TRIM(SUBSTITUTE(INDEX('Term investments'!$B:$B,ROW())&amp;""," "," "))</f>
        <v/>
      </c>
      <c r="C307">
        <f>TRIM(SUBSTITUTE(INDEX('Term investments'!$C:$C,ROW())&amp;""," "," "))</f>
        <v/>
      </c>
      <c r="D307">
        <f>IFERROR(--INDEX('Term investments'!$D:$D,ROW()),0)</f>
        <v/>
      </c>
      <c r="E307">
        <f>IFERROR(--INDEX('Term investments'!$E:$E,ROW()),0)</f>
        <v/>
      </c>
      <c r="F307">
        <f>IFERROR(--INDEX('Term investments'!$F:$F,ROW()),0)</f>
        <v/>
      </c>
      <c r="G307">
        <f>IFERROR(IF(--INDEX('Term investments'!$G:$G,ROW())&gt;=1,--INDEX('Term investments'!$G:$G,ROW())/100,--INDEX('Term investments'!$G:$G,ROW())),0)</f>
        <v/>
      </c>
      <c r="H307">
        <f>IFERROR(--INDEX('Term investments'!$H:$H,ROW()),0)</f>
        <v/>
      </c>
      <c r="I307">
        <f>IF(ISNUMBER(INDEX('Term investments'!$G:$G,ROW())),1,0)</f>
        <v/>
      </c>
      <c r="J307">
        <f>TRIM(SUBSTITUTE(INDEX('Call accounts and MMFs'!$A:$A,ROW())&amp;""," "," "))</f>
        <v/>
      </c>
      <c r="K307">
        <f>TRIM(SUBSTITUTE(INDEX('Call accounts and MMFs'!$B:$B,ROW())&amp;""," "," "))</f>
        <v/>
      </c>
      <c r="L307">
        <f>TRIM(SUBSTITUTE(INDEX('Call accounts and MMFs'!$C:$C,ROW())&amp;""," "," "))</f>
        <v/>
      </c>
      <c r="M307">
        <f>IFERROR(--INDEX('Call accounts and MMFs'!$D:$D,ROW()),0)</f>
        <v/>
      </c>
      <c r="N307">
        <f>IFERROR(IF(--INDEX('Call accounts and MMFs'!$E:$E,ROW())&gt;=1,--INDEX('Call accounts and MMFs'!$E:$E,ROW())/100,--INDEX('Call accounts and MMFs'!$E:$E,ROW())),0)</f>
        <v/>
      </c>
      <c r="O307">
        <f>IFERROR(--INDEX('Call accounts and MMFs'!$F:$F,ROW()),0)</f>
        <v/>
      </c>
      <c r="P307">
        <f>IF(ISNUMBER(INDEX('Call accounts and MMFs'!$E:$E,ROW())),1,0)</f>
        <v/>
      </c>
      <c r="Q307">
        <f>TRIM(SUBSTITUTE(INDEX('Pooled funds'!$B:$B,ROW())&amp;""," "," "))</f>
        <v/>
      </c>
      <c r="R307">
        <f>IFERROR(--INDEX('Pooled funds'!$C:$C,ROW()),0)</f>
        <v/>
      </c>
      <c r="S307">
        <f>IFERROR(--INDEX('Pooled funds'!$D:$D,ROW()),0)</f>
        <v/>
      </c>
      <c r="T307">
        <f>IFERROR(IF(--INDEX('Pooled funds'!$E:$E,ROW())&gt;=1,--INDEX('Pooled funds'!$E:$E,ROW())/100,--INDEX('Pooled funds'!$E:$E,ROW())),0)</f>
        <v/>
      </c>
      <c r="U307">
        <f>IF(ISNUMBER(INDEX('Pooled funds'!$E:$E,ROW())),1,0)</f>
        <v/>
      </c>
      <c r="V307">
        <f>TRIM(SUBSTITUTE(INDEX('Loans'!$A:$A,ROW())&amp;""," "," "))</f>
        <v/>
      </c>
      <c r="W307">
        <f>TRIM(SUBSTITUTE(INDEX('Loans'!$B:$B,ROW())&amp;""," "," "))</f>
        <v/>
      </c>
      <c r="X307">
        <f>TRIM(SUBSTITUTE(INDEX('Loans'!$C:$C,ROW())&amp;""," "," "))</f>
        <v/>
      </c>
      <c r="Y307">
        <f>IFERROR(--INDEX('Loans'!$D:$D,ROW()),0)</f>
        <v/>
      </c>
      <c r="Z307">
        <f>IFERROR(--INDEX('Loans'!$E:$E,ROW()),0)</f>
        <v/>
      </c>
      <c r="AA307">
        <f>IFERROR(--INDEX('Loans'!$F:$F,ROW()),0)</f>
        <v/>
      </c>
      <c r="AB307">
        <f>IFERROR(IF(--INDEX('Loans'!$G:$G,ROW())&gt;=1,--INDEX('Loans'!$G:$G,ROW())/100,--INDEX('Loans'!$G:$G,ROW())),0)</f>
        <v/>
      </c>
      <c r="AC307">
        <f>TRIM(SUBSTITUTE(INDEX('Loans'!$H:$H,ROW())&amp;""," "," "))</f>
        <v/>
      </c>
      <c r="AD307">
        <f>TRIM(SUBSTITUTE(INDEX('Loans'!$I:$I,ROW())&amp;""," "," "))</f>
        <v/>
      </c>
      <c r="AE307">
        <f>IFERROR(--INDEX('Loans'!$J:$J,ROW()),0)</f>
        <v/>
      </c>
      <c r="AF307">
        <f>TRIM(SUBSTITUTE(INDEX('Loans'!$K:$K,ROW())&amp;""," "," "))</f>
        <v/>
      </c>
      <c r="AG307">
        <f>IFERROR(--INDEX('Loans'!$L:$L,ROW()),0)</f>
        <v/>
      </c>
      <c r="AH307">
        <f>IF(ISNUMBER(INDEX('Loans'!$G:$G,ROW())),1,0)</f>
        <v/>
      </c>
    </row>
    <row r="308">
      <c r="A308">
        <f>TRIM(SUBSTITUTE(INDEX('Term investments'!$A:$A,ROW())&amp;""," "," "))</f>
        <v/>
      </c>
      <c r="B308">
        <f>TRIM(SUBSTITUTE(INDEX('Term investments'!$B:$B,ROW())&amp;""," "," "))</f>
        <v/>
      </c>
      <c r="C308">
        <f>TRIM(SUBSTITUTE(INDEX('Term investments'!$C:$C,ROW())&amp;""," "," "))</f>
        <v/>
      </c>
      <c r="D308">
        <f>IFERROR(--INDEX('Term investments'!$D:$D,ROW()),0)</f>
        <v/>
      </c>
      <c r="E308">
        <f>IFERROR(--INDEX('Term investments'!$E:$E,ROW()),0)</f>
        <v/>
      </c>
      <c r="F308">
        <f>IFERROR(--INDEX('Term investments'!$F:$F,ROW()),0)</f>
        <v/>
      </c>
      <c r="G308">
        <f>IFERROR(IF(--INDEX('Term investments'!$G:$G,ROW())&gt;=1,--INDEX('Term investments'!$G:$G,ROW())/100,--INDEX('Term investments'!$G:$G,ROW())),0)</f>
        <v/>
      </c>
      <c r="H308">
        <f>IFERROR(--INDEX('Term investments'!$H:$H,ROW()),0)</f>
        <v/>
      </c>
      <c r="I308">
        <f>IF(ISNUMBER(INDEX('Term investments'!$G:$G,ROW())),1,0)</f>
        <v/>
      </c>
      <c r="J308">
        <f>TRIM(SUBSTITUTE(INDEX('Call accounts and MMFs'!$A:$A,ROW())&amp;""," "," "))</f>
        <v/>
      </c>
      <c r="K308">
        <f>TRIM(SUBSTITUTE(INDEX('Call accounts and MMFs'!$B:$B,ROW())&amp;""," "," "))</f>
        <v/>
      </c>
      <c r="L308">
        <f>TRIM(SUBSTITUTE(INDEX('Call accounts and MMFs'!$C:$C,ROW())&amp;""," "," "))</f>
        <v/>
      </c>
      <c r="M308">
        <f>IFERROR(--INDEX('Call accounts and MMFs'!$D:$D,ROW()),0)</f>
        <v/>
      </c>
      <c r="N308">
        <f>IFERROR(IF(--INDEX('Call accounts and MMFs'!$E:$E,ROW())&gt;=1,--INDEX('Call accounts and MMFs'!$E:$E,ROW())/100,--INDEX('Call accounts and MMFs'!$E:$E,ROW())),0)</f>
        <v/>
      </c>
      <c r="O308">
        <f>IFERROR(--INDEX('Call accounts and MMFs'!$F:$F,ROW()),0)</f>
        <v/>
      </c>
      <c r="P308">
        <f>IF(ISNUMBER(INDEX('Call accounts and MMFs'!$E:$E,ROW())),1,0)</f>
        <v/>
      </c>
      <c r="Q308">
        <f>TRIM(SUBSTITUTE(INDEX('Pooled funds'!$B:$B,ROW())&amp;""," "," "))</f>
        <v/>
      </c>
      <c r="R308">
        <f>IFERROR(--INDEX('Pooled funds'!$C:$C,ROW()),0)</f>
        <v/>
      </c>
      <c r="S308">
        <f>IFERROR(--INDEX('Pooled funds'!$D:$D,ROW()),0)</f>
        <v/>
      </c>
      <c r="T308">
        <f>IFERROR(IF(--INDEX('Pooled funds'!$E:$E,ROW())&gt;=1,--INDEX('Pooled funds'!$E:$E,ROW())/100,--INDEX('Pooled funds'!$E:$E,ROW())),0)</f>
        <v/>
      </c>
      <c r="U308">
        <f>IF(ISNUMBER(INDEX('Pooled funds'!$E:$E,ROW())),1,0)</f>
        <v/>
      </c>
      <c r="V308">
        <f>TRIM(SUBSTITUTE(INDEX('Loans'!$A:$A,ROW())&amp;""," "," "))</f>
        <v/>
      </c>
      <c r="W308">
        <f>TRIM(SUBSTITUTE(INDEX('Loans'!$B:$B,ROW())&amp;""," "," "))</f>
        <v/>
      </c>
      <c r="X308">
        <f>TRIM(SUBSTITUTE(INDEX('Loans'!$C:$C,ROW())&amp;""," "," "))</f>
        <v/>
      </c>
      <c r="Y308">
        <f>IFERROR(--INDEX('Loans'!$D:$D,ROW()),0)</f>
        <v/>
      </c>
      <c r="Z308">
        <f>IFERROR(--INDEX('Loans'!$E:$E,ROW()),0)</f>
        <v/>
      </c>
      <c r="AA308">
        <f>IFERROR(--INDEX('Loans'!$F:$F,ROW()),0)</f>
        <v/>
      </c>
      <c r="AB308">
        <f>IFERROR(IF(--INDEX('Loans'!$G:$G,ROW())&gt;=1,--INDEX('Loans'!$G:$G,ROW())/100,--INDEX('Loans'!$G:$G,ROW())),0)</f>
        <v/>
      </c>
      <c r="AC308">
        <f>TRIM(SUBSTITUTE(INDEX('Loans'!$H:$H,ROW())&amp;""," "," "))</f>
        <v/>
      </c>
      <c r="AD308">
        <f>TRIM(SUBSTITUTE(INDEX('Loans'!$I:$I,ROW())&amp;""," "," "))</f>
        <v/>
      </c>
      <c r="AE308">
        <f>IFERROR(--INDEX('Loans'!$J:$J,ROW()),0)</f>
        <v/>
      </c>
      <c r="AF308">
        <f>TRIM(SUBSTITUTE(INDEX('Loans'!$K:$K,ROW())&amp;""," "," "))</f>
        <v/>
      </c>
      <c r="AG308">
        <f>IFERROR(--INDEX('Loans'!$L:$L,ROW()),0)</f>
        <v/>
      </c>
      <c r="AH308">
        <f>IF(ISNUMBER(INDEX('Loans'!$G:$G,ROW())),1,0)</f>
        <v/>
      </c>
    </row>
    <row r="309">
      <c r="A309">
        <f>TRIM(SUBSTITUTE(INDEX('Term investments'!$A:$A,ROW())&amp;""," "," "))</f>
        <v/>
      </c>
      <c r="B309">
        <f>TRIM(SUBSTITUTE(INDEX('Term investments'!$B:$B,ROW())&amp;""," "," "))</f>
        <v/>
      </c>
      <c r="C309">
        <f>TRIM(SUBSTITUTE(INDEX('Term investments'!$C:$C,ROW())&amp;""," "," "))</f>
        <v/>
      </c>
      <c r="D309">
        <f>IFERROR(--INDEX('Term investments'!$D:$D,ROW()),0)</f>
        <v/>
      </c>
      <c r="E309">
        <f>IFERROR(--INDEX('Term investments'!$E:$E,ROW()),0)</f>
        <v/>
      </c>
      <c r="F309">
        <f>IFERROR(--INDEX('Term investments'!$F:$F,ROW()),0)</f>
        <v/>
      </c>
      <c r="G309">
        <f>IFERROR(IF(--INDEX('Term investments'!$G:$G,ROW())&gt;=1,--INDEX('Term investments'!$G:$G,ROW())/100,--INDEX('Term investments'!$G:$G,ROW())),0)</f>
        <v/>
      </c>
      <c r="H309">
        <f>IFERROR(--INDEX('Term investments'!$H:$H,ROW()),0)</f>
        <v/>
      </c>
      <c r="I309">
        <f>IF(ISNUMBER(INDEX('Term investments'!$G:$G,ROW())),1,0)</f>
        <v/>
      </c>
      <c r="J309">
        <f>TRIM(SUBSTITUTE(INDEX('Call accounts and MMFs'!$A:$A,ROW())&amp;""," "," "))</f>
        <v/>
      </c>
      <c r="K309">
        <f>TRIM(SUBSTITUTE(INDEX('Call accounts and MMFs'!$B:$B,ROW())&amp;""," "," "))</f>
        <v/>
      </c>
      <c r="L309">
        <f>TRIM(SUBSTITUTE(INDEX('Call accounts and MMFs'!$C:$C,ROW())&amp;""," "," "))</f>
        <v/>
      </c>
      <c r="M309">
        <f>IFERROR(--INDEX('Call accounts and MMFs'!$D:$D,ROW()),0)</f>
        <v/>
      </c>
      <c r="N309">
        <f>IFERROR(IF(--INDEX('Call accounts and MMFs'!$E:$E,ROW())&gt;=1,--INDEX('Call accounts and MMFs'!$E:$E,ROW())/100,--INDEX('Call accounts and MMFs'!$E:$E,ROW())),0)</f>
        <v/>
      </c>
      <c r="O309">
        <f>IFERROR(--INDEX('Call accounts and MMFs'!$F:$F,ROW()),0)</f>
        <v/>
      </c>
      <c r="P309">
        <f>IF(ISNUMBER(INDEX('Call accounts and MMFs'!$E:$E,ROW())),1,0)</f>
        <v/>
      </c>
      <c r="Q309">
        <f>TRIM(SUBSTITUTE(INDEX('Pooled funds'!$B:$B,ROW())&amp;""," "," "))</f>
        <v/>
      </c>
      <c r="R309">
        <f>IFERROR(--INDEX('Pooled funds'!$C:$C,ROW()),0)</f>
        <v/>
      </c>
      <c r="S309">
        <f>IFERROR(--INDEX('Pooled funds'!$D:$D,ROW()),0)</f>
        <v/>
      </c>
      <c r="T309">
        <f>IFERROR(IF(--INDEX('Pooled funds'!$E:$E,ROW())&gt;=1,--INDEX('Pooled funds'!$E:$E,ROW())/100,--INDEX('Pooled funds'!$E:$E,ROW())),0)</f>
        <v/>
      </c>
      <c r="U309">
        <f>IF(ISNUMBER(INDEX('Pooled funds'!$E:$E,ROW())),1,0)</f>
        <v/>
      </c>
      <c r="V309">
        <f>TRIM(SUBSTITUTE(INDEX('Loans'!$A:$A,ROW())&amp;""," "," "))</f>
        <v/>
      </c>
      <c r="W309">
        <f>TRIM(SUBSTITUTE(INDEX('Loans'!$B:$B,ROW())&amp;""," "," "))</f>
        <v/>
      </c>
      <c r="X309">
        <f>TRIM(SUBSTITUTE(INDEX('Loans'!$C:$C,ROW())&amp;""," "," "))</f>
        <v/>
      </c>
      <c r="Y309">
        <f>IFERROR(--INDEX('Loans'!$D:$D,ROW()),0)</f>
        <v/>
      </c>
      <c r="Z309">
        <f>IFERROR(--INDEX('Loans'!$E:$E,ROW()),0)</f>
        <v/>
      </c>
      <c r="AA309">
        <f>IFERROR(--INDEX('Loans'!$F:$F,ROW()),0)</f>
        <v/>
      </c>
      <c r="AB309">
        <f>IFERROR(IF(--INDEX('Loans'!$G:$G,ROW())&gt;=1,--INDEX('Loans'!$G:$G,ROW())/100,--INDEX('Loans'!$G:$G,ROW())),0)</f>
        <v/>
      </c>
      <c r="AC309">
        <f>TRIM(SUBSTITUTE(INDEX('Loans'!$H:$H,ROW())&amp;""," "," "))</f>
        <v/>
      </c>
      <c r="AD309">
        <f>TRIM(SUBSTITUTE(INDEX('Loans'!$I:$I,ROW())&amp;""," "," "))</f>
        <v/>
      </c>
      <c r="AE309">
        <f>IFERROR(--INDEX('Loans'!$J:$J,ROW()),0)</f>
        <v/>
      </c>
      <c r="AF309">
        <f>TRIM(SUBSTITUTE(INDEX('Loans'!$K:$K,ROW())&amp;""," "," "))</f>
        <v/>
      </c>
      <c r="AG309">
        <f>IFERROR(--INDEX('Loans'!$L:$L,ROW()),0)</f>
        <v/>
      </c>
      <c r="AH309">
        <f>IF(ISNUMBER(INDEX('Loans'!$G:$G,ROW())),1,0)</f>
        <v/>
      </c>
    </row>
    <row r="310">
      <c r="A310">
        <f>TRIM(SUBSTITUTE(INDEX('Term investments'!$A:$A,ROW())&amp;""," "," "))</f>
        <v/>
      </c>
      <c r="B310">
        <f>TRIM(SUBSTITUTE(INDEX('Term investments'!$B:$B,ROW())&amp;""," "," "))</f>
        <v/>
      </c>
      <c r="C310">
        <f>TRIM(SUBSTITUTE(INDEX('Term investments'!$C:$C,ROW())&amp;""," "," "))</f>
        <v/>
      </c>
      <c r="D310">
        <f>IFERROR(--INDEX('Term investments'!$D:$D,ROW()),0)</f>
        <v/>
      </c>
      <c r="E310">
        <f>IFERROR(--INDEX('Term investments'!$E:$E,ROW()),0)</f>
        <v/>
      </c>
      <c r="F310">
        <f>IFERROR(--INDEX('Term investments'!$F:$F,ROW()),0)</f>
        <v/>
      </c>
      <c r="G310">
        <f>IFERROR(IF(--INDEX('Term investments'!$G:$G,ROW())&gt;=1,--INDEX('Term investments'!$G:$G,ROW())/100,--INDEX('Term investments'!$G:$G,ROW())),0)</f>
        <v/>
      </c>
      <c r="H310">
        <f>IFERROR(--INDEX('Term investments'!$H:$H,ROW()),0)</f>
        <v/>
      </c>
      <c r="I310">
        <f>IF(ISNUMBER(INDEX('Term investments'!$G:$G,ROW())),1,0)</f>
        <v/>
      </c>
      <c r="J310">
        <f>TRIM(SUBSTITUTE(INDEX('Call accounts and MMFs'!$A:$A,ROW())&amp;""," "," "))</f>
        <v/>
      </c>
      <c r="K310">
        <f>TRIM(SUBSTITUTE(INDEX('Call accounts and MMFs'!$B:$B,ROW())&amp;""," "," "))</f>
        <v/>
      </c>
      <c r="L310">
        <f>TRIM(SUBSTITUTE(INDEX('Call accounts and MMFs'!$C:$C,ROW())&amp;""," "," "))</f>
        <v/>
      </c>
      <c r="M310">
        <f>IFERROR(--INDEX('Call accounts and MMFs'!$D:$D,ROW()),0)</f>
        <v/>
      </c>
      <c r="N310">
        <f>IFERROR(IF(--INDEX('Call accounts and MMFs'!$E:$E,ROW())&gt;=1,--INDEX('Call accounts and MMFs'!$E:$E,ROW())/100,--INDEX('Call accounts and MMFs'!$E:$E,ROW())),0)</f>
        <v/>
      </c>
      <c r="O310">
        <f>IFERROR(--INDEX('Call accounts and MMFs'!$F:$F,ROW()),0)</f>
        <v/>
      </c>
      <c r="P310">
        <f>IF(ISNUMBER(INDEX('Call accounts and MMFs'!$E:$E,ROW())),1,0)</f>
        <v/>
      </c>
      <c r="Q310">
        <f>TRIM(SUBSTITUTE(INDEX('Pooled funds'!$B:$B,ROW())&amp;""," "," "))</f>
        <v/>
      </c>
      <c r="R310">
        <f>IFERROR(--INDEX('Pooled funds'!$C:$C,ROW()),0)</f>
        <v/>
      </c>
      <c r="S310">
        <f>IFERROR(--INDEX('Pooled funds'!$D:$D,ROW()),0)</f>
        <v/>
      </c>
      <c r="T310">
        <f>IFERROR(IF(--INDEX('Pooled funds'!$E:$E,ROW())&gt;=1,--INDEX('Pooled funds'!$E:$E,ROW())/100,--INDEX('Pooled funds'!$E:$E,ROW())),0)</f>
        <v/>
      </c>
      <c r="U310">
        <f>IF(ISNUMBER(INDEX('Pooled funds'!$E:$E,ROW())),1,0)</f>
        <v/>
      </c>
      <c r="V310">
        <f>TRIM(SUBSTITUTE(INDEX('Loans'!$A:$A,ROW())&amp;""," "," "))</f>
        <v/>
      </c>
      <c r="W310">
        <f>TRIM(SUBSTITUTE(INDEX('Loans'!$B:$B,ROW())&amp;""," "," "))</f>
        <v/>
      </c>
      <c r="X310">
        <f>TRIM(SUBSTITUTE(INDEX('Loans'!$C:$C,ROW())&amp;""," "," "))</f>
        <v/>
      </c>
      <c r="Y310">
        <f>IFERROR(--INDEX('Loans'!$D:$D,ROW()),0)</f>
        <v/>
      </c>
      <c r="Z310">
        <f>IFERROR(--INDEX('Loans'!$E:$E,ROW()),0)</f>
        <v/>
      </c>
      <c r="AA310">
        <f>IFERROR(--INDEX('Loans'!$F:$F,ROW()),0)</f>
        <v/>
      </c>
      <c r="AB310">
        <f>IFERROR(IF(--INDEX('Loans'!$G:$G,ROW())&gt;=1,--INDEX('Loans'!$G:$G,ROW())/100,--INDEX('Loans'!$G:$G,ROW())),0)</f>
        <v/>
      </c>
      <c r="AC310">
        <f>TRIM(SUBSTITUTE(INDEX('Loans'!$H:$H,ROW())&amp;""," "," "))</f>
        <v/>
      </c>
      <c r="AD310">
        <f>TRIM(SUBSTITUTE(INDEX('Loans'!$I:$I,ROW())&amp;""," "," "))</f>
        <v/>
      </c>
      <c r="AE310">
        <f>IFERROR(--INDEX('Loans'!$J:$J,ROW()),0)</f>
        <v/>
      </c>
      <c r="AF310">
        <f>TRIM(SUBSTITUTE(INDEX('Loans'!$K:$K,ROW())&amp;""," "," "))</f>
        <v/>
      </c>
      <c r="AG310">
        <f>IFERROR(--INDEX('Loans'!$L:$L,ROW()),0)</f>
        <v/>
      </c>
      <c r="AH310">
        <f>IF(ISNUMBER(INDEX('Loans'!$G:$G,ROW())),1,0)</f>
        <v/>
      </c>
    </row>
    <row r="311">
      <c r="A311">
        <f>TRIM(SUBSTITUTE(INDEX('Term investments'!$A:$A,ROW())&amp;""," "," "))</f>
        <v/>
      </c>
      <c r="B311">
        <f>TRIM(SUBSTITUTE(INDEX('Term investments'!$B:$B,ROW())&amp;""," "," "))</f>
        <v/>
      </c>
      <c r="C311">
        <f>TRIM(SUBSTITUTE(INDEX('Term investments'!$C:$C,ROW())&amp;""," "," "))</f>
        <v/>
      </c>
      <c r="D311">
        <f>IFERROR(--INDEX('Term investments'!$D:$D,ROW()),0)</f>
        <v/>
      </c>
      <c r="E311">
        <f>IFERROR(--INDEX('Term investments'!$E:$E,ROW()),0)</f>
        <v/>
      </c>
      <c r="F311">
        <f>IFERROR(--INDEX('Term investments'!$F:$F,ROW()),0)</f>
        <v/>
      </c>
      <c r="G311">
        <f>IFERROR(IF(--INDEX('Term investments'!$G:$G,ROW())&gt;=1,--INDEX('Term investments'!$G:$G,ROW())/100,--INDEX('Term investments'!$G:$G,ROW())),0)</f>
        <v/>
      </c>
      <c r="H311">
        <f>IFERROR(--INDEX('Term investments'!$H:$H,ROW()),0)</f>
        <v/>
      </c>
      <c r="I311">
        <f>IF(ISNUMBER(INDEX('Term investments'!$G:$G,ROW())),1,0)</f>
        <v/>
      </c>
      <c r="J311">
        <f>TRIM(SUBSTITUTE(INDEX('Call accounts and MMFs'!$A:$A,ROW())&amp;""," "," "))</f>
        <v/>
      </c>
      <c r="K311">
        <f>TRIM(SUBSTITUTE(INDEX('Call accounts and MMFs'!$B:$B,ROW())&amp;""," "," "))</f>
        <v/>
      </c>
      <c r="L311">
        <f>TRIM(SUBSTITUTE(INDEX('Call accounts and MMFs'!$C:$C,ROW())&amp;""," "," "))</f>
        <v/>
      </c>
      <c r="M311">
        <f>IFERROR(--INDEX('Call accounts and MMFs'!$D:$D,ROW()),0)</f>
        <v/>
      </c>
      <c r="N311">
        <f>IFERROR(IF(--INDEX('Call accounts and MMFs'!$E:$E,ROW())&gt;=1,--INDEX('Call accounts and MMFs'!$E:$E,ROW())/100,--INDEX('Call accounts and MMFs'!$E:$E,ROW())),0)</f>
        <v/>
      </c>
      <c r="O311">
        <f>IFERROR(--INDEX('Call accounts and MMFs'!$F:$F,ROW()),0)</f>
        <v/>
      </c>
      <c r="P311">
        <f>IF(ISNUMBER(INDEX('Call accounts and MMFs'!$E:$E,ROW())),1,0)</f>
        <v/>
      </c>
      <c r="Q311">
        <f>TRIM(SUBSTITUTE(INDEX('Pooled funds'!$B:$B,ROW())&amp;""," "," "))</f>
        <v/>
      </c>
      <c r="R311">
        <f>IFERROR(--INDEX('Pooled funds'!$C:$C,ROW()),0)</f>
        <v/>
      </c>
      <c r="S311">
        <f>IFERROR(--INDEX('Pooled funds'!$D:$D,ROW()),0)</f>
        <v/>
      </c>
      <c r="T311">
        <f>IFERROR(IF(--INDEX('Pooled funds'!$E:$E,ROW())&gt;=1,--INDEX('Pooled funds'!$E:$E,ROW())/100,--INDEX('Pooled funds'!$E:$E,ROW())),0)</f>
        <v/>
      </c>
      <c r="U311">
        <f>IF(ISNUMBER(INDEX('Pooled funds'!$E:$E,ROW())),1,0)</f>
        <v/>
      </c>
      <c r="V311">
        <f>TRIM(SUBSTITUTE(INDEX('Loans'!$A:$A,ROW())&amp;""," "," "))</f>
        <v/>
      </c>
      <c r="W311">
        <f>TRIM(SUBSTITUTE(INDEX('Loans'!$B:$B,ROW())&amp;""," "," "))</f>
        <v/>
      </c>
      <c r="X311">
        <f>TRIM(SUBSTITUTE(INDEX('Loans'!$C:$C,ROW())&amp;""," "," "))</f>
        <v/>
      </c>
      <c r="Y311">
        <f>IFERROR(--INDEX('Loans'!$D:$D,ROW()),0)</f>
        <v/>
      </c>
      <c r="Z311">
        <f>IFERROR(--INDEX('Loans'!$E:$E,ROW()),0)</f>
        <v/>
      </c>
      <c r="AA311">
        <f>IFERROR(--INDEX('Loans'!$F:$F,ROW()),0)</f>
        <v/>
      </c>
      <c r="AB311">
        <f>IFERROR(IF(--INDEX('Loans'!$G:$G,ROW())&gt;=1,--INDEX('Loans'!$G:$G,ROW())/100,--INDEX('Loans'!$G:$G,ROW())),0)</f>
        <v/>
      </c>
      <c r="AC311">
        <f>TRIM(SUBSTITUTE(INDEX('Loans'!$H:$H,ROW())&amp;""," "," "))</f>
        <v/>
      </c>
      <c r="AD311">
        <f>TRIM(SUBSTITUTE(INDEX('Loans'!$I:$I,ROW())&amp;""," "," "))</f>
        <v/>
      </c>
      <c r="AE311">
        <f>IFERROR(--INDEX('Loans'!$J:$J,ROW()),0)</f>
        <v/>
      </c>
      <c r="AF311">
        <f>TRIM(SUBSTITUTE(INDEX('Loans'!$K:$K,ROW())&amp;""," "," "))</f>
        <v/>
      </c>
      <c r="AG311">
        <f>IFERROR(--INDEX('Loans'!$L:$L,ROW()),0)</f>
        <v/>
      </c>
      <c r="AH311">
        <f>IF(ISNUMBER(INDEX('Loans'!$G:$G,ROW())),1,0)</f>
        <v/>
      </c>
    </row>
    <row r="312">
      <c r="A312">
        <f>TRIM(SUBSTITUTE(INDEX('Term investments'!$A:$A,ROW())&amp;""," "," "))</f>
        <v/>
      </c>
      <c r="B312">
        <f>TRIM(SUBSTITUTE(INDEX('Term investments'!$B:$B,ROW())&amp;""," "," "))</f>
        <v/>
      </c>
      <c r="C312">
        <f>TRIM(SUBSTITUTE(INDEX('Term investments'!$C:$C,ROW())&amp;""," "," "))</f>
        <v/>
      </c>
      <c r="D312">
        <f>IFERROR(--INDEX('Term investments'!$D:$D,ROW()),0)</f>
        <v/>
      </c>
      <c r="E312">
        <f>IFERROR(--INDEX('Term investments'!$E:$E,ROW()),0)</f>
        <v/>
      </c>
      <c r="F312">
        <f>IFERROR(--INDEX('Term investments'!$F:$F,ROW()),0)</f>
        <v/>
      </c>
      <c r="G312">
        <f>IFERROR(IF(--INDEX('Term investments'!$G:$G,ROW())&gt;=1,--INDEX('Term investments'!$G:$G,ROW())/100,--INDEX('Term investments'!$G:$G,ROW())),0)</f>
        <v/>
      </c>
      <c r="H312">
        <f>IFERROR(--INDEX('Term investments'!$H:$H,ROW()),0)</f>
        <v/>
      </c>
      <c r="I312">
        <f>IF(ISNUMBER(INDEX('Term investments'!$G:$G,ROW())),1,0)</f>
        <v/>
      </c>
      <c r="J312">
        <f>TRIM(SUBSTITUTE(INDEX('Call accounts and MMFs'!$A:$A,ROW())&amp;""," "," "))</f>
        <v/>
      </c>
      <c r="K312">
        <f>TRIM(SUBSTITUTE(INDEX('Call accounts and MMFs'!$B:$B,ROW())&amp;""," "," "))</f>
        <v/>
      </c>
      <c r="L312">
        <f>TRIM(SUBSTITUTE(INDEX('Call accounts and MMFs'!$C:$C,ROW())&amp;""," "," "))</f>
        <v/>
      </c>
      <c r="M312">
        <f>IFERROR(--INDEX('Call accounts and MMFs'!$D:$D,ROW()),0)</f>
        <v/>
      </c>
      <c r="N312">
        <f>IFERROR(IF(--INDEX('Call accounts and MMFs'!$E:$E,ROW())&gt;=1,--INDEX('Call accounts and MMFs'!$E:$E,ROW())/100,--INDEX('Call accounts and MMFs'!$E:$E,ROW())),0)</f>
        <v/>
      </c>
      <c r="O312">
        <f>IFERROR(--INDEX('Call accounts and MMFs'!$F:$F,ROW()),0)</f>
        <v/>
      </c>
      <c r="P312">
        <f>IF(ISNUMBER(INDEX('Call accounts and MMFs'!$E:$E,ROW())),1,0)</f>
        <v/>
      </c>
      <c r="Q312">
        <f>TRIM(SUBSTITUTE(INDEX('Pooled funds'!$B:$B,ROW())&amp;""," "," "))</f>
        <v/>
      </c>
      <c r="R312">
        <f>IFERROR(--INDEX('Pooled funds'!$C:$C,ROW()),0)</f>
        <v/>
      </c>
      <c r="S312">
        <f>IFERROR(--INDEX('Pooled funds'!$D:$D,ROW()),0)</f>
        <v/>
      </c>
      <c r="T312">
        <f>IFERROR(IF(--INDEX('Pooled funds'!$E:$E,ROW())&gt;=1,--INDEX('Pooled funds'!$E:$E,ROW())/100,--INDEX('Pooled funds'!$E:$E,ROW())),0)</f>
        <v/>
      </c>
      <c r="U312">
        <f>IF(ISNUMBER(INDEX('Pooled funds'!$E:$E,ROW())),1,0)</f>
        <v/>
      </c>
      <c r="V312">
        <f>TRIM(SUBSTITUTE(INDEX('Loans'!$A:$A,ROW())&amp;""," "," "))</f>
        <v/>
      </c>
      <c r="W312">
        <f>TRIM(SUBSTITUTE(INDEX('Loans'!$B:$B,ROW())&amp;""," "," "))</f>
        <v/>
      </c>
      <c r="X312">
        <f>TRIM(SUBSTITUTE(INDEX('Loans'!$C:$C,ROW())&amp;""," "," "))</f>
        <v/>
      </c>
      <c r="Y312">
        <f>IFERROR(--INDEX('Loans'!$D:$D,ROW()),0)</f>
        <v/>
      </c>
      <c r="Z312">
        <f>IFERROR(--INDEX('Loans'!$E:$E,ROW()),0)</f>
        <v/>
      </c>
      <c r="AA312">
        <f>IFERROR(--INDEX('Loans'!$F:$F,ROW()),0)</f>
        <v/>
      </c>
      <c r="AB312">
        <f>IFERROR(IF(--INDEX('Loans'!$G:$G,ROW())&gt;=1,--INDEX('Loans'!$G:$G,ROW())/100,--INDEX('Loans'!$G:$G,ROW())),0)</f>
        <v/>
      </c>
      <c r="AC312">
        <f>TRIM(SUBSTITUTE(INDEX('Loans'!$H:$H,ROW())&amp;""," "," "))</f>
        <v/>
      </c>
      <c r="AD312">
        <f>TRIM(SUBSTITUTE(INDEX('Loans'!$I:$I,ROW())&amp;""," "," "))</f>
        <v/>
      </c>
      <c r="AE312">
        <f>IFERROR(--INDEX('Loans'!$J:$J,ROW()),0)</f>
        <v/>
      </c>
      <c r="AF312">
        <f>TRIM(SUBSTITUTE(INDEX('Loans'!$K:$K,ROW())&amp;""," "," "))</f>
        <v/>
      </c>
      <c r="AG312">
        <f>IFERROR(--INDEX('Loans'!$L:$L,ROW()),0)</f>
        <v/>
      </c>
      <c r="AH312">
        <f>IF(ISNUMBER(INDEX('Loans'!$G:$G,ROW())),1,0)</f>
        <v/>
      </c>
    </row>
    <row r="313">
      <c r="A313">
        <f>TRIM(SUBSTITUTE(INDEX('Term investments'!$A:$A,ROW())&amp;""," "," "))</f>
        <v/>
      </c>
      <c r="B313">
        <f>TRIM(SUBSTITUTE(INDEX('Term investments'!$B:$B,ROW())&amp;""," "," "))</f>
        <v/>
      </c>
      <c r="C313">
        <f>TRIM(SUBSTITUTE(INDEX('Term investments'!$C:$C,ROW())&amp;""," "," "))</f>
        <v/>
      </c>
      <c r="D313">
        <f>IFERROR(--INDEX('Term investments'!$D:$D,ROW()),0)</f>
        <v/>
      </c>
      <c r="E313">
        <f>IFERROR(--INDEX('Term investments'!$E:$E,ROW()),0)</f>
        <v/>
      </c>
      <c r="F313">
        <f>IFERROR(--INDEX('Term investments'!$F:$F,ROW()),0)</f>
        <v/>
      </c>
      <c r="G313">
        <f>IFERROR(IF(--INDEX('Term investments'!$G:$G,ROW())&gt;=1,--INDEX('Term investments'!$G:$G,ROW())/100,--INDEX('Term investments'!$G:$G,ROW())),0)</f>
        <v/>
      </c>
      <c r="H313">
        <f>IFERROR(--INDEX('Term investments'!$H:$H,ROW()),0)</f>
        <v/>
      </c>
      <c r="I313">
        <f>IF(ISNUMBER(INDEX('Term investments'!$G:$G,ROW())),1,0)</f>
        <v/>
      </c>
      <c r="J313">
        <f>TRIM(SUBSTITUTE(INDEX('Call accounts and MMFs'!$A:$A,ROW())&amp;""," "," "))</f>
        <v/>
      </c>
      <c r="K313">
        <f>TRIM(SUBSTITUTE(INDEX('Call accounts and MMFs'!$B:$B,ROW())&amp;""," "," "))</f>
        <v/>
      </c>
      <c r="L313">
        <f>TRIM(SUBSTITUTE(INDEX('Call accounts and MMFs'!$C:$C,ROW())&amp;""," "," "))</f>
        <v/>
      </c>
      <c r="M313">
        <f>IFERROR(--INDEX('Call accounts and MMFs'!$D:$D,ROW()),0)</f>
        <v/>
      </c>
      <c r="N313">
        <f>IFERROR(IF(--INDEX('Call accounts and MMFs'!$E:$E,ROW())&gt;=1,--INDEX('Call accounts and MMFs'!$E:$E,ROW())/100,--INDEX('Call accounts and MMFs'!$E:$E,ROW())),0)</f>
        <v/>
      </c>
      <c r="O313">
        <f>IFERROR(--INDEX('Call accounts and MMFs'!$F:$F,ROW()),0)</f>
        <v/>
      </c>
      <c r="P313">
        <f>IF(ISNUMBER(INDEX('Call accounts and MMFs'!$E:$E,ROW())),1,0)</f>
        <v/>
      </c>
      <c r="Q313">
        <f>TRIM(SUBSTITUTE(INDEX('Pooled funds'!$B:$B,ROW())&amp;""," "," "))</f>
        <v/>
      </c>
      <c r="R313">
        <f>IFERROR(--INDEX('Pooled funds'!$C:$C,ROW()),0)</f>
        <v/>
      </c>
      <c r="S313">
        <f>IFERROR(--INDEX('Pooled funds'!$D:$D,ROW()),0)</f>
        <v/>
      </c>
      <c r="T313">
        <f>IFERROR(IF(--INDEX('Pooled funds'!$E:$E,ROW())&gt;=1,--INDEX('Pooled funds'!$E:$E,ROW())/100,--INDEX('Pooled funds'!$E:$E,ROW())),0)</f>
        <v/>
      </c>
      <c r="U313">
        <f>IF(ISNUMBER(INDEX('Pooled funds'!$E:$E,ROW())),1,0)</f>
        <v/>
      </c>
      <c r="V313">
        <f>TRIM(SUBSTITUTE(INDEX('Loans'!$A:$A,ROW())&amp;""," "," "))</f>
        <v/>
      </c>
      <c r="W313">
        <f>TRIM(SUBSTITUTE(INDEX('Loans'!$B:$B,ROW())&amp;""," "," "))</f>
        <v/>
      </c>
      <c r="X313">
        <f>TRIM(SUBSTITUTE(INDEX('Loans'!$C:$C,ROW())&amp;""," "," "))</f>
        <v/>
      </c>
      <c r="Y313">
        <f>IFERROR(--INDEX('Loans'!$D:$D,ROW()),0)</f>
        <v/>
      </c>
      <c r="Z313">
        <f>IFERROR(--INDEX('Loans'!$E:$E,ROW()),0)</f>
        <v/>
      </c>
      <c r="AA313">
        <f>IFERROR(--INDEX('Loans'!$F:$F,ROW()),0)</f>
        <v/>
      </c>
      <c r="AB313">
        <f>IFERROR(IF(--INDEX('Loans'!$G:$G,ROW())&gt;=1,--INDEX('Loans'!$G:$G,ROW())/100,--INDEX('Loans'!$G:$G,ROW())),0)</f>
        <v/>
      </c>
      <c r="AC313">
        <f>TRIM(SUBSTITUTE(INDEX('Loans'!$H:$H,ROW())&amp;""," "," "))</f>
        <v/>
      </c>
      <c r="AD313">
        <f>TRIM(SUBSTITUTE(INDEX('Loans'!$I:$I,ROW())&amp;""," "," "))</f>
        <v/>
      </c>
      <c r="AE313">
        <f>IFERROR(--INDEX('Loans'!$J:$J,ROW()),0)</f>
        <v/>
      </c>
      <c r="AF313">
        <f>TRIM(SUBSTITUTE(INDEX('Loans'!$K:$K,ROW())&amp;""," "," "))</f>
        <v/>
      </c>
      <c r="AG313">
        <f>IFERROR(--INDEX('Loans'!$L:$L,ROW()),0)</f>
        <v/>
      </c>
      <c r="AH313">
        <f>IF(ISNUMBER(INDEX('Loans'!$G:$G,ROW())),1,0)</f>
        <v/>
      </c>
    </row>
    <row r="314">
      <c r="A314">
        <f>TRIM(SUBSTITUTE(INDEX('Term investments'!$A:$A,ROW())&amp;""," "," "))</f>
        <v/>
      </c>
      <c r="B314">
        <f>TRIM(SUBSTITUTE(INDEX('Term investments'!$B:$B,ROW())&amp;""," "," "))</f>
        <v/>
      </c>
      <c r="C314">
        <f>TRIM(SUBSTITUTE(INDEX('Term investments'!$C:$C,ROW())&amp;""," "," "))</f>
        <v/>
      </c>
      <c r="D314">
        <f>IFERROR(--INDEX('Term investments'!$D:$D,ROW()),0)</f>
        <v/>
      </c>
      <c r="E314">
        <f>IFERROR(--INDEX('Term investments'!$E:$E,ROW()),0)</f>
        <v/>
      </c>
      <c r="F314">
        <f>IFERROR(--INDEX('Term investments'!$F:$F,ROW()),0)</f>
        <v/>
      </c>
      <c r="G314">
        <f>IFERROR(IF(--INDEX('Term investments'!$G:$G,ROW())&gt;=1,--INDEX('Term investments'!$G:$G,ROW())/100,--INDEX('Term investments'!$G:$G,ROW())),0)</f>
        <v/>
      </c>
      <c r="H314">
        <f>IFERROR(--INDEX('Term investments'!$H:$H,ROW()),0)</f>
        <v/>
      </c>
      <c r="I314">
        <f>IF(ISNUMBER(INDEX('Term investments'!$G:$G,ROW())),1,0)</f>
        <v/>
      </c>
      <c r="J314">
        <f>TRIM(SUBSTITUTE(INDEX('Call accounts and MMFs'!$A:$A,ROW())&amp;""," "," "))</f>
        <v/>
      </c>
      <c r="K314">
        <f>TRIM(SUBSTITUTE(INDEX('Call accounts and MMFs'!$B:$B,ROW())&amp;""," "," "))</f>
        <v/>
      </c>
      <c r="L314">
        <f>TRIM(SUBSTITUTE(INDEX('Call accounts and MMFs'!$C:$C,ROW())&amp;""," "," "))</f>
        <v/>
      </c>
      <c r="M314">
        <f>IFERROR(--INDEX('Call accounts and MMFs'!$D:$D,ROW()),0)</f>
        <v/>
      </c>
      <c r="N314">
        <f>IFERROR(IF(--INDEX('Call accounts and MMFs'!$E:$E,ROW())&gt;=1,--INDEX('Call accounts and MMFs'!$E:$E,ROW())/100,--INDEX('Call accounts and MMFs'!$E:$E,ROW())),0)</f>
        <v/>
      </c>
      <c r="O314">
        <f>IFERROR(--INDEX('Call accounts and MMFs'!$F:$F,ROW()),0)</f>
        <v/>
      </c>
      <c r="P314">
        <f>IF(ISNUMBER(INDEX('Call accounts and MMFs'!$E:$E,ROW())),1,0)</f>
        <v/>
      </c>
      <c r="Q314">
        <f>TRIM(SUBSTITUTE(INDEX('Pooled funds'!$B:$B,ROW())&amp;""," "," "))</f>
        <v/>
      </c>
      <c r="R314">
        <f>IFERROR(--INDEX('Pooled funds'!$C:$C,ROW()),0)</f>
        <v/>
      </c>
      <c r="S314">
        <f>IFERROR(--INDEX('Pooled funds'!$D:$D,ROW()),0)</f>
        <v/>
      </c>
      <c r="T314">
        <f>IFERROR(IF(--INDEX('Pooled funds'!$E:$E,ROW())&gt;=1,--INDEX('Pooled funds'!$E:$E,ROW())/100,--INDEX('Pooled funds'!$E:$E,ROW())),0)</f>
        <v/>
      </c>
      <c r="U314">
        <f>IF(ISNUMBER(INDEX('Pooled funds'!$E:$E,ROW())),1,0)</f>
        <v/>
      </c>
      <c r="V314">
        <f>TRIM(SUBSTITUTE(INDEX('Loans'!$A:$A,ROW())&amp;""," "," "))</f>
        <v/>
      </c>
      <c r="W314">
        <f>TRIM(SUBSTITUTE(INDEX('Loans'!$B:$B,ROW())&amp;""," "," "))</f>
        <v/>
      </c>
      <c r="X314">
        <f>TRIM(SUBSTITUTE(INDEX('Loans'!$C:$C,ROW())&amp;""," "," "))</f>
        <v/>
      </c>
      <c r="Y314">
        <f>IFERROR(--INDEX('Loans'!$D:$D,ROW()),0)</f>
        <v/>
      </c>
      <c r="Z314">
        <f>IFERROR(--INDEX('Loans'!$E:$E,ROW()),0)</f>
        <v/>
      </c>
      <c r="AA314">
        <f>IFERROR(--INDEX('Loans'!$F:$F,ROW()),0)</f>
        <v/>
      </c>
      <c r="AB314">
        <f>IFERROR(IF(--INDEX('Loans'!$G:$G,ROW())&gt;=1,--INDEX('Loans'!$G:$G,ROW())/100,--INDEX('Loans'!$G:$G,ROW())),0)</f>
        <v/>
      </c>
      <c r="AC314">
        <f>TRIM(SUBSTITUTE(INDEX('Loans'!$H:$H,ROW())&amp;""," "," "))</f>
        <v/>
      </c>
      <c r="AD314">
        <f>TRIM(SUBSTITUTE(INDEX('Loans'!$I:$I,ROW())&amp;""," "," "))</f>
        <v/>
      </c>
      <c r="AE314">
        <f>IFERROR(--INDEX('Loans'!$J:$J,ROW()),0)</f>
        <v/>
      </c>
      <c r="AF314">
        <f>TRIM(SUBSTITUTE(INDEX('Loans'!$K:$K,ROW())&amp;""," "," "))</f>
        <v/>
      </c>
      <c r="AG314">
        <f>IFERROR(--INDEX('Loans'!$L:$L,ROW()),0)</f>
        <v/>
      </c>
      <c r="AH314">
        <f>IF(ISNUMBER(INDEX('Loans'!$G:$G,ROW())),1,0)</f>
        <v/>
      </c>
    </row>
    <row r="315">
      <c r="A315">
        <f>TRIM(SUBSTITUTE(INDEX('Term investments'!$A:$A,ROW())&amp;""," "," "))</f>
        <v/>
      </c>
      <c r="B315">
        <f>TRIM(SUBSTITUTE(INDEX('Term investments'!$B:$B,ROW())&amp;""," "," "))</f>
        <v/>
      </c>
      <c r="C315">
        <f>TRIM(SUBSTITUTE(INDEX('Term investments'!$C:$C,ROW())&amp;""," "," "))</f>
        <v/>
      </c>
      <c r="D315">
        <f>IFERROR(--INDEX('Term investments'!$D:$D,ROW()),0)</f>
        <v/>
      </c>
      <c r="E315">
        <f>IFERROR(--INDEX('Term investments'!$E:$E,ROW()),0)</f>
        <v/>
      </c>
      <c r="F315">
        <f>IFERROR(--INDEX('Term investments'!$F:$F,ROW()),0)</f>
        <v/>
      </c>
      <c r="G315">
        <f>IFERROR(IF(--INDEX('Term investments'!$G:$G,ROW())&gt;=1,--INDEX('Term investments'!$G:$G,ROW())/100,--INDEX('Term investments'!$G:$G,ROW())),0)</f>
        <v/>
      </c>
      <c r="H315">
        <f>IFERROR(--INDEX('Term investments'!$H:$H,ROW()),0)</f>
        <v/>
      </c>
      <c r="I315">
        <f>IF(ISNUMBER(INDEX('Term investments'!$G:$G,ROW())),1,0)</f>
        <v/>
      </c>
      <c r="J315">
        <f>TRIM(SUBSTITUTE(INDEX('Call accounts and MMFs'!$A:$A,ROW())&amp;""," "," "))</f>
        <v/>
      </c>
      <c r="K315">
        <f>TRIM(SUBSTITUTE(INDEX('Call accounts and MMFs'!$B:$B,ROW())&amp;""," "," "))</f>
        <v/>
      </c>
      <c r="L315">
        <f>TRIM(SUBSTITUTE(INDEX('Call accounts and MMFs'!$C:$C,ROW())&amp;""," "," "))</f>
        <v/>
      </c>
      <c r="M315">
        <f>IFERROR(--INDEX('Call accounts and MMFs'!$D:$D,ROW()),0)</f>
        <v/>
      </c>
      <c r="N315">
        <f>IFERROR(IF(--INDEX('Call accounts and MMFs'!$E:$E,ROW())&gt;=1,--INDEX('Call accounts and MMFs'!$E:$E,ROW())/100,--INDEX('Call accounts and MMFs'!$E:$E,ROW())),0)</f>
        <v/>
      </c>
      <c r="O315">
        <f>IFERROR(--INDEX('Call accounts and MMFs'!$F:$F,ROW()),0)</f>
        <v/>
      </c>
      <c r="P315">
        <f>IF(ISNUMBER(INDEX('Call accounts and MMFs'!$E:$E,ROW())),1,0)</f>
        <v/>
      </c>
      <c r="Q315">
        <f>TRIM(SUBSTITUTE(INDEX('Pooled funds'!$B:$B,ROW())&amp;""," "," "))</f>
        <v/>
      </c>
      <c r="R315">
        <f>IFERROR(--INDEX('Pooled funds'!$C:$C,ROW()),0)</f>
        <v/>
      </c>
      <c r="S315">
        <f>IFERROR(--INDEX('Pooled funds'!$D:$D,ROW()),0)</f>
        <v/>
      </c>
      <c r="T315">
        <f>IFERROR(IF(--INDEX('Pooled funds'!$E:$E,ROW())&gt;=1,--INDEX('Pooled funds'!$E:$E,ROW())/100,--INDEX('Pooled funds'!$E:$E,ROW())),0)</f>
        <v/>
      </c>
      <c r="U315">
        <f>IF(ISNUMBER(INDEX('Pooled funds'!$E:$E,ROW())),1,0)</f>
        <v/>
      </c>
      <c r="V315">
        <f>TRIM(SUBSTITUTE(INDEX('Loans'!$A:$A,ROW())&amp;""," "," "))</f>
        <v/>
      </c>
      <c r="W315">
        <f>TRIM(SUBSTITUTE(INDEX('Loans'!$B:$B,ROW())&amp;""," "," "))</f>
        <v/>
      </c>
      <c r="X315">
        <f>TRIM(SUBSTITUTE(INDEX('Loans'!$C:$C,ROW())&amp;""," "," "))</f>
        <v/>
      </c>
      <c r="Y315">
        <f>IFERROR(--INDEX('Loans'!$D:$D,ROW()),0)</f>
        <v/>
      </c>
      <c r="Z315">
        <f>IFERROR(--INDEX('Loans'!$E:$E,ROW()),0)</f>
        <v/>
      </c>
      <c r="AA315">
        <f>IFERROR(--INDEX('Loans'!$F:$F,ROW()),0)</f>
        <v/>
      </c>
      <c r="AB315">
        <f>IFERROR(IF(--INDEX('Loans'!$G:$G,ROW())&gt;=1,--INDEX('Loans'!$G:$G,ROW())/100,--INDEX('Loans'!$G:$G,ROW())),0)</f>
        <v/>
      </c>
      <c r="AC315">
        <f>TRIM(SUBSTITUTE(INDEX('Loans'!$H:$H,ROW())&amp;""," "," "))</f>
        <v/>
      </c>
      <c r="AD315">
        <f>TRIM(SUBSTITUTE(INDEX('Loans'!$I:$I,ROW())&amp;""," "," "))</f>
        <v/>
      </c>
      <c r="AE315">
        <f>IFERROR(--INDEX('Loans'!$J:$J,ROW()),0)</f>
        <v/>
      </c>
      <c r="AF315">
        <f>TRIM(SUBSTITUTE(INDEX('Loans'!$K:$K,ROW())&amp;""," "," "))</f>
        <v/>
      </c>
      <c r="AG315">
        <f>IFERROR(--INDEX('Loans'!$L:$L,ROW()),0)</f>
        <v/>
      </c>
      <c r="AH315">
        <f>IF(ISNUMBER(INDEX('Loans'!$G:$G,ROW())),1,0)</f>
        <v/>
      </c>
    </row>
    <row r="316">
      <c r="A316">
        <f>TRIM(SUBSTITUTE(INDEX('Term investments'!$A:$A,ROW())&amp;""," "," "))</f>
        <v/>
      </c>
      <c r="B316">
        <f>TRIM(SUBSTITUTE(INDEX('Term investments'!$B:$B,ROW())&amp;""," "," "))</f>
        <v/>
      </c>
      <c r="C316">
        <f>TRIM(SUBSTITUTE(INDEX('Term investments'!$C:$C,ROW())&amp;""," "," "))</f>
        <v/>
      </c>
      <c r="D316">
        <f>IFERROR(--INDEX('Term investments'!$D:$D,ROW()),0)</f>
        <v/>
      </c>
      <c r="E316">
        <f>IFERROR(--INDEX('Term investments'!$E:$E,ROW()),0)</f>
        <v/>
      </c>
      <c r="F316">
        <f>IFERROR(--INDEX('Term investments'!$F:$F,ROW()),0)</f>
        <v/>
      </c>
      <c r="G316">
        <f>IFERROR(IF(--INDEX('Term investments'!$G:$G,ROW())&gt;=1,--INDEX('Term investments'!$G:$G,ROW())/100,--INDEX('Term investments'!$G:$G,ROW())),0)</f>
        <v/>
      </c>
      <c r="H316">
        <f>IFERROR(--INDEX('Term investments'!$H:$H,ROW()),0)</f>
        <v/>
      </c>
      <c r="I316">
        <f>IF(ISNUMBER(INDEX('Term investments'!$G:$G,ROW())),1,0)</f>
        <v/>
      </c>
      <c r="J316">
        <f>TRIM(SUBSTITUTE(INDEX('Call accounts and MMFs'!$A:$A,ROW())&amp;""," "," "))</f>
        <v/>
      </c>
      <c r="K316">
        <f>TRIM(SUBSTITUTE(INDEX('Call accounts and MMFs'!$B:$B,ROW())&amp;""," "," "))</f>
        <v/>
      </c>
      <c r="L316">
        <f>TRIM(SUBSTITUTE(INDEX('Call accounts and MMFs'!$C:$C,ROW())&amp;""," "," "))</f>
        <v/>
      </c>
      <c r="M316">
        <f>IFERROR(--INDEX('Call accounts and MMFs'!$D:$D,ROW()),0)</f>
        <v/>
      </c>
      <c r="N316">
        <f>IFERROR(IF(--INDEX('Call accounts and MMFs'!$E:$E,ROW())&gt;=1,--INDEX('Call accounts and MMFs'!$E:$E,ROW())/100,--INDEX('Call accounts and MMFs'!$E:$E,ROW())),0)</f>
        <v/>
      </c>
      <c r="O316">
        <f>IFERROR(--INDEX('Call accounts and MMFs'!$F:$F,ROW()),0)</f>
        <v/>
      </c>
      <c r="P316">
        <f>IF(ISNUMBER(INDEX('Call accounts and MMFs'!$E:$E,ROW())),1,0)</f>
        <v/>
      </c>
      <c r="Q316">
        <f>TRIM(SUBSTITUTE(INDEX('Pooled funds'!$B:$B,ROW())&amp;""," "," "))</f>
        <v/>
      </c>
      <c r="R316">
        <f>IFERROR(--INDEX('Pooled funds'!$C:$C,ROW()),0)</f>
        <v/>
      </c>
      <c r="S316">
        <f>IFERROR(--INDEX('Pooled funds'!$D:$D,ROW()),0)</f>
        <v/>
      </c>
      <c r="T316">
        <f>IFERROR(IF(--INDEX('Pooled funds'!$E:$E,ROW())&gt;=1,--INDEX('Pooled funds'!$E:$E,ROW())/100,--INDEX('Pooled funds'!$E:$E,ROW())),0)</f>
        <v/>
      </c>
      <c r="U316">
        <f>IF(ISNUMBER(INDEX('Pooled funds'!$E:$E,ROW())),1,0)</f>
        <v/>
      </c>
      <c r="V316">
        <f>TRIM(SUBSTITUTE(INDEX('Loans'!$A:$A,ROW())&amp;""," "," "))</f>
        <v/>
      </c>
      <c r="W316">
        <f>TRIM(SUBSTITUTE(INDEX('Loans'!$B:$B,ROW())&amp;""," "," "))</f>
        <v/>
      </c>
      <c r="X316">
        <f>TRIM(SUBSTITUTE(INDEX('Loans'!$C:$C,ROW())&amp;""," "," "))</f>
        <v/>
      </c>
      <c r="Y316">
        <f>IFERROR(--INDEX('Loans'!$D:$D,ROW()),0)</f>
        <v/>
      </c>
      <c r="Z316">
        <f>IFERROR(--INDEX('Loans'!$E:$E,ROW()),0)</f>
        <v/>
      </c>
      <c r="AA316">
        <f>IFERROR(--INDEX('Loans'!$F:$F,ROW()),0)</f>
        <v/>
      </c>
      <c r="AB316">
        <f>IFERROR(IF(--INDEX('Loans'!$G:$G,ROW())&gt;=1,--INDEX('Loans'!$G:$G,ROW())/100,--INDEX('Loans'!$G:$G,ROW())),0)</f>
        <v/>
      </c>
      <c r="AC316">
        <f>TRIM(SUBSTITUTE(INDEX('Loans'!$H:$H,ROW())&amp;""," "," "))</f>
        <v/>
      </c>
      <c r="AD316">
        <f>TRIM(SUBSTITUTE(INDEX('Loans'!$I:$I,ROW())&amp;""," "," "))</f>
        <v/>
      </c>
      <c r="AE316">
        <f>IFERROR(--INDEX('Loans'!$J:$J,ROW()),0)</f>
        <v/>
      </c>
      <c r="AF316">
        <f>TRIM(SUBSTITUTE(INDEX('Loans'!$K:$K,ROW())&amp;""," "," "))</f>
        <v/>
      </c>
      <c r="AG316">
        <f>IFERROR(--INDEX('Loans'!$L:$L,ROW()),0)</f>
        <v/>
      </c>
      <c r="AH316">
        <f>IF(ISNUMBER(INDEX('Loans'!$G:$G,ROW())),1,0)</f>
        <v/>
      </c>
    </row>
    <row r="317">
      <c r="A317">
        <f>TRIM(SUBSTITUTE(INDEX('Term investments'!$A:$A,ROW())&amp;""," "," "))</f>
        <v/>
      </c>
      <c r="B317">
        <f>TRIM(SUBSTITUTE(INDEX('Term investments'!$B:$B,ROW())&amp;""," "," "))</f>
        <v/>
      </c>
      <c r="C317">
        <f>TRIM(SUBSTITUTE(INDEX('Term investments'!$C:$C,ROW())&amp;""," "," "))</f>
        <v/>
      </c>
      <c r="D317">
        <f>IFERROR(--INDEX('Term investments'!$D:$D,ROW()),0)</f>
        <v/>
      </c>
      <c r="E317">
        <f>IFERROR(--INDEX('Term investments'!$E:$E,ROW()),0)</f>
        <v/>
      </c>
      <c r="F317">
        <f>IFERROR(--INDEX('Term investments'!$F:$F,ROW()),0)</f>
        <v/>
      </c>
      <c r="G317">
        <f>IFERROR(IF(--INDEX('Term investments'!$G:$G,ROW())&gt;=1,--INDEX('Term investments'!$G:$G,ROW())/100,--INDEX('Term investments'!$G:$G,ROW())),0)</f>
        <v/>
      </c>
      <c r="H317">
        <f>IFERROR(--INDEX('Term investments'!$H:$H,ROW()),0)</f>
        <v/>
      </c>
      <c r="I317">
        <f>IF(ISNUMBER(INDEX('Term investments'!$G:$G,ROW())),1,0)</f>
        <v/>
      </c>
      <c r="J317">
        <f>TRIM(SUBSTITUTE(INDEX('Call accounts and MMFs'!$A:$A,ROW())&amp;""," "," "))</f>
        <v/>
      </c>
      <c r="K317">
        <f>TRIM(SUBSTITUTE(INDEX('Call accounts and MMFs'!$B:$B,ROW())&amp;""," "," "))</f>
        <v/>
      </c>
      <c r="L317">
        <f>TRIM(SUBSTITUTE(INDEX('Call accounts and MMFs'!$C:$C,ROW())&amp;""," "," "))</f>
        <v/>
      </c>
      <c r="M317">
        <f>IFERROR(--INDEX('Call accounts and MMFs'!$D:$D,ROW()),0)</f>
        <v/>
      </c>
      <c r="N317">
        <f>IFERROR(IF(--INDEX('Call accounts and MMFs'!$E:$E,ROW())&gt;=1,--INDEX('Call accounts and MMFs'!$E:$E,ROW())/100,--INDEX('Call accounts and MMFs'!$E:$E,ROW())),0)</f>
        <v/>
      </c>
      <c r="O317">
        <f>IFERROR(--INDEX('Call accounts and MMFs'!$F:$F,ROW()),0)</f>
        <v/>
      </c>
      <c r="P317">
        <f>IF(ISNUMBER(INDEX('Call accounts and MMFs'!$E:$E,ROW())),1,0)</f>
        <v/>
      </c>
      <c r="Q317">
        <f>TRIM(SUBSTITUTE(INDEX('Pooled funds'!$B:$B,ROW())&amp;""," "," "))</f>
        <v/>
      </c>
      <c r="R317">
        <f>IFERROR(--INDEX('Pooled funds'!$C:$C,ROW()),0)</f>
        <v/>
      </c>
      <c r="S317">
        <f>IFERROR(--INDEX('Pooled funds'!$D:$D,ROW()),0)</f>
        <v/>
      </c>
      <c r="T317">
        <f>IFERROR(IF(--INDEX('Pooled funds'!$E:$E,ROW())&gt;=1,--INDEX('Pooled funds'!$E:$E,ROW())/100,--INDEX('Pooled funds'!$E:$E,ROW())),0)</f>
        <v/>
      </c>
      <c r="U317">
        <f>IF(ISNUMBER(INDEX('Pooled funds'!$E:$E,ROW())),1,0)</f>
        <v/>
      </c>
      <c r="V317">
        <f>TRIM(SUBSTITUTE(INDEX('Loans'!$A:$A,ROW())&amp;""," "," "))</f>
        <v/>
      </c>
      <c r="W317">
        <f>TRIM(SUBSTITUTE(INDEX('Loans'!$B:$B,ROW())&amp;""," "," "))</f>
        <v/>
      </c>
      <c r="X317">
        <f>TRIM(SUBSTITUTE(INDEX('Loans'!$C:$C,ROW())&amp;""," "," "))</f>
        <v/>
      </c>
      <c r="Y317">
        <f>IFERROR(--INDEX('Loans'!$D:$D,ROW()),0)</f>
        <v/>
      </c>
      <c r="Z317">
        <f>IFERROR(--INDEX('Loans'!$E:$E,ROW()),0)</f>
        <v/>
      </c>
      <c r="AA317">
        <f>IFERROR(--INDEX('Loans'!$F:$F,ROW()),0)</f>
        <v/>
      </c>
      <c r="AB317">
        <f>IFERROR(IF(--INDEX('Loans'!$G:$G,ROW())&gt;=1,--INDEX('Loans'!$G:$G,ROW())/100,--INDEX('Loans'!$G:$G,ROW())),0)</f>
        <v/>
      </c>
      <c r="AC317">
        <f>TRIM(SUBSTITUTE(INDEX('Loans'!$H:$H,ROW())&amp;""," "," "))</f>
        <v/>
      </c>
      <c r="AD317">
        <f>TRIM(SUBSTITUTE(INDEX('Loans'!$I:$I,ROW())&amp;""," "," "))</f>
        <v/>
      </c>
      <c r="AE317">
        <f>IFERROR(--INDEX('Loans'!$J:$J,ROW()),0)</f>
        <v/>
      </c>
      <c r="AF317">
        <f>TRIM(SUBSTITUTE(INDEX('Loans'!$K:$K,ROW())&amp;""," "," "))</f>
        <v/>
      </c>
      <c r="AG317">
        <f>IFERROR(--INDEX('Loans'!$L:$L,ROW()),0)</f>
        <v/>
      </c>
      <c r="AH317">
        <f>IF(ISNUMBER(INDEX('Loans'!$G:$G,ROW())),1,0)</f>
        <v/>
      </c>
    </row>
    <row r="318">
      <c r="A318">
        <f>TRIM(SUBSTITUTE(INDEX('Term investments'!$A:$A,ROW())&amp;""," "," "))</f>
        <v/>
      </c>
      <c r="B318">
        <f>TRIM(SUBSTITUTE(INDEX('Term investments'!$B:$B,ROW())&amp;""," "," "))</f>
        <v/>
      </c>
      <c r="C318">
        <f>TRIM(SUBSTITUTE(INDEX('Term investments'!$C:$C,ROW())&amp;""," "," "))</f>
        <v/>
      </c>
      <c r="D318">
        <f>IFERROR(--INDEX('Term investments'!$D:$D,ROW()),0)</f>
        <v/>
      </c>
      <c r="E318">
        <f>IFERROR(--INDEX('Term investments'!$E:$E,ROW()),0)</f>
        <v/>
      </c>
      <c r="F318">
        <f>IFERROR(--INDEX('Term investments'!$F:$F,ROW()),0)</f>
        <v/>
      </c>
      <c r="G318">
        <f>IFERROR(IF(--INDEX('Term investments'!$G:$G,ROW())&gt;=1,--INDEX('Term investments'!$G:$G,ROW())/100,--INDEX('Term investments'!$G:$G,ROW())),0)</f>
        <v/>
      </c>
      <c r="H318">
        <f>IFERROR(--INDEX('Term investments'!$H:$H,ROW()),0)</f>
        <v/>
      </c>
      <c r="I318">
        <f>IF(ISNUMBER(INDEX('Term investments'!$G:$G,ROW())),1,0)</f>
        <v/>
      </c>
      <c r="J318">
        <f>TRIM(SUBSTITUTE(INDEX('Call accounts and MMFs'!$A:$A,ROW())&amp;""," "," "))</f>
        <v/>
      </c>
      <c r="K318">
        <f>TRIM(SUBSTITUTE(INDEX('Call accounts and MMFs'!$B:$B,ROW())&amp;""," "," "))</f>
        <v/>
      </c>
      <c r="L318">
        <f>TRIM(SUBSTITUTE(INDEX('Call accounts and MMFs'!$C:$C,ROW())&amp;""," "," "))</f>
        <v/>
      </c>
      <c r="M318">
        <f>IFERROR(--INDEX('Call accounts and MMFs'!$D:$D,ROW()),0)</f>
        <v/>
      </c>
      <c r="N318">
        <f>IFERROR(IF(--INDEX('Call accounts and MMFs'!$E:$E,ROW())&gt;=1,--INDEX('Call accounts and MMFs'!$E:$E,ROW())/100,--INDEX('Call accounts and MMFs'!$E:$E,ROW())),0)</f>
        <v/>
      </c>
      <c r="O318">
        <f>IFERROR(--INDEX('Call accounts and MMFs'!$F:$F,ROW()),0)</f>
        <v/>
      </c>
      <c r="P318">
        <f>IF(ISNUMBER(INDEX('Call accounts and MMFs'!$E:$E,ROW())),1,0)</f>
        <v/>
      </c>
      <c r="Q318">
        <f>TRIM(SUBSTITUTE(INDEX('Pooled funds'!$B:$B,ROW())&amp;""," "," "))</f>
        <v/>
      </c>
      <c r="R318">
        <f>IFERROR(--INDEX('Pooled funds'!$C:$C,ROW()),0)</f>
        <v/>
      </c>
      <c r="S318">
        <f>IFERROR(--INDEX('Pooled funds'!$D:$D,ROW()),0)</f>
        <v/>
      </c>
      <c r="T318">
        <f>IFERROR(IF(--INDEX('Pooled funds'!$E:$E,ROW())&gt;=1,--INDEX('Pooled funds'!$E:$E,ROW())/100,--INDEX('Pooled funds'!$E:$E,ROW())),0)</f>
        <v/>
      </c>
      <c r="U318">
        <f>IF(ISNUMBER(INDEX('Pooled funds'!$E:$E,ROW())),1,0)</f>
        <v/>
      </c>
      <c r="V318">
        <f>TRIM(SUBSTITUTE(INDEX('Loans'!$A:$A,ROW())&amp;""," "," "))</f>
        <v/>
      </c>
      <c r="W318">
        <f>TRIM(SUBSTITUTE(INDEX('Loans'!$B:$B,ROW())&amp;""," "," "))</f>
        <v/>
      </c>
      <c r="X318">
        <f>TRIM(SUBSTITUTE(INDEX('Loans'!$C:$C,ROW())&amp;""," "," "))</f>
        <v/>
      </c>
      <c r="Y318">
        <f>IFERROR(--INDEX('Loans'!$D:$D,ROW()),0)</f>
        <v/>
      </c>
      <c r="Z318">
        <f>IFERROR(--INDEX('Loans'!$E:$E,ROW()),0)</f>
        <v/>
      </c>
      <c r="AA318">
        <f>IFERROR(--INDEX('Loans'!$F:$F,ROW()),0)</f>
        <v/>
      </c>
      <c r="AB318">
        <f>IFERROR(IF(--INDEX('Loans'!$G:$G,ROW())&gt;=1,--INDEX('Loans'!$G:$G,ROW())/100,--INDEX('Loans'!$G:$G,ROW())),0)</f>
        <v/>
      </c>
      <c r="AC318">
        <f>TRIM(SUBSTITUTE(INDEX('Loans'!$H:$H,ROW())&amp;""," "," "))</f>
        <v/>
      </c>
      <c r="AD318">
        <f>TRIM(SUBSTITUTE(INDEX('Loans'!$I:$I,ROW())&amp;""," "," "))</f>
        <v/>
      </c>
      <c r="AE318">
        <f>IFERROR(--INDEX('Loans'!$J:$J,ROW()),0)</f>
        <v/>
      </c>
      <c r="AF318">
        <f>TRIM(SUBSTITUTE(INDEX('Loans'!$K:$K,ROW())&amp;""," "," "))</f>
        <v/>
      </c>
      <c r="AG318">
        <f>IFERROR(--INDEX('Loans'!$L:$L,ROW()),0)</f>
        <v/>
      </c>
      <c r="AH318">
        <f>IF(ISNUMBER(INDEX('Loans'!$G:$G,ROW())),1,0)</f>
        <v/>
      </c>
    </row>
    <row r="319">
      <c r="A319">
        <f>TRIM(SUBSTITUTE(INDEX('Term investments'!$A:$A,ROW())&amp;""," "," "))</f>
        <v/>
      </c>
      <c r="B319">
        <f>TRIM(SUBSTITUTE(INDEX('Term investments'!$B:$B,ROW())&amp;""," "," "))</f>
        <v/>
      </c>
      <c r="C319">
        <f>TRIM(SUBSTITUTE(INDEX('Term investments'!$C:$C,ROW())&amp;""," "," "))</f>
        <v/>
      </c>
      <c r="D319">
        <f>IFERROR(--INDEX('Term investments'!$D:$D,ROW()),0)</f>
        <v/>
      </c>
      <c r="E319">
        <f>IFERROR(--INDEX('Term investments'!$E:$E,ROW()),0)</f>
        <v/>
      </c>
      <c r="F319">
        <f>IFERROR(--INDEX('Term investments'!$F:$F,ROW()),0)</f>
        <v/>
      </c>
      <c r="G319">
        <f>IFERROR(IF(--INDEX('Term investments'!$G:$G,ROW())&gt;=1,--INDEX('Term investments'!$G:$G,ROW())/100,--INDEX('Term investments'!$G:$G,ROW())),0)</f>
        <v/>
      </c>
      <c r="H319">
        <f>IFERROR(--INDEX('Term investments'!$H:$H,ROW()),0)</f>
        <v/>
      </c>
      <c r="I319">
        <f>IF(ISNUMBER(INDEX('Term investments'!$G:$G,ROW())),1,0)</f>
        <v/>
      </c>
      <c r="J319">
        <f>TRIM(SUBSTITUTE(INDEX('Call accounts and MMFs'!$A:$A,ROW())&amp;""," "," "))</f>
        <v/>
      </c>
      <c r="K319">
        <f>TRIM(SUBSTITUTE(INDEX('Call accounts and MMFs'!$B:$B,ROW())&amp;""," "," "))</f>
        <v/>
      </c>
      <c r="L319">
        <f>TRIM(SUBSTITUTE(INDEX('Call accounts and MMFs'!$C:$C,ROW())&amp;""," "," "))</f>
        <v/>
      </c>
      <c r="M319">
        <f>IFERROR(--INDEX('Call accounts and MMFs'!$D:$D,ROW()),0)</f>
        <v/>
      </c>
      <c r="N319">
        <f>IFERROR(IF(--INDEX('Call accounts and MMFs'!$E:$E,ROW())&gt;=1,--INDEX('Call accounts and MMFs'!$E:$E,ROW())/100,--INDEX('Call accounts and MMFs'!$E:$E,ROW())),0)</f>
        <v/>
      </c>
      <c r="O319">
        <f>IFERROR(--INDEX('Call accounts and MMFs'!$F:$F,ROW()),0)</f>
        <v/>
      </c>
      <c r="P319">
        <f>IF(ISNUMBER(INDEX('Call accounts and MMFs'!$E:$E,ROW())),1,0)</f>
        <v/>
      </c>
      <c r="Q319">
        <f>TRIM(SUBSTITUTE(INDEX('Pooled funds'!$B:$B,ROW())&amp;""," "," "))</f>
        <v/>
      </c>
      <c r="R319">
        <f>IFERROR(--INDEX('Pooled funds'!$C:$C,ROW()),0)</f>
        <v/>
      </c>
      <c r="S319">
        <f>IFERROR(--INDEX('Pooled funds'!$D:$D,ROW()),0)</f>
        <v/>
      </c>
      <c r="T319">
        <f>IFERROR(IF(--INDEX('Pooled funds'!$E:$E,ROW())&gt;=1,--INDEX('Pooled funds'!$E:$E,ROW())/100,--INDEX('Pooled funds'!$E:$E,ROW())),0)</f>
        <v/>
      </c>
      <c r="U319">
        <f>IF(ISNUMBER(INDEX('Pooled funds'!$E:$E,ROW())),1,0)</f>
        <v/>
      </c>
      <c r="V319">
        <f>TRIM(SUBSTITUTE(INDEX('Loans'!$A:$A,ROW())&amp;""," "," "))</f>
        <v/>
      </c>
      <c r="W319">
        <f>TRIM(SUBSTITUTE(INDEX('Loans'!$B:$B,ROW())&amp;""," "," "))</f>
        <v/>
      </c>
      <c r="X319">
        <f>TRIM(SUBSTITUTE(INDEX('Loans'!$C:$C,ROW())&amp;""," "," "))</f>
        <v/>
      </c>
      <c r="Y319">
        <f>IFERROR(--INDEX('Loans'!$D:$D,ROW()),0)</f>
        <v/>
      </c>
      <c r="Z319">
        <f>IFERROR(--INDEX('Loans'!$E:$E,ROW()),0)</f>
        <v/>
      </c>
      <c r="AA319">
        <f>IFERROR(--INDEX('Loans'!$F:$F,ROW()),0)</f>
        <v/>
      </c>
      <c r="AB319">
        <f>IFERROR(IF(--INDEX('Loans'!$G:$G,ROW())&gt;=1,--INDEX('Loans'!$G:$G,ROW())/100,--INDEX('Loans'!$G:$G,ROW())),0)</f>
        <v/>
      </c>
      <c r="AC319">
        <f>TRIM(SUBSTITUTE(INDEX('Loans'!$H:$H,ROW())&amp;""," "," "))</f>
        <v/>
      </c>
      <c r="AD319">
        <f>TRIM(SUBSTITUTE(INDEX('Loans'!$I:$I,ROW())&amp;""," "," "))</f>
        <v/>
      </c>
      <c r="AE319">
        <f>IFERROR(--INDEX('Loans'!$J:$J,ROW()),0)</f>
        <v/>
      </c>
      <c r="AF319">
        <f>TRIM(SUBSTITUTE(INDEX('Loans'!$K:$K,ROW())&amp;""," "," "))</f>
        <v/>
      </c>
      <c r="AG319">
        <f>IFERROR(--INDEX('Loans'!$L:$L,ROW()),0)</f>
        <v/>
      </c>
      <c r="AH319">
        <f>IF(ISNUMBER(INDEX('Loans'!$G:$G,ROW())),1,0)</f>
        <v/>
      </c>
    </row>
    <row r="320">
      <c r="A320">
        <f>TRIM(SUBSTITUTE(INDEX('Term investments'!$A:$A,ROW())&amp;""," "," "))</f>
        <v/>
      </c>
      <c r="B320">
        <f>TRIM(SUBSTITUTE(INDEX('Term investments'!$B:$B,ROW())&amp;""," "," "))</f>
        <v/>
      </c>
      <c r="C320">
        <f>TRIM(SUBSTITUTE(INDEX('Term investments'!$C:$C,ROW())&amp;""," "," "))</f>
        <v/>
      </c>
      <c r="D320">
        <f>IFERROR(--INDEX('Term investments'!$D:$D,ROW()),0)</f>
        <v/>
      </c>
      <c r="E320">
        <f>IFERROR(--INDEX('Term investments'!$E:$E,ROW()),0)</f>
        <v/>
      </c>
      <c r="F320">
        <f>IFERROR(--INDEX('Term investments'!$F:$F,ROW()),0)</f>
        <v/>
      </c>
      <c r="G320">
        <f>IFERROR(IF(--INDEX('Term investments'!$G:$G,ROW())&gt;=1,--INDEX('Term investments'!$G:$G,ROW())/100,--INDEX('Term investments'!$G:$G,ROW())),0)</f>
        <v/>
      </c>
      <c r="H320">
        <f>IFERROR(--INDEX('Term investments'!$H:$H,ROW()),0)</f>
        <v/>
      </c>
      <c r="I320">
        <f>IF(ISNUMBER(INDEX('Term investments'!$G:$G,ROW())),1,0)</f>
        <v/>
      </c>
      <c r="J320">
        <f>TRIM(SUBSTITUTE(INDEX('Call accounts and MMFs'!$A:$A,ROW())&amp;""," "," "))</f>
        <v/>
      </c>
      <c r="K320">
        <f>TRIM(SUBSTITUTE(INDEX('Call accounts and MMFs'!$B:$B,ROW())&amp;""," "," "))</f>
        <v/>
      </c>
      <c r="L320">
        <f>TRIM(SUBSTITUTE(INDEX('Call accounts and MMFs'!$C:$C,ROW())&amp;""," "," "))</f>
        <v/>
      </c>
      <c r="M320">
        <f>IFERROR(--INDEX('Call accounts and MMFs'!$D:$D,ROW()),0)</f>
        <v/>
      </c>
      <c r="N320">
        <f>IFERROR(IF(--INDEX('Call accounts and MMFs'!$E:$E,ROW())&gt;=1,--INDEX('Call accounts and MMFs'!$E:$E,ROW())/100,--INDEX('Call accounts and MMFs'!$E:$E,ROW())),0)</f>
        <v/>
      </c>
      <c r="O320">
        <f>IFERROR(--INDEX('Call accounts and MMFs'!$F:$F,ROW()),0)</f>
        <v/>
      </c>
      <c r="P320">
        <f>IF(ISNUMBER(INDEX('Call accounts and MMFs'!$E:$E,ROW())),1,0)</f>
        <v/>
      </c>
      <c r="Q320">
        <f>TRIM(SUBSTITUTE(INDEX('Pooled funds'!$B:$B,ROW())&amp;""," "," "))</f>
        <v/>
      </c>
      <c r="R320">
        <f>IFERROR(--INDEX('Pooled funds'!$C:$C,ROW()),0)</f>
        <v/>
      </c>
      <c r="S320">
        <f>IFERROR(--INDEX('Pooled funds'!$D:$D,ROW()),0)</f>
        <v/>
      </c>
      <c r="T320">
        <f>IFERROR(IF(--INDEX('Pooled funds'!$E:$E,ROW())&gt;=1,--INDEX('Pooled funds'!$E:$E,ROW())/100,--INDEX('Pooled funds'!$E:$E,ROW())),0)</f>
        <v/>
      </c>
      <c r="U320">
        <f>IF(ISNUMBER(INDEX('Pooled funds'!$E:$E,ROW())),1,0)</f>
        <v/>
      </c>
      <c r="V320">
        <f>TRIM(SUBSTITUTE(INDEX('Loans'!$A:$A,ROW())&amp;""," "," "))</f>
        <v/>
      </c>
      <c r="W320">
        <f>TRIM(SUBSTITUTE(INDEX('Loans'!$B:$B,ROW())&amp;""," "," "))</f>
        <v/>
      </c>
      <c r="X320">
        <f>TRIM(SUBSTITUTE(INDEX('Loans'!$C:$C,ROW())&amp;""," "," "))</f>
        <v/>
      </c>
      <c r="Y320">
        <f>IFERROR(--INDEX('Loans'!$D:$D,ROW()),0)</f>
        <v/>
      </c>
      <c r="Z320">
        <f>IFERROR(--INDEX('Loans'!$E:$E,ROW()),0)</f>
        <v/>
      </c>
      <c r="AA320">
        <f>IFERROR(--INDEX('Loans'!$F:$F,ROW()),0)</f>
        <v/>
      </c>
      <c r="AB320">
        <f>IFERROR(IF(--INDEX('Loans'!$G:$G,ROW())&gt;=1,--INDEX('Loans'!$G:$G,ROW())/100,--INDEX('Loans'!$G:$G,ROW())),0)</f>
        <v/>
      </c>
      <c r="AC320">
        <f>TRIM(SUBSTITUTE(INDEX('Loans'!$H:$H,ROW())&amp;""," "," "))</f>
        <v/>
      </c>
      <c r="AD320">
        <f>TRIM(SUBSTITUTE(INDEX('Loans'!$I:$I,ROW())&amp;""," "," "))</f>
        <v/>
      </c>
      <c r="AE320">
        <f>IFERROR(--INDEX('Loans'!$J:$J,ROW()),0)</f>
        <v/>
      </c>
      <c r="AF320">
        <f>TRIM(SUBSTITUTE(INDEX('Loans'!$K:$K,ROW())&amp;""," "," "))</f>
        <v/>
      </c>
      <c r="AG320">
        <f>IFERROR(--INDEX('Loans'!$L:$L,ROW()),0)</f>
        <v/>
      </c>
      <c r="AH320">
        <f>IF(ISNUMBER(INDEX('Loans'!$G:$G,ROW())),1,0)</f>
        <v/>
      </c>
    </row>
    <row r="321">
      <c r="A321">
        <f>TRIM(SUBSTITUTE(INDEX('Term investments'!$A:$A,ROW())&amp;""," "," "))</f>
        <v/>
      </c>
      <c r="B321">
        <f>TRIM(SUBSTITUTE(INDEX('Term investments'!$B:$B,ROW())&amp;""," "," "))</f>
        <v/>
      </c>
      <c r="C321">
        <f>TRIM(SUBSTITUTE(INDEX('Term investments'!$C:$C,ROW())&amp;""," "," "))</f>
        <v/>
      </c>
      <c r="D321">
        <f>IFERROR(--INDEX('Term investments'!$D:$D,ROW()),0)</f>
        <v/>
      </c>
      <c r="E321">
        <f>IFERROR(--INDEX('Term investments'!$E:$E,ROW()),0)</f>
        <v/>
      </c>
      <c r="F321">
        <f>IFERROR(--INDEX('Term investments'!$F:$F,ROW()),0)</f>
        <v/>
      </c>
      <c r="G321">
        <f>IFERROR(IF(--INDEX('Term investments'!$G:$G,ROW())&gt;=1,--INDEX('Term investments'!$G:$G,ROW())/100,--INDEX('Term investments'!$G:$G,ROW())),0)</f>
        <v/>
      </c>
      <c r="H321">
        <f>IFERROR(--INDEX('Term investments'!$H:$H,ROW()),0)</f>
        <v/>
      </c>
      <c r="I321">
        <f>IF(ISNUMBER(INDEX('Term investments'!$G:$G,ROW())),1,0)</f>
        <v/>
      </c>
      <c r="J321">
        <f>TRIM(SUBSTITUTE(INDEX('Call accounts and MMFs'!$A:$A,ROW())&amp;""," "," "))</f>
        <v/>
      </c>
      <c r="K321">
        <f>TRIM(SUBSTITUTE(INDEX('Call accounts and MMFs'!$B:$B,ROW())&amp;""," "," "))</f>
        <v/>
      </c>
      <c r="L321">
        <f>TRIM(SUBSTITUTE(INDEX('Call accounts and MMFs'!$C:$C,ROW())&amp;""," "," "))</f>
        <v/>
      </c>
      <c r="M321">
        <f>IFERROR(--INDEX('Call accounts and MMFs'!$D:$D,ROW()),0)</f>
        <v/>
      </c>
      <c r="N321">
        <f>IFERROR(IF(--INDEX('Call accounts and MMFs'!$E:$E,ROW())&gt;=1,--INDEX('Call accounts and MMFs'!$E:$E,ROW())/100,--INDEX('Call accounts and MMFs'!$E:$E,ROW())),0)</f>
        <v/>
      </c>
      <c r="O321">
        <f>IFERROR(--INDEX('Call accounts and MMFs'!$F:$F,ROW()),0)</f>
        <v/>
      </c>
      <c r="P321">
        <f>IF(ISNUMBER(INDEX('Call accounts and MMFs'!$E:$E,ROW())),1,0)</f>
        <v/>
      </c>
      <c r="Q321">
        <f>TRIM(SUBSTITUTE(INDEX('Pooled funds'!$B:$B,ROW())&amp;""," "," "))</f>
        <v/>
      </c>
      <c r="R321">
        <f>IFERROR(--INDEX('Pooled funds'!$C:$C,ROW()),0)</f>
        <v/>
      </c>
      <c r="S321">
        <f>IFERROR(--INDEX('Pooled funds'!$D:$D,ROW()),0)</f>
        <v/>
      </c>
      <c r="T321">
        <f>IFERROR(IF(--INDEX('Pooled funds'!$E:$E,ROW())&gt;=1,--INDEX('Pooled funds'!$E:$E,ROW())/100,--INDEX('Pooled funds'!$E:$E,ROW())),0)</f>
        <v/>
      </c>
      <c r="U321">
        <f>IF(ISNUMBER(INDEX('Pooled funds'!$E:$E,ROW())),1,0)</f>
        <v/>
      </c>
      <c r="V321">
        <f>TRIM(SUBSTITUTE(INDEX('Loans'!$A:$A,ROW())&amp;""," "," "))</f>
        <v/>
      </c>
      <c r="W321">
        <f>TRIM(SUBSTITUTE(INDEX('Loans'!$B:$B,ROW())&amp;""," "," "))</f>
        <v/>
      </c>
      <c r="X321">
        <f>TRIM(SUBSTITUTE(INDEX('Loans'!$C:$C,ROW())&amp;""," "," "))</f>
        <v/>
      </c>
      <c r="Y321">
        <f>IFERROR(--INDEX('Loans'!$D:$D,ROW()),0)</f>
        <v/>
      </c>
      <c r="Z321">
        <f>IFERROR(--INDEX('Loans'!$E:$E,ROW()),0)</f>
        <v/>
      </c>
      <c r="AA321">
        <f>IFERROR(--INDEX('Loans'!$F:$F,ROW()),0)</f>
        <v/>
      </c>
      <c r="AB321">
        <f>IFERROR(IF(--INDEX('Loans'!$G:$G,ROW())&gt;=1,--INDEX('Loans'!$G:$G,ROW())/100,--INDEX('Loans'!$G:$G,ROW())),0)</f>
        <v/>
      </c>
      <c r="AC321">
        <f>TRIM(SUBSTITUTE(INDEX('Loans'!$H:$H,ROW())&amp;""," "," "))</f>
        <v/>
      </c>
      <c r="AD321">
        <f>TRIM(SUBSTITUTE(INDEX('Loans'!$I:$I,ROW())&amp;""," "," "))</f>
        <v/>
      </c>
      <c r="AE321">
        <f>IFERROR(--INDEX('Loans'!$J:$J,ROW()),0)</f>
        <v/>
      </c>
      <c r="AF321">
        <f>TRIM(SUBSTITUTE(INDEX('Loans'!$K:$K,ROW())&amp;""," "," "))</f>
        <v/>
      </c>
      <c r="AG321">
        <f>IFERROR(--INDEX('Loans'!$L:$L,ROW()),0)</f>
        <v/>
      </c>
      <c r="AH321">
        <f>IF(ISNUMBER(INDEX('Loans'!$G:$G,ROW())),1,0)</f>
        <v/>
      </c>
    </row>
    <row r="322">
      <c r="A322">
        <f>TRIM(SUBSTITUTE(INDEX('Term investments'!$A:$A,ROW())&amp;""," "," "))</f>
        <v/>
      </c>
      <c r="B322">
        <f>TRIM(SUBSTITUTE(INDEX('Term investments'!$B:$B,ROW())&amp;""," "," "))</f>
        <v/>
      </c>
      <c r="C322">
        <f>TRIM(SUBSTITUTE(INDEX('Term investments'!$C:$C,ROW())&amp;""," "," "))</f>
        <v/>
      </c>
      <c r="D322">
        <f>IFERROR(--INDEX('Term investments'!$D:$D,ROW()),0)</f>
        <v/>
      </c>
      <c r="E322">
        <f>IFERROR(--INDEX('Term investments'!$E:$E,ROW()),0)</f>
        <v/>
      </c>
      <c r="F322">
        <f>IFERROR(--INDEX('Term investments'!$F:$F,ROW()),0)</f>
        <v/>
      </c>
      <c r="G322">
        <f>IFERROR(IF(--INDEX('Term investments'!$G:$G,ROW())&gt;=1,--INDEX('Term investments'!$G:$G,ROW())/100,--INDEX('Term investments'!$G:$G,ROW())),0)</f>
        <v/>
      </c>
      <c r="H322">
        <f>IFERROR(--INDEX('Term investments'!$H:$H,ROW()),0)</f>
        <v/>
      </c>
      <c r="I322">
        <f>IF(ISNUMBER(INDEX('Term investments'!$G:$G,ROW())),1,0)</f>
        <v/>
      </c>
      <c r="J322">
        <f>TRIM(SUBSTITUTE(INDEX('Call accounts and MMFs'!$A:$A,ROW())&amp;""," "," "))</f>
        <v/>
      </c>
      <c r="K322">
        <f>TRIM(SUBSTITUTE(INDEX('Call accounts and MMFs'!$B:$B,ROW())&amp;""," "," "))</f>
        <v/>
      </c>
      <c r="L322">
        <f>TRIM(SUBSTITUTE(INDEX('Call accounts and MMFs'!$C:$C,ROW())&amp;""," "," "))</f>
        <v/>
      </c>
      <c r="M322">
        <f>IFERROR(--INDEX('Call accounts and MMFs'!$D:$D,ROW()),0)</f>
        <v/>
      </c>
      <c r="N322">
        <f>IFERROR(IF(--INDEX('Call accounts and MMFs'!$E:$E,ROW())&gt;=1,--INDEX('Call accounts and MMFs'!$E:$E,ROW())/100,--INDEX('Call accounts and MMFs'!$E:$E,ROW())),0)</f>
        <v/>
      </c>
      <c r="O322">
        <f>IFERROR(--INDEX('Call accounts and MMFs'!$F:$F,ROW()),0)</f>
        <v/>
      </c>
      <c r="P322">
        <f>IF(ISNUMBER(INDEX('Call accounts and MMFs'!$E:$E,ROW())),1,0)</f>
        <v/>
      </c>
      <c r="Q322">
        <f>TRIM(SUBSTITUTE(INDEX('Pooled funds'!$B:$B,ROW())&amp;""," "," "))</f>
        <v/>
      </c>
      <c r="R322">
        <f>IFERROR(--INDEX('Pooled funds'!$C:$C,ROW()),0)</f>
        <v/>
      </c>
      <c r="S322">
        <f>IFERROR(--INDEX('Pooled funds'!$D:$D,ROW()),0)</f>
        <v/>
      </c>
      <c r="T322">
        <f>IFERROR(IF(--INDEX('Pooled funds'!$E:$E,ROW())&gt;=1,--INDEX('Pooled funds'!$E:$E,ROW())/100,--INDEX('Pooled funds'!$E:$E,ROW())),0)</f>
        <v/>
      </c>
      <c r="U322">
        <f>IF(ISNUMBER(INDEX('Pooled funds'!$E:$E,ROW())),1,0)</f>
        <v/>
      </c>
      <c r="V322">
        <f>TRIM(SUBSTITUTE(INDEX('Loans'!$A:$A,ROW())&amp;""," "," "))</f>
        <v/>
      </c>
      <c r="W322">
        <f>TRIM(SUBSTITUTE(INDEX('Loans'!$B:$B,ROW())&amp;""," "," "))</f>
        <v/>
      </c>
      <c r="X322">
        <f>TRIM(SUBSTITUTE(INDEX('Loans'!$C:$C,ROW())&amp;""," "," "))</f>
        <v/>
      </c>
      <c r="Y322">
        <f>IFERROR(--INDEX('Loans'!$D:$D,ROW()),0)</f>
        <v/>
      </c>
      <c r="Z322">
        <f>IFERROR(--INDEX('Loans'!$E:$E,ROW()),0)</f>
        <v/>
      </c>
      <c r="AA322">
        <f>IFERROR(--INDEX('Loans'!$F:$F,ROW()),0)</f>
        <v/>
      </c>
      <c r="AB322">
        <f>IFERROR(IF(--INDEX('Loans'!$G:$G,ROW())&gt;=1,--INDEX('Loans'!$G:$G,ROW())/100,--INDEX('Loans'!$G:$G,ROW())),0)</f>
        <v/>
      </c>
      <c r="AC322">
        <f>TRIM(SUBSTITUTE(INDEX('Loans'!$H:$H,ROW())&amp;""," "," "))</f>
        <v/>
      </c>
      <c r="AD322">
        <f>TRIM(SUBSTITUTE(INDEX('Loans'!$I:$I,ROW())&amp;""," "," "))</f>
        <v/>
      </c>
      <c r="AE322">
        <f>IFERROR(--INDEX('Loans'!$J:$J,ROW()),0)</f>
        <v/>
      </c>
      <c r="AF322">
        <f>TRIM(SUBSTITUTE(INDEX('Loans'!$K:$K,ROW())&amp;""," "," "))</f>
        <v/>
      </c>
      <c r="AG322">
        <f>IFERROR(--INDEX('Loans'!$L:$L,ROW()),0)</f>
        <v/>
      </c>
      <c r="AH322">
        <f>IF(ISNUMBER(INDEX('Loans'!$G:$G,ROW())),1,0)</f>
        <v/>
      </c>
    </row>
    <row r="323">
      <c r="A323">
        <f>TRIM(SUBSTITUTE(INDEX('Term investments'!$A:$A,ROW())&amp;""," "," "))</f>
        <v/>
      </c>
      <c r="B323">
        <f>TRIM(SUBSTITUTE(INDEX('Term investments'!$B:$B,ROW())&amp;""," "," "))</f>
        <v/>
      </c>
      <c r="C323">
        <f>TRIM(SUBSTITUTE(INDEX('Term investments'!$C:$C,ROW())&amp;""," "," "))</f>
        <v/>
      </c>
      <c r="D323">
        <f>IFERROR(--INDEX('Term investments'!$D:$D,ROW()),0)</f>
        <v/>
      </c>
      <c r="E323">
        <f>IFERROR(--INDEX('Term investments'!$E:$E,ROW()),0)</f>
        <v/>
      </c>
      <c r="F323">
        <f>IFERROR(--INDEX('Term investments'!$F:$F,ROW()),0)</f>
        <v/>
      </c>
      <c r="G323">
        <f>IFERROR(IF(--INDEX('Term investments'!$G:$G,ROW())&gt;=1,--INDEX('Term investments'!$G:$G,ROW())/100,--INDEX('Term investments'!$G:$G,ROW())),0)</f>
        <v/>
      </c>
      <c r="H323">
        <f>IFERROR(--INDEX('Term investments'!$H:$H,ROW()),0)</f>
        <v/>
      </c>
      <c r="I323">
        <f>IF(ISNUMBER(INDEX('Term investments'!$G:$G,ROW())),1,0)</f>
        <v/>
      </c>
      <c r="J323">
        <f>TRIM(SUBSTITUTE(INDEX('Call accounts and MMFs'!$A:$A,ROW())&amp;""," "," "))</f>
        <v/>
      </c>
      <c r="K323">
        <f>TRIM(SUBSTITUTE(INDEX('Call accounts and MMFs'!$B:$B,ROW())&amp;""," "," "))</f>
        <v/>
      </c>
      <c r="L323">
        <f>TRIM(SUBSTITUTE(INDEX('Call accounts and MMFs'!$C:$C,ROW())&amp;""," "," "))</f>
        <v/>
      </c>
      <c r="M323">
        <f>IFERROR(--INDEX('Call accounts and MMFs'!$D:$D,ROW()),0)</f>
        <v/>
      </c>
      <c r="N323">
        <f>IFERROR(IF(--INDEX('Call accounts and MMFs'!$E:$E,ROW())&gt;=1,--INDEX('Call accounts and MMFs'!$E:$E,ROW())/100,--INDEX('Call accounts and MMFs'!$E:$E,ROW())),0)</f>
        <v/>
      </c>
      <c r="O323">
        <f>IFERROR(--INDEX('Call accounts and MMFs'!$F:$F,ROW()),0)</f>
        <v/>
      </c>
      <c r="P323">
        <f>IF(ISNUMBER(INDEX('Call accounts and MMFs'!$E:$E,ROW())),1,0)</f>
        <v/>
      </c>
      <c r="Q323">
        <f>TRIM(SUBSTITUTE(INDEX('Pooled funds'!$B:$B,ROW())&amp;""," "," "))</f>
        <v/>
      </c>
      <c r="R323">
        <f>IFERROR(--INDEX('Pooled funds'!$C:$C,ROW()),0)</f>
        <v/>
      </c>
      <c r="S323">
        <f>IFERROR(--INDEX('Pooled funds'!$D:$D,ROW()),0)</f>
        <v/>
      </c>
      <c r="T323">
        <f>IFERROR(IF(--INDEX('Pooled funds'!$E:$E,ROW())&gt;=1,--INDEX('Pooled funds'!$E:$E,ROW())/100,--INDEX('Pooled funds'!$E:$E,ROW())),0)</f>
        <v/>
      </c>
      <c r="U323">
        <f>IF(ISNUMBER(INDEX('Pooled funds'!$E:$E,ROW())),1,0)</f>
        <v/>
      </c>
      <c r="V323">
        <f>TRIM(SUBSTITUTE(INDEX('Loans'!$A:$A,ROW())&amp;""," "," "))</f>
        <v/>
      </c>
      <c r="W323">
        <f>TRIM(SUBSTITUTE(INDEX('Loans'!$B:$B,ROW())&amp;""," "," "))</f>
        <v/>
      </c>
      <c r="X323">
        <f>TRIM(SUBSTITUTE(INDEX('Loans'!$C:$C,ROW())&amp;""," "," "))</f>
        <v/>
      </c>
      <c r="Y323">
        <f>IFERROR(--INDEX('Loans'!$D:$D,ROW()),0)</f>
        <v/>
      </c>
      <c r="Z323">
        <f>IFERROR(--INDEX('Loans'!$E:$E,ROW()),0)</f>
        <v/>
      </c>
      <c r="AA323">
        <f>IFERROR(--INDEX('Loans'!$F:$F,ROW()),0)</f>
        <v/>
      </c>
      <c r="AB323">
        <f>IFERROR(IF(--INDEX('Loans'!$G:$G,ROW())&gt;=1,--INDEX('Loans'!$G:$G,ROW())/100,--INDEX('Loans'!$G:$G,ROW())),0)</f>
        <v/>
      </c>
      <c r="AC323">
        <f>TRIM(SUBSTITUTE(INDEX('Loans'!$H:$H,ROW())&amp;""," "," "))</f>
        <v/>
      </c>
      <c r="AD323">
        <f>TRIM(SUBSTITUTE(INDEX('Loans'!$I:$I,ROW())&amp;""," "," "))</f>
        <v/>
      </c>
      <c r="AE323">
        <f>IFERROR(--INDEX('Loans'!$J:$J,ROW()),0)</f>
        <v/>
      </c>
      <c r="AF323">
        <f>TRIM(SUBSTITUTE(INDEX('Loans'!$K:$K,ROW())&amp;""," "," "))</f>
        <v/>
      </c>
      <c r="AG323">
        <f>IFERROR(--INDEX('Loans'!$L:$L,ROW()),0)</f>
        <v/>
      </c>
      <c r="AH323">
        <f>IF(ISNUMBER(INDEX('Loans'!$G:$G,ROW())),1,0)</f>
        <v/>
      </c>
    </row>
    <row r="324">
      <c r="A324">
        <f>TRIM(SUBSTITUTE(INDEX('Term investments'!$A:$A,ROW())&amp;""," "," "))</f>
        <v/>
      </c>
      <c r="B324">
        <f>TRIM(SUBSTITUTE(INDEX('Term investments'!$B:$B,ROW())&amp;""," "," "))</f>
        <v/>
      </c>
      <c r="C324">
        <f>TRIM(SUBSTITUTE(INDEX('Term investments'!$C:$C,ROW())&amp;""," "," "))</f>
        <v/>
      </c>
      <c r="D324">
        <f>IFERROR(--INDEX('Term investments'!$D:$D,ROW()),0)</f>
        <v/>
      </c>
      <c r="E324">
        <f>IFERROR(--INDEX('Term investments'!$E:$E,ROW()),0)</f>
        <v/>
      </c>
      <c r="F324">
        <f>IFERROR(--INDEX('Term investments'!$F:$F,ROW()),0)</f>
        <v/>
      </c>
      <c r="G324">
        <f>IFERROR(IF(--INDEX('Term investments'!$G:$G,ROW())&gt;=1,--INDEX('Term investments'!$G:$G,ROW())/100,--INDEX('Term investments'!$G:$G,ROW())),0)</f>
        <v/>
      </c>
      <c r="H324">
        <f>IFERROR(--INDEX('Term investments'!$H:$H,ROW()),0)</f>
        <v/>
      </c>
      <c r="I324">
        <f>IF(ISNUMBER(INDEX('Term investments'!$G:$G,ROW())),1,0)</f>
        <v/>
      </c>
      <c r="J324">
        <f>TRIM(SUBSTITUTE(INDEX('Call accounts and MMFs'!$A:$A,ROW())&amp;""," "," "))</f>
        <v/>
      </c>
      <c r="K324">
        <f>TRIM(SUBSTITUTE(INDEX('Call accounts and MMFs'!$B:$B,ROW())&amp;""," "," "))</f>
        <v/>
      </c>
      <c r="L324">
        <f>TRIM(SUBSTITUTE(INDEX('Call accounts and MMFs'!$C:$C,ROW())&amp;""," "," "))</f>
        <v/>
      </c>
      <c r="M324">
        <f>IFERROR(--INDEX('Call accounts and MMFs'!$D:$D,ROW()),0)</f>
        <v/>
      </c>
      <c r="N324">
        <f>IFERROR(IF(--INDEX('Call accounts and MMFs'!$E:$E,ROW())&gt;=1,--INDEX('Call accounts and MMFs'!$E:$E,ROW())/100,--INDEX('Call accounts and MMFs'!$E:$E,ROW())),0)</f>
        <v/>
      </c>
      <c r="O324">
        <f>IFERROR(--INDEX('Call accounts and MMFs'!$F:$F,ROW()),0)</f>
        <v/>
      </c>
      <c r="P324">
        <f>IF(ISNUMBER(INDEX('Call accounts and MMFs'!$E:$E,ROW())),1,0)</f>
        <v/>
      </c>
      <c r="Q324">
        <f>TRIM(SUBSTITUTE(INDEX('Pooled funds'!$B:$B,ROW())&amp;""," "," "))</f>
        <v/>
      </c>
      <c r="R324">
        <f>IFERROR(--INDEX('Pooled funds'!$C:$C,ROW()),0)</f>
        <v/>
      </c>
      <c r="S324">
        <f>IFERROR(--INDEX('Pooled funds'!$D:$D,ROW()),0)</f>
        <v/>
      </c>
      <c r="T324">
        <f>IFERROR(IF(--INDEX('Pooled funds'!$E:$E,ROW())&gt;=1,--INDEX('Pooled funds'!$E:$E,ROW())/100,--INDEX('Pooled funds'!$E:$E,ROW())),0)</f>
        <v/>
      </c>
      <c r="U324">
        <f>IF(ISNUMBER(INDEX('Pooled funds'!$E:$E,ROW())),1,0)</f>
        <v/>
      </c>
      <c r="V324">
        <f>TRIM(SUBSTITUTE(INDEX('Loans'!$A:$A,ROW())&amp;""," "," "))</f>
        <v/>
      </c>
      <c r="W324">
        <f>TRIM(SUBSTITUTE(INDEX('Loans'!$B:$B,ROW())&amp;""," "," "))</f>
        <v/>
      </c>
      <c r="X324">
        <f>TRIM(SUBSTITUTE(INDEX('Loans'!$C:$C,ROW())&amp;""," "," "))</f>
        <v/>
      </c>
      <c r="Y324">
        <f>IFERROR(--INDEX('Loans'!$D:$D,ROW()),0)</f>
        <v/>
      </c>
      <c r="Z324">
        <f>IFERROR(--INDEX('Loans'!$E:$E,ROW()),0)</f>
        <v/>
      </c>
      <c r="AA324">
        <f>IFERROR(--INDEX('Loans'!$F:$F,ROW()),0)</f>
        <v/>
      </c>
      <c r="AB324">
        <f>IFERROR(IF(--INDEX('Loans'!$G:$G,ROW())&gt;=1,--INDEX('Loans'!$G:$G,ROW())/100,--INDEX('Loans'!$G:$G,ROW())),0)</f>
        <v/>
      </c>
      <c r="AC324">
        <f>TRIM(SUBSTITUTE(INDEX('Loans'!$H:$H,ROW())&amp;""," "," "))</f>
        <v/>
      </c>
      <c r="AD324">
        <f>TRIM(SUBSTITUTE(INDEX('Loans'!$I:$I,ROW())&amp;""," "," "))</f>
        <v/>
      </c>
      <c r="AE324">
        <f>IFERROR(--INDEX('Loans'!$J:$J,ROW()),0)</f>
        <v/>
      </c>
      <c r="AF324">
        <f>TRIM(SUBSTITUTE(INDEX('Loans'!$K:$K,ROW())&amp;""," "," "))</f>
        <v/>
      </c>
      <c r="AG324">
        <f>IFERROR(--INDEX('Loans'!$L:$L,ROW()),0)</f>
        <v/>
      </c>
      <c r="AH324">
        <f>IF(ISNUMBER(INDEX('Loans'!$G:$G,ROW())),1,0)</f>
        <v/>
      </c>
    </row>
    <row r="325">
      <c r="A325">
        <f>TRIM(SUBSTITUTE(INDEX('Term investments'!$A:$A,ROW())&amp;""," "," "))</f>
        <v/>
      </c>
      <c r="B325">
        <f>TRIM(SUBSTITUTE(INDEX('Term investments'!$B:$B,ROW())&amp;""," "," "))</f>
        <v/>
      </c>
      <c r="C325">
        <f>TRIM(SUBSTITUTE(INDEX('Term investments'!$C:$C,ROW())&amp;""," "," "))</f>
        <v/>
      </c>
      <c r="D325">
        <f>IFERROR(--INDEX('Term investments'!$D:$D,ROW()),0)</f>
        <v/>
      </c>
      <c r="E325">
        <f>IFERROR(--INDEX('Term investments'!$E:$E,ROW()),0)</f>
        <v/>
      </c>
      <c r="F325">
        <f>IFERROR(--INDEX('Term investments'!$F:$F,ROW()),0)</f>
        <v/>
      </c>
      <c r="G325">
        <f>IFERROR(IF(--INDEX('Term investments'!$G:$G,ROW())&gt;=1,--INDEX('Term investments'!$G:$G,ROW())/100,--INDEX('Term investments'!$G:$G,ROW())),0)</f>
        <v/>
      </c>
      <c r="H325">
        <f>IFERROR(--INDEX('Term investments'!$H:$H,ROW()),0)</f>
        <v/>
      </c>
      <c r="I325">
        <f>IF(ISNUMBER(INDEX('Term investments'!$G:$G,ROW())),1,0)</f>
        <v/>
      </c>
      <c r="J325">
        <f>TRIM(SUBSTITUTE(INDEX('Call accounts and MMFs'!$A:$A,ROW())&amp;""," "," "))</f>
        <v/>
      </c>
      <c r="K325">
        <f>TRIM(SUBSTITUTE(INDEX('Call accounts and MMFs'!$B:$B,ROW())&amp;""," "," "))</f>
        <v/>
      </c>
      <c r="L325">
        <f>TRIM(SUBSTITUTE(INDEX('Call accounts and MMFs'!$C:$C,ROW())&amp;""," "," "))</f>
        <v/>
      </c>
      <c r="M325">
        <f>IFERROR(--INDEX('Call accounts and MMFs'!$D:$D,ROW()),0)</f>
        <v/>
      </c>
      <c r="N325">
        <f>IFERROR(IF(--INDEX('Call accounts and MMFs'!$E:$E,ROW())&gt;=1,--INDEX('Call accounts and MMFs'!$E:$E,ROW())/100,--INDEX('Call accounts and MMFs'!$E:$E,ROW())),0)</f>
        <v/>
      </c>
      <c r="O325">
        <f>IFERROR(--INDEX('Call accounts and MMFs'!$F:$F,ROW()),0)</f>
        <v/>
      </c>
      <c r="P325">
        <f>IF(ISNUMBER(INDEX('Call accounts and MMFs'!$E:$E,ROW())),1,0)</f>
        <v/>
      </c>
      <c r="Q325">
        <f>TRIM(SUBSTITUTE(INDEX('Pooled funds'!$B:$B,ROW())&amp;""," "," "))</f>
        <v/>
      </c>
      <c r="R325">
        <f>IFERROR(--INDEX('Pooled funds'!$C:$C,ROW()),0)</f>
        <v/>
      </c>
      <c r="S325">
        <f>IFERROR(--INDEX('Pooled funds'!$D:$D,ROW()),0)</f>
        <v/>
      </c>
      <c r="T325">
        <f>IFERROR(IF(--INDEX('Pooled funds'!$E:$E,ROW())&gt;=1,--INDEX('Pooled funds'!$E:$E,ROW())/100,--INDEX('Pooled funds'!$E:$E,ROW())),0)</f>
        <v/>
      </c>
      <c r="U325">
        <f>IF(ISNUMBER(INDEX('Pooled funds'!$E:$E,ROW())),1,0)</f>
        <v/>
      </c>
      <c r="V325">
        <f>TRIM(SUBSTITUTE(INDEX('Loans'!$A:$A,ROW())&amp;""," "," "))</f>
        <v/>
      </c>
      <c r="W325">
        <f>TRIM(SUBSTITUTE(INDEX('Loans'!$B:$B,ROW())&amp;""," "," "))</f>
        <v/>
      </c>
      <c r="X325">
        <f>TRIM(SUBSTITUTE(INDEX('Loans'!$C:$C,ROW())&amp;""," "," "))</f>
        <v/>
      </c>
      <c r="Y325">
        <f>IFERROR(--INDEX('Loans'!$D:$D,ROW()),0)</f>
        <v/>
      </c>
      <c r="Z325">
        <f>IFERROR(--INDEX('Loans'!$E:$E,ROW()),0)</f>
        <v/>
      </c>
      <c r="AA325">
        <f>IFERROR(--INDEX('Loans'!$F:$F,ROW()),0)</f>
        <v/>
      </c>
      <c r="AB325">
        <f>IFERROR(IF(--INDEX('Loans'!$G:$G,ROW())&gt;=1,--INDEX('Loans'!$G:$G,ROW())/100,--INDEX('Loans'!$G:$G,ROW())),0)</f>
        <v/>
      </c>
      <c r="AC325">
        <f>TRIM(SUBSTITUTE(INDEX('Loans'!$H:$H,ROW())&amp;""," "," "))</f>
        <v/>
      </c>
      <c r="AD325">
        <f>TRIM(SUBSTITUTE(INDEX('Loans'!$I:$I,ROW())&amp;""," "," "))</f>
        <v/>
      </c>
      <c r="AE325">
        <f>IFERROR(--INDEX('Loans'!$J:$J,ROW()),0)</f>
        <v/>
      </c>
      <c r="AF325">
        <f>TRIM(SUBSTITUTE(INDEX('Loans'!$K:$K,ROW())&amp;""," "," "))</f>
        <v/>
      </c>
      <c r="AG325">
        <f>IFERROR(--INDEX('Loans'!$L:$L,ROW()),0)</f>
        <v/>
      </c>
      <c r="AH325">
        <f>IF(ISNUMBER(INDEX('Loans'!$G:$G,ROW())),1,0)</f>
        <v/>
      </c>
    </row>
    <row r="326">
      <c r="A326">
        <f>TRIM(SUBSTITUTE(INDEX('Term investments'!$A:$A,ROW())&amp;""," "," "))</f>
        <v/>
      </c>
      <c r="B326">
        <f>TRIM(SUBSTITUTE(INDEX('Term investments'!$B:$B,ROW())&amp;""," "," "))</f>
        <v/>
      </c>
      <c r="C326">
        <f>TRIM(SUBSTITUTE(INDEX('Term investments'!$C:$C,ROW())&amp;""," "," "))</f>
        <v/>
      </c>
      <c r="D326">
        <f>IFERROR(--INDEX('Term investments'!$D:$D,ROW()),0)</f>
        <v/>
      </c>
      <c r="E326">
        <f>IFERROR(--INDEX('Term investments'!$E:$E,ROW()),0)</f>
        <v/>
      </c>
      <c r="F326">
        <f>IFERROR(--INDEX('Term investments'!$F:$F,ROW()),0)</f>
        <v/>
      </c>
      <c r="G326">
        <f>IFERROR(IF(--INDEX('Term investments'!$G:$G,ROW())&gt;=1,--INDEX('Term investments'!$G:$G,ROW())/100,--INDEX('Term investments'!$G:$G,ROW())),0)</f>
        <v/>
      </c>
      <c r="H326">
        <f>IFERROR(--INDEX('Term investments'!$H:$H,ROW()),0)</f>
        <v/>
      </c>
      <c r="I326">
        <f>IF(ISNUMBER(INDEX('Term investments'!$G:$G,ROW())),1,0)</f>
        <v/>
      </c>
      <c r="J326">
        <f>TRIM(SUBSTITUTE(INDEX('Call accounts and MMFs'!$A:$A,ROW())&amp;""," "," "))</f>
        <v/>
      </c>
      <c r="K326">
        <f>TRIM(SUBSTITUTE(INDEX('Call accounts and MMFs'!$B:$B,ROW())&amp;""," "," "))</f>
        <v/>
      </c>
      <c r="L326">
        <f>TRIM(SUBSTITUTE(INDEX('Call accounts and MMFs'!$C:$C,ROW())&amp;""," "," "))</f>
        <v/>
      </c>
      <c r="M326">
        <f>IFERROR(--INDEX('Call accounts and MMFs'!$D:$D,ROW()),0)</f>
        <v/>
      </c>
      <c r="N326">
        <f>IFERROR(IF(--INDEX('Call accounts and MMFs'!$E:$E,ROW())&gt;=1,--INDEX('Call accounts and MMFs'!$E:$E,ROW())/100,--INDEX('Call accounts and MMFs'!$E:$E,ROW())),0)</f>
        <v/>
      </c>
      <c r="O326">
        <f>IFERROR(--INDEX('Call accounts and MMFs'!$F:$F,ROW()),0)</f>
        <v/>
      </c>
      <c r="P326">
        <f>IF(ISNUMBER(INDEX('Call accounts and MMFs'!$E:$E,ROW())),1,0)</f>
        <v/>
      </c>
      <c r="Q326">
        <f>TRIM(SUBSTITUTE(INDEX('Pooled funds'!$B:$B,ROW())&amp;""," "," "))</f>
        <v/>
      </c>
      <c r="R326">
        <f>IFERROR(--INDEX('Pooled funds'!$C:$C,ROW()),0)</f>
        <v/>
      </c>
      <c r="S326">
        <f>IFERROR(--INDEX('Pooled funds'!$D:$D,ROW()),0)</f>
        <v/>
      </c>
      <c r="T326">
        <f>IFERROR(IF(--INDEX('Pooled funds'!$E:$E,ROW())&gt;=1,--INDEX('Pooled funds'!$E:$E,ROW())/100,--INDEX('Pooled funds'!$E:$E,ROW())),0)</f>
        <v/>
      </c>
      <c r="U326">
        <f>IF(ISNUMBER(INDEX('Pooled funds'!$E:$E,ROW())),1,0)</f>
        <v/>
      </c>
      <c r="V326">
        <f>TRIM(SUBSTITUTE(INDEX('Loans'!$A:$A,ROW())&amp;""," "," "))</f>
        <v/>
      </c>
      <c r="W326">
        <f>TRIM(SUBSTITUTE(INDEX('Loans'!$B:$B,ROW())&amp;""," "," "))</f>
        <v/>
      </c>
      <c r="X326">
        <f>TRIM(SUBSTITUTE(INDEX('Loans'!$C:$C,ROW())&amp;""," "," "))</f>
        <v/>
      </c>
      <c r="Y326">
        <f>IFERROR(--INDEX('Loans'!$D:$D,ROW()),0)</f>
        <v/>
      </c>
      <c r="Z326">
        <f>IFERROR(--INDEX('Loans'!$E:$E,ROW()),0)</f>
        <v/>
      </c>
      <c r="AA326">
        <f>IFERROR(--INDEX('Loans'!$F:$F,ROW()),0)</f>
        <v/>
      </c>
      <c r="AB326">
        <f>IFERROR(IF(--INDEX('Loans'!$G:$G,ROW())&gt;=1,--INDEX('Loans'!$G:$G,ROW())/100,--INDEX('Loans'!$G:$G,ROW())),0)</f>
        <v/>
      </c>
      <c r="AC326">
        <f>TRIM(SUBSTITUTE(INDEX('Loans'!$H:$H,ROW())&amp;""," "," "))</f>
        <v/>
      </c>
      <c r="AD326">
        <f>TRIM(SUBSTITUTE(INDEX('Loans'!$I:$I,ROW())&amp;""," "," "))</f>
        <v/>
      </c>
      <c r="AE326">
        <f>IFERROR(--INDEX('Loans'!$J:$J,ROW()),0)</f>
        <v/>
      </c>
      <c r="AF326">
        <f>TRIM(SUBSTITUTE(INDEX('Loans'!$K:$K,ROW())&amp;""," "," "))</f>
        <v/>
      </c>
      <c r="AG326">
        <f>IFERROR(--INDEX('Loans'!$L:$L,ROW()),0)</f>
        <v/>
      </c>
      <c r="AH326">
        <f>IF(ISNUMBER(INDEX('Loans'!$G:$G,ROW())),1,0)</f>
        <v/>
      </c>
    </row>
    <row r="327">
      <c r="A327">
        <f>TRIM(SUBSTITUTE(INDEX('Term investments'!$A:$A,ROW())&amp;""," "," "))</f>
        <v/>
      </c>
      <c r="B327">
        <f>TRIM(SUBSTITUTE(INDEX('Term investments'!$B:$B,ROW())&amp;""," "," "))</f>
        <v/>
      </c>
      <c r="C327">
        <f>TRIM(SUBSTITUTE(INDEX('Term investments'!$C:$C,ROW())&amp;""," "," "))</f>
        <v/>
      </c>
      <c r="D327">
        <f>IFERROR(--INDEX('Term investments'!$D:$D,ROW()),0)</f>
        <v/>
      </c>
      <c r="E327">
        <f>IFERROR(--INDEX('Term investments'!$E:$E,ROW()),0)</f>
        <v/>
      </c>
      <c r="F327">
        <f>IFERROR(--INDEX('Term investments'!$F:$F,ROW()),0)</f>
        <v/>
      </c>
      <c r="G327">
        <f>IFERROR(IF(--INDEX('Term investments'!$G:$G,ROW())&gt;=1,--INDEX('Term investments'!$G:$G,ROW())/100,--INDEX('Term investments'!$G:$G,ROW())),0)</f>
        <v/>
      </c>
      <c r="H327">
        <f>IFERROR(--INDEX('Term investments'!$H:$H,ROW()),0)</f>
        <v/>
      </c>
      <c r="I327">
        <f>IF(ISNUMBER(INDEX('Term investments'!$G:$G,ROW())),1,0)</f>
        <v/>
      </c>
      <c r="J327">
        <f>TRIM(SUBSTITUTE(INDEX('Call accounts and MMFs'!$A:$A,ROW())&amp;""," "," "))</f>
        <v/>
      </c>
      <c r="K327">
        <f>TRIM(SUBSTITUTE(INDEX('Call accounts and MMFs'!$B:$B,ROW())&amp;""," "," "))</f>
        <v/>
      </c>
      <c r="L327">
        <f>TRIM(SUBSTITUTE(INDEX('Call accounts and MMFs'!$C:$C,ROW())&amp;""," "," "))</f>
        <v/>
      </c>
      <c r="M327">
        <f>IFERROR(--INDEX('Call accounts and MMFs'!$D:$D,ROW()),0)</f>
        <v/>
      </c>
      <c r="N327">
        <f>IFERROR(IF(--INDEX('Call accounts and MMFs'!$E:$E,ROW())&gt;=1,--INDEX('Call accounts and MMFs'!$E:$E,ROW())/100,--INDEX('Call accounts and MMFs'!$E:$E,ROW())),0)</f>
        <v/>
      </c>
      <c r="O327">
        <f>IFERROR(--INDEX('Call accounts and MMFs'!$F:$F,ROW()),0)</f>
        <v/>
      </c>
      <c r="P327">
        <f>IF(ISNUMBER(INDEX('Call accounts and MMFs'!$E:$E,ROW())),1,0)</f>
        <v/>
      </c>
      <c r="Q327">
        <f>TRIM(SUBSTITUTE(INDEX('Pooled funds'!$B:$B,ROW())&amp;""," "," "))</f>
        <v/>
      </c>
      <c r="R327">
        <f>IFERROR(--INDEX('Pooled funds'!$C:$C,ROW()),0)</f>
        <v/>
      </c>
      <c r="S327">
        <f>IFERROR(--INDEX('Pooled funds'!$D:$D,ROW()),0)</f>
        <v/>
      </c>
      <c r="T327">
        <f>IFERROR(IF(--INDEX('Pooled funds'!$E:$E,ROW())&gt;=1,--INDEX('Pooled funds'!$E:$E,ROW())/100,--INDEX('Pooled funds'!$E:$E,ROW())),0)</f>
        <v/>
      </c>
      <c r="U327">
        <f>IF(ISNUMBER(INDEX('Pooled funds'!$E:$E,ROW())),1,0)</f>
        <v/>
      </c>
      <c r="V327">
        <f>TRIM(SUBSTITUTE(INDEX('Loans'!$A:$A,ROW())&amp;""," "," "))</f>
        <v/>
      </c>
      <c r="W327">
        <f>TRIM(SUBSTITUTE(INDEX('Loans'!$B:$B,ROW())&amp;""," "," "))</f>
        <v/>
      </c>
      <c r="X327">
        <f>TRIM(SUBSTITUTE(INDEX('Loans'!$C:$C,ROW())&amp;""," "," "))</f>
        <v/>
      </c>
      <c r="Y327">
        <f>IFERROR(--INDEX('Loans'!$D:$D,ROW()),0)</f>
        <v/>
      </c>
      <c r="Z327">
        <f>IFERROR(--INDEX('Loans'!$E:$E,ROW()),0)</f>
        <v/>
      </c>
      <c r="AA327">
        <f>IFERROR(--INDEX('Loans'!$F:$F,ROW()),0)</f>
        <v/>
      </c>
      <c r="AB327">
        <f>IFERROR(IF(--INDEX('Loans'!$G:$G,ROW())&gt;=1,--INDEX('Loans'!$G:$G,ROW())/100,--INDEX('Loans'!$G:$G,ROW())),0)</f>
        <v/>
      </c>
      <c r="AC327">
        <f>TRIM(SUBSTITUTE(INDEX('Loans'!$H:$H,ROW())&amp;""," "," "))</f>
        <v/>
      </c>
      <c r="AD327">
        <f>TRIM(SUBSTITUTE(INDEX('Loans'!$I:$I,ROW())&amp;""," "," "))</f>
        <v/>
      </c>
      <c r="AE327">
        <f>IFERROR(--INDEX('Loans'!$J:$J,ROW()),0)</f>
        <v/>
      </c>
      <c r="AF327">
        <f>TRIM(SUBSTITUTE(INDEX('Loans'!$K:$K,ROW())&amp;""," "," "))</f>
        <v/>
      </c>
      <c r="AG327">
        <f>IFERROR(--INDEX('Loans'!$L:$L,ROW()),0)</f>
        <v/>
      </c>
      <c r="AH327">
        <f>IF(ISNUMBER(INDEX('Loans'!$G:$G,ROW())),1,0)</f>
        <v/>
      </c>
    </row>
    <row r="328">
      <c r="A328">
        <f>TRIM(SUBSTITUTE(INDEX('Term investments'!$A:$A,ROW())&amp;""," "," "))</f>
        <v/>
      </c>
      <c r="B328">
        <f>TRIM(SUBSTITUTE(INDEX('Term investments'!$B:$B,ROW())&amp;""," "," "))</f>
        <v/>
      </c>
      <c r="C328">
        <f>TRIM(SUBSTITUTE(INDEX('Term investments'!$C:$C,ROW())&amp;""," "," "))</f>
        <v/>
      </c>
      <c r="D328">
        <f>IFERROR(--INDEX('Term investments'!$D:$D,ROW()),0)</f>
        <v/>
      </c>
      <c r="E328">
        <f>IFERROR(--INDEX('Term investments'!$E:$E,ROW()),0)</f>
        <v/>
      </c>
      <c r="F328">
        <f>IFERROR(--INDEX('Term investments'!$F:$F,ROW()),0)</f>
        <v/>
      </c>
      <c r="G328">
        <f>IFERROR(IF(--INDEX('Term investments'!$G:$G,ROW())&gt;=1,--INDEX('Term investments'!$G:$G,ROW())/100,--INDEX('Term investments'!$G:$G,ROW())),0)</f>
        <v/>
      </c>
      <c r="H328">
        <f>IFERROR(--INDEX('Term investments'!$H:$H,ROW()),0)</f>
        <v/>
      </c>
      <c r="I328">
        <f>IF(ISNUMBER(INDEX('Term investments'!$G:$G,ROW())),1,0)</f>
        <v/>
      </c>
      <c r="J328">
        <f>TRIM(SUBSTITUTE(INDEX('Call accounts and MMFs'!$A:$A,ROW())&amp;""," "," "))</f>
        <v/>
      </c>
      <c r="K328">
        <f>TRIM(SUBSTITUTE(INDEX('Call accounts and MMFs'!$B:$B,ROW())&amp;""," "," "))</f>
        <v/>
      </c>
      <c r="L328">
        <f>TRIM(SUBSTITUTE(INDEX('Call accounts and MMFs'!$C:$C,ROW())&amp;""," "," "))</f>
        <v/>
      </c>
      <c r="M328">
        <f>IFERROR(--INDEX('Call accounts and MMFs'!$D:$D,ROW()),0)</f>
        <v/>
      </c>
      <c r="N328">
        <f>IFERROR(IF(--INDEX('Call accounts and MMFs'!$E:$E,ROW())&gt;=1,--INDEX('Call accounts and MMFs'!$E:$E,ROW())/100,--INDEX('Call accounts and MMFs'!$E:$E,ROW())),0)</f>
        <v/>
      </c>
      <c r="O328">
        <f>IFERROR(--INDEX('Call accounts and MMFs'!$F:$F,ROW()),0)</f>
        <v/>
      </c>
      <c r="P328">
        <f>IF(ISNUMBER(INDEX('Call accounts and MMFs'!$E:$E,ROW())),1,0)</f>
        <v/>
      </c>
      <c r="Q328">
        <f>TRIM(SUBSTITUTE(INDEX('Pooled funds'!$B:$B,ROW())&amp;""," "," "))</f>
        <v/>
      </c>
      <c r="R328">
        <f>IFERROR(--INDEX('Pooled funds'!$C:$C,ROW()),0)</f>
        <v/>
      </c>
      <c r="S328">
        <f>IFERROR(--INDEX('Pooled funds'!$D:$D,ROW()),0)</f>
        <v/>
      </c>
      <c r="T328">
        <f>IFERROR(IF(--INDEX('Pooled funds'!$E:$E,ROW())&gt;=1,--INDEX('Pooled funds'!$E:$E,ROW())/100,--INDEX('Pooled funds'!$E:$E,ROW())),0)</f>
        <v/>
      </c>
      <c r="U328">
        <f>IF(ISNUMBER(INDEX('Pooled funds'!$E:$E,ROW())),1,0)</f>
        <v/>
      </c>
      <c r="V328">
        <f>TRIM(SUBSTITUTE(INDEX('Loans'!$A:$A,ROW())&amp;""," "," "))</f>
        <v/>
      </c>
      <c r="W328">
        <f>TRIM(SUBSTITUTE(INDEX('Loans'!$B:$B,ROW())&amp;""," "," "))</f>
        <v/>
      </c>
      <c r="X328">
        <f>TRIM(SUBSTITUTE(INDEX('Loans'!$C:$C,ROW())&amp;""," "," "))</f>
        <v/>
      </c>
      <c r="Y328">
        <f>IFERROR(--INDEX('Loans'!$D:$D,ROW()),0)</f>
        <v/>
      </c>
      <c r="Z328">
        <f>IFERROR(--INDEX('Loans'!$E:$E,ROW()),0)</f>
        <v/>
      </c>
      <c r="AA328">
        <f>IFERROR(--INDEX('Loans'!$F:$F,ROW()),0)</f>
        <v/>
      </c>
      <c r="AB328">
        <f>IFERROR(IF(--INDEX('Loans'!$G:$G,ROW())&gt;=1,--INDEX('Loans'!$G:$G,ROW())/100,--INDEX('Loans'!$G:$G,ROW())),0)</f>
        <v/>
      </c>
      <c r="AC328">
        <f>TRIM(SUBSTITUTE(INDEX('Loans'!$H:$H,ROW())&amp;""," "," "))</f>
        <v/>
      </c>
      <c r="AD328">
        <f>TRIM(SUBSTITUTE(INDEX('Loans'!$I:$I,ROW())&amp;""," "," "))</f>
        <v/>
      </c>
      <c r="AE328">
        <f>IFERROR(--INDEX('Loans'!$J:$J,ROW()),0)</f>
        <v/>
      </c>
      <c r="AF328">
        <f>TRIM(SUBSTITUTE(INDEX('Loans'!$K:$K,ROW())&amp;""," "," "))</f>
        <v/>
      </c>
      <c r="AG328">
        <f>IFERROR(--INDEX('Loans'!$L:$L,ROW()),0)</f>
        <v/>
      </c>
      <c r="AH328">
        <f>IF(ISNUMBER(INDEX('Loans'!$G:$G,ROW())),1,0)</f>
        <v/>
      </c>
    </row>
    <row r="329">
      <c r="A329">
        <f>TRIM(SUBSTITUTE(INDEX('Term investments'!$A:$A,ROW())&amp;""," "," "))</f>
        <v/>
      </c>
      <c r="B329">
        <f>TRIM(SUBSTITUTE(INDEX('Term investments'!$B:$B,ROW())&amp;""," "," "))</f>
        <v/>
      </c>
      <c r="C329">
        <f>TRIM(SUBSTITUTE(INDEX('Term investments'!$C:$C,ROW())&amp;""," "," "))</f>
        <v/>
      </c>
      <c r="D329">
        <f>IFERROR(--INDEX('Term investments'!$D:$D,ROW()),0)</f>
        <v/>
      </c>
      <c r="E329">
        <f>IFERROR(--INDEX('Term investments'!$E:$E,ROW()),0)</f>
        <v/>
      </c>
      <c r="F329">
        <f>IFERROR(--INDEX('Term investments'!$F:$F,ROW()),0)</f>
        <v/>
      </c>
      <c r="G329">
        <f>IFERROR(IF(--INDEX('Term investments'!$G:$G,ROW())&gt;=1,--INDEX('Term investments'!$G:$G,ROW())/100,--INDEX('Term investments'!$G:$G,ROW())),0)</f>
        <v/>
      </c>
      <c r="H329">
        <f>IFERROR(--INDEX('Term investments'!$H:$H,ROW()),0)</f>
        <v/>
      </c>
      <c r="I329">
        <f>IF(ISNUMBER(INDEX('Term investments'!$G:$G,ROW())),1,0)</f>
        <v/>
      </c>
      <c r="J329">
        <f>TRIM(SUBSTITUTE(INDEX('Call accounts and MMFs'!$A:$A,ROW())&amp;""," "," "))</f>
        <v/>
      </c>
      <c r="K329">
        <f>TRIM(SUBSTITUTE(INDEX('Call accounts and MMFs'!$B:$B,ROW())&amp;""," "," "))</f>
        <v/>
      </c>
      <c r="L329">
        <f>TRIM(SUBSTITUTE(INDEX('Call accounts and MMFs'!$C:$C,ROW())&amp;""," "," "))</f>
        <v/>
      </c>
      <c r="M329">
        <f>IFERROR(--INDEX('Call accounts and MMFs'!$D:$D,ROW()),0)</f>
        <v/>
      </c>
      <c r="N329">
        <f>IFERROR(IF(--INDEX('Call accounts and MMFs'!$E:$E,ROW())&gt;=1,--INDEX('Call accounts and MMFs'!$E:$E,ROW())/100,--INDEX('Call accounts and MMFs'!$E:$E,ROW())),0)</f>
        <v/>
      </c>
      <c r="O329">
        <f>IFERROR(--INDEX('Call accounts and MMFs'!$F:$F,ROW()),0)</f>
        <v/>
      </c>
      <c r="P329">
        <f>IF(ISNUMBER(INDEX('Call accounts and MMFs'!$E:$E,ROW())),1,0)</f>
        <v/>
      </c>
      <c r="Q329">
        <f>TRIM(SUBSTITUTE(INDEX('Pooled funds'!$B:$B,ROW())&amp;""," "," "))</f>
        <v/>
      </c>
      <c r="R329">
        <f>IFERROR(--INDEX('Pooled funds'!$C:$C,ROW()),0)</f>
        <v/>
      </c>
      <c r="S329">
        <f>IFERROR(--INDEX('Pooled funds'!$D:$D,ROW()),0)</f>
        <v/>
      </c>
      <c r="T329">
        <f>IFERROR(IF(--INDEX('Pooled funds'!$E:$E,ROW())&gt;=1,--INDEX('Pooled funds'!$E:$E,ROW())/100,--INDEX('Pooled funds'!$E:$E,ROW())),0)</f>
        <v/>
      </c>
      <c r="U329">
        <f>IF(ISNUMBER(INDEX('Pooled funds'!$E:$E,ROW())),1,0)</f>
        <v/>
      </c>
      <c r="V329">
        <f>TRIM(SUBSTITUTE(INDEX('Loans'!$A:$A,ROW())&amp;""," "," "))</f>
        <v/>
      </c>
      <c r="W329">
        <f>TRIM(SUBSTITUTE(INDEX('Loans'!$B:$B,ROW())&amp;""," "," "))</f>
        <v/>
      </c>
      <c r="X329">
        <f>TRIM(SUBSTITUTE(INDEX('Loans'!$C:$C,ROW())&amp;""," "," "))</f>
        <v/>
      </c>
      <c r="Y329">
        <f>IFERROR(--INDEX('Loans'!$D:$D,ROW()),0)</f>
        <v/>
      </c>
      <c r="Z329">
        <f>IFERROR(--INDEX('Loans'!$E:$E,ROW()),0)</f>
        <v/>
      </c>
      <c r="AA329">
        <f>IFERROR(--INDEX('Loans'!$F:$F,ROW()),0)</f>
        <v/>
      </c>
      <c r="AB329">
        <f>IFERROR(IF(--INDEX('Loans'!$G:$G,ROW())&gt;=1,--INDEX('Loans'!$G:$G,ROW())/100,--INDEX('Loans'!$G:$G,ROW())),0)</f>
        <v/>
      </c>
      <c r="AC329">
        <f>TRIM(SUBSTITUTE(INDEX('Loans'!$H:$H,ROW())&amp;""," "," "))</f>
        <v/>
      </c>
      <c r="AD329">
        <f>TRIM(SUBSTITUTE(INDEX('Loans'!$I:$I,ROW())&amp;""," "," "))</f>
        <v/>
      </c>
      <c r="AE329">
        <f>IFERROR(--INDEX('Loans'!$J:$J,ROW()),0)</f>
        <v/>
      </c>
      <c r="AF329">
        <f>TRIM(SUBSTITUTE(INDEX('Loans'!$K:$K,ROW())&amp;""," "," "))</f>
        <v/>
      </c>
      <c r="AG329">
        <f>IFERROR(--INDEX('Loans'!$L:$L,ROW()),0)</f>
        <v/>
      </c>
      <c r="AH329">
        <f>IF(ISNUMBER(INDEX('Loans'!$G:$G,ROW())),1,0)</f>
        <v/>
      </c>
    </row>
    <row r="330">
      <c r="A330">
        <f>TRIM(SUBSTITUTE(INDEX('Term investments'!$A:$A,ROW())&amp;""," "," "))</f>
        <v/>
      </c>
      <c r="B330">
        <f>TRIM(SUBSTITUTE(INDEX('Term investments'!$B:$B,ROW())&amp;""," "," "))</f>
        <v/>
      </c>
      <c r="C330">
        <f>TRIM(SUBSTITUTE(INDEX('Term investments'!$C:$C,ROW())&amp;""," "," "))</f>
        <v/>
      </c>
      <c r="D330">
        <f>IFERROR(--INDEX('Term investments'!$D:$D,ROW()),0)</f>
        <v/>
      </c>
      <c r="E330">
        <f>IFERROR(--INDEX('Term investments'!$E:$E,ROW()),0)</f>
        <v/>
      </c>
      <c r="F330">
        <f>IFERROR(--INDEX('Term investments'!$F:$F,ROW()),0)</f>
        <v/>
      </c>
      <c r="G330">
        <f>IFERROR(IF(--INDEX('Term investments'!$G:$G,ROW())&gt;=1,--INDEX('Term investments'!$G:$G,ROW())/100,--INDEX('Term investments'!$G:$G,ROW())),0)</f>
        <v/>
      </c>
      <c r="H330">
        <f>IFERROR(--INDEX('Term investments'!$H:$H,ROW()),0)</f>
        <v/>
      </c>
      <c r="I330">
        <f>IF(ISNUMBER(INDEX('Term investments'!$G:$G,ROW())),1,0)</f>
        <v/>
      </c>
      <c r="J330">
        <f>TRIM(SUBSTITUTE(INDEX('Call accounts and MMFs'!$A:$A,ROW())&amp;""," "," "))</f>
        <v/>
      </c>
      <c r="K330">
        <f>TRIM(SUBSTITUTE(INDEX('Call accounts and MMFs'!$B:$B,ROW())&amp;""," "," "))</f>
        <v/>
      </c>
      <c r="L330">
        <f>TRIM(SUBSTITUTE(INDEX('Call accounts and MMFs'!$C:$C,ROW())&amp;""," "," "))</f>
        <v/>
      </c>
      <c r="M330">
        <f>IFERROR(--INDEX('Call accounts and MMFs'!$D:$D,ROW()),0)</f>
        <v/>
      </c>
      <c r="N330">
        <f>IFERROR(IF(--INDEX('Call accounts and MMFs'!$E:$E,ROW())&gt;=1,--INDEX('Call accounts and MMFs'!$E:$E,ROW())/100,--INDEX('Call accounts and MMFs'!$E:$E,ROW())),0)</f>
        <v/>
      </c>
      <c r="O330">
        <f>IFERROR(--INDEX('Call accounts and MMFs'!$F:$F,ROW()),0)</f>
        <v/>
      </c>
      <c r="P330">
        <f>IF(ISNUMBER(INDEX('Call accounts and MMFs'!$E:$E,ROW())),1,0)</f>
        <v/>
      </c>
      <c r="Q330">
        <f>TRIM(SUBSTITUTE(INDEX('Pooled funds'!$B:$B,ROW())&amp;""," "," "))</f>
        <v/>
      </c>
      <c r="R330">
        <f>IFERROR(--INDEX('Pooled funds'!$C:$C,ROW()),0)</f>
        <v/>
      </c>
      <c r="S330">
        <f>IFERROR(--INDEX('Pooled funds'!$D:$D,ROW()),0)</f>
        <v/>
      </c>
      <c r="T330">
        <f>IFERROR(IF(--INDEX('Pooled funds'!$E:$E,ROW())&gt;=1,--INDEX('Pooled funds'!$E:$E,ROW())/100,--INDEX('Pooled funds'!$E:$E,ROW())),0)</f>
        <v/>
      </c>
      <c r="U330">
        <f>IF(ISNUMBER(INDEX('Pooled funds'!$E:$E,ROW())),1,0)</f>
        <v/>
      </c>
      <c r="V330">
        <f>TRIM(SUBSTITUTE(INDEX('Loans'!$A:$A,ROW())&amp;""," "," "))</f>
        <v/>
      </c>
      <c r="W330">
        <f>TRIM(SUBSTITUTE(INDEX('Loans'!$B:$B,ROW())&amp;""," "," "))</f>
        <v/>
      </c>
      <c r="X330">
        <f>TRIM(SUBSTITUTE(INDEX('Loans'!$C:$C,ROW())&amp;""," "," "))</f>
        <v/>
      </c>
      <c r="Y330">
        <f>IFERROR(--INDEX('Loans'!$D:$D,ROW()),0)</f>
        <v/>
      </c>
      <c r="Z330">
        <f>IFERROR(--INDEX('Loans'!$E:$E,ROW()),0)</f>
        <v/>
      </c>
      <c r="AA330">
        <f>IFERROR(--INDEX('Loans'!$F:$F,ROW()),0)</f>
        <v/>
      </c>
      <c r="AB330">
        <f>IFERROR(IF(--INDEX('Loans'!$G:$G,ROW())&gt;=1,--INDEX('Loans'!$G:$G,ROW())/100,--INDEX('Loans'!$G:$G,ROW())),0)</f>
        <v/>
      </c>
      <c r="AC330">
        <f>TRIM(SUBSTITUTE(INDEX('Loans'!$H:$H,ROW())&amp;""," "," "))</f>
        <v/>
      </c>
      <c r="AD330">
        <f>TRIM(SUBSTITUTE(INDEX('Loans'!$I:$I,ROW())&amp;""," "," "))</f>
        <v/>
      </c>
      <c r="AE330">
        <f>IFERROR(--INDEX('Loans'!$J:$J,ROW()),0)</f>
        <v/>
      </c>
      <c r="AF330">
        <f>TRIM(SUBSTITUTE(INDEX('Loans'!$K:$K,ROW())&amp;""," "," "))</f>
        <v/>
      </c>
      <c r="AG330">
        <f>IFERROR(--INDEX('Loans'!$L:$L,ROW()),0)</f>
        <v/>
      </c>
      <c r="AH330">
        <f>IF(ISNUMBER(INDEX('Loans'!$G:$G,ROW())),1,0)</f>
        <v/>
      </c>
    </row>
    <row r="331">
      <c r="A331">
        <f>TRIM(SUBSTITUTE(INDEX('Term investments'!$A:$A,ROW())&amp;""," "," "))</f>
        <v/>
      </c>
      <c r="B331">
        <f>TRIM(SUBSTITUTE(INDEX('Term investments'!$B:$B,ROW())&amp;""," "," "))</f>
        <v/>
      </c>
      <c r="C331">
        <f>TRIM(SUBSTITUTE(INDEX('Term investments'!$C:$C,ROW())&amp;""," "," "))</f>
        <v/>
      </c>
      <c r="D331">
        <f>IFERROR(--INDEX('Term investments'!$D:$D,ROW()),0)</f>
        <v/>
      </c>
      <c r="E331">
        <f>IFERROR(--INDEX('Term investments'!$E:$E,ROW()),0)</f>
        <v/>
      </c>
      <c r="F331">
        <f>IFERROR(--INDEX('Term investments'!$F:$F,ROW()),0)</f>
        <v/>
      </c>
      <c r="G331">
        <f>IFERROR(IF(--INDEX('Term investments'!$G:$G,ROW())&gt;=1,--INDEX('Term investments'!$G:$G,ROW())/100,--INDEX('Term investments'!$G:$G,ROW())),0)</f>
        <v/>
      </c>
      <c r="H331">
        <f>IFERROR(--INDEX('Term investments'!$H:$H,ROW()),0)</f>
        <v/>
      </c>
      <c r="I331">
        <f>IF(ISNUMBER(INDEX('Term investments'!$G:$G,ROW())),1,0)</f>
        <v/>
      </c>
      <c r="J331">
        <f>TRIM(SUBSTITUTE(INDEX('Call accounts and MMFs'!$A:$A,ROW())&amp;""," "," "))</f>
        <v/>
      </c>
      <c r="K331">
        <f>TRIM(SUBSTITUTE(INDEX('Call accounts and MMFs'!$B:$B,ROW())&amp;""," "," "))</f>
        <v/>
      </c>
      <c r="L331">
        <f>TRIM(SUBSTITUTE(INDEX('Call accounts and MMFs'!$C:$C,ROW())&amp;""," "," "))</f>
        <v/>
      </c>
      <c r="M331">
        <f>IFERROR(--INDEX('Call accounts and MMFs'!$D:$D,ROW()),0)</f>
        <v/>
      </c>
      <c r="N331">
        <f>IFERROR(IF(--INDEX('Call accounts and MMFs'!$E:$E,ROW())&gt;=1,--INDEX('Call accounts and MMFs'!$E:$E,ROW())/100,--INDEX('Call accounts and MMFs'!$E:$E,ROW())),0)</f>
        <v/>
      </c>
      <c r="O331">
        <f>IFERROR(--INDEX('Call accounts and MMFs'!$F:$F,ROW()),0)</f>
        <v/>
      </c>
      <c r="P331">
        <f>IF(ISNUMBER(INDEX('Call accounts and MMFs'!$E:$E,ROW())),1,0)</f>
        <v/>
      </c>
      <c r="Q331">
        <f>TRIM(SUBSTITUTE(INDEX('Pooled funds'!$B:$B,ROW())&amp;""," "," "))</f>
        <v/>
      </c>
      <c r="R331">
        <f>IFERROR(--INDEX('Pooled funds'!$C:$C,ROW()),0)</f>
        <v/>
      </c>
      <c r="S331">
        <f>IFERROR(--INDEX('Pooled funds'!$D:$D,ROW()),0)</f>
        <v/>
      </c>
      <c r="T331">
        <f>IFERROR(IF(--INDEX('Pooled funds'!$E:$E,ROW())&gt;=1,--INDEX('Pooled funds'!$E:$E,ROW())/100,--INDEX('Pooled funds'!$E:$E,ROW())),0)</f>
        <v/>
      </c>
      <c r="U331">
        <f>IF(ISNUMBER(INDEX('Pooled funds'!$E:$E,ROW())),1,0)</f>
        <v/>
      </c>
      <c r="V331">
        <f>TRIM(SUBSTITUTE(INDEX('Loans'!$A:$A,ROW())&amp;""," "," "))</f>
        <v/>
      </c>
      <c r="W331">
        <f>TRIM(SUBSTITUTE(INDEX('Loans'!$B:$B,ROW())&amp;""," "," "))</f>
        <v/>
      </c>
      <c r="X331">
        <f>TRIM(SUBSTITUTE(INDEX('Loans'!$C:$C,ROW())&amp;""," "," "))</f>
        <v/>
      </c>
      <c r="Y331">
        <f>IFERROR(--INDEX('Loans'!$D:$D,ROW()),0)</f>
        <v/>
      </c>
      <c r="Z331">
        <f>IFERROR(--INDEX('Loans'!$E:$E,ROW()),0)</f>
        <v/>
      </c>
      <c r="AA331">
        <f>IFERROR(--INDEX('Loans'!$F:$F,ROW()),0)</f>
        <v/>
      </c>
      <c r="AB331">
        <f>IFERROR(IF(--INDEX('Loans'!$G:$G,ROW())&gt;=1,--INDEX('Loans'!$G:$G,ROW())/100,--INDEX('Loans'!$G:$G,ROW())),0)</f>
        <v/>
      </c>
      <c r="AC331">
        <f>TRIM(SUBSTITUTE(INDEX('Loans'!$H:$H,ROW())&amp;""," "," "))</f>
        <v/>
      </c>
      <c r="AD331">
        <f>TRIM(SUBSTITUTE(INDEX('Loans'!$I:$I,ROW())&amp;""," "," "))</f>
        <v/>
      </c>
      <c r="AE331">
        <f>IFERROR(--INDEX('Loans'!$J:$J,ROW()),0)</f>
        <v/>
      </c>
      <c r="AF331">
        <f>TRIM(SUBSTITUTE(INDEX('Loans'!$K:$K,ROW())&amp;""," "," "))</f>
        <v/>
      </c>
      <c r="AG331">
        <f>IFERROR(--INDEX('Loans'!$L:$L,ROW()),0)</f>
        <v/>
      </c>
      <c r="AH331">
        <f>IF(ISNUMBER(INDEX('Loans'!$G:$G,ROW())),1,0)</f>
        <v/>
      </c>
    </row>
    <row r="332">
      <c r="A332">
        <f>TRIM(SUBSTITUTE(INDEX('Term investments'!$A:$A,ROW())&amp;""," "," "))</f>
        <v/>
      </c>
      <c r="B332">
        <f>TRIM(SUBSTITUTE(INDEX('Term investments'!$B:$B,ROW())&amp;""," "," "))</f>
        <v/>
      </c>
      <c r="C332">
        <f>TRIM(SUBSTITUTE(INDEX('Term investments'!$C:$C,ROW())&amp;""," "," "))</f>
        <v/>
      </c>
      <c r="D332">
        <f>IFERROR(--INDEX('Term investments'!$D:$D,ROW()),0)</f>
        <v/>
      </c>
      <c r="E332">
        <f>IFERROR(--INDEX('Term investments'!$E:$E,ROW()),0)</f>
        <v/>
      </c>
      <c r="F332">
        <f>IFERROR(--INDEX('Term investments'!$F:$F,ROW()),0)</f>
        <v/>
      </c>
      <c r="G332">
        <f>IFERROR(IF(--INDEX('Term investments'!$G:$G,ROW())&gt;=1,--INDEX('Term investments'!$G:$G,ROW())/100,--INDEX('Term investments'!$G:$G,ROW())),0)</f>
        <v/>
      </c>
      <c r="H332">
        <f>IFERROR(--INDEX('Term investments'!$H:$H,ROW()),0)</f>
        <v/>
      </c>
      <c r="I332">
        <f>IF(ISNUMBER(INDEX('Term investments'!$G:$G,ROW())),1,0)</f>
        <v/>
      </c>
      <c r="J332">
        <f>TRIM(SUBSTITUTE(INDEX('Call accounts and MMFs'!$A:$A,ROW())&amp;""," "," "))</f>
        <v/>
      </c>
      <c r="K332">
        <f>TRIM(SUBSTITUTE(INDEX('Call accounts and MMFs'!$B:$B,ROW())&amp;""," "," "))</f>
        <v/>
      </c>
      <c r="L332">
        <f>TRIM(SUBSTITUTE(INDEX('Call accounts and MMFs'!$C:$C,ROW())&amp;""," "," "))</f>
        <v/>
      </c>
      <c r="M332">
        <f>IFERROR(--INDEX('Call accounts and MMFs'!$D:$D,ROW()),0)</f>
        <v/>
      </c>
      <c r="N332">
        <f>IFERROR(IF(--INDEX('Call accounts and MMFs'!$E:$E,ROW())&gt;=1,--INDEX('Call accounts and MMFs'!$E:$E,ROW())/100,--INDEX('Call accounts and MMFs'!$E:$E,ROW())),0)</f>
        <v/>
      </c>
      <c r="O332">
        <f>IFERROR(--INDEX('Call accounts and MMFs'!$F:$F,ROW()),0)</f>
        <v/>
      </c>
      <c r="P332">
        <f>IF(ISNUMBER(INDEX('Call accounts and MMFs'!$E:$E,ROW())),1,0)</f>
        <v/>
      </c>
      <c r="Q332">
        <f>TRIM(SUBSTITUTE(INDEX('Pooled funds'!$B:$B,ROW())&amp;""," "," "))</f>
        <v/>
      </c>
      <c r="R332">
        <f>IFERROR(--INDEX('Pooled funds'!$C:$C,ROW()),0)</f>
        <v/>
      </c>
      <c r="S332">
        <f>IFERROR(--INDEX('Pooled funds'!$D:$D,ROW()),0)</f>
        <v/>
      </c>
      <c r="T332">
        <f>IFERROR(IF(--INDEX('Pooled funds'!$E:$E,ROW())&gt;=1,--INDEX('Pooled funds'!$E:$E,ROW())/100,--INDEX('Pooled funds'!$E:$E,ROW())),0)</f>
        <v/>
      </c>
      <c r="U332">
        <f>IF(ISNUMBER(INDEX('Pooled funds'!$E:$E,ROW())),1,0)</f>
        <v/>
      </c>
      <c r="V332">
        <f>TRIM(SUBSTITUTE(INDEX('Loans'!$A:$A,ROW())&amp;""," "," "))</f>
        <v/>
      </c>
      <c r="W332">
        <f>TRIM(SUBSTITUTE(INDEX('Loans'!$B:$B,ROW())&amp;""," "," "))</f>
        <v/>
      </c>
      <c r="X332">
        <f>TRIM(SUBSTITUTE(INDEX('Loans'!$C:$C,ROW())&amp;""," "," "))</f>
        <v/>
      </c>
      <c r="Y332">
        <f>IFERROR(--INDEX('Loans'!$D:$D,ROW()),0)</f>
        <v/>
      </c>
      <c r="Z332">
        <f>IFERROR(--INDEX('Loans'!$E:$E,ROW()),0)</f>
        <v/>
      </c>
      <c r="AA332">
        <f>IFERROR(--INDEX('Loans'!$F:$F,ROW()),0)</f>
        <v/>
      </c>
      <c r="AB332">
        <f>IFERROR(IF(--INDEX('Loans'!$G:$G,ROW())&gt;=1,--INDEX('Loans'!$G:$G,ROW())/100,--INDEX('Loans'!$G:$G,ROW())),0)</f>
        <v/>
      </c>
      <c r="AC332">
        <f>TRIM(SUBSTITUTE(INDEX('Loans'!$H:$H,ROW())&amp;""," "," "))</f>
        <v/>
      </c>
      <c r="AD332">
        <f>TRIM(SUBSTITUTE(INDEX('Loans'!$I:$I,ROW())&amp;""," "," "))</f>
        <v/>
      </c>
      <c r="AE332">
        <f>IFERROR(--INDEX('Loans'!$J:$J,ROW()),0)</f>
        <v/>
      </c>
      <c r="AF332">
        <f>TRIM(SUBSTITUTE(INDEX('Loans'!$K:$K,ROW())&amp;""," "," "))</f>
        <v/>
      </c>
      <c r="AG332">
        <f>IFERROR(--INDEX('Loans'!$L:$L,ROW()),0)</f>
        <v/>
      </c>
      <c r="AH332">
        <f>IF(ISNUMBER(INDEX('Loans'!$G:$G,ROW())),1,0)</f>
        <v/>
      </c>
    </row>
    <row r="333">
      <c r="A333">
        <f>TRIM(SUBSTITUTE(INDEX('Term investments'!$A:$A,ROW())&amp;""," "," "))</f>
        <v/>
      </c>
      <c r="B333">
        <f>TRIM(SUBSTITUTE(INDEX('Term investments'!$B:$B,ROW())&amp;""," "," "))</f>
        <v/>
      </c>
      <c r="C333">
        <f>TRIM(SUBSTITUTE(INDEX('Term investments'!$C:$C,ROW())&amp;""," "," "))</f>
        <v/>
      </c>
      <c r="D333">
        <f>IFERROR(--INDEX('Term investments'!$D:$D,ROW()),0)</f>
        <v/>
      </c>
      <c r="E333">
        <f>IFERROR(--INDEX('Term investments'!$E:$E,ROW()),0)</f>
        <v/>
      </c>
      <c r="F333">
        <f>IFERROR(--INDEX('Term investments'!$F:$F,ROW()),0)</f>
        <v/>
      </c>
      <c r="G333">
        <f>IFERROR(IF(--INDEX('Term investments'!$G:$G,ROW())&gt;=1,--INDEX('Term investments'!$G:$G,ROW())/100,--INDEX('Term investments'!$G:$G,ROW())),0)</f>
        <v/>
      </c>
      <c r="H333">
        <f>IFERROR(--INDEX('Term investments'!$H:$H,ROW()),0)</f>
        <v/>
      </c>
      <c r="I333">
        <f>IF(ISNUMBER(INDEX('Term investments'!$G:$G,ROW())),1,0)</f>
        <v/>
      </c>
      <c r="J333">
        <f>TRIM(SUBSTITUTE(INDEX('Call accounts and MMFs'!$A:$A,ROW())&amp;""," "," "))</f>
        <v/>
      </c>
      <c r="K333">
        <f>TRIM(SUBSTITUTE(INDEX('Call accounts and MMFs'!$B:$B,ROW())&amp;""," "," "))</f>
        <v/>
      </c>
      <c r="L333">
        <f>TRIM(SUBSTITUTE(INDEX('Call accounts and MMFs'!$C:$C,ROW())&amp;""," "," "))</f>
        <v/>
      </c>
      <c r="M333">
        <f>IFERROR(--INDEX('Call accounts and MMFs'!$D:$D,ROW()),0)</f>
        <v/>
      </c>
      <c r="N333">
        <f>IFERROR(IF(--INDEX('Call accounts and MMFs'!$E:$E,ROW())&gt;=1,--INDEX('Call accounts and MMFs'!$E:$E,ROW())/100,--INDEX('Call accounts and MMFs'!$E:$E,ROW())),0)</f>
        <v/>
      </c>
      <c r="O333">
        <f>IFERROR(--INDEX('Call accounts and MMFs'!$F:$F,ROW()),0)</f>
        <v/>
      </c>
      <c r="P333">
        <f>IF(ISNUMBER(INDEX('Call accounts and MMFs'!$E:$E,ROW())),1,0)</f>
        <v/>
      </c>
      <c r="Q333">
        <f>TRIM(SUBSTITUTE(INDEX('Pooled funds'!$B:$B,ROW())&amp;""," "," "))</f>
        <v/>
      </c>
      <c r="R333">
        <f>IFERROR(--INDEX('Pooled funds'!$C:$C,ROW()),0)</f>
        <v/>
      </c>
      <c r="S333">
        <f>IFERROR(--INDEX('Pooled funds'!$D:$D,ROW()),0)</f>
        <v/>
      </c>
      <c r="T333">
        <f>IFERROR(IF(--INDEX('Pooled funds'!$E:$E,ROW())&gt;=1,--INDEX('Pooled funds'!$E:$E,ROW())/100,--INDEX('Pooled funds'!$E:$E,ROW())),0)</f>
        <v/>
      </c>
      <c r="U333">
        <f>IF(ISNUMBER(INDEX('Pooled funds'!$E:$E,ROW())),1,0)</f>
        <v/>
      </c>
      <c r="V333">
        <f>TRIM(SUBSTITUTE(INDEX('Loans'!$A:$A,ROW())&amp;""," "," "))</f>
        <v/>
      </c>
      <c r="W333">
        <f>TRIM(SUBSTITUTE(INDEX('Loans'!$B:$B,ROW())&amp;""," "," "))</f>
        <v/>
      </c>
      <c r="X333">
        <f>TRIM(SUBSTITUTE(INDEX('Loans'!$C:$C,ROW())&amp;""," "," "))</f>
        <v/>
      </c>
      <c r="Y333">
        <f>IFERROR(--INDEX('Loans'!$D:$D,ROW()),0)</f>
        <v/>
      </c>
      <c r="Z333">
        <f>IFERROR(--INDEX('Loans'!$E:$E,ROW()),0)</f>
        <v/>
      </c>
      <c r="AA333">
        <f>IFERROR(--INDEX('Loans'!$F:$F,ROW()),0)</f>
        <v/>
      </c>
      <c r="AB333">
        <f>IFERROR(IF(--INDEX('Loans'!$G:$G,ROW())&gt;=1,--INDEX('Loans'!$G:$G,ROW())/100,--INDEX('Loans'!$G:$G,ROW())),0)</f>
        <v/>
      </c>
      <c r="AC333">
        <f>TRIM(SUBSTITUTE(INDEX('Loans'!$H:$H,ROW())&amp;""," "," "))</f>
        <v/>
      </c>
      <c r="AD333">
        <f>TRIM(SUBSTITUTE(INDEX('Loans'!$I:$I,ROW())&amp;""," "," "))</f>
        <v/>
      </c>
      <c r="AE333">
        <f>IFERROR(--INDEX('Loans'!$J:$J,ROW()),0)</f>
        <v/>
      </c>
      <c r="AF333">
        <f>TRIM(SUBSTITUTE(INDEX('Loans'!$K:$K,ROW())&amp;""," "," "))</f>
        <v/>
      </c>
      <c r="AG333">
        <f>IFERROR(--INDEX('Loans'!$L:$L,ROW()),0)</f>
        <v/>
      </c>
      <c r="AH333">
        <f>IF(ISNUMBER(INDEX('Loans'!$G:$G,ROW())),1,0)</f>
        <v/>
      </c>
    </row>
    <row r="334">
      <c r="A334">
        <f>TRIM(SUBSTITUTE(INDEX('Term investments'!$A:$A,ROW())&amp;""," "," "))</f>
        <v/>
      </c>
      <c r="B334">
        <f>TRIM(SUBSTITUTE(INDEX('Term investments'!$B:$B,ROW())&amp;""," "," "))</f>
        <v/>
      </c>
      <c r="C334">
        <f>TRIM(SUBSTITUTE(INDEX('Term investments'!$C:$C,ROW())&amp;""," "," "))</f>
        <v/>
      </c>
      <c r="D334">
        <f>IFERROR(--INDEX('Term investments'!$D:$D,ROW()),0)</f>
        <v/>
      </c>
      <c r="E334">
        <f>IFERROR(--INDEX('Term investments'!$E:$E,ROW()),0)</f>
        <v/>
      </c>
      <c r="F334">
        <f>IFERROR(--INDEX('Term investments'!$F:$F,ROW()),0)</f>
        <v/>
      </c>
      <c r="G334">
        <f>IFERROR(IF(--INDEX('Term investments'!$G:$G,ROW())&gt;=1,--INDEX('Term investments'!$G:$G,ROW())/100,--INDEX('Term investments'!$G:$G,ROW())),0)</f>
        <v/>
      </c>
      <c r="H334">
        <f>IFERROR(--INDEX('Term investments'!$H:$H,ROW()),0)</f>
        <v/>
      </c>
      <c r="I334">
        <f>IF(ISNUMBER(INDEX('Term investments'!$G:$G,ROW())),1,0)</f>
        <v/>
      </c>
      <c r="J334">
        <f>TRIM(SUBSTITUTE(INDEX('Call accounts and MMFs'!$A:$A,ROW())&amp;""," "," "))</f>
        <v/>
      </c>
      <c r="K334">
        <f>TRIM(SUBSTITUTE(INDEX('Call accounts and MMFs'!$B:$B,ROW())&amp;""," "," "))</f>
        <v/>
      </c>
      <c r="L334">
        <f>TRIM(SUBSTITUTE(INDEX('Call accounts and MMFs'!$C:$C,ROW())&amp;""," "," "))</f>
        <v/>
      </c>
      <c r="M334">
        <f>IFERROR(--INDEX('Call accounts and MMFs'!$D:$D,ROW()),0)</f>
        <v/>
      </c>
      <c r="N334">
        <f>IFERROR(IF(--INDEX('Call accounts and MMFs'!$E:$E,ROW())&gt;=1,--INDEX('Call accounts and MMFs'!$E:$E,ROW())/100,--INDEX('Call accounts and MMFs'!$E:$E,ROW())),0)</f>
        <v/>
      </c>
      <c r="O334">
        <f>IFERROR(--INDEX('Call accounts and MMFs'!$F:$F,ROW()),0)</f>
        <v/>
      </c>
      <c r="P334">
        <f>IF(ISNUMBER(INDEX('Call accounts and MMFs'!$E:$E,ROW())),1,0)</f>
        <v/>
      </c>
      <c r="Q334">
        <f>TRIM(SUBSTITUTE(INDEX('Pooled funds'!$B:$B,ROW())&amp;""," "," "))</f>
        <v/>
      </c>
      <c r="R334">
        <f>IFERROR(--INDEX('Pooled funds'!$C:$C,ROW()),0)</f>
        <v/>
      </c>
      <c r="S334">
        <f>IFERROR(--INDEX('Pooled funds'!$D:$D,ROW()),0)</f>
        <v/>
      </c>
      <c r="T334">
        <f>IFERROR(IF(--INDEX('Pooled funds'!$E:$E,ROW())&gt;=1,--INDEX('Pooled funds'!$E:$E,ROW())/100,--INDEX('Pooled funds'!$E:$E,ROW())),0)</f>
        <v/>
      </c>
      <c r="U334">
        <f>IF(ISNUMBER(INDEX('Pooled funds'!$E:$E,ROW())),1,0)</f>
        <v/>
      </c>
      <c r="V334">
        <f>TRIM(SUBSTITUTE(INDEX('Loans'!$A:$A,ROW())&amp;""," "," "))</f>
        <v/>
      </c>
      <c r="W334">
        <f>TRIM(SUBSTITUTE(INDEX('Loans'!$B:$B,ROW())&amp;""," "," "))</f>
        <v/>
      </c>
      <c r="X334">
        <f>TRIM(SUBSTITUTE(INDEX('Loans'!$C:$C,ROW())&amp;""," "," "))</f>
        <v/>
      </c>
      <c r="Y334">
        <f>IFERROR(--INDEX('Loans'!$D:$D,ROW()),0)</f>
        <v/>
      </c>
      <c r="Z334">
        <f>IFERROR(--INDEX('Loans'!$E:$E,ROW()),0)</f>
        <v/>
      </c>
      <c r="AA334">
        <f>IFERROR(--INDEX('Loans'!$F:$F,ROW()),0)</f>
        <v/>
      </c>
      <c r="AB334">
        <f>IFERROR(IF(--INDEX('Loans'!$G:$G,ROW())&gt;=1,--INDEX('Loans'!$G:$G,ROW())/100,--INDEX('Loans'!$G:$G,ROW())),0)</f>
        <v/>
      </c>
      <c r="AC334">
        <f>TRIM(SUBSTITUTE(INDEX('Loans'!$H:$H,ROW())&amp;""," "," "))</f>
        <v/>
      </c>
      <c r="AD334">
        <f>TRIM(SUBSTITUTE(INDEX('Loans'!$I:$I,ROW())&amp;""," "," "))</f>
        <v/>
      </c>
      <c r="AE334">
        <f>IFERROR(--INDEX('Loans'!$J:$J,ROW()),0)</f>
        <v/>
      </c>
      <c r="AF334">
        <f>TRIM(SUBSTITUTE(INDEX('Loans'!$K:$K,ROW())&amp;""," "," "))</f>
        <v/>
      </c>
      <c r="AG334">
        <f>IFERROR(--INDEX('Loans'!$L:$L,ROW()),0)</f>
        <v/>
      </c>
      <c r="AH334">
        <f>IF(ISNUMBER(INDEX('Loans'!$G:$G,ROW())),1,0)</f>
        <v/>
      </c>
    </row>
    <row r="335">
      <c r="A335">
        <f>TRIM(SUBSTITUTE(INDEX('Term investments'!$A:$A,ROW())&amp;""," "," "))</f>
        <v/>
      </c>
      <c r="B335">
        <f>TRIM(SUBSTITUTE(INDEX('Term investments'!$B:$B,ROW())&amp;""," "," "))</f>
        <v/>
      </c>
      <c r="C335">
        <f>TRIM(SUBSTITUTE(INDEX('Term investments'!$C:$C,ROW())&amp;""," "," "))</f>
        <v/>
      </c>
      <c r="D335">
        <f>IFERROR(--INDEX('Term investments'!$D:$D,ROW()),0)</f>
        <v/>
      </c>
      <c r="E335">
        <f>IFERROR(--INDEX('Term investments'!$E:$E,ROW()),0)</f>
        <v/>
      </c>
      <c r="F335">
        <f>IFERROR(--INDEX('Term investments'!$F:$F,ROW()),0)</f>
        <v/>
      </c>
      <c r="G335">
        <f>IFERROR(IF(--INDEX('Term investments'!$G:$G,ROW())&gt;=1,--INDEX('Term investments'!$G:$G,ROW())/100,--INDEX('Term investments'!$G:$G,ROW())),0)</f>
        <v/>
      </c>
      <c r="H335">
        <f>IFERROR(--INDEX('Term investments'!$H:$H,ROW()),0)</f>
        <v/>
      </c>
      <c r="I335">
        <f>IF(ISNUMBER(INDEX('Term investments'!$G:$G,ROW())),1,0)</f>
        <v/>
      </c>
      <c r="J335">
        <f>TRIM(SUBSTITUTE(INDEX('Call accounts and MMFs'!$A:$A,ROW())&amp;""," "," "))</f>
        <v/>
      </c>
      <c r="K335">
        <f>TRIM(SUBSTITUTE(INDEX('Call accounts and MMFs'!$B:$B,ROW())&amp;""," "," "))</f>
        <v/>
      </c>
      <c r="L335">
        <f>TRIM(SUBSTITUTE(INDEX('Call accounts and MMFs'!$C:$C,ROW())&amp;""," "," "))</f>
        <v/>
      </c>
      <c r="M335">
        <f>IFERROR(--INDEX('Call accounts and MMFs'!$D:$D,ROW()),0)</f>
        <v/>
      </c>
      <c r="N335">
        <f>IFERROR(IF(--INDEX('Call accounts and MMFs'!$E:$E,ROW())&gt;=1,--INDEX('Call accounts and MMFs'!$E:$E,ROW())/100,--INDEX('Call accounts and MMFs'!$E:$E,ROW())),0)</f>
        <v/>
      </c>
      <c r="O335">
        <f>IFERROR(--INDEX('Call accounts and MMFs'!$F:$F,ROW()),0)</f>
        <v/>
      </c>
      <c r="P335">
        <f>IF(ISNUMBER(INDEX('Call accounts and MMFs'!$E:$E,ROW())),1,0)</f>
        <v/>
      </c>
      <c r="Q335">
        <f>TRIM(SUBSTITUTE(INDEX('Pooled funds'!$B:$B,ROW())&amp;""," "," "))</f>
        <v/>
      </c>
      <c r="R335">
        <f>IFERROR(--INDEX('Pooled funds'!$C:$C,ROW()),0)</f>
        <v/>
      </c>
      <c r="S335">
        <f>IFERROR(--INDEX('Pooled funds'!$D:$D,ROW()),0)</f>
        <v/>
      </c>
      <c r="T335">
        <f>IFERROR(IF(--INDEX('Pooled funds'!$E:$E,ROW())&gt;=1,--INDEX('Pooled funds'!$E:$E,ROW())/100,--INDEX('Pooled funds'!$E:$E,ROW())),0)</f>
        <v/>
      </c>
      <c r="U335">
        <f>IF(ISNUMBER(INDEX('Pooled funds'!$E:$E,ROW())),1,0)</f>
        <v/>
      </c>
      <c r="V335">
        <f>TRIM(SUBSTITUTE(INDEX('Loans'!$A:$A,ROW())&amp;""," "," "))</f>
        <v/>
      </c>
      <c r="W335">
        <f>TRIM(SUBSTITUTE(INDEX('Loans'!$B:$B,ROW())&amp;""," "," "))</f>
        <v/>
      </c>
      <c r="X335">
        <f>TRIM(SUBSTITUTE(INDEX('Loans'!$C:$C,ROW())&amp;""," "," "))</f>
        <v/>
      </c>
      <c r="Y335">
        <f>IFERROR(--INDEX('Loans'!$D:$D,ROW()),0)</f>
        <v/>
      </c>
      <c r="Z335">
        <f>IFERROR(--INDEX('Loans'!$E:$E,ROW()),0)</f>
        <v/>
      </c>
      <c r="AA335">
        <f>IFERROR(--INDEX('Loans'!$F:$F,ROW()),0)</f>
        <v/>
      </c>
      <c r="AB335">
        <f>IFERROR(IF(--INDEX('Loans'!$G:$G,ROW())&gt;=1,--INDEX('Loans'!$G:$G,ROW())/100,--INDEX('Loans'!$G:$G,ROW())),0)</f>
        <v/>
      </c>
      <c r="AC335">
        <f>TRIM(SUBSTITUTE(INDEX('Loans'!$H:$H,ROW())&amp;""," "," "))</f>
        <v/>
      </c>
      <c r="AD335">
        <f>TRIM(SUBSTITUTE(INDEX('Loans'!$I:$I,ROW())&amp;""," "," "))</f>
        <v/>
      </c>
      <c r="AE335">
        <f>IFERROR(--INDEX('Loans'!$J:$J,ROW()),0)</f>
        <v/>
      </c>
      <c r="AF335">
        <f>TRIM(SUBSTITUTE(INDEX('Loans'!$K:$K,ROW())&amp;""," "," "))</f>
        <v/>
      </c>
      <c r="AG335">
        <f>IFERROR(--INDEX('Loans'!$L:$L,ROW()),0)</f>
        <v/>
      </c>
      <c r="AH335">
        <f>IF(ISNUMBER(INDEX('Loans'!$G:$G,ROW())),1,0)</f>
        <v/>
      </c>
    </row>
    <row r="336">
      <c r="A336">
        <f>TRIM(SUBSTITUTE(INDEX('Term investments'!$A:$A,ROW())&amp;""," "," "))</f>
        <v/>
      </c>
      <c r="B336">
        <f>TRIM(SUBSTITUTE(INDEX('Term investments'!$B:$B,ROW())&amp;""," "," "))</f>
        <v/>
      </c>
      <c r="C336">
        <f>TRIM(SUBSTITUTE(INDEX('Term investments'!$C:$C,ROW())&amp;""," "," "))</f>
        <v/>
      </c>
      <c r="D336">
        <f>IFERROR(--INDEX('Term investments'!$D:$D,ROW()),0)</f>
        <v/>
      </c>
      <c r="E336">
        <f>IFERROR(--INDEX('Term investments'!$E:$E,ROW()),0)</f>
        <v/>
      </c>
      <c r="F336">
        <f>IFERROR(--INDEX('Term investments'!$F:$F,ROW()),0)</f>
        <v/>
      </c>
      <c r="G336">
        <f>IFERROR(IF(--INDEX('Term investments'!$G:$G,ROW())&gt;=1,--INDEX('Term investments'!$G:$G,ROW())/100,--INDEX('Term investments'!$G:$G,ROW())),0)</f>
        <v/>
      </c>
      <c r="H336">
        <f>IFERROR(--INDEX('Term investments'!$H:$H,ROW()),0)</f>
        <v/>
      </c>
      <c r="I336">
        <f>IF(ISNUMBER(INDEX('Term investments'!$G:$G,ROW())),1,0)</f>
        <v/>
      </c>
      <c r="J336">
        <f>TRIM(SUBSTITUTE(INDEX('Call accounts and MMFs'!$A:$A,ROW())&amp;""," "," "))</f>
        <v/>
      </c>
      <c r="K336">
        <f>TRIM(SUBSTITUTE(INDEX('Call accounts and MMFs'!$B:$B,ROW())&amp;""," "," "))</f>
        <v/>
      </c>
      <c r="L336">
        <f>TRIM(SUBSTITUTE(INDEX('Call accounts and MMFs'!$C:$C,ROW())&amp;""," "," "))</f>
        <v/>
      </c>
      <c r="M336">
        <f>IFERROR(--INDEX('Call accounts and MMFs'!$D:$D,ROW()),0)</f>
        <v/>
      </c>
      <c r="N336">
        <f>IFERROR(IF(--INDEX('Call accounts and MMFs'!$E:$E,ROW())&gt;=1,--INDEX('Call accounts and MMFs'!$E:$E,ROW())/100,--INDEX('Call accounts and MMFs'!$E:$E,ROW())),0)</f>
        <v/>
      </c>
      <c r="O336">
        <f>IFERROR(--INDEX('Call accounts and MMFs'!$F:$F,ROW()),0)</f>
        <v/>
      </c>
      <c r="P336">
        <f>IF(ISNUMBER(INDEX('Call accounts and MMFs'!$E:$E,ROW())),1,0)</f>
        <v/>
      </c>
      <c r="Q336">
        <f>TRIM(SUBSTITUTE(INDEX('Pooled funds'!$B:$B,ROW())&amp;""," "," "))</f>
        <v/>
      </c>
      <c r="R336">
        <f>IFERROR(--INDEX('Pooled funds'!$C:$C,ROW()),0)</f>
        <v/>
      </c>
      <c r="S336">
        <f>IFERROR(--INDEX('Pooled funds'!$D:$D,ROW()),0)</f>
        <v/>
      </c>
      <c r="T336">
        <f>IFERROR(IF(--INDEX('Pooled funds'!$E:$E,ROW())&gt;=1,--INDEX('Pooled funds'!$E:$E,ROW())/100,--INDEX('Pooled funds'!$E:$E,ROW())),0)</f>
        <v/>
      </c>
      <c r="U336">
        <f>IF(ISNUMBER(INDEX('Pooled funds'!$E:$E,ROW())),1,0)</f>
        <v/>
      </c>
      <c r="V336">
        <f>TRIM(SUBSTITUTE(INDEX('Loans'!$A:$A,ROW())&amp;""," "," "))</f>
        <v/>
      </c>
      <c r="W336">
        <f>TRIM(SUBSTITUTE(INDEX('Loans'!$B:$B,ROW())&amp;""," "," "))</f>
        <v/>
      </c>
      <c r="X336">
        <f>TRIM(SUBSTITUTE(INDEX('Loans'!$C:$C,ROW())&amp;""," "," "))</f>
        <v/>
      </c>
      <c r="Y336">
        <f>IFERROR(--INDEX('Loans'!$D:$D,ROW()),0)</f>
        <v/>
      </c>
      <c r="Z336">
        <f>IFERROR(--INDEX('Loans'!$E:$E,ROW()),0)</f>
        <v/>
      </c>
      <c r="AA336">
        <f>IFERROR(--INDEX('Loans'!$F:$F,ROW()),0)</f>
        <v/>
      </c>
      <c r="AB336">
        <f>IFERROR(IF(--INDEX('Loans'!$G:$G,ROW())&gt;=1,--INDEX('Loans'!$G:$G,ROW())/100,--INDEX('Loans'!$G:$G,ROW())),0)</f>
        <v/>
      </c>
      <c r="AC336">
        <f>TRIM(SUBSTITUTE(INDEX('Loans'!$H:$H,ROW())&amp;""," "," "))</f>
        <v/>
      </c>
      <c r="AD336">
        <f>TRIM(SUBSTITUTE(INDEX('Loans'!$I:$I,ROW())&amp;""," "," "))</f>
        <v/>
      </c>
      <c r="AE336">
        <f>IFERROR(--INDEX('Loans'!$J:$J,ROW()),0)</f>
        <v/>
      </c>
      <c r="AF336">
        <f>TRIM(SUBSTITUTE(INDEX('Loans'!$K:$K,ROW())&amp;""," "," "))</f>
        <v/>
      </c>
      <c r="AG336">
        <f>IFERROR(--INDEX('Loans'!$L:$L,ROW()),0)</f>
        <v/>
      </c>
      <c r="AH336">
        <f>IF(ISNUMBER(INDEX('Loans'!$G:$G,ROW())),1,0)</f>
        <v/>
      </c>
    </row>
    <row r="337">
      <c r="A337">
        <f>TRIM(SUBSTITUTE(INDEX('Term investments'!$A:$A,ROW())&amp;""," "," "))</f>
        <v/>
      </c>
      <c r="B337">
        <f>TRIM(SUBSTITUTE(INDEX('Term investments'!$B:$B,ROW())&amp;""," "," "))</f>
        <v/>
      </c>
      <c r="C337">
        <f>TRIM(SUBSTITUTE(INDEX('Term investments'!$C:$C,ROW())&amp;""," "," "))</f>
        <v/>
      </c>
      <c r="D337">
        <f>IFERROR(--INDEX('Term investments'!$D:$D,ROW()),0)</f>
        <v/>
      </c>
      <c r="E337">
        <f>IFERROR(--INDEX('Term investments'!$E:$E,ROW()),0)</f>
        <v/>
      </c>
      <c r="F337">
        <f>IFERROR(--INDEX('Term investments'!$F:$F,ROW()),0)</f>
        <v/>
      </c>
      <c r="G337">
        <f>IFERROR(IF(--INDEX('Term investments'!$G:$G,ROW())&gt;=1,--INDEX('Term investments'!$G:$G,ROW())/100,--INDEX('Term investments'!$G:$G,ROW())),0)</f>
        <v/>
      </c>
      <c r="H337">
        <f>IFERROR(--INDEX('Term investments'!$H:$H,ROW()),0)</f>
        <v/>
      </c>
      <c r="I337">
        <f>IF(ISNUMBER(INDEX('Term investments'!$G:$G,ROW())),1,0)</f>
        <v/>
      </c>
      <c r="J337">
        <f>TRIM(SUBSTITUTE(INDEX('Call accounts and MMFs'!$A:$A,ROW())&amp;""," "," "))</f>
        <v/>
      </c>
      <c r="K337">
        <f>TRIM(SUBSTITUTE(INDEX('Call accounts and MMFs'!$B:$B,ROW())&amp;""," "," "))</f>
        <v/>
      </c>
      <c r="L337">
        <f>TRIM(SUBSTITUTE(INDEX('Call accounts and MMFs'!$C:$C,ROW())&amp;""," "," "))</f>
        <v/>
      </c>
      <c r="M337">
        <f>IFERROR(--INDEX('Call accounts and MMFs'!$D:$D,ROW()),0)</f>
        <v/>
      </c>
      <c r="N337">
        <f>IFERROR(IF(--INDEX('Call accounts and MMFs'!$E:$E,ROW())&gt;=1,--INDEX('Call accounts and MMFs'!$E:$E,ROW())/100,--INDEX('Call accounts and MMFs'!$E:$E,ROW())),0)</f>
        <v/>
      </c>
      <c r="O337">
        <f>IFERROR(--INDEX('Call accounts and MMFs'!$F:$F,ROW()),0)</f>
        <v/>
      </c>
      <c r="P337">
        <f>IF(ISNUMBER(INDEX('Call accounts and MMFs'!$E:$E,ROW())),1,0)</f>
        <v/>
      </c>
      <c r="Q337">
        <f>TRIM(SUBSTITUTE(INDEX('Pooled funds'!$B:$B,ROW())&amp;""," "," "))</f>
        <v/>
      </c>
      <c r="R337">
        <f>IFERROR(--INDEX('Pooled funds'!$C:$C,ROW()),0)</f>
        <v/>
      </c>
      <c r="S337">
        <f>IFERROR(--INDEX('Pooled funds'!$D:$D,ROW()),0)</f>
        <v/>
      </c>
      <c r="T337">
        <f>IFERROR(IF(--INDEX('Pooled funds'!$E:$E,ROW())&gt;=1,--INDEX('Pooled funds'!$E:$E,ROW())/100,--INDEX('Pooled funds'!$E:$E,ROW())),0)</f>
        <v/>
      </c>
      <c r="U337">
        <f>IF(ISNUMBER(INDEX('Pooled funds'!$E:$E,ROW())),1,0)</f>
        <v/>
      </c>
      <c r="V337">
        <f>TRIM(SUBSTITUTE(INDEX('Loans'!$A:$A,ROW())&amp;""," "," "))</f>
        <v/>
      </c>
      <c r="W337">
        <f>TRIM(SUBSTITUTE(INDEX('Loans'!$B:$B,ROW())&amp;""," "," "))</f>
        <v/>
      </c>
      <c r="X337">
        <f>TRIM(SUBSTITUTE(INDEX('Loans'!$C:$C,ROW())&amp;""," "," "))</f>
        <v/>
      </c>
      <c r="Y337">
        <f>IFERROR(--INDEX('Loans'!$D:$D,ROW()),0)</f>
        <v/>
      </c>
      <c r="Z337">
        <f>IFERROR(--INDEX('Loans'!$E:$E,ROW()),0)</f>
        <v/>
      </c>
      <c r="AA337">
        <f>IFERROR(--INDEX('Loans'!$F:$F,ROW()),0)</f>
        <v/>
      </c>
      <c r="AB337">
        <f>IFERROR(IF(--INDEX('Loans'!$G:$G,ROW())&gt;=1,--INDEX('Loans'!$G:$G,ROW())/100,--INDEX('Loans'!$G:$G,ROW())),0)</f>
        <v/>
      </c>
      <c r="AC337">
        <f>TRIM(SUBSTITUTE(INDEX('Loans'!$H:$H,ROW())&amp;""," "," "))</f>
        <v/>
      </c>
      <c r="AD337">
        <f>TRIM(SUBSTITUTE(INDEX('Loans'!$I:$I,ROW())&amp;""," "," "))</f>
        <v/>
      </c>
      <c r="AE337">
        <f>IFERROR(--INDEX('Loans'!$J:$J,ROW()),0)</f>
        <v/>
      </c>
      <c r="AF337">
        <f>TRIM(SUBSTITUTE(INDEX('Loans'!$K:$K,ROW())&amp;""," "," "))</f>
        <v/>
      </c>
      <c r="AG337">
        <f>IFERROR(--INDEX('Loans'!$L:$L,ROW()),0)</f>
        <v/>
      </c>
      <c r="AH337">
        <f>IF(ISNUMBER(INDEX('Loans'!$G:$G,ROW())),1,0)</f>
        <v/>
      </c>
    </row>
    <row r="338">
      <c r="A338">
        <f>TRIM(SUBSTITUTE(INDEX('Term investments'!$A:$A,ROW())&amp;""," "," "))</f>
        <v/>
      </c>
      <c r="B338">
        <f>TRIM(SUBSTITUTE(INDEX('Term investments'!$B:$B,ROW())&amp;""," "," "))</f>
        <v/>
      </c>
      <c r="C338">
        <f>TRIM(SUBSTITUTE(INDEX('Term investments'!$C:$C,ROW())&amp;""," "," "))</f>
        <v/>
      </c>
      <c r="D338">
        <f>IFERROR(--INDEX('Term investments'!$D:$D,ROW()),0)</f>
        <v/>
      </c>
      <c r="E338">
        <f>IFERROR(--INDEX('Term investments'!$E:$E,ROW()),0)</f>
        <v/>
      </c>
      <c r="F338">
        <f>IFERROR(--INDEX('Term investments'!$F:$F,ROW()),0)</f>
        <v/>
      </c>
      <c r="G338">
        <f>IFERROR(IF(--INDEX('Term investments'!$G:$G,ROW())&gt;=1,--INDEX('Term investments'!$G:$G,ROW())/100,--INDEX('Term investments'!$G:$G,ROW())),0)</f>
        <v/>
      </c>
      <c r="H338">
        <f>IFERROR(--INDEX('Term investments'!$H:$H,ROW()),0)</f>
        <v/>
      </c>
      <c r="I338">
        <f>IF(ISNUMBER(INDEX('Term investments'!$G:$G,ROW())),1,0)</f>
        <v/>
      </c>
      <c r="J338">
        <f>TRIM(SUBSTITUTE(INDEX('Call accounts and MMFs'!$A:$A,ROW())&amp;""," "," "))</f>
        <v/>
      </c>
      <c r="K338">
        <f>TRIM(SUBSTITUTE(INDEX('Call accounts and MMFs'!$B:$B,ROW())&amp;""," "," "))</f>
        <v/>
      </c>
      <c r="L338">
        <f>TRIM(SUBSTITUTE(INDEX('Call accounts and MMFs'!$C:$C,ROW())&amp;""," "," "))</f>
        <v/>
      </c>
      <c r="M338">
        <f>IFERROR(--INDEX('Call accounts and MMFs'!$D:$D,ROW()),0)</f>
        <v/>
      </c>
      <c r="N338">
        <f>IFERROR(IF(--INDEX('Call accounts and MMFs'!$E:$E,ROW())&gt;=1,--INDEX('Call accounts and MMFs'!$E:$E,ROW())/100,--INDEX('Call accounts and MMFs'!$E:$E,ROW())),0)</f>
        <v/>
      </c>
      <c r="O338">
        <f>IFERROR(--INDEX('Call accounts and MMFs'!$F:$F,ROW()),0)</f>
        <v/>
      </c>
      <c r="P338">
        <f>IF(ISNUMBER(INDEX('Call accounts and MMFs'!$E:$E,ROW())),1,0)</f>
        <v/>
      </c>
      <c r="Q338">
        <f>TRIM(SUBSTITUTE(INDEX('Pooled funds'!$B:$B,ROW())&amp;""," "," "))</f>
        <v/>
      </c>
      <c r="R338">
        <f>IFERROR(--INDEX('Pooled funds'!$C:$C,ROW()),0)</f>
        <v/>
      </c>
      <c r="S338">
        <f>IFERROR(--INDEX('Pooled funds'!$D:$D,ROW()),0)</f>
        <v/>
      </c>
      <c r="T338">
        <f>IFERROR(IF(--INDEX('Pooled funds'!$E:$E,ROW())&gt;=1,--INDEX('Pooled funds'!$E:$E,ROW())/100,--INDEX('Pooled funds'!$E:$E,ROW())),0)</f>
        <v/>
      </c>
      <c r="U338">
        <f>IF(ISNUMBER(INDEX('Pooled funds'!$E:$E,ROW())),1,0)</f>
        <v/>
      </c>
      <c r="V338">
        <f>TRIM(SUBSTITUTE(INDEX('Loans'!$A:$A,ROW())&amp;""," "," "))</f>
        <v/>
      </c>
      <c r="W338">
        <f>TRIM(SUBSTITUTE(INDEX('Loans'!$B:$B,ROW())&amp;""," "," "))</f>
        <v/>
      </c>
      <c r="X338">
        <f>TRIM(SUBSTITUTE(INDEX('Loans'!$C:$C,ROW())&amp;""," "," "))</f>
        <v/>
      </c>
      <c r="Y338">
        <f>IFERROR(--INDEX('Loans'!$D:$D,ROW()),0)</f>
        <v/>
      </c>
      <c r="Z338">
        <f>IFERROR(--INDEX('Loans'!$E:$E,ROW()),0)</f>
        <v/>
      </c>
      <c r="AA338">
        <f>IFERROR(--INDEX('Loans'!$F:$F,ROW()),0)</f>
        <v/>
      </c>
      <c r="AB338">
        <f>IFERROR(IF(--INDEX('Loans'!$G:$G,ROW())&gt;=1,--INDEX('Loans'!$G:$G,ROW())/100,--INDEX('Loans'!$G:$G,ROW())),0)</f>
        <v/>
      </c>
      <c r="AC338">
        <f>TRIM(SUBSTITUTE(INDEX('Loans'!$H:$H,ROW())&amp;""," "," "))</f>
        <v/>
      </c>
      <c r="AD338">
        <f>TRIM(SUBSTITUTE(INDEX('Loans'!$I:$I,ROW())&amp;""," "," "))</f>
        <v/>
      </c>
      <c r="AE338">
        <f>IFERROR(--INDEX('Loans'!$J:$J,ROW()),0)</f>
        <v/>
      </c>
      <c r="AF338">
        <f>TRIM(SUBSTITUTE(INDEX('Loans'!$K:$K,ROW())&amp;""," "," "))</f>
        <v/>
      </c>
      <c r="AG338">
        <f>IFERROR(--INDEX('Loans'!$L:$L,ROW()),0)</f>
        <v/>
      </c>
      <c r="AH338">
        <f>IF(ISNUMBER(INDEX('Loans'!$G:$G,ROW())),1,0)</f>
        <v/>
      </c>
    </row>
    <row r="339">
      <c r="A339">
        <f>TRIM(SUBSTITUTE(INDEX('Term investments'!$A:$A,ROW())&amp;""," "," "))</f>
        <v/>
      </c>
      <c r="B339">
        <f>TRIM(SUBSTITUTE(INDEX('Term investments'!$B:$B,ROW())&amp;""," "," "))</f>
        <v/>
      </c>
      <c r="C339">
        <f>TRIM(SUBSTITUTE(INDEX('Term investments'!$C:$C,ROW())&amp;""," "," "))</f>
        <v/>
      </c>
      <c r="D339">
        <f>IFERROR(--INDEX('Term investments'!$D:$D,ROW()),0)</f>
        <v/>
      </c>
      <c r="E339">
        <f>IFERROR(--INDEX('Term investments'!$E:$E,ROW()),0)</f>
        <v/>
      </c>
      <c r="F339">
        <f>IFERROR(--INDEX('Term investments'!$F:$F,ROW()),0)</f>
        <v/>
      </c>
      <c r="G339">
        <f>IFERROR(IF(--INDEX('Term investments'!$G:$G,ROW())&gt;=1,--INDEX('Term investments'!$G:$G,ROW())/100,--INDEX('Term investments'!$G:$G,ROW())),0)</f>
        <v/>
      </c>
      <c r="H339">
        <f>IFERROR(--INDEX('Term investments'!$H:$H,ROW()),0)</f>
        <v/>
      </c>
      <c r="I339">
        <f>IF(ISNUMBER(INDEX('Term investments'!$G:$G,ROW())),1,0)</f>
        <v/>
      </c>
      <c r="J339">
        <f>TRIM(SUBSTITUTE(INDEX('Call accounts and MMFs'!$A:$A,ROW())&amp;""," "," "))</f>
        <v/>
      </c>
      <c r="K339">
        <f>TRIM(SUBSTITUTE(INDEX('Call accounts and MMFs'!$B:$B,ROW())&amp;""," "," "))</f>
        <v/>
      </c>
      <c r="L339">
        <f>TRIM(SUBSTITUTE(INDEX('Call accounts and MMFs'!$C:$C,ROW())&amp;""," "," "))</f>
        <v/>
      </c>
      <c r="M339">
        <f>IFERROR(--INDEX('Call accounts and MMFs'!$D:$D,ROW()),0)</f>
        <v/>
      </c>
      <c r="N339">
        <f>IFERROR(IF(--INDEX('Call accounts and MMFs'!$E:$E,ROW())&gt;=1,--INDEX('Call accounts and MMFs'!$E:$E,ROW())/100,--INDEX('Call accounts and MMFs'!$E:$E,ROW())),0)</f>
        <v/>
      </c>
      <c r="O339">
        <f>IFERROR(--INDEX('Call accounts and MMFs'!$F:$F,ROW()),0)</f>
        <v/>
      </c>
      <c r="P339">
        <f>IF(ISNUMBER(INDEX('Call accounts and MMFs'!$E:$E,ROW())),1,0)</f>
        <v/>
      </c>
      <c r="Q339">
        <f>TRIM(SUBSTITUTE(INDEX('Pooled funds'!$B:$B,ROW())&amp;""," "," "))</f>
        <v/>
      </c>
      <c r="R339">
        <f>IFERROR(--INDEX('Pooled funds'!$C:$C,ROW()),0)</f>
        <v/>
      </c>
      <c r="S339">
        <f>IFERROR(--INDEX('Pooled funds'!$D:$D,ROW()),0)</f>
        <v/>
      </c>
      <c r="T339">
        <f>IFERROR(IF(--INDEX('Pooled funds'!$E:$E,ROW())&gt;=1,--INDEX('Pooled funds'!$E:$E,ROW())/100,--INDEX('Pooled funds'!$E:$E,ROW())),0)</f>
        <v/>
      </c>
      <c r="U339">
        <f>IF(ISNUMBER(INDEX('Pooled funds'!$E:$E,ROW())),1,0)</f>
        <v/>
      </c>
      <c r="V339">
        <f>TRIM(SUBSTITUTE(INDEX('Loans'!$A:$A,ROW())&amp;""," "," "))</f>
        <v/>
      </c>
      <c r="W339">
        <f>TRIM(SUBSTITUTE(INDEX('Loans'!$B:$B,ROW())&amp;""," "," "))</f>
        <v/>
      </c>
      <c r="X339">
        <f>TRIM(SUBSTITUTE(INDEX('Loans'!$C:$C,ROW())&amp;""," "," "))</f>
        <v/>
      </c>
      <c r="Y339">
        <f>IFERROR(--INDEX('Loans'!$D:$D,ROW()),0)</f>
        <v/>
      </c>
      <c r="Z339">
        <f>IFERROR(--INDEX('Loans'!$E:$E,ROW()),0)</f>
        <v/>
      </c>
      <c r="AA339">
        <f>IFERROR(--INDEX('Loans'!$F:$F,ROW()),0)</f>
        <v/>
      </c>
      <c r="AB339">
        <f>IFERROR(IF(--INDEX('Loans'!$G:$G,ROW())&gt;=1,--INDEX('Loans'!$G:$G,ROW())/100,--INDEX('Loans'!$G:$G,ROW())),0)</f>
        <v/>
      </c>
      <c r="AC339">
        <f>TRIM(SUBSTITUTE(INDEX('Loans'!$H:$H,ROW())&amp;""," "," "))</f>
        <v/>
      </c>
      <c r="AD339">
        <f>TRIM(SUBSTITUTE(INDEX('Loans'!$I:$I,ROW())&amp;""," "," "))</f>
        <v/>
      </c>
      <c r="AE339">
        <f>IFERROR(--INDEX('Loans'!$J:$J,ROW()),0)</f>
        <v/>
      </c>
      <c r="AF339">
        <f>TRIM(SUBSTITUTE(INDEX('Loans'!$K:$K,ROW())&amp;""," "," "))</f>
        <v/>
      </c>
      <c r="AG339">
        <f>IFERROR(--INDEX('Loans'!$L:$L,ROW()),0)</f>
        <v/>
      </c>
      <c r="AH339">
        <f>IF(ISNUMBER(INDEX('Loans'!$G:$G,ROW())),1,0)</f>
        <v/>
      </c>
    </row>
    <row r="340">
      <c r="A340">
        <f>TRIM(SUBSTITUTE(INDEX('Term investments'!$A:$A,ROW())&amp;""," "," "))</f>
        <v/>
      </c>
      <c r="B340">
        <f>TRIM(SUBSTITUTE(INDEX('Term investments'!$B:$B,ROW())&amp;""," "," "))</f>
        <v/>
      </c>
      <c r="C340">
        <f>TRIM(SUBSTITUTE(INDEX('Term investments'!$C:$C,ROW())&amp;""," "," "))</f>
        <v/>
      </c>
      <c r="D340">
        <f>IFERROR(--INDEX('Term investments'!$D:$D,ROW()),0)</f>
        <v/>
      </c>
      <c r="E340">
        <f>IFERROR(--INDEX('Term investments'!$E:$E,ROW()),0)</f>
        <v/>
      </c>
      <c r="F340">
        <f>IFERROR(--INDEX('Term investments'!$F:$F,ROW()),0)</f>
        <v/>
      </c>
      <c r="G340">
        <f>IFERROR(IF(--INDEX('Term investments'!$G:$G,ROW())&gt;=1,--INDEX('Term investments'!$G:$G,ROW())/100,--INDEX('Term investments'!$G:$G,ROW())),0)</f>
        <v/>
      </c>
      <c r="H340">
        <f>IFERROR(--INDEX('Term investments'!$H:$H,ROW()),0)</f>
        <v/>
      </c>
      <c r="I340">
        <f>IF(ISNUMBER(INDEX('Term investments'!$G:$G,ROW())),1,0)</f>
        <v/>
      </c>
      <c r="J340">
        <f>TRIM(SUBSTITUTE(INDEX('Call accounts and MMFs'!$A:$A,ROW())&amp;""," "," "))</f>
        <v/>
      </c>
      <c r="K340">
        <f>TRIM(SUBSTITUTE(INDEX('Call accounts and MMFs'!$B:$B,ROW())&amp;""," "," "))</f>
        <v/>
      </c>
      <c r="L340">
        <f>TRIM(SUBSTITUTE(INDEX('Call accounts and MMFs'!$C:$C,ROW())&amp;""," "," "))</f>
        <v/>
      </c>
      <c r="M340">
        <f>IFERROR(--INDEX('Call accounts and MMFs'!$D:$D,ROW()),0)</f>
        <v/>
      </c>
      <c r="N340">
        <f>IFERROR(IF(--INDEX('Call accounts and MMFs'!$E:$E,ROW())&gt;=1,--INDEX('Call accounts and MMFs'!$E:$E,ROW())/100,--INDEX('Call accounts and MMFs'!$E:$E,ROW())),0)</f>
        <v/>
      </c>
      <c r="O340">
        <f>IFERROR(--INDEX('Call accounts and MMFs'!$F:$F,ROW()),0)</f>
        <v/>
      </c>
      <c r="P340">
        <f>IF(ISNUMBER(INDEX('Call accounts and MMFs'!$E:$E,ROW())),1,0)</f>
        <v/>
      </c>
      <c r="Q340">
        <f>TRIM(SUBSTITUTE(INDEX('Pooled funds'!$B:$B,ROW())&amp;""," "," "))</f>
        <v/>
      </c>
      <c r="R340">
        <f>IFERROR(--INDEX('Pooled funds'!$C:$C,ROW()),0)</f>
        <v/>
      </c>
      <c r="S340">
        <f>IFERROR(--INDEX('Pooled funds'!$D:$D,ROW()),0)</f>
        <v/>
      </c>
      <c r="T340">
        <f>IFERROR(IF(--INDEX('Pooled funds'!$E:$E,ROW())&gt;=1,--INDEX('Pooled funds'!$E:$E,ROW())/100,--INDEX('Pooled funds'!$E:$E,ROW())),0)</f>
        <v/>
      </c>
      <c r="U340">
        <f>IF(ISNUMBER(INDEX('Pooled funds'!$E:$E,ROW())),1,0)</f>
        <v/>
      </c>
      <c r="V340">
        <f>TRIM(SUBSTITUTE(INDEX('Loans'!$A:$A,ROW())&amp;""," "," "))</f>
        <v/>
      </c>
      <c r="W340">
        <f>TRIM(SUBSTITUTE(INDEX('Loans'!$B:$B,ROW())&amp;""," "," "))</f>
        <v/>
      </c>
      <c r="X340">
        <f>TRIM(SUBSTITUTE(INDEX('Loans'!$C:$C,ROW())&amp;""," "," "))</f>
        <v/>
      </c>
      <c r="Y340">
        <f>IFERROR(--INDEX('Loans'!$D:$D,ROW()),0)</f>
        <v/>
      </c>
      <c r="Z340">
        <f>IFERROR(--INDEX('Loans'!$E:$E,ROW()),0)</f>
        <v/>
      </c>
      <c r="AA340">
        <f>IFERROR(--INDEX('Loans'!$F:$F,ROW()),0)</f>
        <v/>
      </c>
      <c r="AB340">
        <f>IFERROR(IF(--INDEX('Loans'!$G:$G,ROW())&gt;=1,--INDEX('Loans'!$G:$G,ROW())/100,--INDEX('Loans'!$G:$G,ROW())),0)</f>
        <v/>
      </c>
      <c r="AC340">
        <f>TRIM(SUBSTITUTE(INDEX('Loans'!$H:$H,ROW())&amp;""," "," "))</f>
        <v/>
      </c>
      <c r="AD340">
        <f>TRIM(SUBSTITUTE(INDEX('Loans'!$I:$I,ROW())&amp;""," "," "))</f>
        <v/>
      </c>
      <c r="AE340">
        <f>IFERROR(--INDEX('Loans'!$J:$J,ROW()),0)</f>
        <v/>
      </c>
      <c r="AF340">
        <f>TRIM(SUBSTITUTE(INDEX('Loans'!$K:$K,ROW())&amp;""," "," "))</f>
        <v/>
      </c>
      <c r="AG340">
        <f>IFERROR(--INDEX('Loans'!$L:$L,ROW()),0)</f>
        <v/>
      </c>
      <c r="AH340">
        <f>IF(ISNUMBER(INDEX('Loans'!$G:$G,ROW())),1,0)</f>
        <v/>
      </c>
    </row>
    <row r="341">
      <c r="A341">
        <f>TRIM(SUBSTITUTE(INDEX('Term investments'!$A:$A,ROW())&amp;""," "," "))</f>
        <v/>
      </c>
      <c r="B341">
        <f>TRIM(SUBSTITUTE(INDEX('Term investments'!$B:$B,ROW())&amp;""," "," "))</f>
        <v/>
      </c>
      <c r="C341">
        <f>TRIM(SUBSTITUTE(INDEX('Term investments'!$C:$C,ROW())&amp;""," "," "))</f>
        <v/>
      </c>
      <c r="D341">
        <f>IFERROR(--INDEX('Term investments'!$D:$D,ROW()),0)</f>
        <v/>
      </c>
      <c r="E341">
        <f>IFERROR(--INDEX('Term investments'!$E:$E,ROW()),0)</f>
        <v/>
      </c>
      <c r="F341">
        <f>IFERROR(--INDEX('Term investments'!$F:$F,ROW()),0)</f>
        <v/>
      </c>
      <c r="G341">
        <f>IFERROR(IF(--INDEX('Term investments'!$G:$G,ROW())&gt;=1,--INDEX('Term investments'!$G:$G,ROW())/100,--INDEX('Term investments'!$G:$G,ROW())),0)</f>
        <v/>
      </c>
      <c r="H341">
        <f>IFERROR(--INDEX('Term investments'!$H:$H,ROW()),0)</f>
        <v/>
      </c>
      <c r="I341">
        <f>IF(ISNUMBER(INDEX('Term investments'!$G:$G,ROW())),1,0)</f>
        <v/>
      </c>
      <c r="J341">
        <f>TRIM(SUBSTITUTE(INDEX('Call accounts and MMFs'!$A:$A,ROW())&amp;""," "," "))</f>
        <v/>
      </c>
      <c r="K341">
        <f>TRIM(SUBSTITUTE(INDEX('Call accounts and MMFs'!$B:$B,ROW())&amp;""," "," "))</f>
        <v/>
      </c>
      <c r="L341">
        <f>TRIM(SUBSTITUTE(INDEX('Call accounts and MMFs'!$C:$C,ROW())&amp;""," "," "))</f>
        <v/>
      </c>
      <c r="M341">
        <f>IFERROR(--INDEX('Call accounts and MMFs'!$D:$D,ROW()),0)</f>
        <v/>
      </c>
      <c r="N341">
        <f>IFERROR(IF(--INDEX('Call accounts and MMFs'!$E:$E,ROW())&gt;=1,--INDEX('Call accounts and MMFs'!$E:$E,ROW())/100,--INDEX('Call accounts and MMFs'!$E:$E,ROW())),0)</f>
        <v/>
      </c>
      <c r="O341">
        <f>IFERROR(--INDEX('Call accounts and MMFs'!$F:$F,ROW()),0)</f>
        <v/>
      </c>
      <c r="P341">
        <f>IF(ISNUMBER(INDEX('Call accounts and MMFs'!$E:$E,ROW())),1,0)</f>
        <v/>
      </c>
      <c r="Q341">
        <f>TRIM(SUBSTITUTE(INDEX('Pooled funds'!$B:$B,ROW())&amp;""," "," "))</f>
        <v/>
      </c>
      <c r="R341">
        <f>IFERROR(--INDEX('Pooled funds'!$C:$C,ROW()),0)</f>
        <v/>
      </c>
      <c r="S341">
        <f>IFERROR(--INDEX('Pooled funds'!$D:$D,ROW()),0)</f>
        <v/>
      </c>
      <c r="T341">
        <f>IFERROR(IF(--INDEX('Pooled funds'!$E:$E,ROW())&gt;=1,--INDEX('Pooled funds'!$E:$E,ROW())/100,--INDEX('Pooled funds'!$E:$E,ROW())),0)</f>
        <v/>
      </c>
      <c r="U341">
        <f>IF(ISNUMBER(INDEX('Pooled funds'!$E:$E,ROW())),1,0)</f>
        <v/>
      </c>
      <c r="V341">
        <f>TRIM(SUBSTITUTE(INDEX('Loans'!$A:$A,ROW())&amp;""," "," "))</f>
        <v/>
      </c>
      <c r="W341">
        <f>TRIM(SUBSTITUTE(INDEX('Loans'!$B:$B,ROW())&amp;""," "," "))</f>
        <v/>
      </c>
      <c r="X341">
        <f>TRIM(SUBSTITUTE(INDEX('Loans'!$C:$C,ROW())&amp;""," "," "))</f>
        <v/>
      </c>
      <c r="Y341">
        <f>IFERROR(--INDEX('Loans'!$D:$D,ROW()),0)</f>
        <v/>
      </c>
      <c r="Z341">
        <f>IFERROR(--INDEX('Loans'!$E:$E,ROW()),0)</f>
        <v/>
      </c>
      <c r="AA341">
        <f>IFERROR(--INDEX('Loans'!$F:$F,ROW()),0)</f>
        <v/>
      </c>
      <c r="AB341">
        <f>IFERROR(IF(--INDEX('Loans'!$G:$G,ROW())&gt;=1,--INDEX('Loans'!$G:$G,ROW())/100,--INDEX('Loans'!$G:$G,ROW())),0)</f>
        <v/>
      </c>
      <c r="AC341">
        <f>TRIM(SUBSTITUTE(INDEX('Loans'!$H:$H,ROW())&amp;""," "," "))</f>
        <v/>
      </c>
      <c r="AD341">
        <f>TRIM(SUBSTITUTE(INDEX('Loans'!$I:$I,ROW())&amp;""," "," "))</f>
        <v/>
      </c>
      <c r="AE341">
        <f>IFERROR(--INDEX('Loans'!$J:$J,ROW()),0)</f>
        <v/>
      </c>
      <c r="AF341">
        <f>TRIM(SUBSTITUTE(INDEX('Loans'!$K:$K,ROW())&amp;""," "," "))</f>
        <v/>
      </c>
      <c r="AG341">
        <f>IFERROR(--INDEX('Loans'!$L:$L,ROW()),0)</f>
        <v/>
      </c>
      <c r="AH341">
        <f>IF(ISNUMBER(INDEX('Loans'!$G:$G,ROW())),1,0)</f>
        <v/>
      </c>
    </row>
    <row r="342">
      <c r="A342">
        <f>TRIM(SUBSTITUTE(INDEX('Term investments'!$A:$A,ROW())&amp;""," "," "))</f>
        <v/>
      </c>
      <c r="B342">
        <f>TRIM(SUBSTITUTE(INDEX('Term investments'!$B:$B,ROW())&amp;""," "," "))</f>
        <v/>
      </c>
      <c r="C342">
        <f>TRIM(SUBSTITUTE(INDEX('Term investments'!$C:$C,ROW())&amp;""," "," "))</f>
        <v/>
      </c>
      <c r="D342">
        <f>IFERROR(--INDEX('Term investments'!$D:$D,ROW()),0)</f>
        <v/>
      </c>
      <c r="E342">
        <f>IFERROR(--INDEX('Term investments'!$E:$E,ROW()),0)</f>
        <v/>
      </c>
      <c r="F342">
        <f>IFERROR(--INDEX('Term investments'!$F:$F,ROW()),0)</f>
        <v/>
      </c>
      <c r="G342">
        <f>IFERROR(IF(--INDEX('Term investments'!$G:$G,ROW())&gt;=1,--INDEX('Term investments'!$G:$G,ROW())/100,--INDEX('Term investments'!$G:$G,ROW())),0)</f>
        <v/>
      </c>
      <c r="H342">
        <f>IFERROR(--INDEX('Term investments'!$H:$H,ROW()),0)</f>
        <v/>
      </c>
      <c r="I342">
        <f>IF(ISNUMBER(INDEX('Term investments'!$G:$G,ROW())),1,0)</f>
        <v/>
      </c>
      <c r="J342">
        <f>TRIM(SUBSTITUTE(INDEX('Call accounts and MMFs'!$A:$A,ROW())&amp;""," "," "))</f>
        <v/>
      </c>
      <c r="K342">
        <f>TRIM(SUBSTITUTE(INDEX('Call accounts and MMFs'!$B:$B,ROW())&amp;""," "," "))</f>
        <v/>
      </c>
      <c r="L342">
        <f>TRIM(SUBSTITUTE(INDEX('Call accounts and MMFs'!$C:$C,ROW())&amp;""," "," "))</f>
        <v/>
      </c>
      <c r="M342">
        <f>IFERROR(--INDEX('Call accounts and MMFs'!$D:$D,ROW()),0)</f>
        <v/>
      </c>
      <c r="N342">
        <f>IFERROR(IF(--INDEX('Call accounts and MMFs'!$E:$E,ROW())&gt;=1,--INDEX('Call accounts and MMFs'!$E:$E,ROW())/100,--INDEX('Call accounts and MMFs'!$E:$E,ROW())),0)</f>
        <v/>
      </c>
      <c r="O342">
        <f>IFERROR(--INDEX('Call accounts and MMFs'!$F:$F,ROW()),0)</f>
        <v/>
      </c>
      <c r="P342">
        <f>IF(ISNUMBER(INDEX('Call accounts and MMFs'!$E:$E,ROW())),1,0)</f>
        <v/>
      </c>
      <c r="Q342">
        <f>TRIM(SUBSTITUTE(INDEX('Pooled funds'!$B:$B,ROW())&amp;""," "," "))</f>
        <v/>
      </c>
      <c r="R342">
        <f>IFERROR(--INDEX('Pooled funds'!$C:$C,ROW()),0)</f>
        <v/>
      </c>
      <c r="S342">
        <f>IFERROR(--INDEX('Pooled funds'!$D:$D,ROW()),0)</f>
        <v/>
      </c>
      <c r="T342">
        <f>IFERROR(IF(--INDEX('Pooled funds'!$E:$E,ROW())&gt;=1,--INDEX('Pooled funds'!$E:$E,ROW())/100,--INDEX('Pooled funds'!$E:$E,ROW())),0)</f>
        <v/>
      </c>
      <c r="U342">
        <f>IF(ISNUMBER(INDEX('Pooled funds'!$E:$E,ROW())),1,0)</f>
        <v/>
      </c>
      <c r="V342">
        <f>TRIM(SUBSTITUTE(INDEX('Loans'!$A:$A,ROW())&amp;""," "," "))</f>
        <v/>
      </c>
      <c r="W342">
        <f>TRIM(SUBSTITUTE(INDEX('Loans'!$B:$B,ROW())&amp;""," "," "))</f>
        <v/>
      </c>
      <c r="X342">
        <f>TRIM(SUBSTITUTE(INDEX('Loans'!$C:$C,ROW())&amp;""," "," "))</f>
        <v/>
      </c>
      <c r="Y342">
        <f>IFERROR(--INDEX('Loans'!$D:$D,ROW()),0)</f>
        <v/>
      </c>
      <c r="Z342">
        <f>IFERROR(--INDEX('Loans'!$E:$E,ROW()),0)</f>
        <v/>
      </c>
      <c r="AA342">
        <f>IFERROR(--INDEX('Loans'!$F:$F,ROW()),0)</f>
        <v/>
      </c>
      <c r="AB342">
        <f>IFERROR(IF(--INDEX('Loans'!$G:$G,ROW())&gt;=1,--INDEX('Loans'!$G:$G,ROW())/100,--INDEX('Loans'!$G:$G,ROW())),0)</f>
        <v/>
      </c>
      <c r="AC342">
        <f>TRIM(SUBSTITUTE(INDEX('Loans'!$H:$H,ROW())&amp;""," "," "))</f>
        <v/>
      </c>
      <c r="AD342">
        <f>TRIM(SUBSTITUTE(INDEX('Loans'!$I:$I,ROW())&amp;""," "," "))</f>
        <v/>
      </c>
      <c r="AE342">
        <f>IFERROR(--INDEX('Loans'!$J:$J,ROW()),0)</f>
        <v/>
      </c>
      <c r="AF342">
        <f>TRIM(SUBSTITUTE(INDEX('Loans'!$K:$K,ROW())&amp;""," "," "))</f>
        <v/>
      </c>
      <c r="AG342">
        <f>IFERROR(--INDEX('Loans'!$L:$L,ROW()),0)</f>
        <v/>
      </c>
      <c r="AH342">
        <f>IF(ISNUMBER(INDEX('Loans'!$G:$G,ROW())),1,0)</f>
        <v/>
      </c>
    </row>
    <row r="343">
      <c r="A343">
        <f>TRIM(SUBSTITUTE(INDEX('Term investments'!$A:$A,ROW())&amp;""," "," "))</f>
        <v/>
      </c>
      <c r="B343">
        <f>TRIM(SUBSTITUTE(INDEX('Term investments'!$B:$B,ROW())&amp;""," "," "))</f>
        <v/>
      </c>
      <c r="C343">
        <f>TRIM(SUBSTITUTE(INDEX('Term investments'!$C:$C,ROW())&amp;""," "," "))</f>
        <v/>
      </c>
      <c r="D343">
        <f>IFERROR(--INDEX('Term investments'!$D:$D,ROW()),0)</f>
        <v/>
      </c>
      <c r="E343">
        <f>IFERROR(--INDEX('Term investments'!$E:$E,ROW()),0)</f>
        <v/>
      </c>
      <c r="F343">
        <f>IFERROR(--INDEX('Term investments'!$F:$F,ROW()),0)</f>
        <v/>
      </c>
      <c r="G343">
        <f>IFERROR(IF(--INDEX('Term investments'!$G:$G,ROW())&gt;=1,--INDEX('Term investments'!$G:$G,ROW())/100,--INDEX('Term investments'!$G:$G,ROW())),0)</f>
        <v/>
      </c>
      <c r="H343">
        <f>IFERROR(--INDEX('Term investments'!$H:$H,ROW()),0)</f>
        <v/>
      </c>
      <c r="I343">
        <f>IF(ISNUMBER(INDEX('Term investments'!$G:$G,ROW())),1,0)</f>
        <v/>
      </c>
      <c r="J343">
        <f>TRIM(SUBSTITUTE(INDEX('Call accounts and MMFs'!$A:$A,ROW())&amp;""," "," "))</f>
        <v/>
      </c>
      <c r="K343">
        <f>TRIM(SUBSTITUTE(INDEX('Call accounts and MMFs'!$B:$B,ROW())&amp;""," "," "))</f>
        <v/>
      </c>
      <c r="L343">
        <f>TRIM(SUBSTITUTE(INDEX('Call accounts and MMFs'!$C:$C,ROW())&amp;""," "," "))</f>
        <v/>
      </c>
      <c r="M343">
        <f>IFERROR(--INDEX('Call accounts and MMFs'!$D:$D,ROW()),0)</f>
        <v/>
      </c>
      <c r="N343">
        <f>IFERROR(IF(--INDEX('Call accounts and MMFs'!$E:$E,ROW())&gt;=1,--INDEX('Call accounts and MMFs'!$E:$E,ROW())/100,--INDEX('Call accounts and MMFs'!$E:$E,ROW())),0)</f>
        <v/>
      </c>
      <c r="O343">
        <f>IFERROR(--INDEX('Call accounts and MMFs'!$F:$F,ROW()),0)</f>
        <v/>
      </c>
      <c r="P343">
        <f>IF(ISNUMBER(INDEX('Call accounts and MMFs'!$E:$E,ROW())),1,0)</f>
        <v/>
      </c>
      <c r="Q343">
        <f>TRIM(SUBSTITUTE(INDEX('Pooled funds'!$B:$B,ROW())&amp;""," "," "))</f>
        <v/>
      </c>
      <c r="R343">
        <f>IFERROR(--INDEX('Pooled funds'!$C:$C,ROW()),0)</f>
        <v/>
      </c>
      <c r="S343">
        <f>IFERROR(--INDEX('Pooled funds'!$D:$D,ROW()),0)</f>
        <v/>
      </c>
      <c r="T343">
        <f>IFERROR(IF(--INDEX('Pooled funds'!$E:$E,ROW())&gt;=1,--INDEX('Pooled funds'!$E:$E,ROW())/100,--INDEX('Pooled funds'!$E:$E,ROW())),0)</f>
        <v/>
      </c>
      <c r="U343">
        <f>IF(ISNUMBER(INDEX('Pooled funds'!$E:$E,ROW())),1,0)</f>
        <v/>
      </c>
      <c r="V343">
        <f>TRIM(SUBSTITUTE(INDEX('Loans'!$A:$A,ROW())&amp;""," "," "))</f>
        <v/>
      </c>
      <c r="W343">
        <f>TRIM(SUBSTITUTE(INDEX('Loans'!$B:$B,ROW())&amp;""," "," "))</f>
        <v/>
      </c>
      <c r="X343">
        <f>TRIM(SUBSTITUTE(INDEX('Loans'!$C:$C,ROW())&amp;""," "," "))</f>
        <v/>
      </c>
      <c r="Y343">
        <f>IFERROR(--INDEX('Loans'!$D:$D,ROW()),0)</f>
        <v/>
      </c>
      <c r="Z343">
        <f>IFERROR(--INDEX('Loans'!$E:$E,ROW()),0)</f>
        <v/>
      </c>
      <c r="AA343">
        <f>IFERROR(--INDEX('Loans'!$F:$F,ROW()),0)</f>
        <v/>
      </c>
      <c r="AB343">
        <f>IFERROR(IF(--INDEX('Loans'!$G:$G,ROW())&gt;=1,--INDEX('Loans'!$G:$G,ROW())/100,--INDEX('Loans'!$G:$G,ROW())),0)</f>
        <v/>
      </c>
      <c r="AC343">
        <f>TRIM(SUBSTITUTE(INDEX('Loans'!$H:$H,ROW())&amp;""," "," "))</f>
        <v/>
      </c>
      <c r="AD343">
        <f>TRIM(SUBSTITUTE(INDEX('Loans'!$I:$I,ROW())&amp;""," "," "))</f>
        <v/>
      </c>
      <c r="AE343">
        <f>IFERROR(--INDEX('Loans'!$J:$J,ROW()),0)</f>
        <v/>
      </c>
      <c r="AF343">
        <f>TRIM(SUBSTITUTE(INDEX('Loans'!$K:$K,ROW())&amp;""," "," "))</f>
        <v/>
      </c>
      <c r="AG343">
        <f>IFERROR(--INDEX('Loans'!$L:$L,ROW()),0)</f>
        <v/>
      </c>
      <c r="AH343">
        <f>IF(ISNUMBER(INDEX('Loans'!$G:$G,ROW())),1,0)</f>
        <v/>
      </c>
    </row>
    <row r="344">
      <c r="A344">
        <f>TRIM(SUBSTITUTE(INDEX('Term investments'!$A:$A,ROW())&amp;""," "," "))</f>
        <v/>
      </c>
      <c r="B344">
        <f>TRIM(SUBSTITUTE(INDEX('Term investments'!$B:$B,ROW())&amp;""," "," "))</f>
        <v/>
      </c>
      <c r="C344">
        <f>TRIM(SUBSTITUTE(INDEX('Term investments'!$C:$C,ROW())&amp;""," "," "))</f>
        <v/>
      </c>
      <c r="D344">
        <f>IFERROR(--INDEX('Term investments'!$D:$D,ROW()),0)</f>
        <v/>
      </c>
      <c r="E344">
        <f>IFERROR(--INDEX('Term investments'!$E:$E,ROW()),0)</f>
        <v/>
      </c>
      <c r="F344">
        <f>IFERROR(--INDEX('Term investments'!$F:$F,ROW()),0)</f>
        <v/>
      </c>
      <c r="G344">
        <f>IFERROR(IF(--INDEX('Term investments'!$G:$G,ROW())&gt;=1,--INDEX('Term investments'!$G:$G,ROW())/100,--INDEX('Term investments'!$G:$G,ROW())),0)</f>
        <v/>
      </c>
      <c r="H344">
        <f>IFERROR(--INDEX('Term investments'!$H:$H,ROW()),0)</f>
        <v/>
      </c>
      <c r="I344">
        <f>IF(ISNUMBER(INDEX('Term investments'!$G:$G,ROW())),1,0)</f>
        <v/>
      </c>
      <c r="J344">
        <f>TRIM(SUBSTITUTE(INDEX('Call accounts and MMFs'!$A:$A,ROW())&amp;""," "," "))</f>
        <v/>
      </c>
      <c r="K344">
        <f>TRIM(SUBSTITUTE(INDEX('Call accounts and MMFs'!$B:$B,ROW())&amp;""," "," "))</f>
        <v/>
      </c>
      <c r="L344">
        <f>TRIM(SUBSTITUTE(INDEX('Call accounts and MMFs'!$C:$C,ROW())&amp;""," "," "))</f>
        <v/>
      </c>
      <c r="M344">
        <f>IFERROR(--INDEX('Call accounts and MMFs'!$D:$D,ROW()),0)</f>
        <v/>
      </c>
      <c r="N344">
        <f>IFERROR(IF(--INDEX('Call accounts and MMFs'!$E:$E,ROW())&gt;=1,--INDEX('Call accounts and MMFs'!$E:$E,ROW())/100,--INDEX('Call accounts and MMFs'!$E:$E,ROW())),0)</f>
        <v/>
      </c>
      <c r="O344">
        <f>IFERROR(--INDEX('Call accounts and MMFs'!$F:$F,ROW()),0)</f>
        <v/>
      </c>
      <c r="P344">
        <f>IF(ISNUMBER(INDEX('Call accounts and MMFs'!$E:$E,ROW())),1,0)</f>
        <v/>
      </c>
      <c r="Q344">
        <f>TRIM(SUBSTITUTE(INDEX('Pooled funds'!$B:$B,ROW())&amp;""," "," "))</f>
        <v/>
      </c>
      <c r="R344">
        <f>IFERROR(--INDEX('Pooled funds'!$C:$C,ROW()),0)</f>
        <v/>
      </c>
      <c r="S344">
        <f>IFERROR(--INDEX('Pooled funds'!$D:$D,ROW()),0)</f>
        <v/>
      </c>
      <c r="T344">
        <f>IFERROR(IF(--INDEX('Pooled funds'!$E:$E,ROW())&gt;=1,--INDEX('Pooled funds'!$E:$E,ROW())/100,--INDEX('Pooled funds'!$E:$E,ROW())),0)</f>
        <v/>
      </c>
      <c r="U344">
        <f>IF(ISNUMBER(INDEX('Pooled funds'!$E:$E,ROW())),1,0)</f>
        <v/>
      </c>
      <c r="V344">
        <f>TRIM(SUBSTITUTE(INDEX('Loans'!$A:$A,ROW())&amp;""," "," "))</f>
        <v/>
      </c>
      <c r="W344">
        <f>TRIM(SUBSTITUTE(INDEX('Loans'!$B:$B,ROW())&amp;""," "," "))</f>
        <v/>
      </c>
      <c r="X344">
        <f>TRIM(SUBSTITUTE(INDEX('Loans'!$C:$C,ROW())&amp;""," "," "))</f>
        <v/>
      </c>
      <c r="Y344">
        <f>IFERROR(--INDEX('Loans'!$D:$D,ROW()),0)</f>
        <v/>
      </c>
      <c r="Z344">
        <f>IFERROR(--INDEX('Loans'!$E:$E,ROW()),0)</f>
        <v/>
      </c>
      <c r="AA344">
        <f>IFERROR(--INDEX('Loans'!$F:$F,ROW()),0)</f>
        <v/>
      </c>
      <c r="AB344">
        <f>IFERROR(IF(--INDEX('Loans'!$G:$G,ROW())&gt;=1,--INDEX('Loans'!$G:$G,ROW())/100,--INDEX('Loans'!$G:$G,ROW())),0)</f>
        <v/>
      </c>
      <c r="AC344">
        <f>TRIM(SUBSTITUTE(INDEX('Loans'!$H:$H,ROW())&amp;""," "," "))</f>
        <v/>
      </c>
      <c r="AD344">
        <f>TRIM(SUBSTITUTE(INDEX('Loans'!$I:$I,ROW())&amp;""," "," "))</f>
        <v/>
      </c>
      <c r="AE344">
        <f>IFERROR(--INDEX('Loans'!$J:$J,ROW()),0)</f>
        <v/>
      </c>
      <c r="AF344">
        <f>TRIM(SUBSTITUTE(INDEX('Loans'!$K:$K,ROW())&amp;""," "," "))</f>
        <v/>
      </c>
      <c r="AG344">
        <f>IFERROR(--INDEX('Loans'!$L:$L,ROW()),0)</f>
        <v/>
      </c>
      <c r="AH344">
        <f>IF(ISNUMBER(INDEX('Loans'!$G:$G,ROW())),1,0)</f>
        <v/>
      </c>
    </row>
    <row r="345">
      <c r="A345">
        <f>TRIM(SUBSTITUTE(INDEX('Term investments'!$A:$A,ROW())&amp;""," "," "))</f>
        <v/>
      </c>
      <c r="B345">
        <f>TRIM(SUBSTITUTE(INDEX('Term investments'!$B:$B,ROW())&amp;""," "," "))</f>
        <v/>
      </c>
      <c r="C345">
        <f>TRIM(SUBSTITUTE(INDEX('Term investments'!$C:$C,ROW())&amp;""," "," "))</f>
        <v/>
      </c>
      <c r="D345">
        <f>IFERROR(--INDEX('Term investments'!$D:$D,ROW()),0)</f>
        <v/>
      </c>
      <c r="E345">
        <f>IFERROR(--INDEX('Term investments'!$E:$E,ROW()),0)</f>
        <v/>
      </c>
      <c r="F345">
        <f>IFERROR(--INDEX('Term investments'!$F:$F,ROW()),0)</f>
        <v/>
      </c>
      <c r="G345">
        <f>IFERROR(IF(--INDEX('Term investments'!$G:$G,ROW())&gt;=1,--INDEX('Term investments'!$G:$G,ROW())/100,--INDEX('Term investments'!$G:$G,ROW())),0)</f>
        <v/>
      </c>
      <c r="H345">
        <f>IFERROR(--INDEX('Term investments'!$H:$H,ROW()),0)</f>
        <v/>
      </c>
      <c r="I345">
        <f>IF(ISNUMBER(INDEX('Term investments'!$G:$G,ROW())),1,0)</f>
        <v/>
      </c>
      <c r="J345">
        <f>TRIM(SUBSTITUTE(INDEX('Call accounts and MMFs'!$A:$A,ROW())&amp;""," "," "))</f>
        <v/>
      </c>
      <c r="K345">
        <f>TRIM(SUBSTITUTE(INDEX('Call accounts and MMFs'!$B:$B,ROW())&amp;""," "," "))</f>
        <v/>
      </c>
      <c r="L345">
        <f>TRIM(SUBSTITUTE(INDEX('Call accounts and MMFs'!$C:$C,ROW())&amp;""," "," "))</f>
        <v/>
      </c>
      <c r="M345">
        <f>IFERROR(--INDEX('Call accounts and MMFs'!$D:$D,ROW()),0)</f>
        <v/>
      </c>
      <c r="N345">
        <f>IFERROR(IF(--INDEX('Call accounts and MMFs'!$E:$E,ROW())&gt;=1,--INDEX('Call accounts and MMFs'!$E:$E,ROW())/100,--INDEX('Call accounts and MMFs'!$E:$E,ROW())),0)</f>
        <v/>
      </c>
      <c r="O345">
        <f>IFERROR(--INDEX('Call accounts and MMFs'!$F:$F,ROW()),0)</f>
        <v/>
      </c>
      <c r="P345">
        <f>IF(ISNUMBER(INDEX('Call accounts and MMFs'!$E:$E,ROW())),1,0)</f>
        <v/>
      </c>
      <c r="Q345">
        <f>TRIM(SUBSTITUTE(INDEX('Pooled funds'!$B:$B,ROW())&amp;""," "," "))</f>
        <v/>
      </c>
      <c r="R345">
        <f>IFERROR(--INDEX('Pooled funds'!$C:$C,ROW()),0)</f>
        <v/>
      </c>
      <c r="S345">
        <f>IFERROR(--INDEX('Pooled funds'!$D:$D,ROW()),0)</f>
        <v/>
      </c>
      <c r="T345">
        <f>IFERROR(IF(--INDEX('Pooled funds'!$E:$E,ROW())&gt;=1,--INDEX('Pooled funds'!$E:$E,ROW())/100,--INDEX('Pooled funds'!$E:$E,ROW())),0)</f>
        <v/>
      </c>
      <c r="U345">
        <f>IF(ISNUMBER(INDEX('Pooled funds'!$E:$E,ROW())),1,0)</f>
        <v/>
      </c>
      <c r="V345">
        <f>TRIM(SUBSTITUTE(INDEX('Loans'!$A:$A,ROW())&amp;""," "," "))</f>
        <v/>
      </c>
      <c r="W345">
        <f>TRIM(SUBSTITUTE(INDEX('Loans'!$B:$B,ROW())&amp;""," "," "))</f>
        <v/>
      </c>
      <c r="X345">
        <f>TRIM(SUBSTITUTE(INDEX('Loans'!$C:$C,ROW())&amp;""," "," "))</f>
        <v/>
      </c>
      <c r="Y345">
        <f>IFERROR(--INDEX('Loans'!$D:$D,ROW()),0)</f>
        <v/>
      </c>
      <c r="Z345">
        <f>IFERROR(--INDEX('Loans'!$E:$E,ROW()),0)</f>
        <v/>
      </c>
      <c r="AA345">
        <f>IFERROR(--INDEX('Loans'!$F:$F,ROW()),0)</f>
        <v/>
      </c>
      <c r="AB345">
        <f>IFERROR(IF(--INDEX('Loans'!$G:$G,ROW())&gt;=1,--INDEX('Loans'!$G:$G,ROW())/100,--INDEX('Loans'!$G:$G,ROW())),0)</f>
        <v/>
      </c>
      <c r="AC345">
        <f>TRIM(SUBSTITUTE(INDEX('Loans'!$H:$H,ROW())&amp;""," "," "))</f>
        <v/>
      </c>
      <c r="AD345">
        <f>TRIM(SUBSTITUTE(INDEX('Loans'!$I:$I,ROW())&amp;""," "," "))</f>
        <v/>
      </c>
      <c r="AE345">
        <f>IFERROR(--INDEX('Loans'!$J:$J,ROW()),0)</f>
        <v/>
      </c>
      <c r="AF345">
        <f>TRIM(SUBSTITUTE(INDEX('Loans'!$K:$K,ROW())&amp;""," "," "))</f>
        <v/>
      </c>
      <c r="AG345">
        <f>IFERROR(--INDEX('Loans'!$L:$L,ROW()),0)</f>
        <v/>
      </c>
      <c r="AH345">
        <f>IF(ISNUMBER(INDEX('Loans'!$G:$G,ROW())),1,0)</f>
        <v/>
      </c>
    </row>
    <row r="346">
      <c r="A346">
        <f>TRIM(SUBSTITUTE(INDEX('Term investments'!$A:$A,ROW())&amp;""," "," "))</f>
        <v/>
      </c>
      <c r="B346">
        <f>TRIM(SUBSTITUTE(INDEX('Term investments'!$B:$B,ROW())&amp;""," "," "))</f>
        <v/>
      </c>
      <c r="C346">
        <f>TRIM(SUBSTITUTE(INDEX('Term investments'!$C:$C,ROW())&amp;""," "," "))</f>
        <v/>
      </c>
      <c r="D346">
        <f>IFERROR(--INDEX('Term investments'!$D:$D,ROW()),0)</f>
        <v/>
      </c>
      <c r="E346">
        <f>IFERROR(--INDEX('Term investments'!$E:$E,ROW()),0)</f>
        <v/>
      </c>
      <c r="F346">
        <f>IFERROR(--INDEX('Term investments'!$F:$F,ROW()),0)</f>
        <v/>
      </c>
      <c r="G346">
        <f>IFERROR(IF(--INDEX('Term investments'!$G:$G,ROW())&gt;=1,--INDEX('Term investments'!$G:$G,ROW())/100,--INDEX('Term investments'!$G:$G,ROW())),0)</f>
        <v/>
      </c>
      <c r="H346">
        <f>IFERROR(--INDEX('Term investments'!$H:$H,ROW()),0)</f>
        <v/>
      </c>
      <c r="I346">
        <f>IF(ISNUMBER(INDEX('Term investments'!$G:$G,ROW())),1,0)</f>
        <v/>
      </c>
      <c r="J346">
        <f>TRIM(SUBSTITUTE(INDEX('Call accounts and MMFs'!$A:$A,ROW())&amp;""," "," "))</f>
        <v/>
      </c>
      <c r="K346">
        <f>TRIM(SUBSTITUTE(INDEX('Call accounts and MMFs'!$B:$B,ROW())&amp;""," "," "))</f>
        <v/>
      </c>
      <c r="L346">
        <f>TRIM(SUBSTITUTE(INDEX('Call accounts and MMFs'!$C:$C,ROW())&amp;""," "," "))</f>
        <v/>
      </c>
      <c r="M346">
        <f>IFERROR(--INDEX('Call accounts and MMFs'!$D:$D,ROW()),0)</f>
        <v/>
      </c>
      <c r="N346">
        <f>IFERROR(IF(--INDEX('Call accounts and MMFs'!$E:$E,ROW())&gt;=1,--INDEX('Call accounts and MMFs'!$E:$E,ROW())/100,--INDEX('Call accounts and MMFs'!$E:$E,ROW())),0)</f>
        <v/>
      </c>
      <c r="O346">
        <f>IFERROR(--INDEX('Call accounts and MMFs'!$F:$F,ROW()),0)</f>
        <v/>
      </c>
      <c r="P346">
        <f>IF(ISNUMBER(INDEX('Call accounts and MMFs'!$E:$E,ROW())),1,0)</f>
        <v/>
      </c>
      <c r="Q346">
        <f>TRIM(SUBSTITUTE(INDEX('Pooled funds'!$B:$B,ROW())&amp;""," "," "))</f>
        <v/>
      </c>
      <c r="R346">
        <f>IFERROR(--INDEX('Pooled funds'!$C:$C,ROW()),0)</f>
        <v/>
      </c>
      <c r="S346">
        <f>IFERROR(--INDEX('Pooled funds'!$D:$D,ROW()),0)</f>
        <v/>
      </c>
      <c r="T346">
        <f>IFERROR(IF(--INDEX('Pooled funds'!$E:$E,ROW())&gt;=1,--INDEX('Pooled funds'!$E:$E,ROW())/100,--INDEX('Pooled funds'!$E:$E,ROW())),0)</f>
        <v/>
      </c>
      <c r="U346">
        <f>IF(ISNUMBER(INDEX('Pooled funds'!$E:$E,ROW())),1,0)</f>
        <v/>
      </c>
      <c r="V346">
        <f>TRIM(SUBSTITUTE(INDEX('Loans'!$A:$A,ROW())&amp;""," "," "))</f>
        <v/>
      </c>
      <c r="W346">
        <f>TRIM(SUBSTITUTE(INDEX('Loans'!$B:$B,ROW())&amp;""," "," "))</f>
        <v/>
      </c>
      <c r="X346">
        <f>TRIM(SUBSTITUTE(INDEX('Loans'!$C:$C,ROW())&amp;""," "," "))</f>
        <v/>
      </c>
      <c r="Y346">
        <f>IFERROR(--INDEX('Loans'!$D:$D,ROW()),0)</f>
        <v/>
      </c>
      <c r="Z346">
        <f>IFERROR(--INDEX('Loans'!$E:$E,ROW()),0)</f>
        <v/>
      </c>
      <c r="AA346">
        <f>IFERROR(--INDEX('Loans'!$F:$F,ROW()),0)</f>
        <v/>
      </c>
      <c r="AB346">
        <f>IFERROR(IF(--INDEX('Loans'!$G:$G,ROW())&gt;=1,--INDEX('Loans'!$G:$G,ROW())/100,--INDEX('Loans'!$G:$G,ROW())),0)</f>
        <v/>
      </c>
      <c r="AC346">
        <f>TRIM(SUBSTITUTE(INDEX('Loans'!$H:$H,ROW())&amp;""," "," "))</f>
        <v/>
      </c>
      <c r="AD346">
        <f>TRIM(SUBSTITUTE(INDEX('Loans'!$I:$I,ROW())&amp;""," "," "))</f>
        <v/>
      </c>
      <c r="AE346">
        <f>IFERROR(--INDEX('Loans'!$J:$J,ROW()),0)</f>
        <v/>
      </c>
      <c r="AF346">
        <f>TRIM(SUBSTITUTE(INDEX('Loans'!$K:$K,ROW())&amp;""," "," "))</f>
        <v/>
      </c>
      <c r="AG346">
        <f>IFERROR(--INDEX('Loans'!$L:$L,ROW()),0)</f>
        <v/>
      </c>
      <c r="AH346">
        <f>IF(ISNUMBER(INDEX('Loans'!$G:$G,ROW())),1,0)</f>
        <v/>
      </c>
    </row>
    <row r="347">
      <c r="A347">
        <f>TRIM(SUBSTITUTE(INDEX('Term investments'!$A:$A,ROW())&amp;""," "," "))</f>
        <v/>
      </c>
      <c r="B347">
        <f>TRIM(SUBSTITUTE(INDEX('Term investments'!$B:$B,ROW())&amp;""," "," "))</f>
        <v/>
      </c>
      <c r="C347">
        <f>TRIM(SUBSTITUTE(INDEX('Term investments'!$C:$C,ROW())&amp;""," "," "))</f>
        <v/>
      </c>
      <c r="D347">
        <f>IFERROR(--INDEX('Term investments'!$D:$D,ROW()),0)</f>
        <v/>
      </c>
      <c r="E347">
        <f>IFERROR(--INDEX('Term investments'!$E:$E,ROW()),0)</f>
        <v/>
      </c>
      <c r="F347">
        <f>IFERROR(--INDEX('Term investments'!$F:$F,ROW()),0)</f>
        <v/>
      </c>
      <c r="G347">
        <f>IFERROR(IF(--INDEX('Term investments'!$G:$G,ROW())&gt;=1,--INDEX('Term investments'!$G:$G,ROW())/100,--INDEX('Term investments'!$G:$G,ROW())),0)</f>
        <v/>
      </c>
      <c r="H347">
        <f>IFERROR(--INDEX('Term investments'!$H:$H,ROW()),0)</f>
        <v/>
      </c>
      <c r="I347">
        <f>IF(ISNUMBER(INDEX('Term investments'!$G:$G,ROW())),1,0)</f>
        <v/>
      </c>
      <c r="J347">
        <f>TRIM(SUBSTITUTE(INDEX('Call accounts and MMFs'!$A:$A,ROW())&amp;""," "," "))</f>
        <v/>
      </c>
      <c r="K347">
        <f>TRIM(SUBSTITUTE(INDEX('Call accounts and MMFs'!$B:$B,ROW())&amp;""," "," "))</f>
        <v/>
      </c>
      <c r="L347">
        <f>TRIM(SUBSTITUTE(INDEX('Call accounts and MMFs'!$C:$C,ROW())&amp;""," "," "))</f>
        <v/>
      </c>
      <c r="M347">
        <f>IFERROR(--INDEX('Call accounts and MMFs'!$D:$D,ROW()),0)</f>
        <v/>
      </c>
      <c r="N347">
        <f>IFERROR(IF(--INDEX('Call accounts and MMFs'!$E:$E,ROW())&gt;=1,--INDEX('Call accounts and MMFs'!$E:$E,ROW())/100,--INDEX('Call accounts and MMFs'!$E:$E,ROW())),0)</f>
        <v/>
      </c>
      <c r="O347">
        <f>IFERROR(--INDEX('Call accounts and MMFs'!$F:$F,ROW()),0)</f>
        <v/>
      </c>
      <c r="P347">
        <f>IF(ISNUMBER(INDEX('Call accounts and MMFs'!$E:$E,ROW())),1,0)</f>
        <v/>
      </c>
      <c r="Q347">
        <f>TRIM(SUBSTITUTE(INDEX('Pooled funds'!$B:$B,ROW())&amp;""," "," "))</f>
        <v/>
      </c>
      <c r="R347">
        <f>IFERROR(--INDEX('Pooled funds'!$C:$C,ROW()),0)</f>
        <v/>
      </c>
      <c r="S347">
        <f>IFERROR(--INDEX('Pooled funds'!$D:$D,ROW()),0)</f>
        <v/>
      </c>
      <c r="T347">
        <f>IFERROR(IF(--INDEX('Pooled funds'!$E:$E,ROW())&gt;=1,--INDEX('Pooled funds'!$E:$E,ROW())/100,--INDEX('Pooled funds'!$E:$E,ROW())),0)</f>
        <v/>
      </c>
      <c r="U347">
        <f>IF(ISNUMBER(INDEX('Pooled funds'!$E:$E,ROW())),1,0)</f>
        <v/>
      </c>
      <c r="V347">
        <f>TRIM(SUBSTITUTE(INDEX('Loans'!$A:$A,ROW())&amp;""," "," "))</f>
        <v/>
      </c>
      <c r="W347">
        <f>TRIM(SUBSTITUTE(INDEX('Loans'!$B:$B,ROW())&amp;""," "," "))</f>
        <v/>
      </c>
      <c r="X347">
        <f>TRIM(SUBSTITUTE(INDEX('Loans'!$C:$C,ROW())&amp;""," "," "))</f>
        <v/>
      </c>
      <c r="Y347">
        <f>IFERROR(--INDEX('Loans'!$D:$D,ROW()),0)</f>
        <v/>
      </c>
      <c r="Z347">
        <f>IFERROR(--INDEX('Loans'!$E:$E,ROW()),0)</f>
        <v/>
      </c>
      <c r="AA347">
        <f>IFERROR(--INDEX('Loans'!$F:$F,ROW()),0)</f>
        <v/>
      </c>
      <c r="AB347">
        <f>IFERROR(IF(--INDEX('Loans'!$G:$G,ROW())&gt;=1,--INDEX('Loans'!$G:$G,ROW())/100,--INDEX('Loans'!$G:$G,ROW())),0)</f>
        <v/>
      </c>
      <c r="AC347">
        <f>TRIM(SUBSTITUTE(INDEX('Loans'!$H:$H,ROW())&amp;""," "," "))</f>
        <v/>
      </c>
      <c r="AD347">
        <f>TRIM(SUBSTITUTE(INDEX('Loans'!$I:$I,ROW())&amp;""," "," "))</f>
        <v/>
      </c>
      <c r="AE347">
        <f>IFERROR(--INDEX('Loans'!$J:$J,ROW()),0)</f>
        <v/>
      </c>
      <c r="AF347">
        <f>TRIM(SUBSTITUTE(INDEX('Loans'!$K:$K,ROW())&amp;""," "," "))</f>
        <v/>
      </c>
      <c r="AG347">
        <f>IFERROR(--INDEX('Loans'!$L:$L,ROW()),0)</f>
        <v/>
      </c>
      <c r="AH347">
        <f>IF(ISNUMBER(INDEX('Loans'!$G:$G,ROW())),1,0)</f>
        <v/>
      </c>
    </row>
    <row r="348">
      <c r="A348">
        <f>TRIM(SUBSTITUTE(INDEX('Term investments'!$A:$A,ROW())&amp;""," "," "))</f>
        <v/>
      </c>
      <c r="B348">
        <f>TRIM(SUBSTITUTE(INDEX('Term investments'!$B:$B,ROW())&amp;""," "," "))</f>
        <v/>
      </c>
      <c r="C348">
        <f>TRIM(SUBSTITUTE(INDEX('Term investments'!$C:$C,ROW())&amp;""," "," "))</f>
        <v/>
      </c>
      <c r="D348">
        <f>IFERROR(--INDEX('Term investments'!$D:$D,ROW()),0)</f>
        <v/>
      </c>
      <c r="E348">
        <f>IFERROR(--INDEX('Term investments'!$E:$E,ROW()),0)</f>
        <v/>
      </c>
      <c r="F348">
        <f>IFERROR(--INDEX('Term investments'!$F:$F,ROW()),0)</f>
        <v/>
      </c>
      <c r="G348">
        <f>IFERROR(IF(--INDEX('Term investments'!$G:$G,ROW())&gt;=1,--INDEX('Term investments'!$G:$G,ROW())/100,--INDEX('Term investments'!$G:$G,ROW())),0)</f>
        <v/>
      </c>
      <c r="H348">
        <f>IFERROR(--INDEX('Term investments'!$H:$H,ROW()),0)</f>
        <v/>
      </c>
      <c r="I348">
        <f>IF(ISNUMBER(INDEX('Term investments'!$G:$G,ROW())),1,0)</f>
        <v/>
      </c>
      <c r="J348">
        <f>TRIM(SUBSTITUTE(INDEX('Call accounts and MMFs'!$A:$A,ROW())&amp;""," "," "))</f>
        <v/>
      </c>
      <c r="K348">
        <f>TRIM(SUBSTITUTE(INDEX('Call accounts and MMFs'!$B:$B,ROW())&amp;""," "," "))</f>
        <v/>
      </c>
      <c r="L348">
        <f>TRIM(SUBSTITUTE(INDEX('Call accounts and MMFs'!$C:$C,ROW())&amp;""," "," "))</f>
        <v/>
      </c>
      <c r="M348">
        <f>IFERROR(--INDEX('Call accounts and MMFs'!$D:$D,ROW()),0)</f>
        <v/>
      </c>
      <c r="N348">
        <f>IFERROR(IF(--INDEX('Call accounts and MMFs'!$E:$E,ROW())&gt;=1,--INDEX('Call accounts and MMFs'!$E:$E,ROW())/100,--INDEX('Call accounts and MMFs'!$E:$E,ROW())),0)</f>
        <v/>
      </c>
      <c r="O348">
        <f>IFERROR(--INDEX('Call accounts and MMFs'!$F:$F,ROW()),0)</f>
        <v/>
      </c>
      <c r="P348">
        <f>IF(ISNUMBER(INDEX('Call accounts and MMFs'!$E:$E,ROW())),1,0)</f>
        <v/>
      </c>
      <c r="Q348">
        <f>TRIM(SUBSTITUTE(INDEX('Pooled funds'!$B:$B,ROW())&amp;""," "," "))</f>
        <v/>
      </c>
      <c r="R348">
        <f>IFERROR(--INDEX('Pooled funds'!$C:$C,ROW()),0)</f>
        <v/>
      </c>
      <c r="S348">
        <f>IFERROR(--INDEX('Pooled funds'!$D:$D,ROW()),0)</f>
        <v/>
      </c>
      <c r="T348">
        <f>IFERROR(IF(--INDEX('Pooled funds'!$E:$E,ROW())&gt;=1,--INDEX('Pooled funds'!$E:$E,ROW())/100,--INDEX('Pooled funds'!$E:$E,ROW())),0)</f>
        <v/>
      </c>
      <c r="U348">
        <f>IF(ISNUMBER(INDEX('Pooled funds'!$E:$E,ROW())),1,0)</f>
        <v/>
      </c>
      <c r="V348">
        <f>TRIM(SUBSTITUTE(INDEX('Loans'!$A:$A,ROW())&amp;""," "," "))</f>
        <v/>
      </c>
      <c r="W348">
        <f>TRIM(SUBSTITUTE(INDEX('Loans'!$B:$B,ROW())&amp;""," "," "))</f>
        <v/>
      </c>
      <c r="X348">
        <f>TRIM(SUBSTITUTE(INDEX('Loans'!$C:$C,ROW())&amp;""," "," "))</f>
        <v/>
      </c>
      <c r="Y348">
        <f>IFERROR(--INDEX('Loans'!$D:$D,ROW()),0)</f>
        <v/>
      </c>
      <c r="Z348">
        <f>IFERROR(--INDEX('Loans'!$E:$E,ROW()),0)</f>
        <v/>
      </c>
      <c r="AA348">
        <f>IFERROR(--INDEX('Loans'!$F:$F,ROW()),0)</f>
        <v/>
      </c>
      <c r="AB348">
        <f>IFERROR(IF(--INDEX('Loans'!$G:$G,ROW())&gt;=1,--INDEX('Loans'!$G:$G,ROW())/100,--INDEX('Loans'!$G:$G,ROW())),0)</f>
        <v/>
      </c>
      <c r="AC348">
        <f>TRIM(SUBSTITUTE(INDEX('Loans'!$H:$H,ROW())&amp;""," "," "))</f>
        <v/>
      </c>
      <c r="AD348">
        <f>TRIM(SUBSTITUTE(INDEX('Loans'!$I:$I,ROW())&amp;""," "," "))</f>
        <v/>
      </c>
      <c r="AE348">
        <f>IFERROR(--INDEX('Loans'!$J:$J,ROW()),0)</f>
        <v/>
      </c>
      <c r="AF348">
        <f>TRIM(SUBSTITUTE(INDEX('Loans'!$K:$K,ROW())&amp;""," "," "))</f>
        <v/>
      </c>
      <c r="AG348">
        <f>IFERROR(--INDEX('Loans'!$L:$L,ROW()),0)</f>
        <v/>
      </c>
      <c r="AH348">
        <f>IF(ISNUMBER(INDEX('Loans'!$G:$G,ROW())),1,0)</f>
        <v/>
      </c>
    </row>
    <row r="349">
      <c r="A349">
        <f>TRIM(SUBSTITUTE(INDEX('Term investments'!$A:$A,ROW())&amp;""," "," "))</f>
        <v/>
      </c>
      <c r="B349">
        <f>TRIM(SUBSTITUTE(INDEX('Term investments'!$B:$B,ROW())&amp;""," "," "))</f>
        <v/>
      </c>
      <c r="C349">
        <f>TRIM(SUBSTITUTE(INDEX('Term investments'!$C:$C,ROW())&amp;""," "," "))</f>
        <v/>
      </c>
      <c r="D349">
        <f>IFERROR(--INDEX('Term investments'!$D:$D,ROW()),0)</f>
        <v/>
      </c>
      <c r="E349">
        <f>IFERROR(--INDEX('Term investments'!$E:$E,ROW()),0)</f>
        <v/>
      </c>
      <c r="F349">
        <f>IFERROR(--INDEX('Term investments'!$F:$F,ROW()),0)</f>
        <v/>
      </c>
      <c r="G349">
        <f>IFERROR(IF(--INDEX('Term investments'!$G:$G,ROW())&gt;=1,--INDEX('Term investments'!$G:$G,ROW())/100,--INDEX('Term investments'!$G:$G,ROW())),0)</f>
        <v/>
      </c>
      <c r="H349">
        <f>IFERROR(--INDEX('Term investments'!$H:$H,ROW()),0)</f>
        <v/>
      </c>
      <c r="I349">
        <f>IF(ISNUMBER(INDEX('Term investments'!$G:$G,ROW())),1,0)</f>
        <v/>
      </c>
      <c r="J349">
        <f>TRIM(SUBSTITUTE(INDEX('Call accounts and MMFs'!$A:$A,ROW())&amp;""," "," "))</f>
        <v/>
      </c>
      <c r="K349">
        <f>TRIM(SUBSTITUTE(INDEX('Call accounts and MMFs'!$B:$B,ROW())&amp;""," "," "))</f>
        <v/>
      </c>
      <c r="L349">
        <f>TRIM(SUBSTITUTE(INDEX('Call accounts and MMFs'!$C:$C,ROW())&amp;""," "," "))</f>
        <v/>
      </c>
      <c r="M349">
        <f>IFERROR(--INDEX('Call accounts and MMFs'!$D:$D,ROW()),0)</f>
        <v/>
      </c>
      <c r="N349">
        <f>IFERROR(IF(--INDEX('Call accounts and MMFs'!$E:$E,ROW())&gt;=1,--INDEX('Call accounts and MMFs'!$E:$E,ROW())/100,--INDEX('Call accounts and MMFs'!$E:$E,ROW())),0)</f>
        <v/>
      </c>
      <c r="O349">
        <f>IFERROR(--INDEX('Call accounts and MMFs'!$F:$F,ROW()),0)</f>
        <v/>
      </c>
      <c r="P349">
        <f>IF(ISNUMBER(INDEX('Call accounts and MMFs'!$E:$E,ROW())),1,0)</f>
        <v/>
      </c>
      <c r="Q349">
        <f>TRIM(SUBSTITUTE(INDEX('Pooled funds'!$B:$B,ROW())&amp;""," "," "))</f>
        <v/>
      </c>
      <c r="R349">
        <f>IFERROR(--INDEX('Pooled funds'!$C:$C,ROW()),0)</f>
        <v/>
      </c>
      <c r="S349">
        <f>IFERROR(--INDEX('Pooled funds'!$D:$D,ROW()),0)</f>
        <v/>
      </c>
      <c r="T349">
        <f>IFERROR(IF(--INDEX('Pooled funds'!$E:$E,ROW())&gt;=1,--INDEX('Pooled funds'!$E:$E,ROW())/100,--INDEX('Pooled funds'!$E:$E,ROW())),0)</f>
        <v/>
      </c>
      <c r="U349">
        <f>IF(ISNUMBER(INDEX('Pooled funds'!$E:$E,ROW())),1,0)</f>
        <v/>
      </c>
      <c r="V349">
        <f>TRIM(SUBSTITUTE(INDEX('Loans'!$A:$A,ROW())&amp;""," "," "))</f>
        <v/>
      </c>
      <c r="W349">
        <f>TRIM(SUBSTITUTE(INDEX('Loans'!$B:$B,ROW())&amp;""," "," "))</f>
        <v/>
      </c>
      <c r="X349">
        <f>TRIM(SUBSTITUTE(INDEX('Loans'!$C:$C,ROW())&amp;""," "," "))</f>
        <v/>
      </c>
      <c r="Y349">
        <f>IFERROR(--INDEX('Loans'!$D:$D,ROW()),0)</f>
        <v/>
      </c>
      <c r="Z349">
        <f>IFERROR(--INDEX('Loans'!$E:$E,ROW()),0)</f>
        <v/>
      </c>
      <c r="AA349">
        <f>IFERROR(--INDEX('Loans'!$F:$F,ROW()),0)</f>
        <v/>
      </c>
      <c r="AB349">
        <f>IFERROR(IF(--INDEX('Loans'!$G:$G,ROW())&gt;=1,--INDEX('Loans'!$G:$G,ROW())/100,--INDEX('Loans'!$G:$G,ROW())),0)</f>
        <v/>
      </c>
      <c r="AC349">
        <f>TRIM(SUBSTITUTE(INDEX('Loans'!$H:$H,ROW())&amp;""," "," "))</f>
        <v/>
      </c>
      <c r="AD349">
        <f>TRIM(SUBSTITUTE(INDEX('Loans'!$I:$I,ROW())&amp;""," "," "))</f>
        <v/>
      </c>
      <c r="AE349">
        <f>IFERROR(--INDEX('Loans'!$J:$J,ROW()),0)</f>
        <v/>
      </c>
      <c r="AF349">
        <f>TRIM(SUBSTITUTE(INDEX('Loans'!$K:$K,ROW())&amp;""," "," "))</f>
        <v/>
      </c>
      <c r="AG349">
        <f>IFERROR(--INDEX('Loans'!$L:$L,ROW()),0)</f>
        <v/>
      </c>
      <c r="AH349">
        <f>IF(ISNUMBER(INDEX('Loans'!$G:$G,ROW())),1,0)</f>
        <v/>
      </c>
    </row>
    <row r="350">
      <c r="A350">
        <f>TRIM(SUBSTITUTE(INDEX('Term investments'!$A:$A,ROW())&amp;""," "," "))</f>
        <v/>
      </c>
      <c r="B350">
        <f>TRIM(SUBSTITUTE(INDEX('Term investments'!$B:$B,ROW())&amp;""," "," "))</f>
        <v/>
      </c>
      <c r="C350">
        <f>TRIM(SUBSTITUTE(INDEX('Term investments'!$C:$C,ROW())&amp;""," "," "))</f>
        <v/>
      </c>
      <c r="D350">
        <f>IFERROR(--INDEX('Term investments'!$D:$D,ROW()),0)</f>
        <v/>
      </c>
      <c r="E350">
        <f>IFERROR(--INDEX('Term investments'!$E:$E,ROW()),0)</f>
        <v/>
      </c>
      <c r="F350">
        <f>IFERROR(--INDEX('Term investments'!$F:$F,ROW()),0)</f>
        <v/>
      </c>
      <c r="G350">
        <f>IFERROR(IF(--INDEX('Term investments'!$G:$G,ROW())&gt;=1,--INDEX('Term investments'!$G:$G,ROW())/100,--INDEX('Term investments'!$G:$G,ROW())),0)</f>
        <v/>
      </c>
      <c r="H350">
        <f>IFERROR(--INDEX('Term investments'!$H:$H,ROW()),0)</f>
        <v/>
      </c>
      <c r="I350">
        <f>IF(ISNUMBER(INDEX('Term investments'!$G:$G,ROW())),1,0)</f>
        <v/>
      </c>
      <c r="J350">
        <f>TRIM(SUBSTITUTE(INDEX('Call accounts and MMFs'!$A:$A,ROW())&amp;""," "," "))</f>
        <v/>
      </c>
      <c r="K350">
        <f>TRIM(SUBSTITUTE(INDEX('Call accounts and MMFs'!$B:$B,ROW())&amp;""," "," "))</f>
        <v/>
      </c>
      <c r="L350">
        <f>TRIM(SUBSTITUTE(INDEX('Call accounts and MMFs'!$C:$C,ROW())&amp;""," "," "))</f>
        <v/>
      </c>
      <c r="M350">
        <f>IFERROR(--INDEX('Call accounts and MMFs'!$D:$D,ROW()),0)</f>
        <v/>
      </c>
      <c r="N350">
        <f>IFERROR(IF(--INDEX('Call accounts and MMFs'!$E:$E,ROW())&gt;=1,--INDEX('Call accounts and MMFs'!$E:$E,ROW())/100,--INDEX('Call accounts and MMFs'!$E:$E,ROW())),0)</f>
        <v/>
      </c>
      <c r="O350">
        <f>IFERROR(--INDEX('Call accounts and MMFs'!$F:$F,ROW()),0)</f>
        <v/>
      </c>
      <c r="P350">
        <f>IF(ISNUMBER(INDEX('Call accounts and MMFs'!$E:$E,ROW())),1,0)</f>
        <v/>
      </c>
      <c r="Q350">
        <f>TRIM(SUBSTITUTE(INDEX('Pooled funds'!$B:$B,ROW())&amp;""," "," "))</f>
        <v/>
      </c>
      <c r="R350">
        <f>IFERROR(--INDEX('Pooled funds'!$C:$C,ROW()),0)</f>
        <v/>
      </c>
      <c r="S350">
        <f>IFERROR(--INDEX('Pooled funds'!$D:$D,ROW()),0)</f>
        <v/>
      </c>
      <c r="T350">
        <f>IFERROR(IF(--INDEX('Pooled funds'!$E:$E,ROW())&gt;=1,--INDEX('Pooled funds'!$E:$E,ROW())/100,--INDEX('Pooled funds'!$E:$E,ROW())),0)</f>
        <v/>
      </c>
      <c r="U350">
        <f>IF(ISNUMBER(INDEX('Pooled funds'!$E:$E,ROW())),1,0)</f>
        <v/>
      </c>
      <c r="V350">
        <f>TRIM(SUBSTITUTE(INDEX('Loans'!$A:$A,ROW())&amp;""," "," "))</f>
        <v/>
      </c>
      <c r="W350">
        <f>TRIM(SUBSTITUTE(INDEX('Loans'!$B:$B,ROW())&amp;""," "," "))</f>
        <v/>
      </c>
      <c r="X350">
        <f>TRIM(SUBSTITUTE(INDEX('Loans'!$C:$C,ROW())&amp;""," "," "))</f>
        <v/>
      </c>
      <c r="Y350">
        <f>IFERROR(--INDEX('Loans'!$D:$D,ROW()),0)</f>
        <v/>
      </c>
      <c r="Z350">
        <f>IFERROR(--INDEX('Loans'!$E:$E,ROW()),0)</f>
        <v/>
      </c>
      <c r="AA350">
        <f>IFERROR(--INDEX('Loans'!$F:$F,ROW()),0)</f>
        <v/>
      </c>
      <c r="AB350">
        <f>IFERROR(IF(--INDEX('Loans'!$G:$G,ROW())&gt;=1,--INDEX('Loans'!$G:$G,ROW())/100,--INDEX('Loans'!$G:$G,ROW())),0)</f>
        <v/>
      </c>
      <c r="AC350">
        <f>TRIM(SUBSTITUTE(INDEX('Loans'!$H:$H,ROW())&amp;""," "," "))</f>
        <v/>
      </c>
      <c r="AD350">
        <f>TRIM(SUBSTITUTE(INDEX('Loans'!$I:$I,ROW())&amp;""," "," "))</f>
        <v/>
      </c>
      <c r="AE350">
        <f>IFERROR(--INDEX('Loans'!$J:$J,ROW()),0)</f>
        <v/>
      </c>
      <c r="AF350">
        <f>TRIM(SUBSTITUTE(INDEX('Loans'!$K:$K,ROW())&amp;""," "," "))</f>
        <v/>
      </c>
      <c r="AG350">
        <f>IFERROR(--INDEX('Loans'!$L:$L,ROW()),0)</f>
        <v/>
      </c>
      <c r="AH350">
        <f>IF(ISNUMBER(INDEX('Loans'!$G:$G,ROW())),1,0)</f>
        <v/>
      </c>
    </row>
    <row r="351">
      <c r="A351">
        <f>TRIM(SUBSTITUTE(INDEX('Term investments'!$A:$A,ROW())&amp;""," "," "))</f>
        <v/>
      </c>
      <c r="B351">
        <f>TRIM(SUBSTITUTE(INDEX('Term investments'!$B:$B,ROW())&amp;""," "," "))</f>
        <v/>
      </c>
      <c r="C351">
        <f>TRIM(SUBSTITUTE(INDEX('Term investments'!$C:$C,ROW())&amp;""," "," "))</f>
        <v/>
      </c>
      <c r="D351">
        <f>IFERROR(--INDEX('Term investments'!$D:$D,ROW()),0)</f>
        <v/>
      </c>
      <c r="E351">
        <f>IFERROR(--INDEX('Term investments'!$E:$E,ROW()),0)</f>
        <v/>
      </c>
      <c r="F351">
        <f>IFERROR(--INDEX('Term investments'!$F:$F,ROW()),0)</f>
        <v/>
      </c>
      <c r="G351">
        <f>IFERROR(IF(--INDEX('Term investments'!$G:$G,ROW())&gt;=1,--INDEX('Term investments'!$G:$G,ROW())/100,--INDEX('Term investments'!$G:$G,ROW())),0)</f>
        <v/>
      </c>
      <c r="H351">
        <f>IFERROR(--INDEX('Term investments'!$H:$H,ROW()),0)</f>
        <v/>
      </c>
      <c r="I351">
        <f>IF(ISNUMBER(INDEX('Term investments'!$G:$G,ROW())),1,0)</f>
        <v/>
      </c>
      <c r="J351">
        <f>TRIM(SUBSTITUTE(INDEX('Call accounts and MMFs'!$A:$A,ROW())&amp;""," "," "))</f>
        <v/>
      </c>
      <c r="K351">
        <f>TRIM(SUBSTITUTE(INDEX('Call accounts and MMFs'!$B:$B,ROW())&amp;""," "," "))</f>
        <v/>
      </c>
      <c r="L351">
        <f>TRIM(SUBSTITUTE(INDEX('Call accounts and MMFs'!$C:$C,ROW())&amp;""," "," "))</f>
        <v/>
      </c>
      <c r="M351">
        <f>IFERROR(--INDEX('Call accounts and MMFs'!$D:$D,ROW()),0)</f>
        <v/>
      </c>
      <c r="N351">
        <f>IFERROR(IF(--INDEX('Call accounts and MMFs'!$E:$E,ROW())&gt;=1,--INDEX('Call accounts and MMFs'!$E:$E,ROW())/100,--INDEX('Call accounts and MMFs'!$E:$E,ROW())),0)</f>
        <v/>
      </c>
      <c r="O351">
        <f>IFERROR(--INDEX('Call accounts and MMFs'!$F:$F,ROW()),0)</f>
        <v/>
      </c>
      <c r="P351">
        <f>IF(ISNUMBER(INDEX('Call accounts and MMFs'!$E:$E,ROW())),1,0)</f>
        <v/>
      </c>
      <c r="Q351">
        <f>TRIM(SUBSTITUTE(INDEX('Pooled funds'!$B:$B,ROW())&amp;""," "," "))</f>
        <v/>
      </c>
      <c r="R351">
        <f>IFERROR(--INDEX('Pooled funds'!$C:$C,ROW()),0)</f>
        <v/>
      </c>
      <c r="S351">
        <f>IFERROR(--INDEX('Pooled funds'!$D:$D,ROW()),0)</f>
        <v/>
      </c>
      <c r="T351">
        <f>IFERROR(IF(--INDEX('Pooled funds'!$E:$E,ROW())&gt;=1,--INDEX('Pooled funds'!$E:$E,ROW())/100,--INDEX('Pooled funds'!$E:$E,ROW())),0)</f>
        <v/>
      </c>
      <c r="U351">
        <f>IF(ISNUMBER(INDEX('Pooled funds'!$E:$E,ROW())),1,0)</f>
        <v/>
      </c>
      <c r="V351">
        <f>TRIM(SUBSTITUTE(INDEX('Loans'!$A:$A,ROW())&amp;""," "," "))</f>
        <v/>
      </c>
      <c r="W351">
        <f>TRIM(SUBSTITUTE(INDEX('Loans'!$B:$B,ROW())&amp;""," "," "))</f>
        <v/>
      </c>
      <c r="X351">
        <f>TRIM(SUBSTITUTE(INDEX('Loans'!$C:$C,ROW())&amp;""," "," "))</f>
        <v/>
      </c>
      <c r="Y351">
        <f>IFERROR(--INDEX('Loans'!$D:$D,ROW()),0)</f>
        <v/>
      </c>
      <c r="Z351">
        <f>IFERROR(--INDEX('Loans'!$E:$E,ROW()),0)</f>
        <v/>
      </c>
      <c r="AA351">
        <f>IFERROR(--INDEX('Loans'!$F:$F,ROW()),0)</f>
        <v/>
      </c>
      <c r="AB351">
        <f>IFERROR(IF(--INDEX('Loans'!$G:$G,ROW())&gt;=1,--INDEX('Loans'!$G:$G,ROW())/100,--INDEX('Loans'!$G:$G,ROW())),0)</f>
        <v/>
      </c>
      <c r="AC351">
        <f>TRIM(SUBSTITUTE(INDEX('Loans'!$H:$H,ROW())&amp;""," "," "))</f>
        <v/>
      </c>
      <c r="AD351">
        <f>TRIM(SUBSTITUTE(INDEX('Loans'!$I:$I,ROW())&amp;""," "," "))</f>
        <v/>
      </c>
      <c r="AE351">
        <f>IFERROR(--INDEX('Loans'!$J:$J,ROW()),0)</f>
        <v/>
      </c>
      <c r="AF351">
        <f>TRIM(SUBSTITUTE(INDEX('Loans'!$K:$K,ROW())&amp;""," "," "))</f>
        <v/>
      </c>
      <c r="AG351">
        <f>IFERROR(--INDEX('Loans'!$L:$L,ROW()),0)</f>
        <v/>
      </c>
      <c r="AH351">
        <f>IF(ISNUMBER(INDEX('Loans'!$G:$G,ROW())),1,0)</f>
        <v/>
      </c>
    </row>
    <row r="352">
      <c r="A352">
        <f>TRIM(SUBSTITUTE(INDEX('Term investments'!$A:$A,ROW())&amp;""," "," "))</f>
        <v/>
      </c>
      <c r="B352">
        <f>TRIM(SUBSTITUTE(INDEX('Term investments'!$B:$B,ROW())&amp;""," "," "))</f>
        <v/>
      </c>
      <c r="C352">
        <f>TRIM(SUBSTITUTE(INDEX('Term investments'!$C:$C,ROW())&amp;""," "," "))</f>
        <v/>
      </c>
      <c r="D352">
        <f>IFERROR(--INDEX('Term investments'!$D:$D,ROW()),0)</f>
        <v/>
      </c>
      <c r="E352">
        <f>IFERROR(--INDEX('Term investments'!$E:$E,ROW()),0)</f>
        <v/>
      </c>
      <c r="F352">
        <f>IFERROR(--INDEX('Term investments'!$F:$F,ROW()),0)</f>
        <v/>
      </c>
      <c r="G352">
        <f>IFERROR(IF(--INDEX('Term investments'!$G:$G,ROW())&gt;=1,--INDEX('Term investments'!$G:$G,ROW())/100,--INDEX('Term investments'!$G:$G,ROW())),0)</f>
        <v/>
      </c>
      <c r="H352">
        <f>IFERROR(--INDEX('Term investments'!$H:$H,ROW()),0)</f>
        <v/>
      </c>
      <c r="I352">
        <f>IF(ISNUMBER(INDEX('Term investments'!$G:$G,ROW())),1,0)</f>
        <v/>
      </c>
      <c r="J352">
        <f>TRIM(SUBSTITUTE(INDEX('Call accounts and MMFs'!$A:$A,ROW())&amp;""," "," "))</f>
        <v/>
      </c>
      <c r="K352">
        <f>TRIM(SUBSTITUTE(INDEX('Call accounts and MMFs'!$B:$B,ROW())&amp;""," "," "))</f>
        <v/>
      </c>
      <c r="L352">
        <f>TRIM(SUBSTITUTE(INDEX('Call accounts and MMFs'!$C:$C,ROW())&amp;""," "," "))</f>
        <v/>
      </c>
      <c r="M352">
        <f>IFERROR(--INDEX('Call accounts and MMFs'!$D:$D,ROW()),0)</f>
        <v/>
      </c>
      <c r="N352">
        <f>IFERROR(IF(--INDEX('Call accounts and MMFs'!$E:$E,ROW())&gt;=1,--INDEX('Call accounts and MMFs'!$E:$E,ROW())/100,--INDEX('Call accounts and MMFs'!$E:$E,ROW())),0)</f>
        <v/>
      </c>
      <c r="O352">
        <f>IFERROR(--INDEX('Call accounts and MMFs'!$F:$F,ROW()),0)</f>
        <v/>
      </c>
      <c r="P352">
        <f>IF(ISNUMBER(INDEX('Call accounts and MMFs'!$E:$E,ROW())),1,0)</f>
        <v/>
      </c>
      <c r="Q352">
        <f>TRIM(SUBSTITUTE(INDEX('Pooled funds'!$B:$B,ROW())&amp;""," "," "))</f>
        <v/>
      </c>
      <c r="R352">
        <f>IFERROR(--INDEX('Pooled funds'!$C:$C,ROW()),0)</f>
        <v/>
      </c>
      <c r="S352">
        <f>IFERROR(--INDEX('Pooled funds'!$D:$D,ROW()),0)</f>
        <v/>
      </c>
      <c r="T352">
        <f>IFERROR(IF(--INDEX('Pooled funds'!$E:$E,ROW())&gt;=1,--INDEX('Pooled funds'!$E:$E,ROW())/100,--INDEX('Pooled funds'!$E:$E,ROW())),0)</f>
        <v/>
      </c>
      <c r="U352">
        <f>IF(ISNUMBER(INDEX('Pooled funds'!$E:$E,ROW())),1,0)</f>
        <v/>
      </c>
      <c r="V352">
        <f>TRIM(SUBSTITUTE(INDEX('Loans'!$A:$A,ROW())&amp;""," "," "))</f>
        <v/>
      </c>
      <c r="W352">
        <f>TRIM(SUBSTITUTE(INDEX('Loans'!$B:$B,ROW())&amp;""," "," "))</f>
        <v/>
      </c>
      <c r="X352">
        <f>TRIM(SUBSTITUTE(INDEX('Loans'!$C:$C,ROW())&amp;""," "," "))</f>
        <v/>
      </c>
      <c r="Y352">
        <f>IFERROR(--INDEX('Loans'!$D:$D,ROW()),0)</f>
        <v/>
      </c>
      <c r="Z352">
        <f>IFERROR(--INDEX('Loans'!$E:$E,ROW()),0)</f>
        <v/>
      </c>
      <c r="AA352">
        <f>IFERROR(--INDEX('Loans'!$F:$F,ROW()),0)</f>
        <v/>
      </c>
      <c r="AB352">
        <f>IFERROR(IF(--INDEX('Loans'!$G:$G,ROW())&gt;=1,--INDEX('Loans'!$G:$G,ROW())/100,--INDEX('Loans'!$G:$G,ROW())),0)</f>
        <v/>
      </c>
      <c r="AC352">
        <f>TRIM(SUBSTITUTE(INDEX('Loans'!$H:$H,ROW())&amp;""," "," "))</f>
        <v/>
      </c>
      <c r="AD352">
        <f>TRIM(SUBSTITUTE(INDEX('Loans'!$I:$I,ROW())&amp;""," "," "))</f>
        <v/>
      </c>
      <c r="AE352">
        <f>IFERROR(--INDEX('Loans'!$J:$J,ROW()),0)</f>
        <v/>
      </c>
      <c r="AF352">
        <f>TRIM(SUBSTITUTE(INDEX('Loans'!$K:$K,ROW())&amp;""," "," "))</f>
        <v/>
      </c>
      <c r="AG352">
        <f>IFERROR(--INDEX('Loans'!$L:$L,ROW()),0)</f>
        <v/>
      </c>
      <c r="AH352">
        <f>IF(ISNUMBER(INDEX('Loans'!$G:$G,ROW())),1,0)</f>
        <v/>
      </c>
    </row>
    <row r="353">
      <c r="A353">
        <f>TRIM(SUBSTITUTE(INDEX('Term investments'!$A:$A,ROW())&amp;""," "," "))</f>
        <v/>
      </c>
      <c r="B353">
        <f>TRIM(SUBSTITUTE(INDEX('Term investments'!$B:$B,ROW())&amp;""," "," "))</f>
        <v/>
      </c>
      <c r="C353">
        <f>TRIM(SUBSTITUTE(INDEX('Term investments'!$C:$C,ROW())&amp;""," "," "))</f>
        <v/>
      </c>
      <c r="D353">
        <f>IFERROR(--INDEX('Term investments'!$D:$D,ROW()),0)</f>
        <v/>
      </c>
      <c r="E353">
        <f>IFERROR(--INDEX('Term investments'!$E:$E,ROW()),0)</f>
        <v/>
      </c>
      <c r="F353">
        <f>IFERROR(--INDEX('Term investments'!$F:$F,ROW()),0)</f>
        <v/>
      </c>
      <c r="G353">
        <f>IFERROR(IF(--INDEX('Term investments'!$G:$G,ROW())&gt;=1,--INDEX('Term investments'!$G:$G,ROW())/100,--INDEX('Term investments'!$G:$G,ROW())),0)</f>
        <v/>
      </c>
      <c r="H353">
        <f>IFERROR(--INDEX('Term investments'!$H:$H,ROW()),0)</f>
        <v/>
      </c>
      <c r="I353">
        <f>IF(ISNUMBER(INDEX('Term investments'!$G:$G,ROW())),1,0)</f>
        <v/>
      </c>
      <c r="J353">
        <f>TRIM(SUBSTITUTE(INDEX('Call accounts and MMFs'!$A:$A,ROW())&amp;""," "," "))</f>
        <v/>
      </c>
      <c r="K353">
        <f>TRIM(SUBSTITUTE(INDEX('Call accounts and MMFs'!$B:$B,ROW())&amp;""," "," "))</f>
        <v/>
      </c>
      <c r="L353">
        <f>TRIM(SUBSTITUTE(INDEX('Call accounts and MMFs'!$C:$C,ROW())&amp;""," "," "))</f>
        <v/>
      </c>
      <c r="M353">
        <f>IFERROR(--INDEX('Call accounts and MMFs'!$D:$D,ROW()),0)</f>
        <v/>
      </c>
      <c r="N353">
        <f>IFERROR(IF(--INDEX('Call accounts and MMFs'!$E:$E,ROW())&gt;=1,--INDEX('Call accounts and MMFs'!$E:$E,ROW())/100,--INDEX('Call accounts and MMFs'!$E:$E,ROW())),0)</f>
        <v/>
      </c>
      <c r="O353">
        <f>IFERROR(--INDEX('Call accounts and MMFs'!$F:$F,ROW()),0)</f>
        <v/>
      </c>
      <c r="P353">
        <f>IF(ISNUMBER(INDEX('Call accounts and MMFs'!$E:$E,ROW())),1,0)</f>
        <v/>
      </c>
      <c r="Q353">
        <f>TRIM(SUBSTITUTE(INDEX('Pooled funds'!$B:$B,ROW())&amp;""," "," "))</f>
        <v/>
      </c>
      <c r="R353">
        <f>IFERROR(--INDEX('Pooled funds'!$C:$C,ROW()),0)</f>
        <v/>
      </c>
      <c r="S353">
        <f>IFERROR(--INDEX('Pooled funds'!$D:$D,ROW()),0)</f>
        <v/>
      </c>
      <c r="T353">
        <f>IFERROR(IF(--INDEX('Pooled funds'!$E:$E,ROW())&gt;=1,--INDEX('Pooled funds'!$E:$E,ROW())/100,--INDEX('Pooled funds'!$E:$E,ROW())),0)</f>
        <v/>
      </c>
      <c r="U353">
        <f>IF(ISNUMBER(INDEX('Pooled funds'!$E:$E,ROW())),1,0)</f>
        <v/>
      </c>
      <c r="V353">
        <f>TRIM(SUBSTITUTE(INDEX('Loans'!$A:$A,ROW())&amp;""," "," "))</f>
        <v/>
      </c>
      <c r="W353">
        <f>TRIM(SUBSTITUTE(INDEX('Loans'!$B:$B,ROW())&amp;""," "," "))</f>
        <v/>
      </c>
      <c r="X353">
        <f>TRIM(SUBSTITUTE(INDEX('Loans'!$C:$C,ROW())&amp;""," "," "))</f>
        <v/>
      </c>
      <c r="Y353">
        <f>IFERROR(--INDEX('Loans'!$D:$D,ROW()),0)</f>
        <v/>
      </c>
      <c r="Z353">
        <f>IFERROR(--INDEX('Loans'!$E:$E,ROW()),0)</f>
        <v/>
      </c>
      <c r="AA353">
        <f>IFERROR(--INDEX('Loans'!$F:$F,ROW()),0)</f>
        <v/>
      </c>
      <c r="AB353">
        <f>IFERROR(IF(--INDEX('Loans'!$G:$G,ROW())&gt;=1,--INDEX('Loans'!$G:$G,ROW())/100,--INDEX('Loans'!$G:$G,ROW())),0)</f>
        <v/>
      </c>
      <c r="AC353">
        <f>TRIM(SUBSTITUTE(INDEX('Loans'!$H:$H,ROW())&amp;""," "," "))</f>
        <v/>
      </c>
      <c r="AD353">
        <f>TRIM(SUBSTITUTE(INDEX('Loans'!$I:$I,ROW())&amp;""," "," "))</f>
        <v/>
      </c>
      <c r="AE353">
        <f>IFERROR(--INDEX('Loans'!$J:$J,ROW()),0)</f>
        <v/>
      </c>
      <c r="AF353">
        <f>TRIM(SUBSTITUTE(INDEX('Loans'!$K:$K,ROW())&amp;""," "," "))</f>
        <v/>
      </c>
      <c r="AG353">
        <f>IFERROR(--INDEX('Loans'!$L:$L,ROW()),0)</f>
        <v/>
      </c>
      <c r="AH353">
        <f>IF(ISNUMBER(INDEX('Loans'!$G:$G,ROW())),1,0)</f>
        <v/>
      </c>
    </row>
    <row r="354">
      <c r="A354">
        <f>TRIM(SUBSTITUTE(INDEX('Term investments'!$A:$A,ROW())&amp;""," "," "))</f>
        <v/>
      </c>
      <c r="B354">
        <f>TRIM(SUBSTITUTE(INDEX('Term investments'!$B:$B,ROW())&amp;""," "," "))</f>
        <v/>
      </c>
      <c r="C354">
        <f>TRIM(SUBSTITUTE(INDEX('Term investments'!$C:$C,ROW())&amp;""," "," "))</f>
        <v/>
      </c>
      <c r="D354">
        <f>IFERROR(--INDEX('Term investments'!$D:$D,ROW()),0)</f>
        <v/>
      </c>
      <c r="E354">
        <f>IFERROR(--INDEX('Term investments'!$E:$E,ROW()),0)</f>
        <v/>
      </c>
      <c r="F354">
        <f>IFERROR(--INDEX('Term investments'!$F:$F,ROW()),0)</f>
        <v/>
      </c>
      <c r="G354">
        <f>IFERROR(IF(--INDEX('Term investments'!$G:$G,ROW())&gt;=1,--INDEX('Term investments'!$G:$G,ROW())/100,--INDEX('Term investments'!$G:$G,ROW())),0)</f>
        <v/>
      </c>
      <c r="H354">
        <f>IFERROR(--INDEX('Term investments'!$H:$H,ROW()),0)</f>
        <v/>
      </c>
      <c r="I354">
        <f>IF(ISNUMBER(INDEX('Term investments'!$G:$G,ROW())),1,0)</f>
        <v/>
      </c>
      <c r="J354">
        <f>TRIM(SUBSTITUTE(INDEX('Call accounts and MMFs'!$A:$A,ROW())&amp;""," "," "))</f>
        <v/>
      </c>
      <c r="K354">
        <f>TRIM(SUBSTITUTE(INDEX('Call accounts and MMFs'!$B:$B,ROW())&amp;""," "," "))</f>
        <v/>
      </c>
      <c r="L354">
        <f>TRIM(SUBSTITUTE(INDEX('Call accounts and MMFs'!$C:$C,ROW())&amp;""," "," "))</f>
        <v/>
      </c>
      <c r="M354">
        <f>IFERROR(--INDEX('Call accounts and MMFs'!$D:$D,ROW()),0)</f>
        <v/>
      </c>
      <c r="N354">
        <f>IFERROR(IF(--INDEX('Call accounts and MMFs'!$E:$E,ROW())&gt;=1,--INDEX('Call accounts and MMFs'!$E:$E,ROW())/100,--INDEX('Call accounts and MMFs'!$E:$E,ROW())),0)</f>
        <v/>
      </c>
      <c r="O354">
        <f>IFERROR(--INDEX('Call accounts and MMFs'!$F:$F,ROW()),0)</f>
        <v/>
      </c>
      <c r="P354">
        <f>IF(ISNUMBER(INDEX('Call accounts and MMFs'!$E:$E,ROW())),1,0)</f>
        <v/>
      </c>
      <c r="Q354">
        <f>TRIM(SUBSTITUTE(INDEX('Pooled funds'!$B:$B,ROW())&amp;""," "," "))</f>
        <v/>
      </c>
      <c r="R354">
        <f>IFERROR(--INDEX('Pooled funds'!$C:$C,ROW()),0)</f>
        <v/>
      </c>
      <c r="S354">
        <f>IFERROR(--INDEX('Pooled funds'!$D:$D,ROW()),0)</f>
        <v/>
      </c>
      <c r="T354">
        <f>IFERROR(IF(--INDEX('Pooled funds'!$E:$E,ROW())&gt;=1,--INDEX('Pooled funds'!$E:$E,ROW())/100,--INDEX('Pooled funds'!$E:$E,ROW())),0)</f>
        <v/>
      </c>
      <c r="U354">
        <f>IF(ISNUMBER(INDEX('Pooled funds'!$E:$E,ROW())),1,0)</f>
        <v/>
      </c>
      <c r="V354">
        <f>TRIM(SUBSTITUTE(INDEX('Loans'!$A:$A,ROW())&amp;""," "," "))</f>
        <v/>
      </c>
      <c r="W354">
        <f>TRIM(SUBSTITUTE(INDEX('Loans'!$B:$B,ROW())&amp;""," "," "))</f>
        <v/>
      </c>
      <c r="X354">
        <f>TRIM(SUBSTITUTE(INDEX('Loans'!$C:$C,ROW())&amp;""," "," "))</f>
        <v/>
      </c>
      <c r="Y354">
        <f>IFERROR(--INDEX('Loans'!$D:$D,ROW()),0)</f>
        <v/>
      </c>
      <c r="Z354">
        <f>IFERROR(--INDEX('Loans'!$E:$E,ROW()),0)</f>
        <v/>
      </c>
      <c r="AA354">
        <f>IFERROR(--INDEX('Loans'!$F:$F,ROW()),0)</f>
        <v/>
      </c>
      <c r="AB354">
        <f>IFERROR(IF(--INDEX('Loans'!$G:$G,ROW())&gt;=1,--INDEX('Loans'!$G:$G,ROW())/100,--INDEX('Loans'!$G:$G,ROW())),0)</f>
        <v/>
      </c>
      <c r="AC354">
        <f>TRIM(SUBSTITUTE(INDEX('Loans'!$H:$H,ROW())&amp;""," "," "))</f>
        <v/>
      </c>
      <c r="AD354">
        <f>TRIM(SUBSTITUTE(INDEX('Loans'!$I:$I,ROW())&amp;""," "," "))</f>
        <v/>
      </c>
      <c r="AE354">
        <f>IFERROR(--INDEX('Loans'!$J:$J,ROW()),0)</f>
        <v/>
      </c>
      <c r="AF354">
        <f>TRIM(SUBSTITUTE(INDEX('Loans'!$K:$K,ROW())&amp;""," "," "))</f>
        <v/>
      </c>
      <c r="AG354">
        <f>IFERROR(--INDEX('Loans'!$L:$L,ROW()),0)</f>
        <v/>
      </c>
      <c r="AH354">
        <f>IF(ISNUMBER(INDEX('Loans'!$G:$G,ROW())),1,0)</f>
        <v/>
      </c>
    </row>
    <row r="355">
      <c r="A355">
        <f>TRIM(SUBSTITUTE(INDEX('Term investments'!$A:$A,ROW())&amp;""," "," "))</f>
        <v/>
      </c>
      <c r="B355">
        <f>TRIM(SUBSTITUTE(INDEX('Term investments'!$B:$B,ROW())&amp;""," "," "))</f>
        <v/>
      </c>
      <c r="C355">
        <f>TRIM(SUBSTITUTE(INDEX('Term investments'!$C:$C,ROW())&amp;""," "," "))</f>
        <v/>
      </c>
      <c r="D355">
        <f>IFERROR(--INDEX('Term investments'!$D:$D,ROW()),0)</f>
        <v/>
      </c>
      <c r="E355">
        <f>IFERROR(--INDEX('Term investments'!$E:$E,ROW()),0)</f>
        <v/>
      </c>
      <c r="F355">
        <f>IFERROR(--INDEX('Term investments'!$F:$F,ROW()),0)</f>
        <v/>
      </c>
      <c r="G355">
        <f>IFERROR(IF(--INDEX('Term investments'!$G:$G,ROW())&gt;=1,--INDEX('Term investments'!$G:$G,ROW())/100,--INDEX('Term investments'!$G:$G,ROW())),0)</f>
        <v/>
      </c>
      <c r="H355">
        <f>IFERROR(--INDEX('Term investments'!$H:$H,ROW()),0)</f>
        <v/>
      </c>
      <c r="I355">
        <f>IF(ISNUMBER(INDEX('Term investments'!$G:$G,ROW())),1,0)</f>
        <v/>
      </c>
      <c r="J355">
        <f>TRIM(SUBSTITUTE(INDEX('Call accounts and MMFs'!$A:$A,ROW())&amp;""," "," "))</f>
        <v/>
      </c>
      <c r="K355">
        <f>TRIM(SUBSTITUTE(INDEX('Call accounts and MMFs'!$B:$B,ROW())&amp;""," "," "))</f>
        <v/>
      </c>
      <c r="L355">
        <f>TRIM(SUBSTITUTE(INDEX('Call accounts and MMFs'!$C:$C,ROW())&amp;""," "," "))</f>
        <v/>
      </c>
      <c r="M355">
        <f>IFERROR(--INDEX('Call accounts and MMFs'!$D:$D,ROW()),0)</f>
        <v/>
      </c>
      <c r="N355">
        <f>IFERROR(IF(--INDEX('Call accounts and MMFs'!$E:$E,ROW())&gt;=1,--INDEX('Call accounts and MMFs'!$E:$E,ROW())/100,--INDEX('Call accounts and MMFs'!$E:$E,ROW())),0)</f>
        <v/>
      </c>
      <c r="O355">
        <f>IFERROR(--INDEX('Call accounts and MMFs'!$F:$F,ROW()),0)</f>
        <v/>
      </c>
      <c r="P355">
        <f>IF(ISNUMBER(INDEX('Call accounts and MMFs'!$E:$E,ROW())),1,0)</f>
        <v/>
      </c>
      <c r="Q355">
        <f>TRIM(SUBSTITUTE(INDEX('Pooled funds'!$B:$B,ROW())&amp;""," "," "))</f>
        <v/>
      </c>
      <c r="R355">
        <f>IFERROR(--INDEX('Pooled funds'!$C:$C,ROW()),0)</f>
        <v/>
      </c>
      <c r="S355">
        <f>IFERROR(--INDEX('Pooled funds'!$D:$D,ROW()),0)</f>
        <v/>
      </c>
      <c r="T355">
        <f>IFERROR(IF(--INDEX('Pooled funds'!$E:$E,ROW())&gt;=1,--INDEX('Pooled funds'!$E:$E,ROW())/100,--INDEX('Pooled funds'!$E:$E,ROW())),0)</f>
        <v/>
      </c>
      <c r="U355">
        <f>IF(ISNUMBER(INDEX('Pooled funds'!$E:$E,ROW())),1,0)</f>
        <v/>
      </c>
      <c r="V355">
        <f>TRIM(SUBSTITUTE(INDEX('Loans'!$A:$A,ROW())&amp;""," "," "))</f>
        <v/>
      </c>
      <c r="W355">
        <f>TRIM(SUBSTITUTE(INDEX('Loans'!$B:$B,ROW())&amp;""," "," "))</f>
        <v/>
      </c>
      <c r="X355">
        <f>TRIM(SUBSTITUTE(INDEX('Loans'!$C:$C,ROW())&amp;""," "," "))</f>
        <v/>
      </c>
      <c r="Y355">
        <f>IFERROR(--INDEX('Loans'!$D:$D,ROW()),0)</f>
        <v/>
      </c>
      <c r="Z355">
        <f>IFERROR(--INDEX('Loans'!$E:$E,ROW()),0)</f>
        <v/>
      </c>
      <c r="AA355">
        <f>IFERROR(--INDEX('Loans'!$F:$F,ROW()),0)</f>
        <v/>
      </c>
      <c r="AB355">
        <f>IFERROR(IF(--INDEX('Loans'!$G:$G,ROW())&gt;=1,--INDEX('Loans'!$G:$G,ROW())/100,--INDEX('Loans'!$G:$G,ROW())),0)</f>
        <v/>
      </c>
      <c r="AC355">
        <f>TRIM(SUBSTITUTE(INDEX('Loans'!$H:$H,ROW())&amp;""," "," "))</f>
        <v/>
      </c>
      <c r="AD355">
        <f>TRIM(SUBSTITUTE(INDEX('Loans'!$I:$I,ROW())&amp;""," "," "))</f>
        <v/>
      </c>
      <c r="AE355">
        <f>IFERROR(--INDEX('Loans'!$J:$J,ROW()),0)</f>
        <v/>
      </c>
      <c r="AF355">
        <f>TRIM(SUBSTITUTE(INDEX('Loans'!$K:$K,ROW())&amp;""," "," "))</f>
        <v/>
      </c>
      <c r="AG355">
        <f>IFERROR(--INDEX('Loans'!$L:$L,ROW()),0)</f>
        <v/>
      </c>
      <c r="AH355">
        <f>IF(ISNUMBER(INDEX('Loans'!$G:$G,ROW())),1,0)</f>
        <v/>
      </c>
    </row>
    <row r="356">
      <c r="A356">
        <f>TRIM(SUBSTITUTE(INDEX('Term investments'!$A:$A,ROW())&amp;""," "," "))</f>
        <v/>
      </c>
      <c r="B356">
        <f>TRIM(SUBSTITUTE(INDEX('Term investments'!$B:$B,ROW())&amp;""," "," "))</f>
        <v/>
      </c>
      <c r="C356">
        <f>TRIM(SUBSTITUTE(INDEX('Term investments'!$C:$C,ROW())&amp;""," "," "))</f>
        <v/>
      </c>
      <c r="D356">
        <f>IFERROR(--INDEX('Term investments'!$D:$D,ROW()),0)</f>
        <v/>
      </c>
      <c r="E356">
        <f>IFERROR(--INDEX('Term investments'!$E:$E,ROW()),0)</f>
        <v/>
      </c>
      <c r="F356">
        <f>IFERROR(--INDEX('Term investments'!$F:$F,ROW()),0)</f>
        <v/>
      </c>
      <c r="G356">
        <f>IFERROR(IF(--INDEX('Term investments'!$G:$G,ROW())&gt;=1,--INDEX('Term investments'!$G:$G,ROW())/100,--INDEX('Term investments'!$G:$G,ROW())),0)</f>
        <v/>
      </c>
      <c r="H356">
        <f>IFERROR(--INDEX('Term investments'!$H:$H,ROW()),0)</f>
        <v/>
      </c>
      <c r="I356">
        <f>IF(ISNUMBER(INDEX('Term investments'!$G:$G,ROW())),1,0)</f>
        <v/>
      </c>
      <c r="J356">
        <f>TRIM(SUBSTITUTE(INDEX('Call accounts and MMFs'!$A:$A,ROW())&amp;""," "," "))</f>
        <v/>
      </c>
      <c r="K356">
        <f>TRIM(SUBSTITUTE(INDEX('Call accounts and MMFs'!$B:$B,ROW())&amp;""," "," "))</f>
        <v/>
      </c>
      <c r="L356">
        <f>TRIM(SUBSTITUTE(INDEX('Call accounts and MMFs'!$C:$C,ROW())&amp;""," "," "))</f>
        <v/>
      </c>
      <c r="M356">
        <f>IFERROR(--INDEX('Call accounts and MMFs'!$D:$D,ROW()),0)</f>
        <v/>
      </c>
      <c r="N356">
        <f>IFERROR(IF(--INDEX('Call accounts and MMFs'!$E:$E,ROW())&gt;=1,--INDEX('Call accounts and MMFs'!$E:$E,ROW())/100,--INDEX('Call accounts and MMFs'!$E:$E,ROW())),0)</f>
        <v/>
      </c>
      <c r="O356">
        <f>IFERROR(--INDEX('Call accounts and MMFs'!$F:$F,ROW()),0)</f>
        <v/>
      </c>
      <c r="P356">
        <f>IF(ISNUMBER(INDEX('Call accounts and MMFs'!$E:$E,ROW())),1,0)</f>
        <v/>
      </c>
      <c r="Q356">
        <f>TRIM(SUBSTITUTE(INDEX('Pooled funds'!$B:$B,ROW())&amp;""," "," "))</f>
        <v/>
      </c>
      <c r="R356">
        <f>IFERROR(--INDEX('Pooled funds'!$C:$C,ROW()),0)</f>
        <v/>
      </c>
      <c r="S356">
        <f>IFERROR(--INDEX('Pooled funds'!$D:$D,ROW()),0)</f>
        <v/>
      </c>
      <c r="T356">
        <f>IFERROR(IF(--INDEX('Pooled funds'!$E:$E,ROW())&gt;=1,--INDEX('Pooled funds'!$E:$E,ROW())/100,--INDEX('Pooled funds'!$E:$E,ROW())),0)</f>
        <v/>
      </c>
      <c r="U356">
        <f>IF(ISNUMBER(INDEX('Pooled funds'!$E:$E,ROW())),1,0)</f>
        <v/>
      </c>
      <c r="V356">
        <f>TRIM(SUBSTITUTE(INDEX('Loans'!$A:$A,ROW())&amp;""," "," "))</f>
        <v/>
      </c>
      <c r="W356">
        <f>TRIM(SUBSTITUTE(INDEX('Loans'!$B:$B,ROW())&amp;""," "," "))</f>
        <v/>
      </c>
      <c r="X356">
        <f>TRIM(SUBSTITUTE(INDEX('Loans'!$C:$C,ROW())&amp;""," "," "))</f>
        <v/>
      </c>
      <c r="Y356">
        <f>IFERROR(--INDEX('Loans'!$D:$D,ROW()),0)</f>
        <v/>
      </c>
      <c r="Z356">
        <f>IFERROR(--INDEX('Loans'!$E:$E,ROW()),0)</f>
        <v/>
      </c>
      <c r="AA356">
        <f>IFERROR(--INDEX('Loans'!$F:$F,ROW()),0)</f>
        <v/>
      </c>
      <c r="AB356">
        <f>IFERROR(IF(--INDEX('Loans'!$G:$G,ROW())&gt;=1,--INDEX('Loans'!$G:$G,ROW())/100,--INDEX('Loans'!$G:$G,ROW())),0)</f>
        <v/>
      </c>
      <c r="AC356">
        <f>TRIM(SUBSTITUTE(INDEX('Loans'!$H:$H,ROW())&amp;""," "," "))</f>
        <v/>
      </c>
      <c r="AD356">
        <f>TRIM(SUBSTITUTE(INDEX('Loans'!$I:$I,ROW())&amp;""," "," "))</f>
        <v/>
      </c>
      <c r="AE356">
        <f>IFERROR(--INDEX('Loans'!$J:$J,ROW()),0)</f>
        <v/>
      </c>
      <c r="AF356">
        <f>TRIM(SUBSTITUTE(INDEX('Loans'!$K:$K,ROW())&amp;""," "," "))</f>
        <v/>
      </c>
      <c r="AG356">
        <f>IFERROR(--INDEX('Loans'!$L:$L,ROW()),0)</f>
        <v/>
      </c>
      <c r="AH356">
        <f>IF(ISNUMBER(INDEX('Loans'!$G:$G,ROW())),1,0)</f>
        <v/>
      </c>
    </row>
    <row r="357">
      <c r="A357">
        <f>TRIM(SUBSTITUTE(INDEX('Term investments'!$A:$A,ROW())&amp;""," "," "))</f>
        <v/>
      </c>
      <c r="B357">
        <f>TRIM(SUBSTITUTE(INDEX('Term investments'!$B:$B,ROW())&amp;""," "," "))</f>
        <v/>
      </c>
      <c r="C357">
        <f>TRIM(SUBSTITUTE(INDEX('Term investments'!$C:$C,ROW())&amp;""," "," "))</f>
        <v/>
      </c>
      <c r="D357">
        <f>IFERROR(--INDEX('Term investments'!$D:$D,ROW()),0)</f>
        <v/>
      </c>
      <c r="E357">
        <f>IFERROR(--INDEX('Term investments'!$E:$E,ROW()),0)</f>
        <v/>
      </c>
      <c r="F357">
        <f>IFERROR(--INDEX('Term investments'!$F:$F,ROW()),0)</f>
        <v/>
      </c>
      <c r="G357">
        <f>IFERROR(IF(--INDEX('Term investments'!$G:$G,ROW())&gt;=1,--INDEX('Term investments'!$G:$G,ROW())/100,--INDEX('Term investments'!$G:$G,ROW())),0)</f>
        <v/>
      </c>
      <c r="H357">
        <f>IFERROR(--INDEX('Term investments'!$H:$H,ROW()),0)</f>
        <v/>
      </c>
      <c r="I357">
        <f>IF(ISNUMBER(INDEX('Term investments'!$G:$G,ROW())),1,0)</f>
        <v/>
      </c>
      <c r="J357">
        <f>TRIM(SUBSTITUTE(INDEX('Call accounts and MMFs'!$A:$A,ROW())&amp;""," "," "))</f>
        <v/>
      </c>
      <c r="K357">
        <f>TRIM(SUBSTITUTE(INDEX('Call accounts and MMFs'!$B:$B,ROW())&amp;""," "," "))</f>
        <v/>
      </c>
      <c r="L357">
        <f>TRIM(SUBSTITUTE(INDEX('Call accounts and MMFs'!$C:$C,ROW())&amp;""," "," "))</f>
        <v/>
      </c>
      <c r="M357">
        <f>IFERROR(--INDEX('Call accounts and MMFs'!$D:$D,ROW()),0)</f>
        <v/>
      </c>
      <c r="N357">
        <f>IFERROR(IF(--INDEX('Call accounts and MMFs'!$E:$E,ROW())&gt;=1,--INDEX('Call accounts and MMFs'!$E:$E,ROW())/100,--INDEX('Call accounts and MMFs'!$E:$E,ROW())),0)</f>
        <v/>
      </c>
      <c r="O357">
        <f>IFERROR(--INDEX('Call accounts and MMFs'!$F:$F,ROW()),0)</f>
        <v/>
      </c>
      <c r="P357">
        <f>IF(ISNUMBER(INDEX('Call accounts and MMFs'!$E:$E,ROW())),1,0)</f>
        <v/>
      </c>
      <c r="Q357">
        <f>TRIM(SUBSTITUTE(INDEX('Pooled funds'!$B:$B,ROW())&amp;""," "," "))</f>
        <v/>
      </c>
      <c r="R357">
        <f>IFERROR(--INDEX('Pooled funds'!$C:$C,ROW()),0)</f>
        <v/>
      </c>
      <c r="S357">
        <f>IFERROR(--INDEX('Pooled funds'!$D:$D,ROW()),0)</f>
        <v/>
      </c>
      <c r="T357">
        <f>IFERROR(IF(--INDEX('Pooled funds'!$E:$E,ROW())&gt;=1,--INDEX('Pooled funds'!$E:$E,ROW())/100,--INDEX('Pooled funds'!$E:$E,ROW())),0)</f>
        <v/>
      </c>
      <c r="U357">
        <f>IF(ISNUMBER(INDEX('Pooled funds'!$E:$E,ROW())),1,0)</f>
        <v/>
      </c>
      <c r="V357">
        <f>TRIM(SUBSTITUTE(INDEX('Loans'!$A:$A,ROW())&amp;""," "," "))</f>
        <v/>
      </c>
      <c r="W357">
        <f>TRIM(SUBSTITUTE(INDEX('Loans'!$B:$B,ROW())&amp;""," "," "))</f>
        <v/>
      </c>
      <c r="X357">
        <f>TRIM(SUBSTITUTE(INDEX('Loans'!$C:$C,ROW())&amp;""," "," "))</f>
        <v/>
      </c>
      <c r="Y357">
        <f>IFERROR(--INDEX('Loans'!$D:$D,ROW()),0)</f>
        <v/>
      </c>
      <c r="Z357">
        <f>IFERROR(--INDEX('Loans'!$E:$E,ROW()),0)</f>
        <v/>
      </c>
      <c r="AA357">
        <f>IFERROR(--INDEX('Loans'!$F:$F,ROW()),0)</f>
        <v/>
      </c>
      <c r="AB357">
        <f>IFERROR(IF(--INDEX('Loans'!$G:$G,ROW())&gt;=1,--INDEX('Loans'!$G:$G,ROW())/100,--INDEX('Loans'!$G:$G,ROW())),0)</f>
        <v/>
      </c>
      <c r="AC357">
        <f>TRIM(SUBSTITUTE(INDEX('Loans'!$H:$H,ROW())&amp;""," "," "))</f>
        <v/>
      </c>
      <c r="AD357">
        <f>TRIM(SUBSTITUTE(INDEX('Loans'!$I:$I,ROW())&amp;""," "," "))</f>
        <v/>
      </c>
      <c r="AE357">
        <f>IFERROR(--INDEX('Loans'!$J:$J,ROW()),0)</f>
        <v/>
      </c>
      <c r="AF357">
        <f>TRIM(SUBSTITUTE(INDEX('Loans'!$K:$K,ROW())&amp;""," "," "))</f>
        <v/>
      </c>
      <c r="AG357">
        <f>IFERROR(--INDEX('Loans'!$L:$L,ROW()),0)</f>
        <v/>
      </c>
      <c r="AH357">
        <f>IF(ISNUMBER(INDEX('Loans'!$G:$G,ROW())),1,0)</f>
        <v/>
      </c>
    </row>
    <row r="358">
      <c r="A358">
        <f>TRIM(SUBSTITUTE(INDEX('Term investments'!$A:$A,ROW())&amp;""," "," "))</f>
        <v/>
      </c>
      <c r="B358">
        <f>TRIM(SUBSTITUTE(INDEX('Term investments'!$B:$B,ROW())&amp;""," "," "))</f>
        <v/>
      </c>
      <c r="C358">
        <f>TRIM(SUBSTITUTE(INDEX('Term investments'!$C:$C,ROW())&amp;""," "," "))</f>
        <v/>
      </c>
      <c r="D358">
        <f>IFERROR(--INDEX('Term investments'!$D:$D,ROW()),0)</f>
        <v/>
      </c>
      <c r="E358">
        <f>IFERROR(--INDEX('Term investments'!$E:$E,ROW()),0)</f>
        <v/>
      </c>
      <c r="F358">
        <f>IFERROR(--INDEX('Term investments'!$F:$F,ROW()),0)</f>
        <v/>
      </c>
      <c r="G358">
        <f>IFERROR(IF(--INDEX('Term investments'!$G:$G,ROW())&gt;=1,--INDEX('Term investments'!$G:$G,ROW())/100,--INDEX('Term investments'!$G:$G,ROW())),0)</f>
        <v/>
      </c>
      <c r="H358">
        <f>IFERROR(--INDEX('Term investments'!$H:$H,ROW()),0)</f>
        <v/>
      </c>
      <c r="I358">
        <f>IF(ISNUMBER(INDEX('Term investments'!$G:$G,ROW())),1,0)</f>
        <v/>
      </c>
      <c r="J358">
        <f>TRIM(SUBSTITUTE(INDEX('Call accounts and MMFs'!$A:$A,ROW())&amp;""," "," "))</f>
        <v/>
      </c>
      <c r="K358">
        <f>TRIM(SUBSTITUTE(INDEX('Call accounts and MMFs'!$B:$B,ROW())&amp;""," "," "))</f>
        <v/>
      </c>
      <c r="L358">
        <f>TRIM(SUBSTITUTE(INDEX('Call accounts and MMFs'!$C:$C,ROW())&amp;""," "," "))</f>
        <v/>
      </c>
      <c r="M358">
        <f>IFERROR(--INDEX('Call accounts and MMFs'!$D:$D,ROW()),0)</f>
        <v/>
      </c>
      <c r="N358">
        <f>IFERROR(IF(--INDEX('Call accounts and MMFs'!$E:$E,ROW())&gt;=1,--INDEX('Call accounts and MMFs'!$E:$E,ROW())/100,--INDEX('Call accounts and MMFs'!$E:$E,ROW())),0)</f>
        <v/>
      </c>
      <c r="O358">
        <f>IFERROR(--INDEX('Call accounts and MMFs'!$F:$F,ROW()),0)</f>
        <v/>
      </c>
      <c r="P358">
        <f>IF(ISNUMBER(INDEX('Call accounts and MMFs'!$E:$E,ROW())),1,0)</f>
        <v/>
      </c>
      <c r="Q358">
        <f>TRIM(SUBSTITUTE(INDEX('Pooled funds'!$B:$B,ROW())&amp;""," "," "))</f>
        <v/>
      </c>
      <c r="R358">
        <f>IFERROR(--INDEX('Pooled funds'!$C:$C,ROW()),0)</f>
        <v/>
      </c>
      <c r="S358">
        <f>IFERROR(--INDEX('Pooled funds'!$D:$D,ROW()),0)</f>
        <v/>
      </c>
      <c r="T358">
        <f>IFERROR(IF(--INDEX('Pooled funds'!$E:$E,ROW())&gt;=1,--INDEX('Pooled funds'!$E:$E,ROW())/100,--INDEX('Pooled funds'!$E:$E,ROW())),0)</f>
        <v/>
      </c>
      <c r="U358">
        <f>IF(ISNUMBER(INDEX('Pooled funds'!$E:$E,ROW())),1,0)</f>
        <v/>
      </c>
      <c r="V358">
        <f>TRIM(SUBSTITUTE(INDEX('Loans'!$A:$A,ROW())&amp;""," "," "))</f>
        <v/>
      </c>
      <c r="W358">
        <f>TRIM(SUBSTITUTE(INDEX('Loans'!$B:$B,ROW())&amp;""," "," "))</f>
        <v/>
      </c>
      <c r="X358">
        <f>TRIM(SUBSTITUTE(INDEX('Loans'!$C:$C,ROW())&amp;""," "," "))</f>
        <v/>
      </c>
      <c r="Y358">
        <f>IFERROR(--INDEX('Loans'!$D:$D,ROW()),0)</f>
        <v/>
      </c>
      <c r="Z358">
        <f>IFERROR(--INDEX('Loans'!$E:$E,ROW()),0)</f>
        <v/>
      </c>
      <c r="AA358">
        <f>IFERROR(--INDEX('Loans'!$F:$F,ROW()),0)</f>
        <v/>
      </c>
      <c r="AB358">
        <f>IFERROR(IF(--INDEX('Loans'!$G:$G,ROW())&gt;=1,--INDEX('Loans'!$G:$G,ROW())/100,--INDEX('Loans'!$G:$G,ROW())),0)</f>
        <v/>
      </c>
      <c r="AC358">
        <f>TRIM(SUBSTITUTE(INDEX('Loans'!$H:$H,ROW())&amp;""," "," "))</f>
        <v/>
      </c>
      <c r="AD358">
        <f>TRIM(SUBSTITUTE(INDEX('Loans'!$I:$I,ROW())&amp;""," "," "))</f>
        <v/>
      </c>
      <c r="AE358">
        <f>IFERROR(--INDEX('Loans'!$J:$J,ROW()),0)</f>
        <v/>
      </c>
      <c r="AF358">
        <f>TRIM(SUBSTITUTE(INDEX('Loans'!$K:$K,ROW())&amp;""," "," "))</f>
        <v/>
      </c>
      <c r="AG358">
        <f>IFERROR(--INDEX('Loans'!$L:$L,ROW()),0)</f>
        <v/>
      </c>
      <c r="AH358">
        <f>IF(ISNUMBER(INDEX('Loans'!$G:$G,ROW())),1,0)</f>
        <v/>
      </c>
    </row>
    <row r="359">
      <c r="A359">
        <f>TRIM(SUBSTITUTE(INDEX('Term investments'!$A:$A,ROW())&amp;""," "," "))</f>
        <v/>
      </c>
      <c r="B359">
        <f>TRIM(SUBSTITUTE(INDEX('Term investments'!$B:$B,ROW())&amp;""," "," "))</f>
        <v/>
      </c>
      <c r="C359">
        <f>TRIM(SUBSTITUTE(INDEX('Term investments'!$C:$C,ROW())&amp;""," "," "))</f>
        <v/>
      </c>
      <c r="D359">
        <f>IFERROR(--INDEX('Term investments'!$D:$D,ROW()),0)</f>
        <v/>
      </c>
      <c r="E359">
        <f>IFERROR(--INDEX('Term investments'!$E:$E,ROW()),0)</f>
        <v/>
      </c>
      <c r="F359">
        <f>IFERROR(--INDEX('Term investments'!$F:$F,ROW()),0)</f>
        <v/>
      </c>
      <c r="G359">
        <f>IFERROR(IF(--INDEX('Term investments'!$G:$G,ROW())&gt;=1,--INDEX('Term investments'!$G:$G,ROW())/100,--INDEX('Term investments'!$G:$G,ROW())),0)</f>
        <v/>
      </c>
      <c r="H359">
        <f>IFERROR(--INDEX('Term investments'!$H:$H,ROW()),0)</f>
        <v/>
      </c>
      <c r="I359">
        <f>IF(ISNUMBER(INDEX('Term investments'!$G:$G,ROW())),1,0)</f>
        <v/>
      </c>
      <c r="J359">
        <f>TRIM(SUBSTITUTE(INDEX('Call accounts and MMFs'!$A:$A,ROW())&amp;""," "," "))</f>
        <v/>
      </c>
      <c r="K359">
        <f>TRIM(SUBSTITUTE(INDEX('Call accounts and MMFs'!$B:$B,ROW())&amp;""," "," "))</f>
        <v/>
      </c>
      <c r="L359">
        <f>TRIM(SUBSTITUTE(INDEX('Call accounts and MMFs'!$C:$C,ROW())&amp;""," "," "))</f>
        <v/>
      </c>
      <c r="M359">
        <f>IFERROR(--INDEX('Call accounts and MMFs'!$D:$D,ROW()),0)</f>
        <v/>
      </c>
      <c r="N359">
        <f>IFERROR(IF(--INDEX('Call accounts and MMFs'!$E:$E,ROW())&gt;=1,--INDEX('Call accounts and MMFs'!$E:$E,ROW())/100,--INDEX('Call accounts and MMFs'!$E:$E,ROW())),0)</f>
        <v/>
      </c>
      <c r="O359">
        <f>IFERROR(--INDEX('Call accounts and MMFs'!$F:$F,ROW()),0)</f>
        <v/>
      </c>
      <c r="P359">
        <f>IF(ISNUMBER(INDEX('Call accounts and MMFs'!$E:$E,ROW())),1,0)</f>
        <v/>
      </c>
      <c r="Q359">
        <f>TRIM(SUBSTITUTE(INDEX('Pooled funds'!$B:$B,ROW())&amp;""," "," "))</f>
        <v/>
      </c>
      <c r="R359">
        <f>IFERROR(--INDEX('Pooled funds'!$C:$C,ROW()),0)</f>
        <v/>
      </c>
      <c r="S359">
        <f>IFERROR(--INDEX('Pooled funds'!$D:$D,ROW()),0)</f>
        <v/>
      </c>
      <c r="T359">
        <f>IFERROR(IF(--INDEX('Pooled funds'!$E:$E,ROW())&gt;=1,--INDEX('Pooled funds'!$E:$E,ROW())/100,--INDEX('Pooled funds'!$E:$E,ROW())),0)</f>
        <v/>
      </c>
      <c r="U359">
        <f>IF(ISNUMBER(INDEX('Pooled funds'!$E:$E,ROW())),1,0)</f>
        <v/>
      </c>
      <c r="V359">
        <f>TRIM(SUBSTITUTE(INDEX('Loans'!$A:$A,ROW())&amp;""," "," "))</f>
        <v/>
      </c>
      <c r="W359">
        <f>TRIM(SUBSTITUTE(INDEX('Loans'!$B:$B,ROW())&amp;""," "," "))</f>
        <v/>
      </c>
      <c r="X359">
        <f>TRIM(SUBSTITUTE(INDEX('Loans'!$C:$C,ROW())&amp;""," "," "))</f>
        <v/>
      </c>
      <c r="Y359">
        <f>IFERROR(--INDEX('Loans'!$D:$D,ROW()),0)</f>
        <v/>
      </c>
      <c r="Z359">
        <f>IFERROR(--INDEX('Loans'!$E:$E,ROW()),0)</f>
        <v/>
      </c>
      <c r="AA359">
        <f>IFERROR(--INDEX('Loans'!$F:$F,ROW()),0)</f>
        <v/>
      </c>
      <c r="AB359">
        <f>IFERROR(IF(--INDEX('Loans'!$G:$G,ROW())&gt;=1,--INDEX('Loans'!$G:$G,ROW())/100,--INDEX('Loans'!$G:$G,ROW())),0)</f>
        <v/>
      </c>
      <c r="AC359">
        <f>TRIM(SUBSTITUTE(INDEX('Loans'!$H:$H,ROW())&amp;""," "," "))</f>
        <v/>
      </c>
      <c r="AD359">
        <f>TRIM(SUBSTITUTE(INDEX('Loans'!$I:$I,ROW())&amp;""," "," "))</f>
        <v/>
      </c>
      <c r="AE359">
        <f>IFERROR(--INDEX('Loans'!$J:$J,ROW()),0)</f>
        <v/>
      </c>
      <c r="AF359">
        <f>TRIM(SUBSTITUTE(INDEX('Loans'!$K:$K,ROW())&amp;""," "," "))</f>
        <v/>
      </c>
      <c r="AG359">
        <f>IFERROR(--INDEX('Loans'!$L:$L,ROW()),0)</f>
        <v/>
      </c>
      <c r="AH359">
        <f>IF(ISNUMBER(INDEX('Loans'!$G:$G,ROW())),1,0)</f>
        <v/>
      </c>
    </row>
    <row r="360">
      <c r="A360">
        <f>TRIM(SUBSTITUTE(INDEX('Term investments'!$A:$A,ROW())&amp;""," "," "))</f>
        <v/>
      </c>
      <c r="B360">
        <f>TRIM(SUBSTITUTE(INDEX('Term investments'!$B:$B,ROW())&amp;""," "," "))</f>
        <v/>
      </c>
      <c r="C360">
        <f>TRIM(SUBSTITUTE(INDEX('Term investments'!$C:$C,ROW())&amp;""," "," "))</f>
        <v/>
      </c>
      <c r="D360">
        <f>IFERROR(--INDEX('Term investments'!$D:$D,ROW()),0)</f>
        <v/>
      </c>
      <c r="E360">
        <f>IFERROR(--INDEX('Term investments'!$E:$E,ROW()),0)</f>
        <v/>
      </c>
      <c r="F360">
        <f>IFERROR(--INDEX('Term investments'!$F:$F,ROW()),0)</f>
        <v/>
      </c>
      <c r="G360">
        <f>IFERROR(IF(--INDEX('Term investments'!$G:$G,ROW())&gt;=1,--INDEX('Term investments'!$G:$G,ROW())/100,--INDEX('Term investments'!$G:$G,ROW())),0)</f>
        <v/>
      </c>
      <c r="H360">
        <f>IFERROR(--INDEX('Term investments'!$H:$H,ROW()),0)</f>
        <v/>
      </c>
      <c r="I360">
        <f>IF(ISNUMBER(INDEX('Term investments'!$G:$G,ROW())),1,0)</f>
        <v/>
      </c>
      <c r="J360">
        <f>TRIM(SUBSTITUTE(INDEX('Call accounts and MMFs'!$A:$A,ROW())&amp;""," "," "))</f>
        <v/>
      </c>
      <c r="K360">
        <f>TRIM(SUBSTITUTE(INDEX('Call accounts and MMFs'!$B:$B,ROW())&amp;""," "," "))</f>
        <v/>
      </c>
      <c r="L360">
        <f>TRIM(SUBSTITUTE(INDEX('Call accounts and MMFs'!$C:$C,ROW())&amp;""," "," "))</f>
        <v/>
      </c>
      <c r="M360">
        <f>IFERROR(--INDEX('Call accounts and MMFs'!$D:$D,ROW()),0)</f>
        <v/>
      </c>
      <c r="N360">
        <f>IFERROR(IF(--INDEX('Call accounts and MMFs'!$E:$E,ROW())&gt;=1,--INDEX('Call accounts and MMFs'!$E:$E,ROW())/100,--INDEX('Call accounts and MMFs'!$E:$E,ROW())),0)</f>
        <v/>
      </c>
      <c r="O360">
        <f>IFERROR(--INDEX('Call accounts and MMFs'!$F:$F,ROW()),0)</f>
        <v/>
      </c>
      <c r="P360">
        <f>IF(ISNUMBER(INDEX('Call accounts and MMFs'!$E:$E,ROW())),1,0)</f>
        <v/>
      </c>
      <c r="Q360">
        <f>TRIM(SUBSTITUTE(INDEX('Pooled funds'!$B:$B,ROW())&amp;""," "," "))</f>
        <v/>
      </c>
      <c r="R360">
        <f>IFERROR(--INDEX('Pooled funds'!$C:$C,ROW()),0)</f>
        <v/>
      </c>
      <c r="S360">
        <f>IFERROR(--INDEX('Pooled funds'!$D:$D,ROW()),0)</f>
        <v/>
      </c>
      <c r="T360">
        <f>IFERROR(IF(--INDEX('Pooled funds'!$E:$E,ROW())&gt;=1,--INDEX('Pooled funds'!$E:$E,ROW())/100,--INDEX('Pooled funds'!$E:$E,ROW())),0)</f>
        <v/>
      </c>
      <c r="U360">
        <f>IF(ISNUMBER(INDEX('Pooled funds'!$E:$E,ROW())),1,0)</f>
        <v/>
      </c>
      <c r="V360">
        <f>TRIM(SUBSTITUTE(INDEX('Loans'!$A:$A,ROW())&amp;""," "," "))</f>
        <v/>
      </c>
      <c r="W360">
        <f>TRIM(SUBSTITUTE(INDEX('Loans'!$B:$B,ROW())&amp;""," "," "))</f>
        <v/>
      </c>
      <c r="X360">
        <f>TRIM(SUBSTITUTE(INDEX('Loans'!$C:$C,ROW())&amp;""," "," "))</f>
        <v/>
      </c>
      <c r="Y360">
        <f>IFERROR(--INDEX('Loans'!$D:$D,ROW()),0)</f>
        <v/>
      </c>
      <c r="Z360">
        <f>IFERROR(--INDEX('Loans'!$E:$E,ROW()),0)</f>
        <v/>
      </c>
      <c r="AA360">
        <f>IFERROR(--INDEX('Loans'!$F:$F,ROW()),0)</f>
        <v/>
      </c>
      <c r="AB360">
        <f>IFERROR(IF(--INDEX('Loans'!$G:$G,ROW())&gt;=1,--INDEX('Loans'!$G:$G,ROW())/100,--INDEX('Loans'!$G:$G,ROW())),0)</f>
        <v/>
      </c>
      <c r="AC360">
        <f>TRIM(SUBSTITUTE(INDEX('Loans'!$H:$H,ROW())&amp;""," "," "))</f>
        <v/>
      </c>
      <c r="AD360">
        <f>TRIM(SUBSTITUTE(INDEX('Loans'!$I:$I,ROW())&amp;""," "," "))</f>
        <v/>
      </c>
      <c r="AE360">
        <f>IFERROR(--INDEX('Loans'!$J:$J,ROW()),0)</f>
        <v/>
      </c>
      <c r="AF360">
        <f>TRIM(SUBSTITUTE(INDEX('Loans'!$K:$K,ROW())&amp;""," "," "))</f>
        <v/>
      </c>
      <c r="AG360">
        <f>IFERROR(--INDEX('Loans'!$L:$L,ROW()),0)</f>
        <v/>
      </c>
      <c r="AH360">
        <f>IF(ISNUMBER(INDEX('Loans'!$G:$G,ROW())),1,0)</f>
        <v/>
      </c>
    </row>
    <row r="361">
      <c r="A361">
        <f>TRIM(SUBSTITUTE(INDEX('Term investments'!$A:$A,ROW())&amp;""," "," "))</f>
        <v/>
      </c>
      <c r="B361">
        <f>TRIM(SUBSTITUTE(INDEX('Term investments'!$B:$B,ROW())&amp;""," "," "))</f>
        <v/>
      </c>
      <c r="C361">
        <f>TRIM(SUBSTITUTE(INDEX('Term investments'!$C:$C,ROW())&amp;""," "," "))</f>
        <v/>
      </c>
      <c r="D361">
        <f>IFERROR(--INDEX('Term investments'!$D:$D,ROW()),0)</f>
        <v/>
      </c>
      <c r="E361">
        <f>IFERROR(--INDEX('Term investments'!$E:$E,ROW()),0)</f>
        <v/>
      </c>
      <c r="F361">
        <f>IFERROR(--INDEX('Term investments'!$F:$F,ROW()),0)</f>
        <v/>
      </c>
      <c r="G361">
        <f>IFERROR(IF(--INDEX('Term investments'!$G:$G,ROW())&gt;=1,--INDEX('Term investments'!$G:$G,ROW())/100,--INDEX('Term investments'!$G:$G,ROW())),0)</f>
        <v/>
      </c>
      <c r="H361">
        <f>IFERROR(--INDEX('Term investments'!$H:$H,ROW()),0)</f>
        <v/>
      </c>
      <c r="I361">
        <f>IF(ISNUMBER(INDEX('Term investments'!$G:$G,ROW())),1,0)</f>
        <v/>
      </c>
      <c r="J361">
        <f>TRIM(SUBSTITUTE(INDEX('Call accounts and MMFs'!$A:$A,ROW())&amp;""," "," "))</f>
        <v/>
      </c>
      <c r="K361">
        <f>TRIM(SUBSTITUTE(INDEX('Call accounts and MMFs'!$B:$B,ROW())&amp;""," "," "))</f>
        <v/>
      </c>
      <c r="L361">
        <f>TRIM(SUBSTITUTE(INDEX('Call accounts and MMFs'!$C:$C,ROW())&amp;""," "," "))</f>
        <v/>
      </c>
      <c r="M361">
        <f>IFERROR(--INDEX('Call accounts and MMFs'!$D:$D,ROW()),0)</f>
        <v/>
      </c>
      <c r="N361">
        <f>IFERROR(IF(--INDEX('Call accounts and MMFs'!$E:$E,ROW())&gt;=1,--INDEX('Call accounts and MMFs'!$E:$E,ROW())/100,--INDEX('Call accounts and MMFs'!$E:$E,ROW())),0)</f>
        <v/>
      </c>
      <c r="O361">
        <f>IFERROR(--INDEX('Call accounts and MMFs'!$F:$F,ROW()),0)</f>
        <v/>
      </c>
      <c r="P361">
        <f>IF(ISNUMBER(INDEX('Call accounts and MMFs'!$E:$E,ROW())),1,0)</f>
        <v/>
      </c>
      <c r="Q361">
        <f>TRIM(SUBSTITUTE(INDEX('Pooled funds'!$B:$B,ROW())&amp;""," "," "))</f>
        <v/>
      </c>
      <c r="R361">
        <f>IFERROR(--INDEX('Pooled funds'!$C:$C,ROW()),0)</f>
        <v/>
      </c>
      <c r="S361">
        <f>IFERROR(--INDEX('Pooled funds'!$D:$D,ROW()),0)</f>
        <v/>
      </c>
      <c r="T361">
        <f>IFERROR(IF(--INDEX('Pooled funds'!$E:$E,ROW())&gt;=1,--INDEX('Pooled funds'!$E:$E,ROW())/100,--INDEX('Pooled funds'!$E:$E,ROW())),0)</f>
        <v/>
      </c>
      <c r="U361">
        <f>IF(ISNUMBER(INDEX('Pooled funds'!$E:$E,ROW())),1,0)</f>
        <v/>
      </c>
      <c r="V361">
        <f>TRIM(SUBSTITUTE(INDEX('Loans'!$A:$A,ROW())&amp;""," "," "))</f>
        <v/>
      </c>
      <c r="W361">
        <f>TRIM(SUBSTITUTE(INDEX('Loans'!$B:$B,ROW())&amp;""," "," "))</f>
        <v/>
      </c>
      <c r="X361">
        <f>TRIM(SUBSTITUTE(INDEX('Loans'!$C:$C,ROW())&amp;""," "," "))</f>
        <v/>
      </c>
      <c r="Y361">
        <f>IFERROR(--INDEX('Loans'!$D:$D,ROW()),0)</f>
        <v/>
      </c>
      <c r="Z361">
        <f>IFERROR(--INDEX('Loans'!$E:$E,ROW()),0)</f>
        <v/>
      </c>
      <c r="AA361">
        <f>IFERROR(--INDEX('Loans'!$F:$F,ROW()),0)</f>
        <v/>
      </c>
      <c r="AB361">
        <f>IFERROR(IF(--INDEX('Loans'!$G:$G,ROW())&gt;=1,--INDEX('Loans'!$G:$G,ROW())/100,--INDEX('Loans'!$G:$G,ROW())),0)</f>
        <v/>
      </c>
      <c r="AC361">
        <f>TRIM(SUBSTITUTE(INDEX('Loans'!$H:$H,ROW())&amp;""," "," "))</f>
        <v/>
      </c>
      <c r="AD361">
        <f>TRIM(SUBSTITUTE(INDEX('Loans'!$I:$I,ROW())&amp;""," "," "))</f>
        <v/>
      </c>
      <c r="AE361">
        <f>IFERROR(--INDEX('Loans'!$J:$J,ROW()),0)</f>
        <v/>
      </c>
      <c r="AF361">
        <f>TRIM(SUBSTITUTE(INDEX('Loans'!$K:$K,ROW())&amp;""," "," "))</f>
        <v/>
      </c>
      <c r="AG361">
        <f>IFERROR(--INDEX('Loans'!$L:$L,ROW()),0)</f>
        <v/>
      </c>
      <c r="AH361">
        <f>IF(ISNUMBER(INDEX('Loans'!$G:$G,ROW())),1,0)</f>
        <v/>
      </c>
    </row>
    <row r="362">
      <c r="A362">
        <f>TRIM(SUBSTITUTE(INDEX('Term investments'!$A:$A,ROW())&amp;""," "," "))</f>
        <v/>
      </c>
      <c r="B362">
        <f>TRIM(SUBSTITUTE(INDEX('Term investments'!$B:$B,ROW())&amp;""," "," "))</f>
        <v/>
      </c>
      <c r="C362">
        <f>TRIM(SUBSTITUTE(INDEX('Term investments'!$C:$C,ROW())&amp;""," "," "))</f>
        <v/>
      </c>
      <c r="D362">
        <f>IFERROR(--INDEX('Term investments'!$D:$D,ROW()),0)</f>
        <v/>
      </c>
      <c r="E362">
        <f>IFERROR(--INDEX('Term investments'!$E:$E,ROW()),0)</f>
        <v/>
      </c>
      <c r="F362">
        <f>IFERROR(--INDEX('Term investments'!$F:$F,ROW()),0)</f>
        <v/>
      </c>
      <c r="G362">
        <f>IFERROR(IF(--INDEX('Term investments'!$G:$G,ROW())&gt;=1,--INDEX('Term investments'!$G:$G,ROW())/100,--INDEX('Term investments'!$G:$G,ROW())),0)</f>
        <v/>
      </c>
      <c r="H362">
        <f>IFERROR(--INDEX('Term investments'!$H:$H,ROW()),0)</f>
        <v/>
      </c>
      <c r="I362">
        <f>IF(ISNUMBER(INDEX('Term investments'!$G:$G,ROW())),1,0)</f>
        <v/>
      </c>
      <c r="J362">
        <f>TRIM(SUBSTITUTE(INDEX('Call accounts and MMFs'!$A:$A,ROW())&amp;""," "," "))</f>
        <v/>
      </c>
      <c r="K362">
        <f>TRIM(SUBSTITUTE(INDEX('Call accounts and MMFs'!$B:$B,ROW())&amp;""," "," "))</f>
        <v/>
      </c>
      <c r="L362">
        <f>TRIM(SUBSTITUTE(INDEX('Call accounts and MMFs'!$C:$C,ROW())&amp;""," "," "))</f>
        <v/>
      </c>
      <c r="M362">
        <f>IFERROR(--INDEX('Call accounts and MMFs'!$D:$D,ROW()),0)</f>
        <v/>
      </c>
      <c r="N362">
        <f>IFERROR(IF(--INDEX('Call accounts and MMFs'!$E:$E,ROW())&gt;=1,--INDEX('Call accounts and MMFs'!$E:$E,ROW())/100,--INDEX('Call accounts and MMFs'!$E:$E,ROW())),0)</f>
        <v/>
      </c>
      <c r="O362">
        <f>IFERROR(--INDEX('Call accounts and MMFs'!$F:$F,ROW()),0)</f>
        <v/>
      </c>
      <c r="P362">
        <f>IF(ISNUMBER(INDEX('Call accounts and MMFs'!$E:$E,ROW())),1,0)</f>
        <v/>
      </c>
      <c r="Q362">
        <f>TRIM(SUBSTITUTE(INDEX('Pooled funds'!$B:$B,ROW())&amp;""," "," "))</f>
        <v/>
      </c>
      <c r="R362">
        <f>IFERROR(--INDEX('Pooled funds'!$C:$C,ROW()),0)</f>
        <v/>
      </c>
      <c r="S362">
        <f>IFERROR(--INDEX('Pooled funds'!$D:$D,ROW()),0)</f>
        <v/>
      </c>
      <c r="T362">
        <f>IFERROR(IF(--INDEX('Pooled funds'!$E:$E,ROW())&gt;=1,--INDEX('Pooled funds'!$E:$E,ROW())/100,--INDEX('Pooled funds'!$E:$E,ROW())),0)</f>
        <v/>
      </c>
      <c r="U362">
        <f>IF(ISNUMBER(INDEX('Pooled funds'!$E:$E,ROW())),1,0)</f>
        <v/>
      </c>
      <c r="V362">
        <f>TRIM(SUBSTITUTE(INDEX('Loans'!$A:$A,ROW())&amp;""," "," "))</f>
        <v/>
      </c>
      <c r="W362">
        <f>TRIM(SUBSTITUTE(INDEX('Loans'!$B:$B,ROW())&amp;""," "," "))</f>
        <v/>
      </c>
      <c r="X362">
        <f>TRIM(SUBSTITUTE(INDEX('Loans'!$C:$C,ROW())&amp;""," "," "))</f>
        <v/>
      </c>
      <c r="Y362">
        <f>IFERROR(--INDEX('Loans'!$D:$D,ROW()),0)</f>
        <v/>
      </c>
      <c r="Z362">
        <f>IFERROR(--INDEX('Loans'!$E:$E,ROW()),0)</f>
        <v/>
      </c>
      <c r="AA362">
        <f>IFERROR(--INDEX('Loans'!$F:$F,ROW()),0)</f>
        <v/>
      </c>
      <c r="AB362">
        <f>IFERROR(IF(--INDEX('Loans'!$G:$G,ROW())&gt;=1,--INDEX('Loans'!$G:$G,ROW())/100,--INDEX('Loans'!$G:$G,ROW())),0)</f>
        <v/>
      </c>
      <c r="AC362">
        <f>TRIM(SUBSTITUTE(INDEX('Loans'!$H:$H,ROW())&amp;""," "," "))</f>
        <v/>
      </c>
      <c r="AD362">
        <f>TRIM(SUBSTITUTE(INDEX('Loans'!$I:$I,ROW())&amp;""," "," "))</f>
        <v/>
      </c>
      <c r="AE362">
        <f>IFERROR(--INDEX('Loans'!$J:$J,ROW()),0)</f>
        <v/>
      </c>
      <c r="AF362">
        <f>TRIM(SUBSTITUTE(INDEX('Loans'!$K:$K,ROW())&amp;""," "," "))</f>
        <v/>
      </c>
      <c r="AG362">
        <f>IFERROR(--INDEX('Loans'!$L:$L,ROW()),0)</f>
        <v/>
      </c>
      <c r="AH362">
        <f>IF(ISNUMBER(INDEX('Loans'!$G:$G,ROW())),1,0)</f>
        <v/>
      </c>
    </row>
    <row r="363">
      <c r="A363">
        <f>TRIM(SUBSTITUTE(INDEX('Term investments'!$A:$A,ROW())&amp;""," "," "))</f>
        <v/>
      </c>
      <c r="B363">
        <f>TRIM(SUBSTITUTE(INDEX('Term investments'!$B:$B,ROW())&amp;""," "," "))</f>
        <v/>
      </c>
      <c r="C363">
        <f>TRIM(SUBSTITUTE(INDEX('Term investments'!$C:$C,ROW())&amp;""," "," "))</f>
        <v/>
      </c>
      <c r="D363">
        <f>IFERROR(--INDEX('Term investments'!$D:$D,ROW()),0)</f>
        <v/>
      </c>
      <c r="E363">
        <f>IFERROR(--INDEX('Term investments'!$E:$E,ROW()),0)</f>
        <v/>
      </c>
      <c r="F363">
        <f>IFERROR(--INDEX('Term investments'!$F:$F,ROW()),0)</f>
        <v/>
      </c>
      <c r="G363">
        <f>IFERROR(IF(--INDEX('Term investments'!$G:$G,ROW())&gt;=1,--INDEX('Term investments'!$G:$G,ROW())/100,--INDEX('Term investments'!$G:$G,ROW())),0)</f>
        <v/>
      </c>
      <c r="H363">
        <f>IFERROR(--INDEX('Term investments'!$H:$H,ROW()),0)</f>
        <v/>
      </c>
      <c r="I363">
        <f>IF(ISNUMBER(INDEX('Term investments'!$G:$G,ROW())),1,0)</f>
        <v/>
      </c>
      <c r="J363">
        <f>TRIM(SUBSTITUTE(INDEX('Call accounts and MMFs'!$A:$A,ROW())&amp;""," "," "))</f>
        <v/>
      </c>
      <c r="K363">
        <f>TRIM(SUBSTITUTE(INDEX('Call accounts and MMFs'!$B:$B,ROW())&amp;""," "," "))</f>
        <v/>
      </c>
      <c r="L363">
        <f>TRIM(SUBSTITUTE(INDEX('Call accounts and MMFs'!$C:$C,ROW())&amp;""," "," "))</f>
        <v/>
      </c>
      <c r="M363">
        <f>IFERROR(--INDEX('Call accounts and MMFs'!$D:$D,ROW()),0)</f>
        <v/>
      </c>
      <c r="N363">
        <f>IFERROR(IF(--INDEX('Call accounts and MMFs'!$E:$E,ROW())&gt;=1,--INDEX('Call accounts and MMFs'!$E:$E,ROW())/100,--INDEX('Call accounts and MMFs'!$E:$E,ROW())),0)</f>
        <v/>
      </c>
      <c r="O363">
        <f>IFERROR(--INDEX('Call accounts and MMFs'!$F:$F,ROW()),0)</f>
        <v/>
      </c>
      <c r="P363">
        <f>IF(ISNUMBER(INDEX('Call accounts and MMFs'!$E:$E,ROW())),1,0)</f>
        <v/>
      </c>
      <c r="Q363">
        <f>TRIM(SUBSTITUTE(INDEX('Pooled funds'!$B:$B,ROW())&amp;""," "," "))</f>
        <v/>
      </c>
      <c r="R363">
        <f>IFERROR(--INDEX('Pooled funds'!$C:$C,ROW()),0)</f>
        <v/>
      </c>
      <c r="S363">
        <f>IFERROR(--INDEX('Pooled funds'!$D:$D,ROW()),0)</f>
        <v/>
      </c>
      <c r="T363">
        <f>IFERROR(IF(--INDEX('Pooled funds'!$E:$E,ROW())&gt;=1,--INDEX('Pooled funds'!$E:$E,ROW())/100,--INDEX('Pooled funds'!$E:$E,ROW())),0)</f>
        <v/>
      </c>
      <c r="U363">
        <f>IF(ISNUMBER(INDEX('Pooled funds'!$E:$E,ROW())),1,0)</f>
        <v/>
      </c>
      <c r="V363">
        <f>TRIM(SUBSTITUTE(INDEX('Loans'!$A:$A,ROW())&amp;""," "," "))</f>
        <v/>
      </c>
      <c r="W363">
        <f>TRIM(SUBSTITUTE(INDEX('Loans'!$B:$B,ROW())&amp;""," "," "))</f>
        <v/>
      </c>
      <c r="X363">
        <f>TRIM(SUBSTITUTE(INDEX('Loans'!$C:$C,ROW())&amp;""," "," "))</f>
        <v/>
      </c>
      <c r="Y363">
        <f>IFERROR(--INDEX('Loans'!$D:$D,ROW()),0)</f>
        <v/>
      </c>
      <c r="Z363">
        <f>IFERROR(--INDEX('Loans'!$E:$E,ROW()),0)</f>
        <v/>
      </c>
      <c r="AA363">
        <f>IFERROR(--INDEX('Loans'!$F:$F,ROW()),0)</f>
        <v/>
      </c>
      <c r="AB363">
        <f>IFERROR(IF(--INDEX('Loans'!$G:$G,ROW())&gt;=1,--INDEX('Loans'!$G:$G,ROW())/100,--INDEX('Loans'!$G:$G,ROW())),0)</f>
        <v/>
      </c>
      <c r="AC363">
        <f>TRIM(SUBSTITUTE(INDEX('Loans'!$H:$H,ROW())&amp;""," "," "))</f>
        <v/>
      </c>
      <c r="AD363">
        <f>TRIM(SUBSTITUTE(INDEX('Loans'!$I:$I,ROW())&amp;""," "," "))</f>
        <v/>
      </c>
      <c r="AE363">
        <f>IFERROR(--INDEX('Loans'!$J:$J,ROW()),0)</f>
        <v/>
      </c>
      <c r="AF363">
        <f>TRIM(SUBSTITUTE(INDEX('Loans'!$K:$K,ROW())&amp;""," "," "))</f>
        <v/>
      </c>
      <c r="AG363">
        <f>IFERROR(--INDEX('Loans'!$L:$L,ROW()),0)</f>
        <v/>
      </c>
      <c r="AH363">
        <f>IF(ISNUMBER(INDEX('Loans'!$G:$G,ROW())),1,0)</f>
        <v/>
      </c>
    </row>
    <row r="364">
      <c r="A364">
        <f>TRIM(SUBSTITUTE(INDEX('Term investments'!$A:$A,ROW())&amp;""," "," "))</f>
        <v/>
      </c>
      <c r="B364">
        <f>TRIM(SUBSTITUTE(INDEX('Term investments'!$B:$B,ROW())&amp;""," "," "))</f>
        <v/>
      </c>
      <c r="C364">
        <f>TRIM(SUBSTITUTE(INDEX('Term investments'!$C:$C,ROW())&amp;""," "," "))</f>
        <v/>
      </c>
      <c r="D364">
        <f>IFERROR(--INDEX('Term investments'!$D:$D,ROW()),0)</f>
        <v/>
      </c>
      <c r="E364">
        <f>IFERROR(--INDEX('Term investments'!$E:$E,ROW()),0)</f>
        <v/>
      </c>
      <c r="F364">
        <f>IFERROR(--INDEX('Term investments'!$F:$F,ROW()),0)</f>
        <v/>
      </c>
      <c r="G364">
        <f>IFERROR(IF(--INDEX('Term investments'!$G:$G,ROW())&gt;=1,--INDEX('Term investments'!$G:$G,ROW())/100,--INDEX('Term investments'!$G:$G,ROW())),0)</f>
        <v/>
      </c>
      <c r="H364">
        <f>IFERROR(--INDEX('Term investments'!$H:$H,ROW()),0)</f>
        <v/>
      </c>
      <c r="I364">
        <f>IF(ISNUMBER(INDEX('Term investments'!$G:$G,ROW())),1,0)</f>
        <v/>
      </c>
      <c r="J364">
        <f>TRIM(SUBSTITUTE(INDEX('Call accounts and MMFs'!$A:$A,ROW())&amp;""," "," "))</f>
        <v/>
      </c>
      <c r="K364">
        <f>TRIM(SUBSTITUTE(INDEX('Call accounts and MMFs'!$B:$B,ROW())&amp;""," "," "))</f>
        <v/>
      </c>
      <c r="L364">
        <f>TRIM(SUBSTITUTE(INDEX('Call accounts and MMFs'!$C:$C,ROW())&amp;""," "," "))</f>
        <v/>
      </c>
      <c r="M364">
        <f>IFERROR(--INDEX('Call accounts and MMFs'!$D:$D,ROW()),0)</f>
        <v/>
      </c>
      <c r="N364">
        <f>IFERROR(IF(--INDEX('Call accounts and MMFs'!$E:$E,ROW())&gt;=1,--INDEX('Call accounts and MMFs'!$E:$E,ROW())/100,--INDEX('Call accounts and MMFs'!$E:$E,ROW())),0)</f>
        <v/>
      </c>
      <c r="O364">
        <f>IFERROR(--INDEX('Call accounts and MMFs'!$F:$F,ROW()),0)</f>
        <v/>
      </c>
      <c r="P364">
        <f>IF(ISNUMBER(INDEX('Call accounts and MMFs'!$E:$E,ROW())),1,0)</f>
        <v/>
      </c>
      <c r="Q364">
        <f>TRIM(SUBSTITUTE(INDEX('Pooled funds'!$B:$B,ROW())&amp;""," "," "))</f>
        <v/>
      </c>
      <c r="R364">
        <f>IFERROR(--INDEX('Pooled funds'!$C:$C,ROW()),0)</f>
        <v/>
      </c>
      <c r="S364">
        <f>IFERROR(--INDEX('Pooled funds'!$D:$D,ROW()),0)</f>
        <v/>
      </c>
      <c r="T364">
        <f>IFERROR(IF(--INDEX('Pooled funds'!$E:$E,ROW())&gt;=1,--INDEX('Pooled funds'!$E:$E,ROW())/100,--INDEX('Pooled funds'!$E:$E,ROW())),0)</f>
        <v/>
      </c>
      <c r="U364">
        <f>IF(ISNUMBER(INDEX('Pooled funds'!$E:$E,ROW())),1,0)</f>
        <v/>
      </c>
      <c r="V364">
        <f>TRIM(SUBSTITUTE(INDEX('Loans'!$A:$A,ROW())&amp;""," "," "))</f>
        <v/>
      </c>
      <c r="W364">
        <f>TRIM(SUBSTITUTE(INDEX('Loans'!$B:$B,ROW())&amp;""," "," "))</f>
        <v/>
      </c>
      <c r="X364">
        <f>TRIM(SUBSTITUTE(INDEX('Loans'!$C:$C,ROW())&amp;""," "," "))</f>
        <v/>
      </c>
      <c r="Y364">
        <f>IFERROR(--INDEX('Loans'!$D:$D,ROW()),0)</f>
        <v/>
      </c>
      <c r="Z364">
        <f>IFERROR(--INDEX('Loans'!$E:$E,ROW()),0)</f>
        <v/>
      </c>
      <c r="AA364">
        <f>IFERROR(--INDEX('Loans'!$F:$F,ROW()),0)</f>
        <v/>
      </c>
      <c r="AB364">
        <f>IFERROR(IF(--INDEX('Loans'!$G:$G,ROW())&gt;=1,--INDEX('Loans'!$G:$G,ROW())/100,--INDEX('Loans'!$G:$G,ROW())),0)</f>
        <v/>
      </c>
      <c r="AC364">
        <f>TRIM(SUBSTITUTE(INDEX('Loans'!$H:$H,ROW())&amp;""," "," "))</f>
        <v/>
      </c>
      <c r="AD364">
        <f>TRIM(SUBSTITUTE(INDEX('Loans'!$I:$I,ROW())&amp;""," "," "))</f>
        <v/>
      </c>
      <c r="AE364">
        <f>IFERROR(--INDEX('Loans'!$J:$J,ROW()),0)</f>
        <v/>
      </c>
      <c r="AF364">
        <f>TRIM(SUBSTITUTE(INDEX('Loans'!$K:$K,ROW())&amp;""," "," "))</f>
        <v/>
      </c>
      <c r="AG364">
        <f>IFERROR(--INDEX('Loans'!$L:$L,ROW()),0)</f>
        <v/>
      </c>
      <c r="AH364">
        <f>IF(ISNUMBER(INDEX('Loans'!$G:$G,ROW())),1,0)</f>
        <v/>
      </c>
    </row>
    <row r="365">
      <c r="A365">
        <f>TRIM(SUBSTITUTE(INDEX('Term investments'!$A:$A,ROW())&amp;""," "," "))</f>
        <v/>
      </c>
      <c r="B365">
        <f>TRIM(SUBSTITUTE(INDEX('Term investments'!$B:$B,ROW())&amp;""," "," "))</f>
        <v/>
      </c>
      <c r="C365">
        <f>TRIM(SUBSTITUTE(INDEX('Term investments'!$C:$C,ROW())&amp;""," "," "))</f>
        <v/>
      </c>
      <c r="D365">
        <f>IFERROR(--INDEX('Term investments'!$D:$D,ROW()),0)</f>
        <v/>
      </c>
      <c r="E365">
        <f>IFERROR(--INDEX('Term investments'!$E:$E,ROW()),0)</f>
        <v/>
      </c>
      <c r="F365">
        <f>IFERROR(--INDEX('Term investments'!$F:$F,ROW()),0)</f>
        <v/>
      </c>
      <c r="G365">
        <f>IFERROR(IF(--INDEX('Term investments'!$G:$G,ROW())&gt;=1,--INDEX('Term investments'!$G:$G,ROW())/100,--INDEX('Term investments'!$G:$G,ROW())),0)</f>
        <v/>
      </c>
      <c r="H365">
        <f>IFERROR(--INDEX('Term investments'!$H:$H,ROW()),0)</f>
        <v/>
      </c>
      <c r="I365">
        <f>IF(ISNUMBER(INDEX('Term investments'!$G:$G,ROW())),1,0)</f>
        <v/>
      </c>
      <c r="J365">
        <f>TRIM(SUBSTITUTE(INDEX('Call accounts and MMFs'!$A:$A,ROW())&amp;""," "," "))</f>
        <v/>
      </c>
      <c r="K365">
        <f>TRIM(SUBSTITUTE(INDEX('Call accounts and MMFs'!$B:$B,ROW())&amp;""," "," "))</f>
        <v/>
      </c>
      <c r="L365">
        <f>TRIM(SUBSTITUTE(INDEX('Call accounts and MMFs'!$C:$C,ROW())&amp;""," "," "))</f>
        <v/>
      </c>
      <c r="M365">
        <f>IFERROR(--INDEX('Call accounts and MMFs'!$D:$D,ROW()),0)</f>
        <v/>
      </c>
      <c r="N365">
        <f>IFERROR(IF(--INDEX('Call accounts and MMFs'!$E:$E,ROW())&gt;=1,--INDEX('Call accounts and MMFs'!$E:$E,ROW())/100,--INDEX('Call accounts and MMFs'!$E:$E,ROW())),0)</f>
        <v/>
      </c>
      <c r="O365">
        <f>IFERROR(--INDEX('Call accounts and MMFs'!$F:$F,ROW()),0)</f>
        <v/>
      </c>
      <c r="P365">
        <f>IF(ISNUMBER(INDEX('Call accounts and MMFs'!$E:$E,ROW())),1,0)</f>
        <v/>
      </c>
      <c r="Q365">
        <f>TRIM(SUBSTITUTE(INDEX('Pooled funds'!$B:$B,ROW())&amp;""," "," "))</f>
        <v/>
      </c>
      <c r="R365">
        <f>IFERROR(--INDEX('Pooled funds'!$C:$C,ROW()),0)</f>
        <v/>
      </c>
      <c r="S365">
        <f>IFERROR(--INDEX('Pooled funds'!$D:$D,ROW()),0)</f>
        <v/>
      </c>
      <c r="T365">
        <f>IFERROR(IF(--INDEX('Pooled funds'!$E:$E,ROW())&gt;=1,--INDEX('Pooled funds'!$E:$E,ROW())/100,--INDEX('Pooled funds'!$E:$E,ROW())),0)</f>
        <v/>
      </c>
      <c r="U365">
        <f>IF(ISNUMBER(INDEX('Pooled funds'!$E:$E,ROW())),1,0)</f>
        <v/>
      </c>
      <c r="V365">
        <f>TRIM(SUBSTITUTE(INDEX('Loans'!$A:$A,ROW())&amp;""," "," "))</f>
        <v/>
      </c>
      <c r="W365">
        <f>TRIM(SUBSTITUTE(INDEX('Loans'!$B:$B,ROW())&amp;""," "," "))</f>
        <v/>
      </c>
      <c r="X365">
        <f>TRIM(SUBSTITUTE(INDEX('Loans'!$C:$C,ROW())&amp;""," "," "))</f>
        <v/>
      </c>
      <c r="Y365">
        <f>IFERROR(--INDEX('Loans'!$D:$D,ROW()),0)</f>
        <v/>
      </c>
      <c r="Z365">
        <f>IFERROR(--INDEX('Loans'!$E:$E,ROW()),0)</f>
        <v/>
      </c>
      <c r="AA365">
        <f>IFERROR(--INDEX('Loans'!$F:$F,ROW()),0)</f>
        <v/>
      </c>
      <c r="AB365">
        <f>IFERROR(IF(--INDEX('Loans'!$G:$G,ROW())&gt;=1,--INDEX('Loans'!$G:$G,ROW())/100,--INDEX('Loans'!$G:$G,ROW())),0)</f>
        <v/>
      </c>
      <c r="AC365">
        <f>TRIM(SUBSTITUTE(INDEX('Loans'!$H:$H,ROW())&amp;""," "," "))</f>
        <v/>
      </c>
      <c r="AD365">
        <f>TRIM(SUBSTITUTE(INDEX('Loans'!$I:$I,ROW())&amp;""," "," "))</f>
        <v/>
      </c>
      <c r="AE365">
        <f>IFERROR(--INDEX('Loans'!$J:$J,ROW()),0)</f>
        <v/>
      </c>
      <c r="AF365">
        <f>TRIM(SUBSTITUTE(INDEX('Loans'!$K:$K,ROW())&amp;""," "," "))</f>
        <v/>
      </c>
      <c r="AG365">
        <f>IFERROR(--INDEX('Loans'!$L:$L,ROW()),0)</f>
        <v/>
      </c>
      <c r="AH365">
        <f>IF(ISNUMBER(INDEX('Loans'!$G:$G,ROW())),1,0)</f>
        <v/>
      </c>
    </row>
    <row r="366">
      <c r="A366">
        <f>TRIM(SUBSTITUTE(INDEX('Term investments'!$A:$A,ROW())&amp;""," "," "))</f>
        <v/>
      </c>
      <c r="B366">
        <f>TRIM(SUBSTITUTE(INDEX('Term investments'!$B:$B,ROW())&amp;""," "," "))</f>
        <v/>
      </c>
      <c r="C366">
        <f>TRIM(SUBSTITUTE(INDEX('Term investments'!$C:$C,ROW())&amp;""," "," "))</f>
        <v/>
      </c>
      <c r="D366">
        <f>IFERROR(--INDEX('Term investments'!$D:$D,ROW()),0)</f>
        <v/>
      </c>
      <c r="E366">
        <f>IFERROR(--INDEX('Term investments'!$E:$E,ROW()),0)</f>
        <v/>
      </c>
      <c r="F366">
        <f>IFERROR(--INDEX('Term investments'!$F:$F,ROW()),0)</f>
        <v/>
      </c>
      <c r="G366">
        <f>IFERROR(IF(--INDEX('Term investments'!$G:$G,ROW())&gt;=1,--INDEX('Term investments'!$G:$G,ROW())/100,--INDEX('Term investments'!$G:$G,ROW())),0)</f>
        <v/>
      </c>
      <c r="H366">
        <f>IFERROR(--INDEX('Term investments'!$H:$H,ROW()),0)</f>
        <v/>
      </c>
      <c r="I366">
        <f>IF(ISNUMBER(INDEX('Term investments'!$G:$G,ROW())),1,0)</f>
        <v/>
      </c>
      <c r="J366">
        <f>TRIM(SUBSTITUTE(INDEX('Call accounts and MMFs'!$A:$A,ROW())&amp;""," "," "))</f>
        <v/>
      </c>
      <c r="K366">
        <f>TRIM(SUBSTITUTE(INDEX('Call accounts and MMFs'!$B:$B,ROW())&amp;""," "," "))</f>
        <v/>
      </c>
      <c r="L366">
        <f>TRIM(SUBSTITUTE(INDEX('Call accounts and MMFs'!$C:$C,ROW())&amp;""," "," "))</f>
        <v/>
      </c>
      <c r="M366">
        <f>IFERROR(--INDEX('Call accounts and MMFs'!$D:$D,ROW()),0)</f>
        <v/>
      </c>
      <c r="N366">
        <f>IFERROR(IF(--INDEX('Call accounts and MMFs'!$E:$E,ROW())&gt;=1,--INDEX('Call accounts and MMFs'!$E:$E,ROW())/100,--INDEX('Call accounts and MMFs'!$E:$E,ROW())),0)</f>
        <v/>
      </c>
      <c r="O366">
        <f>IFERROR(--INDEX('Call accounts and MMFs'!$F:$F,ROW()),0)</f>
        <v/>
      </c>
      <c r="P366">
        <f>IF(ISNUMBER(INDEX('Call accounts and MMFs'!$E:$E,ROW())),1,0)</f>
        <v/>
      </c>
      <c r="Q366">
        <f>TRIM(SUBSTITUTE(INDEX('Pooled funds'!$B:$B,ROW())&amp;""," "," "))</f>
        <v/>
      </c>
      <c r="R366">
        <f>IFERROR(--INDEX('Pooled funds'!$C:$C,ROW()),0)</f>
        <v/>
      </c>
      <c r="S366">
        <f>IFERROR(--INDEX('Pooled funds'!$D:$D,ROW()),0)</f>
        <v/>
      </c>
      <c r="T366">
        <f>IFERROR(IF(--INDEX('Pooled funds'!$E:$E,ROW())&gt;=1,--INDEX('Pooled funds'!$E:$E,ROW())/100,--INDEX('Pooled funds'!$E:$E,ROW())),0)</f>
        <v/>
      </c>
      <c r="U366">
        <f>IF(ISNUMBER(INDEX('Pooled funds'!$E:$E,ROW())),1,0)</f>
        <v/>
      </c>
      <c r="V366">
        <f>TRIM(SUBSTITUTE(INDEX('Loans'!$A:$A,ROW())&amp;""," "," "))</f>
        <v/>
      </c>
      <c r="W366">
        <f>TRIM(SUBSTITUTE(INDEX('Loans'!$B:$B,ROW())&amp;""," "," "))</f>
        <v/>
      </c>
      <c r="X366">
        <f>TRIM(SUBSTITUTE(INDEX('Loans'!$C:$C,ROW())&amp;""," "," "))</f>
        <v/>
      </c>
      <c r="Y366">
        <f>IFERROR(--INDEX('Loans'!$D:$D,ROW()),0)</f>
        <v/>
      </c>
      <c r="Z366">
        <f>IFERROR(--INDEX('Loans'!$E:$E,ROW()),0)</f>
        <v/>
      </c>
      <c r="AA366">
        <f>IFERROR(--INDEX('Loans'!$F:$F,ROW()),0)</f>
        <v/>
      </c>
      <c r="AB366">
        <f>IFERROR(IF(--INDEX('Loans'!$G:$G,ROW())&gt;=1,--INDEX('Loans'!$G:$G,ROW())/100,--INDEX('Loans'!$G:$G,ROW())),0)</f>
        <v/>
      </c>
      <c r="AC366">
        <f>TRIM(SUBSTITUTE(INDEX('Loans'!$H:$H,ROW())&amp;""," "," "))</f>
        <v/>
      </c>
      <c r="AD366">
        <f>TRIM(SUBSTITUTE(INDEX('Loans'!$I:$I,ROW())&amp;""," "," "))</f>
        <v/>
      </c>
      <c r="AE366">
        <f>IFERROR(--INDEX('Loans'!$J:$J,ROW()),0)</f>
        <v/>
      </c>
      <c r="AF366">
        <f>TRIM(SUBSTITUTE(INDEX('Loans'!$K:$K,ROW())&amp;""," "," "))</f>
        <v/>
      </c>
      <c r="AG366">
        <f>IFERROR(--INDEX('Loans'!$L:$L,ROW()),0)</f>
        <v/>
      </c>
      <c r="AH366">
        <f>IF(ISNUMBER(INDEX('Loans'!$G:$G,ROW())),1,0)</f>
        <v/>
      </c>
    </row>
    <row r="367">
      <c r="A367">
        <f>TRIM(SUBSTITUTE(INDEX('Term investments'!$A:$A,ROW())&amp;""," "," "))</f>
        <v/>
      </c>
      <c r="B367">
        <f>TRIM(SUBSTITUTE(INDEX('Term investments'!$B:$B,ROW())&amp;""," "," "))</f>
        <v/>
      </c>
      <c r="C367">
        <f>TRIM(SUBSTITUTE(INDEX('Term investments'!$C:$C,ROW())&amp;""," "," "))</f>
        <v/>
      </c>
      <c r="D367">
        <f>IFERROR(--INDEX('Term investments'!$D:$D,ROW()),0)</f>
        <v/>
      </c>
      <c r="E367">
        <f>IFERROR(--INDEX('Term investments'!$E:$E,ROW()),0)</f>
        <v/>
      </c>
      <c r="F367">
        <f>IFERROR(--INDEX('Term investments'!$F:$F,ROW()),0)</f>
        <v/>
      </c>
      <c r="G367">
        <f>IFERROR(IF(--INDEX('Term investments'!$G:$G,ROW())&gt;=1,--INDEX('Term investments'!$G:$G,ROW())/100,--INDEX('Term investments'!$G:$G,ROW())),0)</f>
        <v/>
      </c>
      <c r="H367">
        <f>IFERROR(--INDEX('Term investments'!$H:$H,ROW()),0)</f>
        <v/>
      </c>
      <c r="I367">
        <f>IF(ISNUMBER(INDEX('Term investments'!$G:$G,ROW())),1,0)</f>
        <v/>
      </c>
      <c r="J367">
        <f>TRIM(SUBSTITUTE(INDEX('Call accounts and MMFs'!$A:$A,ROW())&amp;""," "," "))</f>
        <v/>
      </c>
      <c r="K367">
        <f>TRIM(SUBSTITUTE(INDEX('Call accounts and MMFs'!$B:$B,ROW())&amp;""," "," "))</f>
        <v/>
      </c>
      <c r="L367">
        <f>TRIM(SUBSTITUTE(INDEX('Call accounts and MMFs'!$C:$C,ROW())&amp;""," "," "))</f>
        <v/>
      </c>
      <c r="M367">
        <f>IFERROR(--INDEX('Call accounts and MMFs'!$D:$D,ROW()),0)</f>
        <v/>
      </c>
      <c r="N367">
        <f>IFERROR(IF(--INDEX('Call accounts and MMFs'!$E:$E,ROW())&gt;=1,--INDEX('Call accounts and MMFs'!$E:$E,ROW())/100,--INDEX('Call accounts and MMFs'!$E:$E,ROW())),0)</f>
        <v/>
      </c>
      <c r="O367">
        <f>IFERROR(--INDEX('Call accounts and MMFs'!$F:$F,ROW()),0)</f>
        <v/>
      </c>
      <c r="P367">
        <f>IF(ISNUMBER(INDEX('Call accounts and MMFs'!$E:$E,ROW())),1,0)</f>
        <v/>
      </c>
      <c r="Q367">
        <f>TRIM(SUBSTITUTE(INDEX('Pooled funds'!$B:$B,ROW())&amp;""," "," "))</f>
        <v/>
      </c>
      <c r="R367">
        <f>IFERROR(--INDEX('Pooled funds'!$C:$C,ROW()),0)</f>
        <v/>
      </c>
      <c r="S367">
        <f>IFERROR(--INDEX('Pooled funds'!$D:$D,ROW()),0)</f>
        <v/>
      </c>
      <c r="T367">
        <f>IFERROR(IF(--INDEX('Pooled funds'!$E:$E,ROW())&gt;=1,--INDEX('Pooled funds'!$E:$E,ROW())/100,--INDEX('Pooled funds'!$E:$E,ROW())),0)</f>
        <v/>
      </c>
      <c r="U367">
        <f>IF(ISNUMBER(INDEX('Pooled funds'!$E:$E,ROW())),1,0)</f>
        <v/>
      </c>
      <c r="V367">
        <f>TRIM(SUBSTITUTE(INDEX('Loans'!$A:$A,ROW())&amp;""," "," "))</f>
        <v/>
      </c>
      <c r="W367">
        <f>TRIM(SUBSTITUTE(INDEX('Loans'!$B:$B,ROW())&amp;""," "," "))</f>
        <v/>
      </c>
      <c r="X367">
        <f>TRIM(SUBSTITUTE(INDEX('Loans'!$C:$C,ROW())&amp;""," "," "))</f>
        <v/>
      </c>
      <c r="Y367">
        <f>IFERROR(--INDEX('Loans'!$D:$D,ROW()),0)</f>
        <v/>
      </c>
      <c r="Z367">
        <f>IFERROR(--INDEX('Loans'!$E:$E,ROW()),0)</f>
        <v/>
      </c>
      <c r="AA367">
        <f>IFERROR(--INDEX('Loans'!$F:$F,ROW()),0)</f>
        <v/>
      </c>
      <c r="AB367">
        <f>IFERROR(IF(--INDEX('Loans'!$G:$G,ROW())&gt;=1,--INDEX('Loans'!$G:$G,ROW())/100,--INDEX('Loans'!$G:$G,ROW())),0)</f>
        <v/>
      </c>
      <c r="AC367">
        <f>TRIM(SUBSTITUTE(INDEX('Loans'!$H:$H,ROW())&amp;""," "," "))</f>
        <v/>
      </c>
      <c r="AD367">
        <f>TRIM(SUBSTITUTE(INDEX('Loans'!$I:$I,ROW())&amp;""," "," "))</f>
        <v/>
      </c>
      <c r="AE367">
        <f>IFERROR(--INDEX('Loans'!$J:$J,ROW()),0)</f>
        <v/>
      </c>
      <c r="AF367">
        <f>TRIM(SUBSTITUTE(INDEX('Loans'!$K:$K,ROW())&amp;""," "," "))</f>
        <v/>
      </c>
      <c r="AG367">
        <f>IFERROR(--INDEX('Loans'!$L:$L,ROW()),0)</f>
        <v/>
      </c>
      <c r="AH367">
        <f>IF(ISNUMBER(INDEX('Loans'!$G:$G,ROW())),1,0)</f>
        <v/>
      </c>
    </row>
    <row r="368">
      <c r="A368">
        <f>TRIM(SUBSTITUTE(INDEX('Term investments'!$A:$A,ROW())&amp;""," "," "))</f>
        <v/>
      </c>
      <c r="B368">
        <f>TRIM(SUBSTITUTE(INDEX('Term investments'!$B:$B,ROW())&amp;""," "," "))</f>
        <v/>
      </c>
      <c r="C368">
        <f>TRIM(SUBSTITUTE(INDEX('Term investments'!$C:$C,ROW())&amp;""," "," "))</f>
        <v/>
      </c>
      <c r="D368">
        <f>IFERROR(--INDEX('Term investments'!$D:$D,ROW()),0)</f>
        <v/>
      </c>
      <c r="E368">
        <f>IFERROR(--INDEX('Term investments'!$E:$E,ROW()),0)</f>
        <v/>
      </c>
      <c r="F368">
        <f>IFERROR(--INDEX('Term investments'!$F:$F,ROW()),0)</f>
        <v/>
      </c>
      <c r="G368">
        <f>IFERROR(IF(--INDEX('Term investments'!$G:$G,ROW())&gt;=1,--INDEX('Term investments'!$G:$G,ROW())/100,--INDEX('Term investments'!$G:$G,ROW())),0)</f>
        <v/>
      </c>
      <c r="H368">
        <f>IFERROR(--INDEX('Term investments'!$H:$H,ROW()),0)</f>
        <v/>
      </c>
      <c r="I368">
        <f>IF(ISNUMBER(INDEX('Term investments'!$G:$G,ROW())),1,0)</f>
        <v/>
      </c>
      <c r="J368">
        <f>TRIM(SUBSTITUTE(INDEX('Call accounts and MMFs'!$A:$A,ROW())&amp;""," "," "))</f>
        <v/>
      </c>
      <c r="K368">
        <f>TRIM(SUBSTITUTE(INDEX('Call accounts and MMFs'!$B:$B,ROW())&amp;""," "," "))</f>
        <v/>
      </c>
      <c r="L368">
        <f>TRIM(SUBSTITUTE(INDEX('Call accounts and MMFs'!$C:$C,ROW())&amp;""," "," "))</f>
        <v/>
      </c>
      <c r="M368">
        <f>IFERROR(--INDEX('Call accounts and MMFs'!$D:$D,ROW()),0)</f>
        <v/>
      </c>
      <c r="N368">
        <f>IFERROR(IF(--INDEX('Call accounts and MMFs'!$E:$E,ROW())&gt;=1,--INDEX('Call accounts and MMFs'!$E:$E,ROW())/100,--INDEX('Call accounts and MMFs'!$E:$E,ROW())),0)</f>
        <v/>
      </c>
      <c r="O368">
        <f>IFERROR(--INDEX('Call accounts and MMFs'!$F:$F,ROW()),0)</f>
        <v/>
      </c>
      <c r="P368">
        <f>IF(ISNUMBER(INDEX('Call accounts and MMFs'!$E:$E,ROW())),1,0)</f>
        <v/>
      </c>
      <c r="Q368">
        <f>TRIM(SUBSTITUTE(INDEX('Pooled funds'!$B:$B,ROW())&amp;""," "," "))</f>
        <v/>
      </c>
      <c r="R368">
        <f>IFERROR(--INDEX('Pooled funds'!$C:$C,ROW()),0)</f>
        <v/>
      </c>
      <c r="S368">
        <f>IFERROR(--INDEX('Pooled funds'!$D:$D,ROW()),0)</f>
        <v/>
      </c>
      <c r="T368">
        <f>IFERROR(IF(--INDEX('Pooled funds'!$E:$E,ROW())&gt;=1,--INDEX('Pooled funds'!$E:$E,ROW())/100,--INDEX('Pooled funds'!$E:$E,ROW())),0)</f>
        <v/>
      </c>
      <c r="U368">
        <f>IF(ISNUMBER(INDEX('Pooled funds'!$E:$E,ROW())),1,0)</f>
        <v/>
      </c>
      <c r="V368">
        <f>TRIM(SUBSTITUTE(INDEX('Loans'!$A:$A,ROW())&amp;""," "," "))</f>
        <v/>
      </c>
      <c r="W368">
        <f>TRIM(SUBSTITUTE(INDEX('Loans'!$B:$B,ROW())&amp;""," "," "))</f>
        <v/>
      </c>
      <c r="X368">
        <f>TRIM(SUBSTITUTE(INDEX('Loans'!$C:$C,ROW())&amp;""," "," "))</f>
        <v/>
      </c>
      <c r="Y368">
        <f>IFERROR(--INDEX('Loans'!$D:$D,ROW()),0)</f>
        <v/>
      </c>
      <c r="Z368">
        <f>IFERROR(--INDEX('Loans'!$E:$E,ROW()),0)</f>
        <v/>
      </c>
      <c r="AA368">
        <f>IFERROR(--INDEX('Loans'!$F:$F,ROW()),0)</f>
        <v/>
      </c>
      <c r="AB368">
        <f>IFERROR(IF(--INDEX('Loans'!$G:$G,ROW())&gt;=1,--INDEX('Loans'!$G:$G,ROW())/100,--INDEX('Loans'!$G:$G,ROW())),0)</f>
        <v/>
      </c>
      <c r="AC368">
        <f>TRIM(SUBSTITUTE(INDEX('Loans'!$H:$H,ROW())&amp;""," "," "))</f>
        <v/>
      </c>
      <c r="AD368">
        <f>TRIM(SUBSTITUTE(INDEX('Loans'!$I:$I,ROW())&amp;""," "," "))</f>
        <v/>
      </c>
      <c r="AE368">
        <f>IFERROR(--INDEX('Loans'!$J:$J,ROW()),0)</f>
        <v/>
      </c>
      <c r="AF368">
        <f>TRIM(SUBSTITUTE(INDEX('Loans'!$K:$K,ROW())&amp;""," "," "))</f>
        <v/>
      </c>
      <c r="AG368">
        <f>IFERROR(--INDEX('Loans'!$L:$L,ROW()),0)</f>
        <v/>
      </c>
      <c r="AH368">
        <f>IF(ISNUMBER(INDEX('Loans'!$G:$G,ROW())),1,0)</f>
        <v/>
      </c>
    </row>
    <row r="369">
      <c r="A369">
        <f>TRIM(SUBSTITUTE(INDEX('Term investments'!$A:$A,ROW())&amp;""," "," "))</f>
        <v/>
      </c>
      <c r="B369">
        <f>TRIM(SUBSTITUTE(INDEX('Term investments'!$B:$B,ROW())&amp;""," "," "))</f>
        <v/>
      </c>
      <c r="C369">
        <f>TRIM(SUBSTITUTE(INDEX('Term investments'!$C:$C,ROW())&amp;""," "," "))</f>
        <v/>
      </c>
      <c r="D369">
        <f>IFERROR(--INDEX('Term investments'!$D:$D,ROW()),0)</f>
        <v/>
      </c>
      <c r="E369">
        <f>IFERROR(--INDEX('Term investments'!$E:$E,ROW()),0)</f>
        <v/>
      </c>
      <c r="F369">
        <f>IFERROR(--INDEX('Term investments'!$F:$F,ROW()),0)</f>
        <v/>
      </c>
      <c r="G369">
        <f>IFERROR(IF(--INDEX('Term investments'!$G:$G,ROW())&gt;=1,--INDEX('Term investments'!$G:$G,ROW())/100,--INDEX('Term investments'!$G:$G,ROW())),0)</f>
        <v/>
      </c>
      <c r="H369">
        <f>IFERROR(--INDEX('Term investments'!$H:$H,ROW()),0)</f>
        <v/>
      </c>
      <c r="I369">
        <f>IF(ISNUMBER(INDEX('Term investments'!$G:$G,ROW())),1,0)</f>
        <v/>
      </c>
      <c r="J369">
        <f>TRIM(SUBSTITUTE(INDEX('Call accounts and MMFs'!$A:$A,ROW())&amp;""," "," "))</f>
        <v/>
      </c>
      <c r="K369">
        <f>TRIM(SUBSTITUTE(INDEX('Call accounts and MMFs'!$B:$B,ROW())&amp;""," "," "))</f>
        <v/>
      </c>
      <c r="L369">
        <f>TRIM(SUBSTITUTE(INDEX('Call accounts and MMFs'!$C:$C,ROW())&amp;""," "," "))</f>
        <v/>
      </c>
      <c r="M369">
        <f>IFERROR(--INDEX('Call accounts and MMFs'!$D:$D,ROW()),0)</f>
        <v/>
      </c>
      <c r="N369">
        <f>IFERROR(IF(--INDEX('Call accounts and MMFs'!$E:$E,ROW())&gt;=1,--INDEX('Call accounts and MMFs'!$E:$E,ROW())/100,--INDEX('Call accounts and MMFs'!$E:$E,ROW())),0)</f>
        <v/>
      </c>
      <c r="O369">
        <f>IFERROR(--INDEX('Call accounts and MMFs'!$F:$F,ROW()),0)</f>
        <v/>
      </c>
      <c r="P369">
        <f>IF(ISNUMBER(INDEX('Call accounts and MMFs'!$E:$E,ROW())),1,0)</f>
        <v/>
      </c>
      <c r="Q369">
        <f>TRIM(SUBSTITUTE(INDEX('Pooled funds'!$B:$B,ROW())&amp;""," "," "))</f>
        <v/>
      </c>
      <c r="R369">
        <f>IFERROR(--INDEX('Pooled funds'!$C:$C,ROW()),0)</f>
        <v/>
      </c>
      <c r="S369">
        <f>IFERROR(--INDEX('Pooled funds'!$D:$D,ROW()),0)</f>
        <v/>
      </c>
      <c r="T369">
        <f>IFERROR(IF(--INDEX('Pooled funds'!$E:$E,ROW())&gt;=1,--INDEX('Pooled funds'!$E:$E,ROW())/100,--INDEX('Pooled funds'!$E:$E,ROW())),0)</f>
        <v/>
      </c>
      <c r="U369">
        <f>IF(ISNUMBER(INDEX('Pooled funds'!$E:$E,ROW())),1,0)</f>
        <v/>
      </c>
      <c r="V369">
        <f>TRIM(SUBSTITUTE(INDEX('Loans'!$A:$A,ROW())&amp;""," "," "))</f>
        <v/>
      </c>
      <c r="W369">
        <f>TRIM(SUBSTITUTE(INDEX('Loans'!$B:$B,ROW())&amp;""," "," "))</f>
        <v/>
      </c>
      <c r="X369">
        <f>TRIM(SUBSTITUTE(INDEX('Loans'!$C:$C,ROW())&amp;""," "," "))</f>
        <v/>
      </c>
      <c r="Y369">
        <f>IFERROR(--INDEX('Loans'!$D:$D,ROW()),0)</f>
        <v/>
      </c>
      <c r="Z369">
        <f>IFERROR(--INDEX('Loans'!$E:$E,ROW()),0)</f>
        <v/>
      </c>
      <c r="AA369">
        <f>IFERROR(--INDEX('Loans'!$F:$F,ROW()),0)</f>
        <v/>
      </c>
      <c r="AB369">
        <f>IFERROR(IF(--INDEX('Loans'!$G:$G,ROW())&gt;=1,--INDEX('Loans'!$G:$G,ROW())/100,--INDEX('Loans'!$G:$G,ROW())),0)</f>
        <v/>
      </c>
      <c r="AC369">
        <f>TRIM(SUBSTITUTE(INDEX('Loans'!$H:$H,ROW())&amp;""," "," "))</f>
        <v/>
      </c>
      <c r="AD369">
        <f>TRIM(SUBSTITUTE(INDEX('Loans'!$I:$I,ROW())&amp;""," "," "))</f>
        <v/>
      </c>
      <c r="AE369">
        <f>IFERROR(--INDEX('Loans'!$J:$J,ROW()),0)</f>
        <v/>
      </c>
      <c r="AF369">
        <f>TRIM(SUBSTITUTE(INDEX('Loans'!$K:$K,ROW())&amp;""," "," "))</f>
        <v/>
      </c>
      <c r="AG369">
        <f>IFERROR(--INDEX('Loans'!$L:$L,ROW()),0)</f>
        <v/>
      </c>
      <c r="AH369">
        <f>IF(ISNUMBER(INDEX('Loans'!$G:$G,ROW())),1,0)</f>
        <v/>
      </c>
    </row>
    <row r="370">
      <c r="A370">
        <f>TRIM(SUBSTITUTE(INDEX('Term investments'!$A:$A,ROW())&amp;""," "," "))</f>
        <v/>
      </c>
      <c r="B370">
        <f>TRIM(SUBSTITUTE(INDEX('Term investments'!$B:$B,ROW())&amp;""," "," "))</f>
        <v/>
      </c>
      <c r="C370">
        <f>TRIM(SUBSTITUTE(INDEX('Term investments'!$C:$C,ROW())&amp;""," "," "))</f>
        <v/>
      </c>
      <c r="D370">
        <f>IFERROR(--INDEX('Term investments'!$D:$D,ROW()),0)</f>
        <v/>
      </c>
      <c r="E370">
        <f>IFERROR(--INDEX('Term investments'!$E:$E,ROW()),0)</f>
        <v/>
      </c>
      <c r="F370">
        <f>IFERROR(--INDEX('Term investments'!$F:$F,ROW()),0)</f>
        <v/>
      </c>
      <c r="G370">
        <f>IFERROR(IF(--INDEX('Term investments'!$G:$G,ROW())&gt;=1,--INDEX('Term investments'!$G:$G,ROW())/100,--INDEX('Term investments'!$G:$G,ROW())),0)</f>
        <v/>
      </c>
      <c r="H370">
        <f>IFERROR(--INDEX('Term investments'!$H:$H,ROW()),0)</f>
        <v/>
      </c>
      <c r="I370">
        <f>IF(ISNUMBER(INDEX('Term investments'!$G:$G,ROW())),1,0)</f>
        <v/>
      </c>
      <c r="J370">
        <f>TRIM(SUBSTITUTE(INDEX('Call accounts and MMFs'!$A:$A,ROW())&amp;""," "," "))</f>
        <v/>
      </c>
      <c r="K370">
        <f>TRIM(SUBSTITUTE(INDEX('Call accounts and MMFs'!$B:$B,ROW())&amp;""," "," "))</f>
        <v/>
      </c>
      <c r="L370">
        <f>TRIM(SUBSTITUTE(INDEX('Call accounts and MMFs'!$C:$C,ROW())&amp;""," "," "))</f>
        <v/>
      </c>
      <c r="M370">
        <f>IFERROR(--INDEX('Call accounts and MMFs'!$D:$D,ROW()),0)</f>
        <v/>
      </c>
      <c r="N370">
        <f>IFERROR(IF(--INDEX('Call accounts and MMFs'!$E:$E,ROW())&gt;=1,--INDEX('Call accounts and MMFs'!$E:$E,ROW())/100,--INDEX('Call accounts and MMFs'!$E:$E,ROW())),0)</f>
        <v/>
      </c>
      <c r="O370">
        <f>IFERROR(--INDEX('Call accounts and MMFs'!$F:$F,ROW()),0)</f>
        <v/>
      </c>
      <c r="P370">
        <f>IF(ISNUMBER(INDEX('Call accounts and MMFs'!$E:$E,ROW())),1,0)</f>
        <v/>
      </c>
      <c r="Q370">
        <f>TRIM(SUBSTITUTE(INDEX('Pooled funds'!$B:$B,ROW())&amp;""," "," "))</f>
        <v/>
      </c>
      <c r="R370">
        <f>IFERROR(--INDEX('Pooled funds'!$C:$C,ROW()),0)</f>
        <v/>
      </c>
      <c r="S370">
        <f>IFERROR(--INDEX('Pooled funds'!$D:$D,ROW()),0)</f>
        <v/>
      </c>
      <c r="T370">
        <f>IFERROR(IF(--INDEX('Pooled funds'!$E:$E,ROW())&gt;=1,--INDEX('Pooled funds'!$E:$E,ROW())/100,--INDEX('Pooled funds'!$E:$E,ROW())),0)</f>
        <v/>
      </c>
      <c r="U370">
        <f>IF(ISNUMBER(INDEX('Pooled funds'!$E:$E,ROW())),1,0)</f>
        <v/>
      </c>
      <c r="V370">
        <f>TRIM(SUBSTITUTE(INDEX('Loans'!$A:$A,ROW())&amp;""," "," "))</f>
        <v/>
      </c>
      <c r="W370">
        <f>TRIM(SUBSTITUTE(INDEX('Loans'!$B:$B,ROW())&amp;""," "," "))</f>
        <v/>
      </c>
      <c r="X370">
        <f>TRIM(SUBSTITUTE(INDEX('Loans'!$C:$C,ROW())&amp;""," "," "))</f>
        <v/>
      </c>
      <c r="Y370">
        <f>IFERROR(--INDEX('Loans'!$D:$D,ROW()),0)</f>
        <v/>
      </c>
      <c r="Z370">
        <f>IFERROR(--INDEX('Loans'!$E:$E,ROW()),0)</f>
        <v/>
      </c>
      <c r="AA370">
        <f>IFERROR(--INDEX('Loans'!$F:$F,ROW()),0)</f>
        <v/>
      </c>
      <c r="AB370">
        <f>IFERROR(IF(--INDEX('Loans'!$G:$G,ROW())&gt;=1,--INDEX('Loans'!$G:$G,ROW())/100,--INDEX('Loans'!$G:$G,ROW())),0)</f>
        <v/>
      </c>
      <c r="AC370">
        <f>TRIM(SUBSTITUTE(INDEX('Loans'!$H:$H,ROW())&amp;""," "," "))</f>
        <v/>
      </c>
      <c r="AD370">
        <f>TRIM(SUBSTITUTE(INDEX('Loans'!$I:$I,ROW())&amp;""," "," "))</f>
        <v/>
      </c>
      <c r="AE370">
        <f>IFERROR(--INDEX('Loans'!$J:$J,ROW()),0)</f>
        <v/>
      </c>
      <c r="AF370">
        <f>TRIM(SUBSTITUTE(INDEX('Loans'!$K:$K,ROW())&amp;""," "," "))</f>
        <v/>
      </c>
      <c r="AG370">
        <f>IFERROR(--INDEX('Loans'!$L:$L,ROW()),0)</f>
        <v/>
      </c>
      <c r="AH370">
        <f>IF(ISNUMBER(INDEX('Loans'!$G:$G,ROW())),1,0)</f>
        <v/>
      </c>
    </row>
    <row r="371">
      <c r="A371">
        <f>TRIM(SUBSTITUTE(INDEX('Term investments'!$A:$A,ROW())&amp;""," "," "))</f>
        <v/>
      </c>
      <c r="B371">
        <f>TRIM(SUBSTITUTE(INDEX('Term investments'!$B:$B,ROW())&amp;""," "," "))</f>
        <v/>
      </c>
      <c r="C371">
        <f>TRIM(SUBSTITUTE(INDEX('Term investments'!$C:$C,ROW())&amp;""," "," "))</f>
        <v/>
      </c>
      <c r="D371">
        <f>IFERROR(--INDEX('Term investments'!$D:$D,ROW()),0)</f>
        <v/>
      </c>
      <c r="E371">
        <f>IFERROR(--INDEX('Term investments'!$E:$E,ROW()),0)</f>
        <v/>
      </c>
      <c r="F371">
        <f>IFERROR(--INDEX('Term investments'!$F:$F,ROW()),0)</f>
        <v/>
      </c>
      <c r="G371">
        <f>IFERROR(IF(--INDEX('Term investments'!$G:$G,ROW())&gt;=1,--INDEX('Term investments'!$G:$G,ROW())/100,--INDEX('Term investments'!$G:$G,ROW())),0)</f>
        <v/>
      </c>
      <c r="H371">
        <f>IFERROR(--INDEX('Term investments'!$H:$H,ROW()),0)</f>
        <v/>
      </c>
      <c r="I371">
        <f>IF(ISNUMBER(INDEX('Term investments'!$G:$G,ROW())),1,0)</f>
        <v/>
      </c>
      <c r="J371">
        <f>TRIM(SUBSTITUTE(INDEX('Call accounts and MMFs'!$A:$A,ROW())&amp;""," "," "))</f>
        <v/>
      </c>
      <c r="K371">
        <f>TRIM(SUBSTITUTE(INDEX('Call accounts and MMFs'!$B:$B,ROW())&amp;""," "," "))</f>
        <v/>
      </c>
      <c r="L371">
        <f>TRIM(SUBSTITUTE(INDEX('Call accounts and MMFs'!$C:$C,ROW())&amp;""," "," "))</f>
        <v/>
      </c>
      <c r="M371">
        <f>IFERROR(--INDEX('Call accounts and MMFs'!$D:$D,ROW()),0)</f>
        <v/>
      </c>
      <c r="N371">
        <f>IFERROR(IF(--INDEX('Call accounts and MMFs'!$E:$E,ROW())&gt;=1,--INDEX('Call accounts and MMFs'!$E:$E,ROW())/100,--INDEX('Call accounts and MMFs'!$E:$E,ROW())),0)</f>
        <v/>
      </c>
      <c r="O371">
        <f>IFERROR(--INDEX('Call accounts and MMFs'!$F:$F,ROW()),0)</f>
        <v/>
      </c>
      <c r="P371">
        <f>IF(ISNUMBER(INDEX('Call accounts and MMFs'!$E:$E,ROW())),1,0)</f>
        <v/>
      </c>
      <c r="Q371">
        <f>TRIM(SUBSTITUTE(INDEX('Pooled funds'!$B:$B,ROW())&amp;""," "," "))</f>
        <v/>
      </c>
      <c r="R371">
        <f>IFERROR(--INDEX('Pooled funds'!$C:$C,ROW()),0)</f>
        <v/>
      </c>
      <c r="S371">
        <f>IFERROR(--INDEX('Pooled funds'!$D:$D,ROW()),0)</f>
        <v/>
      </c>
      <c r="T371">
        <f>IFERROR(IF(--INDEX('Pooled funds'!$E:$E,ROW())&gt;=1,--INDEX('Pooled funds'!$E:$E,ROW())/100,--INDEX('Pooled funds'!$E:$E,ROW())),0)</f>
        <v/>
      </c>
      <c r="U371">
        <f>IF(ISNUMBER(INDEX('Pooled funds'!$E:$E,ROW())),1,0)</f>
        <v/>
      </c>
      <c r="V371">
        <f>TRIM(SUBSTITUTE(INDEX('Loans'!$A:$A,ROW())&amp;""," "," "))</f>
        <v/>
      </c>
      <c r="W371">
        <f>TRIM(SUBSTITUTE(INDEX('Loans'!$B:$B,ROW())&amp;""," "," "))</f>
        <v/>
      </c>
      <c r="X371">
        <f>TRIM(SUBSTITUTE(INDEX('Loans'!$C:$C,ROW())&amp;""," "," "))</f>
        <v/>
      </c>
      <c r="Y371">
        <f>IFERROR(--INDEX('Loans'!$D:$D,ROW()),0)</f>
        <v/>
      </c>
      <c r="Z371">
        <f>IFERROR(--INDEX('Loans'!$E:$E,ROW()),0)</f>
        <v/>
      </c>
      <c r="AA371">
        <f>IFERROR(--INDEX('Loans'!$F:$F,ROW()),0)</f>
        <v/>
      </c>
      <c r="AB371">
        <f>IFERROR(IF(--INDEX('Loans'!$G:$G,ROW())&gt;=1,--INDEX('Loans'!$G:$G,ROW())/100,--INDEX('Loans'!$G:$G,ROW())),0)</f>
        <v/>
      </c>
      <c r="AC371">
        <f>TRIM(SUBSTITUTE(INDEX('Loans'!$H:$H,ROW())&amp;""," "," "))</f>
        <v/>
      </c>
      <c r="AD371">
        <f>TRIM(SUBSTITUTE(INDEX('Loans'!$I:$I,ROW())&amp;""," "," "))</f>
        <v/>
      </c>
      <c r="AE371">
        <f>IFERROR(--INDEX('Loans'!$J:$J,ROW()),0)</f>
        <v/>
      </c>
      <c r="AF371">
        <f>TRIM(SUBSTITUTE(INDEX('Loans'!$K:$K,ROW())&amp;""," "," "))</f>
        <v/>
      </c>
      <c r="AG371">
        <f>IFERROR(--INDEX('Loans'!$L:$L,ROW()),0)</f>
        <v/>
      </c>
      <c r="AH371">
        <f>IF(ISNUMBER(INDEX('Loans'!$G:$G,ROW())),1,0)</f>
        <v/>
      </c>
    </row>
    <row r="372">
      <c r="A372">
        <f>TRIM(SUBSTITUTE(INDEX('Term investments'!$A:$A,ROW())&amp;""," "," "))</f>
        <v/>
      </c>
      <c r="B372">
        <f>TRIM(SUBSTITUTE(INDEX('Term investments'!$B:$B,ROW())&amp;""," "," "))</f>
        <v/>
      </c>
      <c r="C372">
        <f>TRIM(SUBSTITUTE(INDEX('Term investments'!$C:$C,ROW())&amp;""," "," "))</f>
        <v/>
      </c>
      <c r="D372">
        <f>IFERROR(--INDEX('Term investments'!$D:$D,ROW()),0)</f>
        <v/>
      </c>
      <c r="E372">
        <f>IFERROR(--INDEX('Term investments'!$E:$E,ROW()),0)</f>
        <v/>
      </c>
      <c r="F372">
        <f>IFERROR(--INDEX('Term investments'!$F:$F,ROW()),0)</f>
        <v/>
      </c>
      <c r="G372">
        <f>IFERROR(IF(--INDEX('Term investments'!$G:$G,ROW())&gt;=1,--INDEX('Term investments'!$G:$G,ROW())/100,--INDEX('Term investments'!$G:$G,ROW())),0)</f>
        <v/>
      </c>
      <c r="H372">
        <f>IFERROR(--INDEX('Term investments'!$H:$H,ROW()),0)</f>
        <v/>
      </c>
      <c r="I372">
        <f>IF(ISNUMBER(INDEX('Term investments'!$G:$G,ROW())),1,0)</f>
        <v/>
      </c>
      <c r="J372">
        <f>TRIM(SUBSTITUTE(INDEX('Call accounts and MMFs'!$A:$A,ROW())&amp;""," "," "))</f>
        <v/>
      </c>
      <c r="K372">
        <f>TRIM(SUBSTITUTE(INDEX('Call accounts and MMFs'!$B:$B,ROW())&amp;""," "," "))</f>
        <v/>
      </c>
      <c r="L372">
        <f>TRIM(SUBSTITUTE(INDEX('Call accounts and MMFs'!$C:$C,ROW())&amp;""," "," "))</f>
        <v/>
      </c>
      <c r="M372">
        <f>IFERROR(--INDEX('Call accounts and MMFs'!$D:$D,ROW()),0)</f>
        <v/>
      </c>
      <c r="N372">
        <f>IFERROR(IF(--INDEX('Call accounts and MMFs'!$E:$E,ROW())&gt;=1,--INDEX('Call accounts and MMFs'!$E:$E,ROW())/100,--INDEX('Call accounts and MMFs'!$E:$E,ROW())),0)</f>
        <v/>
      </c>
      <c r="O372">
        <f>IFERROR(--INDEX('Call accounts and MMFs'!$F:$F,ROW()),0)</f>
        <v/>
      </c>
      <c r="P372">
        <f>IF(ISNUMBER(INDEX('Call accounts and MMFs'!$E:$E,ROW())),1,0)</f>
        <v/>
      </c>
      <c r="Q372">
        <f>TRIM(SUBSTITUTE(INDEX('Pooled funds'!$B:$B,ROW())&amp;""," "," "))</f>
        <v/>
      </c>
      <c r="R372">
        <f>IFERROR(--INDEX('Pooled funds'!$C:$C,ROW()),0)</f>
        <v/>
      </c>
      <c r="S372">
        <f>IFERROR(--INDEX('Pooled funds'!$D:$D,ROW()),0)</f>
        <v/>
      </c>
      <c r="T372">
        <f>IFERROR(IF(--INDEX('Pooled funds'!$E:$E,ROW())&gt;=1,--INDEX('Pooled funds'!$E:$E,ROW())/100,--INDEX('Pooled funds'!$E:$E,ROW())),0)</f>
        <v/>
      </c>
      <c r="U372">
        <f>IF(ISNUMBER(INDEX('Pooled funds'!$E:$E,ROW())),1,0)</f>
        <v/>
      </c>
      <c r="V372">
        <f>TRIM(SUBSTITUTE(INDEX('Loans'!$A:$A,ROW())&amp;""," "," "))</f>
        <v/>
      </c>
      <c r="W372">
        <f>TRIM(SUBSTITUTE(INDEX('Loans'!$B:$B,ROW())&amp;""," "," "))</f>
        <v/>
      </c>
      <c r="X372">
        <f>TRIM(SUBSTITUTE(INDEX('Loans'!$C:$C,ROW())&amp;""," "," "))</f>
        <v/>
      </c>
      <c r="Y372">
        <f>IFERROR(--INDEX('Loans'!$D:$D,ROW()),0)</f>
        <v/>
      </c>
      <c r="Z372">
        <f>IFERROR(--INDEX('Loans'!$E:$E,ROW()),0)</f>
        <v/>
      </c>
      <c r="AA372">
        <f>IFERROR(--INDEX('Loans'!$F:$F,ROW()),0)</f>
        <v/>
      </c>
      <c r="AB372">
        <f>IFERROR(IF(--INDEX('Loans'!$G:$G,ROW())&gt;=1,--INDEX('Loans'!$G:$G,ROW())/100,--INDEX('Loans'!$G:$G,ROW())),0)</f>
        <v/>
      </c>
      <c r="AC372">
        <f>TRIM(SUBSTITUTE(INDEX('Loans'!$H:$H,ROW())&amp;""," "," "))</f>
        <v/>
      </c>
      <c r="AD372">
        <f>TRIM(SUBSTITUTE(INDEX('Loans'!$I:$I,ROW())&amp;""," "," "))</f>
        <v/>
      </c>
      <c r="AE372">
        <f>IFERROR(--INDEX('Loans'!$J:$J,ROW()),0)</f>
        <v/>
      </c>
      <c r="AF372">
        <f>TRIM(SUBSTITUTE(INDEX('Loans'!$K:$K,ROW())&amp;""," "," "))</f>
        <v/>
      </c>
      <c r="AG372">
        <f>IFERROR(--INDEX('Loans'!$L:$L,ROW()),0)</f>
        <v/>
      </c>
      <c r="AH372">
        <f>IF(ISNUMBER(INDEX('Loans'!$G:$G,ROW())),1,0)</f>
        <v/>
      </c>
    </row>
    <row r="373">
      <c r="A373">
        <f>TRIM(SUBSTITUTE(INDEX('Term investments'!$A:$A,ROW())&amp;""," "," "))</f>
        <v/>
      </c>
      <c r="B373">
        <f>TRIM(SUBSTITUTE(INDEX('Term investments'!$B:$B,ROW())&amp;""," "," "))</f>
        <v/>
      </c>
      <c r="C373">
        <f>TRIM(SUBSTITUTE(INDEX('Term investments'!$C:$C,ROW())&amp;""," "," "))</f>
        <v/>
      </c>
      <c r="D373">
        <f>IFERROR(--INDEX('Term investments'!$D:$D,ROW()),0)</f>
        <v/>
      </c>
      <c r="E373">
        <f>IFERROR(--INDEX('Term investments'!$E:$E,ROW()),0)</f>
        <v/>
      </c>
      <c r="F373">
        <f>IFERROR(--INDEX('Term investments'!$F:$F,ROW()),0)</f>
        <v/>
      </c>
      <c r="G373">
        <f>IFERROR(IF(--INDEX('Term investments'!$G:$G,ROW())&gt;=1,--INDEX('Term investments'!$G:$G,ROW())/100,--INDEX('Term investments'!$G:$G,ROW())),0)</f>
        <v/>
      </c>
      <c r="H373">
        <f>IFERROR(--INDEX('Term investments'!$H:$H,ROW()),0)</f>
        <v/>
      </c>
      <c r="I373">
        <f>IF(ISNUMBER(INDEX('Term investments'!$G:$G,ROW())),1,0)</f>
        <v/>
      </c>
      <c r="J373">
        <f>TRIM(SUBSTITUTE(INDEX('Call accounts and MMFs'!$A:$A,ROW())&amp;""," "," "))</f>
        <v/>
      </c>
      <c r="K373">
        <f>TRIM(SUBSTITUTE(INDEX('Call accounts and MMFs'!$B:$B,ROW())&amp;""," "," "))</f>
        <v/>
      </c>
      <c r="L373">
        <f>TRIM(SUBSTITUTE(INDEX('Call accounts and MMFs'!$C:$C,ROW())&amp;""," "," "))</f>
        <v/>
      </c>
      <c r="M373">
        <f>IFERROR(--INDEX('Call accounts and MMFs'!$D:$D,ROW()),0)</f>
        <v/>
      </c>
      <c r="N373">
        <f>IFERROR(IF(--INDEX('Call accounts and MMFs'!$E:$E,ROW())&gt;=1,--INDEX('Call accounts and MMFs'!$E:$E,ROW())/100,--INDEX('Call accounts and MMFs'!$E:$E,ROW())),0)</f>
        <v/>
      </c>
      <c r="O373">
        <f>IFERROR(--INDEX('Call accounts and MMFs'!$F:$F,ROW()),0)</f>
        <v/>
      </c>
      <c r="P373">
        <f>IF(ISNUMBER(INDEX('Call accounts and MMFs'!$E:$E,ROW())),1,0)</f>
        <v/>
      </c>
      <c r="Q373">
        <f>TRIM(SUBSTITUTE(INDEX('Pooled funds'!$B:$B,ROW())&amp;""," "," "))</f>
        <v/>
      </c>
      <c r="R373">
        <f>IFERROR(--INDEX('Pooled funds'!$C:$C,ROW()),0)</f>
        <v/>
      </c>
      <c r="S373">
        <f>IFERROR(--INDEX('Pooled funds'!$D:$D,ROW()),0)</f>
        <v/>
      </c>
      <c r="T373">
        <f>IFERROR(IF(--INDEX('Pooled funds'!$E:$E,ROW())&gt;=1,--INDEX('Pooled funds'!$E:$E,ROW())/100,--INDEX('Pooled funds'!$E:$E,ROW())),0)</f>
        <v/>
      </c>
      <c r="U373">
        <f>IF(ISNUMBER(INDEX('Pooled funds'!$E:$E,ROW())),1,0)</f>
        <v/>
      </c>
      <c r="V373">
        <f>TRIM(SUBSTITUTE(INDEX('Loans'!$A:$A,ROW())&amp;""," "," "))</f>
        <v/>
      </c>
      <c r="W373">
        <f>TRIM(SUBSTITUTE(INDEX('Loans'!$B:$B,ROW())&amp;""," "," "))</f>
        <v/>
      </c>
      <c r="X373">
        <f>TRIM(SUBSTITUTE(INDEX('Loans'!$C:$C,ROW())&amp;""," "," "))</f>
        <v/>
      </c>
      <c r="Y373">
        <f>IFERROR(--INDEX('Loans'!$D:$D,ROW()),0)</f>
        <v/>
      </c>
      <c r="Z373">
        <f>IFERROR(--INDEX('Loans'!$E:$E,ROW()),0)</f>
        <v/>
      </c>
      <c r="AA373">
        <f>IFERROR(--INDEX('Loans'!$F:$F,ROW()),0)</f>
        <v/>
      </c>
      <c r="AB373">
        <f>IFERROR(IF(--INDEX('Loans'!$G:$G,ROW())&gt;=1,--INDEX('Loans'!$G:$G,ROW())/100,--INDEX('Loans'!$G:$G,ROW())),0)</f>
        <v/>
      </c>
      <c r="AC373">
        <f>TRIM(SUBSTITUTE(INDEX('Loans'!$H:$H,ROW())&amp;""," "," "))</f>
        <v/>
      </c>
      <c r="AD373">
        <f>TRIM(SUBSTITUTE(INDEX('Loans'!$I:$I,ROW())&amp;""," "," "))</f>
        <v/>
      </c>
      <c r="AE373">
        <f>IFERROR(--INDEX('Loans'!$J:$J,ROW()),0)</f>
        <v/>
      </c>
      <c r="AF373">
        <f>TRIM(SUBSTITUTE(INDEX('Loans'!$K:$K,ROW())&amp;""," "," "))</f>
        <v/>
      </c>
      <c r="AG373">
        <f>IFERROR(--INDEX('Loans'!$L:$L,ROW()),0)</f>
        <v/>
      </c>
      <c r="AH373">
        <f>IF(ISNUMBER(INDEX('Loans'!$G:$G,ROW())),1,0)</f>
        <v/>
      </c>
    </row>
    <row r="374">
      <c r="A374">
        <f>TRIM(SUBSTITUTE(INDEX('Term investments'!$A:$A,ROW())&amp;""," "," "))</f>
        <v/>
      </c>
      <c r="B374">
        <f>TRIM(SUBSTITUTE(INDEX('Term investments'!$B:$B,ROW())&amp;""," "," "))</f>
        <v/>
      </c>
      <c r="C374">
        <f>TRIM(SUBSTITUTE(INDEX('Term investments'!$C:$C,ROW())&amp;""," "," "))</f>
        <v/>
      </c>
      <c r="D374">
        <f>IFERROR(--INDEX('Term investments'!$D:$D,ROW()),0)</f>
        <v/>
      </c>
      <c r="E374">
        <f>IFERROR(--INDEX('Term investments'!$E:$E,ROW()),0)</f>
        <v/>
      </c>
      <c r="F374">
        <f>IFERROR(--INDEX('Term investments'!$F:$F,ROW()),0)</f>
        <v/>
      </c>
      <c r="G374">
        <f>IFERROR(IF(--INDEX('Term investments'!$G:$G,ROW())&gt;=1,--INDEX('Term investments'!$G:$G,ROW())/100,--INDEX('Term investments'!$G:$G,ROW())),0)</f>
        <v/>
      </c>
      <c r="H374">
        <f>IFERROR(--INDEX('Term investments'!$H:$H,ROW()),0)</f>
        <v/>
      </c>
      <c r="I374">
        <f>IF(ISNUMBER(INDEX('Term investments'!$G:$G,ROW())),1,0)</f>
        <v/>
      </c>
      <c r="J374">
        <f>TRIM(SUBSTITUTE(INDEX('Call accounts and MMFs'!$A:$A,ROW())&amp;""," "," "))</f>
        <v/>
      </c>
      <c r="K374">
        <f>TRIM(SUBSTITUTE(INDEX('Call accounts and MMFs'!$B:$B,ROW())&amp;""," "," "))</f>
        <v/>
      </c>
      <c r="L374">
        <f>TRIM(SUBSTITUTE(INDEX('Call accounts and MMFs'!$C:$C,ROW())&amp;""," "," "))</f>
        <v/>
      </c>
      <c r="M374">
        <f>IFERROR(--INDEX('Call accounts and MMFs'!$D:$D,ROW()),0)</f>
        <v/>
      </c>
      <c r="N374">
        <f>IFERROR(IF(--INDEX('Call accounts and MMFs'!$E:$E,ROW())&gt;=1,--INDEX('Call accounts and MMFs'!$E:$E,ROW())/100,--INDEX('Call accounts and MMFs'!$E:$E,ROW())),0)</f>
        <v/>
      </c>
      <c r="O374">
        <f>IFERROR(--INDEX('Call accounts and MMFs'!$F:$F,ROW()),0)</f>
        <v/>
      </c>
      <c r="P374">
        <f>IF(ISNUMBER(INDEX('Call accounts and MMFs'!$E:$E,ROW())),1,0)</f>
        <v/>
      </c>
      <c r="Q374">
        <f>TRIM(SUBSTITUTE(INDEX('Pooled funds'!$B:$B,ROW())&amp;""," "," "))</f>
        <v/>
      </c>
      <c r="R374">
        <f>IFERROR(--INDEX('Pooled funds'!$C:$C,ROW()),0)</f>
        <v/>
      </c>
      <c r="S374">
        <f>IFERROR(--INDEX('Pooled funds'!$D:$D,ROW()),0)</f>
        <v/>
      </c>
      <c r="T374">
        <f>IFERROR(IF(--INDEX('Pooled funds'!$E:$E,ROW())&gt;=1,--INDEX('Pooled funds'!$E:$E,ROW())/100,--INDEX('Pooled funds'!$E:$E,ROW())),0)</f>
        <v/>
      </c>
      <c r="U374">
        <f>IF(ISNUMBER(INDEX('Pooled funds'!$E:$E,ROW())),1,0)</f>
        <v/>
      </c>
      <c r="V374">
        <f>TRIM(SUBSTITUTE(INDEX('Loans'!$A:$A,ROW())&amp;""," "," "))</f>
        <v/>
      </c>
      <c r="W374">
        <f>TRIM(SUBSTITUTE(INDEX('Loans'!$B:$B,ROW())&amp;""," "," "))</f>
        <v/>
      </c>
      <c r="X374">
        <f>TRIM(SUBSTITUTE(INDEX('Loans'!$C:$C,ROW())&amp;""," "," "))</f>
        <v/>
      </c>
      <c r="Y374">
        <f>IFERROR(--INDEX('Loans'!$D:$D,ROW()),0)</f>
        <v/>
      </c>
      <c r="Z374">
        <f>IFERROR(--INDEX('Loans'!$E:$E,ROW()),0)</f>
        <v/>
      </c>
      <c r="AA374">
        <f>IFERROR(--INDEX('Loans'!$F:$F,ROW()),0)</f>
        <v/>
      </c>
      <c r="AB374">
        <f>IFERROR(IF(--INDEX('Loans'!$G:$G,ROW())&gt;=1,--INDEX('Loans'!$G:$G,ROW())/100,--INDEX('Loans'!$G:$G,ROW())),0)</f>
        <v/>
      </c>
      <c r="AC374">
        <f>TRIM(SUBSTITUTE(INDEX('Loans'!$H:$H,ROW())&amp;""," "," "))</f>
        <v/>
      </c>
      <c r="AD374">
        <f>TRIM(SUBSTITUTE(INDEX('Loans'!$I:$I,ROW())&amp;""," "," "))</f>
        <v/>
      </c>
      <c r="AE374">
        <f>IFERROR(--INDEX('Loans'!$J:$J,ROW()),0)</f>
        <v/>
      </c>
      <c r="AF374">
        <f>TRIM(SUBSTITUTE(INDEX('Loans'!$K:$K,ROW())&amp;""," "," "))</f>
        <v/>
      </c>
      <c r="AG374">
        <f>IFERROR(--INDEX('Loans'!$L:$L,ROW()),0)</f>
        <v/>
      </c>
      <c r="AH374">
        <f>IF(ISNUMBER(INDEX('Loans'!$G:$G,ROW())),1,0)</f>
        <v/>
      </c>
    </row>
    <row r="375">
      <c r="A375">
        <f>TRIM(SUBSTITUTE(INDEX('Term investments'!$A:$A,ROW())&amp;""," "," "))</f>
        <v/>
      </c>
      <c r="B375">
        <f>TRIM(SUBSTITUTE(INDEX('Term investments'!$B:$B,ROW())&amp;""," "," "))</f>
        <v/>
      </c>
      <c r="C375">
        <f>TRIM(SUBSTITUTE(INDEX('Term investments'!$C:$C,ROW())&amp;""," "," "))</f>
        <v/>
      </c>
      <c r="D375">
        <f>IFERROR(--INDEX('Term investments'!$D:$D,ROW()),0)</f>
        <v/>
      </c>
      <c r="E375">
        <f>IFERROR(--INDEX('Term investments'!$E:$E,ROW()),0)</f>
        <v/>
      </c>
      <c r="F375">
        <f>IFERROR(--INDEX('Term investments'!$F:$F,ROW()),0)</f>
        <v/>
      </c>
      <c r="G375">
        <f>IFERROR(IF(--INDEX('Term investments'!$G:$G,ROW())&gt;=1,--INDEX('Term investments'!$G:$G,ROW())/100,--INDEX('Term investments'!$G:$G,ROW())),0)</f>
        <v/>
      </c>
      <c r="H375">
        <f>IFERROR(--INDEX('Term investments'!$H:$H,ROW()),0)</f>
        <v/>
      </c>
      <c r="I375">
        <f>IF(ISNUMBER(INDEX('Term investments'!$G:$G,ROW())),1,0)</f>
        <v/>
      </c>
      <c r="J375">
        <f>TRIM(SUBSTITUTE(INDEX('Call accounts and MMFs'!$A:$A,ROW())&amp;""," "," "))</f>
        <v/>
      </c>
      <c r="K375">
        <f>TRIM(SUBSTITUTE(INDEX('Call accounts and MMFs'!$B:$B,ROW())&amp;""," "," "))</f>
        <v/>
      </c>
      <c r="L375">
        <f>TRIM(SUBSTITUTE(INDEX('Call accounts and MMFs'!$C:$C,ROW())&amp;""," "," "))</f>
        <v/>
      </c>
      <c r="M375">
        <f>IFERROR(--INDEX('Call accounts and MMFs'!$D:$D,ROW()),0)</f>
        <v/>
      </c>
      <c r="N375">
        <f>IFERROR(IF(--INDEX('Call accounts and MMFs'!$E:$E,ROW())&gt;=1,--INDEX('Call accounts and MMFs'!$E:$E,ROW())/100,--INDEX('Call accounts and MMFs'!$E:$E,ROW())),0)</f>
        <v/>
      </c>
      <c r="O375">
        <f>IFERROR(--INDEX('Call accounts and MMFs'!$F:$F,ROW()),0)</f>
        <v/>
      </c>
      <c r="P375">
        <f>IF(ISNUMBER(INDEX('Call accounts and MMFs'!$E:$E,ROW())),1,0)</f>
        <v/>
      </c>
      <c r="Q375">
        <f>TRIM(SUBSTITUTE(INDEX('Pooled funds'!$B:$B,ROW())&amp;""," "," "))</f>
        <v/>
      </c>
      <c r="R375">
        <f>IFERROR(--INDEX('Pooled funds'!$C:$C,ROW()),0)</f>
        <v/>
      </c>
      <c r="S375">
        <f>IFERROR(--INDEX('Pooled funds'!$D:$D,ROW()),0)</f>
        <v/>
      </c>
      <c r="T375">
        <f>IFERROR(IF(--INDEX('Pooled funds'!$E:$E,ROW())&gt;=1,--INDEX('Pooled funds'!$E:$E,ROW())/100,--INDEX('Pooled funds'!$E:$E,ROW())),0)</f>
        <v/>
      </c>
      <c r="U375">
        <f>IF(ISNUMBER(INDEX('Pooled funds'!$E:$E,ROW())),1,0)</f>
        <v/>
      </c>
      <c r="V375">
        <f>TRIM(SUBSTITUTE(INDEX('Loans'!$A:$A,ROW())&amp;""," "," "))</f>
        <v/>
      </c>
      <c r="W375">
        <f>TRIM(SUBSTITUTE(INDEX('Loans'!$B:$B,ROW())&amp;""," "," "))</f>
        <v/>
      </c>
      <c r="X375">
        <f>TRIM(SUBSTITUTE(INDEX('Loans'!$C:$C,ROW())&amp;""," "," "))</f>
        <v/>
      </c>
      <c r="Y375">
        <f>IFERROR(--INDEX('Loans'!$D:$D,ROW()),0)</f>
        <v/>
      </c>
      <c r="Z375">
        <f>IFERROR(--INDEX('Loans'!$E:$E,ROW()),0)</f>
        <v/>
      </c>
      <c r="AA375">
        <f>IFERROR(--INDEX('Loans'!$F:$F,ROW()),0)</f>
        <v/>
      </c>
      <c r="AB375">
        <f>IFERROR(IF(--INDEX('Loans'!$G:$G,ROW())&gt;=1,--INDEX('Loans'!$G:$G,ROW())/100,--INDEX('Loans'!$G:$G,ROW())),0)</f>
        <v/>
      </c>
      <c r="AC375">
        <f>TRIM(SUBSTITUTE(INDEX('Loans'!$H:$H,ROW())&amp;""," "," "))</f>
        <v/>
      </c>
      <c r="AD375">
        <f>TRIM(SUBSTITUTE(INDEX('Loans'!$I:$I,ROW())&amp;""," "," "))</f>
        <v/>
      </c>
      <c r="AE375">
        <f>IFERROR(--INDEX('Loans'!$J:$J,ROW()),0)</f>
        <v/>
      </c>
      <c r="AF375">
        <f>TRIM(SUBSTITUTE(INDEX('Loans'!$K:$K,ROW())&amp;""," "," "))</f>
        <v/>
      </c>
      <c r="AG375">
        <f>IFERROR(--INDEX('Loans'!$L:$L,ROW()),0)</f>
        <v/>
      </c>
      <c r="AH375">
        <f>IF(ISNUMBER(INDEX('Loans'!$G:$G,ROW())),1,0)</f>
        <v/>
      </c>
    </row>
    <row r="376">
      <c r="A376">
        <f>TRIM(SUBSTITUTE(INDEX('Term investments'!$A:$A,ROW())&amp;""," "," "))</f>
        <v/>
      </c>
      <c r="B376">
        <f>TRIM(SUBSTITUTE(INDEX('Term investments'!$B:$B,ROW())&amp;""," "," "))</f>
        <v/>
      </c>
      <c r="C376">
        <f>TRIM(SUBSTITUTE(INDEX('Term investments'!$C:$C,ROW())&amp;""," "," "))</f>
        <v/>
      </c>
      <c r="D376">
        <f>IFERROR(--INDEX('Term investments'!$D:$D,ROW()),0)</f>
        <v/>
      </c>
      <c r="E376">
        <f>IFERROR(--INDEX('Term investments'!$E:$E,ROW()),0)</f>
        <v/>
      </c>
      <c r="F376">
        <f>IFERROR(--INDEX('Term investments'!$F:$F,ROW()),0)</f>
        <v/>
      </c>
      <c r="G376">
        <f>IFERROR(IF(--INDEX('Term investments'!$G:$G,ROW())&gt;=1,--INDEX('Term investments'!$G:$G,ROW())/100,--INDEX('Term investments'!$G:$G,ROW())),0)</f>
        <v/>
      </c>
      <c r="H376">
        <f>IFERROR(--INDEX('Term investments'!$H:$H,ROW()),0)</f>
        <v/>
      </c>
      <c r="I376">
        <f>IF(ISNUMBER(INDEX('Term investments'!$G:$G,ROW())),1,0)</f>
        <v/>
      </c>
      <c r="J376">
        <f>TRIM(SUBSTITUTE(INDEX('Call accounts and MMFs'!$A:$A,ROW())&amp;""," "," "))</f>
        <v/>
      </c>
      <c r="K376">
        <f>TRIM(SUBSTITUTE(INDEX('Call accounts and MMFs'!$B:$B,ROW())&amp;""," "," "))</f>
        <v/>
      </c>
      <c r="L376">
        <f>TRIM(SUBSTITUTE(INDEX('Call accounts and MMFs'!$C:$C,ROW())&amp;""," "," "))</f>
        <v/>
      </c>
      <c r="M376">
        <f>IFERROR(--INDEX('Call accounts and MMFs'!$D:$D,ROW()),0)</f>
        <v/>
      </c>
      <c r="N376">
        <f>IFERROR(IF(--INDEX('Call accounts and MMFs'!$E:$E,ROW())&gt;=1,--INDEX('Call accounts and MMFs'!$E:$E,ROW())/100,--INDEX('Call accounts and MMFs'!$E:$E,ROW())),0)</f>
        <v/>
      </c>
      <c r="O376">
        <f>IFERROR(--INDEX('Call accounts and MMFs'!$F:$F,ROW()),0)</f>
        <v/>
      </c>
      <c r="P376">
        <f>IF(ISNUMBER(INDEX('Call accounts and MMFs'!$E:$E,ROW())),1,0)</f>
        <v/>
      </c>
      <c r="Q376">
        <f>TRIM(SUBSTITUTE(INDEX('Pooled funds'!$B:$B,ROW())&amp;""," "," "))</f>
        <v/>
      </c>
      <c r="R376">
        <f>IFERROR(--INDEX('Pooled funds'!$C:$C,ROW()),0)</f>
        <v/>
      </c>
      <c r="S376">
        <f>IFERROR(--INDEX('Pooled funds'!$D:$D,ROW()),0)</f>
        <v/>
      </c>
      <c r="T376">
        <f>IFERROR(IF(--INDEX('Pooled funds'!$E:$E,ROW())&gt;=1,--INDEX('Pooled funds'!$E:$E,ROW())/100,--INDEX('Pooled funds'!$E:$E,ROW())),0)</f>
        <v/>
      </c>
      <c r="U376">
        <f>IF(ISNUMBER(INDEX('Pooled funds'!$E:$E,ROW())),1,0)</f>
        <v/>
      </c>
      <c r="V376">
        <f>TRIM(SUBSTITUTE(INDEX('Loans'!$A:$A,ROW())&amp;""," "," "))</f>
        <v/>
      </c>
      <c r="W376">
        <f>TRIM(SUBSTITUTE(INDEX('Loans'!$B:$B,ROW())&amp;""," "," "))</f>
        <v/>
      </c>
      <c r="X376">
        <f>TRIM(SUBSTITUTE(INDEX('Loans'!$C:$C,ROW())&amp;""," "," "))</f>
        <v/>
      </c>
      <c r="Y376">
        <f>IFERROR(--INDEX('Loans'!$D:$D,ROW()),0)</f>
        <v/>
      </c>
      <c r="Z376">
        <f>IFERROR(--INDEX('Loans'!$E:$E,ROW()),0)</f>
        <v/>
      </c>
      <c r="AA376">
        <f>IFERROR(--INDEX('Loans'!$F:$F,ROW()),0)</f>
        <v/>
      </c>
      <c r="AB376">
        <f>IFERROR(IF(--INDEX('Loans'!$G:$G,ROW())&gt;=1,--INDEX('Loans'!$G:$G,ROW())/100,--INDEX('Loans'!$G:$G,ROW())),0)</f>
        <v/>
      </c>
      <c r="AC376">
        <f>TRIM(SUBSTITUTE(INDEX('Loans'!$H:$H,ROW())&amp;""," "," "))</f>
        <v/>
      </c>
      <c r="AD376">
        <f>TRIM(SUBSTITUTE(INDEX('Loans'!$I:$I,ROW())&amp;""," "," "))</f>
        <v/>
      </c>
      <c r="AE376">
        <f>IFERROR(--INDEX('Loans'!$J:$J,ROW()),0)</f>
        <v/>
      </c>
      <c r="AF376">
        <f>TRIM(SUBSTITUTE(INDEX('Loans'!$K:$K,ROW())&amp;""," "," "))</f>
        <v/>
      </c>
      <c r="AG376">
        <f>IFERROR(--INDEX('Loans'!$L:$L,ROW()),0)</f>
        <v/>
      </c>
      <c r="AH376">
        <f>IF(ISNUMBER(INDEX('Loans'!$G:$G,ROW())),1,0)</f>
        <v/>
      </c>
    </row>
    <row r="377">
      <c r="A377">
        <f>TRIM(SUBSTITUTE(INDEX('Term investments'!$A:$A,ROW())&amp;""," "," "))</f>
        <v/>
      </c>
      <c r="B377">
        <f>TRIM(SUBSTITUTE(INDEX('Term investments'!$B:$B,ROW())&amp;""," "," "))</f>
        <v/>
      </c>
      <c r="C377">
        <f>TRIM(SUBSTITUTE(INDEX('Term investments'!$C:$C,ROW())&amp;""," "," "))</f>
        <v/>
      </c>
      <c r="D377">
        <f>IFERROR(--INDEX('Term investments'!$D:$D,ROW()),0)</f>
        <v/>
      </c>
      <c r="E377">
        <f>IFERROR(--INDEX('Term investments'!$E:$E,ROW()),0)</f>
        <v/>
      </c>
      <c r="F377">
        <f>IFERROR(--INDEX('Term investments'!$F:$F,ROW()),0)</f>
        <v/>
      </c>
      <c r="G377">
        <f>IFERROR(IF(--INDEX('Term investments'!$G:$G,ROW())&gt;=1,--INDEX('Term investments'!$G:$G,ROW())/100,--INDEX('Term investments'!$G:$G,ROW())),0)</f>
        <v/>
      </c>
      <c r="H377">
        <f>IFERROR(--INDEX('Term investments'!$H:$H,ROW()),0)</f>
        <v/>
      </c>
      <c r="I377">
        <f>IF(ISNUMBER(INDEX('Term investments'!$G:$G,ROW())),1,0)</f>
        <v/>
      </c>
      <c r="J377">
        <f>TRIM(SUBSTITUTE(INDEX('Call accounts and MMFs'!$A:$A,ROW())&amp;""," "," "))</f>
        <v/>
      </c>
      <c r="K377">
        <f>TRIM(SUBSTITUTE(INDEX('Call accounts and MMFs'!$B:$B,ROW())&amp;""," "," "))</f>
        <v/>
      </c>
      <c r="L377">
        <f>TRIM(SUBSTITUTE(INDEX('Call accounts and MMFs'!$C:$C,ROW())&amp;""," "," "))</f>
        <v/>
      </c>
      <c r="M377">
        <f>IFERROR(--INDEX('Call accounts and MMFs'!$D:$D,ROW()),0)</f>
        <v/>
      </c>
      <c r="N377">
        <f>IFERROR(IF(--INDEX('Call accounts and MMFs'!$E:$E,ROW())&gt;=1,--INDEX('Call accounts and MMFs'!$E:$E,ROW())/100,--INDEX('Call accounts and MMFs'!$E:$E,ROW())),0)</f>
        <v/>
      </c>
      <c r="O377">
        <f>IFERROR(--INDEX('Call accounts and MMFs'!$F:$F,ROW()),0)</f>
        <v/>
      </c>
      <c r="P377">
        <f>IF(ISNUMBER(INDEX('Call accounts and MMFs'!$E:$E,ROW())),1,0)</f>
        <v/>
      </c>
      <c r="Q377">
        <f>TRIM(SUBSTITUTE(INDEX('Pooled funds'!$B:$B,ROW())&amp;""," "," "))</f>
        <v/>
      </c>
      <c r="R377">
        <f>IFERROR(--INDEX('Pooled funds'!$C:$C,ROW()),0)</f>
        <v/>
      </c>
      <c r="S377">
        <f>IFERROR(--INDEX('Pooled funds'!$D:$D,ROW()),0)</f>
        <v/>
      </c>
      <c r="T377">
        <f>IFERROR(IF(--INDEX('Pooled funds'!$E:$E,ROW())&gt;=1,--INDEX('Pooled funds'!$E:$E,ROW())/100,--INDEX('Pooled funds'!$E:$E,ROW())),0)</f>
        <v/>
      </c>
      <c r="U377">
        <f>IF(ISNUMBER(INDEX('Pooled funds'!$E:$E,ROW())),1,0)</f>
        <v/>
      </c>
      <c r="V377">
        <f>TRIM(SUBSTITUTE(INDEX('Loans'!$A:$A,ROW())&amp;""," "," "))</f>
        <v/>
      </c>
      <c r="W377">
        <f>TRIM(SUBSTITUTE(INDEX('Loans'!$B:$B,ROW())&amp;""," "," "))</f>
        <v/>
      </c>
      <c r="X377">
        <f>TRIM(SUBSTITUTE(INDEX('Loans'!$C:$C,ROW())&amp;""," "," "))</f>
        <v/>
      </c>
      <c r="Y377">
        <f>IFERROR(--INDEX('Loans'!$D:$D,ROW()),0)</f>
        <v/>
      </c>
      <c r="Z377">
        <f>IFERROR(--INDEX('Loans'!$E:$E,ROW()),0)</f>
        <v/>
      </c>
      <c r="AA377">
        <f>IFERROR(--INDEX('Loans'!$F:$F,ROW()),0)</f>
        <v/>
      </c>
      <c r="AB377">
        <f>IFERROR(IF(--INDEX('Loans'!$G:$G,ROW())&gt;=1,--INDEX('Loans'!$G:$G,ROW())/100,--INDEX('Loans'!$G:$G,ROW())),0)</f>
        <v/>
      </c>
      <c r="AC377">
        <f>TRIM(SUBSTITUTE(INDEX('Loans'!$H:$H,ROW())&amp;""," "," "))</f>
        <v/>
      </c>
      <c r="AD377">
        <f>TRIM(SUBSTITUTE(INDEX('Loans'!$I:$I,ROW())&amp;""," "," "))</f>
        <v/>
      </c>
      <c r="AE377">
        <f>IFERROR(--INDEX('Loans'!$J:$J,ROW()),0)</f>
        <v/>
      </c>
      <c r="AF377">
        <f>TRIM(SUBSTITUTE(INDEX('Loans'!$K:$K,ROW())&amp;""," "," "))</f>
        <v/>
      </c>
      <c r="AG377">
        <f>IFERROR(--INDEX('Loans'!$L:$L,ROW()),0)</f>
        <v/>
      </c>
      <c r="AH377">
        <f>IF(ISNUMBER(INDEX('Loans'!$G:$G,ROW())),1,0)</f>
        <v/>
      </c>
    </row>
    <row r="378">
      <c r="A378">
        <f>TRIM(SUBSTITUTE(INDEX('Term investments'!$A:$A,ROW())&amp;""," "," "))</f>
        <v/>
      </c>
      <c r="B378">
        <f>TRIM(SUBSTITUTE(INDEX('Term investments'!$B:$B,ROW())&amp;""," "," "))</f>
        <v/>
      </c>
      <c r="C378">
        <f>TRIM(SUBSTITUTE(INDEX('Term investments'!$C:$C,ROW())&amp;""," "," "))</f>
        <v/>
      </c>
      <c r="D378">
        <f>IFERROR(--INDEX('Term investments'!$D:$D,ROW()),0)</f>
        <v/>
      </c>
      <c r="E378">
        <f>IFERROR(--INDEX('Term investments'!$E:$E,ROW()),0)</f>
        <v/>
      </c>
      <c r="F378">
        <f>IFERROR(--INDEX('Term investments'!$F:$F,ROW()),0)</f>
        <v/>
      </c>
      <c r="G378">
        <f>IFERROR(IF(--INDEX('Term investments'!$G:$G,ROW())&gt;=1,--INDEX('Term investments'!$G:$G,ROW())/100,--INDEX('Term investments'!$G:$G,ROW())),0)</f>
        <v/>
      </c>
      <c r="H378">
        <f>IFERROR(--INDEX('Term investments'!$H:$H,ROW()),0)</f>
        <v/>
      </c>
      <c r="I378">
        <f>IF(ISNUMBER(INDEX('Term investments'!$G:$G,ROW())),1,0)</f>
        <v/>
      </c>
      <c r="J378">
        <f>TRIM(SUBSTITUTE(INDEX('Call accounts and MMFs'!$A:$A,ROW())&amp;""," "," "))</f>
        <v/>
      </c>
      <c r="K378">
        <f>TRIM(SUBSTITUTE(INDEX('Call accounts and MMFs'!$B:$B,ROW())&amp;""," "," "))</f>
        <v/>
      </c>
      <c r="L378">
        <f>TRIM(SUBSTITUTE(INDEX('Call accounts and MMFs'!$C:$C,ROW())&amp;""," "," "))</f>
        <v/>
      </c>
      <c r="M378">
        <f>IFERROR(--INDEX('Call accounts and MMFs'!$D:$D,ROW()),0)</f>
        <v/>
      </c>
      <c r="N378">
        <f>IFERROR(IF(--INDEX('Call accounts and MMFs'!$E:$E,ROW())&gt;=1,--INDEX('Call accounts and MMFs'!$E:$E,ROW())/100,--INDEX('Call accounts and MMFs'!$E:$E,ROW())),0)</f>
        <v/>
      </c>
      <c r="O378">
        <f>IFERROR(--INDEX('Call accounts and MMFs'!$F:$F,ROW()),0)</f>
        <v/>
      </c>
      <c r="P378">
        <f>IF(ISNUMBER(INDEX('Call accounts and MMFs'!$E:$E,ROW())),1,0)</f>
        <v/>
      </c>
      <c r="Q378">
        <f>TRIM(SUBSTITUTE(INDEX('Pooled funds'!$B:$B,ROW())&amp;""," "," "))</f>
        <v/>
      </c>
      <c r="R378">
        <f>IFERROR(--INDEX('Pooled funds'!$C:$C,ROW()),0)</f>
        <v/>
      </c>
      <c r="S378">
        <f>IFERROR(--INDEX('Pooled funds'!$D:$D,ROW()),0)</f>
        <v/>
      </c>
      <c r="T378">
        <f>IFERROR(IF(--INDEX('Pooled funds'!$E:$E,ROW())&gt;=1,--INDEX('Pooled funds'!$E:$E,ROW())/100,--INDEX('Pooled funds'!$E:$E,ROW())),0)</f>
        <v/>
      </c>
      <c r="U378">
        <f>IF(ISNUMBER(INDEX('Pooled funds'!$E:$E,ROW())),1,0)</f>
        <v/>
      </c>
      <c r="V378">
        <f>TRIM(SUBSTITUTE(INDEX('Loans'!$A:$A,ROW())&amp;""," "," "))</f>
        <v/>
      </c>
      <c r="W378">
        <f>TRIM(SUBSTITUTE(INDEX('Loans'!$B:$B,ROW())&amp;""," "," "))</f>
        <v/>
      </c>
      <c r="X378">
        <f>TRIM(SUBSTITUTE(INDEX('Loans'!$C:$C,ROW())&amp;""," "," "))</f>
        <v/>
      </c>
      <c r="Y378">
        <f>IFERROR(--INDEX('Loans'!$D:$D,ROW()),0)</f>
        <v/>
      </c>
      <c r="Z378">
        <f>IFERROR(--INDEX('Loans'!$E:$E,ROW()),0)</f>
        <v/>
      </c>
      <c r="AA378">
        <f>IFERROR(--INDEX('Loans'!$F:$F,ROW()),0)</f>
        <v/>
      </c>
      <c r="AB378">
        <f>IFERROR(IF(--INDEX('Loans'!$G:$G,ROW())&gt;=1,--INDEX('Loans'!$G:$G,ROW())/100,--INDEX('Loans'!$G:$G,ROW())),0)</f>
        <v/>
      </c>
      <c r="AC378">
        <f>TRIM(SUBSTITUTE(INDEX('Loans'!$H:$H,ROW())&amp;""," "," "))</f>
        <v/>
      </c>
      <c r="AD378">
        <f>TRIM(SUBSTITUTE(INDEX('Loans'!$I:$I,ROW())&amp;""," "," "))</f>
        <v/>
      </c>
      <c r="AE378">
        <f>IFERROR(--INDEX('Loans'!$J:$J,ROW()),0)</f>
        <v/>
      </c>
      <c r="AF378">
        <f>TRIM(SUBSTITUTE(INDEX('Loans'!$K:$K,ROW())&amp;""," "," "))</f>
        <v/>
      </c>
      <c r="AG378">
        <f>IFERROR(--INDEX('Loans'!$L:$L,ROW()),0)</f>
        <v/>
      </c>
      <c r="AH378">
        <f>IF(ISNUMBER(INDEX('Loans'!$G:$G,ROW())),1,0)</f>
        <v/>
      </c>
    </row>
    <row r="379">
      <c r="A379">
        <f>TRIM(SUBSTITUTE(INDEX('Term investments'!$A:$A,ROW())&amp;""," "," "))</f>
        <v/>
      </c>
      <c r="B379">
        <f>TRIM(SUBSTITUTE(INDEX('Term investments'!$B:$B,ROW())&amp;""," "," "))</f>
        <v/>
      </c>
      <c r="C379">
        <f>TRIM(SUBSTITUTE(INDEX('Term investments'!$C:$C,ROW())&amp;""," "," "))</f>
        <v/>
      </c>
      <c r="D379">
        <f>IFERROR(--INDEX('Term investments'!$D:$D,ROW()),0)</f>
        <v/>
      </c>
      <c r="E379">
        <f>IFERROR(--INDEX('Term investments'!$E:$E,ROW()),0)</f>
        <v/>
      </c>
      <c r="F379">
        <f>IFERROR(--INDEX('Term investments'!$F:$F,ROW()),0)</f>
        <v/>
      </c>
      <c r="G379">
        <f>IFERROR(IF(--INDEX('Term investments'!$G:$G,ROW())&gt;=1,--INDEX('Term investments'!$G:$G,ROW())/100,--INDEX('Term investments'!$G:$G,ROW())),0)</f>
        <v/>
      </c>
      <c r="H379">
        <f>IFERROR(--INDEX('Term investments'!$H:$H,ROW()),0)</f>
        <v/>
      </c>
      <c r="I379">
        <f>IF(ISNUMBER(INDEX('Term investments'!$G:$G,ROW())),1,0)</f>
        <v/>
      </c>
      <c r="J379">
        <f>TRIM(SUBSTITUTE(INDEX('Call accounts and MMFs'!$A:$A,ROW())&amp;""," "," "))</f>
        <v/>
      </c>
      <c r="K379">
        <f>TRIM(SUBSTITUTE(INDEX('Call accounts and MMFs'!$B:$B,ROW())&amp;""," "," "))</f>
        <v/>
      </c>
      <c r="L379">
        <f>TRIM(SUBSTITUTE(INDEX('Call accounts and MMFs'!$C:$C,ROW())&amp;""," "," "))</f>
        <v/>
      </c>
      <c r="M379">
        <f>IFERROR(--INDEX('Call accounts and MMFs'!$D:$D,ROW()),0)</f>
        <v/>
      </c>
      <c r="N379">
        <f>IFERROR(IF(--INDEX('Call accounts and MMFs'!$E:$E,ROW())&gt;=1,--INDEX('Call accounts and MMFs'!$E:$E,ROW())/100,--INDEX('Call accounts and MMFs'!$E:$E,ROW())),0)</f>
        <v/>
      </c>
      <c r="O379">
        <f>IFERROR(--INDEX('Call accounts and MMFs'!$F:$F,ROW()),0)</f>
        <v/>
      </c>
      <c r="P379">
        <f>IF(ISNUMBER(INDEX('Call accounts and MMFs'!$E:$E,ROW())),1,0)</f>
        <v/>
      </c>
      <c r="Q379">
        <f>TRIM(SUBSTITUTE(INDEX('Pooled funds'!$B:$B,ROW())&amp;""," "," "))</f>
        <v/>
      </c>
      <c r="R379">
        <f>IFERROR(--INDEX('Pooled funds'!$C:$C,ROW()),0)</f>
        <v/>
      </c>
      <c r="S379">
        <f>IFERROR(--INDEX('Pooled funds'!$D:$D,ROW()),0)</f>
        <v/>
      </c>
      <c r="T379">
        <f>IFERROR(IF(--INDEX('Pooled funds'!$E:$E,ROW())&gt;=1,--INDEX('Pooled funds'!$E:$E,ROW())/100,--INDEX('Pooled funds'!$E:$E,ROW())),0)</f>
        <v/>
      </c>
      <c r="U379">
        <f>IF(ISNUMBER(INDEX('Pooled funds'!$E:$E,ROW())),1,0)</f>
        <v/>
      </c>
      <c r="V379">
        <f>TRIM(SUBSTITUTE(INDEX('Loans'!$A:$A,ROW())&amp;""," "," "))</f>
        <v/>
      </c>
      <c r="W379">
        <f>TRIM(SUBSTITUTE(INDEX('Loans'!$B:$B,ROW())&amp;""," "," "))</f>
        <v/>
      </c>
      <c r="X379">
        <f>TRIM(SUBSTITUTE(INDEX('Loans'!$C:$C,ROW())&amp;""," "," "))</f>
        <v/>
      </c>
      <c r="Y379">
        <f>IFERROR(--INDEX('Loans'!$D:$D,ROW()),0)</f>
        <v/>
      </c>
      <c r="Z379">
        <f>IFERROR(--INDEX('Loans'!$E:$E,ROW()),0)</f>
        <v/>
      </c>
      <c r="AA379">
        <f>IFERROR(--INDEX('Loans'!$F:$F,ROW()),0)</f>
        <v/>
      </c>
      <c r="AB379">
        <f>IFERROR(IF(--INDEX('Loans'!$G:$G,ROW())&gt;=1,--INDEX('Loans'!$G:$G,ROW())/100,--INDEX('Loans'!$G:$G,ROW())),0)</f>
        <v/>
      </c>
      <c r="AC379">
        <f>TRIM(SUBSTITUTE(INDEX('Loans'!$H:$H,ROW())&amp;""," "," "))</f>
        <v/>
      </c>
      <c r="AD379">
        <f>TRIM(SUBSTITUTE(INDEX('Loans'!$I:$I,ROW())&amp;""," "," "))</f>
        <v/>
      </c>
      <c r="AE379">
        <f>IFERROR(--INDEX('Loans'!$J:$J,ROW()),0)</f>
        <v/>
      </c>
      <c r="AF379">
        <f>TRIM(SUBSTITUTE(INDEX('Loans'!$K:$K,ROW())&amp;""," "," "))</f>
        <v/>
      </c>
      <c r="AG379">
        <f>IFERROR(--INDEX('Loans'!$L:$L,ROW()),0)</f>
        <v/>
      </c>
      <c r="AH379">
        <f>IF(ISNUMBER(INDEX('Loans'!$G:$G,ROW())),1,0)</f>
        <v/>
      </c>
    </row>
    <row r="380">
      <c r="A380">
        <f>TRIM(SUBSTITUTE(INDEX('Term investments'!$A:$A,ROW())&amp;""," "," "))</f>
        <v/>
      </c>
      <c r="B380">
        <f>TRIM(SUBSTITUTE(INDEX('Term investments'!$B:$B,ROW())&amp;""," "," "))</f>
        <v/>
      </c>
      <c r="C380">
        <f>TRIM(SUBSTITUTE(INDEX('Term investments'!$C:$C,ROW())&amp;""," "," "))</f>
        <v/>
      </c>
      <c r="D380">
        <f>IFERROR(--INDEX('Term investments'!$D:$D,ROW()),0)</f>
        <v/>
      </c>
      <c r="E380">
        <f>IFERROR(--INDEX('Term investments'!$E:$E,ROW()),0)</f>
        <v/>
      </c>
      <c r="F380">
        <f>IFERROR(--INDEX('Term investments'!$F:$F,ROW()),0)</f>
        <v/>
      </c>
      <c r="G380">
        <f>IFERROR(IF(--INDEX('Term investments'!$G:$G,ROW())&gt;=1,--INDEX('Term investments'!$G:$G,ROW())/100,--INDEX('Term investments'!$G:$G,ROW())),0)</f>
        <v/>
      </c>
      <c r="H380">
        <f>IFERROR(--INDEX('Term investments'!$H:$H,ROW()),0)</f>
        <v/>
      </c>
      <c r="I380">
        <f>IF(ISNUMBER(INDEX('Term investments'!$G:$G,ROW())),1,0)</f>
        <v/>
      </c>
      <c r="J380">
        <f>TRIM(SUBSTITUTE(INDEX('Call accounts and MMFs'!$A:$A,ROW())&amp;""," "," "))</f>
        <v/>
      </c>
      <c r="K380">
        <f>TRIM(SUBSTITUTE(INDEX('Call accounts and MMFs'!$B:$B,ROW())&amp;""," "," "))</f>
        <v/>
      </c>
      <c r="L380">
        <f>TRIM(SUBSTITUTE(INDEX('Call accounts and MMFs'!$C:$C,ROW())&amp;""," "," "))</f>
        <v/>
      </c>
      <c r="M380">
        <f>IFERROR(--INDEX('Call accounts and MMFs'!$D:$D,ROW()),0)</f>
        <v/>
      </c>
      <c r="N380">
        <f>IFERROR(IF(--INDEX('Call accounts and MMFs'!$E:$E,ROW())&gt;=1,--INDEX('Call accounts and MMFs'!$E:$E,ROW())/100,--INDEX('Call accounts and MMFs'!$E:$E,ROW())),0)</f>
        <v/>
      </c>
      <c r="O380">
        <f>IFERROR(--INDEX('Call accounts and MMFs'!$F:$F,ROW()),0)</f>
        <v/>
      </c>
      <c r="P380">
        <f>IF(ISNUMBER(INDEX('Call accounts and MMFs'!$E:$E,ROW())),1,0)</f>
        <v/>
      </c>
      <c r="Q380">
        <f>TRIM(SUBSTITUTE(INDEX('Pooled funds'!$B:$B,ROW())&amp;""," "," "))</f>
        <v/>
      </c>
      <c r="R380">
        <f>IFERROR(--INDEX('Pooled funds'!$C:$C,ROW()),0)</f>
        <v/>
      </c>
      <c r="S380">
        <f>IFERROR(--INDEX('Pooled funds'!$D:$D,ROW()),0)</f>
        <v/>
      </c>
      <c r="T380">
        <f>IFERROR(IF(--INDEX('Pooled funds'!$E:$E,ROW())&gt;=1,--INDEX('Pooled funds'!$E:$E,ROW())/100,--INDEX('Pooled funds'!$E:$E,ROW())),0)</f>
        <v/>
      </c>
      <c r="U380">
        <f>IF(ISNUMBER(INDEX('Pooled funds'!$E:$E,ROW())),1,0)</f>
        <v/>
      </c>
      <c r="V380">
        <f>TRIM(SUBSTITUTE(INDEX('Loans'!$A:$A,ROW())&amp;""," "," "))</f>
        <v/>
      </c>
      <c r="W380">
        <f>TRIM(SUBSTITUTE(INDEX('Loans'!$B:$B,ROW())&amp;""," "," "))</f>
        <v/>
      </c>
      <c r="X380">
        <f>TRIM(SUBSTITUTE(INDEX('Loans'!$C:$C,ROW())&amp;""," "," "))</f>
        <v/>
      </c>
      <c r="Y380">
        <f>IFERROR(--INDEX('Loans'!$D:$D,ROW()),0)</f>
        <v/>
      </c>
      <c r="Z380">
        <f>IFERROR(--INDEX('Loans'!$E:$E,ROW()),0)</f>
        <v/>
      </c>
      <c r="AA380">
        <f>IFERROR(--INDEX('Loans'!$F:$F,ROW()),0)</f>
        <v/>
      </c>
      <c r="AB380">
        <f>IFERROR(IF(--INDEX('Loans'!$G:$G,ROW())&gt;=1,--INDEX('Loans'!$G:$G,ROW())/100,--INDEX('Loans'!$G:$G,ROW())),0)</f>
        <v/>
      </c>
      <c r="AC380">
        <f>TRIM(SUBSTITUTE(INDEX('Loans'!$H:$H,ROW())&amp;""," "," "))</f>
        <v/>
      </c>
      <c r="AD380">
        <f>TRIM(SUBSTITUTE(INDEX('Loans'!$I:$I,ROW())&amp;""," "," "))</f>
        <v/>
      </c>
      <c r="AE380">
        <f>IFERROR(--INDEX('Loans'!$J:$J,ROW()),0)</f>
        <v/>
      </c>
      <c r="AF380">
        <f>TRIM(SUBSTITUTE(INDEX('Loans'!$K:$K,ROW())&amp;""," "," "))</f>
        <v/>
      </c>
      <c r="AG380">
        <f>IFERROR(--INDEX('Loans'!$L:$L,ROW()),0)</f>
        <v/>
      </c>
      <c r="AH380">
        <f>IF(ISNUMBER(INDEX('Loans'!$G:$G,ROW())),1,0)</f>
        <v/>
      </c>
    </row>
    <row r="381">
      <c r="A381">
        <f>TRIM(SUBSTITUTE(INDEX('Term investments'!$A:$A,ROW())&amp;""," "," "))</f>
        <v/>
      </c>
      <c r="B381">
        <f>TRIM(SUBSTITUTE(INDEX('Term investments'!$B:$B,ROW())&amp;""," "," "))</f>
        <v/>
      </c>
      <c r="C381">
        <f>TRIM(SUBSTITUTE(INDEX('Term investments'!$C:$C,ROW())&amp;""," "," "))</f>
        <v/>
      </c>
      <c r="D381">
        <f>IFERROR(--INDEX('Term investments'!$D:$D,ROW()),0)</f>
        <v/>
      </c>
      <c r="E381">
        <f>IFERROR(--INDEX('Term investments'!$E:$E,ROW()),0)</f>
        <v/>
      </c>
      <c r="F381">
        <f>IFERROR(--INDEX('Term investments'!$F:$F,ROW()),0)</f>
        <v/>
      </c>
      <c r="G381">
        <f>IFERROR(IF(--INDEX('Term investments'!$G:$G,ROW())&gt;=1,--INDEX('Term investments'!$G:$G,ROW())/100,--INDEX('Term investments'!$G:$G,ROW())),0)</f>
        <v/>
      </c>
      <c r="H381">
        <f>IFERROR(--INDEX('Term investments'!$H:$H,ROW()),0)</f>
        <v/>
      </c>
      <c r="I381">
        <f>IF(ISNUMBER(INDEX('Term investments'!$G:$G,ROW())),1,0)</f>
        <v/>
      </c>
      <c r="J381">
        <f>TRIM(SUBSTITUTE(INDEX('Call accounts and MMFs'!$A:$A,ROW())&amp;""," "," "))</f>
        <v/>
      </c>
      <c r="K381">
        <f>TRIM(SUBSTITUTE(INDEX('Call accounts and MMFs'!$B:$B,ROW())&amp;""," "," "))</f>
        <v/>
      </c>
      <c r="L381">
        <f>TRIM(SUBSTITUTE(INDEX('Call accounts and MMFs'!$C:$C,ROW())&amp;""," "," "))</f>
        <v/>
      </c>
      <c r="M381">
        <f>IFERROR(--INDEX('Call accounts and MMFs'!$D:$D,ROW()),0)</f>
        <v/>
      </c>
      <c r="N381">
        <f>IFERROR(IF(--INDEX('Call accounts and MMFs'!$E:$E,ROW())&gt;=1,--INDEX('Call accounts and MMFs'!$E:$E,ROW())/100,--INDEX('Call accounts and MMFs'!$E:$E,ROW())),0)</f>
        <v/>
      </c>
      <c r="O381">
        <f>IFERROR(--INDEX('Call accounts and MMFs'!$F:$F,ROW()),0)</f>
        <v/>
      </c>
      <c r="P381">
        <f>IF(ISNUMBER(INDEX('Call accounts and MMFs'!$E:$E,ROW())),1,0)</f>
        <v/>
      </c>
      <c r="Q381">
        <f>TRIM(SUBSTITUTE(INDEX('Pooled funds'!$B:$B,ROW())&amp;""," "," "))</f>
        <v/>
      </c>
      <c r="R381">
        <f>IFERROR(--INDEX('Pooled funds'!$C:$C,ROW()),0)</f>
        <v/>
      </c>
      <c r="S381">
        <f>IFERROR(--INDEX('Pooled funds'!$D:$D,ROW()),0)</f>
        <v/>
      </c>
      <c r="T381">
        <f>IFERROR(IF(--INDEX('Pooled funds'!$E:$E,ROW())&gt;=1,--INDEX('Pooled funds'!$E:$E,ROW())/100,--INDEX('Pooled funds'!$E:$E,ROW())),0)</f>
        <v/>
      </c>
      <c r="U381">
        <f>IF(ISNUMBER(INDEX('Pooled funds'!$E:$E,ROW())),1,0)</f>
        <v/>
      </c>
      <c r="V381">
        <f>TRIM(SUBSTITUTE(INDEX('Loans'!$A:$A,ROW())&amp;""," "," "))</f>
        <v/>
      </c>
      <c r="W381">
        <f>TRIM(SUBSTITUTE(INDEX('Loans'!$B:$B,ROW())&amp;""," "," "))</f>
        <v/>
      </c>
      <c r="X381">
        <f>TRIM(SUBSTITUTE(INDEX('Loans'!$C:$C,ROW())&amp;""," "," "))</f>
        <v/>
      </c>
      <c r="Y381">
        <f>IFERROR(--INDEX('Loans'!$D:$D,ROW()),0)</f>
        <v/>
      </c>
      <c r="Z381">
        <f>IFERROR(--INDEX('Loans'!$E:$E,ROW()),0)</f>
        <v/>
      </c>
      <c r="AA381">
        <f>IFERROR(--INDEX('Loans'!$F:$F,ROW()),0)</f>
        <v/>
      </c>
      <c r="AB381">
        <f>IFERROR(IF(--INDEX('Loans'!$G:$G,ROW())&gt;=1,--INDEX('Loans'!$G:$G,ROW())/100,--INDEX('Loans'!$G:$G,ROW())),0)</f>
        <v/>
      </c>
      <c r="AC381">
        <f>TRIM(SUBSTITUTE(INDEX('Loans'!$H:$H,ROW())&amp;""," "," "))</f>
        <v/>
      </c>
      <c r="AD381">
        <f>TRIM(SUBSTITUTE(INDEX('Loans'!$I:$I,ROW())&amp;""," "," "))</f>
        <v/>
      </c>
      <c r="AE381">
        <f>IFERROR(--INDEX('Loans'!$J:$J,ROW()),0)</f>
        <v/>
      </c>
      <c r="AF381">
        <f>TRIM(SUBSTITUTE(INDEX('Loans'!$K:$K,ROW())&amp;""," "," "))</f>
        <v/>
      </c>
      <c r="AG381">
        <f>IFERROR(--INDEX('Loans'!$L:$L,ROW()),0)</f>
        <v/>
      </c>
      <c r="AH381">
        <f>IF(ISNUMBER(INDEX('Loans'!$G:$G,ROW())),1,0)</f>
        <v/>
      </c>
    </row>
    <row r="382">
      <c r="A382">
        <f>TRIM(SUBSTITUTE(INDEX('Term investments'!$A:$A,ROW())&amp;""," "," "))</f>
        <v/>
      </c>
      <c r="B382">
        <f>TRIM(SUBSTITUTE(INDEX('Term investments'!$B:$B,ROW())&amp;""," "," "))</f>
        <v/>
      </c>
      <c r="C382">
        <f>TRIM(SUBSTITUTE(INDEX('Term investments'!$C:$C,ROW())&amp;""," "," "))</f>
        <v/>
      </c>
      <c r="D382">
        <f>IFERROR(--INDEX('Term investments'!$D:$D,ROW()),0)</f>
        <v/>
      </c>
      <c r="E382">
        <f>IFERROR(--INDEX('Term investments'!$E:$E,ROW()),0)</f>
        <v/>
      </c>
      <c r="F382">
        <f>IFERROR(--INDEX('Term investments'!$F:$F,ROW()),0)</f>
        <v/>
      </c>
      <c r="G382">
        <f>IFERROR(IF(--INDEX('Term investments'!$G:$G,ROW())&gt;=1,--INDEX('Term investments'!$G:$G,ROW())/100,--INDEX('Term investments'!$G:$G,ROW())),0)</f>
        <v/>
      </c>
      <c r="H382">
        <f>IFERROR(--INDEX('Term investments'!$H:$H,ROW()),0)</f>
        <v/>
      </c>
      <c r="I382">
        <f>IF(ISNUMBER(INDEX('Term investments'!$G:$G,ROW())),1,0)</f>
        <v/>
      </c>
      <c r="J382">
        <f>TRIM(SUBSTITUTE(INDEX('Call accounts and MMFs'!$A:$A,ROW())&amp;""," "," "))</f>
        <v/>
      </c>
      <c r="K382">
        <f>TRIM(SUBSTITUTE(INDEX('Call accounts and MMFs'!$B:$B,ROW())&amp;""," "," "))</f>
        <v/>
      </c>
      <c r="L382">
        <f>TRIM(SUBSTITUTE(INDEX('Call accounts and MMFs'!$C:$C,ROW())&amp;""," "," "))</f>
        <v/>
      </c>
      <c r="M382">
        <f>IFERROR(--INDEX('Call accounts and MMFs'!$D:$D,ROW()),0)</f>
        <v/>
      </c>
      <c r="N382">
        <f>IFERROR(IF(--INDEX('Call accounts and MMFs'!$E:$E,ROW())&gt;=1,--INDEX('Call accounts and MMFs'!$E:$E,ROW())/100,--INDEX('Call accounts and MMFs'!$E:$E,ROW())),0)</f>
        <v/>
      </c>
      <c r="O382">
        <f>IFERROR(--INDEX('Call accounts and MMFs'!$F:$F,ROW()),0)</f>
        <v/>
      </c>
      <c r="P382">
        <f>IF(ISNUMBER(INDEX('Call accounts and MMFs'!$E:$E,ROW())),1,0)</f>
        <v/>
      </c>
      <c r="Q382">
        <f>TRIM(SUBSTITUTE(INDEX('Pooled funds'!$B:$B,ROW())&amp;""," "," "))</f>
        <v/>
      </c>
      <c r="R382">
        <f>IFERROR(--INDEX('Pooled funds'!$C:$C,ROW()),0)</f>
        <v/>
      </c>
      <c r="S382">
        <f>IFERROR(--INDEX('Pooled funds'!$D:$D,ROW()),0)</f>
        <v/>
      </c>
      <c r="T382">
        <f>IFERROR(IF(--INDEX('Pooled funds'!$E:$E,ROW())&gt;=1,--INDEX('Pooled funds'!$E:$E,ROW())/100,--INDEX('Pooled funds'!$E:$E,ROW())),0)</f>
        <v/>
      </c>
      <c r="U382">
        <f>IF(ISNUMBER(INDEX('Pooled funds'!$E:$E,ROW())),1,0)</f>
        <v/>
      </c>
      <c r="V382">
        <f>TRIM(SUBSTITUTE(INDEX('Loans'!$A:$A,ROW())&amp;""," "," "))</f>
        <v/>
      </c>
      <c r="W382">
        <f>TRIM(SUBSTITUTE(INDEX('Loans'!$B:$B,ROW())&amp;""," "," "))</f>
        <v/>
      </c>
      <c r="X382">
        <f>TRIM(SUBSTITUTE(INDEX('Loans'!$C:$C,ROW())&amp;""," "," "))</f>
        <v/>
      </c>
      <c r="Y382">
        <f>IFERROR(--INDEX('Loans'!$D:$D,ROW()),0)</f>
        <v/>
      </c>
      <c r="Z382">
        <f>IFERROR(--INDEX('Loans'!$E:$E,ROW()),0)</f>
        <v/>
      </c>
      <c r="AA382">
        <f>IFERROR(--INDEX('Loans'!$F:$F,ROW()),0)</f>
        <v/>
      </c>
      <c r="AB382">
        <f>IFERROR(IF(--INDEX('Loans'!$G:$G,ROW())&gt;=1,--INDEX('Loans'!$G:$G,ROW())/100,--INDEX('Loans'!$G:$G,ROW())),0)</f>
        <v/>
      </c>
      <c r="AC382">
        <f>TRIM(SUBSTITUTE(INDEX('Loans'!$H:$H,ROW())&amp;""," "," "))</f>
        <v/>
      </c>
      <c r="AD382">
        <f>TRIM(SUBSTITUTE(INDEX('Loans'!$I:$I,ROW())&amp;""," "," "))</f>
        <v/>
      </c>
      <c r="AE382">
        <f>IFERROR(--INDEX('Loans'!$J:$J,ROW()),0)</f>
        <v/>
      </c>
      <c r="AF382">
        <f>TRIM(SUBSTITUTE(INDEX('Loans'!$K:$K,ROW())&amp;""," "," "))</f>
        <v/>
      </c>
      <c r="AG382">
        <f>IFERROR(--INDEX('Loans'!$L:$L,ROW()),0)</f>
        <v/>
      </c>
      <c r="AH382">
        <f>IF(ISNUMBER(INDEX('Loans'!$G:$G,ROW())),1,0)</f>
        <v/>
      </c>
    </row>
    <row r="383">
      <c r="A383">
        <f>TRIM(SUBSTITUTE(INDEX('Term investments'!$A:$A,ROW())&amp;""," "," "))</f>
        <v/>
      </c>
      <c r="B383">
        <f>TRIM(SUBSTITUTE(INDEX('Term investments'!$B:$B,ROW())&amp;""," "," "))</f>
        <v/>
      </c>
      <c r="C383">
        <f>TRIM(SUBSTITUTE(INDEX('Term investments'!$C:$C,ROW())&amp;""," "," "))</f>
        <v/>
      </c>
      <c r="D383">
        <f>IFERROR(--INDEX('Term investments'!$D:$D,ROW()),0)</f>
        <v/>
      </c>
      <c r="E383">
        <f>IFERROR(--INDEX('Term investments'!$E:$E,ROW()),0)</f>
        <v/>
      </c>
      <c r="F383">
        <f>IFERROR(--INDEX('Term investments'!$F:$F,ROW()),0)</f>
        <v/>
      </c>
      <c r="G383">
        <f>IFERROR(IF(--INDEX('Term investments'!$G:$G,ROW())&gt;=1,--INDEX('Term investments'!$G:$G,ROW())/100,--INDEX('Term investments'!$G:$G,ROW())),0)</f>
        <v/>
      </c>
      <c r="H383">
        <f>IFERROR(--INDEX('Term investments'!$H:$H,ROW()),0)</f>
        <v/>
      </c>
      <c r="I383">
        <f>IF(ISNUMBER(INDEX('Term investments'!$G:$G,ROW())),1,0)</f>
        <v/>
      </c>
      <c r="J383">
        <f>TRIM(SUBSTITUTE(INDEX('Call accounts and MMFs'!$A:$A,ROW())&amp;""," "," "))</f>
        <v/>
      </c>
      <c r="K383">
        <f>TRIM(SUBSTITUTE(INDEX('Call accounts and MMFs'!$B:$B,ROW())&amp;""," "," "))</f>
        <v/>
      </c>
      <c r="L383">
        <f>TRIM(SUBSTITUTE(INDEX('Call accounts and MMFs'!$C:$C,ROW())&amp;""," "," "))</f>
        <v/>
      </c>
      <c r="M383">
        <f>IFERROR(--INDEX('Call accounts and MMFs'!$D:$D,ROW()),0)</f>
        <v/>
      </c>
      <c r="N383">
        <f>IFERROR(IF(--INDEX('Call accounts and MMFs'!$E:$E,ROW())&gt;=1,--INDEX('Call accounts and MMFs'!$E:$E,ROW())/100,--INDEX('Call accounts and MMFs'!$E:$E,ROW())),0)</f>
        <v/>
      </c>
      <c r="O383">
        <f>IFERROR(--INDEX('Call accounts and MMFs'!$F:$F,ROW()),0)</f>
        <v/>
      </c>
      <c r="P383">
        <f>IF(ISNUMBER(INDEX('Call accounts and MMFs'!$E:$E,ROW())),1,0)</f>
        <v/>
      </c>
      <c r="Q383">
        <f>TRIM(SUBSTITUTE(INDEX('Pooled funds'!$B:$B,ROW())&amp;""," "," "))</f>
        <v/>
      </c>
      <c r="R383">
        <f>IFERROR(--INDEX('Pooled funds'!$C:$C,ROW()),0)</f>
        <v/>
      </c>
      <c r="S383">
        <f>IFERROR(--INDEX('Pooled funds'!$D:$D,ROW()),0)</f>
        <v/>
      </c>
      <c r="T383">
        <f>IFERROR(IF(--INDEX('Pooled funds'!$E:$E,ROW())&gt;=1,--INDEX('Pooled funds'!$E:$E,ROW())/100,--INDEX('Pooled funds'!$E:$E,ROW())),0)</f>
        <v/>
      </c>
      <c r="U383">
        <f>IF(ISNUMBER(INDEX('Pooled funds'!$E:$E,ROW())),1,0)</f>
        <v/>
      </c>
      <c r="V383">
        <f>TRIM(SUBSTITUTE(INDEX('Loans'!$A:$A,ROW())&amp;""," "," "))</f>
        <v/>
      </c>
      <c r="W383">
        <f>TRIM(SUBSTITUTE(INDEX('Loans'!$B:$B,ROW())&amp;""," "," "))</f>
        <v/>
      </c>
      <c r="X383">
        <f>TRIM(SUBSTITUTE(INDEX('Loans'!$C:$C,ROW())&amp;""," "," "))</f>
        <v/>
      </c>
      <c r="Y383">
        <f>IFERROR(--INDEX('Loans'!$D:$D,ROW()),0)</f>
        <v/>
      </c>
      <c r="Z383">
        <f>IFERROR(--INDEX('Loans'!$E:$E,ROW()),0)</f>
        <v/>
      </c>
      <c r="AA383">
        <f>IFERROR(--INDEX('Loans'!$F:$F,ROW()),0)</f>
        <v/>
      </c>
      <c r="AB383">
        <f>IFERROR(IF(--INDEX('Loans'!$G:$G,ROW())&gt;=1,--INDEX('Loans'!$G:$G,ROW())/100,--INDEX('Loans'!$G:$G,ROW())),0)</f>
        <v/>
      </c>
      <c r="AC383">
        <f>TRIM(SUBSTITUTE(INDEX('Loans'!$H:$H,ROW())&amp;""," "," "))</f>
        <v/>
      </c>
      <c r="AD383">
        <f>TRIM(SUBSTITUTE(INDEX('Loans'!$I:$I,ROW())&amp;""," "," "))</f>
        <v/>
      </c>
      <c r="AE383">
        <f>IFERROR(--INDEX('Loans'!$J:$J,ROW()),0)</f>
        <v/>
      </c>
      <c r="AF383">
        <f>TRIM(SUBSTITUTE(INDEX('Loans'!$K:$K,ROW())&amp;""," "," "))</f>
        <v/>
      </c>
      <c r="AG383">
        <f>IFERROR(--INDEX('Loans'!$L:$L,ROW()),0)</f>
        <v/>
      </c>
      <c r="AH383">
        <f>IF(ISNUMBER(INDEX('Loans'!$G:$G,ROW())),1,0)</f>
        <v/>
      </c>
    </row>
    <row r="384">
      <c r="A384">
        <f>TRIM(SUBSTITUTE(INDEX('Term investments'!$A:$A,ROW())&amp;""," "," "))</f>
        <v/>
      </c>
      <c r="B384">
        <f>TRIM(SUBSTITUTE(INDEX('Term investments'!$B:$B,ROW())&amp;""," "," "))</f>
        <v/>
      </c>
      <c r="C384">
        <f>TRIM(SUBSTITUTE(INDEX('Term investments'!$C:$C,ROW())&amp;""," "," "))</f>
        <v/>
      </c>
      <c r="D384">
        <f>IFERROR(--INDEX('Term investments'!$D:$D,ROW()),0)</f>
        <v/>
      </c>
      <c r="E384">
        <f>IFERROR(--INDEX('Term investments'!$E:$E,ROW()),0)</f>
        <v/>
      </c>
      <c r="F384">
        <f>IFERROR(--INDEX('Term investments'!$F:$F,ROW()),0)</f>
        <v/>
      </c>
      <c r="G384">
        <f>IFERROR(IF(--INDEX('Term investments'!$G:$G,ROW())&gt;=1,--INDEX('Term investments'!$G:$G,ROW())/100,--INDEX('Term investments'!$G:$G,ROW())),0)</f>
        <v/>
      </c>
      <c r="H384">
        <f>IFERROR(--INDEX('Term investments'!$H:$H,ROW()),0)</f>
        <v/>
      </c>
      <c r="I384">
        <f>IF(ISNUMBER(INDEX('Term investments'!$G:$G,ROW())),1,0)</f>
        <v/>
      </c>
      <c r="J384">
        <f>TRIM(SUBSTITUTE(INDEX('Call accounts and MMFs'!$A:$A,ROW())&amp;""," "," "))</f>
        <v/>
      </c>
      <c r="K384">
        <f>TRIM(SUBSTITUTE(INDEX('Call accounts and MMFs'!$B:$B,ROW())&amp;""," "," "))</f>
        <v/>
      </c>
      <c r="L384">
        <f>TRIM(SUBSTITUTE(INDEX('Call accounts and MMFs'!$C:$C,ROW())&amp;""," "," "))</f>
        <v/>
      </c>
      <c r="M384">
        <f>IFERROR(--INDEX('Call accounts and MMFs'!$D:$D,ROW()),0)</f>
        <v/>
      </c>
      <c r="N384">
        <f>IFERROR(IF(--INDEX('Call accounts and MMFs'!$E:$E,ROW())&gt;=1,--INDEX('Call accounts and MMFs'!$E:$E,ROW())/100,--INDEX('Call accounts and MMFs'!$E:$E,ROW())),0)</f>
        <v/>
      </c>
      <c r="O384">
        <f>IFERROR(--INDEX('Call accounts and MMFs'!$F:$F,ROW()),0)</f>
        <v/>
      </c>
      <c r="P384">
        <f>IF(ISNUMBER(INDEX('Call accounts and MMFs'!$E:$E,ROW())),1,0)</f>
        <v/>
      </c>
      <c r="Q384">
        <f>TRIM(SUBSTITUTE(INDEX('Pooled funds'!$B:$B,ROW())&amp;""," "," "))</f>
        <v/>
      </c>
      <c r="R384">
        <f>IFERROR(--INDEX('Pooled funds'!$C:$C,ROW()),0)</f>
        <v/>
      </c>
      <c r="S384">
        <f>IFERROR(--INDEX('Pooled funds'!$D:$D,ROW()),0)</f>
        <v/>
      </c>
      <c r="T384">
        <f>IFERROR(IF(--INDEX('Pooled funds'!$E:$E,ROW())&gt;=1,--INDEX('Pooled funds'!$E:$E,ROW())/100,--INDEX('Pooled funds'!$E:$E,ROW())),0)</f>
        <v/>
      </c>
      <c r="U384">
        <f>IF(ISNUMBER(INDEX('Pooled funds'!$E:$E,ROW())),1,0)</f>
        <v/>
      </c>
      <c r="V384">
        <f>TRIM(SUBSTITUTE(INDEX('Loans'!$A:$A,ROW())&amp;""," "," "))</f>
        <v/>
      </c>
      <c r="W384">
        <f>TRIM(SUBSTITUTE(INDEX('Loans'!$B:$B,ROW())&amp;""," "," "))</f>
        <v/>
      </c>
      <c r="X384">
        <f>TRIM(SUBSTITUTE(INDEX('Loans'!$C:$C,ROW())&amp;""," "," "))</f>
        <v/>
      </c>
      <c r="Y384">
        <f>IFERROR(--INDEX('Loans'!$D:$D,ROW()),0)</f>
        <v/>
      </c>
      <c r="Z384">
        <f>IFERROR(--INDEX('Loans'!$E:$E,ROW()),0)</f>
        <v/>
      </c>
      <c r="AA384">
        <f>IFERROR(--INDEX('Loans'!$F:$F,ROW()),0)</f>
        <v/>
      </c>
      <c r="AB384">
        <f>IFERROR(IF(--INDEX('Loans'!$G:$G,ROW())&gt;=1,--INDEX('Loans'!$G:$G,ROW())/100,--INDEX('Loans'!$G:$G,ROW())),0)</f>
        <v/>
      </c>
      <c r="AC384">
        <f>TRIM(SUBSTITUTE(INDEX('Loans'!$H:$H,ROW())&amp;""," "," "))</f>
        <v/>
      </c>
      <c r="AD384">
        <f>TRIM(SUBSTITUTE(INDEX('Loans'!$I:$I,ROW())&amp;""," "," "))</f>
        <v/>
      </c>
      <c r="AE384">
        <f>IFERROR(--INDEX('Loans'!$J:$J,ROW()),0)</f>
        <v/>
      </c>
      <c r="AF384">
        <f>TRIM(SUBSTITUTE(INDEX('Loans'!$K:$K,ROW())&amp;""," "," "))</f>
        <v/>
      </c>
      <c r="AG384">
        <f>IFERROR(--INDEX('Loans'!$L:$L,ROW()),0)</f>
        <v/>
      </c>
      <c r="AH384">
        <f>IF(ISNUMBER(INDEX('Loans'!$G:$G,ROW())),1,0)</f>
        <v/>
      </c>
    </row>
    <row r="385">
      <c r="A385">
        <f>TRIM(SUBSTITUTE(INDEX('Term investments'!$A:$A,ROW())&amp;""," "," "))</f>
        <v/>
      </c>
      <c r="B385">
        <f>TRIM(SUBSTITUTE(INDEX('Term investments'!$B:$B,ROW())&amp;""," "," "))</f>
        <v/>
      </c>
      <c r="C385">
        <f>TRIM(SUBSTITUTE(INDEX('Term investments'!$C:$C,ROW())&amp;""," "," "))</f>
        <v/>
      </c>
      <c r="D385">
        <f>IFERROR(--INDEX('Term investments'!$D:$D,ROW()),0)</f>
        <v/>
      </c>
      <c r="E385">
        <f>IFERROR(--INDEX('Term investments'!$E:$E,ROW()),0)</f>
        <v/>
      </c>
      <c r="F385">
        <f>IFERROR(--INDEX('Term investments'!$F:$F,ROW()),0)</f>
        <v/>
      </c>
      <c r="G385">
        <f>IFERROR(IF(--INDEX('Term investments'!$G:$G,ROW())&gt;=1,--INDEX('Term investments'!$G:$G,ROW())/100,--INDEX('Term investments'!$G:$G,ROW())),0)</f>
        <v/>
      </c>
      <c r="H385">
        <f>IFERROR(--INDEX('Term investments'!$H:$H,ROW()),0)</f>
        <v/>
      </c>
      <c r="I385">
        <f>IF(ISNUMBER(INDEX('Term investments'!$G:$G,ROW())),1,0)</f>
        <v/>
      </c>
      <c r="J385">
        <f>TRIM(SUBSTITUTE(INDEX('Call accounts and MMFs'!$A:$A,ROW())&amp;""," "," "))</f>
        <v/>
      </c>
      <c r="K385">
        <f>TRIM(SUBSTITUTE(INDEX('Call accounts and MMFs'!$B:$B,ROW())&amp;""," "," "))</f>
        <v/>
      </c>
      <c r="L385">
        <f>TRIM(SUBSTITUTE(INDEX('Call accounts and MMFs'!$C:$C,ROW())&amp;""," "," "))</f>
        <v/>
      </c>
      <c r="M385">
        <f>IFERROR(--INDEX('Call accounts and MMFs'!$D:$D,ROW()),0)</f>
        <v/>
      </c>
      <c r="N385">
        <f>IFERROR(IF(--INDEX('Call accounts and MMFs'!$E:$E,ROW())&gt;=1,--INDEX('Call accounts and MMFs'!$E:$E,ROW())/100,--INDEX('Call accounts and MMFs'!$E:$E,ROW())),0)</f>
        <v/>
      </c>
      <c r="O385">
        <f>IFERROR(--INDEX('Call accounts and MMFs'!$F:$F,ROW()),0)</f>
        <v/>
      </c>
      <c r="P385">
        <f>IF(ISNUMBER(INDEX('Call accounts and MMFs'!$E:$E,ROW())),1,0)</f>
        <v/>
      </c>
      <c r="Q385">
        <f>TRIM(SUBSTITUTE(INDEX('Pooled funds'!$B:$B,ROW())&amp;""," "," "))</f>
        <v/>
      </c>
      <c r="R385">
        <f>IFERROR(--INDEX('Pooled funds'!$C:$C,ROW()),0)</f>
        <v/>
      </c>
      <c r="S385">
        <f>IFERROR(--INDEX('Pooled funds'!$D:$D,ROW()),0)</f>
        <v/>
      </c>
      <c r="T385">
        <f>IFERROR(IF(--INDEX('Pooled funds'!$E:$E,ROW())&gt;=1,--INDEX('Pooled funds'!$E:$E,ROW())/100,--INDEX('Pooled funds'!$E:$E,ROW())),0)</f>
        <v/>
      </c>
      <c r="U385">
        <f>IF(ISNUMBER(INDEX('Pooled funds'!$E:$E,ROW())),1,0)</f>
        <v/>
      </c>
      <c r="V385">
        <f>TRIM(SUBSTITUTE(INDEX('Loans'!$A:$A,ROW())&amp;""," "," "))</f>
        <v/>
      </c>
      <c r="W385">
        <f>TRIM(SUBSTITUTE(INDEX('Loans'!$B:$B,ROW())&amp;""," "," "))</f>
        <v/>
      </c>
      <c r="X385">
        <f>TRIM(SUBSTITUTE(INDEX('Loans'!$C:$C,ROW())&amp;""," "," "))</f>
        <v/>
      </c>
      <c r="Y385">
        <f>IFERROR(--INDEX('Loans'!$D:$D,ROW()),0)</f>
        <v/>
      </c>
      <c r="Z385">
        <f>IFERROR(--INDEX('Loans'!$E:$E,ROW()),0)</f>
        <v/>
      </c>
      <c r="AA385">
        <f>IFERROR(--INDEX('Loans'!$F:$F,ROW()),0)</f>
        <v/>
      </c>
      <c r="AB385">
        <f>IFERROR(IF(--INDEX('Loans'!$G:$G,ROW())&gt;=1,--INDEX('Loans'!$G:$G,ROW())/100,--INDEX('Loans'!$G:$G,ROW())),0)</f>
        <v/>
      </c>
      <c r="AC385">
        <f>TRIM(SUBSTITUTE(INDEX('Loans'!$H:$H,ROW())&amp;""," "," "))</f>
        <v/>
      </c>
      <c r="AD385">
        <f>TRIM(SUBSTITUTE(INDEX('Loans'!$I:$I,ROW())&amp;""," "," "))</f>
        <v/>
      </c>
      <c r="AE385">
        <f>IFERROR(--INDEX('Loans'!$J:$J,ROW()),0)</f>
        <v/>
      </c>
      <c r="AF385">
        <f>TRIM(SUBSTITUTE(INDEX('Loans'!$K:$K,ROW())&amp;""," "," "))</f>
        <v/>
      </c>
      <c r="AG385">
        <f>IFERROR(--INDEX('Loans'!$L:$L,ROW()),0)</f>
        <v/>
      </c>
      <c r="AH385">
        <f>IF(ISNUMBER(INDEX('Loans'!$G:$G,ROW())),1,0)</f>
        <v/>
      </c>
    </row>
    <row r="386">
      <c r="A386">
        <f>TRIM(SUBSTITUTE(INDEX('Term investments'!$A:$A,ROW())&amp;""," "," "))</f>
        <v/>
      </c>
      <c r="B386">
        <f>TRIM(SUBSTITUTE(INDEX('Term investments'!$B:$B,ROW())&amp;""," "," "))</f>
        <v/>
      </c>
      <c r="C386">
        <f>TRIM(SUBSTITUTE(INDEX('Term investments'!$C:$C,ROW())&amp;""," "," "))</f>
        <v/>
      </c>
      <c r="D386">
        <f>IFERROR(--INDEX('Term investments'!$D:$D,ROW()),0)</f>
        <v/>
      </c>
      <c r="E386">
        <f>IFERROR(--INDEX('Term investments'!$E:$E,ROW()),0)</f>
        <v/>
      </c>
      <c r="F386">
        <f>IFERROR(--INDEX('Term investments'!$F:$F,ROW()),0)</f>
        <v/>
      </c>
      <c r="G386">
        <f>IFERROR(IF(--INDEX('Term investments'!$G:$G,ROW())&gt;=1,--INDEX('Term investments'!$G:$G,ROW())/100,--INDEX('Term investments'!$G:$G,ROW())),0)</f>
        <v/>
      </c>
      <c r="H386">
        <f>IFERROR(--INDEX('Term investments'!$H:$H,ROW()),0)</f>
        <v/>
      </c>
      <c r="I386">
        <f>IF(ISNUMBER(INDEX('Term investments'!$G:$G,ROW())),1,0)</f>
        <v/>
      </c>
      <c r="J386">
        <f>TRIM(SUBSTITUTE(INDEX('Call accounts and MMFs'!$A:$A,ROW())&amp;""," "," "))</f>
        <v/>
      </c>
      <c r="K386">
        <f>TRIM(SUBSTITUTE(INDEX('Call accounts and MMFs'!$B:$B,ROW())&amp;""," "," "))</f>
        <v/>
      </c>
      <c r="L386">
        <f>TRIM(SUBSTITUTE(INDEX('Call accounts and MMFs'!$C:$C,ROW())&amp;""," "," "))</f>
        <v/>
      </c>
      <c r="M386">
        <f>IFERROR(--INDEX('Call accounts and MMFs'!$D:$D,ROW()),0)</f>
        <v/>
      </c>
      <c r="N386">
        <f>IFERROR(IF(--INDEX('Call accounts and MMFs'!$E:$E,ROW())&gt;=1,--INDEX('Call accounts and MMFs'!$E:$E,ROW())/100,--INDEX('Call accounts and MMFs'!$E:$E,ROW())),0)</f>
        <v/>
      </c>
      <c r="O386">
        <f>IFERROR(--INDEX('Call accounts and MMFs'!$F:$F,ROW()),0)</f>
        <v/>
      </c>
      <c r="P386">
        <f>IF(ISNUMBER(INDEX('Call accounts and MMFs'!$E:$E,ROW())),1,0)</f>
        <v/>
      </c>
      <c r="Q386">
        <f>TRIM(SUBSTITUTE(INDEX('Pooled funds'!$B:$B,ROW())&amp;""," "," "))</f>
        <v/>
      </c>
      <c r="R386">
        <f>IFERROR(--INDEX('Pooled funds'!$C:$C,ROW()),0)</f>
        <v/>
      </c>
      <c r="S386">
        <f>IFERROR(--INDEX('Pooled funds'!$D:$D,ROW()),0)</f>
        <v/>
      </c>
      <c r="T386">
        <f>IFERROR(IF(--INDEX('Pooled funds'!$E:$E,ROW())&gt;=1,--INDEX('Pooled funds'!$E:$E,ROW())/100,--INDEX('Pooled funds'!$E:$E,ROW())),0)</f>
        <v/>
      </c>
      <c r="U386">
        <f>IF(ISNUMBER(INDEX('Pooled funds'!$E:$E,ROW())),1,0)</f>
        <v/>
      </c>
      <c r="V386">
        <f>TRIM(SUBSTITUTE(INDEX('Loans'!$A:$A,ROW())&amp;""," "," "))</f>
        <v/>
      </c>
      <c r="W386">
        <f>TRIM(SUBSTITUTE(INDEX('Loans'!$B:$B,ROW())&amp;""," "," "))</f>
        <v/>
      </c>
      <c r="X386">
        <f>TRIM(SUBSTITUTE(INDEX('Loans'!$C:$C,ROW())&amp;""," "," "))</f>
        <v/>
      </c>
      <c r="Y386">
        <f>IFERROR(--INDEX('Loans'!$D:$D,ROW()),0)</f>
        <v/>
      </c>
      <c r="Z386">
        <f>IFERROR(--INDEX('Loans'!$E:$E,ROW()),0)</f>
        <v/>
      </c>
      <c r="AA386">
        <f>IFERROR(--INDEX('Loans'!$F:$F,ROW()),0)</f>
        <v/>
      </c>
      <c r="AB386">
        <f>IFERROR(IF(--INDEX('Loans'!$G:$G,ROW())&gt;=1,--INDEX('Loans'!$G:$G,ROW())/100,--INDEX('Loans'!$G:$G,ROW())),0)</f>
        <v/>
      </c>
      <c r="AC386">
        <f>TRIM(SUBSTITUTE(INDEX('Loans'!$H:$H,ROW())&amp;""," "," "))</f>
        <v/>
      </c>
      <c r="AD386">
        <f>TRIM(SUBSTITUTE(INDEX('Loans'!$I:$I,ROW())&amp;""," "," "))</f>
        <v/>
      </c>
      <c r="AE386">
        <f>IFERROR(--INDEX('Loans'!$J:$J,ROW()),0)</f>
        <v/>
      </c>
      <c r="AF386">
        <f>TRIM(SUBSTITUTE(INDEX('Loans'!$K:$K,ROW())&amp;""," "," "))</f>
        <v/>
      </c>
      <c r="AG386">
        <f>IFERROR(--INDEX('Loans'!$L:$L,ROW()),0)</f>
        <v/>
      </c>
      <c r="AH386">
        <f>IF(ISNUMBER(INDEX('Loans'!$G:$G,ROW())),1,0)</f>
        <v/>
      </c>
    </row>
    <row r="387">
      <c r="A387">
        <f>TRIM(SUBSTITUTE(INDEX('Term investments'!$A:$A,ROW())&amp;""," "," "))</f>
        <v/>
      </c>
      <c r="B387">
        <f>TRIM(SUBSTITUTE(INDEX('Term investments'!$B:$B,ROW())&amp;""," "," "))</f>
        <v/>
      </c>
      <c r="C387">
        <f>TRIM(SUBSTITUTE(INDEX('Term investments'!$C:$C,ROW())&amp;""," "," "))</f>
        <v/>
      </c>
      <c r="D387">
        <f>IFERROR(--INDEX('Term investments'!$D:$D,ROW()),0)</f>
        <v/>
      </c>
      <c r="E387">
        <f>IFERROR(--INDEX('Term investments'!$E:$E,ROW()),0)</f>
        <v/>
      </c>
      <c r="F387">
        <f>IFERROR(--INDEX('Term investments'!$F:$F,ROW()),0)</f>
        <v/>
      </c>
      <c r="G387">
        <f>IFERROR(IF(--INDEX('Term investments'!$G:$G,ROW())&gt;=1,--INDEX('Term investments'!$G:$G,ROW())/100,--INDEX('Term investments'!$G:$G,ROW())),0)</f>
        <v/>
      </c>
      <c r="H387">
        <f>IFERROR(--INDEX('Term investments'!$H:$H,ROW()),0)</f>
        <v/>
      </c>
      <c r="I387">
        <f>IF(ISNUMBER(INDEX('Term investments'!$G:$G,ROW())),1,0)</f>
        <v/>
      </c>
      <c r="J387">
        <f>TRIM(SUBSTITUTE(INDEX('Call accounts and MMFs'!$A:$A,ROW())&amp;""," "," "))</f>
        <v/>
      </c>
      <c r="K387">
        <f>TRIM(SUBSTITUTE(INDEX('Call accounts and MMFs'!$B:$B,ROW())&amp;""," "," "))</f>
        <v/>
      </c>
      <c r="L387">
        <f>TRIM(SUBSTITUTE(INDEX('Call accounts and MMFs'!$C:$C,ROW())&amp;""," "," "))</f>
        <v/>
      </c>
      <c r="M387">
        <f>IFERROR(--INDEX('Call accounts and MMFs'!$D:$D,ROW()),0)</f>
        <v/>
      </c>
      <c r="N387">
        <f>IFERROR(IF(--INDEX('Call accounts and MMFs'!$E:$E,ROW())&gt;=1,--INDEX('Call accounts and MMFs'!$E:$E,ROW())/100,--INDEX('Call accounts and MMFs'!$E:$E,ROW())),0)</f>
        <v/>
      </c>
      <c r="O387">
        <f>IFERROR(--INDEX('Call accounts and MMFs'!$F:$F,ROW()),0)</f>
        <v/>
      </c>
      <c r="P387">
        <f>IF(ISNUMBER(INDEX('Call accounts and MMFs'!$E:$E,ROW())),1,0)</f>
        <v/>
      </c>
      <c r="Q387">
        <f>TRIM(SUBSTITUTE(INDEX('Pooled funds'!$B:$B,ROW())&amp;""," "," "))</f>
        <v/>
      </c>
      <c r="R387">
        <f>IFERROR(--INDEX('Pooled funds'!$C:$C,ROW()),0)</f>
        <v/>
      </c>
      <c r="S387">
        <f>IFERROR(--INDEX('Pooled funds'!$D:$D,ROW()),0)</f>
        <v/>
      </c>
      <c r="T387">
        <f>IFERROR(IF(--INDEX('Pooled funds'!$E:$E,ROW())&gt;=1,--INDEX('Pooled funds'!$E:$E,ROW())/100,--INDEX('Pooled funds'!$E:$E,ROW())),0)</f>
        <v/>
      </c>
      <c r="U387">
        <f>IF(ISNUMBER(INDEX('Pooled funds'!$E:$E,ROW())),1,0)</f>
        <v/>
      </c>
      <c r="V387">
        <f>TRIM(SUBSTITUTE(INDEX('Loans'!$A:$A,ROW())&amp;""," "," "))</f>
        <v/>
      </c>
      <c r="W387">
        <f>TRIM(SUBSTITUTE(INDEX('Loans'!$B:$B,ROW())&amp;""," "," "))</f>
        <v/>
      </c>
      <c r="X387">
        <f>TRIM(SUBSTITUTE(INDEX('Loans'!$C:$C,ROW())&amp;""," "," "))</f>
        <v/>
      </c>
      <c r="Y387">
        <f>IFERROR(--INDEX('Loans'!$D:$D,ROW()),0)</f>
        <v/>
      </c>
      <c r="Z387">
        <f>IFERROR(--INDEX('Loans'!$E:$E,ROW()),0)</f>
        <v/>
      </c>
      <c r="AA387">
        <f>IFERROR(--INDEX('Loans'!$F:$F,ROW()),0)</f>
        <v/>
      </c>
      <c r="AB387">
        <f>IFERROR(IF(--INDEX('Loans'!$G:$G,ROW())&gt;=1,--INDEX('Loans'!$G:$G,ROW())/100,--INDEX('Loans'!$G:$G,ROW())),0)</f>
        <v/>
      </c>
      <c r="AC387">
        <f>TRIM(SUBSTITUTE(INDEX('Loans'!$H:$H,ROW())&amp;""," "," "))</f>
        <v/>
      </c>
      <c r="AD387">
        <f>TRIM(SUBSTITUTE(INDEX('Loans'!$I:$I,ROW())&amp;""," "," "))</f>
        <v/>
      </c>
      <c r="AE387">
        <f>IFERROR(--INDEX('Loans'!$J:$J,ROW()),0)</f>
        <v/>
      </c>
      <c r="AF387">
        <f>TRIM(SUBSTITUTE(INDEX('Loans'!$K:$K,ROW())&amp;""," "," "))</f>
        <v/>
      </c>
      <c r="AG387">
        <f>IFERROR(--INDEX('Loans'!$L:$L,ROW()),0)</f>
        <v/>
      </c>
      <c r="AH387">
        <f>IF(ISNUMBER(INDEX('Loans'!$G:$G,ROW())),1,0)</f>
        <v/>
      </c>
    </row>
    <row r="388">
      <c r="A388">
        <f>TRIM(SUBSTITUTE(INDEX('Term investments'!$A:$A,ROW())&amp;""," "," "))</f>
        <v/>
      </c>
      <c r="B388">
        <f>TRIM(SUBSTITUTE(INDEX('Term investments'!$B:$B,ROW())&amp;""," "," "))</f>
        <v/>
      </c>
      <c r="C388">
        <f>TRIM(SUBSTITUTE(INDEX('Term investments'!$C:$C,ROW())&amp;""," "," "))</f>
        <v/>
      </c>
      <c r="D388">
        <f>IFERROR(--INDEX('Term investments'!$D:$D,ROW()),0)</f>
        <v/>
      </c>
      <c r="E388">
        <f>IFERROR(--INDEX('Term investments'!$E:$E,ROW()),0)</f>
        <v/>
      </c>
      <c r="F388">
        <f>IFERROR(--INDEX('Term investments'!$F:$F,ROW()),0)</f>
        <v/>
      </c>
      <c r="G388">
        <f>IFERROR(IF(--INDEX('Term investments'!$G:$G,ROW())&gt;=1,--INDEX('Term investments'!$G:$G,ROW())/100,--INDEX('Term investments'!$G:$G,ROW())),0)</f>
        <v/>
      </c>
      <c r="H388">
        <f>IFERROR(--INDEX('Term investments'!$H:$H,ROW()),0)</f>
        <v/>
      </c>
      <c r="I388">
        <f>IF(ISNUMBER(INDEX('Term investments'!$G:$G,ROW())),1,0)</f>
        <v/>
      </c>
      <c r="J388">
        <f>TRIM(SUBSTITUTE(INDEX('Call accounts and MMFs'!$A:$A,ROW())&amp;""," "," "))</f>
        <v/>
      </c>
      <c r="K388">
        <f>TRIM(SUBSTITUTE(INDEX('Call accounts and MMFs'!$B:$B,ROW())&amp;""," "," "))</f>
        <v/>
      </c>
      <c r="L388">
        <f>TRIM(SUBSTITUTE(INDEX('Call accounts and MMFs'!$C:$C,ROW())&amp;""," "," "))</f>
        <v/>
      </c>
      <c r="M388">
        <f>IFERROR(--INDEX('Call accounts and MMFs'!$D:$D,ROW()),0)</f>
        <v/>
      </c>
      <c r="N388">
        <f>IFERROR(IF(--INDEX('Call accounts and MMFs'!$E:$E,ROW())&gt;=1,--INDEX('Call accounts and MMFs'!$E:$E,ROW())/100,--INDEX('Call accounts and MMFs'!$E:$E,ROW())),0)</f>
        <v/>
      </c>
      <c r="O388">
        <f>IFERROR(--INDEX('Call accounts and MMFs'!$F:$F,ROW()),0)</f>
        <v/>
      </c>
      <c r="P388">
        <f>IF(ISNUMBER(INDEX('Call accounts and MMFs'!$E:$E,ROW())),1,0)</f>
        <v/>
      </c>
      <c r="Q388">
        <f>TRIM(SUBSTITUTE(INDEX('Pooled funds'!$B:$B,ROW())&amp;""," "," "))</f>
        <v/>
      </c>
      <c r="R388">
        <f>IFERROR(--INDEX('Pooled funds'!$C:$C,ROW()),0)</f>
        <v/>
      </c>
      <c r="S388">
        <f>IFERROR(--INDEX('Pooled funds'!$D:$D,ROW()),0)</f>
        <v/>
      </c>
      <c r="T388">
        <f>IFERROR(IF(--INDEX('Pooled funds'!$E:$E,ROW())&gt;=1,--INDEX('Pooled funds'!$E:$E,ROW())/100,--INDEX('Pooled funds'!$E:$E,ROW())),0)</f>
        <v/>
      </c>
      <c r="U388">
        <f>IF(ISNUMBER(INDEX('Pooled funds'!$E:$E,ROW())),1,0)</f>
        <v/>
      </c>
      <c r="V388">
        <f>TRIM(SUBSTITUTE(INDEX('Loans'!$A:$A,ROW())&amp;""," "," "))</f>
        <v/>
      </c>
      <c r="W388">
        <f>TRIM(SUBSTITUTE(INDEX('Loans'!$B:$B,ROW())&amp;""," "," "))</f>
        <v/>
      </c>
      <c r="X388">
        <f>TRIM(SUBSTITUTE(INDEX('Loans'!$C:$C,ROW())&amp;""," "," "))</f>
        <v/>
      </c>
      <c r="Y388">
        <f>IFERROR(--INDEX('Loans'!$D:$D,ROW()),0)</f>
        <v/>
      </c>
      <c r="Z388">
        <f>IFERROR(--INDEX('Loans'!$E:$E,ROW()),0)</f>
        <v/>
      </c>
      <c r="AA388">
        <f>IFERROR(--INDEX('Loans'!$F:$F,ROW()),0)</f>
        <v/>
      </c>
      <c r="AB388">
        <f>IFERROR(IF(--INDEX('Loans'!$G:$G,ROW())&gt;=1,--INDEX('Loans'!$G:$G,ROW())/100,--INDEX('Loans'!$G:$G,ROW())),0)</f>
        <v/>
      </c>
      <c r="AC388">
        <f>TRIM(SUBSTITUTE(INDEX('Loans'!$H:$H,ROW())&amp;""," "," "))</f>
        <v/>
      </c>
      <c r="AD388">
        <f>TRIM(SUBSTITUTE(INDEX('Loans'!$I:$I,ROW())&amp;""," "," "))</f>
        <v/>
      </c>
      <c r="AE388">
        <f>IFERROR(--INDEX('Loans'!$J:$J,ROW()),0)</f>
        <v/>
      </c>
      <c r="AF388">
        <f>TRIM(SUBSTITUTE(INDEX('Loans'!$K:$K,ROW())&amp;""," "," "))</f>
        <v/>
      </c>
      <c r="AG388">
        <f>IFERROR(--INDEX('Loans'!$L:$L,ROW()),0)</f>
        <v/>
      </c>
      <c r="AH388">
        <f>IF(ISNUMBER(INDEX('Loans'!$G:$G,ROW())),1,0)</f>
        <v/>
      </c>
    </row>
    <row r="389">
      <c r="A389">
        <f>TRIM(SUBSTITUTE(INDEX('Term investments'!$A:$A,ROW())&amp;""," "," "))</f>
        <v/>
      </c>
      <c r="B389">
        <f>TRIM(SUBSTITUTE(INDEX('Term investments'!$B:$B,ROW())&amp;""," "," "))</f>
        <v/>
      </c>
      <c r="C389">
        <f>TRIM(SUBSTITUTE(INDEX('Term investments'!$C:$C,ROW())&amp;""," "," "))</f>
        <v/>
      </c>
      <c r="D389">
        <f>IFERROR(--INDEX('Term investments'!$D:$D,ROW()),0)</f>
        <v/>
      </c>
      <c r="E389">
        <f>IFERROR(--INDEX('Term investments'!$E:$E,ROW()),0)</f>
        <v/>
      </c>
      <c r="F389">
        <f>IFERROR(--INDEX('Term investments'!$F:$F,ROW()),0)</f>
        <v/>
      </c>
      <c r="G389">
        <f>IFERROR(IF(--INDEX('Term investments'!$G:$G,ROW())&gt;=1,--INDEX('Term investments'!$G:$G,ROW())/100,--INDEX('Term investments'!$G:$G,ROW())),0)</f>
        <v/>
      </c>
      <c r="H389">
        <f>IFERROR(--INDEX('Term investments'!$H:$H,ROW()),0)</f>
        <v/>
      </c>
      <c r="I389">
        <f>IF(ISNUMBER(INDEX('Term investments'!$G:$G,ROW())),1,0)</f>
        <v/>
      </c>
      <c r="J389">
        <f>TRIM(SUBSTITUTE(INDEX('Call accounts and MMFs'!$A:$A,ROW())&amp;""," "," "))</f>
        <v/>
      </c>
      <c r="K389">
        <f>TRIM(SUBSTITUTE(INDEX('Call accounts and MMFs'!$B:$B,ROW())&amp;""," "," "))</f>
        <v/>
      </c>
      <c r="L389">
        <f>TRIM(SUBSTITUTE(INDEX('Call accounts and MMFs'!$C:$C,ROW())&amp;""," "," "))</f>
        <v/>
      </c>
      <c r="M389">
        <f>IFERROR(--INDEX('Call accounts and MMFs'!$D:$D,ROW()),0)</f>
        <v/>
      </c>
      <c r="N389">
        <f>IFERROR(IF(--INDEX('Call accounts and MMFs'!$E:$E,ROW())&gt;=1,--INDEX('Call accounts and MMFs'!$E:$E,ROW())/100,--INDEX('Call accounts and MMFs'!$E:$E,ROW())),0)</f>
        <v/>
      </c>
      <c r="O389">
        <f>IFERROR(--INDEX('Call accounts and MMFs'!$F:$F,ROW()),0)</f>
        <v/>
      </c>
      <c r="P389">
        <f>IF(ISNUMBER(INDEX('Call accounts and MMFs'!$E:$E,ROW())),1,0)</f>
        <v/>
      </c>
      <c r="Q389">
        <f>TRIM(SUBSTITUTE(INDEX('Pooled funds'!$B:$B,ROW())&amp;""," "," "))</f>
        <v/>
      </c>
      <c r="R389">
        <f>IFERROR(--INDEX('Pooled funds'!$C:$C,ROW()),0)</f>
        <v/>
      </c>
      <c r="S389">
        <f>IFERROR(--INDEX('Pooled funds'!$D:$D,ROW()),0)</f>
        <v/>
      </c>
      <c r="T389">
        <f>IFERROR(IF(--INDEX('Pooled funds'!$E:$E,ROW())&gt;=1,--INDEX('Pooled funds'!$E:$E,ROW())/100,--INDEX('Pooled funds'!$E:$E,ROW())),0)</f>
        <v/>
      </c>
      <c r="U389">
        <f>IF(ISNUMBER(INDEX('Pooled funds'!$E:$E,ROW())),1,0)</f>
        <v/>
      </c>
      <c r="V389">
        <f>TRIM(SUBSTITUTE(INDEX('Loans'!$A:$A,ROW())&amp;""," "," "))</f>
        <v/>
      </c>
      <c r="W389">
        <f>TRIM(SUBSTITUTE(INDEX('Loans'!$B:$B,ROW())&amp;""," "," "))</f>
        <v/>
      </c>
      <c r="X389">
        <f>TRIM(SUBSTITUTE(INDEX('Loans'!$C:$C,ROW())&amp;""," "," "))</f>
        <v/>
      </c>
      <c r="Y389">
        <f>IFERROR(--INDEX('Loans'!$D:$D,ROW()),0)</f>
        <v/>
      </c>
      <c r="Z389">
        <f>IFERROR(--INDEX('Loans'!$E:$E,ROW()),0)</f>
        <v/>
      </c>
      <c r="AA389">
        <f>IFERROR(--INDEX('Loans'!$F:$F,ROW()),0)</f>
        <v/>
      </c>
      <c r="AB389">
        <f>IFERROR(IF(--INDEX('Loans'!$G:$G,ROW())&gt;=1,--INDEX('Loans'!$G:$G,ROW())/100,--INDEX('Loans'!$G:$G,ROW())),0)</f>
        <v/>
      </c>
      <c r="AC389">
        <f>TRIM(SUBSTITUTE(INDEX('Loans'!$H:$H,ROW())&amp;""," "," "))</f>
        <v/>
      </c>
      <c r="AD389">
        <f>TRIM(SUBSTITUTE(INDEX('Loans'!$I:$I,ROW())&amp;""," "," "))</f>
        <v/>
      </c>
      <c r="AE389">
        <f>IFERROR(--INDEX('Loans'!$J:$J,ROW()),0)</f>
        <v/>
      </c>
      <c r="AF389">
        <f>TRIM(SUBSTITUTE(INDEX('Loans'!$K:$K,ROW())&amp;""," "," "))</f>
        <v/>
      </c>
      <c r="AG389">
        <f>IFERROR(--INDEX('Loans'!$L:$L,ROW()),0)</f>
        <v/>
      </c>
      <c r="AH389">
        <f>IF(ISNUMBER(INDEX('Loans'!$G:$G,ROW())),1,0)</f>
        <v/>
      </c>
    </row>
    <row r="390">
      <c r="A390">
        <f>TRIM(SUBSTITUTE(INDEX('Term investments'!$A:$A,ROW())&amp;""," "," "))</f>
        <v/>
      </c>
      <c r="B390">
        <f>TRIM(SUBSTITUTE(INDEX('Term investments'!$B:$B,ROW())&amp;""," "," "))</f>
        <v/>
      </c>
      <c r="C390">
        <f>TRIM(SUBSTITUTE(INDEX('Term investments'!$C:$C,ROW())&amp;""," "," "))</f>
        <v/>
      </c>
      <c r="D390">
        <f>IFERROR(--INDEX('Term investments'!$D:$D,ROW()),0)</f>
        <v/>
      </c>
      <c r="E390">
        <f>IFERROR(--INDEX('Term investments'!$E:$E,ROW()),0)</f>
        <v/>
      </c>
      <c r="F390">
        <f>IFERROR(--INDEX('Term investments'!$F:$F,ROW()),0)</f>
        <v/>
      </c>
      <c r="G390">
        <f>IFERROR(IF(--INDEX('Term investments'!$G:$G,ROW())&gt;=1,--INDEX('Term investments'!$G:$G,ROW())/100,--INDEX('Term investments'!$G:$G,ROW())),0)</f>
        <v/>
      </c>
      <c r="H390">
        <f>IFERROR(--INDEX('Term investments'!$H:$H,ROW()),0)</f>
        <v/>
      </c>
      <c r="I390">
        <f>IF(ISNUMBER(INDEX('Term investments'!$G:$G,ROW())),1,0)</f>
        <v/>
      </c>
      <c r="J390">
        <f>TRIM(SUBSTITUTE(INDEX('Call accounts and MMFs'!$A:$A,ROW())&amp;""," "," "))</f>
        <v/>
      </c>
      <c r="K390">
        <f>TRIM(SUBSTITUTE(INDEX('Call accounts and MMFs'!$B:$B,ROW())&amp;""," "," "))</f>
        <v/>
      </c>
      <c r="L390">
        <f>TRIM(SUBSTITUTE(INDEX('Call accounts and MMFs'!$C:$C,ROW())&amp;""," "," "))</f>
        <v/>
      </c>
      <c r="M390">
        <f>IFERROR(--INDEX('Call accounts and MMFs'!$D:$D,ROW()),0)</f>
        <v/>
      </c>
      <c r="N390">
        <f>IFERROR(IF(--INDEX('Call accounts and MMFs'!$E:$E,ROW())&gt;=1,--INDEX('Call accounts and MMFs'!$E:$E,ROW())/100,--INDEX('Call accounts and MMFs'!$E:$E,ROW())),0)</f>
        <v/>
      </c>
      <c r="O390">
        <f>IFERROR(--INDEX('Call accounts and MMFs'!$F:$F,ROW()),0)</f>
        <v/>
      </c>
      <c r="P390">
        <f>IF(ISNUMBER(INDEX('Call accounts and MMFs'!$E:$E,ROW())),1,0)</f>
        <v/>
      </c>
      <c r="Q390">
        <f>TRIM(SUBSTITUTE(INDEX('Pooled funds'!$B:$B,ROW())&amp;""," "," "))</f>
        <v/>
      </c>
      <c r="R390">
        <f>IFERROR(--INDEX('Pooled funds'!$C:$C,ROW()),0)</f>
        <v/>
      </c>
      <c r="S390">
        <f>IFERROR(--INDEX('Pooled funds'!$D:$D,ROW()),0)</f>
        <v/>
      </c>
      <c r="T390">
        <f>IFERROR(IF(--INDEX('Pooled funds'!$E:$E,ROW())&gt;=1,--INDEX('Pooled funds'!$E:$E,ROW())/100,--INDEX('Pooled funds'!$E:$E,ROW())),0)</f>
        <v/>
      </c>
      <c r="U390">
        <f>IF(ISNUMBER(INDEX('Pooled funds'!$E:$E,ROW())),1,0)</f>
        <v/>
      </c>
      <c r="V390">
        <f>TRIM(SUBSTITUTE(INDEX('Loans'!$A:$A,ROW())&amp;""," "," "))</f>
        <v/>
      </c>
      <c r="W390">
        <f>TRIM(SUBSTITUTE(INDEX('Loans'!$B:$B,ROW())&amp;""," "," "))</f>
        <v/>
      </c>
      <c r="X390">
        <f>TRIM(SUBSTITUTE(INDEX('Loans'!$C:$C,ROW())&amp;""," "," "))</f>
        <v/>
      </c>
      <c r="Y390">
        <f>IFERROR(--INDEX('Loans'!$D:$D,ROW()),0)</f>
        <v/>
      </c>
      <c r="Z390">
        <f>IFERROR(--INDEX('Loans'!$E:$E,ROW()),0)</f>
        <v/>
      </c>
      <c r="AA390">
        <f>IFERROR(--INDEX('Loans'!$F:$F,ROW()),0)</f>
        <v/>
      </c>
      <c r="AB390">
        <f>IFERROR(IF(--INDEX('Loans'!$G:$G,ROW())&gt;=1,--INDEX('Loans'!$G:$G,ROW())/100,--INDEX('Loans'!$G:$G,ROW())),0)</f>
        <v/>
      </c>
      <c r="AC390">
        <f>TRIM(SUBSTITUTE(INDEX('Loans'!$H:$H,ROW())&amp;""," "," "))</f>
        <v/>
      </c>
      <c r="AD390">
        <f>TRIM(SUBSTITUTE(INDEX('Loans'!$I:$I,ROW())&amp;""," "," "))</f>
        <v/>
      </c>
      <c r="AE390">
        <f>IFERROR(--INDEX('Loans'!$J:$J,ROW()),0)</f>
        <v/>
      </c>
      <c r="AF390">
        <f>TRIM(SUBSTITUTE(INDEX('Loans'!$K:$K,ROW())&amp;""," "," "))</f>
        <v/>
      </c>
      <c r="AG390">
        <f>IFERROR(--INDEX('Loans'!$L:$L,ROW()),0)</f>
        <v/>
      </c>
      <c r="AH390">
        <f>IF(ISNUMBER(INDEX('Loans'!$G:$G,ROW())),1,0)</f>
        <v/>
      </c>
    </row>
    <row r="391">
      <c r="A391">
        <f>TRIM(SUBSTITUTE(INDEX('Term investments'!$A:$A,ROW())&amp;""," "," "))</f>
        <v/>
      </c>
      <c r="B391">
        <f>TRIM(SUBSTITUTE(INDEX('Term investments'!$B:$B,ROW())&amp;""," "," "))</f>
        <v/>
      </c>
      <c r="C391">
        <f>TRIM(SUBSTITUTE(INDEX('Term investments'!$C:$C,ROW())&amp;""," "," "))</f>
        <v/>
      </c>
      <c r="D391">
        <f>IFERROR(--INDEX('Term investments'!$D:$D,ROW()),0)</f>
        <v/>
      </c>
      <c r="E391">
        <f>IFERROR(--INDEX('Term investments'!$E:$E,ROW()),0)</f>
        <v/>
      </c>
      <c r="F391">
        <f>IFERROR(--INDEX('Term investments'!$F:$F,ROW()),0)</f>
        <v/>
      </c>
      <c r="G391">
        <f>IFERROR(IF(--INDEX('Term investments'!$G:$G,ROW())&gt;=1,--INDEX('Term investments'!$G:$G,ROW())/100,--INDEX('Term investments'!$G:$G,ROW())),0)</f>
        <v/>
      </c>
      <c r="H391">
        <f>IFERROR(--INDEX('Term investments'!$H:$H,ROW()),0)</f>
        <v/>
      </c>
      <c r="I391">
        <f>IF(ISNUMBER(INDEX('Term investments'!$G:$G,ROW())),1,0)</f>
        <v/>
      </c>
      <c r="J391">
        <f>TRIM(SUBSTITUTE(INDEX('Call accounts and MMFs'!$A:$A,ROW())&amp;""," "," "))</f>
        <v/>
      </c>
      <c r="K391">
        <f>TRIM(SUBSTITUTE(INDEX('Call accounts and MMFs'!$B:$B,ROW())&amp;""," "," "))</f>
        <v/>
      </c>
      <c r="L391">
        <f>TRIM(SUBSTITUTE(INDEX('Call accounts and MMFs'!$C:$C,ROW())&amp;""," "," "))</f>
        <v/>
      </c>
      <c r="M391">
        <f>IFERROR(--INDEX('Call accounts and MMFs'!$D:$D,ROW()),0)</f>
        <v/>
      </c>
      <c r="N391">
        <f>IFERROR(IF(--INDEX('Call accounts and MMFs'!$E:$E,ROW())&gt;=1,--INDEX('Call accounts and MMFs'!$E:$E,ROW())/100,--INDEX('Call accounts and MMFs'!$E:$E,ROW())),0)</f>
        <v/>
      </c>
      <c r="O391">
        <f>IFERROR(--INDEX('Call accounts and MMFs'!$F:$F,ROW()),0)</f>
        <v/>
      </c>
      <c r="P391">
        <f>IF(ISNUMBER(INDEX('Call accounts and MMFs'!$E:$E,ROW())),1,0)</f>
        <v/>
      </c>
      <c r="Q391">
        <f>TRIM(SUBSTITUTE(INDEX('Pooled funds'!$B:$B,ROW())&amp;""," "," "))</f>
        <v/>
      </c>
      <c r="R391">
        <f>IFERROR(--INDEX('Pooled funds'!$C:$C,ROW()),0)</f>
        <v/>
      </c>
      <c r="S391">
        <f>IFERROR(--INDEX('Pooled funds'!$D:$D,ROW()),0)</f>
        <v/>
      </c>
      <c r="T391">
        <f>IFERROR(IF(--INDEX('Pooled funds'!$E:$E,ROW())&gt;=1,--INDEX('Pooled funds'!$E:$E,ROW())/100,--INDEX('Pooled funds'!$E:$E,ROW())),0)</f>
        <v/>
      </c>
      <c r="U391">
        <f>IF(ISNUMBER(INDEX('Pooled funds'!$E:$E,ROW())),1,0)</f>
        <v/>
      </c>
      <c r="V391">
        <f>TRIM(SUBSTITUTE(INDEX('Loans'!$A:$A,ROW())&amp;""," "," "))</f>
        <v/>
      </c>
      <c r="W391">
        <f>TRIM(SUBSTITUTE(INDEX('Loans'!$B:$B,ROW())&amp;""," "," "))</f>
        <v/>
      </c>
      <c r="X391">
        <f>TRIM(SUBSTITUTE(INDEX('Loans'!$C:$C,ROW())&amp;""," "," "))</f>
        <v/>
      </c>
      <c r="Y391">
        <f>IFERROR(--INDEX('Loans'!$D:$D,ROW()),0)</f>
        <v/>
      </c>
      <c r="Z391">
        <f>IFERROR(--INDEX('Loans'!$E:$E,ROW()),0)</f>
        <v/>
      </c>
      <c r="AA391">
        <f>IFERROR(--INDEX('Loans'!$F:$F,ROW()),0)</f>
        <v/>
      </c>
      <c r="AB391">
        <f>IFERROR(IF(--INDEX('Loans'!$G:$G,ROW())&gt;=1,--INDEX('Loans'!$G:$G,ROW())/100,--INDEX('Loans'!$G:$G,ROW())),0)</f>
        <v/>
      </c>
      <c r="AC391">
        <f>TRIM(SUBSTITUTE(INDEX('Loans'!$H:$H,ROW())&amp;""," "," "))</f>
        <v/>
      </c>
      <c r="AD391">
        <f>TRIM(SUBSTITUTE(INDEX('Loans'!$I:$I,ROW())&amp;""," "," "))</f>
        <v/>
      </c>
      <c r="AE391">
        <f>IFERROR(--INDEX('Loans'!$J:$J,ROW()),0)</f>
        <v/>
      </c>
      <c r="AF391">
        <f>TRIM(SUBSTITUTE(INDEX('Loans'!$K:$K,ROW())&amp;""," "," "))</f>
        <v/>
      </c>
      <c r="AG391">
        <f>IFERROR(--INDEX('Loans'!$L:$L,ROW()),0)</f>
        <v/>
      </c>
      <c r="AH391">
        <f>IF(ISNUMBER(INDEX('Loans'!$G:$G,ROW())),1,0)</f>
        <v/>
      </c>
    </row>
    <row r="392">
      <c r="A392">
        <f>TRIM(SUBSTITUTE(INDEX('Term investments'!$A:$A,ROW())&amp;""," "," "))</f>
        <v/>
      </c>
      <c r="B392">
        <f>TRIM(SUBSTITUTE(INDEX('Term investments'!$B:$B,ROW())&amp;""," "," "))</f>
        <v/>
      </c>
      <c r="C392">
        <f>TRIM(SUBSTITUTE(INDEX('Term investments'!$C:$C,ROW())&amp;""," "," "))</f>
        <v/>
      </c>
      <c r="D392">
        <f>IFERROR(--INDEX('Term investments'!$D:$D,ROW()),0)</f>
        <v/>
      </c>
      <c r="E392">
        <f>IFERROR(--INDEX('Term investments'!$E:$E,ROW()),0)</f>
        <v/>
      </c>
      <c r="F392">
        <f>IFERROR(--INDEX('Term investments'!$F:$F,ROW()),0)</f>
        <v/>
      </c>
      <c r="G392">
        <f>IFERROR(IF(--INDEX('Term investments'!$G:$G,ROW())&gt;=1,--INDEX('Term investments'!$G:$G,ROW())/100,--INDEX('Term investments'!$G:$G,ROW())),0)</f>
        <v/>
      </c>
      <c r="H392">
        <f>IFERROR(--INDEX('Term investments'!$H:$H,ROW()),0)</f>
        <v/>
      </c>
      <c r="I392">
        <f>IF(ISNUMBER(INDEX('Term investments'!$G:$G,ROW())),1,0)</f>
        <v/>
      </c>
      <c r="J392">
        <f>TRIM(SUBSTITUTE(INDEX('Call accounts and MMFs'!$A:$A,ROW())&amp;""," "," "))</f>
        <v/>
      </c>
      <c r="K392">
        <f>TRIM(SUBSTITUTE(INDEX('Call accounts and MMFs'!$B:$B,ROW())&amp;""," "," "))</f>
        <v/>
      </c>
      <c r="L392">
        <f>TRIM(SUBSTITUTE(INDEX('Call accounts and MMFs'!$C:$C,ROW())&amp;""," "," "))</f>
        <v/>
      </c>
      <c r="M392">
        <f>IFERROR(--INDEX('Call accounts and MMFs'!$D:$D,ROW()),0)</f>
        <v/>
      </c>
      <c r="N392">
        <f>IFERROR(IF(--INDEX('Call accounts and MMFs'!$E:$E,ROW())&gt;=1,--INDEX('Call accounts and MMFs'!$E:$E,ROW())/100,--INDEX('Call accounts and MMFs'!$E:$E,ROW())),0)</f>
        <v/>
      </c>
      <c r="O392">
        <f>IFERROR(--INDEX('Call accounts and MMFs'!$F:$F,ROW()),0)</f>
        <v/>
      </c>
      <c r="P392">
        <f>IF(ISNUMBER(INDEX('Call accounts and MMFs'!$E:$E,ROW())),1,0)</f>
        <v/>
      </c>
      <c r="Q392">
        <f>TRIM(SUBSTITUTE(INDEX('Pooled funds'!$B:$B,ROW())&amp;""," "," "))</f>
        <v/>
      </c>
      <c r="R392">
        <f>IFERROR(--INDEX('Pooled funds'!$C:$C,ROW()),0)</f>
        <v/>
      </c>
      <c r="S392">
        <f>IFERROR(--INDEX('Pooled funds'!$D:$D,ROW()),0)</f>
        <v/>
      </c>
      <c r="T392">
        <f>IFERROR(IF(--INDEX('Pooled funds'!$E:$E,ROW())&gt;=1,--INDEX('Pooled funds'!$E:$E,ROW())/100,--INDEX('Pooled funds'!$E:$E,ROW())),0)</f>
        <v/>
      </c>
      <c r="U392">
        <f>IF(ISNUMBER(INDEX('Pooled funds'!$E:$E,ROW())),1,0)</f>
        <v/>
      </c>
      <c r="V392">
        <f>TRIM(SUBSTITUTE(INDEX('Loans'!$A:$A,ROW())&amp;""," "," "))</f>
        <v/>
      </c>
      <c r="W392">
        <f>TRIM(SUBSTITUTE(INDEX('Loans'!$B:$B,ROW())&amp;""," "," "))</f>
        <v/>
      </c>
      <c r="X392">
        <f>TRIM(SUBSTITUTE(INDEX('Loans'!$C:$C,ROW())&amp;""," "," "))</f>
        <v/>
      </c>
      <c r="Y392">
        <f>IFERROR(--INDEX('Loans'!$D:$D,ROW()),0)</f>
        <v/>
      </c>
      <c r="Z392">
        <f>IFERROR(--INDEX('Loans'!$E:$E,ROW()),0)</f>
        <v/>
      </c>
      <c r="AA392">
        <f>IFERROR(--INDEX('Loans'!$F:$F,ROW()),0)</f>
        <v/>
      </c>
      <c r="AB392">
        <f>IFERROR(IF(--INDEX('Loans'!$G:$G,ROW())&gt;=1,--INDEX('Loans'!$G:$G,ROW())/100,--INDEX('Loans'!$G:$G,ROW())),0)</f>
        <v/>
      </c>
      <c r="AC392">
        <f>TRIM(SUBSTITUTE(INDEX('Loans'!$H:$H,ROW())&amp;""," "," "))</f>
        <v/>
      </c>
      <c r="AD392">
        <f>TRIM(SUBSTITUTE(INDEX('Loans'!$I:$I,ROW())&amp;""," "," "))</f>
        <v/>
      </c>
      <c r="AE392">
        <f>IFERROR(--INDEX('Loans'!$J:$J,ROW()),0)</f>
        <v/>
      </c>
      <c r="AF392">
        <f>TRIM(SUBSTITUTE(INDEX('Loans'!$K:$K,ROW())&amp;""," "," "))</f>
        <v/>
      </c>
      <c r="AG392">
        <f>IFERROR(--INDEX('Loans'!$L:$L,ROW()),0)</f>
        <v/>
      </c>
      <c r="AH392">
        <f>IF(ISNUMBER(INDEX('Loans'!$G:$G,ROW())),1,0)</f>
        <v/>
      </c>
    </row>
    <row r="393">
      <c r="A393">
        <f>TRIM(SUBSTITUTE(INDEX('Term investments'!$A:$A,ROW())&amp;""," "," "))</f>
        <v/>
      </c>
      <c r="B393">
        <f>TRIM(SUBSTITUTE(INDEX('Term investments'!$B:$B,ROW())&amp;""," "," "))</f>
        <v/>
      </c>
      <c r="C393">
        <f>TRIM(SUBSTITUTE(INDEX('Term investments'!$C:$C,ROW())&amp;""," "," "))</f>
        <v/>
      </c>
      <c r="D393">
        <f>IFERROR(--INDEX('Term investments'!$D:$D,ROW()),0)</f>
        <v/>
      </c>
      <c r="E393">
        <f>IFERROR(--INDEX('Term investments'!$E:$E,ROW()),0)</f>
        <v/>
      </c>
      <c r="F393">
        <f>IFERROR(--INDEX('Term investments'!$F:$F,ROW()),0)</f>
        <v/>
      </c>
      <c r="G393">
        <f>IFERROR(IF(--INDEX('Term investments'!$G:$G,ROW())&gt;=1,--INDEX('Term investments'!$G:$G,ROW())/100,--INDEX('Term investments'!$G:$G,ROW())),0)</f>
        <v/>
      </c>
      <c r="H393">
        <f>IFERROR(--INDEX('Term investments'!$H:$H,ROW()),0)</f>
        <v/>
      </c>
      <c r="I393">
        <f>IF(ISNUMBER(INDEX('Term investments'!$G:$G,ROW())),1,0)</f>
        <v/>
      </c>
      <c r="J393">
        <f>TRIM(SUBSTITUTE(INDEX('Call accounts and MMFs'!$A:$A,ROW())&amp;""," "," "))</f>
        <v/>
      </c>
      <c r="K393">
        <f>TRIM(SUBSTITUTE(INDEX('Call accounts and MMFs'!$B:$B,ROW())&amp;""," "," "))</f>
        <v/>
      </c>
      <c r="L393">
        <f>TRIM(SUBSTITUTE(INDEX('Call accounts and MMFs'!$C:$C,ROW())&amp;""," "," "))</f>
        <v/>
      </c>
      <c r="M393">
        <f>IFERROR(--INDEX('Call accounts and MMFs'!$D:$D,ROW()),0)</f>
        <v/>
      </c>
      <c r="N393">
        <f>IFERROR(IF(--INDEX('Call accounts and MMFs'!$E:$E,ROW())&gt;=1,--INDEX('Call accounts and MMFs'!$E:$E,ROW())/100,--INDEX('Call accounts and MMFs'!$E:$E,ROW())),0)</f>
        <v/>
      </c>
      <c r="O393">
        <f>IFERROR(--INDEX('Call accounts and MMFs'!$F:$F,ROW()),0)</f>
        <v/>
      </c>
      <c r="P393">
        <f>IF(ISNUMBER(INDEX('Call accounts and MMFs'!$E:$E,ROW())),1,0)</f>
        <v/>
      </c>
      <c r="Q393">
        <f>TRIM(SUBSTITUTE(INDEX('Pooled funds'!$B:$B,ROW())&amp;""," "," "))</f>
        <v/>
      </c>
      <c r="R393">
        <f>IFERROR(--INDEX('Pooled funds'!$C:$C,ROW()),0)</f>
        <v/>
      </c>
      <c r="S393">
        <f>IFERROR(--INDEX('Pooled funds'!$D:$D,ROW()),0)</f>
        <v/>
      </c>
      <c r="T393">
        <f>IFERROR(IF(--INDEX('Pooled funds'!$E:$E,ROW())&gt;=1,--INDEX('Pooled funds'!$E:$E,ROW())/100,--INDEX('Pooled funds'!$E:$E,ROW())),0)</f>
        <v/>
      </c>
      <c r="U393">
        <f>IF(ISNUMBER(INDEX('Pooled funds'!$E:$E,ROW())),1,0)</f>
        <v/>
      </c>
      <c r="V393">
        <f>TRIM(SUBSTITUTE(INDEX('Loans'!$A:$A,ROW())&amp;""," "," "))</f>
        <v/>
      </c>
      <c r="W393">
        <f>TRIM(SUBSTITUTE(INDEX('Loans'!$B:$B,ROW())&amp;""," "," "))</f>
        <v/>
      </c>
      <c r="X393">
        <f>TRIM(SUBSTITUTE(INDEX('Loans'!$C:$C,ROW())&amp;""," "," "))</f>
        <v/>
      </c>
      <c r="Y393">
        <f>IFERROR(--INDEX('Loans'!$D:$D,ROW()),0)</f>
        <v/>
      </c>
      <c r="Z393">
        <f>IFERROR(--INDEX('Loans'!$E:$E,ROW()),0)</f>
        <v/>
      </c>
      <c r="AA393">
        <f>IFERROR(--INDEX('Loans'!$F:$F,ROW()),0)</f>
        <v/>
      </c>
      <c r="AB393">
        <f>IFERROR(IF(--INDEX('Loans'!$G:$G,ROW())&gt;=1,--INDEX('Loans'!$G:$G,ROW())/100,--INDEX('Loans'!$G:$G,ROW())),0)</f>
        <v/>
      </c>
      <c r="AC393">
        <f>TRIM(SUBSTITUTE(INDEX('Loans'!$H:$H,ROW())&amp;""," "," "))</f>
        <v/>
      </c>
      <c r="AD393">
        <f>TRIM(SUBSTITUTE(INDEX('Loans'!$I:$I,ROW())&amp;""," "," "))</f>
        <v/>
      </c>
      <c r="AE393">
        <f>IFERROR(--INDEX('Loans'!$J:$J,ROW()),0)</f>
        <v/>
      </c>
      <c r="AF393">
        <f>TRIM(SUBSTITUTE(INDEX('Loans'!$K:$K,ROW())&amp;""," "," "))</f>
        <v/>
      </c>
      <c r="AG393">
        <f>IFERROR(--INDEX('Loans'!$L:$L,ROW()),0)</f>
        <v/>
      </c>
      <c r="AH393">
        <f>IF(ISNUMBER(INDEX('Loans'!$G:$G,ROW())),1,0)</f>
        <v/>
      </c>
    </row>
    <row r="394">
      <c r="A394">
        <f>TRIM(SUBSTITUTE(INDEX('Term investments'!$A:$A,ROW())&amp;""," "," "))</f>
        <v/>
      </c>
      <c r="B394">
        <f>TRIM(SUBSTITUTE(INDEX('Term investments'!$B:$B,ROW())&amp;""," "," "))</f>
        <v/>
      </c>
      <c r="C394">
        <f>TRIM(SUBSTITUTE(INDEX('Term investments'!$C:$C,ROW())&amp;""," "," "))</f>
        <v/>
      </c>
      <c r="D394">
        <f>IFERROR(--INDEX('Term investments'!$D:$D,ROW()),0)</f>
        <v/>
      </c>
      <c r="E394">
        <f>IFERROR(--INDEX('Term investments'!$E:$E,ROW()),0)</f>
        <v/>
      </c>
      <c r="F394">
        <f>IFERROR(--INDEX('Term investments'!$F:$F,ROW()),0)</f>
        <v/>
      </c>
      <c r="G394">
        <f>IFERROR(IF(--INDEX('Term investments'!$G:$G,ROW())&gt;=1,--INDEX('Term investments'!$G:$G,ROW())/100,--INDEX('Term investments'!$G:$G,ROW())),0)</f>
        <v/>
      </c>
      <c r="H394">
        <f>IFERROR(--INDEX('Term investments'!$H:$H,ROW()),0)</f>
        <v/>
      </c>
      <c r="I394">
        <f>IF(ISNUMBER(INDEX('Term investments'!$G:$G,ROW())),1,0)</f>
        <v/>
      </c>
      <c r="J394">
        <f>TRIM(SUBSTITUTE(INDEX('Call accounts and MMFs'!$A:$A,ROW())&amp;""," "," "))</f>
        <v/>
      </c>
      <c r="K394">
        <f>TRIM(SUBSTITUTE(INDEX('Call accounts and MMFs'!$B:$B,ROW())&amp;""," "," "))</f>
        <v/>
      </c>
      <c r="L394">
        <f>TRIM(SUBSTITUTE(INDEX('Call accounts and MMFs'!$C:$C,ROW())&amp;""," "," "))</f>
        <v/>
      </c>
      <c r="M394">
        <f>IFERROR(--INDEX('Call accounts and MMFs'!$D:$D,ROW()),0)</f>
        <v/>
      </c>
      <c r="N394">
        <f>IFERROR(IF(--INDEX('Call accounts and MMFs'!$E:$E,ROW())&gt;=1,--INDEX('Call accounts and MMFs'!$E:$E,ROW())/100,--INDEX('Call accounts and MMFs'!$E:$E,ROW())),0)</f>
        <v/>
      </c>
      <c r="O394">
        <f>IFERROR(--INDEX('Call accounts and MMFs'!$F:$F,ROW()),0)</f>
        <v/>
      </c>
      <c r="P394">
        <f>IF(ISNUMBER(INDEX('Call accounts and MMFs'!$E:$E,ROW())),1,0)</f>
        <v/>
      </c>
      <c r="Q394">
        <f>TRIM(SUBSTITUTE(INDEX('Pooled funds'!$B:$B,ROW())&amp;""," "," "))</f>
        <v/>
      </c>
      <c r="R394">
        <f>IFERROR(--INDEX('Pooled funds'!$C:$C,ROW()),0)</f>
        <v/>
      </c>
      <c r="S394">
        <f>IFERROR(--INDEX('Pooled funds'!$D:$D,ROW()),0)</f>
        <v/>
      </c>
      <c r="T394">
        <f>IFERROR(IF(--INDEX('Pooled funds'!$E:$E,ROW())&gt;=1,--INDEX('Pooled funds'!$E:$E,ROW())/100,--INDEX('Pooled funds'!$E:$E,ROW())),0)</f>
        <v/>
      </c>
      <c r="U394">
        <f>IF(ISNUMBER(INDEX('Pooled funds'!$E:$E,ROW())),1,0)</f>
        <v/>
      </c>
      <c r="V394">
        <f>TRIM(SUBSTITUTE(INDEX('Loans'!$A:$A,ROW())&amp;""," "," "))</f>
        <v/>
      </c>
      <c r="W394">
        <f>TRIM(SUBSTITUTE(INDEX('Loans'!$B:$B,ROW())&amp;""," "," "))</f>
        <v/>
      </c>
      <c r="X394">
        <f>TRIM(SUBSTITUTE(INDEX('Loans'!$C:$C,ROW())&amp;""," "," "))</f>
        <v/>
      </c>
      <c r="Y394">
        <f>IFERROR(--INDEX('Loans'!$D:$D,ROW()),0)</f>
        <v/>
      </c>
      <c r="Z394">
        <f>IFERROR(--INDEX('Loans'!$E:$E,ROW()),0)</f>
        <v/>
      </c>
      <c r="AA394">
        <f>IFERROR(--INDEX('Loans'!$F:$F,ROW()),0)</f>
        <v/>
      </c>
      <c r="AB394">
        <f>IFERROR(IF(--INDEX('Loans'!$G:$G,ROW())&gt;=1,--INDEX('Loans'!$G:$G,ROW())/100,--INDEX('Loans'!$G:$G,ROW())),0)</f>
        <v/>
      </c>
      <c r="AC394">
        <f>TRIM(SUBSTITUTE(INDEX('Loans'!$H:$H,ROW())&amp;""," "," "))</f>
        <v/>
      </c>
      <c r="AD394">
        <f>TRIM(SUBSTITUTE(INDEX('Loans'!$I:$I,ROW())&amp;""," "," "))</f>
        <v/>
      </c>
      <c r="AE394">
        <f>IFERROR(--INDEX('Loans'!$J:$J,ROW()),0)</f>
        <v/>
      </c>
      <c r="AF394">
        <f>TRIM(SUBSTITUTE(INDEX('Loans'!$K:$K,ROW())&amp;""," "," "))</f>
        <v/>
      </c>
      <c r="AG394">
        <f>IFERROR(--INDEX('Loans'!$L:$L,ROW()),0)</f>
        <v/>
      </c>
      <c r="AH394">
        <f>IF(ISNUMBER(INDEX('Loans'!$G:$G,ROW())),1,0)</f>
        <v/>
      </c>
    </row>
    <row r="395">
      <c r="A395">
        <f>TRIM(SUBSTITUTE(INDEX('Term investments'!$A:$A,ROW())&amp;""," "," "))</f>
        <v/>
      </c>
      <c r="B395">
        <f>TRIM(SUBSTITUTE(INDEX('Term investments'!$B:$B,ROW())&amp;""," "," "))</f>
        <v/>
      </c>
      <c r="C395">
        <f>TRIM(SUBSTITUTE(INDEX('Term investments'!$C:$C,ROW())&amp;""," "," "))</f>
        <v/>
      </c>
      <c r="D395">
        <f>IFERROR(--INDEX('Term investments'!$D:$D,ROW()),0)</f>
        <v/>
      </c>
      <c r="E395">
        <f>IFERROR(--INDEX('Term investments'!$E:$E,ROW()),0)</f>
        <v/>
      </c>
      <c r="F395">
        <f>IFERROR(--INDEX('Term investments'!$F:$F,ROW()),0)</f>
        <v/>
      </c>
      <c r="G395">
        <f>IFERROR(IF(--INDEX('Term investments'!$G:$G,ROW())&gt;=1,--INDEX('Term investments'!$G:$G,ROW())/100,--INDEX('Term investments'!$G:$G,ROW())),0)</f>
        <v/>
      </c>
      <c r="H395">
        <f>IFERROR(--INDEX('Term investments'!$H:$H,ROW()),0)</f>
        <v/>
      </c>
      <c r="I395">
        <f>IF(ISNUMBER(INDEX('Term investments'!$G:$G,ROW())),1,0)</f>
        <v/>
      </c>
      <c r="J395">
        <f>TRIM(SUBSTITUTE(INDEX('Call accounts and MMFs'!$A:$A,ROW())&amp;""," "," "))</f>
        <v/>
      </c>
      <c r="K395">
        <f>TRIM(SUBSTITUTE(INDEX('Call accounts and MMFs'!$B:$B,ROW())&amp;""," "," "))</f>
        <v/>
      </c>
      <c r="L395">
        <f>TRIM(SUBSTITUTE(INDEX('Call accounts and MMFs'!$C:$C,ROW())&amp;""," "," "))</f>
        <v/>
      </c>
      <c r="M395">
        <f>IFERROR(--INDEX('Call accounts and MMFs'!$D:$D,ROW()),0)</f>
        <v/>
      </c>
      <c r="N395">
        <f>IFERROR(IF(--INDEX('Call accounts and MMFs'!$E:$E,ROW())&gt;=1,--INDEX('Call accounts and MMFs'!$E:$E,ROW())/100,--INDEX('Call accounts and MMFs'!$E:$E,ROW())),0)</f>
        <v/>
      </c>
      <c r="O395">
        <f>IFERROR(--INDEX('Call accounts and MMFs'!$F:$F,ROW()),0)</f>
        <v/>
      </c>
      <c r="P395">
        <f>IF(ISNUMBER(INDEX('Call accounts and MMFs'!$E:$E,ROW())),1,0)</f>
        <v/>
      </c>
      <c r="Q395">
        <f>TRIM(SUBSTITUTE(INDEX('Pooled funds'!$B:$B,ROW())&amp;""," "," "))</f>
        <v/>
      </c>
      <c r="R395">
        <f>IFERROR(--INDEX('Pooled funds'!$C:$C,ROW()),0)</f>
        <v/>
      </c>
      <c r="S395">
        <f>IFERROR(--INDEX('Pooled funds'!$D:$D,ROW()),0)</f>
        <v/>
      </c>
      <c r="T395">
        <f>IFERROR(IF(--INDEX('Pooled funds'!$E:$E,ROW())&gt;=1,--INDEX('Pooled funds'!$E:$E,ROW())/100,--INDEX('Pooled funds'!$E:$E,ROW())),0)</f>
        <v/>
      </c>
      <c r="U395">
        <f>IF(ISNUMBER(INDEX('Pooled funds'!$E:$E,ROW())),1,0)</f>
        <v/>
      </c>
      <c r="V395">
        <f>TRIM(SUBSTITUTE(INDEX('Loans'!$A:$A,ROW())&amp;""," "," "))</f>
        <v/>
      </c>
      <c r="W395">
        <f>TRIM(SUBSTITUTE(INDEX('Loans'!$B:$B,ROW())&amp;""," "," "))</f>
        <v/>
      </c>
      <c r="X395">
        <f>TRIM(SUBSTITUTE(INDEX('Loans'!$C:$C,ROW())&amp;""," "," "))</f>
        <v/>
      </c>
      <c r="Y395">
        <f>IFERROR(--INDEX('Loans'!$D:$D,ROW()),0)</f>
        <v/>
      </c>
      <c r="Z395">
        <f>IFERROR(--INDEX('Loans'!$E:$E,ROW()),0)</f>
        <v/>
      </c>
      <c r="AA395">
        <f>IFERROR(--INDEX('Loans'!$F:$F,ROW()),0)</f>
        <v/>
      </c>
      <c r="AB395">
        <f>IFERROR(IF(--INDEX('Loans'!$G:$G,ROW())&gt;=1,--INDEX('Loans'!$G:$G,ROW())/100,--INDEX('Loans'!$G:$G,ROW())),0)</f>
        <v/>
      </c>
      <c r="AC395">
        <f>TRIM(SUBSTITUTE(INDEX('Loans'!$H:$H,ROW())&amp;""," "," "))</f>
        <v/>
      </c>
      <c r="AD395">
        <f>TRIM(SUBSTITUTE(INDEX('Loans'!$I:$I,ROW())&amp;""," "," "))</f>
        <v/>
      </c>
      <c r="AE395">
        <f>IFERROR(--INDEX('Loans'!$J:$J,ROW()),0)</f>
        <v/>
      </c>
      <c r="AF395">
        <f>TRIM(SUBSTITUTE(INDEX('Loans'!$K:$K,ROW())&amp;""," "," "))</f>
        <v/>
      </c>
      <c r="AG395">
        <f>IFERROR(--INDEX('Loans'!$L:$L,ROW()),0)</f>
        <v/>
      </c>
      <c r="AH395">
        <f>IF(ISNUMBER(INDEX('Loans'!$G:$G,ROW())),1,0)</f>
        <v/>
      </c>
    </row>
    <row r="396">
      <c r="A396">
        <f>TRIM(SUBSTITUTE(INDEX('Term investments'!$A:$A,ROW())&amp;""," "," "))</f>
        <v/>
      </c>
      <c r="B396">
        <f>TRIM(SUBSTITUTE(INDEX('Term investments'!$B:$B,ROW())&amp;""," "," "))</f>
        <v/>
      </c>
      <c r="C396">
        <f>TRIM(SUBSTITUTE(INDEX('Term investments'!$C:$C,ROW())&amp;""," "," "))</f>
        <v/>
      </c>
      <c r="D396">
        <f>IFERROR(--INDEX('Term investments'!$D:$D,ROW()),0)</f>
        <v/>
      </c>
      <c r="E396">
        <f>IFERROR(--INDEX('Term investments'!$E:$E,ROW()),0)</f>
        <v/>
      </c>
      <c r="F396">
        <f>IFERROR(--INDEX('Term investments'!$F:$F,ROW()),0)</f>
        <v/>
      </c>
      <c r="G396">
        <f>IFERROR(IF(--INDEX('Term investments'!$G:$G,ROW())&gt;=1,--INDEX('Term investments'!$G:$G,ROW())/100,--INDEX('Term investments'!$G:$G,ROW())),0)</f>
        <v/>
      </c>
      <c r="H396">
        <f>IFERROR(--INDEX('Term investments'!$H:$H,ROW()),0)</f>
        <v/>
      </c>
      <c r="I396">
        <f>IF(ISNUMBER(INDEX('Term investments'!$G:$G,ROW())),1,0)</f>
        <v/>
      </c>
      <c r="J396">
        <f>TRIM(SUBSTITUTE(INDEX('Call accounts and MMFs'!$A:$A,ROW())&amp;""," "," "))</f>
        <v/>
      </c>
      <c r="K396">
        <f>TRIM(SUBSTITUTE(INDEX('Call accounts and MMFs'!$B:$B,ROW())&amp;""," "," "))</f>
        <v/>
      </c>
      <c r="L396">
        <f>TRIM(SUBSTITUTE(INDEX('Call accounts and MMFs'!$C:$C,ROW())&amp;""," "," "))</f>
        <v/>
      </c>
      <c r="M396">
        <f>IFERROR(--INDEX('Call accounts and MMFs'!$D:$D,ROW()),0)</f>
        <v/>
      </c>
      <c r="N396">
        <f>IFERROR(IF(--INDEX('Call accounts and MMFs'!$E:$E,ROW())&gt;=1,--INDEX('Call accounts and MMFs'!$E:$E,ROW())/100,--INDEX('Call accounts and MMFs'!$E:$E,ROW())),0)</f>
        <v/>
      </c>
      <c r="O396">
        <f>IFERROR(--INDEX('Call accounts and MMFs'!$F:$F,ROW()),0)</f>
        <v/>
      </c>
      <c r="P396">
        <f>IF(ISNUMBER(INDEX('Call accounts and MMFs'!$E:$E,ROW())),1,0)</f>
        <v/>
      </c>
      <c r="Q396">
        <f>TRIM(SUBSTITUTE(INDEX('Pooled funds'!$B:$B,ROW())&amp;""," "," "))</f>
        <v/>
      </c>
      <c r="R396">
        <f>IFERROR(--INDEX('Pooled funds'!$C:$C,ROW()),0)</f>
        <v/>
      </c>
      <c r="S396">
        <f>IFERROR(--INDEX('Pooled funds'!$D:$D,ROW()),0)</f>
        <v/>
      </c>
      <c r="T396">
        <f>IFERROR(IF(--INDEX('Pooled funds'!$E:$E,ROW())&gt;=1,--INDEX('Pooled funds'!$E:$E,ROW())/100,--INDEX('Pooled funds'!$E:$E,ROW())),0)</f>
        <v/>
      </c>
      <c r="U396">
        <f>IF(ISNUMBER(INDEX('Pooled funds'!$E:$E,ROW())),1,0)</f>
        <v/>
      </c>
      <c r="V396">
        <f>TRIM(SUBSTITUTE(INDEX('Loans'!$A:$A,ROW())&amp;""," "," "))</f>
        <v/>
      </c>
      <c r="W396">
        <f>TRIM(SUBSTITUTE(INDEX('Loans'!$B:$B,ROW())&amp;""," "," "))</f>
        <v/>
      </c>
      <c r="X396">
        <f>TRIM(SUBSTITUTE(INDEX('Loans'!$C:$C,ROW())&amp;""," "," "))</f>
        <v/>
      </c>
      <c r="Y396">
        <f>IFERROR(--INDEX('Loans'!$D:$D,ROW()),0)</f>
        <v/>
      </c>
      <c r="Z396">
        <f>IFERROR(--INDEX('Loans'!$E:$E,ROW()),0)</f>
        <v/>
      </c>
      <c r="AA396">
        <f>IFERROR(--INDEX('Loans'!$F:$F,ROW()),0)</f>
        <v/>
      </c>
      <c r="AB396">
        <f>IFERROR(IF(--INDEX('Loans'!$G:$G,ROW())&gt;=1,--INDEX('Loans'!$G:$G,ROW())/100,--INDEX('Loans'!$G:$G,ROW())),0)</f>
        <v/>
      </c>
      <c r="AC396">
        <f>TRIM(SUBSTITUTE(INDEX('Loans'!$H:$H,ROW())&amp;""," "," "))</f>
        <v/>
      </c>
      <c r="AD396">
        <f>TRIM(SUBSTITUTE(INDEX('Loans'!$I:$I,ROW())&amp;""," "," "))</f>
        <v/>
      </c>
      <c r="AE396">
        <f>IFERROR(--INDEX('Loans'!$J:$J,ROW()),0)</f>
        <v/>
      </c>
      <c r="AF396">
        <f>TRIM(SUBSTITUTE(INDEX('Loans'!$K:$K,ROW())&amp;""," "," "))</f>
        <v/>
      </c>
      <c r="AG396">
        <f>IFERROR(--INDEX('Loans'!$L:$L,ROW()),0)</f>
        <v/>
      </c>
      <c r="AH396">
        <f>IF(ISNUMBER(INDEX('Loans'!$G:$G,ROW())),1,0)</f>
        <v/>
      </c>
    </row>
    <row r="397">
      <c r="A397">
        <f>TRIM(SUBSTITUTE(INDEX('Term investments'!$A:$A,ROW())&amp;""," "," "))</f>
        <v/>
      </c>
      <c r="B397">
        <f>TRIM(SUBSTITUTE(INDEX('Term investments'!$B:$B,ROW())&amp;""," "," "))</f>
        <v/>
      </c>
      <c r="C397">
        <f>TRIM(SUBSTITUTE(INDEX('Term investments'!$C:$C,ROW())&amp;""," "," "))</f>
        <v/>
      </c>
      <c r="D397">
        <f>IFERROR(--INDEX('Term investments'!$D:$D,ROW()),0)</f>
        <v/>
      </c>
      <c r="E397">
        <f>IFERROR(--INDEX('Term investments'!$E:$E,ROW()),0)</f>
        <v/>
      </c>
      <c r="F397">
        <f>IFERROR(--INDEX('Term investments'!$F:$F,ROW()),0)</f>
        <v/>
      </c>
      <c r="G397">
        <f>IFERROR(IF(--INDEX('Term investments'!$G:$G,ROW())&gt;=1,--INDEX('Term investments'!$G:$G,ROW())/100,--INDEX('Term investments'!$G:$G,ROW())),0)</f>
        <v/>
      </c>
      <c r="H397">
        <f>IFERROR(--INDEX('Term investments'!$H:$H,ROW()),0)</f>
        <v/>
      </c>
      <c r="I397">
        <f>IF(ISNUMBER(INDEX('Term investments'!$G:$G,ROW())),1,0)</f>
        <v/>
      </c>
      <c r="J397">
        <f>TRIM(SUBSTITUTE(INDEX('Call accounts and MMFs'!$A:$A,ROW())&amp;""," "," "))</f>
        <v/>
      </c>
      <c r="K397">
        <f>TRIM(SUBSTITUTE(INDEX('Call accounts and MMFs'!$B:$B,ROW())&amp;""," "," "))</f>
        <v/>
      </c>
      <c r="L397">
        <f>TRIM(SUBSTITUTE(INDEX('Call accounts and MMFs'!$C:$C,ROW())&amp;""," "," "))</f>
        <v/>
      </c>
      <c r="M397">
        <f>IFERROR(--INDEX('Call accounts and MMFs'!$D:$D,ROW()),0)</f>
        <v/>
      </c>
      <c r="N397">
        <f>IFERROR(IF(--INDEX('Call accounts and MMFs'!$E:$E,ROW())&gt;=1,--INDEX('Call accounts and MMFs'!$E:$E,ROW())/100,--INDEX('Call accounts and MMFs'!$E:$E,ROW())),0)</f>
        <v/>
      </c>
      <c r="O397">
        <f>IFERROR(--INDEX('Call accounts and MMFs'!$F:$F,ROW()),0)</f>
        <v/>
      </c>
      <c r="P397">
        <f>IF(ISNUMBER(INDEX('Call accounts and MMFs'!$E:$E,ROW())),1,0)</f>
        <v/>
      </c>
      <c r="Q397">
        <f>TRIM(SUBSTITUTE(INDEX('Pooled funds'!$B:$B,ROW())&amp;""," "," "))</f>
        <v/>
      </c>
      <c r="R397">
        <f>IFERROR(--INDEX('Pooled funds'!$C:$C,ROW()),0)</f>
        <v/>
      </c>
      <c r="S397">
        <f>IFERROR(--INDEX('Pooled funds'!$D:$D,ROW()),0)</f>
        <v/>
      </c>
      <c r="T397">
        <f>IFERROR(IF(--INDEX('Pooled funds'!$E:$E,ROW())&gt;=1,--INDEX('Pooled funds'!$E:$E,ROW())/100,--INDEX('Pooled funds'!$E:$E,ROW())),0)</f>
        <v/>
      </c>
      <c r="U397">
        <f>IF(ISNUMBER(INDEX('Pooled funds'!$E:$E,ROW())),1,0)</f>
        <v/>
      </c>
      <c r="V397">
        <f>TRIM(SUBSTITUTE(INDEX('Loans'!$A:$A,ROW())&amp;""," "," "))</f>
        <v/>
      </c>
      <c r="W397">
        <f>TRIM(SUBSTITUTE(INDEX('Loans'!$B:$B,ROW())&amp;""," "," "))</f>
        <v/>
      </c>
      <c r="X397">
        <f>TRIM(SUBSTITUTE(INDEX('Loans'!$C:$C,ROW())&amp;""," "," "))</f>
        <v/>
      </c>
      <c r="Y397">
        <f>IFERROR(--INDEX('Loans'!$D:$D,ROW()),0)</f>
        <v/>
      </c>
      <c r="Z397">
        <f>IFERROR(--INDEX('Loans'!$E:$E,ROW()),0)</f>
        <v/>
      </c>
      <c r="AA397">
        <f>IFERROR(--INDEX('Loans'!$F:$F,ROW()),0)</f>
        <v/>
      </c>
      <c r="AB397">
        <f>IFERROR(IF(--INDEX('Loans'!$G:$G,ROW())&gt;=1,--INDEX('Loans'!$G:$G,ROW())/100,--INDEX('Loans'!$G:$G,ROW())),0)</f>
        <v/>
      </c>
      <c r="AC397">
        <f>TRIM(SUBSTITUTE(INDEX('Loans'!$H:$H,ROW())&amp;""," "," "))</f>
        <v/>
      </c>
      <c r="AD397">
        <f>TRIM(SUBSTITUTE(INDEX('Loans'!$I:$I,ROW())&amp;""," "," "))</f>
        <v/>
      </c>
      <c r="AE397">
        <f>IFERROR(--INDEX('Loans'!$J:$J,ROW()),0)</f>
        <v/>
      </c>
      <c r="AF397">
        <f>TRIM(SUBSTITUTE(INDEX('Loans'!$K:$K,ROW())&amp;""," "," "))</f>
        <v/>
      </c>
      <c r="AG397">
        <f>IFERROR(--INDEX('Loans'!$L:$L,ROW()),0)</f>
        <v/>
      </c>
      <c r="AH397">
        <f>IF(ISNUMBER(INDEX('Loans'!$G:$G,ROW())),1,0)</f>
        <v/>
      </c>
    </row>
    <row r="398">
      <c r="A398">
        <f>TRIM(SUBSTITUTE(INDEX('Term investments'!$A:$A,ROW())&amp;""," "," "))</f>
        <v/>
      </c>
      <c r="B398">
        <f>TRIM(SUBSTITUTE(INDEX('Term investments'!$B:$B,ROW())&amp;""," "," "))</f>
        <v/>
      </c>
      <c r="C398">
        <f>TRIM(SUBSTITUTE(INDEX('Term investments'!$C:$C,ROW())&amp;""," "," "))</f>
        <v/>
      </c>
      <c r="D398">
        <f>IFERROR(--INDEX('Term investments'!$D:$D,ROW()),0)</f>
        <v/>
      </c>
      <c r="E398">
        <f>IFERROR(--INDEX('Term investments'!$E:$E,ROW()),0)</f>
        <v/>
      </c>
      <c r="F398">
        <f>IFERROR(--INDEX('Term investments'!$F:$F,ROW()),0)</f>
        <v/>
      </c>
      <c r="G398">
        <f>IFERROR(IF(--INDEX('Term investments'!$G:$G,ROW())&gt;=1,--INDEX('Term investments'!$G:$G,ROW())/100,--INDEX('Term investments'!$G:$G,ROW())),0)</f>
        <v/>
      </c>
      <c r="H398">
        <f>IFERROR(--INDEX('Term investments'!$H:$H,ROW()),0)</f>
        <v/>
      </c>
      <c r="I398">
        <f>IF(ISNUMBER(INDEX('Term investments'!$G:$G,ROW())),1,0)</f>
        <v/>
      </c>
      <c r="J398">
        <f>TRIM(SUBSTITUTE(INDEX('Call accounts and MMFs'!$A:$A,ROW())&amp;""," "," "))</f>
        <v/>
      </c>
      <c r="K398">
        <f>TRIM(SUBSTITUTE(INDEX('Call accounts and MMFs'!$B:$B,ROW())&amp;""," "," "))</f>
        <v/>
      </c>
      <c r="L398">
        <f>TRIM(SUBSTITUTE(INDEX('Call accounts and MMFs'!$C:$C,ROW())&amp;""," "," "))</f>
        <v/>
      </c>
      <c r="M398">
        <f>IFERROR(--INDEX('Call accounts and MMFs'!$D:$D,ROW()),0)</f>
        <v/>
      </c>
      <c r="N398">
        <f>IFERROR(IF(--INDEX('Call accounts and MMFs'!$E:$E,ROW())&gt;=1,--INDEX('Call accounts and MMFs'!$E:$E,ROW())/100,--INDEX('Call accounts and MMFs'!$E:$E,ROW())),0)</f>
        <v/>
      </c>
      <c r="O398">
        <f>IFERROR(--INDEX('Call accounts and MMFs'!$F:$F,ROW()),0)</f>
        <v/>
      </c>
      <c r="P398">
        <f>IF(ISNUMBER(INDEX('Call accounts and MMFs'!$E:$E,ROW())),1,0)</f>
        <v/>
      </c>
      <c r="Q398">
        <f>TRIM(SUBSTITUTE(INDEX('Pooled funds'!$B:$B,ROW())&amp;""," "," "))</f>
        <v/>
      </c>
      <c r="R398">
        <f>IFERROR(--INDEX('Pooled funds'!$C:$C,ROW()),0)</f>
        <v/>
      </c>
      <c r="S398">
        <f>IFERROR(--INDEX('Pooled funds'!$D:$D,ROW()),0)</f>
        <v/>
      </c>
      <c r="T398">
        <f>IFERROR(IF(--INDEX('Pooled funds'!$E:$E,ROW())&gt;=1,--INDEX('Pooled funds'!$E:$E,ROW())/100,--INDEX('Pooled funds'!$E:$E,ROW())),0)</f>
        <v/>
      </c>
      <c r="U398">
        <f>IF(ISNUMBER(INDEX('Pooled funds'!$E:$E,ROW())),1,0)</f>
        <v/>
      </c>
      <c r="V398">
        <f>TRIM(SUBSTITUTE(INDEX('Loans'!$A:$A,ROW())&amp;""," "," "))</f>
        <v/>
      </c>
      <c r="W398">
        <f>TRIM(SUBSTITUTE(INDEX('Loans'!$B:$B,ROW())&amp;""," "," "))</f>
        <v/>
      </c>
      <c r="X398">
        <f>TRIM(SUBSTITUTE(INDEX('Loans'!$C:$C,ROW())&amp;""," "," "))</f>
        <v/>
      </c>
      <c r="Y398">
        <f>IFERROR(--INDEX('Loans'!$D:$D,ROW()),0)</f>
        <v/>
      </c>
      <c r="Z398">
        <f>IFERROR(--INDEX('Loans'!$E:$E,ROW()),0)</f>
        <v/>
      </c>
      <c r="AA398">
        <f>IFERROR(--INDEX('Loans'!$F:$F,ROW()),0)</f>
        <v/>
      </c>
      <c r="AB398">
        <f>IFERROR(IF(--INDEX('Loans'!$G:$G,ROW())&gt;=1,--INDEX('Loans'!$G:$G,ROW())/100,--INDEX('Loans'!$G:$G,ROW())),0)</f>
        <v/>
      </c>
      <c r="AC398">
        <f>TRIM(SUBSTITUTE(INDEX('Loans'!$H:$H,ROW())&amp;""," "," "))</f>
        <v/>
      </c>
      <c r="AD398">
        <f>TRIM(SUBSTITUTE(INDEX('Loans'!$I:$I,ROW())&amp;""," "," "))</f>
        <v/>
      </c>
      <c r="AE398">
        <f>IFERROR(--INDEX('Loans'!$J:$J,ROW()),0)</f>
        <v/>
      </c>
      <c r="AF398">
        <f>TRIM(SUBSTITUTE(INDEX('Loans'!$K:$K,ROW())&amp;""," "," "))</f>
        <v/>
      </c>
      <c r="AG398">
        <f>IFERROR(--INDEX('Loans'!$L:$L,ROW()),0)</f>
        <v/>
      </c>
      <c r="AH398">
        <f>IF(ISNUMBER(INDEX('Loans'!$G:$G,ROW())),1,0)</f>
        <v/>
      </c>
    </row>
    <row r="399">
      <c r="A399">
        <f>TRIM(SUBSTITUTE(INDEX('Term investments'!$A:$A,ROW())&amp;""," "," "))</f>
        <v/>
      </c>
      <c r="B399">
        <f>TRIM(SUBSTITUTE(INDEX('Term investments'!$B:$B,ROW())&amp;""," "," "))</f>
        <v/>
      </c>
      <c r="C399">
        <f>TRIM(SUBSTITUTE(INDEX('Term investments'!$C:$C,ROW())&amp;""," "," "))</f>
        <v/>
      </c>
      <c r="D399">
        <f>IFERROR(--INDEX('Term investments'!$D:$D,ROW()),0)</f>
        <v/>
      </c>
      <c r="E399">
        <f>IFERROR(--INDEX('Term investments'!$E:$E,ROW()),0)</f>
        <v/>
      </c>
      <c r="F399">
        <f>IFERROR(--INDEX('Term investments'!$F:$F,ROW()),0)</f>
        <v/>
      </c>
      <c r="G399">
        <f>IFERROR(IF(--INDEX('Term investments'!$G:$G,ROW())&gt;=1,--INDEX('Term investments'!$G:$G,ROW())/100,--INDEX('Term investments'!$G:$G,ROW())),0)</f>
        <v/>
      </c>
      <c r="H399">
        <f>IFERROR(--INDEX('Term investments'!$H:$H,ROW()),0)</f>
        <v/>
      </c>
      <c r="I399">
        <f>IF(ISNUMBER(INDEX('Term investments'!$G:$G,ROW())),1,0)</f>
        <v/>
      </c>
      <c r="J399">
        <f>TRIM(SUBSTITUTE(INDEX('Call accounts and MMFs'!$A:$A,ROW())&amp;""," "," "))</f>
        <v/>
      </c>
      <c r="K399">
        <f>TRIM(SUBSTITUTE(INDEX('Call accounts and MMFs'!$B:$B,ROW())&amp;""," "," "))</f>
        <v/>
      </c>
      <c r="L399">
        <f>TRIM(SUBSTITUTE(INDEX('Call accounts and MMFs'!$C:$C,ROW())&amp;""," "," "))</f>
        <v/>
      </c>
      <c r="M399">
        <f>IFERROR(--INDEX('Call accounts and MMFs'!$D:$D,ROW()),0)</f>
        <v/>
      </c>
      <c r="N399">
        <f>IFERROR(IF(--INDEX('Call accounts and MMFs'!$E:$E,ROW())&gt;=1,--INDEX('Call accounts and MMFs'!$E:$E,ROW())/100,--INDEX('Call accounts and MMFs'!$E:$E,ROW())),0)</f>
        <v/>
      </c>
      <c r="O399">
        <f>IFERROR(--INDEX('Call accounts and MMFs'!$F:$F,ROW()),0)</f>
        <v/>
      </c>
      <c r="P399">
        <f>IF(ISNUMBER(INDEX('Call accounts and MMFs'!$E:$E,ROW())),1,0)</f>
        <v/>
      </c>
      <c r="Q399">
        <f>TRIM(SUBSTITUTE(INDEX('Pooled funds'!$B:$B,ROW())&amp;""," "," "))</f>
        <v/>
      </c>
      <c r="R399">
        <f>IFERROR(--INDEX('Pooled funds'!$C:$C,ROW()),0)</f>
        <v/>
      </c>
      <c r="S399">
        <f>IFERROR(--INDEX('Pooled funds'!$D:$D,ROW()),0)</f>
        <v/>
      </c>
      <c r="T399">
        <f>IFERROR(IF(--INDEX('Pooled funds'!$E:$E,ROW())&gt;=1,--INDEX('Pooled funds'!$E:$E,ROW())/100,--INDEX('Pooled funds'!$E:$E,ROW())),0)</f>
        <v/>
      </c>
      <c r="U399">
        <f>IF(ISNUMBER(INDEX('Pooled funds'!$E:$E,ROW())),1,0)</f>
        <v/>
      </c>
      <c r="V399">
        <f>TRIM(SUBSTITUTE(INDEX('Loans'!$A:$A,ROW())&amp;""," "," "))</f>
        <v/>
      </c>
      <c r="W399">
        <f>TRIM(SUBSTITUTE(INDEX('Loans'!$B:$B,ROW())&amp;""," "," "))</f>
        <v/>
      </c>
      <c r="X399">
        <f>TRIM(SUBSTITUTE(INDEX('Loans'!$C:$C,ROW())&amp;""," "," "))</f>
        <v/>
      </c>
      <c r="Y399">
        <f>IFERROR(--INDEX('Loans'!$D:$D,ROW()),0)</f>
        <v/>
      </c>
      <c r="Z399">
        <f>IFERROR(--INDEX('Loans'!$E:$E,ROW()),0)</f>
        <v/>
      </c>
      <c r="AA399">
        <f>IFERROR(--INDEX('Loans'!$F:$F,ROW()),0)</f>
        <v/>
      </c>
      <c r="AB399">
        <f>IFERROR(IF(--INDEX('Loans'!$G:$G,ROW())&gt;=1,--INDEX('Loans'!$G:$G,ROW())/100,--INDEX('Loans'!$G:$G,ROW())),0)</f>
        <v/>
      </c>
      <c r="AC399">
        <f>TRIM(SUBSTITUTE(INDEX('Loans'!$H:$H,ROW())&amp;""," "," "))</f>
        <v/>
      </c>
      <c r="AD399">
        <f>TRIM(SUBSTITUTE(INDEX('Loans'!$I:$I,ROW())&amp;""," "," "))</f>
        <v/>
      </c>
      <c r="AE399">
        <f>IFERROR(--INDEX('Loans'!$J:$J,ROW()),0)</f>
        <v/>
      </c>
      <c r="AF399">
        <f>TRIM(SUBSTITUTE(INDEX('Loans'!$K:$K,ROW())&amp;""," "," "))</f>
        <v/>
      </c>
      <c r="AG399">
        <f>IFERROR(--INDEX('Loans'!$L:$L,ROW()),0)</f>
        <v/>
      </c>
      <c r="AH399">
        <f>IF(ISNUMBER(INDEX('Loans'!$G:$G,ROW())),1,0)</f>
        <v/>
      </c>
    </row>
    <row r="400">
      <c r="A400">
        <f>TRIM(SUBSTITUTE(INDEX('Term investments'!$A:$A,ROW())&amp;""," "," "))</f>
        <v/>
      </c>
      <c r="B400">
        <f>TRIM(SUBSTITUTE(INDEX('Term investments'!$B:$B,ROW())&amp;""," "," "))</f>
        <v/>
      </c>
      <c r="C400">
        <f>TRIM(SUBSTITUTE(INDEX('Term investments'!$C:$C,ROW())&amp;""," "," "))</f>
        <v/>
      </c>
      <c r="D400">
        <f>IFERROR(--INDEX('Term investments'!$D:$D,ROW()),0)</f>
        <v/>
      </c>
      <c r="E400">
        <f>IFERROR(--INDEX('Term investments'!$E:$E,ROW()),0)</f>
        <v/>
      </c>
      <c r="F400">
        <f>IFERROR(--INDEX('Term investments'!$F:$F,ROW()),0)</f>
        <v/>
      </c>
      <c r="G400">
        <f>IFERROR(IF(--INDEX('Term investments'!$G:$G,ROW())&gt;=1,--INDEX('Term investments'!$G:$G,ROW())/100,--INDEX('Term investments'!$G:$G,ROW())),0)</f>
        <v/>
      </c>
      <c r="H400">
        <f>IFERROR(--INDEX('Term investments'!$H:$H,ROW()),0)</f>
        <v/>
      </c>
      <c r="I400">
        <f>IF(ISNUMBER(INDEX('Term investments'!$G:$G,ROW())),1,0)</f>
        <v/>
      </c>
      <c r="J400">
        <f>TRIM(SUBSTITUTE(INDEX('Call accounts and MMFs'!$A:$A,ROW())&amp;""," "," "))</f>
        <v/>
      </c>
      <c r="K400">
        <f>TRIM(SUBSTITUTE(INDEX('Call accounts and MMFs'!$B:$B,ROW())&amp;""," "," "))</f>
        <v/>
      </c>
      <c r="L400">
        <f>TRIM(SUBSTITUTE(INDEX('Call accounts and MMFs'!$C:$C,ROW())&amp;""," "," "))</f>
        <v/>
      </c>
      <c r="M400">
        <f>IFERROR(--INDEX('Call accounts and MMFs'!$D:$D,ROW()),0)</f>
        <v/>
      </c>
      <c r="N400">
        <f>IFERROR(IF(--INDEX('Call accounts and MMFs'!$E:$E,ROW())&gt;=1,--INDEX('Call accounts and MMFs'!$E:$E,ROW())/100,--INDEX('Call accounts and MMFs'!$E:$E,ROW())),0)</f>
        <v/>
      </c>
      <c r="O400">
        <f>IFERROR(--INDEX('Call accounts and MMFs'!$F:$F,ROW()),0)</f>
        <v/>
      </c>
      <c r="P400">
        <f>IF(ISNUMBER(INDEX('Call accounts and MMFs'!$E:$E,ROW())),1,0)</f>
        <v/>
      </c>
      <c r="Q400">
        <f>TRIM(SUBSTITUTE(INDEX('Pooled funds'!$B:$B,ROW())&amp;""," "," "))</f>
        <v/>
      </c>
      <c r="R400">
        <f>IFERROR(--INDEX('Pooled funds'!$C:$C,ROW()),0)</f>
        <v/>
      </c>
      <c r="S400">
        <f>IFERROR(--INDEX('Pooled funds'!$D:$D,ROW()),0)</f>
        <v/>
      </c>
      <c r="T400">
        <f>IFERROR(IF(--INDEX('Pooled funds'!$E:$E,ROW())&gt;=1,--INDEX('Pooled funds'!$E:$E,ROW())/100,--INDEX('Pooled funds'!$E:$E,ROW())),0)</f>
        <v/>
      </c>
      <c r="U400">
        <f>IF(ISNUMBER(INDEX('Pooled funds'!$E:$E,ROW())),1,0)</f>
        <v/>
      </c>
      <c r="V400">
        <f>TRIM(SUBSTITUTE(INDEX('Loans'!$A:$A,ROW())&amp;""," "," "))</f>
        <v/>
      </c>
      <c r="W400">
        <f>TRIM(SUBSTITUTE(INDEX('Loans'!$B:$B,ROW())&amp;""," "," "))</f>
        <v/>
      </c>
      <c r="X400">
        <f>TRIM(SUBSTITUTE(INDEX('Loans'!$C:$C,ROW())&amp;""," "," "))</f>
        <v/>
      </c>
      <c r="Y400">
        <f>IFERROR(--INDEX('Loans'!$D:$D,ROW()),0)</f>
        <v/>
      </c>
      <c r="Z400">
        <f>IFERROR(--INDEX('Loans'!$E:$E,ROW()),0)</f>
        <v/>
      </c>
      <c r="AA400">
        <f>IFERROR(--INDEX('Loans'!$F:$F,ROW()),0)</f>
        <v/>
      </c>
      <c r="AB400">
        <f>IFERROR(IF(--INDEX('Loans'!$G:$G,ROW())&gt;=1,--INDEX('Loans'!$G:$G,ROW())/100,--INDEX('Loans'!$G:$G,ROW())),0)</f>
        <v/>
      </c>
      <c r="AC400">
        <f>TRIM(SUBSTITUTE(INDEX('Loans'!$H:$H,ROW())&amp;""," "," "))</f>
        <v/>
      </c>
      <c r="AD400">
        <f>TRIM(SUBSTITUTE(INDEX('Loans'!$I:$I,ROW())&amp;""," "," "))</f>
        <v/>
      </c>
      <c r="AE400">
        <f>IFERROR(--INDEX('Loans'!$J:$J,ROW()),0)</f>
        <v/>
      </c>
      <c r="AF400">
        <f>TRIM(SUBSTITUTE(INDEX('Loans'!$K:$K,ROW())&amp;""," "," "))</f>
        <v/>
      </c>
      <c r="AG400">
        <f>IFERROR(--INDEX('Loans'!$L:$L,ROW()),0)</f>
        <v/>
      </c>
      <c r="AH400">
        <f>IF(ISNUMBER(INDEX('Loans'!$G:$G,ROW())),1,0)</f>
        <v/>
      </c>
    </row>
    <row r="401">
      <c r="A401">
        <f>TRIM(SUBSTITUTE(INDEX('Term investments'!$A:$A,ROW())&amp;""," "," "))</f>
        <v/>
      </c>
      <c r="B401">
        <f>TRIM(SUBSTITUTE(INDEX('Term investments'!$B:$B,ROW())&amp;""," "," "))</f>
        <v/>
      </c>
      <c r="C401">
        <f>TRIM(SUBSTITUTE(INDEX('Term investments'!$C:$C,ROW())&amp;""," "," "))</f>
        <v/>
      </c>
      <c r="D401">
        <f>IFERROR(--INDEX('Term investments'!$D:$D,ROW()),0)</f>
        <v/>
      </c>
      <c r="E401">
        <f>IFERROR(--INDEX('Term investments'!$E:$E,ROW()),0)</f>
        <v/>
      </c>
      <c r="F401">
        <f>IFERROR(--INDEX('Term investments'!$F:$F,ROW()),0)</f>
        <v/>
      </c>
      <c r="G401">
        <f>IFERROR(IF(--INDEX('Term investments'!$G:$G,ROW())&gt;=1,--INDEX('Term investments'!$G:$G,ROW())/100,--INDEX('Term investments'!$G:$G,ROW())),0)</f>
        <v/>
      </c>
      <c r="H401">
        <f>IFERROR(--INDEX('Term investments'!$H:$H,ROW()),0)</f>
        <v/>
      </c>
      <c r="I401">
        <f>IF(ISNUMBER(INDEX('Term investments'!$G:$G,ROW())),1,0)</f>
        <v/>
      </c>
      <c r="J401">
        <f>TRIM(SUBSTITUTE(INDEX('Call accounts and MMFs'!$A:$A,ROW())&amp;""," "," "))</f>
        <v/>
      </c>
      <c r="K401">
        <f>TRIM(SUBSTITUTE(INDEX('Call accounts and MMFs'!$B:$B,ROW())&amp;""," "," "))</f>
        <v/>
      </c>
      <c r="L401">
        <f>TRIM(SUBSTITUTE(INDEX('Call accounts and MMFs'!$C:$C,ROW())&amp;""," "," "))</f>
        <v/>
      </c>
      <c r="M401">
        <f>IFERROR(--INDEX('Call accounts and MMFs'!$D:$D,ROW()),0)</f>
        <v/>
      </c>
      <c r="N401">
        <f>IFERROR(IF(--INDEX('Call accounts and MMFs'!$E:$E,ROW())&gt;=1,--INDEX('Call accounts and MMFs'!$E:$E,ROW())/100,--INDEX('Call accounts and MMFs'!$E:$E,ROW())),0)</f>
        <v/>
      </c>
      <c r="O401">
        <f>IFERROR(--INDEX('Call accounts and MMFs'!$F:$F,ROW()),0)</f>
        <v/>
      </c>
      <c r="P401">
        <f>IF(ISNUMBER(INDEX('Call accounts and MMFs'!$E:$E,ROW())),1,0)</f>
        <v/>
      </c>
      <c r="Q401">
        <f>TRIM(SUBSTITUTE(INDEX('Pooled funds'!$B:$B,ROW())&amp;""," "," "))</f>
        <v/>
      </c>
      <c r="R401">
        <f>IFERROR(--INDEX('Pooled funds'!$C:$C,ROW()),0)</f>
        <v/>
      </c>
      <c r="S401">
        <f>IFERROR(--INDEX('Pooled funds'!$D:$D,ROW()),0)</f>
        <v/>
      </c>
      <c r="T401">
        <f>IFERROR(IF(--INDEX('Pooled funds'!$E:$E,ROW())&gt;=1,--INDEX('Pooled funds'!$E:$E,ROW())/100,--INDEX('Pooled funds'!$E:$E,ROW())),0)</f>
        <v/>
      </c>
      <c r="U401">
        <f>IF(ISNUMBER(INDEX('Pooled funds'!$E:$E,ROW())),1,0)</f>
        <v/>
      </c>
      <c r="V401">
        <f>TRIM(SUBSTITUTE(INDEX('Loans'!$A:$A,ROW())&amp;""," "," "))</f>
        <v/>
      </c>
      <c r="W401">
        <f>TRIM(SUBSTITUTE(INDEX('Loans'!$B:$B,ROW())&amp;""," "," "))</f>
        <v/>
      </c>
      <c r="X401">
        <f>TRIM(SUBSTITUTE(INDEX('Loans'!$C:$C,ROW())&amp;""," "," "))</f>
        <v/>
      </c>
      <c r="Y401">
        <f>IFERROR(--INDEX('Loans'!$D:$D,ROW()),0)</f>
        <v/>
      </c>
      <c r="Z401">
        <f>IFERROR(--INDEX('Loans'!$E:$E,ROW()),0)</f>
        <v/>
      </c>
      <c r="AA401">
        <f>IFERROR(--INDEX('Loans'!$F:$F,ROW()),0)</f>
        <v/>
      </c>
      <c r="AB401">
        <f>IFERROR(IF(--INDEX('Loans'!$G:$G,ROW())&gt;=1,--INDEX('Loans'!$G:$G,ROW())/100,--INDEX('Loans'!$G:$G,ROW())),0)</f>
        <v/>
      </c>
      <c r="AC401">
        <f>TRIM(SUBSTITUTE(INDEX('Loans'!$H:$H,ROW())&amp;""," "," "))</f>
        <v/>
      </c>
      <c r="AD401">
        <f>TRIM(SUBSTITUTE(INDEX('Loans'!$I:$I,ROW())&amp;""," "," "))</f>
        <v/>
      </c>
      <c r="AE401">
        <f>IFERROR(--INDEX('Loans'!$J:$J,ROW()),0)</f>
        <v/>
      </c>
      <c r="AF401">
        <f>TRIM(SUBSTITUTE(INDEX('Loans'!$K:$K,ROW())&amp;""," "," "))</f>
        <v/>
      </c>
      <c r="AG401">
        <f>IFERROR(--INDEX('Loans'!$L:$L,ROW()),0)</f>
        <v/>
      </c>
      <c r="AH401">
        <f>IF(ISNUMBER(INDEX('Loans'!$G:$G,ROW())),1,0)</f>
        <v/>
      </c>
    </row>
    <row r="402">
      <c r="A402">
        <f>TRIM(SUBSTITUTE(INDEX('Term investments'!$A:$A,ROW())&amp;""," "," "))</f>
        <v/>
      </c>
      <c r="B402">
        <f>TRIM(SUBSTITUTE(INDEX('Term investments'!$B:$B,ROW())&amp;""," "," "))</f>
        <v/>
      </c>
      <c r="C402">
        <f>TRIM(SUBSTITUTE(INDEX('Term investments'!$C:$C,ROW())&amp;""," "," "))</f>
        <v/>
      </c>
      <c r="D402">
        <f>IFERROR(--INDEX('Term investments'!$D:$D,ROW()),0)</f>
        <v/>
      </c>
      <c r="E402">
        <f>IFERROR(--INDEX('Term investments'!$E:$E,ROW()),0)</f>
        <v/>
      </c>
      <c r="F402">
        <f>IFERROR(--INDEX('Term investments'!$F:$F,ROW()),0)</f>
        <v/>
      </c>
      <c r="G402">
        <f>IFERROR(IF(--INDEX('Term investments'!$G:$G,ROW())&gt;=1,--INDEX('Term investments'!$G:$G,ROW())/100,--INDEX('Term investments'!$G:$G,ROW())),0)</f>
        <v/>
      </c>
      <c r="H402">
        <f>IFERROR(--INDEX('Term investments'!$H:$H,ROW()),0)</f>
        <v/>
      </c>
      <c r="I402">
        <f>IF(ISNUMBER(INDEX('Term investments'!$G:$G,ROW())),1,0)</f>
        <v/>
      </c>
      <c r="J402">
        <f>TRIM(SUBSTITUTE(INDEX('Call accounts and MMFs'!$A:$A,ROW())&amp;""," "," "))</f>
        <v/>
      </c>
      <c r="K402">
        <f>TRIM(SUBSTITUTE(INDEX('Call accounts and MMFs'!$B:$B,ROW())&amp;""," "," "))</f>
        <v/>
      </c>
      <c r="L402">
        <f>TRIM(SUBSTITUTE(INDEX('Call accounts and MMFs'!$C:$C,ROW())&amp;""," "," "))</f>
        <v/>
      </c>
      <c r="M402">
        <f>IFERROR(--INDEX('Call accounts and MMFs'!$D:$D,ROW()),0)</f>
        <v/>
      </c>
      <c r="N402">
        <f>IFERROR(IF(--INDEX('Call accounts and MMFs'!$E:$E,ROW())&gt;=1,--INDEX('Call accounts and MMFs'!$E:$E,ROW())/100,--INDEX('Call accounts and MMFs'!$E:$E,ROW())),0)</f>
        <v/>
      </c>
      <c r="O402">
        <f>IFERROR(--INDEX('Call accounts and MMFs'!$F:$F,ROW()),0)</f>
        <v/>
      </c>
      <c r="P402">
        <f>IF(ISNUMBER(INDEX('Call accounts and MMFs'!$E:$E,ROW())),1,0)</f>
        <v/>
      </c>
      <c r="Q402">
        <f>TRIM(SUBSTITUTE(INDEX('Pooled funds'!$B:$B,ROW())&amp;""," "," "))</f>
        <v/>
      </c>
      <c r="R402">
        <f>IFERROR(--INDEX('Pooled funds'!$C:$C,ROW()),0)</f>
        <v/>
      </c>
      <c r="S402">
        <f>IFERROR(--INDEX('Pooled funds'!$D:$D,ROW()),0)</f>
        <v/>
      </c>
      <c r="T402">
        <f>IFERROR(IF(--INDEX('Pooled funds'!$E:$E,ROW())&gt;=1,--INDEX('Pooled funds'!$E:$E,ROW())/100,--INDEX('Pooled funds'!$E:$E,ROW())),0)</f>
        <v/>
      </c>
      <c r="U402">
        <f>IF(ISNUMBER(INDEX('Pooled funds'!$E:$E,ROW())),1,0)</f>
        <v/>
      </c>
      <c r="V402">
        <f>TRIM(SUBSTITUTE(INDEX('Loans'!$A:$A,ROW())&amp;""," "," "))</f>
        <v/>
      </c>
      <c r="W402">
        <f>TRIM(SUBSTITUTE(INDEX('Loans'!$B:$B,ROW())&amp;""," "," "))</f>
        <v/>
      </c>
      <c r="X402">
        <f>TRIM(SUBSTITUTE(INDEX('Loans'!$C:$C,ROW())&amp;""," "," "))</f>
        <v/>
      </c>
      <c r="Y402">
        <f>IFERROR(--INDEX('Loans'!$D:$D,ROW()),0)</f>
        <v/>
      </c>
      <c r="Z402">
        <f>IFERROR(--INDEX('Loans'!$E:$E,ROW()),0)</f>
        <v/>
      </c>
      <c r="AA402">
        <f>IFERROR(--INDEX('Loans'!$F:$F,ROW()),0)</f>
        <v/>
      </c>
      <c r="AB402">
        <f>IFERROR(IF(--INDEX('Loans'!$G:$G,ROW())&gt;=1,--INDEX('Loans'!$G:$G,ROW())/100,--INDEX('Loans'!$G:$G,ROW())),0)</f>
        <v/>
      </c>
      <c r="AC402">
        <f>TRIM(SUBSTITUTE(INDEX('Loans'!$H:$H,ROW())&amp;""," "," "))</f>
        <v/>
      </c>
      <c r="AD402">
        <f>TRIM(SUBSTITUTE(INDEX('Loans'!$I:$I,ROW())&amp;""," "," "))</f>
        <v/>
      </c>
      <c r="AE402">
        <f>IFERROR(--INDEX('Loans'!$J:$J,ROW()),0)</f>
        <v/>
      </c>
      <c r="AF402">
        <f>TRIM(SUBSTITUTE(INDEX('Loans'!$K:$K,ROW())&amp;""," "," "))</f>
        <v/>
      </c>
      <c r="AG402">
        <f>IFERROR(--INDEX('Loans'!$L:$L,ROW()),0)</f>
        <v/>
      </c>
      <c r="AH402">
        <f>IF(ISNUMBER(INDEX('Loans'!$G:$G,ROW())),1,0)</f>
        <v/>
      </c>
    </row>
    <row r="403">
      <c r="A403">
        <f>TRIM(SUBSTITUTE(INDEX('Term investments'!$A:$A,ROW())&amp;""," "," "))</f>
        <v/>
      </c>
      <c r="B403">
        <f>TRIM(SUBSTITUTE(INDEX('Term investments'!$B:$B,ROW())&amp;""," "," "))</f>
        <v/>
      </c>
      <c r="C403">
        <f>TRIM(SUBSTITUTE(INDEX('Term investments'!$C:$C,ROW())&amp;""," "," "))</f>
        <v/>
      </c>
      <c r="D403">
        <f>IFERROR(--INDEX('Term investments'!$D:$D,ROW()),0)</f>
        <v/>
      </c>
      <c r="E403">
        <f>IFERROR(--INDEX('Term investments'!$E:$E,ROW()),0)</f>
        <v/>
      </c>
      <c r="F403">
        <f>IFERROR(--INDEX('Term investments'!$F:$F,ROW()),0)</f>
        <v/>
      </c>
      <c r="G403">
        <f>IFERROR(IF(--INDEX('Term investments'!$G:$G,ROW())&gt;=1,--INDEX('Term investments'!$G:$G,ROW())/100,--INDEX('Term investments'!$G:$G,ROW())),0)</f>
        <v/>
      </c>
      <c r="H403">
        <f>IFERROR(--INDEX('Term investments'!$H:$H,ROW()),0)</f>
        <v/>
      </c>
      <c r="I403">
        <f>IF(ISNUMBER(INDEX('Term investments'!$G:$G,ROW())),1,0)</f>
        <v/>
      </c>
      <c r="J403">
        <f>TRIM(SUBSTITUTE(INDEX('Call accounts and MMFs'!$A:$A,ROW())&amp;""," "," "))</f>
        <v/>
      </c>
      <c r="K403">
        <f>TRIM(SUBSTITUTE(INDEX('Call accounts and MMFs'!$B:$B,ROW())&amp;""," "," "))</f>
        <v/>
      </c>
      <c r="L403">
        <f>TRIM(SUBSTITUTE(INDEX('Call accounts and MMFs'!$C:$C,ROW())&amp;""," "," "))</f>
        <v/>
      </c>
      <c r="M403">
        <f>IFERROR(--INDEX('Call accounts and MMFs'!$D:$D,ROW()),0)</f>
        <v/>
      </c>
      <c r="N403">
        <f>IFERROR(IF(--INDEX('Call accounts and MMFs'!$E:$E,ROW())&gt;=1,--INDEX('Call accounts and MMFs'!$E:$E,ROW())/100,--INDEX('Call accounts and MMFs'!$E:$E,ROW())),0)</f>
        <v/>
      </c>
      <c r="O403">
        <f>IFERROR(--INDEX('Call accounts and MMFs'!$F:$F,ROW()),0)</f>
        <v/>
      </c>
      <c r="P403">
        <f>IF(ISNUMBER(INDEX('Call accounts and MMFs'!$E:$E,ROW())),1,0)</f>
        <v/>
      </c>
      <c r="Q403">
        <f>TRIM(SUBSTITUTE(INDEX('Pooled funds'!$B:$B,ROW())&amp;""," "," "))</f>
        <v/>
      </c>
      <c r="R403">
        <f>IFERROR(--INDEX('Pooled funds'!$C:$C,ROW()),0)</f>
        <v/>
      </c>
      <c r="S403">
        <f>IFERROR(--INDEX('Pooled funds'!$D:$D,ROW()),0)</f>
        <v/>
      </c>
      <c r="T403">
        <f>IFERROR(IF(--INDEX('Pooled funds'!$E:$E,ROW())&gt;=1,--INDEX('Pooled funds'!$E:$E,ROW())/100,--INDEX('Pooled funds'!$E:$E,ROW())),0)</f>
        <v/>
      </c>
      <c r="U403">
        <f>IF(ISNUMBER(INDEX('Pooled funds'!$E:$E,ROW())),1,0)</f>
        <v/>
      </c>
      <c r="V403">
        <f>TRIM(SUBSTITUTE(INDEX('Loans'!$A:$A,ROW())&amp;""," "," "))</f>
        <v/>
      </c>
      <c r="W403">
        <f>TRIM(SUBSTITUTE(INDEX('Loans'!$B:$B,ROW())&amp;""," "," "))</f>
        <v/>
      </c>
      <c r="X403">
        <f>TRIM(SUBSTITUTE(INDEX('Loans'!$C:$C,ROW())&amp;""," "," "))</f>
        <v/>
      </c>
      <c r="Y403">
        <f>IFERROR(--INDEX('Loans'!$D:$D,ROW()),0)</f>
        <v/>
      </c>
      <c r="Z403">
        <f>IFERROR(--INDEX('Loans'!$E:$E,ROW()),0)</f>
        <v/>
      </c>
      <c r="AA403">
        <f>IFERROR(--INDEX('Loans'!$F:$F,ROW()),0)</f>
        <v/>
      </c>
      <c r="AB403">
        <f>IFERROR(IF(--INDEX('Loans'!$G:$G,ROW())&gt;=1,--INDEX('Loans'!$G:$G,ROW())/100,--INDEX('Loans'!$G:$G,ROW())),0)</f>
        <v/>
      </c>
      <c r="AC403">
        <f>TRIM(SUBSTITUTE(INDEX('Loans'!$H:$H,ROW())&amp;""," "," "))</f>
        <v/>
      </c>
      <c r="AD403">
        <f>TRIM(SUBSTITUTE(INDEX('Loans'!$I:$I,ROW())&amp;""," "," "))</f>
        <v/>
      </c>
      <c r="AE403">
        <f>IFERROR(--INDEX('Loans'!$J:$J,ROW()),0)</f>
        <v/>
      </c>
      <c r="AF403">
        <f>TRIM(SUBSTITUTE(INDEX('Loans'!$K:$K,ROW())&amp;""," "," "))</f>
        <v/>
      </c>
      <c r="AG403">
        <f>IFERROR(--INDEX('Loans'!$L:$L,ROW()),0)</f>
        <v/>
      </c>
      <c r="AH403">
        <f>IF(ISNUMBER(INDEX('Loans'!$G:$G,ROW())),1,0)</f>
        <v/>
      </c>
    </row>
    <row r="404">
      <c r="A404">
        <f>TRIM(SUBSTITUTE(INDEX('Term investments'!$A:$A,ROW())&amp;""," "," "))</f>
        <v/>
      </c>
      <c r="B404">
        <f>TRIM(SUBSTITUTE(INDEX('Term investments'!$B:$B,ROW())&amp;""," "," "))</f>
        <v/>
      </c>
      <c r="C404">
        <f>TRIM(SUBSTITUTE(INDEX('Term investments'!$C:$C,ROW())&amp;""," "," "))</f>
        <v/>
      </c>
      <c r="D404">
        <f>IFERROR(--INDEX('Term investments'!$D:$D,ROW()),0)</f>
        <v/>
      </c>
      <c r="E404">
        <f>IFERROR(--INDEX('Term investments'!$E:$E,ROW()),0)</f>
        <v/>
      </c>
      <c r="F404">
        <f>IFERROR(--INDEX('Term investments'!$F:$F,ROW()),0)</f>
        <v/>
      </c>
      <c r="G404">
        <f>IFERROR(IF(--INDEX('Term investments'!$G:$G,ROW())&gt;=1,--INDEX('Term investments'!$G:$G,ROW())/100,--INDEX('Term investments'!$G:$G,ROW())),0)</f>
        <v/>
      </c>
      <c r="H404">
        <f>IFERROR(--INDEX('Term investments'!$H:$H,ROW()),0)</f>
        <v/>
      </c>
      <c r="I404">
        <f>IF(ISNUMBER(INDEX('Term investments'!$G:$G,ROW())),1,0)</f>
        <v/>
      </c>
      <c r="J404">
        <f>TRIM(SUBSTITUTE(INDEX('Call accounts and MMFs'!$A:$A,ROW())&amp;""," "," "))</f>
        <v/>
      </c>
      <c r="K404">
        <f>TRIM(SUBSTITUTE(INDEX('Call accounts and MMFs'!$B:$B,ROW())&amp;""," "," "))</f>
        <v/>
      </c>
      <c r="L404">
        <f>TRIM(SUBSTITUTE(INDEX('Call accounts and MMFs'!$C:$C,ROW())&amp;""," "," "))</f>
        <v/>
      </c>
      <c r="M404">
        <f>IFERROR(--INDEX('Call accounts and MMFs'!$D:$D,ROW()),0)</f>
        <v/>
      </c>
      <c r="N404">
        <f>IFERROR(IF(--INDEX('Call accounts and MMFs'!$E:$E,ROW())&gt;=1,--INDEX('Call accounts and MMFs'!$E:$E,ROW())/100,--INDEX('Call accounts and MMFs'!$E:$E,ROW())),0)</f>
        <v/>
      </c>
      <c r="O404">
        <f>IFERROR(--INDEX('Call accounts and MMFs'!$F:$F,ROW()),0)</f>
        <v/>
      </c>
      <c r="P404">
        <f>IF(ISNUMBER(INDEX('Call accounts and MMFs'!$E:$E,ROW())),1,0)</f>
        <v/>
      </c>
      <c r="Q404">
        <f>TRIM(SUBSTITUTE(INDEX('Pooled funds'!$B:$B,ROW())&amp;""," "," "))</f>
        <v/>
      </c>
      <c r="R404">
        <f>IFERROR(--INDEX('Pooled funds'!$C:$C,ROW()),0)</f>
        <v/>
      </c>
      <c r="S404">
        <f>IFERROR(--INDEX('Pooled funds'!$D:$D,ROW()),0)</f>
        <v/>
      </c>
      <c r="T404">
        <f>IFERROR(IF(--INDEX('Pooled funds'!$E:$E,ROW())&gt;=1,--INDEX('Pooled funds'!$E:$E,ROW())/100,--INDEX('Pooled funds'!$E:$E,ROW())),0)</f>
        <v/>
      </c>
      <c r="U404">
        <f>IF(ISNUMBER(INDEX('Pooled funds'!$E:$E,ROW())),1,0)</f>
        <v/>
      </c>
      <c r="V404">
        <f>TRIM(SUBSTITUTE(INDEX('Loans'!$A:$A,ROW())&amp;""," "," "))</f>
        <v/>
      </c>
      <c r="W404">
        <f>TRIM(SUBSTITUTE(INDEX('Loans'!$B:$B,ROW())&amp;""," "," "))</f>
        <v/>
      </c>
      <c r="X404">
        <f>TRIM(SUBSTITUTE(INDEX('Loans'!$C:$C,ROW())&amp;""," "," "))</f>
        <v/>
      </c>
      <c r="Y404">
        <f>IFERROR(--INDEX('Loans'!$D:$D,ROW()),0)</f>
        <v/>
      </c>
      <c r="Z404">
        <f>IFERROR(--INDEX('Loans'!$E:$E,ROW()),0)</f>
        <v/>
      </c>
      <c r="AA404">
        <f>IFERROR(--INDEX('Loans'!$F:$F,ROW()),0)</f>
        <v/>
      </c>
      <c r="AB404">
        <f>IFERROR(IF(--INDEX('Loans'!$G:$G,ROW())&gt;=1,--INDEX('Loans'!$G:$G,ROW())/100,--INDEX('Loans'!$G:$G,ROW())),0)</f>
        <v/>
      </c>
      <c r="AC404">
        <f>TRIM(SUBSTITUTE(INDEX('Loans'!$H:$H,ROW())&amp;""," "," "))</f>
        <v/>
      </c>
      <c r="AD404">
        <f>TRIM(SUBSTITUTE(INDEX('Loans'!$I:$I,ROW())&amp;""," "," "))</f>
        <v/>
      </c>
      <c r="AE404">
        <f>IFERROR(--INDEX('Loans'!$J:$J,ROW()),0)</f>
        <v/>
      </c>
      <c r="AF404">
        <f>TRIM(SUBSTITUTE(INDEX('Loans'!$K:$K,ROW())&amp;""," "," "))</f>
        <v/>
      </c>
      <c r="AG404">
        <f>IFERROR(--INDEX('Loans'!$L:$L,ROW()),0)</f>
        <v/>
      </c>
      <c r="AH404">
        <f>IF(ISNUMBER(INDEX('Loans'!$G:$G,ROW())),1,0)</f>
        <v/>
      </c>
    </row>
    <row r="405">
      <c r="A405">
        <f>TRIM(SUBSTITUTE(INDEX('Term investments'!$A:$A,ROW())&amp;""," "," "))</f>
        <v/>
      </c>
      <c r="B405">
        <f>TRIM(SUBSTITUTE(INDEX('Term investments'!$B:$B,ROW())&amp;""," "," "))</f>
        <v/>
      </c>
      <c r="C405">
        <f>TRIM(SUBSTITUTE(INDEX('Term investments'!$C:$C,ROW())&amp;""," "," "))</f>
        <v/>
      </c>
      <c r="D405">
        <f>IFERROR(--INDEX('Term investments'!$D:$D,ROW()),0)</f>
        <v/>
      </c>
      <c r="E405">
        <f>IFERROR(--INDEX('Term investments'!$E:$E,ROW()),0)</f>
        <v/>
      </c>
      <c r="F405">
        <f>IFERROR(--INDEX('Term investments'!$F:$F,ROW()),0)</f>
        <v/>
      </c>
      <c r="G405">
        <f>IFERROR(IF(--INDEX('Term investments'!$G:$G,ROW())&gt;=1,--INDEX('Term investments'!$G:$G,ROW())/100,--INDEX('Term investments'!$G:$G,ROW())),0)</f>
        <v/>
      </c>
      <c r="H405">
        <f>IFERROR(--INDEX('Term investments'!$H:$H,ROW()),0)</f>
        <v/>
      </c>
      <c r="I405">
        <f>IF(ISNUMBER(INDEX('Term investments'!$G:$G,ROW())),1,0)</f>
        <v/>
      </c>
      <c r="J405">
        <f>TRIM(SUBSTITUTE(INDEX('Call accounts and MMFs'!$A:$A,ROW())&amp;""," "," "))</f>
        <v/>
      </c>
      <c r="K405">
        <f>TRIM(SUBSTITUTE(INDEX('Call accounts and MMFs'!$B:$B,ROW())&amp;""," "," "))</f>
        <v/>
      </c>
      <c r="L405">
        <f>TRIM(SUBSTITUTE(INDEX('Call accounts and MMFs'!$C:$C,ROW())&amp;""," "," "))</f>
        <v/>
      </c>
      <c r="M405">
        <f>IFERROR(--INDEX('Call accounts and MMFs'!$D:$D,ROW()),0)</f>
        <v/>
      </c>
      <c r="N405">
        <f>IFERROR(IF(--INDEX('Call accounts and MMFs'!$E:$E,ROW())&gt;=1,--INDEX('Call accounts and MMFs'!$E:$E,ROW())/100,--INDEX('Call accounts and MMFs'!$E:$E,ROW())),0)</f>
        <v/>
      </c>
      <c r="O405">
        <f>IFERROR(--INDEX('Call accounts and MMFs'!$F:$F,ROW()),0)</f>
        <v/>
      </c>
      <c r="P405">
        <f>IF(ISNUMBER(INDEX('Call accounts and MMFs'!$E:$E,ROW())),1,0)</f>
        <v/>
      </c>
      <c r="Q405">
        <f>TRIM(SUBSTITUTE(INDEX('Pooled funds'!$B:$B,ROW())&amp;""," "," "))</f>
        <v/>
      </c>
      <c r="R405">
        <f>IFERROR(--INDEX('Pooled funds'!$C:$C,ROW()),0)</f>
        <v/>
      </c>
      <c r="S405">
        <f>IFERROR(--INDEX('Pooled funds'!$D:$D,ROW()),0)</f>
        <v/>
      </c>
      <c r="T405">
        <f>IFERROR(IF(--INDEX('Pooled funds'!$E:$E,ROW())&gt;=1,--INDEX('Pooled funds'!$E:$E,ROW())/100,--INDEX('Pooled funds'!$E:$E,ROW())),0)</f>
        <v/>
      </c>
      <c r="U405">
        <f>IF(ISNUMBER(INDEX('Pooled funds'!$E:$E,ROW())),1,0)</f>
        <v/>
      </c>
      <c r="V405">
        <f>TRIM(SUBSTITUTE(INDEX('Loans'!$A:$A,ROW())&amp;""," "," "))</f>
        <v/>
      </c>
      <c r="W405">
        <f>TRIM(SUBSTITUTE(INDEX('Loans'!$B:$B,ROW())&amp;""," "," "))</f>
        <v/>
      </c>
      <c r="X405">
        <f>TRIM(SUBSTITUTE(INDEX('Loans'!$C:$C,ROW())&amp;""," "," "))</f>
        <v/>
      </c>
      <c r="Y405">
        <f>IFERROR(--INDEX('Loans'!$D:$D,ROW()),0)</f>
        <v/>
      </c>
      <c r="Z405">
        <f>IFERROR(--INDEX('Loans'!$E:$E,ROW()),0)</f>
        <v/>
      </c>
      <c r="AA405">
        <f>IFERROR(--INDEX('Loans'!$F:$F,ROW()),0)</f>
        <v/>
      </c>
      <c r="AB405">
        <f>IFERROR(IF(--INDEX('Loans'!$G:$G,ROW())&gt;=1,--INDEX('Loans'!$G:$G,ROW())/100,--INDEX('Loans'!$G:$G,ROW())),0)</f>
        <v/>
      </c>
      <c r="AC405">
        <f>TRIM(SUBSTITUTE(INDEX('Loans'!$H:$H,ROW())&amp;""," "," "))</f>
        <v/>
      </c>
      <c r="AD405">
        <f>TRIM(SUBSTITUTE(INDEX('Loans'!$I:$I,ROW())&amp;""," "," "))</f>
        <v/>
      </c>
      <c r="AE405">
        <f>IFERROR(--INDEX('Loans'!$J:$J,ROW()),0)</f>
        <v/>
      </c>
      <c r="AF405">
        <f>TRIM(SUBSTITUTE(INDEX('Loans'!$K:$K,ROW())&amp;""," "," "))</f>
        <v/>
      </c>
      <c r="AG405">
        <f>IFERROR(--INDEX('Loans'!$L:$L,ROW()),0)</f>
        <v/>
      </c>
      <c r="AH405">
        <f>IF(ISNUMBER(INDEX('Loans'!$G:$G,ROW())),1,0)</f>
        <v/>
      </c>
    </row>
    <row r="406">
      <c r="A406">
        <f>TRIM(SUBSTITUTE(INDEX('Term investments'!$A:$A,ROW())&amp;""," "," "))</f>
        <v/>
      </c>
      <c r="B406">
        <f>TRIM(SUBSTITUTE(INDEX('Term investments'!$B:$B,ROW())&amp;""," "," "))</f>
        <v/>
      </c>
      <c r="C406">
        <f>TRIM(SUBSTITUTE(INDEX('Term investments'!$C:$C,ROW())&amp;""," "," "))</f>
        <v/>
      </c>
      <c r="D406">
        <f>IFERROR(--INDEX('Term investments'!$D:$D,ROW()),0)</f>
        <v/>
      </c>
      <c r="E406">
        <f>IFERROR(--INDEX('Term investments'!$E:$E,ROW()),0)</f>
        <v/>
      </c>
      <c r="F406">
        <f>IFERROR(--INDEX('Term investments'!$F:$F,ROW()),0)</f>
        <v/>
      </c>
      <c r="G406">
        <f>IFERROR(IF(--INDEX('Term investments'!$G:$G,ROW())&gt;=1,--INDEX('Term investments'!$G:$G,ROW())/100,--INDEX('Term investments'!$G:$G,ROW())),0)</f>
        <v/>
      </c>
      <c r="H406">
        <f>IFERROR(--INDEX('Term investments'!$H:$H,ROW()),0)</f>
        <v/>
      </c>
      <c r="I406">
        <f>IF(ISNUMBER(INDEX('Term investments'!$G:$G,ROW())),1,0)</f>
        <v/>
      </c>
      <c r="J406">
        <f>TRIM(SUBSTITUTE(INDEX('Call accounts and MMFs'!$A:$A,ROW())&amp;""," "," "))</f>
        <v/>
      </c>
      <c r="K406">
        <f>TRIM(SUBSTITUTE(INDEX('Call accounts and MMFs'!$B:$B,ROW())&amp;""," "," "))</f>
        <v/>
      </c>
      <c r="L406">
        <f>TRIM(SUBSTITUTE(INDEX('Call accounts and MMFs'!$C:$C,ROW())&amp;""," "," "))</f>
        <v/>
      </c>
      <c r="M406">
        <f>IFERROR(--INDEX('Call accounts and MMFs'!$D:$D,ROW()),0)</f>
        <v/>
      </c>
      <c r="N406">
        <f>IFERROR(IF(--INDEX('Call accounts and MMFs'!$E:$E,ROW())&gt;=1,--INDEX('Call accounts and MMFs'!$E:$E,ROW())/100,--INDEX('Call accounts and MMFs'!$E:$E,ROW())),0)</f>
        <v/>
      </c>
      <c r="O406">
        <f>IFERROR(--INDEX('Call accounts and MMFs'!$F:$F,ROW()),0)</f>
        <v/>
      </c>
      <c r="P406">
        <f>IF(ISNUMBER(INDEX('Call accounts and MMFs'!$E:$E,ROW())),1,0)</f>
        <v/>
      </c>
      <c r="Q406">
        <f>TRIM(SUBSTITUTE(INDEX('Pooled funds'!$B:$B,ROW())&amp;""," "," "))</f>
        <v/>
      </c>
      <c r="R406">
        <f>IFERROR(--INDEX('Pooled funds'!$C:$C,ROW()),0)</f>
        <v/>
      </c>
      <c r="S406">
        <f>IFERROR(--INDEX('Pooled funds'!$D:$D,ROW()),0)</f>
        <v/>
      </c>
      <c r="T406">
        <f>IFERROR(IF(--INDEX('Pooled funds'!$E:$E,ROW())&gt;=1,--INDEX('Pooled funds'!$E:$E,ROW())/100,--INDEX('Pooled funds'!$E:$E,ROW())),0)</f>
        <v/>
      </c>
      <c r="U406">
        <f>IF(ISNUMBER(INDEX('Pooled funds'!$E:$E,ROW())),1,0)</f>
        <v/>
      </c>
      <c r="V406">
        <f>TRIM(SUBSTITUTE(INDEX('Loans'!$A:$A,ROW())&amp;""," "," "))</f>
        <v/>
      </c>
      <c r="W406">
        <f>TRIM(SUBSTITUTE(INDEX('Loans'!$B:$B,ROW())&amp;""," "," "))</f>
        <v/>
      </c>
      <c r="X406">
        <f>TRIM(SUBSTITUTE(INDEX('Loans'!$C:$C,ROW())&amp;""," "," "))</f>
        <v/>
      </c>
      <c r="Y406">
        <f>IFERROR(--INDEX('Loans'!$D:$D,ROW()),0)</f>
        <v/>
      </c>
      <c r="Z406">
        <f>IFERROR(--INDEX('Loans'!$E:$E,ROW()),0)</f>
        <v/>
      </c>
      <c r="AA406">
        <f>IFERROR(--INDEX('Loans'!$F:$F,ROW()),0)</f>
        <v/>
      </c>
      <c r="AB406">
        <f>IFERROR(IF(--INDEX('Loans'!$G:$G,ROW())&gt;=1,--INDEX('Loans'!$G:$G,ROW())/100,--INDEX('Loans'!$G:$G,ROW())),0)</f>
        <v/>
      </c>
      <c r="AC406">
        <f>TRIM(SUBSTITUTE(INDEX('Loans'!$H:$H,ROW())&amp;""," "," "))</f>
        <v/>
      </c>
      <c r="AD406">
        <f>TRIM(SUBSTITUTE(INDEX('Loans'!$I:$I,ROW())&amp;""," "," "))</f>
        <v/>
      </c>
      <c r="AE406">
        <f>IFERROR(--INDEX('Loans'!$J:$J,ROW()),0)</f>
        <v/>
      </c>
      <c r="AF406">
        <f>TRIM(SUBSTITUTE(INDEX('Loans'!$K:$K,ROW())&amp;""," "," "))</f>
        <v/>
      </c>
      <c r="AG406">
        <f>IFERROR(--INDEX('Loans'!$L:$L,ROW()),0)</f>
        <v/>
      </c>
      <c r="AH406">
        <f>IF(ISNUMBER(INDEX('Loans'!$G:$G,ROW())),1,0)</f>
        <v/>
      </c>
    </row>
    <row r="407">
      <c r="A407">
        <f>TRIM(SUBSTITUTE(INDEX('Term investments'!$A:$A,ROW())&amp;""," "," "))</f>
        <v/>
      </c>
      <c r="B407">
        <f>TRIM(SUBSTITUTE(INDEX('Term investments'!$B:$B,ROW())&amp;""," "," "))</f>
        <v/>
      </c>
      <c r="C407">
        <f>TRIM(SUBSTITUTE(INDEX('Term investments'!$C:$C,ROW())&amp;""," "," "))</f>
        <v/>
      </c>
      <c r="D407">
        <f>IFERROR(--INDEX('Term investments'!$D:$D,ROW()),0)</f>
        <v/>
      </c>
      <c r="E407">
        <f>IFERROR(--INDEX('Term investments'!$E:$E,ROW()),0)</f>
        <v/>
      </c>
      <c r="F407">
        <f>IFERROR(--INDEX('Term investments'!$F:$F,ROW()),0)</f>
        <v/>
      </c>
      <c r="G407">
        <f>IFERROR(IF(--INDEX('Term investments'!$G:$G,ROW())&gt;=1,--INDEX('Term investments'!$G:$G,ROW())/100,--INDEX('Term investments'!$G:$G,ROW())),0)</f>
        <v/>
      </c>
      <c r="H407">
        <f>IFERROR(--INDEX('Term investments'!$H:$H,ROW()),0)</f>
        <v/>
      </c>
      <c r="I407">
        <f>IF(ISNUMBER(INDEX('Term investments'!$G:$G,ROW())),1,0)</f>
        <v/>
      </c>
      <c r="J407">
        <f>TRIM(SUBSTITUTE(INDEX('Call accounts and MMFs'!$A:$A,ROW())&amp;""," "," "))</f>
        <v/>
      </c>
      <c r="K407">
        <f>TRIM(SUBSTITUTE(INDEX('Call accounts and MMFs'!$B:$B,ROW())&amp;""," "," "))</f>
        <v/>
      </c>
      <c r="L407">
        <f>TRIM(SUBSTITUTE(INDEX('Call accounts and MMFs'!$C:$C,ROW())&amp;""," "," "))</f>
        <v/>
      </c>
      <c r="M407">
        <f>IFERROR(--INDEX('Call accounts and MMFs'!$D:$D,ROW()),0)</f>
        <v/>
      </c>
      <c r="N407">
        <f>IFERROR(IF(--INDEX('Call accounts and MMFs'!$E:$E,ROW())&gt;=1,--INDEX('Call accounts and MMFs'!$E:$E,ROW())/100,--INDEX('Call accounts and MMFs'!$E:$E,ROW())),0)</f>
        <v/>
      </c>
      <c r="O407">
        <f>IFERROR(--INDEX('Call accounts and MMFs'!$F:$F,ROW()),0)</f>
        <v/>
      </c>
      <c r="P407">
        <f>IF(ISNUMBER(INDEX('Call accounts and MMFs'!$E:$E,ROW())),1,0)</f>
        <v/>
      </c>
      <c r="Q407">
        <f>TRIM(SUBSTITUTE(INDEX('Pooled funds'!$B:$B,ROW())&amp;""," "," "))</f>
        <v/>
      </c>
      <c r="R407">
        <f>IFERROR(--INDEX('Pooled funds'!$C:$C,ROW()),0)</f>
        <v/>
      </c>
      <c r="S407">
        <f>IFERROR(--INDEX('Pooled funds'!$D:$D,ROW()),0)</f>
        <v/>
      </c>
      <c r="T407">
        <f>IFERROR(IF(--INDEX('Pooled funds'!$E:$E,ROW())&gt;=1,--INDEX('Pooled funds'!$E:$E,ROW())/100,--INDEX('Pooled funds'!$E:$E,ROW())),0)</f>
        <v/>
      </c>
      <c r="U407">
        <f>IF(ISNUMBER(INDEX('Pooled funds'!$E:$E,ROW())),1,0)</f>
        <v/>
      </c>
      <c r="V407">
        <f>TRIM(SUBSTITUTE(INDEX('Loans'!$A:$A,ROW())&amp;""," "," "))</f>
        <v/>
      </c>
      <c r="W407">
        <f>TRIM(SUBSTITUTE(INDEX('Loans'!$B:$B,ROW())&amp;""," "," "))</f>
        <v/>
      </c>
      <c r="X407">
        <f>TRIM(SUBSTITUTE(INDEX('Loans'!$C:$C,ROW())&amp;""," "," "))</f>
        <v/>
      </c>
      <c r="Y407">
        <f>IFERROR(--INDEX('Loans'!$D:$D,ROW()),0)</f>
        <v/>
      </c>
      <c r="Z407">
        <f>IFERROR(--INDEX('Loans'!$E:$E,ROW()),0)</f>
        <v/>
      </c>
      <c r="AA407">
        <f>IFERROR(--INDEX('Loans'!$F:$F,ROW()),0)</f>
        <v/>
      </c>
      <c r="AB407">
        <f>IFERROR(IF(--INDEX('Loans'!$G:$G,ROW())&gt;=1,--INDEX('Loans'!$G:$G,ROW())/100,--INDEX('Loans'!$G:$G,ROW())),0)</f>
        <v/>
      </c>
      <c r="AC407">
        <f>TRIM(SUBSTITUTE(INDEX('Loans'!$H:$H,ROW())&amp;""," "," "))</f>
        <v/>
      </c>
      <c r="AD407">
        <f>TRIM(SUBSTITUTE(INDEX('Loans'!$I:$I,ROW())&amp;""," "," "))</f>
        <v/>
      </c>
      <c r="AE407">
        <f>IFERROR(--INDEX('Loans'!$J:$J,ROW()),0)</f>
        <v/>
      </c>
      <c r="AF407">
        <f>TRIM(SUBSTITUTE(INDEX('Loans'!$K:$K,ROW())&amp;""," "," "))</f>
        <v/>
      </c>
      <c r="AG407">
        <f>IFERROR(--INDEX('Loans'!$L:$L,ROW()),0)</f>
        <v/>
      </c>
      <c r="AH407">
        <f>IF(ISNUMBER(INDEX('Loans'!$G:$G,ROW())),1,0)</f>
        <v/>
      </c>
    </row>
    <row r="408">
      <c r="A408">
        <f>TRIM(SUBSTITUTE(INDEX('Term investments'!$A:$A,ROW())&amp;""," "," "))</f>
        <v/>
      </c>
      <c r="B408">
        <f>TRIM(SUBSTITUTE(INDEX('Term investments'!$B:$B,ROW())&amp;""," "," "))</f>
        <v/>
      </c>
      <c r="C408">
        <f>TRIM(SUBSTITUTE(INDEX('Term investments'!$C:$C,ROW())&amp;""," "," "))</f>
        <v/>
      </c>
      <c r="D408">
        <f>IFERROR(--INDEX('Term investments'!$D:$D,ROW()),0)</f>
        <v/>
      </c>
      <c r="E408">
        <f>IFERROR(--INDEX('Term investments'!$E:$E,ROW()),0)</f>
        <v/>
      </c>
      <c r="F408">
        <f>IFERROR(--INDEX('Term investments'!$F:$F,ROW()),0)</f>
        <v/>
      </c>
      <c r="G408">
        <f>IFERROR(IF(--INDEX('Term investments'!$G:$G,ROW())&gt;=1,--INDEX('Term investments'!$G:$G,ROW())/100,--INDEX('Term investments'!$G:$G,ROW())),0)</f>
        <v/>
      </c>
      <c r="H408">
        <f>IFERROR(--INDEX('Term investments'!$H:$H,ROW()),0)</f>
        <v/>
      </c>
      <c r="I408">
        <f>IF(ISNUMBER(INDEX('Term investments'!$G:$G,ROW())),1,0)</f>
        <v/>
      </c>
      <c r="J408">
        <f>TRIM(SUBSTITUTE(INDEX('Call accounts and MMFs'!$A:$A,ROW())&amp;""," "," "))</f>
        <v/>
      </c>
      <c r="K408">
        <f>TRIM(SUBSTITUTE(INDEX('Call accounts and MMFs'!$B:$B,ROW())&amp;""," "," "))</f>
        <v/>
      </c>
      <c r="L408">
        <f>TRIM(SUBSTITUTE(INDEX('Call accounts and MMFs'!$C:$C,ROW())&amp;""," "," "))</f>
        <v/>
      </c>
      <c r="M408">
        <f>IFERROR(--INDEX('Call accounts and MMFs'!$D:$D,ROW()),0)</f>
        <v/>
      </c>
      <c r="N408">
        <f>IFERROR(IF(--INDEX('Call accounts and MMFs'!$E:$E,ROW())&gt;=1,--INDEX('Call accounts and MMFs'!$E:$E,ROW())/100,--INDEX('Call accounts and MMFs'!$E:$E,ROW())),0)</f>
        <v/>
      </c>
      <c r="O408">
        <f>IFERROR(--INDEX('Call accounts and MMFs'!$F:$F,ROW()),0)</f>
        <v/>
      </c>
      <c r="P408">
        <f>IF(ISNUMBER(INDEX('Call accounts and MMFs'!$E:$E,ROW())),1,0)</f>
        <v/>
      </c>
      <c r="Q408">
        <f>TRIM(SUBSTITUTE(INDEX('Pooled funds'!$B:$B,ROW())&amp;""," "," "))</f>
        <v/>
      </c>
      <c r="R408">
        <f>IFERROR(--INDEX('Pooled funds'!$C:$C,ROW()),0)</f>
        <v/>
      </c>
      <c r="S408">
        <f>IFERROR(--INDEX('Pooled funds'!$D:$D,ROW()),0)</f>
        <v/>
      </c>
      <c r="T408">
        <f>IFERROR(IF(--INDEX('Pooled funds'!$E:$E,ROW())&gt;=1,--INDEX('Pooled funds'!$E:$E,ROW())/100,--INDEX('Pooled funds'!$E:$E,ROW())),0)</f>
        <v/>
      </c>
      <c r="U408">
        <f>IF(ISNUMBER(INDEX('Pooled funds'!$E:$E,ROW())),1,0)</f>
        <v/>
      </c>
      <c r="V408">
        <f>TRIM(SUBSTITUTE(INDEX('Loans'!$A:$A,ROW())&amp;""," "," "))</f>
        <v/>
      </c>
      <c r="W408">
        <f>TRIM(SUBSTITUTE(INDEX('Loans'!$B:$B,ROW())&amp;""," "," "))</f>
        <v/>
      </c>
      <c r="X408">
        <f>TRIM(SUBSTITUTE(INDEX('Loans'!$C:$C,ROW())&amp;""," "," "))</f>
        <v/>
      </c>
      <c r="Y408">
        <f>IFERROR(--INDEX('Loans'!$D:$D,ROW()),0)</f>
        <v/>
      </c>
      <c r="Z408">
        <f>IFERROR(--INDEX('Loans'!$E:$E,ROW()),0)</f>
        <v/>
      </c>
      <c r="AA408">
        <f>IFERROR(--INDEX('Loans'!$F:$F,ROW()),0)</f>
        <v/>
      </c>
      <c r="AB408">
        <f>IFERROR(IF(--INDEX('Loans'!$G:$G,ROW())&gt;=1,--INDEX('Loans'!$G:$G,ROW())/100,--INDEX('Loans'!$G:$G,ROW())),0)</f>
        <v/>
      </c>
      <c r="AC408">
        <f>TRIM(SUBSTITUTE(INDEX('Loans'!$H:$H,ROW())&amp;""," "," "))</f>
        <v/>
      </c>
      <c r="AD408">
        <f>TRIM(SUBSTITUTE(INDEX('Loans'!$I:$I,ROW())&amp;""," "," "))</f>
        <v/>
      </c>
      <c r="AE408">
        <f>IFERROR(--INDEX('Loans'!$J:$J,ROW()),0)</f>
        <v/>
      </c>
      <c r="AF408">
        <f>TRIM(SUBSTITUTE(INDEX('Loans'!$K:$K,ROW())&amp;""," "," "))</f>
        <v/>
      </c>
      <c r="AG408">
        <f>IFERROR(--INDEX('Loans'!$L:$L,ROW()),0)</f>
        <v/>
      </c>
      <c r="AH408">
        <f>IF(ISNUMBER(INDEX('Loans'!$G:$G,ROW())),1,0)</f>
        <v/>
      </c>
    </row>
    <row r="409">
      <c r="A409">
        <f>TRIM(SUBSTITUTE(INDEX('Term investments'!$A:$A,ROW())&amp;""," "," "))</f>
        <v/>
      </c>
      <c r="B409">
        <f>TRIM(SUBSTITUTE(INDEX('Term investments'!$B:$B,ROW())&amp;""," "," "))</f>
        <v/>
      </c>
      <c r="C409">
        <f>TRIM(SUBSTITUTE(INDEX('Term investments'!$C:$C,ROW())&amp;""," "," "))</f>
        <v/>
      </c>
      <c r="D409">
        <f>IFERROR(--INDEX('Term investments'!$D:$D,ROW()),0)</f>
        <v/>
      </c>
      <c r="E409">
        <f>IFERROR(--INDEX('Term investments'!$E:$E,ROW()),0)</f>
        <v/>
      </c>
      <c r="F409">
        <f>IFERROR(--INDEX('Term investments'!$F:$F,ROW()),0)</f>
        <v/>
      </c>
      <c r="G409">
        <f>IFERROR(IF(--INDEX('Term investments'!$G:$G,ROW())&gt;=1,--INDEX('Term investments'!$G:$G,ROW())/100,--INDEX('Term investments'!$G:$G,ROW())),0)</f>
        <v/>
      </c>
      <c r="H409">
        <f>IFERROR(--INDEX('Term investments'!$H:$H,ROW()),0)</f>
        <v/>
      </c>
      <c r="I409">
        <f>IF(ISNUMBER(INDEX('Term investments'!$G:$G,ROW())),1,0)</f>
        <v/>
      </c>
      <c r="J409">
        <f>TRIM(SUBSTITUTE(INDEX('Call accounts and MMFs'!$A:$A,ROW())&amp;""," "," "))</f>
        <v/>
      </c>
      <c r="K409">
        <f>TRIM(SUBSTITUTE(INDEX('Call accounts and MMFs'!$B:$B,ROW())&amp;""," "," "))</f>
        <v/>
      </c>
      <c r="L409">
        <f>TRIM(SUBSTITUTE(INDEX('Call accounts and MMFs'!$C:$C,ROW())&amp;""," "," "))</f>
        <v/>
      </c>
      <c r="M409">
        <f>IFERROR(--INDEX('Call accounts and MMFs'!$D:$D,ROW()),0)</f>
        <v/>
      </c>
      <c r="N409">
        <f>IFERROR(IF(--INDEX('Call accounts and MMFs'!$E:$E,ROW())&gt;=1,--INDEX('Call accounts and MMFs'!$E:$E,ROW())/100,--INDEX('Call accounts and MMFs'!$E:$E,ROW())),0)</f>
        <v/>
      </c>
      <c r="O409">
        <f>IFERROR(--INDEX('Call accounts and MMFs'!$F:$F,ROW()),0)</f>
        <v/>
      </c>
      <c r="P409">
        <f>IF(ISNUMBER(INDEX('Call accounts and MMFs'!$E:$E,ROW())),1,0)</f>
        <v/>
      </c>
      <c r="Q409">
        <f>TRIM(SUBSTITUTE(INDEX('Pooled funds'!$B:$B,ROW())&amp;""," "," "))</f>
        <v/>
      </c>
      <c r="R409">
        <f>IFERROR(--INDEX('Pooled funds'!$C:$C,ROW()),0)</f>
        <v/>
      </c>
      <c r="S409">
        <f>IFERROR(--INDEX('Pooled funds'!$D:$D,ROW()),0)</f>
        <v/>
      </c>
      <c r="T409">
        <f>IFERROR(IF(--INDEX('Pooled funds'!$E:$E,ROW())&gt;=1,--INDEX('Pooled funds'!$E:$E,ROW())/100,--INDEX('Pooled funds'!$E:$E,ROW())),0)</f>
        <v/>
      </c>
      <c r="U409">
        <f>IF(ISNUMBER(INDEX('Pooled funds'!$E:$E,ROW())),1,0)</f>
        <v/>
      </c>
      <c r="V409">
        <f>TRIM(SUBSTITUTE(INDEX('Loans'!$A:$A,ROW())&amp;""," "," "))</f>
        <v/>
      </c>
      <c r="W409">
        <f>TRIM(SUBSTITUTE(INDEX('Loans'!$B:$B,ROW())&amp;""," "," "))</f>
        <v/>
      </c>
      <c r="X409">
        <f>TRIM(SUBSTITUTE(INDEX('Loans'!$C:$C,ROW())&amp;""," "," "))</f>
        <v/>
      </c>
      <c r="Y409">
        <f>IFERROR(--INDEX('Loans'!$D:$D,ROW()),0)</f>
        <v/>
      </c>
      <c r="Z409">
        <f>IFERROR(--INDEX('Loans'!$E:$E,ROW()),0)</f>
        <v/>
      </c>
      <c r="AA409">
        <f>IFERROR(--INDEX('Loans'!$F:$F,ROW()),0)</f>
        <v/>
      </c>
      <c r="AB409">
        <f>IFERROR(IF(--INDEX('Loans'!$G:$G,ROW())&gt;=1,--INDEX('Loans'!$G:$G,ROW())/100,--INDEX('Loans'!$G:$G,ROW())),0)</f>
        <v/>
      </c>
      <c r="AC409">
        <f>TRIM(SUBSTITUTE(INDEX('Loans'!$H:$H,ROW())&amp;""," "," "))</f>
        <v/>
      </c>
      <c r="AD409">
        <f>TRIM(SUBSTITUTE(INDEX('Loans'!$I:$I,ROW())&amp;""," "," "))</f>
        <v/>
      </c>
      <c r="AE409">
        <f>IFERROR(--INDEX('Loans'!$J:$J,ROW()),0)</f>
        <v/>
      </c>
      <c r="AF409">
        <f>TRIM(SUBSTITUTE(INDEX('Loans'!$K:$K,ROW())&amp;""," "," "))</f>
        <v/>
      </c>
      <c r="AG409">
        <f>IFERROR(--INDEX('Loans'!$L:$L,ROW()),0)</f>
        <v/>
      </c>
      <c r="AH409">
        <f>IF(ISNUMBER(INDEX('Loans'!$G:$G,ROW())),1,0)</f>
        <v/>
      </c>
    </row>
    <row r="410">
      <c r="A410">
        <f>TRIM(SUBSTITUTE(INDEX('Term investments'!$A:$A,ROW())&amp;""," "," "))</f>
        <v/>
      </c>
      <c r="B410">
        <f>TRIM(SUBSTITUTE(INDEX('Term investments'!$B:$B,ROW())&amp;""," "," "))</f>
        <v/>
      </c>
      <c r="C410">
        <f>TRIM(SUBSTITUTE(INDEX('Term investments'!$C:$C,ROW())&amp;""," "," "))</f>
        <v/>
      </c>
      <c r="D410">
        <f>IFERROR(--INDEX('Term investments'!$D:$D,ROW()),0)</f>
        <v/>
      </c>
      <c r="E410">
        <f>IFERROR(--INDEX('Term investments'!$E:$E,ROW()),0)</f>
        <v/>
      </c>
      <c r="F410">
        <f>IFERROR(--INDEX('Term investments'!$F:$F,ROW()),0)</f>
        <v/>
      </c>
      <c r="G410">
        <f>IFERROR(IF(--INDEX('Term investments'!$G:$G,ROW())&gt;=1,--INDEX('Term investments'!$G:$G,ROW())/100,--INDEX('Term investments'!$G:$G,ROW())),0)</f>
        <v/>
      </c>
      <c r="H410">
        <f>IFERROR(--INDEX('Term investments'!$H:$H,ROW()),0)</f>
        <v/>
      </c>
      <c r="I410">
        <f>IF(ISNUMBER(INDEX('Term investments'!$G:$G,ROW())),1,0)</f>
        <v/>
      </c>
      <c r="J410">
        <f>TRIM(SUBSTITUTE(INDEX('Call accounts and MMFs'!$A:$A,ROW())&amp;""," "," "))</f>
        <v/>
      </c>
      <c r="K410">
        <f>TRIM(SUBSTITUTE(INDEX('Call accounts and MMFs'!$B:$B,ROW())&amp;""," "," "))</f>
        <v/>
      </c>
      <c r="L410">
        <f>TRIM(SUBSTITUTE(INDEX('Call accounts and MMFs'!$C:$C,ROW())&amp;""," "," "))</f>
        <v/>
      </c>
      <c r="M410">
        <f>IFERROR(--INDEX('Call accounts and MMFs'!$D:$D,ROW()),0)</f>
        <v/>
      </c>
      <c r="N410">
        <f>IFERROR(IF(--INDEX('Call accounts and MMFs'!$E:$E,ROW())&gt;=1,--INDEX('Call accounts and MMFs'!$E:$E,ROW())/100,--INDEX('Call accounts and MMFs'!$E:$E,ROW())),0)</f>
        <v/>
      </c>
      <c r="O410">
        <f>IFERROR(--INDEX('Call accounts and MMFs'!$F:$F,ROW()),0)</f>
        <v/>
      </c>
      <c r="P410">
        <f>IF(ISNUMBER(INDEX('Call accounts and MMFs'!$E:$E,ROW())),1,0)</f>
        <v/>
      </c>
      <c r="Q410">
        <f>TRIM(SUBSTITUTE(INDEX('Pooled funds'!$B:$B,ROW())&amp;""," "," "))</f>
        <v/>
      </c>
      <c r="R410">
        <f>IFERROR(--INDEX('Pooled funds'!$C:$C,ROW()),0)</f>
        <v/>
      </c>
      <c r="S410">
        <f>IFERROR(--INDEX('Pooled funds'!$D:$D,ROW()),0)</f>
        <v/>
      </c>
      <c r="T410">
        <f>IFERROR(IF(--INDEX('Pooled funds'!$E:$E,ROW())&gt;=1,--INDEX('Pooled funds'!$E:$E,ROW())/100,--INDEX('Pooled funds'!$E:$E,ROW())),0)</f>
        <v/>
      </c>
      <c r="U410">
        <f>IF(ISNUMBER(INDEX('Pooled funds'!$E:$E,ROW())),1,0)</f>
        <v/>
      </c>
      <c r="V410">
        <f>TRIM(SUBSTITUTE(INDEX('Loans'!$A:$A,ROW())&amp;""," "," "))</f>
        <v/>
      </c>
      <c r="W410">
        <f>TRIM(SUBSTITUTE(INDEX('Loans'!$B:$B,ROW())&amp;""," "," "))</f>
        <v/>
      </c>
      <c r="X410">
        <f>TRIM(SUBSTITUTE(INDEX('Loans'!$C:$C,ROW())&amp;""," "," "))</f>
        <v/>
      </c>
      <c r="Y410">
        <f>IFERROR(--INDEX('Loans'!$D:$D,ROW()),0)</f>
        <v/>
      </c>
      <c r="Z410">
        <f>IFERROR(--INDEX('Loans'!$E:$E,ROW()),0)</f>
        <v/>
      </c>
      <c r="AA410">
        <f>IFERROR(--INDEX('Loans'!$F:$F,ROW()),0)</f>
        <v/>
      </c>
      <c r="AB410">
        <f>IFERROR(IF(--INDEX('Loans'!$G:$G,ROW())&gt;=1,--INDEX('Loans'!$G:$G,ROW())/100,--INDEX('Loans'!$G:$G,ROW())),0)</f>
        <v/>
      </c>
      <c r="AC410">
        <f>TRIM(SUBSTITUTE(INDEX('Loans'!$H:$H,ROW())&amp;""," "," "))</f>
        <v/>
      </c>
      <c r="AD410">
        <f>TRIM(SUBSTITUTE(INDEX('Loans'!$I:$I,ROW())&amp;""," "," "))</f>
        <v/>
      </c>
      <c r="AE410">
        <f>IFERROR(--INDEX('Loans'!$J:$J,ROW()),0)</f>
        <v/>
      </c>
      <c r="AF410">
        <f>TRIM(SUBSTITUTE(INDEX('Loans'!$K:$K,ROW())&amp;""," "," "))</f>
        <v/>
      </c>
      <c r="AG410">
        <f>IFERROR(--INDEX('Loans'!$L:$L,ROW()),0)</f>
        <v/>
      </c>
      <c r="AH410">
        <f>IF(ISNUMBER(INDEX('Loans'!$G:$G,ROW())),1,0)</f>
        <v/>
      </c>
    </row>
    <row r="411">
      <c r="A411">
        <f>TRIM(SUBSTITUTE(INDEX('Term investments'!$A:$A,ROW())&amp;""," "," "))</f>
        <v/>
      </c>
      <c r="B411">
        <f>TRIM(SUBSTITUTE(INDEX('Term investments'!$B:$B,ROW())&amp;""," "," "))</f>
        <v/>
      </c>
      <c r="C411">
        <f>TRIM(SUBSTITUTE(INDEX('Term investments'!$C:$C,ROW())&amp;""," "," "))</f>
        <v/>
      </c>
      <c r="D411">
        <f>IFERROR(--INDEX('Term investments'!$D:$D,ROW()),0)</f>
        <v/>
      </c>
      <c r="E411">
        <f>IFERROR(--INDEX('Term investments'!$E:$E,ROW()),0)</f>
        <v/>
      </c>
      <c r="F411">
        <f>IFERROR(--INDEX('Term investments'!$F:$F,ROW()),0)</f>
        <v/>
      </c>
      <c r="G411">
        <f>IFERROR(IF(--INDEX('Term investments'!$G:$G,ROW())&gt;=1,--INDEX('Term investments'!$G:$G,ROW())/100,--INDEX('Term investments'!$G:$G,ROW())),0)</f>
        <v/>
      </c>
      <c r="H411">
        <f>IFERROR(--INDEX('Term investments'!$H:$H,ROW()),0)</f>
        <v/>
      </c>
      <c r="I411">
        <f>IF(ISNUMBER(INDEX('Term investments'!$G:$G,ROW())),1,0)</f>
        <v/>
      </c>
      <c r="J411">
        <f>TRIM(SUBSTITUTE(INDEX('Call accounts and MMFs'!$A:$A,ROW())&amp;""," "," "))</f>
        <v/>
      </c>
      <c r="K411">
        <f>TRIM(SUBSTITUTE(INDEX('Call accounts and MMFs'!$B:$B,ROW())&amp;""," "," "))</f>
        <v/>
      </c>
      <c r="L411">
        <f>TRIM(SUBSTITUTE(INDEX('Call accounts and MMFs'!$C:$C,ROW())&amp;""," "," "))</f>
        <v/>
      </c>
      <c r="M411">
        <f>IFERROR(--INDEX('Call accounts and MMFs'!$D:$D,ROW()),0)</f>
        <v/>
      </c>
      <c r="N411">
        <f>IFERROR(IF(--INDEX('Call accounts and MMFs'!$E:$E,ROW())&gt;=1,--INDEX('Call accounts and MMFs'!$E:$E,ROW())/100,--INDEX('Call accounts and MMFs'!$E:$E,ROW())),0)</f>
        <v/>
      </c>
      <c r="O411">
        <f>IFERROR(--INDEX('Call accounts and MMFs'!$F:$F,ROW()),0)</f>
        <v/>
      </c>
      <c r="P411">
        <f>IF(ISNUMBER(INDEX('Call accounts and MMFs'!$E:$E,ROW())),1,0)</f>
        <v/>
      </c>
      <c r="Q411">
        <f>TRIM(SUBSTITUTE(INDEX('Pooled funds'!$B:$B,ROW())&amp;""," "," "))</f>
        <v/>
      </c>
      <c r="R411">
        <f>IFERROR(--INDEX('Pooled funds'!$C:$C,ROW()),0)</f>
        <v/>
      </c>
      <c r="S411">
        <f>IFERROR(--INDEX('Pooled funds'!$D:$D,ROW()),0)</f>
        <v/>
      </c>
      <c r="T411">
        <f>IFERROR(IF(--INDEX('Pooled funds'!$E:$E,ROW())&gt;=1,--INDEX('Pooled funds'!$E:$E,ROW())/100,--INDEX('Pooled funds'!$E:$E,ROW())),0)</f>
        <v/>
      </c>
      <c r="U411">
        <f>IF(ISNUMBER(INDEX('Pooled funds'!$E:$E,ROW())),1,0)</f>
        <v/>
      </c>
      <c r="V411">
        <f>TRIM(SUBSTITUTE(INDEX('Loans'!$A:$A,ROW())&amp;""," "," "))</f>
        <v/>
      </c>
      <c r="W411">
        <f>TRIM(SUBSTITUTE(INDEX('Loans'!$B:$B,ROW())&amp;""," "," "))</f>
        <v/>
      </c>
      <c r="X411">
        <f>TRIM(SUBSTITUTE(INDEX('Loans'!$C:$C,ROW())&amp;""," "," "))</f>
        <v/>
      </c>
      <c r="Y411">
        <f>IFERROR(--INDEX('Loans'!$D:$D,ROW()),0)</f>
        <v/>
      </c>
      <c r="Z411">
        <f>IFERROR(--INDEX('Loans'!$E:$E,ROW()),0)</f>
        <v/>
      </c>
      <c r="AA411">
        <f>IFERROR(--INDEX('Loans'!$F:$F,ROW()),0)</f>
        <v/>
      </c>
      <c r="AB411">
        <f>IFERROR(IF(--INDEX('Loans'!$G:$G,ROW())&gt;=1,--INDEX('Loans'!$G:$G,ROW())/100,--INDEX('Loans'!$G:$G,ROW())),0)</f>
        <v/>
      </c>
      <c r="AC411">
        <f>TRIM(SUBSTITUTE(INDEX('Loans'!$H:$H,ROW())&amp;""," "," "))</f>
        <v/>
      </c>
      <c r="AD411">
        <f>TRIM(SUBSTITUTE(INDEX('Loans'!$I:$I,ROW())&amp;""," "," "))</f>
        <v/>
      </c>
      <c r="AE411">
        <f>IFERROR(--INDEX('Loans'!$J:$J,ROW()),0)</f>
        <v/>
      </c>
      <c r="AF411">
        <f>TRIM(SUBSTITUTE(INDEX('Loans'!$K:$K,ROW())&amp;""," "," "))</f>
        <v/>
      </c>
      <c r="AG411">
        <f>IFERROR(--INDEX('Loans'!$L:$L,ROW()),0)</f>
        <v/>
      </c>
      <c r="AH411">
        <f>IF(ISNUMBER(INDEX('Loans'!$G:$G,ROW())),1,0)</f>
        <v/>
      </c>
    </row>
    <row r="412">
      <c r="A412">
        <f>TRIM(SUBSTITUTE(INDEX('Term investments'!$A:$A,ROW())&amp;""," "," "))</f>
        <v/>
      </c>
      <c r="B412">
        <f>TRIM(SUBSTITUTE(INDEX('Term investments'!$B:$B,ROW())&amp;""," "," "))</f>
        <v/>
      </c>
      <c r="C412">
        <f>TRIM(SUBSTITUTE(INDEX('Term investments'!$C:$C,ROW())&amp;""," "," "))</f>
        <v/>
      </c>
      <c r="D412">
        <f>IFERROR(--INDEX('Term investments'!$D:$D,ROW()),0)</f>
        <v/>
      </c>
      <c r="E412">
        <f>IFERROR(--INDEX('Term investments'!$E:$E,ROW()),0)</f>
        <v/>
      </c>
      <c r="F412">
        <f>IFERROR(--INDEX('Term investments'!$F:$F,ROW()),0)</f>
        <v/>
      </c>
      <c r="G412">
        <f>IFERROR(IF(--INDEX('Term investments'!$G:$G,ROW())&gt;=1,--INDEX('Term investments'!$G:$G,ROW())/100,--INDEX('Term investments'!$G:$G,ROW())),0)</f>
        <v/>
      </c>
      <c r="H412">
        <f>IFERROR(--INDEX('Term investments'!$H:$H,ROW()),0)</f>
        <v/>
      </c>
      <c r="I412">
        <f>IF(ISNUMBER(INDEX('Term investments'!$G:$G,ROW())),1,0)</f>
        <v/>
      </c>
      <c r="J412">
        <f>TRIM(SUBSTITUTE(INDEX('Call accounts and MMFs'!$A:$A,ROW())&amp;""," "," "))</f>
        <v/>
      </c>
      <c r="K412">
        <f>TRIM(SUBSTITUTE(INDEX('Call accounts and MMFs'!$B:$B,ROW())&amp;""," "," "))</f>
        <v/>
      </c>
      <c r="L412">
        <f>TRIM(SUBSTITUTE(INDEX('Call accounts and MMFs'!$C:$C,ROW())&amp;""," "," "))</f>
        <v/>
      </c>
      <c r="M412">
        <f>IFERROR(--INDEX('Call accounts and MMFs'!$D:$D,ROW()),0)</f>
        <v/>
      </c>
      <c r="N412">
        <f>IFERROR(IF(--INDEX('Call accounts and MMFs'!$E:$E,ROW())&gt;=1,--INDEX('Call accounts and MMFs'!$E:$E,ROW())/100,--INDEX('Call accounts and MMFs'!$E:$E,ROW())),0)</f>
        <v/>
      </c>
      <c r="O412">
        <f>IFERROR(--INDEX('Call accounts and MMFs'!$F:$F,ROW()),0)</f>
        <v/>
      </c>
      <c r="P412">
        <f>IF(ISNUMBER(INDEX('Call accounts and MMFs'!$E:$E,ROW())),1,0)</f>
        <v/>
      </c>
      <c r="Q412">
        <f>TRIM(SUBSTITUTE(INDEX('Pooled funds'!$B:$B,ROW())&amp;""," "," "))</f>
        <v/>
      </c>
      <c r="R412">
        <f>IFERROR(--INDEX('Pooled funds'!$C:$C,ROW()),0)</f>
        <v/>
      </c>
      <c r="S412">
        <f>IFERROR(--INDEX('Pooled funds'!$D:$D,ROW()),0)</f>
        <v/>
      </c>
      <c r="T412">
        <f>IFERROR(IF(--INDEX('Pooled funds'!$E:$E,ROW())&gt;=1,--INDEX('Pooled funds'!$E:$E,ROW())/100,--INDEX('Pooled funds'!$E:$E,ROW())),0)</f>
        <v/>
      </c>
      <c r="U412">
        <f>IF(ISNUMBER(INDEX('Pooled funds'!$E:$E,ROW())),1,0)</f>
        <v/>
      </c>
      <c r="V412">
        <f>TRIM(SUBSTITUTE(INDEX('Loans'!$A:$A,ROW())&amp;""," "," "))</f>
        <v/>
      </c>
      <c r="W412">
        <f>TRIM(SUBSTITUTE(INDEX('Loans'!$B:$B,ROW())&amp;""," "," "))</f>
        <v/>
      </c>
      <c r="X412">
        <f>TRIM(SUBSTITUTE(INDEX('Loans'!$C:$C,ROW())&amp;""," "," "))</f>
        <v/>
      </c>
      <c r="Y412">
        <f>IFERROR(--INDEX('Loans'!$D:$D,ROW()),0)</f>
        <v/>
      </c>
      <c r="Z412">
        <f>IFERROR(--INDEX('Loans'!$E:$E,ROW()),0)</f>
        <v/>
      </c>
      <c r="AA412">
        <f>IFERROR(--INDEX('Loans'!$F:$F,ROW()),0)</f>
        <v/>
      </c>
      <c r="AB412">
        <f>IFERROR(IF(--INDEX('Loans'!$G:$G,ROW())&gt;=1,--INDEX('Loans'!$G:$G,ROW())/100,--INDEX('Loans'!$G:$G,ROW())),0)</f>
        <v/>
      </c>
      <c r="AC412">
        <f>TRIM(SUBSTITUTE(INDEX('Loans'!$H:$H,ROW())&amp;""," "," "))</f>
        <v/>
      </c>
      <c r="AD412">
        <f>TRIM(SUBSTITUTE(INDEX('Loans'!$I:$I,ROW())&amp;""," "," "))</f>
        <v/>
      </c>
      <c r="AE412">
        <f>IFERROR(--INDEX('Loans'!$J:$J,ROW()),0)</f>
        <v/>
      </c>
      <c r="AF412">
        <f>TRIM(SUBSTITUTE(INDEX('Loans'!$K:$K,ROW())&amp;""," "," "))</f>
        <v/>
      </c>
      <c r="AG412">
        <f>IFERROR(--INDEX('Loans'!$L:$L,ROW()),0)</f>
        <v/>
      </c>
      <c r="AH412">
        <f>IF(ISNUMBER(INDEX('Loans'!$G:$G,ROW())),1,0)</f>
        <v/>
      </c>
    </row>
    <row r="413">
      <c r="A413">
        <f>TRIM(SUBSTITUTE(INDEX('Term investments'!$A:$A,ROW())&amp;""," "," "))</f>
        <v/>
      </c>
      <c r="B413">
        <f>TRIM(SUBSTITUTE(INDEX('Term investments'!$B:$B,ROW())&amp;""," "," "))</f>
        <v/>
      </c>
      <c r="C413">
        <f>TRIM(SUBSTITUTE(INDEX('Term investments'!$C:$C,ROW())&amp;""," "," "))</f>
        <v/>
      </c>
      <c r="D413">
        <f>IFERROR(--INDEX('Term investments'!$D:$D,ROW()),0)</f>
        <v/>
      </c>
      <c r="E413">
        <f>IFERROR(--INDEX('Term investments'!$E:$E,ROW()),0)</f>
        <v/>
      </c>
      <c r="F413">
        <f>IFERROR(--INDEX('Term investments'!$F:$F,ROW()),0)</f>
        <v/>
      </c>
      <c r="G413">
        <f>IFERROR(IF(--INDEX('Term investments'!$G:$G,ROW())&gt;=1,--INDEX('Term investments'!$G:$G,ROW())/100,--INDEX('Term investments'!$G:$G,ROW())),0)</f>
        <v/>
      </c>
      <c r="H413">
        <f>IFERROR(--INDEX('Term investments'!$H:$H,ROW()),0)</f>
        <v/>
      </c>
      <c r="I413">
        <f>IF(ISNUMBER(INDEX('Term investments'!$G:$G,ROW())),1,0)</f>
        <v/>
      </c>
      <c r="J413">
        <f>TRIM(SUBSTITUTE(INDEX('Call accounts and MMFs'!$A:$A,ROW())&amp;""," "," "))</f>
        <v/>
      </c>
      <c r="K413">
        <f>TRIM(SUBSTITUTE(INDEX('Call accounts and MMFs'!$B:$B,ROW())&amp;""," "," "))</f>
        <v/>
      </c>
      <c r="L413">
        <f>TRIM(SUBSTITUTE(INDEX('Call accounts and MMFs'!$C:$C,ROW())&amp;""," "," "))</f>
        <v/>
      </c>
      <c r="M413">
        <f>IFERROR(--INDEX('Call accounts and MMFs'!$D:$D,ROW()),0)</f>
        <v/>
      </c>
      <c r="N413">
        <f>IFERROR(IF(--INDEX('Call accounts and MMFs'!$E:$E,ROW())&gt;=1,--INDEX('Call accounts and MMFs'!$E:$E,ROW())/100,--INDEX('Call accounts and MMFs'!$E:$E,ROW())),0)</f>
        <v/>
      </c>
      <c r="O413">
        <f>IFERROR(--INDEX('Call accounts and MMFs'!$F:$F,ROW()),0)</f>
        <v/>
      </c>
      <c r="P413">
        <f>IF(ISNUMBER(INDEX('Call accounts and MMFs'!$E:$E,ROW())),1,0)</f>
        <v/>
      </c>
      <c r="Q413">
        <f>TRIM(SUBSTITUTE(INDEX('Pooled funds'!$B:$B,ROW())&amp;""," "," "))</f>
        <v/>
      </c>
      <c r="R413">
        <f>IFERROR(--INDEX('Pooled funds'!$C:$C,ROW()),0)</f>
        <v/>
      </c>
      <c r="S413">
        <f>IFERROR(--INDEX('Pooled funds'!$D:$D,ROW()),0)</f>
        <v/>
      </c>
      <c r="T413">
        <f>IFERROR(IF(--INDEX('Pooled funds'!$E:$E,ROW())&gt;=1,--INDEX('Pooled funds'!$E:$E,ROW())/100,--INDEX('Pooled funds'!$E:$E,ROW())),0)</f>
        <v/>
      </c>
      <c r="U413">
        <f>IF(ISNUMBER(INDEX('Pooled funds'!$E:$E,ROW())),1,0)</f>
        <v/>
      </c>
      <c r="V413">
        <f>TRIM(SUBSTITUTE(INDEX('Loans'!$A:$A,ROW())&amp;""," "," "))</f>
        <v/>
      </c>
      <c r="W413">
        <f>TRIM(SUBSTITUTE(INDEX('Loans'!$B:$B,ROW())&amp;""," "," "))</f>
        <v/>
      </c>
      <c r="X413">
        <f>TRIM(SUBSTITUTE(INDEX('Loans'!$C:$C,ROW())&amp;""," "," "))</f>
        <v/>
      </c>
      <c r="Y413">
        <f>IFERROR(--INDEX('Loans'!$D:$D,ROW()),0)</f>
        <v/>
      </c>
      <c r="Z413">
        <f>IFERROR(--INDEX('Loans'!$E:$E,ROW()),0)</f>
        <v/>
      </c>
      <c r="AA413">
        <f>IFERROR(--INDEX('Loans'!$F:$F,ROW()),0)</f>
        <v/>
      </c>
      <c r="AB413">
        <f>IFERROR(IF(--INDEX('Loans'!$G:$G,ROW())&gt;=1,--INDEX('Loans'!$G:$G,ROW())/100,--INDEX('Loans'!$G:$G,ROW())),0)</f>
        <v/>
      </c>
      <c r="AC413">
        <f>TRIM(SUBSTITUTE(INDEX('Loans'!$H:$H,ROW())&amp;""," "," "))</f>
        <v/>
      </c>
      <c r="AD413">
        <f>TRIM(SUBSTITUTE(INDEX('Loans'!$I:$I,ROW())&amp;""," "," "))</f>
        <v/>
      </c>
      <c r="AE413">
        <f>IFERROR(--INDEX('Loans'!$J:$J,ROW()),0)</f>
        <v/>
      </c>
      <c r="AF413">
        <f>TRIM(SUBSTITUTE(INDEX('Loans'!$K:$K,ROW())&amp;""," "," "))</f>
        <v/>
      </c>
      <c r="AG413">
        <f>IFERROR(--INDEX('Loans'!$L:$L,ROW()),0)</f>
        <v/>
      </c>
      <c r="AH413">
        <f>IF(ISNUMBER(INDEX('Loans'!$G:$G,ROW())),1,0)</f>
        <v/>
      </c>
    </row>
    <row r="414">
      <c r="A414">
        <f>TRIM(SUBSTITUTE(INDEX('Term investments'!$A:$A,ROW())&amp;""," "," "))</f>
        <v/>
      </c>
      <c r="B414">
        <f>TRIM(SUBSTITUTE(INDEX('Term investments'!$B:$B,ROW())&amp;""," "," "))</f>
        <v/>
      </c>
      <c r="C414">
        <f>TRIM(SUBSTITUTE(INDEX('Term investments'!$C:$C,ROW())&amp;""," "," "))</f>
        <v/>
      </c>
      <c r="D414">
        <f>IFERROR(--INDEX('Term investments'!$D:$D,ROW()),0)</f>
        <v/>
      </c>
      <c r="E414">
        <f>IFERROR(--INDEX('Term investments'!$E:$E,ROW()),0)</f>
        <v/>
      </c>
      <c r="F414">
        <f>IFERROR(--INDEX('Term investments'!$F:$F,ROW()),0)</f>
        <v/>
      </c>
      <c r="G414">
        <f>IFERROR(IF(--INDEX('Term investments'!$G:$G,ROW())&gt;=1,--INDEX('Term investments'!$G:$G,ROW())/100,--INDEX('Term investments'!$G:$G,ROW())),0)</f>
        <v/>
      </c>
      <c r="H414">
        <f>IFERROR(--INDEX('Term investments'!$H:$H,ROW()),0)</f>
        <v/>
      </c>
      <c r="I414">
        <f>IF(ISNUMBER(INDEX('Term investments'!$G:$G,ROW())),1,0)</f>
        <v/>
      </c>
      <c r="J414">
        <f>TRIM(SUBSTITUTE(INDEX('Call accounts and MMFs'!$A:$A,ROW())&amp;""," "," "))</f>
        <v/>
      </c>
      <c r="K414">
        <f>TRIM(SUBSTITUTE(INDEX('Call accounts and MMFs'!$B:$B,ROW())&amp;""," "," "))</f>
        <v/>
      </c>
      <c r="L414">
        <f>TRIM(SUBSTITUTE(INDEX('Call accounts and MMFs'!$C:$C,ROW())&amp;""," "," "))</f>
        <v/>
      </c>
      <c r="M414">
        <f>IFERROR(--INDEX('Call accounts and MMFs'!$D:$D,ROW()),0)</f>
        <v/>
      </c>
      <c r="N414">
        <f>IFERROR(IF(--INDEX('Call accounts and MMFs'!$E:$E,ROW())&gt;=1,--INDEX('Call accounts and MMFs'!$E:$E,ROW())/100,--INDEX('Call accounts and MMFs'!$E:$E,ROW())),0)</f>
        <v/>
      </c>
      <c r="O414">
        <f>IFERROR(--INDEX('Call accounts and MMFs'!$F:$F,ROW()),0)</f>
        <v/>
      </c>
      <c r="P414">
        <f>IF(ISNUMBER(INDEX('Call accounts and MMFs'!$E:$E,ROW())),1,0)</f>
        <v/>
      </c>
      <c r="Q414">
        <f>TRIM(SUBSTITUTE(INDEX('Pooled funds'!$B:$B,ROW())&amp;""," "," "))</f>
        <v/>
      </c>
      <c r="R414">
        <f>IFERROR(--INDEX('Pooled funds'!$C:$C,ROW()),0)</f>
        <v/>
      </c>
      <c r="S414">
        <f>IFERROR(--INDEX('Pooled funds'!$D:$D,ROW()),0)</f>
        <v/>
      </c>
      <c r="T414">
        <f>IFERROR(IF(--INDEX('Pooled funds'!$E:$E,ROW())&gt;=1,--INDEX('Pooled funds'!$E:$E,ROW())/100,--INDEX('Pooled funds'!$E:$E,ROW())),0)</f>
        <v/>
      </c>
      <c r="U414">
        <f>IF(ISNUMBER(INDEX('Pooled funds'!$E:$E,ROW())),1,0)</f>
        <v/>
      </c>
      <c r="V414">
        <f>TRIM(SUBSTITUTE(INDEX('Loans'!$A:$A,ROW())&amp;""," "," "))</f>
        <v/>
      </c>
      <c r="W414">
        <f>TRIM(SUBSTITUTE(INDEX('Loans'!$B:$B,ROW())&amp;""," "," "))</f>
        <v/>
      </c>
      <c r="X414">
        <f>TRIM(SUBSTITUTE(INDEX('Loans'!$C:$C,ROW())&amp;""," "," "))</f>
        <v/>
      </c>
      <c r="Y414">
        <f>IFERROR(--INDEX('Loans'!$D:$D,ROW()),0)</f>
        <v/>
      </c>
      <c r="Z414">
        <f>IFERROR(--INDEX('Loans'!$E:$E,ROW()),0)</f>
        <v/>
      </c>
      <c r="AA414">
        <f>IFERROR(--INDEX('Loans'!$F:$F,ROW()),0)</f>
        <v/>
      </c>
      <c r="AB414">
        <f>IFERROR(IF(--INDEX('Loans'!$G:$G,ROW())&gt;=1,--INDEX('Loans'!$G:$G,ROW())/100,--INDEX('Loans'!$G:$G,ROW())),0)</f>
        <v/>
      </c>
      <c r="AC414">
        <f>TRIM(SUBSTITUTE(INDEX('Loans'!$H:$H,ROW())&amp;""," "," "))</f>
        <v/>
      </c>
      <c r="AD414">
        <f>TRIM(SUBSTITUTE(INDEX('Loans'!$I:$I,ROW())&amp;""," "," "))</f>
        <v/>
      </c>
      <c r="AE414">
        <f>IFERROR(--INDEX('Loans'!$J:$J,ROW()),0)</f>
        <v/>
      </c>
      <c r="AF414">
        <f>TRIM(SUBSTITUTE(INDEX('Loans'!$K:$K,ROW())&amp;""," "," "))</f>
        <v/>
      </c>
      <c r="AG414">
        <f>IFERROR(--INDEX('Loans'!$L:$L,ROW()),0)</f>
        <v/>
      </c>
      <c r="AH414">
        <f>IF(ISNUMBER(INDEX('Loans'!$G:$G,ROW())),1,0)</f>
        <v/>
      </c>
    </row>
    <row r="415">
      <c r="A415">
        <f>TRIM(SUBSTITUTE(INDEX('Term investments'!$A:$A,ROW())&amp;""," "," "))</f>
        <v/>
      </c>
      <c r="B415">
        <f>TRIM(SUBSTITUTE(INDEX('Term investments'!$B:$B,ROW())&amp;""," "," "))</f>
        <v/>
      </c>
      <c r="C415">
        <f>TRIM(SUBSTITUTE(INDEX('Term investments'!$C:$C,ROW())&amp;""," "," "))</f>
        <v/>
      </c>
      <c r="D415">
        <f>IFERROR(--INDEX('Term investments'!$D:$D,ROW()),0)</f>
        <v/>
      </c>
      <c r="E415">
        <f>IFERROR(--INDEX('Term investments'!$E:$E,ROW()),0)</f>
        <v/>
      </c>
      <c r="F415">
        <f>IFERROR(--INDEX('Term investments'!$F:$F,ROW()),0)</f>
        <v/>
      </c>
      <c r="G415">
        <f>IFERROR(IF(--INDEX('Term investments'!$G:$G,ROW())&gt;=1,--INDEX('Term investments'!$G:$G,ROW())/100,--INDEX('Term investments'!$G:$G,ROW())),0)</f>
        <v/>
      </c>
      <c r="H415">
        <f>IFERROR(--INDEX('Term investments'!$H:$H,ROW()),0)</f>
        <v/>
      </c>
      <c r="I415">
        <f>IF(ISNUMBER(INDEX('Term investments'!$G:$G,ROW())),1,0)</f>
        <v/>
      </c>
      <c r="J415">
        <f>TRIM(SUBSTITUTE(INDEX('Call accounts and MMFs'!$A:$A,ROW())&amp;""," "," "))</f>
        <v/>
      </c>
      <c r="K415">
        <f>TRIM(SUBSTITUTE(INDEX('Call accounts and MMFs'!$B:$B,ROW())&amp;""," "," "))</f>
        <v/>
      </c>
      <c r="L415">
        <f>TRIM(SUBSTITUTE(INDEX('Call accounts and MMFs'!$C:$C,ROW())&amp;""," "," "))</f>
        <v/>
      </c>
      <c r="M415">
        <f>IFERROR(--INDEX('Call accounts and MMFs'!$D:$D,ROW()),0)</f>
        <v/>
      </c>
      <c r="N415">
        <f>IFERROR(IF(--INDEX('Call accounts and MMFs'!$E:$E,ROW())&gt;=1,--INDEX('Call accounts and MMFs'!$E:$E,ROW())/100,--INDEX('Call accounts and MMFs'!$E:$E,ROW())),0)</f>
        <v/>
      </c>
      <c r="O415">
        <f>IFERROR(--INDEX('Call accounts and MMFs'!$F:$F,ROW()),0)</f>
        <v/>
      </c>
      <c r="P415">
        <f>IF(ISNUMBER(INDEX('Call accounts and MMFs'!$E:$E,ROW())),1,0)</f>
        <v/>
      </c>
      <c r="Q415">
        <f>TRIM(SUBSTITUTE(INDEX('Pooled funds'!$B:$B,ROW())&amp;""," "," "))</f>
        <v/>
      </c>
      <c r="R415">
        <f>IFERROR(--INDEX('Pooled funds'!$C:$C,ROW()),0)</f>
        <v/>
      </c>
      <c r="S415">
        <f>IFERROR(--INDEX('Pooled funds'!$D:$D,ROW()),0)</f>
        <v/>
      </c>
      <c r="T415">
        <f>IFERROR(IF(--INDEX('Pooled funds'!$E:$E,ROW())&gt;=1,--INDEX('Pooled funds'!$E:$E,ROW())/100,--INDEX('Pooled funds'!$E:$E,ROW())),0)</f>
        <v/>
      </c>
      <c r="U415">
        <f>IF(ISNUMBER(INDEX('Pooled funds'!$E:$E,ROW())),1,0)</f>
        <v/>
      </c>
      <c r="V415">
        <f>TRIM(SUBSTITUTE(INDEX('Loans'!$A:$A,ROW())&amp;""," "," "))</f>
        <v/>
      </c>
      <c r="W415">
        <f>TRIM(SUBSTITUTE(INDEX('Loans'!$B:$B,ROW())&amp;""," "," "))</f>
        <v/>
      </c>
      <c r="X415">
        <f>TRIM(SUBSTITUTE(INDEX('Loans'!$C:$C,ROW())&amp;""," "," "))</f>
        <v/>
      </c>
      <c r="Y415">
        <f>IFERROR(--INDEX('Loans'!$D:$D,ROW()),0)</f>
        <v/>
      </c>
      <c r="Z415">
        <f>IFERROR(--INDEX('Loans'!$E:$E,ROW()),0)</f>
        <v/>
      </c>
      <c r="AA415">
        <f>IFERROR(--INDEX('Loans'!$F:$F,ROW()),0)</f>
        <v/>
      </c>
      <c r="AB415">
        <f>IFERROR(IF(--INDEX('Loans'!$G:$G,ROW())&gt;=1,--INDEX('Loans'!$G:$G,ROW())/100,--INDEX('Loans'!$G:$G,ROW())),0)</f>
        <v/>
      </c>
      <c r="AC415">
        <f>TRIM(SUBSTITUTE(INDEX('Loans'!$H:$H,ROW())&amp;""," "," "))</f>
        <v/>
      </c>
      <c r="AD415">
        <f>TRIM(SUBSTITUTE(INDEX('Loans'!$I:$I,ROW())&amp;""," "," "))</f>
        <v/>
      </c>
      <c r="AE415">
        <f>IFERROR(--INDEX('Loans'!$J:$J,ROW()),0)</f>
        <v/>
      </c>
      <c r="AF415">
        <f>TRIM(SUBSTITUTE(INDEX('Loans'!$K:$K,ROW())&amp;""," "," "))</f>
        <v/>
      </c>
      <c r="AG415">
        <f>IFERROR(--INDEX('Loans'!$L:$L,ROW()),0)</f>
        <v/>
      </c>
      <c r="AH415">
        <f>IF(ISNUMBER(INDEX('Loans'!$G:$G,ROW())),1,0)</f>
        <v/>
      </c>
    </row>
    <row r="416">
      <c r="A416">
        <f>TRIM(SUBSTITUTE(INDEX('Term investments'!$A:$A,ROW())&amp;""," "," "))</f>
        <v/>
      </c>
      <c r="B416">
        <f>TRIM(SUBSTITUTE(INDEX('Term investments'!$B:$B,ROW())&amp;""," "," "))</f>
        <v/>
      </c>
      <c r="C416">
        <f>TRIM(SUBSTITUTE(INDEX('Term investments'!$C:$C,ROW())&amp;""," "," "))</f>
        <v/>
      </c>
      <c r="D416">
        <f>IFERROR(--INDEX('Term investments'!$D:$D,ROW()),0)</f>
        <v/>
      </c>
      <c r="E416">
        <f>IFERROR(--INDEX('Term investments'!$E:$E,ROW()),0)</f>
        <v/>
      </c>
      <c r="F416">
        <f>IFERROR(--INDEX('Term investments'!$F:$F,ROW()),0)</f>
        <v/>
      </c>
      <c r="G416">
        <f>IFERROR(IF(--INDEX('Term investments'!$G:$G,ROW())&gt;=1,--INDEX('Term investments'!$G:$G,ROW())/100,--INDEX('Term investments'!$G:$G,ROW())),0)</f>
        <v/>
      </c>
      <c r="H416">
        <f>IFERROR(--INDEX('Term investments'!$H:$H,ROW()),0)</f>
        <v/>
      </c>
      <c r="I416">
        <f>IF(ISNUMBER(INDEX('Term investments'!$G:$G,ROW())),1,0)</f>
        <v/>
      </c>
      <c r="J416">
        <f>TRIM(SUBSTITUTE(INDEX('Call accounts and MMFs'!$A:$A,ROW())&amp;""," "," "))</f>
        <v/>
      </c>
      <c r="K416">
        <f>TRIM(SUBSTITUTE(INDEX('Call accounts and MMFs'!$B:$B,ROW())&amp;""," "," "))</f>
        <v/>
      </c>
      <c r="L416">
        <f>TRIM(SUBSTITUTE(INDEX('Call accounts and MMFs'!$C:$C,ROW())&amp;""," "," "))</f>
        <v/>
      </c>
      <c r="M416">
        <f>IFERROR(--INDEX('Call accounts and MMFs'!$D:$D,ROW()),0)</f>
        <v/>
      </c>
      <c r="N416">
        <f>IFERROR(IF(--INDEX('Call accounts and MMFs'!$E:$E,ROW())&gt;=1,--INDEX('Call accounts and MMFs'!$E:$E,ROW())/100,--INDEX('Call accounts and MMFs'!$E:$E,ROW())),0)</f>
        <v/>
      </c>
      <c r="O416">
        <f>IFERROR(--INDEX('Call accounts and MMFs'!$F:$F,ROW()),0)</f>
        <v/>
      </c>
      <c r="P416">
        <f>IF(ISNUMBER(INDEX('Call accounts and MMFs'!$E:$E,ROW())),1,0)</f>
        <v/>
      </c>
      <c r="Q416">
        <f>TRIM(SUBSTITUTE(INDEX('Pooled funds'!$B:$B,ROW())&amp;""," "," "))</f>
        <v/>
      </c>
      <c r="R416">
        <f>IFERROR(--INDEX('Pooled funds'!$C:$C,ROW()),0)</f>
        <v/>
      </c>
      <c r="S416">
        <f>IFERROR(--INDEX('Pooled funds'!$D:$D,ROW()),0)</f>
        <v/>
      </c>
      <c r="T416">
        <f>IFERROR(IF(--INDEX('Pooled funds'!$E:$E,ROW())&gt;=1,--INDEX('Pooled funds'!$E:$E,ROW())/100,--INDEX('Pooled funds'!$E:$E,ROW())),0)</f>
        <v/>
      </c>
      <c r="U416">
        <f>IF(ISNUMBER(INDEX('Pooled funds'!$E:$E,ROW())),1,0)</f>
        <v/>
      </c>
      <c r="V416">
        <f>TRIM(SUBSTITUTE(INDEX('Loans'!$A:$A,ROW())&amp;""," "," "))</f>
        <v/>
      </c>
      <c r="W416">
        <f>TRIM(SUBSTITUTE(INDEX('Loans'!$B:$B,ROW())&amp;""," "," "))</f>
        <v/>
      </c>
      <c r="X416">
        <f>TRIM(SUBSTITUTE(INDEX('Loans'!$C:$C,ROW())&amp;""," "," "))</f>
        <v/>
      </c>
      <c r="Y416">
        <f>IFERROR(--INDEX('Loans'!$D:$D,ROW()),0)</f>
        <v/>
      </c>
      <c r="Z416">
        <f>IFERROR(--INDEX('Loans'!$E:$E,ROW()),0)</f>
        <v/>
      </c>
      <c r="AA416">
        <f>IFERROR(--INDEX('Loans'!$F:$F,ROW()),0)</f>
        <v/>
      </c>
      <c r="AB416">
        <f>IFERROR(IF(--INDEX('Loans'!$G:$G,ROW())&gt;=1,--INDEX('Loans'!$G:$G,ROW())/100,--INDEX('Loans'!$G:$G,ROW())),0)</f>
        <v/>
      </c>
      <c r="AC416">
        <f>TRIM(SUBSTITUTE(INDEX('Loans'!$H:$H,ROW())&amp;""," "," "))</f>
        <v/>
      </c>
      <c r="AD416">
        <f>TRIM(SUBSTITUTE(INDEX('Loans'!$I:$I,ROW())&amp;""," "," "))</f>
        <v/>
      </c>
      <c r="AE416">
        <f>IFERROR(--INDEX('Loans'!$J:$J,ROW()),0)</f>
        <v/>
      </c>
      <c r="AF416">
        <f>TRIM(SUBSTITUTE(INDEX('Loans'!$K:$K,ROW())&amp;""," "," "))</f>
        <v/>
      </c>
      <c r="AG416">
        <f>IFERROR(--INDEX('Loans'!$L:$L,ROW()),0)</f>
        <v/>
      </c>
      <c r="AH416">
        <f>IF(ISNUMBER(INDEX('Loans'!$G:$G,ROW())),1,0)</f>
        <v/>
      </c>
    </row>
    <row r="417">
      <c r="A417">
        <f>TRIM(SUBSTITUTE(INDEX('Term investments'!$A:$A,ROW())&amp;""," "," "))</f>
        <v/>
      </c>
      <c r="B417">
        <f>TRIM(SUBSTITUTE(INDEX('Term investments'!$B:$B,ROW())&amp;""," "," "))</f>
        <v/>
      </c>
      <c r="C417">
        <f>TRIM(SUBSTITUTE(INDEX('Term investments'!$C:$C,ROW())&amp;""," "," "))</f>
        <v/>
      </c>
      <c r="D417">
        <f>IFERROR(--INDEX('Term investments'!$D:$D,ROW()),0)</f>
        <v/>
      </c>
      <c r="E417">
        <f>IFERROR(--INDEX('Term investments'!$E:$E,ROW()),0)</f>
        <v/>
      </c>
      <c r="F417">
        <f>IFERROR(--INDEX('Term investments'!$F:$F,ROW()),0)</f>
        <v/>
      </c>
      <c r="G417">
        <f>IFERROR(IF(--INDEX('Term investments'!$G:$G,ROW())&gt;=1,--INDEX('Term investments'!$G:$G,ROW())/100,--INDEX('Term investments'!$G:$G,ROW())),0)</f>
        <v/>
      </c>
      <c r="H417">
        <f>IFERROR(--INDEX('Term investments'!$H:$H,ROW()),0)</f>
        <v/>
      </c>
      <c r="I417">
        <f>IF(ISNUMBER(INDEX('Term investments'!$G:$G,ROW())),1,0)</f>
        <v/>
      </c>
      <c r="J417">
        <f>TRIM(SUBSTITUTE(INDEX('Call accounts and MMFs'!$A:$A,ROW())&amp;""," "," "))</f>
        <v/>
      </c>
      <c r="K417">
        <f>TRIM(SUBSTITUTE(INDEX('Call accounts and MMFs'!$B:$B,ROW())&amp;""," "," "))</f>
        <v/>
      </c>
      <c r="L417">
        <f>TRIM(SUBSTITUTE(INDEX('Call accounts and MMFs'!$C:$C,ROW())&amp;""," "," "))</f>
        <v/>
      </c>
      <c r="M417">
        <f>IFERROR(--INDEX('Call accounts and MMFs'!$D:$D,ROW()),0)</f>
        <v/>
      </c>
      <c r="N417">
        <f>IFERROR(IF(--INDEX('Call accounts and MMFs'!$E:$E,ROW())&gt;=1,--INDEX('Call accounts and MMFs'!$E:$E,ROW())/100,--INDEX('Call accounts and MMFs'!$E:$E,ROW())),0)</f>
        <v/>
      </c>
      <c r="O417">
        <f>IFERROR(--INDEX('Call accounts and MMFs'!$F:$F,ROW()),0)</f>
        <v/>
      </c>
      <c r="P417">
        <f>IF(ISNUMBER(INDEX('Call accounts and MMFs'!$E:$E,ROW())),1,0)</f>
        <v/>
      </c>
      <c r="Q417">
        <f>TRIM(SUBSTITUTE(INDEX('Pooled funds'!$B:$B,ROW())&amp;""," "," "))</f>
        <v/>
      </c>
      <c r="R417">
        <f>IFERROR(--INDEX('Pooled funds'!$C:$C,ROW()),0)</f>
        <v/>
      </c>
      <c r="S417">
        <f>IFERROR(--INDEX('Pooled funds'!$D:$D,ROW()),0)</f>
        <v/>
      </c>
      <c r="T417">
        <f>IFERROR(IF(--INDEX('Pooled funds'!$E:$E,ROW())&gt;=1,--INDEX('Pooled funds'!$E:$E,ROW())/100,--INDEX('Pooled funds'!$E:$E,ROW())),0)</f>
        <v/>
      </c>
      <c r="U417">
        <f>IF(ISNUMBER(INDEX('Pooled funds'!$E:$E,ROW())),1,0)</f>
        <v/>
      </c>
      <c r="V417">
        <f>TRIM(SUBSTITUTE(INDEX('Loans'!$A:$A,ROW())&amp;""," "," "))</f>
        <v/>
      </c>
      <c r="W417">
        <f>TRIM(SUBSTITUTE(INDEX('Loans'!$B:$B,ROW())&amp;""," "," "))</f>
        <v/>
      </c>
      <c r="X417">
        <f>TRIM(SUBSTITUTE(INDEX('Loans'!$C:$C,ROW())&amp;""," "," "))</f>
        <v/>
      </c>
      <c r="Y417">
        <f>IFERROR(--INDEX('Loans'!$D:$D,ROW()),0)</f>
        <v/>
      </c>
      <c r="Z417">
        <f>IFERROR(--INDEX('Loans'!$E:$E,ROW()),0)</f>
        <v/>
      </c>
      <c r="AA417">
        <f>IFERROR(--INDEX('Loans'!$F:$F,ROW()),0)</f>
        <v/>
      </c>
      <c r="AB417">
        <f>IFERROR(IF(--INDEX('Loans'!$G:$G,ROW())&gt;=1,--INDEX('Loans'!$G:$G,ROW())/100,--INDEX('Loans'!$G:$G,ROW())),0)</f>
        <v/>
      </c>
      <c r="AC417">
        <f>TRIM(SUBSTITUTE(INDEX('Loans'!$H:$H,ROW())&amp;""," "," "))</f>
        <v/>
      </c>
      <c r="AD417">
        <f>TRIM(SUBSTITUTE(INDEX('Loans'!$I:$I,ROW())&amp;""," "," "))</f>
        <v/>
      </c>
      <c r="AE417">
        <f>IFERROR(--INDEX('Loans'!$J:$J,ROW()),0)</f>
        <v/>
      </c>
      <c r="AF417">
        <f>TRIM(SUBSTITUTE(INDEX('Loans'!$K:$K,ROW())&amp;""," "," "))</f>
        <v/>
      </c>
      <c r="AG417">
        <f>IFERROR(--INDEX('Loans'!$L:$L,ROW()),0)</f>
        <v/>
      </c>
      <c r="AH417">
        <f>IF(ISNUMBER(INDEX('Loans'!$G:$G,ROW())),1,0)</f>
        <v/>
      </c>
    </row>
    <row r="418">
      <c r="A418">
        <f>TRIM(SUBSTITUTE(INDEX('Term investments'!$A:$A,ROW())&amp;""," "," "))</f>
        <v/>
      </c>
      <c r="B418">
        <f>TRIM(SUBSTITUTE(INDEX('Term investments'!$B:$B,ROW())&amp;""," "," "))</f>
        <v/>
      </c>
      <c r="C418">
        <f>TRIM(SUBSTITUTE(INDEX('Term investments'!$C:$C,ROW())&amp;""," "," "))</f>
        <v/>
      </c>
      <c r="D418">
        <f>IFERROR(--INDEX('Term investments'!$D:$D,ROW()),0)</f>
        <v/>
      </c>
      <c r="E418">
        <f>IFERROR(--INDEX('Term investments'!$E:$E,ROW()),0)</f>
        <v/>
      </c>
      <c r="F418">
        <f>IFERROR(--INDEX('Term investments'!$F:$F,ROW()),0)</f>
        <v/>
      </c>
      <c r="G418">
        <f>IFERROR(IF(--INDEX('Term investments'!$G:$G,ROW())&gt;=1,--INDEX('Term investments'!$G:$G,ROW())/100,--INDEX('Term investments'!$G:$G,ROW())),0)</f>
        <v/>
      </c>
      <c r="H418">
        <f>IFERROR(--INDEX('Term investments'!$H:$H,ROW()),0)</f>
        <v/>
      </c>
      <c r="I418">
        <f>IF(ISNUMBER(INDEX('Term investments'!$G:$G,ROW())),1,0)</f>
        <v/>
      </c>
      <c r="J418">
        <f>TRIM(SUBSTITUTE(INDEX('Call accounts and MMFs'!$A:$A,ROW())&amp;""," "," "))</f>
        <v/>
      </c>
      <c r="K418">
        <f>TRIM(SUBSTITUTE(INDEX('Call accounts and MMFs'!$B:$B,ROW())&amp;""," "," "))</f>
        <v/>
      </c>
      <c r="L418">
        <f>TRIM(SUBSTITUTE(INDEX('Call accounts and MMFs'!$C:$C,ROW())&amp;""," "," "))</f>
        <v/>
      </c>
      <c r="M418">
        <f>IFERROR(--INDEX('Call accounts and MMFs'!$D:$D,ROW()),0)</f>
        <v/>
      </c>
      <c r="N418">
        <f>IFERROR(IF(--INDEX('Call accounts and MMFs'!$E:$E,ROW())&gt;=1,--INDEX('Call accounts and MMFs'!$E:$E,ROW())/100,--INDEX('Call accounts and MMFs'!$E:$E,ROW())),0)</f>
        <v/>
      </c>
      <c r="O418">
        <f>IFERROR(--INDEX('Call accounts and MMFs'!$F:$F,ROW()),0)</f>
        <v/>
      </c>
      <c r="P418">
        <f>IF(ISNUMBER(INDEX('Call accounts and MMFs'!$E:$E,ROW())),1,0)</f>
        <v/>
      </c>
      <c r="Q418">
        <f>TRIM(SUBSTITUTE(INDEX('Pooled funds'!$B:$B,ROW())&amp;""," "," "))</f>
        <v/>
      </c>
      <c r="R418">
        <f>IFERROR(--INDEX('Pooled funds'!$C:$C,ROW()),0)</f>
        <v/>
      </c>
      <c r="S418">
        <f>IFERROR(--INDEX('Pooled funds'!$D:$D,ROW()),0)</f>
        <v/>
      </c>
      <c r="T418">
        <f>IFERROR(IF(--INDEX('Pooled funds'!$E:$E,ROW())&gt;=1,--INDEX('Pooled funds'!$E:$E,ROW())/100,--INDEX('Pooled funds'!$E:$E,ROW())),0)</f>
        <v/>
      </c>
      <c r="U418">
        <f>IF(ISNUMBER(INDEX('Pooled funds'!$E:$E,ROW())),1,0)</f>
        <v/>
      </c>
      <c r="V418">
        <f>TRIM(SUBSTITUTE(INDEX('Loans'!$A:$A,ROW())&amp;""," "," "))</f>
        <v/>
      </c>
      <c r="W418">
        <f>TRIM(SUBSTITUTE(INDEX('Loans'!$B:$B,ROW())&amp;""," "," "))</f>
        <v/>
      </c>
      <c r="X418">
        <f>TRIM(SUBSTITUTE(INDEX('Loans'!$C:$C,ROW())&amp;""," "," "))</f>
        <v/>
      </c>
      <c r="Y418">
        <f>IFERROR(--INDEX('Loans'!$D:$D,ROW()),0)</f>
        <v/>
      </c>
      <c r="Z418">
        <f>IFERROR(--INDEX('Loans'!$E:$E,ROW()),0)</f>
        <v/>
      </c>
      <c r="AA418">
        <f>IFERROR(--INDEX('Loans'!$F:$F,ROW()),0)</f>
        <v/>
      </c>
      <c r="AB418">
        <f>IFERROR(IF(--INDEX('Loans'!$G:$G,ROW())&gt;=1,--INDEX('Loans'!$G:$G,ROW())/100,--INDEX('Loans'!$G:$G,ROW())),0)</f>
        <v/>
      </c>
      <c r="AC418">
        <f>TRIM(SUBSTITUTE(INDEX('Loans'!$H:$H,ROW())&amp;""," "," "))</f>
        <v/>
      </c>
      <c r="AD418">
        <f>TRIM(SUBSTITUTE(INDEX('Loans'!$I:$I,ROW())&amp;""," "," "))</f>
        <v/>
      </c>
      <c r="AE418">
        <f>IFERROR(--INDEX('Loans'!$J:$J,ROW()),0)</f>
        <v/>
      </c>
      <c r="AF418">
        <f>TRIM(SUBSTITUTE(INDEX('Loans'!$K:$K,ROW())&amp;""," "," "))</f>
        <v/>
      </c>
      <c r="AG418">
        <f>IFERROR(--INDEX('Loans'!$L:$L,ROW()),0)</f>
        <v/>
      </c>
      <c r="AH418">
        <f>IF(ISNUMBER(INDEX('Loans'!$G:$G,ROW())),1,0)</f>
        <v/>
      </c>
    </row>
    <row r="419">
      <c r="A419">
        <f>TRIM(SUBSTITUTE(INDEX('Term investments'!$A:$A,ROW())&amp;""," "," "))</f>
        <v/>
      </c>
      <c r="B419">
        <f>TRIM(SUBSTITUTE(INDEX('Term investments'!$B:$B,ROW())&amp;""," "," "))</f>
        <v/>
      </c>
      <c r="C419">
        <f>TRIM(SUBSTITUTE(INDEX('Term investments'!$C:$C,ROW())&amp;""," "," "))</f>
        <v/>
      </c>
      <c r="D419">
        <f>IFERROR(--INDEX('Term investments'!$D:$D,ROW()),0)</f>
        <v/>
      </c>
      <c r="E419">
        <f>IFERROR(--INDEX('Term investments'!$E:$E,ROW()),0)</f>
        <v/>
      </c>
      <c r="F419">
        <f>IFERROR(--INDEX('Term investments'!$F:$F,ROW()),0)</f>
        <v/>
      </c>
      <c r="G419">
        <f>IFERROR(IF(--INDEX('Term investments'!$G:$G,ROW())&gt;=1,--INDEX('Term investments'!$G:$G,ROW())/100,--INDEX('Term investments'!$G:$G,ROW())),0)</f>
        <v/>
      </c>
      <c r="H419">
        <f>IFERROR(--INDEX('Term investments'!$H:$H,ROW()),0)</f>
        <v/>
      </c>
      <c r="I419">
        <f>IF(ISNUMBER(INDEX('Term investments'!$G:$G,ROW())),1,0)</f>
        <v/>
      </c>
      <c r="J419">
        <f>TRIM(SUBSTITUTE(INDEX('Call accounts and MMFs'!$A:$A,ROW())&amp;""," "," "))</f>
        <v/>
      </c>
      <c r="K419">
        <f>TRIM(SUBSTITUTE(INDEX('Call accounts and MMFs'!$B:$B,ROW())&amp;""," "," "))</f>
        <v/>
      </c>
      <c r="L419">
        <f>TRIM(SUBSTITUTE(INDEX('Call accounts and MMFs'!$C:$C,ROW())&amp;""," "," "))</f>
        <v/>
      </c>
      <c r="M419">
        <f>IFERROR(--INDEX('Call accounts and MMFs'!$D:$D,ROW()),0)</f>
        <v/>
      </c>
      <c r="N419">
        <f>IFERROR(IF(--INDEX('Call accounts and MMFs'!$E:$E,ROW())&gt;=1,--INDEX('Call accounts and MMFs'!$E:$E,ROW())/100,--INDEX('Call accounts and MMFs'!$E:$E,ROW())),0)</f>
        <v/>
      </c>
      <c r="O419">
        <f>IFERROR(--INDEX('Call accounts and MMFs'!$F:$F,ROW()),0)</f>
        <v/>
      </c>
      <c r="P419">
        <f>IF(ISNUMBER(INDEX('Call accounts and MMFs'!$E:$E,ROW())),1,0)</f>
        <v/>
      </c>
      <c r="Q419">
        <f>TRIM(SUBSTITUTE(INDEX('Pooled funds'!$B:$B,ROW())&amp;""," "," "))</f>
        <v/>
      </c>
      <c r="R419">
        <f>IFERROR(--INDEX('Pooled funds'!$C:$C,ROW()),0)</f>
        <v/>
      </c>
      <c r="S419">
        <f>IFERROR(--INDEX('Pooled funds'!$D:$D,ROW()),0)</f>
        <v/>
      </c>
      <c r="T419">
        <f>IFERROR(IF(--INDEX('Pooled funds'!$E:$E,ROW())&gt;=1,--INDEX('Pooled funds'!$E:$E,ROW())/100,--INDEX('Pooled funds'!$E:$E,ROW())),0)</f>
        <v/>
      </c>
      <c r="U419">
        <f>IF(ISNUMBER(INDEX('Pooled funds'!$E:$E,ROW())),1,0)</f>
        <v/>
      </c>
      <c r="V419">
        <f>TRIM(SUBSTITUTE(INDEX('Loans'!$A:$A,ROW())&amp;""," "," "))</f>
        <v/>
      </c>
      <c r="W419">
        <f>TRIM(SUBSTITUTE(INDEX('Loans'!$B:$B,ROW())&amp;""," "," "))</f>
        <v/>
      </c>
      <c r="X419">
        <f>TRIM(SUBSTITUTE(INDEX('Loans'!$C:$C,ROW())&amp;""," "," "))</f>
        <v/>
      </c>
      <c r="Y419">
        <f>IFERROR(--INDEX('Loans'!$D:$D,ROW()),0)</f>
        <v/>
      </c>
      <c r="Z419">
        <f>IFERROR(--INDEX('Loans'!$E:$E,ROW()),0)</f>
        <v/>
      </c>
      <c r="AA419">
        <f>IFERROR(--INDEX('Loans'!$F:$F,ROW()),0)</f>
        <v/>
      </c>
      <c r="AB419">
        <f>IFERROR(IF(--INDEX('Loans'!$G:$G,ROW())&gt;=1,--INDEX('Loans'!$G:$G,ROW())/100,--INDEX('Loans'!$G:$G,ROW())),0)</f>
        <v/>
      </c>
      <c r="AC419">
        <f>TRIM(SUBSTITUTE(INDEX('Loans'!$H:$H,ROW())&amp;""," "," "))</f>
        <v/>
      </c>
      <c r="AD419">
        <f>TRIM(SUBSTITUTE(INDEX('Loans'!$I:$I,ROW())&amp;""," "," "))</f>
        <v/>
      </c>
      <c r="AE419">
        <f>IFERROR(--INDEX('Loans'!$J:$J,ROW()),0)</f>
        <v/>
      </c>
      <c r="AF419">
        <f>TRIM(SUBSTITUTE(INDEX('Loans'!$K:$K,ROW())&amp;""," "," "))</f>
        <v/>
      </c>
      <c r="AG419">
        <f>IFERROR(--INDEX('Loans'!$L:$L,ROW()),0)</f>
        <v/>
      </c>
      <c r="AH419">
        <f>IF(ISNUMBER(INDEX('Loans'!$G:$G,ROW())),1,0)</f>
        <v/>
      </c>
    </row>
    <row r="420">
      <c r="A420">
        <f>TRIM(SUBSTITUTE(INDEX('Term investments'!$A:$A,ROW())&amp;""," "," "))</f>
        <v/>
      </c>
      <c r="B420">
        <f>TRIM(SUBSTITUTE(INDEX('Term investments'!$B:$B,ROW())&amp;""," "," "))</f>
        <v/>
      </c>
      <c r="C420">
        <f>TRIM(SUBSTITUTE(INDEX('Term investments'!$C:$C,ROW())&amp;""," "," "))</f>
        <v/>
      </c>
      <c r="D420">
        <f>IFERROR(--INDEX('Term investments'!$D:$D,ROW()),0)</f>
        <v/>
      </c>
      <c r="E420">
        <f>IFERROR(--INDEX('Term investments'!$E:$E,ROW()),0)</f>
        <v/>
      </c>
      <c r="F420">
        <f>IFERROR(--INDEX('Term investments'!$F:$F,ROW()),0)</f>
        <v/>
      </c>
      <c r="G420">
        <f>IFERROR(IF(--INDEX('Term investments'!$G:$G,ROW())&gt;=1,--INDEX('Term investments'!$G:$G,ROW())/100,--INDEX('Term investments'!$G:$G,ROW())),0)</f>
        <v/>
      </c>
      <c r="H420">
        <f>IFERROR(--INDEX('Term investments'!$H:$H,ROW()),0)</f>
        <v/>
      </c>
      <c r="I420">
        <f>IF(ISNUMBER(INDEX('Term investments'!$G:$G,ROW())),1,0)</f>
        <v/>
      </c>
      <c r="J420">
        <f>TRIM(SUBSTITUTE(INDEX('Call accounts and MMFs'!$A:$A,ROW())&amp;""," "," "))</f>
        <v/>
      </c>
      <c r="K420">
        <f>TRIM(SUBSTITUTE(INDEX('Call accounts and MMFs'!$B:$B,ROW())&amp;""," "," "))</f>
        <v/>
      </c>
      <c r="L420">
        <f>TRIM(SUBSTITUTE(INDEX('Call accounts and MMFs'!$C:$C,ROW())&amp;""," "," "))</f>
        <v/>
      </c>
      <c r="M420">
        <f>IFERROR(--INDEX('Call accounts and MMFs'!$D:$D,ROW()),0)</f>
        <v/>
      </c>
      <c r="N420">
        <f>IFERROR(IF(--INDEX('Call accounts and MMFs'!$E:$E,ROW())&gt;=1,--INDEX('Call accounts and MMFs'!$E:$E,ROW())/100,--INDEX('Call accounts and MMFs'!$E:$E,ROW())),0)</f>
        <v/>
      </c>
      <c r="O420">
        <f>IFERROR(--INDEX('Call accounts and MMFs'!$F:$F,ROW()),0)</f>
        <v/>
      </c>
      <c r="P420">
        <f>IF(ISNUMBER(INDEX('Call accounts and MMFs'!$E:$E,ROW())),1,0)</f>
        <v/>
      </c>
      <c r="Q420">
        <f>TRIM(SUBSTITUTE(INDEX('Pooled funds'!$B:$B,ROW())&amp;""," "," "))</f>
        <v/>
      </c>
      <c r="R420">
        <f>IFERROR(--INDEX('Pooled funds'!$C:$C,ROW()),0)</f>
        <v/>
      </c>
      <c r="S420">
        <f>IFERROR(--INDEX('Pooled funds'!$D:$D,ROW()),0)</f>
        <v/>
      </c>
      <c r="T420">
        <f>IFERROR(IF(--INDEX('Pooled funds'!$E:$E,ROW())&gt;=1,--INDEX('Pooled funds'!$E:$E,ROW())/100,--INDEX('Pooled funds'!$E:$E,ROW())),0)</f>
        <v/>
      </c>
      <c r="U420">
        <f>IF(ISNUMBER(INDEX('Pooled funds'!$E:$E,ROW())),1,0)</f>
        <v/>
      </c>
      <c r="V420">
        <f>TRIM(SUBSTITUTE(INDEX('Loans'!$A:$A,ROW())&amp;""," "," "))</f>
        <v/>
      </c>
      <c r="W420">
        <f>TRIM(SUBSTITUTE(INDEX('Loans'!$B:$B,ROW())&amp;""," "," "))</f>
        <v/>
      </c>
      <c r="X420">
        <f>TRIM(SUBSTITUTE(INDEX('Loans'!$C:$C,ROW())&amp;""," "," "))</f>
        <v/>
      </c>
      <c r="Y420">
        <f>IFERROR(--INDEX('Loans'!$D:$D,ROW()),0)</f>
        <v/>
      </c>
      <c r="Z420">
        <f>IFERROR(--INDEX('Loans'!$E:$E,ROW()),0)</f>
        <v/>
      </c>
      <c r="AA420">
        <f>IFERROR(--INDEX('Loans'!$F:$F,ROW()),0)</f>
        <v/>
      </c>
      <c r="AB420">
        <f>IFERROR(IF(--INDEX('Loans'!$G:$G,ROW())&gt;=1,--INDEX('Loans'!$G:$G,ROW())/100,--INDEX('Loans'!$G:$G,ROW())),0)</f>
        <v/>
      </c>
      <c r="AC420">
        <f>TRIM(SUBSTITUTE(INDEX('Loans'!$H:$H,ROW())&amp;""," "," "))</f>
        <v/>
      </c>
      <c r="AD420">
        <f>TRIM(SUBSTITUTE(INDEX('Loans'!$I:$I,ROW())&amp;""," "," "))</f>
        <v/>
      </c>
      <c r="AE420">
        <f>IFERROR(--INDEX('Loans'!$J:$J,ROW()),0)</f>
        <v/>
      </c>
      <c r="AF420">
        <f>TRIM(SUBSTITUTE(INDEX('Loans'!$K:$K,ROW())&amp;""," "," "))</f>
        <v/>
      </c>
      <c r="AG420">
        <f>IFERROR(--INDEX('Loans'!$L:$L,ROW()),0)</f>
        <v/>
      </c>
      <c r="AH420">
        <f>IF(ISNUMBER(INDEX('Loans'!$G:$G,ROW())),1,0)</f>
        <v/>
      </c>
    </row>
    <row r="421">
      <c r="A421">
        <f>TRIM(SUBSTITUTE(INDEX('Term investments'!$A:$A,ROW())&amp;""," "," "))</f>
        <v/>
      </c>
      <c r="B421">
        <f>TRIM(SUBSTITUTE(INDEX('Term investments'!$B:$B,ROW())&amp;""," "," "))</f>
        <v/>
      </c>
      <c r="C421">
        <f>TRIM(SUBSTITUTE(INDEX('Term investments'!$C:$C,ROW())&amp;""," "," "))</f>
        <v/>
      </c>
      <c r="D421">
        <f>IFERROR(--INDEX('Term investments'!$D:$D,ROW()),0)</f>
        <v/>
      </c>
      <c r="E421">
        <f>IFERROR(--INDEX('Term investments'!$E:$E,ROW()),0)</f>
        <v/>
      </c>
      <c r="F421">
        <f>IFERROR(--INDEX('Term investments'!$F:$F,ROW()),0)</f>
        <v/>
      </c>
      <c r="G421">
        <f>IFERROR(IF(--INDEX('Term investments'!$G:$G,ROW())&gt;=1,--INDEX('Term investments'!$G:$G,ROW())/100,--INDEX('Term investments'!$G:$G,ROW())),0)</f>
        <v/>
      </c>
      <c r="H421">
        <f>IFERROR(--INDEX('Term investments'!$H:$H,ROW()),0)</f>
        <v/>
      </c>
      <c r="I421">
        <f>IF(ISNUMBER(INDEX('Term investments'!$G:$G,ROW())),1,0)</f>
        <v/>
      </c>
      <c r="J421">
        <f>TRIM(SUBSTITUTE(INDEX('Call accounts and MMFs'!$A:$A,ROW())&amp;""," "," "))</f>
        <v/>
      </c>
      <c r="K421">
        <f>TRIM(SUBSTITUTE(INDEX('Call accounts and MMFs'!$B:$B,ROW())&amp;""," "," "))</f>
        <v/>
      </c>
      <c r="L421">
        <f>TRIM(SUBSTITUTE(INDEX('Call accounts and MMFs'!$C:$C,ROW())&amp;""," "," "))</f>
        <v/>
      </c>
      <c r="M421">
        <f>IFERROR(--INDEX('Call accounts and MMFs'!$D:$D,ROW()),0)</f>
        <v/>
      </c>
      <c r="N421">
        <f>IFERROR(IF(--INDEX('Call accounts and MMFs'!$E:$E,ROW())&gt;=1,--INDEX('Call accounts and MMFs'!$E:$E,ROW())/100,--INDEX('Call accounts and MMFs'!$E:$E,ROW())),0)</f>
        <v/>
      </c>
      <c r="O421">
        <f>IFERROR(--INDEX('Call accounts and MMFs'!$F:$F,ROW()),0)</f>
        <v/>
      </c>
      <c r="P421">
        <f>IF(ISNUMBER(INDEX('Call accounts and MMFs'!$E:$E,ROW())),1,0)</f>
        <v/>
      </c>
      <c r="Q421">
        <f>TRIM(SUBSTITUTE(INDEX('Pooled funds'!$B:$B,ROW())&amp;""," "," "))</f>
        <v/>
      </c>
      <c r="R421">
        <f>IFERROR(--INDEX('Pooled funds'!$C:$C,ROW()),0)</f>
        <v/>
      </c>
      <c r="S421">
        <f>IFERROR(--INDEX('Pooled funds'!$D:$D,ROW()),0)</f>
        <v/>
      </c>
      <c r="T421">
        <f>IFERROR(IF(--INDEX('Pooled funds'!$E:$E,ROW())&gt;=1,--INDEX('Pooled funds'!$E:$E,ROW())/100,--INDEX('Pooled funds'!$E:$E,ROW())),0)</f>
        <v/>
      </c>
      <c r="U421">
        <f>IF(ISNUMBER(INDEX('Pooled funds'!$E:$E,ROW())),1,0)</f>
        <v/>
      </c>
      <c r="V421">
        <f>TRIM(SUBSTITUTE(INDEX('Loans'!$A:$A,ROW())&amp;""," "," "))</f>
        <v/>
      </c>
      <c r="W421">
        <f>TRIM(SUBSTITUTE(INDEX('Loans'!$B:$B,ROW())&amp;""," "," "))</f>
        <v/>
      </c>
      <c r="X421">
        <f>TRIM(SUBSTITUTE(INDEX('Loans'!$C:$C,ROW())&amp;""," "," "))</f>
        <v/>
      </c>
      <c r="Y421">
        <f>IFERROR(--INDEX('Loans'!$D:$D,ROW()),0)</f>
        <v/>
      </c>
      <c r="Z421">
        <f>IFERROR(--INDEX('Loans'!$E:$E,ROW()),0)</f>
        <v/>
      </c>
      <c r="AA421">
        <f>IFERROR(--INDEX('Loans'!$F:$F,ROW()),0)</f>
        <v/>
      </c>
      <c r="AB421">
        <f>IFERROR(IF(--INDEX('Loans'!$G:$G,ROW())&gt;=1,--INDEX('Loans'!$G:$G,ROW())/100,--INDEX('Loans'!$G:$G,ROW())),0)</f>
        <v/>
      </c>
      <c r="AC421">
        <f>TRIM(SUBSTITUTE(INDEX('Loans'!$H:$H,ROW())&amp;""," "," "))</f>
        <v/>
      </c>
      <c r="AD421">
        <f>TRIM(SUBSTITUTE(INDEX('Loans'!$I:$I,ROW())&amp;""," "," "))</f>
        <v/>
      </c>
      <c r="AE421">
        <f>IFERROR(--INDEX('Loans'!$J:$J,ROW()),0)</f>
        <v/>
      </c>
      <c r="AF421">
        <f>TRIM(SUBSTITUTE(INDEX('Loans'!$K:$K,ROW())&amp;""," "," "))</f>
        <v/>
      </c>
      <c r="AG421">
        <f>IFERROR(--INDEX('Loans'!$L:$L,ROW()),0)</f>
        <v/>
      </c>
      <c r="AH421">
        <f>IF(ISNUMBER(INDEX('Loans'!$G:$G,ROW())),1,0)</f>
        <v/>
      </c>
    </row>
    <row r="422">
      <c r="A422">
        <f>TRIM(SUBSTITUTE(INDEX('Term investments'!$A:$A,ROW())&amp;""," "," "))</f>
        <v/>
      </c>
      <c r="B422">
        <f>TRIM(SUBSTITUTE(INDEX('Term investments'!$B:$B,ROW())&amp;""," "," "))</f>
        <v/>
      </c>
      <c r="C422">
        <f>TRIM(SUBSTITUTE(INDEX('Term investments'!$C:$C,ROW())&amp;""," "," "))</f>
        <v/>
      </c>
      <c r="D422">
        <f>IFERROR(--INDEX('Term investments'!$D:$D,ROW()),0)</f>
        <v/>
      </c>
      <c r="E422">
        <f>IFERROR(--INDEX('Term investments'!$E:$E,ROW()),0)</f>
        <v/>
      </c>
      <c r="F422">
        <f>IFERROR(--INDEX('Term investments'!$F:$F,ROW()),0)</f>
        <v/>
      </c>
      <c r="G422">
        <f>IFERROR(IF(--INDEX('Term investments'!$G:$G,ROW())&gt;=1,--INDEX('Term investments'!$G:$G,ROW())/100,--INDEX('Term investments'!$G:$G,ROW())),0)</f>
        <v/>
      </c>
      <c r="H422">
        <f>IFERROR(--INDEX('Term investments'!$H:$H,ROW()),0)</f>
        <v/>
      </c>
      <c r="I422">
        <f>IF(ISNUMBER(INDEX('Term investments'!$G:$G,ROW())),1,0)</f>
        <v/>
      </c>
      <c r="J422">
        <f>TRIM(SUBSTITUTE(INDEX('Call accounts and MMFs'!$A:$A,ROW())&amp;""," "," "))</f>
        <v/>
      </c>
      <c r="K422">
        <f>TRIM(SUBSTITUTE(INDEX('Call accounts and MMFs'!$B:$B,ROW())&amp;""," "," "))</f>
        <v/>
      </c>
      <c r="L422">
        <f>TRIM(SUBSTITUTE(INDEX('Call accounts and MMFs'!$C:$C,ROW())&amp;""," "," "))</f>
        <v/>
      </c>
      <c r="M422">
        <f>IFERROR(--INDEX('Call accounts and MMFs'!$D:$D,ROW()),0)</f>
        <v/>
      </c>
      <c r="N422">
        <f>IFERROR(IF(--INDEX('Call accounts and MMFs'!$E:$E,ROW())&gt;=1,--INDEX('Call accounts and MMFs'!$E:$E,ROW())/100,--INDEX('Call accounts and MMFs'!$E:$E,ROW())),0)</f>
        <v/>
      </c>
      <c r="O422">
        <f>IFERROR(--INDEX('Call accounts and MMFs'!$F:$F,ROW()),0)</f>
        <v/>
      </c>
      <c r="P422">
        <f>IF(ISNUMBER(INDEX('Call accounts and MMFs'!$E:$E,ROW())),1,0)</f>
        <v/>
      </c>
      <c r="Q422">
        <f>TRIM(SUBSTITUTE(INDEX('Pooled funds'!$B:$B,ROW())&amp;""," "," "))</f>
        <v/>
      </c>
      <c r="R422">
        <f>IFERROR(--INDEX('Pooled funds'!$C:$C,ROW()),0)</f>
        <v/>
      </c>
      <c r="S422">
        <f>IFERROR(--INDEX('Pooled funds'!$D:$D,ROW()),0)</f>
        <v/>
      </c>
      <c r="T422">
        <f>IFERROR(IF(--INDEX('Pooled funds'!$E:$E,ROW())&gt;=1,--INDEX('Pooled funds'!$E:$E,ROW())/100,--INDEX('Pooled funds'!$E:$E,ROW())),0)</f>
        <v/>
      </c>
      <c r="U422">
        <f>IF(ISNUMBER(INDEX('Pooled funds'!$E:$E,ROW())),1,0)</f>
        <v/>
      </c>
      <c r="V422">
        <f>TRIM(SUBSTITUTE(INDEX('Loans'!$A:$A,ROW())&amp;""," "," "))</f>
        <v/>
      </c>
      <c r="W422">
        <f>TRIM(SUBSTITUTE(INDEX('Loans'!$B:$B,ROW())&amp;""," "," "))</f>
        <v/>
      </c>
      <c r="X422">
        <f>TRIM(SUBSTITUTE(INDEX('Loans'!$C:$C,ROW())&amp;""," "," "))</f>
        <v/>
      </c>
      <c r="Y422">
        <f>IFERROR(--INDEX('Loans'!$D:$D,ROW()),0)</f>
        <v/>
      </c>
      <c r="Z422">
        <f>IFERROR(--INDEX('Loans'!$E:$E,ROW()),0)</f>
        <v/>
      </c>
      <c r="AA422">
        <f>IFERROR(--INDEX('Loans'!$F:$F,ROW()),0)</f>
        <v/>
      </c>
      <c r="AB422">
        <f>IFERROR(IF(--INDEX('Loans'!$G:$G,ROW())&gt;=1,--INDEX('Loans'!$G:$G,ROW())/100,--INDEX('Loans'!$G:$G,ROW())),0)</f>
        <v/>
      </c>
      <c r="AC422">
        <f>TRIM(SUBSTITUTE(INDEX('Loans'!$H:$H,ROW())&amp;""," "," "))</f>
        <v/>
      </c>
      <c r="AD422">
        <f>TRIM(SUBSTITUTE(INDEX('Loans'!$I:$I,ROW())&amp;""," "," "))</f>
        <v/>
      </c>
      <c r="AE422">
        <f>IFERROR(--INDEX('Loans'!$J:$J,ROW()),0)</f>
        <v/>
      </c>
      <c r="AF422">
        <f>TRIM(SUBSTITUTE(INDEX('Loans'!$K:$K,ROW())&amp;""," "," "))</f>
        <v/>
      </c>
      <c r="AG422">
        <f>IFERROR(--INDEX('Loans'!$L:$L,ROW()),0)</f>
        <v/>
      </c>
      <c r="AH422">
        <f>IF(ISNUMBER(INDEX('Loans'!$G:$G,ROW())),1,0)</f>
        <v/>
      </c>
    </row>
    <row r="423">
      <c r="A423">
        <f>TRIM(SUBSTITUTE(INDEX('Term investments'!$A:$A,ROW())&amp;""," "," "))</f>
        <v/>
      </c>
      <c r="B423">
        <f>TRIM(SUBSTITUTE(INDEX('Term investments'!$B:$B,ROW())&amp;""," "," "))</f>
        <v/>
      </c>
      <c r="C423">
        <f>TRIM(SUBSTITUTE(INDEX('Term investments'!$C:$C,ROW())&amp;""," "," "))</f>
        <v/>
      </c>
      <c r="D423">
        <f>IFERROR(--INDEX('Term investments'!$D:$D,ROW()),0)</f>
        <v/>
      </c>
      <c r="E423">
        <f>IFERROR(--INDEX('Term investments'!$E:$E,ROW()),0)</f>
        <v/>
      </c>
      <c r="F423">
        <f>IFERROR(--INDEX('Term investments'!$F:$F,ROW()),0)</f>
        <v/>
      </c>
      <c r="G423">
        <f>IFERROR(IF(--INDEX('Term investments'!$G:$G,ROW())&gt;=1,--INDEX('Term investments'!$G:$G,ROW())/100,--INDEX('Term investments'!$G:$G,ROW())),0)</f>
        <v/>
      </c>
      <c r="H423">
        <f>IFERROR(--INDEX('Term investments'!$H:$H,ROW()),0)</f>
        <v/>
      </c>
      <c r="I423">
        <f>IF(ISNUMBER(INDEX('Term investments'!$G:$G,ROW())),1,0)</f>
        <v/>
      </c>
      <c r="J423">
        <f>TRIM(SUBSTITUTE(INDEX('Call accounts and MMFs'!$A:$A,ROW())&amp;""," "," "))</f>
        <v/>
      </c>
      <c r="K423">
        <f>TRIM(SUBSTITUTE(INDEX('Call accounts and MMFs'!$B:$B,ROW())&amp;""," "," "))</f>
        <v/>
      </c>
      <c r="L423">
        <f>TRIM(SUBSTITUTE(INDEX('Call accounts and MMFs'!$C:$C,ROW())&amp;""," "," "))</f>
        <v/>
      </c>
      <c r="M423">
        <f>IFERROR(--INDEX('Call accounts and MMFs'!$D:$D,ROW()),0)</f>
        <v/>
      </c>
      <c r="N423">
        <f>IFERROR(IF(--INDEX('Call accounts and MMFs'!$E:$E,ROW())&gt;=1,--INDEX('Call accounts and MMFs'!$E:$E,ROW())/100,--INDEX('Call accounts and MMFs'!$E:$E,ROW())),0)</f>
        <v/>
      </c>
      <c r="O423">
        <f>IFERROR(--INDEX('Call accounts and MMFs'!$F:$F,ROW()),0)</f>
        <v/>
      </c>
      <c r="P423">
        <f>IF(ISNUMBER(INDEX('Call accounts and MMFs'!$E:$E,ROW())),1,0)</f>
        <v/>
      </c>
      <c r="Q423">
        <f>TRIM(SUBSTITUTE(INDEX('Pooled funds'!$B:$B,ROW())&amp;""," "," "))</f>
        <v/>
      </c>
      <c r="R423">
        <f>IFERROR(--INDEX('Pooled funds'!$C:$C,ROW()),0)</f>
        <v/>
      </c>
      <c r="S423">
        <f>IFERROR(--INDEX('Pooled funds'!$D:$D,ROW()),0)</f>
        <v/>
      </c>
      <c r="T423">
        <f>IFERROR(IF(--INDEX('Pooled funds'!$E:$E,ROW())&gt;=1,--INDEX('Pooled funds'!$E:$E,ROW())/100,--INDEX('Pooled funds'!$E:$E,ROW())),0)</f>
        <v/>
      </c>
      <c r="U423">
        <f>IF(ISNUMBER(INDEX('Pooled funds'!$E:$E,ROW())),1,0)</f>
        <v/>
      </c>
      <c r="V423">
        <f>TRIM(SUBSTITUTE(INDEX('Loans'!$A:$A,ROW())&amp;""," "," "))</f>
        <v/>
      </c>
      <c r="W423">
        <f>TRIM(SUBSTITUTE(INDEX('Loans'!$B:$B,ROW())&amp;""," "," "))</f>
        <v/>
      </c>
      <c r="X423">
        <f>TRIM(SUBSTITUTE(INDEX('Loans'!$C:$C,ROW())&amp;""," "," "))</f>
        <v/>
      </c>
      <c r="Y423">
        <f>IFERROR(--INDEX('Loans'!$D:$D,ROW()),0)</f>
        <v/>
      </c>
      <c r="Z423">
        <f>IFERROR(--INDEX('Loans'!$E:$E,ROW()),0)</f>
        <v/>
      </c>
      <c r="AA423">
        <f>IFERROR(--INDEX('Loans'!$F:$F,ROW()),0)</f>
        <v/>
      </c>
      <c r="AB423">
        <f>IFERROR(IF(--INDEX('Loans'!$G:$G,ROW())&gt;=1,--INDEX('Loans'!$G:$G,ROW())/100,--INDEX('Loans'!$G:$G,ROW())),0)</f>
        <v/>
      </c>
      <c r="AC423">
        <f>TRIM(SUBSTITUTE(INDEX('Loans'!$H:$H,ROW())&amp;""," "," "))</f>
        <v/>
      </c>
      <c r="AD423">
        <f>TRIM(SUBSTITUTE(INDEX('Loans'!$I:$I,ROW())&amp;""," "," "))</f>
        <v/>
      </c>
      <c r="AE423">
        <f>IFERROR(--INDEX('Loans'!$J:$J,ROW()),0)</f>
        <v/>
      </c>
      <c r="AF423">
        <f>TRIM(SUBSTITUTE(INDEX('Loans'!$K:$K,ROW())&amp;""," "," "))</f>
        <v/>
      </c>
      <c r="AG423">
        <f>IFERROR(--INDEX('Loans'!$L:$L,ROW()),0)</f>
        <v/>
      </c>
      <c r="AH423">
        <f>IF(ISNUMBER(INDEX('Loans'!$G:$G,ROW())),1,0)</f>
        <v/>
      </c>
    </row>
    <row r="424">
      <c r="A424">
        <f>TRIM(SUBSTITUTE(INDEX('Term investments'!$A:$A,ROW())&amp;""," "," "))</f>
        <v/>
      </c>
      <c r="B424">
        <f>TRIM(SUBSTITUTE(INDEX('Term investments'!$B:$B,ROW())&amp;""," "," "))</f>
        <v/>
      </c>
      <c r="C424">
        <f>TRIM(SUBSTITUTE(INDEX('Term investments'!$C:$C,ROW())&amp;""," "," "))</f>
        <v/>
      </c>
      <c r="D424">
        <f>IFERROR(--INDEX('Term investments'!$D:$D,ROW()),0)</f>
        <v/>
      </c>
      <c r="E424">
        <f>IFERROR(--INDEX('Term investments'!$E:$E,ROW()),0)</f>
        <v/>
      </c>
      <c r="F424">
        <f>IFERROR(--INDEX('Term investments'!$F:$F,ROW()),0)</f>
        <v/>
      </c>
      <c r="G424">
        <f>IFERROR(IF(--INDEX('Term investments'!$G:$G,ROW())&gt;=1,--INDEX('Term investments'!$G:$G,ROW())/100,--INDEX('Term investments'!$G:$G,ROW())),0)</f>
        <v/>
      </c>
      <c r="H424">
        <f>IFERROR(--INDEX('Term investments'!$H:$H,ROW()),0)</f>
        <v/>
      </c>
      <c r="I424">
        <f>IF(ISNUMBER(INDEX('Term investments'!$G:$G,ROW())),1,0)</f>
        <v/>
      </c>
      <c r="J424">
        <f>TRIM(SUBSTITUTE(INDEX('Call accounts and MMFs'!$A:$A,ROW())&amp;""," "," "))</f>
        <v/>
      </c>
      <c r="K424">
        <f>TRIM(SUBSTITUTE(INDEX('Call accounts and MMFs'!$B:$B,ROW())&amp;""," "," "))</f>
        <v/>
      </c>
      <c r="L424">
        <f>TRIM(SUBSTITUTE(INDEX('Call accounts and MMFs'!$C:$C,ROW())&amp;""," "," "))</f>
        <v/>
      </c>
      <c r="M424">
        <f>IFERROR(--INDEX('Call accounts and MMFs'!$D:$D,ROW()),0)</f>
        <v/>
      </c>
      <c r="N424">
        <f>IFERROR(IF(--INDEX('Call accounts and MMFs'!$E:$E,ROW())&gt;=1,--INDEX('Call accounts and MMFs'!$E:$E,ROW())/100,--INDEX('Call accounts and MMFs'!$E:$E,ROW())),0)</f>
        <v/>
      </c>
      <c r="O424">
        <f>IFERROR(--INDEX('Call accounts and MMFs'!$F:$F,ROW()),0)</f>
        <v/>
      </c>
      <c r="P424">
        <f>IF(ISNUMBER(INDEX('Call accounts and MMFs'!$E:$E,ROW())),1,0)</f>
        <v/>
      </c>
      <c r="Q424">
        <f>TRIM(SUBSTITUTE(INDEX('Pooled funds'!$B:$B,ROW())&amp;""," "," "))</f>
        <v/>
      </c>
      <c r="R424">
        <f>IFERROR(--INDEX('Pooled funds'!$C:$C,ROW()),0)</f>
        <v/>
      </c>
      <c r="S424">
        <f>IFERROR(--INDEX('Pooled funds'!$D:$D,ROW()),0)</f>
        <v/>
      </c>
      <c r="T424">
        <f>IFERROR(IF(--INDEX('Pooled funds'!$E:$E,ROW())&gt;=1,--INDEX('Pooled funds'!$E:$E,ROW())/100,--INDEX('Pooled funds'!$E:$E,ROW())),0)</f>
        <v/>
      </c>
      <c r="U424">
        <f>IF(ISNUMBER(INDEX('Pooled funds'!$E:$E,ROW())),1,0)</f>
        <v/>
      </c>
      <c r="V424">
        <f>TRIM(SUBSTITUTE(INDEX('Loans'!$A:$A,ROW())&amp;""," "," "))</f>
        <v/>
      </c>
      <c r="W424">
        <f>TRIM(SUBSTITUTE(INDEX('Loans'!$B:$B,ROW())&amp;""," "," "))</f>
        <v/>
      </c>
      <c r="X424">
        <f>TRIM(SUBSTITUTE(INDEX('Loans'!$C:$C,ROW())&amp;""," "," "))</f>
        <v/>
      </c>
      <c r="Y424">
        <f>IFERROR(--INDEX('Loans'!$D:$D,ROW()),0)</f>
        <v/>
      </c>
      <c r="Z424">
        <f>IFERROR(--INDEX('Loans'!$E:$E,ROW()),0)</f>
        <v/>
      </c>
      <c r="AA424">
        <f>IFERROR(--INDEX('Loans'!$F:$F,ROW()),0)</f>
        <v/>
      </c>
      <c r="AB424">
        <f>IFERROR(IF(--INDEX('Loans'!$G:$G,ROW())&gt;=1,--INDEX('Loans'!$G:$G,ROW())/100,--INDEX('Loans'!$G:$G,ROW())),0)</f>
        <v/>
      </c>
      <c r="AC424">
        <f>TRIM(SUBSTITUTE(INDEX('Loans'!$H:$H,ROW())&amp;""," "," "))</f>
        <v/>
      </c>
      <c r="AD424">
        <f>TRIM(SUBSTITUTE(INDEX('Loans'!$I:$I,ROW())&amp;""," "," "))</f>
        <v/>
      </c>
      <c r="AE424">
        <f>IFERROR(--INDEX('Loans'!$J:$J,ROW()),0)</f>
        <v/>
      </c>
      <c r="AF424">
        <f>TRIM(SUBSTITUTE(INDEX('Loans'!$K:$K,ROW())&amp;""," "," "))</f>
        <v/>
      </c>
      <c r="AG424">
        <f>IFERROR(--INDEX('Loans'!$L:$L,ROW()),0)</f>
        <v/>
      </c>
      <c r="AH424">
        <f>IF(ISNUMBER(INDEX('Loans'!$G:$G,ROW())),1,0)</f>
        <v/>
      </c>
    </row>
    <row r="425">
      <c r="A425">
        <f>TRIM(SUBSTITUTE(INDEX('Term investments'!$A:$A,ROW())&amp;""," "," "))</f>
        <v/>
      </c>
      <c r="B425">
        <f>TRIM(SUBSTITUTE(INDEX('Term investments'!$B:$B,ROW())&amp;""," "," "))</f>
        <v/>
      </c>
      <c r="C425">
        <f>TRIM(SUBSTITUTE(INDEX('Term investments'!$C:$C,ROW())&amp;""," "," "))</f>
        <v/>
      </c>
      <c r="D425">
        <f>IFERROR(--INDEX('Term investments'!$D:$D,ROW()),0)</f>
        <v/>
      </c>
      <c r="E425">
        <f>IFERROR(--INDEX('Term investments'!$E:$E,ROW()),0)</f>
        <v/>
      </c>
      <c r="F425">
        <f>IFERROR(--INDEX('Term investments'!$F:$F,ROW()),0)</f>
        <v/>
      </c>
      <c r="G425">
        <f>IFERROR(IF(--INDEX('Term investments'!$G:$G,ROW())&gt;=1,--INDEX('Term investments'!$G:$G,ROW())/100,--INDEX('Term investments'!$G:$G,ROW())),0)</f>
        <v/>
      </c>
      <c r="H425">
        <f>IFERROR(--INDEX('Term investments'!$H:$H,ROW()),0)</f>
        <v/>
      </c>
      <c r="I425">
        <f>IF(ISNUMBER(INDEX('Term investments'!$G:$G,ROW())),1,0)</f>
        <v/>
      </c>
      <c r="J425">
        <f>TRIM(SUBSTITUTE(INDEX('Call accounts and MMFs'!$A:$A,ROW())&amp;""," "," "))</f>
        <v/>
      </c>
      <c r="K425">
        <f>TRIM(SUBSTITUTE(INDEX('Call accounts and MMFs'!$B:$B,ROW())&amp;""," "," "))</f>
        <v/>
      </c>
      <c r="L425">
        <f>TRIM(SUBSTITUTE(INDEX('Call accounts and MMFs'!$C:$C,ROW())&amp;""," "," "))</f>
        <v/>
      </c>
      <c r="M425">
        <f>IFERROR(--INDEX('Call accounts and MMFs'!$D:$D,ROW()),0)</f>
        <v/>
      </c>
      <c r="N425">
        <f>IFERROR(IF(--INDEX('Call accounts and MMFs'!$E:$E,ROW())&gt;=1,--INDEX('Call accounts and MMFs'!$E:$E,ROW())/100,--INDEX('Call accounts and MMFs'!$E:$E,ROW())),0)</f>
        <v/>
      </c>
      <c r="O425">
        <f>IFERROR(--INDEX('Call accounts and MMFs'!$F:$F,ROW()),0)</f>
        <v/>
      </c>
      <c r="P425">
        <f>IF(ISNUMBER(INDEX('Call accounts and MMFs'!$E:$E,ROW())),1,0)</f>
        <v/>
      </c>
      <c r="Q425">
        <f>TRIM(SUBSTITUTE(INDEX('Pooled funds'!$B:$B,ROW())&amp;""," "," "))</f>
        <v/>
      </c>
      <c r="R425">
        <f>IFERROR(--INDEX('Pooled funds'!$C:$C,ROW()),0)</f>
        <v/>
      </c>
      <c r="S425">
        <f>IFERROR(--INDEX('Pooled funds'!$D:$D,ROW()),0)</f>
        <v/>
      </c>
      <c r="T425">
        <f>IFERROR(IF(--INDEX('Pooled funds'!$E:$E,ROW())&gt;=1,--INDEX('Pooled funds'!$E:$E,ROW())/100,--INDEX('Pooled funds'!$E:$E,ROW())),0)</f>
        <v/>
      </c>
      <c r="U425">
        <f>IF(ISNUMBER(INDEX('Pooled funds'!$E:$E,ROW())),1,0)</f>
        <v/>
      </c>
      <c r="V425">
        <f>TRIM(SUBSTITUTE(INDEX('Loans'!$A:$A,ROW())&amp;""," "," "))</f>
        <v/>
      </c>
      <c r="W425">
        <f>TRIM(SUBSTITUTE(INDEX('Loans'!$B:$B,ROW())&amp;""," "," "))</f>
        <v/>
      </c>
      <c r="X425">
        <f>TRIM(SUBSTITUTE(INDEX('Loans'!$C:$C,ROW())&amp;""," "," "))</f>
        <v/>
      </c>
      <c r="Y425">
        <f>IFERROR(--INDEX('Loans'!$D:$D,ROW()),0)</f>
        <v/>
      </c>
      <c r="Z425">
        <f>IFERROR(--INDEX('Loans'!$E:$E,ROW()),0)</f>
        <v/>
      </c>
      <c r="AA425">
        <f>IFERROR(--INDEX('Loans'!$F:$F,ROW()),0)</f>
        <v/>
      </c>
      <c r="AB425">
        <f>IFERROR(IF(--INDEX('Loans'!$G:$G,ROW())&gt;=1,--INDEX('Loans'!$G:$G,ROW())/100,--INDEX('Loans'!$G:$G,ROW())),0)</f>
        <v/>
      </c>
      <c r="AC425">
        <f>TRIM(SUBSTITUTE(INDEX('Loans'!$H:$H,ROW())&amp;""," "," "))</f>
        <v/>
      </c>
      <c r="AD425">
        <f>TRIM(SUBSTITUTE(INDEX('Loans'!$I:$I,ROW())&amp;""," "," "))</f>
        <v/>
      </c>
      <c r="AE425">
        <f>IFERROR(--INDEX('Loans'!$J:$J,ROW()),0)</f>
        <v/>
      </c>
      <c r="AF425">
        <f>TRIM(SUBSTITUTE(INDEX('Loans'!$K:$K,ROW())&amp;""," "," "))</f>
        <v/>
      </c>
      <c r="AG425">
        <f>IFERROR(--INDEX('Loans'!$L:$L,ROW()),0)</f>
        <v/>
      </c>
      <c r="AH425">
        <f>IF(ISNUMBER(INDEX('Loans'!$G:$G,ROW())),1,0)</f>
        <v/>
      </c>
    </row>
    <row r="426">
      <c r="A426">
        <f>TRIM(SUBSTITUTE(INDEX('Term investments'!$A:$A,ROW())&amp;""," "," "))</f>
        <v/>
      </c>
      <c r="B426">
        <f>TRIM(SUBSTITUTE(INDEX('Term investments'!$B:$B,ROW())&amp;""," "," "))</f>
        <v/>
      </c>
      <c r="C426">
        <f>TRIM(SUBSTITUTE(INDEX('Term investments'!$C:$C,ROW())&amp;""," "," "))</f>
        <v/>
      </c>
      <c r="D426">
        <f>IFERROR(--INDEX('Term investments'!$D:$D,ROW()),0)</f>
        <v/>
      </c>
      <c r="E426">
        <f>IFERROR(--INDEX('Term investments'!$E:$E,ROW()),0)</f>
        <v/>
      </c>
      <c r="F426">
        <f>IFERROR(--INDEX('Term investments'!$F:$F,ROW()),0)</f>
        <v/>
      </c>
      <c r="G426">
        <f>IFERROR(IF(--INDEX('Term investments'!$G:$G,ROW())&gt;=1,--INDEX('Term investments'!$G:$G,ROW())/100,--INDEX('Term investments'!$G:$G,ROW())),0)</f>
        <v/>
      </c>
      <c r="H426">
        <f>IFERROR(--INDEX('Term investments'!$H:$H,ROW()),0)</f>
        <v/>
      </c>
      <c r="I426">
        <f>IF(ISNUMBER(INDEX('Term investments'!$G:$G,ROW())),1,0)</f>
        <v/>
      </c>
      <c r="J426">
        <f>TRIM(SUBSTITUTE(INDEX('Call accounts and MMFs'!$A:$A,ROW())&amp;""," "," "))</f>
        <v/>
      </c>
      <c r="K426">
        <f>TRIM(SUBSTITUTE(INDEX('Call accounts and MMFs'!$B:$B,ROW())&amp;""," "," "))</f>
        <v/>
      </c>
      <c r="L426">
        <f>TRIM(SUBSTITUTE(INDEX('Call accounts and MMFs'!$C:$C,ROW())&amp;""," "," "))</f>
        <v/>
      </c>
      <c r="M426">
        <f>IFERROR(--INDEX('Call accounts and MMFs'!$D:$D,ROW()),0)</f>
        <v/>
      </c>
      <c r="N426">
        <f>IFERROR(IF(--INDEX('Call accounts and MMFs'!$E:$E,ROW())&gt;=1,--INDEX('Call accounts and MMFs'!$E:$E,ROW())/100,--INDEX('Call accounts and MMFs'!$E:$E,ROW())),0)</f>
        <v/>
      </c>
      <c r="O426">
        <f>IFERROR(--INDEX('Call accounts and MMFs'!$F:$F,ROW()),0)</f>
        <v/>
      </c>
      <c r="P426">
        <f>IF(ISNUMBER(INDEX('Call accounts and MMFs'!$E:$E,ROW())),1,0)</f>
        <v/>
      </c>
      <c r="Q426">
        <f>TRIM(SUBSTITUTE(INDEX('Pooled funds'!$B:$B,ROW())&amp;""," "," "))</f>
        <v/>
      </c>
      <c r="R426">
        <f>IFERROR(--INDEX('Pooled funds'!$C:$C,ROW()),0)</f>
        <v/>
      </c>
      <c r="S426">
        <f>IFERROR(--INDEX('Pooled funds'!$D:$D,ROW()),0)</f>
        <v/>
      </c>
      <c r="T426">
        <f>IFERROR(IF(--INDEX('Pooled funds'!$E:$E,ROW())&gt;=1,--INDEX('Pooled funds'!$E:$E,ROW())/100,--INDEX('Pooled funds'!$E:$E,ROW())),0)</f>
        <v/>
      </c>
      <c r="U426">
        <f>IF(ISNUMBER(INDEX('Pooled funds'!$E:$E,ROW())),1,0)</f>
        <v/>
      </c>
      <c r="V426">
        <f>TRIM(SUBSTITUTE(INDEX('Loans'!$A:$A,ROW())&amp;""," "," "))</f>
        <v/>
      </c>
      <c r="W426">
        <f>TRIM(SUBSTITUTE(INDEX('Loans'!$B:$B,ROW())&amp;""," "," "))</f>
        <v/>
      </c>
      <c r="X426">
        <f>TRIM(SUBSTITUTE(INDEX('Loans'!$C:$C,ROW())&amp;""," "," "))</f>
        <v/>
      </c>
      <c r="Y426">
        <f>IFERROR(--INDEX('Loans'!$D:$D,ROW()),0)</f>
        <v/>
      </c>
      <c r="Z426">
        <f>IFERROR(--INDEX('Loans'!$E:$E,ROW()),0)</f>
        <v/>
      </c>
      <c r="AA426">
        <f>IFERROR(--INDEX('Loans'!$F:$F,ROW()),0)</f>
        <v/>
      </c>
      <c r="AB426">
        <f>IFERROR(IF(--INDEX('Loans'!$G:$G,ROW())&gt;=1,--INDEX('Loans'!$G:$G,ROW())/100,--INDEX('Loans'!$G:$G,ROW())),0)</f>
        <v/>
      </c>
      <c r="AC426">
        <f>TRIM(SUBSTITUTE(INDEX('Loans'!$H:$H,ROW())&amp;""," "," "))</f>
        <v/>
      </c>
      <c r="AD426">
        <f>TRIM(SUBSTITUTE(INDEX('Loans'!$I:$I,ROW())&amp;""," "," "))</f>
        <v/>
      </c>
      <c r="AE426">
        <f>IFERROR(--INDEX('Loans'!$J:$J,ROW()),0)</f>
        <v/>
      </c>
      <c r="AF426">
        <f>TRIM(SUBSTITUTE(INDEX('Loans'!$K:$K,ROW())&amp;""," "," "))</f>
        <v/>
      </c>
      <c r="AG426">
        <f>IFERROR(--INDEX('Loans'!$L:$L,ROW()),0)</f>
        <v/>
      </c>
      <c r="AH426">
        <f>IF(ISNUMBER(INDEX('Loans'!$G:$G,ROW())),1,0)</f>
        <v/>
      </c>
    </row>
    <row r="427">
      <c r="A427">
        <f>TRIM(SUBSTITUTE(INDEX('Term investments'!$A:$A,ROW())&amp;""," "," "))</f>
        <v/>
      </c>
      <c r="B427">
        <f>TRIM(SUBSTITUTE(INDEX('Term investments'!$B:$B,ROW())&amp;""," "," "))</f>
        <v/>
      </c>
      <c r="C427">
        <f>TRIM(SUBSTITUTE(INDEX('Term investments'!$C:$C,ROW())&amp;""," "," "))</f>
        <v/>
      </c>
      <c r="D427">
        <f>IFERROR(--INDEX('Term investments'!$D:$D,ROW()),0)</f>
        <v/>
      </c>
      <c r="E427">
        <f>IFERROR(--INDEX('Term investments'!$E:$E,ROW()),0)</f>
        <v/>
      </c>
      <c r="F427">
        <f>IFERROR(--INDEX('Term investments'!$F:$F,ROW()),0)</f>
        <v/>
      </c>
      <c r="G427">
        <f>IFERROR(IF(--INDEX('Term investments'!$G:$G,ROW())&gt;=1,--INDEX('Term investments'!$G:$G,ROW())/100,--INDEX('Term investments'!$G:$G,ROW())),0)</f>
        <v/>
      </c>
      <c r="H427">
        <f>IFERROR(--INDEX('Term investments'!$H:$H,ROW()),0)</f>
        <v/>
      </c>
      <c r="I427">
        <f>IF(ISNUMBER(INDEX('Term investments'!$G:$G,ROW())),1,0)</f>
        <v/>
      </c>
      <c r="J427">
        <f>TRIM(SUBSTITUTE(INDEX('Call accounts and MMFs'!$A:$A,ROW())&amp;""," "," "))</f>
        <v/>
      </c>
      <c r="K427">
        <f>TRIM(SUBSTITUTE(INDEX('Call accounts and MMFs'!$B:$B,ROW())&amp;""," "," "))</f>
        <v/>
      </c>
      <c r="L427">
        <f>TRIM(SUBSTITUTE(INDEX('Call accounts and MMFs'!$C:$C,ROW())&amp;""," "," "))</f>
        <v/>
      </c>
      <c r="M427">
        <f>IFERROR(--INDEX('Call accounts and MMFs'!$D:$D,ROW()),0)</f>
        <v/>
      </c>
      <c r="N427">
        <f>IFERROR(IF(--INDEX('Call accounts and MMFs'!$E:$E,ROW())&gt;=1,--INDEX('Call accounts and MMFs'!$E:$E,ROW())/100,--INDEX('Call accounts and MMFs'!$E:$E,ROW())),0)</f>
        <v/>
      </c>
      <c r="O427">
        <f>IFERROR(--INDEX('Call accounts and MMFs'!$F:$F,ROW()),0)</f>
        <v/>
      </c>
      <c r="P427">
        <f>IF(ISNUMBER(INDEX('Call accounts and MMFs'!$E:$E,ROW())),1,0)</f>
        <v/>
      </c>
      <c r="Q427">
        <f>TRIM(SUBSTITUTE(INDEX('Pooled funds'!$B:$B,ROW())&amp;""," "," "))</f>
        <v/>
      </c>
      <c r="R427">
        <f>IFERROR(--INDEX('Pooled funds'!$C:$C,ROW()),0)</f>
        <v/>
      </c>
      <c r="S427">
        <f>IFERROR(--INDEX('Pooled funds'!$D:$D,ROW()),0)</f>
        <v/>
      </c>
      <c r="T427">
        <f>IFERROR(IF(--INDEX('Pooled funds'!$E:$E,ROW())&gt;=1,--INDEX('Pooled funds'!$E:$E,ROW())/100,--INDEX('Pooled funds'!$E:$E,ROW())),0)</f>
        <v/>
      </c>
      <c r="U427">
        <f>IF(ISNUMBER(INDEX('Pooled funds'!$E:$E,ROW())),1,0)</f>
        <v/>
      </c>
      <c r="V427">
        <f>TRIM(SUBSTITUTE(INDEX('Loans'!$A:$A,ROW())&amp;""," "," "))</f>
        <v/>
      </c>
      <c r="W427">
        <f>TRIM(SUBSTITUTE(INDEX('Loans'!$B:$B,ROW())&amp;""," "," "))</f>
        <v/>
      </c>
      <c r="X427">
        <f>TRIM(SUBSTITUTE(INDEX('Loans'!$C:$C,ROW())&amp;""," "," "))</f>
        <v/>
      </c>
      <c r="Y427">
        <f>IFERROR(--INDEX('Loans'!$D:$D,ROW()),0)</f>
        <v/>
      </c>
      <c r="Z427">
        <f>IFERROR(--INDEX('Loans'!$E:$E,ROW()),0)</f>
        <v/>
      </c>
      <c r="AA427">
        <f>IFERROR(--INDEX('Loans'!$F:$F,ROW()),0)</f>
        <v/>
      </c>
      <c r="AB427">
        <f>IFERROR(IF(--INDEX('Loans'!$G:$G,ROW())&gt;=1,--INDEX('Loans'!$G:$G,ROW())/100,--INDEX('Loans'!$G:$G,ROW())),0)</f>
        <v/>
      </c>
      <c r="AC427">
        <f>TRIM(SUBSTITUTE(INDEX('Loans'!$H:$H,ROW())&amp;""," "," "))</f>
        <v/>
      </c>
      <c r="AD427">
        <f>TRIM(SUBSTITUTE(INDEX('Loans'!$I:$I,ROW())&amp;""," "," "))</f>
        <v/>
      </c>
      <c r="AE427">
        <f>IFERROR(--INDEX('Loans'!$J:$J,ROW()),0)</f>
        <v/>
      </c>
      <c r="AF427">
        <f>TRIM(SUBSTITUTE(INDEX('Loans'!$K:$K,ROW())&amp;""," "," "))</f>
        <v/>
      </c>
      <c r="AG427">
        <f>IFERROR(--INDEX('Loans'!$L:$L,ROW()),0)</f>
        <v/>
      </c>
      <c r="AH427">
        <f>IF(ISNUMBER(INDEX('Loans'!$G:$G,ROW())),1,0)</f>
        <v/>
      </c>
    </row>
    <row r="428">
      <c r="A428">
        <f>TRIM(SUBSTITUTE(INDEX('Term investments'!$A:$A,ROW())&amp;""," "," "))</f>
        <v/>
      </c>
      <c r="B428">
        <f>TRIM(SUBSTITUTE(INDEX('Term investments'!$B:$B,ROW())&amp;""," "," "))</f>
        <v/>
      </c>
      <c r="C428">
        <f>TRIM(SUBSTITUTE(INDEX('Term investments'!$C:$C,ROW())&amp;""," "," "))</f>
        <v/>
      </c>
      <c r="D428">
        <f>IFERROR(--INDEX('Term investments'!$D:$D,ROW()),0)</f>
        <v/>
      </c>
      <c r="E428">
        <f>IFERROR(--INDEX('Term investments'!$E:$E,ROW()),0)</f>
        <v/>
      </c>
      <c r="F428">
        <f>IFERROR(--INDEX('Term investments'!$F:$F,ROW()),0)</f>
        <v/>
      </c>
      <c r="G428">
        <f>IFERROR(IF(--INDEX('Term investments'!$G:$G,ROW())&gt;=1,--INDEX('Term investments'!$G:$G,ROW())/100,--INDEX('Term investments'!$G:$G,ROW())),0)</f>
        <v/>
      </c>
      <c r="H428">
        <f>IFERROR(--INDEX('Term investments'!$H:$H,ROW()),0)</f>
        <v/>
      </c>
      <c r="I428">
        <f>IF(ISNUMBER(INDEX('Term investments'!$G:$G,ROW())),1,0)</f>
        <v/>
      </c>
      <c r="J428">
        <f>TRIM(SUBSTITUTE(INDEX('Call accounts and MMFs'!$A:$A,ROW())&amp;""," "," "))</f>
        <v/>
      </c>
      <c r="K428">
        <f>TRIM(SUBSTITUTE(INDEX('Call accounts and MMFs'!$B:$B,ROW())&amp;""," "," "))</f>
        <v/>
      </c>
      <c r="L428">
        <f>TRIM(SUBSTITUTE(INDEX('Call accounts and MMFs'!$C:$C,ROW())&amp;""," "," "))</f>
        <v/>
      </c>
      <c r="M428">
        <f>IFERROR(--INDEX('Call accounts and MMFs'!$D:$D,ROW()),0)</f>
        <v/>
      </c>
      <c r="N428">
        <f>IFERROR(IF(--INDEX('Call accounts and MMFs'!$E:$E,ROW())&gt;=1,--INDEX('Call accounts and MMFs'!$E:$E,ROW())/100,--INDEX('Call accounts and MMFs'!$E:$E,ROW())),0)</f>
        <v/>
      </c>
      <c r="O428">
        <f>IFERROR(--INDEX('Call accounts and MMFs'!$F:$F,ROW()),0)</f>
        <v/>
      </c>
      <c r="P428">
        <f>IF(ISNUMBER(INDEX('Call accounts and MMFs'!$E:$E,ROW())),1,0)</f>
        <v/>
      </c>
      <c r="Q428">
        <f>TRIM(SUBSTITUTE(INDEX('Pooled funds'!$B:$B,ROW())&amp;""," "," "))</f>
        <v/>
      </c>
      <c r="R428">
        <f>IFERROR(--INDEX('Pooled funds'!$C:$C,ROW()),0)</f>
        <v/>
      </c>
      <c r="S428">
        <f>IFERROR(--INDEX('Pooled funds'!$D:$D,ROW()),0)</f>
        <v/>
      </c>
      <c r="T428">
        <f>IFERROR(IF(--INDEX('Pooled funds'!$E:$E,ROW())&gt;=1,--INDEX('Pooled funds'!$E:$E,ROW())/100,--INDEX('Pooled funds'!$E:$E,ROW())),0)</f>
        <v/>
      </c>
      <c r="U428">
        <f>IF(ISNUMBER(INDEX('Pooled funds'!$E:$E,ROW())),1,0)</f>
        <v/>
      </c>
      <c r="V428">
        <f>TRIM(SUBSTITUTE(INDEX('Loans'!$A:$A,ROW())&amp;""," "," "))</f>
        <v/>
      </c>
      <c r="W428">
        <f>TRIM(SUBSTITUTE(INDEX('Loans'!$B:$B,ROW())&amp;""," "," "))</f>
        <v/>
      </c>
      <c r="X428">
        <f>TRIM(SUBSTITUTE(INDEX('Loans'!$C:$C,ROW())&amp;""," "," "))</f>
        <v/>
      </c>
      <c r="Y428">
        <f>IFERROR(--INDEX('Loans'!$D:$D,ROW()),0)</f>
        <v/>
      </c>
      <c r="Z428">
        <f>IFERROR(--INDEX('Loans'!$E:$E,ROW()),0)</f>
        <v/>
      </c>
      <c r="AA428">
        <f>IFERROR(--INDEX('Loans'!$F:$F,ROW()),0)</f>
        <v/>
      </c>
      <c r="AB428">
        <f>IFERROR(IF(--INDEX('Loans'!$G:$G,ROW())&gt;=1,--INDEX('Loans'!$G:$G,ROW())/100,--INDEX('Loans'!$G:$G,ROW())),0)</f>
        <v/>
      </c>
      <c r="AC428">
        <f>TRIM(SUBSTITUTE(INDEX('Loans'!$H:$H,ROW())&amp;""," "," "))</f>
        <v/>
      </c>
      <c r="AD428">
        <f>TRIM(SUBSTITUTE(INDEX('Loans'!$I:$I,ROW())&amp;""," "," "))</f>
        <v/>
      </c>
      <c r="AE428">
        <f>IFERROR(--INDEX('Loans'!$J:$J,ROW()),0)</f>
        <v/>
      </c>
      <c r="AF428">
        <f>TRIM(SUBSTITUTE(INDEX('Loans'!$K:$K,ROW())&amp;""," "," "))</f>
        <v/>
      </c>
      <c r="AG428">
        <f>IFERROR(--INDEX('Loans'!$L:$L,ROW()),0)</f>
        <v/>
      </c>
      <c r="AH428">
        <f>IF(ISNUMBER(INDEX('Loans'!$G:$G,ROW())),1,0)</f>
        <v/>
      </c>
    </row>
    <row r="429">
      <c r="A429">
        <f>TRIM(SUBSTITUTE(INDEX('Term investments'!$A:$A,ROW())&amp;""," "," "))</f>
        <v/>
      </c>
      <c r="B429">
        <f>TRIM(SUBSTITUTE(INDEX('Term investments'!$B:$B,ROW())&amp;""," "," "))</f>
        <v/>
      </c>
      <c r="C429">
        <f>TRIM(SUBSTITUTE(INDEX('Term investments'!$C:$C,ROW())&amp;""," "," "))</f>
        <v/>
      </c>
      <c r="D429">
        <f>IFERROR(--INDEX('Term investments'!$D:$D,ROW()),0)</f>
        <v/>
      </c>
      <c r="E429">
        <f>IFERROR(--INDEX('Term investments'!$E:$E,ROW()),0)</f>
        <v/>
      </c>
      <c r="F429">
        <f>IFERROR(--INDEX('Term investments'!$F:$F,ROW()),0)</f>
        <v/>
      </c>
      <c r="G429">
        <f>IFERROR(IF(--INDEX('Term investments'!$G:$G,ROW())&gt;=1,--INDEX('Term investments'!$G:$G,ROW())/100,--INDEX('Term investments'!$G:$G,ROW())),0)</f>
        <v/>
      </c>
      <c r="H429">
        <f>IFERROR(--INDEX('Term investments'!$H:$H,ROW()),0)</f>
        <v/>
      </c>
      <c r="I429">
        <f>IF(ISNUMBER(INDEX('Term investments'!$G:$G,ROW())),1,0)</f>
        <v/>
      </c>
      <c r="J429">
        <f>TRIM(SUBSTITUTE(INDEX('Call accounts and MMFs'!$A:$A,ROW())&amp;""," "," "))</f>
        <v/>
      </c>
      <c r="K429">
        <f>TRIM(SUBSTITUTE(INDEX('Call accounts and MMFs'!$B:$B,ROW())&amp;""," "," "))</f>
        <v/>
      </c>
      <c r="L429">
        <f>TRIM(SUBSTITUTE(INDEX('Call accounts and MMFs'!$C:$C,ROW())&amp;""," "," "))</f>
        <v/>
      </c>
      <c r="M429">
        <f>IFERROR(--INDEX('Call accounts and MMFs'!$D:$D,ROW()),0)</f>
        <v/>
      </c>
      <c r="N429">
        <f>IFERROR(IF(--INDEX('Call accounts and MMFs'!$E:$E,ROW())&gt;=1,--INDEX('Call accounts and MMFs'!$E:$E,ROW())/100,--INDEX('Call accounts and MMFs'!$E:$E,ROW())),0)</f>
        <v/>
      </c>
      <c r="O429">
        <f>IFERROR(--INDEX('Call accounts and MMFs'!$F:$F,ROW()),0)</f>
        <v/>
      </c>
      <c r="P429">
        <f>IF(ISNUMBER(INDEX('Call accounts and MMFs'!$E:$E,ROW())),1,0)</f>
        <v/>
      </c>
      <c r="Q429">
        <f>TRIM(SUBSTITUTE(INDEX('Pooled funds'!$B:$B,ROW())&amp;""," "," "))</f>
        <v/>
      </c>
      <c r="R429">
        <f>IFERROR(--INDEX('Pooled funds'!$C:$C,ROW()),0)</f>
        <v/>
      </c>
      <c r="S429">
        <f>IFERROR(--INDEX('Pooled funds'!$D:$D,ROW()),0)</f>
        <v/>
      </c>
      <c r="T429">
        <f>IFERROR(IF(--INDEX('Pooled funds'!$E:$E,ROW())&gt;=1,--INDEX('Pooled funds'!$E:$E,ROW())/100,--INDEX('Pooled funds'!$E:$E,ROW())),0)</f>
        <v/>
      </c>
      <c r="U429">
        <f>IF(ISNUMBER(INDEX('Pooled funds'!$E:$E,ROW())),1,0)</f>
        <v/>
      </c>
      <c r="V429">
        <f>TRIM(SUBSTITUTE(INDEX('Loans'!$A:$A,ROW())&amp;""," "," "))</f>
        <v/>
      </c>
      <c r="W429">
        <f>TRIM(SUBSTITUTE(INDEX('Loans'!$B:$B,ROW())&amp;""," "," "))</f>
        <v/>
      </c>
      <c r="X429">
        <f>TRIM(SUBSTITUTE(INDEX('Loans'!$C:$C,ROW())&amp;""," "," "))</f>
        <v/>
      </c>
      <c r="Y429">
        <f>IFERROR(--INDEX('Loans'!$D:$D,ROW()),0)</f>
        <v/>
      </c>
      <c r="Z429">
        <f>IFERROR(--INDEX('Loans'!$E:$E,ROW()),0)</f>
        <v/>
      </c>
      <c r="AA429">
        <f>IFERROR(--INDEX('Loans'!$F:$F,ROW()),0)</f>
        <v/>
      </c>
      <c r="AB429">
        <f>IFERROR(IF(--INDEX('Loans'!$G:$G,ROW())&gt;=1,--INDEX('Loans'!$G:$G,ROW())/100,--INDEX('Loans'!$G:$G,ROW())),0)</f>
        <v/>
      </c>
      <c r="AC429">
        <f>TRIM(SUBSTITUTE(INDEX('Loans'!$H:$H,ROW())&amp;""," "," "))</f>
        <v/>
      </c>
      <c r="AD429">
        <f>TRIM(SUBSTITUTE(INDEX('Loans'!$I:$I,ROW())&amp;""," "," "))</f>
        <v/>
      </c>
      <c r="AE429">
        <f>IFERROR(--INDEX('Loans'!$J:$J,ROW()),0)</f>
        <v/>
      </c>
      <c r="AF429">
        <f>TRIM(SUBSTITUTE(INDEX('Loans'!$K:$K,ROW())&amp;""," "," "))</f>
        <v/>
      </c>
      <c r="AG429">
        <f>IFERROR(--INDEX('Loans'!$L:$L,ROW()),0)</f>
        <v/>
      </c>
      <c r="AH429">
        <f>IF(ISNUMBER(INDEX('Loans'!$G:$G,ROW())),1,0)</f>
        <v/>
      </c>
    </row>
    <row r="430">
      <c r="A430">
        <f>TRIM(SUBSTITUTE(INDEX('Term investments'!$A:$A,ROW())&amp;""," "," "))</f>
        <v/>
      </c>
      <c r="B430">
        <f>TRIM(SUBSTITUTE(INDEX('Term investments'!$B:$B,ROW())&amp;""," "," "))</f>
        <v/>
      </c>
      <c r="C430">
        <f>TRIM(SUBSTITUTE(INDEX('Term investments'!$C:$C,ROW())&amp;""," "," "))</f>
        <v/>
      </c>
      <c r="D430">
        <f>IFERROR(--INDEX('Term investments'!$D:$D,ROW()),0)</f>
        <v/>
      </c>
      <c r="E430">
        <f>IFERROR(--INDEX('Term investments'!$E:$E,ROW()),0)</f>
        <v/>
      </c>
      <c r="F430">
        <f>IFERROR(--INDEX('Term investments'!$F:$F,ROW()),0)</f>
        <v/>
      </c>
      <c r="G430">
        <f>IFERROR(IF(--INDEX('Term investments'!$G:$G,ROW())&gt;=1,--INDEX('Term investments'!$G:$G,ROW())/100,--INDEX('Term investments'!$G:$G,ROW())),0)</f>
        <v/>
      </c>
      <c r="H430">
        <f>IFERROR(--INDEX('Term investments'!$H:$H,ROW()),0)</f>
        <v/>
      </c>
      <c r="I430">
        <f>IF(ISNUMBER(INDEX('Term investments'!$G:$G,ROW())),1,0)</f>
        <v/>
      </c>
      <c r="J430">
        <f>TRIM(SUBSTITUTE(INDEX('Call accounts and MMFs'!$A:$A,ROW())&amp;""," "," "))</f>
        <v/>
      </c>
      <c r="K430">
        <f>TRIM(SUBSTITUTE(INDEX('Call accounts and MMFs'!$B:$B,ROW())&amp;""," "," "))</f>
        <v/>
      </c>
      <c r="L430">
        <f>TRIM(SUBSTITUTE(INDEX('Call accounts and MMFs'!$C:$C,ROW())&amp;""," "," "))</f>
        <v/>
      </c>
      <c r="M430">
        <f>IFERROR(--INDEX('Call accounts and MMFs'!$D:$D,ROW()),0)</f>
        <v/>
      </c>
      <c r="N430">
        <f>IFERROR(IF(--INDEX('Call accounts and MMFs'!$E:$E,ROW())&gt;=1,--INDEX('Call accounts and MMFs'!$E:$E,ROW())/100,--INDEX('Call accounts and MMFs'!$E:$E,ROW())),0)</f>
        <v/>
      </c>
      <c r="O430">
        <f>IFERROR(--INDEX('Call accounts and MMFs'!$F:$F,ROW()),0)</f>
        <v/>
      </c>
      <c r="P430">
        <f>IF(ISNUMBER(INDEX('Call accounts and MMFs'!$E:$E,ROW())),1,0)</f>
        <v/>
      </c>
      <c r="Q430">
        <f>TRIM(SUBSTITUTE(INDEX('Pooled funds'!$B:$B,ROW())&amp;""," "," "))</f>
        <v/>
      </c>
      <c r="R430">
        <f>IFERROR(--INDEX('Pooled funds'!$C:$C,ROW()),0)</f>
        <v/>
      </c>
      <c r="S430">
        <f>IFERROR(--INDEX('Pooled funds'!$D:$D,ROW()),0)</f>
        <v/>
      </c>
      <c r="T430">
        <f>IFERROR(IF(--INDEX('Pooled funds'!$E:$E,ROW())&gt;=1,--INDEX('Pooled funds'!$E:$E,ROW())/100,--INDEX('Pooled funds'!$E:$E,ROW())),0)</f>
        <v/>
      </c>
      <c r="U430">
        <f>IF(ISNUMBER(INDEX('Pooled funds'!$E:$E,ROW())),1,0)</f>
        <v/>
      </c>
      <c r="V430">
        <f>TRIM(SUBSTITUTE(INDEX('Loans'!$A:$A,ROW())&amp;""," "," "))</f>
        <v/>
      </c>
      <c r="W430">
        <f>TRIM(SUBSTITUTE(INDEX('Loans'!$B:$B,ROW())&amp;""," "," "))</f>
        <v/>
      </c>
      <c r="X430">
        <f>TRIM(SUBSTITUTE(INDEX('Loans'!$C:$C,ROW())&amp;""," "," "))</f>
        <v/>
      </c>
      <c r="Y430">
        <f>IFERROR(--INDEX('Loans'!$D:$D,ROW()),0)</f>
        <v/>
      </c>
      <c r="Z430">
        <f>IFERROR(--INDEX('Loans'!$E:$E,ROW()),0)</f>
        <v/>
      </c>
      <c r="AA430">
        <f>IFERROR(--INDEX('Loans'!$F:$F,ROW()),0)</f>
        <v/>
      </c>
      <c r="AB430">
        <f>IFERROR(IF(--INDEX('Loans'!$G:$G,ROW())&gt;=1,--INDEX('Loans'!$G:$G,ROW())/100,--INDEX('Loans'!$G:$G,ROW())),0)</f>
        <v/>
      </c>
      <c r="AC430">
        <f>TRIM(SUBSTITUTE(INDEX('Loans'!$H:$H,ROW())&amp;""," "," "))</f>
        <v/>
      </c>
      <c r="AD430">
        <f>TRIM(SUBSTITUTE(INDEX('Loans'!$I:$I,ROW())&amp;""," "," "))</f>
        <v/>
      </c>
      <c r="AE430">
        <f>IFERROR(--INDEX('Loans'!$J:$J,ROW()),0)</f>
        <v/>
      </c>
      <c r="AF430">
        <f>TRIM(SUBSTITUTE(INDEX('Loans'!$K:$K,ROW())&amp;""," "," "))</f>
        <v/>
      </c>
      <c r="AG430">
        <f>IFERROR(--INDEX('Loans'!$L:$L,ROW()),0)</f>
        <v/>
      </c>
      <c r="AH430">
        <f>IF(ISNUMBER(INDEX('Loans'!$G:$G,ROW())),1,0)</f>
        <v/>
      </c>
    </row>
    <row r="431">
      <c r="A431">
        <f>TRIM(SUBSTITUTE(INDEX('Term investments'!$A:$A,ROW())&amp;""," "," "))</f>
        <v/>
      </c>
      <c r="B431">
        <f>TRIM(SUBSTITUTE(INDEX('Term investments'!$B:$B,ROW())&amp;""," "," "))</f>
        <v/>
      </c>
      <c r="C431">
        <f>TRIM(SUBSTITUTE(INDEX('Term investments'!$C:$C,ROW())&amp;""," "," "))</f>
        <v/>
      </c>
      <c r="D431">
        <f>IFERROR(--INDEX('Term investments'!$D:$D,ROW()),0)</f>
        <v/>
      </c>
      <c r="E431">
        <f>IFERROR(--INDEX('Term investments'!$E:$E,ROW()),0)</f>
        <v/>
      </c>
      <c r="F431">
        <f>IFERROR(--INDEX('Term investments'!$F:$F,ROW()),0)</f>
        <v/>
      </c>
      <c r="G431">
        <f>IFERROR(IF(--INDEX('Term investments'!$G:$G,ROW())&gt;=1,--INDEX('Term investments'!$G:$G,ROW())/100,--INDEX('Term investments'!$G:$G,ROW())),0)</f>
        <v/>
      </c>
      <c r="H431">
        <f>IFERROR(--INDEX('Term investments'!$H:$H,ROW()),0)</f>
        <v/>
      </c>
      <c r="I431">
        <f>IF(ISNUMBER(INDEX('Term investments'!$G:$G,ROW())),1,0)</f>
        <v/>
      </c>
      <c r="J431">
        <f>TRIM(SUBSTITUTE(INDEX('Call accounts and MMFs'!$A:$A,ROW())&amp;""," "," "))</f>
        <v/>
      </c>
      <c r="K431">
        <f>TRIM(SUBSTITUTE(INDEX('Call accounts and MMFs'!$B:$B,ROW())&amp;""," "," "))</f>
        <v/>
      </c>
      <c r="L431">
        <f>TRIM(SUBSTITUTE(INDEX('Call accounts and MMFs'!$C:$C,ROW())&amp;""," "," "))</f>
        <v/>
      </c>
      <c r="M431">
        <f>IFERROR(--INDEX('Call accounts and MMFs'!$D:$D,ROW()),0)</f>
        <v/>
      </c>
      <c r="N431">
        <f>IFERROR(IF(--INDEX('Call accounts and MMFs'!$E:$E,ROW())&gt;=1,--INDEX('Call accounts and MMFs'!$E:$E,ROW())/100,--INDEX('Call accounts and MMFs'!$E:$E,ROW())),0)</f>
        <v/>
      </c>
      <c r="O431">
        <f>IFERROR(--INDEX('Call accounts and MMFs'!$F:$F,ROW()),0)</f>
        <v/>
      </c>
      <c r="P431">
        <f>IF(ISNUMBER(INDEX('Call accounts and MMFs'!$E:$E,ROW())),1,0)</f>
        <v/>
      </c>
      <c r="Q431">
        <f>TRIM(SUBSTITUTE(INDEX('Pooled funds'!$B:$B,ROW())&amp;""," "," "))</f>
        <v/>
      </c>
      <c r="R431">
        <f>IFERROR(--INDEX('Pooled funds'!$C:$C,ROW()),0)</f>
        <v/>
      </c>
      <c r="S431">
        <f>IFERROR(--INDEX('Pooled funds'!$D:$D,ROW()),0)</f>
        <v/>
      </c>
      <c r="T431">
        <f>IFERROR(IF(--INDEX('Pooled funds'!$E:$E,ROW())&gt;=1,--INDEX('Pooled funds'!$E:$E,ROW())/100,--INDEX('Pooled funds'!$E:$E,ROW())),0)</f>
        <v/>
      </c>
      <c r="U431">
        <f>IF(ISNUMBER(INDEX('Pooled funds'!$E:$E,ROW())),1,0)</f>
        <v/>
      </c>
      <c r="V431">
        <f>TRIM(SUBSTITUTE(INDEX('Loans'!$A:$A,ROW())&amp;""," "," "))</f>
        <v/>
      </c>
      <c r="W431">
        <f>TRIM(SUBSTITUTE(INDEX('Loans'!$B:$B,ROW())&amp;""," "," "))</f>
        <v/>
      </c>
      <c r="X431">
        <f>TRIM(SUBSTITUTE(INDEX('Loans'!$C:$C,ROW())&amp;""," "," "))</f>
        <v/>
      </c>
      <c r="Y431">
        <f>IFERROR(--INDEX('Loans'!$D:$D,ROW()),0)</f>
        <v/>
      </c>
      <c r="Z431">
        <f>IFERROR(--INDEX('Loans'!$E:$E,ROW()),0)</f>
        <v/>
      </c>
      <c r="AA431">
        <f>IFERROR(--INDEX('Loans'!$F:$F,ROW()),0)</f>
        <v/>
      </c>
      <c r="AB431">
        <f>IFERROR(IF(--INDEX('Loans'!$G:$G,ROW())&gt;=1,--INDEX('Loans'!$G:$G,ROW())/100,--INDEX('Loans'!$G:$G,ROW())),0)</f>
        <v/>
      </c>
      <c r="AC431">
        <f>TRIM(SUBSTITUTE(INDEX('Loans'!$H:$H,ROW())&amp;""," "," "))</f>
        <v/>
      </c>
      <c r="AD431">
        <f>TRIM(SUBSTITUTE(INDEX('Loans'!$I:$I,ROW())&amp;""," "," "))</f>
        <v/>
      </c>
      <c r="AE431">
        <f>IFERROR(--INDEX('Loans'!$J:$J,ROW()),0)</f>
        <v/>
      </c>
      <c r="AF431">
        <f>TRIM(SUBSTITUTE(INDEX('Loans'!$K:$K,ROW())&amp;""," "," "))</f>
        <v/>
      </c>
      <c r="AG431">
        <f>IFERROR(--INDEX('Loans'!$L:$L,ROW()),0)</f>
        <v/>
      </c>
      <c r="AH431">
        <f>IF(ISNUMBER(INDEX('Loans'!$G:$G,ROW())),1,0)</f>
        <v/>
      </c>
    </row>
    <row r="432">
      <c r="A432">
        <f>TRIM(SUBSTITUTE(INDEX('Term investments'!$A:$A,ROW())&amp;""," "," "))</f>
        <v/>
      </c>
      <c r="B432">
        <f>TRIM(SUBSTITUTE(INDEX('Term investments'!$B:$B,ROW())&amp;""," "," "))</f>
        <v/>
      </c>
      <c r="C432">
        <f>TRIM(SUBSTITUTE(INDEX('Term investments'!$C:$C,ROW())&amp;""," "," "))</f>
        <v/>
      </c>
      <c r="D432">
        <f>IFERROR(--INDEX('Term investments'!$D:$D,ROW()),0)</f>
        <v/>
      </c>
      <c r="E432">
        <f>IFERROR(--INDEX('Term investments'!$E:$E,ROW()),0)</f>
        <v/>
      </c>
      <c r="F432">
        <f>IFERROR(--INDEX('Term investments'!$F:$F,ROW()),0)</f>
        <v/>
      </c>
      <c r="G432">
        <f>IFERROR(IF(--INDEX('Term investments'!$G:$G,ROW())&gt;=1,--INDEX('Term investments'!$G:$G,ROW())/100,--INDEX('Term investments'!$G:$G,ROW())),0)</f>
        <v/>
      </c>
      <c r="H432">
        <f>IFERROR(--INDEX('Term investments'!$H:$H,ROW()),0)</f>
        <v/>
      </c>
      <c r="I432">
        <f>IF(ISNUMBER(INDEX('Term investments'!$G:$G,ROW())),1,0)</f>
        <v/>
      </c>
      <c r="J432">
        <f>TRIM(SUBSTITUTE(INDEX('Call accounts and MMFs'!$A:$A,ROW())&amp;""," "," "))</f>
        <v/>
      </c>
      <c r="K432">
        <f>TRIM(SUBSTITUTE(INDEX('Call accounts and MMFs'!$B:$B,ROW())&amp;""," "," "))</f>
        <v/>
      </c>
      <c r="L432">
        <f>TRIM(SUBSTITUTE(INDEX('Call accounts and MMFs'!$C:$C,ROW())&amp;""," "," "))</f>
        <v/>
      </c>
      <c r="M432">
        <f>IFERROR(--INDEX('Call accounts and MMFs'!$D:$D,ROW()),0)</f>
        <v/>
      </c>
      <c r="N432">
        <f>IFERROR(IF(--INDEX('Call accounts and MMFs'!$E:$E,ROW())&gt;=1,--INDEX('Call accounts and MMFs'!$E:$E,ROW())/100,--INDEX('Call accounts and MMFs'!$E:$E,ROW())),0)</f>
        <v/>
      </c>
      <c r="O432">
        <f>IFERROR(--INDEX('Call accounts and MMFs'!$F:$F,ROW()),0)</f>
        <v/>
      </c>
      <c r="P432">
        <f>IF(ISNUMBER(INDEX('Call accounts and MMFs'!$E:$E,ROW())),1,0)</f>
        <v/>
      </c>
      <c r="Q432">
        <f>TRIM(SUBSTITUTE(INDEX('Pooled funds'!$B:$B,ROW())&amp;""," "," "))</f>
        <v/>
      </c>
      <c r="R432">
        <f>IFERROR(--INDEX('Pooled funds'!$C:$C,ROW()),0)</f>
        <v/>
      </c>
      <c r="S432">
        <f>IFERROR(--INDEX('Pooled funds'!$D:$D,ROW()),0)</f>
        <v/>
      </c>
      <c r="T432">
        <f>IFERROR(IF(--INDEX('Pooled funds'!$E:$E,ROW())&gt;=1,--INDEX('Pooled funds'!$E:$E,ROW())/100,--INDEX('Pooled funds'!$E:$E,ROW())),0)</f>
        <v/>
      </c>
      <c r="U432">
        <f>IF(ISNUMBER(INDEX('Pooled funds'!$E:$E,ROW())),1,0)</f>
        <v/>
      </c>
      <c r="V432">
        <f>TRIM(SUBSTITUTE(INDEX('Loans'!$A:$A,ROW())&amp;""," "," "))</f>
        <v/>
      </c>
      <c r="W432">
        <f>TRIM(SUBSTITUTE(INDEX('Loans'!$B:$B,ROW())&amp;""," "," "))</f>
        <v/>
      </c>
      <c r="X432">
        <f>TRIM(SUBSTITUTE(INDEX('Loans'!$C:$C,ROW())&amp;""," "," "))</f>
        <v/>
      </c>
      <c r="Y432">
        <f>IFERROR(--INDEX('Loans'!$D:$D,ROW()),0)</f>
        <v/>
      </c>
      <c r="Z432">
        <f>IFERROR(--INDEX('Loans'!$E:$E,ROW()),0)</f>
        <v/>
      </c>
      <c r="AA432">
        <f>IFERROR(--INDEX('Loans'!$F:$F,ROW()),0)</f>
        <v/>
      </c>
      <c r="AB432">
        <f>IFERROR(IF(--INDEX('Loans'!$G:$G,ROW())&gt;=1,--INDEX('Loans'!$G:$G,ROW())/100,--INDEX('Loans'!$G:$G,ROW())),0)</f>
        <v/>
      </c>
      <c r="AC432">
        <f>TRIM(SUBSTITUTE(INDEX('Loans'!$H:$H,ROW())&amp;""," "," "))</f>
        <v/>
      </c>
      <c r="AD432">
        <f>TRIM(SUBSTITUTE(INDEX('Loans'!$I:$I,ROW())&amp;""," "," "))</f>
        <v/>
      </c>
      <c r="AE432">
        <f>IFERROR(--INDEX('Loans'!$J:$J,ROW()),0)</f>
        <v/>
      </c>
      <c r="AF432">
        <f>TRIM(SUBSTITUTE(INDEX('Loans'!$K:$K,ROW())&amp;""," "," "))</f>
        <v/>
      </c>
      <c r="AG432">
        <f>IFERROR(--INDEX('Loans'!$L:$L,ROW()),0)</f>
        <v/>
      </c>
      <c r="AH432">
        <f>IF(ISNUMBER(INDEX('Loans'!$G:$G,ROW())),1,0)</f>
        <v/>
      </c>
    </row>
    <row r="433">
      <c r="A433">
        <f>TRIM(SUBSTITUTE(INDEX('Term investments'!$A:$A,ROW())&amp;""," "," "))</f>
        <v/>
      </c>
      <c r="B433">
        <f>TRIM(SUBSTITUTE(INDEX('Term investments'!$B:$B,ROW())&amp;""," "," "))</f>
        <v/>
      </c>
      <c r="C433">
        <f>TRIM(SUBSTITUTE(INDEX('Term investments'!$C:$C,ROW())&amp;""," "," "))</f>
        <v/>
      </c>
      <c r="D433">
        <f>IFERROR(--INDEX('Term investments'!$D:$D,ROW()),0)</f>
        <v/>
      </c>
      <c r="E433">
        <f>IFERROR(--INDEX('Term investments'!$E:$E,ROW()),0)</f>
        <v/>
      </c>
      <c r="F433">
        <f>IFERROR(--INDEX('Term investments'!$F:$F,ROW()),0)</f>
        <v/>
      </c>
      <c r="G433">
        <f>IFERROR(IF(--INDEX('Term investments'!$G:$G,ROW())&gt;=1,--INDEX('Term investments'!$G:$G,ROW())/100,--INDEX('Term investments'!$G:$G,ROW())),0)</f>
        <v/>
      </c>
      <c r="H433">
        <f>IFERROR(--INDEX('Term investments'!$H:$H,ROW()),0)</f>
        <v/>
      </c>
      <c r="I433">
        <f>IF(ISNUMBER(INDEX('Term investments'!$G:$G,ROW())),1,0)</f>
        <v/>
      </c>
      <c r="J433">
        <f>TRIM(SUBSTITUTE(INDEX('Call accounts and MMFs'!$A:$A,ROW())&amp;""," "," "))</f>
        <v/>
      </c>
      <c r="K433">
        <f>TRIM(SUBSTITUTE(INDEX('Call accounts and MMFs'!$B:$B,ROW())&amp;""," "," "))</f>
        <v/>
      </c>
      <c r="L433">
        <f>TRIM(SUBSTITUTE(INDEX('Call accounts and MMFs'!$C:$C,ROW())&amp;""," "," "))</f>
        <v/>
      </c>
      <c r="M433">
        <f>IFERROR(--INDEX('Call accounts and MMFs'!$D:$D,ROW()),0)</f>
        <v/>
      </c>
      <c r="N433">
        <f>IFERROR(IF(--INDEX('Call accounts and MMFs'!$E:$E,ROW())&gt;=1,--INDEX('Call accounts and MMFs'!$E:$E,ROW())/100,--INDEX('Call accounts and MMFs'!$E:$E,ROW())),0)</f>
        <v/>
      </c>
      <c r="O433">
        <f>IFERROR(--INDEX('Call accounts and MMFs'!$F:$F,ROW()),0)</f>
        <v/>
      </c>
      <c r="P433">
        <f>IF(ISNUMBER(INDEX('Call accounts and MMFs'!$E:$E,ROW())),1,0)</f>
        <v/>
      </c>
      <c r="Q433">
        <f>TRIM(SUBSTITUTE(INDEX('Pooled funds'!$B:$B,ROW())&amp;""," "," "))</f>
        <v/>
      </c>
      <c r="R433">
        <f>IFERROR(--INDEX('Pooled funds'!$C:$C,ROW()),0)</f>
        <v/>
      </c>
      <c r="S433">
        <f>IFERROR(--INDEX('Pooled funds'!$D:$D,ROW()),0)</f>
        <v/>
      </c>
      <c r="T433">
        <f>IFERROR(IF(--INDEX('Pooled funds'!$E:$E,ROW())&gt;=1,--INDEX('Pooled funds'!$E:$E,ROW())/100,--INDEX('Pooled funds'!$E:$E,ROW())),0)</f>
        <v/>
      </c>
      <c r="U433">
        <f>IF(ISNUMBER(INDEX('Pooled funds'!$E:$E,ROW())),1,0)</f>
        <v/>
      </c>
      <c r="V433">
        <f>TRIM(SUBSTITUTE(INDEX('Loans'!$A:$A,ROW())&amp;""," "," "))</f>
        <v/>
      </c>
      <c r="W433">
        <f>TRIM(SUBSTITUTE(INDEX('Loans'!$B:$B,ROW())&amp;""," "," "))</f>
        <v/>
      </c>
      <c r="X433">
        <f>TRIM(SUBSTITUTE(INDEX('Loans'!$C:$C,ROW())&amp;""," "," "))</f>
        <v/>
      </c>
      <c r="Y433">
        <f>IFERROR(--INDEX('Loans'!$D:$D,ROW()),0)</f>
        <v/>
      </c>
      <c r="Z433">
        <f>IFERROR(--INDEX('Loans'!$E:$E,ROW()),0)</f>
        <v/>
      </c>
      <c r="AA433">
        <f>IFERROR(--INDEX('Loans'!$F:$F,ROW()),0)</f>
        <v/>
      </c>
      <c r="AB433">
        <f>IFERROR(IF(--INDEX('Loans'!$G:$G,ROW())&gt;=1,--INDEX('Loans'!$G:$G,ROW())/100,--INDEX('Loans'!$G:$G,ROW())),0)</f>
        <v/>
      </c>
      <c r="AC433">
        <f>TRIM(SUBSTITUTE(INDEX('Loans'!$H:$H,ROW())&amp;""," "," "))</f>
        <v/>
      </c>
      <c r="AD433">
        <f>TRIM(SUBSTITUTE(INDEX('Loans'!$I:$I,ROW())&amp;""," "," "))</f>
        <v/>
      </c>
      <c r="AE433">
        <f>IFERROR(--INDEX('Loans'!$J:$J,ROW()),0)</f>
        <v/>
      </c>
      <c r="AF433">
        <f>TRIM(SUBSTITUTE(INDEX('Loans'!$K:$K,ROW())&amp;""," "," "))</f>
        <v/>
      </c>
      <c r="AG433">
        <f>IFERROR(--INDEX('Loans'!$L:$L,ROW()),0)</f>
        <v/>
      </c>
      <c r="AH433">
        <f>IF(ISNUMBER(INDEX('Loans'!$G:$G,ROW())),1,0)</f>
        <v/>
      </c>
    </row>
    <row r="434">
      <c r="A434">
        <f>TRIM(SUBSTITUTE(INDEX('Term investments'!$A:$A,ROW())&amp;""," "," "))</f>
        <v/>
      </c>
      <c r="B434">
        <f>TRIM(SUBSTITUTE(INDEX('Term investments'!$B:$B,ROW())&amp;""," "," "))</f>
        <v/>
      </c>
      <c r="C434">
        <f>TRIM(SUBSTITUTE(INDEX('Term investments'!$C:$C,ROW())&amp;""," "," "))</f>
        <v/>
      </c>
      <c r="D434">
        <f>IFERROR(--INDEX('Term investments'!$D:$D,ROW()),0)</f>
        <v/>
      </c>
      <c r="E434">
        <f>IFERROR(--INDEX('Term investments'!$E:$E,ROW()),0)</f>
        <v/>
      </c>
      <c r="F434">
        <f>IFERROR(--INDEX('Term investments'!$F:$F,ROW()),0)</f>
        <v/>
      </c>
      <c r="G434">
        <f>IFERROR(IF(--INDEX('Term investments'!$G:$G,ROW())&gt;=1,--INDEX('Term investments'!$G:$G,ROW())/100,--INDEX('Term investments'!$G:$G,ROW())),0)</f>
        <v/>
      </c>
      <c r="H434">
        <f>IFERROR(--INDEX('Term investments'!$H:$H,ROW()),0)</f>
        <v/>
      </c>
      <c r="I434">
        <f>IF(ISNUMBER(INDEX('Term investments'!$G:$G,ROW())),1,0)</f>
        <v/>
      </c>
      <c r="J434">
        <f>TRIM(SUBSTITUTE(INDEX('Call accounts and MMFs'!$A:$A,ROW())&amp;""," "," "))</f>
        <v/>
      </c>
      <c r="K434">
        <f>TRIM(SUBSTITUTE(INDEX('Call accounts and MMFs'!$B:$B,ROW())&amp;""," "," "))</f>
        <v/>
      </c>
      <c r="L434">
        <f>TRIM(SUBSTITUTE(INDEX('Call accounts and MMFs'!$C:$C,ROW())&amp;""," "," "))</f>
        <v/>
      </c>
      <c r="M434">
        <f>IFERROR(--INDEX('Call accounts and MMFs'!$D:$D,ROW()),0)</f>
        <v/>
      </c>
      <c r="N434">
        <f>IFERROR(IF(--INDEX('Call accounts and MMFs'!$E:$E,ROW())&gt;=1,--INDEX('Call accounts and MMFs'!$E:$E,ROW())/100,--INDEX('Call accounts and MMFs'!$E:$E,ROW())),0)</f>
        <v/>
      </c>
      <c r="O434">
        <f>IFERROR(--INDEX('Call accounts and MMFs'!$F:$F,ROW()),0)</f>
        <v/>
      </c>
      <c r="P434">
        <f>IF(ISNUMBER(INDEX('Call accounts and MMFs'!$E:$E,ROW())),1,0)</f>
        <v/>
      </c>
      <c r="Q434">
        <f>TRIM(SUBSTITUTE(INDEX('Pooled funds'!$B:$B,ROW())&amp;""," "," "))</f>
        <v/>
      </c>
      <c r="R434">
        <f>IFERROR(--INDEX('Pooled funds'!$C:$C,ROW()),0)</f>
        <v/>
      </c>
      <c r="S434">
        <f>IFERROR(--INDEX('Pooled funds'!$D:$D,ROW()),0)</f>
        <v/>
      </c>
      <c r="T434">
        <f>IFERROR(IF(--INDEX('Pooled funds'!$E:$E,ROW())&gt;=1,--INDEX('Pooled funds'!$E:$E,ROW())/100,--INDEX('Pooled funds'!$E:$E,ROW())),0)</f>
        <v/>
      </c>
      <c r="U434">
        <f>IF(ISNUMBER(INDEX('Pooled funds'!$E:$E,ROW())),1,0)</f>
        <v/>
      </c>
      <c r="V434">
        <f>TRIM(SUBSTITUTE(INDEX('Loans'!$A:$A,ROW())&amp;""," "," "))</f>
        <v/>
      </c>
      <c r="W434">
        <f>TRIM(SUBSTITUTE(INDEX('Loans'!$B:$B,ROW())&amp;""," "," "))</f>
        <v/>
      </c>
      <c r="X434">
        <f>TRIM(SUBSTITUTE(INDEX('Loans'!$C:$C,ROW())&amp;""," "," "))</f>
        <v/>
      </c>
      <c r="Y434">
        <f>IFERROR(--INDEX('Loans'!$D:$D,ROW()),0)</f>
        <v/>
      </c>
      <c r="Z434">
        <f>IFERROR(--INDEX('Loans'!$E:$E,ROW()),0)</f>
        <v/>
      </c>
      <c r="AA434">
        <f>IFERROR(--INDEX('Loans'!$F:$F,ROW()),0)</f>
        <v/>
      </c>
      <c r="AB434">
        <f>IFERROR(IF(--INDEX('Loans'!$G:$G,ROW())&gt;=1,--INDEX('Loans'!$G:$G,ROW())/100,--INDEX('Loans'!$G:$G,ROW())),0)</f>
        <v/>
      </c>
      <c r="AC434">
        <f>TRIM(SUBSTITUTE(INDEX('Loans'!$H:$H,ROW())&amp;""," "," "))</f>
        <v/>
      </c>
      <c r="AD434">
        <f>TRIM(SUBSTITUTE(INDEX('Loans'!$I:$I,ROW())&amp;""," "," "))</f>
        <v/>
      </c>
      <c r="AE434">
        <f>IFERROR(--INDEX('Loans'!$J:$J,ROW()),0)</f>
        <v/>
      </c>
      <c r="AF434">
        <f>TRIM(SUBSTITUTE(INDEX('Loans'!$K:$K,ROW())&amp;""," "," "))</f>
        <v/>
      </c>
      <c r="AG434">
        <f>IFERROR(--INDEX('Loans'!$L:$L,ROW()),0)</f>
        <v/>
      </c>
      <c r="AH434">
        <f>IF(ISNUMBER(INDEX('Loans'!$G:$G,ROW())),1,0)</f>
        <v/>
      </c>
    </row>
    <row r="435">
      <c r="A435">
        <f>TRIM(SUBSTITUTE(INDEX('Term investments'!$A:$A,ROW())&amp;""," "," "))</f>
        <v/>
      </c>
      <c r="B435">
        <f>TRIM(SUBSTITUTE(INDEX('Term investments'!$B:$B,ROW())&amp;""," "," "))</f>
        <v/>
      </c>
      <c r="C435">
        <f>TRIM(SUBSTITUTE(INDEX('Term investments'!$C:$C,ROW())&amp;""," "," "))</f>
        <v/>
      </c>
      <c r="D435">
        <f>IFERROR(--INDEX('Term investments'!$D:$D,ROW()),0)</f>
        <v/>
      </c>
      <c r="E435">
        <f>IFERROR(--INDEX('Term investments'!$E:$E,ROW()),0)</f>
        <v/>
      </c>
      <c r="F435">
        <f>IFERROR(--INDEX('Term investments'!$F:$F,ROW()),0)</f>
        <v/>
      </c>
      <c r="G435">
        <f>IFERROR(IF(--INDEX('Term investments'!$G:$G,ROW())&gt;=1,--INDEX('Term investments'!$G:$G,ROW())/100,--INDEX('Term investments'!$G:$G,ROW())),0)</f>
        <v/>
      </c>
      <c r="H435">
        <f>IFERROR(--INDEX('Term investments'!$H:$H,ROW()),0)</f>
        <v/>
      </c>
      <c r="I435">
        <f>IF(ISNUMBER(INDEX('Term investments'!$G:$G,ROW())),1,0)</f>
        <v/>
      </c>
      <c r="J435">
        <f>TRIM(SUBSTITUTE(INDEX('Call accounts and MMFs'!$A:$A,ROW())&amp;""," "," "))</f>
        <v/>
      </c>
      <c r="K435">
        <f>TRIM(SUBSTITUTE(INDEX('Call accounts and MMFs'!$B:$B,ROW())&amp;""," "," "))</f>
        <v/>
      </c>
      <c r="L435">
        <f>TRIM(SUBSTITUTE(INDEX('Call accounts and MMFs'!$C:$C,ROW())&amp;""," "," "))</f>
        <v/>
      </c>
      <c r="M435">
        <f>IFERROR(--INDEX('Call accounts and MMFs'!$D:$D,ROW()),0)</f>
        <v/>
      </c>
      <c r="N435">
        <f>IFERROR(IF(--INDEX('Call accounts and MMFs'!$E:$E,ROW())&gt;=1,--INDEX('Call accounts and MMFs'!$E:$E,ROW())/100,--INDEX('Call accounts and MMFs'!$E:$E,ROW())),0)</f>
        <v/>
      </c>
      <c r="O435">
        <f>IFERROR(--INDEX('Call accounts and MMFs'!$F:$F,ROW()),0)</f>
        <v/>
      </c>
      <c r="P435">
        <f>IF(ISNUMBER(INDEX('Call accounts and MMFs'!$E:$E,ROW())),1,0)</f>
        <v/>
      </c>
      <c r="Q435">
        <f>TRIM(SUBSTITUTE(INDEX('Pooled funds'!$B:$B,ROW())&amp;""," "," "))</f>
        <v/>
      </c>
      <c r="R435">
        <f>IFERROR(--INDEX('Pooled funds'!$C:$C,ROW()),0)</f>
        <v/>
      </c>
      <c r="S435">
        <f>IFERROR(--INDEX('Pooled funds'!$D:$D,ROW()),0)</f>
        <v/>
      </c>
      <c r="T435">
        <f>IFERROR(IF(--INDEX('Pooled funds'!$E:$E,ROW())&gt;=1,--INDEX('Pooled funds'!$E:$E,ROW())/100,--INDEX('Pooled funds'!$E:$E,ROW())),0)</f>
        <v/>
      </c>
      <c r="U435">
        <f>IF(ISNUMBER(INDEX('Pooled funds'!$E:$E,ROW())),1,0)</f>
        <v/>
      </c>
      <c r="V435">
        <f>TRIM(SUBSTITUTE(INDEX('Loans'!$A:$A,ROW())&amp;""," "," "))</f>
        <v/>
      </c>
      <c r="W435">
        <f>TRIM(SUBSTITUTE(INDEX('Loans'!$B:$B,ROW())&amp;""," "," "))</f>
        <v/>
      </c>
      <c r="X435">
        <f>TRIM(SUBSTITUTE(INDEX('Loans'!$C:$C,ROW())&amp;""," "," "))</f>
        <v/>
      </c>
      <c r="Y435">
        <f>IFERROR(--INDEX('Loans'!$D:$D,ROW()),0)</f>
        <v/>
      </c>
      <c r="Z435">
        <f>IFERROR(--INDEX('Loans'!$E:$E,ROW()),0)</f>
        <v/>
      </c>
      <c r="AA435">
        <f>IFERROR(--INDEX('Loans'!$F:$F,ROW()),0)</f>
        <v/>
      </c>
      <c r="AB435">
        <f>IFERROR(IF(--INDEX('Loans'!$G:$G,ROW())&gt;=1,--INDEX('Loans'!$G:$G,ROW())/100,--INDEX('Loans'!$G:$G,ROW())),0)</f>
        <v/>
      </c>
      <c r="AC435">
        <f>TRIM(SUBSTITUTE(INDEX('Loans'!$H:$H,ROW())&amp;""," "," "))</f>
        <v/>
      </c>
      <c r="AD435">
        <f>TRIM(SUBSTITUTE(INDEX('Loans'!$I:$I,ROW())&amp;""," "," "))</f>
        <v/>
      </c>
      <c r="AE435">
        <f>IFERROR(--INDEX('Loans'!$J:$J,ROW()),0)</f>
        <v/>
      </c>
      <c r="AF435">
        <f>TRIM(SUBSTITUTE(INDEX('Loans'!$K:$K,ROW())&amp;""," "," "))</f>
        <v/>
      </c>
      <c r="AG435">
        <f>IFERROR(--INDEX('Loans'!$L:$L,ROW()),0)</f>
        <v/>
      </c>
      <c r="AH435">
        <f>IF(ISNUMBER(INDEX('Loans'!$G:$G,ROW())),1,0)</f>
        <v/>
      </c>
    </row>
    <row r="436">
      <c r="A436">
        <f>TRIM(SUBSTITUTE(INDEX('Term investments'!$A:$A,ROW())&amp;""," "," "))</f>
        <v/>
      </c>
      <c r="B436">
        <f>TRIM(SUBSTITUTE(INDEX('Term investments'!$B:$B,ROW())&amp;""," "," "))</f>
        <v/>
      </c>
      <c r="C436">
        <f>TRIM(SUBSTITUTE(INDEX('Term investments'!$C:$C,ROW())&amp;""," "," "))</f>
        <v/>
      </c>
      <c r="D436">
        <f>IFERROR(--INDEX('Term investments'!$D:$D,ROW()),0)</f>
        <v/>
      </c>
      <c r="E436">
        <f>IFERROR(--INDEX('Term investments'!$E:$E,ROW()),0)</f>
        <v/>
      </c>
      <c r="F436">
        <f>IFERROR(--INDEX('Term investments'!$F:$F,ROW()),0)</f>
        <v/>
      </c>
      <c r="G436">
        <f>IFERROR(IF(--INDEX('Term investments'!$G:$G,ROW())&gt;=1,--INDEX('Term investments'!$G:$G,ROW())/100,--INDEX('Term investments'!$G:$G,ROW())),0)</f>
        <v/>
      </c>
      <c r="H436">
        <f>IFERROR(--INDEX('Term investments'!$H:$H,ROW()),0)</f>
        <v/>
      </c>
      <c r="I436">
        <f>IF(ISNUMBER(INDEX('Term investments'!$G:$G,ROW())),1,0)</f>
        <v/>
      </c>
      <c r="J436">
        <f>TRIM(SUBSTITUTE(INDEX('Call accounts and MMFs'!$A:$A,ROW())&amp;""," "," "))</f>
        <v/>
      </c>
      <c r="K436">
        <f>TRIM(SUBSTITUTE(INDEX('Call accounts and MMFs'!$B:$B,ROW())&amp;""," "," "))</f>
        <v/>
      </c>
      <c r="L436">
        <f>TRIM(SUBSTITUTE(INDEX('Call accounts and MMFs'!$C:$C,ROW())&amp;""," "," "))</f>
        <v/>
      </c>
      <c r="M436">
        <f>IFERROR(--INDEX('Call accounts and MMFs'!$D:$D,ROW()),0)</f>
        <v/>
      </c>
      <c r="N436">
        <f>IFERROR(IF(--INDEX('Call accounts and MMFs'!$E:$E,ROW())&gt;=1,--INDEX('Call accounts and MMFs'!$E:$E,ROW())/100,--INDEX('Call accounts and MMFs'!$E:$E,ROW())),0)</f>
        <v/>
      </c>
      <c r="O436">
        <f>IFERROR(--INDEX('Call accounts and MMFs'!$F:$F,ROW()),0)</f>
        <v/>
      </c>
      <c r="P436">
        <f>IF(ISNUMBER(INDEX('Call accounts and MMFs'!$E:$E,ROW())),1,0)</f>
        <v/>
      </c>
      <c r="Q436">
        <f>TRIM(SUBSTITUTE(INDEX('Pooled funds'!$B:$B,ROW())&amp;""," "," "))</f>
        <v/>
      </c>
      <c r="R436">
        <f>IFERROR(--INDEX('Pooled funds'!$C:$C,ROW()),0)</f>
        <v/>
      </c>
      <c r="S436">
        <f>IFERROR(--INDEX('Pooled funds'!$D:$D,ROW()),0)</f>
        <v/>
      </c>
      <c r="T436">
        <f>IFERROR(IF(--INDEX('Pooled funds'!$E:$E,ROW())&gt;=1,--INDEX('Pooled funds'!$E:$E,ROW())/100,--INDEX('Pooled funds'!$E:$E,ROW())),0)</f>
        <v/>
      </c>
      <c r="U436">
        <f>IF(ISNUMBER(INDEX('Pooled funds'!$E:$E,ROW())),1,0)</f>
        <v/>
      </c>
      <c r="V436">
        <f>TRIM(SUBSTITUTE(INDEX('Loans'!$A:$A,ROW())&amp;""," "," "))</f>
        <v/>
      </c>
      <c r="W436">
        <f>TRIM(SUBSTITUTE(INDEX('Loans'!$B:$B,ROW())&amp;""," "," "))</f>
        <v/>
      </c>
      <c r="X436">
        <f>TRIM(SUBSTITUTE(INDEX('Loans'!$C:$C,ROW())&amp;""," "," "))</f>
        <v/>
      </c>
      <c r="Y436">
        <f>IFERROR(--INDEX('Loans'!$D:$D,ROW()),0)</f>
        <v/>
      </c>
      <c r="Z436">
        <f>IFERROR(--INDEX('Loans'!$E:$E,ROW()),0)</f>
        <v/>
      </c>
      <c r="AA436">
        <f>IFERROR(--INDEX('Loans'!$F:$F,ROW()),0)</f>
        <v/>
      </c>
      <c r="AB436">
        <f>IFERROR(IF(--INDEX('Loans'!$G:$G,ROW())&gt;=1,--INDEX('Loans'!$G:$G,ROW())/100,--INDEX('Loans'!$G:$G,ROW())),0)</f>
        <v/>
      </c>
      <c r="AC436">
        <f>TRIM(SUBSTITUTE(INDEX('Loans'!$H:$H,ROW())&amp;""," "," "))</f>
        <v/>
      </c>
      <c r="AD436">
        <f>TRIM(SUBSTITUTE(INDEX('Loans'!$I:$I,ROW())&amp;""," "," "))</f>
        <v/>
      </c>
      <c r="AE436">
        <f>IFERROR(--INDEX('Loans'!$J:$J,ROW()),0)</f>
        <v/>
      </c>
      <c r="AF436">
        <f>TRIM(SUBSTITUTE(INDEX('Loans'!$K:$K,ROW())&amp;""," "," "))</f>
        <v/>
      </c>
      <c r="AG436">
        <f>IFERROR(--INDEX('Loans'!$L:$L,ROW()),0)</f>
        <v/>
      </c>
      <c r="AH436">
        <f>IF(ISNUMBER(INDEX('Loans'!$G:$G,ROW())),1,0)</f>
        <v/>
      </c>
    </row>
    <row r="437">
      <c r="A437">
        <f>TRIM(SUBSTITUTE(INDEX('Term investments'!$A:$A,ROW())&amp;""," "," "))</f>
        <v/>
      </c>
      <c r="B437">
        <f>TRIM(SUBSTITUTE(INDEX('Term investments'!$B:$B,ROW())&amp;""," "," "))</f>
        <v/>
      </c>
      <c r="C437">
        <f>TRIM(SUBSTITUTE(INDEX('Term investments'!$C:$C,ROW())&amp;""," "," "))</f>
        <v/>
      </c>
      <c r="D437">
        <f>IFERROR(--INDEX('Term investments'!$D:$D,ROW()),0)</f>
        <v/>
      </c>
      <c r="E437">
        <f>IFERROR(--INDEX('Term investments'!$E:$E,ROW()),0)</f>
        <v/>
      </c>
      <c r="F437">
        <f>IFERROR(--INDEX('Term investments'!$F:$F,ROW()),0)</f>
        <v/>
      </c>
      <c r="G437">
        <f>IFERROR(IF(--INDEX('Term investments'!$G:$G,ROW())&gt;=1,--INDEX('Term investments'!$G:$G,ROW())/100,--INDEX('Term investments'!$G:$G,ROW())),0)</f>
        <v/>
      </c>
      <c r="H437">
        <f>IFERROR(--INDEX('Term investments'!$H:$H,ROW()),0)</f>
        <v/>
      </c>
      <c r="I437">
        <f>IF(ISNUMBER(INDEX('Term investments'!$G:$G,ROW())),1,0)</f>
        <v/>
      </c>
      <c r="J437">
        <f>TRIM(SUBSTITUTE(INDEX('Call accounts and MMFs'!$A:$A,ROW())&amp;""," "," "))</f>
        <v/>
      </c>
      <c r="K437">
        <f>TRIM(SUBSTITUTE(INDEX('Call accounts and MMFs'!$B:$B,ROW())&amp;""," "," "))</f>
        <v/>
      </c>
      <c r="L437">
        <f>TRIM(SUBSTITUTE(INDEX('Call accounts and MMFs'!$C:$C,ROW())&amp;""," "," "))</f>
        <v/>
      </c>
      <c r="M437">
        <f>IFERROR(--INDEX('Call accounts and MMFs'!$D:$D,ROW()),0)</f>
        <v/>
      </c>
      <c r="N437">
        <f>IFERROR(IF(--INDEX('Call accounts and MMFs'!$E:$E,ROW())&gt;=1,--INDEX('Call accounts and MMFs'!$E:$E,ROW())/100,--INDEX('Call accounts and MMFs'!$E:$E,ROW())),0)</f>
        <v/>
      </c>
      <c r="O437">
        <f>IFERROR(--INDEX('Call accounts and MMFs'!$F:$F,ROW()),0)</f>
        <v/>
      </c>
      <c r="P437">
        <f>IF(ISNUMBER(INDEX('Call accounts and MMFs'!$E:$E,ROW())),1,0)</f>
        <v/>
      </c>
      <c r="Q437">
        <f>TRIM(SUBSTITUTE(INDEX('Pooled funds'!$B:$B,ROW())&amp;""," "," "))</f>
        <v/>
      </c>
      <c r="R437">
        <f>IFERROR(--INDEX('Pooled funds'!$C:$C,ROW()),0)</f>
        <v/>
      </c>
      <c r="S437">
        <f>IFERROR(--INDEX('Pooled funds'!$D:$D,ROW()),0)</f>
        <v/>
      </c>
      <c r="T437">
        <f>IFERROR(IF(--INDEX('Pooled funds'!$E:$E,ROW())&gt;=1,--INDEX('Pooled funds'!$E:$E,ROW())/100,--INDEX('Pooled funds'!$E:$E,ROW())),0)</f>
        <v/>
      </c>
      <c r="U437">
        <f>IF(ISNUMBER(INDEX('Pooled funds'!$E:$E,ROW())),1,0)</f>
        <v/>
      </c>
      <c r="V437">
        <f>TRIM(SUBSTITUTE(INDEX('Loans'!$A:$A,ROW())&amp;""," "," "))</f>
        <v/>
      </c>
      <c r="W437">
        <f>TRIM(SUBSTITUTE(INDEX('Loans'!$B:$B,ROW())&amp;""," "," "))</f>
        <v/>
      </c>
      <c r="X437">
        <f>TRIM(SUBSTITUTE(INDEX('Loans'!$C:$C,ROW())&amp;""," "," "))</f>
        <v/>
      </c>
      <c r="Y437">
        <f>IFERROR(--INDEX('Loans'!$D:$D,ROW()),0)</f>
        <v/>
      </c>
      <c r="Z437">
        <f>IFERROR(--INDEX('Loans'!$E:$E,ROW()),0)</f>
        <v/>
      </c>
      <c r="AA437">
        <f>IFERROR(--INDEX('Loans'!$F:$F,ROW()),0)</f>
        <v/>
      </c>
      <c r="AB437">
        <f>IFERROR(IF(--INDEX('Loans'!$G:$G,ROW())&gt;=1,--INDEX('Loans'!$G:$G,ROW())/100,--INDEX('Loans'!$G:$G,ROW())),0)</f>
        <v/>
      </c>
      <c r="AC437">
        <f>TRIM(SUBSTITUTE(INDEX('Loans'!$H:$H,ROW())&amp;""," "," "))</f>
        <v/>
      </c>
      <c r="AD437">
        <f>TRIM(SUBSTITUTE(INDEX('Loans'!$I:$I,ROW())&amp;""," "," "))</f>
        <v/>
      </c>
      <c r="AE437">
        <f>IFERROR(--INDEX('Loans'!$J:$J,ROW()),0)</f>
        <v/>
      </c>
      <c r="AF437">
        <f>TRIM(SUBSTITUTE(INDEX('Loans'!$K:$K,ROW())&amp;""," "," "))</f>
        <v/>
      </c>
      <c r="AG437">
        <f>IFERROR(--INDEX('Loans'!$L:$L,ROW()),0)</f>
        <v/>
      </c>
      <c r="AH437">
        <f>IF(ISNUMBER(INDEX('Loans'!$G:$G,ROW())),1,0)</f>
        <v/>
      </c>
    </row>
    <row r="438">
      <c r="A438">
        <f>TRIM(SUBSTITUTE(INDEX('Term investments'!$A:$A,ROW())&amp;""," "," "))</f>
        <v/>
      </c>
      <c r="B438">
        <f>TRIM(SUBSTITUTE(INDEX('Term investments'!$B:$B,ROW())&amp;""," "," "))</f>
        <v/>
      </c>
      <c r="C438">
        <f>TRIM(SUBSTITUTE(INDEX('Term investments'!$C:$C,ROW())&amp;""," "," "))</f>
        <v/>
      </c>
      <c r="D438">
        <f>IFERROR(--INDEX('Term investments'!$D:$D,ROW()),0)</f>
        <v/>
      </c>
      <c r="E438">
        <f>IFERROR(--INDEX('Term investments'!$E:$E,ROW()),0)</f>
        <v/>
      </c>
      <c r="F438">
        <f>IFERROR(--INDEX('Term investments'!$F:$F,ROW()),0)</f>
        <v/>
      </c>
      <c r="G438">
        <f>IFERROR(IF(--INDEX('Term investments'!$G:$G,ROW())&gt;=1,--INDEX('Term investments'!$G:$G,ROW())/100,--INDEX('Term investments'!$G:$G,ROW())),0)</f>
        <v/>
      </c>
      <c r="H438">
        <f>IFERROR(--INDEX('Term investments'!$H:$H,ROW()),0)</f>
        <v/>
      </c>
      <c r="I438">
        <f>IF(ISNUMBER(INDEX('Term investments'!$G:$G,ROW())),1,0)</f>
        <v/>
      </c>
      <c r="J438">
        <f>TRIM(SUBSTITUTE(INDEX('Call accounts and MMFs'!$A:$A,ROW())&amp;""," "," "))</f>
        <v/>
      </c>
      <c r="K438">
        <f>TRIM(SUBSTITUTE(INDEX('Call accounts and MMFs'!$B:$B,ROW())&amp;""," "," "))</f>
        <v/>
      </c>
      <c r="L438">
        <f>TRIM(SUBSTITUTE(INDEX('Call accounts and MMFs'!$C:$C,ROW())&amp;""," "," "))</f>
        <v/>
      </c>
      <c r="M438">
        <f>IFERROR(--INDEX('Call accounts and MMFs'!$D:$D,ROW()),0)</f>
        <v/>
      </c>
      <c r="N438">
        <f>IFERROR(IF(--INDEX('Call accounts and MMFs'!$E:$E,ROW())&gt;=1,--INDEX('Call accounts and MMFs'!$E:$E,ROW())/100,--INDEX('Call accounts and MMFs'!$E:$E,ROW())),0)</f>
        <v/>
      </c>
      <c r="O438">
        <f>IFERROR(--INDEX('Call accounts and MMFs'!$F:$F,ROW()),0)</f>
        <v/>
      </c>
      <c r="P438">
        <f>IF(ISNUMBER(INDEX('Call accounts and MMFs'!$E:$E,ROW())),1,0)</f>
        <v/>
      </c>
      <c r="Q438">
        <f>TRIM(SUBSTITUTE(INDEX('Pooled funds'!$B:$B,ROW())&amp;""," "," "))</f>
        <v/>
      </c>
      <c r="R438">
        <f>IFERROR(--INDEX('Pooled funds'!$C:$C,ROW()),0)</f>
        <v/>
      </c>
      <c r="S438">
        <f>IFERROR(--INDEX('Pooled funds'!$D:$D,ROW()),0)</f>
        <v/>
      </c>
      <c r="T438">
        <f>IFERROR(IF(--INDEX('Pooled funds'!$E:$E,ROW())&gt;=1,--INDEX('Pooled funds'!$E:$E,ROW())/100,--INDEX('Pooled funds'!$E:$E,ROW())),0)</f>
        <v/>
      </c>
      <c r="U438">
        <f>IF(ISNUMBER(INDEX('Pooled funds'!$E:$E,ROW())),1,0)</f>
        <v/>
      </c>
      <c r="V438">
        <f>TRIM(SUBSTITUTE(INDEX('Loans'!$A:$A,ROW())&amp;""," "," "))</f>
        <v/>
      </c>
      <c r="W438">
        <f>TRIM(SUBSTITUTE(INDEX('Loans'!$B:$B,ROW())&amp;""," "," "))</f>
        <v/>
      </c>
      <c r="X438">
        <f>TRIM(SUBSTITUTE(INDEX('Loans'!$C:$C,ROW())&amp;""," "," "))</f>
        <v/>
      </c>
      <c r="Y438">
        <f>IFERROR(--INDEX('Loans'!$D:$D,ROW()),0)</f>
        <v/>
      </c>
      <c r="Z438">
        <f>IFERROR(--INDEX('Loans'!$E:$E,ROW()),0)</f>
        <v/>
      </c>
      <c r="AA438">
        <f>IFERROR(--INDEX('Loans'!$F:$F,ROW()),0)</f>
        <v/>
      </c>
      <c r="AB438">
        <f>IFERROR(IF(--INDEX('Loans'!$G:$G,ROW())&gt;=1,--INDEX('Loans'!$G:$G,ROW())/100,--INDEX('Loans'!$G:$G,ROW())),0)</f>
        <v/>
      </c>
      <c r="AC438">
        <f>TRIM(SUBSTITUTE(INDEX('Loans'!$H:$H,ROW())&amp;""," "," "))</f>
        <v/>
      </c>
      <c r="AD438">
        <f>TRIM(SUBSTITUTE(INDEX('Loans'!$I:$I,ROW())&amp;""," "," "))</f>
        <v/>
      </c>
      <c r="AE438">
        <f>IFERROR(--INDEX('Loans'!$J:$J,ROW()),0)</f>
        <v/>
      </c>
      <c r="AF438">
        <f>TRIM(SUBSTITUTE(INDEX('Loans'!$K:$K,ROW())&amp;""," "," "))</f>
        <v/>
      </c>
      <c r="AG438">
        <f>IFERROR(--INDEX('Loans'!$L:$L,ROW()),0)</f>
        <v/>
      </c>
      <c r="AH438">
        <f>IF(ISNUMBER(INDEX('Loans'!$G:$G,ROW())),1,0)</f>
        <v/>
      </c>
    </row>
    <row r="439">
      <c r="A439">
        <f>TRIM(SUBSTITUTE(INDEX('Term investments'!$A:$A,ROW())&amp;""," "," "))</f>
        <v/>
      </c>
      <c r="B439">
        <f>TRIM(SUBSTITUTE(INDEX('Term investments'!$B:$B,ROW())&amp;""," "," "))</f>
        <v/>
      </c>
      <c r="C439">
        <f>TRIM(SUBSTITUTE(INDEX('Term investments'!$C:$C,ROW())&amp;""," "," "))</f>
        <v/>
      </c>
      <c r="D439">
        <f>IFERROR(--INDEX('Term investments'!$D:$D,ROW()),0)</f>
        <v/>
      </c>
      <c r="E439">
        <f>IFERROR(--INDEX('Term investments'!$E:$E,ROW()),0)</f>
        <v/>
      </c>
      <c r="F439">
        <f>IFERROR(--INDEX('Term investments'!$F:$F,ROW()),0)</f>
        <v/>
      </c>
      <c r="G439">
        <f>IFERROR(IF(--INDEX('Term investments'!$G:$G,ROW())&gt;=1,--INDEX('Term investments'!$G:$G,ROW())/100,--INDEX('Term investments'!$G:$G,ROW())),0)</f>
        <v/>
      </c>
      <c r="H439">
        <f>IFERROR(--INDEX('Term investments'!$H:$H,ROW()),0)</f>
        <v/>
      </c>
      <c r="I439">
        <f>IF(ISNUMBER(INDEX('Term investments'!$G:$G,ROW())),1,0)</f>
        <v/>
      </c>
      <c r="J439">
        <f>TRIM(SUBSTITUTE(INDEX('Call accounts and MMFs'!$A:$A,ROW())&amp;""," "," "))</f>
        <v/>
      </c>
      <c r="K439">
        <f>TRIM(SUBSTITUTE(INDEX('Call accounts and MMFs'!$B:$B,ROW())&amp;""," "," "))</f>
        <v/>
      </c>
      <c r="L439">
        <f>TRIM(SUBSTITUTE(INDEX('Call accounts and MMFs'!$C:$C,ROW())&amp;""," "," "))</f>
        <v/>
      </c>
      <c r="M439">
        <f>IFERROR(--INDEX('Call accounts and MMFs'!$D:$D,ROW()),0)</f>
        <v/>
      </c>
      <c r="N439">
        <f>IFERROR(IF(--INDEX('Call accounts and MMFs'!$E:$E,ROW())&gt;=1,--INDEX('Call accounts and MMFs'!$E:$E,ROW())/100,--INDEX('Call accounts and MMFs'!$E:$E,ROW())),0)</f>
        <v/>
      </c>
      <c r="O439">
        <f>IFERROR(--INDEX('Call accounts and MMFs'!$F:$F,ROW()),0)</f>
        <v/>
      </c>
      <c r="P439">
        <f>IF(ISNUMBER(INDEX('Call accounts and MMFs'!$E:$E,ROW())),1,0)</f>
        <v/>
      </c>
      <c r="Q439">
        <f>TRIM(SUBSTITUTE(INDEX('Pooled funds'!$B:$B,ROW())&amp;""," "," "))</f>
        <v/>
      </c>
      <c r="R439">
        <f>IFERROR(--INDEX('Pooled funds'!$C:$C,ROW()),0)</f>
        <v/>
      </c>
      <c r="S439">
        <f>IFERROR(--INDEX('Pooled funds'!$D:$D,ROW()),0)</f>
        <v/>
      </c>
      <c r="T439">
        <f>IFERROR(IF(--INDEX('Pooled funds'!$E:$E,ROW())&gt;=1,--INDEX('Pooled funds'!$E:$E,ROW())/100,--INDEX('Pooled funds'!$E:$E,ROW())),0)</f>
        <v/>
      </c>
      <c r="U439">
        <f>IF(ISNUMBER(INDEX('Pooled funds'!$E:$E,ROW())),1,0)</f>
        <v/>
      </c>
      <c r="V439">
        <f>TRIM(SUBSTITUTE(INDEX('Loans'!$A:$A,ROW())&amp;""," "," "))</f>
        <v/>
      </c>
      <c r="W439">
        <f>TRIM(SUBSTITUTE(INDEX('Loans'!$B:$B,ROW())&amp;""," "," "))</f>
        <v/>
      </c>
      <c r="X439">
        <f>TRIM(SUBSTITUTE(INDEX('Loans'!$C:$C,ROW())&amp;""," "," "))</f>
        <v/>
      </c>
      <c r="Y439">
        <f>IFERROR(--INDEX('Loans'!$D:$D,ROW()),0)</f>
        <v/>
      </c>
      <c r="Z439">
        <f>IFERROR(--INDEX('Loans'!$E:$E,ROW()),0)</f>
        <v/>
      </c>
      <c r="AA439">
        <f>IFERROR(--INDEX('Loans'!$F:$F,ROW()),0)</f>
        <v/>
      </c>
      <c r="AB439">
        <f>IFERROR(IF(--INDEX('Loans'!$G:$G,ROW())&gt;=1,--INDEX('Loans'!$G:$G,ROW())/100,--INDEX('Loans'!$G:$G,ROW())),0)</f>
        <v/>
      </c>
      <c r="AC439">
        <f>TRIM(SUBSTITUTE(INDEX('Loans'!$H:$H,ROW())&amp;""," "," "))</f>
        <v/>
      </c>
      <c r="AD439">
        <f>TRIM(SUBSTITUTE(INDEX('Loans'!$I:$I,ROW())&amp;""," "," "))</f>
        <v/>
      </c>
      <c r="AE439">
        <f>IFERROR(--INDEX('Loans'!$J:$J,ROW()),0)</f>
        <v/>
      </c>
      <c r="AF439">
        <f>TRIM(SUBSTITUTE(INDEX('Loans'!$K:$K,ROW())&amp;""," "," "))</f>
        <v/>
      </c>
      <c r="AG439">
        <f>IFERROR(--INDEX('Loans'!$L:$L,ROW()),0)</f>
        <v/>
      </c>
      <c r="AH439">
        <f>IF(ISNUMBER(INDEX('Loans'!$G:$G,ROW())),1,0)</f>
        <v/>
      </c>
    </row>
    <row r="440">
      <c r="A440">
        <f>TRIM(SUBSTITUTE(INDEX('Term investments'!$A:$A,ROW())&amp;""," "," "))</f>
        <v/>
      </c>
      <c r="B440">
        <f>TRIM(SUBSTITUTE(INDEX('Term investments'!$B:$B,ROW())&amp;""," "," "))</f>
        <v/>
      </c>
      <c r="C440">
        <f>TRIM(SUBSTITUTE(INDEX('Term investments'!$C:$C,ROW())&amp;""," "," "))</f>
        <v/>
      </c>
      <c r="D440">
        <f>IFERROR(--INDEX('Term investments'!$D:$D,ROW()),0)</f>
        <v/>
      </c>
      <c r="E440">
        <f>IFERROR(--INDEX('Term investments'!$E:$E,ROW()),0)</f>
        <v/>
      </c>
      <c r="F440">
        <f>IFERROR(--INDEX('Term investments'!$F:$F,ROW()),0)</f>
        <v/>
      </c>
      <c r="G440">
        <f>IFERROR(IF(--INDEX('Term investments'!$G:$G,ROW())&gt;=1,--INDEX('Term investments'!$G:$G,ROW())/100,--INDEX('Term investments'!$G:$G,ROW())),0)</f>
        <v/>
      </c>
      <c r="H440">
        <f>IFERROR(--INDEX('Term investments'!$H:$H,ROW()),0)</f>
        <v/>
      </c>
      <c r="I440">
        <f>IF(ISNUMBER(INDEX('Term investments'!$G:$G,ROW())),1,0)</f>
        <v/>
      </c>
      <c r="J440">
        <f>TRIM(SUBSTITUTE(INDEX('Call accounts and MMFs'!$A:$A,ROW())&amp;""," "," "))</f>
        <v/>
      </c>
      <c r="K440">
        <f>TRIM(SUBSTITUTE(INDEX('Call accounts and MMFs'!$B:$B,ROW())&amp;""," "," "))</f>
        <v/>
      </c>
      <c r="L440">
        <f>TRIM(SUBSTITUTE(INDEX('Call accounts and MMFs'!$C:$C,ROW())&amp;""," "," "))</f>
        <v/>
      </c>
      <c r="M440">
        <f>IFERROR(--INDEX('Call accounts and MMFs'!$D:$D,ROW()),0)</f>
        <v/>
      </c>
      <c r="N440">
        <f>IFERROR(IF(--INDEX('Call accounts and MMFs'!$E:$E,ROW())&gt;=1,--INDEX('Call accounts and MMFs'!$E:$E,ROW())/100,--INDEX('Call accounts and MMFs'!$E:$E,ROW())),0)</f>
        <v/>
      </c>
      <c r="O440">
        <f>IFERROR(--INDEX('Call accounts and MMFs'!$F:$F,ROW()),0)</f>
        <v/>
      </c>
      <c r="P440">
        <f>IF(ISNUMBER(INDEX('Call accounts and MMFs'!$E:$E,ROW())),1,0)</f>
        <v/>
      </c>
      <c r="Q440">
        <f>TRIM(SUBSTITUTE(INDEX('Pooled funds'!$B:$B,ROW())&amp;""," "," "))</f>
        <v/>
      </c>
      <c r="R440">
        <f>IFERROR(--INDEX('Pooled funds'!$C:$C,ROW()),0)</f>
        <v/>
      </c>
      <c r="S440">
        <f>IFERROR(--INDEX('Pooled funds'!$D:$D,ROW()),0)</f>
        <v/>
      </c>
      <c r="T440">
        <f>IFERROR(IF(--INDEX('Pooled funds'!$E:$E,ROW())&gt;=1,--INDEX('Pooled funds'!$E:$E,ROW())/100,--INDEX('Pooled funds'!$E:$E,ROW())),0)</f>
        <v/>
      </c>
      <c r="U440">
        <f>IF(ISNUMBER(INDEX('Pooled funds'!$E:$E,ROW())),1,0)</f>
        <v/>
      </c>
      <c r="V440">
        <f>TRIM(SUBSTITUTE(INDEX('Loans'!$A:$A,ROW())&amp;""," "," "))</f>
        <v/>
      </c>
      <c r="W440">
        <f>TRIM(SUBSTITUTE(INDEX('Loans'!$B:$B,ROW())&amp;""," "," "))</f>
        <v/>
      </c>
      <c r="X440">
        <f>TRIM(SUBSTITUTE(INDEX('Loans'!$C:$C,ROW())&amp;""," "," "))</f>
        <v/>
      </c>
      <c r="Y440">
        <f>IFERROR(--INDEX('Loans'!$D:$D,ROW()),0)</f>
        <v/>
      </c>
      <c r="Z440">
        <f>IFERROR(--INDEX('Loans'!$E:$E,ROW()),0)</f>
        <v/>
      </c>
      <c r="AA440">
        <f>IFERROR(--INDEX('Loans'!$F:$F,ROW()),0)</f>
        <v/>
      </c>
      <c r="AB440">
        <f>IFERROR(IF(--INDEX('Loans'!$G:$G,ROW())&gt;=1,--INDEX('Loans'!$G:$G,ROW())/100,--INDEX('Loans'!$G:$G,ROW())),0)</f>
        <v/>
      </c>
      <c r="AC440">
        <f>TRIM(SUBSTITUTE(INDEX('Loans'!$H:$H,ROW())&amp;""," "," "))</f>
        <v/>
      </c>
      <c r="AD440">
        <f>TRIM(SUBSTITUTE(INDEX('Loans'!$I:$I,ROW())&amp;""," "," "))</f>
        <v/>
      </c>
      <c r="AE440">
        <f>IFERROR(--INDEX('Loans'!$J:$J,ROW()),0)</f>
        <v/>
      </c>
      <c r="AF440">
        <f>TRIM(SUBSTITUTE(INDEX('Loans'!$K:$K,ROW())&amp;""," "," "))</f>
        <v/>
      </c>
      <c r="AG440">
        <f>IFERROR(--INDEX('Loans'!$L:$L,ROW()),0)</f>
        <v/>
      </c>
      <c r="AH440">
        <f>IF(ISNUMBER(INDEX('Loans'!$G:$G,ROW())),1,0)</f>
        <v/>
      </c>
    </row>
    <row r="441">
      <c r="A441">
        <f>TRIM(SUBSTITUTE(INDEX('Term investments'!$A:$A,ROW())&amp;""," "," "))</f>
        <v/>
      </c>
      <c r="B441">
        <f>TRIM(SUBSTITUTE(INDEX('Term investments'!$B:$B,ROW())&amp;""," "," "))</f>
        <v/>
      </c>
      <c r="C441">
        <f>TRIM(SUBSTITUTE(INDEX('Term investments'!$C:$C,ROW())&amp;""," "," "))</f>
        <v/>
      </c>
      <c r="D441">
        <f>IFERROR(--INDEX('Term investments'!$D:$D,ROW()),0)</f>
        <v/>
      </c>
      <c r="E441">
        <f>IFERROR(--INDEX('Term investments'!$E:$E,ROW()),0)</f>
        <v/>
      </c>
      <c r="F441">
        <f>IFERROR(--INDEX('Term investments'!$F:$F,ROW()),0)</f>
        <v/>
      </c>
      <c r="G441">
        <f>IFERROR(IF(--INDEX('Term investments'!$G:$G,ROW())&gt;=1,--INDEX('Term investments'!$G:$G,ROW())/100,--INDEX('Term investments'!$G:$G,ROW())),0)</f>
        <v/>
      </c>
      <c r="H441">
        <f>IFERROR(--INDEX('Term investments'!$H:$H,ROW()),0)</f>
        <v/>
      </c>
      <c r="I441">
        <f>IF(ISNUMBER(INDEX('Term investments'!$G:$G,ROW())),1,0)</f>
        <v/>
      </c>
      <c r="J441">
        <f>TRIM(SUBSTITUTE(INDEX('Call accounts and MMFs'!$A:$A,ROW())&amp;""," "," "))</f>
        <v/>
      </c>
      <c r="K441">
        <f>TRIM(SUBSTITUTE(INDEX('Call accounts and MMFs'!$B:$B,ROW())&amp;""," "," "))</f>
        <v/>
      </c>
      <c r="L441">
        <f>TRIM(SUBSTITUTE(INDEX('Call accounts and MMFs'!$C:$C,ROW())&amp;""," "," "))</f>
        <v/>
      </c>
      <c r="M441">
        <f>IFERROR(--INDEX('Call accounts and MMFs'!$D:$D,ROW()),0)</f>
        <v/>
      </c>
      <c r="N441">
        <f>IFERROR(IF(--INDEX('Call accounts and MMFs'!$E:$E,ROW())&gt;=1,--INDEX('Call accounts and MMFs'!$E:$E,ROW())/100,--INDEX('Call accounts and MMFs'!$E:$E,ROW())),0)</f>
        <v/>
      </c>
      <c r="O441">
        <f>IFERROR(--INDEX('Call accounts and MMFs'!$F:$F,ROW()),0)</f>
        <v/>
      </c>
      <c r="P441">
        <f>IF(ISNUMBER(INDEX('Call accounts and MMFs'!$E:$E,ROW())),1,0)</f>
        <v/>
      </c>
      <c r="Q441">
        <f>TRIM(SUBSTITUTE(INDEX('Pooled funds'!$B:$B,ROW())&amp;""," "," "))</f>
        <v/>
      </c>
      <c r="R441">
        <f>IFERROR(--INDEX('Pooled funds'!$C:$C,ROW()),0)</f>
        <v/>
      </c>
      <c r="S441">
        <f>IFERROR(--INDEX('Pooled funds'!$D:$D,ROW()),0)</f>
        <v/>
      </c>
      <c r="T441">
        <f>IFERROR(IF(--INDEX('Pooled funds'!$E:$E,ROW())&gt;=1,--INDEX('Pooled funds'!$E:$E,ROW())/100,--INDEX('Pooled funds'!$E:$E,ROW())),0)</f>
        <v/>
      </c>
      <c r="U441">
        <f>IF(ISNUMBER(INDEX('Pooled funds'!$E:$E,ROW())),1,0)</f>
        <v/>
      </c>
      <c r="V441">
        <f>TRIM(SUBSTITUTE(INDEX('Loans'!$A:$A,ROW())&amp;""," "," "))</f>
        <v/>
      </c>
      <c r="W441">
        <f>TRIM(SUBSTITUTE(INDEX('Loans'!$B:$B,ROW())&amp;""," "," "))</f>
        <v/>
      </c>
      <c r="X441">
        <f>TRIM(SUBSTITUTE(INDEX('Loans'!$C:$C,ROW())&amp;""," "," "))</f>
        <v/>
      </c>
      <c r="Y441">
        <f>IFERROR(--INDEX('Loans'!$D:$D,ROW()),0)</f>
        <v/>
      </c>
      <c r="Z441">
        <f>IFERROR(--INDEX('Loans'!$E:$E,ROW()),0)</f>
        <v/>
      </c>
      <c r="AA441">
        <f>IFERROR(--INDEX('Loans'!$F:$F,ROW()),0)</f>
        <v/>
      </c>
      <c r="AB441">
        <f>IFERROR(IF(--INDEX('Loans'!$G:$G,ROW())&gt;=1,--INDEX('Loans'!$G:$G,ROW())/100,--INDEX('Loans'!$G:$G,ROW())),0)</f>
        <v/>
      </c>
      <c r="AC441">
        <f>TRIM(SUBSTITUTE(INDEX('Loans'!$H:$H,ROW())&amp;""," "," "))</f>
        <v/>
      </c>
      <c r="AD441">
        <f>TRIM(SUBSTITUTE(INDEX('Loans'!$I:$I,ROW())&amp;""," "," "))</f>
        <v/>
      </c>
      <c r="AE441">
        <f>IFERROR(--INDEX('Loans'!$J:$J,ROW()),0)</f>
        <v/>
      </c>
      <c r="AF441">
        <f>TRIM(SUBSTITUTE(INDEX('Loans'!$K:$K,ROW())&amp;""," "," "))</f>
        <v/>
      </c>
      <c r="AG441">
        <f>IFERROR(--INDEX('Loans'!$L:$L,ROW()),0)</f>
        <v/>
      </c>
      <c r="AH441">
        <f>IF(ISNUMBER(INDEX('Loans'!$G:$G,ROW())),1,0)</f>
        <v/>
      </c>
    </row>
    <row r="442">
      <c r="A442">
        <f>TRIM(SUBSTITUTE(INDEX('Term investments'!$A:$A,ROW())&amp;""," "," "))</f>
        <v/>
      </c>
      <c r="B442">
        <f>TRIM(SUBSTITUTE(INDEX('Term investments'!$B:$B,ROW())&amp;""," "," "))</f>
        <v/>
      </c>
      <c r="C442">
        <f>TRIM(SUBSTITUTE(INDEX('Term investments'!$C:$C,ROW())&amp;""," "," "))</f>
        <v/>
      </c>
      <c r="D442">
        <f>IFERROR(--INDEX('Term investments'!$D:$D,ROW()),0)</f>
        <v/>
      </c>
      <c r="E442">
        <f>IFERROR(--INDEX('Term investments'!$E:$E,ROW()),0)</f>
        <v/>
      </c>
      <c r="F442">
        <f>IFERROR(--INDEX('Term investments'!$F:$F,ROW()),0)</f>
        <v/>
      </c>
      <c r="G442">
        <f>IFERROR(IF(--INDEX('Term investments'!$G:$G,ROW())&gt;=1,--INDEX('Term investments'!$G:$G,ROW())/100,--INDEX('Term investments'!$G:$G,ROW())),0)</f>
        <v/>
      </c>
      <c r="H442">
        <f>IFERROR(--INDEX('Term investments'!$H:$H,ROW()),0)</f>
        <v/>
      </c>
      <c r="I442">
        <f>IF(ISNUMBER(INDEX('Term investments'!$G:$G,ROW())),1,0)</f>
        <v/>
      </c>
      <c r="J442">
        <f>TRIM(SUBSTITUTE(INDEX('Call accounts and MMFs'!$A:$A,ROW())&amp;""," "," "))</f>
        <v/>
      </c>
      <c r="K442">
        <f>TRIM(SUBSTITUTE(INDEX('Call accounts and MMFs'!$B:$B,ROW())&amp;""," "," "))</f>
        <v/>
      </c>
      <c r="L442">
        <f>TRIM(SUBSTITUTE(INDEX('Call accounts and MMFs'!$C:$C,ROW())&amp;""," "," "))</f>
        <v/>
      </c>
      <c r="M442">
        <f>IFERROR(--INDEX('Call accounts and MMFs'!$D:$D,ROW()),0)</f>
        <v/>
      </c>
      <c r="N442">
        <f>IFERROR(IF(--INDEX('Call accounts and MMFs'!$E:$E,ROW())&gt;=1,--INDEX('Call accounts and MMFs'!$E:$E,ROW())/100,--INDEX('Call accounts and MMFs'!$E:$E,ROW())),0)</f>
        <v/>
      </c>
      <c r="O442">
        <f>IFERROR(--INDEX('Call accounts and MMFs'!$F:$F,ROW()),0)</f>
        <v/>
      </c>
      <c r="P442">
        <f>IF(ISNUMBER(INDEX('Call accounts and MMFs'!$E:$E,ROW())),1,0)</f>
        <v/>
      </c>
      <c r="Q442">
        <f>TRIM(SUBSTITUTE(INDEX('Pooled funds'!$B:$B,ROW())&amp;""," "," "))</f>
        <v/>
      </c>
      <c r="R442">
        <f>IFERROR(--INDEX('Pooled funds'!$C:$C,ROW()),0)</f>
        <v/>
      </c>
      <c r="S442">
        <f>IFERROR(--INDEX('Pooled funds'!$D:$D,ROW()),0)</f>
        <v/>
      </c>
      <c r="T442">
        <f>IFERROR(IF(--INDEX('Pooled funds'!$E:$E,ROW())&gt;=1,--INDEX('Pooled funds'!$E:$E,ROW())/100,--INDEX('Pooled funds'!$E:$E,ROW())),0)</f>
        <v/>
      </c>
      <c r="U442">
        <f>IF(ISNUMBER(INDEX('Pooled funds'!$E:$E,ROW())),1,0)</f>
        <v/>
      </c>
      <c r="V442">
        <f>TRIM(SUBSTITUTE(INDEX('Loans'!$A:$A,ROW())&amp;""," "," "))</f>
        <v/>
      </c>
      <c r="W442">
        <f>TRIM(SUBSTITUTE(INDEX('Loans'!$B:$B,ROW())&amp;""," "," "))</f>
        <v/>
      </c>
      <c r="X442">
        <f>TRIM(SUBSTITUTE(INDEX('Loans'!$C:$C,ROW())&amp;""," "," "))</f>
        <v/>
      </c>
      <c r="Y442">
        <f>IFERROR(--INDEX('Loans'!$D:$D,ROW()),0)</f>
        <v/>
      </c>
      <c r="Z442">
        <f>IFERROR(--INDEX('Loans'!$E:$E,ROW()),0)</f>
        <v/>
      </c>
      <c r="AA442">
        <f>IFERROR(--INDEX('Loans'!$F:$F,ROW()),0)</f>
        <v/>
      </c>
      <c r="AB442">
        <f>IFERROR(IF(--INDEX('Loans'!$G:$G,ROW())&gt;=1,--INDEX('Loans'!$G:$G,ROW())/100,--INDEX('Loans'!$G:$G,ROW())),0)</f>
        <v/>
      </c>
      <c r="AC442">
        <f>TRIM(SUBSTITUTE(INDEX('Loans'!$H:$H,ROW())&amp;""," "," "))</f>
        <v/>
      </c>
      <c r="AD442">
        <f>TRIM(SUBSTITUTE(INDEX('Loans'!$I:$I,ROW())&amp;""," "," "))</f>
        <v/>
      </c>
      <c r="AE442">
        <f>IFERROR(--INDEX('Loans'!$J:$J,ROW()),0)</f>
        <v/>
      </c>
      <c r="AF442">
        <f>TRIM(SUBSTITUTE(INDEX('Loans'!$K:$K,ROW())&amp;""," "," "))</f>
        <v/>
      </c>
      <c r="AG442">
        <f>IFERROR(--INDEX('Loans'!$L:$L,ROW()),0)</f>
        <v/>
      </c>
      <c r="AH442">
        <f>IF(ISNUMBER(INDEX('Loans'!$G:$G,ROW())),1,0)</f>
        <v/>
      </c>
    </row>
    <row r="443">
      <c r="A443">
        <f>TRIM(SUBSTITUTE(INDEX('Term investments'!$A:$A,ROW())&amp;""," "," "))</f>
        <v/>
      </c>
      <c r="B443">
        <f>TRIM(SUBSTITUTE(INDEX('Term investments'!$B:$B,ROW())&amp;""," "," "))</f>
        <v/>
      </c>
      <c r="C443">
        <f>TRIM(SUBSTITUTE(INDEX('Term investments'!$C:$C,ROW())&amp;""," "," "))</f>
        <v/>
      </c>
      <c r="D443">
        <f>IFERROR(--INDEX('Term investments'!$D:$D,ROW()),0)</f>
        <v/>
      </c>
      <c r="E443">
        <f>IFERROR(--INDEX('Term investments'!$E:$E,ROW()),0)</f>
        <v/>
      </c>
      <c r="F443">
        <f>IFERROR(--INDEX('Term investments'!$F:$F,ROW()),0)</f>
        <v/>
      </c>
      <c r="G443">
        <f>IFERROR(IF(--INDEX('Term investments'!$G:$G,ROW())&gt;=1,--INDEX('Term investments'!$G:$G,ROW())/100,--INDEX('Term investments'!$G:$G,ROW())),0)</f>
        <v/>
      </c>
      <c r="H443">
        <f>IFERROR(--INDEX('Term investments'!$H:$H,ROW()),0)</f>
        <v/>
      </c>
      <c r="I443">
        <f>IF(ISNUMBER(INDEX('Term investments'!$G:$G,ROW())),1,0)</f>
        <v/>
      </c>
      <c r="J443">
        <f>TRIM(SUBSTITUTE(INDEX('Call accounts and MMFs'!$A:$A,ROW())&amp;""," "," "))</f>
        <v/>
      </c>
      <c r="K443">
        <f>TRIM(SUBSTITUTE(INDEX('Call accounts and MMFs'!$B:$B,ROW())&amp;""," "," "))</f>
        <v/>
      </c>
      <c r="L443">
        <f>TRIM(SUBSTITUTE(INDEX('Call accounts and MMFs'!$C:$C,ROW())&amp;""," "," "))</f>
        <v/>
      </c>
      <c r="M443">
        <f>IFERROR(--INDEX('Call accounts and MMFs'!$D:$D,ROW()),0)</f>
        <v/>
      </c>
      <c r="N443">
        <f>IFERROR(IF(--INDEX('Call accounts and MMFs'!$E:$E,ROW())&gt;=1,--INDEX('Call accounts and MMFs'!$E:$E,ROW())/100,--INDEX('Call accounts and MMFs'!$E:$E,ROW())),0)</f>
        <v/>
      </c>
      <c r="O443">
        <f>IFERROR(--INDEX('Call accounts and MMFs'!$F:$F,ROW()),0)</f>
        <v/>
      </c>
      <c r="P443">
        <f>IF(ISNUMBER(INDEX('Call accounts and MMFs'!$E:$E,ROW())),1,0)</f>
        <v/>
      </c>
      <c r="Q443">
        <f>TRIM(SUBSTITUTE(INDEX('Pooled funds'!$B:$B,ROW())&amp;""," "," "))</f>
        <v/>
      </c>
      <c r="R443">
        <f>IFERROR(--INDEX('Pooled funds'!$C:$C,ROW()),0)</f>
        <v/>
      </c>
      <c r="S443">
        <f>IFERROR(--INDEX('Pooled funds'!$D:$D,ROW()),0)</f>
        <v/>
      </c>
      <c r="T443">
        <f>IFERROR(IF(--INDEX('Pooled funds'!$E:$E,ROW())&gt;=1,--INDEX('Pooled funds'!$E:$E,ROW())/100,--INDEX('Pooled funds'!$E:$E,ROW())),0)</f>
        <v/>
      </c>
      <c r="U443">
        <f>IF(ISNUMBER(INDEX('Pooled funds'!$E:$E,ROW())),1,0)</f>
        <v/>
      </c>
      <c r="V443">
        <f>TRIM(SUBSTITUTE(INDEX('Loans'!$A:$A,ROW())&amp;""," "," "))</f>
        <v/>
      </c>
      <c r="W443">
        <f>TRIM(SUBSTITUTE(INDEX('Loans'!$B:$B,ROW())&amp;""," "," "))</f>
        <v/>
      </c>
      <c r="X443">
        <f>TRIM(SUBSTITUTE(INDEX('Loans'!$C:$C,ROW())&amp;""," "," "))</f>
        <v/>
      </c>
      <c r="Y443">
        <f>IFERROR(--INDEX('Loans'!$D:$D,ROW()),0)</f>
        <v/>
      </c>
      <c r="Z443">
        <f>IFERROR(--INDEX('Loans'!$E:$E,ROW()),0)</f>
        <v/>
      </c>
      <c r="AA443">
        <f>IFERROR(--INDEX('Loans'!$F:$F,ROW()),0)</f>
        <v/>
      </c>
      <c r="AB443">
        <f>IFERROR(IF(--INDEX('Loans'!$G:$G,ROW())&gt;=1,--INDEX('Loans'!$G:$G,ROW())/100,--INDEX('Loans'!$G:$G,ROW())),0)</f>
        <v/>
      </c>
      <c r="AC443">
        <f>TRIM(SUBSTITUTE(INDEX('Loans'!$H:$H,ROW())&amp;""," "," "))</f>
        <v/>
      </c>
      <c r="AD443">
        <f>TRIM(SUBSTITUTE(INDEX('Loans'!$I:$I,ROW())&amp;""," "," "))</f>
        <v/>
      </c>
      <c r="AE443">
        <f>IFERROR(--INDEX('Loans'!$J:$J,ROW()),0)</f>
        <v/>
      </c>
      <c r="AF443">
        <f>TRIM(SUBSTITUTE(INDEX('Loans'!$K:$K,ROW())&amp;""," "," "))</f>
        <v/>
      </c>
      <c r="AG443">
        <f>IFERROR(--INDEX('Loans'!$L:$L,ROW()),0)</f>
        <v/>
      </c>
      <c r="AH443">
        <f>IF(ISNUMBER(INDEX('Loans'!$G:$G,ROW())),1,0)</f>
        <v/>
      </c>
    </row>
    <row r="444">
      <c r="A444">
        <f>TRIM(SUBSTITUTE(INDEX('Term investments'!$A:$A,ROW())&amp;""," "," "))</f>
        <v/>
      </c>
      <c r="B444">
        <f>TRIM(SUBSTITUTE(INDEX('Term investments'!$B:$B,ROW())&amp;""," "," "))</f>
        <v/>
      </c>
      <c r="C444">
        <f>TRIM(SUBSTITUTE(INDEX('Term investments'!$C:$C,ROW())&amp;""," "," "))</f>
        <v/>
      </c>
      <c r="D444">
        <f>IFERROR(--INDEX('Term investments'!$D:$D,ROW()),0)</f>
        <v/>
      </c>
      <c r="E444">
        <f>IFERROR(--INDEX('Term investments'!$E:$E,ROW()),0)</f>
        <v/>
      </c>
      <c r="F444">
        <f>IFERROR(--INDEX('Term investments'!$F:$F,ROW()),0)</f>
        <v/>
      </c>
      <c r="G444">
        <f>IFERROR(IF(--INDEX('Term investments'!$G:$G,ROW())&gt;=1,--INDEX('Term investments'!$G:$G,ROW())/100,--INDEX('Term investments'!$G:$G,ROW())),0)</f>
        <v/>
      </c>
      <c r="H444">
        <f>IFERROR(--INDEX('Term investments'!$H:$H,ROW()),0)</f>
        <v/>
      </c>
      <c r="I444">
        <f>IF(ISNUMBER(INDEX('Term investments'!$G:$G,ROW())),1,0)</f>
        <v/>
      </c>
      <c r="J444">
        <f>TRIM(SUBSTITUTE(INDEX('Call accounts and MMFs'!$A:$A,ROW())&amp;""," "," "))</f>
        <v/>
      </c>
      <c r="K444">
        <f>TRIM(SUBSTITUTE(INDEX('Call accounts and MMFs'!$B:$B,ROW())&amp;""," "," "))</f>
        <v/>
      </c>
      <c r="L444">
        <f>TRIM(SUBSTITUTE(INDEX('Call accounts and MMFs'!$C:$C,ROW())&amp;""," "," "))</f>
        <v/>
      </c>
      <c r="M444">
        <f>IFERROR(--INDEX('Call accounts and MMFs'!$D:$D,ROW()),0)</f>
        <v/>
      </c>
      <c r="N444">
        <f>IFERROR(IF(--INDEX('Call accounts and MMFs'!$E:$E,ROW())&gt;=1,--INDEX('Call accounts and MMFs'!$E:$E,ROW())/100,--INDEX('Call accounts and MMFs'!$E:$E,ROW())),0)</f>
        <v/>
      </c>
      <c r="O444">
        <f>IFERROR(--INDEX('Call accounts and MMFs'!$F:$F,ROW()),0)</f>
        <v/>
      </c>
      <c r="P444">
        <f>IF(ISNUMBER(INDEX('Call accounts and MMFs'!$E:$E,ROW())),1,0)</f>
        <v/>
      </c>
      <c r="Q444">
        <f>TRIM(SUBSTITUTE(INDEX('Pooled funds'!$B:$B,ROW())&amp;""," "," "))</f>
        <v/>
      </c>
      <c r="R444">
        <f>IFERROR(--INDEX('Pooled funds'!$C:$C,ROW()),0)</f>
        <v/>
      </c>
      <c r="S444">
        <f>IFERROR(--INDEX('Pooled funds'!$D:$D,ROW()),0)</f>
        <v/>
      </c>
      <c r="T444">
        <f>IFERROR(IF(--INDEX('Pooled funds'!$E:$E,ROW())&gt;=1,--INDEX('Pooled funds'!$E:$E,ROW())/100,--INDEX('Pooled funds'!$E:$E,ROW())),0)</f>
        <v/>
      </c>
      <c r="U444">
        <f>IF(ISNUMBER(INDEX('Pooled funds'!$E:$E,ROW())),1,0)</f>
        <v/>
      </c>
      <c r="V444">
        <f>TRIM(SUBSTITUTE(INDEX('Loans'!$A:$A,ROW())&amp;""," "," "))</f>
        <v/>
      </c>
      <c r="W444">
        <f>TRIM(SUBSTITUTE(INDEX('Loans'!$B:$B,ROW())&amp;""," "," "))</f>
        <v/>
      </c>
      <c r="X444">
        <f>TRIM(SUBSTITUTE(INDEX('Loans'!$C:$C,ROW())&amp;""," "," "))</f>
        <v/>
      </c>
      <c r="Y444">
        <f>IFERROR(--INDEX('Loans'!$D:$D,ROW()),0)</f>
        <v/>
      </c>
      <c r="Z444">
        <f>IFERROR(--INDEX('Loans'!$E:$E,ROW()),0)</f>
        <v/>
      </c>
      <c r="AA444">
        <f>IFERROR(--INDEX('Loans'!$F:$F,ROW()),0)</f>
        <v/>
      </c>
      <c r="AB444">
        <f>IFERROR(IF(--INDEX('Loans'!$G:$G,ROW())&gt;=1,--INDEX('Loans'!$G:$G,ROW())/100,--INDEX('Loans'!$G:$G,ROW())),0)</f>
        <v/>
      </c>
      <c r="AC444">
        <f>TRIM(SUBSTITUTE(INDEX('Loans'!$H:$H,ROW())&amp;""," "," "))</f>
        <v/>
      </c>
      <c r="AD444">
        <f>TRIM(SUBSTITUTE(INDEX('Loans'!$I:$I,ROW())&amp;""," "," "))</f>
        <v/>
      </c>
      <c r="AE444">
        <f>IFERROR(--INDEX('Loans'!$J:$J,ROW()),0)</f>
        <v/>
      </c>
      <c r="AF444">
        <f>TRIM(SUBSTITUTE(INDEX('Loans'!$K:$K,ROW())&amp;""," "," "))</f>
        <v/>
      </c>
      <c r="AG444">
        <f>IFERROR(--INDEX('Loans'!$L:$L,ROW()),0)</f>
        <v/>
      </c>
      <c r="AH444">
        <f>IF(ISNUMBER(INDEX('Loans'!$G:$G,ROW())),1,0)</f>
        <v/>
      </c>
    </row>
    <row r="445">
      <c r="A445">
        <f>TRIM(SUBSTITUTE(INDEX('Term investments'!$A:$A,ROW())&amp;""," "," "))</f>
        <v/>
      </c>
      <c r="B445">
        <f>TRIM(SUBSTITUTE(INDEX('Term investments'!$B:$B,ROW())&amp;""," "," "))</f>
        <v/>
      </c>
      <c r="C445">
        <f>TRIM(SUBSTITUTE(INDEX('Term investments'!$C:$C,ROW())&amp;""," "," "))</f>
        <v/>
      </c>
      <c r="D445">
        <f>IFERROR(--INDEX('Term investments'!$D:$D,ROW()),0)</f>
        <v/>
      </c>
      <c r="E445">
        <f>IFERROR(--INDEX('Term investments'!$E:$E,ROW()),0)</f>
        <v/>
      </c>
      <c r="F445">
        <f>IFERROR(--INDEX('Term investments'!$F:$F,ROW()),0)</f>
        <v/>
      </c>
      <c r="G445">
        <f>IFERROR(IF(--INDEX('Term investments'!$G:$G,ROW())&gt;=1,--INDEX('Term investments'!$G:$G,ROW())/100,--INDEX('Term investments'!$G:$G,ROW())),0)</f>
        <v/>
      </c>
      <c r="H445">
        <f>IFERROR(--INDEX('Term investments'!$H:$H,ROW()),0)</f>
        <v/>
      </c>
      <c r="I445">
        <f>IF(ISNUMBER(INDEX('Term investments'!$G:$G,ROW())),1,0)</f>
        <v/>
      </c>
      <c r="J445">
        <f>TRIM(SUBSTITUTE(INDEX('Call accounts and MMFs'!$A:$A,ROW())&amp;""," "," "))</f>
        <v/>
      </c>
      <c r="K445">
        <f>TRIM(SUBSTITUTE(INDEX('Call accounts and MMFs'!$B:$B,ROW())&amp;""," "," "))</f>
        <v/>
      </c>
      <c r="L445">
        <f>TRIM(SUBSTITUTE(INDEX('Call accounts and MMFs'!$C:$C,ROW())&amp;""," "," "))</f>
        <v/>
      </c>
      <c r="M445">
        <f>IFERROR(--INDEX('Call accounts and MMFs'!$D:$D,ROW()),0)</f>
        <v/>
      </c>
      <c r="N445">
        <f>IFERROR(IF(--INDEX('Call accounts and MMFs'!$E:$E,ROW())&gt;=1,--INDEX('Call accounts and MMFs'!$E:$E,ROW())/100,--INDEX('Call accounts and MMFs'!$E:$E,ROW())),0)</f>
        <v/>
      </c>
      <c r="O445">
        <f>IFERROR(--INDEX('Call accounts and MMFs'!$F:$F,ROW()),0)</f>
        <v/>
      </c>
      <c r="P445">
        <f>IF(ISNUMBER(INDEX('Call accounts and MMFs'!$E:$E,ROW())),1,0)</f>
        <v/>
      </c>
      <c r="Q445">
        <f>TRIM(SUBSTITUTE(INDEX('Pooled funds'!$B:$B,ROW())&amp;""," "," "))</f>
        <v/>
      </c>
      <c r="R445">
        <f>IFERROR(--INDEX('Pooled funds'!$C:$C,ROW()),0)</f>
        <v/>
      </c>
      <c r="S445">
        <f>IFERROR(--INDEX('Pooled funds'!$D:$D,ROW()),0)</f>
        <v/>
      </c>
      <c r="T445">
        <f>IFERROR(IF(--INDEX('Pooled funds'!$E:$E,ROW())&gt;=1,--INDEX('Pooled funds'!$E:$E,ROW())/100,--INDEX('Pooled funds'!$E:$E,ROW())),0)</f>
        <v/>
      </c>
      <c r="U445">
        <f>IF(ISNUMBER(INDEX('Pooled funds'!$E:$E,ROW())),1,0)</f>
        <v/>
      </c>
      <c r="V445">
        <f>TRIM(SUBSTITUTE(INDEX('Loans'!$A:$A,ROW())&amp;""," "," "))</f>
        <v/>
      </c>
      <c r="W445">
        <f>TRIM(SUBSTITUTE(INDEX('Loans'!$B:$B,ROW())&amp;""," "," "))</f>
        <v/>
      </c>
      <c r="X445">
        <f>TRIM(SUBSTITUTE(INDEX('Loans'!$C:$C,ROW())&amp;""," "," "))</f>
        <v/>
      </c>
      <c r="Y445">
        <f>IFERROR(--INDEX('Loans'!$D:$D,ROW()),0)</f>
        <v/>
      </c>
      <c r="Z445">
        <f>IFERROR(--INDEX('Loans'!$E:$E,ROW()),0)</f>
        <v/>
      </c>
      <c r="AA445">
        <f>IFERROR(--INDEX('Loans'!$F:$F,ROW()),0)</f>
        <v/>
      </c>
      <c r="AB445">
        <f>IFERROR(IF(--INDEX('Loans'!$G:$G,ROW())&gt;=1,--INDEX('Loans'!$G:$G,ROW())/100,--INDEX('Loans'!$G:$G,ROW())),0)</f>
        <v/>
      </c>
      <c r="AC445">
        <f>TRIM(SUBSTITUTE(INDEX('Loans'!$H:$H,ROW())&amp;""," "," "))</f>
        <v/>
      </c>
      <c r="AD445">
        <f>TRIM(SUBSTITUTE(INDEX('Loans'!$I:$I,ROW())&amp;""," "," "))</f>
        <v/>
      </c>
      <c r="AE445">
        <f>IFERROR(--INDEX('Loans'!$J:$J,ROW()),0)</f>
        <v/>
      </c>
      <c r="AF445">
        <f>TRIM(SUBSTITUTE(INDEX('Loans'!$K:$K,ROW())&amp;""," "," "))</f>
        <v/>
      </c>
      <c r="AG445">
        <f>IFERROR(--INDEX('Loans'!$L:$L,ROW()),0)</f>
        <v/>
      </c>
      <c r="AH445">
        <f>IF(ISNUMBER(INDEX('Loans'!$G:$G,ROW())),1,0)</f>
        <v/>
      </c>
    </row>
    <row r="446">
      <c r="A446">
        <f>TRIM(SUBSTITUTE(INDEX('Term investments'!$A:$A,ROW())&amp;""," "," "))</f>
        <v/>
      </c>
      <c r="B446">
        <f>TRIM(SUBSTITUTE(INDEX('Term investments'!$B:$B,ROW())&amp;""," "," "))</f>
        <v/>
      </c>
      <c r="C446">
        <f>TRIM(SUBSTITUTE(INDEX('Term investments'!$C:$C,ROW())&amp;""," "," "))</f>
        <v/>
      </c>
      <c r="D446">
        <f>IFERROR(--INDEX('Term investments'!$D:$D,ROW()),0)</f>
        <v/>
      </c>
      <c r="E446">
        <f>IFERROR(--INDEX('Term investments'!$E:$E,ROW()),0)</f>
        <v/>
      </c>
      <c r="F446">
        <f>IFERROR(--INDEX('Term investments'!$F:$F,ROW()),0)</f>
        <v/>
      </c>
      <c r="G446">
        <f>IFERROR(IF(--INDEX('Term investments'!$G:$G,ROW())&gt;=1,--INDEX('Term investments'!$G:$G,ROW())/100,--INDEX('Term investments'!$G:$G,ROW())),0)</f>
        <v/>
      </c>
      <c r="H446">
        <f>IFERROR(--INDEX('Term investments'!$H:$H,ROW()),0)</f>
        <v/>
      </c>
      <c r="I446">
        <f>IF(ISNUMBER(INDEX('Term investments'!$G:$G,ROW())),1,0)</f>
        <v/>
      </c>
      <c r="J446">
        <f>TRIM(SUBSTITUTE(INDEX('Call accounts and MMFs'!$A:$A,ROW())&amp;""," "," "))</f>
        <v/>
      </c>
      <c r="K446">
        <f>TRIM(SUBSTITUTE(INDEX('Call accounts and MMFs'!$B:$B,ROW())&amp;""," "," "))</f>
        <v/>
      </c>
      <c r="L446">
        <f>TRIM(SUBSTITUTE(INDEX('Call accounts and MMFs'!$C:$C,ROW())&amp;""," "," "))</f>
        <v/>
      </c>
      <c r="M446">
        <f>IFERROR(--INDEX('Call accounts and MMFs'!$D:$D,ROW()),0)</f>
        <v/>
      </c>
      <c r="N446">
        <f>IFERROR(IF(--INDEX('Call accounts and MMFs'!$E:$E,ROW())&gt;=1,--INDEX('Call accounts and MMFs'!$E:$E,ROW())/100,--INDEX('Call accounts and MMFs'!$E:$E,ROW())),0)</f>
        <v/>
      </c>
      <c r="O446">
        <f>IFERROR(--INDEX('Call accounts and MMFs'!$F:$F,ROW()),0)</f>
        <v/>
      </c>
      <c r="P446">
        <f>IF(ISNUMBER(INDEX('Call accounts and MMFs'!$E:$E,ROW())),1,0)</f>
        <v/>
      </c>
      <c r="Q446">
        <f>TRIM(SUBSTITUTE(INDEX('Pooled funds'!$B:$B,ROW())&amp;""," "," "))</f>
        <v/>
      </c>
      <c r="R446">
        <f>IFERROR(--INDEX('Pooled funds'!$C:$C,ROW()),0)</f>
        <v/>
      </c>
      <c r="S446">
        <f>IFERROR(--INDEX('Pooled funds'!$D:$D,ROW()),0)</f>
        <v/>
      </c>
      <c r="T446">
        <f>IFERROR(IF(--INDEX('Pooled funds'!$E:$E,ROW())&gt;=1,--INDEX('Pooled funds'!$E:$E,ROW())/100,--INDEX('Pooled funds'!$E:$E,ROW())),0)</f>
        <v/>
      </c>
      <c r="U446">
        <f>IF(ISNUMBER(INDEX('Pooled funds'!$E:$E,ROW())),1,0)</f>
        <v/>
      </c>
      <c r="V446">
        <f>TRIM(SUBSTITUTE(INDEX('Loans'!$A:$A,ROW())&amp;""," "," "))</f>
        <v/>
      </c>
      <c r="W446">
        <f>TRIM(SUBSTITUTE(INDEX('Loans'!$B:$B,ROW())&amp;""," "," "))</f>
        <v/>
      </c>
      <c r="X446">
        <f>TRIM(SUBSTITUTE(INDEX('Loans'!$C:$C,ROW())&amp;""," "," "))</f>
        <v/>
      </c>
      <c r="Y446">
        <f>IFERROR(--INDEX('Loans'!$D:$D,ROW()),0)</f>
        <v/>
      </c>
      <c r="Z446">
        <f>IFERROR(--INDEX('Loans'!$E:$E,ROW()),0)</f>
        <v/>
      </c>
      <c r="AA446">
        <f>IFERROR(--INDEX('Loans'!$F:$F,ROW()),0)</f>
        <v/>
      </c>
      <c r="AB446">
        <f>IFERROR(IF(--INDEX('Loans'!$G:$G,ROW())&gt;=1,--INDEX('Loans'!$G:$G,ROW())/100,--INDEX('Loans'!$G:$G,ROW())),0)</f>
        <v/>
      </c>
      <c r="AC446">
        <f>TRIM(SUBSTITUTE(INDEX('Loans'!$H:$H,ROW())&amp;""," "," "))</f>
        <v/>
      </c>
      <c r="AD446">
        <f>TRIM(SUBSTITUTE(INDEX('Loans'!$I:$I,ROW())&amp;""," "," "))</f>
        <v/>
      </c>
      <c r="AE446">
        <f>IFERROR(--INDEX('Loans'!$J:$J,ROW()),0)</f>
        <v/>
      </c>
      <c r="AF446">
        <f>TRIM(SUBSTITUTE(INDEX('Loans'!$K:$K,ROW())&amp;""," "," "))</f>
        <v/>
      </c>
      <c r="AG446">
        <f>IFERROR(--INDEX('Loans'!$L:$L,ROW()),0)</f>
        <v/>
      </c>
      <c r="AH446">
        <f>IF(ISNUMBER(INDEX('Loans'!$G:$G,ROW())),1,0)</f>
        <v/>
      </c>
    </row>
    <row r="447">
      <c r="A447">
        <f>TRIM(SUBSTITUTE(INDEX('Term investments'!$A:$A,ROW())&amp;""," "," "))</f>
        <v/>
      </c>
      <c r="B447">
        <f>TRIM(SUBSTITUTE(INDEX('Term investments'!$B:$B,ROW())&amp;""," "," "))</f>
        <v/>
      </c>
      <c r="C447">
        <f>TRIM(SUBSTITUTE(INDEX('Term investments'!$C:$C,ROW())&amp;""," "," "))</f>
        <v/>
      </c>
      <c r="D447">
        <f>IFERROR(--INDEX('Term investments'!$D:$D,ROW()),0)</f>
        <v/>
      </c>
      <c r="E447">
        <f>IFERROR(--INDEX('Term investments'!$E:$E,ROW()),0)</f>
        <v/>
      </c>
      <c r="F447">
        <f>IFERROR(--INDEX('Term investments'!$F:$F,ROW()),0)</f>
        <v/>
      </c>
      <c r="G447">
        <f>IFERROR(IF(--INDEX('Term investments'!$G:$G,ROW())&gt;=1,--INDEX('Term investments'!$G:$G,ROW())/100,--INDEX('Term investments'!$G:$G,ROW())),0)</f>
        <v/>
      </c>
      <c r="H447">
        <f>IFERROR(--INDEX('Term investments'!$H:$H,ROW()),0)</f>
        <v/>
      </c>
      <c r="I447">
        <f>IF(ISNUMBER(INDEX('Term investments'!$G:$G,ROW())),1,0)</f>
        <v/>
      </c>
      <c r="J447">
        <f>TRIM(SUBSTITUTE(INDEX('Call accounts and MMFs'!$A:$A,ROW())&amp;""," "," "))</f>
        <v/>
      </c>
      <c r="K447">
        <f>TRIM(SUBSTITUTE(INDEX('Call accounts and MMFs'!$B:$B,ROW())&amp;""," "," "))</f>
        <v/>
      </c>
      <c r="L447">
        <f>TRIM(SUBSTITUTE(INDEX('Call accounts and MMFs'!$C:$C,ROW())&amp;""," "," "))</f>
        <v/>
      </c>
      <c r="M447">
        <f>IFERROR(--INDEX('Call accounts and MMFs'!$D:$D,ROW()),0)</f>
        <v/>
      </c>
      <c r="N447">
        <f>IFERROR(IF(--INDEX('Call accounts and MMFs'!$E:$E,ROW())&gt;=1,--INDEX('Call accounts and MMFs'!$E:$E,ROW())/100,--INDEX('Call accounts and MMFs'!$E:$E,ROW())),0)</f>
        <v/>
      </c>
      <c r="O447">
        <f>IFERROR(--INDEX('Call accounts and MMFs'!$F:$F,ROW()),0)</f>
        <v/>
      </c>
      <c r="P447">
        <f>IF(ISNUMBER(INDEX('Call accounts and MMFs'!$E:$E,ROW())),1,0)</f>
        <v/>
      </c>
      <c r="Q447">
        <f>TRIM(SUBSTITUTE(INDEX('Pooled funds'!$B:$B,ROW())&amp;""," "," "))</f>
        <v/>
      </c>
      <c r="R447">
        <f>IFERROR(--INDEX('Pooled funds'!$C:$C,ROW()),0)</f>
        <v/>
      </c>
      <c r="S447">
        <f>IFERROR(--INDEX('Pooled funds'!$D:$D,ROW()),0)</f>
        <v/>
      </c>
      <c r="T447">
        <f>IFERROR(IF(--INDEX('Pooled funds'!$E:$E,ROW())&gt;=1,--INDEX('Pooled funds'!$E:$E,ROW())/100,--INDEX('Pooled funds'!$E:$E,ROW())),0)</f>
        <v/>
      </c>
      <c r="U447">
        <f>IF(ISNUMBER(INDEX('Pooled funds'!$E:$E,ROW())),1,0)</f>
        <v/>
      </c>
      <c r="V447">
        <f>TRIM(SUBSTITUTE(INDEX('Loans'!$A:$A,ROW())&amp;""," "," "))</f>
        <v/>
      </c>
      <c r="W447">
        <f>TRIM(SUBSTITUTE(INDEX('Loans'!$B:$B,ROW())&amp;""," "," "))</f>
        <v/>
      </c>
      <c r="X447">
        <f>TRIM(SUBSTITUTE(INDEX('Loans'!$C:$C,ROW())&amp;""," "," "))</f>
        <v/>
      </c>
      <c r="Y447">
        <f>IFERROR(--INDEX('Loans'!$D:$D,ROW()),0)</f>
        <v/>
      </c>
      <c r="Z447">
        <f>IFERROR(--INDEX('Loans'!$E:$E,ROW()),0)</f>
        <v/>
      </c>
      <c r="AA447">
        <f>IFERROR(--INDEX('Loans'!$F:$F,ROW()),0)</f>
        <v/>
      </c>
      <c r="AB447">
        <f>IFERROR(IF(--INDEX('Loans'!$G:$G,ROW())&gt;=1,--INDEX('Loans'!$G:$G,ROW())/100,--INDEX('Loans'!$G:$G,ROW())),0)</f>
        <v/>
      </c>
      <c r="AC447">
        <f>TRIM(SUBSTITUTE(INDEX('Loans'!$H:$H,ROW())&amp;""," "," "))</f>
        <v/>
      </c>
      <c r="AD447">
        <f>TRIM(SUBSTITUTE(INDEX('Loans'!$I:$I,ROW())&amp;""," "," "))</f>
        <v/>
      </c>
      <c r="AE447">
        <f>IFERROR(--INDEX('Loans'!$J:$J,ROW()),0)</f>
        <v/>
      </c>
      <c r="AF447">
        <f>TRIM(SUBSTITUTE(INDEX('Loans'!$K:$K,ROW())&amp;""," "," "))</f>
        <v/>
      </c>
      <c r="AG447">
        <f>IFERROR(--INDEX('Loans'!$L:$L,ROW()),0)</f>
        <v/>
      </c>
      <c r="AH447">
        <f>IF(ISNUMBER(INDEX('Loans'!$G:$G,ROW())),1,0)</f>
        <v/>
      </c>
    </row>
    <row r="448">
      <c r="A448">
        <f>TRIM(SUBSTITUTE(INDEX('Term investments'!$A:$A,ROW())&amp;""," "," "))</f>
        <v/>
      </c>
      <c r="B448">
        <f>TRIM(SUBSTITUTE(INDEX('Term investments'!$B:$B,ROW())&amp;""," "," "))</f>
        <v/>
      </c>
      <c r="C448">
        <f>TRIM(SUBSTITUTE(INDEX('Term investments'!$C:$C,ROW())&amp;""," "," "))</f>
        <v/>
      </c>
      <c r="D448">
        <f>IFERROR(--INDEX('Term investments'!$D:$D,ROW()),0)</f>
        <v/>
      </c>
      <c r="E448">
        <f>IFERROR(--INDEX('Term investments'!$E:$E,ROW()),0)</f>
        <v/>
      </c>
      <c r="F448">
        <f>IFERROR(--INDEX('Term investments'!$F:$F,ROW()),0)</f>
        <v/>
      </c>
      <c r="G448">
        <f>IFERROR(IF(--INDEX('Term investments'!$G:$G,ROW())&gt;=1,--INDEX('Term investments'!$G:$G,ROW())/100,--INDEX('Term investments'!$G:$G,ROW())),0)</f>
        <v/>
      </c>
      <c r="H448">
        <f>IFERROR(--INDEX('Term investments'!$H:$H,ROW()),0)</f>
        <v/>
      </c>
      <c r="I448">
        <f>IF(ISNUMBER(INDEX('Term investments'!$G:$G,ROW())),1,0)</f>
        <v/>
      </c>
      <c r="J448">
        <f>TRIM(SUBSTITUTE(INDEX('Call accounts and MMFs'!$A:$A,ROW())&amp;""," "," "))</f>
        <v/>
      </c>
      <c r="K448">
        <f>TRIM(SUBSTITUTE(INDEX('Call accounts and MMFs'!$B:$B,ROW())&amp;""," "," "))</f>
        <v/>
      </c>
      <c r="L448">
        <f>TRIM(SUBSTITUTE(INDEX('Call accounts and MMFs'!$C:$C,ROW())&amp;""," "," "))</f>
        <v/>
      </c>
      <c r="M448">
        <f>IFERROR(--INDEX('Call accounts and MMFs'!$D:$D,ROW()),0)</f>
        <v/>
      </c>
      <c r="N448">
        <f>IFERROR(IF(--INDEX('Call accounts and MMFs'!$E:$E,ROW())&gt;=1,--INDEX('Call accounts and MMFs'!$E:$E,ROW())/100,--INDEX('Call accounts and MMFs'!$E:$E,ROW())),0)</f>
        <v/>
      </c>
      <c r="O448">
        <f>IFERROR(--INDEX('Call accounts and MMFs'!$F:$F,ROW()),0)</f>
        <v/>
      </c>
      <c r="P448">
        <f>IF(ISNUMBER(INDEX('Call accounts and MMFs'!$E:$E,ROW())),1,0)</f>
        <v/>
      </c>
      <c r="Q448">
        <f>TRIM(SUBSTITUTE(INDEX('Pooled funds'!$B:$B,ROW())&amp;""," "," "))</f>
        <v/>
      </c>
      <c r="R448">
        <f>IFERROR(--INDEX('Pooled funds'!$C:$C,ROW()),0)</f>
        <v/>
      </c>
      <c r="S448">
        <f>IFERROR(--INDEX('Pooled funds'!$D:$D,ROW()),0)</f>
        <v/>
      </c>
      <c r="T448">
        <f>IFERROR(IF(--INDEX('Pooled funds'!$E:$E,ROW())&gt;=1,--INDEX('Pooled funds'!$E:$E,ROW())/100,--INDEX('Pooled funds'!$E:$E,ROW())),0)</f>
        <v/>
      </c>
      <c r="U448">
        <f>IF(ISNUMBER(INDEX('Pooled funds'!$E:$E,ROW())),1,0)</f>
        <v/>
      </c>
      <c r="V448">
        <f>TRIM(SUBSTITUTE(INDEX('Loans'!$A:$A,ROW())&amp;""," "," "))</f>
        <v/>
      </c>
      <c r="W448">
        <f>TRIM(SUBSTITUTE(INDEX('Loans'!$B:$B,ROW())&amp;""," "," "))</f>
        <v/>
      </c>
      <c r="X448">
        <f>TRIM(SUBSTITUTE(INDEX('Loans'!$C:$C,ROW())&amp;""," "," "))</f>
        <v/>
      </c>
      <c r="Y448">
        <f>IFERROR(--INDEX('Loans'!$D:$D,ROW()),0)</f>
        <v/>
      </c>
      <c r="Z448">
        <f>IFERROR(--INDEX('Loans'!$E:$E,ROW()),0)</f>
        <v/>
      </c>
      <c r="AA448">
        <f>IFERROR(--INDEX('Loans'!$F:$F,ROW()),0)</f>
        <v/>
      </c>
      <c r="AB448">
        <f>IFERROR(IF(--INDEX('Loans'!$G:$G,ROW())&gt;=1,--INDEX('Loans'!$G:$G,ROW())/100,--INDEX('Loans'!$G:$G,ROW())),0)</f>
        <v/>
      </c>
      <c r="AC448">
        <f>TRIM(SUBSTITUTE(INDEX('Loans'!$H:$H,ROW())&amp;""," "," "))</f>
        <v/>
      </c>
      <c r="AD448">
        <f>TRIM(SUBSTITUTE(INDEX('Loans'!$I:$I,ROW())&amp;""," "," "))</f>
        <v/>
      </c>
      <c r="AE448">
        <f>IFERROR(--INDEX('Loans'!$J:$J,ROW()),0)</f>
        <v/>
      </c>
      <c r="AF448">
        <f>TRIM(SUBSTITUTE(INDEX('Loans'!$K:$K,ROW())&amp;""," "," "))</f>
        <v/>
      </c>
      <c r="AG448">
        <f>IFERROR(--INDEX('Loans'!$L:$L,ROW()),0)</f>
        <v/>
      </c>
      <c r="AH448">
        <f>IF(ISNUMBER(INDEX('Loans'!$G:$G,ROW())),1,0)</f>
        <v/>
      </c>
    </row>
    <row r="449">
      <c r="A449">
        <f>TRIM(SUBSTITUTE(INDEX('Term investments'!$A:$A,ROW())&amp;""," "," "))</f>
        <v/>
      </c>
      <c r="B449">
        <f>TRIM(SUBSTITUTE(INDEX('Term investments'!$B:$B,ROW())&amp;""," "," "))</f>
        <v/>
      </c>
      <c r="C449">
        <f>TRIM(SUBSTITUTE(INDEX('Term investments'!$C:$C,ROW())&amp;""," "," "))</f>
        <v/>
      </c>
      <c r="D449">
        <f>IFERROR(--INDEX('Term investments'!$D:$D,ROW()),0)</f>
        <v/>
      </c>
      <c r="E449">
        <f>IFERROR(--INDEX('Term investments'!$E:$E,ROW()),0)</f>
        <v/>
      </c>
      <c r="F449">
        <f>IFERROR(--INDEX('Term investments'!$F:$F,ROW()),0)</f>
        <v/>
      </c>
      <c r="G449">
        <f>IFERROR(IF(--INDEX('Term investments'!$G:$G,ROW())&gt;=1,--INDEX('Term investments'!$G:$G,ROW())/100,--INDEX('Term investments'!$G:$G,ROW())),0)</f>
        <v/>
      </c>
      <c r="H449">
        <f>IFERROR(--INDEX('Term investments'!$H:$H,ROW()),0)</f>
        <v/>
      </c>
      <c r="I449">
        <f>IF(ISNUMBER(INDEX('Term investments'!$G:$G,ROW())),1,0)</f>
        <v/>
      </c>
      <c r="J449">
        <f>TRIM(SUBSTITUTE(INDEX('Call accounts and MMFs'!$A:$A,ROW())&amp;""," "," "))</f>
        <v/>
      </c>
      <c r="K449">
        <f>TRIM(SUBSTITUTE(INDEX('Call accounts and MMFs'!$B:$B,ROW())&amp;""," "," "))</f>
        <v/>
      </c>
      <c r="L449">
        <f>TRIM(SUBSTITUTE(INDEX('Call accounts and MMFs'!$C:$C,ROW())&amp;""," "," "))</f>
        <v/>
      </c>
      <c r="M449">
        <f>IFERROR(--INDEX('Call accounts and MMFs'!$D:$D,ROW()),0)</f>
        <v/>
      </c>
      <c r="N449">
        <f>IFERROR(IF(--INDEX('Call accounts and MMFs'!$E:$E,ROW())&gt;=1,--INDEX('Call accounts and MMFs'!$E:$E,ROW())/100,--INDEX('Call accounts and MMFs'!$E:$E,ROW())),0)</f>
        <v/>
      </c>
      <c r="O449">
        <f>IFERROR(--INDEX('Call accounts and MMFs'!$F:$F,ROW()),0)</f>
        <v/>
      </c>
      <c r="P449">
        <f>IF(ISNUMBER(INDEX('Call accounts and MMFs'!$E:$E,ROW())),1,0)</f>
        <v/>
      </c>
      <c r="Q449">
        <f>TRIM(SUBSTITUTE(INDEX('Pooled funds'!$B:$B,ROW())&amp;""," "," "))</f>
        <v/>
      </c>
      <c r="R449">
        <f>IFERROR(--INDEX('Pooled funds'!$C:$C,ROW()),0)</f>
        <v/>
      </c>
      <c r="S449">
        <f>IFERROR(--INDEX('Pooled funds'!$D:$D,ROW()),0)</f>
        <v/>
      </c>
      <c r="T449">
        <f>IFERROR(IF(--INDEX('Pooled funds'!$E:$E,ROW())&gt;=1,--INDEX('Pooled funds'!$E:$E,ROW())/100,--INDEX('Pooled funds'!$E:$E,ROW())),0)</f>
        <v/>
      </c>
      <c r="U449">
        <f>IF(ISNUMBER(INDEX('Pooled funds'!$E:$E,ROW())),1,0)</f>
        <v/>
      </c>
      <c r="V449">
        <f>TRIM(SUBSTITUTE(INDEX('Loans'!$A:$A,ROW())&amp;""," "," "))</f>
        <v/>
      </c>
      <c r="W449">
        <f>TRIM(SUBSTITUTE(INDEX('Loans'!$B:$B,ROW())&amp;""," "," "))</f>
        <v/>
      </c>
      <c r="X449">
        <f>TRIM(SUBSTITUTE(INDEX('Loans'!$C:$C,ROW())&amp;""," "," "))</f>
        <v/>
      </c>
      <c r="Y449">
        <f>IFERROR(--INDEX('Loans'!$D:$D,ROW()),0)</f>
        <v/>
      </c>
      <c r="Z449">
        <f>IFERROR(--INDEX('Loans'!$E:$E,ROW()),0)</f>
        <v/>
      </c>
      <c r="AA449">
        <f>IFERROR(--INDEX('Loans'!$F:$F,ROW()),0)</f>
        <v/>
      </c>
      <c r="AB449">
        <f>IFERROR(IF(--INDEX('Loans'!$G:$G,ROW())&gt;=1,--INDEX('Loans'!$G:$G,ROW())/100,--INDEX('Loans'!$G:$G,ROW())),0)</f>
        <v/>
      </c>
      <c r="AC449">
        <f>TRIM(SUBSTITUTE(INDEX('Loans'!$H:$H,ROW())&amp;""," "," "))</f>
        <v/>
      </c>
      <c r="AD449">
        <f>TRIM(SUBSTITUTE(INDEX('Loans'!$I:$I,ROW())&amp;""," "," "))</f>
        <v/>
      </c>
      <c r="AE449">
        <f>IFERROR(--INDEX('Loans'!$J:$J,ROW()),0)</f>
        <v/>
      </c>
      <c r="AF449">
        <f>TRIM(SUBSTITUTE(INDEX('Loans'!$K:$K,ROW())&amp;""," "," "))</f>
        <v/>
      </c>
      <c r="AG449">
        <f>IFERROR(--INDEX('Loans'!$L:$L,ROW()),0)</f>
        <v/>
      </c>
      <c r="AH449">
        <f>IF(ISNUMBER(INDEX('Loans'!$G:$G,ROW())),1,0)</f>
        <v/>
      </c>
    </row>
    <row r="450">
      <c r="A450">
        <f>TRIM(SUBSTITUTE(INDEX('Term investments'!$A:$A,ROW())&amp;""," "," "))</f>
        <v/>
      </c>
      <c r="B450">
        <f>TRIM(SUBSTITUTE(INDEX('Term investments'!$B:$B,ROW())&amp;""," "," "))</f>
        <v/>
      </c>
      <c r="C450">
        <f>TRIM(SUBSTITUTE(INDEX('Term investments'!$C:$C,ROW())&amp;""," "," "))</f>
        <v/>
      </c>
      <c r="D450">
        <f>IFERROR(--INDEX('Term investments'!$D:$D,ROW()),0)</f>
        <v/>
      </c>
      <c r="E450">
        <f>IFERROR(--INDEX('Term investments'!$E:$E,ROW()),0)</f>
        <v/>
      </c>
      <c r="F450">
        <f>IFERROR(--INDEX('Term investments'!$F:$F,ROW()),0)</f>
        <v/>
      </c>
      <c r="G450">
        <f>IFERROR(IF(--INDEX('Term investments'!$G:$G,ROW())&gt;=1,--INDEX('Term investments'!$G:$G,ROW())/100,--INDEX('Term investments'!$G:$G,ROW())),0)</f>
        <v/>
      </c>
      <c r="H450">
        <f>IFERROR(--INDEX('Term investments'!$H:$H,ROW()),0)</f>
        <v/>
      </c>
      <c r="I450">
        <f>IF(ISNUMBER(INDEX('Term investments'!$G:$G,ROW())),1,0)</f>
        <v/>
      </c>
      <c r="J450">
        <f>TRIM(SUBSTITUTE(INDEX('Call accounts and MMFs'!$A:$A,ROW())&amp;""," "," "))</f>
        <v/>
      </c>
      <c r="K450">
        <f>TRIM(SUBSTITUTE(INDEX('Call accounts and MMFs'!$B:$B,ROW())&amp;""," "," "))</f>
        <v/>
      </c>
      <c r="L450">
        <f>TRIM(SUBSTITUTE(INDEX('Call accounts and MMFs'!$C:$C,ROW())&amp;""," "," "))</f>
        <v/>
      </c>
      <c r="M450">
        <f>IFERROR(--INDEX('Call accounts and MMFs'!$D:$D,ROW()),0)</f>
        <v/>
      </c>
      <c r="N450">
        <f>IFERROR(IF(--INDEX('Call accounts and MMFs'!$E:$E,ROW())&gt;=1,--INDEX('Call accounts and MMFs'!$E:$E,ROW())/100,--INDEX('Call accounts and MMFs'!$E:$E,ROW())),0)</f>
        <v/>
      </c>
      <c r="O450">
        <f>IFERROR(--INDEX('Call accounts and MMFs'!$F:$F,ROW()),0)</f>
        <v/>
      </c>
      <c r="P450">
        <f>IF(ISNUMBER(INDEX('Call accounts and MMFs'!$E:$E,ROW())),1,0)</f>
        <v/>
      </c>
      <c r="Q450">
        <f>TRIM(SUBSTITUTE(INDEX('Pooled funds'!$B:$B,ROW())&amp;""," "," "))</f>
        <v/>
      </c>
      <c r="R450">
        <f>IFERROR(--INDEX('Pooled funds'!$C:$C,ROW()),0)</f>
        <v/>
      </c>
      <c r="S450">
        <f>IFERROR(--INDEX('Pooled funds'!$D:$D,ROW()),0)</f>
        <v/>
      </c>
      <c r="T450">
        <f>IFERROR(IF(--INDEX('Pooled funds'!$E:$E,ROW())&gt;=1,--INDEX('Pooled funds'!$E:$E,ROW())/100,--INDEX('Pooled funds'!$E:$E,ROW())),0)</f>
        <v/>
      </c>
      <c r="U450">
        <f>IF(ISNUMBER(INDEX('Pooled funds'!$E:$E,ROW())),1,0)</f>
        <v/>
      </c>
      <c r="V450">
        <f>TRIM(SUBSTITUTE(INDEX('Loans'!$A:$A,ROW())&amp;""," "," "))</f>
        <v/>
      </c>
      <c r="W450">
        <f>TRIM(SUBSTITUTE(INDEX('Loans'!$B:$B,ROW())&amp;""," "," "))</f>
        <v/>
      </c>
      <c r="X450">
        <f>TRIM(SUBSTITUTE(INDEX('Loans'!$C:$C,ROW())&amp;""," "," "))</f>
        <v/>
      </c>
      <c r="Y450">
        <f>IFERROR(--INDEX('Loans'!$D:$D,ROW()),0)</f>
        <v/>
      </c>
      <c r="Z450">
        <f>IFERROR(--INDEX('Loans'!$E:$E,ROW()),0)</f>
        <v/>
      </c>
      <c r="AA450">
        <f>IFERROR(--INDEX('Loans'!$F:$F,ROW()),0)</f>
        <v/>
      </c>
      <c r="AB450">
        <f>IFERROR(IF(--INDEX('Loans'!$G:$G,ROW())&gt;=1,--INDEX('Loans'!$G:$G,ROW())/100,--INDEX('Loans'!$G:$G,ROW())),0)</f>
        <v/>
      </c>
      <c r="AC450">
        <f>TRIM(SUBSTITUTE(INDEX('Loans'!$H:$H,ROW())&amp;""," "," "))</f>
        <v/>
      </c>
      <c r="AD450">
        <f>TRIM(SUBSTITUTE(INDEX('Loans'!$I:$I,ROW())&amp;""," "," "))</f>
        <v/>
      </c>
      <c r="AE450">
        <f>IFERROR(--INDEX('Loans'!$J:$J,ROW()),0)</f>
        <v/>
      </c>
      <c r="AF450">
        <f>TRIM(SUBSTITUTE(INDEX('Loans'!$K:$K,ROW())&amp;""," "," "))</f>
        <v/>
      </c>
      <c r="AG450">
        <f>IFERROR(--INDEX('Loans'!$L:$L,ROW()),0)</f>
        <v/>
      </c>
      <c r="AH450">
        <f>IF(ISNUMBER(INDEX('Loans'!$G:$G,ROW())),1,0)</f>
        <v/>
      </c>
    </row>
    <row r="451">
      <c r="A451">
        <f>TRIM(SUBSTITUTE(INDEX('Term investments'!$A:$A,ROW())&amp;""," "," "))</f>
        <v/>
      </c>
      <c r="B451">
        <f>TRIM(SUBSTITUTE(INDEX('Term investments'!$B:$B,ROW())&amp;""," "," "))</f>
        <v/>
      </c>
      <c r="C451">
        <f>TRIM(SUBSTITUTE(INDEX('Term investments'!$C:$C,ROW())&amp;""," "," "))</f>
        <v/>
      </c>
      <c r="D451">
        <f>IFERROR(--INDEX('Term investments'!$D:$D,ROW()),0)</f>
        <v/>
      </c>
      <c r="E451">
        <f>IFERROR(--INDEX('Term investments'!$E:$E,ROW()),0)</f>
        <v/>
      </c>
      <c r="F451">
        <f>IFERROR(--INDEX('Term investments'!$F:$F,ROW()),0)</f>
        <v/>
      </c>
      <c r="G451">
        <f>IFERROR(IF(--INDEX('Term investments'!$G:$G,ROW())&gt;=1,--INDEX('Term investments'!$G:$G,ROW())/100,--INDEX('Term investments'!$G:$G,ROW())),0)</f>
        <v/>
      </c>
      <c r="H451">
        <f>IFERROR(--INDEX('Term investments'!$H:$H,ROW()),0)</f>
        <v/>
      </c>
      <c r="I451">
        <f>IF(ISNUMBER(INDEX('Term investments'!$G:$G,ROW())),1,0)</f>
        <v/>
      </c>
      <c r="J451">
        <f>TRIM(SUBSTITUTE(INDEX('Call accounts and MMFs'!$A:$A,ROW())&amp;""," "," "))</f>
        <v/>
      </c>
      <c r="K451">
        <f>TRIM(SUBSTITUTE(INDEX('Call accounts and MMFs'!$B:$B,ROW())&amp;""," "," "))</f>
        <v/>
      </c>
      <c r="L451">
        <f>TRIM(SUBSTITUTE(INDEX('Call accounts and MMFs'!$C:$C,ROW())&amp;""," "," "))</f>
        <v/>
      </c>
      <c r="M451">
        <f>IFERROR(--INDEX('Call accounts and MMFs'!$D:$D,ROW()),0)</f>
        <v/>
      </c>
      <c r="N451">
        <f>IFERROR(IF(--INDEX('Call accounts and MMFs'!$E:$E,ROW())&gt;=1,--INDEX('Call accounts and MMFs'!$E:$E,ROW())/100,--INDEX('Call accounts and MMFs'!$E:$E,ROW())),0)</f>
        <v/>
      </c>
      <c r="O451">
        <f>IFERROR(--INDEX('Call accounts and MMFs'!$F:$F,ROW()),0)</f>
        <v/>
      </c>
      <c r="P451">
        <f>IF(ISNUMBER(INDEX('Call accounts and MMFs'!$E:$E,ROW())),1,0)</f>
        <v/>
      </c>
      <c r="Q451">
        <f>TRIM(SUBSTITUTE(INDEX('Pooled funds'!$B:$B,ROW())&amp;""," "," "))</f>
        <v/>
      </c>
      <c r="R451">
        <f>IFERROR(--INDEX('Pooled funds'!$C:$C,ROW()),0)</f>
        <v/>
      </c>
      <c r="S451">
        <f>IFERROR(--INDEX('Pooled funds'!$D:$D,ROW()),0)</f>
        <v/>
      </c>
      <c r="T451">
        <f>IFERROR(IF(--INDEX('Pooled funds'!$E:$E,ROW())&gt;=1,--INDEX('Pooled funds'!$E:$E,ROW())/100,--INDEX('Pooled funds'!$E:$E,ROW())),0)</f>
        <v/>
      </c>
      <c r="U451">
        <f>IF(ISNUMBER(INDEX('Pooled funds'!$E:$E,ROW())),1,0)</f>
        <v/>
      </c>
      <c r="V451">
        <f>TRIM(SUBSTITUTE(INDEX('Loans'!$A:$A,ROW())&amp;""," "," "))</f>
        <v/>
      </c>
      <c r="W451">
        <f>TRIM(SUBSTITUTE(INDEX('Loans'!$B:$B,ROW())&amp;""," "," "))</f>
        <v/>
      </c>
      <c r="X451">
        <f>TRIM(SUBSTITUTE(INDEX('Loans'!$C:$C,ROW())&amp;""," "," "))</f>
        <v/>
      </c>
      <c r="Y451">
        <f>IFERROR(--INDEX('Loans'!$D:$D,ROW()),0)</f>
        <v/>
      </c>
      <c r="Z451">
        <f>IFERROR(--INDEX('Loans'!$E:$E,ROW()),0)</f>
        <v/>
      </c>
      <c r="AA451">
        <f>IFERROR(--INDEX('Loans'!$F:$F,ROW()),0)</f>
        <v/>
      </c>
      <c r="AB451">
        <f>IFERROR(IF(--INDEX('Loans'!$G:$G,ROW())&gt;=1,--INDEX('Loans'!$G:$G,ROW())/100,--INDEX('Loans'!$G:$G,ROW())),0)</f>
        <v/>
      </c>
      <c r="AC451">
        <f>TRIM(SUBSTITUTE(INDEX('Loans'!$H:$H,ROW())&amp;""," "," "))</f>
        <v/>
      </c>
      <c r="AD451">
        <f>TRIM(SUBSTITUTE(INDEX('Loans'!$I:$I,ROW())&amp;""," "," "))</f>
        <v/>
      </c>
      <c r="AE451">
        <f>IFERROR(--INDEX('Loans'!$J:$J,ROW()),0)</f>
        <v/>
      </c>
      <c r="AF451">
        <f>TRIM(SUBSTITUTE(INDEX('Loans'!$K:$K,ROW())&amp;""," "," "))</f>
        <v/>
      </c>
      <c r="AG451">
        <f>IFERROR(--INDEX('Loans'!$L:$L,ROW()),0)</f>
        <v/>
      </c>
      <c r="AH451">
        <f>IF(ISNUMBER(INDEX('Loans'!$G:$G,ROW())),1,0)</f>
        <v/>
      </c>
    </row>
    <row r="452">
      <c r="A452">
        <f>TRIM(SUBSTITUTE(INDEX('Term investments'!$A:$A,ROW())&amp;""," "," "))</f>
        <v/>
      </c>
      <c r="B452">
        <f>TRIM(SUBSTITUTE(INDEX('Term investments'!$B:$B,ROW())&amp;""," "," "))</f>
        <v/>
      </c>
      <c r="C452">
        <f>TRIM(SUBSTITUTE(INDEX('Term investments'!$C:$C,ROW())&amp;""," "," "))</f>
        <v/>
      </c>
      <c r="D452">
        <f>IFERROR(--INDEX('Term investments'!$D:$D,ROW()),0)</f>
        <v/>
      </c>
      <c r="E452">
        <f>IFERROR(--INDEX('Term investments'!$E:$E,ROW()),0)</f>
        <v/>
      </c>
      <c r="F452">
        <f>IFERROR(--INDEX('Term investments'!$F:$F,ROW()),0)</f>
        <v/>
      </c>
      <c r="G452">
        <f>IFERROR(IF(--INDEX('Term investments'!$G:$G,ROW())&gt;=1,--INDEX('Term investments'!$G:$G,ROW())/100,--INDEX('Term investments'!$G:$G,ROW())),0)</f>
        <v/>
      </c>
      <c r="H452">
        <f>IFERROR(--INDEX('Term investments'!$H:$H,ROW()),0)</f>
        <v/>
      </c>
      <c r="I452">
        <f>IF(ISNUMBER(INDEX('Term investments'!$G:$G,ROW())),1,0)</f>
        <v/>
      </c>
      <c r="J452">
        <f>TRIM(SUBSTITUTE(INDEX('Call accounts and MMFs'!$A:$A,ROW())&amp;""," "," "))</f>
        <v/>
      </c>
      <c r="K452">
        <f>TRIM(SUBSTITUTE(INDEX('Call accounts and MMFs'!$B:$B,ROW())&amp;""," "," "))</f>
        <v/>
      </c>
      <c r="L452">
        <f>TRIM(SUBSTITUTE(INDEX('Call accounts and MMFs'!$C:$C,ROW())&amp;""," "," "))</f>
        <v/>
      </c>
      <c r="M452">
        <f>IFERROR(--INDEX('Call accounts and MMFs'!$D:$D,ROW()),0)</f>
        <v/>
      </c>
      <c r="N452">
        <f>IFERROR(IF(--INDEX('Call accounts and MMFs'!$E:$E,ROW())&gt;=1,--INDEX('Call accounts and MMFs'!$E:$E,ROW())/100,--INDEX('Call accounts and MMFs'!$E:$E,ROW())),0)</f>
        <v/>
      </c>
      <c r="O452">
        <f>IFERROR(--INDEX('Call accounts and MMFs'!$F:$F,ROW()),0)</f>
        <v/>
      </c>
      <c r="P452">
        <f>IF(ISNUMBER(INDEX('Call accounts and MMFs'!$E:$E,ROW())),1,0)</f>
        <v/>
      </c>
      <c r="Q452">
        <f>TRIM(SUBSTITUTE(INDEX('Pooled funds'!$B:$B,ROW())&amp;""," "," "))</f>
        <v/>
      </c>
      <c r="R452">
        <f>IFERROR(--INDEX('Pooled funds'!$C:$C,ROW()),0)</f>
        <v/>
      </c>
      <c r="S452">
        <f>IFERROR(--INDEX('Pooled funds'!$D:$D,ROW()),0)</f>
        <v/>
      </c>
      <c r="T452">
        <f>IFERROR(IF(--INDEX('Pooled funds'!$E:$E,ROW())&gt;=1,--INDEX('Pooled funds'!$E:$E,ROW())/100,--INDEX('Pooled funds'!$E:$E,ROW())),0)</f>
        <v/>
      </c>
      <c r="U452">
        <f>IF(ISNUMBER(INDEX('Pooled funds'!$E:$E,ROW())),1,0)</f>
        <v/>
      </c>
      <c r="V452">
        <f>TRIM(SUBSTITUTE(INDEX('Loans'!$A:$A,ROW())&amp;""," "," "))</f>
        <v/>
      </c>
      <c r="W452">
        <f>TRIM(SUBSTITUTE(INDEX('Loans'!$B:$B,ROW())&amp;""," "," "))</f>
        <v/>
      </c>
      <c r="X452">
        <f>TRIM(SUBSTITUTE(INDEX('Loans'!$C:$C,ROW())&amp;""," "," "))</f>
        <v/>
      </c>
      <c r="Y452">
        <f>IFERROR(--INDEX('Loans'!$D:$D,ROW()),0)</f>
        <v/>
      </c>
      <c r="Z452">
        <f>IFERROR(--INDEX('Loans'!$E:$E,ROW()),0)</f>
        <v/>
      </c>
      <c r="AA452">
        <f>IFERROR(--INDEX('Loans'!$F:$F,ROW()),0)</f>
        <v/>
      </c>
      <c r="AB452">
        <f>IFERROR(IF(--INDEX('Loans'!$G:$G,ROW())&gt;=1,--INDEX('Loans'!$G:$G,ROW())/100,--INDEX('Loans'!$G:$G,ROW())),0)</f>
        <v/>
      </c>
      <c r="AC452">
        <f>TRIM(SUBSTITUTE(INDEX('Loans'!$H:$H,ROW())&amp;""," "," "))</f>
        <v/>
      </c>
      <c r="AD452">
        <f>TRIM(SUBSTITUTE(INDEX('Loans'!$I:$I,ROW())&amp;""," "," "))</f>
        <v/>
      </c>
      <c r="AE452">
        <f>IFERROR(--INDEX('Loans'!$J:$J,ROW()),0)</f>
        <v/>
      </c>
      <c r="AF452">
        <f>TRIM(SUBSTITUTE(INDEX('Loans'!$K:$K,ROW())&amp;""," "," "))</f>
        <v/>
      </c>
      <c r="AG452">
        <f>IFERROR(--INDEX('Loans'!$L:$L,ROW()),0)</f>
        <v/>
      </c>
      <c r="AH452">
        <f>IF(ISNUMBER(INDEX('Loans'!$G:$G,ROW())),1,0)</f>
        <v/>
      </c>
    </row>
    <row r="453">
      <c r="A453">
        <f>TRIM(SUBSTITUTE(INDEX('Term investments'!$A:$A,ROW())&amp;""," "," "))</f>
        <v/>
      </c>
      <c r="B453">
        <f>TRIM(SUBSTITUTE(INDEX('Term investments'!$B:$B,ROW())&amp;""," "," "))</f>
        <v/>
      </c>
      <c r="C453">
        <f>TRIM(SUBSTITUTE(INDEX('Term investments'!$C:$C,ROW())&amp;""," "," "))</f>
        <v/>
      </c>
      <c r="D453">
        <f>IFERROR(--INDEX('Term investments'!$D:$D,ROW()),0)</f>
        <v/>
      </c>
      <c r="E453">
        <f>IFERROR(--INDEX('Term investments'!$E:$E,ROW()),0)</f>
        <v/>
      </c>
      <c r="F453">
        <f>IFERROR(--INDEX('Term investments'!$F:$F,ROW()),0)</f>
        <v/>
      </c>
      <c r="G453">
        <f>IFERROR(IF(--INDEX('Term investments'!$G:$G,ROW())&gt;=1,--INDEX('Term investments'!$G:$G,ROW())/100,--INDEX('Term investments'!$G:$G,ROW())),0)</f>
        <v/>
      </c>
      <c r="H453">
        <f>IFERROR(--INDEX('Term investments'!$H:$H,ROW()),0)</f>
        <v/>
      </c>
      <c r="I453">
        <f>IF(ISNUMBER(INDEX('Term investments'!$G:$G,ROW())),1,0)</f>
        <v/>
      </c>
      <c r="J453">
        <f>TRIM(SUBSTITUTE(INDEX('Call accounts and MMFs'!$A:$A,ROW())&amp;""," "," "))</f>
        <v/>
      </c>
      <c r="K453">
        <f>TRIM(SUBSTITUTE(INDEX('Call accounts and MMFs'!$B:$B,ROW())&amp;""," "," "))</f>
        <v/>
      </c>
      <c r="L453">
        <f>TRIM(SUBSTITUTE(INDEX('Call accounts and MMFs'!$C:$C,ROW())&amp;""," "," "))</f>
        <v/>
      </c>
      <c r="M453">
        <f>IFERROR(--INDEX('Call accounts and MMFs'!$D:$D,ROW()),0)</f>
        <v/>
      </c>
      <c r="N453">
        <f>IFERROR(IF(--INDEX('Call accounts and MMFs'!$E:$E,ROW())&gt;=1,--INDEX('Call accounts and MMFs'!$E:$E,ROW())/100,--INDEX('Call accounts and MMFs'!$E:$E,ROW())),0)</f>
        <v/>
      </c>
      <c r="O453">
        <f>IFERROR(--INDEX('Call accounts and MMFs'!$F:$F,ROW()),0)</f>
        <v/>
      </c>
      <c r="P453">
        <f>IF(ISNUMBER(INDEX('Call accounts and MMFs'!$E:$E,ROW())),1,0)</f>
        <v/>
      </c>
      <c r="Q453">
        <f>TRIM(SUBSTITUTE(INDEX('Pooled funds'!$B:$B,ROW())&amp;""," "," "))</f>
        <v/>
      </c>
      <c r="R453">
        <f>IFERROR(--INDEX('Pooled funds'!$C:$C,ROW()),0)</f>
        <v/>
      </c>
      <c r="S453">
        <f>IFERROR(--INDEX('Pooled funds'!$D:$D,ROW()),0)</f>
        <v/>
      </c>
      <c r="T453">
        <f>IFERROR(IF(--INDEX('Pooled funds'!$E:$E,ROW())&gt;=1,--INDEX('Pooled funds'!$E:$E,ROW())/100,--INDEX('Pooled funds'!$E:$E,ROW())),0)</f>
        <v/>
      </c>
      <c r="U453">
        <f>IF(ISNUMBER(INDEX('Pooled funds'!$E:$E,ROW())),1,0)</f>
        <v/>
      </c>
      <c r="V453">
        <f>TRIM(SUBSTITUTE(INDEX('Loans'!$A:$A,ROW())&amp;""," "," "))</f>
        <v/>
      </c>
      <c r="W453">
        <f>TRIM(SUBSTITUTE(INDEX('Loans'!$B:$B,ROW())&amp;""," "," "))</f>
        <v/>
      </c>
      <c r="X453">
        <f>TRIM(SUBSTITUTE(INDEX('Loans'!$C:$C,ROW())&amp;""," "," "))</f>
        <v/>
      </c>
      <c r="Y453">
        <f>IFERROR(--INDEX('Loans'!$D:$D,ROW()),0)</f>
        <v/>
      </c>
      <c r="Z453">
        <f>IFERROR(--INDEX('Loans'!$E:$E,ROW()),0)</f>
        <v/>
      </c>
      <c r="AA453">
        <f>IFERROR(--INDEX('Loans'!$F:$F,ROW()),0)</f>
        <v/>
      </c>
      <c r="AB453">
        <f>IFERROR(IF(--INDEX('Loans'!$G:$G,ROW())&gt;=1,--INDEX('Loans'!$G:$G,ROW())/100,--INDEX('Loans'!$G:$G,ROW())),0)</f>
        <v/>
      </c>
      <c r="AC453">
        <f>TRIM(SUBSTITUTE(INDEX('Loans'!$H:$H,ROW())&amp;""," "," "))</f>
        <v/>
      </c>
      <c r="AD453">
        <f>TRIM(SUBSTITUTE(INDEX('Loans'!$I:$I,ROW())&amp;""," "," "))</f>
        <v/>
      </c>
      <c r="AE453">
        <f>IFERROR(--INDEX('Loans'!$J:$J,ROW()),0)</f>
        <v/>
      </c>
      <c r="AF453">
        <f>TRIM(SUBSTITUTE(INDEX('Loans'!$K:$K,ROW())&amp;""," "," "))</f>
        <v/>
      </c>
      <c r="AG453">
        <f>IFERROR(--INDEX('Loans'!$L:$L,ROW()),0)</f>
        <v/>
      </c>
      <c r="AH453">
        <f>IF(ISNUMBER(INDEX('Loans'!$G:$G,ROW())),1,0)</f>
        <v/>
      </c>
    </row>
    <row r="454">
      <c r="A454">
        <f>TRIM(SUBSTITUTE(INDEX('Term investments'!$A:$A,ROW())&amp;""," "," "))</f>
        <v/>
      </c>
      <c r="B454">
        <f>TRIM(SUBSTITUTE(INDEX('Term investments'!$B:$B,ROW())&amp;""," "," "))</f>
        <v/>
      </c>
      <c r="C454">
        <f>TRIM(SUBSTITUTE(INDEX('Term investments'!$C:$C,ROW())&amp;""," "," "))</f>
        <v/>
      </c>
      <c r="D454">
        <f>IFERROR(--INDEX('Term investments'!$D:$D,ROW()),0)</f>
        <v/>
      </c>
      <c r="E454">
        <f>IFERROR(--INDEX('Term investments'!$E:$E,ROW()),0)</f>
        <v/>
      </c>
      <c r="F454">
        <f>IFERROR(--INDEX('Term investments'!$F:$F,ROW()),0)</f>
        <v/>
      </c>
      <c r="G454">
        <f>IFERROR(IF(--INDEX('Term investments'!$G:$G,ROW())&gt;=1,--INDEX('Term investments'!$G:$G,ROW())/100,--INDEX('Term investments'!$G:$G,ROW())),0)</f>
        <v/>
      </c>
      <c r="H454">
        <f>IFERROR(--INDEX('Term investments'!$H:$H,ROW()),0)</f>
        <v/>
      </c>
      <c r="I454">
        <f>IF(ISNUMBER(INDEX('Term investments'!$G:$G,ROW())),1,0)</f>
        <v/>
      </c>
      <c r="J454">
        <f>TRIM(SUBSTITUTE(INDEX('Call accounts and MMFs'!$A:$A,ROW())&amp;""," "," "))</f>
        <v/>
      </c>
      <c r="K454">
        <f>TRIM(SUBSTITUTE(INDEX('Call accounts and MMFs'!$B:$B,ROW())&amp;""," "," "))</f>
        <v/>
      </c>
      <c r="L454">
        <f>TRIM(SUBSTITUTE(INDEX('Call accounts and MMFs'!$C:$C,ROW())&amp;""," "," "))</f>
        <v/>
      </c>
      <c r="M454">
        <f>IFERROR(--INDEX('Call accounts and MMFs'!$D:$D,ROW()),0)</f>
        <v/>
      </c>
      <c r="N454">
        <f>IFERROR(IF(--INDEX('Call accounts and MMFs'!$E:$E,ROW())&gt;=1,--INDEX('Call accounts and MMFs'!$E:$E,ROW())/100,--INDEX('Call accounts and MMFs'!$E:$E,ROW())),0)</f>
        <v/>
      </c>
      <c r="O454">
        <f>IFERROR(--INDEX('Call accounts and MMFs'!$F:$F,ROW()),0)</f>
        <v/>
      </c>
      <c r="P454">
        <f>IF(ISNUMBER(INDEX('Call accounts and MMFs'!$E:$E,ROW())),1,0)</f>
        <v/>
      </c>
      <c r="Q454">
        <f>TRIM(SUBSTITUTE(INDEX('Pooled funds'!$B:$B,ROW())&amp;""," "," "))</f>
        <v/>
      </c>
      <c r="R454">
        <f>IFERROR(--INDEX('Pooled funds'!$C:$C,ROW()),0)</f>
        <v/>
      </c>
      <c r="S454">
        <f>IFERROR(--INDEX('Pooled funds'!$D:$D,ROW()),0)</f>
        <v/>
      </c>
      <c r="T454">
        <f>IFERROR(IF(--INDEX('Pooled funds'!$E:$E,ROW())&gt;=1,--INDEX('Pooled funds'!$E:$E,ROW())/100,--INDEX('Pooled funds'!$E:$E,ROW())),0)</f>
        <v/>
      </c>
      <c r="U454">
        <f>IF(ISNUMBER(INDEX('Pooled funds'!$E:$E,ROW())),1,0)</f>
        <v/>
      </c>
      <c r="V454">
        <f>TRIM(SUBSTITUTE(INDEX('Loans'!$A:$A,ROW())&amp;""," "," "))</f>
        <v/>
      </c>
      <c r="W454">
        <f>TRIM(SUBSTITUTE(INDEX('Loans'!$B:$B,ROW())&amp;""," "," "))</f>
        <v/>
      </c>
      <c r="X454">
        <f>TRIM(SUBSTITUTE(INDEX('Loans'!$C:$C,ROW())&amp;""," "," "))</f>
        <v/>
      </c>
      <c r="Y454">
        <f>IFERROR(--INDEX('Loans'!$D:$D,ROW()),0)</f>
        <v/>
      </c>
      <c r="Z454">
        <f>IFERROR(--INDEX('Loans'!$E:$E,ROW()),0)</f>
        <v/>
      </c>
      <c r="AA454">
        <f>IFERROR(--INDEX('Loans'!$F:$F,ROW()),0)</f>
        <v/>
      </c>
      <c r="AB454">
        <f>IFERROR(IF(--INDEX('Loans'!$G:$G,ROW())&gt;=1,--INDEX('Loans'!$G:$G,ROW())/100,--INDEX('Loans'!$G:$G,ROW())),0)</f>
        <v/>
      </c>
      <c r="AC454">
        <f>TRIM(SUBSTITUTE(INDEX('Loans'!$H:$H,ROW())&amp;""," "," "))</f>
        <v/>
      </c>
      <c r="AD454">
        <f>TRIM(SUBSTITUTE(INDEX('Loans'!$I:$I,ROW())&amp;""," "," "))</f>
        <v/>
      </c>
      <c r="AE454">
        <f>IFERROR(--INDEX('Loans'!$J:$J,ROW()),0)</f>
        <v/>
      </c>
      <c r="AF454">
        <f>TRIM(SUBSTITUTE(INDEX('Loans'!$K:$K,ROW())&amp;""," "," "))</f>
        <v/>
      </c>
      <c r="AG454">
        <f>IFERROR(--INDEX('Loans'!$L:$L,ROW()),0)</f>
        <v/>
      </c>
      <c r="AH454">
        <f>IF(ISNUMBER(INDEX('Loans'!$G:$G,ROW())),1,0)</f>
        <v/>
      </c>
    </row>
    <row r="455">
      <c r="A455">
        <f>TRIM(SUBSTITUTE(INDEX('Term investments'!$A:$A,ROW())&amp;""," "," "))</f>
        <v/>
      </c>
      <c r="B455">
        <f>TRIM(SUBSTITUTE(INDEX('Term investments'!$B:$B,ROW())&amp;""," "," "))</f>
        <v/>
      </c>
      <c r="C455">
        <f>TRIM(SUBSTITUTE(INDEX('Term investments'!$C:$C,ROW())&amp;""," "," "))</f>
        <v/>
      </c>
      <c r="D455">
        <f>IFERROR(--INDEX('Term investments'!$D:$D,ROW()),0)</f>
        <v/>
      </c>
      <c r="E455">
        <f>IFERROR(--INDEX('Term investments'!$E:$E,ROW()),0)</f>
        <v/>
      </c>
      <c r="F455">
        <f>IFERROR(--INDEX('Term investments'!$F:$F,ROW()),0)</f>
        <v/>
      </c>
      <c r="G455">
        <f>IFERROR(IF(--INDEX('Term investments'!$G:$G,ROW())&gt;=1,--INDEX('Term investments'!$G:$G,ROW())/100,--INDEX('Term investments'!$G:$G,ROW())),0)</f>
        <v/>
      </c>
      <c r="H455">
        <f>IFERROR(--INDEX('Term investments'!$H:$H,ROW()),0)</f>
        <v/>
      </c>
      <c r="I455">
        <f>IF(ISNUMBER(INDEX('Term investments'!$G:$G,ROW())),1,0)</f>
        <v/>
      </c>
      <c r="J455">
        <f>TRIM(SUBSTITUTE(INDEX('Call accounts and MMFs'!$A:$A,ROW())&amp;""," "," "))</f>
        <v/>
      </c>
      <c r="K455">
        <f>TRIM(SUBSTITUTE(INDEX('Call accounts and MMFs'!$B:$B,ROW())&amp;""," "," "))</f>
        <v/>
      </c>
      <c r="L455">
        <f>TRIM(SUBSTITUTE(INDEX('Call accounts and MMFs'!$C:$C,ROW())&amp;""," "," "))</f>
        <v/>
      </c>
      <c r="M455">
        <f>IFERROR(--INDEX('Call accounts and MMFs'!$D:$D,ROW()),0)</f>
        <v/>
      </c>
      <c r="N455">
        <f>IFERROR(IF(--INDEX('Call accounts and MMFs'!$E:$E,ROW())&gt;=1,--INDEX('Call accounts and MMFs'!$E:$E,ROW())/100,--INDEX('Call accounts and MMFs'!$E:$E,ROW())),0)</f>
        <v/>
      </c>
      <c r="O455">
        <f>IFERROR(--INDEX('Call accounts and MMFs'!$F:$F,ROW()),0)</f>
        <v/>
      </c>
      <c r="P455">
        <f>IF(ISNUMBER(INDEX('Call accounts and MMFs'!$E:$E,ROW())),1,0)</f>
        <v/>
      </c>
      <c r="Q455">
        <f>TRIM(SUBSTITUTE(INDEX('Pooled funds'!$B:$B,ROW())&amp;""," "," "))</f>
        <v/>
      </c>
      <c r="R455">
        <f>IFERROR(--INDEX('Pooled funds'!$C:$C,ROW()),0)</f>
        <v/>
      </c>
      <c r="S455">
        <f>IFERROR(--INDEX('Pooled funds'!$D:$D,ROW()),0)</f>
        <v/>
      </c>
      <c r="T455">
        <f>IFERROR(IF(--INDEX('Pooled funds'!$E:$E,ROW())&gt;=1,--INDEX('Pooled funds'!$E:$E,ROW())/100,--INDEX('Pooled funds'!$E:$E,ROW())),0)</f>
        <v/>
      </c>
      <c r="U455">
        <f>IF(ISNUMBER(INDEX('Pooled funds'!$E:$E,ROW())),1,0)</f>
        <v/>
      </c>
      <c r="V455">
        <f>TRIM(SUBSTITUTE(INDEX('Loans'!$A:$A,ROW())&amp;""," "," "))</f>
        <v/>
      </c>
      <c r="W455">
        <f>TRIM(SUBSTITUTE(INDEX('Loans'!$B:$B,ROW())&amp;""," "," "))</f>
        <v/>
      </c>
      <c r="X455">
        <f>TRIM(SUBSTITUTE(INDEX('Loans'!$C:$C,ROW())&amp;""," "," "))</f>
        <v/>
      </c>
      <c r="Y455">
        <f>IFERROR(--INDEX('Loans'!$D:$D,ROW()),0)</f>
        <v/>
      </c>
      <c r="Z455">
        <f>IFERROR(--INDEX('Loans'!$E:$E,ROW()),0)</f>
        <v/>
      </c>
      <c r="AA455">
        <f>IFERROR(--INDEX('Loans'!$F:$F,ROW()),0)</f>
        <v/>
      </c>
      <c r="AB455">
        <f>IFERROR(IF(--INDEX('Loans'!$G:$G,ROW())&gt;=1,--INDEX('Loans'!$G:$G,ROW())/100,--INDEX('Loans'!$G:$G,ROW())),0)</f>
        <v/>
      </c>
      <c r="AC455">
        <f>TRIM(SUBSTITUTE(INDEX('Loans'!$H:$H,ROW())&amp;""," "," "))</f>
        <v/>
      </c>
      <c r="AD455">
        <f>TRIM(SUBSTITUTE(INDEX('Loans'!$I:$I,ROW())&amp;""," "," "))</f>
        <v/>
      </c>
      <c r="AE455">
        <f>IFERROR(--INDEX('Loans'!$J:$J,ROW()),0)</f>
        <v/>
      </c>
      <c r="AF455">
        <f>TRIM(SUBSTITUTE(INDEX('Loans'!$K:$K,ROW())&amp;""," "," "))</f>
        <v/>
      </c>
      <c r="AG455">
        <f>IFERROR(--INDEX('Loans'!$L:$L,ROW()),0)</f>
        <v/>
      </c>
      <c r="AH455">
        <f>IF(ISNUMBER(INDEX('Loans'!$G:$G,ROW())),1,0)</f>
        <v/>
      </c>
    </row>
    <row r="456">
      <c r="A456">
        <f>TRIM(SUBSTITUTE(INDEX('Term investments'!$A:$A,ROW())&amp;""," "," "))</f>
        <v/>
      </c>
      <c r="B456">
        <f>TRIM(SUBSTITUTE(INDEX('Term investments'!$B:$B,ROW())&amp;""," "," "))</f>
        <v/>
      </c>
      <c r="C456">
        <f>TRIM(SUBSTITUTE(INDEX('Term investments'!$C:$C,ROW())&amp;""," "," "))</f>
        <v/>
      </c>
      <c r="D456">
        <f>IFERROR(--INDEX('Term investments'!$D:$D,ROW()),0)</f>
        <v/>
      </c>
      <c r="E456">
        <f>IFERROR(--INDEX('Term investments'!$E:$E,ROW()),0)</f>
        <v/>
      </c>
      <c r="F456">
        <f>IFERROR(--INDEX('Term investments'!$F:$F,ROW()),0)</f>
        <v/>
      </c>
      <c r="G456">
        <f>IFERROR(IF(--INDEX('Term investments'!$G:$G,ROW())&gt;=1,--INDEX('Term investments'!$G:$G,ROW())/100,--INDEX('Term investments'!$G:$G,ROW())),0)</f>
        <v/>
      </c>
      <c r="H456">
        <f>IFERROR(--INDEX('Term investments'!$H:$H,ROW()),0)</f>
        <v/>
      </c>
      <c r="I456">
        <f>IF(ISNUMBER(INDEX('Term investments'!$G:$G,ROW())),1,0)</f>
        <v/>
      </c>
      <c r="J456">
        <f>TRIM(SUBSTITUTE(INDEX('Call accounts and MMFs'!$A:$A,ROW())&amp;""," "," "))</f>
        <v/>
      </c>
      <c r="K456">
        <f>TRIM(SUBSTITUTE(INDEX('Call accounts and MMFs'!$B:$B,ROW())&amp;""," "," "))</f>
        <v/>
      </c>
      <c r="L456">
        <f>TRIM(SUBSTITUTE(INDEX('Call accounts and MMFs'!$C:$C,ROW())&amp;""," "," "))</f>
        <v/>
      </c>
      <c r="M456">
        <f>IFERROR(--INDEX('Call accounts and MMFs'!$D:$D,ROW()),0)</f>
        <v/>
      </c>
      <c r="N456">
        <f>IFERROR(IF(--INDEX('Call accounts and MMFs'!$E:$E,ROW())&gt;=1,--INDEX('Call accounts and MMFs'!$E:$E,ROW())/100,--INDEX('Call accounts and MMFs'!$E:$E,ROW())),0)</f>
        <v/>
      </c>
      <c r="O456">
        <f>IFERROR(--INDEX('Call accounts and MMFs'!$F:$F,ROW()),0)</f>
        <v/>
      </c>
      <c r="P456">
        <f>IF(ISNUMBER(INDEX('Call accounts and MMFs'!$E:$E,ROW())),1,0)</f>
        <v/>
      </c>
      <c r="Q456">
        <f>TRIM(SUBSTITUTE(INDEX('Pooled funds'!$B:$B,ROW())&amp;""," "," "))</f>
        <v/>
      </c>
      <c r="R456">
        <f>IFERROR(--INDEX('Pooled funds'!$C:$C,ROW()),0)</f>
        <v/>
      </c>
      <c r="S456">
        <f>IFERROR(--INDEX('Pooled funds'!$D:$D,ROW()),0)</f>
        <v/>
      </c>
      <c r="T456">
        <f>IFERROR(IF(--INDEX('Pooled funds'!$E:$E,ROW())&gt;=1,--INDEX('Pooled funds'!$E:$E,ROW())/100,--INDEX('Pooled funds'!$E:$E,ROW())),0)</f>
        <v/>
      </c>
      <c r="U456">
        <f>IF(ISNUMBER(INDEX('Pooled funds'!$E:$E,ROW())),1,0)</f>
        <v/>
      </c>
      <c r="V456">
        <f>TRIM(SUBSTITUTE(INDEX('Loans'!$A:$A,ROW())&amp;""," "," "))</f>
        <v/>
      </c>
      <c r="W456">
        <f>TRIM(SUBSTITUTE(INDEX('Loans'!$B:$B,ROW())&amp;""," "," "))</f>
        <v/>
      </c>
      <c r="X456">
        <f>TRIM(SUBSTITUTE(INDEX('Loans'!$C:$C,ROW())&amp;""," "," "))</f>
        <v/>
      </c>
      <c r="Y456">
        <f>IFERROR(--INDEX('Loans'!$D:$D,ROW()),0)</f>
        <v/>
      </c>
      <c r="Z456">
        <f>IFERROR(--INDEX('Loans'!$E:$E,ROW()),0)</f>
        <v/>
      </c>
      <c r="AA456">
        <f>IFERROR(--INDEX('Loans'!$F:$F,ROW()),0)</f>
        <v/>
      </c>
      <c r="AB456">
        <f>IFERROR(IF(--INDEX('Loans'!$G:$G,ROW())&gt;=1,--INDEX('Loans'!$G:$G,ROW())/100,--INDEX('Loans'!$G:$G,ROW())),0)</f>
        <v/>
      </c>
      <c r="AC456">
        <f>TRIM(SUBSTITUTE(INDEX('Loans'!$H:$H,ROW())&amp;""," "," "))</f>
        <v/>
      </c>
      <c r="AD456">
        <f>TRIM(SUBSTITUTE(INDEX('Loans'!$I:$I,ROW())&amp;""," "," "))</f>
        <v/>
      </c>
      <c r="AE456">
        <f>IFERROR(--INDEX('Loans'!$J:$J,ROW()),0)</f>
        <v/>
      </c>
      <c r="AF456">
        <f>TRIM(SUBSTITUTE(INDEX('Loans'!$K:$K,ROW())&amp;""," "," "))</f>
        <v/>
      </c>
      <c r="AG456">
        <f>IFERROR(--INDEX('Loans'!$L:$L,ROW()),0)</f>
        <v/>
      </c>
      <c r="AH456">
        <f>IF(ISNUMBER(INDEX('Loans'!$G:$G,ROW())),1,0)</f>
        <v/>
      </c>
    </row>
    <row r="457">
      <c r="A457">
        <f>TRIM(SUBSTITUTE(INDEX('Term investments'!$A:$A,ROW())&amp;""," "," "))</f>
        <v/>
      </c>
      <c r="B457">
        <f>TRIM(SUBSTITUTE(INDEX('Term investments'!$B:$B,ROW())&amp;""," "," "))</f>
        <v/>
      </c>
      <c r="C457">
        <f>TRIM(SUBSTITUTE(INDEX('Term investments'!$C:$C,ROW())&amp;""," "," "))</f>
        <v/>
      </c>
      <c r="D457">
        <f>IFERROR(--INDEX('Term investments'!$D:$D,ROW()),0)</f>
        <v/>
      </c>
      <c r="E457">
        <f>IFERROR(--INDEX('Term investments'!$E:$E,ROW()),0)</f>
        <v/>
      </c>
      <c r="F457">
        <f>IFERROR(--INDEX('Term investments'!$F:$F,ROW()),0)</f>
        <v/>
      </c>
      <c r="G457">
        <f>IFERROR(IF(--INDEX('Term investments'!$G:$G,ROW())&gt;=1,--INDEX('Term investments'!$G:$G,ROW())/100,--INDEX('Term investments'!$G:$G,ROW())),0)</f>
        <v/>
      </c>
      <c r="H457">
        <f>IFERROR(--INDEX('Term investments'!$H:$H,ROW()),0)</f>
        <v/>
      </c>
      <c r="I457">
        <f>IF(ISNUMBER(INDEX('Term investments'!$G:$G,ROW())),1,0)</f>
        <v/>
      </c>
      <c r="J457">
        <f>TRIM(SUBSTITUTE(INDEX('Call accounts and MMFs'!$A:$A,ROW())&amp;""," "," "))</f>
        <v/>
      </c>
      <c r="K457">
        <f>TRIM(SUBSTITUTE(INDEX('Call accounts and MMFs'!$B:$B,ROW())&amp;""," "," "))</f>
        <v/>
      </c>
      <c r="L457">
        <f>TRIM(SUBSTITUTE(INDEX('Call accounts and MMFs'!$C:$C,ROW())&amp;""," "," "))</f>
        <v/>
      </c>
      <c r="M457">
        <f>IFERROR(--INDEX('Call accounts and MMFs'!$D:$D,ROW()),0)</f>
        <v/>
      </c>
      <c r="N457">
        <f>IFERROR(IF(--INDEX('Call accounts and MMFs'!$E:$E,ROW())&gt;=1,--INDEX('Call accounts and MMFs'!$E:$E,ROW())/100,--INDEX('Call accounts and MMFs'!$E:$E,ROW())),0)</f>
        <v/>
      </c>
      <c r="O457">
        <f>IFERROR(--INDEX('Call accounts and MMFs'!$F:$F,ROW()),0)</f>
        <v/>
      </c>
      <c r="P457">
        <f>IF(ISNUMBER(INDEX('Call accounts and MMFs'!$E:$E,ROW())),1,0)</f>
        <v/>
      </c>
      <c r="Q457">
        <f>TRIM(SUBSTITUTE(INDEX('Pooled funds'!$B:$B,ROW())&amp;""," "," "))</f>
        <v/>
      </c>
      <c r="R457">
        <f>IFERROR(--INDEX('Pooled funds'!$C:$C,ROW()),0)</f>
        <v/>
      </c>
      <c r="S457">
        <f>IFERROR(--INDEX('Pooled funds'!$D:$D,ROW()),0)</f>
        <v/>
      </c>
      <c r="T457">
        <f>IFERROR(IF(--INDEX('Pooled funds'!$E:$E,ROW())&gt;=1,--INDEX('Pooled funds'!$E:$E,ROW())/100,--INDEX('Pooled funds'!$E:$E,ROW())),0)</f>
        <v/>
      </c>
      <c r="U457">
        <f>IF(ISNUMBER(INDEX('Pooled funds'!$E:$E,ROW())),1,0)</f>
        <v/>
      </c>
      <c r="V457">
        <f>TRIM(SUBSTITUTE(INDEX('Loans'!$A:$A,ROW())&amp;""," "," "))</f>
        <v/>
      </c>
      <c r="W457">
        <f>TRIM(SUBSTITUTE(INDEX('Loans'!$B:$B,ROW())&amp;""," "," "))</f>
        <v/>
      </c>
      <c r="X457">
        <f>TRIM(SUBSTITUTE(INDEX('Loans'!$C:$C,ROW())&amp;""," "," "))</f>
        <v/>
      </c>
      <c r="Y457">
        <f>IFERROR(--INDEX('Loans'!$D:$D,ROW()),0)</f>
        <v/>
      </c>
      <c r="Z457">
        <f>IFERROR(--INDEX('Loans'!$E:$E,ROW()),0)</f>
        <v/>
      </c>
      <c r="AA457">
        <f>IFERROR(--INDEX('Loans'!$F:$F,ROW()),0)</f>
        <v/>
      </c>
      <c r="AB457">
        <f>IFERROR(IF(--INDEX('Loans'!$G:$G,ROW())&gt;=1,--INDEX('Loans'!$G:$G,ROW())/100,--INDEX('Loans'!$G:$G,ROW())),0)</f>
        <v/>
      </c>
      <c r="AC457">
        <f>TRIM(SUBSTITUTE(INDEX('Loans'!$H:$H,ROW())&amp;""," "," "))</f>
        <v/>
      </c>
      <c r="AD457">
        <f>TRIM(SUBSTITUTE(INDEX('Loans'!$I:$I,ROW())&amp;""," "," "))</f>
        <v/>
      </c>
      <c r="AE457">
        <f>IFERROR(--INDEX('Loans'!$J:$J,ROW()),0)</f>
        <v/>
      </c>
      <c r="AF457">
        <f>TRIM(SUBSTITUTE(INDEX('Loans'!$K:$K,ROW())&amp;""," "," "))</f>
        <v/>
      </c>
      <c r="AG457">
        <f>IFERROR(--INDEX('Loans'!$L:$L,ROW()),0)</f>
        <v/>
      </c>
      <c r="AH457">
        <f>IF(ISNUMBER(INDEX('Loans'!$G:$G,ROW())),1,0)</f>
        <v/>
      </c>
    </row>
    <row r="458">
      <c r="A458">
        <f>TRIM(SUBSTITUTE(INDEX('Term investments'!$A:$A,ROW())&amp;""," "," "))</f>
        <v/>
      </c>
      <c r="B458">
        <f>TRIM(SUBSTITUTE(INDEX('Term investments'!$B:$B,ROW())&amp;""," "," "))</f>
        <v/>
      </c>
      <c r="C458">
        <f>TRIM(SUBSTITUTE(INDEX('Term investments'!$C:$C,ROW())&amp;""," "," "))</f>
        <v/>
      </c>
      <c r="D458">
        <f>IFERROR(--INDEX('Term investments'!$D:$D,ROW()),0)</f>
        <v/>
      </c>
      <c r="E458">
        <f>IFERROR(--INDEX('Term investments'!$E:$E,ROW()),0)</f>
        <v/>
      </c>
      <c r="F458">
        <f>IFERROR(--INDEX('Term investments'!$F:$F,ROW()),0)</f>
        <v/>
      </c>
      <c r="G458">
        <f>IFERROR(IF(--INDEX('Term investments'!$G:$G,ROW())&gt;=1,--INDEX('Term investments'!$G:$G,ROW())/100,--INDEX('Term investments'!$G:$G,ROW())),0)</f>
        <v/>
      </c>
      <c r="H458">
        <f>IFERROR(--INDEX('Term investments'!$H:$H,ROW()),0)</f>
        <v/>
      </c>
      <c r="I458">
        <f>IF(ISNUMBER(INDEX('Term investments'!$G:$G,ROW())),1,0)</f>
        <v/>
      </c>
      <c r="J458">
        <f>TRIM(SUBSTITUTE(INDEX('Call accounts and MMFs'!$A:$A,ROW())&amp;""," "," "))</f>
        <v/>
      </c>
      <c r="K458">
        <f>TRIM(SUBSTITUTE(INDEX('Call accounts and MMFs'!$B:$B,ROW())&amp;""," "," "))</f>
        <v/>
      </c>
      <c r="L458">
        <f>TRIM(SUBSTITUTE(INDEX('Call accounts and MMFs'!$C:$C,ROW())&amp;""," "," "))</f>
        <v/>
      </c>
      <c r="M458">
        <f>IFERROR(--INDEX('Call accounts and MMFs'!$D:$D,ROW()),0)</f>
        <v/>
      </c>
      <c r="N458">
        <f>IFERROR(IF(--INDEX('Call accounts and MMFs'!$E:$E,ROW())&gt;=1,--INDEX('Call accounts and MMFs'!$E:$E,ROW())/100,--INDEX('Call accounts and MMFs'!$E:$E,ROW())),0)</f>
        <v/>
      </c>
      <c r="O458">
        <f>IFERROR(--INDEX('Call accounts and MMFs'!$F:$F,ROW()),0)</f>
        <v/>
      </c>
      <c r="P458">
        <f>IF(ISNUMBER(INDEX('Call accounts and MMFs'!$E:$E,ROW())),1,0)</f>
        <v/>
      </c>
      <c r="Q458">
        <f>TRIM(SUBSTITUTE(INDEX('Pooled funds'!$B:$B,ROW())&amp;""," "," "))</f>
        <v/>
      </c>
      <c r="R458">
        <f>IFERROR(--INDEX('Pooled funds'!$C:$C,ROW()),0)</f>
        <v/>
      </c>
      <c r="S458">
        <f>IFERROR(--INDEX('Pooled funds'!$D:$D,ROW()),0)</f>
        <v/>
      </c>
      <c r="T458">
        <f>IFERROR(IF(--INDEX('Pooled funds'!$E:$E,ROW())&gt;=1,--INDEX('Pooled funds'!$E:$E,ROW())/100,--INDEX('Pooled funds'!$E:$E,ROW())),0)</f>
        <v/>
      </c>
      <c r="U458">
        <f>IF(ISNUMBER(INDEX('Pooled funds'!$E:$E,ROW())),1,0)</f>
        <v/>
      </c>
      <c r="V458">
        <f>TRIM(SUBSTITUTE(INDEX('Loans'!$A:$A,ROW())&amp;""," "," "))</f>
        <v/>
      </c>
      <c r="W458">
        <f>TRIM(SUBSTITUTE(INDEX('Loans'!$B:$B,ROW())&amp;""," "," "))</f>
        <v/>
      </c>
      <c r="X458">
        <f>TRIM(SUBSTITUTE(INDEX('Loans'!$C:$C,ROW())&amp;""," "," "))</f>
        <v/>
      </c>
      <c r="Y458">
        <f>IFERROR(--INDEX('Loans'!$D:$D,ROW()),0)</f>
        <v/>
      </c>
      <c r="Z458">
        <f>IFERROR(--INDEX('Loans'!$E:$E,ROW()),0)</f>
        <v/>
      </c>
      <c r="AA458">
        <f>IFERROR(--INDEX('Loans'!$F:$F,ROW()),0)</f>
        <v/>
      </c>
      <c r="AB458">
        <f>IFERROR(IF(--INDEX('Loans'!$G:$G,ROW())&gt;=1,--INDEX('Loans'!$G:$G,ROW())/100,--INDEX('Loans'!$G:$G,ROW())),0)</f>
        <v/>
      </c>
      <c r="AC458">
        <f>TRIM(SUBSTITUTE(INDEX('Loans'!$H:$H,ROW())&amp;""," "," "))</f>
        <v/>
      </c>
      <c r="AD458">
        <f>TRIM(SUBSTITUTE(INDEX('Loans'!$I:$I,ROW())&amp;""," "," "))</f>
        <v/>
      </c>
      <c r="AE458">
        <f>IFERROR(--INDEX('Loans'!$J:$J,ROW()),0)</f>
        <v/>
      </c>
      <c r="AF458">
        <f>TRIM(SUBSTITUTE(INDEX('Loans'!$K:$K,ROW())&amp;""," "," "))</f>
        <v/>
      </c>
      <c r="AG458">
        <f>IFERROR(--INDEX('Loans'!$L:$L,ROW()),0)</f>
        <v/>
      </c>
      <c r="AH458">
        <f>IF(ISNUMBER(INDEX('Loans'!$G:$G,ROW())),1,0)</f>
        <v/>
      </c>
    </row>
    <row r="459">
      <c r="A459">
        <f>TRIM(SUBSTITUTE(INDEX('Term investments'!$A:$A,ROW())&amp;""," "," "))</f>
        <v/>
      </c>
      <c r="B459">
        <f>TRIM(SUBSTITUTE(INDEX('Term investments'!$B:$B,ROW())&amp;""," "," "))</f>
        <v/>
      </c>
      <c r="C459">
        <f>TRIM(SUBSTITUTE(INDEX('Term investments'!$C:$C,ROW())&amp;""," "," "))</f>
        <v/>
      </c>
      <c r="D459">
        <f>IFERROR(--INDEX('Term investments'!$D:$D,ROW()),0)</f>
        <v/>
      </c>
      <c r="E459">
        <f>IFERROR(--INDEX('Term investments'!$E:$E,ROW()),0)</f>
        <v/>
      </c>
      <c r="F459">
        <f>IFERROR(--INDEX('Term investments'!$F:$F,ROW()),0)</f>
        <v/>
      </c>
      <c r="G459">
        <f>IFERROR(IF(--INDEX('Term investments'!$G:$G,ROW())&gt;=1,--INDEX('Term investments'!$G:$G,ROW())/100,--INDEX('Term investments'!$G:$G,ROW())),0)</f>
        <v/>
      </c>
      <c r="H459">
        <f>IFERROR(--INDEX('Term investments'!$H:$H,ROW()),0)</f>
        <v/>
      </c>
      <c r="I459">
        <f>IF(ISNUMBER(INDEX('Term investments'!$G:$G,ROW())),1,0)</f>
        <v/>
      </c>
      <c r="J459">
        <f>TRIM(SUBSTITUTE(INDEX('Call accounts and MMFs'!$A:$A,ROW())&amp;""," "," "))</f>
        <v/>
      </c>
      <c r="K459">
        <f>TRIM(SUBSTITUTE(INDEX('Call accounts and MMFs'!$B:$B,ROW())&amp;""," "," "))</f>
        <v/>
      </c>
      <c r="L459">
        <f>TRIM(SUBSTITUTE(INDEX('Call accounts and MMFs'!$C:$C,ROW())&amp;""," "," "))</f>
        <v/>
      </c>
      <c r="M459">
        <f>IFERROR(--INDEX('Call accounts and MMFs'!$D:$D,ROW()),0)</f>
        <v/>
      </c>
      <c r="N459">
        <f>IFERROR(IF(--INDEX('Call accounts and MMFs'!$E:$E,ROW())&gt;=1,--INDEX('Call accounts and MMFs'!$E:$E,ROW())/100,--INDEX('Call accounts and MMFs'!$E:$E,ROW())),0)</f>
        <v/>
      </c>
      <c r="O459">
        <f>IFERROR(--INDEX('Call accounts and MMFs'!$F:$F,ROW()),0)</f>
        <v/>
      </c>
      <c r="P459">
        <f>IF(ISNUMBER(INDEX('Call accounts and MMFs'!$E:$E,ROW())),1,0)</f>
        <v/>
      </c>
      <c r="Q459">
        <f>TRIM(SUBSTITUTE(INDEX('Pooled funds'!$B:$B,ROW())&amp;""," "," "))</f>
        <v/>
      </c>
      <c r="R459">
        <f>IFERROR(--INDEX('Pooled funds'!$C:$C,ROW()),0)</f>
        <v/>
      </c>
      <c r="S459">
        <f>IFERROR(--INDEX('Pooled funds'!$D:$D,ROW()),0)</f>
        <v/>
      </c>
      <c r="T459">
        <f>IFERROR(IF(--INDEX('Pooled funds'!$E:$E,ROW())&gt;=1,--INDEX('Pooled funds'!$E:$E,ROW())/100,--INDEX('Pooled funds'!$E:$E,ROW())),0)</f>
        <v/>
      </c>
      <c r="U459">
        <f>IF(ISNUMBER(INDEX('Pooled funds'!$E:$E,ROW())),1,0)</f>
        <v/>
      </c>
      <c r="V459">
        <f>TRIM(SUBSTITUTE(INDEX('Loans'!$A:$A,ROW())&amp;""," "," "))</f>
        <v/>
      </c>
      <c r="W459">
        <f>TRIM(SUBSTITUTE(INDEX('Loans'!$B:$B,ROW())&amp;""," "," "))</f>
        <v/>
      </c>
      <c r="X459">
        <f>TRIM(SUBSTITUTE(INDEX('Loans'!$C:$C,ROW())&amp;""," "," "))</f>
        <v/>
      </c>
      <c r="Y459">
        <f>IFERROR(--INDEX('Loans'!$D:$D,ROW()),0)</f>
        <v/>
      </c>
      <c r="Z459">
        <f>IFERROR(--INDEX('Loans'!$E:$E,ROW()),0)</f>
        <v/>
      </c>
      <c r="AA459">
        <f>IFERROR(--INDEX('Loans'!$F:$F,ROW()),0)</f>
        <v/>
      </c>
      <c r="AB459">
        <f>IFERROR(IF(--INDEX('Loans'!$G:$G,ROW())&gt;=1,--INDEX('Loans'!$G:$G,ROW())/100,--INDEX('Loans'!$G:$G,ROW())),0)</f>
        <v/>
      </c>
      <c r="AC459">
        <f>TRIM(SUBSTITUTE(INDEX('Loans'!$H:$H,ROW())&amp;""," "," "))</f>
        <v/>
      </c>
      <c r="AD459">
        <f>TRIM(SUBSTITUTE(INDEX('Loans'!$I:$I,ROW())&amp;""," "," "))</f>
        <v/>
      </c>
      <c r="AE459">
        <f>IFERROR(--INDEX('Loans'!$J:$J,ROW()),0)</f>
        <v/>
      </c>
      <c r="AF459">
        <f>TRIM(SUBSTITUTE(INDEX('Loans'!$K:$K,ROW())&amp;""," "," "))</f>
        <v/>
      </c>
      <c r="AG459">
        <f>IFERROR(--INDEX('Loans'!$L:$L,ROW()),0)</f>
        <v/>
      </c>
      <c r="AH459">
        <f>IF(ISNUMBER(INDEX('Loans'!$G:$G,ROW())),1,0)</f>
        <v/>
      </c>
    </row>
    <row r="460">
      <c r="A460">
        <f>TRIM(SUBSTITUTE(INDEX('Term investments'!$A:$A,ROW())&amp;""," "," "))</f>
        <v/>
      </c>
      <c r="B460">
        <f>TRIM(SUBSTITUTE(INDEX('Term investments'!$B:$B,ROW())&amp;""," "," "))</f>
        <v/>
      </c>
      <c r="C460">
        <f>TRIM(SUBSTITUTE(INDEX('Term investments'!$C:$C,ROW())&amp;""," "," "))</f>
        <v/>
      </c>
      <c r="D460">
        <f>IFERROR(--INDEX('Term investments'!$D:$D,ROW()),0)</f>
        <v/>
      </c>
      <c r="E460">
        <f>IFERROR(--INDEX('Term investments'!$E:$E,ROW()),0)</f>
        <v/>
      </c>
      <c r="F460">
        <f>IFERROR(--INDEX('Term investments'!$F:$F,ROW()),0)</f>
        <v/>
      </c>
      <c r="G460">
        <f>IFERROR(IF(--INDEX('Term investments'!$G:$G,ROW())&gt;=1,--INDEX('Term investments'!$G:$G,ROW())/100,--INDEX('Term investments'!$G:$G,ROW())),0)</f>
        <v/>
      </c>
      <c r="H460">
        <f>IFERROR(--INDEX('Term investments'!$H:$H,ROW()),0)</f>
        <v/>
      </c>
      <c r="I460">
        <f>IF(ISNUMBER(INDEX('Term investments'!$G:$G,ROW())),1,0)</f>
        <v/>
      </c>
      <c r="J460">
        <f>TRIM(SUBSTITUTE(INDEX('Call accounts and MMFs'!$A:$A,ROW())&amp;""," "," "))</f>
        <v/>
      </c>
      <c r="K460">
        <f>TRIM(SUBSTITUTE(INDEX('Call accounts and MMFs'!$B:$B,ROW())&amp;""," "," "))</f>
        <v/>
      </c>
      <c r="L460">
        <f>TRIM(SUBSTITUTE(INDEX('Call accounts and MMFs'!$C:$C,ROW())&amp;""," "," "))</f>
        <v/>
      </c>
      <c r="M460">
        <f>IFERROR(--INDEX('Call accounts and MMFs'!$D:$D,ROW()),0)</f>
        <v/>
      </c>
      <c r="N460">
        <f>IFERROR(IF(--INDEX('Call accounts and MMFs'!$E:$E,ROW())&gt;=1,--INDEX('Call accounts and MMFs'!$E:$E,ROW())/100,--INDEX('Call accounts and MMFs'!$E:$E,ROW())),0)</f>
        <v/>
      </c>
      <c r="O460">
        <f>IFERROR(--INDEX('Call accounts and MMFs'!$F:$F,ROW()),0)</f>
        <v/>
      </c>
      <c r="P460">
        <f>IF(ISNUMBER(INDEX('Call accounts and MMFs'!$E:$E,ROW())),1,0)</f>
        <v/>
      </c>
      <c r="Q460">
        <f>TRIM(SUBSTITUTE(INDEX('Pooled funds'!$B:$B,ROW())&amp;""," "," "))</f>
        <v/>
      </c>
      <c r="R460">
        <f>IFERROR(--INDEX('Pooled funds'!$C:$C,ROW()),0)</f>
        <v/>
      </c>
      <c r="S460">
        <f>IFERROR(--INDEX('Pooled funds'!$D:$D,ROW()),0)</f>
        <v/>
      </c>
      <c r="T460">
        <f>IFERROR(IF(--INDEX('Pooled funds'!$E:$E,ROW())&gt;=1,--INDEX('Pooled funds'!$E:$E,ROW())/100,--INDEX('Pooled funds'!$E:$E,ROW())),0)</f>
        <v/>
      </c>
      <c r="U460">
        <f>IF(ISNUMBER(INDEX('Pooled funds'!$E:$E,ROW())),1,0)</f>
        <v/>
      </c>
      <c r="V460">
        <f>TRIM(SUBSTITUTE(INDEX('Loans'!$A:$A,ROW())&amp;""," "," "))</f>
        <v/>
      </c>
      <c r="W460">
        <f>TRIM(SUBSTITUTE(INDEX('Loans'!$B:$B,ROW())&amp;""," "," "))</f>
        <v/>
      </c>
      <c r="X460">
        <f>TRIM(SUBSTITUTE(INDEX('Loans'!$C:$C,ROW())&amp;""," "," "))</f>
        <v/>
      </c>
      <c r="Y460">
        <f>IFERROR(--INDEX('Loans'!$D:$D,ROW()),0)</f>
        <v/>
      </c>
      <c r="Z460">
        <f>IFERROR(--INDEX('Loans'!$E:$E,ROW()),0)</f>
        <v/>
      </c>
      <c r="AA460">
        <f>IFERROR(--INDEX('Loans'!$F:$F,ROW()),0)</f>
        <v/>
      </c>
      <c r="AB460">
        <f>IFERROR(IF(--INDEX('Loans'!$G:$G,ROW())&gt;=1,--INDEX('Loans'!$G:$G,ROW())/100,--INDEX('Loans'!$G:$G,ROW())),0)</f>
        <v/>
      </c>
      <c r="AC460">
        <f>TRIM(SUBSTITUTE(INDEX('Loans'!$H:$H,ROW())&amp;""," "," "))</f>
        <v/>
      </c>
      <c r="AD460">
        <f>TRIM(SUBSTITUTE(INDEX('Loans'!$I:$I,ROW())&amp;""," "," "))</f>
        <v/>
      </c>
      <c r="AE460">
        <f>IFERROR(--INDEX('Loans'!$J:$J,ROW()),0)</f>
        <v/>
      </c>
      <c r="AF460">
        <f>TRIM(SUBSTITUTE(INDEX('Loans'!$K:$K,ROW())&amp;""," "," "))</f>
        <v/>
      </c>
      <c r="AG460">
        <f>IFERROR(--INDEX('Loans'!$L:$L,ROW()),0)</f>
        <v/>
      </c>
      <c r="AH460">
        <f>IF(ISNUMBER(INDEX('Loans'!$G:$G,ROW())),1,0)</f>
        <v/>
      </c>
    </row>
    <row r="461">
      <c r="A461">
        <f>TRIM(SUBSTITUTE(INDEX('Term investments'!$A:$A,ROW())&amp;""," "," "))</f>
        <v/>
      </c>
      <c r="B461">
        <f>TRIM(SUBSTITUTE(INDEX('Term investments'!$B:$B,ROW())&amp;""," "," "))</f>
        <v/>
      </c>
      <c r="C461">
        <f>TRIM(SUBSTITUTE(INDEX('Term investments'!$C:$C,ROW())&amp;""," "," "))</f>
        <v/>
      </c>
      <c r="D461">
        <f>IFERROR(--INDEX('Term investments'!$D:$D,ROW()),0)</f>
        <v/>
      </c>
      <c r="E461">
        <f>IFERROR(--INDEX('Term investments'!$E:$E,ROW()),0)</f>
        <v/>
      </c>
      <c r="F461">
        <f>IFERROR(--INDEX('Term investments'!$F:$F,ROW()),0)</f>
        <v/>
      </c>
      <c r="G461">
        <f>IFERROR(IF(--INDEX('Term investments'!$G:$G,ROW())&gt;=1,--INDEX('Term investments'!$G:$G,ROW())/100,--INDEX('Term investments'!$G:$G,ROW())),0)</f>
        <v/>
      </c>
      <c r="H461">
        <f>IFERROR(--INDEX('Term investments'!$H:$H,ROW()),0)</f>
        <v/>
      </c>
      <c r="I461">
        <f>IF(ISNUMBER(INDEX('Term investments'!$G:$G,ROW())),1,0)</f>
        <v/>
      </c>
      <c r="J461">
        <f>TRIM(SUBSTITUTE(INDEX('Call accounts and MMFs'!$A:$A,ROW())&amp;""," "," "))</f>
        <v/>
      </c>
      <c r="K461">
        <f>TRIM(SUBSTITUTE(INDEX('Call accounts and MMFs'!$B:$B,ROW())&amp;""," "," "))</f>
        <v/>
      </c>
      <c r="L461">
        <f>TRIM(SUBSTITUTE(INDEX('Call accounts and MMFs'!$C:$C,ROW())&amp;""," "," "))</f>
        <v/>
      </c>
      <c r="M461">
        <f>IFERROR(--INDEX('Call accounts and MMFs'!$D:$D,ROW()),0)</f>
        <v/>
      </c>
      <c r="N461">
        <f>IFERROR(IF(--INDEX('Call accounts and MMFs'!$E:$E,ROW())&gt;=1,--INDEX('Call accounts and MMFs'!$E:$E,ROW())/100,--INDEX('Call accounts and MMFs'!$E:$E,ROW())),0)</f>
        <v/>
      </c>
      <c r="O461">
        <f>IFERROR(--INDEX('Call accounts and MMFs'!$F:$F,ROW()),0)</f>
        <v/>
      </c>
      <c r="P461">
        <f>IF(ISNUMBER(INDEX('Call accounts and MMFs'!$E:$E,ROW())),1,0)</f>
        <v/>
      </c>
      <c r="Q461">
        <f>TRIM(SUBSTITUTE(INDEX('Pooled funds'!$B:$B,ROW())&amp;""," "," "))</f>
        <v/>
      </c>
      <c r="R461">
        <f>IFERROR(--INDEX('Pooled funds'!$C:$C,ROW()),0)</f>
        <v/>
      </c>
      <c r="S461">
        <f>IFERROR(--INDEX('Pooled funds'!$D:$D,ROW()),0)</f>
        <v/>
      </c>
      <c r="T461">
        <f>IFERROR(IF(--INDEX('Pooled funds'!$E:$E,ROW())&gt;=1,--INDEX('Pooled funds'!$E:$E,ROW())/100,--INDEX('Pooled funds'!$E:$E,ROW())),0)</f>
        <v/>
      </c>
      <c r="U461">
        <f>IF(ISNUMBER(INDEX('Pooled funds'!$E:$E,ROW())),1,0)</f>
        <v/>
      </c>
      <c r="V461">
        <f>TRIM(SUBSTITUTE(INDEX('Loans'!$A:$A,ROW())&amp;""," "," "))</f>
        <v/>
      </c>
      <c r="W461">
        <f>TRIM(SUBSTITUTE(INDEX('Loans'!$B:$B,ROW())&amp;""," "," "))</f>
        <v/>
      </c>
      <c r="X461">
        <f>TRIM(SUBSTITUTE(INDEX('Loans'!$C:$C,ROW())&amp;""," "," "))</f>
        <v/>
      </c>
      <c r="Y461">
        <f>IFERROR(--INDEX('Loans'!$D:$D,ROW()),0)</f>
        <v/>
      </c>
      <c r="Z461">
        <f>IFERROR(--INDEX('Loans'!$E:$E,ROW()),0)</f>
        <v/>
      </c>
      <c r="AA461">
        <f>IFERROR(--INDEX('Loans'!$F:$F,ROW()),0)</f>
        <v/>
      </c>
      <c r="AB461">
        <f>IFERROR(IF(--INDEX('Loans'!$G:$G,ROW())&gt;=1,--INDEX('Loans'!$G:$G,ROW())/100,--INDEX('Loans'!$G:$G,ROW())),0)</f>
        <v/>
      </c>
      <c r="AC461">
        <f>TRIM(SUBSTITUTE(INDEX('Loans'!$H:$H,ROW())&amp;""," "," "))</f>
        <v/>
      </c>
      <c r="AD461">
        <f>TRIM(SUBSTITUTE(INDEX('Loans'!$I:$I,ROW())&amp;""," "," "))</f>
        <v/>
      </c>
      <c r="AE461">
        <f>IFERROR(--INDEX('Loans'!$J:$J,ROW()),0)</f>
        <v/>
      </c>
      <c r="AF461">
        <f>TRIM(SUBSTITUTE(INDEX('Loans'!$K:$K,ROW())&amp;""," "," "))</f>
        <v/>
      </c>
      <c r="AG461">
        <f>IFERROR(--INDEX('Loans'!$L:$L,ROW()),0)</f>
        <v/>
      </c>
      <c r="AH461">
        <f>IF(ISNUMBER(INDEX('Loans'!$G:$G,ROW())),1,0)</f>
        <v/>
      </c>
    </row>
    <row r="462">
      <c r="A462">
        <f>TRIM(SUBSTITUTE(INDEX('Term investments'!$A:$A,ROW())&amp;""," "," "))</f>
        <v/>
      </c>
      <c r="B462">
        <f>TRIM(SUBSTITUTE(INDEX('Term investments'!$B:$B,ROW())&amp;""," "," "))</f>
        <v/>
      </c>
      <c r="C462">
        <f>TRIM(SUBSTITUTE(INDEX('Term investments'!$C:$C,ROW())&amp;""," "," "))</f>
        <v/>
      </c>
      <c r="D462">
        <f>IFERROR(--INDEX('Term investments'!$D:$D,ROW()),0)</f>
        <v/>
      </c>
      <c r="E462">
        <f>IFERROR(--INDEX('Term investments'!$E:$E,ROW()),0)</f>
        <v/>
      </c>
      <c r="F462">
        <f>IFERROR(--INDEX('Term investments'!$F:$F,ROW()),0)</f>
        <v/>
      </c>
      <c r="G462">
        <f>IFERROR(IF(--INDEX('Term investments'!$G:$G,ROW())&gt;=1,--INDEX('Term investments'!$G:$G,ROW())/100,--INDEX('Term investments'!$G:$G,ROW())),0)</f>
        <v/>
      </c>
      <c r="H462">
        <f>IFERROR(--INDEX('Term investments'!$H:$H,ROW()),0)</f>
        <v/>
      </c>
      <c r="I462">
        <f>IF(ISNUMBER(INDEX('Term investments'!$G:$G,ROW())),1,0)</f>
        <v/>
      </c>
      <c r="J462">
        <f>TRIM(SUBSTITUTE(INDEX('Call accounts and MMFs'!$A:$A,ROW())&amp;""," "," "))</f>
        <v/>
      </c>
      <c r="K462">
        <f>TRIM(SUBSTITUTE(INDEX('Call accounts and MMFs'!$B:$B,ROW())&amp;""," "," "))</f>
        <v/>
      </c>
      <c r="L462">
        <f>TRIM(SUBSTITUTE(INDEX('Call accounts and MMFs'!$C:$C,ROW())&amp;""," "," "))</f>
        <v/>
      </c>
      <c r="M462">
        <f>IFERROR(--INDEX('Call accounts and MMFs'!$D:$D,ROW()),0)</f>
        <v/>
      </c>
      <c r="N462">
        <f>IFERROR(IF(--INDEX('Call accounts and MMFs'!$E:$E,ROW())&gt;=1,--INDEX('Call accounts and MMFs'!$E:$E,ROW())/100,--INDEX('Call accounts and MMFs'!$E:$E,ROW())),0)</f>
        <v/>
      </c>
      <c r="O462">
        <f>IFERROR(--INDEX('Call accounts and MMFs'!$F:$F,ROW()),0)</f>
        <v/>
      </c>
      <c r="P462">
        <f>IF(ISNUMBER(INDEX('Call accounts and MMFs'!$E:$E,ROW())),1,0)</f>
        <v/>
      </c>
      <c r="Q462">
        <f>TRIM(SUBSTITUTE(INDEX('Pooled funds'!$B:$B,ROW())&amp;""," "," "))</f>
        <v/>
      </c>
      <c r="R462">
        <f>IFERROR(--INDEX('Pooled funds'!$C:$C,ROW()),0)</f>
        <v/>
      </c>
      <c r="S462">
        <f>IFERROR(--INDEX('Pooled funds'!$D:$D,ROW()),0)</f>
        <v/>
      </c>
      <c r="T462">
        <f>IFERROR(IF(--INDEX('Pooled funds'!$E:$E,ROW())&gt;=1,--INDEX('Pooled funds'!$E:$E,ROW())/100,--INDEX('Pooled funds'!$E:$E,ROW())),0)</f>
        <v/>
      </c>
      <c r="U462">
        <f>IF(ISNUMBER(INDEX('Pooled funds'!$E:$E,ROW())),1,0)</f>
        <v/>
      </c>
      <c r="V462">
        <f>TRIM(SUBSTITUTE(INDEX('Loans'!$A:$A,ROW())&amp;""," "," "))</f>
        <v/>
      </c>
      <c r="W462">
        <f>TRIM(SUBSTITUTE(INDEX('Loans'!$B:$B,ROW())&amp;""," "," "))</f>
        <v/>
      </c>
      <c r="X462">
        <f>TRIM(SUBSTITUTE(INDEX('Loans'!$C:$C,ROW())&amp;""," "," "))</f>
        <v/>
      </c>
      <c r="Y462">
        <f>IFERROR(--INDEX('Loans'!$D:$D,ROW()),0)</f>
        <v/>
      </c>
      <c r="Z462">
        <f>IFERROR(--INDEX('Loans'!$E:$E,ROW()),0)</f>
        <v/>
      </c>
      <c r="AA462">
        <f>IFERROR(--INDEX('Loans'!$F:$F,ROW()),0)</f>
        <v/>
      </c>
      <c r="AB462">
        <f>IFERROR(IF(--INDEX('Loans'!$G:$G,ROW())&gt;=1,--INDEX('Loans'!$G:$G,ROW())/100,--INDEX('Loans'!$G:$G,ROW())),0)</f>
        <v/>
      </c>
      <c r="AC462">
        <f>TRIM(SUBSTITUTE(INDEX('Loans'!$H:$H,ROW())&amp;""," "," "))</f>
        <v/>
      </c>
      <c r="AD462">
        <f>TRIM(SUBSTITUTE(INDEX('Loans'!$I:$I,ROW())&amp;""," "," "))</f>
        <v/>
      </c>
      <c r="AE462">
        <f>IFERROR(--INDEX('Loans'!$J:$J,ROW()),0)</f>
        <v/>
      </c>
      <c r="AF462">
        <f>TRIM(SUBSTITUTE(INDEX('Loans'!$K:$K,ROW())&amp;""," "," "))</f>
        <v/>
      </c>
      <c r="AG462">
        <f>IFERROR(--INDEX('Loans'!$L:$L,ROW()),0)</f>
        <v/>
      </c>
      <c r="AH462">
        <f>IF(ISNUMBER(INDEX('Loans'!$G:$G,ROW())),1,0)</f>
        <v/>
      </c>
    </row>
    <row r="463">
      <c r="A463">
        <f>TRIM(SUBSTITUTE(INDEX('Term investments'!$A:$A,ROW())&amp;""," "," "))</f>
        <v/>
      </c>
      <c r="B463">
        <f>TRIM(SUBSTITUTE(INDEX('Term investments'!$B:$B,ROW())&amp;""," "," "))</f>
        <v/>
      </c>
      <c r="C463">
        <f>TRIM(SUBSTITUTE(INDEX('Term investments'!$C:$C,ROW())&amp;""," "," "))</f>
        <v/>
      </c>
      <c r="D463">
        <f>IFERROR(--INDEX('Term investments'!$D:$D,ROW()),0)</f>
        <v/>
      </c>
      <c r="E463">
        <f>IFERROR(--INDEX('Term investments'!$E:$E,ROW()),0)</f>
        <v/>
      </c>
      <c r="F463">
        <f>IFERROR(--INDEX('Term investments'!$F:$F,ROW()),0)</f>
        <v/>
      </c>
      <c r="G463">
        <f>IFERROR(IF(--INDEX('Term investments'!$G:$G,ROW())&gt;=1,--INDEX('Term investments'!$G:$G,ROW())/100,--INDEX('Term investments'!$G:$G,ROW())),0)</f>
        <v/>
      </c>
      <c r="H463">
        <f>IFERROR(--INDEX('Term investments'!$H:$H,ROW()),0)</f>
        <v/>
      </c>
      <c r="I463">
        <f>IF(ISNUMBER(INDEX('Term investments'!$G:$G,ROW())),1,0)</f>
        <v/>
      </c>
      <c r="J463">
        <f>TRIM(SUBSTITUTE(INDEX('Call accounts and MMFs'!$A:$A,ROW())&amp;""," "," "))</f>
        <v/>
      </c>
      <c r="K463">
        <f>TRIM(SUBSTITUTE(INDEX('Call accounts and MMFs'!$B:$B,ROW())&amp;""," "," "))</f>
        <v/>
      </c>
      <c r="L463">
        <f>TRIM(SUBSTITUTE(INDEX('Call accounts and MMFs'!$C:$C,ROW())&amp;""," "," "))</f>
        <v/>
      </c>
      <c r="M463">
        <f>IFERROR(--INDEX('Call accounts and MMFs'!$D:$D,ROW()),0)</f>
        <v/>
      </c>
      <c r="N463">
        <f>IFERROR(IF(--INDEX('Call accounts and MMFs'!$E:$E,ROW())&gt;=1,--INDEX('Call accounts and MMFs'!$E:$E,ROW())/100,--INDEX('Call accounts and MMFs'!$E:$E,ROW())),0)</f>
        <v/>
      </c>
      <c r="O463">
        <f>IFERROR(--INDEX('Call accounts and MMFs'!$F:$F,ROW()),0)</f>
        <v/>
      </c>
      <c r="P463">
        <f>IF(ISNUMBER(INDEX('Call accounts and MMFs'!$E:$E,ROW())),1,0)</f>
        <v/>
      </c>
      <c r="Q463">
        <f>TRIM(SUBSTITUTE(INDEX('Pooled funds'!$B:$B,ROW())&amp;""," "," "))</f>
        <v/>
      </c>
      <c r="R463">
        <f>IFERROR(--INDEX('Pooled funds'!$C:$C,ROW()),0)</f>
        <v/>
      </c>
      <c r="S463">
        <f>IFERROR(--INDEX('Pooled funds'!$D:$D,ROW()),0)</f>
        <v/>
      </c>
      <c r="T463">
        <f>IFERROR(IF(--INDEX('Pooled funds'!$E:$E,ROW())&gt;=1,--INDEX('Pooled funds'!$E:$E,ROW())/100,--INDEX('Pooled funds'!$E:$E,ROW())),0)</f>
        <v/>
      </c>
      <c r="U463">
        <f>IF(ISNUMBER(INDEX('Pooled funds'!$E:$E,ROW())),1,0)</f>
        <v/>
      </c>
      <c r="V463">
        <f>TRIM(SUBSTITUTE(INDEX('Loans'!$A:$A,ROW())&amp;""," "," "))</f>
        <v/>
      </c>
      <c r="W463">
        <f>TRIM(SUBSTITUTE(INDEX('Loans'!$B:$B,ROW())&amp;""," "," "))</f>
        <v/>
      </c>
      <c r="X463">
        <f>TRIM(SUBSTITUTE(INDEX('Loans'!$C:$C,ROW())&amp;""," "," "))</f>
        <v/>
      </c>
      <c r="Y463">
        <f>IFERROR(--INDEX('Loans'!$D:$D,ROW()),0)</f>
        <v/>
      </c>
      <c r="Z463">
        <f>IFERROR(--INDEX('Loans'!$E:$E,ROW()),0)</f>
        <v/>
      </c>
      <c r="AA463">
        <f>IFERROR(--INDEX('Loans'!$F:$F,ROW()),0)</f>
        <v/>
      </c>
      <c r="AB463">
        <f>IFERROR(IF(--INDEX('Loans'!$G:$G,ROW())&gt;=1,--INDEX('Loans'!$G:$G,ROW())/100,--INDEX('Loans'!$G:$G,ROW())),0)</f>
        <v/>
      </c>
      <c r="AC463">
        <f>TRIM(SUBSTITUTE(INDEX('Loans'!$H:$H,ROW())&amp;""," "," "))</f>
        <v/>
      </c>
      <c r="AD463">
        <f>TRIM(SUBSTITUTE(INDEX('Loans'!$I:$I,ROW())&amp;""," "," "))</f>
        <v/>
      </c>
      <c r="AE463">
        <f>IFERROR(--INDEX('Loans'!$J:$J,ROW()),0)</f>
        <v/>
      </c>
      <c r="AF463">
        <f>TRIM(SUBSTITUTE(INDEX('Loans'!$K:$K,ROW())&amp;""," "," "))</f>
        <v/>
      </c>
      <c r="AG463">
        <f>IFERROR(--INDEX('Loans'!$L:$L,ROW()),0)</f>
        <v/>
      </c>
      <c r="AH463">
        <f>IF(ISNUMBER(INDEX('Loans'!$G:$G,ROW())),1,0)</f>
        <v/>
      </c>
    </row>
    <row r="464">
      <c r="A464">
        <f>TRIM(SUBSTITUTE(INDEX('Term investments'!$A:$A,ROW())&amp;""," "," "))</f>
        <v/>
      </c>
      <c r="B464">
        <f>TRIM(SUBSTITUTE(INDEX('Term investments'!$B:$B,ROW())&amp;""," "," "))</f>
        <v/>
      </c>
      <c r="C464">
        <f>TRIM(SUBSTITUTE(INDEX('Term investments'!$C:$C,ROW())&amp;""," "," "))</f>
        <v/>
      </c>
      <c r="D464">
        <f>IFERROR(--INDEX('Term investments'!$D:$D,ROW()),0)</f>
        <v/>
      </c>
      <c r="E464">
        <f>IFERROR(--INDEX('Term investments'!$E:$E,ROW()),0)</f>
        <v/>
      </c>
      <c r="F464">
        <f>IFERROR(--INDEX('Term investments'!$F:$F,ROW()),0)</f>
        <v/>
      </c>
      <c r="G464">
        <f>IFERROR(IF(--INDEX('Term investments'!$G:$G,ROW())&gt;=1,--INDEX('Term investments'!$G:$G,ROW())/100,--INDEX('Term investments'!$G:$G,ROW())),0)</f>
        <v/>
      </c>
      <c r="H464">
        <f>IFERROR(--INDEX('Term investments'!$H:$H,ROW()),0)</f>
        <v/>
      </c>
      <c r="I464">
        <f>IF(ISNUMBER(INDEX('Term investments'!$G:$G,ROW())),1,0)</f>
        <v/>
      </c>
      <c r="J464">
        <f>TRIM(SUBSTITUTE(INDEX('Call accounts and MMFs'!$A:$A,ROW())&amp;""," "," "))</f>
        <v/>
      </c>
      <c r="K464">
        <f>TRIM(SUBSTITUTE(INDEX('Call accounts and MMFs'!$B:$B,ROW())&amp;""," "," "))</f>
        <v/>
      </c>
      <c r="L464">
        <f>TRIM(SUBSTITUTE(INDEX('Call accounts and MMFs'!$C:$C,ROW())&amp;""," "," "))</f>
        <v/>
      </c>
      <c r="M464">
        <f>IFERROR(--INDEX('Call accounts and MMFs'!$D:$D,ROW()),0)</f>
        <v/>
      </c>
      <c r="N464">
        <f>IFERROR(IF(--INDEX('Call accounts and MMFs'!$E:$E,ROW())&gt;=1,--INDEX('Call accounts and MMFs'!$E:$E,ROW())/100,--INDEX('Call accounts and MMFs'!$E:$E,ROW())),0)</f>
        <v/>
      </c>
      <c r="O464">
        <f>IFERROR(--INDEX('Call accounts and MMFs'!$F:$F,ROW()),0)</f>
        <v/>
      </c>
      <c r="P464">
        <f>IF(ISNUMBER(INDEX('Call accounts and MMFs'!$E:$E,ROW())),1,0)</f>
        <v/>
      </c>
      <c r="Q464">
        <f>TRIM(SUBSTITUTE(INDEX('Pooled funds'!$B:$B,ROW())&amp;""," "," "))</f>
        <v/>
      </c>
      <c r="R464">
        <f>IFERROR(--INDEX('Pooled funds'!$C:$C,ROW()),0)</f>
        <v/>
      </c>
      <c r="S464">
        <f>IFERROR(--INDEX('Pooled funds'!$D:$D,ROW()),0)</f>
        <v/>
      </c>
      <c r="T464">
        <f>IFERROR(IF(--INDEX('Pooled funds'!$E:$E,ROW())&gt;=1,--INDEX('Pooled funds'!$E:$E,ROW())/100,--INDEX('Pooled funds'!$E:$E,ROW())),0)</f>
        <v/>
      </c>
      <c r="U464">
        <f>IF(ISNUMBER(INDEX('Pooled funds'!$E:$E,ROW())),1,0)</f>
        <v/>
      </c>
      <c r="V464">
        <f>TRIM(SUBSTITUTE(INDEX('Loans'!$A:$A,ROW())&amp;""," "," "))</f>
        <v/>
      </c>
      <c r="W464">
        <f>TRIM(SUBSTITUTE(INDEX('Loans'!$B:$B,ROW())&amp;""," "," "))</f>
        <v/>
      </c>
      <c r="X464">
        <f>TRIM(SUBSTITUTE(INDEX('Loans'!$C:$C,ROW())&amp;""," "," "))</f>
        <v/>
      </c>
      <c r="Y464">
        <f>IFERROR(--INDEX('Loans'!$D:$D,ROW()),0)</f>
        <v/>
      </c>
      <c r="Z464">
        <f>IFERROR(--INDEX('Loans'!$E:$E,ROW()),0)</f>
        <v/>
      </c>
      <c r="AA464">
        <f>IFERROR(--INDEX('Loans'!$F:$F,ROW()),0)</f>
        <v/>
      </c>
      <c r="AB464">
        <f>IFERROR(IF(--INDEX('Loans'!$G:$G,ROW())&gt;=1,--INDEX('Loans'!$G:$G,ROW())/100,--INDEX('Loans'!$G:$G,ROW())),0)</f>
        <v/>
      </c>
      <c r="AC464">
        <f>TRIM(SUBSTITUTE(INDEX('Loans'!$H:$H,ROW())&amp;""," "," "))</f>
        <v/>
      </c>
      <c r="AD464">
        <f>TRIM(SUBSTITUTE(INDEX('Loans'!$I:$I,ROW())&amp;""," "," "))</f>
        <v/>
      </c>
      <c r="AE464">
        <f>IFERROR(--INDEX('Loans'!$J:$J,ROW()),0)</f>
        <v/>
      </c>
      <c r="AF464">
        <f>TRIM(SUBSTITUTE(INDEX('Loans'!$K:$K,ROW())&amp;""," "," "))</f>
        <v/>
      </c>
      <c r="AG464">
        <f>IFERROR(--INDEX('Loans'!$L:$L,ROW()),0)</f>
        <v/>
      </c>
      <c r="AH464">
        <f>IF(ISNUMBER(INDEX('Loans'!$G:$G,ROW())),1,0)</f>
        <v/>
      </c>
    </row>
    <row r="465">
      <c r="A465">
        <f>TRIM(SUBSTITUTE(INDEX('Term investments'!$A:$A,ROW())&amp;""," "," "))</f>
        <v/>
      </c>
      <c r="B465">
        <f>TRIM(SUBSTITUTE(INDEX('Term investments'!$B:$B,ROW())&amp;""," "," "))</f>
        <v/>
      </c>
      <c r="C465">
        <f>TRIM(SUBSTITUTE(INDEX('Term investments'!$C:$C,ROW())&amp;""," "," "))</f>
        <v/>
      </c>
      <c r="D465">
        <f>IFERROR(--INDEX('Term investments'!$D:$D,ROW()),0)</f>
        <v/>
      </c>
      <c r="E465">
        <f>IFERROR(--INDEX('Term investments'!$E:$E,ROW()),0)</f>
        <v/>
      </c>
      <c r="F465">
        <f>IFERROR(--INDEX('Term investments'!$F:$F,ROW()),0)</f>
        <v/>
      </c>
      <c r="G465">
        <f>IFERROR(IF(--INDEX('Term investments'!$G:$G,ROW())&gt;=1,--INDEX('Term investments'!$G:$G,ROW())/100,--INDEX('Term investments'!$G:$G,ROW())),0)</f>
        <v/>
      </c>
      <c r="H465">
        <f>IFERROR(--INDEX('Term investments'!$H:$H,ROW()),0)</f>
        <v/>
      </c>
      <c r="I465">
        <f>IF(ISNUMBER(INDEX('Term investments'!$G:$G,ROW())),1,0)</f>
        <v/>
      </c>
      <c r="J465">
        <f>TRIM(SUBSTITUTE(INDEX('Call accounts and MMFs'!$A:$A,ROW())&amp;""," "," "))</f>
        <v/>
      </c>
      <c r="K465">
        <f>TRIM(SUBSTITUTE(INDEX('Call accounts and MMFs'!$B:$B,ROW())&amp;""," "," "))</f>
        <v/>
      </c>
      <c r="L465">
        <f>TRIM(SUBSTITUTE(INDEX('Call accounts and MMFs'!$C:$C,ROW())&amp;""," "," "))</f>
        <v/>
      </c>
      <c r="M465">
        <f>IFERROR(--INDEX('Call accounts and MMFs'!$D:$D,ROW()),0)</f>
        <v/>
      </c>
      <c r="N465">
        <f>IFERROR(IF(--INDEX('Call accounts and MMFs'!$E:$E,ROW())&gt;=1,--INDEX('Call accounts and MMFs'!$E:$E,ROW())/100,--INDEX('Call accounts and MMFs'!$E:$E,ROW())),0)</f>
        <v/>
      </c>
      <c r="O465">
        <f>IFERROR(--INDEX('Call accounts and MMFs'!$F:$F,ROW()),0)</f>
        <v/>
      </c>
      <c r="P465">
        <f>IF(ISNUMBER(INDEX('Call accounts and MMFs'!$E:$E,ROW())),1,0)</f>
        <v/>
      </c>
      <c r="Q465">
        <f>TRIM(SUBSTITUTE(INDEX('Pooled funds'!$B:$B,ROW())&amp;""," "," "))</f>
        <v/>
      </c>
      <c r="R465">
        <f>IFERROR(--INDEX('Pooled funds'!$C:$C,ROW()),0)</f>
        <v/>
      </c>
      <c r="S465">
        <f>IFERROR(--INDEX('Pooled funds'!$D:$D,ROW()),0)</f>
        <v/>
      </c>
      <c r="T465">
        <f>IFERROR(IF(--INDEX('Pooled funds'!$E:$E,ROW())&gt;=1,--INDEX('Pooled funds'!$E:$E,ROW())/100,--INDEX('Pooled funds'!$E:$E,ROW())),0)</f>
        <v/>
      </c>
      <c r="U465">
        <f>IF(ISNUMBER(INDEX('Pooled funds'!$E:$E,ROW())),1,0)</f>
        <v/>
      </c>
      <c r="V465">
        <f>TRIM(SUBSTITUTE(INDEX('Loans'!$A:$A,ROW())&amp;""," "," "))</f>
        <v/>
      </c>
      <c r="W465">
        <f>TRIM(SUBSTITUTE(INDEX('Loans'!$B:$B,ROW())&amp;""," "," "))</f>
        <v/>
      </c>
      <c r="X465">
        <f>TRIM(SUBSTITUTE(INDEX('Loans'!$C:$C,ROW())&amp;""," "," "))</f>
        <v/>
      </c>
      <c r="Y465">
        <f>IFERROR(--INDEX('Loans'!$D:$D,ROW()),0)</f>
        <v/>
      </c>
      <c r="Z465">
        <f>IFERROR(--INDEX('Loans'!$E:$E,ROW()),0)</f>
        <v/>
      </c>
      <c r="AA465">
        <f>IFERROR(--INDEX('Loans'!$F:$F,ROW()),0)</f>
        <v/>
      </c>
      <c r="AB465">
        <f>IFERROR(IF(--INDEX('Loans'!$G:$G,ROW())&gt;=1,--INDEX('Loans'!$G:$G,ROW())/100,--INDEX('Loans'!$G:$G,ROW())),0)</f>
        <v/>
      </c>
      <c r="AC465">
        <f>TRIM(SUBSTITUTE(INDEX('Loans'!$H:$H,ROW())&amp;""," "," "))</f>
        <v/>
      </c>
      <c r="AD465">
        <f>TRIM(SUBSTITUTE(INDEX('Loans'!$I:$I,ROW())&amp;""," "," "))</f>
        <v/>
      </c>
      <c r="AE465">
        <f>IFERROR(--INDEX('Loans'!$J:$J,ROW()),0)</f>
        <v/>
      </c>
      <c r="AF465">
        <f>TRIM(SUBSTITUTE(INDEX('Loans'!$K:$K,ROW())&amp;""," "," "))</f>
        <v/>
      </c>
      <c r="AG465">
        <f>IFERROR(--INDEX('Loans'!$L:$L,ROW()),0)</f>
        <v/>
      </c>
      <c r="AH465">
        <f>IF(ISNUMBER(INDEX('Loans'!$G:$G,ROW())),1,0)</f>
        <v/>
      </c>
    </row>
    <row r="466">
      <c r="A466">
        <f>TRIM(SUBSTITUTE(INDEX('Term investments'!$A:$A,ROW())&amp;""," "," "))</f>
        <v/>
      </c>
      <c r="B466">
        <f>TRIM(SUBSTITUTE(INDEX('Term investments'!$B:$B,ROW())&amp;""," "," "))</f>
        <v/>
      </c>
      <c r="C466">
        <f>TRIM(SUBSTITUTE(INDEX('Term investments'!$C:$C,ROW())&amp;""," "," "))</f>
        <v/>
      </c>
      <c r="D466">
        <f>IFERROR(--INDEX('Term investments'!$D:$D,ROW()),0)</f>
        <v/>
      </c>
      <c r="E466">
        <f>IFERROR(--INDEX('Term investments'!$E:$E,ROW()),0)</f>
        <v/>
      </c>
      <c r="F466">
        <f>IFERROR(--INDEX('Term investments'!$F:$F,ROW()),0)</f>
        <v/>
      </c>
      <c r="G466">
        <f>IFERROR(IF(--INDEX('Term investments'!$G:$G,ROW())&gt;=1,--INDEX('Term investments'!$G:$G,ROW())/100,--INDEX('Term investments'!$G:$G,ROW())),0)</f>
        <v/>
      </c>
      <c r="H466">
        <f>IFERROR(--INDEX('Term investments'!$H:$H,ROW()),0)</f>
        <v/>
      </c>
      <c r="I466">
        <f>IF(ISNUMBER(INDEX('Term investments'!$G:$G,ROW())),1,0)</f>
        <v/>
      </c>
      <c r="J466">
        <f>TRIM(SUBSTITUTE(INDEX('Call accounts and MMFs'!$A:$A,ROW())&amp;""," "," "))</f>
        <v/>
      </c>
      <c r="K466">
        <f>TRIM(SUBSTITUTE(INDEX('Call accounts and MMFs'!$B:$B,ROW())&amp;""," "," "))</f>
        <v/>
      </c>
      <c r="L466">
        <f>TRIM(SUBSTITUTE(INDEX('Call accounts and MMFs'!$C:$C,ROW())&amp;""," "," "))</f>
        <v/>
      </c>
      <c r="M466">
        <f>IFERROR(--INDEX('Call accounts and MMFs'!$D:$D,ROW()),0)</f>
        <v/>
      </c>
      <c r="N466">
        <f>IFERROR(IF(--INDEX('Call accounts and MMFs'!$E:$E,ROW())&gt;=1,--INDEX('Call accounts and MMFs'!$E:$E,ROW())/100,--INDEX('Call accounts and MMFs'!$E:$E,ROW())),0)</f>
        <v/>
      </c>
      <c r="O466">
        <f>IFERROR(--INDEX('Call accounts and MMFs'!$F:$F,ROW()),0)</f>
        <v/>
      </c>
      <c r="P466">
        <f>IF(ISNUMBER(INDEX('Call accounts and MMFs'!$E:$E,ROW())),1,0)</f>
        <v/>
      </c>
      <c r="Q466">
        <f>TRIM(SUBSTITUTE(INDEX('Pooled funds'!$B:$B,ROW())&amp;""," "," "))</f>
        <v/>
      </c>
      <c r="R466">
        <f>IFERROR(--INDEX('Pooled funds'!$C:$C,ROW()),0)</f>
        <v/>
      </c>
      <c r="S466">
        <f>IFERROR(--INDEX('Pooled funds'!$D:$D,ROW()),0)</f>
        <v/>
      </c>
      <c r="T466">
        <f>IFERROR(IF(--INDEX('Pooled funds'!$E:$E,ROW())&gt;=1,--INDEX('Pooled funds'!$E:$E,ROW())/100,--INDEX('Pooled funds'!$E:$E,ROW())),0)</f>
        <v/>
      </c>
      <c r="U466">
        <f>IF(ISNUMBER(INDEX('Pooled funds'!$E:$E,ROW())),1,0)</f>
        <v/>
      </c>
      <c r="V466">
        <f>TRIM(SUBSTITUTE(INDEX('Loans'!$A:$A,ROW())&amp;""," "," "))</f>
        <v/>
      </c>
      <c r="W466">
        <f>TRIM(SUBSTITUTE(INDEX('Loans'!$B:$B,ROW())&amp;""," "," "))</f>
        <v/>
      </c>
      <c r="X466">
        <f>TRIM(SUBSTITUTE(INDEX('Loans'!$C:$C,ROW())&amp;""," "," "))</f>
        <v/>
      </c>
      <c r="Y466">
        <f>IFERROR(--INDEX('Loans'!$D:$D,ROW()),0)</f>
        <v/>
      </c>
      <c r="Z466">
        <f>IFERROR(--INDEX('Loans'!$E:$E,ROW()),0)</f>
        <v/>
      </c>
      <c r="AA466">
        <f>IFERROR(--INDEX('Loans'!$F:$F,ROW()),0)</f>
        <v/>
      </c>
      <c r="AB466">
        <f>IFERROR(IF(--INDEX('Loans'!$G:$G,ROW())&gt;=1,--INDEX('Loans'!$G:$G,ROW())/100,--INDEX('Loans'!$G:$G,ROW())),0)</f>
        <v/>
      </c>
      <c r="AC466">
        <f>TRIM(SUBSTITUTE(INDEX('Loans'!$H:$H,ROW())&amp;""," "," "))</f>
        <v/>
      </c>
      <c r="AD466">
        <f>TRIM(SUBSTITUTE(INDEX('Loans'!$I:$I,ROW())&amp;""," "," "))</f>
        <v/>
      </c>
      <c r="AE466">
        <f>IFERROR(--INDEX('Loans'!$J:$J,ROW()),0)</f>
        <v/>
      </c>
      <c r="AF466">
        <f>TRIM(SUBSTITUTE(INDEX('Loans'!$K:$K,ROW())&amp;""," "," "))</f>
        <v/>
      </c>
      <c r="AG466">
        <f>IFERROR(--INDEX('Loans'!$L:$L,ROW()),0)</f>
        <v/>
      </c>
      <c r="AH466">
        <f>IF(ISNUMBER(INDEX('Loans'!$G:$G,ROW())),1,0)</f>
        <v/>
      </c>
    </row>
    <row r="467">
      <c r="A467">
        <f>TRIM(SUBSTITUTE(INDEX('Term investments'!$A:$A,ROW())&amp;""," "," "))</f>
        <v/>
      </c>
      <c r="B467">
        <f>TRIM(SUBSTITUTE(INDEX('Term investments'!$B:$B,ROW())&amp;""," "," "))</f>
        <v/>
      </c>
      <c r="C467">
        <f>TRIM(SUBSTITUTE(INDEX('Term investments'!$C:$C,ROW())&amp;""," "," "))</f>
        <v/>
      </c>
      <c r="D467">
        <f>IFERROR(--INDEX('Term investments'!$D:$D,ROW()),0)</f>
        <v/>
      </c>
      <c r="E467">
        <f>IFERROR(--INDEX('Term investments'!$E:$E,ROW()),0)</f>
        <v/>
      </c>
      <c r="F467">
        <f>IFERROR(--INDEX('Term investments'!$F:$F,ROW()),0)</f>
        <v/>
      </c>
      <c r="G467">
        <f>IFERROR(IF(--INDEX('Term investments'!$G:$G,ROW())&gt;=1,--INDEX('Term investments'!$G:$G,ROW())/100,--INDEX('Term investments'!$G:$G,ROW())),0)</f>
        <v/>
      </c>
      <c r="H467">
        <f>IFERROR(--INDEX('Term investments'!$H:$H,ROW()),0)</f>
        <v/>
      </c>
      <c r="I467">
        <f>IF(ISNUMBER(INDEX('Term investments'!$G:$G,ROW())),1,0)</f>
        <v/>
      </c>
      <c r="J467">
        <f>TRIM(SUBSTITUTE(INDEX('Call accounts and MMFs'!$A:$A,ROW())&amp;""," "," "))</f>
        <v/>
      </c>
      <c r="K467">
        <f>TRIM(SUBSTITUTE(INDEX('Call accounts and MMFs'!$B:$B,ROW())&amp;""," "," "))</f>
        <v/>
      </c>
      <c r="L467">
        <f>TRIM(SUBSTITUTE(INDEX('Call accounts and MMFs'!$C:$C,ROW())&amp;""," "," "))</f>
        <v/>
      </c>
      <c r="M467">
        <f>IFERROR(--INDEX('Call accounts and MMFs'!$D:$D,ROW()),0)</f>
        <v/>
      </c>
      <c r="N467">
        <f>IFERROR(IF(--INDEX('Call accounts and MMFs'!$E:$E,ROW())&gt;=1,--INDEX('Call accounts and MMFs'!$E:$E,ROW())/100,--INDEX('Call accounts and MMFs'!$E:$E,ROW())),0)</f>
        <v/>
      </c>
      <c r="O467">
        <f>IFERROR(--INDEX('Call accounts and MMFs'!$F:$F,ROW()),0)</f>
        <v/>
      </c>
      <c r="P467">
        <f>IF(ISNUMBER(INDEX('Call accounts and MMFs'!$E:$E,ROW())),1,0)</f>
        <v/>
      </c>
      <c r="Q467">
        <f>TRIM(SUBSTITUTE(INDEX('Pooled funds'!$B:$B,ROW())&amp;""," "," "))</f>
        <v/>
      </c>
      <c r="R467">
        <f>IFERROR(--INDEX('Pooled funds'!$C:$C,ROW()),0)</f>
        <v/>
      </c>
      <c r="S467">
        <f>IFERROR(--INDEX('Pooled funds'!$D:$D,ROW()),0)</f>
        <v/>
      </c>
      <c r="T467">
        <f>IFERROR(IF(--INDEX('Pooled funds'!$E:$E,ROW())&gt;=1,--INDEX('Pooled funds'!$E:$E,ROW())/100,--INDEX('Pooled funds'!$E:$E,ROW())),0)</f>
        <v/>
      </c>
      <c r="U467">
        <f>IF(ISNUMBER(INDEX('Pooled funds'!$E:$E,ROW())),1,0)</f>
        <v/>
      </c>
      <c r="V467">
        <f>TRIM(SUBSTITUTE(INDEX('Loans'!$A:$A,ROW())&amp;""," "," "))</f>
        <v/>
      </c>
      <c r="W467">
        <f>TRIM(SUBSTITUTE(INDEX('Loans'!$B:$B,ROW())&amp;""," "," "))</f>
        <v/>
      </c>
      <c r="X467">
        <f>TRIM(SUBSTITUTE(INDEX('Loans'!$C:$C,ROW())&amp;""," "," "))</f>
        <v/>
      </c>
      <c r="Y467">
        <f>IFERROR(--INDEX('Loans'!$D:$D,ROW()),0)</f>
        <v/>
      </c>
      <c r="Z467">
        <f>IFERROR(--INDEX('Loans'!$E:$E,ROW()),0)</f>
        <v/>
      </c>
      <c r="AA467">
        <f>IFERROR(--INDEX('Loans'!$F:$F,ROW()),0)</f>
        <v/>
      </c>
      <c r="AB467">
        <f>IFERROR(IF(--INDEX('Loans'!$G:$G,ROW())&gt;=1,--INDEX('Loans'!$G:$G,ROW())/100,--INDEX('Loans'!$G:$G,ROW())),0)</f>
        <v/>
      </c>
      <c r="AC467">
        <f>TRIM(SUBSTITUTE(INDEX('Loans'!$H:$H,ROW())&amp;""," "," "))</f>
        <v/>
      </c>
      <c r="AD467">
        <f>TRIM(SUBSTITUTE(INDEX('Loans'!$I:$I,ROW())&amp;""," "," "))</f>
        <v/>
      </c>
      <c r="AE467">
        <f>IFERROR(--INDEX('Loans'!$J:$J,ROW()),0)</f>
        <v/>
      </c>
      <c r="AF467">
        <f>TRIM(SUBSTITUTE(INDEX('Loans'!$K:$K,ROW())&amp;""," "," "))</f>
        <v/>
      </c>
      <c r="AG467">
        <f>IFERROR(--INDEX('Loans'!$L:$L,ROW()),0)</f>
        <v/>
      </c>
      <c r="AH467">
        <f>IF(ISNUMBER(INDEX('Loans'!$G:$G,ROW())),1,0)</f>
        <v/>
      </c>
    </row>
    <row r="468">
      <c r="A468">
        <f>TRIM(SUBSTITUTE(INDEX('Term investments'!$A:$A,ROW())&amp;""," "," "))</f>
        <v/>
      </c>
      <c r="B468">
        <f>TRIM(SUBSTITUTE(INDEX('Term investments'!$B:$B,ROW())&amp;""," "," "))</f>
        <v/>
      </c>
      <c r="C468">
        <f>TRIM(SUBSTITUTE(INDEX('Term investments'!$C:$C,ROW())&amp;""," "," "))</f>
        <v/>
      </c>
      <c r="D468">
        <f>IFERROR(--INDEX('Term investments'!$D:$D,ROW()),0)</f>
        <v/>
      </c>
      <c r="E468">
        <f>IFERROR(--INDEX('Term investments'!$E:$E,ROW()),0)</f>
        <v/>
      </c>
      <c r="F468">
        <f>IFERROR(--INDEX('Term investments'!$F:$F,ROW()),0)</f>
        <v/>
      </c>
      <c r="G468">
        <f>IFERROR(IF(--INDEX('Term investments'!$G:$G,ROW())&gt;=1,--INDEX('Term investments'!$G:$G,ROW())/100,--INDEX('Term investments'!$G:$G,ROW())),0)</f>
        <v/>
      </c>
      <c r="H468">
        <f>IFERROR(--INDEX('Term investments'!$H:$H,ROW()),0)</f>
        <v/>
      </c>
      <c r="I468">
        <f>IF(ISNUMBER(INDEX('Term investments'!$G:$G,ROW())),1,0)</f>
        <v/>
      </c>
      <c r="J468">
        <f>TRIM(SUBSTITUTE(INDEX('Call accounts and MMFs'!$A:$A,ROW())&amp;""," "," "))</f>
        <v/>
      </c>
      <c r="K468">
        <f>TRIM(SUBSTITUTE(INDEX('Call accounts and MMFs'!$B:$B,ROW())&amp;""," "," "))</f>
        <v/>
      </c>
      <c r="L468">
        <f>TRIM(SUBSTITUTE(INDEX('Call accounts and MMFs'!$C:$C,ROW())&amp;""," "," "))</f>
        <v/>
      </c>
      <c r="M468">
        <f>IFERROR(--INDEX('Call accounts and MMFs'!$D:$D,ROW()),0)</f>
        <v/>
      </c>
      <c r="N468">
        <f>IFERROR(IF(--INDEX('Call accounts and MMFs'!$E:$E,ROW())&gt;=1,--INDEX('Call accounts and MMFs'!$E:$E,ROW())/100,--INDEX('Call accounts and MMFs'!$E:$E,ROW())),0)</f>
        <v/>
      </c>
      <c r="O468">
        <f>IFERROR(--INDEX('Call accounts and MMFs'!$F:$F,ROW()),0)</f>
        <v/>
      </c>
      <c r="P468">
        <f>IF(ISNUMBER(INDEX('Call accounts and MMFs'!$E:$E,ROW())),1,0)</f>
        <v/>
      </c>
      <c r="Q468">
        <f>TRIM(SUBSTITUTE(INDEX('Pooled funds'!$B:$B,ROW())&amp;""," "," "))</f>
        <v/>
      </c>
      <c r="R468">
        <f>IFERROR(--INDEX('Pooled funds'!$C:$C,ROW()),0)</f>
        <v/>
      </c>
      <c r="S468">
        <f>IFERROR(--INDEX('Pooled funds'!$D:$D,ROW()),0)</f>
        <v/>
      </c>
      <c r="T468">
        <f>IFERROR(IF(--INDEX('Pooled funds'!$E:$E,ROW())&gt;=1,--INDEX('Pooled funds'!$E:$E,ROW())/100,--INDEX('Pooled funds'!$E:$E,ROW())),0)</f>
        <v/>
      </c>
      <c r="U468">
        <f>IF(ISNUMBER(INDEX('Pooled funds'!$E:$E,ROW())),1,0)</f>
        <v/>
      </c>
      <c r="V468">
        <f>TRIM(SUBSTITUTE(INDEX('Loans'!$A:$A,ROW())&amp;""," "," "))</f>
        <v/>
      </c>
      <c r="W468">
        <f>TRIM(SUBSTITUTE(INDEX('Loans'!$B:$B,ROW())&amp;""," "," "))</f>
        <v/>
      </c>
      <c r="X468">
        <f>TRIM(SUBSTITUTE(INDEX('Loans'!$C:$C,ROW())&amp;""," "," "))</f>
        <v/>
      </c>
      <c r="Y468">
        <f>IFERROR(--INDEX('Loans'!$D:$D,ROW()),0)</f>
        <v/>
      </c>
      <c r="Z468">
        <f>IFERROR(--INDEX('Loans'!$E:$E,ROW()),0)</f>
        <v/>
      </c>
      <c r="AA468">
        <f>IFERROR(--INDEX('Loans'!$F:$F,ROW()),0)</f>
        <v/>
      </c>
      <c r="AB468">
        <f>IFERROR(IF(--INDEX('Loans'!$G:$G,ROW())&gt;=1,--INDEX('Loans'!$G:$G,ROW())/100,--INDEX('Loans'!$G:$G,ROW())),0)</f>
        <v/>
      </c>
      <c r="AC468">
        <f>TRIM(SUBSTITUTE(INDEX('Loans'!$H:$H,ROW())&amp;""," "," "))</f>
        <v/>
      </c>
      <c r="AD468">
        <f>TRIM(SUBSTITUTE(INDEX('Loans'!$I:$I,ROW())&amp;""," "," "))</f>
        <v/>
      </c>
      <c r="AE468">
        <f>IFERROR(--INDEX('Loans'!$J:$J,ROW()),0)</f>
        <v/>
      </c>
      <c r="AF468">
        <f>TRIM(SUBSTITUTE(INDEX('Loans'!$K:$K,ROW())&amp;""," "," "))</f>
        <v/>
      </c>
      <c r="AG468">
        <f>IFERROR(--INDEX('Loans'!$L:$L,ROW()),0)</f>
        <v/>
      </c>
      <c r="AH468">
        <f>IF(ISNUMBER(INDEX('Loans'!$G:$G,ROW())),1,0)</f>
        <v/>
      </c>
    </row>
    <row r="469">
      <c r="A469">
        <f>TRIM(SUBSTITUTE(INDEX('Term investments'!$A:$A,ROW())&amp;""," "," "))</f>
        <v/>
      </c>
      <c r="B469">
        <f>TRIM(SUBSTITUTE(INDEX('Term investments'!$B:$B,ROW())&amp;""," "," "))</f>
        <v/>
      </c>
      <c r="C469">
        <f>TRIM(SUBSTITUTE(INDEX('Term investments'!$C:$C,ROW())&amp;""," "," "))</f>
        <v/>
      </c>
      <c r="D469">
        <f>IFERROR(--INDEX('Term investments'!$D:$D,ROW()),0)</f>
        <v/>
      </c>
      <c r="E469">
        <f>IFERROR(--INDEX('Term investments'!$E:$E,ROW()),0)</f>
        <v/>
      </c>
      <c r="F469">
        <f>IFERROR(--INDEX('Term investments'!$F:$F,ROW()),0)</f>
        <v/>
      </c>
      <c r="G469">
        <f>IFERROR(IF(--INDEX('Term investments'!$G:$G,ROW())&gt;=1,--INDEX('Term investments'!$G:$G,ROW())/100,--INDEX('Term investments'!$G:$G,ROW())),0)</f>
        <v/>
      </c>
      <c r="H469">
        <f>IFERROR(--INDEX('Term investments'!$H:$H,ROW()),0)</f>
        <v/>
      </c>
      <c r="I469">
        <f>IF(ISNUMBER(INDEX('Term investments'!$G:$G,ROW())),1,0)</f>
        <v/>
      </c>
      <c r="J469">
        <f>TRIM(SUBSTITUTE(INDEX('Call accounts and MMFs'!$A:$A,ROW())&amp;""," "," "))</f>
        <v/>
      </c>
      <c r="K469">
        <f>TRIM(SUBSTITUTE(INDEX('Call accounts and MMFs'!$B:$B,ROW())&amp;""," "," "))</f>
        <v/>
      </c>
      <c r="L469">
        <f>TRIM(SUBSTITUTE(INDEX('Call accounts and MMFs'!$C:$C,ROW())&amp;""," "," "))</f>
        <v/>
      </c>
      <c r="M469">
        <f>IFERROR(--INDEX('Call accounts and MMFs'!$D:$D,ROW()),0)</f>
        <v/>
      </c>
      <c r="N469">
        <f>IFERROR(IF(--INDEX('Call accounts and MMFs'!$E:$E,ROW())&gt;=1,--INDEX('Call accounts and MMFs'!$E:$E,ROW())/100,--INDEX('Call accounts and MMFs'!$E:$E,ROW())),0)</f>
        <v/>
      </c>
      <c r="O469">
        <f>IFERROR(--INDEX('Call accounts and MMFs'!$F:$F,ROW()),0)</f>
        <v/>
      </c>
      <c r="P469">
        <f>IF(ISNUMBER(INDEX('Call accounts and MMFs'!$E:$E,ROW())),1,0)</f>
        <v/>
      </c>
      <c r="Q469">
        <f>TRIM(SUBSTITUTE(INDEX('Pooled funds'!$B:$B,ROW())&amp;""," "," "))</f>
        <v/>
      </c>
      <c r="R469">
        <f>IFERROR(--INDEX('Pooled funds'!$C:$C,ROW()),0)</f>
        <v/>
      </c>
      <c r="S469">
        <f>IFERROR(--INDEX('Pooled funds'!$D:$D,ROW()),0)</f>
        <v/>
      </c>
      <c r="T469">
        <f>IFERROR(IF(--INDEX('Pooled funds'!$E:$E,ROW())&gt;=1,--INDEX('Pooled funds'!$E:$E,ROW())/100,--INDEX('Pooled funds'!$E:$E,ROW())),0)</f>
        <v/>
      </c>
      <c r="U469">
        <f>IF(ISNUMBER(INDEX('Pooled funds'!$E:$E,ROW())),1,0)</f>
        <v/>
      </c>
      <c r="V469">
        <f>TRIM(SUBSTITUTE(INDEX('Loans'!$A:$A,ROW())&amp;""," "," "))</f>
        <v/>
      </c>
      <c r="W469">
        <f>TRIM(SUBSTITUTE(INDEX('Loans'!$B:$B,ROW())&amp;""," "," "))</f>
        <v/>
      </c>
      <c r="X469">
        <f>TRIM(SUBSTITUTE(INDEX('Loans'!$C:$C,ROW())&amp;""," "," "))</f>
        <v/>
      </c>
      <c r="Y469">
        <f>IFERROR(--INDEX('Loans'!$D:$D,ROW()),0)</f>
        <v/>
      </c>
      <c r="Z469">
        <f>IFERROR(--INDEX('Loans'!$E:$E,ROW()),0)</f>
        <v/>
      </c>
      <c r="AA469">
        <f>IFERROR(--INDEX('Loans'!$F:$F,ROW()),0)</f>
        <v/>
      </c>
      <c r="AB469">
        <f>IFERROR(IF(--INDEX('Loans'!$G:$G,ROW())&gt;=1,--INDEX('Loans'!$G:$G,ROW())/100,--INDEX('Loans'!$G:$G,ROW())),0)</f>
        <v/>
      </c>
      <c r="AC469">
        <f>TRIM(SUBSTITUTE(INDEX('Loans'!$H:$H,ROW())&amp;""," "," "))</f>
        <v/>
      </c>
      <c r="AD469">
        <f>TRIM(SUBSTITUTE(INDEX('Loans'!$I:$I,ROW())&amp;""," "," "))</f>
        <v/>
      </c>
      <c r="AE469">
        <f>IFERROR(--INDEX('Loans'!$J:$J,ROW()),0)</f>
        <v/>
      </c>
      <c r="AF469">
        <f>TRIM(SUBSTITUTE(INDEX('Loans'!$K:$K,ROW())&amp;""," "," "))</f>
        <v/>
      </c>
      <c r="AG469">
        <f>IFERROR(--INDEX('Loans'!$L:$L,ROW()),0)</f>
        <v/>
      </c>
      <c r="AH469">
        <f>IF(ISNUMBER(INDEX('Loans'!$G:$G,ROW())),1,0)</f>
        <v/>
      </c>
    </row>
    <row r="470">
      <c r="A470">
        <f>TRIM(SUBSTITUTE(INDEX('Term investments'!$A:$A,ROW())&amp;""," "," "))</f>
        <v/>
      </c>
      <c r="B470">
        <f>TRIM(SUBSTITUTE(INDEX('Term investments'!$B:$B,ROW())&amp;""," "," "))</f>
        <v/>
      </c>
      <c r="C470">
        <f>TRIM(SUBSTITUTE(INDEX('Term investments'!$C:$C,ROW())&amp;""," "," "))</f>
        <v/>
      </c>
      <c r="D470">
        <f>IFERROR(--INDEX('Term investments'!$D:$D,ROW()),0)</f>
        <v/>
      </c>
      <c r="E470">
        <f>IFERROR(--INDEX('Term investments'!$E:$E,ROW()),0)</f>
        <v/>
      </c>
      <c r="F470">
        <f>IFERROR(--INDEX('Term investments'!$F:$F,ROW()),0)</f>
        <v/>
      </c>
      <c r="G470">
        <f>IFERROR(IF(--INDEX('Term investments'!$G:$G,ROW())&gt;=1,--INDEX('Term investments'!$G:$G,ROW())/100,--INDEX('Term investments'!$G:$G,ROW())),0)</f>
        <v/>
      </c>
      <c r="H470">
        <f>IFERROR(--INDEX('Term investments'!$H:$H,ROW()),0)</f>
        <v/>
      </c>
      <c r="I470">
        <f>IF(ISNUMBER(INDEX('Term investments'!$G:$G,ROW())),1,0)</f>
        <v/>
      </c>
      <c r="J470">
        <f>TRIM(SUBSTITUTE(INDEX('Call accounts and MMFs'!$A:$A,ROW())&amp;""," "," "))</f>
        <v/>
      </c>
      <c r="K470">
        <f>TRIM(SUBSTITUTE(INDEX('Call accounts and MMFs'!$B:$B,ROW())&amp;""," "," "))</f>
        <v/>
      </c>
      <c r="L470">
        <f>TRIM(SUBSTITUTE(INDEX('Call accounts and MMFs'!$C:$C,ROW())&amp;""," "," "))</f>
        <v/>
      </c>
      <c r="M470">
        <f>IFERROR(--INDEX('Call accounts and MMFs'!$D:$D,ROW()),0)</f>
        <v/>
      </c>
      <c r="N470">
        <f>IFERROR(IF(--INDEX('Call accounts and MMFs'!$E:$E,ROW())&gt;=1,--INDEX('Call accounts and MMFs'!$E:$E,ROW())/100,--INDEX('Call accounts and MMFs'!$E:$E,ROW())),0)</f>
        <v/>
      </c>
      <c r="O470">
        <f>IFERROR(--INDEX('Call accounts and MMFs'!$F:$F,ROW()),0)</f>
        <v/>
      </c>
      <c r="P470">
        <f>IF(ISNUMBER(INDEX('Call accounts and MMFs'!$E:$E,ROW())),1,0)</f>
        <v/>
      </c>
      <c r="Q470">
        <f>TRIM(SUBSTITUTE(INDEX('Pooled funds'!$B:$B,ROW())&amp;""," "," "))</f>
        <v/>
      </c>
      <c r="R470">
        <f>IFERROR(--INDEX('Pooled funds'!$C:$C,ROW()),0)</f>
        <v/>
      </c>
      <c r="S470">
        <f>IFERROR(--INDEX('Pooled funds'!$D:$D,ROW()),0)</f>
        <v/>
      </c>
      <c r="T470">
        <f>IFERROR(IF(--INDEX('Pooled funds'!$E:$E,ROW())&gt;=1,--INDEX('Pooled funds'!$E:$E,ROW())/100,--INDEX('Pooled funds'!$E:$E,ROW())),0)</f>
        <v/>
      </c>
      <c r="U470">
        <f>IF(ISNUMBER(INDEX('Pooled funds'!$E:$E,ROW())),1,0)</f>
        <v/>
      </c>
      <c r="V470">
        <f>TRIM(SUBSTITUTE(INDEX('Loans'!$A:$A,ROW())&amp;""," "," "))</f>
        <v/>
      </c>
      <c r="W470">
        <f>TRIM(SUBSTITUTE(INDEX('Loans'!$B:$B,ROW())&amp;""," "," "))</f>
        <v/>
      </c>
      <c r="X470">
        <f>TRIM(SUBSTITUTE(INDEX('Loans'!$C:$C,ROW())&amp;""," "," "))</f>
        <v/>
      </c>
      <c r="Y470">
        <f>IFERROR(--INDEX('Loans'!$D:$D,ROW()),0)</f>
        <v/>
      </c>
      <c r="Z470">
        <f>IFERROR(--INDEX('Loans'!$E:$E,ROW()),0)</f>
        <v/>
      </c>
      <c r="AA470">
        <f>IFERROR(--INDEX('Loans'!$F:$F,ROW()),0)</f>
        <v/>
      </c>
      <c r="AB470">
        <f>IFERROR(IF(--INDEX('Loans'!$G:$G,ROW())&gt;=1,--INDEX('Loans'!$G:$G,ROW())/100,--INDEX('Loans'!$G:$G,ROW())),0)</f>
        <v/>
      </c>
      <c r="AC470">
        <f>TRIM(SUBSTITUTE(INDEX('Loans'!$H:$H,ROW())&amp;""," "," "))</f>
        <v/>
      </c>
      <c r="AD470">
        <f>TRIM(SUBSTITUTE(INDEX('Loans'!$I:$I,ROW())&amp;""," "," "))</f>
        <v/>
      </c>
      <c r="AE470">
        <f>IFERROR(--INDEX('Loans'!$J:$J,ROW()),0)</f>
        <v/>
      </c>
      <c r="AF470">
        <f>TRIM(SUBSTITUTE(INDEX('Loans'!$K:$K,ROW())&amp;""," "," "))</f>
        <v/>
      </c>
      <c r="AG470">
        <f>IFERROR(--INDEX('Loans'!$L:$L,ROW()),0)</f>
        <v/>
      </c>
      <c r="AH470">
        <f>IF(ISNUMBER(INDEX('Loans'!$G:$G,ROW())),1,0)</f>
        <v/>
      </c>
    </row>
    <row r="471">
      <c r="A471">
        <f>TRIM(SUBSTITUTE(INDEX('Term investments'!$A:$A,ROW())&amp;""," "," "))</f>
        <v/>
      </c>
      <c r="B471">
        <f>TRIM(SUBSTITUTE(INDEX('Term investments'!$B:$B,ROW())&amp;""," "," "))</f>
        <v/>
      </c>
      <c r="C471">
        <f>TRIM(SUBSTITUTE(INDEX('Term investments'!$C:$C,ROW())&amp;""," "," "))</f>
        <v/>
      </c>
      <c r="D471">
        <f>IFERROR(--INDEX('Term investments'!$D:$D,ROW()),0)</f>
        <v/>
      </c>
      <c r="E471">
        <f>IFERROR(--INDEX('Term investments'!$E:$E,ROW()),0)</f>
        <v/>
      </c>
      <c r="F471">
        <f>IFERROR(--INDEX('Term investments'!$F:$F,ROW()),0)</f>
        <v/>
      </c>
      <c r="G471">
        <f>IFERROR(IF(--INDEX('Term investments'!$G:$G,ROW())&gt;=1,--INDEX('Term investments'!$G:$G,ROW())/100,--INDEX('Term investments'!$G:$G,ROW())),0)</f>
        <v/>
      </c>
      <c r="H471">
        <f>IFERROR(--INDEX('Term investments'!$H:$H,ROW()),0)</f>
        <v/>
      </c>
      <c r="I471">
        <f>IF(ISNUMBER(INDEX('Term investments'!$G:$G,ROW())),1,0)</f>
        <v/>
      </c>
      <c r="J471">
        <f>TRIM(SUBSTITUTE(INDEX('Call accounts and MMFs'!$A:$A,ROW())&amp;""," "," "))</f>
        <v/>
      </c>
      <c r="K471">
        <f>TRIM(SUBSTITUTE(INDEX('Call accounts and MMFs'!$B:$B,ROW())&amp;""," "," "))</f>
        <v/>
      </c>
      <c r="L471">
        <f>TRIM(SUBSTITUTE(INDEX('Call accounts and MMFs'!$C:$C,ROW())&amp;""," "," "))</f>
        <v/>
      </c>
      <c r="M471">
        <f>IFERROR(--INDEX('Call accounts and MMFs'!$D:$D,ROW()),0)</f>
        <v/>
      </c>
      <c r="N471">
        <f>IFERROR(IF(--INDEX('Call accounts and MMFs'!$E:$E,ROW())&gt;=1,--INDEX('Call accounts and MMFs'!$E:$E,ROW())/100,--INDEX('Call accounts and MMFs'!$E:$E,ROW())),0)</f>
        <v/>
      </c>
      <c r="O471">
        <f>IFERROR(--INDEX('Call accounts and MMFs'!$F:$F,ROW()),0)</f>
        <v/>
      </c>
      <c r="P471">
        <f>IF(ISNUMBER(INDEX('Call accounts and MMFs'!$E:$E,ROW())),1,0)</f>
        <v/>
      </c>
      <c r="Q471">
        <f>TRIM(SUBSTITUTE(INDEX('Pooled funds'!$B:$B,ROW())&amp;""," "," "))</f>
        <v/>
      </c>
      <c r="R471">
        <f>IFERROR(--INDEX('Pooled funds'!$C:$C,ROW()),0)</f>
        <v/>
      </c>
      <c r="S471">
        <f>IFERROR(--INDEX('Pooled funds'!$D:$D,ROW()),0)</f>
        <v/>
      </c>
      <c r="T471">
        <f>IFERROR(IF(--INDEX('Pooled funds'!$E:$E,ROW())&gt;=1,--INDEX('Pooled funds'!$E:$E,ROW())/100,--INDEX('Pooled funds'!$E:$E,ROW())),0)</f>
        <v/>
      </c>
      <c r="U471">
        <f>IF(ISNUMBER(INDEX('Pooled funds'!$E:$E,ROW())),1,0)</f>
        <v/>
      </c>
      <c r="V471">
        <f>TRIM(SUBSTITUTE(INDEX('Loans'!$A:$A,ROW())&amp;""," "," "))</f>
        <v/>
      </c>
      <c r="W471">
        <f>TRIM(SUBSTITUTE(INDEX('Loans'!$B:$B,ROW())&amp;""," "," "))</f>
        <v/>
      </c>
      <c r="X471">
        <f>TRIM(SUBSTITUTE(INDEX('Loans'!$C:$C,ROW())&amp;""," "," "))</f>
        <v/>
      </c>
      <c r="Y471">
        <f>IFERROR(--INDEX('Loans'!$D:$D,ROW()),0)</f>
        <v/>
      </c>
      <c r="Z471">
        <f>IFERROR(--INDEX('Loans'!$E:$E,ROW()),0)</f>
        <v/>
      </c>
      <c r="AA471">
        <f>IFERROR(--INDEX('Loans'!$F:$F,ROW()),0)</f>
        <v/>
      </c>
      <c r="AB471">
        <f>IFERROR(IF(--INDEX('Loans'!$G:$G,ROW())&gt;=1,--INDEX('Loans'!$G:$G,ROW())/100,--INDEX('Loans'!$G:$G,ROW())),0)</f>
        <v/>
      </c>
      <c r="AC471">
        <f>TRIM(SUBSTITUTE(INDEX('Loans'!$H:$H,ROW())&amp;""," "," "))</f>
        <v/>
      </c>
      <c r="AD471">
        <f>TRIM(SUBSTITUTE(INDEX('Loans'!$I:$I,ROW())&amp;""," "," "))</f>
        <v/>
      </c>
      <c r="AE471">
        <f>IFERROR(--INDEX('Loans'!$J:$J,ROW()),0)</f>
        <v/>
      </c>
      <c r="AF471">
        <f>TRIM(SUBSTITUTE(INDEX('Loans'!$K:$K,ROW())&amp;""," "," "))</f>
        <v/>
      </c>
      <c r="AG471">
        <f>IFERROR(--INDEX('Loans'!$L:$L,ROW()),0)</f>
        <v/>
      </c>
      <c r="AH471">
        <f>IF(ISNUMBER(INDEX('Loans'!$G:$G,ROW())),1,0)</f>
        <v/>
      </c>
    </row>
    <row r="472">
      <c r="A472">
        <f>TRIM(SUBSTITUTE(INDEX('Term investments'!$A:$A,ROW())&amp;""," "," "))</f>
        <v/>
      </c>
      <c r="B472">
        <f>TRIM(SUBSTITUTE(INDEX('Term investments'!$B:$B,ROW())&amp;""," "," "))</f>
        <v/>
      </c>
      <c r="C472">
        <f>TRIM(SUBSTITUTE(INDEX('Term investments'!$C:$C,ROW())&amp;""," "," "))</f>
        <v/>
      </c>
      <c r="D472">
        <f>IFERROR(--INDEX('Term investments'!$D:$D,ROW()),0)</f>
        <v/>
      </c>
      <c r="E472">
        <f>IFERROR(--INDEX('Term investments'!$E:$E,ROW()),0)</f>
        <v/>
      </c>
      <c r="F472">
        <f>IFERROR(--INDEX('Term investments'!$F:$F,ROW()),0)</f>
        <v/>
      </c>
      <c r="G472">
        <f>IFERROR(IF(--INDEX('Term investments'!$G:$G,ROW())&gt;=1,--INDEX('Term investments'!$G:$G,ROW())/100,--INDEX('Term investments'!$G:$G,ROW())),0)</f>
        <v/>
      </c>
      <c r="H472">
        <f>IFERROR(--INDEX('Term investments'!$H:$H,ROW()),0)</f>
        <v/>
      </c>
      <c r="I472">
        <f>IF(ISNUMBER(INDEX('Term investments'!$G:$G,ROW())),1,0)</f>
        <v/>
      </c>
      <c r="J472">
        <f>TRIM(SUBSTITUTE(INDEX('Call accounts and MMFs'!$A:$A,ROW())&amp;""," "," "))</f>
        <v/>
      </c>
      <c r="K472">
        <f>TRIM(SUBSTITUTE(INDEX('Call accounts and MMFs'!$B:$B,ROW())&amp;""," "," "))</f>
        <v/>
      </c>
      <c r="L472">
        <f>TRIM(SUBSTITUTE(INDEX('Call accounts and MMFs'!$C:$C,ROW())&amp;""," "," "))</f>
        <v/>
      </c>
      <c r="M472">
        <f>IFERROR(--INDEX('Call accounts and MMFs'!$D:$D,ROW()),0)</f>
        <v/>
      </c>
      <c r="N472">
        <f>IFERROR(IF(--INDEX('Call accounts and MMFs'!$E:$E,ROW())&gt;=1,--INDEX('Call accounts and MMFs'!$E:$E,ROW())/100,--INDEX('Call accounts and MMFs'!$E:$E,ROW())),0)</f>
        <v/>
      </c>
      <c r="O472">
        <f>IFERROR(--INDEX('Call accounts and MMFs'!$F:$F,ROW()),0)</f>
        <v/>
      </c>
      <c r="P472">
        <f>IF(ISNUMBER(INDEX('Call accounts and MMFs'!$E:$E,ROW())),1,0)</f>
        <v/>
      </c>
      <c r="Q472">
        <f>TRIM(SUBSTITUTE(INDEX('Pooled funds'!$B:$B,ROW())&amp;""," "," "))</f>
        <v/>
      </c>
      <c r="R472">
        <f>IFERROR(--INDEX('Pooled funds'!$C:$C,ROW()),0)</f>
        <v/>
      </c>
      <c r="S472">
        <f>IFERROR(--INDEX('Pooled funds'!$D:$D,ROW()),0)</f>
        <v/>
      </c>
      <c r="T472">
        <f>IFERROR(IF(--INDEX('Pooled funds'!$E:$E,ROW())&gt;=1,--INDEX('Pooled funds'!$E:$E,ROW())/100,--INDEX('Pooled funds'!$E:$E,ROW())),0)</f>
        <v/>
      </c>
      <c r="U472">
        <f>IF(ISNUMBER(INDEX('Pooled funds'!$E:$E,ROW())),1,0)</f>
        <v/>
      </c>
      <c r="V472">
        <f>TRIM(SUBSTITUTE(INDEX('Loans'!$A:$A,ROW())&amp;""," "," "))</f>
        <v/>
      </c>
      <c r="W472">
        <f>TRIM(SUBSTITUTE(INDEX('Loans'!$B:$B,ROW())&amp;""," "," "))</f>
        <v/>
      </c>
      <c r="X472">
        <f>TRIM(SUBSTITUTE(INDEX('Loans'!$C:$C,ROW())&amp;""," "," "))</f>
        <v/>
      </c>
      <c r="Y472">
        <f>IFERROR(--INDEX('Loans'!$D:$D,ROW()),0)</f>
        <v/>
      </c>
      <c r="Z472">
        <f>IFERROR(--INDEX('Loans'!$E:$E,ROW()),0)</f>
        <v/>
      </c>
      <c r="AA472">
        <f>IFERROR(--INDEX('Loans'!$F:$F,ROW()),0)</f>
        <v/>
      </c>
      <c r="AB472">
        <f>IFERROR(IF(--INDEX('Loans'!$G:$G,ROW())&gt;=1,--INDEX('Loans'!$G:$G,ROW())/100,--INDEX('Loans'!$G:$G,ROW())),0)</f>
        <v/>
      </c>
      <c r="AC472">
        <f>TRIM(SUBSTITUTE(INDEX('Loans'!$H:$H,ROW())&amp;""," "," "))</f>
        <v/>
      </c>
      <c r="AD472">
        <f>TRIM(SUBSTITUTE(INDEX('Loans'!$I:$I,ROW())&amp;""," "," "))</f>
        <v/>
      </c>
      <c r="AE472">
        <f>IFERROR(--INDEX('Loans'!$J:$J,ROW()),0)</f>
        <v/>
      </c>
      <c r="AF472">
        <f>TRIM(SUBSTITUTE(INDEX('Loans'!$K:$K,ROW())&amp;""," "," "))</f>
        <v/>
      </c>
      <c r="AG472">
        <f>IFERROR(--INDEX('Loans'!$L:$L,ROW()),0)</f>
        <v/>
      </c>
      <c r="AH472">
        <f>IF(ISNUMBER(INDEX('Loans'!$G:$G,ROW())),1,0)</f>
        <v/>
      </c>
    </row>
    <row r="473">
      <c r="A473">
        <f>TRIM(SUBSTITUTE(INDEX('Term investments'!$A:$A,ROW())&amp;""," "," "))</f>
        <v/>
      </c>
      <c r="B473">
        <f>TRIM(SUBSTITUTE(INDEX('Term investments'!$B:$B,ROW())&amp;""," "," "))</f>
        <v/>
      </c>
      <c r="C473">
        <f>TRIM(SUBSTITUTE(INDEX('Term investments'!$C:$C,ROW())&amp;""," "," "))</f>
        <v/>
      </c>
      <c r="D473">
        <f>IFERROR(--INDEX('Term investments'!$D:$D,ROW()),0)</f>
        <v/>
      </c>
      <c r="E473">
        <f>IFERROR(--INDEX('Term investments'!$E:$E,ROW()),0)</f>
        <v/>
      </c>
      <c r="F473">
        <f>IFERROR(--INDEX('Term investments'!$F:$F,ROW()),0)</f>
        <v/>
      </c>
      <c r="G473">
        <f>IFERROR(IF(--INDEX('Term investments'!$G:$G,ROW())&gt;=1,--INDEX('Term investments'!$G:$G,ROW())/100,--INDEX('Term investments'!$G:$G,ROW())),0)</f>
        <v/>
      </c>
      <c r="H473">
        <f>IFERROR(--INDEX('Term investments'!$H:$H,ROW()),0)</f>
        <v/>
      </c>
      <c r="I473">
        <f>IF(ISNUMBER(INDEX('Term investments'!$G:$G,ROW())),1,0)</f>
        <v/>
      </c>
      <c r="J473">
        <f>TRIM(SUBSTITUTE(INDEX('Call accounts and MMFs'!$A:$A,ROW())&amp;""," "," "))</f>
        <v/>
      </c>
      <c r="K473">
        <f>TRIM(SUBSTITUTE(INDEX('Call accounts and MMFs'!$B:$B,ROW())&amp;""," "," "))</f>
        <v/>
      </c>
      <c r="L473">
        <f>TRIM(SUBSTITUTE(INDEX('Call accounts and MMFs'!$C:$C,ROW())&amp;""," "," "))</f>
        <v/>
      </c>
      <c r="M473">
        <f>IFERROR(--INDEX('Call accounts and MMFs'!$D:$D,ROW()),0)</f>
        <v/>
      </c>
      <c r="N473">
        <f>IFERROR(IF(--INDEX('Call accounts and MMFs'!$E:$E,ROW())&gt;=1,--INDEX('Call accounts and MMFs'!$E:$E,ROW())/100,--INDEX('Call accounts and MMFs'!$E:$E,ROW())),0)</f>
        <v/>
      </c>
      <c r="O473">
        <f>IFERROR(--INDEX('Call accounts and MMFs'!$F:$F,ROW()),0)</f>
        <v/>
      </c>
      <c r="P473">
        <f>IF(ISNUMBER(INDEX('Call accounts and MMFs'!$E:$E,ROW())),1,0)</f>
        <v/>
      </c>
      <c r="Q473">
        <f>TRIM(SUBSTITUTE(INDEX('Pooled funds'!$B:$B,ROW())&amp;""," "," "))</f>
        <v/>
      </c>
      <c r="R473">
        <f>IFERROR(--INDEX('Pooled funds'!$C:$C,ROW()),0)</f>
        <v/>
      </c>
      <c r="S473">
        <f>IFERROR(--INDEX('Pooled funds'!$D:$D,ROW()),0)</f>
        <v/>
      </c>
      <c r="T473">
        <f>IFERROR(IF(--INDEX('Pooled funds'!$E:$E,ROW())&gt;=1,--INDEX('Pooled funds'!$E:$E,ROW())/100,--INDEX('Pooled funds'!$E:$E,ROW())),0)</f>
        <v/>
      </c>
      <c r="U473">
        <f>IF(ISNUMBER(INDEX('Pooled funds'!$E:$E,ROW())),1,0)</f>
        <v/>
      </c>
      <c r="V473">
        <f>TRIM(SUBSTITUTE(INDEX('Loans'!$A:$A,ROW())&amp;""," "," "))</f>
        <v/>
      </c>
      <c r="W473">
        <f>TRIM(SUBSTITUTE(INDEX('Loans'!$B:$B,ROW())&amp;""," "," "))</f>
        <v/>
      </c>
      <c r="X473">
        <f>TRIM(SUBSTITUTE(INDEX('Loans'!$C:$C,ROW())&amp;""," "," "))</f>
        <v/>
      </c>
      <c r="Y473">
        <f>IFERROR(--INDEX('Loans'!$D:$D,ROW()),0)</f>
        <v/>
      </c>
      <c r="Z473">
        <f>IFERROR(--INDEX('Loans'!$E:$E,ROW()),0)</f>
        <v/>
      </c>
      <c r="AA473">
        <f>IFERROR(--INDEX('Loans'!$F:$F,ROW()),0)</f>
        <v/>
      </c>
      <c r="AB473">
        <f>IFERROR(IF(--INDEX('Loans'!$G:$G,ROW())&gt;=1,--INDEX('Loans'!$G:$G,ROW())/100,--INDEX('Loans'!$G:$G,ROW())),0)</f>
        <v/>
      </c>
      <c r="AC473">
        <f>TRIM(SUBSTITUTE(INDEX('Loans'!$H:$H,ROW())&amp;""," "," "))</f>
        <v/>
      </c>
      <c r="AD473">
        <f>TRIM(SUBSTITUTE(INDEX('Loans'!$I:$I,ROW())&amp;""," "," "))</f>
        <v/>
      </c>
      <c r="AE473">
        <f>IFERROR(--INDEX('Loans'!$J:$J,ROW()),0)</f>
        <v/>
      </c>
      <c r="AF473">
        <f>TRIM(SUBSTITUTE(INDEX('Loans'!$K:$K,ROW())&amp;""," "," "))</f>
        <v/>
      </c>
      <c r="AG473">
        <f>IFERROR(--INDEX('Loans'!$L:$L,ROW()),0)</f>
        <v/>
      </c>
      <c r="AH473">
        <f>IF(ISNUMBER(INDEX('Loans'!$G:$G,ROW())),1,0)</f>
        <v/>
      </c>
    </row>
    <row r="474">
      <c r="A474">
        <f>TRIM(SUBSTITUTE(INDEX('Term investments'!$A:$A,ROW())&amp;""," "," "))</f>
        <v/>
      </c>
      <c r="B474">
        <f>TRIM(SUBSTITUTE(INDEX('Term investments'!$B:$B,ROW())&amp;""," "," "))</f>
        <v/>
      </c>
      <c r="C474">
        <f>TRIM(SUBSTITUTE(INDEX('Term investments'!$C:$C,ROW())&amp;""," "," "))</f>
        <v/>
      </c>
      <c r="D474">
        <f>IFERROR(--INDEX('Term investments'!$D:$D,ROW()),0)</f>
        <v/>
      </c>
      <c r="E474">
        <f>IFERROR(--INDEX('Term investments'!$E:$E,ROW()),0)</f>
        <v/>
      </c>
      <c r="F474">
        <f>IFERROR(--INDEX('Term investments'!$F:$F,ROW()),0)</f>
        <v/>
      </c>
      <c r="G474">
        <f>IFERROR(IF(--INDEX('Term investments'!$G:$G,ROW())&gt;=1,--INDEX('Term investments'!$G:$G,ROW())/100,--INDEX('Term investments'!$G:$G,ROW())),0)</f>
        <v/>
      </c>
      <c r="H474">
        <f>IFERROR(--INDEX('Term investments'!$H:$H,ROW()),0)</f>
        <v/>
      </c>
      <c r="I474">
        <f>IF(ISNUMBER(INDEX('Term investments'!$G:$G,ROW())),1,0)</f>
        <v/>
      </c>
      <c r="J474">
        <f>TRIM(SUBSTITUTE(INDEX('Call accounts and MMFs'!$A:$A,ROW())&amp;""," "," "))</f>
        <v/>
      </c>
      <c r="K474">
        <f>TRIM(SUBSTITUTE(INDEX('Call accounts and MMFs'!$B:$B,ROW())&amp;""," "," "))</f>
        <v/>
      </c>
      <c r="L474">
        <f>TRIM(SUBSTITUTE(INDEX('Call accounts and MMFs'!$C:$C,ROW())&amp;""," "," "))</f>
        <v/>
      </c>
      <c r="M474">
        <f>IFERROR(--INDEX('Call accounts and MMFs'!$D:$D,ROW()),0)</f>
        <v/>
      </c>
      <c r="N474">
        <f>IFERROR(IF(--INDEX('Call accounts and MMFs'!$E:$E,ROW())&gt;=1,--INDEX('Call accounts and MMFs'!$E:$E,ROW())/100,--INDEX('Call accounts and MMFs'!$E:$E,ROW())),0)</f>
        <v/>
      </c>
      <c r="O474">
        <f>IFERROR(--INDEX('Call accounts and MMFs'!$F:$F,ROW()),0)</f>
        <v/>
      </c>
      <c r="P474">
        <f>IF(ISNUMBER(INDEX('Call accounts and MMFs'!$E:$E,ROW())),1,0)</f>
        <v/>
      </c>
      <c r="Q474">
        <f>TRIM(SUBSTITUTE(INDEX('Pooled funds'!$B:$B,ROW())&amp;""," "," "))</f>
        <v/>
      </c>
      <c r="R474">
        <f>IFERROR(--INDEX('Pooled funds'!$C:$C,ROW()),0)</f>
        <v/>
      </c>
      <c r="S474">
        <f>IFERROR(--INDEX('Pooled funds'!$D:$D,ROW()),0)</f>
        <v/>
      </c>
      <c r="T474">
        <f>IFERROR(IF(--INDEX('Pooled funds'!$E:$E,ROW())&gt;=1,--INDEX('Pooled funds'!$E:$E,ROW())/100,--INDEX('Pooled funds'!$E:$E,ROW())),0)</f>
        <v/>
      </c>
      <c r="U474">
        <f>IF(ISNUMBER(INDEX('Pooled funds'!$E:$E,ROW())),1,0)</f>
        <v/>
      </c>
      <c r="V474">
        <f>TRIM(SUBSTITUTE(INDEX('Loans'!$A:$A,ROW())&amp;""," "," "))</f>
        <v/>
      </c>
      <c r="W474">
        <f>TRIM(SUBSTITUTE(INDEX('Loans'!$B:$B,ROW())&amp;""," "," "))</f>
        <v/>
      </c>
      <c r="X474">
        <f>TRIM(SUBSTITUTE(INDEX('Loans'!$C:$C,ROW())&amp;""," "," "))</f>
        <v/>
      </c>
      <c r="Y474">
        <f>IFERROR(--INDEX('Loans'!$D:$D,ROW()),0)</f>
        <v/>
      </c>
      <c r="Z474">
        <f>IFERROR(--INDEX('Loans'!$E:$E,ROW()),0)</f>
        <v/>
      </c>
      <c r="AA474">
        <f>IFERROR(--INDEX('Loans'!$F:$F,ROW()),0)</f>
        <v/>
      </c>
      <c r="AB474">
        <f>IFERROR(IF(--INDEX('Loans'!$G:$G,ROW())&gt;=1,--INDEX('Loans'!$G:$G,ROW())/100,--INDEX('Loans'!$G:$G,ROW())),0)</f>
        <v/>
      </c>
      <c r="AC474">
        <f>TRIM(SUBSTITUTE(INDEX('Loans'!$H:$H,ROW())&amp;""," "," "))</f>
        <v/>
      </c>
      <c r="AD474">
        <f>TRIM(SUBSTITUTE(INDEX('Loans'!$I:$I,ROW())&amp;""," "," "))</f>
        <v/>
      </c>
      <c r="AE474">
        <f>IFERROR(--INDEX('Loans'!$J:$J,ROW()),0)</f>
        <v/>
      </c>
      <c r="AF474">
        <f>TRIM(SUBSTITUTE(INDEX('Loans'!$K:$K,ROW())&amp;""," "," "))</f>
        <v/>
      </c>
      <c r="AG474">
        <f>IFERROR(--INDEX('Loans'!$L:$L,ROW()),0)</f>
        <v/>
      </c>
      <c r="AH474">
        <f>IF(ISNUMBER(INDEX('Loans'!$G:$G,ROW())),1,0)</f>
        <v/>
      </c>
    </row>
    <row r="475">
      <c r="A475">
        <f>TRIM(SUBSTITUTE(INDEX('Term investments'!$A:$A,ROW())&amp;""," "," "))</f>
        <v/>
      </c>
      <c r="B475">
        <f>TRIM(SUBSTITUTE(INDEX('Term investments'!$B:$B,ROW())&amp;""," "," "))</f>
        <v/>
      </c>
      <c r="C475">
        <f>TRIM(SUBSTITUTE(INDEX('Term investments'!$C:$C,ROW())&amp;""," "," "))</f>
        <v/>
      </c>
      <c r="D475">
        <f>IFERROR(--INDEX('Term investments'!$D:$D,ROW()),0)</f>
        <v/>
      </c>
      <c r="E475">
        <f>IFERROR(--INDEX('Term investments'!$E:$E,ROW()),0)</f>
        <v/>
      </c>
      <c r="F475">
        <f>IFERROR(--INDEX('Term investments'!$F:$F,ROW()),0)</f>
        <v/>
      </c>
      <c r="G475">
        <f>IFERROR(IF(--INDEX('Term investments'!$G:$G,ROW())&gt;=1,--INDEX('Term investments'!$G:$G,ROW())/100,--INDEX('Term investments'!$G:$G,ROW())),0)</f>
        <v/>
      </c>
      <c r="H475">
        <f>IFERROR(--INDEX('Term investments'!$H:$H,ROW()),0)</f>
        <v/>
      </c>
      <c r="I475">
        <f>IF(ISNUMBER(INDEX('Term investments'!$G:$G,ROW())),1,0)</f>
        <v/>
      </c>
      <c r="J475">
        <f>TRIM(SUBSTITUTE(INDEX('Call accounts and MMFs'!$A:$A,ROW())&amp;""," "," "))</f>
        <v/>
      </c>
      <c r="K475">
        <f>TRIM(SUBSTITUTE(INDEX('Call accounts and MMFs'!$B:$B,ROW())&amp;""," "," "))</f>
        <v/>
      </c>
      <c r="L475">
        <f>TRIM(SUBSTITUTE(INDEX('Call accounts and MMFs'!$C:$C,ROW())&amp;""," "," "))</f>
        <v/>
      </c>
      <c r="M475">
        <f>IFERROR(--INDEX('Call accounts and MMFs'!$D:$D,ROW()),0)</f>
        <v/>
      </c>
      <c r="N475">
        <f>IFERROR(IF(--INDEX('Call accounts and MMFs'!$E:$E,ROW())&gt;=1,--INDEX('Call accounts and MMFs'!$E:$E,ROW())/100,--INDEX('Call accounts and MMFs'!$E:$E,ROW())),0)</f>
        <v/>
      </c>
      <c r="O475">
        <f>IFERROR(--INDEX('Call accounts and MMFs'!$F:$F,ROW()),0)</f>
        <v/>
      </c>
      <c r="P475">
        <f>IF(ISNUMBER(INDEX('Call accounts and MMFs'!$E:$E,ROW())),1,0)</f>
        <v/>
      </c>
      <c r="Q475">
        <f>TRIM(SUBSTITUTE(INDEX('Pooled funds'!$B:$B,ROW())&amp;""," "," "))</f>
        <v/>
      </c>
      <c r="R475">
        <f>IFERROR(--INDEX('Pooled funds'!$C:$C,ROW()),0)</f>
        <v/>
      </c>
      <c r="S475">
        <f>IFERROR(--INDEX('Pooled funds'!$D:$D,ROW()),0)</f>
        <v/>
      </c>
      <c r="T475">
        <f>IFERROR(IF(--INDEX('Pooled funds'!$E:$E,ROW())&gt;=1,--INDEX('Pooled funds'!$E:$E,ROW())/100,--INDEX('Pooled funds'!$E:$E,ROW())),0)</f>
        <v/>
      </c>
      <c r="U475">
        <f>IF(ISNUMBER(INDEX('Pooled funds'!$E:$E,ROW())),1,0)</f>
        <v/>
      </c>
      <c r="V475">
        <f>TRIM(SUBSTITUTE(INDEX('Loans'!$A:$A,ROW())&amp;""," "," "))</f>
        <v/>
      </c>
      <c r="W475">
        <f>TRIM(SUBSTITUTE(INDEX('Loans'!$B:$B,ROW())&amp;""," "," "))</f>
        <v/>
      </c>
      <c r="X475">
        <f>TRIM(SUBSTITUTE(INDEX('Loans'!$C:$C,ROW())&amp;""," "," "))</f>
        <v/>
      </c>
      <c r="Y475">
        <f>IFERROR(--INDEX('Loans'!$D:$D,ROW()),0)</f>
        <v/>
      </c>
      <c r="Z475">
        <f>IFERROR(--INDEX('Loans'!$E:$E,ROW()),0)</f>
        <v/>
      </c>
      <c r="AA475">
        <f>IFERROR(--INDEX('Loans'!$F:$F,ROW()),0)</f>
        <v/>
      </c>
      <c r="AB475">
        <f>IFERROR(IF(--INDEX('Loans'!$G:$G,ROW())&gt;=1,--INDEX('Loans'!$G:$G,ROW())/100,--INDEX('Loans'!$G:$G,ROW())),0)</f>
        <v/>
      </c>
      <c r="AC475">
        <f>TRIM(SUBSTITUTE(INDEX('Loans'!$H:$H,ROW())&amp;""," "," "))</f>
        <v/>
      </c>
      <c r="AD475">
        <f>TRIM(SUBSTITUTE(INDEX('Loans'!$I:$I,ROW())&amp;""," "," "))</f>
        <v/>
      </c>
      <c r="AE475">
        <f>IFERROR(--INDEX('Loans'!$J:$J,ROW()),0)</f>
        <v/>
      </c>
      <c r="AF475">
        <f>TRIM(SUBSTITUTE(INDEX('Loans'!$K:$K,ROW())&amp;""," "," "))</f>
        <v/>
      </c>
      <c r="AG475">
        <f>IFERROR(--INDEX('Loans'!$L:$L,ROW()),0)</f>
        <v/>
      </c>
      <c r="AH475">
        <f>IF(ISNUMBER(INDEX('Loans'!$G:$G,ROW())),1,0)</f>
        <v/>
      </c>
    </row>
    <row r="476">
      <c r="A476">
        <f>TRIM(SUBSTITUTE(INDEX('Term investments'!$A:$A,ROW())&amp;""," "," "))</f>
        <v/>
      </c>
      <c r="B476">
        <f>TRIM(SUBSTITUTE(INDEX('Term investments'!$B:$B,ROW())&amp;""," "," "))</f>
        <v/>
      </c>
      <c r="C476">
        <f>TRIM(SUBSTITUTE(INDEX('Term investments'!$C:$C,ROW())&amp;""," "," "))</f>
        <v/>
      </c>
      <c r="D476">
        <f>IFERROR(--INDEX('Term investments'!$D:$D,ROW()),0)</f>
        <v/>
      </c>
      <c r="E476">
        <f>IFERROR(--INDEX('Term investments'!$E:$E,ROW()),0)</f>
        <v/>
      </c>
      <c r="F476">
        <f>IFERROR(--INDEX('Term investments'!$F:$F,ROW()),0)</f>
        <v/>
      </c>
      <c r="G476">
        <f>IFERROR(IF(--INDEX('Term investments'!$G:$G,ROW())&gt;=1,--INDEX('Term investments'!$G:$G,ROW())/100,--INDEX('Term investments'!$G:$G,ROW())),0)</f>
        <v/>
      </c>
      <c r="H476">
        <f>IFERROR(--INDEX('Term investments'!$H:$H,ROW()),0)</f>
        <v/>
      </c>
      <c r="I476">
        <f>IF(ISNUMBER(INDEX('Term investments'!$G:$G,ROW())),1,0)</f>
        <v/>
      </c>
      <c r="J476">
        <f>TRIM(SUBSTITUTE(INDEX('Call accounts and MMFs'!$A:$A,ROW())&amp;""," "," "))</f>
        <v/>
      </c>
      <c r="K476">
        <f>TRIM(SUBSTITUTE(INDEX('Call accounts and MMFs'!$B:$B,ROW())&amp;""," "," "))</f>
        <v/>
      </c>
      <c r="L476">
        <f>TRIM(SUBSTITUTE(INDEX('Call accounts and MMFs'!$C:$C,ROW())&amp;""," "," "))</f>
        <v/>
      </c>
      <c r="M476">
        <f>IFERROR(--INDEX('Call accounts and MMFs'!$D:$D,ROW()),0)</f>
        <v/>
      </c>
      <c r="N476">
        <f>IFERROR(IF(--INDEX('Call accounts and MMFs'!$E:$E,ROW())&gt;=1,--INDEX('Call accounts and MMFs'!$E:$E,ROW())/100,--INDEX('Call accounts and MMFs'!$E:$E,ROW())),0)</f>
        <v/>
      </c>
      <c r="O476">
        <f>IFERROR(--INDEX('Call accounts and MMFs'!$F:$F,ROW()),0)</f>
        <v/>
      </c>
      <c r="P476">
        <f>IF(ISNUMBER(INDEX('Call accounts and MMFs'!$E:$E,ROW())),1,0)</f>
        <v/>
      </c>
      <c r="Q476">
        <f>TRIM(SUBSTITUTE(INDEX('Pooled funds'!$B:$B,ROW())&amp;""," "," "))</f>
        <v/>
      </c>
      <c r="R476">
        <f>IFERROR(--INDEX('Pooled funds'!$C:$C,ROW()),0)</f>
        <v/>
      </c>
      <c r="S476">
        <f>IFERROR(--INDEX('Pooled funds'!$D:$D,ROW()),0)</f>
        <v/>
      </c>
      <c r="T476">
        <f>IFERROR(IF(--INDEX('Pooled funds'!$E:$E,ROW())&gt;=1,--INDEX('Pooled funds'!$E:$E,ROW())/100,--INDEX('Pooled funds'!$E:$E,ROW())),0)</f>
        <v/>
      </c>
      <c r="U476">
        <f>IF(ISNUMBER(INDEX('Pooled funds'!$E:$E,ROW())),1,0)</f>
        <v/>
      </c>
      <c r="V476">
        <f>TRIM(SUBSTITUTE(INDEX('Loans'!$A:$A,ROW())&amp;""," "," "))</f>
        <v/>
      </c>
      <c r="W476">
        <f>TRIM(SUBSTITUTE(INDEX('Loans'!$B:$B,ROW())&amp;""," "," "))</f>
        <v/>
      </c>
      <c r="X476">
        <f>TRIM(SUBSTITUTE(INDEX('Loans'!$C:$C,ROW())&amp;""," "," "))</f>
        <v/>
      </c>
      <c r="Y476">
        <f>IFERROR(--INDEX('Loans'!$D:$D,ROW()),0)</f>
        <v/>
      </c>
      <c r="Z476">
        <f>IFERROR(--INDEX('Loans'!$E:$E,ROW()),0)</f>
        <v/>
      </c>
      <c r="AA476">
        <f>IFERROR(--INDEX('Loans'!$F:$F,ROW()),0)</f>
        <v/>
      </c>
      <c r="AB476">
        <f>IFERROR(IF(--INDEX('Loans'!$G:$G,ROW())&gt;=1,--INDEX('Loans'!$G:$G,ROW())/100,--INDEX('Loans'!$G:$G,ROW())),0)</f>
        <v/>
      </c>
      <c r="AC476">
        <f>TRIM(SUBSTITUTE(INDEX('Loans'!$H:$H,ROW())&amp;""," "," "))</f>
        <v/>
      </c>
      <c r="AD476">
        <f>TRIM(SUBSTITUTE(INDEX('Loans'!$I:$I,ROW())&amp;""," "," "))</f>
        <v/>
      </c>
      <c r="AE476">
        <f>IFERROR(--INDEX('Loans'!$J:$J,ROW()),0)</f>
        <v/>
      </c>
      <c r="AF476">
        <f>TRIM(SUBSTITUTE(INDEX('Loans'!$K:$K,ROW())&amp;""," "," "))</f>
        <v/>
      </c>
      <c r="AG476">
        <f>IFERROR(--INDEX('Loans'!$L:$L,ROW()),0)</f>
        <v/>
      </c>
      <c r="AH476">
        <f>IF(ISNUMBER(INDEX('Loans'!$G:$G,ROW())),1,0)</f>
        <v/>
      </c>
    </row>
    <row r="477">
      <c r="A477">
        <f>TRIM(SUBSTITUTE(INDEX('Term investments'!$A:$A,ROW())&amp;""," "," "))</f>
        <v/>
      </c>
      <c r="B477">
        <f>TRIM(SUBSTITUTE(INDEX('Term investments'!$B:$B,ROW())&amp;""," "," "))</f>
        <v/>
      </c>
      <c r="C477">
        <f>TRIM(SUBSTITUTE(INDEX('Term investments'!$C:$C,ROW())&amp;""," "," "))</f>
        <v/>
      </c>
      <c r="D477">
        <f>IFERROR(--INDEX('Term investments'!$D:$D,ROW()),0)</f>
        <v/>
      </c>
      <c r="E477">
        <f>IFERROR(--INDEX('Term investments'!$E:$E,ROW()),0)</f>
        <v/>
      </c>
      <c r="F477">
        <f>IFERROR(--INDEX('Term investments'!$F:$F,ROW()),0)</f>
        <v/>
      </c>
      <c r="G477">
        <f>IFERROR(IF(--INDEX('Term investments'!$G:$G,ROW())&gt;=1,--INDEX('Term investments'!$G:$G,ROW())/100,--INDEX('Term investments'!$G:$G,ROW())),0)</f>
        <v/>
      </c>
      <c r="H477">
        <f>IFERROR(--INDEX('Term investments'!$H:$H,ROW()),0)</f>
        <v/>
      </c>
      <c r="I477">
        <f>IF(ISNUMBER(INDEX('Term investments'!$G:$G,ROW())),1,0)</f>
        <v/>
      </c>
      <c r="J477">
        <f>TRIM(SUBSTITUTE(INDEX('Call accounts and MMFs'!$A:$A,ROW())&amp;""," "," "))</f>
        <v/>
      </c>
      <c r="K477">
        <f>TRIM(SUBSTITUTE(INDEX('Call accounts and MMFs'!$B:$B,ROW())&amp;""," "," "))</f>
        <v/>
      </c>
      <c r="L477">
        <f>TRIM(SUBSTITUTE(INDEX('Call accounts and MMFs'!$C:$C,ROW())&amp;""," "," "))</f>
        <v/>
      </c>
      <c r="M477">
        <f>IFERROR(--INDEX('Call accounts and MMFs'!$D:$D,ROW()),0)</f>
        <v/>
      </c>
      <c r="N477">
        <f>IFERROR(IF(--INDEX('Call accounts and MMFs'!$E:$E,ROW())&gt;=1,--INDEX('Call accounts and MMFs'!$E:$E,ROW())/100,--INDEX('Call accounts and MMFs'!$E:$E,ROW())),0)</f>
        <v/>
      </c>
      <c r="O477">
        <f>IFERROR(--INDEX('Call accounts and MMFs'!$F:$F,ROW()),0)</f>
        <v/>
      </c>
      <c r="P477">
        <f>IF(ISNUMBER(INDEX('Call accounts and MMFs'!$E:$E,ROW())),1,0)</f>
        <v/>
      </c>
      <c r="Q477">
        <f>TRIM(SUBSTITUTE(INDEX('Pooled funds'!$B:$B,ROW())&amp;""," "," "))</f>
        <v/>
      </c>
      <c r="R477">
        <f>IFERROR(--INDEX('Pooled funds'!$C:$C,ROW()),0)</f>
        <v/>
      </c>
      <c r="S477">
        <f>IFERROR(--INDEX('Pooled funds'!$D:$D,ROW()),0)</f>
        <v/>
      </c>
      <c r="T477">
        <f>IFERROR(IF(--INDEX('Pooled funds'!$E:$E,ROW())&gt;=1,--INDEX('Pooled funds'!$E:$E,ROW())/100,--INDEX('Pooled funds'!$E:$E,ROW())),0)</f>
        <v/>
      </c>
      <c r="U477">
        <f>IF(ISNUMBER(INDEX('Pooled funds'!$E:$E,ROW())),1,0)</f>
        <v/>
      </c>
      <c r="V477">
        <f>TRIM(SUBSTITUTE(INDEX('Loans'!$A:$A,ROW())&amp;""," "," "))</f>
        <v/>
      </c>
      <c r="W477">
        <f>TRIM(SUBSTITUTE(INDEX('Loans'!$B:$B,ROW())&amp;""," "," "))</f>
        <v/>
      </c>
      <c r="X477">
        <f>TRIM(SUBSTITUTE(INDEX('Loans'!$C:$C,ROW())&amp;""," "," "))</f>
        <v/>
      </c>
      <c r="Y477">
        <f>IFERROR(--INDEX('Loans'!$D:$D,ROW()),0)</f>
        <v/>
      </c>
      <c r="Z477">
        <f>IFERROR(--INDEX('Loans'!$E:$E,ROW()),0)</f>
        <v/>
      </c>
      <c r="AA477">
        <f>IFERROR(--INDEX('Loans'!$F:$F,ROW()),0)</f>
        <v/>
      </c>
      <c r="AB477">
        <f>IFERROR(IF(--INDEX('Loans'!$G:$G,ROW())&gt;=1,--INDEX('Loans'!$G:$G,ROW())/100,--INDEX('Loans'!$G:$G,ROW())),0)</f>
        <v/>
      </c>
      <c r="AC477">
        <f>TRIM(SUBSTITUTE(INDEX('Loans'!$H:$H,ROW())&amp;""," "," "))</f>
        <v/>
      </c>
      <c r="AD477">
        <f>TRIM(SUBSTITUTE(INDEX('Loans'!$I:$I,ROW())&amp;""," "," "))</f>
        <v/>
      </c>
      <c r="AE477">
        <f>IFERROR(--INDEX('Loans'!$J:$J,ROW()),0)</f>
        <v/>
      </c>
      <c r="AF477">
        <f>TRIM(SUBSTITUTE(INDEX('Loans'!$K:$K,ROW())&amp;""," "," "))</f>
        <v/>
      </c>
      <c r="AG477">
        <f>IFERROR(--INDEX('Loans'!$L:$L,ROW()),0)</f>
        <v/>
      </c>
      <c r="AH477">
        <f>IF(ISNUMBER(INDEX('Loans'!$G:$G,ROW())),1,0)</f>
        <v/>
      </c>
    </row>
    <row r="478">
      <c r="A478">
        <f>TRIM(SUBSTITUTE(INDEX('Term investments'!$A:$A,ROW())&amp;""," "," "))</f>
        <v/>
      </c>
      <c r="B478">
        <f>TRIM(SUBSTITUTE(INDEX('Term investments'!$B:$B,ROW())&amp;""," "," "))</f>
        <v/>
      </c>
      <c r="C478">
        <f>TRIM(SUBSTITUTE(INDEX('Term investments'!$C:$C,ROW())&amp;""," "," "))</f>
        <v/>
      </c>
      <c r="D478">
        <f>IFERROR(--INDEX('Term investments'!$D:$D,ROW()),0)</f>
        <v/>
      </c>
      <c r="E478">
        <f>IFERROR(--INDEX('Term investments'!$E:$E,ROW()),0)</f>
        <v/>
      </c>
      <c r="F478">
        <f>IFERROR(--INDEX('Term investments'!$F:$F,ROW()),0)</f>
        <v/>
      </c>
      <c r="G478">
        <f>IFERROR(IF(--INDEX('Term investments'!$G:$G,ROW())&gt;=1,--INDEX('Term investments'!$G:$G,ROW())/100,--INDEX('Term investments'!$G:$G,ROW())),0)</f>
        <v/>
      </c>
      <c r="H478">
        <f>IFERROR(--INDEX('Term investments'!$H:$H,ROW()),0)</f>
        <v/>
      </c>
      <c r="I478">
        <f>IF(ISNUMBER(INDEX('Term investments'!$G:$G,ROW())),1,0)</f>
        <v/>
      </c>
      <c r="J478">
        <f>TRIM(SUBSTITUTE(INDEX('Call accounts and MMFs'!$A:$A,ROW())&amp;""," "," "))</f>
        <v/>
      </c>
      <c r="K478">
        <f>TRIM(SUBSTITUTE(INDEX('Call accounts and MMFs'!$B:$B,ROW())&amp;""," "," "))</f>
        <v/>
      </c>
      <c r="L478">
        <f>TRIM(SUBSTITUTE(INDEX('Call accounts and MMFs'!$C:$C,ROW())&amp;""," "," "))</f>
        <v/>
      </c>
      <c r="M478">
        <f>IFERROR(--INDEX('Call accounts and MMFs'!$D:$D,ROW()),0)</f>
        <v/>
      </c>
      <c r="N478">
        <f>IFERROR(IF(--INDEX('Call accounts and MMFs'!$E:$E,ROW())&gt;=1,--INDEX('Call accounts and MMFs'!$E:$E,ROW())/100,--INDEX('Call accounts and MMFs'!$E:$E,ROW())),0)</f>
        <v/>
      </c>
      <c r="O478">
        <f>IFERROR(--INDEX('Call accounts and MMFs'!$F:$F,ROW()),0)</f>
        <v/>
      </c>
      <c r="P478">
        <f>IF(ISNUMBER(INDEX('Call accounts and MMFs'!$E:$E,ROW())),1,0)</f>
        <v/>
      </c>
      <c r="Q478">
        <f>TRIM(SUBSTITUTE(INDEX('Pooled funds'!$B:$B,ROW())&amp;""," "," "))</f>
        <v/>
      </c>
      <c r="R478">
        <f>IFERROR(--INDEX('Pooled funds'!$C:$C,ROW()),0)</f>
        <v/>
      </c>
      <c r="S478">
        <f>IFERROR(--INDEX('Pooled funds'!$D:$D,ROW()),0)</f>
        <v/>
      </c>
      <c r="T478">
        <f>IFERROR(IF(--INDEX('Pooled funds'!$E:$E,ROW())&gt;=1,--INDEX('Pooled funds'!$E:$E,ROW())/100,--INDEX('Pooled funds'!$E:$E,ROW())),0)</f>
        <v/>
      </c>
      <c r="U478">
        <f>IF(ISNUMBER(INDEX('Pooled funds'!$E:$E,ROW())),1,0)</f>
        <v/>
      </c>
      <c r="V478">
        <f>TRIM(SUBSTITUTE(INDEX('Loans'!$A:$A,ROW())&amp;""," "," "))</f>
        <v/>
      </c>
      <c r="W478">
        <f>TRIM(SUBSTITUTE(INDEX('Loans'!$B:$B,ROW())&amp;""," "," "))</f>
        <v/>
      </c>
      <c r="X478">
        <f>TRIM(SUBSTITUTE(INDEX('Loans'!$C:$C,ROW())&amp;""," "," "))</f>
        <v/>
      </c>
      <c r="Y478">
        <f>IFERROR(--INDEX('Loans'!$D:$D,ROW()),0)</f>
        <v/>
      </c>
      <c r="Z478">
        <f>IFERROR(--INDEX('Loans'!$E:$E,ROW()),0)</f>
        <v/>
      </c>
      <c r="AA478">
        <f>IFERROR(--INDEX('Loans'!$F:$F,ROW()),0)</f>
        <v/>
      </c>
      <c r="AB478">
        <f>IFERROR(IF(--INDEX('Loans'!$G:$G,ROW())&gt;=1,--INDEX('Loans'!$G:$G,ROW())/100,--INDEX('Loans'!$G:$G,ROW())),0)</f>
        <v/>
      </c>
      <c r="AC478">
        <f>TRIM(SUBSTITUTE(INDEX('Loans'!$H:$H,ROW())&amp;""," "," "))</f>
        <v/>
      </c>
      <c r="AD478">
        <f>TRIM(SUBSTITUTE(INDEX('Loans'!$I:$I,ROW())&amp;""," "," "))</f>
        <v/>
      </c>
      <c r="AE478">
        <f>IFERROR(--INDEX('Loans'!$J:$J,ROW()),0)</f>
        <v/>
      </c>
      <c r="AF478">
        <f>TRIM(SUBSTITUTE(INDEX('Loans'!$K:$K,ROW())&amp;""," "," "))</f>
        <v/>
      </c>
      <c r="AG478">
        <f>IFERROR(--INDEX('Loans'!$L:$L,ROW()),0)</f>
        <v/>
      </c>
      <c r="AH478">
        <f>IF(ISNUMBER(INDEX('Loans'!$G:$G,ROW())),1,0)</f>
        <v/>
      </c>
    </row>
    <row r="479">
      <c r="A479">
        <f>TRIM(SUBSTITUTE(INDEX('Term investments'!$A:$A,ROW())&amp;""," "," "))</f>
        <v/>
      </c>
      <c r="B479">
        <f>TRIM(SUBSTITUTE(INDEX('Term investments'!$B:$B,ROW())&amp;""," "," "))</f>
        <v/>
      </c>
      <c r="C479">
        <f>TRIM(SUBSTITUTE(INDEX('Term investments'!$C:$C,ROW())&amp;""," "," "))</f>
        <v/>
      </c>
      <c r="D479">
        <f>IFERROR(--INDEX('Term investments'!$D:$D,ROW()),0)</f>
        <v/>
      </c>
      <c r="E479">
        <f>IFERROR(--INDEX('Term investments'!$E:$E,ROW()),0)</f>
        <v/>
      </c>
      <c r="F479">
        <f>IFERROR(--INDEX('Term investments'!$F:$F,ROW()),0)</f>
        <v/>
      </c>
      <c r="G479">
        <f>IFERROR(IF(--INDEX('Term investments'!$G:$G,ROW())&gt;=1,--INDEX('Term investments'!$G:$G,ROW())/100,--INDEX('Term investments'!$G:$G,ROW())),0)</f>
        <v/>
      </c>
      <c r="H479">
        <f>IFERROR(--INDEX('Term investments'!$H:$H,ROW()),0)</f>
        <v/>
      </c>
      <c r="I479">
        <f>IF(ISNUMBER(INDEX('Term investments'!$G:$G,ROW())),1,0)</f>
        <v/>
      </c>
      <c r="J479">
        <f>TRIM(SUBSTITUTE(INDEX('Call accounts and MMFs'!$A:$A,ROW())&amp;""," "," "))</f>
        <v/>
      </c>
      <c r="K479">
        <f>TRIM(SUBSTITUTE(INDEX('Call accounts and MMFs'!$B:$B,ROW())&amp;""," "," "))</f>
        <v/>
      </c>
      <c r="L479">
        <f>TRIM(SUBSTITUTE(INDEX('Call accounts and MMFs'!$C:$C,ROW())&amp;""," "," "))</f>
        <v/>
      </c>
      <c r="M479">
        <f>IFERROR(--INDEX('Call accounts and MMFs'!$D:$D,ROW()),0)</f>
        <v/>
      </c>
      <c r="N479">
        <f>IFERROR(IF(--INDEX('Call accounts and MMFs'!$E:$E,ROW())&gt;=1,--INDEX('Call accounts and MMFs'!$E:$E,ROW())/100,--INDEX('Call accounts and MMFs'!$E:$E,ROW())),0)</f>
        <v/>
      </c>
      <c r="O479">
        <f>IFERROR(--INDEX('Call accounts and MMFs'!$F:$F,ROW()),0)</f>
        <v/>
      </c>
      <c r="P479">
        <f>IF(ISNUMBER(INDEX('Call accounts and MMFs'!$E:$E,ROW())),1,0)</f>
        <v/>
      </c>
      <c r="Q479">
        <f>TRIM(SUBSTITUTE(INDEX('Pooled funds'!$B:$B,ROW())&amp;""," "," "))</f>
        <v/>
      </c>
      <c r="R479">
        <f>IFERROR(--INDEX('Pooled funds'!$C:$C,ROW()),0)</f>
        <v/>
      </c>
      <c r="S479">
        <f>IFERROR(--INDEX('Pooled funds'!$D:$D,ROW()),0)</f>
        <v/>
      </c>
      <c r="T479">
        <f>IFERROR(IF(--INDEX('Pooled funds'!$E:$E,ROW())&gt;=1,--INDEX('Pooled funds'!$E:$E,ROW())/100,--INDEX('Pooled funds'!$E:$E,ROW())),0)</f>
        <v/>
      </c>
      <c r="U479">
        <f>IF(ISNUMBER(INDEX('Pooled funds'!$E:$E,ROW())),1,0)</f>
        <v/>
      </c>
      <c r="V479">
        <f>TRIM(SUBSTITUTE(INDEX('Loans'!$A:$A,ROW())&amp;""," "," "))</f>
        <v/>
      </c>
      <c r="W479">
        <f>TRIM(SUBSTITUTE(INDEX('Loans'!$B:$B,ROW())&amp;""," "," "))</f>
        <v/>
      </c>
      <c r="X479">
        <f>TRIM(SUBSTITUTE(INDEX('Loans'!$C:$C,ROW())&amp;""," "," "))</f>
        <v/>
      </c>
      <c r="Y479">
        <f>IFERROR(--INDEX('Loans'!$D:$D,ROW()),0)</f>
        <v/>
      </c>
      <c r="Z479">
        <f>IFERROR(--INDEX('Loans'!$E:$E,ROW()),0)</f>
        <v/>
      </c>
      <c r="AA479">
        <f>IFERROR(--INDEX('Loans'!$F:$F,ROW()),0)</f>
        <v/>
      </c>
      <c r="AB479">
        <f>IFERROR(IF(--INDEX('Loans'!$G:$G,ROW())&gt;=1,--INDEX('Loans'!$G:$G,ROW())/100,--INDEX('Loans'!$G:$G,ROW())),0)</f>
        <v/>
      </c>
      <c r="AC479">
        <f>TRIM(SUBSTITUTE(INDEX('Loans'!$H:$H,ROW())&amp;""," "," "))</f>
        <v/>
      </c>
      <c r="AD479">
        <f>TRIM(SUBSTITUTE(INDEX('Loans'!$I:$I,ROW())&amp;""," "," "))</f>
        <v/>
      </c>
      <c r="AE479">
        <f>IFERROR(--INDEX('Loans'!$J:$J,ROW()),0)</f>
        <v/>
      </c>
      <c r="AF479">
        <f>TRIM(SUBSTITUTE(INDEX('Loans'!$K:$K,ROW())&amp;""," "," "))</f>
        <v/>
      </c>
      <c r="AG479">
        <f>IFERROR(--INDEX('Loans'!$L:$L,ROW()),0)</f>
        <v/>
      </c>
      <c r="AH479">
        <f>IF(ISNUMBER(INDEX('Loans'!$G:$G,ROW())),1,0)</f>
        <v/>
      </c>
    </row>
    <row r="480">
      <c r="A480">
        <f>TRIM(SUBSTITUTE(INDEX('Term investments'!$A:$A,ROW())&amp;""," "," "))</f>
        <v/>
      </c>
      <c r="B480">
        <f>TRIM(SUBSTITUTE(INDEX('Term investments'!$B:$B,ROW())&amp;""," "," "))</f>
        <v/>
      </c>
      <c r="C480">
        <f>TRIM(SUBSTITUTE(INDEX('Term investments'!$C:$C,ROW())&amp;""," "," "))</f>
        <v/>
      </c>
      <c r="D480">
        <f>IFERROR(--INDEX('Term investments'!$D:$D,ROW()),0)</f>
        <v/>
      </c>
      <c r="E480">
        <f>IFERROR(--INDEX('Term investments'!$E:$E,ROW()),0)</f>
        <v/>
      </c>
      <c r="F480">
        <f>IFERROR(--INDEX('Term investments'!$F:$F,ROW()),0)</f>
        <v/>
      </c>
      <c r="G480">
        <f>IFERROR(IF(--INDEX('Term investments'!$G:$G,ROW())&gt;=1,--INDEX('Term investments'!$G:$G,ROW())/100,--INDEX('Term investments'!$G:$G,ROW())),0)</f>
        <v/>
      </c>
      <c r="H480">
        <f>IFERROR(--INDEX('Term investments'!$H:$H,ROW()),0)</f>
        <v/>
      </c>
      <c r="I480">
        <f>IF(ISNUMBER(INDEX('Term investments'!$G:$G,ROW())),1,0)</f>
        <v/>
      </c>
      <c r="J480">
        <f>TRIM(SUBSTITUTE(INDEX('Call accounts and MMFs'!$A:$A,ROW())&amp;""," "," "))</f>
        <v/>
      </c>
      <c r="K480">
        <f>TRIM(SUBSTITUTE(INDEX('Call accounts and MMFs'!$B:$B,ROW())&amp;""," "," "))</f>
        <v/>
      </c>
      <c r="L480">
        <f>TRIM(SUBSTITUTE(INDEX('Call accounts and MMFs'!$C:$C,ROW())&amp;""," "," "))</f>
        <v/>
      </c>
      <c r="M480">
        <f>IFERROR(--INDEX('Call accounts and MMFs'!$D:$D,ROW()),0)</f>
        <v/>
      </c>
      <c r="N480">
        <f>IFERROR(IF(--INDEX('Call accounts and MMFs'!$E:$E,ROW())&gt;=1,--INDEX('Call accounts and MMFs'!$E:$E,ROW())/100,--INDEX('Call accounts and MMFs'!$E:$E,ROW())),0)</f>
        <v/>
      </c>
      <c r="O480">
        <f>IFERROR(--INDEX('Call accounts and MMFs'!$F:$F,ROW()),0)</f>
        <v/>
      </c>
      <c r="P480">
        <f>IF(ISNUMBER(INDEX('Call accounts and MMFs'!$E:$E,ROW())),1,0)</f>
        <v/>
      </c>
      <c r="Q480">
        <f>TRIM(SUBSTITUTE(INDEX('Pooled funds'!$B:$B,ROW())&amp;""," "," "))</f>
        <v/>
      </c>
      <c r="R480">
        <f>IFERROR(--INDEX('Pooled funds'!$C:$C,ROW()),0)</f>
        <v/>
      </c>
      <c r="S480">
        <f>IFERROR(--INDEX('Pooled funds'!$D:$D,ROW()),0)</f>
        <v/>
      </c>
      <c r="T480">
        <f>IFERROR(IF(--INDEX('Pooled funds'!$E:$E,ROW())&gt;=1,--INDEX('Pooled funds'!$E:$E,ROW())/100,--INDEX('Pooled funds'!$E:$E,ROW())),0)</f>
        <v/>
      </c>
      <c r="U480">
        <f>IF(ISNUMBER(INDEX('Pooled funds'!$E:$E,ROW())),1,0)</f>
        <v/>
      </c>
      <c r="V480">
        <f>TRIM(SUBSTITUTE(INDEX('Loans'!$A:$A,ROW())&amp;""," "," "))</f>
        <v/>
      </c>
      <c r="W480">
        <f>TRIM(SUBSTITUTE(INDEX('Loans'!$B:$B,ROW())&amp;""," "," "))</f>
        <v/>
      </c>
      <c r="X480">
        <f>TRIM(SUBSTITUTE(INDEX('Loans'!$C:$C,ROW())&amp;""," "," "))</f>
        <v/>
      </c>
      <c r="Y480">
        <f>IFERROR(--INDEX('Loans'!$D:$D,ROW()),0)</f>
        <v/>
      </c>
      <c r="Z480">
        <f>IFERROR(--INDEX('Loans'!$E:$E,ROW()),0)</f>
        <v/>
      </c>
      <c r="AA480">
        <f>IFERROR(--INDEX('Loans'!$F:$F,ROW()),0)</f>
        <v/>
      </c>
      <c r="AB480">
        <f>IFERROR(IF(--INDEX('Loans'!$G:$G,ROW())&gt;=1,--INDEX('Loans'!$G:$G,ROW())/100,--INDEX('Loans'!$G:$G,ROW())),0)</f>
        <v/>
      </c>
      <c r="AC480">
        <f>TRIM(SUBSTITUTE(INDEX('Loans'!$H:$H,ROW())&amp;""," "," "))</f>
        <v/>
      </c>
      <c r="AD480">
        <f>TRIM(SUBSTITUTE(INDEX('Loans'!$I:$I,ROW())&amp;""," "," "))</f>
        <v/>
      </c>
      <c r="AE480">
        <f>IFERROR(--INDEX('Loans'!$J:$J,ROW()),0)</f>
        <v/>
      </c>
      <c r="AF480">
        <f>TRIM(SUBSTITUTE(INDEX('Loans'!$K:$K,ROW())&amp;""," "," "))</f>
        <v/>
      </c>
      <c r="AG480">
        <f>IFERROR(--INDEX('Loans'!$L:$L,ROW()),0)</f>
        <v/>
      </c>
      <c r="AH480">
        <f>IF(ISNUMBER(INDEX('Loans'!$G:$G,ROW())),1,0)</f>
        <v/>
      </c>
    </row>
    <row r="481">
      <c r="A481">
        <f>TRIM(SUBSTITUTE(INDEX('Term investments'!$A:$A,ROW())&amp;""," "," "))</f>
        <v/>
      </c>
      <c r="B481">
        <f>TRIM(SUBSTITUTE(INDEX('Term investments'!$B:$B,ROW())&amp;""," "," "))</f>
        <v/>
      </c>
      <c r="C481">
        <f>TRIM(SUBSTITUTE(INDEX('Term investments'!$C:$C,ROW())&amp;""," "," "))</f>
        <v/>
      </c>
      <c r="D481">
        <f>IFERROR(--INDEX('Term investments'!$D:$D,ROW()),0)</f>
        <v/>
      </c>
      <c r="E481">
        <f>IFERROR(--INDEX('Term investments'!$E:$E,ROW()),0)</f>
        <v/>
      </c>
      <c r="F481">
        <f>IFERROR(--INDEX('Term investments'!$F:$F,ROW()),0)</f>
        <v/>
      </c>
      <c r="G481">
        <f>IFERROR(IF(--INDEX('Term investments'!$G:$G,ROW())&gt;=1,--INDEX('Term investments'!$G:$G,ROW())/100,--INDEX('Term investments'!$G:$G,ROW())),0)</f>
        <v/>
      </c>
      <c r="H481">
        <f>IFERROR(--INDEX('Term investments'!$H:$H,ROW()),0)</f>
        <v/>
      </c>
      <c r="I481">
        <f>IF(ISNUMBER(INDEX('Term investments'!$G:$G,ROW())),1,0)</f>
        <v/>
      </c>
      <c r="J481">
        <f>TRIM(SUBSTITUTE(INDEX('Call accounts and MMFs'!$A:$A,ROW())&amp;""," "," "))</f>
        <v/>
      </c>
      <c r="K481">
        <f>TRIM(SUBSTITUTE(INDEX('Call accounts and MMFs'!$B:$B,ROW())&amp;""," "," "))</f>
        <v/>
      </c>
      <c r="L481">
        <f>TRIM(SUBSTITUTE(INDEX('Call accounts and MMFs'!$C:$C,ROW())&amp;""," "," "))</f>
        <v/>
      </c>
      <c r="M481">
        <f>IFERROR(--INDEX('Call accounts and MMFs'!$D:$D,ROW()),0)</f>
        <v/>
      </c>
      <c r="N481">
        <f>IFERROR(IF(--INDEX('Call accounts and MMFs'!$E:$E,ROW())&gt;=1,--INDEX('Call accounts and MMFs'!$E:$E,ROW())/100,--INDEX('Call accounts and MMFs'!$E:$E,ROW())),0)</f>
        <v/>
      </c>
      <c r="O481">
        <f>IFERROR(--INDEX('Call accounts and MMFs'!$F:$F,ROW()),0)</f>
        <v/>
      </c>
      <c r="P481">
        <f>IF(ISNUMBER(INDEX('Call accounts and MMFs'!$E:$E,ROW())),1,0)</f>
        <v/>
      </c>
      <c r="Q481">
        <f>TRIM(SUBSTITUTE(INDEX('Pooled funds'!$B:$B,ROW())&amp;""," "," "))</f>
        <v/>
      </c>
      <c r="R481">
        <f>IFERROR(--INDEX('Pooled funds'!$C:$C,ROW()),0)</f>
        <v/>
      </c>
      <c r="S481">
        <f>IFERROR(--INDEX('Pooled funds'!$D:$D,ROW()),0)</f>
        <v/>
      </c>
      <c r="T481">
        <f>IFERROR(IF(--INDEX('Pooled funds'!$E:$E,ROW())&gt;=1,--INDEX('Pooled funds'!$E:$E,ROW())/100,--INDEX('Pooled funds'!$E:$E,ROW())),0)</f>
        <v/>
      </c>
      <c r="U481">
        <f>IF(ISNUMBER(INDEX('Pooled funds'!$E:$E,ROW())),1,0)</f>
        <v/>
      </c>
      <c r="V481">
        <f>TRIM(SUBSTITUTE(INDEX('Loans'!$A:$A,ROW())&amp;""," "," "))</f>
        <v/>
      </c>
      <c r="W481">
        <f>TRIM(SUBSTITUTE(INDEX('Loans'!$B:$B,ROW())&amp;""," "," "))</f>
        <v/>
      </c>
      <c r="X481">
        <f>TRIM(SUBSTITUTE(INDEX('Loans'!$C:$C,ROW())&amp;""," "," "))</f>
        <v/>
      </c>
      <c r="Y481">
        <f>IFERROR(--INDEX('Loans'!$D:$D,ROW()),0)</f>
        <v/>
      </c>
      <c r="Z481">
        <f>IFERROR(--INDEX('Loans'!$E:$E,ROW()),0)</f>
        <v/>
      </c>
      <c r="AA481">
        <f>IFERROR(--INDEX('Loans'!$F:$F,ROW()),0)</f>
        <v/>
      </c>
      <c r="AB481">
        <f>IFERROR(IF(--INDEX('Loans'!$G:$G,ROW())&gt;=1,--INDEX('Loans'!$G:$G,ROW())/100,--INDEX('Loans'!$G:$G,ROW())),0)</f>
        <v/>
      </c>
      <c r="AC481">
        <f>TRIM(SUBSTITUTE(INDEX('Loans'!$H:$H,ROW())&amp;""," "," "))</f>
        <v/>
      </c>
      <c r="AD481">
        <f>TRIM(SUBSTITUTE(INDEX('Loans'!$I:$I,ROW())&amp;""," "," "))</f>
        <v/>
      </c>
      <c r="AE481">
        <f>IFERROR(--INDEX('Loans'!$J:$J,ROW()),0)</f>
        <v/>
      </c>
      <c r="AF481">
        <f>TRIM(SUBSTITUTE(INDEX('Loans'!$K:$K,ROW())&amp;""," "," "))</f>
        <v/>
      </c>
      <c r="AG481">
        <f>IFERROR(--INDEX('Loans'!$L:$L,ROW()),0)</f>
        <v/>
      </c>
      <c r="AH481">
        <f>IF(ISNUMBER(INDEX('Loans'!$G:$G,ROW())),1,0)</f>
        <v/>
      </c>
    </row>
    <row r="482">
      <c r="A482">
        <f>TRIM(SUBSTITUTE(INDEX('Term investments'!$A:$A,ROW())&amp;""," "," "))</f>
        <v/>
      </c>
      <c r="B482">
        <f>TRIM(SUBSTITUTE(INDEX('Term investments'!$B:$B,ROW())&amp;""," "," "))</f>
        <v/>
      </c>
      <c r="C482">
        <f>TRIM(SUBSTITUTE(INDEX('Term investments'!$C:$C,ROW())&amp;""," "," "))</f>
        <v/>
      </c>
      <c r="D482">
        <f>IFERROR(--INDEX('Term investments'!$D:$D,ROW()),0)</f>
        <v/>
      </c>
      <c r="E482">
        <f>IFERROR(--INDEX('Term investments'!$E:$E,ROW()),0)</f>
        <v/>
      </c>
      <c r="F482">
        <f>IFERROR(--INDEX('Term investments'!$F:$F,ROW()),0)</f>
        <v/>
      </c>
      <c r="G482">
        <f>IFERROR(IF(--INDEX('Term investments'!$G:$G,ROW())&gt;=1,--INDEX('Term investments'!$G:$G,ROW())/100,--INDEX('Term investments'!$G:$G,ROW())),0)</f>
        <v/>
      </c>
      <c r="H482">
        <f>IFERROR(--INDEX('Term investments'!$H:$H,ROW()),0)</f>
        <v/>
      </c>
      <c r="I482">
        <f>IF(ISNUMBER(INDEX('Term investments'!$G:$G,ROW())),1,0)</f>
        <v/>
      </c>
      <c r="J482">
        <f>TRIM(SUBSTITUTE(INDEX('Call accounts and MMFs'!$A:$A,ROW())&amp;""," "," "))</f>
        <v/>
      </c>
      <c r="K482">
        <f>TRIM(SUBSTITUTE(INDEX('Call accounts and MMFs'!$B:$B,ROW())&amp;""," "," "))</f>
        <v/>
      </c>
      <c r="L482">
        <f>TRIM(SUBSTITUTE(INDEX('Call accounts and MMFs'!$C:$C,ROW())&amp;""," "," "))</f>
        <v/>
      </c>
      <c r="M482">
        <f>IFERROR(--INDEX('Call accounts and MMFs'!$D:$D,ROW()),0)</f>
        <v/>
      </c>
      <c r="N482">
        <f>IFERROR(IF(--INDEX('Call accounts and MMFs'!$E:$E,ROW())&gt;=1,--INDEX('Call accounts and MMFs'!$E:$E,ROW())/100,--INDEX('Call accounts and MMFs'!$E:$E,ROW())),0)</f>
        <v/>
      </c>
      <c r="O482">
        <f>IFERROR(--INDEX('Call accounts and MMFs'!$F:$F,ROW()),0)</f>
        <v/>
      </c>
      <c r="P482">
        <f>IF(ISNUMBER(INDEX('Call accounts and MMFs'!$E:$E,ROW())),1,0)</f>
        <v/>
      </c>
      <c r="Q482">
        <f>TRIM(SUBSTITUTE(INDEX('Pooled funds'!$B:$B,ROW())&amp;""," "," "))</f>
        <v/>
      </c>
      <c r="R482">
        <f>IFERROR(--INDEX('Pooled funds'!$C:$C,ROW()),0)</f>
        <v/>
      </c>
      <c r="S482">
        <f>IFERROR(--INDEX('Pooled funds'!$D:$D,ROW()),0)</f>
        <v/>
      </c>
      <c r="T482">
        <f>IFERROR(IF(--INDEX('Pooled funds'!$E:$E,ROW())&gt;=1,--INDEX('Pooled funds'!$E:$E,ROW())/100,--INDEX('Pooled funds'!$E:$E,ROW())),0)</f>
        <v/>
      </c>
      <c r="U482">
        <f>IF(ISNUMBER(INDEX('Pooled funds'!$E:$E,ROW())),1,0)</f>
        <v/>
      </c>
      <c r="V482">
        <f>TRIM(SUBSTITUTE(INDEX('Loans'!$A:$A,ROW())&amp;""," "," "))</f>
        <v/>
      </c>
      <c r="W482">
        <f>TRIM(SUBSTITUTE(INDEX('Loans'!$B:$B,ROW())&amp;""," "," "))</f>
        <v/>
      </c>
      <c r="X482">
        <f>TRIM(SUBSTITUTE(INDEX('Loans'!$C:$C,ROW())&amp;""," "," "))</f>
        <v/>
      </c>
      <c r="Y482">
        <f>IFERROR(--INDEX('Loans'!$D:$D,ROW()),0)</f>
        <v/>
      </c>
      <c r="Z482">
        <f>IFERROR(--INDEX('Loans'!$E:$E,ROW()),0)</f>
        <v/>
      </c>
      <c r="AA482">
        <f>IFERROR(--INDEX('Loans'!$F:$F,ROW()),0)</f>
        <v/>
      </c>
      <c r="AB482">
        <f>IFERROR(IF(--INDEX('Loans'!$G:$G,ROW())&gt;=1,--INDEX('Loans'!$G:$G,ROW())/100,--INDEX('Loans'!$G:$G,ROW())),0)</f>
        <v/>
      </c>
      <c r="AC482">
        <f>TRIM(SUBSTITUTE(INDEX('Loans'!$H:$H,ROW())&amp;""," "," "))</f>
        <v/>
      </c>
      <c r="AD482">
        <f>TRIM(SUBSTITUTE(INDEX('Loans'!$I:$I,ROW())&amp;""," "," "))</f>
        <v/>
      </c>
      <c r="AE482">
        <f>IFERROR(--INDEX('Loans'!$J:$J,ROW()),0)</f>
        <v/>
      </c>
      <c r="AF482">
        <f>TRIM(SUBSTITUTE(INDEX('Loans'!$K:$K,ROW())&amp;""," "," "))</f>
        <v/>
      </c>
      <c r="AG482">
        <f>IFERROR(--INDEX('Loans'!$L:$L,ROW()),0)</f>
        <v/>
      </c>
      <c r="AH482">
        <f>IF(ISNUMBER(INDEX('Loans'!$G:$G,ROW())),1,0)</f>
        <v/>
      </c>
    </row>
    <row r="483">
      <c r="A483">
        <f>TRIM(SUBSTITUTE(INDEX('Term investments'!$A:$A,ROW())&amp;""," "," "))</f>
        <v/>
      </c>
      <c r="B483">
        <f>TRIM(SUBSTITUTE(INDEX('Term investments'!$B:$B,ROW())&amp;""," "," "))</f>
        <v/>
      </c>
      <c r="C483">
        <f>TRIM(SUBSTITUTE(INDEX('Term investments'!$C:$C,ROW())&amp;""," "," "))</f>
        <v/>
      </c>
      <c r="D483">
        <f>IFERROR(--INDEX('Term investments'!$D:$D,ROW()),0)</f>
        <v/>
      </c>
      <c r="E483">
        <f>IFERROR(--INDEX('Term investments'!$E:$E,ROW()),0)</f>
        <v/>
      </c>
      <c r="F483">
        <f>IFERROR(--INDEX('Term investments'!$F:$F,ROW()),0)</f>
        <v/>
      </c>
      <c r="G483">
        <f>IFERROR(IF(--INDEX('Term investments'!$G:$G,ROW())&gt;=1,--INDEX('Term investments'!$G:$G,ROW())/100,--INDEX('Term investments'!$G:$G,ROW())),0)</f>
        <v/>
      </c>
      <c r="H483">
        <f>IFERROR(--INDEX('Term investments'!$H:$H,ROW()),0)</f>
        <v/>
      </c>
      <c r="I483">
        <f>IF(ISNUMBER(INDEX('Term investments'!$G:$G,ROW())),1,0)</f>
        <v/>
      </c>
      <c r="J483">
        <f>TRIM(SUBSTITUTE(INDEX('Call accounts and MMFs'!$A:$A,ROW())&amp;""," "," "))</f>
        <v/>
      </c>
      <c r="K483">
        <f>TRIM(SUBSTITUTE(INDEX('Call accounts and MMFs'!$B:$B,ROW())&amp;""," "," "))</f>
        <v/>
      </c>
      <c r="L483">
        <f>TRIM(SUBSTITUTE(INDEX('Call accounts and MMFs'!$C:$C,ROW())&amp;""," "," "))</f>
        <v/>
      </c>
      <c r="M483">
        <f>IFERROR(--INDEX('Call accounts and MMFs'!$D:$D,ROW()),0)</f>
        <v/>
      </c>
      <c r="N483">
        <f>IFERROR(IF(--INDEX('Call accounts and MMFs'!$E:$E,ROW())&gt;=1,--INDEX('Call accounts and MMFs'!$E:$E,ROW())/100,--INDEX('Call accounts and MMFs'!$E:$E,ROW())),0)</f>
        <v/>
      </c>
      <c r="O483">
        <f>IFERROR(--INDEX('Call accounts and MMFs'!$F:$F,ROW()),0)</f>
        <v/>
      </c>
      <c r="P483">
        <f>IF(ISNUMBER(INDEX('Call accounts and MMFs'!$E:$E,ROW())),1,0)</f>
        <v/>
      </c>
      <c r="Q483">
        <f>TRIM(SUBSTITUTE(INDEX('Pooled funds'!$B:$B,ROW())&amp;""," "," "))</f>
        <v/>
      </c>
      <c r="R483">
        <f>IFERROR(--INDEX('Pooled funds'!$C:$C,ROW()),0)</f>
        <v/>
      </c>
      <c r="S483">
        <f>IFERROR(--INDEX('Pooled funds'!$D:$D,ROW()),0)</f>
        <v/>
      </c>
      <c r="T483">
        <f>IFERROR(IF(--INDEX('Pooled funds'!$E:$E,ROW())&gt;=1,--INDEX('Pooled funds'!$E:$E,ROW())/100,--INDEX('Pooled funds'!$E:$E,ROW())),0)</f>
        <v/>
      </c>
      <c r="U483">
        <f>IF(ISNUMBER(INDEX('Pooled funds'!$E:$E,ROW())),1,0)</f>
        <v/>
      </c>
      <c r="V483">
        <f>TRIM(SUBSTITUTE(INDEX('Loans'!$A:$A,ROW())&amp;""," "," "))</f>
        <v/>
      </c>
      <c r="W483">
        <f>TRIM(SUBSTITUTE(INDEX('Loans'!$B:$B,ROW())&amp;""," "," "))</f>
        <v/>
      </c>
      <c r="X483">
        <f>TRIM(SUBSTITUTE(INDEX('Loans'!$C:$C,ROW())&amp;""," "," "))</f>
        <v/>
      </c>
      <c r="Y483">
        <f>IFERROR(--INDEX('Loans'!$D:$D,ROW()),0)</f>
        <v/>
      </c>
      <c r="Z483">
        <f>IFERROR(--INDEX('Loans'!$E:$E,ROW()),0)</f>
        <v/>
      </c>
      <c r="AA483">
        <f>IFERROR(--INDEX('Loans'!$F:$F,ROW()),0)</f>
        <v/>
      </c>
      <c r="AB483">
        <f>IFERROR(IF(--INDEX('Loans'!$G:$G,ROW())&gt;=1,--INDEX('Loans'!$G:$G,ROW())/100,--INDEX('Loans'!$G:$G,ROW())),0)</f>
        <v/>
      </c>
      <c r="AC483">
        <f>TRIM(SUBSTITUTE(INDEX('Loans'!$H:$H,ROW())&amp;""," "," "))</f>
        <v/>
      </c>
      <c r="AD483">
        <f>TRIM(SUBSTITUTE(INDEX('Loans'!$I:$I,ROW())&amp;""," "," "))</f>
        <v/>
      </c>
      <c r="AE483">
        <f>IFERROR(--INDEX('Loans'!$J:$J,ROW()),0)</f>
        <v/>
      </c>
      <c r="AF483">
        <f>TRIM(SUBSTITUTE(INDEX('Loans'!$K:$K,ROW())&amp;""," "," "))</f>
        <v/>
      </c>
      <c r="AG483">
        <f>IFERROR(--INDEX('Loans'!$L:$L,ROW()),0)</f>
        <v/>
      </c>
      <c r="AH483">
        <f>IF(ISNUMBER(INDEX('Loans'!$G:$G,ROW())),1,0)</f>
        <v/>
      </c>
    </row>
    <row r="484">
      <c r="A484">
        <f>TRIM(SUBSTITUTE(INDEX('Term investments'!$A:$A,ROW())&amp;""," "," "))</f>
        <v/>
      </c>
      <c r="B484">
        <f>TRIM(SUBSTITUTE(INDEX('Term investments'!$B:$B,ROW())&amp;""," "," "))</f>
        <v/>
      </c>
      <c r="C484">
        <f>TRIM(SUBSTITUTE(INDEX('Term investments'!$C:$C,ROW())&amp;""," "," "))</f>
        <v/>
      </c>
      <c r="D484">
        <f>IFERROR(--INDEX('Term investments'!$D:$D,ROW()),0)</f>
        <v/>
      </c>
      <c r="E484">
        <f>IFERROR(--INDEX('Term investments'!$E:$E,ROW()),0)</f>
        <v/>
      </c>
      <c r="F484">
        <f>IFERROR(--INDEX('Term investments'!$F:$F,ROW()),0)</f>
        <v/>
      </c>
      <c r="G484">
        <f>IFERROR(IF(--INDEX('Term investments'!$G:$G,ROW())&gt;=1,--INDEX('Term investments'!$G:$G,ROW())/100,--INDEX('Term investments'!$G:$G,ROW())),0)</f>
        <v/>
      </c>
      <c r="H484">
        <f>IFERROR(--INDEX('Term investments'!$H:$H,ROW()),0)</f>
        <v/>
      </c>
      <c r="I484">
        <f>IF(ISNUMBER(INDEX('Term investments'!$G:$G,ROW())),1,0)</f>
        <v/>
      </c>
      <c r="J484">
        <f>TRIM(SUBSTITUTE(INDEX('Call accounts and MMFs'!$A:$A,ROW())&amp;""," "," "))</f>
        <v/>
      </c>
      <c r="K484">
        <f>TRIM(SUBSTITUTE(INDEX('Call accounts and MMFs'!$B:$B,ROW())&amp;""," "," "))</f>
        <v/>
      </c>
      <c r="L484">
        <f>TRIM(SUBSTITUTE(INDEX('Call accounts and MMFs'!$C:$C,ROW())&amp;""," "," "))</f>
        <v/>
      </c>
      <c r="M484">
        <f>IFERROR(--INDEX('Call accounts and MMFs'!$D:$D,ROW()),0)</f>
        <v/>
      </c>
      <c r="N484">
        <f>IFERROR(IF(--INDEX('Call accounts and MMFs'!$E:$E,ROW())&gt;=1,--INDEX('Call accounts and MMFs'!$E:$E,ROW())/100,--INDEX('Call accounts and MMFs'!$E:$E,ROW())),0)</f>
        <v/>
      </c>
      <c r="O484">
        <f>IFERROR(--INDEX('Call accounts and MMFs'!$F:$F,ROW()),0)</f>
        <v/>
      </c>
      <c r="P484">
        <f>IF(ISNUMBER(INDEX('Call accounts and MMFs'!$E:$E,ROW())),1,0)</f>
        <v/>
      </c>
      <c r="Q484">
        <f>TRIM(SUBSTITUTE(INDEX('Pooled funds'!$B:$B,ROW())&amp;""," "," "))</f>
        <v/>
      </c>
      <c r="R484">
        <f>IFERROR(--INDEX('Pooled funds'!$C:$C,ROW()),0)</f>
        <v/>
      </c>
      <c r="S484">
        <f>IFERROR(--INDEX('Pooled funds'!$D:$D,ROW()),0)</f>
        <v/>
      </c>
      <c r="T484">
        <f>IFERROR(IF(--INDEX('Pooled funds'!$E:$E,ROW())&gt;=1,--INDEX('Pooled funds'!$E:$E,ROW())/100,--INDEX('Pooled funds'!$E:$E,ROW())),0)</f>
        <v/>
      </c>
      <c r="U484">
        <f>IF(ISNUMBER(INDEX('Pooled funds'!$E:$E,ROW())),1,0)</f>
        <v/>
      </c>
      <c r="V484">
        <f>TRIM(SUBSTITUTE(INDEX('Loans'!$A:$A,ROW())&amp;""," "," "))</f>
        <v/>
      </c>
      <c r="W484">
        <f>TRIM(SUBSTITUTE(INDEX('Loans'!$B:$B,ROW())&amp;""," "," "))</f>
        <v/>
      </c>
      <c r="X484">
        <f>TRIM(SUBSTITUTE(INDEX('Loans'!$C:$C,ROW())&amp;""," "," "))</f>
        <v/>
      </c>
      <c r="Y484">
        <f>IFERROR(--INDEX('Loans'!$D:$D,ROW()),0)</f>
        <v/>
      </c>
      <c r="Z484">
        <f>IFERROR(--INDEX('Loans'!$E:$E,ROW()),0)</f>
        <v/>
      </c>
      <c r="AA484">
        <f>IFERROR(--INDEX('Loans'!$F:$F,ROW()),0)</f>
        <v/>
      </c>
      <c r="AB484">
        <f>IFERROR(IF(--INDEX('Loans'!$G:$G,ROW())&gt;=1,--INDEX('Loans'!$G:$G,ROW())/100,--INDEX('Loans'!$G:$G,ROW())),0)</f>
        <v/>
      </c>
      <c r="AC484">
        <f>TRIM(SUBSTITUTE(INDEX('Loans'!$H:$H,ROW())&amp;""," "," "))</f>
        <v/>
      </c>
      <c r="AD484">
        <f>TRIM(SUBSTITUTE(INDEX('Loans'!$I:$I,ROW())&amp;""," "," "))</f>
        <v/>
      </c>
      <c r="AE484">
        <f>IFERROR(--INDEX('Loans'!$J:$J,ROW()),0)</f>
        <v/>
      </c>
      <c r="AF484">
        <f>TRIM(SUBSTITUTE(INDEX('Loans'!$K:$K,ROW())&amp;""," "," "))</f>
        <v/>
      </c>
      <c r="AG484">
        <f>IFERROR(--INDEX('Loans'!$L:$L,ROW()),0)</f>
        <v/>
      </c>
      <c r="AH484">
        <f>IF(ISNUMBER(INDEX('Loans'!$G:$G,ROW())),1,0)</f>
        <v/>
      </c>
    </row>
    <row r="485">
      <c r="A485">
        <f>TRIM(SUBSTITUTE(INDEX('Term investments'!$A:$A,ROW())&amp;""," "," "))</f>
        <v/>
      </c>
      <c r="B485">
        <f>TRIM(SUBSTITUTE(INDEX('Term investments'!$B:$B,ROW())&amp;""," "," "))</f>
        <v/>
      </c>
      <c r="C485">
        <f>TRIM(SUBSTITUTE(INDEX('Term investments'!$C:$C,ROW())&amp;""," "," "))</f>
        <v/>
      </c>
      <c r="D485">
        <f>IFERROR(--INDEX('Term investments'!$D:$D,ROW()),0)</f>
        <v/>
      </c>
      <c r="E485">
        <f>IFERROR(--INDEX('Term investments'!$E:$E,ROW()),0)</f>
        <v/>
      </c>
      <c r="F485">
        <f>IFERROR(--INDEX('Term investments'!$F:$F,ROW()),0)</f>
        <v/>
      </c>
      <c r="G485">
        <f>IFERROR(IF(--INDEX('Term investments'!$G:$G,ROW())&gt;=1,--INDEX('Term investments'!$G:$G,ROW())/100,--INDEX('Term investments'!$G:$G,ROW())),0)</f>
        <v/>
      </c>
      <c r="H485">
        <f>IFERROR(--INDEX('Term investments'!$H:$H,ROW()),0)</f>
        <v/>
      </c>
      <c r="I485">
        <f>IF(ISNUMBER(INDEX('Term investments'!$G:$G,ROW())),1,0)</f>
        <v/>
      </c>
      <c r="J485">
        <f>TRIM(SUBSTITUTE(INDEX('Call accounts and MMFs'!$A:$A,ROW())&amp;""," "," "))</f>
        <v/>
      </c>
      <c r="K485">
        <f>TRIM(SUBSTITUTE(INDEX('Call accounts and MMFs'!$B:$B,ROW())&amp;""," "," "))</f>
        <v/>
      </c>
      <c r="L485">
        <f>TRIM(SUBSTITUTE(INDEX('Call accounts and MMFs'!$C:$C,ROW())&amp;""," "," "))</f>
        <v/>
      </c>
      <c r="M485">
        <f>IFERROR(--INDEX('Call accounts and MMFs'!$D:$D,ROW()),0)</f>
        <v/>
      </c>
      <c r="N485">
        <f>IFERROR(IF(--INDEX('Call accounts and MMFs'!$E:$E,ROW())&gt;=1,--INDEX('Call accounts and MMFs'!$E:$E,ROW())/100,--INDEX('Call accounts and MMFs'!$E:$E,ROW())),0)</f>
        <v/>
      </c>
      <c r="O485">
        <f>IFERROR(--INDEX('Call accounts and MMFs'!$F:$F,ROW()),0)</f>
        <v/>
      </c>
      <c r="P485">
        <f>IF(ISNUMBER(INDEX('Call accounts and MMFs'!$E:$E,ROW())),1,0)</f>
        <v/>
      </c>
      <c r="Q485">
        <f>TRIM(SUBSTITUTE(INDEX('Pooled funds'!$B:$B,ROW())&amp;""," "," "))</f>
        <v/>
      </c>
      <c r="R485">
        <f>IFERROR(--INDEX('Pooled funds'!$C:$C,ROW()),0)</f>
        <v/>
      </c>
      <c r="S485">
        <f>IFERROR(--INDEX('Pooled funds'!$D:$D,ROW()),0)</f>
        <v/>
      </c>
      <c r="T485">
        <f>IFERROR(IF(--INDEX('Pooled funds'!$E:$E,ROW())&gt;=1,--INDEX('Pooled funds'!$E:$E,ROW())/100,--INDEX('Pooled funds'!$E:$E,ROW())),0)</f>
        <v/>
      </c>
      <c r="U485">
        <f>IF(ISNUMBER(INDEX('Pooled funds'!$E:$E,ROW())),1,0)</f>
        <v/>
      </c>
      <c r="V485">
        <f>TRIM(SUBSTITUTE(INDEX('Loans'!$A:$A,ROW())&amp;""," "," "))</f>
        <v/>
      </c>
      <c r="W485">
        <f>TRIM(SUBSTITUTE(INDEX('Loans'!$B:$B,ROW())&amp;""," "," "))</f>
        <v/>
      </c>
      <c r="X485">
        <f>TRIM(SUBSTITUTE(INDEX('Loans'!$C:$C,ROW())&amp;""," "," "))</f>
        <v/>
      </c>
      <c r="Y485">
        <f>IFERROR(--INDEX('Loans'!$D:$D,ROW()),0)</f>
        <v/>
      </c>
      <c r="Z485">
        <f>IFERROR(--INDEX('Loans'!$E:$E,ROW()),0)</f>
        <v/>
      </c>
      <c r="AA485">
        <f>IFERROR(--INDEX('Loans'!$F:$F,ROW()),0)</f>
        <v/>
      </c>
      <c r="AB485">
        <f>IFERROR(IF(--INDEX('Loans'!$G:$G,ROW())&gt;=1,--INDEX('Loans'!$G:$G,ROW())/100,--INDEX('Loans'!$G:$G,ROW())),0)</f>
        <v/>
      </c>
      <c r="AC485">
        <f>TRIM(SUBSTITUTE(INDEX('Loans'!$H:$H,ROW())&amp;""," "," "))</f>
        <v/>
      </c>
      <c r="AD485">
        <f>TRIM(SUBSTITUTE(INDEX('Loans'!$I:$I,ROW())&amp;""," "," "))</f>
        <v/>
      </c>
      <c r="AE485">
        <f>IFERROR(--INDEX('Loans'!$J:$J,ROW()),0)</f>
        <v/>
      </c>
      <c r="AF485">
        <f>TRIM(SUBSTITUTE(INDEX('Loans'!$K:$K,ROW())&amp;""," "," "))</f>
        <v/>
      </c>
      <c r="AG485">
        <f>IFERROR(--INDEX('Loans'!$L:$L,ROW()),0)</f>
        <v/>
      </c>
      <c r="AH485">
        <f>IF(ISNUMBER(INDEX('Loans'!$G:$G,ROW())),1,0)</f>
        <v/>
      </c>
    </row>
    <row r="486">
      <c r="A486">
        <f>TRIM(SUBSTITUTE(INDEX('Term investments'!$A:$A,ROW())&amp;""," "," "))</f>
        <v/>
      </c>
      <c r="B486">
        <f>TRIM(SUBSTITUTE(INDEX('Term investments'!$B:$B,ROW())&amp;""," "," "))</f>
        <v/>
      </c>
      <c r="C486">
        <f>TRIM(SUBSTITUTE(INDEX('Term investments'!$C:$C,ROW())&amp;""," "," "))</f>
        <v/>
      </c>
      <c r="D486">
        <f>IFERROR(--INDEX('Term investments'!$D:$D,ROW()),0)</f>
        <v/>
      </c>
      <c r="E486">
        <f>IFERROR(--INDEX('Term investments'!$E:$E,ROW()),0)</f>
        <v/>
      </c>
      <c r="F486">
        <f>IFERROR(--INDEX('Term investments'!$F:$F,ROW()),0)</f>
        <v/>
      </c>
      <c r="G486">
        <f>IFERROR(IF(--INDEX('Term investments'!$G:$G,ROW())&gt;=1,--INDEX('Term investments'!$G:$G,ROW())/100,--INDEX('Term investments'!$G:$G,ROW())),0)</f>
        <v/>
      </c>
      <c r="H486">
        <f>IFERROR(--INDEX('Term investments'!$H:$H,ROW()),0)</f>
        <v/>
      </c>
      <c r="I486">
        <f>IF(ISNUMBER(INDEX('Term investments'!$G:$G,ROW())),1,0)</f>
        <v/>
      </c>
      <c r="J486">
        <f>TRIM(SUBSTITUTE(INDEX('Call accounts and MMFs'!$A:$A,ROW())&amp;""," "," "))</f>
        <v/>
      </c>
      <c r="K486">
        <f>TRIM(SUBSTITUTE(INDEX('Call accounts and MMFs'!$B:$B,ROW())&amp;""," "," "))</f>
        <v/>
      </c>
      <c r="L486">
        <f>TRIM(SUBSTITUTE(INDEX('Call accounts and MMFs'!$C:$C,ROW())&amp;""," "," "))</f>
        <v/>
      </c>
      <c r="M486">
        <f>IFERROR(--INDEX('Call accounts and MMFs'!$D:$D,ROW()),0)</f>
        <v/>
      </c>
      <c r="N486">
        <f>IFERROR(IF(--INDEX('Call accounts and MMFs'!$E:$E,ROW())&gt;=1,--INDEX('Call accounts and MMFs'!$E:$E,ROW())/100,--INDEX('Call accounts and MMFs'!$E:$E,ROW())),0)</f>
        <v/>
      </c>
      <c r="O486">
        <f>IFERROR(--INDEX('Call accounts and MMFs'!$F:$F,ROW()),0)</f>
        <v/>
      </c>
      <c r="P486">
        <f>IF(ISNUMBER(INDEX('Call accounts and MMFs'!$E:$E,ROW())),1,0)</f>
        <v/>
      </c>
      <c r="Q486">
        <f>TRIM(SUBSTITUTE(INDEX('Pooled funds'!$B:$B,ROW())&amp;""," "," "))</f>
        <v/>
      </c>
      <c r="R486">
        <f>IFERROR(--INDEX('Pooled funds'!$C:$C,ROW()),0)</f>
        <v/>
      </c>
      <c r="S486">
        <f>IFERROR(--INDEX('Pooled funds'!$D:$D,ROW()),0)</f>
        <v/>
      </c>
      <c r="T486">
        <f>IFERROR(IF(--INDEX('Pooled funds'!$E:$E,ROW())&gt;=1,--INDEX('Pooled funds'!$E:$E,ROW())/100,--INDEX('Pooled funds'!$E:$E,ROW())),0)</f>
        <v/>
      </c>
      <c r="U486">
        <f>IF(ISNUMBER(INDEX('Pooled funds'!$E:$E,ROW())),1,0)</f>
        <v/>
      </c>
      <c r="V486">
        <f>TRIM(SUBSTITUTE(INDEX('Loans'!$A:$A,ROW())&amp;""," "," "))</f>
        <v/>
      </c>
      <c r="W486">
        <f>TRIM(SUBSTITUTE(INDEX('Loans'!$B:$B,ROW())&amp;""," "," "))</f>
        <v/>
      </c>
      <c r="X486">
        <f>TRIM(SUBSTITUTE(INDEX('Loans'!$C:$C,ROW())&amp;""," "," "))</f>
        <v/>
      </c>
      <c r="Y486">
        <f>IFERROR(--INDEX('Loans'!$D:$D,ROW()),0)</f>
        <v/>
      </c>
      <c r="Z486">
        <f>IFERROR(--INDEX('Loans'!$E:$E,ROW()),0)</f>
        <v/>
      </c>
      <c r="AA486">
        <f>IFERROR(--INDEX('Loans'!$F:$F,ROW()),0)</f>
        <v/>
      </c>
      <c r="AB486">
        <f>IFERROR(IF(--INDEX('Loans'!$G:$G,ROW())&gt;=1,--INDEX('Loans'!$G:$G,ROW())/100,--INDEX('Loans'!$G:$G,ROW())),0)</f>
        <v/>
      </c>
      <c r="AC486">
        <f>TRIM(SUBSTITUTE(INDEX('Loans'!$H:$H,ROW())&amp;""," "," "))</f>
        <v/>
      </c>
      <c r="AD486">
        <f>TRIM(SUBSTITUTE(INDEX('Loans'!$I:$I,ROW())&amp;""," "," "))</f>
        <v/>
      </c>
      <c r="AE486">
        <f>IFERROR(--INDEX('Loans'!$J:$J,ROW()),0)</f>
        <v/>
      </c>
      <c r="AF486">
        <f>TRIM(SUBSTITUTE(INDEX('Loans'!$K:$K,ROW())&amp;""," "," "))</f>
        <v/>
      </c>
      <c r="AG486">
        <f>IFERROR(--INDEX('Loans'!$L:$L,ROW()),0)</f>
        <v/>
      </c>
      <c r="AH486">
        <f>IF(ISNUMBER(INDEX('Loans'!$G:$G,ROW())),1,0)</f>
        <v/>
      </c>
    </row>
    <row r="487">
      <c r="A487">
        <f>TRIM(SUBSTITUTE(INDEX('Term investments'!$A:$A,ROW())&amp;""," "," "))</f>
        <v/>
      </c>
      <c r="B487">
        <f>TRIM(SUBSTITUTE(INDEX('Term investments'!$B:$B,ROW())&amp;""," "," "))</f>
        <v/>
      </c>
      <c r="C487">
        <f>TRIM(SUBSTITUTE(INDEX('Term investments'!$C:$C,ROW())&amp;""," "," "))</f>
        <v/>
      </c>
      <c r="D487">
        <f>IFERROR(--INDEX('Term investments'!$D:$D,ROW()),0)</f>
        <v/>
      </c>
      <c r="E487">
        <f>IFERROR(--INDEX('Term investments'!$E:$E,ROW()),0)</f>
        <v/>
      </c>
      <c r="F487">
        <f>IFERROR(--INDEX('Term investments'!$F:$F,ROW()),0)</f>
        <v/>
      </c>
      <c r="G487">
        <f>IFERROR(IF(--INDEX('Term investments'!$G:$G,ROW())&gt;=1,--INDEX('Term investments'!$G:$G,ROW())/100,--INDEX('Term investments'!$G:$G,ROW())),0)</f>
        <v/>
      </c>
      <c r="H487">
        <f>IFERROR(--INDEX('Term investments'!$H:$H,ROW()),0)</f>
        <v/>
      </c>
      <c r="I487">
        <f>IF(ISNUMBER(INDEX('Term investments'!$G:$G,ROW())),1,0)</f>
        <v/>
      </c>
      <c r="J487">
        <f>TRIM(SUBSTITUTE(INDEX('Call accounts and MMFs'!$A:$A,ROW())&amp;""," "," "))</f>
        <v/>
      </c>
      <c r="K487">
        <f>TRIM(SUBSTITUTE(INDEX('Call accounts and MMFs'!$B:$B,ROW())&amp;""," "," "))</f>
        <v/>
      </c>
      <c r="L487">
        <f>TRIM(SUBSTITUTE(INDEX('Call accounts and MMFs'!$C:$C,ROW())&amp;""," "," "))</f>
        <v/>
      </c>
      <c r="M487">
        <f>IFERROR(--INDEX('Call accounts and MMFs'!$D:$D,ROW()),0)</f>
        <v/>
      </c>
      <c r="N487">
        <f>IFERROR(IF(--INDEX('Call accounts and MMFs'!$E:$E,ROW())&gt;=1,--INDEX('Call accounts and MMFs'!$E:$E,ROW())/100,--INDEX('Call accounts and MMFs'!$E:$E,ROW())),0)</f>
        <v/>
      </c>
      <c r="O487">
        <f>IFERROR(--INDEX('Call accounts and MMFs'!$F:$F,ROW()),0)</f>
        <v/>
      </c>
      <c r="P487">
        <f>IF(ISNUMBER(INDEX('Call accounts and MMFs'!$E:$E,ROW())),1,0)</f>
        <v/>
      </c>
      <c r="Q487">
        <f>TRIM(SUBSTITUTE(INDEX('Pooled funds'!$B:$B,ROW())&amp;""," "," "))</f>
        <v/>
      </c>
      <c r="R487">
        <f>IFERROR(--INDEX('Pooled funds'!$C:$C,ROW()),0)</f>
        <v/>
      </c>
      <c r="S487">
        <f>IFERROR(--INDEX('Pooled funds'!$D:$D,ROW()),0)</f>
        <v/>
      </c>
      <c r="T487">
        <f>IFERROR(IF(--INDEX('Pooled funds'!$E:$E,ROW())&gt;=1,--INDEX('Pooled funds'!$E:$E,ROW())/100,--INDEX('Pooled funds'!$E:$E,ROW())),0)</f>
        <v/>
      </c>
      <c r="U487">
        <f>IF(ISNUMBER(INDEX('Pooled funds'!$E:$E,ROW())),1,0)</f>
        <v/>
      </c>
      <c r="V487">
        <f>TRIM(SUBSTITUTE(INDEX('Loans'!$A:$A,ROW())&amp;""," "," "))</f>
        <v/>
      </c>
      <c r="W487">
        <f>TRIM(SUBSTITUTE(INDEX('Loans'!$B:$B,ROW())&amp;""," "," "))</f>
        <v/>
      </c>
      <c r="X487">
        <f>TRIM(SUBSTITUTE(INDEX('Loans'!$C:$C,ROW())&amp;""," "," "))</f>
        <v/>
      </c>
      <c r="Y487">
        <f>IFERROR(--INDEX('Loans'!$D:$D,ROW()),0)</f>
        <v/>
      </c>
      <c r="Z487">
        <f>IFERROR(--INDEX('Loans'!$E:$E,ROW()),0)</f>
        <v/>
      </c>
      <c r="AA487">
        <f>IFERROR(--INDEX('Loans'!$F:$F,ROW()),0)</f>
        <v/>
      </c>
      <c r="AB487">
        <f>IFERROR(IF(--INDEX('Loans'!$G:$G,ROW())&gt;=1,--INDEX('Loans'!$G:$G,ROW())/100,--INDEX('Loans'!$G:$G,ROW())),0)</f>
        <v/>
      </c>
      <c r="AC487">
        <f>TRIM(SUBSTITUTE(INDEX('Loans'!$H:$H,ROW())&amp;""," "," "))</f>
        <v/>
      </c>
      <c r="AD487">
        <f>TRIM(SUBSTITUTE(INDEX('Loans'!$I:$I,ROW())&amp;""," "," "))</f>
        <v/>
      </c>
      <c r="AE487">
        <f>IFERROR(--INDEX('Loans'!$J:$J,ROW()),0)</f>
        <v/>
      </c>
      <c r="AF487">
        <f>TRIM(SUBSTITUTE(INDEX('Loans'!$K:$K,ROW())&amp;""," "," "))</f>
        <v/>
      </c>
      <c r="AG487">
        <f>IFERROR(--INDEX('Loans'!$L:$L,ROW()),0)</f>
        <v/>
      </c>
      <c r="AH487">
        <f>IF(ISNUMBER(INDEX('Loans'!$G:$G,ROW())),1,0)</f>
        <v/>
      </c>
    </row>
    <row r="488">
      <c r="A488">
        <f>TRIM(SUBSTITUTE(INDEX('Term investments'!$A:$A,ROW())&amp;""," "," "))</f>
        <v/>
      </c>
      <c r="B488">
        <f>TRIM(SUBSTITUTE(INDEX('Term investments'!$B:$B,ROW())&amp;""," "," "))</f>
        <v/>
      </c>
      <c r="C488">
        <f>TRIM(SUBSTITUTE(INDEX('Term investments'!$C:$C,ROW())&amp;""," "," "))</f>
        <v/>
      </c>
      <c r="D488">
        <f>IFERROR(--INDEX('Term investments'!$D:$D,ROW()),0)</f>
        <v/>
      </c>
      <c r="E488">
        <f>IFERROR(--INDEX('Term investments'!$E:$E,ROW()),0)</f>
        <v/>
      </c>
      <c r="F488">
        <f>IFERROR(--INDEX('Term investments'!$F:$F,ROW()),0)</f>
        <v/>
      </c>
      <c r="G488">
        <f>IFERROR(IF(--INDEX('Term investments'!$G:$G,ROW())&gt;=1,--INDEX('Term investments'!$G:$G,ROW())/100,--INDEX('Term investments'!$G:$G,ROW())),0)</f>
        <v/>
      </c>
      <c r="H488">
        <f>IFERROR(--INDEX('Term investments'!$H:$H,ROW()),0)</f>
        <v/>
      </c>
      <c r="I488">
        <f>IF(ISNUMBER(INDEX('Term investments'!$G:$G,ROW())),1,0)</f>
        <v/>
      </c>
      <c r="J488">
        <f>TRIM(SUBSTITUTE(INDEX('Call accounts and MMFs'!$A:$A,ROW())&amp;""," "," "))</f>
        <v/>
      </c>
      <c r="K488">
        <f>TRIM(SUBSTITUTE(INDEX('Call accounts and MMFs'!$B:$B,ROW())&amp;""," "," "))</f>
        <v/>
      </c>
      <c r="L488">
        <f>TRIM(SUBSTITUTE(INDEX('Call accounts and MMFs'!$C:$C,ROW())&amp;""," "," "))</f>
        <v/>
      </c>
      <c r="M488">
        <f>IFERROR(--INDEX('Call accounts and MMFs'!$D:$D,ROW()),0)</f>
        <v/>
      </c>
      <c r="N488">
        <f>IFERROR(IF(--INDEX('Call accounts and MMFs'!$E:$E,ROW())&gt;=1,--INDEX('Call accounts and MMFs'!$E:$E,ROW())/100,--INDEX('Call accounts and MMFs'!$E:$E,ROW())),0)</f>
        <v/>
      </c>
      <c r="O488">
        <f>IFERROR(--INDEX('Call accounts and MMFs'!$F:$F,ROW()),0)</f>
        <v/>
      </c>
      <c r="P488">
        <f>IF(ISNUMBER(INDEX('Call accounts and MMFs'!$E:$E,ROW())),1,0)</f>
        <v/>
      </c>
      <c r="Q488">
        <f>TRIM(SUBSTITUTE(INDEX('Pooled funds'!$B:$B,ROW())&amp;""," "," "))</f>
        <v/>
      </c>
      <c r="R488">
        <f>IFERROR(--INDEX('Pooled funds'!$C:$C,ROW()),0)</f>
        <v/>
      </c>
      <c r="S488">
        <f>IFERROR(--INDEX('Pooled funds'!$D:$D,ROW()),0)</f>
        <v/>
      </c>
      <c r="T488">
        <f>IFERROR(IF(--INDEX('Pooled funds'!$E:$E,ROW())&gt;=1,--INDEX('Pooled funds'!$E:$E,ROW())/100,--INDEX('Pooled funds'!$E:$E,ROW())),0)</f>
        <v/>
      </c>
      <c r="U488">
        <f>IF(ISNUMBER(INDEX('Pooled funds'!$E:$E,ROW())),1,0)</f>
        <v/>
      </c>
      <c r="V488">
        <f>TRIM(SUBSTITUTE(INDEX('Loans'!$A:$A,ROW())&amp;""," "," "))</f>
        <v/>
      </c>
      <c r="W488">
        <f>TRIM(SUBSTITUTE(INDEX('Loans'!$B:$B,ROW())&amp;""," "," "))</f>
        <v/>
      </c>
      <c r="X488">
        <f>TRIM(SUBSTITUTE(INDEX('Loans'!$C:$C,ROW())&amp;""," "," "))</f>
        <v/>
      </c>
      <c r="Y488">
        <f>IFERROR(--INDEX('Loans'!$D:$D,ROW()),0)</f>
        <v/>
      </c>
      <c r="Z488">
        <f>IFERROR(--INDEX('Loans'!$E:$E,ROW()),0)</f>
        <v/>
      </c>
      <c r="AA488">
        <f>IFERROR(--INDEX('Loans'!$F:$F,ROW()),0)</f>
        <v/>
      </c>
      <c r="AB488">
        <f>IFERROR(IF(--INDEX('Loans'!$G:$G,ROW())&gt;=1,--INDEX('Loans'!$G:$G,ROW())/100,--INDEX('Loans'!$G:$G,ROW())),0)</f>
        <v/>
      </c>
      <c r="AC488">
        <f>TRIM(SUBSTITUTE(INDEX('Loans'!$H:$H,ROW())&amp;""," "," "))</f>
        <v/>
      </c>
      <c r="AD488">
        <f>TRIM(SUBSTITUTE(INDEX('Loans'!$I:$I,ROW())&amp;""," "," "))</f>
        <v/>
      </c>
      <c r="AE488">
        <f>IFERROR(--INDEX('Loans'!$J:$J,ROW()),0)</f>
        <v/>
      </c>
      <c r="AF488">
        <f>TRIM(SUBSTITUTE(INDEX('Loans'!$K:$K,ROW())&amp;""," "," "))</f>
        <v/>
      </c>
      <c r="AG488">
        <f>IFERROR(--INDEX('Loans'!$L:$L,ROW()),0)</f>
        <v/>
      </c>
      <c r="AH488">
        <f>IF(ISNUMBER(INDEX('Loans'!$G:$G,ROW())),1,0)</f>
        <v/>
      </c>
    </row>
    <row r="489">
      <c r="A489">
        <f>TRIM(SUBSTITUTE(INDEX('Term investments'!$A:$A,ROW())&amp;""," "," "))</f>
        <v/>
      </c>
      <c r="B489">
        <f>TRIM(SUBSTITUTE(INDEX('Term investments'!$B:$B,ROW())&amp;""," "," "))</f>
        <v/>
      </c>
      <c r="C489">
        <f>TRIM(SUBSTITUTE(INDEX('Term investments'!$C:$C,ROW())&amp;""," "," "))</f>
        <v/>
      </c>
      <c r="D489">
        <f>IFERROR(--INDEX('Term investments'!$D:$D,ROW()),0)</f>
        <v/>
      </c>
      <c r="E489">
        <f>IFERROR(--INDEX('Term investments'!$E:$E,ROW()),0)</f>
        <v/>
      </c>
      <c r="F489">
        <f>IFERROR(--INDEX('Term investments'!$F:$F,ROW()),0)</f>
        <v/>
      </c>
      <c r="G489">
        <f>IFERROR(IF(--INDEX('Term investments'!$G:$G,ROW())&gt;=1,--INDEX('Term investments'!$G:$G,ROW())/100,--INDEX('Term investments'!$G:$G,ROW())),0)</f>
        <v/>
      </c>
      <c r="H489">
        <f>IFERROR(--INDEX('Term investments'!$H:$H,ROW()),0)</f>
        <v/>
      </c>
      <c r="I489">
        <f>IF(ISNUMBER(INDEX('Term investments'!$G:$G,ROW())),1,0)</f>
        <v/>
      </c>
      <c r="J489">
        <f>TRIM(SUBSTITUTE(INDEX('Call accounts and MMFs'!$A:$A,ROW())&amp;""," "," "))</f>
        <v/>
      </c>
      <c r="K489">
        <f>TRIM(SUBSTITUTE(INDEX('Call accounts and MMFs'!$B:$B,ROW())&amp;""," "," "))</f>
        <v/>
      </c>
      <c r="L489">
        <f>TRIM(SUBSTITUTE(INDEX('Call accounts and MMFs'!$C:$C,ROW())&amp;""," "," "))</f>
        <v/>
      </c>
      <c r="M489">
        <f>IFERROR(--INDEX('Call accounts and MMFs'!$D:$D,ROW()),0)</f>
        <v/>
      </c>
      <c r="N489">
        <f>IFERROR(IF(--INDEX('Call accounts and MMFs'!$E:$E,ROW())&gt;=1,--INDEX('Call accounts and MMFs'!$E:$E,ROW())/100,--INDEX('Call accounts and MMFs'!$E:$E,ROW())),0)</f>
        <v/>
      </c>
      <c r="O489">
        <f>IFERROR(--INDEX('Call accounts and MMFs'!$F:$F,ROW()),0)</f>
        <v/>
      </c>
      <c r="P489">
        <f>IF(ISNUMBER(INDEX('Call accounts and MMFs'!$E:$E,ROW())),1,0)</f>
        <v/>
      </c>
      <c r="Q489">
        <f>TRIM(SUBSTITUTE(INDEX('Pooled funds'!$B:$B,ROW())&amp;""," "," "))</f>
        <v/>
      </c>
      <c r="R489">
        <f>IFERROR(--INDEX('Pooled funds'!$C:$C,ROW()),0)</f>
        <v/>
      </c>
      <c r="S489">
        <f>IFERROR(--INDEX('Pooled funds'!$D:$D,ROW()),0)</f>
        <v/>
      </c>
      <c r="T489">
        <f>IFERROR(IF(--INDEX('Pooled funds'!$E:$E,ROW())&gt;=1,--INDEX('Pooled funds'!$E:$E,ROW())/100,--INDEX('Pooled funds'!$E:$E,ROW())),0)</f>
        <v/>
      </c>
      <c r="U489">
        <f>IF(ISNUMBER(INDEX('Pooled funds'!$E:$E,ROW())),1,0)</f>
        <v/>
      </c>
      <c r="V489">
        <f>TRIM(SUBSTITUTE(INDEX('Loans'!$A:$A,ROW())&amp;""," "," "))</f>
        <v/>
      </c>
      <c r="W489">
        <f>TRIM(SUBSTITUTE(INDEX('Loans'!$B:$B,ROW())&amp;""," "," "))</f>
        <v/>
      </c>
      <c r="X489">
        <f>TRIM(SUBSTITUTE(INDEX('Loans'!$C:$C,ROW())&amp;""," "," "))</f>
        <v/>
      </c>
      <c r="Y489">
        <f>IFERROR(--INDEX('Loans'!$D:$D,ROW()),0)</f>
        <v/>
      </c>
      <c r="Z489">
        <f>IFERROR(--INDEX('Loans'!$E:$E,ROW()),0)</f>
        <v/>
      </c>
      <c r="AA489">
        <f>IFERROR(--INDEX('Loans'!$F:$F,ROW()),0)</f>
        <v/>
      </c>
      <c r="AB489">
        <f>IFERROR(IF(--INDEX('Loans'!$G:$G,ROW())&gt;=1,--INDEX('Loans'!$G:$G,ROW())/100,--INDEX('Loans'!$G:$G,ROW())),0)</f>
        <v/>
      </c>
      <c r="AC489">
        <f>TRIM(SUBSTITUTE(INDEX('Loans'!$H:$H,ROW())&amp;""," "," "))</f>
        <v/>
      </c>
      <c r="AD489">
        <f>TRIM(SUBSTITUTE(INDEX('Loans'!$I:$I,ROW())&amp;""," "," "))</f>
        <v/>
      </c>
      <c r="AE489">
        <f>IFERROR(--INDEX('Loans'!$J:$J,ROW()),0)</f>
        <v/>
      </c>
      <c r="AF489">
        <f>TRIM(SUBSTITUTE(INDEX('Loans'!$K:$K,ROW())&amp;""," "," "))</f>
        <v/>
      </c>
      <c r="AG489">
        <f>IFERROR(--INDEX('Loans'!$L:$L,ROW()),0)</f>
        <v/>
      </c>
      <c r="AH489">
        <f>IF(ISNUMBER(INDEX('Loans'!$G:$G,ROW())),1,0)</f>
        <v/>
      </c>
    </row>
    <row r="490">
      <c r="A490">
        <f>TRIM(SUBSTITUTE(INDEX('Term investments'!$A:$A,ROW())&amp;""," "," "))</f>
        <v/>
      </c>
      <c r="B490">
        <f>TRIM(SUBSTITUTE(INDEX('Term investments'!$B:$B,ROW())&amp;""," "," "))</f>
        <v/>
      </c>
      <c r="C490">
        <f>TRIM(SUBSTITUTE(INDEX('Term investments'!$C:$C,ROW())&amp;""," "," "))</f>
        <v/>
      </c>
      <c r="D490">
        <f>IFERROR(--INDEX('Term investments'!$D:$D,ROW()),0)</f>
        <v/>
      </c>
      <c r="E490">
        <f>IFERROR(--INDEX('Term investments'!$E:$E,ROW()),0)</f>
        <v/>
      </c>
      <c r="F490">
        <f>IFERROR(--INDEX('Term investments'!$F:$F,ROW()),0)</f>
        <v/>
      </c>
      <c r="G490">
        <f>IFERROR(IF(--INDEX('Term investments'!$G:$G,ROW())&gt;=1,--INDEX('Term investments'!$G:$G,ROW())/100,--INDEX('Term investments'!$G:$G,ROW())),0)</f>
        <v/>
      </c>
      <c r="H490">
        <f>IFERROR(--INDEX('Term investments'!$H:$H,ROW()),0)</f>
        <v/>
      </c>
      <c r="I490">
        <f>IF(ISNUMBER(INDEX('Term investments'!$G:$G,ROW())),1,0)</f>
        <v/>
      </c>
      <c r="J490">
        <f>TRIM(SUBSTITUTE(INDEX('Call accounts and MMFs'!$A:$A,ROW())&amp;""," "," "))</f>
        <v/>
      </c>
      <c r="K490">
        <f>TRIM(SUBSTITUTE(INDEX('Call accounts and MMFs'!$B:$B,ROW())&amp;""," "," "))</f>
        <v/>
      </c>
      <c r="L490">
        <f>TRIM(SUBSTITUTE(INDEX('Call accounts and MMFs'!$C:$C,ROW())&amp;""," "," "))</f>
        <v/>
      </c>
      <c r="M490">
        <f>IFERROR(--INDEX('Call accounts and MMFs'!$D:$D,ROW()),0)</f>
        <v/>
      </c>
      <c r="N490">
        <f>IFERROR(IF(--INDEX('Call accounts and MMFs'!$E:$E,ROW())&gt;=1,--INDEX('Call accounts and MMFs'!$E:$E,ROW())/100,--INDEX('Call accounts and MMFs'!$E:$E,ROW())),0)</f>
        <v/>
      </c>
      <c r="O490">
        <f>IFERROR(--INDEX('Call accounts and MMFs'!$F:$F,ROW()),0)</f>
        <v/>
      </c>
      <c r="P490">
        <f>IF(ISNUMBER(INDEX('Call accounts and MMFs'!$E:$E,ROW())),1,0)</f>
        <v/>
      </c>
      <c r="Q490">
        <f>TRIM(SUBSTITUTE(INDEX('Pooled funds'!$B:$B,ROW())&amp;""," "," "))</f>
        <v/>
      </c>
      <c r="R490">
        <f>IFERROR(--INDEX('Pooled funds'!$C:$C,ROW()),0)</f>
        <v/>
      </c>
      <c r="S490">
        <f>IFERROR(--INDEX('Pooled funds'!$D:$D,ROW()),0)</f>
        <v/>
      </c>
      <c r="T490">
        <f>IFERROR(IF(--INDEX('Pooled funds'!$E:$E,ROW())&gt;=1,--INDEX('Pooled funds'!$E:$E,ROW())/100,--INDEX('Pooled funds'!$E:$E,ROW())),0)</f>
        <v/>
      </c>
      <c r="U490">
        <f>IF(ISNUMBER(INDEX('Pooled funds'!$E:$E,ROW())),1,0)</f>
        <v/>
      </c>
      <c r="V490">
        <f>TRIM(SUBSTITUTE(INDEX('Loans'!$A:$A,ROW())&amp;""," "," "))</f>
        <v/>
      </c>
      <c r="W490">
        <f>TRIM(SUBSTITUTE(INDEX('Loans'!$B:$B,ROW())&amp;""," "," "))</f>
        <v/>
      </c>
      <c r="X490">
        <f>TRIM(SUBSTITUTE(INDEX('Loans'!$C:$C,ROW())&amp;""," "," "))</f>
        <v/>
      </c>
      <c r="Y490">
        <f>IFERROR(--INDEX('Loans'!$D:$D,ROW()),0)</f>
        <v/>
      </c>
      <c r="Z490">
        <f>IFERROR(--INDEX('Loans'!$E:$E,ROW()),0)</f>
        <v/>
      </c>
      <c r="AA490">
        <f>IFERROR(--INDEX('Loans'!$F:$F,ROW()),0)</f>
        <v/>
      </c>
      <c r="AB490">
        <f>IFERROR(IF(--INDEX('Loans'!$G:$G,ROW())&gt;=1,--INDEX('Loans'!$G:$G,ROW())/100,--INDEX('Loans'!$G:$G,ROW())),0)</f>
        <v/>
      </c>
      <c r="AC490">
        <f>TRIM(SUBSTITUTE(INDEX('Loans'!$H:$H,ROW())&amp;""," "," "))</f>
        <v/>
      </c>
      <c r="AD490">
        <f>TRIM(SUBSTITUTE(INDEX('Loans'!$I:$I,ROW())&amp;""," "," "))</f>
        <v/>
      </c>
      <c r="AE490">
        <f>IFERROR(--INDEX('Loans'!$J:$J,ROW()),0)</f>
        <v/>
      </c>
      <c r="AF490">
        <f>TRIM(SUBSTITUTE(INDEX('Loans'!$K:$K,ROW())&amp;""," "," "))</f>
        <v/>
      </c>
      <c r="AG490">
        <f>IFERROR(--INDEX('Loans'!$L:$L,ROW()),0)</f>
        <v/>
      </c>
      <c r="AH490">
        <f>IF(ISNUMBER(INDEX('Loans'!$G:$G,ROW())),1,0)</f>
        <v/>
      </c>
    </row>
    <row r="491">
      <c r="A491">
        <f>TRIM(SUBSTITUTE(INDEX('Term investments'!$A:$A,ROW())&amp;""," "," "))</f>
        <v/>
      </c>
      <c r="B491">
        <f>TRIM(SUBSTITUTE(INDEX('Term investments'!$B:$B,ROW())&amp;""," "," "))</f>
        <v/>
      </c>
      <c r="C491">
        <f>TRIM(SUBSTITUTE(INDEX('Term investments'!$C:$C,ROW())&amp;""," "," "))</f>
        <v/>
      </c>
      <c r="D491">
        <f>IFERROR(--INDEX('Term investments'!$D:$D,ROW()),0)</f>
        <v/>
      </c>
      <c r="E491">
        <f>IFERROR(--INDEX('Term investments'!$E:$E,ROW()),0)</f>
        <v/>
      </c>
      <c r="F491">
        <f>IFERROR(--INDEX('Term investments'!$F:$F,ROW()),0)</f>
        <v/>
      </c>
      <c r="G491">
        <f>IFERROR(IF(--INDEX('Term investments'!$G:$G,ROW())&gt;=1,--INDEX('Term investments'!$G:$G,ROW())/100,--INDEX('Term investments'!$G:$G,ROW())),0)</f>
        <v/>
      </c>
      <c r="H491">
        <f>IFERROR(--INDEX('Term investments'!$H:$H,ROW()),0)</f>
        <v/>
      </c>
      <c r="I491">
        <f>IF(ISNUMBER(INDEX('Term investments'!$G:$G,ROW())),1,0)</f>
        <v/>
      </c>
      <c r="J491">
        <f>TRIM(SUBSTITUTE(INDEX('Call accounts and MMFs'!$A:$A,ROW())&amp;""," "," "))</f>
        <v/>
      </c>
      <c r="K491">
        <f>TRIM(SUBSTITUTE(INDEX('Call accounts and MMFs'!$B:$B,ROW())&amp;""," "," "))</f>
        <v/>
      </c>
      <c r="L491">
        <f>TRIM(SUBSTITUTE(INDEX('Call accounts and MMFs'!$C:$C,ROW())&amp;""," "," "))</f>
        <v/>
      </c>
      <c r="M491">
        <f>IFERROR(--INDEX('Call accounts and MMFs'!$D:$D,ROW()),0)</f>
        <v/>
      </c>
      <c r="N491">
        <f>IFERROR(IF(--INDEX('Call accounts and MMFs'!$E:$E,ROW())&gt;=1,--INDEX('Call accounts and MMFs'!$E:$E,ROW())/100,--INDEX('Call accounts and MMFs'!$E:$E,ROW())),0)</f>
        <v/>
      </c>
      <c r="O491">
        <f>IFERROR(--INDEX('Call accounts and MMFs'!$F:$F,ROW()),0)</f>
        <v/>
      </c>
      <c r="P491">
        <f>IF(ISNUMBER(INDEX('Call accounts and MMFs'!$E:$E,ROW())),1,0)</f>
        <v/>
      </c>
      <c r="Q491">
        <f>TRIM(SUBSTITUTE(INDEX('Pooled funds'!$B:$B,ROW())&amp;""," "," "))</f>
        <v/>
      </c>
      <c r="R491">
        <f>IFERROR(--INDEX('Pooled funds'!$C:$C,ROW()),0)</f>
        <v/>
      </c>
      <c r="S491">
        <f>IFERROR(--INDEX('Pooled funds'!$D:$D,ROW()),0)</f>
        <v/>
      </c>
      <c r="T491">
        <f>IFERROR(IF(--INDEX('Pooled funds'!$E:$E,ROW())&gt;=1,--INDEX('Pooled funds'!$E:$E,ROW())/100,--INDEX('Pooled funds'!$E:$E,ROW())),0)</f>
        <v/>
      </c>
      <c r="U491">
        <f>IF(ISNUMBER(INDEX('Pooled funds'!$E:$E,ROW())),1,0)</f>
        <v/>
      </c>
      <c r="V491">
        <f>TRIM(SUBSTITUTE(INDEX('Loans'!$A:$A,ROW())&amp;""," "," "))</f>
        <v/>
      </c>
      <c r="W491">
        <f>TRIM(SUBSTITUTE(INDEX('Loans'!$B:$B,ROW())&amp;""," "," "))</f>
        <v/>
      </c>
      <c r="X491">
        <f>TRIM(SUBSTITUTE(INDEX('Loans'!$C:$C,ROW())&amp;""," "," "))</f>
        <v/>
      </c>
      <c r="Y491">
        <f>IFERROR(--INDEX('Loans'!$D:$D,ROW()),0)</f>
        <v/>
      </c>
      <c r="Z491">
        <f>IFERROR(--INDEX('Loans'!$E:$E,ROW()),0)</f>
        <v/>
      </c>
      <c r="AA491">
        <f>IFERROR(--INDEX('Loans'!$F:$F,ROW()),0)</f>
        <v/>
      </c>
      <c r="AB491">
        <f>IFERROR(IF(--INDEX('Loans'!$G:$G,ROW())&gt;=1,--INDEX('Loans'!$G:$G,ROW())/100,--INDEX('Loans'!$G:$G,ROW())),0)</f>
        <v/>
      </c>
      <c r="AC491">
        <f>TRIM(SUBSTITUTE(INDEX('Loans'!$H:$H,ROW())&amp;""," "," "))</f>
        <v/>
      </c>
      <c r="AD491">
        <f>TRIM(SUBSTITUTE(INDEX('Loans'!$I:$I,ROW())&amp;""," "," "))</f>
        <v/>
      </c>
      <c r="AE491">
        <f>IFERROR(--INDEX('Loans'!$J:$J,ROW()),0)</f>
        <v/>
      </c>
      <c r="AF491">
        <f>TRIM(SUBSTITUTE(INDEX('Loans'!$K:$K,ROW())&amp;""," "," "))</f>
        <v/>
      </c>
      <c r="AG491">
        <f>IFERROR(--INDEX('Loans'!$L:$L,ROW()),0)</f>
        <v/>
      </c>
      <c r="AH491">
        <f>IF(ISNUMBER(INDEX('Loans'!$G:$G,ROW())),1,0)</f>
        <v/>
      </c>
    </row>
    <row r="492">
      <c r="A492">
        <f>TRIM(SUBSTITUTE(INDEX('Term investments'!$A:$A,ROW())&amp;""," "," "))</f>
        <v/>
      </c>
      <c r="B492">
        <f>TRIM(SUBSTITUTE(INDEX('Term investments'!$B:$B,ROW())&amp;""," "," "))</f>
        <v/>
      </c>
      <c r="C492">
        <f>TRIM(SUBSTITUTE(INDEX('Term investments'!$C:$C,ROW())&amp;""," "," "))</f>
        <v/>
      </c>
      <c r="D492">
        <f>IFERROR(--INDEX('Term investments'!$D:$D,ROW()),0)</f>
        <v/>
      </c>
      <c r="E492">
        <f>IFERROR(--INDEX('Term investments'!$E:$E,ROW()),0)</f>
        <v/>
      </c>
      <c r="F492">
        <f>IFERROR(--INDEX('Term investments'!$F:$F,ROW()),0)</f>
        <v/>
      </c>
      <c r="G492">
        <f>IFERROR(IF(--INDEX('Term investments'!$G:$G,ROW())&gt;=1,--INDEX('Term investments'!$G:$G,ROW())/100,--INDEX('Term investments'!$G:$G,ROW())),0)</f>
        <v/>
      </c>
      <c r="H492">
        <f>IFERROR(--INDEX('Term investments'!$H:$H,ROW()),0)</f>
        <v/>
      </c>
      <c r="I492">
        <f>IF(ISNUMBER(INDEX('Term investments'!$G:$G,ROW())),1,0)</f>
        <v/>
      </c>
      <c r="J492">
        <f>TRIM(SUBSTITUTE(INDEX('Call accounts and MMFs'!$A:$A,ROW())&amp;""," "," "))</f>
        <v/>
      </c>
      <c r="K492">
        <f>TRIM(SUBSTITUTE(INDEX('Call accounts and MMFs'!$B:$B,ROW())&amp;""," "," "))</f>
        <v/>
      </c>
      <c r="L492">
        <f>TRIM(SUBSTITUTE(INDEX('Call accounts and MMFs'!$C:$C,ROW())&amp;""," "," "))</f>
        <v/>
      </c>
      <c r="M492">
        <f>IFERROR(--INDEX('Call accounts and MMFs'!$D:$D,ROW()),0)</f>
        <v/>
      </c>
      <c r="N492">
        <f>IFERROR(IF(--INDEX('Call accounts and MMFs'!$E:$E,ROW())&gt;=1,--INDEX('Call accounts and MMFs'!$E:$E,ROW())/100,--INDEX('Call accounts and MMFs'!$E:$E,ROW())),0)</f>
        <v/>
      </c>
      <c r="O492">
        <f>IFERROR(--INDEX('Call accounts and MMFs'!$F:$F,ROW()),0)</f>
        <v/>
      </c>
      <c r="P492">
        <f>IF(ISNUMBER(INDEX('Call accounts and MMFs'!$E:$E,ROW())),1,0)</f>
        <v/>
      </c>
      <c r="Q492">
        <f>TRIM(SUBSTITUTE(INDEX('Pooled funds'!$B:$B,ROW())&amp;""," "," "))</f>
        <v/>
      </c>
      <c r="R492">
        <f>IFERROR(--INDEX('Pooled funds'!$C:$C,ROW()),0)</f>
        <v/>
      </c>
      <c r="S492">
        <f>IFERROR(--INDEX('Pooled funds'!$D:$D,ROW()),0)</f>
        <v/>
      </c>
      <c r="T492">
        <f>IFERROR(IF(--INDEX('Pooled funds'!$E:$E,ROW())&gt;=1,--INDEX('Pooled funds'!$E:$E,ROW())/100,--INDEX('Pooled funds'!$E:$E,ROW())),0)</f>
        <v/>
      </c>
      <c r="U492">
        <f>IF(ISNUMBER(INDEX('Pooled funds'!$E:$E,ROW())),1,0)</f>
        <v/>
      </c>
      <c r="V492">
        <f>TRIM(SUBSTITUTE(INDEX('Loans'!$A:$A,ROW())&amp;""," "," "))</f>
        <v/>
      </c>
      <c r="W492">
        <f>TRIM(SUBSTITUTE(INDEX('Loans'!$B:$B,ROW())&amp;""," "," "))</f>
        <v/>
      </c>
      <c r="X492">
        <f>TRIM(SUBSTITUTE(INDEX('Loans'!$C:$C,ROW())&amp;""," "," "))</f>
        <v/>
      </c>
      <c r="Y492">
        <f>IFERROR(--INDEX('Loans'!$D:$D,ROW()),0)</f>
        <v/>
      </c>
      <c r="Z492">
        <f>IFERROR(--INDEX('Loans'!$E:$E,ROW()),0)</f>
        <v/>
      </c>
      <c r="AA492">
        <f>IFERROR(--INDEX('Loans'!$F:$F,ROW()),0)</f>
        <v/>
      </c>
      <c r="AB492">
        <f>IFERROR(IF(--INDEX('Loans'!$G:$G,ROW())&gt;=1,--INDEX('Loans'!$G:$G,ROW())/100,--INDEX('Loans'!$G:$G,ROW())),0)</f>
        <v/>
      </c>
      <c r="AC492">
        <f>TRIM(SUBSTITUTE(INDEX('Loans'!$H:$H,ROW())&amp;""," "," "))</f>
        <v/>
      </c>
      <c r="AD492">
        <f>TRIM(SUBSTITUTE(INDEX('Loans'!$I:$I,ROW())&amp;""," "," "))</f>
        <v/>
      </c>
      <c r="AE492">
        <f>IFERROR(--INDEX('Loans'!$J:$J,ROW()),0)</f>
        <v/>
      </c>
      <c r="AF492">
        <f>TRIM(SUBSTITUTE(INDEX('Loans'!$K:$K,ROW())&amp;""," "," "))</f>
        <v/>
      </c>
      <c r="AG492">
        <f>IFERROR(--INDEX('Loans'!$L:$L,ROW()),0)</f>
        <v/>
      </c>
      <c r="AH492">
        <f>IF(ISNUMBER(INDEX('Loans'!$G:$G,ROW())),1,0)</f>
        <v/>
      </c>
    </row>
    <row r="493">
      <c r="A493">
        <f>TRIM(SUBSTITUTE(INDEX('Term investments'!$A:$A,ROW())&amp;""," "," "))</f>
        <v/>
      </c>
      <c r="B493">
        <f>TRIM(SUBSTITUTE(INDEX('Term investments'!$B:$B,ROW())&amp;""," "," "))</f>
        <v/>
      </c>
      <c r="C493">
        <f>TRIM(SUBSTITUTE(INDEX('Term investments'!$C:$C,ROW())&amp;""," "," "))</f>
        <v/>
      </c>
      <c r="D493">
        <f>IFERROR(--INDEX('Term investments'!$D:$D,ROW()),0)</f>
        <v/>
      </c>
      <c r="E493">
        <f>IFERROR(--INDEX('Term investments'!$E:$E,ROW()),0)</f>
        <v/>
      </c>
      <c r="F493">
        <f>IFERROR(--INDEX('Term investments'!$F:$F,ROW()),0)</f>
        <v/>
      </c>
      <c r="G493">
        <f>IFERROR(IF(--INDEX('Term investments'!$G:$G,ROW())&gt;=1,--INDEX('Term investments'!$G:$G,ROW())/100,--INDEX('Term investments'!$G:$G,ROW())),0)</f>
        <v/>
      </c>
      <c r="H493">
        <f>IFERROR(--INDEX('Term investments'!$H:$H,ROW()),0)</f>
        <v/>
      </c>
      <c r="I493">
        <f>IF(ISNUMBER(INDEX('Term investments'!$G:$G,ROW())),1,0)</f>
        <v/>
      </c>
      <c r="J493">
        <f>TRIM(SUBSTITUTE(INDEX('Call accounts and MMFs'!$A:$A,ROW())&amp;""," "," "))</f>
        <v/>
      </c>
      <c r="K493">
        <f>TRIM(SUBSTITUTE(INDEX('Call accounts and MMFs'!$B:$B,ROW())&amp;""," "," "))</f>
        <v/>
      </c>
      <c r="L493">
        <f>TRIM(SUBSTITUTE(INDEX('Call accounts and MMFs'!$C:$C,ROW())&amp;""," "," "))</f>
        <v/>
      </c>
      <c r="M493">
        <f>IFERROR(--INDEX('Call accounts and MMFs'!$D:$D,ROW()),0)</f>
        <v/>
      </c>
      <c r="N493">
        <f>IFERROR(IF(--INDEX('Call accounts and MMFs'!$E:$E,ROW())&gt;=1,--INDEX('Call accounts and MMFs'!$E:$E,ROW())/100,--INDEX('Call accounts and MMFs'!$E:$E,ROW())),0)</f>
        <v/>
      </c>
      <c r="O493">
        <f>IFERROR(--INDEX('Call accounts and MMFs'!$F:$F,ROW()),0)</f>
        <v/>
      </c>
      <c r="P493">
        <f>IF(ISNUMBER(INDEX('Call accounts and MMFs'!$E:$E,ROW())),1,0)</f>
        <v/>
      </c>
      <c r="Q493">
        <f>TRIM(SUBSTITUTE(INDEX('Pooled funds'!$B:$B,ROW())&amp;""," "," "))</f>
        <v/>
      </c>
      <c r="R493">
        <f>IFERROR(--INDEX('Pooled funds'!$C:$C,ROW()),0)</f>
        <v/>
      </c>
      <c r="S493">
        <f>IFERROR(--INDEX('Pooled funds'!$D:$D,ROW()),0)</f>
        <v/>
      </c>
      <c r="T493">
        <f>IFERROR(IF(--INDEX('Pooled funds'!$E:$E,ROW())&gt;=1,--INDEX('Pooled funds'!$E:$E,ROW())/100,--INDEX('Pooled funds'!$E:$E,ROW())),0)</f>
        <v/>
      </c>
      <c r="U493">
        <f>IF(ISNUMBER(INDEX('Pooled funds'!$E:$E,ROW())),1,0)</f>
        <v/>
      </c>
      <c r="V493">
        <f>TRIM(SUBSTITUTE(INDEX('Loans'!$A:$A,ROW())&amp;""," "," "))</f>
        <v/>
      </c>
      <c r="W493">
        <f>TRIM(SUBSTITUTE(INDEX('Loans'!$B:$B,ROW())&amp;""," "," "))</f>
        <v/>
      </c>
      <c r="X493">
        <f>TRIM(SUBSTITUTE(INDEX('Loans'!$C:$C,ROW())&amp;""," "," "))</f>
        <v/>
      </c>
      <c r="Y493">
        <f>IFERROR(--INDEX('Loans'!$D:$D,ROW()),0)</f>
        <v/>
      </c>
      <c r="Z493">
        <f>IFERROR(--INDEX('Loans'!$E:$E,ROW()),0)</f>
        <v/>
      </c>
      <c r="AA493">
        <f>IFERROR(--INDEX('Loans'!$F:$F,ROW()),0)</f>
        <v/>
      </c>
      <c r="AB493">
        <f>IFERROR(IF(--INDEX('Loans'!$G:$G,ROW())&gt;=1,--INDEX('Loans'!$G:$G,ROW())/100,--INDEX('Loans'!$G:$G,ROW())),0)</f>
        <v/>
      </c>
      <c r="AC493">
        <f>TRIM(SUBSTITUTE(INDEX('Loans'!$H:$H,ROW())&amp;""," "," "))</f>
        <v/>
      </c>
      <c r="AD493">
        <f>TRIM(SUBSTITUTE(INDEX('Loans'!$I:$I,ROW())&amp;""," "," "))</f>
        <v/>
      </c>
      <c r="AE493">
        <f>IFERROR(--INDEX('Loans'!$J:$J,ROW()),0)</f>
        <v/>
      </c>
      <c r="AF493">
        <f>TRIM(SUBSTITUTE(INDEX('Loans'!$K:$K,ROW())&amp;""," "," "))</f>
        <v/>
      </c>
      <c r="AG493">
        <f>IFERROR(--INDEX('Loans'!$L:$L,ROW()),0)</f>
        <v/>
      </c>
      <c r="AH493">
        <f>IF(ISNUMBER(INDEX('Loans'!$G:$G,ROW())),1,0)</f>
        <v/>
      </c>
    </row>
    <row r="494">
      <c r="A494">
        <f>TRIM(SUBSTITUTE(INDEX('Term investments'!$A:$A,ROW())&amp;""," "," "))</f>
        <v/>
      </c>
      <c r="B494">
        <f>TRIM(SUBSTITUTE(INDEX('Term investments'!$B:$B,ROW())&amp;""," "," "))</f>
        <v/>
      </c>
      <c r="C494">
        <f>TRIM(SUBSTITUTE(INDEX('Term investments'!$C:$C,ROW())&amp;""," "," "))</f>
        <v/>
      </c>
      <c r="D494">
        <f>IFERROR(--INDEX('Term investments'!$D:$D,ROW()),0)</f>
        <v/>
      </c>
      <c r="E494">
        <f>IFERROR(--INDEX('Term investments'!$E:$E,ROW()),0)</f>
        <v/>
      </c>
      <c r="F494">
        <f>IFERROR(--INDEX('Term investments'!$F:$F,ROW()),0)</f>
        <v/>
      </c>
      <c r="G494">
        <f>IFERROR(IF(--INDEX('Term investments'!$G:$G,ROW())&gt;=1,--INDEX('Term investments'!$G:$G,ROW())/100,--INDEX('Term investments'!$G:$G,ROW())),0)</f>
        <v/>
      </c>
      <c r="H494">
        <f>IFERROR(--INDEX('Term investments'!$H:$H,ROW()),0)</f>
        <v/>
      </c>
      <c r="I494">
        <f>IF(ISNUMBER(INDEX('Term investments'!$G:$G,ROW())),1,0)</f>
        <v/>
      </c>
      <c r="J494">
        <f>TRIM(SUBSTITUTE(INDEX('Call accounts and MMFs'!$A:$A,ROW())&amp;""," "," "))</f>
        <v/>
      </c>
      <c r="K494">
        <f>TRIM(SUBSTITUTE(INDEX('Call accounts and MMFs'!$B:$B,ROW())&amp;""," "," "))</f>
        <v/>
      </c>
      <c r="L494">
        <f>TRIM(SUBSTITUTE(INDEX('Call accounts and MMFs'!$C:$C,ROW())&amp;""," "," "))</f>
        <v/>
      </c>
      <c r="M494">
        <f>IFERROR(--INDEX('Call accounts and MMFs'!$D:$D,ROW()),0)</f>
        <v/>
      </c>
      <c r="N494">
        <f>IFERROR(IF(--INDEX('Call accounts and MMFs'!$E:$E,ROW())&gt;=1,--INDEX('Call accounts and MMFs'!$E:$E,ROW())/100,--INDEX('Call accounts and MMFs'!$E:$E,ROW())),0)</f>
        <v/>
      </c>
      <c r="O494">
        <f>IFERROR(--INDEX('Call accounts and MMFs'!$F:$F,ROW()),0)</f>
        <v/>
      </c>
      <c r="P494">
        <f>IF(ISNUMBER(INDEX('Call accounts and MMFs'!$E:$E,ROW())),1,0)</f>
        <v/>
      </c>
      <c r="Q494">
        <f>TRIM(SUBSTITUTE(INDEX('Pooled funds'!$B:$B,ROW())&amp;""," "," "))</f>
        <v/>
      </c>
      <c r="R494">
        <f>IFERROR(--INDEX('Pooled funds'!$C:$C,ROW()),0)</f>
        <v/>
      </c>
      <c r="S494">
        <f>IFERROR(--INDEX('Pooled funds'!$D:$D,ROW()),0)</f>
        <v/>
      </c>
      <c r="T494">
        <f>IFERROR(IF(--INDEX('Pooled funds'!$E:$E,ROW())&gt;=1,--INDEX('Pooled funds'!$E:$E,ROW())/100,--INDEX('Pooled funds'!$E:$E,ROW())),0)</f>
        <v/>
      </c>
      <c r="U494">
        <f>IF(ISNUMBER(INDEX('Pooled funds'!$E:$E,ROW())),1,0)</f>
        <v/>
      </c>
      <c r="V494">
        <f>TRIM(SUBSTITUTE(INDEX('Loans'!$A:$A,ROW())&amp;""," "," "))</f>
        <v/>
      </c>
      <c r="W494">
        <f>TRIM(SUBSTITUTE(INDEX('Loans'!$B:$B,ROW())&amp;""," "," "))</f>
        <v/>
      </c>
      <c r="X494">
        <f>TRIM(SUBSTITUTE(INDEX('Loans'!$C:$C,ROW())&amp;""," "," "))</f>
        <v/>
      </c>
      <c r="Y494">
        <f>IFERROR(--INDEX('Loans'!$D:$D,ROW()),0)</f>
        <v/>
      </c>
      <c r="Z494">
        <f>IFERROR(--INDEX('Loans'!$E:$E,ROW()),0)</f>
        <v/>
      </c>
      <c r="AA494">
        <f>IFERROR(--INDEX('Loans'!$F:$F,ROW()),0)</f>
        <v/>
      </c>
      <c r="AB494">
        <f>IFERROR(IF(--INDEX('Loans'!$G:$G,ROW())&gt;=1,--INDEX('Loans'!$G:$G,ROW())/100,--INDEX('Loans'!$G:$G,ROW())),0)</f>
        <v/>
      </c>
      <c r="AC494">
        <f>TRIM(SUBSTITUTE(INDEX('Loans'!$H:$H,ROW())&amp;""," "," "))</f>
        <v/>
      </c>
      <c r="AD494">
        <f>TRIM(SUBSTITUTE(INDEX('Loans'!$I:$I,ROW())&amp;""," "," "))</f>
        <v/>
      </c>
      <c r="AE494">
        <f>IFERROR(--INDEX('Loans'!$J:$J,ROW()),0)</f>
        <v/>
      </c>
      <c r="AF494">
        <f>TRIM(SUBSTITUTE(INDEX('Loans'!$K:$K,ROW())&amp;""," "," "))</f>
        <v/>
      </c>
      <c r="AG494">
        <f>IFERROR(--INDEX('Loans'!$L:$L,ROW()),0)</f>
        <v/>
      </c>
      <c r="AH494">
        <f>IF(ISNUMBER(INDEX('Loans'!$G:$G,ROW())),1,0)</f>
        <v/>
      </c>
    </row>
    <row r="495">
      <c r="A495">
        <f>TRIM(SUBSTITUTE(INDEX('Term investments'!$A:$A,ROW())&amp;""," "," "))</f>
        <v/>
      </c>
      <c r="B495">
        <f>TRIM(SUBSTITUTE(INDEX('Term investments'!$B:$B,ROW())&amp;""," "," "))</f>
        <v/>
      </c>
      <c r="C495">
        <f>TRIM(SUBSTITUTE(INDEX('Term investments'!$C:$C,ROW())&amp;""," "," "))</f>
        <v/>
      </c>
      <c r="D495">
        <f>IFERROR(--INDEX('Term investments'!$D:$D,ROW()),0)</f>
        <v/>
      </c>
      <c r="E495">
        <f>IFERROR(--INDEX('Term investments'!$E:$E,ROW()),0)</f>
        <v/>
      </c>
      <c r="F495">
        <f>IFERROR(--INDEX('Term investments'!$F:$F,ROW()),0)</f>
        <v/>
      </c>
      <c r="G495">
        <f>IFERROR(IF(--INDEX('Term investments'!$G:$G,ROW())&gt;=1,--INDEX('Term investments'!$G:$G,ROW())/100,--INDEX('Term investments'!$G:$G,ROW())),0)</f>
        <v/>
      </c>
      <c r="H495">
        <f>IFERROR(--INDEX('Term investments'!$H:$H,ROW()),0)</f>
        <v/>
      </c>
      <c r="I495">
        <f>IF(ISNUMBER(INDEX('Term investments'!$G:$G,ROW())),1,0)</f>
        <v/>
      </c>
      <c r="J495">
        <f>TRIM(SUBSTITUTE(INDEX('Call accounts and MMFs'!$A:$A,ROW())&amp;""," "," "))</f>
        <v/>
      </c>
      <c r="K495">
        <f>TRIM(SUBSTITUTE(INDEX('Call accounts and MMFs'!$B:$B,ROW())&amp;""," "," "))</f>
        <v/>
      </c>
      <c r="L495">
        <f>TRIM(SUBSTITUTE(INDEX('Call accounts and MMFs'!$C:$C,ROW())&amp;""," "," "))</f>
        <v/>
      </c>
      <c r="M495">
        <f>IFERROR(--INDEX('Call accounts and MMFs'!$D:$D,ROW()),0)</f>
        <v/>
      </c>
      <c r="N495">
        <f>IFERROR(IF(--INDEX('Call accounts and MMFs'!$E:$E,ROW())&gt;=1,--INDEX('Call accounts and MMFs'!$E:$E,ROW())/100,--INDEX('Call accounts and MMFs'!$E:$E,ROW())),0)</f>
        <v/>
      </c>
      <c r="O495">
        <f>IFERROR(--INDEX('Call accounts and MMFs'!$F:$F,ROW()),0)</f>
        <v/>
      </c>
      <c r="P495">
        <f>IF(ISNUMBER(INDEX('Call accounts and MMFs'!$E:$E,ROW())),1,0)</f>
        <v/>
      </c>
      <c r="Q495">
        <f>TRIM(SUBSTITUTE(INDEX('Pooled funds'!$B:$B,ROW())&amp;""," "," "))</f>
        <v/>
      </c>
      <c r="R495">
        <f>IFERROR(--INDEX('Pooled funds'!$C:$C,ROW()),0)</f>
        <v/>
      </c>
      <c r="S495">
        <f>IFERROR(--INDEX('Pooled funds'!$D:$D,ROW()),0)</f>
        <v/>
      </c>
      <c r="T495">
        <f>IFERROR(IF(--INDEX('Pooled funds'!$E:$E,ROW())&gt;=1,--INDEX('Pooled funds'!$E:$E,ROW())/100,--INDEX('Pooled funds'!$E:$E,ROW())),0)</f>
        <v/>
      </c>
      <c r="U495">
        <f>IF(ISNUMBER(INDEX('Pooled funds'!$E:$E,ROW())),1,0)</f>
        <v/>
      </c>
      <c r="V495">
        <f>TRIM(SUBSTITUTE(INDEX('Loans'!$A:$A,ROW())&amp;""," "," "))</f>
        <v/>
      </c>
      <c r="W495">
        <f>TRIM(SUBSTITUTE(INDEX('Loans'!$B:$B,ROW())&amp;""," "," "))</f>
        <v/>
      </c>
      <c r="X495">
        <f>TRIM(SUBSTITUTE(INDEX('Loans'!$C:$C,ROW())&amp;""," "," "))</f>
        <v/>
      </c>
      <c r="Y495">
        <f>IFERROR(--INDEX('Loans'!$D:$D,ROW()),0)</f>
        <v/>
      </c>
      <c r="Z495">
        <f>IFERROR(--INDEX('Loans'!$E:$E,ROW()),0)</f>
        <v/>
      </c>
      <c r="AA495">
        <f>IFERROR(--INDEX('Loans'!$F:$F,ROW()),0)</f>
        <v/>
      </c>
      <c r="AB495">
        <f>IFERROR(IF(--INDEX('Loans'!$G:$G,ROW())&gt;=1,--INDEX('Loans'!$G:$G,ROW())/100,--INDEX('Loans'!$G:$G,ROW())),0)</f>
        <v/>
      </c>
      <c r="AC495">
        <f>TRIM(SUBSTITUTE(INDEX('Loans'!$H:$H,ROW())&amp;""," "," "))</f>
        <v/>
      </c>
      <c r="AD495">
        <f>TRIM(SUBSTITUTE(INDEX('Loans'!$I:$I,ROW())&amp;""," "," "))</f>
        <v/>
      </c>
      <c r="AE495">
        <f>IFERROR(--INDEX('Loans'!$J:$J,ROW()),0)</f>
        <v/>
      </c>
      <c r="AF495">
        <f>TRIM(SUBSTITUTE(INDEX('Loans'!$K:$K,ROW())&amp;""," "," "))</f>
        <v/>
      </c>
      <c r="AG495">
        <f>IFERROR(--INDEX('Loans'!$L:$L,ROW()),0)</f>
        <v/>
      </c>
      <c r="AH495">
        <f>IF(ISNUMBER(INDEX('Loans'!$G:$G,ROW())),1,0)</f>
        <v/>
      </c>
    </row>
    <row r="496">
      <c r="A496">
        <f>TRIM(SUBSTITUTE(INDEX('Term investments'!$A:$A,ROW())&amp;""," "," "))</f>
        <v/>
      </c>
      <c r="B496">
        <f>TRIM(SUBSTITUTE(INDEX('Term investments'!$B:$B,ROW())&amp;""," "," "))</f>
        <v/>
      </c>
      <c r="C496">
        <f>TRIM(SUBSTITUTE(INDEX('Term investments'!$C:$C,ROW())&amp;""," "," "))</f>
        <v/>
      </c>
      <c r="D496">
        <f>IFERROR(--INDEX('Term investments'!$D:$D,ROW()),0)</f>
        <v/>
      </c>
      <c r="E496">
        <f>IFERROR(--INDEX('Term investments'!$E:$E,ROW()),0)</f>
        <v/>
      </c>
      <c r="F496">
        <f>IFERROR(--INDEX('Term investments'!$F:$F,ROW()),0)</f>
        <v/>
      </c>
      <c r="G496">
        <f>IFERROR(IF(--INDEX('Term investments'!$G:$G,ROW())&gt;=1,--INDEX('Term investments'!$G:$G,ROW())/100,--INDEX('Term investments'!$G:$G,ROW())),0)</f>
        <v/>
      </c>
      <c r="H496">
        <f>IFERROR(--INDEX('Term investments'!$H:$H,ROW()),0)</f>
        <v/>
      </c>
      <c r="I496">
        <f>IF(ISNUMBER(INDEX('Term investments'!$G:$G,ROW())),1,0)</f>
        <v/>
      </c>
      <c r="J496">
        <f>TRIM(SUBSTITUTE(INDEX('Call accounts and MMFs'!$A:$A,ROW())&amp;""," "," "))</f>
        <v/>
      </c>
      <c r="K496">
        <f>TRIM(SUBSTITUTE(INDEX('Call accounts and MMFs'!$B:$B,ROW())&amp;""," "," "))</f>
        <v/>
      </c>
      <c r="L496">
        <f>TRIM(SUBSTITUTE(INDEX('Call accounts and MMFs'!$C:$C,ROW())&amp;""," "," "))</f>
        <v/>
      </c>
      <c r="M496">
        <f>IFERROR(--INDEX('Call accounts and MMFs'!$D:$D,ROW()),0)</f>
        <v/>
      </c>
      <c r="N496">
        <f>IFERROR(IF(--INDEX('Call accounts and MMFs'!$E:$E,ROW())&gt;=1,--INDEX('Call accounts and MMFs'!$E:$E,ROW())/100,--INDEX('Call accounts and MMFs'!$E:$E,ROW())),0)</f>
        <v/>
      </c>
      <c r="O496">
        <f>IFERROR(--INDEX('Call accounts and MMFs'!$F:$F,ROW()),0)</f>
        <v/>
      </c>
      <c r="P496">
        <f>IF(ISNUMBER(INDEX('Call accounts and MMFs'!$E:$E,ROW())),1,0)</f>
        <v/>
      </c>
      <c r="Q496">
        <f>TRIM(SUBSTITUTE(INDEX('Pooled funds'!$B:$B,ROW())&amp;""," "," "))</f>
        <v/>
      </c>
      <c r="R496">
        <f>IFERROR(--INDEX('Pooled funds'!$C:$C,ROW()),0)</f>
        <v/>
      </c>
      <c r="S496">
        <f>IFERROR(--INDEX('Pooled funds'!$D:$D,ROW()),0)</f>
        <v/>
      </c>
      <c r="T496">
        <f>IFERROR(IF(--INDEX('Pooled funds'!$E:$E,ROW())&gt;=1,--INDEX('Pooled funds'!$E:$E,ROW())/100,--INDEX('Pooled funds'!$E:$E,ROW())),0)</f>
        <v/>
      </c>
      <c r="U496">
        <f>IF(ISNUMBER(INDEX('Pooled funds'!$E:$E,ROW())),1,0)</f>
        <v/>
      </c>
      <c r="V496">
        <f>TRIM(SUBSTITUTE(INDEX('Loans'!$A:$A,ROW())&amp;""," "," "))</f>
        <v/>
      </c>
      <c r="W496">
        <f>TRIM(SUBSTITUTE(INDEX('Loans'!$B:$B,ROW())&amp;""," "," "))</f>
        <v/>
      </c>
      <c r="X496">
        <f>TRIM(SUBSTITUTE(INDEX('Loans'!$C:$C,ROW())&amp;""," "," "))</f>
        <v/>
      </c>
      <c r="Y496">
        <f>IFERROR(--INDEX('Loans'!$D:$D,ROW()),0)</f>
        <v/>
      </c>
      <c r="Z496">
        <f>IFERROR(--INDEX('Loans'!$E:$E,ROW()),0)</f>
        <v/>
      </c>
      <c r="AA496">
        <f>IFERROR(--INDEX('Loans'!$F:$F,ROW()),0)</f>
        <v/>
      </c>
      <c r="AB496">
        <f>IFERROR(IF(--INDEX('Loans'!$G:$G,ROW())&gt;=1,--INDEX('Loans'!$G:$G,ROW())/100,--INDEX('Loans'!$G:$G,ROW())),0)</f>
        <v/>
      </c>
      <c r="AC496">
        <f>TRIM(SUBSTITUTE(INDEX('Loans'!$H:$H,ROW())&amp;""," "," "))</f>
        <v/>
      </c>
      <c r="AD496">
        <f>TRIM(SUBSTITUTE(INDEX('Loans'!$I:$I,ROW())&amp;""," "," "))</f>
        <v/>
      </c>
      <c r="AE496">
        <f>IFERROR(--INDEX('Loans'!$J:$J,ROW()),0)</f>
        <v/>
      </c>
      <c r="AF496">
        <f>TRIM(SUBSTITUTE(INDEX('Loans'!$K:$K,ROW())&amp;""," "," "))</f>
        <v/>
      </c>
      <c r="AG496">
        <f>IFERROR(--INDEX('Loans'!$L:$L,ROW()),0)</f>
        <v/>
      </c>
      <c r="AH496">
        <f>IF(ISNUMBER(INDEX('Loans'!$G:$G,ROW())),1,0)</f>
        <v/>
      </c>
    </row>
    <row r="497">
      <c r="A497">
        <f>TRIM(SUBSTITUTE(INDEX('Term investments'!$A:$A,ROW())&amp;""," "," "))</f>
        <v/>
      </c>
      <c r="B497">
        <f>TRIM(SUBSTITUTE(INDEX('Term investments'!$B:$B,ROW())&amp;""," "," "))</f>
        <v/>
      </c>
      <c r="C497">
        <f>TRIM(SUBSTITUTE(INDEX('Term investments'!$C:$C,ROW())&amp;""," "," "))</f>
        <v/>
      </c>
      <c r="D497">
        <f>IFERROR(--INDEX('Term investments'!$D:$D,ROW()),0)</f>
        <v/>
      </c>
      <c r="E497">
        <f>IFERROR(--INDEX('Term investments'!$E:$E,ROW()),0)</f>
        <v/>
      </c>
      <c r="F497">
        <f>IFERROR(--INDEX('Term investments'!$F:$F,ROW()),0)</f>
        <v/>
      </c>
      <c r="G497">
        <f>IFERROR(IF(--INDEX('Term investments'!$G:$G,ROW())&gt;=1,--INDEX('Term investments'!$G:$G,ROW())/100,--INDEX('Term investments'!$G:$G,ROW())),0)</f>
        <v/>
      </c>
      <c r="H497">
        <f>IFERROR(--INDEX('Term investments'!$H:$H,ROW()),0)</f>
        <v/>
      </c>
      <c r="I497">
        <f>IF(ISNUMBER(INDEX('Term investments'!$G:$G,ROW())),1,0)</f>
        <v/>
      </c>
      <c r="J497">
        <f>TRIM(SUBSTITUTE(INDEX('Call accounts and MMFs'!$A:$A,ROW())&amp;""," "," "))</f>
        <v/>
      </c>
      <c r="K497">
        <f>TRIM(SUBSTITUTE(INDEX('Call accounts and MMFs'!$B:$B,ROW())&amp;""," "," "))</f>
        <v/>
      </c>
      <c r="L497">
        <f>TRIM(SUBSTITUTE(INDEX('Call accounts and MMFs'!$C:$C,ROW())&amp;""," "," "))</f>
        <v/>
      </c>
      <c r="M497">
        <f>IFERROR(--INDEX('Call accounts and MMFs'!$D:$D,ROW()),0)</f>
        <v/>
      </c>
      <c r="N497">
        <f>IFERROR(IF(--INDEX('Call accounts and MMFs'!$E:$E,ROW())&gt;=1,--INDEX('Call accounts and MMFs'!$E:$E,ROW())/100,--INDEX('Call accounts and MMFs'!$E:$E,ROW())),0)</f>
        <v/>
      </c>
      <c r="O497">
        <f>IFERROR(--INDEX('Call accounts and MMFs'!$F:$F,ROW()),0)</f>
        <v/>
      </c>
      <c r="P497">
        <f>IF(ISNUMBER(INDEX('Call accounts and MMFs'!$E:$E,ROW())),1,0)</f>
        <v/>
      </c>
      <c r="Q497">
        <f>TRIM(SUBSTITUTE(INDEX('Pooled funds'!$B:$B,ROW())&amp;""," "," "))</f>
        <v/>
      </c>
      <c r="R497">
        <f>IFERROR(--INDEX('Pooled funds'!$C:$C,ROW()),0)</f>
        <v/>
      </c>
      <c r="S497">
        <f>IFERROR(--INDEX('Pooled funds'!$D:$D,ROW()),0)</f>
        <v/>
      </c>
      <c r="T497">
        <f>IFERROR(IF(--INDEX('Pooled funds'!$E:$E,ROW())&gt;=1,--INDEX('Pooled funds'!$E:$E,ROW())/100,--INDEX('Pooled funds'!$E:$E,ROW())),0)</f>
        <v/>
      </c>
      <c r="U497">
        <f>IF(ISNUMBER(INDEX('Pooled funds'!$E:$E,ROW())),1,0)</f>
        <v/>
      </c>
      <c r="V497">
        <f>TRIM(SUBSTITUTE(INDEX('Loans'!$A:$A,ROW())&amp;""," "," "))</f>
        <v/>
      </c>
      <c r="W497">
        <f>TRIM(SUBSTITUTE(INDEX('Loans'!$B:$B,ROW())&amp;""," "," "))</f>
        <v/>
      </c>
      <c r="X497">
        <f>TRIM(SUBSTITUTE(INDEX('Loans'!$C:$C,ROW())&amp;""," "," "))</f>
        <v/>
      </c>
      <c r="Y497">
        <f>IFERROR(--INDEX('Loans'!$D:$D,ROW()),0)</f>
        <v/>
      </c>
      <c r="Z497">
        <f>IFERROR(--INDEX('Loans'!$E:$E,ROW()),0)</f>
        <v/>
      </c>
      <c r="AA497">
        <f>IFERROR(--INDEX('Loans'!$F:$F,ROW()),0)</f>
        <v/>
      </c>
      <c r="AB497">
        <f>IFERROR(IF(--INDEX('Loans'!$G:$G,ROW())&gt;=1,--INDEX('Loans'!$G:$G,ROW())/100,--INDEX('Loans'!$G:$G,ROW())),0)</f>
        <v/>
      </c>
      <c r="AC497">
        <f>TRIM(SUBSTITUTE(INDEX('Loans'!$H:$H,ROW())&amp;""," "," "))</f>
        <v/>
      </c>
      <c r="AD497">
        <f>TRIM(SUBSTITUTE(INDEX('Loans'!$I:$I,ROW())&amp;""," "," "))</f>
        <v/>
      </c>
      <c r="AE497">
        <f>IFERROR(--INDEX('Loans'!$J:$J,ROW()),0)</f>
        <v/>
      </c>
      <c r="AF497">
        <f>TRIM(SUBSTITUTE(INDEX('Loans'!$K:$K,ROW())&amp;""," "," "))</f>
        <v/>
      </c>
      <c r="AG497">
        <f>IFERROR(--INDEX('Loans'!$L:$L,ROW()),0)</f>
        <v/>
      </c>
      <c r="AH497">
        <f>IF(ISNUMBER(INDEX('Loans'!$G:$G,ROW())),1,0)</f>
        <v/>
      </c>
    </row>
    <row r="498">
      <c r="A498">
        <f>TRIM(SUBSTITUTE(INDEX('Term investments'!$A:$A,ROW())&amp;""," "," "))</f>
        <v/>
      </c>
      <c r="B498">
        <f>TRIM(SUBSTITUTE(INDEX('Term investments'!$B:$B,ROW())&amp;""," "," "))</f>
        <v/>
      </c>
      <c r="C498">
        <f>TRIM(SUBSTITUTE(INDEX('Term investments'!$C:$C,ROW())&amp;""," "," "))</f>
        <v/>
      </c>
      <c r="D498">
        <f>IFERROR(--INDEX('Term investments'!$D:$D,ROW()),0)</f>
        <v/>
      </c>
      <c r="E498">
        <f>IFERROR(--INDEX('Term investments'!$E:$E,ROW()),0)</f>
        <v/>
      </c>
      <c r="F498">
        <f>IFERROR(--INDEX('Term investments'!$F:$F,ROW()),0)</f>
        <v/>
      </c>
      <c r="G498">
        <f>IFERROR(IF(--INDEX('Term investments'!$G:$G,ROW())&gt;=1,--INDEX('Term investments'!$G:$G,ROW())/100,--INDEX('Term investments'!$G:$G,ROW())),0)</f>
        <v/>
      </c>
      <c r="H498">
        <f>IFERROR(--INDEX('Term investments'!$H:$H,ROW()),0)</f>
        <v/>
      </c>
      <c r="I498">
        <f>IF(ISNUMBER(INDEX('Term investments'!$G:$G,ROW())),1,0)</f>
        <v/>
      </c>
      <c r="J498">
        <f>TRIM(SUBSTITUTE(INDEX('Call accounts and MMFs'!$A:$A,ROW())&amp;""," "," "))</f>
        <v/>
      </c>
      <c r="K498">
        <f>TRIM(SUBSTITUTE(INDEX('Call accounts and MMFs'!$B:$B,ROW())&amp;""," "," "))</f>
        <v/>
      </c>
      <c r="L498">
        <f>TRIM(SUBSTITUTE(INDEX('Call accounts and MMFs'!$C:$C,ROW())&amp;""," "," "))</f>
        <v/>
      </c>
      <c r="M498">
        <f>IFERROR(--INDEX('Call accounts and MMFs'!$D:$D,ROW()),0)</f>
        <v/>
      </c>
      <c r="N498">
        <f>IFERROR(IF(--INDEX('Call accounts and MMFs'!$E:$E,ROW())&gt;=1,--INDEX('Call accounts and MMFs'!$E:$E,ROW())/100,--INDEX('Call accounts and MMFs'!$E:$E,ROW())),0)</f>
        <v/>
      </c>
      <c r="O498">
        <f>IFERROR(--INDEX('Call accounts and MMFs'!$F:$F,ROW()),0)</f>
        <v/>
      </c>
      <c r="P498">
        <f>IF(ISNUMBER(INDEX('Call accounts and MMFs'!$E:$E,ROW())),1,0)</f>
        <v/>
      </c>
      <c r="Q498">
        <f>TRIM(SUBSTITUTE(INDEX('Pooled funds'!$B:$B,ROW())&amp;""," "," "))</f>
        <v/>
      </c>
      <c r="R498">
        <f>IFERROR(--INDEX('Pooled funds'!$C:$C,ROW()),0)</f>
        <v/>
      </c>
      <c r="S498">
        <f>IFERROR(--INDEX('Pooled funds'!$D:$D,ROW()),0)</f>
        <v/>
      </c>
      <c r="T498">
        <f>IFERROR(IF(--INDEX('Pooled funds'!$E:$E,ROW())&gt;=1,--INDEX('Pooled funds'!$E:$E,ROW())/100,--INDEX('Pooled funds'!$E:$E,ROW())),0)</f>
        <v/>
      </c>
      <c r="U498">
        <f>IF(ISNUMBER(INDEX('Pooled funds'!$E:$E,ROW())),1,0)</f>
        <v/>
      </c>
      <c r="V498">
        <f>TRIM(SUBSTITUTE(INDEX('Loans'!$A:$A,ROW())&amp;""," "," "))</f>
        <v/>
      </c>
      <c r="W498">
        <f>TRIM(SUBSTITUTE(INDEX('Loans'!$B:$B,ROW())&amp;""," "," "))</f>
        <v/>
      </c>
      <c r="X498">
        <f>TRIM(SUBSTITUTE(INDEX('Loans'!$C:$C,ROW())&amp;""," "," "))</f>
        <v/>
      </c>
      <c r="Y498">
        <f>IFERROR(--INDEX('Loans'!$D:$D,ROW()),0)</f>
        <v/>
      </c>
      <c r="Z498">
        <f>IFERROR(--INDEX('Loans'!$E:$E,ROW()),0)</f>
        <v/>
      </c>
      <c r="AA498">
        <f>IFERROR(--INDEX('Loans'!$F:$F,ROW()),0)</f>
        <v/>
      </c>
      <c r="AB498">
        <f>IFERROR(IF(--INDEX('Loans'!$G:$G,ROW())&gt;=1,--INDEX('Loans'!$G:$G,ROW())/100,--INDEX('Loans'!$G:$G,ROW())),0)</f>
        <v/>
      </c>
      <c r="AC498">
        <f>TRIM(SUBSTITUTE(INDEX('Loans'!$H:$H,ROW())&amp;""," "," "))</f>
        <v/>
      </c>
      <c r="AD498">
        <f>TRIM(SUBSTITUTE(INDEX('Loans'!$I:$I,ROW())&amp;""," "," "))</f>
        <v/>
      </c>
      <c r="AE498">
        <f>IFERROR(--INDEX('Loans'!$J:$J,ROW()),0)</f>
        <v/>
      </c>
      <c r="AF498">
        <f>TRIM(SUBSTITUTE(INDEX('Loans'!$K:$K,ROW())&amp;""," "," "))</f>
        <v/>
      </c>
      <c r="AG498">
        <f>IFERROR(--INDEX('Loans'!$L:$L,ROW()),0)</f>
        <v/>
      </c>
      <c r="AH498">
        <f>IF(ISNUMBER(INDEX('Loans'!$G:$G,ROW())),1,0)</f>
        <v/>
      </c>
    </row>
    <row r="499">
      <c r="A499">
        <f>TRIM(SUBSTITUTE(INDEX('Term investments'!$A:$A,ROW())&amp;""," "," "))</f>
        <v/>
      </c>
      <c r="B499">
        <f>TRIM(SUBSTITUTE(INDEX('Term investments'!$B:$B,ROW())&amp;""," "," "))</f>
        <v/>
      </c>
      <c r="C499">
        <f>TRIM(SUBSTITUTE(INDEX('Term investments'!$C:$C,ROW())&amp;""," "," "))</f>
        <v/>
      </c>
      <c r="D499">
        <f>IFERROR(--INDEX('Term investments'!$D:$D,ROW()),0)</f>
        <v/>
      </c>
      <c r="E499">
        <f>IFERROR(--INDEX('Term investments'!$E:$E,ROW()),0)</f>
        <v/>
      </c>
      <c r="F499">
        <f>IFERROR(--INDEX('Term investments'!$F:$F,ROW()),0)</f>
        <v/>
      </c>
      <c r="G499">
        <f>IFERROR(IF(--INDEX('Term investments'!$G:$G,ROW())&gt;=1,--INDEX('Term investments'!$G:$G,ROW())/100,--INDEX('Term investments'!$G:$G,ROW())),0)</f>
        <v/>
      </c>
      <c r="H499">
        <f>IFERROR(--INDEX('Term investments'!$H:$H,ROW()),0)</f>
        <v/>
      </c>
      <c r="I499">
        <f>IF(ISNUMBER(INDEX('Term investments'!$G:$G,ROW())),1,0)</f>
        <v/>
      </c>
      <c r="J499">
        <f>TRIM(SUBSTITUTE(INDEX('Call accounts and MMFs'!$A:$A,ROW())&amp;""," "," "))</f>
        <v/>
      </c>
      <c r="K499">
        <f>TRIM(SUBSTITUTE(INDEX('Call accounts and MMFs'!$B:$B,ROW())&amp;""," "," "))</f>
        <v/>
      </c>
      <c r="L499">
        <f>TRIM(SUBSTITUTE(INDEX('Call accounts and MMFs'!$C:$C,ROW())&amp;""," "," "))</f>
        <v/>
      </c>
      <c r="M499">
        <f>IFERROR(--INDEX('Call accounts and MMFs'!$D:$D,ROW()),0)</f>
        <v/>
      </c>
      <c r="N499">
        <f>IFERROR(IF(--INDEX('Call accounts and MMFs'!$E:$E,ROW())&gt;=1,--INDEX('Call accounts and MMFs'!$E:$E,ROW())/100,--INDEX('Call accounts and MMFs'!$E:$E,ROW())),0)</f>
        <v/>
      </c>
      <c r="O499">
        <f>IFERROR(--INDEX('Call accounts and MMFs'!$F:$F,ROW()),0)</f>
        <v/>
      </c>
      <c r="P499">
        <f>IF(ISNUMBER(INDEX('Call accounts and MMFs'!$E:$E,ROW())),1,0)</f>
        <v/>
      </c>
      <c r="Q499">
        <f>TRIM(SUBSTITUTE(INDEX('Pooled funds'!$B:$B,ROW())&amp;""," "," "))</f>
        <v/>
      </c>
      <c r="R499">
        <f>IFERROR(--INDEX('Pooled funds'!$C:$C,ROW()),0)</f>
        <v/>
      </c>
      <c r="S499">
        <f>IFERROR(--INDEX('Pooled funds'!$D:$D,ROW()),0)</f>
        <v/>
      </c>
      <c r="T499">
        <f>IFERROR(IF(--INDEX('Pooled funds'!$E:$E,ROW())&gt;=1,--INDEX('Pooled funds'!$E:$E,ROW())/100,--INDEX('Pooled funds'!$E:$E,ROW())),0)</f>
        <v/>
      </c>
      <c r="U499">
        <f>IF(ISNUMBER(INDEX('Pooled funds'!$E:$E,ROW())),1,0)</f>
        <v/>
      </c>
      <c r="V499">
        <f>TRIM(SUBSTITUTE(INDEX('Loans'!$A:$A,ROW())&amp;""," "," "))</f>
        <v/>
      </c>
      <c r="W499">
        <f>TRIM(SUBSTITUTE(INDEX('Loans'!$B:$B,ROW())&amp;""," "," "))</f>
        <v/>
      </c>
      <c r="X499">
        <f>TRIM(SUBSTITUTE(INDEX('Loans'!$C:$C,ROW())&amp;""," "," "))</f>
        <v/>
      </c>
      <c r="Y499">
        <f>IFERROR(--INDEX('Loans'!$D:$D,ROW()),0)</f>
        <v/>
      </c>
      <c r="Z499">
        <f>IFERROR(--INDEX('Loans'!$E:$E,ROW()),0)</f>
        <v/>
      </c>
      <c r="AA499">
        <f>IFERROR(--INDEX('Loans'!$F:$F,ROW()),0)</f>
        <v/>
      </c>
      <c r="AB499">
        <f>IFERROR(IF(--INDEX('Loans'!$G:$G,ROW())&gt;=1,--INDEX('Loans'!$G:$G,ROW())/100,--INDEX('Loans'!$G:$G,ROW())),0)</f>
        <v/>
      </c>
      <c r="AC499">
        <f>TRIM(SUBSTITUTE(INDEX('Loans'!$H:$H,ROW())&amp;""," "," "))</f>
        <v/>
      </c>
      <c r="AD499">
        <f>TRIM(SUBSTITUTE(INDEX('Loans'!$I:$I,ROW())&amp;""," "," "))</f>
        <v/>
      </c>
      <c r="AE499">
        <f>IFERROR(--INDEX('Loans'!$J:$J,ROW()),0)</f>
        <v/>
      </c>
      <c r="AF499">
        <f>TRIM(SUBSTITUTE(INDEX('Loans'!$K:$K,ROW())&amp;""," "," "))</f>
        <v/>
      </c>
      <c r="AG499">
        <f>IFERROR(--INDEX('Loans'!$L:$L,ROW()),0)</f>
        <v/>
      </c>
      <c r="AH499">
        <f>IF(ISNUMBER(INDEX('Loans'!$G:$G,ROW())),1,0)</f>
        <v/>
      </c>
    </row>
    <row r="500">
      <c r="A500">
        <f>TRIM(SUBSTITUTE(INDEX('Term investments'!$A:$A,ROW())&amp;""," "," "))</f>
        <v/>
      </c>
      <c r="B500">
        <f>TRIM(SUBSTITUTE(INDEX('Term investments'!$B:$B,ROW())&amp;""," "," "))</f>
        <v/>
      </c>
      <c r="C500">
        <f>TRIM(SUBSTITUTE(INDEX('Term investments'!$C:$C,ROW())&amp;""," "," "))</f>
        <v/>
      </c>
      <c r="D500">
        <f>IFERROR(--INDEX('Term investments'!$D:$D,ROW()),0)</f>
        <v/>
      </c>
      <c r="E500">
        <f>IFERROR(--INDEX('Term investments'!$E:$E,ROW()),0)</f>
        <v/>
      </c>
      <c r="F500">
        <f>IFERROR(--INDEX('Term investments'!$F:$F,ROW()),0)</f>
        <v/>
      </c>
      <c r="G500">
        <f>IFERROR(IF(--INDEX('Term investments'!$G:$G,ROW())&gt;=1,--INDEX('Term investments'!$G:$G,ROW())/100,--INDEX('Term investments'!$G:$G,ROW())),0)</f>
        <v/>
      </c>
      <c r="H500">
        <f>IFERROR(--INDEX('Term investments'!$H:$H,ROW()),0)</f>
        <v/>
      </c>
      <c r="I500">
        <f>IF(ISNUMBER(INDEX('Term investments'!$G:$G,ROW())),1,0)</f>
        <v/>
      </c>
      <c r="J500">
        <f>TRIM(SUBSTITUTE(INDEX('Call accounts and MMFs'!$A:$A,ROW())&amp;""," "," "))</f>
        <v/>
      </c>
      <c r="K500">
        <f>TRIM(SUBSTITUTE(INDEX('Call accounts and MMFs'!$B:$B,ROW())&amp;""," "," "))</f>
        <v/>
      </c>
      <c r="L500">
        <f>TRIM(SUBSTITUTE(INDEX('Call accounts and MMFs'!$C:$C,ROW())&amp;""," "," "))</f>
        <v/>
      </c>
      <c r="M500">
        <f>IFERROR(--INDEX('Call accounts and MMFs'!$D:$D,ROW()),0)</f>
        <v/>
      </c>
      <c r="N500">
        <f>IFERROR(IF(--INDEX('Call accounts and MMFs'!$E:$E,ROW())&gt;=1,--INDEX('Call accounts and MMFs'!$E:$E,ROW())/100,--INDEX('Call accounts and MMFs'!$E:$E,ROW())),0)</f>
        <v/>
      </c>
      <c r="O500">
        <f>IFERROR(--INDEX('Call accounts and MMFs'!$F:$F,ROW()),0)</f>
        <v/>
      </c>
      <c r="P500">
        <f>IF(ISNUMBER(INDEX('Call accounts and MMFs'!$E:$E,ROW())),1,0)</f>
        <v/>
      </c>
      <c r="Q500">
        <f>TRIM(SUBSTITUTE(INDEX('Pooled funds'!$B:$B,ROW())&amp;""," "," "))</f>
        <v/>
      </c>
      <c r="R500">
        <f>IFERROR(--INDEX('Pooled funds'!$C:$C,ROW()),0)</f>
        <v/>
      </c>
      <c r="S500">
        <f>IFERROR(--INDEX('Pooled funds'!$D:$D,ROW()),0)</f>
        <v/>
      </c>
      <c r="T500">
        <f>IFERROR(IF(--INDEX('Pooled funds'!$E:$E,ROW())&gt;=1,--INDEX('Pooled funds'!$E:$E,ROW())/100,--INDEX('Pooled funds'!$E:$E,ROW())),0)</f>
        <v/>
      </c>
      <c r="U500">
        <f>IF(ISNUMBER(INDEX('Pooled funds'!$E:$E,ROW())),1,0)</f>
        <v/>
      </c>
      <c r="V500">
        <f>TRIM(SUBSTITUTE(INDEX('Loans'!$A:$A,ROW())&amp;""," "," "))</f>
        <v/>
      </c>
      <c r="W500">
        <f>TRIM(SUBSTITUTE(INDEX('Loans'!$B:$B,ROW())&amp;""," "," "))</f>
        <v/>
      </c>
      <c r="X500">
        <f>TRIM(SUBSTITUTE(INDEX('Loans'!$C:$C,ROW())&amp;""," "," "))</f>
        <v/>
      </c>
      <c r="Y500">
        <f>IFERROR(--INDEX('Loans'!$D:$D,ROW()),0)</f>
        <v/>
      </c>
      <c r="Z500">
        <f>IFERROR(--INDEX('Loans'!$E:$E,ROW()),0)</f>
        <v/>
      </c>
      <c r="AA500">
        <f>IFERROR(--INDEX('Loans'!$F:$F,ROW()),0)</f>
        <v/>
      </c>
      <c r="AB500">
        <f>IFERROR(IF(--INDEX('Loans'!$G:$G,ROW())&gt;=1,--INDEX('Loans'!$G:$G,ROW())/100,--INDEX('Loans'!$G:$G,ROW())),0)</f>
        <v/>
      </c>
      <c r="AC500">
        <f>TRIM(SUBSTITUTE(INDEX('Loans'!$H:$H,ROW())&amp;""," "," "))</f>
        <v/>
      </c>
      <c r="AD500">
        <f>TRIM(SUBSTITUTE(INDEX('Loans'!$I:$I,ROW())&amp;""," "," "))</f>
        <v/>
      </c>
      <c r="AE500">
        <f>IFERROR(--INDEX('Loans'!$J:$J,ROW()),0)</f>
        <v/>
      </c>
      <c r="AF500">
        <f>TRIM(SUBSTITUTE(INDEX('Loans'!$K:$K,ROW())&amp;""," "," "))</f>
        <v/>
      </c>
      <c r="AG500">
        <f>IFERROR(--INDEX('Loans'!$L:$L,ROW()),0)</f>
        <v/>
      </c>
      <c r="AH500">
        <f>IF(ISNUMBER(INDEX('Loans'!$G:$G,ROW())),1,0)</f>
        <v/>
      </c>
    </row>
    <row r="501">
      <c r="A501">
        <f>TRIM(SUBSTITUTE(INDEX('Term investments'!$A:$A,ROW())&amp;""," "," "))</f>
        <v/>
      </c>
      <c r="B501">
        <f>TRIM(SUBSTITUTE(INDEX('Term investments'!$B:$B,ROW())&amp;""," "," "))</f>
        <v/>
      </c>
      <c r="C501">
        <f>TRIM(SUBSTITUTE(INDEX('Term investments'!$C:$C,ROW())&amp;""," "," "))</f>
        <v/>
      </c>
      <c r="D501">
        <f>IFERROR(--INDEX('Term investments'!$D:$D,ROW()),0)</f>
        <v/>
      </c>
      <c r="E501">
        <f>IFERROR(--INDEX('Term investments'!$E:$E,ROW()),0)</f>
        <v/>
      </c>
      <c r="F501">
        <f>IFERROR(--INDEX('Term investments'!$F:$F,ROW()),0)</f>
        <v/>
      </c>
      <c r="G501">
        <f>IFERROR(IF(--INDEX('Term investments'!$G:$G,ROW())&gt;=1,--INDEX('Term investments'!$G:$G,ROW())/100,--INDEX('Term investments'!$G:$G,ROW())),0)</f>
        <v/>
      </c>
      <c r="H501">
        <f>IFERROR(--INDEX('Term investments'!$H:$H,ROW()),0)</f>
        <v/>
      </c>
      <c r="I501">
        <f>IF(ISNUMBER(INDEX('Term investments'!$G:$G,ROW())),1,0)</f>
        <v/>
      </c>
      <c r="J501">
        <f>TRIM(SUBSTITUTE(INDEX('Call accounts and MMFs'!$A:$A,ROW())&amp;""," "," "))</f>
        <v/>
      </c>
      <c r="K501">
        <f>TRIM(SUBSTITUTE(INDEX('Call accounts and MMFs'!$B:$B,ROW())&amp;""," "," "))</f>
        <v/>
      </c>
      <c r="L501">
        <f>TRIM(SUBSTITUTE(INDEX('Call accounts and MMFs'!$C:$C,ROW())&amp;""," "," "))</f>
        <v/>
      </c>
      <c r="M501">
        <f>IFERROR(--INDEX('Call accounts and MMFs'!$D:$D,ROW()),0)</f>
        <v/>
      </c>
      <c r="N501">
        <f>IFERROR(IF(--INDEX('Call accounts and MMFs'!$E:$E,ROW())&gt;=1,--INDEX('Call accounts and MMFs'!$E:$E,ROW())/100,--INDEX('Call accounts and MMFs'!$E:$E,ROW())),0)</f>
        <v/>
      </c>
      <c r="O501">
        <f>IFERROR(--INDEX('Call accounts and MMFs'!$F:$F,ROW()),0)</f>
        <v/>
      </c>
      <c r="P501">
        <f>IF(ISNUMBER(INDEX('Call accounts and MMFs'!$E:$E,ROW())),1,0)</f>
        <v/>
      </c>
      <c r="Q501">
        <f>TRIM(SUBSTITUTE(INDEX('Pooled funds'!$B:$B,ROW())&amp;""," "," "))</f>
        <v/>
      </c>
      <c r="R501">
        <f>IFERROR(--INDEX('Pooled funds'!$C:$C,ROW()),0)</f>
        <v/>
      </c>
      <c r="S501">
        <f>IFERROR(--INDEX('Pooled funds'!$D:$D,ROW()),0)</f>
        <v/>
      </c>
      <c r="T501">
        <f>IFERROR(IF(--INDEX('Pooled funds'!$E:$E,ROW())&gt;=1,--INDEX('Pooled funds'!$E:$E,ROW())/100,--INDEX('Pooled funds'!$E:$E,ROW())),0)</f>
        <v/>
      </c>
      <c r="U501">
        <f>IF(ISNUMBER(INDEX('Pooled funds'!$E:$E,ROW())),1,0)</f>
        <v/>
      </c>
      <c r="V501">
        <f>TRIM(SUBSTITUTE(INDEX('Loans'!$A:$A,ROW())&amp;""," "," "))</f>
        <v/>
      </c>
      <c r="W501">
        <f>TRIM(SUBSTITUTE(INDEX('Loans'!$B:$B,ROW())&amp;""," "," "))</f>
        <v/>
      </c>
      <c r="X501">
        <f>TRIM(SUBSTITUTE(INDEX('Loans'!$C:$C,ROW())&amp;""," "," "))</f>
        <v/>
      </c>
      <c r="Y501">
        <f>IFERROR(--INDEX('Loans'!$D:$D,ROW()),0)</f>
        <v/>
      </c>
      <c r="Z501">
        <f>IFERROR(--INDEX('Loans'!$E:$E,ROW()),0)</f>
        <v/>
      </c>
      <c r="AA501">
        <f>IFERROR(--INDEX('Loans'!$F:$F,ROW()),0)</f>
        <v/>
      </c>
      <c r="AB501">
        <f>IFERROR(IF(--INDEX('Loans'!$G:$G,ROW())&gt;=1,--INDEX('Loans'!$G:$G,ROW())/100,--INDEX('Loans'!$G:$G,ROW())),0)</f>
        <v/>
      </c>
      <c r="AC501">
        <f>TRIM(SUBSTITUTE(INDEX('Loans'!$H:$H,ROW())&amp;""," "," "))</f>
        <v/>
      </c>
      <c r="AD501">
        <f>TRIM(SUBSTITUTE(INDEX('Loans'!$I:$I,ROW())&amp;""," "," "))</f>
        <v/>
      </c>
      <c r="AE501">
        <f>IFERROR(--INDEX('Loans'!$J:$J,ROW()),0)</f>
        <v/>
      </c>
      <c r="AF501">
        <f>TRIM(SUBSTITUTE(INDEX('Loans'!$K:$K,ROW())&amp;""," "," "))</f>
        <v/>
      </c>
      <c r="AG501">
        <f>IFERROR(--INDEX('Loans'!$L:$L,ROW()),0)</f>
        <v/>
      </c>
      <c r="AH501">
        <f>IF(ISNUMBER(INDEX('Loans'!$G:$G,ROW())),1,0)</f>
        <v/>
      </c>
    </row>
    <row r="502">
      <c r="A502">
        <f>TRIM(SUBSTITUTE(INDEX('Term investments'!$A:$A,ROW())&amp;""," "," "))</f>
        <v/>
      </c>
      <c r="B502">
        <f>TRIM(SUBSTITUTE(INDEX('Term investments'!$B:$B,ROW())&amp;""," "," "))</f>
        <v/>
      </c>
      <c r="C502">
        <f>TRIM(SUBSTITUTE(INDEX('Term investments'!$C:$C,ROW())&amp;""," "," "))</f>
        <v/>
      </c>
      <c r="D502">
        <f>IFERROR(--INDEX('Term investments'!$D:$D,ROW()),0)</f>
        <v/>
      </c>
      <c r="E502">
        <f>IFERROR(--INDEX('Term investments'!$E:$E,ROW()),0)</f>
        <v/>
      </c>
      <c r="F502">
        <f>IFERROR(--INDEX('Term investments'!$F:$F,ROW()),0)</f>
        <v/>
      </c>
      <c r="G502">
        <f>IFERROR(IF(--INDEX('Term investments'!$G:$G,ROW())&gt;=1,--INDEX('Term investments'!$G:$G,ROW())/100,--INDEX('Term investments'!$G:$G,ROW())),0)</f>
        <v/>
      </c>
      <c r="H502">
        <f>IFERROR(--INDEX('Term investments'!$H:$H,ROW()),0)</f>
        <v/>
      </c>
      <c r="I502">
        <f>IF(ISNUMBER(INDEX('Term investments'!$G:$G,ROW())),1,0)</f>
        <v/>
      </c>
      <c r="J502">
        <f>TRIM(SUBSTITUTE(INDEX('Call accounts and MMFs'!$A:$A,ROW())&amp;""," "," "))</f>
        <v/>
      </c>
      <c r="K502">
        <f>TRIM(SUBSTITUTE(INDEX('Call accounts and MMFs'!$B:$B,ROW())&amp;""," "," "))</f>
        <v/>
      </c>
      <c r="L502">
        <f>TRIM(SUBSTITUTE(INDEX('Call accounts and MMFs'!$C:$C,ROW())&amp;""," "," "))</f>
        <v/>
      </c>
      <c r="M502">
        <f>IFERROR(--INDEX('Call accounts and MMFs'!$D:$D,ROW()),0)</f>
        <v/>
      </c>
      <c r="N502">
        <f>IFERROR(IF(--INDEX('Call accounts and MMFs'!$E:$E,ROW())&gt;=1,--INDEX('Call accounts and MMFs'!$E:$E,ROW())/100,--INDEX('Call accounts and MMFs'!$E:$E,ROW())),0)</f>
        <v/>
      </c>
      <c r="O502">
        <f>IFERROR(--INDEX('Call accounts and MMFs'!$F:$F,ROW()),0)</f>
        <v/>
      </c>
      <c r="P502">
        <f>IF(ISNUMBER(INDEX('Call accounts and MMFs'!$E:$E,ROW())),1,0)</f>
        <v/>
      </c>
      <c r="Q502">
        <f>TRIM(SUBSTITUTE(INDEX('Pooled funds'!$B:$B,ROW())&amp;""," "," "))</f>
        <v/>
      </c>
      <c r="R502">
        <f>IFERROR(--INDEX('Pooled funds'!$C:$C,ROW()),0)</f>
        <v/>
      </c>
      <c r="S502">
        <f>IFERROR(--INDEX('Pooled funds'!$D:$D,ROW()),0)</f>
        <v/>
      </c>
      <c r="T502">
        <f>IFERROR(IF(--INDEX('Pooled funds'!$E:$E,ROW())&gt;=1,--INDEX('Pooled funds'!$E:$E,ROW())/100,--INDEX('Pooled funds'!$E:$E,ROW())),0)</f>
        <v/>
      </c>
      <c r="U502">
        <f>IF(ISNUMBER(INDEX('Pooled funds'!$E:$E,ROW())),1,0)</f>
        <v/>
      </c>
      <c r="V502">
        <f>TRIM(SUBSTITUTE(INDEX('Loans'!$A:$A,ROW())&amp;""," "," "))</f>
        <v/>
      </c>
      <c r="W502">
        <f>TRIM(SUBSTITUTE(INDEX('Loans'!$B:$B,ROW())&amp;""," "," "))</f>
        <v/>
      </c>
      <c r="X502">
        <f>TRIM(SUBSTITUTE(INDEX('Loans'!$C:$C,ROW())&amp;""," "," "))</f>
        <v/>
      </c>
      <c r="Y502">
        <f>IFERROR(--INDEX('Loans'!$D:$D,ROW()),0)</f>
        <v/>
      </c>
      <c r="Z502">
        <f>IFERROR(--INDEX('Loans'!$E:$E,ROW()),0)</f>
        <v/>
      </c>
      <c r="AA502">
        <f>IFERROR(--INDEX('Loans'!$F:$F,ROW()),0)</f>
        <v/>
      </c>
      <c r="AB502">
        <f>IFERROR(IF(--INDEX('Loans'!$G:$G,ROW())&gt;=1,--INDEX('Loans'!$G:$G,ROW())/100,--INDEX('Loans'!$G:$G,ROW())),0)</f>
        <v/>
      </c>
      <c r="AC502">
        <f>TRIM(SUBSTITUTE(INDEX('Loans'!$H:$H,ROW())&amp;""," "," "))</f>
        <v/>
      </c>
      <c r="AD502">
        <f>TRIM(SUBSTITUTE(INDEX('Loans'!$I:$I,ROW())&amp;""," "," "))</f>
        <v/>
      </c>
      <c r="AE502">
        <f>IFERROR(--INDEX('Loans'!$J:$J,ROW()),0)</f>
        <v/>
      </c>
      <c r="AF502">
        <f>TRIM(SUBSTITUTE(INDEX('Loans'!$K:$K,ROW())&amp;""," "," "))</f>
        <v/>
      </c>
      <c r="AG502">
        <f>IFERROR(--INDEX('Loans'!$L:$L,ROW()),0)</f>
        <v/>
      </c>
      <c r="AH502">
        <f>IF(ISNUMBER(INDEX('Loans'!$G:$G,ROW())),1,0)</f>
        <v/>
      </c>
    </row>
    <row r="503">
      <c r="A503">
        <f>TRIM(SUBSTITUTE(INDEX('Term investments'!$A:$A,ROW())&amp;""," "," "))</f>
        <v/>
      </c>
      <c r="B503">
        <f>TRIM(SUBSTITUTE(INDEX('Term investments'!$B:$B,ROW())&amp;""," "," "))</f>
        <v/>
      </c>
      <c r="C503">
        <f>TRIM(SUBSTITUTE(INDEX('Term investments'!$C:$C,ROW())&amp;""," "," "))</f>
        <v/>
      </c>
      <c r="D503">
        <f>IFERROR(--INDEX('Term investments'!$D:$D,ROW()),0)</f>
        <v/>
      </c>
      <c r="E503">
        <f>IFERROR(--INDEX('Term investments'!$E:$E,ROW()),0)</f>
        <v/>
      </c>
      <c r="F503">
        <f>IFERROR(--INDEX('Term investments'!$F:$F,ROW()),0)</f>
        <v/>
      </c>
      <c r="G503">
        <f>IFERROR(IF(--INDEX('Term investments'!$G:$G,ROW())&gt;=1,--INDEX('Term investments'!$G:$G,ROW())/100,--INDEX('Term investments'!$G:$G,ROW())),0)</f>
        <v/>
      </c>
      <c r="H503">
        <f>IFERROR(--INDEX('Term investments'!$H:$H,ROW()),0)</f>
        <v/>
      </c>
      <c r="I503">
        <f>IF(ISNUMBER(INDEX('Term investments'!$G:$G,ROW())),1,0)</f>
        <v/>
      </c>
      <c r="J503">
        <f>TRIM(SUBSTITUTE(INDEX('Call accounts and MMFs'!$A:$A,ROW())&amp;""," "," "))</f>
        <v/>
      </c>
      <c r="K503">
        <f>TRIM(SUBSTITUTE(INDEX('Call accounts and MMFs'!$B:$B,ROW())&amp;""," "," "))</f>
        <v/>
      </c>
      <c r="L503">
        <f>TRIM(SUBSTITUTE(INDEX('Call accounts and MMFs'!$C:$C,ROW())&amp;""," "," "))</f>
        <v/>
      </c>
      <c r="M503">
        <f>IFERROR(--INDEX('Call accounts and MMFs'!$D:$D,ROW()),0)</f>
        <v/>
      </c>
      <c r="N503">
        <f>IFERROR(IF(--INDEX('Call accounts and MMFs'!$E:$E,ROW())&gt;=1,--INDEX('Call accounts and MMFs'!$E:$E,ROW())/100,--INDEX('Call accounts and MMFs'!$E:$E,ROW())),0)</f>
        <v/>
      </c>
      <c r="O503">
        <f>IFERROR(--INDEX('Call accounts and MMFs'!$F:$F,ROW()),0)</f>
        <v/>
      </c>
      <c r="P503">
        <f>IF(ISNUMBER(INDEX('Call accounts and MMFs'!$E:$E,ROW())),1,0)</f>
        <v/>
      </c>
      <c r="Q503">
        <f>TRIM(SUBSTITUTE(INDEX('Pooled funds'!$B:$B,ROW())&amp;""," "," "))</f>
        <v/>
      </c>
      <c r="R503">
        <f>IFERROR(--INDEX('Pooled funds'!$C:$C,ROW()),0)</f>
        <v/>
      </c>
      <c r="S503">
        <f>IFERROR(--INDEX('Pooled funds'!$D:$D,ROW()),0)</f>
        <v/>
      </c>
      <c r="T503">
        <f>IFERROR(IF(--INDEX('Pooled funds'!$E:$E,ROW())&gt;=1,--INDEX('Pooled funds'!$E:$E,ROW())/100,--INDEX('Pooled funds'!$E:$E,ROW())),0)</f>
        <v/>
      </c>
      <c r="U503">
        <f>IF(ISNUMBER(INDEX('Pooled funds'!$E:$E,ROW())),1,0)</f>
        <v/>
      </c>
      <c r="V503">
        <f>TRIM(SUBSTITUTE(INDEX('Loans'!$A:$A,ROW())&amp;""," "," "))</f>
        <v/>
      </c>
      <c r="W503">
        <f>TRIM(SUBSTITUTE(INDEX('Loans'!$B:$B,ROW())&amp;""," "," "))</f>
        <v/>
      </c>
      <c r="X503">
        <f>TRIM(SUBSTITUTE(INDEX('Loans'!$C:$C,ROW())&amp;""," "," "))</f>
        <v/>
      </c>
      <c r="Y503">
        <f>IFERROR(--INDEX('Loans'!$D:$D,ROW()),0)</f>
        <v/>
      </c>
      <c r="Z503">
        <f>IFERROR(--INDEX('Loans'!$E:$E,ROW()),0)</f>
        <v/>
      </c>
      <c r="AA503">
        <f>IFERROR(--INDEX('Loans'!$F:$F,ROW()),0)</f>
        <v/>
      </c>
      <c r="AB503">
        <f>IFERROR(IF(--INDEX('Loans'!$G:$G,ROW())&gt;=1,--INDEX('Loans'!$G:$G,ROW())/100,--INDEX('Loans'!$G:$G,ROW())),0)</f>
        <v/>
      </c>
      <c r="AC503">
        <f>TRIM(SUBSTITUTE(INDEX('Loans'!$H:$H,ROW())&amp;""," "," "))</f>
        <v/>
      </c>
      <c r="AD503">
        <f>TRIM(SUBSTITUTE(INDEX('Loans'!$I:$I,ROW())&amp;""," "," "))</f>
        <v/>
      </c>
      <c r="AE503">
        <f>IFERROR(--INDEX('Loans'!$J:$J,ROW()),0)</f>
        <v/>
      </c>
      <c r="AF503">
        <f>TRIM(SUBSTITUTE(INDEX('Loans'!$K:$K,ROW())&amp;""," "," "))</f>
        <v/>
      </c>
      <c r="AG503">
        <f>IFERROR(--INDEX('Loans'!$L:$L,ROW()),0)</f>
        <v/>
      </c>
      <c r="AH503">
        <f>IF(ISNUMBER(INDEX('Loans'!$G:$G,ROW())),1,0)</f>
        <v/>
      </c>
    </row>
    <row r="504">
      <c r="A504">
        <f>TRIM(SUBSTITUTE(INDEX('Term investments'!$A:$A,ROW())&amp;""," "," "))</f>
        <v/>
      </c>
      <c r="B504">
        <f>TRIM(SUBSTITUTE(INDEX('Term investments'!$B:$B,ROW())&amp;""," "," "))</f>
        <v/>
      </c>
      <c r="C504">
        <f>TRIM(SUBSTITUTE(INDEX('Term investments'!$C:$C,ROW())&amp;""," "," "))</f>
        <v/>
      </c>
      <c r="D504">
        <f>IFERROR(--INDEX('Term investments'!$D:$D,ROW()),0)</f>
        <v/>
      </c>
      <c r="E504">
        <f>IFERROR(--INDEX('Term investments'!$E:$E,ROW()),0)</f>
        <v/>
      </c>
      <c r="F504">
        <f>IFERROR(--INDEX('Term investments'!$F:$F,ROW()),0)</f>
        <v/>
      </c>
      <c r="G504">
        <f>IFERROR(IF(--INDEX('Term investments'!$G:$G,ROW())&gt;=1,--INDEX('Term investments'!$G:$G,ROW())/100,--INDEX('Term investments'!$G:$G,ROW())),0)</f>
        <v/>
      </c>
      <c r="H504">
        <f>IFERROR(--INDEX('Term investments'!$H:$H,ROW()),0)</f>
        <v/>
      </c>
      <c r="I504">
        <f>IF(ISNUMBER(INDEX('Term investments'!$G:$G,ROW())),1,0)</f>
        <v/>
      </c>
      <c r="J504">
        <f>TRIM(SUBSTITUTE(INDEX('Call accounts and MMFs'!$A:$A,ROW())&amp;""," "," "))</f>
        <v/>
      </c>
      <c r="K504">
        <f>TRIM(SUBSTITUTE(INDEX('Call accounts and MMFs'!$B:$B,ROW())&amp;""," "," "))</f>
        <v/>
      </c>
      <c r="L504">
        <f>TRIM(SUBSTITUTE(INDEX('Call accounts and MMFs'!$C:$C,ROW())&amp;""," "," "))</f>
        <v/>
      </c>
      <c r="M504">
        <f>IFERROR(--INDEX('Call accounts and MMFs'!$D:$D,ROW()),0)</f>
        <v/>
      </c>
      <c r="N504">
        <f>IFERROR(IF(--INDEX('Call accounts and MMFs'!$E:$E,ROW())&gt;=1,--INDEX('Call accounts and MMFs'!$E:$E,ROW())/100,--INDEX('Call accounts and MMFs'!$E:$E,ROW())),0)</f>
        <v/>
      </c>
      <c r="O504">
        <f>IFERROR(--INDEX('Call accounts and MMFs'!$F:$F,ROW()),0)</f>
        <v/>
      </c>
      <c r="P504">
        <f>IF(ISNUMBER(INDEX('Call accounts and MMFs'!$E:$E,ROW())),1,0)</f>
        <v/>
      </c>
      <c r="Q504">
        <f>TRIM(SUBSTITUTE(INDEX('Pooled funds'!$B:$B,ROW())&amp;""," "," "))</f>
        <v/>
      </c>
      <c r="R504">
        <f>IFERROR(--INDEX('Pooled funds'!$C:$C,ROW()),0)</f>
        <v/>
      </c>
      <c r="S504">
        <f>IFERROR(--INDEX('Pooled funds'!$D:$D,ROW()),0)</f>
        <v/>
      </c>
      <c r="T504">
        <f>IFERROR(IF(--INDEX('Pooled funds'!$E:$E,ROW())&gt;=1,--INDEX('Pooled funds'!$E:$E,ROW())/100,--INDEX('Pooled funds'!$E:$E,ROW())),0)</f>
        <v/>
      </c>
      <c r="U504">
        <f>IF(ISNUMBER(INDEX('Pooled funds'!$E:$E,ROW())),1,0)</f>
        <v/>
      </c>
      <c r="V504">
        <f>TRIM(SUBSTITUTE(INDEX('Loans'!$A:$A,ROW())&amp;""," "," "))</f>
        <v/>
      </c>
      <c r="W504">
        <f>TRIM(SUBSTITUTE(INDEX('Loans'!$B:$B,ROW())&amp;""," "," "))</f>
        <v/>
      </c>
      <c r="X504">
        <f>TRIM(SUBSTITUTE(INDEX('Loans'!$C:$C,ROW())&amp;""," "," "))</f>
        <v/>
      </c>
      <c r="Y504">
        <f>IFERROR(--INDEX('Loans'!$D:$D,ROW()),0)</f>
        <v/>
      </c>
      <c r="Z504">
        <f>IFERROR(--INDEX('Loans'!$E:$E,ROW()),0)</f>
        <v/>
      </c>
      <c r="AA504">
        <f>IFERROR(--INDEX('Loans'!$F:$F,ROW()),0)</f>
        <v/>
      </c>
      <c r="AB504">
        <f>IFERROR(IF(--INDEX('Loans'!$G:$G,ROW())&gt;=1,--INDEX('Loans'!$G:$G,ROW())/100,--INDEX('Loans'!$G:$G,ROW())),0)</f>
        <v/>
      </c>
      <c r="AC504">
        <f>TRIM(SUBSTITUTE(INDEX('Loans'!$H:$H,ROW())&amp;""," "," "))</f>
        <v/>
      </c>
      <c r="AD504">
        <f>TRIM(SUBSTITUTE(INDEX('Loans'!$I:$I,ROW())&amp;""," "," "))</f>
        <v/>
      </c>
      <c r="AE504">
        <f>IFERROR(--INDEX('Loans'!$J:$J,ROW()),0)</f>
        <v/>
      </c>
      <c r="AF504">
        <f>TRIM(SUBSTITUTE(INDEX('Loans'!$K:$K,ROW())&amp;""," "," "))</f>
        <v/>
      </c>
      <c r="AG504">
        <f>IFERROR(--INDEX('Loans'!$L:$L,ROW()),0)</f>
        <v/>
      </c>
      <c r="AH504">
        <f>IF(ISNUMBER(INDEX('Loans'!$G:$G,ROW())),1,0)</f>
        <v/>
      </c>
    </row>
    <row r="505">
      <c r="A505">
        <f>TRIM(SUBSTITUTE(INDEX('Term investments'!$A:$A,ROW())&amp;""," "," "))</f>
        <v/>
      </c>
      <c r="B505">
        <f>TRIM(SUBSTITUTE(INDEX('Term investments'!$B:$B,ROW())&amp;""," "," "))</f>
        <v/>
      </c>
      <c r="C505">
        <f>TRIM(SUBSTITUTE(INDEX('Term investments'!$C:$C,ROW())&amp;""," "," "))</f>
        <v/>
      </c>
      <c r="D505">
        <f>IFERROR(--INDEX('Term investments'!$D:$D,ROW()),0)</f>
        <v/>
      </c>
      <c r="E505">
        <f>IFERROR(--INDEX('Term investments'!$E:$E,ROW()),0)</f>
        <v/>
      </c>
      <c r="F505">
        <f>IFERROR(--INDEX('Term investments'!$F:$F,ROW()),0)</f>
        <v/>
      </c>
      <c r="G505">
        <f>IFERROR(IF(--INDEX('Term investments'!$G:$G,ROW())&gt;=1,--INDEX('Term investments'!$G:$G,ROW())/100,--INDEX('Term investments'!$G:$G,ROW())),0)</f>
        <v/>
      </c>
      <c r="H505">
        <f>IFERROR(--INDEX('Term investments'!$H:$H,ROW()),0)</f>
        <v/>
      </c>
      <c r="I505">
        <f>IF(ISNUMBER(INDEX('Term investments'!$G:$G,ROW())),1,0)</f>
        <v/>
      </c>
      <c r="J505">
        <f>TRIM(SUBSTITUTE(INDEX('Call accounts and MMFs'!$A:$A,ROW())&amp;""," "," "))</f>
        <v/>
      </c>
      <c r="K505">
        <f>TRIM(SUBSTITUTE(INDEX('Call accounts and MMFs'!$B:$B,ROW())&amp;""," "," "))</f>
        <v/>
      </c>
      <c r="L505">
        <f>TRIM(SUBSTITUTE(INDEX('Call accounts and MMFs'!$C:$C,ROW())&amp;""," "," "))</f>
        <v/>
      </c>
      <c r="M505">
        <f>IFERROR(--INDEX('Call accounts and MMFs'!$D:$D,ROW()),0)</f>
        <v/>
      </c>
      <c r="N505">
        <f>IFERROR(IF(--INDEX('Call accounts and MMFs'!$E:$E,ROW())&gt;=1,--INDEX('Call accounts and MMFs'!$E:$E,ROW())/100,--INDEX('Call accounts and MMFs'!$E:$E,ROW())),0)</f>
        <v/>
      </c>
      <c r="O505">
        <f>IFERROR(--INDEX('Call accounts and MMFs'!$F:$F,ROW()),0)</f>
        <v/>
      </c>
      <c r="P505">
        <f>IF(ISNUMBER(INDEX('Call accounts and MMFs'!$E:$E,ROW())),1,0)</f>
        <v/>
      </c>
      <c r="Q505">
        <f>TRIM(SUBSTITUTE(INDEX('Pooled funds'!$B:$B,ROW())&amp;""," "," "))</f>
        <v/>
      </c>
      <c r="R505">
        <f>IFERROR(--INDEX('Pooled funds'!$C:$C,ROW()),0)</f>
        <v/>
      </c>
      <c r="S505">
        <f>IFERROR(--INDEX('Pooled funds'!$D:$D,ROW()),0)</f>
        <v/>
      </c>
      <c r="T505">
        <f>IFERROR(IF(--INDEX('Pooled funds'!$E:$E,ROW())&gt;=1,--INDEX('Pooled funds'!$E:$E,ROW())/100,--INDEX('Pooled funds'!$E:$E,ROW())),0)</f>
        <v/>
      </c>
      <c r="U505">
        <f>IF(ISNUMBER(INDEX('Pooled funds'!$E:$E,ROW())),1,0)</f>
        <v/>
      </c>
      <c r="V505">
        <f>TRIM(SUBSTITUTE(INDEX('Loans'!$A:$A,ROW())&amp;""," "," "))</f>
        <v/>
      </c>
      <c r="W505">
        <f>TRIM(SUBSTITUTE(INDEX('Loans'!$B:$B,ROW())&amp;""," "," "))</f>
        <v/>
      </c>
      <c r="X505">
        <f>TRIM(SUBSTITUTE(INDEX('Loans'!$C:$C,ROW())&amp;""," "," "))</f>
        <v/>
      </c>
      <c r="Y505">
        <f>IFERROR(--INDEX('Loans'!$D:$D,ROW()),0)</f>
        <v/>
      </c>
      <c r="Z505">
        <f>IFERROR(--INDEX('Loans'!$E:$E,ROW()),0)</f>
        <v/>
      </c>
      <c r="AA505">
        <f>IFERROR(--INDEX('Loans'!$F:$F,ROW()),0)</f>
        <v/>
      </c>
      <c r="AB505">
        <f>IFERROR(IF(--INDEX('Loans'!$G:$G,ROW())&gt;=1,--INDEX('Loans'!$G:$G,ROW())/100,--INDEX('Loans'!$G:$G,ROW())),0)</f>
        <v/>
      </c>
      <c r="AC505">
        <f>TRIM(SUBSTITUTE(INDEX('Loans'!$H:$H,ROW())&amp;""," "," "))</f>
        <v/>
      </c>
      <c r="AD505">
        <f>TRIM(SUBSTITUTE(INDEX('Loans'!$I:$I,ROW())&amp;""," "," "))</f>
        <v/>
      </c>
      <c r="AE505">
        <f>IFERROR(--INDEX('Loans'!$J:$J,ROW()),0)</f>
        <v/>
      </c>
      <c r="AF505">
        <f>TRIM(SUBSTITUTE(INDEX('Loans'!$K:$K,ROW())&amp;""," "," "))</f>
        <v/>
      </c>
      <c r="AG505">
        <f>IFERROR(--INDEX('Loans'!$L:$L,ROW()),0)</f>
        <v/>
      </c>
      <c r="AH505">
        <f>IF(ISNUMBER(INDEX('Loans'!$G:$G,ROW())),1,0)</f>
        <v/>
      </c>
    </row>
    <row r="506">
      <c r="A506">
        <f>TRIM(SUBSTITUTE(INDEX('Term investments'!$A:$A,ROW())&amp;""," "," "))</f>
        <v/>
      </c>
      <c r="B506">
        <f>TRIM(SUBSTITUTE(INDEX('Term investments'!$B:$B,ROW())&amp;""," "," "))</f>
        <v/>
      </c>
      <c r="C506">
        <f>TRIM(SUBSTITUTE(INDEX('Term investments'!$C:$C,ROW())&amp;""," "," "))</f>
        <v/>
      </c>
      <c r="D506">
        <f>IFERROR(--INDEX('Term investments'!$D:$D,ROW()),0)</f>
        <v/>
      </c>
      <c r="E506">
        <f>IFERROR(--INDEX('Term investments'!$E:$E,ROW()),0)</f>
        <v/>
      </c>
      <c r="F506">
        <f>IFERROR(--INDEX('Term investments'!$F:$F,ROW()),0)</f>
        <v/>
      </c>
      <c r="G506">
        <f>IFERROR(IF(--INDEX('Term investments'!$G:$G,ROW())&gt;=1,--INDEX('Term investments'!$G:$G,ROW())/100,--INDEX('Term investments'!$G:$G,ROW())),0)</f>
        <v/>
      </c>
      <c r="H506">
        <f>IFERROR(--INDEX('Term investments'!$H:$H,ROW()),0)</f>
        <v/>
      </c>
      <c r="I506">
        <f>IF(ISNUMBER(INDEX('Term investments'!$G:$G,ROW())),1,0)</f>
        <v/>
      </c>
      <c r="J506">
        <f>TRIM(SUBSTITUTE(INDEX('Call accounts and MMFs'!$A:$A,ROW())&amp;""," "," "))</f>
        <v/>
      </c>
      <c r="K506">
        <f>TRIM(SUBSTITUTE(INDEX('Call accounts and MMFs'!$B:$B,ROW())&amp;""," "," "))</f>
        <v/>
      </c>
      <c r="L506">
        <f>TRIM(SUBSTITUTE(INDEX('Call accounts and MMFs'!$C:$C,ROW())&amp;""," "," "))</f>
        <v/>
      </c>
      <c r="M506">
        <f>IFERROR(--INDEX('Call accounts and MMFs'!$D:$D,ROW()),0)</f>
        <v/>
      </c>
      <c r="N506">
        <f>IFERROR(IF(--INDEX('Call accounts and MMFs'!$E:$E,ROW())&gt;=1,--INDEX('Call accounts and MMFs'!$E:$E,ROW())/100,--INDEX('Call accounts and MMFs'!$E:$E,ROW())),0)</f>
        <v/>
      </c>
      <c r="O506">
        <f>IFERROR(--INDEX('Call accounts and MMFs'!$F:$F,ROW()),0)</f>
        <v/>
      </c>
      <c r="P506">
        <f>IF(ISNUMBER(INDEX('Call accounts and MMFs'!$E:$E,ROW())),1,0)</f>
        <v/>
      </c>
      <c r="Q506">
        <f>TRIM(SUBSTITUTE(INDEX('Pooled funds'!$B:$B,ROW())&amp;""," "," "))</f>
        <v/>
      </c>
      <c r="R506">
        <f>IFERROR(--INDEX('Pooled funds'!$C:$C,ROW()),0)</f>
        <v/>
      </c>
      <c r="S506">
        <f>IFERROR(--INDEX('Pooled funds'!$D:$D,ROW()),0)</f>
        <v/>
      </c>
      <c r="T506">
        <f>IFERROR(IF(--INDEX('Pooled funds'!$E:$E,ROW())&gt;=1,--INDEX('Pooled funds'!$E:$E,ROW())/100,--INDEX('Pooled funds'!$E:$E,ROW())),0)</f>
        <v/>
      </c>
      <c r="U506">
        <f>IF(ISNUMBER(INDEX('Pooled funds'!$E:$E,ROW())),1,0)</f>
        <v/>
      </c>
      <c r="V506">
        <f>TRIM(SUBSTITUTE(INDEX('Loans'!$A:$A,ROW())&amp;""," "," "))</f>
        <v/>
      </c>
      <c r="W506">
        <f>TRIM(SUBSTITUTE(INDEX('Loans'!$B:$B,ROW())&amp;""," "," "))</f>
        <v/>
      </c>
      <c r="X506">
        <f>TRIM(SUBSTITUTE(INDEX('Loans'!$C:$C,ROW())&amp;""," "," "))</f>
        <v/>
      </c>
      <c r="Y506">
        <f>IFERROR(--INDEX('Loans'!$D:$D,ROW()),0)</f>
        <v/>
      </c>
      <c r="Z506">
        <f>IFERROR(--INDEX('Loans'!$E:$E,ROW()),0)</f>
        <v/>
      </c>
      <c r="AA506">
        <f>IFERROR(--INDEX('Loans'!$F:$F,ROW()),0)</f>
        <v/>
      </c>
      <c r="AB506">
        <f>IFERROR(IF(--INDEX('Loans'!$G:$G,ROW())&gt;=1,--INDEX('Loans'!$G:$G,ROW())/100,--INDEX('Loans'!$G:$G,ROW())),0)</f>
        <v/>
      </c>
      <c r="AC506">
        <f>TRIM(SUBSTITUTE(INDEX('Loans'!$H:$H,ROW())&amp;""," "," "))</f>
        <v/>
      </c>
      <c r="AD506">
        <f>TRIM(SUBSTITUTE(INDEX('Loans'!$I:$I,ROW())&amp;""," "," "))</f>
        <v/>
      </c>
      <c r="AE506">
        <f>IFERROR(--INDEX('Loans'!$J:$J,ROW()),0)</f>
        <v/>
      </c>
      <c r="AF506">
        <f>TRIM(SUBSTITUTE(INDEX('Loans'!$K:$K,ROW())&amp;""," "," "))</f>
        <v/>
      </c>
      <c r="AG506">
        <f>IFERROR(--INDEX('Loans'!$L:$L,ROW()),0)</f>
        <v/>
      </c>
      <c r="AH506">
        <f>IF(ISNUMBER(INDEX('Loans'!$G:$G,ROW())),1,0)</f>
        <v/>
      </c>
    </row>
    <row r="507">
      <c r="A507">
        <f>TRIM(SUBSTITUTE(INDEX('Term investments'!$A:$A,ROW())&amp;""," "," "))</f>
        <v/>
      </c>
      <c r="B507">
        <f>TRIM(SUBSTITUTE(INDEX('Term investments'!$B:$B,ROW())&amp;""," "," "))</f>
        <v/>
      </c>
      <c r="C507">
        <f>TRIM(SUBSTITUTE(INDEX('Term investments'!$C:$C,ROW())&amp;""," "," "))</f>
        <v/>
      </c>
      <c r="D507">
        <f>IFERROR(--INDEX('Term investments'!$D:$D,ROW()),0)</f>
        <v/>
      </c>
      <c r="E507">
        <f>IFERROR(--INDEX('Term investments'!$E:$E,ROW()),0)</f>
        <v/>
      </c>
      <c r="F507">
        <f>IFERROR(--INDEX('Term investments'!$F:$F,ROW()),0)</f>
        <v/>
      </c>
      <c r="G507">
        <f>IFERROR(IF(--INDEX('Term investments'!$G:$G,ROW())&gt;=1,--INDEX('Term investments'!$G:$G,ROW())/100,--INDEX('Term investments'!$G:$G,ROW())),0)</f>
        <v/>
      </c>
      <c r="H507">
        <f>IFERROR(--INDEX('Term investments'!$H:$H,ROW()),0)</f>
        <v/>
      </c>
      <c r="I507">
        <f>IF(ISNUMBER(INDEX('Term investments'!$G:$G,ROW())),1,0)</f>
        <v/>
      </c>
      <c r="J507">
        <f>TRIM(SUBSTITUTE(INDEX('Call accounts and MMFs'!$A:$A,ROW())&amp;""," "," "))</f>
        <v/>
      </c>
      <c r="K507">
        <f>TRIM(SUBSTITUTE(INDEX('Call accounts and MMFs'!$B:$B,ROW())&amp;""," "," "))</f>
        <v/>
      </c>
      <c r="L507">
        <f>TRIM(SUBSTITUTE(INDEX('Call accounts and MMFs'!$C:$C,ROW())&amp;""," "," "))</f>
        <v/>
      </c>
      <c r="M507">
        <f>IFERROR(--INDEX('Call accounts and MMFs'!$D:$D,ROW()),0)</f>
        <v/>
      </c>
      <c r="N507">
        <f>IFERROR(IF(--INDEX('Call accounts and MMFs'!$E:$E,ROW())&gt;=1,--INDEX('Call accounts and MMFs'!$E:$E,ROW())/100,--INDEX('Call accounts and MMFs'!$E:$E,ROW())),0)</f>
        <v/>
      </c>
      <c r="O507">
        <f>IFERROR(--INDEX('Call accounts and MMFs'!$F:$F,ROW()),0)</f>
        <v/>
      </c>
      <c r="P507">
        <f>IF(ISNUMBER(INDEX('Call accounts and MMFs'!$E:$E,ROW())),1,0)</f>
        <v/>
      </c>
      <c r="Q507">
        <f>TRIM(SUBSTITUTE(INDEX('Pooled funds'!$B:$B,ROW())&amp;""," "," "))</f>
        <v/>
      </c>
      <c r="R507">
        <f>IFERROR(--INDEX('Pooled funds'!$C:$C,ROW()),0)</f>
        <v/>
      </c>
      <c r="S507">
        <f>IFERROR(--INDEX('Pooled funds'!$D:$D,ROW()),0)</f>
        <v/>
      </c>
      <c r="T507">
        <f>IFERROR(IF(--INDEX('Pooled funds'!$E:$E,ROW())&gt;=1,--INDEX('Pooled funds'!$E:$E,ROW())/100,--INDEX('Pooled funds'!$E:$E,ROW())),0)</f>
        <v/>
      </c>
      <c r="U507">
        <f>IF(ISNUMBER(INDEX('Pooled funds'!$E:$E,ROW())),1,0)</f>
        <v/>
      </c>
      <c r="V507">
        <f>TRIM(SUBSTITUTE(INDEX('Loans'!$A:$A,ROW())&amp;""," "," "))</f>
        <v/>
      </c>
      <c r="W507">
        <f>TRIM(SUBSTITUTE(INDEX('Loans'!$B:$B,ROW())&amp;""," "," "))</f>
        <v/>
      </c>
      <c r="X507">
        <f>TRIM(SUBSTITUTE(INDEX('Loans'!$C:$C,ROW())&amp;""," "," "))</f>
        <v/>
      </c>
      <c r="Y507">
        <f>IFERROR(--INDEX('Loans'!$D:$D,ROW()),0)</f>
        <v/>
      </c>
      <c r="Z507">
        <f>IFERROR(--INDEX('Loans'!$E:$E,ROW()),0)</f>
        <v/>
      </c>
      <c r="AA507">
        <f>IFERROR(--INDEX('Loans'!$F:$F,ROW()),0)</f>
        <v/>
      </c>
      <c r="AB507">
        <f>IFERROR(IF(--INDEX('Loans'!$G:$G,ROW())&gt;=1,--INDEX('Loans'!$G:$G,ROW())/100,--INDEX('Loans'!$G:$G,ROW())),0)</f>
        <v/>
      </c>
      <c r="AC507">
        <f>TRIM(SUBSTITUTE(INDEX('Loans'!$H:$H,ROW())&amp;""," "," "))</f>
        <v/>
      </c>
      <c r="AD507">
        <f>TRIM(SUBSTITUTE(INDEX('Loans'!$I:$I,ROW())&amp;""," "," "))</f>
        <v/>
      </c>
      <c r="AE507">
        <f>IFERROR(--INDEX('Loans'!$J:$J,ROW()),0)</f>
        <v/>
      </c>
      <c r="AF507">
        <f>TRIM(SUBSTITUTE(INDEX('Loans'!$K:$K,ROW())&amp;""," "," "))</f>
        <v/>
      </c>
      <c r="AG507">
        <f>IFERROR(--INDEX('Loans'!$L:$L,ROW()),0)</f>
        <v/>
      </c>
      <c r="AH507">
        <f>IF(ISNUMBER(INDEX('Loans'!$G:$G,ROW())),1,0)</f>
        <v/>
      </c>
    </row>
    <row r="508">
      <c r="A508">
        <f>TRIM(SUBSTITUTE(INDEX('Term investments'!$A:$A,ROW())&amp;""," "," "))</f>
        <v/>
      </c>
      <c r="B508">
        <f>TRIM(SUBSTITUTE(INDEX('Term investments'!$B:$B,ROW())&amp;""," "," "))</f>
        <v/>
      </c>
      <c r="C508">
        <f>TRIM(SUBSTITUTE(INDEX('Term investments'!$C:$C,ROW())&amp;""," "," "))</f>
        <v/>
      </c>
      <c r="D508">
        <f>IFERROR(--INDEX('Term investments'!$D:$D,ROW()),0)</f>
        <v/>
      </c>
      <c r="E508">
        <f>IFERROR(--INDEX('Term investments'!$E:$E,ROW()),0)</f>
        <v/>
      </c>
      <c r="F508">
        <f>IFERROR(--INDEX('Term investments'!$F:$F,ROW()),0)</f>
        <v/>
      </c>
      <c r="G508">
        <f>IFERROR(IF(--INDEX('Term investments'!$G:$G,ROW())&gt;=1,--INDEX('Term investments'!$G:$G,ROW())/100,--INDEX('Term investments'!$G:$G,ROW())),0)</f>
        <v/>
      </c>
      <c r="H508">
        <f>IFERROR(--INDEX('Term investments'!$H:$H,ROW()),0)</f>
        <v/>
      </c>
      <c r="I508">
        <f>IF(ISNUMBER(INDEX('Term investments'!$G:$G,ROW())),1,0)</f>
        <v/>
      </c>
      <c r="J508">
        <f>TRIM(SUBSTITUTE(INDEX('Call accounts and MMFs'!$A:$A,ROW())&amp;""," "," "))</f>
        <v/>
      </c>
      <c r="K508">
        <f>TRIM(SUBSTITUTE(INDEX('Call accounts and MMFs'!$B:$B,ROW())&amp;""," "," "))</f>
        <v/>
      </c>
      <c r="L508">
        <f>TRIM(SUBSTITUTE(INDEX('Call accounts and MMFs'!$C:$C,ROW())&amp;""," "," "))</f>
        <v/>
      </c>
      <c r="M508">
        <f>IFERROR(--INDEX('Call accounts and MMFs'!$D:$D,ROW()),0)</f>
        <v/>
      </c>
      <c r="N508">
        <f>IFERROR(IF(--INDEX('Call accounts and MMFs'!$E:$E,ROW())&gt;=1,--INDEX('Call accounts and MMFs'!$E:$E,ROW())/100,--INDEX('Call accounts and MMFs'!$E:$E,ROW())),0)</f>
        <v/>
      </c>
      <c r="O508">
        <f>IFERROR(--INDEX('Call accounts and MMFs'!$F:$F,ROW()),0)</f>
        <v/>
      </c>
      <c r="P508">
        <f>IF(ISNUMBER(INDEX('Call accounts and MMFs'!$E:$E,ROW())),1,0)</f>
        <v/>
      </c>
      <c r="Q508">
        <f>TRIM(SUBSTITUTE(INDEX('Pooled funds'!$B:$B,ROW())&amp;""," "," "))</f>
        <v/>
      </c>
      <c r="R508">
        <f>IFERROR(--INDEX('Pooled funds'!$C:$C,ROW()),0)</f>
        <v/>
      </c>
      <c r="S508">
        <f>IFERROR(--INDEX('Pooled funds'!$D:$D,ROW()),0)</f>
        <v/>
      </c>
      <c r="T508">
        <f>IFERROR(IF(--INDEX('Pooled funds'!$E:$E,ROW())&gt;=1,--INDEX('Pooled funds'!$E:$E,ROW())/100,--INDEX('Pooled funds'!$E:$E,ROW())),0)</f>
        <v/>
      </c>
      <c r="U508">
        <f>IF(ISNUMBER(INDEX('Pooled funds'!$E:$E,ROW())),1,0)</f>
        <v/>
      </c>
      <c r="V508">
        <f>TRIM(SUBSTITUTE(INDEX('Loans'!$A:$A,ROW())&amp;""," "," "))</f>
        <v/>
      </c>
      <c r="W508">
        <f>TRIM(SUBSTITUTE(INDEX('Loans'!$B:$B,ROW())&amp;""," "," "))</f>
        <v/>
      </c>
      <c r="X508">
        <f>TRIM(SUBSTITUTE(INDEX('Loans'!$C:$C,ROW())&amp;""," "," "))</f>
        <v/>
      </c>
      <c r="Y508">
        <f>IFERROR(--INDEX('Loans'!$D:$D,ROW()),0)</f>
        <v/>
      </c>
      <c r="Z508">
        <f>IFERROR(--INDEX('Loans'!$E:$E,ROW()),0)</f>
        <v/>
      </c>
      <c r="AA508">
        <f>IFERROR(--INDEX('Loans'!$F:$F,ROW()),0)</f>
        <v/>
      </c>
      <c r="AB508">
        <f>IFERROR(IF(--INDEX('Loans'!$G:$G,ROW())&gt;=1,--INDEX('Loans'!$G:$G,ROW())/100,--INDEX('Loans'!$G:$G,ROW())),0)</f>
        <v/>
      </c>
      <c r="AC508">
        <f>TRIM(SUBSTITUTE(INDEX('Loans'!$H:$H,ROW())&amp;""," "," "))</f>
        <v/>
      </c>
      <c r="AD508">
        <f>TRIM(SUBSTITUTE(INDEX('Loans'!$I:$I,ROW())&amp;""," "," "))</f>
        <v/>
      </c>
      <c r="AE508">
        <f>IFERROR(--INDEX('Loans'!$J:$J,ROW()),0)</f>
        <v/>
      </c>
      <c r="AF508">
        <f>TRIM(SUBSTITUTE(INDEX('Loans'!$K:$K,ROW())&amp;""," "," "))</f>
        <v/>
      </c>
      <c r="AG508">
        <f>IFERROR(--INDEX('Loans'!$L:$L,ROW()),0)</f>
        <v/>
      </c>
      <c r="AH508">
        <f>IF(ISNUMBER(INDEX('Loans'!$G:$G,ROW())),1,0)</f>
        <v/>
      </c>
    </row>
    <row r="509">
      <c r="A509">
        <f>TRIM(SUBSTITUTE(INDEX('Term investments'!$A:$A,ROW())&amp;""," "," "))</f>
        <v/>
      </c>
      <c r="B509">
        <f>TRIM(SUBSTITUTE(INDEX('Term investments'!$B:$B,ROW())&amp;""," "," "))</f>
        <v/>
      </c>
      <c r="C509">
        <f>TRIM(SUBSTITUTE(INDEX('Term investments'!$C:$C,ROW())&amp;""," "," "))</f>
        <v/>
      </c>
      <c r="D509">
        <f>IFERROR(--INDEX('Term investments'!$D:$D,ROW()),0)</f>
        <v/>
      </c>
      <c r="E509">
        <f>IFERROR(--INDEX('Term investments'!$E:$E,ROW()),0)</f>
        <v/>
      </c>
      <c r="F509">
        <f>IFERROR(--INDEX('Term investments'!$F:$F,ROW()),0)</f>
        <v/>
      </c>
      <c r="G509">
        <f>IFERROR(IF(--INDEX('Term investments'!$G:$G,ROW())&gt;=1,--INDEX('Term investments'!$G:$G,ROW())/100,--INDEX('Term investments'!$G:$G,ROW())),0)</f>
        <v/>
      </c>
      <c r="H509">
        <f>IFERROR(--INDEX('Term investments'!$H:$H,ROW()),0)</f>
        <v/>
      </c>
      <c r="I509">
        <f>IF(ISNUMBER(INDEX('Term investments'!$G:$G,ROW())),1,0)</f>
        <v/>
      </c>
      <c r="J509">
        <f>TRIM(SUBSTITUTE(INDEX('Call accounts and MMFs'!$A:$A,ROW())&amp;""," "," "))</f>
        <v/>
      </c>
      <c r="K509">
        <f>TRIM(SUBSTITUTE(INDEX('Call accounts and MMFs'!$B:$B,ROW())&amp;""," "," "))</f>
        <v/>
      </c>
      <c r="L509">
        <f>TRIM(SUBSTITUTE(INDEX('Call accounts and MMFs'!$C:$C,ROW())&amp;""," "," "))</f>
        <v/>
      </c>
      <c r="M509">
        <f>IFERROR(--INDEX('Call accounts and MMFs'!$D:$D,ROW()),0)</f>
        <v/>
      </c>
      <c r="N509">
        <f>IFERROR(IF(--INDEX('Call accounts and MMFs'!$E:$E,ROW())&gt;=1,--INDEX('Call accounts and MMFs'!$E:$E,ROW())/100,--INDEX('Call accounts and MMFs'!$E:$E,ROW())),0)</f>
        <v/>
      </c>
      <c r="O509">
        <f>IFERROR(--INDEX('Call accounts and MMFs'!$F:$F,ROW()),0)</f>
        <v/>
      </c>
      <c r="P509">
        <f>IF(ISNUMBER(INDEX('Call accounts and MMFs'!$E:$E,ROW())),1,0)</f>
        <v/>
      </c>
      <c r="Q509">
        <f>TRIM(SUBSTITUTE(INDEX('Pooled funds'!$B:$B,ROW())&amp;""," "," "))</f>
        <v/>
      </c>
      <c r="R509">
        <f>IFERROR(--INDEX('Pooled funds'!$C:$C,ROW()),0)</f>
        <v/>
      </c>
      <c r="S509">
        <f>IFERROR(--INDEX('Pooled funds'!$D:$D,ROW()),0)</f>
        <v/>
      </c>
      <c r="T509">
        <f>IFERROR(IF(--INDEX('Pooled funds'!$E:$E,ROW())&gt;=1,--INDEX('Pooled funds'!$E:$E,ROW())/100,--INDEX('Pooled funds'!$E:$E,ROW())),0)</f>
        <v/>
      </c>
      <c r="U509">
        <f>IF(ISNUMBER(INDEX('Pooled funds'!$E:$E,ROW())),1,0)</f>
        <v/>
      </c>
      <c r="V509">
        <f>TRIM(SUBSTITUTE(INDEX('Loans'!$A:$A,ROW())&amp;""," "," "))</f>
        <v/>
      </c>
      <c r="W509">
        <f>TRIM(SUBSTITUTE(INDEX('Loans'!$B:$B,ROW())&amp;""," "," "))</f>
        <v/>
      </c>
      <c r="X509">
        <f>TRIM(SUBSTITUTE(INDEX('Loans'!$C:$C,ROW())&amp;""," "," "))</f>
        <v/>
      </c>
      <c r="Y509">
        <f>IFERROR(--INDEX('Loans'!$D:$D,ROW()),0)</f>
        <v/>
      </c>
      <c r="Z509">
        <f>IFERROR(--INDEX('Loans'!$E:$E,ROW()),0)</f>
        <v/>
      </c>
      <c r="AA509">
        <f>IFERROR(--INDEX('Loans'!$F:$F,ROW()),0)</f>
        <v/>
      </c>
      <c r="AB509">
        <f>IFERROR(IF(--INDEX('Loans'!$G:$G,ROW())&gt;=1,--INDEX('Loans'!$G:$G,ROW())/100,--INDEX('Loans'!$G:$G,ROW())),0)</f>
        <v/>
      </c>
      <c r="AC509">
        <f>TRIM(SUBSTITUTE(INDEX('Loans'!$H:$H,ROW())&amp;""," "," "))</f>
        <v/>
      </c>
      <c r="AD509">
        <f>TRIM(SUBSTITUTE(INDEX('Loans'!$I:$I,ROW())&amp;""," "," "))</f>
        <v/>
      </c>
      <c r="AE509">
        <f>IFERROR(--INDEX('Loans'!$J:$J,ROW()),0)</f>
        <v/>
      </c>
      <c r="AF509">
        <f>TRIM(SUBSTITUTE(INDEX('Loans'!$K:$K,ROW())&amp;""," "," "))</f>
        <v/>
      </c>
      <c r="AG509">
        <f>IFERROR(--INDEX('Loans'!$L:$L,ROW()),0)</f>
        <v/>
      </c>
      <c r="AH509">
        <f>IF(ISNUMBER(INDEX('Loans'!$G:$G,ROW())),1,0)</f>
        <v/>
      </c>
    </row>
    <row r="510">
      <c r="A510">
        <f>TRIM(SUBSTITUTE(INDEX('Term investments'!$A:$A,ROW())&amp;""," "," "))</f>
        <v/>
      </c>
      <c r="B510">
        <f>TRIM(SUBSTITUTE(INDEX('Term investments'!$B:$B,ROW())&amp;""," "," "))</f>
        <v/>
      </c>
      <c r="C510">
        <f>TRIM(SUBSTITUTE(INDEX('Term investments'!$C:$C,ROW())&amp;""," "," "))</f>
        <v/>
      </c>
      <c r="D510">
        <f>IFERROR(--INDEX('Term investments'!$D:$D,ROW()),0)</f>
        <v/>
      </c>
      <c r="E510">
        <f>IFERROR(--INDEX('Term investments'!$E:$E,ROW()),0)</f>
        <v/>
      </c>
      <c r="F510">
        <f>IFERROR(--INDEX('Term investments'!$F:$F,ROW()),0)</f>
        <v/>
      </c>
      <c r="G510">
        <f>IFERROR(IF(--INDEX('Term investments'!$G:$G,ROW())&gt;=1,--INDEX('Term investments'!$G:$G,ROW())/100,--INDEX('Term investments'!$G:$G,ROW())),0)</f>
        <v/>
      </c>
      <c r="H510">
        <f>IFERROR(--INDEX('Term investments'!$H:$H,ROW()),0)</f>
        <v/>
      </c>
      <c r="I510">
        <f>IF(ISNUMBER(INDEX('Term investments'!$G:$G,ROW())),1,0)</f>
        <v/>
      </c>
      <c r="J510">
        <f>TRIM(SUBSTITUTE(INDEX('Call accounts and MMFs'!$A:$A,ROW())&amp;""," "," "))</f>
        <v/>
      </c>
      <c r="K510">
        <f>TRIM(SUBSTITUTE(INDEX('Call accounts and MMFs'!$B:$B,ROW())&amp;""," "," "))</f>
        <v/>
      </c>
      <c r="L510">
        <f>TRIM(SUBSTITUTE(INDEX('Call accounts and MMFs'!$C:$C,ROW())&amp;""," "," "))</f>
        <v/>
      </c>
      <c r="M510">
        <f>IFERROR(--INDEX('Call accounts and MMFs'!$D:$D,ROW()),0)</f>
        <v/>
      </c>
      <c r="N510">
        <f>IFERROR(IF(--INDEX('Call accounts and MMFs'!$E:$E,ROW())&gt;=1,--INDEX('Call accounts and MMFs'!$E:$E,ROW())/100,--INDEX('Call accounts and MMFs'!$E:$E,ROW())),0)</f>
        <v/>
      </c>
      <c r="O510">
        <f>IFERROR(--INDEX('Call accounts and MMFs'!$F:$F,ROW()),0)</f>
        <v/>
      </c>
      <c r="P510">
        <f>IF(ISNUMBER(INDEX('Call accounts and MMFs'!$E:$E,ROW())),1,0)</f>
        <v/>
      </c>
      <c r="Q510">
        <f>TRIM(SUBSTITUTE(INDEX('Pooled funds'!$B:$B,ROW())&amp;""," "," "))</f>
        <v/>
      </c>
      <c r="R510">
        <f>IFERROR(--INDEX('Pooled funds'!$C:$C,ROW()),0)</f>
        <v/>
      </c>
      <c r="S510">
        <f>IFERROR(--INDEX('Pooled funds'!$D:$D,ROW()),0)</f>
        <v/>
      </c>
      <c r="T510">
        <f>IFERROR(IF(--INDEX('Pooled funds'!$E:$E,ROW())&gt;=1,--INDEX('Pooled funds'!$E:$E,ROW())/100,--INDEX('Pooled funds'!$E:$E,ROW())),0)</f>
        <v/>
      </c>
      <c r="U510">
        <f>IF(ISNUMBER(INDEX('Pooled funds'!$E:$E,ROW())),1,0)</f>
        <v/>
      </c>
      <c r="V510">
        <f>TRIM(SUBSTITUTE(INDEX('Loans'!$A:$A,ROW())&amp;""," "," "))</f>
        <v/>
      </c>
      <c r="W510">
        <f>TRIM(SUBSTITUTE(INDEX('Loans'!$B:$B,ROW())&amp;""," "," "))</f>
        <v/>
      </c>
      <c r="X510">
        <f>TRIM(SUBSTITUTE(INDEX('Loans'!$C:$C,ROW())&amp;""," "," "))</f>
        <v/>
      </c>
      <c r="Y510">
        <f>IFERROR(--INDEX('Loans'!$D:$D,ROW()),0)</f>
        <v/>
      </c>
      <c r="Z510">
        <f>IFERROR(--INDEX('Loans'!$E:$E,ROW()),0)</f>
        <v/>
      </c>
      <c r="AA510">
        <f>IFERROR(--INDEX('Loans'!$F:$F,ROW()),0)</f>
        <v/>
      </c>
      <c r="AB510">
        <f>IFERROR(IF(--INDEX('Loans'!$G:$G,ROW())&gt;=1,--INDEX('Loans'!$G:$G,ROW())/100,--INDEX('Loans'!$G:$G,ROW())),0)</f>
        <v/>
      </c>
      <c r="AC510">
        <f>TRIM(SUBSTITUTE(INDEX('Loans'!$H:$H,ROW())&amp;""," "," "))</f>
        <v/>
      </c>
      <c r="AD510">
        <f>TRIM(SUBSTITUTE(INDEX('Loans'!$I:$I,ROW())&amp;""," "," "))</f>
        <v/>
      </c>
      <c r="AE510">
        <f>IFERROR(--INDEX('Loans'!$J:$J,ROW()),0)</f>
        <v/>
      </c>
      <c r="AF510">
        <f>TRIM(SUBSTITUTE(INDEX('Loans'!$K:$K,ROW())&amp;""," "," "))</f>
        <v/>
      </c>
      <c r="AG510">
        <f>IFERROR(--INDEX('Loans'!$L:$L,ROW()),0)</f>
        <v/>
      </c>
      <c r="AH510">
        <f>IF(ISNUMBER(INDEX('Loans'!$G:$G,ROW())),1,0)</f>
        <v/>
      </c>
    </row>
    <row r="511">
      <c r="A511">
        <f>TRIM(SUBSTITUTE(INDEX('Term investments'!$A:$A,ROW())&amp;""," "," "))</f>
        <v/>
      </c>
      <c r="B511">
        <f>TRIM(SUBSTITUTE(INDEX('Term investments'!$B:$B,ROW())&amp;""," "," "))</f>
        <v/>
      </c>
      <c r="C511">
        <f>TRIM(SUBSTITUTE(INDEX('Term investments'!$C:$C,ROW())&amp;""," "," "))</f>
        <v/>
      </c>
      <c r="D511">
        <f>IFERROR(--INDEX('Term investments'!$D:$D,ROW()),0)</f>
        <v/>
      </c>
      <c r="E511">
        <f>IFERROR(--INDEX('Term investments'!$E:$E,ROW()),0)</f>
        <v/>
      </c>
      <c r="F511">
        <f>IFERROR(--INDEX('Term investments'!$F:$F,ROW()),0)</f>
        <v/>
      </c>
      <c r="G511">
        <f>IFERROR(IF(--INDEX('Term investments'!$G:$G,ROW())&gt;=1,--INDEX('Term investments'!$G:$G,ROW())/100,--INDEX('Term investments'!$G:$G,ROW())),0)</f>
        <v/>
      </c>
      <c r="H511">
        <f>IFERROR(--INDEX('Term investments'!$H:$H,ROW()),0)</f>
        <v/>
      </c>
      <c r="I511">
        <f>IF(ISNUMBER(INDEX('Term investments'!$G:$G,ROW())),1,0)</f>
        <v/>
      </c>
      <c r="J511">
        <f>TRIM(SUBSTITUTE(INDEX('Call accounts and MMFs'!$A:$A,ROW())&amp;""," "," "))</f>
        <v/>
      </c>
      <c r="K511">
        <f>TRIM(SUBSTITUTE(INDEX('Call accounts and MMFs'!$B:$B,ROW())&amp;""," "," "))</f>
        <v/>
      </c>
      <c r="L511">
        <f>TRIM(SUBSTITUTE(INDEX('Call accounts and MMFs'!$C:$C,ROW())&amp;""," "," "))</f>
        <v/>
      </c>
      <c r="M511">
        <f>IFERROR(--INDEX('Call accounts and MMFs'!$D:$D,ROW()),0)</f>
        <v/>
      </c>
      <c r="N511">
        <f>IFERROR(IF(--INDEX('Call accounts and MMFs'!$E:$E,ROW())&gt;=1,--INDEX('Call accounts and MMFs'!$E:$E,ROW())/100,--INDEX('Call accounts and MMFs'!$E:$E,ROW())),0)</f>
        <v/>
      </c>
      <c r="O511">
        <f>IFERROR(--INDEX('Call accounts and MMFs'!$F:$F,ROW()),0)</f>
        <v/>
      </c>
      <c r="P511">
        <f>IF(ISNUMBER(INDEX('Call accounts and MMFs'!$E:$E,ROW())),1,0)</f>
        <v/>
      </c>
      <c r="Q511">
        <f>TRIM(SUBSTITUTE(INDEX('Pooled funds'!$B:$B,ROW())&amp;""," "," "))</f>
        <v/>
      </c>
      <c r="R511">
        <f>IFERROR(--INDEX('Pooled funds'!$C:$C,ROW()),0)</f>
        <v/>
      </c>
      <c r="S511">
        <f>IFERROR(--INDEX('Pooled funds'!$D:$D,ROW()),0)</f>
        <v/>
      </c>
      <c r="T511">
        <f>IFERROR(IF(--INDEX('Pooled funds'!$E:$E,ROW())&gt;=1,--INDEX('Pooled funds'!$E:$E,ROW())/100,--INDEX('Pooled funds'!$E:$E,ROW())),0)</f>
        <v/>
      </c>
      <c r="U511">
        <f>IF(ISNUMBER(INDEX('Pooled funds'!$E:$E,ROW())),1,0)</f>
        <v/>
      </c>
      <c r="V511">
        <f>TRIM(SUBSTITUTE(INDEX('Loans'!$A:$A,ROW())&amp;""," "," "))</f>
        <v/>
      </c>
      <c r="W511">
        <f>TRIM(SUBSTITUTE(INDEX('Loans'!$B:$B,ROW())&amp;""," "," "))</f>
        <v/>
      </c>
      <c r="X511">
        <f>TRIM(SUBSTITUTE(INDEX('Loans'!$C:$C,ROW())&amp;""," "," "))</f>
        <v/>
      </c>
      <c r="Y511">
        <f>IFERROR(--INDEX('Loans'!$D:$D,ROW()),0)</f>
        <v/>
      </c>
      <c r="Z511">
        <f>IFERROR(--INDEX('Loans'!$E:$E,ROW()),0)</f>
        <v/>
      </c>
      <c r="AA511">
        <f>IFERROR(--INDEX('Loans'!$F:$F,ROW()),0)</f>
        <v/>
      </c>
      <c r="AB511">
        <f>IFERROR(IF(--INDEX('Loans'!$G:$G,ROW())&gt;=1,--INDEX('Loans'!$G:$G,ROW())/100,--INDEX('Loans'!$G:$G,ROW())),0)</f>
        <v/>
      </c>
      <c r="AC511">
        <f>TRIM(SUBSTITUTE(INDEX('Loans'!$H:$H,ROW())&amp;""," "," "))</f>
        <v/>
      </c>
      <c r="AD511">
        <f>TRIM(SUBSTITUTE(INDEX('Loans'!$I:$I,ROW())&amp;""," "," "))</f>
        <v/>
      </c>
      <c r="AE511">
        <f>IFERROR(--INDEX('Loans'!$J:$J,ROW()),0)</f>
        <v/>
      </c>
      <c r="AF511">
        <f>TRIM(SUBSTITUTE(INDEX('Loans'!$K:$K,ROW())&amp;""," "," "))</f>
        <v/>
      </c>
      <c r="AG511">
        <f>IFERROR(--INDEX('Loans'!$L:$L,ROW()),0)</f>
        <v/>
      </c>
      <c r="AH511">
        <f>IF(ISNUMBER(INDEX('Loans'!$G:$G,ROW())),1,0)</f>
        <v/>
      </c>
    </row>
    <row r="512">
      <c r="A512">
        <f>TRIM(SUBSTITUTE(INDEX('Term investments'!$A:$A,ROW())&amp;""," "," "))</f>
        <v/>
      </c>
      <c r="B512">
        <f>TRIM(SUBSTITUTE(INDEX('Term investments'!$B:$B,ROW())&amp;""," "," "))</f>
        <v/>
      </c>
      <c r="C512">
        <f>TRIM(SUBSTITUTE(INDEX('Term investments'!$C:$C,ROW())&amp;""," "," "))</f>
        <v/>
      </c>
      <c r="D512">
        <f>IFERROR(--INDEX('Term investments'!$D:$D,ROW()),0)</f>
        <v/>
      </c>
      <c r="E512">
        <f>IFERROR(--INDEX('Term investments'!$E:$E,ROW()),0)</f>
        <v/>
      </c>
      <c r="F512">
        <f>IFERROR(--INDEX('Term investments'!$F:$F,ROW()),0)</f>
        <v/>
      </c>
      <c r="G512">
        <f>IFERROR(IF(--INDEX('Term investments'!$G:$G,ROW())&gt;=1,--INDEX('Term investments'!$G:$G,ROW())/100,--INDEX('Term investments'!$G:$G,ROW())),0)</f>
        <v/>
      </c>
      <c r="H512">
        <f>IFERROR(--INDEX('Term investments'!$H:$H,ROW()),0)</f>
        <v/>
      </c>
      <c r="I512">
        <f>IF(ISNUMBER(INDEX('Term investments'!$G:$G,ROW())),1,0)</f>
        <v/>
      </c>
      <c r="J512">
        <f>TRIM(SUBSTITUTE(INDEX('Call accounts and MMFs'!$A:$A,ROW())&amp;""," "," "))</f>
        <v/>
      </c>
      <c r="K512">
        <f>TRIM(SUBSTITUTE(INDEX('Call accounts and MMFs'!$B:$B,ROW())&amp;""," "," "))</f>
        <v/>
      </c>
      <c r="L512">
        <f>TRIM(SUBSTITUTE(INDEX('Call accounts and MMFs'!$C:$C,ROW())&amp;""," "," "))</f>
        <v/>
      </c>
      <c r="M512">
        <f>IFERROR(--INDEX('Call accounts and MMFs'!$D:$D,ROW()),0)</f>
        <v/>
      </c>
      <c r="N512">
        <f>IFERROR(IF(--INDEX('Call accounts and MMFs'!$E:$E,ROW())&gt;=1,--INDEX('Call accounts and MMFs'!$E:$E,ROW())/100,--INDEX('Call accounts and MMFs'!$E:$E,ROW())),0)</f>
        <v/>
      </c>
      <c r="O512">
        <f>IFERROR(--INDEX('Call accounts and MMFs'!$F:$F,ROW()),0)</f>
        <v/>
      </c>
      <c r="P512">
        <f>IF(ISNUMBER(INDEX('Call accounts and MMFs'!$E:$E,ROW())),1,0)</f>
        <v/>
      </c>
      <c r="Q512">
        <f>TRIM(SUBSTITUTE(INDEX('Pooled funds'!$B:$B,ROW())&amp;""," "," "))</f>
        <v/>
      </c>
      <c r="R512">
        <f>IFERROR(--INDEX('Pooled funds'!$C:$C,ROW()),0)</f>
        <v/>
      </c>
      <c r="S512">
        <f>IFERROR(--INDEX('Pooled funds'!$D:$D,ROW()),0)</f>
        <v/>
      </c>
      <c r="T512">
        <f>IFERROR(IF(--INDEX('Pooled funds'!$E:$E,ROW())&gt;=1,--INDEX('Pooled funds'!$E:$E,ROW())/100,--INDEX('Pooled funds'!$E:$E,ROW())),0)</f>
        <v/>
      </c>
      <c r="U512">
        <f>IF(ISNUMBER(INDEX('Pooled funds'!$E:$E,ROW())),1,0)</f>
        <v/>
      </c>
      <c r="V512">
        <f>TRIM(SUBSTITUTE(INDEX('Loans'!$A:$A,ROW())&amp;""," "," "))</f>
        <v/>
      </c>
      <c r="W512">
        <f>TRIM(SUBSTITUTE(INDEX('Loans'!$B:$B,ROW())&amp;""," "," "))</f>
        <v/>
      </c>
      <c r="X512">
        <f>TRIM(SUBSTITUTE(INDEX('Loans'!$C:$C,ROW())&amp;""," "," "))</f>
        <v/>
      </c>
      <c r="Y512">
        <f>IFERROR(--INDEX('Loans'!$D:$D,ROW()),0)</f>
        <v/>
      </c>
      <c r="Z512">
        <f>IFERROR(--INDEX('Loans'!$E:$E,ROW()),0)</f>
        <v/>
      </c>
      <c r="AA512">
        <f>IFERROR(--INDEX('Loans'!$F:$F,ROW()),0)</f>
        <v/>
      </c>
      <c r="AB512">
        <f>IFERROR(IF(--INDEX('Loans'!$G:$G,ROW())&gt;=1,--INDEX('Loans'!$G:$G,ROW())/100,--INDEX('Loans'!$G:$G,ROW())),0)</f>
        <v/>
      </c>
      <c r="AC512">
        <f>TRIM(SUBSTITUTE(INDEX('Loans'!$H:$H,ROW())&amp;""," "," "))</f>
        <v/>
      </c>
      <c r="AD512">
        <f>TRIM(SUBSTITUTE(INDEX('Loans'!$I:$I,ROW())&amp;""," "," "))</f>
        <v/>
      </c>
      <c r="AE512">
        <f>IFERROR(--INDEX('Loans'!$J:$J,ROW()),0)</f>
        <v/>
      </c>
      <c r="AF512">
        <f>TRIM(SUBSTITUTE(INDEX('Loans'!$K:$K,ROW())&amp;""," "," "))</f>
        <v/>
      </c>
      <c r="AG512">
        <f>IFERROR(--INDEX('Loans'!$L:$L,ROW()),0)</f>
        <v/>
      </c>
      <c r="AH512">
        <f>IF(ISNUMBER(INDEX('Loans'!$G:$G,ROW())),1,0)</f>
        <v/>
      </c>
    </row>
    <row r="513">
      <c r="A513">
        <f>TRIM(SUBSTITUTE(INDEX('Term investments'!$A:$A,ROW())&amp;""," "," "))</f>
        <v/>
      </c>
      <c r="B513">
        <f>TRIM(SUBSTITUTE(INDEX('Term investments'!$B:$B,ROW())&amp;""," "," "))</f>
        <v/>
      </c>
      <c r="C513">
        <f>TRIM(SUBSTITUTE(INDEX('Term investments'!$C:$C,ROW())&amp;""," "," "))</f>
        <v/>
      </c>
      <c r="D513">
        <f>IFERROR(--INDEX('Term investments'!$D:$D,ROW()),0)</f>
        <v/>
      </c>
      <c r="E513">
        <f>IFERROR(--INDEX('Term investments'!$E:$E,ROW()),0)</f>
        <v/>
      </c>
      <c r="F513">
        <f>IFERROR(--INDEX('Term investments'!$F:$F,ROW()),0)</f>
        <v/>
      </c>
      <c r="G513">
        <f>IFERROR(IF(--INDEX('Term investments'!$G:$G,ROW())&gt;=1,--INDEX('Term investments'!$G:$G,ROW())/100,--INDEX('Term investments'!$G:$G,ROW())),0)</f>
        <v/>
      </c>
      <c r="H513">
        <f>IFERROR(--INDEX('Term investments'!$H:$H,ROW()),0)</f>
        <v/>
      </c>
      <c r="I513">
        <f>IF(ISNUMBER(INDEX('Term investments'!$G:$G,ROW())),1,0)</f>
        <v/>
      </c>
      <c r="J513">
        <f>TRIM(SUBSTITUTE(INDEX('Call accounts and MMFs'!$A:$A,ROW())&amp;""," "," "))</f>
        <v/>
      </c>
      <c r="K513">
        <f>TRIM(SUBSTITUTE(INDEX('Call accounts and MMFs'!$B:$B,ROW())&amp;""," "," "))</f>
        <v/>
      </c>
      <c r="L513">
        <f>TRIM(SUBSTITUTE(INDEX('Call accounts and MMFs'!$C:$C,ROW())&amp;""," "," "))</f>
        <v/>
      </c>
      <c r="M513">
        <f>IFERROR(--INDEX('Call accounts and MMFs'!$D:$D,ROW()),0)</f>
        <v/>
      </c>
      <c r="N513">
        <f>IFERROR(IF(--INDEX('Call accounts and MMFs'!$E:$E,ROW())&gt;=1,--INDEX('Call accounts and MMFs'!$E:$E,ROW())/100,--INDEX('Call accounts and MMFs'!$E:$E,ROW())),0)</f>
        <v/>
      </c>
      <c r="O513">
        <f>IFERROR(--INDEX('Call accounts and MMFs'!$F:$F,ROW()),0)</f>
        <v/>
      </c>
      <c r="P513">
        <f>IF(ISNUMBER(INDEX('Call accounts and MMFs'!$E:$E,ROW())),1,0)</f>
        <v/>
      </c>
      <c r="Q513">
        <f>TRIM(SUBSTITUTE(INDEX('Pooled funds'!$B:$B,ROW())&amp;""," "," "))</f>
        <v/>
      </c>
      <c r="R513">
        <f>IFERROR(--INDEX('Pooled funds'!$C:$C,ROW()),0)</f>
        <v/>
      </c>
      <c r="S513">
        <f>IFERROR(--INDEX('Pooled funds'!$D:$D,ROW()),0)</f>
        <v/>
      </c>
      <c r="T513">
        <f>IFERROR(IF(--INDEX('Pooled funds'!$E:$E,ROW())&gt;=1,--INDEX('Pooled funds'!$E:$E,ROW())/100,--INDEX('Pooled funds'!$E:$E,ROW())),0)</f>
        <v/>
      </c>
      <c r="U513">
        <f>IF(ISNUMBER(INDEX('Pooled funds'!$E:$E,ROW())),1,0)</f>
        <v/>
      </c>
      <c r="V513">
        <f>TRIM(SUBSTITUTE(INDEX('Loans'!$A:$A,ROW())&amp;""," "," "))</f>
        <v/>
      </c>
      <c r="W513">
        <f>TRIM(SUBSTITUTE(INDEX('Loans'!$B:$B,ROW())&amp;""," "," "))</f>
        <v/>
      </c>
      <c r="X513">
        <f>TRIM(SUBSTITUTE(INDEX('Loans'!$C:$C,ROW())&amp;""," "," "))</f>
        <v/>
      </c>
      <c r="Y513">
        <f>IFERROR(--INDEX('Loans'!$D:$D,ROW()),0)</f>
        <v/>
      </c>
      <c r="Z513">
        <f>IFERROR(--INDEX('Loans'!$E:$E,ROW()),0)</f>
        <v/>
      </c>
      <c r="AA513">
        <f>IFERROR(--INDEX('Loans'!$F:$F,ROW()),0)</f>
        <v/>
      </c>
      <c r="AB513">
        <f>IFERROR(IF(--INDEX('Loans'!$G:$G,ROW())&gt;=1,--INDEX('Loans'!$G:$G,ROW())/100,--INDEX('Loans'!$G:$G,ROW())),0)</f>
        <v/>
      </c>
      <c r="AC513">
        <f>TRIM(SUBSTITUTE(INDEX('Loans'!$H:$H,ROW())&amp;""," "," "))</f>
        <v/>
      </c>
      <c r="AD513">
        <f>TRIM(SUBSTITUTE(INDEX('Loans'!$I:$I,ROW())&amp;""," "," "))</f>
        <v/>
      </c>
      <c r="AE513">
        <f>IFERROR(--INDEX('Loans'!$J:$J,ROW()),0)</f>
        <v/>
      </c>
      <c r="AF513">
        <f>TRIM(SUBSTITUTE(INDEX('Loans'!$K:$K,ROW())&amp;""," "," "))</f>
        <v/>
      </c>
      <c r="AG513">
        <f>IFERROR(--INDEX('Loans'!$L:$L,ROW()),0)</f>
        <v/>
      </c>
      <c r="AH513">
        <f>IF(ISNUMBER(INDEX('Loans'!$G:$G,ROW())),1,0)</f>
        <v/>
      </c>
    </row>
    <row r="514">
      <c r="A514">
        <f>TRIM(SUBSTITUTE(INDEX('Term investments'!$A:$A,ROW())&amp;""," "," "))</f>
        <v/>
      </c>
      <c r="B514">
        <f>TRIM(SUBSTITUTE(INDEX('Term investments'!$B:$B,ROW())&amp;""," "," "))</f>
        <v/>
      </c>
      <c r="C514">
        <f>TRIM(SUBSTITUTE(INDEX('Term investments'!$C:$C,ROW())&amp;""," "," "))</f>
        <v/>
      </c>
      <c r="D514">
        <f>IFERROR(--INDEX('Term investments'!$D:$D,ROW()),0)</f>
        <v/>
      </c>
      <c r="E514">
        <f>IFERROR(--INDEX('Term investments'!$E:$E,ROW()),0)</f>
        <v/>
      </c>
      <c r="F514">
        <f>IFERROR(--INDEX('Term investments'!$F:$F,ROW()),0)</f>
        <v/>
      </c>
      <c r="G514">
        <f>IFERROR(IF(--INDEX('Term investments'!$G:$G,ROW())&gt;=1,--INDEX('Term investments'!$G:$G,ROW())/100,--INDEX('Term investments'!$G:$G,ROW())),0)</f>
        <v/>
      </c>
      <c r="H514">
        <f>IFERROR(--INDEX('Term investments'!$H:$H,ROW()),0)</f>
        <v/>
      </c>
      <c r="I514">
        <f>IF(ISNUMBER(INDEX('Term investments'!$G:$G,ROW())),1,0)</f>
        <v/>
      </c>
      <c r="J514">
        <f>TRIM(SUBSTITUTE(INDEX('Call accounts and MMFs'!$A:$A,ROW())&amp;""," "," "))</f>
        <v/>
      </c>
      <c r="K514">
        <f>TRIM(SUBSTITUTE(INDEX('Call accounts and MMFs'!$B:$B,ROW())&amp;""," "," "))</f>
        <v/>
      </c>
      <c r="L514">
        <f>TRIM(SUBSTITUTE(INDEX('Call accounts and MMFs'!$C:$C,ROW())&amp;""," "," "))</f>
        <v/>
      </c>
      <c r="M514">
        <f>IFERROR(--INDEX('Call accounts and MMFs'!$D:$D,ROW()),0)</f>
        <v/>
      </c>
      <c r="N514">
        <f>IFERROR(IF(--INDEX('Call accounts and MMFs'!$E:$E,ROW())&gt;=1,--INDEX('Call accounts and MMFs'!$E:$E,ROW())/100,--INDEX('Call accounts and MMFs'!$E:$E,ROW())),0)</f>
        <v/>
      </c>
      <c r="O514">
        <f>IFERROR(--INDEX('Call accounts and MMFs'!$F:$F,ROW()),0)</f>
        <v/>
      </c>
      <c r="P514">
        <f>IF(ISNUMBER(INDEX('Call accounts and MMFs'!$E:$E,ROW())),1,0)</f>
        <v/>
      </c>
      <c r="Q514">
        <f>TRIM(SUBSTITUTE(INDEX('Pooled funds'!$B:$B,ROW())&amp;""," "," "))</f>
        <v/>
      </c>
      <c r="R514">
        <f>IFERROR(--INDEX('Pooled funds'!$C:$C,ROW()),0)</f>
        <v/>
      </c>
      <c r="S514">
        <f>IFERROR(--INDEX('Pooled funds'!$D:$D,ROW()),0)</f>
        <v/>
      </c>
      <c r="T514">
        <f>IFERROR(IF(--INDEX('Pooled funds'!$E:$E,ROW())&gt;=1,--INDEX('Pooled funds'!$E:$E,ROW())/100,--INDEX('Pooled funds'!$E:$E,ROW())),0)</f>
        <v/>
      </c>
      <c r="U514">
        <f>IF(ISNUMBER(INDEX('Pooled funds'!$E:$E,ROW())),1,0)</f>
        <v/>
      </c>
      <c r="V514">
        <f>TRIM(SUBSTITUTE(INDEX('Loans'!$A:$A,ROW())&amp;""," "," "))</f>
        <v/>
      </c>
      <c r="W514">
        <f>TRIM(SUBSTITUTE(INDEX('Loans'!$B:$B,ROW())&amp;""," "," "))</f>
        <v/>
      </c>
      <c r="X514">
        <f>TRIM(SUBSTITUTE(INDEX('Loans'!$C:$C,ROW())&amp;""," "," "))</f>
        <v/>
      </c>
      <c r="Y514">
        <f>IFERROR(--INDEX('Loans'!$D:$D,ROW()),0)</f>
        <v/>
      </c>
      <c r="Z514">
        <f>IFERROR(--INDEX('Loans'!$E:$E,ROW()),0)</f>
        <v/>
      </c>
      <c r="AA514">
        <f>IFERROR(--INDEX('Loans'!$F:$F,ROW()),0)</f>
        <v/>
      </c>
      <c r="AB514">
        <f>IFERROR(IF(--INDEX('Loans'!$G:$G,ROW())&gt;=1,--INDEX('Loans'!$G:$G,ROW())/100,--INDEX('Loans'!$G:$G,ROW())),0)</f>
        <v/>
      </c>
      <c r="AC514">
        <f>TRIM(SUBSTITUTE(INDEX('Loans'!$H:$H,ROW())&amp;""," "," "))</f>
        <v/>
      </c>
      <c r="AD514">
        <f>TRIM(SUBSTITUTE(INDEX('Loans'!$I:$I,ROW())&amp;""," "," "))</f>
        <v/>
      </c>
      <c r="AE514">
        <f>IFERROR(--INDEX('Loans'!$J:$J,ROW()),0)</f>
        <v/>
      </c>
      <c r="AF514">
        <f>TRIM(SUBSTITUTE(INDEX('Loans'!$K:$K,ROW())&amp;""," "," "))</f>
        <v/>
      </c>
      <c r="AG514">
        <f>IFERROR(--INDEX('Loans'!$L:$L,ROW()),0)</f>
        <v/>
      </c>
      <c r="AH514">
        <f>IF(ISNUMBER(INDEX('Loans'!$G:$G,ROW())),1,0)</f>
        <v/>
      </c>
    </row>
    <row r="515">
      <c r="A515">
        <f>TRIM(SUBSTITUTE(INDEX('Term investments'!$A:$A,ROW())&amp;""," "," "))</f>
        <v/>
      </c>
      <c r="B515">
        <f>TRIM(SUBSTITUTE(INDEX('Term investments'!$B:$B,ROW())&amp;""," "," "))</f>
        <v/>
      </c>
      <c r="C515">
        <f>TRIM(SUBSTITUTE(INDEX('Term investments'!$C:$C,ROW())&amp;""," "," "))</f>
        <v/>
      </c>
      <c r="D515">
        <f>IFERROR(--INDEX('Term investments'!$D:$D,ROW()),0)</f>
        <v/>
      </c>
      <c r="E515">
        <f>IFERROR(--INDEX('Term investments'!$E:$E,ROW()),0)</f>
        <v/>
      </c>
      <c r="F515">
        <f>IFERROR(--INDEX('Term investments'!$F:$F,ROW()),0)</f>
        <v/>
      </c>
      <c r="G515">
        <f>IFERROR(IF(--INDEX('Term investments'!$G:$G,ROW())&gt;=1,--INDEX('Term investments'!$G:$G,ROW())/100,--INDEX('Term investments'!$G:$G,ROW())),0)</f>
        <v/>
      </c>
      <c r="H515">
        <f>IFERROR(--INDEX('Term investments'!$H:$H,ROW()),0)</f>
        <v/>
      </c>
      <c r="I515">
        <f>IF(ISNUMBER(INDEX('Term investments'!$G:$G,ROW())),1,0)</f>
        <v/>
      </c>
      <c r="J515">
        <f>TRIM(SUBSTITUTE(INDEX('Call accounts and MMFs'!$A:$A,ROW())&amp;""," "," "))</f>
        <v/>
      </c>
      <c r="K515">
        <f>TRIM(SUBSTITUTE(INDEX('Call accounts and MMFs'!$B:$B,ROW())&amp;""," "," "))</f>
        <v/>
      </c>
      <c r="L515">
        <f>TRIM(SUBSTITUTE(INDEX('Call accounts and MMFs'!$C:$C,ROW())&amp;""," "," "))</f>
        <v/>
      </c>
      <c r="M515">
        <f>IFERROR(--INDEX('Call accounts and MMFs'!$D:$D,ROW()),0)</f>
        <v/>
      </c>
      <c r="N515">
        <f>IFERROR(IF(--INDEX('Call accounts and MMFs'!$E:$E,ROW())&gt;=1,--INDEX('Call accounts and MMFs'!$E:$E,ROW())/100,--INDEX('Call accounts and MMFs'!$E:$E,ROW())),0)</f>
        <v/>
      </c>
      <c r="O515">
        <f>IFERROR(--INDEX('Call accounts and MMFs'!$F:$F,ROW()),0)</f>
        <v/>
      </c>
      <c r="P515">
        <f>IF(ISNUMBER(INDEX('Call accounts and MMFs'!$E:$E,ROW())),1,0)</f>
        <v/>
      </c>
      <c r="Q515">
        <f>TRIM(SUBSTITUTE(INDEX('Pooled funds'!$B:$B,ROW())&amp;""," "," "))</f>
        <v/>
      </c>
      <c r="R515">
        <f>IFERROR(--INDEX('Pooled funds'!$C:$C,ROW()),0)</f>
        <v/>
      </c>
      <c r="S515">
        <f>IFERROR(--INDEX('Pooled funds'!$D:$D,ROW()),0)</f>
        <v/>
      </c>
      <c r="T515">
        <f>IFERROR(IF(--INDEX('Pooled funds'!$E:$E,ROW())&gt;=1,--INDEX('Pooled funds'!$E:$E,ROW())/100,--INDEX('Pooled funds'!$E:$E,ROW())),0)</f>
        <v/>
      </c>
      <c r="U515">
        <f>IF(ISNUMBER(INDEX('Pooled funds'!$E:$E,ROW())),1,0)</f>
        <v/>
      </c>
      <c r="V515">
        <f>TRIM(SUBSTITUTE(INDEX('Loans'!$A:$A,ROW())&amp;""," "," "))</f>
        <v/>
      </c>
      <c r="W515">
        <f>TRIM(SUBSTITUTE(INDEX('Loans'!$B:$B,ROW())&amp;""," "," "))</f>
        <v/>
      </c>
      <c r="X515">
        <f>TRIM(SUBSTITUTE(INDEX('Loans'!$C:$C,ROW())&amp;""," "," "))</f>
        <v/>
      </c>
      <c r="Y515">
        <f>IFERROR(--INDEX('Loans'!$D:$D,ROW()),0)</f>
        <v/>
      </c>
      <c r="Z515">
        <f>IFERROR(--INDEX('Loans'!$E:$E,ROW()),0)</f>
        <v/>
      </c>
      <c r="AA515">
        <f>IFERROR(--INDEX('Loans'!$F:$F,ROW()),0)</f>
        <v/>
      </c>
      <c r="AB515">
        <f>IFERROR(IF(--INDEX('Loans'!$G:$G,ROW())&gt;=1,--INDEX('Loans'!$G:$G,ROW())/100,--INDEX('Loans'!$G:$G,ROW())),0)</f>
        <v/>
      </c>
      <c r="AC515">
        <f>TRIM(SUBSTITUTE(INDEX('Loans'!$H:$H,ROW())&amp;""," "," "))</f>
        <v/>
      </c>
      <c r="AD515">
        <f>TRIM(SUBSTITUTE(INDEX('Loans'!$I:$I,ROW())&amp;""," "," "))</f>
        <v/>
      </c>
      <c r="AE515">
        <f>IFERROR(--INDEX('Loans'!$J:$J,ROW()),0)</f>
        <v/>
      </c>
      <c r="AF515">
        <f>TRIM(SUBSTITUTE(INDEX('Loans'!$K:$K,ROW())&amp;""," "," "))</f>
        <v/>
      </c>
      <c r="AG515">
        <f>IFERROR(--INDEX('Loans'!$L:$L,ROW()),0)</f>
        <v/>
      </c>
      <c r="AH515">
        <f>IF(ISNUMBER(INDEX('Loans'!$G:$G,ROW())),1,0)</f>
        <v/>
      </c>
    </row>
    <row r="516">
      <c r="A516">
        <f>TRIM(SUBSTITUTE(INDEX('Term investments'!$A:$A,ROW())&amp;""," "," "))</f>
        <v/>
      </c>
      <c r="B516">
        <f>TRIM(SUBSTITUTE(INDEX('Term investments'!$B:$B,ROW())&amp;""," "," "))</f>
        <v/>
      </c>
      <c r="C516">
        <f>TRIM(SUBSTITUTE(INDEX('Term investments'!$C:$C,ROW())&amp;""," "," "))</f>
        <v/>
      </c>
      <c r="D516">
        <f>IFERROR(--INDEX('Term investments'!$D:$D,ROW()),0)</f>
        <v/>
      </c>
      <c r="E516">
        <f>IFERROR(--INDEX('Term investments'!$E:$E,ROW()),0)</f>
        <v/>
      </c>
      <c r="F516">
        <f>IFERROR(--INDEX('Term investments'!$F:$F,ROW()),0)</f>
        <v/>
      </c>
      <c r="G516">
        <f>IFERROR(IF(--INDEX('Term investments'!$G:$G,ROW())&gt;=1,--INDEX('Term investments'!$G:$G,ROW())/100,--INDEX('Term investments'!$G:$G,ROW())),0)</f>
        <v/>
      </c>
      <c r="H516">
        <f>IFERROR(--INDEX('Term investments'!$H:$H,ROW()),0)</f>
        <v/>
      </c>
      <c r="I516">
        <f>IF(ISNUMBER(INDEX('Term investments'!$G:$G,ROW())),1,0)</f>
        <v/>
      </c>
      <c r="J516">
        <f>TRIM(SUBSTITUTE(INDEX('Call accounts and MMFs'!$A:$A,ROW())&amp;""," "," "))</f>
        <v/>
      </c>
      <c r="K516">
        <f>TRIM(SUBSTITUTE(INDEX('Call accounts and MMFs'!$B:$B,ROW())&amp;""," "," "))</f>
        <v/>
      </c>
      <c r="L516">
        <f>TRIM(SUBSTITUTE(INDEX('Call accounts and MMFs'!$C:$C,ROW())&amp;""," "," "))</f>
        <v/>
      </c>
      <c r="M516">
        <f>IFERROR(--INDEX('Call accounts and MMFs'!$D:$D,ROW()),0)</f>
        <v/>
      </c>
      <c r="N516">
        <f>IFERROR(IF(--INDEX('Call accounts and MMFs'!$E:$E,ROW())&gt;=1,--INDEX('Call accounts and MMFs'!$E:$E,ROW())/100,--INDEX('Call accounts and MMFs'!$E:$E,ROW())),0)</f>
        <v/>
      </c>
      <c r="O516">
        <f>IFERROR(--INDEX('Call accounts and MMFs'!$F:$F,ROW()),0)</f>
        <v/>
      </c>
      <c r="P516">
        <f>IF(ISNUMBER(INDEX('Call accounts and MMFs'!$E:$E,ROW())),1,0)</f>
        <v/>
      </c>
      <c r="Q516">
        <f>TRIM(SUBSTITUTE(INDEX('Pooled funds'!$B:$B,ROW())&amp;""," "," "))</f>
        <v/>
      </c>
      <c r="R516">
        <f>IFERROR(--INDEX('Pooled funds'!$C:$C,ROW()),0)</f>
        <v/>
      </c>
      <c r="S516">
        <f>IFERROR(--INDEX('Pooled funds'!$D:$D,ROW()),0)</f>
        <v/>
      </c>
      <c r="T516">
        <f>IFERROR(IF(--INDEX('Pooled funds'!$E:$E,ROW())&gt;=1,--INDEX('Pooled funds'!$E:$E,ROW())/100,--INDEX('Pooled funds'!$E:$E,ROW())),0)</f>
        <v/>
      </c>
      <c r="U516">
        <f>IF(ISNUMBER(INDEX('Pooled funds'!$E:$E,ROW())),1,0)</f>
        <v/>
      </c>
      <c r="V516">
        <f>TRIM(SUBSTITUTE(INDEX('Loans'!$A:$A,ROW())&amp;""," "," "))</f>
        <v/>
      </c>
      <c r="W516">
        <f>TRIM(SUBSTITUTE(INDEX('Loans'!$B:$B,ROW())&amp;""," "," "))</f>
        <v/>
      </c>
      <c r="X516">
        <f>TRIM(SUBSTITUTE(INDEX('Loans'!$C:$C,ROW())&amp;""," "," "))</f>
        <v/>
      </c>
      <c r="Y516">
        <f>IFERROR(--INDEX('Loans'!$D:$D,ROW()),0)</f>
        <v/>
      </c>
      <c r="Z516">
        <f>IFERROR(--INDEX('Loans'!$E:$E,ROW()),0)</f>
        <v/>
      </c>
      <c r="AA516">
        <f>IFERROR(--INDEX('Loans'!$F:$F,ROW()),0)</f>
        <v/>
      </c>
      <c r="AB516">
        <f>IFERROR(IF(--INDEX('Loans'!$G:$G,ROW())&gt;=1,--INDEX('Loans'!$G:$G,ROW())/100,--INDEX('Loans'!$G:$G,ROW())),0)</f>
        <v/>
      </c>
      <c r="AC516">
        <f>TRIM(SUBSTITUTE(INDEX('Loans'!$H:$H,ROW())&amp;""," "," "))</f>
        <v/>
      </c>
      <c r="AD516">
        <f>TRIM(SUBSTITUTE(INDEX('Loans'!$I:$I,ROW())&amp;""," "," "))</f>
        <v/>
      </c>
      <c r="AE516">
        <f>IFERROR(--INDEX('Loans'!$J:$J,ROW()),0)</f>
        <v/>
      </c>
      <c r="AF516">
        <f>TRIM(SUBSTITUTE(INDEX('Loans'!$K:$K,ROW())&amp;""," "," "))</f>
        <v/>
      </c>
      <c r="AG516">
        <f>IFERROR(--INDEX('Loans'!$L:$L,ROW()),0)</f>
        <v/>
      </c>
      <c r="AH516">
        <f>IF(ISNUMBER(INDEX('Loans'!$G:$G,ROW())),1,0)</f>
        <v/>
      </c>
    </row>
    <row r="517">
      <c r="A517">
        <f>TRIM(SUBSTITUTE(INDEX('Term investments'!$A:$A,ROW())&amp;""," "," "))</f>
        <v/>
      </c>
      <c r="B517">
        <f>TRIM(SUBSTITUTE(INDEX('Term investments'!$B:$B,ROW())&amp;""," "," "))</f>
        <v/>
      </c>
      <c r="C517">
        <f>TRIM(SUBSTITUTE(INDEX('Term investments'!$C:$C,ROW())&amp;""," "," "))</f>
        <v/>
      </c>
      <c r="D517">
        <f>IFERROR(--INDEX('Term investments'!$D:$D,ROW()),0)</f>
        <v/>
      </c>
      <c r="E517">
        <f>IFERROR(--INDEX('Term investments'!$E:$E,ROW()),0)</f>
        <v/>
      </c>
      <c r="F517">
        <f>IFERROR(--INDEX('Term investments'!$F:$F,ROW()),0)</f>
        <v/>
      </c>
      <c r="G517">
        <f>IFERROR(IF(--INDEX('Term investments'!$G:$G,ROW())&gt;=1,--INDEX('Term investments'!$G:$G,ROW())/100,--INDEX('Term investments'!$G:$G,ROW())),0)</f>
        <v/>
      </c>
      <c r="H517">
        <f>IFERROR(--INDEX('Term investments'!$H:$H,ROW()),0)</f>
        <v/>
      </c>
      <c r="I517">
        <f>IF(ISNUMBER(INDEX('Term investments'!$G:$G,ROW())),1,0)</f>
        <v/>
      </c>
      <c r="J517">
        <f>TRIM(SUBSTITUTE(INDEX('Call accounts and MMFs'!$A:$A,ROW())&amp;""," "," "))</f>
        <v/>
      </c>
      <c r="K517">
        <f>TRIM(SUBSTITUTE(INDEX('Call accounts and MMFs'!$B:$B,ROW())&amp;""," "," "))</f>
        <v/>
      </c>
      <c r="L517">
        <f>TRIM(SUBSTITUTE(INDEX('Call accounts and MMFs'!$C:$C,ROW())&amp;""," "," "))</f>
        <v/>
      </c>
      <c r="M517">
        <f>IFERROR(--INDEX('Call accounts and MMFs'!$D:$D,ROW()),0)</f>
        <v/>
      </c>
      <c r="N517">
        <f>IFERROR(IF(--INDEX('Call accounts and MMFs'!$E:$E,ROW())&gt;=1,--INDEX('Call accounts and MMFs'!$E:$E,ROW())/100,--INDEX('Call accounts and MMFs'!$E:$E,ROW())),0)</f>
        <v/>
      </c>
      <c r="O517">
        <f>IFERROR(--INDEX('Call accounts and MMFs'!$F:$F,ROW()),0)</f>
        <v/>
      </c>
      <c r="P517">
        <f>IF(ISNUMBER(INDEX('Call accounts and MMFs'!$E:$E,ROW())),1,0)</f>
        <v/>
      </c>
      <c r="Q517">
        <f>TRIM(SUBSTITUTE(INDEX('Pooled funds'!$B:$B,ROW())&amp;""," "," "))</f>
        <v/>
      </c>
      <c r="R517">
        <f>IFERROR(--INDEX('Pooled funds'!$C:$C,ROW()),0)</f>
        <v/>
      </c>
      <c r="S517">
        <f>IFERROR(--INDEX('Pooled funds'!$D:$D,ROW()),0)</f>
        <v/>
      </c>
      <c r="T517">
        <f>IFERROR(IF(--INDEX('Pooled funds'!$E:$E,ROW())&gt;=1,--INDEX('Pooled funds'!$E:$E,ROW())/100,--INDEX('Pooled funds'!$E:$E,ROW())),0)</f>
        <v/>
      </c>
      <c r="U517">
        <f>IF(ISNUMBER(INDEX('Pooled funds'!$E:$E,ROW())),1,0)</f>
        <v/>
      </c>
      <c r="V517">
        <f>TRIM(SUBSTITUTE(INDEX('Loans'!$A:$A,ROW())&amp;""," "," "))</f>
        <v/>
      </c>
      <c r="W517">
        <f>TRIM(SUBSTITUTE(INDEX('Loans'!$B:$B,ROW())&amp;""," "," "))</f>
        <v/>
      </c>
      <c r="X517">
        <f>TRIM(SUBSTITUTE(INDEX('Loans'!$C:$C,ROW())&amp;""," "," "))</f>
        <v/>
      </c>
      <c r="Y517">
        <f>IFERROR(--INDEX('Loans'!$D:$D,ROW()),0)</f>
        <v/>
      </c>
      <c r="Z517">
        <f>IFERROR(--INDEX('Loans'!$E:$E,ROW()),0)</f>
        <v/>
      </c>
      <c r="AA517">
        <f>IFERROR(--INDEX('Loans'!$F:$F,ROW()),0)</f>
        <v/>
      </c>
      <c r="AB517">
        <f>IFERROR(IF(--INDEX('Loans'!$G:$G,ROW())&gt;=1,--INDEX('Loans'!$G:$G,ROW())/100,--INDEX('Loans'!$G:$G,ROW())),0)</f>
        <v/>
      </c>
      <c r="AC517">
        <f>TRIM(SUBSTITUTE(INDEX('Loans'!$H:$H,ROW())&amp;""," "," "))</f>
        <v/>
      </c>
      <c r="AD517">
        <f>TRIM(SUBSTITUTE(INDEX('Loans'!$I:$I,ROW())&amp;""," "," "))</f>
        <v/>
      </c>
      <c r="AE517">
        <f>IFERROR(--INDEX('Loans'!$J:$J,ROW()),0)</f>
        <v/>
      </c>
      <c r="AF517">
        <f>TRIM(SUBSTITUTE(INDEX('Loans'!$K:$K,ROW())&amp;""," "," "))</f>
        <v/>
      </c>
      <c r="AG517">
        <f>IFERROR(--INDEX('Loans'!$L:$L,ROW()),0)</f>
        <v/>
      </c>
      <c r="AH517">
        <f>IF(ISNUMBER(INDEX('Loans'!$G:$G,ROW())),1,0)</f>
        <v/>
      </c>
    </row>
    <row r="518">
      <c r="A518">
        <f>TRIM(SUBSTITUTE(INDEX('Term investments'!$A:$A,ROW())&amp;""," "," "))</f>
        <v/>
      </c>
      <c r="B518">
        <f>TRIM(SUBSTITUTE(INDEX('Term investments'!$B:$B,ROW())&amp;""," "," "))</f>
        <v/>
      </c>
      <c r="C518">
        <f>TRIM(SUBSTITUTE(INDEX('Term investments'!$C:$C,ROW())&amp;""," "," "))</f>
        <v/>
      </c>
      <c r="D518">
        <f>IFERROR(--INDEX('Term investments'!$D:$D,ROW()),0)</f>
        <v/>
      </c>
      <c r="E518">
        <f>IFERROR(--INDEX('Term investments'!$E:$E,ROW()),0)</f>
        <v/>
      </c>
      <c r="F518">
        <f>IFERROR(--INDEX('Term investments'!$F:$F,ROW()),0)</f>
        <v/>
      </c>
      <c r="G518">
        <f>IFERROR(IF(--INDEX('Term investments'!$G:$G,ROW())&gt;=1,--INDEX('Term investments'!$G:$G,ROW())/100,--INDEX('Term investments'!$G:$G,ROW())),0)</f>
        <v/>
      </c>
      <c r="H518">
        <f>IFERROR(--INDEX('Term investments'!$H:$H,ROW()),0)</f>
        <v/>
      </c>
      <c r="I518">
        <f>IF(ISNUMBER(INDEX('Term investments'!$G:$G,ROW())),1,0)</f>
        <v/>
      </c>
      <c r="J518">
        <f>TRIM(SUBSTITUTE(INDEX('Call accounts and MMFs'!$A:$A,ROW())&amp;""," "," "))</f>
        <v/>
      </c>
      <c r="K518">
        <f>TRIM(SUBSTITUTE(INDEX('Call accounts and MMFs'!$B:$B,ROW())&amp;""," "," "))</f>
        <v/>
      </c>
      <c r="L518">
        <f>TRIM(SUBSTITUTE(INDEX('Call accounts and MMFs'!$C:$C,ROW())&amp;""," "," "))</f>
        <v/>
      </c>
      <c r="M518">
        <f>IFERROR(--INDEX('Call accounts and MMFs'!$D:$D,ROW()),0)</f>
        <v/>
      </c>
      <c r="N518">
        <f>IFERROR(IF(--INDEX('Call accounts and MMFs'!$E:$E,ROW())&gt;=1,--INDEX('Call accounts and MMFs'!$E:$E,ROW())/100,--INDEX('Call accounts and MMFs'!$E:$E,ROW())),0)</f>
        <v/>
      </c>
      <c r="O518">
        <f>IFERROR(--INDEX('Call accounts and MMFs'!$F:$F,ROW()),0)</f>
        <v/>
      </c>
      <c r="P518">
        <f>IF(ISNUMBER(INDEX('Call accounts and MMFs'!$E:$E,ROW())),1,0)</f>
        <v/>
      </c>
      <c r="Q518">
        <f>TRIM(SUBSTITUTE(INDEX('Pooled funds'!$B:$B,ROW())&amp;""," "," "))</f>
        <v/>
      </c>
      <c r="R518">
        <f>IFERROR(--INDEX('Pooled funds'!$C:$C,ROW()),0)</f>
        <v/>
      </c>
      <c r="S518">
        <f>IFERROR(--INDEX('Pooled funds'!$D:$D,ROW()),0)</f>
        <v/>
      </c>
      <c r="T518">
        <f>IFERROR(IF(--INDEX('Pooled funds'!$E:$E,ROW())&gt;=1,--INDEX('Pooled funds'!$E:$E,ROW())/100,--INDEX('Pooled funds'!$E:$E,ROW())),0)</f>
        <v/>
      </c>
      <c r="U518">
        <f>IF(ISNUMBER(INDEX('Pooled funds'!$E:$E,ROW())),1,0)</f>
        <v/>
      </c>
      <c r="V518">
        <f>TRIM(SUBSTITUTE(INDEX('Loans'!$A:$A,ROW())&amp;""," "," "))</f>
        <v/>
      </c>
      <c r="W518">
        <f>TRIM(SUBSTITUTE(INDEX('Loans'!$B:$B,ROW())&amp;""," "," "))</f>
        <v/>
      </c>
      <c r="X518">
        <f>TRIM(SUBSTITUTE(INDEX('Loans'!$C:$C,ROW())&amp;""," "," "))</f>
        <v/>
      </c>
      <c r="Y518">
        <f>IFERROR(--INDEX('Loans'!$D:$D,ROW()),0)</f>
        <v/>
      </c>
      <c r="Z518">
        <f>IFERROR(--INDEX('Loans'!$E:$E,ROW()),0)</f>
        <v/>
      </c>
      <c r="AA518">
        <f>IFERROR(--INDEX('Loans'!$F:$F,ROW()),0)</f>
        <v/>
      </c>
      <c r="AB518">
        <f>IFERROR(IF(--INDEX('Loans'!$G:$G,ROW())&gt;=1,--INDEX('Loans'!$G:$G,ROW())/100,--INDEX('Loans'!$G:$G,ROW())),0)</f>
        <v/>
      </c>
      <c r="AC518">
        <f>TRIM(SUBSTITUTE(INDEX('Loans'!$H:$H,ROW())&amp;""," "," "))</f>
        <v/>
      </c>
      <c r="AD518">
        <f>TRIM(SUBSTITUTE(INDEX('Loans'!$I:$I,ROW())&amp;""," "," "))</f>
        <v/>
      </c>
      <c r="AE518">
        <f>IFERROR(--INDEX('Loans'!$J:$J,ROW()),0)</f>
        <v/>
      </c>
      <c r="AF518">
        <f>TRIM(SUBSTITUTE(INDEX('Loans'!$K:$K,ROW())&amp;""," "," "))</f>
        <v/>
      </c>
      <c r="AG518">
        <f>IFERROR(--INDEX('Loans'!$L:$L,ROW()),0)</f>
        <v/>
      </c>
      <c r="AH518">
        <f>IF(ISNUMBER(INDEX('Loans'!$G:$G,ROW())),1,0)</f>
        <v/>
      </c>
    </row>
    <row r="519">
      <c r="A519">
        <f>TRIM(SUBSTITUTE(INDEX('Term investments'!$A:$A,ROW())&amp;""," "," "))</f>
        <v/>
      </c>
      <c r="B519">
        <f>TRIM(SUBSTITUTE(INDEX('Term investments'!$B:$B,ROW())&amp;""," "," "))</f>
        <v/>
      </c>
      <c r="C519">
        <f>TRIM(SUBSTITUTE(INDEX('Term investments'!$C:$C,ROW())&amp;""," "," "))</f>
        <v/>
      </c>
      <c r="D519">
        <f>IFERROR(--INDEX('Term investments'!$D:$D,ROW()),0)</f>
        <v/>
      </c>
      <c r="E519">
        <f>IFERROR(--INDEX('Term investments'!$E:$E,ROW()),0)</f>
        <v/>
      </c>
      <c r="F519">
        <f>IFERROR(--INDEX('Term investments'!$F:$F,ROW()),0)</f>
        <v/>
      </c>
      <c r="G519">
        <f>IFERROR(IF(--INDEX('Term investments'!$G:$G,ROW())&gt;=1,--INDEX('Term investments'!$G:$G,ROW())/100,--INDEX('Term investments'!$G:$G,ROW())),0)</f>
        <v/>
      </c>
      <c r="H519">
        <f>IFERROR(--INDEX('Term investments'!$H:$H,ROW()),0)</f>
        <v/>
      </c>
      <c r="I519">
        <f>IF(ISNUMBER(INDEX('Term investments'!$G:$G,ROW())),1,0)</f>
        <v/>
      </c>
      <c r="J519">
        <f>TRIM(SUBSTITUTE(INDEX('Call accounts and MMFs'!$A:$A,ROW())&amp;""," "," "))</f>
        <v/>
      </c>
      <c r="K519">
        <f>TRIM(SUBSTITUTE(INDEX('Call accounts and MMFs'!$B:$B,ROW())&amp;""," "," "))</f>
        <v/>
      </c>
      <c r="L519">
        <f>TRIM(SUBSTITUTE(INDEX('Call accounts and MMFs'!$C:$C,ROW())&amp;""," "," "))</f>
        <v/>
      </c>
      <c r="M519">
        <f>IFERROR(--INDEX('Call accounts and MMFs'!$D:$D,ROW()),0)</f>
        <v/>
      </c>
      <c r="N519">
        <f>IFERROR(IF(--INDEX('Call accounts and MMFs'!$E:$E,ROW())&gt;=1,--INDEX('Call accounts and MMFs'!$E:$E,ROW())/100,--INDEX('Call accounts and MMFs'!$E:$E,ROW())),0)</f>
        <v/>
      </c>
      <c r="O519">
        <f>IFERROR(--INDEX('Call accounts and MMFs'!$F:$F,ROW()),0)</f>
        <v/>
      </c>
      <c r="P519">
        <f>IF(ISNUMBER(INDEX('Call accounts and MMFs'!$E:$E,ROW())),1,0)</f>
        <v/>
      </c>
      <c r="Q519">
        <f>TRIM(SUBSTITUTE(INDEX('Pooled funds'!$B:$B,ROW())&amp;""," "," "))</f>
        <v/>
      </c>
      <c r="R519">
        <f>IFERROR(--INDEX('Pooled funds'!$C:$C,ROW()),0)</f>
        <v/>
      </c>
      <c r="S519">
        <f>IFERROR(--INDEX('Pooled funds'!$D:$D,ROW()),0)</f>
        <v/>
      </c>
      <c r="T519">
        <f>IFERROR(IF(--INDEX('Pooled funds'!$E:$E,ROW())&gt;=1,--INDEX('Pooled funds'!$E:$E,ROW())/100,--INDEX('Pooled funds'!$E:$E,ROW())),0)</f>
        <v/>
      </c>
      <c r="U519">
        <f>IF(ISNUMBER(INDEX('Pooled funds'!$E:$E,ROW())),1,0)</f>
        <v/>
      </c>
      <c r="V519">
        <f>TRIM(SUBSTITUTE(INDEX('Loans'!$A:$A,ROW())&amp;""," "," "))</f>
        <v/>
      </c>
      <c r="W519">
        <f>TRIM(SUBSTITUTE(INDEX('Loans'!$B:$B,ROW())&amp;""," "," "))</f>
        <v/>
      </c>
      <c r="X519">
        <f>TRIM(SUBSTITUTE(INDEX('Loans'!$C:$C,ROW())&amp;""," "," "))</f>
        <v/>
      </c>
      <c r="Y519">
        <f>IFERROR(--INDEX('Loans'!$D:$D,ROW()),0)</f>
        <v/>
      </c>
      <c r="Z519">
        <f>IFERROR(--INDEX('Loans'!$E:$E,ROW()),0)</f>
        <v/>
      </c>
      <c r="AA519">
        <f>IFERROR(--INDEX('Loans'!$F:$F,ROW()),0)</f>
        <v/>
      </c>
      <c r="AB519">
        <f>IFERROR(IF(--INDEX('Loans'!$G:$G,ROW())&gt;=1,--INDEX('Loans'!$G:$G,ROW())/100,--INDEX('Loans'!$G:$G,ROW())),0)</f>
        <v/>
      </c>
      <c r="AC519">
        <f>TRIM(SUBSTITUTE(INDEX('Loans'!$H:$H,ROW())&amp;""," "," "))</f>
        <v/>
      </c>
      <c r="AD519">
        <f>TRIM(SUBSTITUTE(INDEX('Loans'!$I:$I,ROW())&amp;""," "," "))</f>
        <v/>
      </c>
      <c r="AE519">
        <f>IFERROR(--INDEX('Loans'!$J:$J,ROW()),0)</f>
        <v/>
      </c>
      <c r="AF519">
        <f>TRIM(SUBSTITUTE(INDEX('Loans'!$K:$K,ROW())&amp;""," "," "))</f>
        <v/>
      </c>
      <c r="AG519">
        <f>IFERROR(--INDEX('Loans'!$L:$L,ROW()),0)</f>
        <v/>
      </c>
      <c r="AH519">
        <f>IF(ISNUMBER(INDEX('Loans'!$G:$G,ROW())),1,0)</f>
        <v/>
      </c>
    </row>
    <row r="520">
      <c r="A520">
        <f>TRIM(SUBSTITUTE(INDEX('Term investments'!$A:$A,ROW())&amp;""," "," "))</f>
        <v/>
      </c>
      <c r="B520">
        <f>TRIM(SUBSTITUTE(INDEX('Term investments'!$B:$B,ROW())&amp;""," "," "))</f>
        <v/>
      </c>
      <c r="C520">
        <f>TRIM(SUBSTITUTE(INDEX('Term investments'!$C:$C,ROW())&amp;""," "," "))</f>
        <v/>
      </c>
      <c r="D520">
        <f>IFERROR(--INDEX('Term investments'!$D:$D,ROW()),0)</f>
        <v/>
      </c>
      <c r="E520">
        <f>IFERROR(--INDEX('Term investments'!$E:$E,ROW()),0)</f>
        <v/>
      </c>
      <c r="F520">
        <f>IFERROR(--INDEX('Term investments'!$F:$F,ROW()),0)</f>
        <v/>
      </c>
      <c r="G520">
        <f>IFERROR(IF(--INDEX('Term investments'!$G:$G,ROW())&gt;=1,--INDEX('Term investments'!$G:$G,ROW())/100,--INDEX('Term investments'!$G:$G,ROW())),0)</f>
        <v/>
      </c>
      <c r="H520">
        <f>IFERROR(--INDEX('Term investments'!$H:$H,ROW()),0)</f>
        <v/>
      </c>
      <c r="I520">
        <f>IF(ISNUMBER(INDEX('Term investments'!$G:$G,ROW())),1,0)</f>
        <v/>
      </c>
      <c r="J520">
        <f>TRIM(SUBSTITUTE(INDEX('Call accounts and MMFs'!$A:$A,ROW())&amp;""," "," "))</f>
        <v/>
      </c>
      <c r="K520">
        <f>TRIM(SUBSTITUTE(INDEX('Call accounts and MMFs'!$B:$B,ROW())&amp;""," "," "))</f>
        <v/>
      </c>
      <c r="L520">
        <f>TRIM(SUBSTITUTE(INDEX('Call accounts and MMFs'!$C:$C,ROW())&amp;""," "," "))</f>
        <v/>
      </c>
      <c r="M520">
        <f>IFERROR(--INDEX('Call accounts and MMFs'!$D:$D,ROW()),0)</f>
        <v/>
      </c>
      <c r="N520">
        <f>IFERROR(IF(--INDEX('Call accounts and MMFs'!$E:$E,ROW())&gt;=1,--INDEX('Call accounts and MMFs'!$E:$E,ROW())/100,--INDEX('Call accounts and MMFs'!$E:$E,ROW())),0)</f>
        <v/>
      </c>
      <c r="O520">
        <f>IFERROR(--INDEX('Call accounts and MMFs'!$F:$F,ROW()),0)</f>
        <v/>
      </c>
      <c r="P520">
        <f>IF(ISNUMBER(INDEX('Call accounts and MMFs'!$E:$E,ROW())),1,0)</f>
        <v/>
      </c>
      <c r="Q520">
        <f>TRIM(SUBSTITUTE(INDEX('Pooled funds'!$B:$B,ROW())&amp;""," "," "))</f>
        <v/>
      </c>
      <c r="R520">
        <f>IFERROR(--INDEX('Pooled funds'!$C:$C,ROW()),0)</f>
        <v/>
      </c>
      <c r="S520">
        <f>IFERROR(--INDEX('Pooled funds'!$D:$D,ROW()),0)</f>
        <v/>
      </c>
      <c r="T520">
        <f>IFERROR(IF(--INDEX('Pooled funds'!$E:$E,ROW())&gt;=1,--INDEX('Pooled funds'!$E:$E,ROW())/100,--INDEX('Pooled funds'!$E:$E,ROW())),0)</f>
        <v/>
      </c>
      <c r="U520">
        <f>IF(ISNUMBER(INDEX('Pooled funds'!$E:$E,ROW())),1,0)</f>
        <v/>
      </c>
      <c r="V520">
        <f>TRIM(SUBSTITUTE(INDEX('Loans'!$A:$A,ROW())&amp;""," "," "))</f>
        <v/>
      </c>
      <c r="W520">
        <f>TRIM(SUBSTITUTE(INDEX('Loans'!$B:$B,ROW())&amp;""," "," "))</f>
        <v/>
      </c>
      <c r="X520">
        <f>TRIM(SUBSTITUTE(INDEX('Loans'!$C:$C,ROW())&amp;""," "," "))</f>
        <v/>
      </c>
      <c r="Y520">
        <f>IFERROR(--INDEX('Loans'!$D:$D,ROW()),0)</f>
        <v/>
      </c>
      <c r="Z520">
        <f>IFERROR(--INDEX('Loans'!$E:$E,ROW()),0)</f>
        <v/>
      </c>
      <c r="AA520">
        <f>IFERROR(--INDEX('Loans'!$F:$F,ROW()),0)</f>
        <v/>
      </c>
      <c r="AB520">
        <f>IFERROR(IF(--INDEX('Loans'!$G:$G,ROW())&gt;=1,--INDEX('Loans'!$G:$G,ROW())/100,--INDEX('Loans'!$G:$G,ROW())),0)</f>
        <v/>
      </c>
      <c r="AC520">
        <f>TRIM(SUBSTITUTE(INDEX('Loans'!$H:$H,ROW())&amp;""," "," "))</f>
        <v/>
      </c>
      <c r="AD520">
        <f>TRIM(SUBSTITUTE(INDEX('Loans'!$I:$I,ROW())&amp;""," "," "))</f>
        <v/>
      </c>
      <c r="AE520">
        <f>IFERROR(--INDEX('Loans'!$J:$J,ROW()),0)</f>
        <v/>
      </c>
      <c r="AF520">
        <f>TRIM(SUBSTITUTE(INDEX('Loans'!$K:$K,ROW())&amp;""," "," "))</f>
        <v/>
      </c>
      <c r="AG520">
        <f>IFERROR(--INDEX('Loans'!$L:$L,ROW()),0)</f>
        <v/>
      </c>
      <c r="AH520">
        <f>IF(ISNUMBER(INDEX('Loans'!$G:$G,ROW())),1,0)</f>
        <v/>
      </c>
    </row>
    <row r="521">
      <c r="A521">
        <f>TRIM(SUBSTITUTE(INDEX('Term investments'!$A:$A,ROW())&amp;""," "," "))</f>
        <v/>
      </c>
      <c r="B521">
        <f>TRIM(SUBSTITUTE(INDEX('Term investments'!$B:$B,ROW())&amp;""," "," "))</f>
        <v/>
      </c>
      <c r="C521">
        <f>TRIM(SUBSTITUTE(INDEX('Term investments'!$C:$C,ROW())&amp;""," "," "))</f>
        <v/>
      </c>
      <c r="D521">
        <f>IFERROR(--INDEX('Term investments'!$D:$D,ROW()),0)</f>
        <v/>
      </c>
      <c r="E521">
        <f>IFERROR(--INDEX('Term investments'!$E:$E,ROW()),0)</f>
        <v/>
      </c>
      <c r="F521">
        <f>IFERROR(--INDEX('Term investments'!$F:$F,ROW()),0)</f>
        <v/>
      </c>
      <c r="G521">
        <f>IFERROR(IF(--INDEX('Term investments'!$G:$G,ROW())&gt;=1,--INDEX('Term investments'!$G:$G,ROW())/100,--INDEX('Term investments'!$G:$G,ROW())),0)</f>
        <v/>
      </c>
      <c r="H521">
        <f>IFERROR(--INDEX('Term investments'!$H:$H,ROW()),0)</f>
        <v/>
      </c>
      <c r="I521">
        <f>IF(ISNUMBER(INDEX('Term investments'!$G:$G,ROW())),1,0)</f>
        <v/>
      </c>
      <c r="J521">
        <f>TRIM(SUBSTITUTE(INDEX('Call accounts and MMFs'!$A:$A,ROW())&amp;""," "," "))</f>
        <v/>
      </c>
      <c r="K521">
        <f>TRIM(SUBSTITUTE(INDEX('Call accounts and MMFs'!$B:$B,ROW())&amp;""," "," "))</f>
        <v/>
      </c>
      <c r="L521">
        <f>TRIM(SUBSTITUTE(INDEX('Call accounts and MMFs'!$C:$C,ROW())&amp;""," "," "))</f>
        <v/>
      </c>
      <c r="M521">
        <f>IFERROR(--INDEX('Call accounts and MMFs'!$D:$D,ROW()),0)</f>
        <v/>
      </c>
      <c r="N521">
        <f>IFERROR(IF(--INDEX('Call accounts and MMFs'!$E:$E,ROW())&gt;=1,--INDEX('Call accounts and MMFs'!$E:$E,ROW())/100,--INDEX('Call accounts and MMFs'!$E:$E,ROW())),0)</f>
        <v/>
      </c>
      <c r="O521">
        <f>IFERROR(--INDEX('Call accounts and MMFs'!$F:$F,ROW()),0)</f>
        <v/>
      </c>
      <c r="P521">
        <f>IF(ISNUMBER(INDEX('Call accounts and MMFs'!$E:$E,ROW())),1,0)</f>
        <v/>
      </c>
      <c r="Q521">
        <f>TRIM(SUBSTITUTE(INDEX('Pooled funds'!$B:$B,ROW())&amp;""," "," "))</f>
        <v/>
      </c>
      <c r="R521">
        <f>IFERROR(--INDEX('Pooled funds'!$C:$C,ROW()),0)</f>
        <v/>
      </c>
      <c r="S521">
        <f>IFERROR(--INDEX('Pooled funds'!$D:$D,ROW()),0)</f>
        <v/>
      </c>
      <c r="T521">
        <f>IFERROR(IF(--INDEX('Pooled funds'!$E:$E,ROW())&gt;=1,--INDEX('Pooled funds'!$E:$E,ROW())/100,--INDEX('Pooled funds'!$E:$E,ROW())),0)</f>
        <v/>
      </c>
      <c r="U521">
        <f>IF(ISNUMBER(INDEX('Pooled funds'!$E:$E,ROW())),1,0)</f>
        <v/>
      </c>
      <c r="V521">
        <f>TRIM(SUBSTITUTE(INDEX('Loans'!$A:$A,ROW())&amp;""," "," "))</f>
        <v/>
      </c>
      <c r="W521">
        <f>TRIM(SUBSTITUTE(INDEX('Loans'!$B:$B,ROW())&amp;""," "," "))</f>
        <v/>
      </c>
      <c r="X521">
        <f>TRIM(SUBSTITUTE(INDEX('Loans'!$C:$C,ROW())&amp;""," "," "))</f>
        <v/>
      </c>
      <c r="Y521">
        <f>IFERROR(--INDEX('Loans'!$D:$D,ROW()),0)</f>
        <v/>
      </c>
      <c r="Z521">
        <f>IFERROR(--INDEX('Loans'!$E:$E,ROW()),0)</f>
        <v/>
      </c>
      <c r="AA521">
        <f>IFERROR(--INDEX('Loans'!$F:$F,ROW()),0)</f>
        <v/>
      </c>
      <c r="AB521">
        <f>IFERROR(IF(--INDEX('Loans'!$G:$G,ROW())&gt;=1,--INDEX('Loans'!$G:$G,ROW())/100,--INDEX('Loans'!$G:$G,ROW())),0)</f>
        <v/>
      </c>
      <c r="AC521">
        <f>TRIM(SUBSTITUTE(INDEX('Loans'!$H:$H,ROW())&amp;""," "," "))</f>
        <v/>
      </c>
      <c r="AD521">
        <f>TRIM(SUBSTITUTE(INDEX('Loans'!$I:$I,ROW())&amp;""," "," "))</f>
        <v/>
      </c>
      <c r="AE521">
        <f>IFERROR(--INDEX('Loans'!$J:$J,ROW()),0)</f>
        <v/>
      </c>
      <c r="AF521">
        <f>TRIM(SUBSTITUTE(INDEX('Loans'!$K:$K,ROW())&amp;""," "," "))</f>
        <v/>
      </c>
      <c r="AG521">
        <f>IFERROR(--INDEX('Loans'!$L:$L,ROW()),0)</f>
        <v/>
      </c>
      <c r="AH521">
        <f>IF(ISNUMBER(INDEX('Loans'!$G:$G,ROW())),1,0)</f>
        <v/>
      </c>
    </row>
    <row r="522">
      <c r="A522">
        <f>TRIM(SUBSTITUTE(INDEX('Term investments'!$A:$A,ROW())&amp;""," "," "))</f>
        <v/>
      </c>
      <c r="B522">
        <f>TRIM(SUBSTITUTE(INDEX('Term investments'!$B:$B,ROW())&amp;""," "," "))</f>
        <v/>
      </c>
      <c r="C522">
        <f>TRIM(SUBSTITUTE(INDEX('Term investments'!$C:$C,ROW())&amp;""," "," "))</f>
        <v/>
      </c>
      <c r="D522">
        <f>IFERROR(--INDEX('Term investments'!$D:$D,ROW()),0)</f>
        <v/>
      </c>
      <c r="E522">
        <f>IFERROR(--INDEX('Term investments'!$E:$E,ROW()),0)</f>
        <v/>
      </c>
      <c r="F522">
        <f>IFERROR(--INDEX('Term investments'!$F:$F,ROW()),0)</f>
        <v/>
      </c>
      <c r="G522">
        <f>IFERROR(IF(--INDEX('Term investments'!$G:$G,ROW())&gt;=1,--INDEX('Term investments'!$G:$G,ROW())/100,--INDEX('Term investments'!$G:$G,ROW())),0)</f>
        <v/>
      </c>
      <c r="H522">
        <f>IFERROR(--INDEX('Term investments'!$H:$H,ROW()),0)</f>
        <v/>
      </c>
      <c r="I522">
        <f>IF(ISNUMBER(INDEX('Term investments'!$G:$G,ROW())),1,0)</f>
        <v/>
      </c>
      <c r="J522">
        <f>TRIM(SUBSTITUTE(INDEX('Call accounts and MMFs'!$A:$A,ROW())&amp;""," "," "))</f>
        <v/>
      </c>
      <c r="K522">
        <f>TRIM(SUBSTITUTE(INDEX('Call accounts and MMFs'!$B:$B,ROW())&amp;""," "," "))</f>
        <v/>
      </c>
      <c r="L522">
        <f>TRIM(SUBSTITUTE(INDEX('Call accounts and MMFs'!$C:$C,ROW())&amp;""," "," "))</f>
        <v/>
      </c>
      <c r="M522">
        <f>IFERROR(--INDEX('Call accounts and MMFs'!$D:$D,ROW()),0)</f>
        <v/>
      </c>
      <c r="N522">
        <f>IFERROR(IF(--INDEX('Call accounts and MMFs'!$E:$E,ROW())&gt;=1,--INDEX('Call accounts and MMFs'!$E:$E,ROW())/100,--INDEX('Call accounts and MMFs'!$E:$E,ROW())),0)</f>
        <v/>
      </c>
      <c r="O522">
        <f>IFERROR(--INDEX('Call accounts and MMFs'!$F:$F,ROW()),0)</f>
        <v/>
      </c>
      <c r="P522">
        <f>IF(ISNUMBER(INDEX('Call accounts and MMFs'!$E:$E,ROW())),1,0)</f>
        <v/>
      </c>
      <c r="Q522">
        <f>TRIM(SUBSTITUTE(INDEX('Pooled funds'!$B:$B,ROW())&amp;""," "," "))</f>
        <v/>
      </c>
      <c r="R522">
        <f>IFERROR(--INDEX('Pooled funds'!$C:$C,ROW()),0)</f>
        <v/>
      </c>
      <c r="S522">
        <f>IFERROR(--INDEX('Pooled funds'!$D:$D,ROW()),0)</f>
        <v/>
      </c>
      <c r="T522">
        <f>IFERROR(IF(--INDEX('Pooled funds'!$E:$E,ROW())&gt;=1,--INDEX('Pooled funds'!$E:$E,ROW())/100,--INDEX('Pooled funds'!$E:$E,ROW())),0)</f>
        <v/>
      </c>
      <c r="U522">
        <f>IF(ISNUMBER(INDEX('Pooled funds'!$E:$E,ROW())),1,0)</f>
        <v/>
      </c>
      <c r="V522">
        <f>TRIM(SUBSTITUTE(INDEX('Loans'!$A:$A,ROW())&amp;""," "," "))</f>
        <v/>
      </c>
      <c r="W522">
        <f>TRIM(SUBSTITUTE(INDEX('Loans'!$B:$B,ROW())&amp;""," "," "))</f>
        <v/>
      </c>
      <c r="X522">
        <f>TRIM(SUBSTITUTE(INDEX('Loans'!$C:$C,ROW())&amp;""," "," "))</f>
        <v/>
      </c>
      <c r="Y522">
        <f>IFERROR(--INDEX('Loans'!$D:$D,ROW()),0)</f>
        <v/>
      </c>
      <c r="Z522">
        <f>IFERROR(--INDEX('Loans'!$E:$E,ROW()),0)</f>
        <v/>
      </c>
      <c r="AA522">
        <f>IFERROR(--INDEX('Loans'!$F:$F,ROW()),0)</f>
        <v/>
      </c>
      <c r="AB522">
        <f>IFERROR(IF(--INDEX('Loans'!$G:$G,ROW())&gt;=1,--INDEX('Loans'!$G:$G,ROW())/100,--INDEX('Loans'!$G:$G,ROW())),0)</f>
        <v/>
      </c>
      <c r="AC522">
        <f>TRIM(SUBSTITUTE(INDEX('Loans'!$H:$H,ROW())&amp;""," "," "))</f>
        <v/>
      </c>
      <c r="AD522">
        <f>TRIM(SUBSTITUTE(INDEX('Loans'!$I:$I,ROW())&amp;""," "," "))</f>
        <v/>
      </c>
      <c r="AE522">
        <f>IFERROR(--INDEX('Loans'!$J:$J,ROW()),0)</f>
        <v/>
      </c>
      <c r="AF522">
        <f>TRIM(SUBSTITUTE(INDEX('Loans'!$K:$K,ROW())&amp;""," "," "))</f>
        <v/>
      </c>
      <c r="AG522">
        <f>IFERROR(--INDEX('Loans'!$L:$L,ROW()),0)</f>
        <v/>
      </c>
      <c r="AH522">
        <f>IF(ISNUMBER(INDEX('Loans'!$G:$G,ROW())),1,0)</f>
        <v/>
      </c>
    </row>
    <row r="523">
      <c r="A523">
        <f>TRIM(SUBSTITUTE(INDEX('Term investments'!$A:$A,ROW())&amp;""," "," "))</f>
        <v/>
      </c>
      <c r="B523">
        <f>TRIM(SUBSTITUTE(INDEX('Term investments'!$B:$B,ROW())&amp;""," "," "))</f>
        <v/>
      </c>
      <c r="C523">
        <f>TRIM(SUBSTITUTE(INDEX('Term investments'!$C:$C,ROW())&amp;""," "," "))</f>
        <v/>
      </c>
      <c r="D523">
        <f>IFERROR(--INDEX('Term investments'!$D:$D,ROW()),0)</f>
        <v/>
      </c>
      <c r="E523">
        <f>IFERROR(--INDEX('Term investments'!$E:$E,ROW()),0)</f>
        <v/>
      </c>
      <c r="F523">
        <f>IFERROR(--INDEX('Term investments'!$F:$F,ROW()),0)</f>
        <v/>
      </c>
      <c r="G523">
        <f>IFERROR(IF(--INDEX('Term investments'!$G:$G,ROW())&gt;=1,--INDEX('Term investments'!$G:$G,ROW())/100,--INDEX('Term investments'!$G:$G,ROW())),0)</f>
        <v/>
      </c>
      <c r="H523">
        <f>IFERROR(--INDEX('Term investments'!$H:$H,ROW()),0)</f>
        <v/>
      </c>
      <c r="I523">
        <f>IF(ISNUMBER(INDEX('Term investments'!$G:$G,ROW())),1,0)</f>
        <v/>
      </c>
      <c r="J523">
        <f>TRIM(SUBSTITUTE(INDEX('Call accounts and MMFs'!$A:$A,ROW())&amp;""," "," "))</f>
        <v/>
      </c>
      <c r="K523">
        <f>TRIM(SUBSTITUTE(INDEX('Call accounts and MMFs'!$B:$B,ROW())&amp;""," "," "))</f>
        <v/>
      </c>
      <c r="L523">
        <f>TRIM(SUBSTITUTE(INDEX('Call accounts and MMFs'!$C:$C,ROW())&amp;""," "," "))</f>
        <v/>
      </c>
      <c r="M523">
        <f>IFERROR(--INDEX('Call accounts and MMFs'!$D:$D,ROW()),0)</f>
        <v/>
      </c>
      <c r="N523">
        <f>IFERROR(IF(--INDEX('Call accounts and MMFs'!$E:$E,ROW())&gt;=1,--INDEX('Call accounts and MMFs'!$E:$E,ROW())/100,--INDEX('Call accounts and MMFs'!$E:$E,ROW())),0)</f>
        <v/>
      </c>
      <c r="O523">
        <f>IFERROR(--INDEX('Call accounts and MMFs'!$F:$F,ROW()),0)</f>
        <v/>
      </c>
      <c r="P523">
        <f>IF(ISNUMBER(INDEX('Call accounts and MMFs'!$E:$E,ROW())),1,0)</f>
        <v/>
      </c>
      <c r="Q523">
        <f>TRIM(SUBSTITUTE(INDEX('Pooled funds'!$B:$B,ROW())&amp;""," "," "))</f>
        <v/>
      </c>
      <c r="R523">
        <f>IFERROR(--INDEX('Pooled funds'!$C:$C,ROW()),0)</f>
        <v/>
      </c>
      <c r="S523">
        <f>IFERROR(--INDEX('Pooled funds'!$D:$D,ROW()),0)</f>
        <v/>
      </c>
      <c r="T523">
        <f>IFERROR(IF(--INDEX('Pooled funds'!$E:$E,ROW())&gt;=1,--INDEX('Pooled funds'!$E:$E,ROW())/100,--INDEX('Pooled funds'!$E:$E,ROW())),0)</f>
        <v/>
      </c>
      <c r="U523">
        <f>IF(ISNUMBER(INDEX('Pooled funds'!$E:$E,ROW())),1,0)</f>
        <v/>
      </c>
      <c r="V523">
        <f>TRIM(SUBSTITUTE(INDEX('Loans'!$A:$A,ROW())&amp;""," "," "))</f>
        <v/>
      </c>
      <c r="W523">
        <f>TRIM(SUBSTITUTE(INDEX('Loans'!$B:$B,ROW())&amp;""," "," "))</f>
        <v/>
      </c>
      <c r="X523">
        <f>TRIM(SUBSTITUTE(INDEX('Loans'!$C:$C,ROW())&amp;""," "," "))</f>
        <v/>
      </c>
      <c r="Y523">
        <f>IFERROR(--INDEX('Loans'!$D:$D,ROW()),0)</f>
        <v/>
      </c>
      <c r="Z523">
        <f>IFERROR(--INDEX('Loans'!$E:$E,ROW()),0)</f>
        <v/>
      </c>
      <c r="AA523">
        <f>IFERROR(--INDEX('Loans'!$F:$F,ROW()),0)</f>
        <v/>
      </c>
      <c r="AB523">
        <f>IFERROR(IF(--INDEX('Loans'!$G:$G,ROW())&gt;=1,--INDEX('Loans'!$G:$G,ROW())/100,--INDEX('Loans'!$G:$G,ROW())),0)</f>
        <v/>
      </c>
      <c r="AC523">
        <f>TRIM(SUBSTITUTE(INDEX('Loans'!$H:$H,ROW())&amp;""," "," "))</f>
        <v/>
      </c>
      <c r="AD523">
        <f>TRIM(SUBSTITUTE(INDEX('Loans'!$I:$I,ROW())&amp;""," "," "))</f>
        <v/>
      </c>
      <c r="AE523">
        <f>IFERROR(--INDEX('Loans'!$J:$J,ROW()),0)</f>
        <v/>
      </c>
      <c r="AF523">
        <f>TRIM(SUBSTITUTE(INDEX('Loans'!$K:$K,ROW())&amp;""," "," "))</f>
        <v/>
      </c>
      <c r="AG523">
        <f>IFERROR(--INDEX('Loans'!$L:$L,ROW()),0)</f>
        <v/>
      </c>
      <c r="AH523">
        <f>IF(ISNUMBER(INDEX('Loans'!$G:$G,ROW())),1,0)</f>
        <v/>
      </c>
    </row>
    <row r="524">
      <c r="A524">
        <f>TRIM(SUBSTITUTE(INDEX('Term investments'!$A:$A,ROW())&amp;""," "," "))</f>
        <v/>
      </c>
      <c r="B524">
        <f>TRIM(SUBSTITUTE(INDEX('Term investments'!$B:$B,ROW())&amp;""," "," "))</f>
        <v/>
      </c>
      <c r="C524">
        <f>TRIM(SUBSTITUTE(INDEX('Term investments'!$C:$C,ROW())&amp;""," "," "))</f>
        <v/>
      </c>
      <c r="D524">
        <f>IFERROR(--INDEX('Term investments'!$D:$D,ROW()),0)</f>
        <v/>
      </c>
      <c r="E524">
        <f>IFERROR(--INDEX('Term investments'!$E:$E,ROW()),0)</f>
        <v/>
      </c>
      <c r="F524">
        <f>IFERROR(--INDEX('Term investments'!$F:$F,ROW()),0)</f>
        <v/>
      </c>
      <c r="G524">
        <f>IFERROR(IF(--INDEX('Term investments'!$G:$G,ROW())&gt;=1,--INDEX('Term investments'!$G:$G,ROW())/100,--INDEX('Term investments'!$G:$G,ROW())),0)</f>
        <v/>
      </c>
      <c r="H524">
        <f>IFERROR(--INDEX('Term investments'!$H:$H,ROW()),0)</f>
        <v/>
      </c>
      <c r="I524">
        <f>IF(ISNUMBER(INDEX('Term investments'!$G:$G,ROW())),1,0)</f>
        <v/>
      </c>
      <c r="J524">
        <f>TRIM(SUBSTITUTE(INDEX('Call accounts and MMFs'!$A:$A,ROW())&amp;""," "," "))</f>
        <v/>
      </c>
      <c r="K524">
        <f>TRIM(SUBSTITUTE(INDEX('Call accounts and MMFs'!$B:$B,ROW())&amp;""," "," "))</f>
        <v/>
      </c>
      <c r="L524">
        <f>TRIM(SUBSTITUTE(INDEX('Call accounts and MMFs'!$C:$C,ROW())&amp;""," "," "))</f>
        <v/>
      </c>
      <c r="M524">
        <f>IFERROR(--INDEX('Call accounts and MMFs'!$D:$D,ROW()),0)</f>
        <v/>
      </c>
      <c r="N524">
        <f>IFERROR(IF(--INDEX('Call accounts and MMFs'!$E:$E,ROW())&gt;=1,--INDEX('Call accounts and MMFs'!$E:$E,ROW())/100,--INDEX('Call accounts and MMFs'!$E:$E,ROW())),0)</f>
        <v/>
      </c>
      <c r="O524">
        <f>IFERROR(--INDEX('Call accounts and MMFs'!$F:$F,ROW()),0)</f>
        <v/>
      </c>
      <c r="P524">
        <f>IF(ISNUMBER(INDEX('Call accounts and MMFs'!$E:$E,ROW())),1,0)</f>
        <v/>
      </c>
      <c r="Q524">
        <f>TRIM(SUBSTITUTE(INDEX('Pooled funds'!$B:$B,ROW())&amp;""," "," "))</f>
        <v/>
      </c>
      <c r="R524">
        <f>IFERROR(--INDEX('Pooled funds'!$C:$C,ROW()),0)</f>
        <v/>
      </c>
      <c r="S524">
        <f>IFERROR(--INDEX('Pooled funds'!$D:$D,ROW()),0)</f>
        <v/>
      </c>
      <c r="T524">
        <f>IFERROR(IF(--INDEX('Pooled funds'!$E:$E,ROW())&gt;=1,--INDEX('Pooled funds'!$E:$E,ROW())/100,--INDEX('Pooled funds'!$E:$E,ROW())),0)</f>
        <v/>
      </c>
      <c r="U524">
        <f>IF(ISNUMBER(INDEX('Pooled funds'!$E:$E,ROW())),1,0)</f>
        <v/>
      </c>
      <c r="V524">
        <f>TRIM(SUBSTITUTE(INDEX('Loans'!$A:$A,ROW())&amp;""," "," "))</f>
        <v/>
      </c>
      <c r="W524">
        <f>TRIM(SUBSTITUTE(INDEX('Loans'!$B:$B,ROW())&amp;""," "," "))</f>
        <v/>
      </c>
      <c r="X524">
        <f>TRIM(SUBSTITUTE(INDEX('Loans'!$C:$C,ROW())&amp;""," "," "))</f>
        <v/>
      </c>
      <c r="Y524">
        <f>IFERROR(--INDEX('Loans'!$D:$D,ROW()),0)</f>
        <v/>
      </c>
      <c r="Z524">
        <f>IFERROR(--INDEX('Loans'!$E:$E,ROW()),0)</f>
        <v/>
      </c>
      <c r="AA524">
        <f>IFERROR(--INDEX('Loans'!$F:$F,ROW()),0)</f>
        <v/>
      </c>
      <c r="AB524">
        <f>IFERROR(IF(--INDEX('Loans'!$G:$G,ROW())&gt;=1,--INDEX('Loans'!$G:$G,ROW())/100,--INDEX('Loans'!$G:$G,ROW())),0)</f>
        <v/>
      </c>
      <c r="AC524">
        <f>TRIM(SUBSTITUTE(INDEX('Loans'!$H:$H,ROW())&amp;""," "," "))</f>
        <v/>
      </c>
      <c r="AD524">
        <f>TRIM(SUBSTITUTE(INDEX('Loans'!$I:$I,ROW())&amp;""," "," "))</f>
        <v/>
      </c>
      <c r="AE524">
        <f>IFERROR(--INDEX('Loans'!$J:$J,ROW()),0)</f>
        <v/>
      </c>
      <c r="AF524">
        <f>TRIM(SUBSTITUTE(INDEX('Loans'!$K:$K,ROW())&amp;""," "," "))</f>
        <v/>
      </c>
      <c r="AG524">
        <f>IFERROR(--INDEX('Loans'!$L:$L,ROW()),0)</f>
        <v/>
      </c>
      <c r="AH524">
        <f>IF(ISNUMBER(INDEX('Loans'!$G:$G,ROW())),1,0)</f>
        <v/>
      </c>
    </row>
    <row r="525">
      <c r="A525">
        <f>TRIM(SUBSTITUTE(INDEX('Term investments'!$A:$A,ROW())&amp;""," "," "))</f>
        <v/>
      </c>
      <c r="B525">
        <f>TRIM(SUBSTITUTE(INDEX('Term investments'!$B:$B,ROW())&amp;""," "," "))</f>
        <v/>
      </c>
      <c r="C525">
        <f>TRIM(SUBSTITUTE(INDEX('Term investments'!$C:$C,ROW())&amp;""," "," "))</f>
        <v/>
      </c>
      <c r="D525">
        <f>IFERROR(--INDEX('Term investments'!$D:$D,ROW()),0)</f>
        <v/>
      </c>
      <c r="E525">
        <f>IFERROR(--INDEX('Term investments'!$E:$E,ROW()),0)</f>
        <v/>
      </c>
      <c r="F525">
        <f>IFERROR(--INDEX('Term investments'!$F:$F,ROW()),0)</f>
        <v/>
      </c>
      <c r="G525">
        <f>IFERROR(IF(--INDEX('Term investments'!$G:$G,ROW())&gt;=1,--INDEX('Term investments'!$G:$G,ROW())/100,--INDEX('Term investments'!$G:$G,ROW())),0)</f>
        <v/>
      </c>
      <c r="H525">
        <f>IFERROR(--INDEX('Term investments'!$H:$H,ROW()),0)</f>
        <v/>
      </c>
      <c r="I525">
        <f>IF(ISNUMBER(INDEX('Term investments'!$G:$G,ROW())),1,0)</f>
        <v/>
      </c>
      <c r="J525">
        <f>TRIM(SUBSTITUTE(INDEX('Call accounts and MMFs'!$A:$A,ROW())&amp;""," "," "))</f>
        <v/>
      </c>
      <c r="K525">
        <f>TRIM(SUBSTITUTE(INDEX('Call accounts and MMFs'!$B:$B,ROW())&amp;""," "," "))</f>
        <v/>
      </c>
      <c r="L525">
        <f>TRIM(SUBSTITUTE(INDEX('Call accounts and MMFs'!$C:$C,ROW())&amp;""," "," "))</f>
        <v/>
      </c>
      <c r="M525">
        <f>IFERROR(--INDEX('Call accounts and MMFs'!$D:$D,ROW()),0)</f>
        <v/>
      </c>
      <c r="N525">
        <f>IFERROR(IF(--INDEX('Call accounts and MMFs'!$E:$E,ROW())&gt;=1,--INDEX('Call accounts and MMFs'!$E:$E,ROW())/100,--INDEX('Call accounts and MMFs'!$E:$E,ROW())),0)</f>
        <v/>
      </c>
      <c r="O525">
        <f>IFERROR(--INDEX('Call accounts and MMFs'!$F:$F,ROW()),0)</f>
        <v/>
      </c>
      <c r="P525">
        <f>IF(ISNUMBER(INDEX('Call accounts and MMFs'!$E:$E,ROW())),1,0)</f>
        <v/>
      </c>
      <c r="Q525">
        <f>TRIM(SUBSTITUTE(INDEX('Pooled funds'!$B:$B,ROW())&amp;""," "," "))</f>
        <v/>
      </c>
      <c r="R525">
        <f>IFERROR(--INDEX('Pooled funds'!$C:$C,ROW()),0)</f>
        <v/>
      </c>
      <c r="S525">
        <f>IFERROR(--INDEX('Pooled funds'!$D:$D,ROW()),0)</f>
        <v/>
      </c>
      <c r="T525">
        <f>IFERROR(IF(--INDEX('Pooled funds'!$E:$E,ROW())&gt;=1,--INDEX('Pooled funds'!$E:$E,ROW())/100,--INDEX('Pooled funds'!$E:$E,ROW())),0)</f>
        <v/>
      </c>
      <c r="U525">
        <f>IF(ISNUMBER(INDEX('Pooled funds'!$E:$E,ROW())),1,0)</f>
        <v/>
      </c>
      <c r="V525">
        <f>TRIM(SUBSTITUTE(INDEX('Loans'!$A:$A,ROW())&amp;""," "," "))</f>
        <v/>
      </c>
      <c r="W525">
        <f>TRIM(SUBSTITUTE(INDEX('Loans'!$B:$B,ROW())&amp;""," "," "))</f>
        <v/>
      </c>
      <c r="X525">
        <f>TRIM(SUBSTITUTE(INDEX('Loans'!$C:$C,ROW())&amp;""," "," "))</f>
        <v/>
      </c>
      <c r="Y525">
        <f>IFERROR(--INDEX('Loans'!$D:$D,ROW()),0)</f>
        <v/>
      </c>
      <c r="Z525">
        <f>IFERROR(--INDEX('Loans'!$E:$E,ROW()),0)</f>
        <v/>
      </c>
      <c r="AA525">
        <f>IFERROR(--INDEX('Loans'!$F:$F,ROW()),0)</f>
        <v/>
      </c>
      <c r="AB525">
        <f>IFERROR(IF(--INDEX('Loans'!$G:$G,ROW())&gt;=1,--INDEX('Loans'!$G:$G,ROW())/100,--INDEX('Loans'!$G:$G,ROW())),0)</f>
        <v/>
      </c>
      <c r="AC525">
        <f>TRIM(SUBSTITUTE(INDEX('Loans'!$H:$H,ROW())&amp;""," "," "))</f>
        <v/>
      </c>
      <c r="AD525">
        <f>TRIM(SUBSTITUTE(INDEX('Loans'!$I:$I,ROW())&amp;""," "," "))</f>
        <v/>
      </c>
      <c r="AE525">
        <f>IFERROR(--INDEX('Loans'!$J:$J,ROW()),0)</f>
        <v/>
      </c>
      <c r="AF525">
        <f>TRIM(SUBSTITUTE(INDEX('Loans'!$K:$K,ROW())&amp;""," "," "))</f>
        <v/>
      </c>
      <c r="AG525">
        <f>IFERROR(--INDEX('Loans'!$L:$L,ROW()),0)</f>
        <v/>
      </c>
      <c r="AH525">
        <f>IF(ISNUMBER(INDEX('Loans'!$G:$G,ROW())),1,0)</f>
        <v/>
      </c>
    </row>
    <row r="526">
      <c r="A526">
        <f>TRIM(SUBSTITUTE(INDEX('Term investments'!$A:$A,ROW())&amp;""," "," "))</f>
        <v/>
      </c>
      <c r="B526">
        <f>TRIM(SUBSTITUTE(INDEX('Term investments'!$B:$B,ROW())&amp;""," "," "))</f>
        <v/>
      </c>
      <c r="C526">
        <f>TRIM(SUBSTITUTE(INDEX('Term investments'!$C:$C,ROW())&amp;""," "," "))</f>
        <v/>
      </c>
      <c r="D526">
        <f>IFERROR(--INDEX('Term investments'!$D:$D,ROW()),0)</f>
        <v/>
      </c>
      <c r="E526">
        <f>IFERROR(--INDEX('Term investments'!$E:$E,ROW()),0)</f>
        <v/>
      </c>
      <c r="F526">
        <f>IFERROR(--INDEX('Term investments'!$F:$F,ROW()),0)</f>
        <v/>
      </c>
      <c r="G526">
        <f>IFERROR(IF(--INDEX('Term investments'!$G:$G,ROW())&gt;=1,--INDEX('Term investments'!$G:$G,ROW())/100,--INDEX('Term investments'!$G:$G,ROW())),0)</f>
        <v/>
      </c>
      <c r="H526">
        <f>IFERROR(--INDEX('Term investments'!$H:$H,ROW()),0)</f>
        <v/>
      </c>
      <c r="I526">
        <f>IF(ISNUMBER(INDEX('Term investments'!$G:$G,ROW())),1,0)</f>
        <v/>
      </c>
      <c r="J526">
        <f>TRIM(SUBSTITUTE(INDEX('Call accounts and MMFs'!$A:$A,ROW())&amp;""," "," "))</f>
        <v/>
      </c>
      <c r="K526">
        <f>TRIM(SUBSTITUTE(INDEX('Call accounts and MMFs'!$B:$B,ROW())&amp;""," "," "))</f>
        <v/>
      </c>
      <c r="L526">
        <f>TRIM(SUBSTITUTE(INDEX('Call accounts and MMFs'!$C:$C,ROW())&amp;""," "," "))</f>
        <v/>
      </c>
      <c r="M526">
        <f>IFERROR(--INDEX('Call accounts and MMFs'!$D:$D,ROW()),0)</f>
        <v/>
      </c>
      <c r="N526">
        <f>IFERROR(IF(--INDEX('Call accounts and MMFs'!$E:$E,ROW())&gt;=1,--INDEX('Call accounts and MMFs'!$E:$E,ROW())/100,--INDEX('Call accounts and MMFs'!$E:$E,ROW())),0)</f>
        <v/>
      </c>
      <c r="O526">
        <f>IFERROR(--INDEX('Call accounts and MMFs'!$F:$F,ROW()),0)</f>
        <v/>
      </c>
      <c r="P526">
        <f>IF(ISNUMBER(INDEX('Call accounts and MMFs'!$E:$E,ROW())),1,0)</f>
        <v/>
      </c>
      <c r="Q526">
        <f>TRIM(SUBSTITUTE(INDEX('Pooled funds'!$B:$B,ROW())&amp;""," "," "))</f>
        <v/>
      </c>
      <c r="R526">
        <f>IFERROR(--INDEX('Pooled funds'!$C:$C,ROW()),0)</f>
        <v/>
      </c>
      <c r="S526">
        <f>IFERROR(--INDEX('Pooled funds'!$D:$D,ROW()),0)</f>
        <v/>
      </c>
      <c r="T526">
        <f>IFERROR(IF(--INDEX('Pooled funds'!$E:$E,ROW())&gt;=1,--INDEX('Pooled funds'!$E:$E,ROW())/100,--INDEX('Pooled funds'!$E:$E,ROW())),0)</f>
        <v/>
      </c>
      <c r="U526">
        <f>IF(ISNUMBER(INDEX('Pooled funds'!$E:$E,ROW())),1,0)</f>
        <v/>
      </c>
      <c r="V526">
        <f>TRIM(SUBSTITUTE(INDEX('Loans'!$A:$A,ROW())&amp;""," "," "))</f>
        <v/>
      </c>
      <c r="W526">
        <f>TRIM(SUBSTITUTE(INDEX('Loans'!$B:$B,ROW())&amp;""," "," "))</f>
        <v/>
      </c>
      <c r="X526">
        <f>TRIM(SUBSTITUTE(INDEX('Loans'!$C:$C,ROW())&amp;""," "," "))</f>
        <v/>
      </c>
      <c r="Y526">
        <f>IFERROR(--INDEX('Loans'!$D:$D,ROW()),0)</f>
        <v/>
      </c>
      <c r="Z526">
        <f>IFERROR(--INDEX('Loans'!$E:$E,ROW()),0)</f>
        <v/>
      </c>
      <c r="AA526">
        <f>IFERROR(--INDEX('Loans'!$F:$F,ROW()),0)</f>
        <v/>
      </c>
      <c r="AB526">
        <f>IFERROR(IF(--INDEX('Loans'!$G:$G,ROW())&gt;=1,--INDEX('Loans'!$G:$G,ROW())/100,--INDEX('Loans'!$G:$G,ROW())),0)</f>
        <v/>
      </c>
      <c r="AC526">
        <f>TRIM(SUBSTITUTE(INDEX('Loans'!$H:$H,ROW())&amp;""," "," "))</f>
        <v/>
      </c>
      <c r="AD526">
        <f>TRIM(SUBSTITUTE(INDEX('Loans'!$I:$I,ROW())&amp;""," "," "))</f>
        <v/>
      </c>
      <c r="AE526">
        <f>IFERROR(--INDEX('Loans'!$J:$J,ROW()),0)</f>
        <v/>
      </c>
      <c r="AF526">
        <f>TRIM(SUBSTITUTE(INDEX('Loans'!$K:$K,ROW())&amp;""," "," "))</f>
        <v/>
      </c>
      <c r="AG526">
        <f>IFERROR(--INDEX('Loans'!$L:$L,ROW()),0)</f>
        <v/>
      </c>
      <c r="AH526">
        <f>IF(ISNUMBER(INDEX('Loans'!$G:$G,ROW())),1,0)</f>
        <v/>
      </c>
    </row>
    <row r="527">
      <c r="A527">
        <f>TRIM(SUBSTITUTE(INDEX('Term investments'!$A:$A,ROW())&amp;""," "," "))</f>
        <v/>
      </c>
      <c r="B527">
        <f>TRIM(SUBSTITUTE(INDEX('Term investments'!$B:$B,ROW())&amp;""," "," "))</f>
        <v/>
      </c>
      <c r="C527">
        <f>TRIM(SUBSTITUTE(INDEX('Term investments'!$C:$C,ROW())&amp;""," "," "))</f>
        <v/>
      </c>
      <c r="D527">
        <f>IFERROR(--INDEX('Term investments'!$D:$D,ROW()),0)</f>
        <v/>
      </c>
      <c r="E527">
        <f>IFERROR(--INDEX('Term investments'!$E:$E,ROW()),0)</f>
        <v/>
      </c>
      <c r="F527">
        <f>IFERROR(--INDEX('Term investments'!$F:$F,ROW()),0)</f>
        <v/>
      </c>
      <c r="G527">
        <f>IFERROR(IF(--INDEX('Term investments'!$G:$G,ROW())&gt;=1,--INDEX('Term investments'!$G:$G,ROW())/100,--INDEX('Term investments'!$G:$G,ROW())),0)</f>
        <v/>
      </c>
      <c r="H527">
        <f>IFERROR(--INDEX('Term investments'!$H:$H,ROW()),0)</f>
        <v/>
      </c>
      <c r="I527">
        <f>IF(ISNUMBER(INDEX('Term investments'!$G:$G,ROW())),1,0)</f>
        <v/>
      </c>
      <c r="J527">
        <f>TRIM(SUBSTITUTE(INDEX('Call accounts and MMFs'!$A:$A,ROW())&amp;""," "," "))</f>
        <v/>
      </c>
      <c r="K527">
        <f>TRIM(SUBSTITUTE(INDEX('Call accounts and MMFs'!$B:$B,ROW())&amp;""," "," "))</f>
        <v/>
      </c>
      <c r="L527">
        <f>TRIM(SUBSTITUTE(INDEX('Call accounts and MMFs'!$C:$C,ROW())&amp;""," "," "))</f>
        <v/>
      </c>
      <c r="M527">
        <f>IFERROR(--INDEX('Call accounts and MMFs'!$D:$D,ROW()),0)</f>
        <v/>
      </c>
      <c r="N527">
        <f>IFERROR(IF(--INDEX('Call accounts and MMFs'!$E:$E,ROW())&gt;=1,--INDEX('Call accounts and MMFs'!$E:$E,ROW())/100,--INDEX('Call accounts and MMFs'!$E:$E,ROW())),0)</f>
        <v/>
      </c>
      <c r="O527">
        <f>IFERROR(--INDEX('Call accounts and MMFs'!$F:$F,ROW()),0)</f>
        <v/>
      </c>
      <c r="P527">
        <f>IF(ISNUMBER(INDEX('Call accounts and MMFs'!$E:$E,ROW())),1,0)</f>
        <v/>
      </c>
      <c r="Q527">
        <f>TRIM(SUBSTITUTE(INDEX('Pooled funds'!$B:$B,ROW())&amp;""," "," "))</f>
        <v/>
      </c>
      <c r="R527">
        <f>IFERROR(--INDEX('Pooled funds'!$C:$C,ROW()),0)</f>
        <v/>
      </c>
      <c r="S527">
        <f>IFERROR(--INDEX('Pooled funds'!$D:$D,ROW()),0)</f>
        <v/>
      </c>
      <c r="T527">
        <f>IFERROR(IF(--INDEX('Pooled funds'!$E:$E,ROW())&gt;=1,--INDEX('Pooled funds'!$E:$E,ROW())/100,--INDEX('Pooled funds'!$E:$E,ROW())),0)</f>
        <v/>
      </c>
      <c r="U527">
        <f>IF(ISNUMBER(INDEX('Pooled funds'!$E:$E,ROW())),1,0)</f>
        <v/>
      </c>
      <c r="V527">
        <f>TRIM(SUBSTITUTE(INDEX('Loans'!$A:$A,ROW())&amp;""," "," "))</f>
        <v/>
      </c>
      <c r="W527">
        <f>TRIM(SUBSTITUTE(INDEX('Loans'!$B:$B,ROW())&amp;""," "," "))</f>
        <v/>
      </c>
      <c r="X527">
        <f>TRIM(SUBSTITUTE(INDEX('Loans'!$C:$C,ROW())&amp;""," "," "))</f>
        <v/>
      </c>
      <c r="Y527">
        <f>IFERROR(--INDEX('Loans'!$D:$D,ROW()),0)</f>
        <v/>
      </c>
      <c r="Z527">
        <f>IFERROR(--INDEX('Loans'!$E:$E,ROW()),0)</f>
        <v/>
      </c>
      <c r="AA527">
        <f>IFERROR(--INDEX('Loans'!$F:$F,ROW()),0)</f>
        <v/>
      </c>
      <c r="AB527">
        <f>IFERROR(IF(--INDEX('Loans'!$G:$G,ROW())&gt;=1,--INDEX('Loans'!$G:$G,ROW())/100,--INDEX('Loans'!$G:$G,ROW())),0)</f>
        <v/>
      </c>
      <c r="AC527">
        <f>TRIM(SUBSTITUTE(INDEX('Loans'!$H:$H,ROW())&amp;""," "," "))</f>
        <v/>
      </c>
      <c r="AD527">
        <f>TRIM(SUBSTITUTE(INDEX('Loans'!$I:$I,ROW())&amp;""," "," "))</f>
        <v/>
      </c>
      <c r="AE527">
        <f>IFERROR(--INDEX('Loans'!$J:$J,ROW()),0)</f>
        <v/>
      </c>
      <c r="AF527">
        <f>TRIM(SUBSTITUTE(INDEX('Loans'!$K:$K,ROW())&amp;""," "," "))</f>
        <v/>
      </c>
      <c r="AG527">
        <f>IFERROR(--INDEX('Loans'!$L:$L,ROW()),0)</f>
        <v/>
      </c>
      <c r="AH527">
        <f>IF(ISNUMBER(INDEX('Loans'!$G:$G,ROW())),1,0)</f>
        <v/>
      </c>
    </row>
    <row r="528">
      <c r="A528">
        <f>TRIM(SUBSTITUTE(INDEX('Term investments'!$A:$A,ROW())&amp;""," "," "))</f>
        <v/>
      </c>
      <c r="B528">
        <f>TRIM(SUBSTITUTE(INDEX('Term investments'!$B:$B,ROW())&amp;""," "," "))</f>
        <v/>
      </c>
      <c r="C528">
        <f>TRIM(SUBSTITUTE(INDEX('Term investments'!$C:$C,ROW())&amp;""," "," "))</f>
        <v/>
      </c>
      <c r="D528">
        <f>IFERROR(--INDEX('Term investments'!$D:$D,ROW()),0)</f>
        <v/>
      </c>
      <c r="E528">
        <f>IFERROR(--INDEX('Term investments'!$E:$E,ROW()),0)</f>
        <v/>
      </c>
      <c r="F528">
        <f>IFERROR(--INDEX('Term investments'!$F:$F,ROW()),0)</f>
        <v/>
      </c>
      <c r="G528">
        <f>IFERROR(IF(--INDEX('Term investments'!$G:$G,ROW())&gt;=1,--INDEX('Term investments'!$G:$G,ROW())/100,--INDEX('Term investments'!$G:$G,ROW())),0)</f>
        <v/>
      </c>
      <c r="H528">
        <f>IFERROR(--INDEX('Term investments'!$H:$H,ROW()),0)</f>
        <v/>
      </c>
      <c r="I528">
        <f>IF(ISNUMBER(INDEX('Term investments'!$G:$G,ROW())),1,0)</f>
        <v/>
      </c>
      <c r="J528">
        <f>TRIM(SUBSTITUTE(INDEX('Call accounts and MMFs'!$A:$A,ROW())&amp;""," "," "))</f>
        <v/>
      </c>
      <c r="K528">
        <f>TRIM(SUBSTITUTE(INDEX('Call accounts and MMFs'!$B:$B,ROW())&amp;""," "," "))</f>
        <v/>
      </c>
      <c r="L528">
        <f>TRIM(SUBSTITUTE(INDEX('Call accounts and MMFs'!$C:$C,ROW())&amp;""," "," "))</f>
        <v/>
      </c>
      <c r="M528">
        <f>IFERROR(--INDEX('Call accounts and MMFs'!$D:$D,ROW()),0)</f>
        <v/>
      </c>
      <c r="N528">
        <f>IFERROR(IF(--INDEX('Call accounts and MMFs'!$E:$E,ROW())&gt;=1,--INDEX('Call accounts and MMFs'!$E:$E,ROW())/100,--INDEX('Call accounts and MMFs'!$E:$E,ROW())),0)</f>
        <v/>
      </c>
      <c r="O528">
        <f>IFERROR(--INDEX('Call accounts and MMFs'!$F:$F,ROW()),0)</f>
        <v/>
      </c>
      <c r="P528">
        <f>IF(ISNUMBER(INDEX('Call accounts and MMFs'!$E:$E,ROW())),1,0)</f>
        <v/>
      </c>
      <c r="Q528">
        <f>TRIM(SUBSTITUTE(INDEX('Pooled funds'!$B:$B,ROW())&amp;""," "," "))</f>
        <v/>
      </c>
      <c r="R528">
        <f>IFERROR(--INDEX('Pooled funds'!$C:$C,ROW()),0)</f>
        <v/>
      </c>
      <c r="S528">
        <f>IFERROR(--INDEX('Pooled funds'!$D:$D,ROW()),0)</f>
        <v/>
      </c>
      <c r="T528">
        <f>IFERROR(IF(--INDEX('Pooled funds'!$E:$E,ROW())&gt;=1,--INDEX('Pooled funds'!$E:$E,ROW())/100,--INDEX('Pooled funds'!$E:$E,ROW())),0)</f>
        <v/>
      </c>
      <c r="U528">
        <f>IF(ISNUMBER(INDEX('Pooled funds'!$E:$E,ROW())),1,0)</f>
        <v/>
      </c>
      <c r="V528">
        <f>TRIM(SUBSTITUTE(INDEX('Loans'!$A:$A,ROW())&amp;""," "," "))</f>
        <v/>
      </c>
      <c r="W528">
        <f>TRIM(SUBSTITUTE(INDEX('Loans'!$B:$B,ROW())&amp;""," "," "))</f>
        <v/>
      </c>
      <c r="X528">
        <f>TRIM(SUBSTITUTE(INDEX('Loans'!$C:$C,ROW())&amp;""," "," "))</f>
        <v/>
      </c>
      <c r="Y528">
        <f>IFERROR(--INDEX('Loans'!$D:$D,ROW()),0)</f>
        <v/>
      </c>
      <c r="Z528">
        <f>IFERROR(--INDEX('Loans'!$E:$E,ROW()),0)</f>
        <v/>
      </c>
      <c r="AA528">
        <f>IFERROR(--INDEX('Loans'!$F:$F,ROW()),0)</f>
        <v/>
      </c>
      <c r="AB528">
        <f>IFERROR(IF(--INDEX('Loans'!$G:$G,ROW())&gt;=1,--INDEX('Loans'!$G:$G,ROW())/100,--INDEX('Loans'!$G:$G,ROW())),0)</f>
        <v/>
      </c>
      <c r="AC528">
        <f>TRIM(SUBSTITUTE(INDEX('Loans'!$H:$H,ROW())&amp;""," "," "))</f>
        <v/>
      </c>
      <c r="AD528">
        <f>TRIM(SUBSTITUTE(INDEX('Loans'!$I:$I,ROW())&amp;""," "," "))</f>
        <v/>
      </c>
      <c r="AE528">
        <f>IFERROR(--INDEX('Loans'!$J:$J,ROW()),0)</f>
        <v/>
      </c>
      <c r="AF528">
        <f>TRIM(SUBSTITUTE(INDEX('Loans'!$K:$K,ROW())&amp;""," "," "))</f>
        <v/>
      </c>
      <c r="AG528">
        <f>IFERROR(--INDEX('Loans'!$L:$L,ROW()),0)</f>
        <v/>
      </c>
      <c r="AH528">
        <f>IF(ISNUMBER(INDEX('Loans'!$G:$G,ROW())),1,0)</f>
        <v/>
      </c>
    </row>
    <row r="529">
      <c r="A529">
        <f>TRIM(SUBSTITUTE(INDEX('Term investments'!$A:$A,ROW())&amp;""," "," "))</f>
        <v/>
      </c>
      <c r="B529">
        <f>TRIM(SUBSTITUTE(INDEX('Term investments'!$B:$B,ROW())&amp;""," "," "))</f>
        <v/>
      </c>
      <c r="C529">
        <f>TRIM(SUBSTITUTE(INDEX('Term investments'!$C:$C,ROW())&amp;""," "," "))</f>
        <v/>
      </c>
      <c r="D529">
        <f>IFERROR(--INDEX('Term investments'!$D:$D,ROW()),0)</f>
        <v/>
      </c>
      <c r="E529">
        <f>IFERROR(--INDEX('Term investments'!$E:$E,ROW()),0)</f>
        <v/>
      </c>
      <c r="F529">
        <f>IFERROR(--INDEX('Term investments'!$F:$F,ROW()),0)</f>
        <v/>
      </c>
      <c r="G529">
        <f>IFERROR(IF(--INDEX('Term investments'!$G:$G,ROW())&gt;=1,--INDEX('Term investments'!$G:$G,ROW())/100,--INDEX('Term investments'!$G:$G,ROW())),0)</f>
        <v/>
      </c>
      <c r="H529">
        <f>IFERROR(--INDEX('Term investments'!$H:$H,ROW()),0)</f>
        <v/>
      </c>
      <c r="I529">
        <f>IF(ISNUMBER(INDEX('Term investments'!$G:$G,ROW())),1,0)</f>
        <v/>
      </c>
      <c r="J529">
        <f>TRIM(SUBSTITUTE(INDEX('Call accounts and MMFs'!$A:$A,ROW())&amp;""," "," "))</f>
        <v/>
      </c>
      <c r="K529">
        <f>TRIM(SUBSTITUTE(INDEX('Call accounts and MMFs'!$B:$B,ROW())&amp;""," "," "))</f>
        <v/>
      </c>
      <c r="L529">
        <f>TRIM(SUBSTITUTE(INDEX('Call accounts and MMFs'!$C:$C,ROW())&amp;""," "," "))</f>
        <v/>
      </c>
      <c r="M529">
        <f>IFERROR(--INDEX('Call accounts and MMFs'!$D:$D,ROW()),0)</f>
        <v/>
      </c>
      <c r="N529">
        <f>IFERROR(IF(--INDEX('Call accounts and MMFs'!$E:$E,ROW())&gt;=1,--INDEX('Call accounts and MMFs'!$E:$E,ROW())/100,--INDEX('Call accounts and MMFs'!$E:$E,ROW())),0)</f>
        <v/>
      </c>
      <c r="O529">
        <f>IFERROR(--INDEX('Call accounts and MMFs'!$F:$F,ROW()),0)</f>
        <v/>
      </c>
      <c r="P529">
        <f>IF(ISNUMBER(INDEX('Call accounts and MMFs'!$E:$E,ROW())),1,0)</f>
        <v/>
      </c>
      <c r="Q529">
        <f>TRIM(SUBSTITUTE(INDEX('Pooled funds'!$B:$B,ROW())&amp;""," "," "))</f>
        <v/>
      </c>
      <c r="R529">
        <f>IFERROR(--INDEX('Pooled funds'!$C:$C,ROW()),0)</f>
        <v/>
      </c>
      <c r="S529">
        <f>IFERROR(--INDEX('Pooled funds'!$D:$D,ROW()),0)</f>
        <v/>
      </c>
      <c r="T529">
        <f>IFERROR(IF(--INDEX('Pooled funds'!$E:$E,ROW())&gt;=1,--INDEX('Pooled funds'!$E:$E,ROW())/100,--INDEX('Pooled funds'!$E:$E,ROW())),0)</f>
        <v/>
      </c>
      <c r="U529">
        <f>IF(ISNUMBER(INDEX('Pooled funds'!$E:$E,ROW())),1,0)</f>
        <v/>
      </c>
      <c r="V529">
        <f>TRIM(SUBSTITUTE(INDEX('Loans'!$A:$A,ROW())&amp;""," "," "))</f>
        <v/>
      </c>
      <c r="W529">
        <f>TRIM(SUBSTITUTE(INDEX('Loans'!$B:$B,ROW())&amp;""," "," "))</f>
        <v/>
      </c>
      <c r="X529">
        <f>TRIM(SUBSTITUTE(INDEX('Loans'!$C:$C,ROW())&amp;""," "," "))</f>
        <v/>
      </c>
      <c r="Y529">
        <f>IFERROR(--INDEX('Loans'!$D:$D,ROW()),0)</f>
        <v/>
      </c>
      <c r="Z529">
        <f>IFERROR(--INDEX('Loans'!$E:$E,ROW()),0)</f>
        <v/>
      </c>
      <c r="AA529">
        <f>IFERROR(--INDEX('Loans'!$F:$F,ROW()),0)</f>
        <v/>
      </c>
      <c r="AB529">
        <f>IFERROR(IF(--INDEX('Loans'!$G:$G,ROW())&gt;=1,--INDEX('Loans'!$G:$G,ROW())/100,--INDEX('Loans'!$G:$G,ROW())),0)</f>
        <v/>
      </c>
      <c r="AC529">
        <f>TRIM(SUBSTITUTE(INDEX('Loans'!$H:$H,ROW())&amp;""," "," "))</f>
        <v/>
      </c>
      <c r="AD529">
        <f>TRIM(SUBSTITUTE(INDEX('Loans'!$I:$I,ROW())&amp;""," "," "))</f>
        <v/>
      </c>
      <c r="AE529">
        <f>IFERROR(--INDEX('Loans'!$J:$J,ROW()),0)</f>
        <v/>
      </c>
      <c r="AF529">
        <f>TRIM(SUBSTITUTE(INDEX('Loans'!$K:$K,ROW())&amp;""," "," "))</f>
        <v/>
      </c>
      <c r="AG529">
        <f>IFERROR(--INDEX('Loans'!$L:$L,ROW()),0)</f>
        <v/>
      </c>
      <c r="AH529">
        <f>IF(ISNUMBER(INDEX('Loans'!$G:$G,ROW())),1,0)</f>
        <v/>
      </c>
    </row>
    <row r="530">
      <c r="A530">
        <f>TRIM(SUBSTITUTE(INDEX('Term investments'!$A:$A,ROW())&amp;""," "," "))</f>
        <v/>
      </c>
      <c r="B530">
        <f>TRIM(SUBSTITUTE(INDEX('Term investments'!$B:$B,ROW())&amp;""," "," "))</f>
        <v/>
      </c>
      <c r="C530">
        <f>TRIM(SUBSTITUTE(INDEX('Term investments'!$C:$C,ROW())&amp;""," "," "))</f>
        <v/>
      </c>
      <c r="D530">
        <f>IFERROR(--INDEX('Term investments'!$D:$D,ROW()),0)</f>
        <v/>
      </c>
      <c r="E530">
        <f>IFERROR(--INDEX('Term investments'!$E:$E,ROW()),0)</f>
        <v/>
      </c>
      <c r="F530">
        <f>IFERROR(--INDEX('Term investments'!$F:$F,ROW()),0)</f>
        <v/>
      </c>
      <c r="G530">
        <f>IFERROR(IF(--INDEX('Term investments'!$G:$G,ROW())&gt;=1,--INDEX('Term investments'!$G:$G,ROW())/100,--INDEX('Term investments'!$G:$G,ROW())),0)</f>
        <v/>
      </c>
      <c r="H530">
        <f>IFERROR(--INDEX('Term investments'!$H:$H,ROW()),0)</f>
        <v/>
      </c>
      <c r="I530">
        <f>IF(ISNUMBER(INDEX('Term investments'!$G:$G,ROW())),1,0)</f>
        <v/>
      </c>
      <c r="J530">
        <f>TRIM(SUBSTITUTE(INDEX('Call accounts and MMFs'!$A:$A,ROW())&amp;""," "," "))</f>
        <v/>
      </c>
      <c r="K530">
        <f>TRIM(SUBSTITUTE(INDEX('Call accounts and MMFs'!$B:$B,ROW())&amp;""," "," "))</f>
        <v/>
      </c>
      <c r="L530">
        <f>TRIM(SUBSTITUTE(INDEX('Call accounts and MMFs'!$C:$C,ROW())&amp;""," "," "))</f>
        <v/>
      </c>
      <c r="M530">
        <f>IFERROR(--INDEX('Call accounts and MMFs'!$D:$D,ROW()),0)</f>
        <v/>
      </c>
      <c r="N530">
        <f>IFERROR(IF(--INDEX('Call accounts and MMFs'!$E:$E,ROW())&gt;=1,--INDEX('Call accounts and MMFs'!$E:$E,ROW())/100,--INDEX('Call accounts and MMFs'!$E:$E,ROW())),0)</f>
        <v/>
      </c>
      <c r="O530">
        <f>IFERROR(--INDEX('Call accounts and MMFs'!$F:$F,ROW()),0)</f>
        <v/>
      </c>
      <c r="P530">
        <f>IF(ISNUMBER(INDEX('Call accounts and MMFs'!$E:$E,ROW())),1,0)</f>
        <v/>
      </c>
      <c r="Q530">
        <f>TRIM(SUBSTITUTE(INDEX('Pooled funds'!$B:$B,ROW())&amp;""," "," "))</f>
        <v/>
      </c>
      <c r="R530">
        <f>IFERROR(--INDEX('Pooled funds'!$C:$C,ROW()),0)</f>
        <v/>
      </c>
      <c r="S530">
        <f>IFERROR(--INDEX('Pooled funds'!$D:$D,ROW()),0)</f>
        <v/>
      </c>
      <c r="T530">
        <f>IFERROR(IF(--INDEX('Pooled funds'!$E:$E,ROW())&gt;=1,--INDEX('Pooled funds'!$E:$E,ROW())/100,--INDEX('Pooled funds'!$E:$E,ROW())),0)</f>
        <v/>
      </c>
      <c r="U530">
        <f>IF(ISNUMBER(INDEX('Pooled funds'!$E:$E,ROW())),1,0)</f>
        <v/>
      </c>
      <c r="V530">
        <f>TRIM(SUBSTITUTE(INDEX('Loans'!$A:$A,ROW())&amp;""," "," "))</f>
        <v/>
      </c>
      <c r="W530">
        <f>TRIM(SUBSTITUTE(INDEX('Loans'!$B:$B,ROW())&amp;""," "," "))</f>
        <v/>
      </c>
      <c r="X530">
        <f>TRIM(SUBSTITUTE(INDEX('Loans'!$C:$C,ROW())&amp;""," "," "))</f>
        <v/>
      </c>
      <c r="Y530">
        <f>IFERROR(--INDEX('Loans'!$D:$D,ROW()),0)</f>
        <v/>
      </c>
      <c r="Z530">
        <f>IFERROR(--INDEX('Loans'!$E:$E,ROW()),0)</f>
        <v/>
      </c>
      <c r="AA530">
        <f>IFERROR(--INDEX('Loans'!$F:$F,ROW()),0)</f>
        <v/>
      </c>
      <c r="AB530">
        <f>IFERROR(IF(--INDEX('Loans'!$G:$G,ROW())&gt;=1,--INDEX('Loans'!$G:$G,ROW())/100,--INDEX('Loans'!$G:$G,ROW())),0)</f>
        <v/>
      </c>
      <c r="AC530">
        <f>TRIM(SUBSTITUTE(INDEX('Loans'!$H:$H,ROW())&amp;""," "," "))</f>
        <v/>
      </c>
      <c r="AD530">
        <f>TRIM(SUBSTITUTE(INDEX('Loans'!$I:$I,ROW())&amp;""," "," "))</f>
        <v/>
      </c>
      <c r="AE530">
        <f>IFERROR(--INDEX('Loans'!$J:$J,ROW()),0)</f>
        <v/>
      </c>
      <c r="AF530">
        <f>TRIM(SUBSTITUTE(INDEX('Loans'!$K:$K,ROW())&amp;""," "," "))</f>
        <v/>
      </c>
      <c r="AG530">
        <f>IFERROR(--INDEX('Loans'!$L:$L,ROW()),0)</f>
        <v/>
      </c>
      <c r="AH530">
        <f>IF(ISNUMBER(INDEX('Loans'!$G:$G,ROW())),1,0)</f>
        <v/>
      </c>
    </row>
    <row r="531">
      <c r="A531">
        <f>TRIM(SUBSTITUTE(INDEX('Term investments'!$A:$A,ROW())&amp;""," "," "))</f>
        <v/>
      </c>
      <c r="B531">
        <f>TRIM(SUBSTITUTE(INDEX('Term investments'!$B:$B,ROW())&amp;""," "," "))</f>
        <v/>
      </c>
      <c r="C531">
        <f>TRIM(SUBSTITUTE(INDEX('Term investments'!$C:$C,ROW())&amp;""," "," "))</f>
        <v/>
      </c>
      <c r="D531">
        <f>IFERROR(--INDEX('Term investments'!$D:$D,ROW()),0)</f>
        <v/>
      </c>
      <c r="E531">
        <f>IFERROR(--INDEX('Term investments'!$E:$E,ROW()),0)</f>
        <v/>
      </c>
      <c r="F531">
        <f>IFERROR(--INDEX('Term investments'!$F:$F,ROW()),0)</f>
        <v/>
      </c>
      <c r="G531">
        <f>IFERROR(IF(--INDEX('Term investments'!$G:$G,ROW())&gt;=1,--INDEX('Term investments'!$G:$G,ROW())/100,--INDEX('Term investments'!$G:$G,ROW())),0)</f>
        <v/>
      </c>
      <c r="H531">
        <f>IFERROR(--INDEX('Term investments'!$H:$H,ROW()),0)</f>
        <v/>
      </c>
      <c r="I531">
        <f>IF(ISNUMBER(INDEX('Term investments'!$G:$G,ROW())),1,0)</f>
        <v/>
      </c>
      <c r="J531">
        <f>TRIM(SUBSTITUTE(INDEX('Call accounts and MMFs'!$A:$A,ROW())&amp;""," "," "))</f>
        <v/>
      </c>
      <c r="K531">
        <f>TRIM(SUBSTITUTE(INDEX('Call accounts and MMFs'!$B:$B,ROW())&amp;""," "," "))</f>
        <v/>
      </c>
      <c r="L531">
        <f>TRIM(SUBSTITUTE(INDEX('Call accounts and MMFs'!$C:$C,ROW())&amp;""," "," "))</f>
        <v/>
      </c>
      <c r="M531">
        <f>IFERROR(--INDEX('Call accounts and MMFs'!$D:$D,ROW()),0)</f>
        <v/>
      </c>
      <c r="N531">
        <f>IFERROR(IF(--INDEX('Call accounts and MMFs'!$E:$E,ROW())&gt;=1,--INDEX('Call accounts and MMFs'!$E:$E,ROW())/100,--INDEX('Call accounts and MMFs'!$E:$E,ROW())),0)</f>
        <v/>
      </c>
      <c r="O531">
        <f>IFERROR(--INDEX('Call accounts and MMFs'!$F:$F,ROW()),0)</f>
        <v/>
      </c>
      <c r="P531">
        <f>IF(ISNUMBER(INDEX('Call accounts and MMFs'!$E:$E,ROW())),1,0)</f>
        <v/>
      </c>
      <c r="Q531">
        <f>TRIM(SUBSTITUTE(INDEX('Pooled funds'!$B:$B,ROW())&amp;""," "," "))</f>
        <v/>
      </c>
      <c r="R531">
        <f>IFERROR(--INDEX('Pooled funds'!$C:$C,ROW()),0)</f>
        <v/>
      </c>
      <c r="S531">
        <f>IFERROR(--INDEX('Pooled funds'!$D:$D,ROW()),0)</f>
        <v/>
      </c>
      <c r="T531">
        <f>IFERROR(IF(--INDEX('Pooled funds'!$E:$E,ROW())&gt;=1,--INDEX('Pooled funds'!$E:$E,ROW())/100,--INDEX('Pooled funds'!$E:$E,ROW())),0)</f>
        <v/>
      </c>
      <c r="U531">
        <f>IF(ISNUMBER(INDEX('Pooled funds'!$E:$E,ROW())),1,0)</f>
        <v/>
      </c>
      <c r="V531">
        <f>TRIM(SUBSTITUTE(INDEX('Loans'!$A:$A,ROW())&amp;""," "," "))</f>
        <v/>
      </c>
      <c r="W531">
        <f>TRIM(SUBSTITUTE(INDEX('Loans'!$B:$B,ROW())&amp;""," "," "))</f>
        <v/>
      </c>
      <c r="X531">
        <f>TRIM(SUBSTITUTE(INDEX('Loans'!$C:$C,ROW())&amp;""," "," "))</f>
        <v/>
      </c>
      <c r="Y531">
        <f>IFERROR(--INDEX('Loans'!$D:$D,ROW()),0)</f>
        <v/>
      </c>
      <c r="Z531">
        <f>IFERROR(--INDEX('Loans'!$E:$E,ROW()),0)</f>
        <v/>
      </c>
      <c r="AA531">
        <f>IFERROR(--INDEX('Loans'!$F:$F,ROW()),0)</f>
        <v/>
      </c>
      <c r="AB531">
        <f>IFERROR(IF(--INDEX('Loans'!$G:$G,ROW())&gt;=1,--INDEX('Loans'!$G:$G,ROW())/100,--INDEX('Loans'!$G:$G,ROW())),0)</f>
        <v/>
      </c>
      <c r="AC531">
        <f>TRIM(SUBSTITUTE(INDEX('Loans'!$H:$H,ROW())&amp;""," "," "))</f>
        <v/>
      </c>
      <c r="AD531">
        <f>TRIM(SUBSTITUTE(INDEX('Loans'!$I:$I,ROW())&amp;""," "," "))</f>
        <v/>
      </c>
      <c r="AE531">
        <f>IFERROR(--INDEX('Loans'!$J:$J,ROW()),0)</f>
        <v/>
      </c>
      <c r="AF531">
        <f>TRIM(SUBSTITUTE(INDEX('Loans'!$K:$K,ROW())&amp;""," "," "))</f>
        <v/>
      </c>
      <c r="AG531">
        <f>IFERROR(--INDEX('Loans'!$L:$L,ROW()),0)</f>
        <v/>
      </c>
      <c r="AH531">
        <f>IF(ISNUMBER(INDEX('Loans'!$G:$G,ROW())),1,0)</f>
        <v/>
      </c>
    </row>
    <row r="532">
      <c r="A532">
        <f>TRIM(SUBSTITUTE(INDEX('Term investments'!$A:$A,ROW())&amp;""," "," "))</f>
        <v/>
      </c>
      <c r="B532">
        <f>TRIM(SUBSTITUTE(INDEX('Term investments'!$B:$B,ROW())&amp;""," "," "))</f>
        <v/>
      </c>
      <c r="C532">
        <f>TRIM(SUBSTITUTE(INDEX('Term investments'!$C:$C,ROW())&amp;""," "," "))</f>
        <v/>
      </c>
      <c r="D532">
        <f>IFERROR(--INDEX('Term investments'!$D:$D,ROW()),0)</f>
        <v/>
      </c>
      <c r="E532">
        <f>IFERROR(--INDEX('Term investments'!$E:$E,ROW()),0)</f>
        <v/>
      </c>
      <c r="F532">
        <f>IFERROR(--INDEX('Term investments'!$F:$F,ROW()),0)</f>
        <v/>
      </c>
      <c r="G532">
        <f>IFERROR(IF(--INDEX('Term investments'!$G:$G,ROW())&gt;=1,--INDEX('Term investments'!$G:$G,ROW())/100,--INDEX('Term investments'!$G:$G,ROW())),0)</f>
        <v/>
      </c>
      <c r="H532">
        <f>IFERROR(--INDEX('Term investments'!$H:$H,ROW()),0)</f>
        <v/>
      </c>
      <c r="I532">
        <f>IF(ISNUMBER(INDEX('Term investments'!$G:$G,ROW())),1,0)</f>
        <v/>
      </c>
      <c r="J532">
        <f>TRIM(SUBSTITUTE(INDEX('Call accounts and MMFs'!$A:$A,ROW())&amp;""," "," "))</f>
        <v/>
      </c>
      <c r="K532">
        <f>TRIM(SUBSTITUTE(INDEX('Call accounts and MMFs'!$B:$B,ROW())&amp;""," "," "))</f>
        <v/>
      </c>
      <c r="L532">
        <f>TRIM(SUBSTITUTE(INDEX('Call accounts and MMFs'!$C:$C,ROW())&amp;""," "," "))</f>
        <v/>
      </c>
      <c r="M532">
        <f>IFERROR(--INDEX('Call accounts and MMFs'!$D:$D,ROW()),0)</f>
        <v/>
      </c>
      <c r="N532">
        <f>IFERROR(IF(--INDEX('Call accounts and MMFs'!$E:$E,ROW())&gt;=1,--INDEX('Call accounts and MMFs'!$E:$E,ROW())/100,--INDEX('Call accounts and MMFs'!$E:$E,ROW())),0)</f>
        <v/>
      </c>
      <c r="O532">
        <f>IFERROR(--INDEX('Call accounts and MMFs'!$F:$F,ROW()),0)</f>
        <v/>
      </c>
      <c r="P532">
        <f>IF(ISNUMBER(INDEX('Call accounts and MMFs'!$E:$E,ROW())),1,0)</f>
        <v/>
      </c>
      <c r="Q532">
        <f>TRIM(SUBSTITUTE(INDEX('Pooled funds'!$B:$B,ROW())&amp;""," "," "))</f>
        <v/>
      </c>
      <c r="R532">
        <f>IFERROR(--INDEX('Pooled funds'!$C:$C,ROW()),0)</f>
        <v/>
      </c>
      <c r="S532">
        <f>IFERROR(--INDEX('Pooled funds'!$D:$D,ROW()),0)</f>
        <v/>
      </c>
      <c r="T532">
        <f>IFERROR(IF(--INDEX('Pooled funds'!$E:$E,ROW())&gt;=1,--INDEX('Pooled funds'!$E:$E,ROW())/100,--INDEX('Pooled funds'!$E:$E,ROW())),0)</f>
        <v/>
      </c>
      <c r="U532">
        <f>IF(ISNUMBER(INDEX('Pooled funds'!$E:$E,ROW())),1,0)</f>
        <v/>
      </c>
      <c r="V532">
        <f>TRIM(SUBSTITUTE(INDEX('Loans'!$A:$A,ROW())&amp;""," "," "))</f>
        <v/>
      </c>
      <c r="W532">
        <f>TRIM(SUBSTITUTE(INDEX('Loans'!$B:$B,ROW())&amp;""," "," "))</f>
        <v/>
      </c>
      <c r="X532">
        <f>TRIM(SUBSTITUTE(INDEX('Loans'!$C:$C,ROW())&amp;""," "," "))</f>
        <v/>
      </c>
      <c r="Y532">
        <f>IFERROR(--INDEX('Loans'!$D:$D,ROW()),0)</f>
        <v/>
      </c>
      <c r="Z532">
        <f>IFERROR(--INDEX('Loans'!$E:$E,ROW()),0)</f>
        <v/>
      </c>
      <c r="AA532">
        <f>IFERROR(--INDEX('Loans'!$F:$F,ROW()),0)</f>
        <v/>
      </c>
      <c r="AB532">
        <f>IFERROR(IF(--INDEX('Loans'!$G:$G,ROW())&gt;=1,--INDEX('Loans'!$G:$G,ROW())/100,--INDEX('Loans'!$G:$G,ROW())),0)</f>
        <v/>
      </c>
      <c r="AC532">
        <f>TRIM(SUBSTITUTE(INDEX('Loans'!$H:$H,ROW())&amp;""," "," "))</f>
        <v/>
      </c>
      <c r="AD532">
        <f>TRIM(SUBSTITUTE(INDEX('Loans'!$I:$I,ROW())&amp;""," "," "))</f>
        <v/>
      </c>
      <c r="AE532">
        <f>IFERROR(--INDEX('Loans'!$J:$J,ROW()),0)</f>
        <v/>
      </c>
      <c r="AF532">
        <f>TRIM(SUBSTITUTE(INDEX('Loans'!$K:$K,ROW())&amp;""," "," "))</f>
        <v/>
      </c>
      <c r="AG532">
        <f>IFERROR(--INDEX('Loans'!$L:$L,ROW()),0)</f>
        <v/>
      </c>
      <c r="AH532">
        <f>IF(ISNUMBER(INDEX('Loans'!$G:$G,ROW())),1,0)</f>
        <v/>
      </c>
    </row>
    <row r="533">
      <c r="A533">
        <f>TRIM(SUBSTITUTE(INDEX('Term investments'!$A:$A,ROW())&amp;""," "," "))</f>
        <v/>
      </c>
      <c r="B533">
        <f>TRIM(SUBSTITUTE(INDEX('Term investments'!$B:$B,ROW())&amp;""," "," "))</f>
        <v/>
      </c>
      <c r="C533">
        <f>TRIM(SUBSTITUTE(INDEX('Term investments'!$C:$C,ROW())&amp;""," "," "))</f>
        <v/>
      </c>
      <c r="D533">
        <f>IFERROR(--INDEX('Term investments'!$D:$D,ROW()),0)</f>
        <v/>
      </c>
      <c r="E533">
        <f>IFERROR(--INDEX('Term investments'!$E:$E,ROW()),0)</f>
        <v/>
      </c>
      <c r="F533">
        <f>IFERROR(--INDEX('Term investments'!$F:$F,ROW()),0)</f>
        <v/>
      </c>
      <c r="G533">
        <f>IFERROR(IF(--INDEX('Term investments'!$G:$G,ROW())&gt;=1,--INDEX('Term investments'!$G:$G,ROW())/100,--INDEX('Term investments'!$G:$G,ROW())),0)</f>
        <v/>
      </c>
      <c r="H533">
        <f>IFERROR(--INDEX('Term investments'!$H:$H,ROW()),0)</f>
        <v/>
      </c>
      <c r="I533">
        <f>IF(ISNUMBER(INDEX('Term investments'!$G:$G,ROW())),1,0)</f>
        <v/>
      </c>
      <c r="J533">
        <f>TRIM(SUBSTITUTE(INDEX('Call accounts and MMFs'!$A:$A,ROW())&amp;""," "," "))</f>
        <v/>
      </c>
      <c r="K533">
        <f>TRIM(SUBSTITUTE(INDEX('Call accounts and MMFs'!$B:$B,ROW())&amp;""," "," "))</f>
        <v/>
      </c>
      <c r="L533">
        <f>TRIM(SUBSTITUTE(INDEX('Call accounts and MMFs'!$C:$C,ROW())&amp;""," "," "))</f>
        <v/>
      </c>
      <c r="M533">
        <f>IFERROR(--INDEX('Call accounts and MMFs'!$D:$D,ROW()),0)</f>
        <v/>
      </c>
      <c r="N533">
        <f>IFERROR(IF(--INDEX('Call accounts and MMFs'!$E:$E,ROW())&gt;=1,--INDEX('Call accounts and MMFs'!$E:$E,ROW())/100,--INDEX('Call accounts and MMFs'!$E:$E,ROW())),0)</f>
        <v/>
      </c>
      <c r="O533">
        <f>IFERROR(--INDEX('Call accounts and MMFs'!$F:$F,ROW()),0)</f>
        <v/>
      </c>
      <c r="P533">
        <f>IF(ISNUMBER(INDEX('Call accounts and MMFs'!$E:$E,ROW())),1,0)</f>
        <v/>
      </c>
      <c r="Q533">
        <f>TRIM(SUBSTITUTE(INDEX('Pooled funds'!$B:$B,ROW())&amp;""," "," "))</f>
        <v/>
      </c>
      <c r="R533">
        <f>IFERROR(--INDEX('Pooled funds'!$C:$C,ROW()),0)</f>
        <v/>
      </c>
      <c r="S533">
        <f>IFERROR(--INDEX('Pooled funds'!$D:$D,ROW()),0)</f>
        <v/>
      </c>
      <c r="T533">
        <f>IFERROR(IF(--INDEX('Pooled funds'!$E:$E,ROW())&gt;=1,--INDEX('Pooled funds'!$E:$E,ROW())/100,--INDEX('Pooled funds'!$E:$E,ROW())),0)</f>
        <v/>
      </c>
      <c r="U533">
        <f>IF(ISNUMBER(INDEX('Pooled funds'!$E:$E,ROW())),1,0)</f>
        <v/>
      </c>
      <c r="V533">
        <f>TRIM(SUBSTITUTE(INDEX('Loans'!$A:$A,ROW())&amp;""," "," "))</f>
        <v/>
      </c>
      <c r="W533">
        <f>TRIM(SUBSTITUTE(INDEX('Loans'!$B:$B,ROW())&amp;""," "," "))</f>
        <v/>
      </c>
      <c r="X533">
        <f>TRIM(SUBSTITUTE(INDEX('Loans'!$C:$C,ROW())&amp;""," "," "))</f>
        <v/>
      </c>
      <c r="Y533">
        <f>IFERROR(--INDEX('Loans'!$D:$D,ROW()),0)</f>
        <v/>
      </c>
      <c r="Z533">
        <f>IFERROR(--INDEX('Loans'!$E:$E,ROW()),0)</f>
        <v/>
      </c>
      <c r="AA533">
        <f>IFERROR(--INDEX('Loans'!$F:$F,ROW()),0)</f>
        <v/>
      </c>
      <c r="AB533">
        <f>IFERROR(IF(--INDEX('Loans'!$G:$G,ROW())&gt;=1,--INDEX('Loans'!$G:$G,ROW())/100,--INDEX('Loans'!$G:$G,ROW())),0)</f>
        <v/>
      </c>
      <c r="AC533">
        <f>TRIM(SUBSTITUTE(INDEX('Loans'!$H:$H,ROW())&amp;""," "," "))</f>
        <v/>
      </c>
      <c r="AD533">
        <f>TRIM(SUBSTITUTE(INDEX('Loans'!$I:$I,ROW())&amp;""," "," "))</f>
        <v/>
      </c>
      <c r="AE533">
        <f>IFERROR(--INDEX('Loans'!$J:$J,ROW()),0)</f>
        <v/>
      </c>
      <c r="AF533">
        <f>TRIM(SUBSTITUTE(INDEX('Loans'!$K:$K,ROW())&amp;""," "," "))</f>
        <v/>
      </c>
      <c r="AG533">
        <f>IFERROR(--INDEX('Loans'!$L:$L,ROW()),0)</f>
        <v/>
      </c>
      <c r="AH533">
        <f>IF(ISNUMBER(INDEX('Loans'!$G:$G,ROW())),1,0)</f>
        <v/>
      </c>
    </row>
    <row r="534">
      <c r="A534">
        <f>TRIM(SUBSTITUTE(INDEX('Term investments'!$A:$A,ROW())&amp;""," "," "))</f>
        <v/>
      </c>
      <c r="B534">
        <f>TRIM(SUBSTITUTE(INDEX('Term investments'!$B:$B,ROW())&amp;""," "," "))</f>
        <v/>
      </c>
      <c r="C534">
        <f>TRIM(SUBSTITUTE(INDEX('Term investments'!$C:$C,ROW())&amp;""," "," "))</f>
        <v/>
      </c>
      <c r="D534">
        <f>IFERROR(--INDEX('Term investments'!$D:$D,ROW()),0)</f>
        <v/>
      </c>
      <c r="E534">
        <f>IFERROR(--INDEX('Term investments'!$E:$E,ROW()),0)</f>
        <v/>
      </c>
      <c r="F534">
        <f>IFERROR(--INDEX('Term investments'!$F:$F,ROW()),0)</f>
        <v/>
      </c>
      <c r="G534">
        <f>IFERROR(IF(--INDEX('Term investments'!$G:$G,ROW())&gt;=1,--INDEX('Term investments'!$G:$G,ROW())/100,--INDEX('Term investments'!$G:$G,ROW())),0)</f>
        <v/>
      </c>
      <c r="H534">
        <f>IFERROR(--INDEX('Term investments'!$H:$H,ROW()),0)</f>
        <v/>
      </c>
      <c r="I534">
        <f>IF(ISNUMBER(INDEX('Term investments'!$G:$G,ROW())),1,0)</f>
        <v/>
      </c>
      <c r="J534">
        <f>TRIM(SUBSTITUTE(INDEX('Call accounts and MMFs'!$A:$A,ROW())&amp;""," "," "))</f>
        <v/>
      </c>
      <c r="K534">
        <f>TRIM(SUBSTITUTE(INDEX('Call accounts and MMFs'!$B:$B,ROW())&amp;""," "," "))</f>
        <v/>
      </c>
      <c r="L534">
        <f>TRIM(SUBSTITUTE(INDEX('Call accounts and MMFs'!$C:$C,ROW())&amp;""," "," "))</f>
        <v/>
      </c>
      <c r="M534">
        <f>IFERROR(--INDEX('Call accounts and MMFs'!$D:$D,ROW()),0)</f>
        <v/>
      </c>
      <c r="N534">
        <f>IFERROR(IF(--INDEX('Call accounts and MMFs'!$E:$E,ROW())&gt;=1,--INDEX('Call accounts and MMFs'!$E:$E,ROW())/100,--INDEX('Call accounts and MMFs'!$E:$E,ROW())),0)</f>
        <v/>
      </c>
      <c r="O534">
        <f>IFERROR(--INDEX('Call accounts and MMFs'!$F:$F,ROW()),0)</f>
        <v/>
      </c>
      <c r="P534">
        <f>IF(ISNUMBER(INDEX('Call accounts and MMFs'!$E:$E,ROW())),1,0)</f>
        <v/>
      </c>
      <c r="Q534">
        <f>TRIM(SUBSTITUTE(INDEX('Pooled funds'!$B:$B,ROW())&amp;""," "," "))</f>
        <v/>
      </c>
      <c r="R534">
        <f>IFERROR(--INDEX('Pooled funds'!$C:$C,ROW()),0)</f>
        <v/>
      </c>
      <c r="S534">
        <f>IFERROR(--INDEX('Pooled funds'!$D:$D,ROW()),0)</f>
        <v/>
      </c>
      <c r="T534">
        <f>IFERROR(IF(--INDEX('Pooled funds'!$E:$E,ROW())&gt;=1,--INDEX('Pooled funds'!$E:$E,ROW())/100,--INDEX('Pooled funds'!$E:$E,ROW())),0)</f>
        <v/>
      </c>
      <c r="U534">
        <f>IF(ISNUMBER(INDEX('Pooled funds'!$E:$E,ROW())),1,0)</f>
        <v/>
      </c>
      <c r="V534">
        <f>TRIM(SUBSTITUTE(INDEX('Loans'!$A:$A,ROW())&amp;""," "," "))</f>
        <v/>
      </c>
      <c r="W534">
        <f>TRIM(SUBSTITUTE(INDEX('Loans'!$B:$B,ROW())&amp;""," "," "))</f>
        <v/>
      </c>
      <c r="X534">
        <f>TRIM(SUBSTITUTE(INDEX('Loans'!$C:$C,ROW())&amp;""," "," "))</f>
        <v/>
      </c>
      <c r="Y534">
        <f>IFERROR(--INDEX('Loans'!$D:$D,ROW()),0)</f>
        <v/>
      </c>
      <c r="Z534">
        <f>IFERROR(--INDEX('Loans'!$E:$E,ROW()),0)</f>
        <v/>
      </c>
      <c r="AA534">
        <f>IFERROR(--INDEX('Loans'!$F:$F,ROW()),0)</f>
        <v/>
      </c>
      <c r="AB534">
        <f>IFERROR(IF(--INDEX('Loans'!$G:$G,ROW())&gt;=1,--INDEX('Loans'!$G:$G,ROW())/100,--INDEX('Loans'!$G:$G,ROW())),0)</f>
        <v/>
      </c>
      <c r="AC534">
        <f>TRIM(SUBSTITUTE(INDEX('Loans'!$H:$H,ROW())&amp;""," "," "))</f>
        <v/>
      </c>
      <c r="AD534">
        <f>TRIM(SUBSTITUTE(INDEX('Loans'!$I:$I,ROW())&amp;""," "," "))</f>
        <v/>
      </c>
      <c r="AE534">
        <f>IFERROR(--INDEX('Loans'!$J:$J,ROW()),0)</f>
        <v/>
      </c>
      <c r="AF534">
        <f>TRIM(SUBSTITUTE(INDEX('Loans'!$K:$K,ROW())&amp;""," "," "))</f>
        <v/>
      </c>
      <c r="AG534">
        <f>IFERROR(--INDEX('Loans'!$L:$L,ROW()),0)</f>
        <v/>
      </c>
      <c r="AH534">
        <f>IF(ISNUMBER(INDEX('Loans'!$G:$G,ROW())),1,0)</f>
        <v/>
      </c>
    </row>
    <row r="535">
      <c r="A535">
        <f>TRIM(SUBSTITUTE(INDEX('Term investments'!$A:$A,ROW())&amp;""," "," "))</f>
        <v/>
      </c>
      <c r="B535">
        <f>TRIM(SUBSTITUTE(INDEX('Term investments'!$B:$B,ROW())&amp;""," "," "))</f>
        <v/>
      </c>
      <c r="C535">
        <f>TRIM(SUBSTITUTE(INDEX('Term investments'!$C:$C,ROW())&amp;""," "," "))</f>
        <v/>
      </c>
      <c r="D535">
        <f>IFERROR(--INDEX('Term investments'!$D:$D,ROW()),0)</f>
        <v/>
      </c>
      <c r="E535">
        <f>IFERROR(--INDEX('Term investments'!$E:$E,ROW()),0)</f>
        <v/>
      </c>
      <c r="F535">
        <f>IFERROR(--INDEX('Term investments'!$F:$F,ROW()),0)</f>
        <v/>
      </c>
      <c r="G535">
        <f>IFERROR(IF(--INDEX('Term investments'!$G:$G,ROW())&gt;=1,--INDEX('Term investments'!$G:$G,ROW())/100,--INDEX('Term investments'!$G:$G,ROW())),0)</f>
        <v/>
      </c>
      <c r="H535">
        <f>IFERROR(--INDEX('Term investments'!$H:$H,ROW()),0)</f>
        <v/>
      </c>
      <c r="I535">
        <f>IF(ISNUMBER(INDEX('Term investments'!$G:$G,ROW())),1,0)</f>
        <v/>
      </c>
      <c r="J535">
        <f>TRIM(SUBSTITUTE(INDEX('Call accounts and MMFs'!$A:$A,ROW())&amp;""," "," "))</f>
        <v/>
      </c>
      <c r="K535">
        <f>TRIM(SUBSTITUTE(INDEX('Call accounts and MMFs'!$B:$B,ROW())&amp;""," "," "))</f>
        <v/>
      </c>
      <c r="L535">
        <f>TRIM(SUBSTITUTE(INDEX('Call accounts and MMFs'!$C:$C,ROW())&amp;""," "," "))</f>
        <v/>
      </c>
      <c r="M535">
        <f>IFERROR(--INDEX('Call accounts and MMFs'!$D:$D,ROW()),0)</f>
        <v/>
      </c>
      <c r="N535">
        <f>IFERROR(IF(--INDEX('Call accounts and MMFs'!$E:$E,ROW())&gt;=1,--INDEX('Call accounts and MMFs'!$E:$E,ROW())/100,--INDEX('Call accounts and MMFs'!$E:$E,ROW())),0)</f>
        <v/>
      </c>
      <c r="O535">
        <f>IFERROR(--INDEX('Call accounts and MMFs'!$F:$F,ROW()),0)</f>
        <v/>
      </c>
      <c r="P535">
        <f>IF(ISNUMBER(INDEX('Call accounts and MMFs'!$E:$E,ROW())),1,0)</f>
        <v/>
      </c>
      <c r="Q535">
        <f>TRIM(SUBSTITUTE(INDEX('Pooled funds'!$B:$B,ROW())&amp;""," "," "))</f>
        <v/>
      </c>
      <c r="R535">
        <f>IFERROR(--INDEX('Pooled funds'!$C:$C,ROW()),0)</f>
        <v/>
      </c>
      <c r="S535">
        <f>IFERROR(--INDEX('Pooled funds'!$D:$D,ROW()),0)</f>
        <v/>
      </c>
      <c r="T535">
        <f>IFERROR(IF(--INDEX('Pooled funds'!$E:$E,ROW())&gt;=1,--INDEX('Pooled funds'!$E:$E,ROW())/100,--INDEX('Pooled funds'!$E:$E,ROW())),0)</f>
        <v/>
      </c>
      <c r="U535">
        <f>IF(ISNUMBER(INDEX('Pooled funds'!$E:$E,ROW())),1,0)</f>
        <v/>
      </c>
      <c r="V535">
        <f>TRIM(SUBSTITUTE(INDEX('Loans'!$A:$A,ROW())&amp;""," "," "))</f>
        <v/>
      </c>
      <c r="W535">
        <f>TRIM(SUBSTITUTE(INDEX('Loans'!$B:$B,ROW())&amp;""," "," "))</f>
        <v/>
      </c>
      <c r="X535">
        <f>TRIM(SUBSTITUTE(INDEX('Loans'!$C:$C,ROW())&amp;""," "," "))</f>
        <v/>
      </c>
      <c r="Y535">
        <f>IFERROR(--INDEX('Loans'!$D:$D,ROW()),0)</f>
        <v/>
      </c>
      <c r="Z535">
        <f>IFERROR(--INDEX('Loans'!$E:$E,ROW()),0)</f>
        <v/>
      </c>
      <c r="AA535">
        <f>IFERROR(--INDEX('Loans'!$F:$F,ROW()),0)</f>
        <v/>
      </c>
      <c r="AB535">
        <f>IFERROR(IF(--INDEX('Loans'!$G:$G,ROW())&gt;=1,--INDEX('Loans'!$G:$G,ROW())/100,--INDEX('Loans'!$G:$G,ROW())),0)</f>
        <v/>
      </c>
      <c r="AC535">
        <f>TRIM(SUBSTITUTE(INDEX('Loans'!$H:$H,ROW())&amp;""," "," "))</f>
        <v/>
      </c>
      <c r="AD535">
        <f>TRIM(SUBSTITUTE(INDEX('Loans'!$I:$I,ROW())&amp;""," "," "))</f>
        <v/>
      </c>
      <c r="AE535">
        <f>IFERROR(--INDEX('Loans'!$J:$J,ROW()),0)</f>
        <v/>
      </c>
      <c r="AF535">
        <f>TRIM(SUBSTITUTE(INDEX('Loans'!$K:$K,ROW())&amp;""," "," "))</f>
        <v/>
      </c>
      <c r="AG535">
        <f>IFERROR(--INDEX('Loans'!$L:$L,ROW()),0)</f>
        <v/>
      </c>
      <c r="AH535">
        <f>IF(ISNUMBER(INDEX('Loans'!$G:$G,ROW())),1,0)</f>
        <v/>
      </c>
    </row>
    <row r="536">
      <c r="A536">
        <f>TRIM(SUBSTITUTE(INDEX('Term investments'!$A:$A,ROW())&amp;""," "," "))</f>
        <v/>
      </c>
      <c r="B536">
        <f>TRIM(SUBSTITUTE(INDEX('Term investments'!$B:$B,ROW())&amp;""," "," "))</f>
        <v/>
      </c>
      <c r="C536">
        <f>TRIM(SUBSTITUTE(INDEX('Term investments'!$C:$C,ROW())&amp;""," "," "))</f>
        <v/>
      </c>
      <c r="D536">
        <f>IFERROR(--INDEX('Term investments'!$D:$D,ROW()),0)</f>
        <v/>
      </c>
      <c r="E536">
        <f>IFERROR(--INDEX('Term investments'!$E:$E,ROW()),0)</f>
        <v/>
      </c>
      <c r="F536">
        <f>IFERROR(--INDEX('Term investments'!$F:$F,ROW()),0)</f>
        <v/>
      </c>
      <c r="G536">
        <f>IFERROR(IF(--INDEX('Term investments'!$G:$G,ROW())&gt;=1,--INDEX('Term investments'!$G:$G,ROW())/100,--INDEX('Term investments'!$G:$G,ROW())),0)</f>
        <v/>
      </c>
      <c r="H536">
        <f>IFERROR(--INDEX('Term investments'!$H:$H,ROW()),0)</f>
        <v/>
      </c>
      <c r="I536">
        <f>IF(ISNUMBER(INDEX('Term investments'!$G:$G,ROW())),1,0)</f>
        <v/>
      </c>
      <c r="J536">
        <f>TRIM(SUBSTITUTE(INDEX('Call accounts and MMFs'!$A:$A,ROW())&amp;""," "," "))</f>
        <v/>
      </c>
      <c r="K536">
        <f>TRIM(SUBSTITUTE(INDEX('Call accounts and MMFs'!$B:$B,ROW())&amp;""," "," "))</f>
        <v/>
      </c>
      <c r="L536">
        <f>TRIM(SUBSTITUTE(INDEX('Call accounts and MMFs'!$C:$C,ROW())&amp;""," "," "))</f>
        <v/>
      </c>
      <c r="M536">
        <f>IFERROR(--INDEX('Call accounts and MMFs'!$D:$D,ROW()),0)</f>
        <v/>
      </c>
      <c r="N536">
        <f>IFERROR(IF(--INDEX('Call accounts and MMFs'!$E:$E,ROW())&gt;=1,--INDEX('Call accounts and MMFs'!$E:$E,ROW())/100,--INDEX('Call accounts and MMFs'!$E:$E,ROW())),0)</f>
        <v/>
      </c>
      <c r="O536">
        <f>IFERROR(--INDEX('Call accounts and MMFs'!$F:$F,ROW()),0)</f>
        <v/>
      </c>
      <c r="P536">
        <f>IF(ISNUMBER(INDEX('Call accounts and MMFs'!$E:$E,ROW())),1,0)</f>
        <v/>
      </c>
      <c r="Q536">
        <f>TRIM(SUBSTITUTE(INDEX('Pooled funds'!$B:$B,ROW())&amp;""," "," "))</f>
        <v/>
      </c>
      <c r="R536">
        <f>IFERROR(--INDEX('Pooled funds'!$C:$C,ROW()),0)</f>
        <v/>
      </c>
      <c r="S536">
        <f>IFERROR(--INDEX('Pooled funds'!$D:$D,ROW()),0)</f>
        <v/>
      </c>
      <c r="T536">
        <f>IFERROR(IF(--INDEX('Pooled funds'!$E:$E,ROW())&gt;=1,--INDEX('Pooled funds'!$E:$E,ROW())/100,--INDEX('Pooled funds'!$E:$E,ROW())),0)</f>
        <v/>
      </c>
      <c r="U536">
        <f>IF(ISNUMBER(INDEX('Pooled funds'!$E:$E,ROW())),1,0)</f>
        <v/>
      </c>
      <c r="V536">
        <f>TRIM(SUBSTITUTE(INDEX('Loans'!$A:$A,ROW())&amp;""," "," "))</f>
        <v/>
      </c>
      <c r="W536">
        <f>TRIM(SUBSTITUTE(INDEX('Loans'!$B:$B,ROW())&amp;""," "," "))</f>
        <v/>
      </c>
      <c r="X536">
        <f>TRIM(SUBSTITUTE(INDEX('Loans'!$C:$C,ROW())&amp;""," "," "))</f>
        <v/>
      </c>
      <c r="Y536">
        <f>IFERROR(--INDEX('Loans'!$D:$D,ROW()),0)</f>
        <v/>
      </c>
      <c r="Z536">
        <f>IFERROR(--INDEX('Loans'!$E:$E,ROW()),0)</f>
        <v/>
      </c>
      <c r="AA536">
        <f>IFERROR(--INDEX('Loans'!$F:$F,ROW()),0)</f>
        <v/>
      </c>
      <c r="AB536">
        <f>IFERROR(IF(--INDEX('Loans'!$G:$G,ROW())&gt;=1,--INDEX('Loans'!$G:$G,ROW())/100,--INDEX('Loans'!$G:$G,ROW())),0)</f>
        <v/>
      </c>
      <c r="AC536">
        <f>TRIM(SUBSTITUTE(INDEX('Loans'!$H:$H,ROW())&amp;""," "," "))</f>
        <v/>
      </c>
      <c r="AD536">
        <f>TRIM(SUBSTITUTE(INDEX('Loans'!$I:$I,ROW())&amp;""," "," "))</f>
        <v/>
      </c>
      <c r="AE536">
        <f>IFERROR(--INDEX('Loans'!$J:$J,ROW()),0)</f>
        <v/>
      </c>
      <c r="AF536">
        <f>TRIM(SUBSTITUTE(INDEX('Loans'!$K:$K,ROW())&amp;""," "," "))</f>
        <v/>
      </c>
      <c r="AG536">
        <f>IFERROR(--INDEX('Loans'!$L:$L,ROW()),0)</f>
        <v/>
      </c>
      <c r="AH536">
        <f>IF(ISNUMBER(INDEX('Loans'!$G:$G,ROW())),1,0)</f>
        <v/>
      </c>
    </row>
    <row r="537">
      <c r="A537">
        <f>TRIM(SUBSTITUTE(INDEX('Term investments'!$A:$A,ROW())&amp;""," "," "))</f>
        <v/>
      </c>
      <c r="B537">
        <f>TRIM(SUBSTITUTE(INDEX('Term investments'!$B:$B,ROW())&amp;""," "," "))</f>
        <v/>
      </c>
      <c r="C537">
        <f>TRIM(SUBSTITUTE(INDEX('Term investments'!$C:$C,ROW())&amp;""," "," "))</f>
        <v/>
      </c>
      <c r="D537">
        <f>IFERROR(--INDEX('Term investments'!$D:$D,ROW()),0)</f>
        <v/>
      </c>
      <c r="E537">
        <f>IFERROR(--INDEX('Term investments'!$E:$E,ROW()),0)</f>
        <v/>
      </c>
      <c r="F537">
        <f>IFERROR(--INDEX('Term investments'!$F:$F,ROW()),0)</f>
        <v/>
      </c>
      <c r="G537">
        <f>IFERROR(IF(--INDEX('Term investments'!$G:$G,ROW())&gt;=1,--INDEX('Term investments'!$G:$G,ROW())/100,--INDEX('Term investments'!$G:$G,ROW())),0)</f>
        <v/>
      </c>
      <c r="H537">
        <f>IFERROR(--INDEX('Term investments'!$H:$H,ROW()),0)</f>
        <v/>
      </c>
      <c r="I537">
        <f>IF(ISNUMBER(INDEX('Term investments'!$G:$G,ROW())),1,0)</f>
        <v/>
      </c>
      <c r="J537">
        <f>TRIM(SUBSTITUTE(INDEX('Call accounts and MMFs'!$A:$A,ROW())&amp;""," "," "))</f>
        <v/>
      </c>
      <c r="K537">
        <f>TRIM(SUBSTITUTE(INDEX('Call accounts and MMFs'!$B:$B,ROW())&amp;""," "," "))</f>
        <v/>
      </c>
      <c r="L537">
        <f>TRIM(SUBSTITUTE(INDEX('Call accounts and MMFs'!$C:$C,ROW())&amp;""," "," "))</f>
        <v/>
      </c>
      <c r="M537">
        <f>IFERROR(--INDEX('Call accounts and MMFs'!$D:$D,ROW()),0)</f>
        <v/>
      </c>
      <c r="N537">
        <f>IFERROR(IF(--INDEX('Call accounts and MMFs'!$E:$E,ROW())&gt;=1,--INDEX('Call accounts and MMFs'!$E:$E,ROW())/100,--INDEX('Call accounts and MMFs'!$E:$E,ROW())),0)</f>
        <v/>
      </c>
      <c r="O537">
        <f>IFERROR(--INDEX('Call accounts and MMFs'!$F:$F,ROW()),0)</f>
        <v/>
      </c>
      <c r="P537">
        <f>IF(ISNUMBER(INDEX('Call accounts and MMFs'!$E:$E,ROW())),1,0)</f>
        <v/>
      </c>
      <c r="Q537">
        <f>TRIM(SUBSTITUTE(INDEX('Pooled funds'!$B:$B,ROW())&amp;""," "," "))</f>
        <v/>
      </c>
      <c r="R537">
        <f>IFERROR(--INDEX('Pooled funds'!$C:$C,ROW()),0)</f>
        <v/>
      </c>
      <c r="S537">
        <f>IFERROR(--INDEX('Pooled funds'!$D:$D,ROW()),0)</f>
        <v/>
      </c>
      <c r="T537">
        <f>IFERROR(IF(--INDEX('Pooled funds'!$E:$E,ROW())&gt;=1,--INDEX('Pooled funds'!$E:$E,ROW())/100,--INDEX('Pooled funds'!$E:$E,ROW())),0)</f>
        <v/>
      </c>
      <c r="U537">
        <f>IF(ISNUMBER(INDEX('Pooled funds'!$E:$E,ROW())),1,0)</f>
        <v/>
      </c>
      <c r="V537">
        <f>TRIM(SUBSTITUTE(INDEX('Loans'!$A:$A,ROW())&amp;""," "," "))</f>
        <v/>
      </c>
      <c r="W537">
        <f>TRIM(SUBSTITUTE(INDEX('Loans'!$B:$B,ROW())&amp;""," "," "))</f>
        <v/>
      </c>
      <c r="X537">
        <f>TRIM(SUBSTITUTE(INDEX('Loans'!$C:$C,ROW())&amp;""," "," "))</f>
        <v/>
      </c>
      <c r="Y537">
        <f>IFERROR(--INDEX('Loans'!$D:$D,ROW()),0)</f>
        <v/>
      </c>
      <c r="Z537">
        <f>IFERROR(--INDEX('Loans'!$E:$E,ROW()),0)</f>
        <v/>
      </c>
      <c r="AA537">
        <f>IFERROR(--INDEX('Loans'!$F:$F,ROW()),0)</f>
        <v/>
      </c>
      <c r="AB537">
        <f>IFERROR(IF(--INDEX('Loans'!$G:$G,ROW())&gt;=1,--INDEX('Loans'!$G:$G,ROW())/100,--INDEX('Loans'!$G:$G,ROW())),0)</f>
        <v/>
      </c>
      <c r="AC537">
        <f>TRIM(SUBSTITUTE(INDEX('Loans'!$H:$H,ROW())&amp;""," "," "))</f>
        <v/>
      </c>
      <c r="AD537">
        <f>TRIM(SUBSTITUTE(INDEX('Loans'!$I:$I,ROW())&amp;""," "," "))</f>
        <v/>
      </c>
      <c r="AE537">
        <f>IFERROR(--INDEX('Loans'!$J:$J,ROW()),0)</f>
        <v/>
      </c>
      <c r="AF537">
        <f>TRIM(SUBSTITUTE(INDEX('Loans'!$K:$K,ROW())&amp;""," "," "))</f>
        <v/>
      </c>
      <c r="AG537">
        <f>IFERROR(--INDEX('Loans'!$L:$L,ROW()),0)</f>
        <v/>
      </c>
      <c r="AH537">
        <f>IF(ISNUMBER(INDEX('Loans'!$G:$G,ROW())),1,0)</f>
        <v/>
      </c>
    </row>
    <row r="538">
      <c r="A538">
        <f>TRIM(SUBSTITUTE(INDEX('Term investments'!$A:$A,ROW())&amp;""," "," "))</f>
        <v/>
      </c>
      <c r="B538">
        <f>TRIM(SUBSTITUTE(INDEX('Term investments'!$B:$B,ROW())&amp;""," "," "))</f>
        <v/>
      </c>
      <c r="C538">
        <f>TRIM(SUBSTITUTE(INDEX('Term investments'!$C:$C,ROW())&amp;""," "," "))</f>
        <v/>
      </c>
      <c r="D538">
        <f>IFERROR(--INDEX('Term investments'!$D:$D,ROW()),0)</f>
        <v/>
      </c>
      <c r="E538">
        <f>IFERROR(--INDEX('Term investments'!$E:$E,ROW()),0)</f>
        <v/>
      </c>
      <c r="F538">
        <f>IFERROR(--INDEX('Term investments'!$F:$F,ROW()),0)</f>
        <v/>
      </c>
      <c r="G538">
        <f>IFERROR(IF(--INDEX('Term investments'!$G:$G,ROW())&gt;=1,--INDEX('Term investments'!$G:$G,ROW())/100,--INDEX('Term investments'!$G:$G,ROW())),0)</f>
        <v/>
      </c>
      <c r="H538">
        <f>IFERROR(--INDEX('Term investments'!$H:$H,ROW()),0)</f>
        <v/>
      </c>
      <c r="I538">
        <f>IF(ISNUMBER(INDEX('Term investments'!$G:$G,ROW())),1,0)</f>
        <v/>
      </c>
      <c r="J538">
        <f>TRIM(SUBSTITUTE(INDEX('Call accounts and MMFs'!$A:$A,ROW())&amp;""," "," "))</f>
        <v/>
      </c>
      <c r="K538">
        <f>TRIM(SUBSTITUTE(INDEX('Call accounts and MMFs'!$B:$B,ROW())&amp;""," "," "))</f>
        <v/>
      </c>
      <c r="L538">
        <f>TRIM(SUBSTITUTE(INDEX('Call accounts and MMFs'!$C:$C,ROW())&amp;""," "," "))</f>
        <v/>
      </c>
      <c r="M538">
        <f>IFERROR(--INDEX('Call accounts and MMFs'!$D:$D,ROW()),0)</f>
        <v/>
      </c>
      <c r="N538">
        <f>IFERROR(IF(--INDEX('Call accounts and MMFs'!$E:$E,ROW())&gt;=1,--INDEX('Call accounts and MMFs'!$E:$E,ROW())/100,--INDEX('Call accounts and MMFs'!$E:$E,ROW())),0)</f>
        <v/>
      </c>
      <c r="O538">
        <f>IFERROR(--INDEX('Call accounts and MMFs'!$F:$F,ROW()),0)</f>
        <v/>
      </c>
      <c r="P538">
        <f>IF(ISNUMBER(INDEX('Call accounts and MMFs'!$E:$E,ROW())),1,0)</f>
        <v/>
      </c>
      <c r="Q538">
        <f>TRIM(SUBSTITUTE(INDEX('Pooled funds'!$B:$B,ROW())&amp;""," "," "))</f>
        <v/>
      </c>
      <c r="R538">
        <f>IFERROR(--INDEX('Pooled funds'!$C:$C,ROW()),0)</f>
        <v/>
      </c>
      <c r="S538">
        <f>IFERROR(--INDEX('Pooled funds'!$D:$D,ROW()),0)</f>
        <v/>
      </c>
      <c r="T538">
        <f>IFERROR(IF(--INDEX('Pooled funds'!$E:$E,ROW())&gt;=1,--INDEX('Pooled funds'!$E:$E,ROW())/100,--INDEX('Pooled funds'!$E:$E,ROW())),0)</f>
        <v/>
      </c>
      <c r="U538">
        <f>IF(ISNUMBER(INDEX('Pooled funds'!$E:$E,ROW())),1,0)</f>
        <v/>
      </c>
      <c r="V538">
        <f>TRIM(SUBSTITUTE(INDEX('Loans'!$A:$A,ROW())&amp;""," "," "))</f>
        <v/>
      </c>
      <c r="W538">
        <f>TRIM(SUBSTITUTE(INDEX('Loans'!$B:$B,ROW())&amp;""," "," "))</f>
        <v/>
      </c>
      <c r="X538">
        <f>TRIM(SUBSTITUTE(INDEX('Loans'!$C:$C,ROW())&amp;""," "," "))</f>
        <v/>
      </c>
      <c r="Y538">
        <f>IFERROR(--INDEX('Loans'!$D:$D,ROW()),0)</f>
        <v/>
      </c>
      <c r="Z538">
        <f>IFERROR(--INDEX('Loans'!$E:$E,ROW()),0)</f>
        <v/>
      </c>
      <c r="AA538">
        <f>IFERROR(--INDEX('Loans'!$F:$F,ROW()),0)</f>
        <v/>
      </c>
      <c r="AB538">
        <f>IFERROR(IF(--INDEX('Loans'!$G:$G,ROW())&gt;=1,--INDEX('Loans'!$G:$G,ROW())/100,--INDEX('Loans'!$G:$G,ROW())),0)</f>
        <v/>
      </c>
      <c r="AC538">
        <f>TRIM(SUBSTITUTE(INDEX('Loans'!$H:$H,ROW())&amp;""," "," "))</f>
        <v/>
      </c>
      <c r="AD538">
        <f>TRIM(SUBSTITUTE(INDEX('Loans'!$I:$I,ROW())&amp;""," "," "))</f>
        <v/>
      </c>
      <c r="AE538">
        <f>IFERROR(--INDEX('Loans'!$J:$J,ROW()),0)</f>
        <v/>
      </c>
      <c r="AF538">
        <f>TRIM(SUBSTITUTE(INDEX('Loans'!$K:$K,ROW())&amp;""," "," "))</f>
        <v/>
      </c>
      <c r="AG538">
        <f>IFERROR(--INDEX('Loans'!$L:$L,ROW()),0)</f>
        <v/>
      </c>
      <c r="AH538">
        <f>IF(ISNUMBER(INDEX('Loans'!$G:$G,ROW())),1,0)</f>
        <v/>
      </c>
    </row>
    <row r="539">
      <c r="A539">
        <f>TRIM(SUBSTITUTE(INDEX('Term investments'!$A:$A,ROW())&amp;""," "," "))</f>
        <v/>
      </c>
      <c r="B539">
        <f>TRIM(SUBSTITUTE(INDEX('Term investments'!$B:$B,ROW())&amp;""," "," "))</f>
        <v/>
      </c>
      <c r="C539">
        <f>TRIM(SUBSTITUTE(INDEX('Term investments'!$C:$C,ROW())&amp;""," "," "))</f>
        <v/>
      </c>
      <c r="D539">
        <f>IFERROR(--INDEX('Term investments'!$D:$D,ROW()),0)</f>
        <v/>
      </c>
      <c r="E539">
        <f>IFERROR(--INDEX('Term investments'!$E:$E,ROW()),0)</f>
        <v/>
      </c>
      <c r="F539">
        <f>IFERROR(--INDEX('Term investments'!$F:$F,ROW()),0)</f>
        <v/>
      </c>
      <c r="G539">
        <f>IFERROR(IF(--INDEX('Term investments'!$G:$G,ROW())&gt;=1,--INDEX('Term investments'!$G:$G,ROW())/100,--INDEX('Term investments'!$G:$G,ROW())),0)</f>
        <v/>
      </c>
      <c r="H539">
        <f>IFERROR(--INDEX('Term investments'!$H:$H,ROW()),0)</f>
        <v/>
      </c>
      <c r="I539">
        <f>IF(ISNUMBER(INDEX('Term investments'!$G:$G,ROW())),1,0)</f>
        <v/>
      </c>
      <c r="J539">
        <f>TRIM(SUBSTITUTE(INDEX('Call accounts and MMFs'!$A:$A,ROW())&amp;""," "," "))</f>
        <v/>
      </c>
      <c r="K539">
        <f>TRIM(SUBSTITUTE(INDEX('Call accounts and MMFs'!$B:$B,ROW())&amp;""," "," "))</f>
        <v/>
      </c>
      <c r="L539">
        <f>TRIM(SUBSTITUTE(INDEX('Call accounts and MMFs'!$C:$C,ROW())&amp;""," "," "))</f>
        <v/>
      </c>
      <c r="M539">
        <f>IFERROR(--INDEX('Call accounts and MMFs'!$D:$D,ROW()),0)</f>
        <v/>
      </c>
      <c r="N539">
        <f>IFERROR(IF(--INDEX('Call accounts and MMFs'!$E:$E,ROW())&gt;=1,--INDEX('Call accounts and MMFs'!$E:$E,ROW())/100,--INDEX('Call accounts and MMFs'!$E:$E,ROW())),0)</f>
        <v/>
      </c>
      <c r="O539">
        <f>IFERROR(--INDEX('Call accounts and MMFs'!$F:$F,ROW()),0)</f>
        <v/>
      </c>
      <c r="P539">
        <f>IF(ISNUMBER(INDEX('Call accounts and MMFs'!$E:$E,ROW())),1,0)</f>
        <v/>
      </c>
      <c r="Q539">
        <f>TRIM(SUBSTITUTE(INDEX('Pooled funds'!$B:$B,ROW())&amp;""," "," "))</f>
        <v/>
      </c>
      <c r="R539">
        <f>IFERROR(--INDEX('Pooled funds'!$C:$C,ROW()),0)</f>
        <v/>
      </c>
      <c r="S539">
        <f>IFERROR(--INDEX('Pooled funds'!$D:$D,ROW()),0)</f>
        <v/>
      </c>
      <c r="T539">
        <f>IFERROR(IF(--INDEX('Pooled funds'!$E:$E,ROW())&gt;=1,--INDEX('Pooled funds'!$E:$E,ROW())/100,--INDEX('Pooled funds'!$E:$E,ROW())),0)</f>
        <v/>
      </c>
      <c r="U539">
        <f>IF(ISNUMBER(INDEX('Pooled funds'!$E:$E,ROW())),1,0)</f>
        <v/>
      </c>
      <c r="V539">
        <f>TRIM(SUBSTITUTE(INDEX('Loans'!$A:$A,ROW())&amp;""," "," "))</f>
        <v/>
      </c>
      <c r="W539">
        <f>TRIM(SUBSTITUTE(INDEX('Loans'!$B:$B,ROW())&amp;""," "," "))</f>
        <v/>
      </c>
      <c r="X539">
        <f>TRIM(SUBSTITUTE(INDEX('Loans'!$C:$C,ROW())&amp;""," "," "))</f>
        <v/>
      </c>
      <c r="Y539">
        <f>IFERROR(--INDEX('Loans'!$D:$D,ROW()),0)</f>
        <v/>
      </c>
      <c r="Z539">
        <f>IFERROR(--INDEX('Loans'!$E:$E,ROW()),0)</f>
        <v/>
      </c>
      <c r="AA539">
        <f>IFERROR(--INDEX('Loans'!$F:$F,ROW()),0)</f>
        <v/>
      </c>
      <c r="AB539">
        <f>IFERROR(IF(--INDEX('Loans'!$G:$G,ROW())&gt;=1,--INDEX('Loans'!$G:$G,ROW())/100,--INDEX('Loans'!$G:$G,ROW())),0)</f>
        <v/>
      </c>
      <c r="AC539">
        <f>TRIM(SUBSTITUTE(INDEX('Loans'!$H:$H,ROW())&amp;""," "," "))</f>
        <v/>
      </c>
      <c r="AD539">
        <f>TRIM(SUBSTITUTE(INDEX('Loans'!$I:$I,ROW())&amp;""," "," "))</f>
        <v/>
      </c>
      <c r="AE539">
        <f>IFERROR(--INDEX('Loans'!$J:$J,ROW()),0)</f>
        <v/>
      </c>
      <c r="AF539">
        <f>TRIM(SUBSTITUTE(INDEX('Loans'!$K:$K,ROW())&amp;""," "," "))</f>
        <v/>
      </c>
      <c r="AG539">
        <f>IFERROR(--INDEX('Loans'!$L:$L,ROW()),0)</f>
        <v/>
      </c>
      <c r="AH539">
        <f>IF(ISNUMBER(INDEX('Loans'!$G:$G,ROW())),1,0)</f>
        <v/>
      </c>
    </row>
    <row r="540">
      <c r="A540">
        <f>TRIM(SUBSTITUTE(INDEX('Term investments'!$A:$A,ROW())&amp;""," "," "))</f>
        <v/>
      </c>
      <c r="B540">
        <f>TRIM(SUBSTITUTE(INDEX('Term investments'!$B:$B,ROW())&amp;""," "," "))</f>
        <v/>
      </c>
      <c r="C540">
        <f>TRIM(SUBSTITUTE(INDEX('Term investments'!$C:$C,ROW())&amp;""," "," "))</f>
        <v/>
      </c>
      <c r="D540">
        <f>IFERROR(--INDEX('Term investments'!$D:$D,ROW()),0)</f>
        <v/>
      </c>
      <c r="E540">
        <f>IFERROR(--INDEX('Term investments'!$E:$E,ROW()),0)</f>
        <v/>
      </c>
      <c r="F540">
        <f>IFERROR(--INDEX('Term investments'!$F:$F,ROW()),0)</f>
        <v/>
      </c>
      <c r="G540">
        <f>IFERROR(IF(--INDEX('Term investments'!$G:$G,ROW())&gt;=1,--INDEX('Term investments'!$G:$G,ROW())/100,--INDEX('Term investments'!$G:$G,ROW())),0)</f>
        <v/>
      </c>
      <c r="H540">
        <f>IFERROR(--INDEX('Term investments'!$H:$H,ROW()),0)</f>
        <v/>
      </c>
      <c r="I540">
        <f>IF(ISNUMBER(INDEX('Term investments'!$G:$G,ROW())),1,0)</f>
        <v/>
      </c>
      <c r="J540">
        <f>TRIM(SUBSTITUTE(INDEX('Call accounts and MMFs'!$A:$A,ROW())&amp;""," "," "))</f>
        <v/>
      </c>
      <c r="K540">
        <f>TRIM(SUBSTITUTE(INDEX('Call accounts and MMFs'!$B:$B,ROW())&amp;""," "," "))</f>
        <v/>
      </c>
      <c r="L540">
        <f>TRIM(SUBSTITUTE(INDEX('Call accounts and MMFs'!$C:$C,ROW())&amp;""," "," "))</f>
        <v/>
      </c>
      <c r="M540">
        <f>IFERROR(--INDEX('Call accounts and MMFs'!$D:$D,ROW()),0)</f>
        <v/>
      </c>
      <c r="N540">
        <f>IFERROR(IF(--INDEX('Call accounts and MMFs'!$E:$E,ROW())&gt;=1,--INDEX('Call accounts and MMFs'!$E:$E,ROW())/100,--INDEX('Call accounts and MMFs'!$E:$E,ROW())),0)</f>
        <v/>
      </c>
      <c r="O540">
        <f>IFERROR(--INDEX('Call accounts and MMFs'!$F:$F,ROW()),0)</f>
        <v/>
      </c>
      <c r="P540">
        <f>IF(ISNUMBER(INDEX('Call accounts and MMFs'!$E:$E,ROW())),1,0)</f>
        <v/>
      </c>
      <c r="Q540">
        <f>TRIM(SUBSTITUTE(INDEX('Pooled funds'!$B:$B,ROW())&amp;""," "," "))</f>
        <v/>
      </c>
      <c r="R540">
        <f>IFERROR(--INDEX('Pooled funds'!$C:$C,ROW()),0)</f>
        <v/>
      </c>
      <c r="S540">
        <f>IFERROR(--INDEX('Pooled funds'!$D:$D,ROW()),0)</f>
        <v/>
      </c>
      <c r="T540">
        <f>IFERROR(IF(--INDEX('Pooled funds'!$E:$E,ROW())&gt;=1,--INDEX('Pooled funds'!$E:$E,ROW())/100,--INDEX('Pooled funds'!$E:$E,ROW())),0)</f>
        <v/>
      </c>
      <c r="U540">
        <f>IF(ISNUMBER(INDEX('Pooled funds'!$E:$E,ROW())),1,0)</f>
        <v/>
      </c>
      <c r="V540">
        <f>TRIM(SUBSTITUTE(INDEX('Loans'!$A:$A,ROW())&amp;""," "," "))</f>
        <v/>
      </c>
      <c r="W540">
        <f>TRIM(SUBSTITUTE(INDEX('Loans'!$B:$B,ROW())&amp;""," "," "))</f>
        <v/>
      </c>
      <c r="X540">
        <f>TRIM(SUBSTITUTE(INDEX('Loans'!$C:$C,ROW())&amp;""," "," "))</f>
        <v/>
      </c>
      <c r="Y540">
        <f>IFERROR(--INDEX('Loans'!$D:$D,ROW()),0)</f>
        <v/>
      </c>
      <c r="Z540">
        <f>IFERROR(--INDEX('Loans'!$E:$E,ROW()),0)</f>
        <v/>
      </c>
      <c r="AA540">
        <f>IFERROR(--INDEX('Loans'!$F:$F,ROW()),0)</f>
        <v/>
      </c>
      <c r="AB540">
        <f>IFERROR(IF(--INDEX('Loans'!$G:$G,ROW())&gt;=1,--INDEX('Loans'!$G:$G,ROW())/100,--INDEX('Loans'!$G:$G,ROW())),0)</f>
        <v/>
      </c>
      <c r="AC540">
        <f>TRIM(SUBSTITUTE(INDEX('Loans'!$H:$H,ROW())&amp;""," "," "))</f>
        <v/>
      </c>
      <c r="AD540">
        <f>TRIM(SUBSTITUTE(INDEX('Loans'!$I:$I,ROW())&amp;""," "," "))</f>
        <v/>
      </c>
      <c r="AE540">
        <f>IFERROR(--INDEX('Loans'!$J:$J,ROW()),0)</f>
        <v/>
      </c>
      <c r="AF540">
        <f>TRIM(SUBSTITUTE(INDEX('Loans'!$K:$K,ROW())&amp;""," "," "))</f>
        <v/>
      </c>
      <c r="AG540">
        <f>IFERROR(--INDEX('Loans'!$L:$L,ROW()),0)</f>
        <v/>
      </c>
      <c r="AH540">
        <f>IF(ISNUMBER(INDEX('Loans'!$G:$G,ROW())),1,0)</f>
        <v/>
      </c>
    </row>
    <row r="541">
      <c r="A541">
        <f>TRIM(SUBSTITUTE(INDEX('Term investments'!$A:$A,ROW())&amp;""," "," "))</f>
        <v/>
      </c>
      <c r="B541">
        <f>TRIM(SUBSTITUTE(INDEX('Term investments'!$B:$B,ROW())&amp;""," "," "))</f>
        <v/>
      </c>
      <c r="C541">
        <f>TRIM(SUBSTITUTE(INDEX('Term investments'!$C:$C,ROW())&amp;""," "," "))</f>
        <v/>
      </c>
      <c r="D541">
        <f>IFERROR(--INDEX('Term investments'!$D:$D,ROW()),0)</f>
        <v/>
      </c>
      <c r="E541">
        <f>IFERROR(--INDEX('Term investments'!$E:$E,ROW()),0)</f>
        <v/>
      </c>
      <c r="F541">
        <f>IFERROR(--INDEX('Term investments'!$F:$F,ROW()),0)</f>
        <v/>
      </c>
      <c r="G541">
        <f>IFERROR(IF(--INDEX('Term investments'!$G:$G,ROW())&gt;=1,--INDEX('Term investments'!$G:$G,ROW())/100,--INDEX('Term investments'!$G:$G,ROW())),0)</f>
        <v/>
      </c>
      <c r="H541">
        <f>IFERROR(--INDEX('Term investments'!$H:$H,ROW()),0)</f>
        <v/>
      </c>
      <c r="I541">
        <f>IF(ISNUMBER(INDEX('Term investments'!$G:$G,ROW())),1,0)</f>
        <v/>
      </c>
      <c r="J541">
        <f>TRIM(SUBSTITUTE(INDEX('Call accounts and MMFs'!$A:$A,ROW())&amp;""," "," "))</f>
        <v/>
      </c>
      <c r="K541">
        <f>TRIM(SUBSTITUTE(INDEX('Call accounts and MMFs'!$B:$B,ROW())&amp;""," "," "))</f>
        <v/>
      </c>
      <c r="L541">
        <f>TRIM(SUBSTITUTE(INDEX('Call accounts and MMFs'!$C:$C,ROW())&amp;""," "," "))</f>
        <v/>
      </c>
      <c r="M541">
        <f>IFERROR(--INDEX('Call accounts and MMFs'!$D:$D,ROW()),0)</f>
        <v/>
      </c>
      <c r="N541">
        <f>IFERROR(IF(--INDEX('Call accounts and MMFs'!$E:$E,ROW())&gt;=1,--INDEX('Call accounts and MMFs'!$E:$E,ROW())/100,--INDEX('Call accounts and MMFs'!$E:$E,ROW())),0)</f>
        <v/>
      </c>
      <c r="O541">
        <f>IFERROR(--INDEX('Call accounts and MMFs'!$F:$F,ROW()),0)</f>
        <v/>
      </c>
      <c r="P541">
        <f>IF(ISNUMBER(INDEX('Call accounts and MMFs'!$E:$E,ROW())),1,0)</f>
        <v/>
      </c>
      <c r="Q541">
        <f>TRIM(SUBSTITUTE(INDEX('Pooled funds'!$B:$B,ROW())&amp;""," "," "))</f>
        <v/>
      </c>
      <c r="R541">
        <f>IFERROR(--INDEX('Pooled funds'!$C:$C,ROW()),0)</f>
        <v/>
      </c>
      <c r="S541">
        <f>IFERROR(--INDEX('Pooled funds'!$D:$D,ROW()),0)</f>
        <v/>
      </c>
      <c r="T541">
        <f>IFERROR(IF(--INDEX('Pooled funds'!$E:$E,ROW())&gt;=1,--INDEX('Pooled funds'!$E:$E,ROW())/100,--INDEX('Pooled funds'!$E:$E,ROW())),0)</f>
        <v/>
      </c>
      <c r="U541">
        <f>IF(ISNUMBER(INDEX('Pooled funds'!$E:$E,ROW())),1,0)</f>
        <v/>
      </c>
      <c r="V541">
        <f>TRIM(SUBSTITUTE(INDEX('Loans'!$A:$A,ROW())&amp;""," "," "))</f>
        <v/>
      </c>
      <c r="W541">
        <f>TRIM(SUBSTITUTE(INDEX('Loans'!$B:$B,ROW())&amp;""," "," "))</f>
        <v/>
      </c>
      <c r="X541">
        <f>TRIM(SUBSTITUTE(INDEX('Loans'!$C:$C,ROW())&amp;""," "," "))</f>
        <v/>
      </c>
      <c r="Y541">
        <f>IFERROR(--INDEX('Loans'!$D:$D,ROW()),0)</f>
        <v/>
      </c>
      <c r="Z541">
        <f>IFERROR(--INDEX('Loans'!$E:$E,ROW()),0)</f>
        <v/>
      </c>
      <c r="AA541">
        <f>IFERROR(--INDEX('Loans'!$F:$F,ROW()),0)</f>
        <v/>
      </c>
      <c r="AB541">
        <f>IFERROR(IF(--INDEX('Loans'!$G:$G,ROW())&gt;=1,--INDEX('Loans'!$G:$G,ROW())/100,--INDEX('Loans'!$G:$G,ROW())),0)</f>
        <v/>
      </c>
      <c r="AC541">
        <f>TRIM(SUBSTITUTE(INDEX('Loans'!$H:$H,ROW())&amp;""," "," "))</f>
        <v/>
      </c>
      <c r="AD541">
        <f>TRIM(SUBSTITUTE(INDEX('Loans'!$I:$I,ROW())&amp;""," "," "))</f>
        <v/>
      </c>
      <c r="AE541">
        <f>IFERROR(--INDEX('Loans'!$J:$J,ROW()),0)</f>
        <v/>
      </c>
      <c r="AF541">
        <f>TRIM(SUBSTITUTE(INDEX('Loans'!$K:$K,ROW())&amp;""," "," "))</f>
        <v/>
      </c>
      <c r="AG541">
        <f>IFERROR(--INDEX('Loans'!$L:$L,ROW()),0)</f>
        <v/>
      </c>
      <c r="AH541">
        <f>IF(ISNUMBER(INDEX('Loans'!$G:$G,ROW())),1,0)</f>
        <v/>
      </c>
    </row>
    <row r="542">
      <c r="A542">
        <f>TRIM(SUBSTITUTE(INDEX('Term investments'!$A:$A,ROW())&amp;""," "," "))</f>
        <v/>
      </c>
      <c r="B542">
        <f>TRIM(SUBSTITUTE(INDEX('Term investments'!$B:$B,ROW())&amp;""," "," "))</f>
        <v/>
      </c>
      <c r="C542">
        <f>TRIM(SUBSTITUTE(INDEX('Term investments'!$C:$C,ROW())&amp;""," "," "))</f>
        <v/>
      </c>
      <c r="D542">
        <f>IFERROR(--INDEX('Term investments'!$D:$D,ROW()),0)</f>
        <v/>
      </c>
      <c r="E542">
        <f>IFERROR(--INDEX('Term investments'!$E:$E,ROW()),0)</f>
        <v/>
      </c>
      <c r="F542">
        <f>IFERROR(--INDEX('Term investments'!$F:$F,ROW()),0)</f>
        <v/>
      </c>
      <c r="G542">
        <f>IFERROR(IF(--INDEX('Term investments'!$G:$G,ROW())&gt;=1,--INDEX('Term investments'!$G:$G,ROW())/100,--INDEX('Term investments'!$G:$G,ROW())),0)</f>
        <v/>
      </c>
      <c r="H542">
        <f>IFERROR(--INDEX('Term investments'!$H:$H,ROW()),0)</f>
        <v/>
      </c>
      <c r="I542">
        <f>IF(ISNUMBER(INDEX('Term investments'!$G:$G,ROW())),1,0)</f>
        <v/>
      </c>
      <c r="J542">
        <f>TRIM(SUBSTITUTE(INDEX('Call accounts and MMFs'!$A:$A,ROW())&amp;""," "," "))</f>
        <v/>
      </c>
      <c r="K542">
        <f>TRIM(SUBSTITUTE(INDEX('Call accounts and MMFs'!$B:$B,ROW())&amp;""," "," "))</f>
        <v/>
      </c>
      <c r="L542">
        <f>TRIM(SUBSTITUTE(INDEX('Call accounts and MMFs'!$C:$C,ROW())&amp;""," "," "))</f>
        <v/>
      </c>
      <c r="M542">
        <f>IFERROR(--INDEX('Call accounts and MMFs'!$D:$D,ROW()),0)</f>
        <v/>
      </c>
      <c r="N542">
        <f>IFERROR(IF(--INDEX('Call accounts and MMFs'!$E:$E,ROW())&gt;=1,--INDEX('Call accounts and MMFs'!$E:$E,ROW())/100,--INDEX('Call accounts and MMFs'!$E:$E,ROW())),0)</f>
        <v/>
      </c>
      <c r="O542">
        <f>IFERROR(--INDEX('Call accounts and MMFs'!$F:$F,ROW()),0)</f>
        <v/>
      </c>
      <c r="P542">
        <f>IF(ISNUMBER(INDEX('Call accounts and MMFs'!$E:$E,ROW())),1,0)</f>
        <v/>
      </c>
      <c r="Q542">
        <f>TRIM(SUBSTITUTE(INDEX('Pooled funds'!$B:$B,ROW())&amp;""," "," "))</f>
        <v/>
      </c>
      <c r="R542">
        <f>IFERROR(--INDEX('Pooled funds'!$C:$C,ROW()),0)</f>
        <v/>
      </c>
      <c r="S542">
        <f>IFERROR(--INDEX('Pooled funds'!$D:$D,ROW()),0)</f>
        <v/>
      </c>
      <c r="T542">
        <f>IFERROR(IF(--INDEX('Pooled funds'!$E:$E,ROW())&gt;=1,--INDEX('Pooled funds'!$E:$E,ROW())/100,--INDEX('Pooled funds'!$E:$E,ROW())),0)</f>
        <v/>
      </c>
      <c r="U542">
        <f>IF(ISNUMBER(INDEX('Pooled funds'!$E:$E,ROW())),1,0)</f>
        <v/>
      </c>
      <c r="V542">
        <f>TRIM(SUBSTITUTE(INDEX('Loans'!$A:$A,ROW())&amp;""," "," "))</f>
        <v/>
      </c>
      <c r="W542">
        <f>TRIM(SUBSTITUTE(INDEX('Loans'!$B:$B,ROW())&amp;""," "," "))</f>
        <v/>
      </c>
      <c r="X542">
        <f>TRIM(SUBSTITUTE(INDEX('Loans'!$C:$C,ROW())&amp;""," "," "))</f>
        <v/>
      </c>
      <c r="Y542">
        <f>IFERROR(--INDEX('Loans'!$D:$D,ROW()),0)</f>
        <v/>
      </c>
      <c r="Z542">
        <f>IFERROR(--INDEX('Loans'!$E:$E,ROW()),0)</f>
        <v/>
      </c>
      <c r="AA542">
        <f>IFERROR(--INDEX('Loans'!$F:$F,ROW()),0)</f>
        <v/>
      </c>
      <c r="AB542">
        <f>IFERROR(IF(--INDEX('Loans'!$G:$G,ROW())&gt;=1,--INDEX('Loans'!$G:$G,ROW())/100,--INDEX('Loans'!$G:$G,ROW())),0)</f>
        <v/>
      </c>
      <c r="AC542">
        <f>TRIM(SUBSTITUTE(INDEX('Loans'!$H:$H,ROW())&amp;""," "," "))</f>
        <v/>
      </c>
      <c r="AD542">
        <f>TRIM(SUBSTITUTE(INDEX('Loans'!$I:$I,ROW())&amp;""," "," "))</f>
        <v/>
      </c>
      <c r="AE542">
        <f>IFERROR(--INDEX('Loans'!$J:$J,ROW()),0)</f>
        <v/>
      </c>
      <c r="AF542">
        <f>TRIM(SUBSTITUTE(INDEX('Loans'!$K:$K,ROW())&amp;""," "," "))</f>
        <v/>
      </c>
      <c r="AG542">
        <f>IFERROR(--INDEX('Loans'!$L:$L,ROW()),0)</f>
        <v/>
      </c>
      <c r="AH542">
        <f>IF(ISNUMBER(INDEX('Loans'!$G:$G,ROW())),1,0)</f>
        <v/>
      </c>
    </row>
    <row r="543">
      <c r="A543">
        <f>TRIM(SUBSTITUTE(INDEX('Term investments'!$A:$A,ROW())&amp;""," "," "))</f>
        <v/>
      </c>
      <c r="B543">
        <f>TRIM(SUBSTITUTE(INDEX('Term investments'!$B:$B,ROW())&amp;""," "," "))</f>
        <v/>
      </c>
      <c r="C543">
        <f>TRIM(SUBSTITUTE(INDEX('Term investments'!$C:$C,ROW())&amp;""," "," "))</f>
        <v/>
      </c>
      <c r="D543">
        <f>IFERROR(--INDEX('Term investments'!$D:$D,ROW()),0)</f>
        <v/>
      </c>
      <c r="E543">
        <f>IFERROR(--INDEX('Term investments'!$E:$E,ROW()),0)</f>
        <v/>
      </c>
      <c r="F543">
        <f>IFERROR(--INDEX('Term investments'!$F:$F,ROW()),0)</f>
        <v/>
      </c>
      <c r="G543">
        <f>IFERROR(IF(--INDEX('Term investments'!$G:$G,ROW())&gt;=1,--INDEX('Term investments'!$G:$G,ROW())/100,--INDEX('Term investments'!$G:$G,ROW())),0)</f>
        <v/>
      </c>
      <c r="H543">
        <f>IFERROR(--INDEX('Term investments'!$H:$H,ROW()),0)</f>
        <v/>
      </c>
      <c r="I543">
        <f>IF(ISNUMBER(INDEX('Term investments'!$G:$G,ROW())),1,0)</f>
        <v/>
      </c>
      <c r="J543">
        <f>TRIM(SUBSTITUTE(INDEX('Call accounts and MMFs'!$A:$A,ROW())&amp;""," "," "))</f>
        <v/>
      </c>
      <c r="K543">
        <f>TRIM(SUBSTITUTE(INDEX('Call accounts and MMFs'!$B:$B,ROW())&amp;""," "," "))</f>
        <v/>
      </c>
      <c r="L543">
        <f>TRIM(SUBSTITUTE(INDEX('Call accounts and MMFs'!$C:$C,ROW())&amp;""," "," "))</f>
        <v/>
      </c>
      <c r="M543">
        <f>IFERROR(--INDEX('Call accounts and MMFs'!$D:$D,ROW()),0)</f>
        <v/>
      </c>
      <c r="N543">
        <f>IFERROR(IF(--INDEX('Call accounts and MMFs'!$E:$E,ROW())&gt;=1,--INDEX('Call accounts and MMFs'!$E:$E,ROW())/100,--INDEX('Call accounts and MMFs'!$E:$E,ROW())),0)</f>
        <v/>
      </c>
      <c r="O543">
        <f>IFERROR(--INDEX('Call accounts and MMFs'!$F:$F,ROW()),0)</f>
        <v/>
      </c>
      <c r="P543">
        <f>IF(ISNUMBER(INDEX('Call accounts and MMFs'!$E:$E,ROW())),1,0)</f>
        <v/>
      </c>
      <c r="Q543">
        <f>TRIM(SUBSTITUTE(INDEX('Pooled funds'!$B:$B,ROW())&amp;""," "," "))</f>
        <v/>
      </c>
      <c r="R543">
        <f>IFERROR(--INDEX('Pooled funds'!$C:$C,ROW()),0)</f>
        <v/>
      </c>
      <c r="S543">
        <f>IFERROR(--INDEX('Pooled funds'!$D:$D,ROW()),0)</f>
        <v/>
      </c>
      <c r="T543">
        <f>IFERROR(IF(--INDEX('Pooled funds'!$E:$E,ROW())&gt;=1,--INDEX('Pooled funds'!$E:$E,ROW())/100,--INDEX('Pooled funds'!$E:$E,ROW())),0)</f>
        <v/>
      </c>
      <c r="U543">
        <f>IF(ISNUMBER(INDEX('Pooled funds'!$E:$E,ROW())),1,0)</f>
        <v/>
      </c>
      <c r="V543">
        <f>TRIM(SUBSTITUTE(INDEX('Loans'!$A:$A,ROW())&amp;""," "," "))</f>
        <v/>
      </c>
      <c r="W543">
        <f>TRIM(SUBSTITUTE(INDEX('Loans'!$B:$B,ROW())&amp;""," "," "))</f>
        <v/>
      </c>
      <c r="X543">
        <f>TRIM(SUBSTITUTE(INDEX('Loans'!$C:$C,ROW())&amp;""," "," "))</f>
        <v/>
      </c>
      <c r="Y543">
        <f>IFERROR(--INDEX('Loans'!$D:$D,ROW()),0)</f>
        <v/>
      </c>
      <c r="Z543">
        <f>IFERROR(--INDEX('Loans'!$E:$E,ROW()),0)</f>
        <v/>
      </c>
      <c r="AA543">
        <f>IFERROR(--INDEX('Loans'!$F:$F,ROW()),0)</f>
        <v/>
      </c>
      <c r="AB543">
        <f>IFERROR(IF(--INDEX('Loans'!$G:$G,ROW())&gt;=1,--INDEX('Loans'!$G:$G,ROW())/100,--INDEX('Loans'!$G:$G,ROW())),0)</f>
        <v/>
      </c>
      <c r="AC543">
        <f>TRIM(SUBSTITUTE(INDEX('Loans'!$H:$H,ROW())&amp;""," "," "))</f>
        <v/>
      </c>
      <c r="AD543">
        <f>TRIM(SUBSTITUTE(INDEX('Loans'!$I:$I,ROW())&amp;""," "," "))</f>
        <v/>
      </c>
      <c r="AE543">
        <f>IFERROR(--INDEX('Loans'!$J:$J,ROW()),0)</f>
        <v/>
      </c>
      <c r="AF543">
        <f>TRIM(SUBSTITUTE(INDEX('Loans'!$K:$K,ROW())&amp;""," "," "))</f>
        <v/>
      </c>
      <c r="AG543">
        <f>IFERROR(--INDEX('Loans'!$L:$L,ROW()),0)</f>
        <v/>
      </c>
      <c r="AH543">
        <f>IF(ISNUMBER(INDEX('Loans'!$G:$G,ROW())),1,0)</f>
        <v/>
      </c>
    </row>
    <row r="544">
      <c r="A544">
        <f>TRIM(SUBSTITUTE(INDEX('Term investments'!$A:$A,ROW())&amp;""," "," "))</f>
        <v/>
      </c>
      <c r="B544">
        <f>TRIM(SUBSTITUTE(INDEX('Term investments'!$B:$B,ROW())&amp;""," "," "))</f>
        <v/>
      </c>
      <c r="C544">
        <f>TRIM(SUBSTITUTE(INDEX('Term investments'!$C:$C,ROW())&amp;""," "," "))</f>
        <v/>
      </c>
      <c r="D544">
        <f>IFERROR(--INDEX('Term investments'!$D:$D,ROW()),0)</f>
        <v/>
      </c>
      <c r="E544">
        <f>IFERROR(--INDEX('Term investments'!$E:$E,ROW()),0)</f>
        <v/>
      </c>
      <c r="F544">
        <f>IFERROR(--INDEX('Term investments'!$F:$F,ROW()),0)</f>
        <v/>
      </c>
      <c r="G544">
        <f>IFERROR(IF(--INDEX('Term investments'!$G:$G,ROW())&gt;=1,--INDEX('Term investments'!$G:$G,ROW())/100,--INDEX('Term investments'!$G:$G,ROW())),0)</f>
        <v/>
      </c>
      <c r="H544">
        <f>IFERROR(--INDEX('Term investments'!$H:$H,ROW()),0)</f>
        <v/>
      </c>
      <c r="I544">
        <f>IF(ISNUMBER(INDEX('Term investments'!$G:$G,ROW())),1,0)</f>
        <v/>
      </c>
      <c r="J544">
        <f>TRIM(SUBSTITUTE(INDEX('Call accounts and MMFs'!$A:$A,ROW())&amp;""," "," "))</f>
        <v/>
      </c>
      <c r="K544">
        <f>TRIM(SUBSTITUTE(INDEX('Call accounts and MMFs'!$B:$B,ROW())&amp;""," "," "))</f>
        <v/>
      </c>
      <c r="L544">
        <f>TRIM(SUBSTITUTE(INDEX('Call accounts and MMFs'!$C:$C,ROW())&amp;""," "," "))</f>
        <v/>
      </c>
      <c r="M544">
        <f>IFERROR(--INDEX('Call accounts and MMFs'!$D:$D,ROW()),0)</f>
        <v/>
      </c>
      <c r="N544">
        <f>IFERROR(IF(--INDEX('Call accounts and MMFs'!$E:$E,ROW())&gt;=1,--INDEX('Call accounts and MMFs'!$E:$E,ROW())/100,--INDEX('Call accounts and MMFs'!$E:$E,ROW())),0)</f>
        <v/>
      </c>
      <c r="O544">
        <f>IFERROR(--INDEX('Call accounts and MMFs'!$F:$F,ROW()),0)</f>
        <v/>
      </c>
      <c r="P544">
        <f>IF(ISNUMBER(INDEX('Call accounts and MMFs'!$E:$E,ROW())),1,0)</f>
        <v/>
      </c>
      <c r="Q544">
        <f>TRIM(SUBSTITUTE(INDEX('Pooled funds'!$B:$B,ROW())&amp;""," "," "))</f>
        <v/>
      </c>
      <c r="R544">
        <f>IFERROR(--INDEX('Pooled funds'!$C:$C,ROW()),0)</f>
        <v/>
      </c>
      <c r="S544">
        <f>IFERROR(--INDEX('Pooled funds'!$D:$D,ROW()),0)</f>
        <v/>
      </c>
      <c r="T544">
        <f>IFERROR(IF(--INDEX('Pooled funds'!$E:$E,ROW())&gt;=1,--INDEX('Pooled funds'!$E:$E,ROW())/100,--INDEX('Pooled funds'!$E:$E,ROW())),0)</f>
        <v/>
      </c>
      <c r="U544">
        <f>IF(ISNUMBER(INDEX('Pooled funds'!$E:$E,ROW())),1,0)</f>
        <v/>
      </c>
      <c r="V544">
        <f>TRIM(SUBSTITUTE(INDEX('Loans'!$A:$A,ROW())&amp;""," "," "))</f>
        <v/>
      </c>
      <c r="W544">
        <f>TRIM(SUBSTITUTE(INDEX('Loans'!$B:$B,ROW())&amp;""," "," "))</f>
        <v/>
      </c>
      <c r="X544">
        <f>TRIM(SUBSTITUTE(INDEX('Loans'!$C:$C,ROW())&amp;""," "," "))</f>
        <v/>
      </c>
      <c r="Y544">
        <f>IFERROR(--INDEX('Loans'!$D:$D,ROW()),0)</f>
        <v/>
      </c>
      <c r="Z544">
        <f>IFERROR(--INDEX('Loans'!$E:$E,ROW()),0)</f>
        <v/>
      </c>
      <c r="AA544">
        <f>IFERROR(--INDEX('Loans'!$F:$F,ROW()),0)</f>
        <v/>
      </c>
      <c r="AB544">
        <f>IFERROR(IF(--INDEX('Loans'!$G:$G,ROW())&gt;=1,--INDEX('Loans'!$G:$G,ROW())/100,--INDEX('Loans'!$G:$G,ROW())),0)</f>
        <v/>
      </c>
      <c r="AC544">
        <f>TRIM(SUBSTITUTE(INDEX('Loans'!$H:$H,ROW())&amp;""," "," "))</f>
        <v/>
      </c>
      <c r="AD544">
        <f>TRIM(SUBSTITUTE(INDEX('Loans'!$I:$I,ROW())&amp;""," "," "))</f>
        <v/>
      </c>
      <c r="AE544">
        <f>IFERROR(--INDEX('Loans'!$J:$J,ROW()),0)</f>
        <v/>
      </c>
      <c r="AF544">
        <f>TRIM(SUBSTITUTE(INDEX('Loans'!$K:$K,ROW())&amp;""," "," "))</f>
        <v/>
      </c>
      <c r="AG544">
        <f>IFERROR(--INDEX('Loans'!$L:$L,ROW()),0)</f>
        <v/>
      </c>
      <c r="AH544">
        <f>IF(ISNUMBER(INDEX('Loans'!$G:$G,ROW())),1,0)</f>
        <v/>
      </c>
    </row>
    <row r="545">
      <c r="A545">
        <f>TRIM(SUBSTITUTE(INDEX('Term investments'!$A:$A,ROW())&amp;""," "," "))</f>
        <v/>
      </c>
      <c r="B545">
        <f>TRIM(SUBSTITUTE(INDEX('Term investments'!$B:$B,ROW())&amp;""," "," "))</f>
        <v/>
      </c>
      <c r="C545">
        <f>TRIM(SUBSTITUTE(INDEX('Term investments'!$C:$C,ROW())&amp;""," "," "))</f>
        <v/>
      </c>
      <c r="D545">
        <f>IFERROR(--INDEX('Term investments'!$D:$D,ROW()),0)</f>
        <v/>
      </c>
      <c r="E545">
        <f>IFERROR(--INDEX('Term investments'!$E:$E,ROW()),0)</f>
        <v/>
      </c>
      <c r="F545">
        <f>IFERROR(--INDEX('Term investments'!$F:$F,ROW()),0)</f>
        <v/>
      </c>
      <c r="G545">
        <f>IFERROR(IF(--INDEX('Term investments'!$G:$G,ROW())&gt;=1,--INDEX('Term investments'!$G:$G,ROW())/100,--INDEX('Term investments'!$G:$G,ROW())),0)</f>
        <v/>
      </c>
      <c r="H545">
        <f>IFERROR(--INDEX('Term investments'!$H:$H,ROW()),0)</f>
        <v/>
      </c>
      <c r="I545">
        <f>IF(ISNUMBER(INDEX('Term investments'!$G:$G,ROW())),1,0)</f>
        <v/>
      </c>
      <c r="J545">
        <f>TRIM(SUBSTITUTE(INDEX('Call accounts and MMFs'!$A:$A,ROW())&amp;""," "," "))</f>
        <v/>
      </c>
      <c r="K545">
        <f>TRIM(SUBSTITUTE(INDEX('Call accounts and MMFs'!$B:$B,ROW())&amp;""," "," "))</f>
        <v/>
      </c>
      <c r="L545">
        <f>TRIM(SUBSTITUTE(INDEX('Call accounts and MMFs'!$C:$C,ROW())&amp;""," "," "))</f>
        <v/>
      </c>
      <c r="M545">
        <f>IFERROR(--INDEX('Call accounts and MMFs'!$D:$D,ROW()),0)</f>
        <v/>
      </c>
      <c r="N545">
        <f>IFERROR(IF(--INDEX('Call accounts and MMFs'!$E:$E,ROW())&gt;=1,--INDEX('Call accounts and MMFs'!$E:$E,ROW())/100,--INDEX('Call accounts and MMFs'!$E:$E,ROW())),0)</f>
        <v/>
      </c>
      <c r="O545">
        <f>IFERROR(--INDEX('Call accounts and MMFs'!$F:$F,ROW()),0)</f>
        <v/>
      </c>
      <c r="P545">
        <f>IF(ISNUMBER(INDEX('Call accounts and MMFs'!$E:$E,ROW())),1,0)</f>
        <v/>
      </c>
      <c r="Q545">
        <f>TRIM(SUBSTITUTE(INDEX('Pooled funds'!$B:$B,ROW())&amp;""," "," "))</f>
        <v/>
      </c>
      <c r="R545">
        <f>IFERROR(--INDEX('Pooled funds'!$C:$C,ROW()),0)</f>
        <v/>
      </c>
      <c r="S545">
        <f>IFERROR(--INDEX('Pooled funds'!$D:$D,ROW()),0)</f>
        <v/>
      </c>
      <c r="T545">
        <f>IFERROR(IF(--INDEX('Pooled funds'!$E:$E,ROW())&gt;=1,--INDEX('Pooled funds'!$E:$E,ROW())/100,--INDEX('Pooled funds'!$E:$E,ROW())),0)</f>
        <v/>
      </c>
      <c r="U545">
        <f>IF(ISNUMBER(INDEX('Pooled funds'!$E:$E,ROW())),1,0)</f>
        <v/>
      </c>
      <c r="V545">
        <f>TRIM(SUBSTITUTE(INDEX('Loans'!$A:$A,ROW())&amp;""," "," "))</f>
        <v/>
      </c>
      <c r="W545">
        <f>TRIM(SUBSTITUTE(INDEX('Loans'!$B:$B,ROW())&amp;""," "," "))</f>
        <v/>
      </c>
      <c r="X545">
        <f>TRIM(SUBSTITUTE(INDEX('Loans'!$C:$C,ROW())&amp;""," "," "))</f>
        <v/>
      </c>
      <c r="Y545">
        <f>IFERROR(--INDEX('Loans'!$D:$D,ROW()),0)</f>
        <v/>
      </c>
      <c r="Z545">
        <f>IFERROR(--INDEX('Loans'!$E:$E,ROW()),0)</f>
        <v/>
      </c>
      <c r="AA545">
        <f>IFERROR(--INDEX('Loans'!$F:$F,ROW()),0)</f>
        <v/>
      </c>
      <c r="AB545">
        <f>IFERROR(IF(--INDEX('Loans'!$G:$G,ROW())&gt;=1,--INDEX('Loans'!$G:$G,ROW())/100,--INDEX('Loans'!$G:$G,ROW())),0)</f>
        <v/>
      </c>
      <c r="AC545">
        <f>TRIM(SUBSTITUTE(INDEX('Loans'!$H:$H,ROW())&amp;""," "," "))</f>
        <v/>
      </c>
      <c r="AD545">
        <f>TRIM(SUBSTITUTE(INDEX('Loans'!$I:$I,ROW())&amp;""," "," "))</f>
        <v/>
      </c>
      <c r="AE545">
        <f>IFERROR(--INDEX('Loans'!$J:$J,ROW()),0)</f>
        <v/>
      </c>
      <c r="AF545">
        <f>TRIM(SUBSTITUTE(INDEX('Loans'!$K:$K,ROW())&amp;""," "," "))</f>
        <v/>
      </c>
      <c r="AG545">
        <f>IFERROR(--INDEX('Loans'!$L:$L,ROW()),0)</f>
        <v/>
      </c>
      <c r="AH545">
        <f>IF(ISNUMBER(INDEX('Loans'!$G:$G,ROW())),1,0)</f>
        <v/>
      </c>
    </row>
    <row r="546">
      <c r="A546">
        <f>TRIM(SUBSTITUTE(INDEX('Term investments'!$A:$A,ROW())&amp;""," "," "))</f>
        <v/>
      </c>
      <c r="B546">
        <f>TRIM(SUBSTITUTE(INDEX('Term investments'!$B:$B,ROW())&amp;""," "," "))</f>
        <v/>
      </c>
      <c r="C546">
        <f>TRIM(SUBSTITUTE(INDEX('Term investments'!$C:$C,ROW())&amp;""," "," "))</f>
        <v/>
      </c>
      <c r="D546">
        <f>IFERROR(--INDEX('Term investments'!$D:$D,ROW()),0)</f>
        <v/>
      </c>
      <c r="E546">
        <f>IFERROR(--INDEX('Term investments'!$E:$E,ROW()),0)</f>
        <v/>
      </c>
      <c r="F546">
        <f>IFERROR(--INDEX('Term investments'!$F:$F,ROW()),0)</f>
        <v/>
      </c>
      <c r="G546">
        <f>IFERROR(IF(--INDEX('Term investments'!$G:$G,ROW())&gt;=1,--INDEX('Term investments'!$G:$G,ROW())/100,--INDEX('Term investments'!$G:$G,ROW())),0)</f>
        <v/>
      </c>
      <c r="H546">
        <f>IFERROR(--INDEX('Term investments'!$H:$H,ROW()),0)</f>
        <v/>
      </c>
      <c r="I546">
        <f>IF(ISNUMBER(INDEX('Term investments'!$G:$G,ROW())),1,0)</f>
        <v/>
      </c>
      <c r="J546">
        <f>TRIM(SUBSTITUTE(INDEX('Call accounts and MMFs'!$A:$A,ROW())&amp;""," "," "))</f>
        <v/>
      </c>
      <c r="K546">
        <f>TRIM(SUBSTITUTE(INDEX('Call accounts and MMFs'!$B:$B,ROW())&amp;""," "," "))</f>
        <v/>
      </c>
      <c r="L546">
        <f>TRIM(SUBSTITUTE(INDEX('Call accounts and MMFs'!$C:$C,ROW())&amp;""," "," "))</f>
        <v/>
      </c>
      <c r="M546">
        <f>IFERROR(--INDEX('Call accounts and MMFs'!$D:$D,ROW()),0)</f>
        <v/>
      </c>
      <c r="N546">
        <f>IFERROR(IF(--INDEX('Call accounts and MMFs'!$E:$E,ROW())&gt;=1,--INDEX('Call accounts and MMFs'!$E:$E,ROW())/100,--INDEX('Call accounts and MMFs'!$E:$E,ROW())),0)</f>
        <v/>
      </c>
      <c r="O546">
        <f>IFERROR(--INDEX('Call accounts and MMFs'!$F:$F,ROW()),0)</f>
        <v/>
      </c>
      <c r="P546">
        <f>IF(ISNUMBER(INDEX('Call accounts and MMFs'!$E:$E,ROW())),1,0)</f>
        <v/>
      </c>
      <c r="Q546">
        <f>TRIM(SUBSTITUTE(INDEX('Pooled funds'!$B:$B,ROW())&amp;""," "," "))</f>
        <v/>
      </c>
      <c r="R546">
        <f>IFERROR(--INDEX('Pooled funds'!$C:$C,ROW()),0)</f>
        <v/>
      </c>
      <c r="S546">
        <f>IFERROR(--INDEX('Pooled funds'!$D:$D,ROW()),0)</f>
        <v/>
      </c>
      <c r="T546">
        <f>IFERROR(IF(--INDEX('Pooled funds'!$E:$E,ROW())&gt;=1,--INDEX('Pooled funds'!$E:$E,ROW())/100,--INDEX('Pooled funds'!$E:$E,ROW())),0)</f>
        <v/>
      </c>
      <c r="U546">
        <f>IF(ISNUMBER(INDEX('Pooled funds'!$E:$E,ROW())),1,0)</f>
        <v/>
      </c>
      <c r="V546">
        <f>TRIM(SUBSTITUTE(INDEX('Loans'!$A:$A,ROW())&amp;""," "," "))</f>
        <v/>
      </c>
      <c r="W546">
        <f>TRIM(SUBSTITUTE(INDEX('Loans'!$B:$B,ROW())&amp;""," "," "))</f>
        <v/>
      </c>
      <c r="X546">
        <f>TRIM(SUBSTITUTE(INDEX('Loans'!$C:$C,ROW())&amp;""," "," "))</f>
        <v/>
      </c>
      <c r="Y546">
        <f>IFERROR(--INDEX('Loans'!$D:$D,ROW()),0)</f>
        <v/>
      </c>
      <c r="Z546">
        <f>IFERROR(--INDEX('Loans'!$E:$E,ROW()),0)</f>
        <v/>
      </c>
      <c r="AA546">
        <f>IFERROR(--INDEX('Loans'!$F:$F,ROW()),0)</f>
        <v/>
      </c>
      <c r="AB546">
        <f>IFERROR(IF(--INDEX('Loans'!$G:$G,ROW())&gt;=1,--INDEX('Loans'!$G:$G,ROW())/100,--INDEX('Loans'!$G:$G,ROW())),0)</f>
        <v/>
      </c>
      <c r="AC546">
        <f>TRIM(SUBSTITUTE(INDEX('Loans'!$H:$H,ROW())&amp;""," "," "))</f>
        <v/>
      </c>
      <c r="AD546">
        <f>TRIM(SUBSTITUTE(INDEX('Loans'!$I:$I,ROW())&amp;""," "," "))</f>
        <v/>
      </c>
      <c r="AE546">
        <f>IFERROR(--INDEX('Loans'!$J:$J,ROW()),0)</f>
        <v/>
      </c>
      <c r="AF546">
        <f>TRIM(SUBSTITUTE(INDEX('Loans'!$K:$K,ROW())&amp;""," "," "))</f>
        <v/>
      </c>
      <c r="AG546">
        <f>IFERROR(--INDEX('Loans'!$L:$L,ROW()),0)</f>
        <v/>
      </c>
      <c r="AH546">
        <f>IF(ISNUMBER(INDEX('Loans'!$G:$G,ROW())),1,0)</f>
        <v/>
      </c>
    </row>
    <row r="547">
      <c r="A547">
        <f>TRIM(SUBSTITUTE(INDEX('Term investments'!$A:$A,ROW())&amp;""," "," "))</f>
        <v/>
      </c>
      <c r="B547">
        <f>TRIM(SUBSTITUTE(INDEX('Term investments'!$B:$B,ROW())&amp;""," "," "))</f>
        <v/>
      </c>
      <c r="C547">
        <f>TRIM(SUBSTITUTE(INDEX('Term investments'!$C:$C,ROW())&amp;""," "," "))</f>
        <v/>
      </c>
      <c r="D547">
        <f>IFERROR(--INDEX('Term investments'!$D:$D,ROW()),0)</f>
        <v/>
      </c>
      <c r="E547">
        <f>IFERROR(--INDEX('Term investments'!$E:$E,ROW()),0)</f>
        <v/>
      </c>
      <c r="F547">
        <f>IFERROR(--INDEX('Term investments'!$F:$F,ROW()),0)</f>
        <v/>
      </c>
      <c r="G547">
        <f>IFERROR(IF(--INDEX('Term investments'!$G:$G,ROW())&gt;=1,--INDEX('Term investments'!$G:$G,ROW())/100,--INDEX('Term investments'!$G:$G,ROW())),0)</f>
        <v/>
      </c>
      <c r="H547">
        <f>IFERROR(--INDEX('Term investments'!$H:$H,ROW()),0)</f>
        <v/>
      </c>
      <c r="I547">
        <f>IF(ISNUMBER(INDEX('Term investments'!$G:$G,ROW())),1,0)</f>
        <v/>
      </c>
      <c r="J547">
        <f>TRIM(SUBSTITUTE(INDEX('Call accounts and MMFs'!$A:$A,ROW())&amp;""," "," "))</f>
        <v/>
      </c>
      <c r="K547">
        <f>TRIM(SUBSTITUTE(INDEX('Call accounts and MMFs'!$B:$B,ROW())&amp;""," "," "))</f>
        <v/>
      </c>
      <c r="L547">
        <f>TRIM(SUBSTITUTE(INDEX('Call accounts and MMFs'!$C:$C,ROW())&amp;""," "," "))</f>
        <v/>
      </c>
      <c r="M547">
        <f>IFERROR(--INDEX('Call accounts and MMFs'!$D:$D,ROW()),0)</f>
        <v/>
      </c>
      <c r="N547">
        <f>IFERROR(IF(--INDEX('Call accounts and MMFs'!$E:$E,ROW())&gt;=1,--INDEX('Call accounts and MMFs'!$E:$E,ROW())/100,--INDEX('Call accounts and MMFs'!$E:$E,ROW())),0)</f>
        <v/>
      </c>
      <c r="O547">
        <f>IFERROR(--INDEX('Call accounts and MMFs'!$F:$F,ROW()),0)</f>
        <v/>
      </c>
      <c r="P547">
        <f>IF(ISNUMBER(INDEX('Call accounts and MMFs'!$E:$E,ROW())),1,0)</f>
        <v/>
      </c>
      <c r="Q547">
        <f>TRIM(SUBSTITUTE(INDEX('Pooled funds'!$B:$B,ROW())&amp;""," "," "))</f>
        <v/>
      </c>
      <c r="R547">
        <f>IFERROR(--INDEX('Pooled funds'!$C:$C,ROW()),0)</f>
        <v/>
      </c>
      <c r="S547">
        <f>IFERROR(--INDEX('Pooled funds'!$D:$D,ROW()),0)</f>
        <v/>
      </c>
      <c r="T547">
        <f>IFERROR(IF(--INDEX('Pooled funds'!$E:$E,ROW())&gt;=1,--INDEX('Pooled funds'!$E:$E,ROW())/100,--INDEX('Pooled funds'!$E:$E,ROW())),0)</f>
        <v/>
      </c>
      <c r="U547">
        <f>IF(ISNUMBER(INDEX('Pooled funds'!$E:$E,ROW())),1,0)</f>
        <v/>
      </c>
      <c r="V547">
        <f>TRIM(SUBSTITUTE(INDEX('Loans'!$A:$A,ROW())&amp;""," "," "))</f>
        <v/>
      </c>
      <c r="W547">
        <f>TRIM(SUBSTITUTE(INDEX('Loans'!$B:$B,ROW())&amp;""," "," "))</f>
        <v/>
      </c>
      <c r="X547">
        <f>TRIM(SUBSTITUTE(INDEX('Loans'!$C:$C,ROW())&amp;""," "," "))</f>
        <v/>
      </c>
      <c r="Y547">
        <f>IFERROR(--INDEX('Loans'!$D:$D,ROW()),0)</f>
        <v/>
      </c>
      <c r="Z547">
        <f>IFERROR(--INDEX('Loans'!$E:$E,ROW()),0)</f>
        <v/>
      </c>
      <c r="AA547">
        <f>IFERROR(--INDEX('Loans'!$F:$F,ROW()),0)</f>
        <v/>
      </c>
      <c r="AB547">
        <f>IFERROR(IF(--INDEX('Loans'!$G:$G,ROW())&gt;=1,--INDEX('Loans'!$G:$G,ROW())/100,--INDEX('Loans'!$G:$G,ROW())),0)</f>
        <v/>
      </c>
      <c r="AC547">
        <f>TRIM(SUBSTITUTE(INDEX('Loans'!$H:$H,ROW())&amp;""," "," "))</f>
        <v/>
      </c>
      <c r="AD547">
        <f>TRIM(SUBSTITUTE(INDEX('Loans'!$I:$I,ROW())&amp;""," "," "))</f>
        <v/>
      </c>
      <c r="AE547">
        <f>IFERROR(--INDEX('Loans'!$J:$J,ROW()),0)</f>
        <v/>
      </c>
      <c r="AF547">
        <f>TRIM(SUBSTITUTE(INDEX('Loans'!$K:$K,ROW())&amp;""," "," "))</f>
        <v/>
      </c>
      <c r="AG547">
        <f>IFERROR(--INDEX('Loans'!$L:$L,ROW()),0)</f>
        <v/>
      </c>
      <c r="AH547">
        <f>IF(ISNUMBER(INDEX('Loans'!$G:$G,ROW())),1,0)</f>
        <v/>
      </c>
    </row>
    <row r="548">
      <c r="A548">
        <f>TRIM(SUBSTITUTE(INDEX('Term investments'!$A:$A,ROW())&amp;""," "," "))</f>
        <v/>
      </c>
      <c r="B548">
        <f>TRIM(SUBSTITUTE(INDEX('Term investments'!$B:$B,ROW())&amp;""," "," "))</f>
        <v/>
      </c>
      <c r="C548">
        <f>TRIM(SUBSTITUTE(INDEX('Term investments'!$C:$C,ROW())&amp;""," "," "))</f>
        <v/>
      </c>
      <c r="D548">
        <f>IFERROR(--INDEX('Term investments'!$D:$D,ROW()),0)</f>
        <v/>
      </c>
      <c r="E548">
        <f>IFERROR(--INDEX('Term investments'!$E:$E,ROW()),0)</f>
        <v/>
      </c>
      <c r="F548">
        <f>IFERROR(--INDEX('Term investments'!$F:$F,ROW()),0)</f>
        <v/>
      </c>
      <c r="G548">
        <f>IFERROR(IF(--INDEX('Term investments'!$G:$G,ROW())&gt;=1,--INDEX('Term investments'!$G:$G,ROW())/100,--INDEX('Term investments'!$G:$G,ROW())),0)</f>
        <v/>
      </c>
      <c r="H548">
        <f>IFERROR(--INDEX('Term investments'!$H:$H,ROW()),0)</f>
        <v/>
      </c>
      <c r="I548">
        <f>IF(ISNUMBER(INDEX('Term investments'!$G:$G,ROW())),1,0)</f>
        <v/>
      </c>
      <c r="J548">
        <f>TRIM(SUBSTITUTE(INDEX('Call accounts and MMFs'!$A:$A,ROW())&amp;""," "," "))</f>
        <v/>
      </c>
      <c r="K548">
        <f>TRIM(SUBSTITUTE(INDEX('Call accounts and MMFs'!$B:$B,ROW())&amp;""," "," "))</f>
        <v/>
      </c>
      <c r="L548">
        <f>TRIM(SUBSTITUTE(INDEX('Call accounts and MMFs'!$C:$C,ROW())&amp;""," "," "))</f>
        <v/>
      </c>
      <c r="M548">
        <f>IFERROR(--INDEX('Call accounts and MMFs'!$D:$D,ROW()),0)</f>
        <v/>
      </c>
      <c r="N548">
        <f>IFERROR(IF(--INDEX('Call accounts and MMFs'!$E:$E,ROW())&gt;=1,--INDEX('Call accounts and MMFs'!$E:$E,ROW())/100,--INDEX('Call accounts and MMFs'!$E:$E,ROW())),0)</f>
        <v/>
      </c>
      <c r="O548">
        <f>IFERROR(--INDEX('Call accounts and MMFs'!$F:$F,ROW()),0)</f>
        <v/>
      </c>
      <c r="P548">
        <f>IF(ISNUMBER(INDEX('Call accounts and MMFs'!$E:$E,ROW())),1,0)</f>
        <v/>
      </c>
      <c r="Q548">
        <f>TRIM(SUBSTITUTE(INDEX('Pooled funds'!$B:$B,ROW())&amp;""," "," "))</f>
        <v/>
      </c>
      <c r="R548">
        <f>IFERROR(--INDEX('Pooled funds'!$C:$C,ROW()),0)</f>
        <v/>
      </c>
      <c r="S548">
        <f>IFERROR(--INDEX('Pooled funds'!$D:$D,ROW()),0)</f>
        <v/>
      </c>
      <c r="T548">
        <f>IFERROR(IF(--INDEX('Pooled funds'!$E:$E,ROW())&gt;=1,--INDEX('Pooled funds'!$E:$E,ROW())/100,--INDEX('Pooled funds'!$E:$E,ROW())),0)</f>
        <v/>
      </c>
      <c r="U548">
        <f>IF(ISNUMBER(INDEX('Pooled funds'!$E:$E,ROW())),1,0)</f>
        <v/>
      </c>
      <c r="V548">
        <f>TRIM(SUBSTITUTE(INDEX('Loans'!$A:$A,ROW())&amp;""," "," "))</f>
        <v/>
      </c>
      <c r="W548">
        <f>TRIM(SUBSTITUTE(INDEX('Loans'!$B:$B,ROW())&amp;""," "," "))</f>
        <v/>
      </c>
      <c r="X548">
        <f>TRIM(SUBSTITUTE(INDEX('Loans'!$C:$C,ROW())&amp;""," "," "))</f>
        <v/>
      </c>
      <c r="Y548">
        <f>IFERROR(--INDEX('Loans'!$D:$D,ROW()),0)</f>
        <v/>
      </c>
      <c r="Z548">
        <f>IFERROR(--INDEX('Loans'!$E:$E,ROW()),0)</f>
        <v/>
      </c>
      <c r="AA548">
        <f>IFERROR(--INDEX('Loans'!$F:$F,ROW()),0)</f>
        <v/>
      </c>
      <c r="AB548">
        <f>IFERROR(IF(--INDEX('Loans'!$G:$G,ROW())&gt;=1,--INDEX('Loans'!$G:$G,ROW())/100,--INDEX('Loans'!$G:$G,ROW())),0)</f>
        <v/>
      </c>
      <c r="AC548">
        <f>TRIM(SUBSTITUTE(INDEX('Loans'!$H:$H,ROW())&amp;""," "," "))</f>
        <v/>
      </c>
      <c r="AD548">
        <f>TRIM(SUBSTITUTE(INDEX('Loans'!$I:$I,ROW())&amp;""," "," "))</f>
        <v/>
      </c>
      <c r="AE548">
        <f>IFERROR(--INDEX('Loans'!$J:$J,ROW()),0)</f>
        <v/>
      </c>
      <c r="AF548">
        <f>TRIM(SUBSTITUTE(INDEX('Loans'!$K:$K,ROW())&amp;""," "," "))</f>
        <v/>
      </c>
      <c r="AG548">
        <f>IFERROR(--INDEX('Loans'!$L:$L,ROW()),0)</f>
        <v/>
      </c>
      <c r="AH548">
        <f>IF(ISNUMBER(INDEX('Loans'!$G:$G,ROW())),1,0)</f>
        <v/>
      </c>
    </row>
    <row r="549">
      <c r="A549">
        <f>TRIM(SUBSTITUTE(INDEX('Term investments'!$A:$A,ROW())&amp;""," "," "))</f>
        <v/>
      </c>
      <c r="B549">
        <f>TRIM(SUBSTITUTE(INDEX('Term investments'!$B:$B,ROW())&amp;""," "," "))</f>
        <v/>
      </c>
      <c r="C549">
        <f>TRIM(SUBSTITUTE(INDEX('Term investments'!$C:$C,ROW())&amp;""," "," "))</f>
        <v/>
      </c>
      <c r="D549">
        <f>IFERROR(--INDEX('Term investments'!$D:$D,ROW()),0)</f>
        <v/>
      </c>
      <c r="E549">
        <f>IFERROR(--INDEX('Term investments'!$E:$E,ROW()),0)</f>
        <v/>
      </c>
      <c r="F549">
        <f>IFERROR(--INDEX('Term investments'!$F:$F,ROW()),0)</f>
        <v/>
      </c>
      <c r="G549">
        <f>IFERROR(IF(--INDEX('Term investments'!$G:$G,ROW())&gt;=1,--INDEX('Term investments'!$G:$G,ROW())/100,--INDEX('Term investments'!$G:$G,ROW())),0)</f>
        <v/>
      </c>
      <c r="H549">
        <f>IFERROR(--INDEX('Term investments'!$H:$H,ROW()),0)</f>
        <v/>
      </c>
      <c r="I549">
        <f>IF(ISNUMBER(INDEX('Term investments'!$G:$G,ROW())),1,0)</f>
        <v/>
      </c>
      <c r="J549">
        <f>TRIM(SUBSTITUTE(INDEX('Call accounts and MMFs'!$A:$A,ROW())&amp;""," "," "))</f>
        <v/>
      </c>
      <c r="K549">
        <f>TRIM(SUBSTITUTE(INDEX('Call accounts and MMFs'!$B:$B,ROW())&amp;""," "," "))</f>
        <v/>
      </c>
      <c r="L549">
        <f>TRIM(SUBSTITUTE(INDEX('Call accounts and MMFs'!$C:$C,ROW())&amp;""," "," "))</f>
        <v/>
      </c>
      <c r="M549">
        <f>IFERROR(--INDEX('Call accounts and MMFs'!$D:$D,ROW()),0)</f>
        <v/>
      </c>
      <c r="N549">
        <f>IFERROR(IF(--INDEX('Call accounts and MMFs'!$E:$E,ROW())&gt;=1,--INDEX('Call accounts and MMFs'!$E:$E,ROW())/100,--INDEX('Call accounts and MMFs'!$E:$E,ROW())),0)</f>
        <v/>
      </c>
      <c r="O549">
        <f>IFERROR(--INDEX('Call accounts and MMFs'!$F:$F,ROW()),0)</f>
        <v/>
      </c>
      <c r="P549">
        <f>IF(ISNUMBER(INDEX('Call accounts and MMFs'!$E:$E,ROW())),1,0)</f>
        <v/>
      </c>
      <c r="Q549">
        <f>TRIM(SUBSTITUTE(INDEX('Pooled funds'!$B:$B,ROW())&amp;""," "," "))</f>
        <v/>
      </c>
      <c r="R549">
        <f>IFERROR(--INDEX('Pooled funds'!$C:$C,ROW()),0)</f>
        <v/>
      </c>
      <c r="S549">
        <f>IFERROR(--INDEX('Pooled funds'!$D:$D,ROW()),0)</f>
        <v/>
      </c>
      <c r="T549">
        <f>IFERROR(IF(--INDEX('Pooled funds'!$E:$E,ROW())&gt;=1,--INDEX('Pooled funds'!$E:$E,ROW())/100,--INDEX('Pooled funds'!$E:$E,ROW())),0)</f>
        <v/>
      </c>
      <c r="U549">
        <f>IF(ISNUMBER(INDEX('Pooled funds'!$E:$E,ROW())),1,0)</f>
        <v/>
      </c>
      <c r="V549">
        <f>TRIM(SUBSTITUTE(INDEX('Loans'!$A:$A,ROW())&amp;""," "," "))</f>
        <v/>
      </c>
      <c r="W549">
        <f>TRIM(SUBSTITUTE(INDEX('Loans'!$B:$B,ROW())&amp;""," "," "))</f>
        <v/>
      </c>
      <c r="X549">
        <f>TRIM(SUBSTITUTE(INDEX('Loans'!$C:$C,ROW())&amp;""," "," "))</f>
        <v/>
      </c>
      <c r="Y549">
        <f>IFERROR(--INDEX('Loans'!$D:$D,ROW()),0)</f>
        <v/>
      </c>
      <c r="Z549">
        <f>IFERROR(--INDEX('Loans'!$E:$E,ROW()),0)</f>
        <v/>
      </c>
      <c r="AA549">
        <f>IFERROR(--INDEX('Loans'!$F:$F,ROW()),0)</f>
        <v/>
      </c>
      <c r="AB549">
        <f>IFERROR(IF(--INDEX('Loans'!$G:$G,ROW())&gt;=1,--INDEX('Loans'!$G:$G,ROW())/100,--INDEX('Loans'!$G:$G,ROW())),0)</f>
        <v/>
      </c>
      <c r="AC549">
        <f>TRIM(SUBSTITUTE(INDEX('Loans'!$H:$H,ROW())&amp;""," "," "))</f>
        <v/>
      </c>
      <c r="AD549">
        <f>TRIM(SUBSTITUTE(INDEX('Loans'!$I:$I,ROW())&amp;""," "," "))</f>
        <v/>
      </c>
      <c r="AE549">
        <f>IFERROR(--INDEX('Loans'!$J:$J,ROW()),0)</f>
        <v/>
      </c>
      <c r="AF549">
        <f>TRIM(SUBSTITUTE(INDEX('Loans'!$K:$K,ROW())&amp;""," "," "))</f>
        <v/>
      </c>
      <c r="AG549">
        <f>IFERROR(--INDEX('Loans'!$L:$L,ROW()),0)</f>
        <v/>
      </c>
      <c r="AH549">
        <f>IF(ISNUMBER(INDEX('Loans'!$G:$G,ROW())),1,0)</f>
        <v/>
      </c>
    </row>
    <row r="550">
      <c r="A550">
        <f>TRIM(SUBSTITUTE(INDEX('Term investments'!$A:$A,ROW())&amp;""," "," "))</f>
        <v/>
      </c>
      <c r="B550">
        <f>TRIM(SUBSTITUTE(INDEX('Term investments'!$B:$B,ROW())&amp;""," "," "))</f>
        <v/>
      </c>
      <c r="C550">
        <f>TRIM(SUBSTITUTE(INDEX('Term investments'!$C:$C,ROW())&amp;""," "," "))</f>
        <v/>
      </c>
      <c r="D550">
        <f>IFERROR(--INDEX('Term investments'!$D:$D,ROW()),0)</f>
        <v/>
      </c>
      <c r="E550">
        <f>IFERROR(--INDEX('Term investments'!$E:$E,ROW()),0)</f>
        <v/>
      </c>
      <c r="F550">
        <f>IFERROR(--INDEX('Term investments'!$F:$F,ROW()),0)</f>
        <v/>
      </c>
      <c r="G550">
        <f>IFERROR(IF(--INDEX('Term investments'!$G:$G,ROW())&gt;=1,--INDEX('Term investments'!$G:$G,ROW())/100,--INDEX('Term investments'!$G:$G,ROW())),0)</f>
        <v/>
      </c>
      <c r="H550">
        <f>IFERROR(--INDEX('Term investments'!$H:$H,ROW()),0)</f>
        <v/>
      </c>
      <c r="I550">
        <f>IF(ISNUMBER(INDEX('Term investments'!$G:$G,ROW())),1,0)</f>
        <v/>
      </c>
      <c r="J550">
        <f>TRIM(SUBSTITUTE(INDEX('Call accounts and MMFs'!$A:$A,ROW())&amp;""," "," "))</f>
        <v/>
      </c>
      <c r="K550">
        <f>TRIM(SUBSTITUTE(INDEX('Call accounts and MMFs'!$B:$B,ROW())&amp;""," "," "))</f>
        <v/>
      </c>
      <c r="L550">
        <f>TRIM(SUBSTITUTE(INDEX('Call accounts and MMFs'!$C:$C,ROW())&amp;""," "," "))</f>
        <v/>
      </c>
      <c r="M550">
        <f>IFERROR(--INDEX('Call accounts and MMFs'!$D:$D,ROW()),0)</f>
        <v/>
      </c>
      <c r="N550">
        <f>IFERROR(IF(--INDEX('Call accounts and MMFs'!$E:$E,ROW())&gt;=1,--INDEX('Call accounts and MMFs'!$E:$E,ROW())/100,--INDEX('Call accounts and MMFs'!$E:$E,ROW())),0)</f>
        <v/>
      </c>
      <c r="O550">
        <f>IFERROR(--INDEX('Call accounts and MMFs'!$F:$F,ROW()),0)</f>
        <v/>
      </c>
      <c r="P550">
        <f>IF(ISNUMBER(INDEX('Call accounts and MMFs'!$E:$E,ROW())),1,0)</f>
        <v/>
      </c>
      <c r="Q550">
        <f>TRIM(SUBSTITUTE(INDEX('Pooled funds'!$B:$B,ROW())&amp;""," "," "))</f>
        <v/>
      </c>
      <c r="R550">
        <f>IFERROR(--INDEX('Pooled funds'!$C:$C,ROW()),0)</f>
        <v/>
      </c>
      <c r="S550">
        <f>IFERROR(--INDEX('Pooled funds'!$D:$D,ROW()),0)</f>
        <v/>
      </c>
      <c r="T550">
        <f>IFERROR(IF(--INDEX('Pooled funds'!$E:$E,ROW())&gt;=1,--INDEX('Pooled funds'!$E:$E,ROW())/100,--INDEX('Pooled funds'!$E:$E,ROW())),0)</f>
        <v/>
      </c>
      <c r="U550">
        <f>IF(ISNUMBER(INDEX('Pooled funds'!$E:$E,ROW())),1,0)</f>
        <v/>
      </c>
      <c r="V550">
        <f>TRIM(SUBSTITUTE(INDEX('Loans'!$A:$A,ROW())&amp;""," "," "))</f>
        <v/>
      </c>
      <c r="W550">
        <f>TRIM(SUBSTITUTE(INDEX('Loans'!$B:$B,ROW())&amp;""," "," "))</f>
        <v/>
      </c>
      <c r="X550">
        <f>TRIM(SUBSTITUTE(INDEX('Loans'!$C:$C,ROW())&amp;""," "," "))</f>
        <v/>
      </c>
      <c r="Y550">
        <f>IFERROR(--INDEX('Loans'!$D:$D,ROW()),0)</f>
        <v/>
      </c>
      <c r="Z550">
        <f>IFERROR(--INDEX('Loans'!$E:$E,ROW()),0)</f>
        <v/>
      </c>
      <c r="AA550">
        <f>IFERROR(--INDEX('Loans'!$F:$F,ROW()),0)</f>
        <v/>
      </c>
      <c r="AB550">
        <f>IFERROR(IF(--INDEX('Loans'!$G:$G,ROW())&gt;=1,--INDEX('Loans'!$G:$G,ROW())/100,--INDEX('Loans'!$G:$G,ROW())),0)</f>
        <v/>
      </c>
      <c r="AC550">
        <f>TRIM(SUBSTITUTE(INDEX('Loans'!$H:$H,ROW())&amp;""," "," "))</f>
        <v/>
      </c>
      <c r="AD550">
        <f>TRIM(SUBSTITUTE(INDEX('Loans'!$I:$I,ROW())&amp;""," "," "))</f>
        <v/>
      </c>
      <c r="AE550">
        <f>IFERROR(--INDEX('Loans'!$J:$J,ROW()),0)</f>
        <v/>
      </c>
      <c r="AF550">
        <f>TRIM(SUBSTITUTE(INDEX('Loans'!$K:$K,ROW())&amp;""," "," "))</f>
        <v/>
      </c>
      <c r="AG550">
        <f>IFERROR(--INDEX('Loans'!$L:$L,ROW()),0)</f>
        <v/>
      </c>
      <c r="AH550">
        <f>IF(ISNUMBER(INDEX('Loans'!$G:$G,ROW())),1,0)</f>
        <v/>
      </c>
    </row>
    <row r="551">
      <c r="A551">
        <f>TRIM(SUBSTITUTE(INDEX('Term investments'!$A:$A,ROW())&amp;""," "," "))</f>
        <v/>
      </c>
      <c r="B551">
        <f>TRIM(SUBSTITUTE(INDEX('Term investments'!$B:$B,ROW())&amp;""," "," "))</f>
        <v/>
      </c>
      <c r="C551">
        <f>TRIM(SUBSTITUTE(INDEX('Term investments'!$C:$C,ROW())&amp;""," "," "))</f>
        <v/>
      </c>
      <c r="D551">
        <f>IFERROR(--INDEX('Term investments'!$D:$D,ROW()),0)</f>
        <v/>
      </c>
      <c r="E551">
        <f>IFERROR(--INDEX('Term investments'!$E:$E,ROW()),0)</f>
        <v/>
      </c>
      <c r="F551">
        <f>IFERROR(--INDEX('Term investments'!$F:$F,ROW()),0)</f>
        <v/>
      </c>
      <c r="G551">
        <f>IFERROR(IF(--INDEX('Term investments'!$G:$G,ROW())&gt;=1,--INDEX('Term investments'!$G:$G,ROW())/100,--INDEX('Term investments'!$G:$G,ROW())),0)</f>
        <v/>
      </c>
      <c r="H551">
        <f>IFERROR(--INDEX('Term investments'!$H:$H,ROW()),0)</f>
        <v/>
      </c>
      <c r="I551">
        <f>IF(ISNUMBER(INDEX('Term investments'!$G:$G,ROW())),1,0)</f>
        <v/>
      </c>
      <c r="J551">
        <f>TRIM(SUBSTITUTE(INDEX('Call accounts and MMFs'!$A:$A,ROW())&amp;""," "," "))</f>
        <v/>
      </c>
      <c r="K551">
        <f>TRIM(SUBSTITUTE(INDEX('Call accounts and MMFs'!$B:$B,ROW())&amp;""," "," "))</f>
        <v/>
      </c>
      <c r="L551">
        <f>TRIM(SUBSTITUTE(INDEX('Call accounts and MMFs'!$C:$C,ROW())&amp;""," "," "))</f>
        <v/>
      </c>
      <c r="M551">
        <f>IFERROR(--INDEX('Call accounts and MMFs'!$D:$D,ROW()),0)</f>
        <v/>
      </c>
      <c r="N551">
        <f>IFERROR(IF(--INDEX('Call accounts and MMFs'!$E:$E,ROW())&gt;=1,--INDEX('Call accounts and MMFs'!$E:$E,ROW())/100,--INDEX('Call accounts and MMFs'!$E:$E,ROW())),0)</f>
        <v/>
      </c>
      <c r="O551">
        <f>IFERROR(--INDEX('Call accounts and MMFs'!$F:$F,ROW()),0)</f>
        <v/>
      </c>
      <c r="P551">
        <f>IF(ISNUMBER(INDEX('Call accounts and MMFs'!$E:$E,ROW())),1,0)</f>
        <v/>
      </c>
      <c r="Q551">
        <f>TRIM(SUBSTITUTE(INDEX('Pooled funds'!$B:$B,ROW())&amp;""," "," "))</f>
        <v/>
      </c>
      <c r="R551">
        <f>IFERROR(--INDEX('Pooled funds'!$C:$C,ROW()),0)</f>
        <v/>
      </c>
      <c r="S551">
        <f>IFERROR(--INDEX('Pooled funds'!$D:$D,ROW()),0)</f>
        <v/>
      </c>
      <c r="T551">
        <f>IFERROR(IF(--INDEX('Pooled funds'!$E:$E,ROW())&gt;=1,--INDEX('Pooled funds'!$E:$E,ROW())/100,--INDEX('Pooled funds'!$E:$E,ROW())),0)</f>
        <v/>
      </c>
      <c r="U551">
        <f>IF(ISNUMBER(INDEX('Pooled funds'!$E:$E,ROW())),1,0)</f>
        <v/>
      </c>
      <c r="V551">
        <f>TRIM(SUBSTITUTE(INDEX('Loans'!$A:$A,ROW())&amp;""," "," "))</f>
        <v/>
      </c>
      <c r="W551">
        <f>TRIM(SUBSTITUTE(INDEX('Loans'!$B:$B,ROW())&amp;""," "," "))</f>
        <v/>
      </c>
      <c r="X551">
        <f>TRIM(SUBSTITUTE(INDEX('Loans'!$C:$C,ROW())&amp;""," "," "))</f>
        <v/>
      </c>
      <c r="Y551">
        <f>IFERROR(--INDEX('Loans'!$D:$D,ROW()),0)</f>
        <v/>
      </c>
      <c r="Z551">
        <f>IFERROR(--INDEX('Loans'!$E:$E,ROW()),0)</f>
        <v/>
      </c>
      <c r="AA551">
        <f>IFERROR(--INDEX('Loans'!$F:$F,ROW()),0)</f>
        <v/>
      </c>
      <c r="AB551">
        <f>IFERROR(IF(--INDEX('Loans'!$G:$G,ROW())&gt;=1,--INDEX('Loans'!$G:$G,ROW())/100,--INDEX('Loans'!$G:$G,ROW())),0)</f>
        <v/>
      </c>
      <c r="AC551">
        <f>TRIM(SUBSTITUTE(INDEX('Loans'!$H:$H,ROW())&amp;""," "," "))</f>
        <v/>
      </c>
      <c r="AD551">
        <f>TRIM(SUBSTITUTE(INDEX('Loans'!$I:$I,ROW())&amp;""," "," "))</f>
        <v/>
      </c>
      <c r="AE551">
        <f>IFERROR(--INDEX('Loans'!$J:$J,ROW()),0)</f>
        <v/>
      </c>
      <c r="AF551">
        <f>TRIM(SUBSTITUTE(INDEX('Loans'!$K:$K,ROW())&amp;""," "," "))</f>
        <v/>
      </c>
      <c r="AG551">
        <f>IFERROR(--INDEX('Loans'!$L:$L,ROW()),0)</f>
        <v/>
      </c>
      <c r="AH551">
        <f>IF(ISNUMBER(INDEX('Loans'!$G:$G,ROW())),1,0)</f>
        <v/>
      </c>
    </row>
    <row r="552">
      <c r="A552">
        <f>TRIM(SUBSTITUTE(INDEX('Term investments'!$A:$A,ROW())&amp;""," "," "))</f>
        <v/>
      </c>
      <c r="B552">
        <f>TRIM(SUBSTITUTE(INDEX('Term investments'!$B:$B,ROW())&amp;""," "," "))</f>
        <v/>
      </c>
      <c r="C552">
        <f>TRIM(SUBSTITUTE(INDEX('Term investments'!$C:$C,ROW())&amp;""," "," "))</f>
        <v/>
      </c>
      <c r="D552">
        <f>IFERROR(--INDEX('Term investments'!$D:$D,ROW()),0)</f>
        <v/>
      </c>
      <c r="E552">
        <f>IFERROR(--INDEX('Term investments'!$E:$E,ROW()),0)</f>
        <v/>
      </c>
      <c r="F552">
        <f>IFERROR(--INDEX('Term investments'!$F:$F,ROW()),0)</f>
        <v/>
      </c>
      <c r="G552">
        <f>IFERROR(IF(--INDEX('Term investments'!$G:$G,ROW())&gt;=1,--INDEX('Term investments'!$G:$G,ROW())/100,--INDEX('Term investments'!$G:$G,ROW())),0)</f>
        <v/>
      </c>
      <c r="H552">
        <f>IFERROR(--INDEX('Term investments'!$H:$H,ROW()),0)</f>
        <v/>
      </c>
      <c r="I552">
        <f>IF(ISNUMBER(INDEX('Term investments'!$G:$G,ROW())),1,0)</f>
        <v/>
      </c>
      <c r="J552">
        <f>TRIM(SUBSTITUTE(INDEX('Call accounts and MMFs'!$A:$A,ROW())&amp;""," "," "))</f>
        <v/>
      </c>
      <c r="K552">
        <f>TRIM(SUBSTITUTE(INDEX('Call accounts and MMFs'!$B:$B,ROW())&amp;""," "," "))</f>
        <v/>
      </c>
      <c r="L552">
        <f>TRIM(SUBSTITUTE(INDEX('Call accounts and MMFs'!$C:$C,ROW())&amp;""," "," "))</f>
        <v/>
      </c>
      <c r="M552">
        <f>IFERROR(--INDEX('Call accounts and MMFs'!$D:$D,ROW()),0)</f>
        <v/>
      </c>
      <c r="N552">
        <f>IFERROR(IF(--INDEX('Call accounts and MMFs'!$E:$E,ROW())&gt;=1,--INDEX('Call accounts and MMFs'!$E:$E,ROW())/100,--INDEX('Call accounts and MMFs'!$E:$E,ROW())),0)</f>
        <v/>
      </c>
      <c r="O552">
        <f>IFERROR(--INDEX('Call accounts and MMFs'!$F:$F,ROW()),0)</f>
        <v/>
      </c>
      <c r="P552">
        <f>IF(ISNUMBER(INDEX('Call accounts and MMFs'!$E:$E,ROW())),1,0)</f>
        <v/>
      </c>
      <c r="Q552">
        <f>TRIM(SUBSTITUTE(INDEX('Pooled funds'!$B:$B,ROW())&amp;""," "," "))</f>
        <v/>
      </c>
      <c r="R552">
        <f>IFERROR(--INDEX('Pooled funds'!$C:$C,ROW()),0)</f>
        <v/>
      </c>
      <c r="S552">
        <f>IFERROR(--INDEX('Pooled funds'!$D:$D,ROW()),0)</f>
        <v/>
      </c>
      <c r="T552">
        <f>IFERROR(IF(--INDEX('Pooled funds'!$E:$E,ROW())&gt;=1,--INDEX('Pooled funds'!$E:$E,ROW())/100,--INDEX('Pooled funds'!$E:$E,ROW())),0)</f>
        <v/>
      </c>
      <c r="U552">
        <f>IF(ISNUMBER(INDEX('Pooled funds'!$E:$E,ROW())),1,0)</f>
        <v/>
      </c>
      <c r="V552">
        <f>TRIM(SUBSTITUTE(INDEX('Loans'!$A:$A,ROW())&amp;""," "," "))</f>
        <v/>
      </c>
      <c r="W552">
        <f>TRIM(SUBSTITUTE(INDEX('Loans'!$B:$B,ROW())&amp;""," "," "))</f>
        <v/>
      </c>
      <c r="X552">
        <f>TRIM(SUBSTITUTE(INDEX('Loans'!$C:$C,ROW())&amp;""," "," "))</f>
        <v/>
      </c>
      <c r="Y552">
        <f>IFERROR(--INDEX('Loans'!$D:$D,ROW()),0)</f>
        <v/>
      </c>
      <c r="Z552">
        <f>IFERROR(--INDEX('Loans'!$E:$E,ROW()),0)</f>
        <v/>
      </c>
      <c r="AA552">
        <f>IFERROR(--INDEX('Loans'!$F:$F,ROW()),0)</f>
        <v/>
      </c>
      <c r="AB552">
        <f>IFERROR(IF(--INDEX('Loans'!$G:$G,ROW())&gt;=1,--INDEX('Loans'!$G:$G,ROW())/100,--INDEX('Loans'!$G:$G,ROW())),0)</f>
        <v/>
      </c>
      <c r="AC552">
        <f>TRIM(SUBSTITUTE(INDEX('Loans'!$H:$H,ROW())&amp;""," "," "))</f>
        <v/>
      </c>
      <c r="AD552">
        <f>TRIM(SUBSTITUTE(INDEX('Loans'!$I:$I,ROW())&amp;""," "," "))</f>
        <v/>
      </c>
      <c r="AE552">
        <f>IFERROR(--INDEX('Loans'!$J:$J,ROW()),0)</f>
        <v/>
      </c>
      <c r="AF552">
        <f>TRIM(SUBSTITUTE(INDEX('Loans'!$K:$K,ROW())&amp;""," "," "))</f>
        <v/>
      </c>
      <c r="AG552">
        <f>IFERROR(--INDEX('Loans'!$L:$L,ROW()),0)</f>
        <v/>
      </c>
      <c r="AH552">
        <f>IF(ISNUMBER(INDEX('Loans'!$G:$G,ROW())),1,0)</f>
        <v/>
      </c>
    </row>
    <row r="553">
      <c r="A553">
        <f>TRIM(SUBSTITUTE(INDEX('Term investments'!$A:$A,ROW())&amp;""," "," "))</f>
        <v/>
      </c>
      <c r="B553">
        <f>TRIM(SUBSTITUTE(INDEX('Term investments'!$B:$B,ROW())&amp;""," "," "))</f>
        <v/>
      </c>
      <c r="C553">
        <f>TRIM(SUBSTITUTE(INDEX('Term investments'!$C:$C,ROW())&amp;""," "," "))</f>
        <v/>
      </c>
      <c r="D553">
        <f>IFERROR(--INDEX('Term investments'!$D:$D,ROW()),0)</f>
        <v/>
      </c>
      <c r="E553">
        <f>IFERROR(--INDEX('Term investments'!$E:$E,ROW()),0)</f>
        <v/>
      </c>
      <c r="F553">
        <f>IFERROR(--INDEX('Term investments'!$F:$F,ROW()),0)</f>
        <v/>
      </c>
      <c r="G553">
        <f>IFERROR(IF(--INDEX('Term investments'!$G:$G,ROW())&gt;=1,--INDEX('Term investments'!$G:$G,ROW())/100,--INDEX('Term investments'!$G:$G,ROW())),0)</f>
        <v/>
      </c>
      <c r="H553">
        <f>IFERROR(--INDEX('Term investments'!$H:$H,ROW()),0)</f>
        <v/>
      </c>
      <c r="I553">
        <f>IF(ISNUMBER(INDEX('Term investments'!$G:$G,ROW())),1,0)</f>
        <v/>
      </c>
      <c r="J553">
        <f>TRIM(SUBSTITUTE(INDEX('Call accounts and MMFs'!$A:$A,ROW())&amp;""," "," "))</f>
        <v/>
      </c>
      <c r="K553">
        <f>TRIM(SUBSTITUTE(INDEX('Call accounts and MMFs'!$B:$B,ROW())&amp;""," "," "))</f>
        <v/>
      </c>
      <c r="L553">
        <f>TRIM(SUBSTITUTE(INDEX('Call accounts and MMFs'!$C:$C,ROW())&amp;""," "," "))</f>
        <v/>
      </c>
      <c r="M553">
        <f>IFERROR(--INDEX('Call accounts and MMFs'!$D:$D,ROW()),0)</f>
        <v/>
      </c>
      <c r="N553">
        <f>IFERROR(IF(--INDEX('Call accounts and MMFs'!$E:$E,ROW())&gt;=1,--INDEX('Call accounts and MMFs'!$E:$E,ROW())/100,--INDEX('Call accounts and MMFs'!$E:$E,ROW())),0)</f>
        <v/>
      </c>
      <c r="O553">
        <f>IFERROR(--INDEX('Call accounts and MMFs'!$F:$F,ROW()),0)</f>
        <v/>
      </c>
      <c r="P553">
        <f>IF(ISNUMBER(INDEX('Call accounts and MMFs'!$E:$E,ROW())),1,0)</f>
        <v/>
      </c>
      <c r="Q553">
        <f>TRIM(SUBSTITUTE(INDEX('Pooled funds'!$B:$B,ROW())&amp;""," "," "))</f>
        <v/>
      </c>
      <c r="R553">
        <f>IFERROR(--INDEX('Pooled funds'!$C:$C,ROW()),0)</f>
        <v/>
      </c>
      <c r="S553">
        <f>IFERROR(--INDEX('Pooled funds'!$D:$D,ROW()),0)</f>
        <v/>
      </c>
      <c r="T553">
        <f>IFERROR(IF(--INDEX('Pooled funds'!$E:$E,ROW())&gt;=1,--INDEX('Pooled funds'!$E:$E,ROW())/100,--INDEX('Pooled funds'!$E:$E,ROW())),0)</f>
        <v/>
      </c>
      <c r="U553">
        <f>IF(ISNUMBER(INDEX('Pooled funds'!$E:$E,ROW())),1,0)</f>
        <v/>
      </c>
      <c r="V553">
        <f>TRIM(SUBSTITUTE(INDEX('Loans'!$A:$A,ROW())&amp;""," "," "))</f>
        <v/>
      </c>
      <c r="W553">
        <f>TRIM(SUBSTITUTE(INDEX('Loans'!$B:$B,ROW())&amp;""," "," "))</f>
        <v/>
      </c>
      <c r="X553">
        <f>TRIM(SUBSTITUTE(INDEX('Loans'!$C:$C,ROW())&amp;""," "," "))</f>
        <v/>
      </c>
      <c r="Y553">
        <f>IFERROR(--INDEX('Loans'!$D:$D,ROW()),0)</f>
        <v/>
      </c>
      <c r="Z553">
        <f>IFERROR(--INDEX('Loans'!$E:$E,ROW()),0)</f>
        <v/>
      </c>
      <c r="AA553">
        <f>IFERROR(--INDEX('Loans'!$F:$F,ROW()),0)</f>
        <v/>
      </c>
      <c r="AB553">
        <f>IFERROR(IF(--INDEX('Loans'!$G:$G,ROW())&gt;=1,--INDEX('Loans'!$G:$G,ROW())/100,--INDEX('Loans'!$G:$G,ROW())),0)</f>
        <v/>
      </c>
      <c r="AC553">
        <f>TRIM(SUBSTITUTE(INDEX('Loans'!$H:$H,ROW())&amp;""," "," "))</f>
        <v/>
      </c>
      <c r="AD553">
        <f>TRIM(SUBSTITUTE(INDEX('Loans'!$I:$I,ROW())&amp;""," "," "))</f>
        <v/>
      </c>
      <c r="AE553">
        <f>IFERROR(--INDEX('Loans'!$J:$J,ROW()),0)</f>
        <v/>
      </c>
      <c r="AF553">
        <f>TRIM(SUBSTITUTE(INDEX('Loans'!$K:$K,ROW())&amp;""," "," "))</f>
        <v/>
      </c>
      <c r="AG553">
        <f>IFERROR(--INDEX('Loans'!$L:$L,ROW()),0)</f>
        <v/>
      </c>
      <c r="AH553">
        <f>IF(ISNUMBER(INDEX('Loans'!$G:$G,ROW())),1,0)</f>
        <v/>
      </c>
    </row>
    <row r="554">
      <c r="A554">
        <f>TRIM(SUBSTITUTE(INDEX('Term investments'!$A:$A,ROW())&amp;""," "," "))</f>
        <v/>
      </c>
      <c r="B554">
        <f>TRIM(SUBSTITUTE(INDEX('Term investments'!$B:$B,ROW())&amp;""," "," "))</f>
        <v/>
      </c>
      <c r="C554">
        <f>TRIM(SUBSTITUTE(INDEX('Term investments'!$C:$C,ROW())&amp;""," "," "))</f>
        <v/>
      </c>
      <c r="D554">
        <f>IFERROR(--INDEX('Term investments'!$D:$D,ROW()),0)</f>
        <v/>
      </c>
      <c r="E554">
        <f>IFERROR(--INDEX('Term investments'!$E:$E,ROW()),0)</f>
        <v/>
      </c>
      <c r="F554">
        <f>IFERROR(--INDEX('Term investments'!$F:$F,ROW()),0)</f>
        <v/>
      </c>
      <c r="G554">
        <f>IFERROR(IF(--INDEX('Term investments'!$G:$G,ROW())&gt;=1,--INDEX('Term investments'!$G:$G,ROW())/100,--INDEX('Term investments'!$G:$G,ROW())),0)</f>
        <v/>
      </c>
      <c r="H554">
        <f>IFERROR(--INDEX('Term investments'!$H:$H,ROW()),0)</f>
        <v/>
      </c>
      <c r="I554">
        <f>IF(ISNUMBER(INDEX('Term investments'!$G:$G,ROW())),1,0)</f>
        <v/>
      </c>
      <c r="J554">
        <f>TRIM(SUBSTITUTE(INDEX('Call accounts and MMFs'!$A:$A,ROW())&amp;""," "," "))</f>
        <v/>
      </c>
      <c r="K554">
        <f>TRIM(SUBSTITUTE(INDEX('Call accounts and MMFs'!$B:$B,ROW())&amp;""," "," "))</f>
        <v/>
      </c>
      <c r="L554">
        <f>TRIM(SUBSTITUTE(INDEX('Call accounts and MMFs'!$C:$C,ROW())&amp;""," "," "))</f>
        <v/>
      </c>
      <c r="M554">
        <f>IFERROR(--INDEX('Call accounts and MMFs'!$D:$D,ROW()),0)</f>
        <v/>
      </c>
      <c r="N554">
        <f>IFERROR(IF(--INDEX('Call accounts and MMFs'!$E:$E,ROW())&gt;=1,--INDEX('Call accounts and MMFs'!$E:$E,ROW())/100,--INDEX('Call accounts and MMFs'!$E:$E,ROW())),0)</f>
        <v/>
      </c>
      <c r="O554">
        <f>IFERROR(--INDEX('Call accounts and MMFs'!$F:$F,ROW()),0)</f>
        <v/>
      </c>
      <c r="P554">
        <f>IF(ISNUMBER(INDEX('Call accounts and MMFs'!$E:$E,ROW())),1,0)</f>
        <v/>
      </c>
      <c r="Q554">
        <f>TRIM(SUBSTITUTE(INDEX('Pooled funds'!$B:$B,ROW())&amp;""," "," "))</f>
        <v/>
      </c>
      <c r="R554">
        <f>IFERROR(--INDEX('Pooled funds'!$C:$C,ROW()),0)</f>
        <v/>
      </c>
      <c r="S554">
        <f>IFERROR(--INDEX('Pooled funds'!$D:$D,ROW()),0)</f>
        <v/>
      </c>
      <c r="T554">
        <f>IFERROR(IF(--INDEX('Pooled funds'!$E:$E,ROW())&gt;=1,--INDEX('Pooled funds'!$E:$E,ROW())/100,--INDEX('Pooled funds'!$E:$E,ROW())),0)</f>
        <v/>
      </c>
      <c r="U554">
        <f>IF(ISNUMBER(INDEX('Pooled funds'!$E:$E,ROW())),1,0)</f>
        <v/>
      </c>
      <c r="V554">
        <f>TRIM(SUBSTITUTE(INDEX('Loans'!$A:$A,ROW())&amp;""," "," "))</f>
        <v/>
      </c>
      <c r="W554">
        <f>TRIM(SUBSTITUTE(INDEX('Loans'!$B:$B,ROW())&amp;""," "," "))</f>
        <v/>
      </c>
      <c r="X554">
        <f>TRIM(SUBSTITUTE(INDEX('Loans'!$C:$C,ROW())&amp;""," "," "))</f>
        <v/>
      </c>
      <c r="Y554">
        <f>IFERROR(--INDEX('Loans'!$D:$D,ROW()),0)</f>
        <v/>
      </c>
      <c r="Z554">
        <f>IFERROR(--INDEX('Loans'!$E:$E,ROW()),0)</f>
        <v/>
      </c>
      <c r="AA554">
        <f>IFERROR(--INDEX('Loans'!$F:$F,ROW()),0)</f>
        <v/>
      </c>
      <c r="AB554">
        <f>IFERROR(IF(--INDEX('Loans'!$G:$G,ROW())&gt;=1,--INDEX('Loans'!$G:$G,ROW())/100,--INDEX('Loans'!$G:$G,ROW())),0)</f>
        <v/>
      </c>
      <c r="AC554">
        <f>TRIM(SUBSTITUTE(INDEX('Loans'!$H:$H,ROW())&amp;""," "," "))</f>
        <v/>
      </c>
      <c r="AD554">
        <f>TRIM(SUBSTITUTE(INDEX('Loans'!$I:$I,ROW())&amp;""," "," "))</f>
        <v/>
      </c>
      <c r="AE554">
        <f>IFERROR(--INDEX('Loans'!$J:$J,ROW()),0)</f>
        <v/>
      </c>
      <c r="AF554">
        <f>TRIM(SUBSTITUTE(INDEX('Loans'!$K:$K,ROW())&amp;""," "," "))</f>
        <v/>
      </c>
      <c r="AG554">
        <f>IFERROR(--INDEX('Loans'!$L:$L,ROW()),0)</f>
        <v/>
      </c>
      <c r="AH554">
        <f>IF(ISNUMBER(INDEX('Loans'!$G:$G,ROW())),1,0)</f>
        <v/>
      </c>
    </row>
    <row r="555">
      <c r="A555">
        <f>TRIM(SUBSTITUTE(INDEX('Term investments'!$A:$A,ROW())&amp;""," "," "))</f>
        <v/>
      </c>
      <c r="B555">
        <f>TRIM(SUBSTITUTE(INDEX('Term investments'!$B:$B,ROW())&amp;""," "," "))</f>
        <v/>
      </c>
      <c r="C555">
        <f>TRIM(SUBSTITUTE(INDEX('Term investments'!$C:$C,ROW())&amp;""," "," "))</f>
        <v/>
      </c>
      <c r="D555">
        <f>IFERROR(--INDEX('Term investments'!$D:$D,ROW()),0)</f>
        <v/>
      </c>
      <c r="E555">
        <f>IFERROR(--INDEX('Term investments'!$E:$E,ROW()),0)</f>
        <v/>
      </c>
      <c r="F555">
        <f>IFERROR(--INDEX('Term investments'!$F:$F,ROW()),0)</f>
        <v/>
      </c>
      <c r="G555">
        <f>IFERROR(IF(--INDEX('Term investments'!$G:$G,ROW())&gt;=1,--INDEX('Term investments'!$G:$G,ROW())/100,--INDEX('Term investments'!$G:$G,ROW())),0)</f>
        <v/>
      </c>
      <c r="H555">
        <f>IFERROR(--INDEX('Term investments'!$H:$H,ROW()),0)</f>
        <v/>
      </c>
      <c r="I555">
        <f>IF(ISNUMBER(INDEX('Term investments'!$G:$G,ROW())),1,0)</f>
        <v/>
      </c>
      <c r="J555">
        <f>TRIM(SUBSTITUTE(INDEX('Call accounts and MMFs'!$A:$A,ROW())&amp;""," "," "))</f>
        <v/>
      </c>
      <c r="K555">
        <f>TRIM(SUBSTITUTE(INDEX('Call accounts and MMFs'!$B:$B,ROW())&amp;""," "," "))</f>
        <v/>
      </c>
      <c r="L555">
        <f>TRIM(SUBSTITUTE(INDEX('Call accounts and MMFs'!$C:$C,ROW())&amp;""," "," "))</f>
        <v/>
      </c>
      <c r="M555">
        <f>IFERROR(--INDEX('Call accounts and MMFs'!$D:$D,ROW()),0)</f>
        <v/>
      </c>
      <c r="N555">
        <f>IFERROR(IF(--INDEX('Call accounts and MMFs'!$E:$E,ROW())&gt;=1,--INDEX('Call accounts and MMFs'!$E:$E,ROW())/100,--INDEX('Call accounts and MMFs'!$E:$E,ROW())),0)</f>
        <v/>
      </c>
      <c r="O555">
        <f>IFERROR(--INDEX('Call accounts and MMFs'!$F:$F,ROW()),0)</f>
        <v/>
      </c>
      <c r="P555">
        <f>IF(ISNUMBER(INDEX('Call accounts and MMFs'!$E:$E,ROW())),1,0)</f>
        <v/>
      </c>
      <c r="Q555">
        <f>TRIM(SUBSTITUTE(INDEX('Pooled funds'!$B:$B,ROW())&amp;""," "," "))</f>
        <v/>
      </c>
      <c r="R555">
        <f>IFERROR(--INDEX('Pooled funds'!$C:$C,ROW()),0)</f>
        <v/>
      </c>
      <c r="S555">
        <f>IFERROR(--INDEX('Pooled funds'!$D:$D,ROW()),0)</f>
        <v/>
      </c>
      <c r="T555">
        <f>IFERROR(IF(--INDEX('Pooled funds'!$E:$E,ROW())&gt;=1,--INDEX('Pooled funds'!$E:$E,ROW())/100,--INDEX('Pooled funds'!$E:$E,ROW())),0)</f>
        <v/>
      </c>
      <c r="U555">
        <f>IF(ISNUMBER(INDEX('Pooled funds'!$E:$E,ROW())),1,0)</f>
        <v/>
      </c>
      <c r="V555">
        <f>TRIM(SUBSTITUTE(INDEX('Loans'!$A:$A,ROW())&amp;""," "," "))</f>
        <v/>
      </c>
      <c r="W555">
        <f>TRIM(SUBSTITUTE(INDEX('Loans'!$B:$B,ROW())&amp;""," "," "))</f>
        <v/>
      </c>
      <c r="X555">
        <f>TRIM(SUBSTITUTE(INDEX('Loans'!$C:$C,ROW())&amp;""," "," "))</f>
        <v/>
      </c>
      <c r="Y555">
        <f>IFERROR(--INDEX('Loans'!$D:$D,ROW()),0)</f>
        <v/>
      </c>
      <c r="Z555">
        <f>IFERROR(--INDEX('Loans'!$E:$E,ROW()),0)</f>
        <v/>
      </c>
      <c r="AA555">
        <f>IFERROR(--INDEX('Loans'!$F:$F,ROW()),0)</f>
        <v/>
      </c>
      <c r="AB555">
        <f>IFERROR(IF(--INDEX('Loans'!$G:$G,ROW())&gt;=1,--INDEX('Loans'!$G:$G,ROW())/100,--INDEX('Loans'!$G:$G,ROW())),0)</f>
        <v/>
      </c>
      <c r="AC555">
        <f>TRIM(SUBSTITUTE(INDEX('Loans'!$H:$H,ROW())&amp;""," "," "))</f>
        <v/>
      </c>
      <c r="AD555">
        <f>TRIM(SUBSTITUTE(INDEX('Loans'!$I:$I,ROW())&amp;""," "," "))</f>
        <v/>
      </c>
      <c r="AE555">
        <f>IFERROR(--INDEX('Loans'!$J:$J,ROW()),0)</f>
        <v/>
      </c>
      <c r="AF555">
        <f>TRIM(SUBSTITUTE(INDEX('Loans'!$K:$K,ROW())&amp;""," "," "))</f>
        <v/>
      </c>
      <c r="AG555">
        <f>IFERROR(--INDEX('Loans'!$L:$L,ROW()),0)</f>
        <v/>
      </c>
      <c r="AH555">
        <f>IF(ISNUMBER(INDEX('Loans'!$G:$G,ROW())),1,0)</f>
        <v/>
      </c>
    </row>
    <row r="556">
      <c r="A556">
        <f>TRIM(SUBSTITUTE(INDEX('Term investments'!$A:$A,ROW())&amp;""," "," "))</f>
        <v/>
      </c>
      <c r="B556">
        <f>TRIM(SUBSTITUTE(INDEX('Term investments'!$B:$B,ROW())&amp;""," "," "))</f>
        <v/>
      </c>
      <c r="C556">
        <f>TRIM(SUBSTITUTE(INDEX('Term investments'!$C:$C,ROW())&amp;""," "," "))</f>
        <v/>
      </c>
      <c r="D556">
        <f>IFERROR(--INDEX('Term investments'!$D:$D,ROW()),0)</f>
        <v/>
      </c>
      <c r="E556">
        <f>IFERROR(--INDEX('Term investments'!$E:$E,ROW()),0)</f>
        <v/>
      </c>
      <c r="F556">
        <f>IFERROR(--INDEX('Term investments'!$F:$F,ROW()),0)</f>
        <v/>
      </c>
      <c r="G556">
        <f>IFERROR(IF(--INDEX('Term investments'!$G:$G,ROW())&gt;=1,--INDEX('Term investments'!$G:$G,ROW())/100,--INDEX('Term investments'!$G:$G,ROW())),0)</f>
        <v/>
      </c>
      <c r="H556">
        <f>IFERROR(--INDEX('Term investments'!$H:$H,ROW()),0)</f>
        <v/>
      </c>
      <c r="I556">
        <f>IF(ISNUMBER(INDEX('Term investments'!$G:$G,ROW())),1,0)</f>
        <v/>
      </c>
      <c r="J556">
        <f>TRIM(SUBSTITUTE(INDEX('Call accounts and MMFs'!$A:$A,ROW())&amp;""," "," "))</f>
        <v/>
      </c>
      <c r="K556">
        <f>TRIM(SUBSTITUTE(INDEX('Call accounts and MMFs'!$B:$B,ROW())&amp;""," "," "))</f>
        <v/>
      </c>
      <c r="L556">
        <f>TRIM(SUBSTITUTE(INDEX('Call accounts and MMFs'!$C:$C,ROW())&amp;""," "," "))</f>
        <v/>
      </c>
      <c r="M556">
        <f>IFERROR(--INDEX('Call accounts and MMFs'!$D:$D,ROW()),0)</f>
        <v/>
      </c>
      <c r="N556">
        <f>IFERROR(IF(--INDEX('Call accounts and MMFs'!$E:$E,ROW())&gt;=1,--INDEX('Call accounts and MMFs'!$E:$E,ROW())/100,--INDEX('Call accounts and MMFs'!$E:$E,ROW())),0)</f>
        <v/>
      </c>
      <c r="O556">
        <f>IFERROR(--INDEX('Call accounts and MMFs'!$F:$F,ROW()),0)</f>
        <v/>
      </c>
      <c r="P556">
        <f>IF(ISNUMBER(INDEX('Call accounts and MMFs'!$E:$E,ROW())),1,0)</f>
        <v/>
      </c>
      <c r="Q556">
        <f>TRIM(SUBSTITUTE(INDEX('Pooled funds'!$B:$B,ROW())&amp;""," "," "))</f>
        <v/>
      </c>
      <c r="R556">
        <f>IFERROR(--INDEX('Pooled funds'!$C:$C,ROW()),0)</f>
        <v/>
      </c>
      <c r="S556">
        <f>IFERROR(--INDEX('Pooled funds'!$D:$D,ROW()),0)</f>
        <v/>
      </c>
      <c r="T556">
        <f>IFERROR(IF(--INDEX('Pooled funds'!$E:$E,ROW())&gt;=1,--INDEX('Pooled funds'!$E:$E,ROW())/100,--INDEX('Pooled funds'!$E:$E,ROW())),0)</f>
        <v/>
      </c>
      <c r="U556">
        <f>IF(ISNUMBER(INDEX('Pooled funds'!$E:$E,ROW())),1,0)</f>
        <v/>
      </c>
      <c r="V556">
        <f>TRIM(SUBSTITUTE(INDEX('Loans'!$A:$A,ROW())&amp;""," "," "))</f>
        <v/>
      </c>
      <c r="W556">
        <f>TRIM(SUBSTITUTE(INDEX('Loans'!$B:$B,ROW())&amp;""," "," "))</f>
        <v/>
      </c>
      <c r="X556">
        <f>TRIM(SUBSTITUTE(INDEX('Loans'!$C:$C,ROW())&amp;""," "," "))</f>
        <v/>
      </c>
      <c r="Y556">
        <f>IFERROR(--INDEX('Loans'!$D:$D,ROW()),0)</f>
        <v/>
      </c>
      <c r="Z556">
        <f>IFERROR(--INDEX('Loans'!$E:$E,ROW()),0)</f>
        <v/>
      </c>
      <c r="AA556">
        <f>IFERROR(--INDEX('Loans'!$F:$F,ROW()),0)</f>
        <v/>
      </c>
      <c r="AB556">
        <f>IFERROR(IF(--INDEX('Loans'!$G:$G,ROW())&gt;=1,--INDEX('Loans'!$G:$G,ROW())/100,--INDEX('Loans'!$G:$G,ROW())),0)</f>
        <v/>
      </c>
      <c r="AC556">
        <f>TRIM(SUBSTITUTE(INDEX('Loans'!$H:$H,ROW())&amp;""," "," "))</f>
        <v/>
      </c>
      <c r="AD556">
        <f>TRIM(SUBSTITUTE(INDEX('Loans'!$I:$I,ROW())&amp;""," "," "))</f>
        <v/>
      </c>
      <c r="AE556">
        <f>IFERROR(--INDEX('Loans'!$J:$J,ROW()),0)</f>
        <v/>
      </c>
      <c r="AF556">
        <f>TRIM(SUBSTITUTE(INDEX('Loans'!$K:$K,ROW())&amp;""," "," "))</f>
        <v/>
      </c>
      <c r="AG556">
        <f>IFERROR(--INDEX('Loans'!$L:$L,ROW()),0)</f>
        <v/>
      </c>
      <c r="AH556">
        <f>IF(ISNUMBER(INDEX('Loans'!$G:$G,ROW())),1,0)</f>
        <v/>
      </c>
    </row>
    <row r="557">
      <c r="A557">
        <f>TRIM(SUBSTITUTE(INDEX('Term investments'!$A:$A,ROW())&amp;""," "," "))</f>
        <v/>
      </c>
      <c r="B557">
        <f>TRIM(SUBSTITUTE(INDEX('Term investments'!$B:$B,ROW())&amp;""," "," "))</f>
        <v/>
      </c>
      <c r="C557">
        <f>TRIM(SUBSTITUTE(INDEX('Term investments'!$C:$C,ROW())&amp;""," "," "))</f>
        <v/>
      </c>
      <c r="D557">
        <f>IFERROR(--INDEX('Term investments'!$D:$D,ROW()),0)</f>
        <v/>
      </c>
      <c r="E557">
        <f>IFERROR(--INDEX('Term investments'!$E:$E,ROW()),0)</f>
        <v/>
      </c>
      <c r="F557">
        <f>IFERROR(--INDEX('Term investments'!$F:$F,ROW()),0)</f>
        <v/>
      </c>
      <c r="G557">
        <f>IFERROR(IF(--INDEX('Term investments'!$G:$G,ROW())&gt;=1,--INDEX('Term investments'!$G:$G,ROW())/100,--INDEX('Term investments'!$G:$G,ROW())),0)</f>
        <v/>
      </c>
      <c r="H557">
        <f>IFERROR(--INDEX('Term investments'!$H:$H,ROW()),0)</f>
        <v/>
      </c>
      <c r="I557">
        <f>IF(ISNUMBER(INDEX('Term investments'!$G:$G,ROW())),1,0)</f>
        <v/>
      </c>
      <c r="J557">
        <f>TRIM(SUBSTITUTE(INDEX('Call accounts and MMFs'!$A:$A,ROW())&amp;""," "," "))</f>
        <v/>
      </c>
      <c r="K557">
        <f>TRIM(SUBSTITUTE(INDEX('Call accounts and MMFs'!$B:$B,ROW())&amp;""," "," "))</f>
        <v/>
      </c>
      <c r="L557">
        <f>TRIM(SUBSTITUTE(INDEX('Call accounts and MMFs'!$C:$C,ROW())&amp;""," "," "))</f>
        <v/>
      </c>
      <c r="M557">
        <f>IFERROR(--INDEX('Call accounts and MMFs'!$D:$D,ROW()),0)</f>
        <v/>
      </c>
      <c r="N557">
        <f>IFERROR(IF(--INDEX('Call accounts and MMFs'!$E:$E,ROW())&gt;=1,--INDEX('Call accounts and MMFs'!$E:$E,ROW())/100,--INDEX('Call accounts and MMFs'!$E:$E,ROW())),0)</f>
        <v/>
      </c>
      <c r="O557">
        <f>IFERROR(--INDEX('Call accounts and MMFs'!$F:$F,ROW()),0)</f>
        <v/>
      </c>
      <c r="P557">
        <f>IF(ISNUMBER(INDEX('Call accounts and MMFs'!$E:$E,ROW())),1,0)</f>
        <v/>
      </c>
      <c r="Q557">
        <f>TRIM(SUBSTITUTE(INDEX('Pooled funds'!$B:$B,ROW())&amp;""," "," "))</f>
        <v/>
      </c>
      <c r="R557">
        <f>IFERROR(--INDEX('Pooled funds'!$C:$C,ROW()),0)</f>
        <v/>
      </c>
      <c r="S557">
        <f>IFERROR(--INDEX('Pooled funds'!$D:$D,ROW()),0)</f>
        <v/>
      </c>
      <c r="T557">
        <f>IFERROR(IF(--INDEX('Pooled funds'!$E:$E,ROW())&gt;=1,--INDEX('Pooled funds'!$E:$E,ROW())/100,--INDEX('Pooled funds'!$E:$E,ROW())),0)</f>
        <v/>
      </c>
      <c r="U557">
        <f>IF(ISNUMBER(INDEX('Pooled funds'!$E:$E,ROW())),1,0)</f>
        <v/>
      </c>
      <c r="V557">
        <f>TRIM(SUBSTITUTE(INDEX('Loans'!$A:$A,ROW())&amp;""," "," "))</f>
        <v/>
      </c>
      <c r="W557">
        <f>TRIM(SUBSTITUTE(INDEX('Loans'!$B:$B,ROW())&amp;""," "," "))</f>
        <v/>
      </c>
      <c r="X557">
        <f>TRIM(SUBSTITUTE(INDEX('Loans'!$C:$C,ROW())&amp;""," "," "))</f>
        <v/>
      </c>
      <c r="Y557">
        <f>IFERROR(--INDEX('Loans'!$D:$D,ROW()),0)</f>
        <v/>
      </c>
      <c r="Z557">
        <f>IFERROR(--INDEX('Loans'!$E:$E,ROW()),0)</f>
        <v/>
      </c>
      <c r="AA557">
        <f>IFERROR(--INDEX('Loans'!$F:$F,ROW()),0)</f>
        <v/>
      </c>
      <c r="AB557">
        <f>IFERROR(IF(--INDEX('Loans'!$G:$G,ROW())&gt;=1,--INDEX('Loans'!$G:$G,ROW())/100,--INDEX('Loans'!$G:$G,ROW())),0)</f>
        <v/>
      </c>
      <c r="AC557">
        <f>TRIM(SUBSTITUTE(INDEX('Loans'!$H:$H,ROW())&amp;""," "," "))</f>
        <v/>
      </c>
      <c r="AD557">
        <f>TRIM(SUBSTITUTE(INDEX('Loans'!$I:$I,ROW())&amp;""," "," "))</f>
        <v/>
      </c>
      <c r="AE557">
        <f>IFERROR(--INDEX('Loans'!$J:$J,ROW()),0)</f>
        <v/>
      </c>
      <c r="AF557">
        <f>TRIM(SUBSTITUTE(INDEX('Loans'!$K:$K,ROW())&amp;""," "," "))</f>
        <v/>
      </c>
      <c r="AG557">
        <f>IFERROR(--INDEX('Loans'!$L:$L,ROW()),0)</f>
        <v/>
      </c>
      <c r="AH557">
        <f>IF(ISNUMBER(INDEX('Loans'!$G:$G,ROW())),1,0)</f>
        <v/>
      </c>
    </row>
    <row r="558">
      <c r="A558">
        <f>TRIM(SUBSTITUTE(INDEX('Term investments'!$A:$A,ROW())&amp;""," "," "))</f>
        <v/>
      </c>
      <c r="B558">
        <f>TRIM(SUBSTITUTE(INDEX('Term investments'!$B:$B,ROW())&amp;""," "," "))</f>
        <v/>
      </c>
      <c r="C558">
        <f>TRIM(SUBSTITUTE(INDEX('Term investments'!$C:$C,ROW())&amp;""," "," "))</f>
        <v/>
      </c>
      <c r="D558">
        <f>IFERROR(--INDEX('Term investments'!$D:$D,ROW()),0)</f>
        <v/>
      </c>
      <c r="E558">
        <f>IFERROR(--INDEX('Term investments'!$E:$E,ROW()),0)</f>
        <v/>
      </c>
      <c r="F558">
        <f>IFERROR(--INDEX('Term investments'!$F:$F,ROW()),0)</f>
        <v/>
      </c>
      <c r="G558">
        <f>IFERROR(IF(--INDEX('Term investments'!$G:$G,ROW())&gt;=1,--INDEX('Term investments'!$G:$G,ROW())/100,--INDEX('Term investments'!$G:$G,ROW())),0)</f>
        <v/>
      </c>
      <c r="H558">
        <f>IFERROR(--INDEX('Term investments'!$H:$H,ROW()),0)</f>
        <v/>
      </c>
      <c r="I558">
        <f>IF(ISNUMBER(INDEX('Term investments'!$G:$G,ROW())),1,0)</f>
        <v/>
      </c>
      <c r="J558">
        <f>TRIM(SUBSTITUTE(INDEX('Call accounts and MMFs'!$A:$A,ROW())&amp;""," "," "))</f>
        <v/>
      </c>
      <c r="K558">
        <f>TRIM(SUBSTITUTE(INDEX('Call accounts and MMFs'!$B:$B,ROW())&amp;""," "," "))</f>
        <v/>
      </c>
      <c r="L558">
        <f>TRIM(SUBSTITUTE(INDEX('Call accounts and MMFs'!$C:$C,ROW())&amp;""," "," "))</f>
        <v/>
      </c>
      <c r="M558">
        <f>IFERROR(--INDEX('Call accounts and MMFs'!$D:$D,ROW()),0)</f>
        <v/>
      </c>
      <c r="N558">
        <f>IFERROR(IF(--INDEX('Call accounts and MMFs'!$E:$E,ROW())&gt;=1,--INDEX('Call accounts and MMFs'!$E:$E,ROW())/100,--INDEX('Call accounts and MMFs'!$E:$E,ROW())),0)</f>
        <v/>
      </c>
      <c r="O558">
        <f>IFERROR(--INDEX('Call accounts and MMFs'!$F:$F,ROW()),0)</f>
        <v/>
      </c>
      <c r="P558">
        <f>IF(ISNUMBER(INDEX('Call accounts and MMFs'!$E:$E,ROW())),1,0)</f>
        <v/>
      </c>
      <c r="Q558">
        <f>TRIM(SUBSTITUTE(INDEX('Pooled funds'!$B:$B,ROW())&amp;""," "," "))</f>
        <v/>
      </c>
      <c r="R558">
        <f>IFERROR(--INDEX('Pooled funds'!$C:$C,ROW()),0)</f>
        <v/>
      </c>
      <c r="S558">
        <f>IFERROR(--INDEX('Pooled funds'!$D:$D,ROW()),0)</f>
        <v/>
      </c>
      <c r="T558">
        <f>IFERROR(IF(--INDEX('Pooled funds'!$E:$E,ROW())&gt;=1,--INDEX('Pooled funds'!$E:$E,ROW())/100,--INDEX('Pooled funds'!$E:$E,ROW())),0)</f>
        <v/>
      </c>
      <c r="U558">
        <f>IF(ISNUMBER(INDEX('Pooled funds'!$E:$E,ROW())),1,0)</f>
        <v/>
      </c>
      <c r="V558">
        <f>TRIM(SUBSTITUTE(INDEX('Loans'!$A:$A,ROW())&amp;""," "," "))</f>
        <v/>
      </c>
      <c r="W558">
        <f>TRIM(SUBSTITUTE(INDEX('Loans'!$B:$B,ROW())&amp;""," "," "))</f>
        <v/>
      </c>
      <c r="X558">
        <f>TRIM(SUBSTITUTE(INDEX('Loans'!$C:$C,ROW())&amp;""," "," "))</f>
        <v/>
      </c>
      <c r="Y558">
        <f>IFERROR(--INDEX('Loans'!$D:$D,ROW()),0)</f>
        <v/>
      </c>
      <c r="Z558">
        <f>IFERROR(--INDEX('Loans'!$E:$E,ROW()),0)</f>
        <v/>
      </c>
      <c r="AA558">
        <f>IFERROR(--INDEX('Loans'!$F:$F,ROW()),0)</f>
        <v/>
      </c>
      <c r="AB558">
        <f>IFERROR(IF(--INDEX('Loans'!$G:$G,ROW())&gt;=1,--INDEX('Loans'!$G:$G,ROW())/100,--INDEX('Loans'!$G:$G,ROW())),0)</f>
        <v/>
      </c>
      <c r="AC558">
        <f>TRIM(SUBSTITUTE(INDEX('Loans'!$H:$H,ROW())&amp;""," "," "))</f>
        <v/>
      </c>
      <c r="AD558">
        <f>TRIM(SUBSTITUTE(INDEX('Loans'!$I:$I,ROW())&amp;""," "," "))</f>
        <v/>
      </c>
      <c r="AE558">
        <f>IFERROR(--INDEX('Loans'!$J:$J,ROW()),0)</f>
        <v/>
      </c>
      <c r="AF558">
        <f>TRIM(SUBSTITUTE(INDEX('Loans'!$K:$K,ROW())&amp;""," "," "))</f>
        <v/>
      </c>
      <c r="AG558">
        <f>IFERROR(--INDEX('Loans'!$L:$L,ROW()),0)</f>
        <v/>
      </c>
      <c r="AH558">
        <f>IF(ISNUMBER(INDEX('Loans'!$G:$G,ROW())),1,0)</f>
        <v/>
      </c>
    </row>
    <row r="559">
      <c r="A559">
        <f>TRIM(SUBSTITUTE(INDEX('Term investments'!$A:$A,ROW())&amp;""," "," "))</f>
        <v/>
      </c>
      <c r="B559">
        <f>TRIM(SUBSTITUTE(INDEX('Term investments'!$B:$B,ROW())&amp;""," "," "))</f>
        <v/>
      </c>
      <c r="C559">
        <f>TRIM(SUBSTITUTE(INDEX('Term investments'!$C:$C,ROW())&amp;""," "," "))</f>
        <v/>
      </c>
      <c r="D559">
        <f>IFERROR(--INDEX('Term investments'!$D:$D,ROW()),0)</f>
        <v/>
      </c>
      <c r="E559">
        <f>IFERROR(--INDEX('Term investments'!$E:$E,ROW()),0)</f>
        <v/>
      </c>
      <c r="F559">
        <f>IFERROR(--INDEX('Term investments'!$F:$F,ROW()),0)</f>
        <v/>
      </c>
      <c r="G559">
        <f>IFERROR(IF(--INDEX('Term investments'!$G:$G,ROW())&gt;=1,--INDEX('Term investments'!$G:$G,ROW())/100,--INDEX('Term investments'!$G:$G,ROW())),0)</f>
        <v/>
      </c>
      <c r="H559">
        <f>IFERROR(--INDEX('Term investments'!$H:$H,ROW()),0)</f>
        <v/>
      </c>
      <c r="I559">
        <f>IF(ISNUMBER(INDEX('Term investments'!$G:$G,ROW())),1,0)</f>
        <v/>
      </c>
      <c r="J559">
        <f>TRIM(SUBSTITUTE(INDEX('Call accounts and MMFs'!$A:$A,ROW())&amp;""," "," "))</f>
        <v/>
      </c>
      <c r="K559">
        <f>TRIM(SUBSTITUTE(INDEX('Call accounts and MMFs'!$B:$B,ROW())&amp;""," "," "))</f>
        <v/>
      </c>
      <c r="L559">
        <f>TRIM(SUBSTITUTE(INDEX('Call accounts and MMFs'!$C:$C,ROW())&amp;""," "," "))</f>
        <v/>
      </c>
      <c r="M559">
        <f>IFERROR(--INDEX('Call accounts and MMFs'!$D:$D,ROW()),0)</f>
        <v/>
      </c>
      <c r="N559">
        <f>IFERROR(IF(--INDEX('Call accounts and MMFs'!$E:$E,ROW())&gt;=1,--INDEX('Call accounts and MMFs'!$E:$E,ROW())/100,--INDEX('Call accounts and MMFs'!$E:$E,ROW())),0)</f>
        <v/>
      </c>
      <c r="O559">
        <f>IFERROR(--INDEX('Call accounts and MMFs'!$F:$F,ROW()),0)</f>
        <v/>
      </c>
      <c r="P559">
        <f>IF(ISNUMBER(INDEX('Call accounts and MMFs'!$E:$E,ROW())),1,0)</f>
        <v/>
      </c>
      <c r="Q559">
        <f>TRIM(SUBSTITUTE(INDEX('Pooled funds'!$B:$B,ROW())&amp;""," "," "))</f>
        <v/>
      </c>
      <c r="R559">
        <f>IFERROR(--INDEX('Pooled funds'!$C:$C,ROW()),0)</f>
        <v/>
      </c>
      <c r="S559">
        <f>IFERROR(--INDEX('Pooled funds'!$D:$D,ROW()),0)</f>
        <v/>
      </c>
      <c r="T559">
        <f>IFERROR(IF(--INDEX('Pooled funds'!$E:$E,ROW())&gt;=1,--INDEX('Pooled funds'!$E:$E,ROW())/100,--INDEX('Pooled funds'!$E:$E,ROW())),0)</f>
        <v/>
      </c>
      <c r="U559">
        <f>IF(ISNUMBER(INDEX('Pooled funds'!$E:$E,ROW())),1,0)</f>
        <v/>
      </c>
      <c r="V559">
        <f>TRIM(SUBSTITUTE(INDEX('Loans'!$A:$A,ROW())&amp;""," "," "))</f>
        <v/>
      </c>
      <c r="W559">
        <f>TRIM(SUBSTITUTE(INDEX('Loans'!$B:$B,ROW())&amp;""," "," "))</f>
        <v/>
      </c>
      <c r="X559">
        <f>TRIM(SUBSTITUTE(INDEX('Loans'!$C:$C,ROW())&amp;""," "," "))</f>
        <v/>
      </c>
      <c r="Y559">
        <f>IFERROR(--INDEX('Loans'!$D:$D,ROW()),0)</f>
        <v/>
      </c>
      <c r="Z559">
        <f>IFERROR(--INDEX('Loans'!$E:$E,ROW()),0)</f>
        <v/>
      </c>
      <c r="AA559">
        <f>IFERROR(--INDEX('Loans'!$F:$F,ROW()),0)</f>
        <v/>
      </c>
      <c r="AB559">
        <f>IFERROR(IF(--INDEX('Loans'!$G:$G,ROW())&gt;=1,--INDEX('Loans'!$G:$G,ROW())/100,--INDEX('Loans'!$G:$G,ROW())),0)</f>
        <v/>
      </c>
      <c r="AC559">
        <f>TRIM(SUBSTITUTE(INDEX('Loans'!$H:$H,ROW())&amp;""," "," "))</f>
        <v/>
      </c>
      <c r="AD559">
        <f>TRIM(SUBSTITUTE(INDEX('Loans'!$I:$I,ROW())&amp;""," "," "))</f>
        <v/>
      </c>
      <c r="AE559">
        <f>IFERROR(--INDEX('Loans'!$J:$J,ROW()),0)</f>
        <v/>
      </c>
      <c r="AF559">
        <f>TRIM(SUBSTITUTE(INDEX('Loans'!$K:$K,ROW())&amp;""," "," "))</f>
        <v/>
      </c>
      <c r="AG559">
        <f>IFERROR(--INDEX('Loans'!$L:$L,ROW()),0)</f>
        <v/>
      </c>
      <c r="AH559">
        <f>IF(ISNUMBER(INDEX('Loans'!$G:$G,ROW())),1,0)</f>
        <v/>
      </c>
    </row>
    <row r="560">
      <c r="A560">
        <f>TRIM(SUBSTITUTE(INDEX('Term investments'!$A:$A,ROW())&amp;""," "," "))</f>
        <v/>
      </c>
      <c r="B560">
        <f>TRIM(SUBSTITUTE(INDEX('Term investments'!$B:$B,ROW())&amp;""," "," "))</f>
        <v/>
      </c>
      <c r="C560">
        <f>TRIM(SUBSTITUTE(INDEX('Term investments'!$C:$C,ROW())&amp;""," "," "))</f>
        <v/>
      </c>
      <c r="D560">
        <f>IFERROR(--INDEX('Term investments'!$D:$D,ROW()),0)</f>
        <v/>
      </c>
      <c r="E560">
        <f>IFERROR(--INDEX('Term investments'!$E:$E,ROW()),0)</f>
        <v/>
      </c>
      <c r="F560">
        <f>IFERROR(--INDEX('Term investments'!$F:$F,ROW()),0)</f>
        <v/>
      </c>
      <c r="G560">
        <f>IFERROR(IF(--INDEX('Term investments'!$G:$G,ROW())&gt;=1,--INDEX('Term investments'!$G:$G,ROW())/100,--INDEX('Term investments'!$G:$G,ROW())),0)</f>
        <v/>
      </c>
      <c r="H560">
        <f>IFERROR(--INDEX('Term investments'!$H:$H,ROW()),0)</f>
        <v/>
      </c>
      <c r="I560">
        <f>IF(ISNUMBER(INDEX('Term investments'!$G:$G,ROW())),1,0)</f>
        <v/>
      </c>
      <c r="J560">
        <f>TRIM(SUBSTITUTE(INDEX('Call accounts and MMFs'!$A:$A,ROW())&amp;""," "," "))</f>
        <v/>
      </c>
      <c r="K560">
        <f>TRIM(SUBSTITUTE(INDEX('Call accounts and MMFs'!$B:$B,ROW())&amp;""," "," "))</f>
        <v/>
      </c>
      <c r="L560">
        <f>TRIM(SUBSTITUTE(INDEX('Call accounts and MMFs'!$C:$C,ROW())&amp;""," "," "))</f>
        <v/>
      </c>
      <c r="M560">
        <f>IFERROR(--INDEX('Call accounts and MMFs'!$D:$D,ROW()),0)</f>
        <v/>
      </c>
      <c r="N560">
        <f>IFERROR(IF(--INDEX('Call accounts and MMFs'!$E:$E,ROW())&gt;=1,--INDEX('Call accounts and MMFs'!$E:$E,ROW())/100,--INDEX('Call accounts and MMFs'!$E:$E,ROW())),0)</f>
        <v/>
      </c>
      <c r="O560">
        <f>IFERROR(--INDEX('Call accounts and MMFs'!$F:$F,ROW()),0)</f>
        <v/>
      </c>
      <c r="P560">
        <f>IF(ISNUMBER(INDEX('Call accounts and MMFs'!$E:$E,ROW())),1,0)</f>
        <v/>
      </c>
      <c r="Q560">
        <f>TRIM(SUBSTITUTE(INDEX('Pooled funds'!$B:$B,ROW())&amp;""," "," "))</f>
        <v/>
      </c>
      <c r="R560">
        <f>IFERROR(--INDEX('Pooled funds'!$C:$C,ROW()),0)</f>
        <v/>
      </c>
      <c r="S560">
        <f>IFERROR(--INDEX('Pooled funds'!$D:$D,ROW()),0)</f>
        <v/>
      </c>
      <c r="T560">
        <f>IFERROR(IF(--INDEX('Pooled funds'!$E:$E,ROW())&gt;=1,--INDEX('Pooled funds'!$E:$E,ROW())/100,--INDEX('Pooled funds'!$E:$E,ROW())),0)</f>
        <v/>
      </c>
      <c r="U560">
        <f>IF(ISNUMBER(INDEX('Pooled funds'!$E:$E,ROW())),1,0)</f>
        <v/>
      </c>
      <c r="V560">
        <f>TRIM(SUBSTITUTE(INDEX('Loans'!$A:$A,ROW())&amp;""," "," "))</f>
        <v/>
      </c>
      <c r="W560">
        <f>TRIM(SUBSTITUTE(INDEX('Loans'!$B:$B,ROW())&amp;""," "," "))</f>
        <v/>
      </c>
      <c r="X560">
        <f>TRIM(SUBSTITUTE(INDEX('Loans'!$C:$C,ROW())&amp;""," "," "))</f>
        <v/>
      </c>
      <c r="Y560">
        <f>IFERROR(--INDEX('Loans'!$D:$D,ROW()),0)</f>
        <v/>
      </c>
      <c r="Z560">
        <f>IFERROR(--INDEX('Loans'!$E:$E,ROW()),0)</f>
        <v/>
      </c>
      <c r="AA560">
        <f>IFERROR(--INDEX('Loans'!$F:$F,ROW()),0)</f>
        <v/>
      </c>
      <c r="AB560">
        <f>IFERROR(IF(--INDEX('Loans'!$G:$G,ROW())&gt;=1,--INDEX('Loans'!$G:$G,ROW())/100,--INDEX('Loans'!$G:$G,ROW())),0)</f>
        <v/>
      </c>
      <c r="AC560">
        <f>TRIM(SUBSTITUTE(INDEX('Loans'!$H:$H,ROW())&amp;""," "," "))</f>
        <v/>
      </c>
      <c r="AD560">
        <f>TRIM(SUBSTITUTE(INDEX('Loans'!$I:$I,ROW())&amp;""," "," "))</f>
        <v/>
      </c>
      <c r="AE560">
        <f>IFERROR(--INDEX('Loans'!$J:$J,ROW()),0)</f>
        <v/>
      </c>
      <c r="AF560">
        <f>TRIM(SUBSTITUTE(INDEX('Loans'!$K:$K,ROW())&amp;""," "," "))</f>
        <v/>
      </c>
      <c r="AG560">
        <f>IFERROR(--INDEX('Loans'!$L:$L,ROW()),0)</f>
        <v/>
      </c>
      <c r="AH560">
        <f>IF(ISNUMBER(INDEX('Loans'!$G:$G,ROW())),1,0)</f>
        <v/>
      </c>
    </row>
    <row r="561">
      <c r="A561">
        <f>TRIM(SUBSTITUTE(INDEX('Term investments'!$A:$A,ROW())&amp;""," "," "))</f>
        <v/>
      </c>
      <c r="B561">
        <f>TRIM(SUBSTITUTE(INDEX('Term investments'!$B:$B,ROW())&amp;""," "," "))</f>
        <v/>
      </c>
      <c r="C561">
        <f>TRIM(SUBSTITUTE(INDEX('Term investments'!$C:$C,ROW())&amp;""," "," "))</f>
        <v/>
      </c>
      <c r="D561">
        <f>IFERROR(--INDEX('Term investments'!$D:$D,ROW()),0)</f>
        <v/>
      </c>
      <c r="E561">
        <f>IFERROR(--INDEX('Term investments'!$E:$E,ROW()),0)</f>
        <v/>
      </c>
      <c r="F561">
        <f>IFERROR(--INDEX('Term investments'!$F:$F,ROW()),0)</f>
        <v/>
      </c>
      <c r="G561">
        <f>IFERROR(IF(--INDEX('Term investments'!$G:$G,ROW())&gt;=1,--INDEX('Term investments'!$G:$G,ROW())/100,--INDEX('Term investments'!$G:$G,ROW())),0)</f>
        <v/>
      </c>
      <c r="H561">
        <f>IFERROR(--INDEX('Term investments'!$H:$H,ROW()),0)</f>
        <v/>
      </c>
      <c r="I561">
        <f>IF(ISNUMBER(INDEX('Term investments'!$G:$G,ROW())),1,0)</f>
        <v/>
      </c>
      <c r="J561">
        <f>TRIM(SUBSTITUTE(INDEX('Call accounts and MMFs'!$A:$A,ROW())&amp;""," "," "))</f>
        <v/>
      </c>
      <c r="K561">
        <f>TRIM(SUBSTITUTE(INDEX('Call accounts and MMFs'!$B:$B,ROW())&amp;""," "," "))</f>
        <v/>
      </c>
      <c r="L561">
        <f>TRIM(SUBSTITUTE(INDEX('Call accounts and MMFs'!$C:$C,ROW())&amp;""," "," "))</f>
        <v/>
      </c>
      <c r="M561">
        <f>IFERROR(--INDEX('Call accounts and MMFs'!$D:$D,ROW()),0)</f>
        <v/>
      </c>
      <c r="N561">
        <f>IFERROR(IF(--INDEX('Call accounts and MMFs'!$E:$E,ROW())&gt;=1,--INDEX('Call accounts and MMFs'!$E:$E,ROW())/100,--INDEX('Call accounts and MMFs'!$E:$E,ROW())),0)</f>
        <v/>
      </c>
      <c r="O561">
        <f>IFERROR(--INDEX('Call accounts and MMFs'!$F:$F,ROW()),0)</f>
        <v/>
      </c>
      <c r="P561">
        <f>IF(ISNUMBER(INDEX('Call accounts and MMFs'!$E:$E,ROW())),1,0)</f>
        <v/>
      </c>
      <c r="Q561">
        <f>TRIM(SUBSTITUTE(INDEX('Pooled funds'!$B:$B,ROW())&amp;""," "," "))</f>
        <v/>
      </c>
      <c r="R561">
        <f>IFERROR(--INDEX('Pooled funds'!$C:$C,ROW()),0)</f>
        <v/>
      </c>
      <c r="S561">
        <f>IFERROR(--INDEX('Pooled funds'!$D:$D,ROW()),0)</f>
        <v/>
      </c>
      <c r="T561">
        <f>IFERROR(IF(--INDEX('Pooled funds'!$E:$E,ROW())&gt;=1,--INDEX('Pooled funds'!$E:$E,ROW())/100,--INDEX('Pooled funds'!$E:$E,ROW())),0)</f>
        <v/>
      </c>
      <c r="U561">
        <f>IF(ISNUMBER(INDEX('Pooled funds'!$E:$E,ROW())),1,0)</f>
        <v/>
      </c>
      <c r="V561">
        <f>TRIM(SUBSTITUTE(INDEX('Loans'!$A:$A,ROW())&amp;""," "," "))</f>
        <v/>
      </c>
      <c r="W561">
        <f>TRIM(SUBSTITUTE(INDEX('Loans'!$B:$B,ROW())&amp;""," "," "))</f>
        <v/>
      </c>
      <c r="X561">
        <f>TRIM(SUBSTITUTE(INDEX('Loans'!$C:$C,ROW())&amp;""," "," "))</f>
        <v/>
      </c>
      <c r="Y561">
        <f>IFERROR(--INDEX('Loans'!$D:$D,ROW()),0)</f>
        <v/>
      </c>
      <c r="Z561">
        <f>IFERROR(--INDEX('Loans'!$E:$E,ROW()),0)</f>
        <v/>
      </c>
      <c r="AA561">
        <f>IFERROR(--INDEX('Loans'!$F:$F,ROW()),0)</f>
        <v/>
      </c>
      <c r="AB561">
        <f>IFERROR(IF(--INDEX('Loans'!$G:$G,ROW())&gt;=1,--INDEX('Loans'!$G:$G,ROW())/100,--INDEX('Loans'!$G:$G,ROW())),0)</f>
        <v/>
      </c>
      <c r="AC561">
        <f>TRIM(SUBSTITUTE(INDEX('Loans'!$H:$H,ROW())&amp;""," "," "))</f>
        <v/>
      </c>
      <c r="AD561">
        <f>TRIM(SUBSTITUTE(INDEX('Loans'!$I:$I,ROW())&amp;""," "," "))</f>
        <v/>
      </c>
      <c r="AE561">
        <f>IFERROR(--INDEX('Loans'!$J:$J,ROW()),0)</f>
        <v/>
      </c>
      <c r="AF561">
        <f>TRIM(SUBSTITUTE(INDEX('Loans'!$K:$K,ROW())&amp;""," "," "))</f>
        <v/>
      </c>
      <c r="AG561">
        <f>IFERROR(--INDEX('Loans'!$L:$L,ROW()),0)</f>
        <v/>
      </c>
      <c r="AH561">
        <f>IF(ISNUMBER(INDEX('Loans'!$G:$G,ROW())),1,0)</f>
        <v/>
      </c>
    </row>
    <row r="562">
      <c r="A562">
        <f>TRIM(SUBSTITUTE(INDEX('Term investments'!$A:$A,ROW())&amp;""," "," "))</f>
        <v/>
      </c>
      <c r="B562">
        <f>TRIM(SUBSTITUTE(INDEX('Term investments'!$B:$B,ROW())&amp;""," "," "))</f>
        <v/>
      </c>
      <c r="C562">
        <f>TRIM(SUBSTITUTE(INDEX('Term investments'!$C:$C,ROW())&amp;""," "," "))</f>
        <v/>
      </c>
      <c r="D562">
        <f>IFERROR(--INDEX('Term investments'!$D:$D,ROW()),0)</f>
        <v/>
      </c>
      <c r="E562">
        <f>IFERROR(--INDEX('Term investments'!$E:$E,ROW()),0)</f>
        <v/>
      </c>
      <c r="F562">
        <f>IFERROR(--INDEX('Term investments'!$F:$F,ROW()),0)</f>
        <v/>
      </c>
      <c r="G562">
        <f>IFERROR(IF(--INDEX('Term investments'!$G:$G,ROW())&gt;=1,--INDEX('Term investments'!$G:$G,ROW())/100,--INDEX('Term investments'!$G:$G,ROW())),0)</f>
        <v/>
      </c>
      <c r="H562">
        <f>IFERROR(--INDEX('Term investments'!$H:$H,ROW()),0)</f>
        <v/>
      </c>
      <c r="I562">
        <f>IF(ISNUMBER(INDEX('Term investments'!$G:$G,ROW())),1,0)</f>
        <v/>
      </c>
      <c r="J562">
        <f>TRIM(SUBSTITUTE(INDEX('Call accounts and MMFs'!$A:$A,ROW())&amp;""," "," "))</f>
        <v/>
      </c>
      <c r="K562">
        <f>TRIM(SUBSTITUTE(INDEX('Call accounts and MMFs'!$B:$B,ROW())&amp;""," "," "))</f>
        <v/>
      </c>
      <c r="L562">
        <f>TRIM(SUBSTITUTE(INDEX('Call accounts and MMFs'!$C:$C,ROW())&amp;""," "," "))</f>
        <v/>
      </c>
      <c r="M562">
        <f>IFERROR(--INDEX('Call accounts and MMFs'!$D:$D,ROW()),0)</f>
        <v/>
      </c>
      <c r="N562">
        <f>IFERROR(IF(--INDEX('Call accounts and MMFs'!$E:$E,ROW())&gt;=1,--INDEX('Call accounts and MMFs'!$E:$E,ROW())/100,--INDEX('Call accounts and MMFs'!$E:$E,ROW())),0)</f>
        <v/>
      </c>
      <c r="O562">
        <f>IFERROR(--INDEX('Call accounts and MMFs'!$F:$F,ROW()),0)</f>
        <v/>
      </c>
      <c r="P562">
        <f>IF(ISNUMBER(INDEX('Call accounts and MMFs'!$E:$E,ROW())),1,0)</f>
        <v/>
      </c>
      <c r="Q562">
        <f>TRIM(SUBSTITUTE(INDEX('Pooled funds'!$B:$B,ROW())&amp;""," "," "))</f>
        <v/>
      </c>
      <c r="R562">
        <f>IFERROR(--INDEX('Pooled funds'!$C:$C,ROW()),0)</f>
        <v/>
      </c>
      <c r="S562">
        <f>IFERROR(--INDEX('Pooled funds'!$D:$D,ROW()),0)</f>
        <v/>
      </c>
      <c r="T562">
        <f>IFERROR(IF(--INDEX('Pooled funds'!$E:$E,ROW())&gt;=1,--INDEX('Pooled funds'!$E:$E,ROW())/100,--INDEX('Pooled funds'!$E:$E,ROW())),0)</f>
        <v/>
      </c>
      <c r="U562">
        <f>IF(ISNUMBER(INDEX('Pooled funds'!$E:$E,ROW())),1,0)</f>
        <v/>
      </c>
      <c r="V562">
        <f>TRIM(SUBSTITUTE(INDEX('Loans'!$A:$A,ROW())&amp;""," "," "))</f>
        <v/>
      </c>
      <c r="W562">
        <f>TRIM(SUBSTITUTE(INDEX('Loans'!$B:$B,ROW())&amp;""," "," "))</f>
        <v/>
      </c>
      <c r="X562">
        <f>TRIM(SUBSTITUTE(INDEX('Loans'!$C:$C,ROW())&amp;""," "," "))</f>
        <v/>
      </c>
      <c r="Y562">
        <f>IFERROR(--INDEX('Loans'!$D:$D,ROW()),0)</f>
        <v/>
      </c>
      <c r="Z562">
        <f>IFERROR(--INDEX('Loans'!$E:$E,ROW()),0)</f>
        <v/>
      </c>
      <c r="AA562">
        <f>IFERROR(--INDEX('Loans'!$F:$F,ROW()),0)</f>
        <v/>
      </c>
      <c r="AB562">
        <f>IFERROR(IF(--INDEX('Loans'!$G:$G,ROW())&gt;=1,--INDEX('Loans'!$G:$G,ROW())/100,--INDEX('Loans'!$G:$G,ROW())),0)</f>
        <v/>
      </c>
      <c r="AC562">
        <f>TRIM(SUBSTITUTE(INDEX('Loans'!$H:$H,ROW())&amp;""," "," "))</f>
        <v/>
      </c>
      <c r="AD562">
        <f>TRIM(SUBSTITUTE(INDEX('Loans'!$I:$I,ROW())&amp;""," "," "))</f>
        <v/>
      </c>
      <c r="AE562">
        <f>IFERROR(--INDEX('Loans'!$J:$J,ROW()),0)</f>
        <v/>
      </c>
      <c r="AF562">
        <f>TRIM(SUBSTITUTE(INDEX('Loans'!$K:$K,ROW())&amp;""," "," "))</f>
        <v/>
      </c>
      <c r="AG562">
        <f>IFERROR(--INDEX('Loans'!$L:$L,ROW()),0)</f>
        <v/>
      </c>
      <c r="AH562">
        <f>IF(ISNUMBER(INDEX('Loans'!$G:$G,ROW())),1,0)</f>
        <v/>
      </c>
    </row>
    <row r="563">
      <c r="A563">
        <f>TRIM(SUBSTITUTE(INDEX('Term investments'!$A:$A,ROW())&amp;""," "," "))</f>
        <v/>
      </c>
      <c r="B563">
        <f>TRIM(SUBSTITUTE(INDEX('Term investments'!$B:$B,ROW())&amp;""," "," "))</f>
        <v/>
      </c>
      <c r="C563">
        <f>TRIM(SUBSTITUTE(INDEX('Term investments'!$C:$C,ROW())&amp;""," "," "))</f>
        <v/>
      </c>
      <c r="D563">
        <f>IFERROR(--INDEX('Term investments'!$D:$D,ROW()),0)</f>
        <v/>
      </c>
      <c r="E563">
        <f>IFERROR(--INDEX('Term investments'!$E:$E,ROW()),0)</f>
        <v/>
      </c>
      <c r="F563">
        <f>IFERROR(--INDEX('Term investments'!$F:$F,ROW()),0)</f>
        <v/>
      </c>
      <c r="G563">
        <f>IFERROR(IF(--INDEX('Term investments'!$G:$G,ROW())&gt;=1,--INDEX('Term investments'!$G:$G,ROW())/100,--INDEX('Term investments'!$G:$G,ROW())),0)</f>
        <v/>
      </c>
      <c r="H563">
        <f>IFERROR(--INDEX('Term investments'!$H:$H,ROW()),0)</f>
        <v/>
      </c>
      <c r="I563">
        <f>IF(ISNUMBER(INDEX('Term investments'!$G:$G,ROW())),1,0)</f>
        <v/>
      </c>
      <c r="J563">
        <f>TRIM(SUBSTITUTE(INDEX('Call accounts and MMFs'!$A:$A,ROW())&amp;""," "," "))</f>
        <v/>
      </c>
      <c r="K563">
        <f>TRIM(SUBSTITUTE(INDEX('Call accounts and MMFs'!$B:$B,ROW())&amp;""," "," "))</f>
        <v/>
      </c>
      <c r="L563">
        <f>TRIM(SUBSTITUTE(INDEX('Call accounts and MMFs'!$C:$C,ROW())&amp;""," "," "))</f>
        <v/>
      </c>
      <c r="M563">
        <f>IFERROR(--INDEX('Call accounts and MMFs'!$D:$D,ROW()),0)</f>
        <v/>
      </c>
      <c r="N563">
        <f>IFERROR(IF(--INDEX('Call accounts and MMFs'!$E:$E,ROW())&gt;=1,--INDEX('Call accounts and MMFs'!$E:$E,ROW())/100,--INDEX('Call accounts and MMFs'!$E:$E,ROW())),0)</f>
        <v/>
      </c>
      <c r="O563">
        <f>IFERROR(--INDEX('Call accounts and MMFs'!$F:$F,ROW()),0)</f>
        <v/>
      </c>
      <c r="P563">
        <f>IF(ISNUMBER(INDEX('Call accounts and MMFs'!$E:$E,ROW())),1,0)</f>
        <v/>
      </c>
      <c r="Q563">
        <f>TRIM(SUBSTITUTE(INDEX('Pooled funds'!$B:$B,ROW())&amp;""," "," "))</f>
        <v/>
      </c>
      <c r="R563">
        <f>IFERROR(--INDEX('Pooled funds'!$C:$C,ROW()),0)</f>
        <v/>
      </c>
      <c r="S563">
        <f>IFERROR(--INDEX('Pooled funds'!$D:$D,ROW()),0)</f>
        <v/>
      </c>
      <c r="T563">
        <f>IFERROR(IF(--INDEX('Pooled funds'!$E:$E,ROW())&gt;=1,--INDEX('Pooled funds'!$E:$E,ROW())/100,--INDEX('Pooled funds'!$E:$E,ROW())),0)</f>
        <v/>
      </c>
      <c r="U563">
        <f>IF(ISNUMBER(INDEX('Pooled funds'!$E:$E,ROW())),1,0)</f>
        <v/>
      </c>
      <c r="V563">
        <f>TRIM(SUBSTITUTE(INDEX('Loans'!$A:$A,ROW())&amp;""," "," "))</f>
        <v/>
      </c>
      <c r="W563">
        <f>TRIM(SUBSTITUTE(INDEX('Loans'!$B:$B,ROW())&amp;""," "," "))</f>
        <v/>
      </c>
      <c r="X563">
        <f>TRIM(SUBSTITUTE(INDEX('Loans'!$C:$C,ROW())&amp;""," "," "))</f>
        <v/>
      </c>
      <c r="Y563">
        <f>IFERROR(--INDEX('Loans'!$D:$D,ROW()),0)</f>
        <v/>
      </c>
      <c r="Z563">
        <f>IFERROR(--INDEX('Loans'!$E:$E,ROW()),0)</f>
        <v/>
      </c>
      <c r="AA563">
        <f>IFERROR(--INDEX('Loans'!$F:$F,ROW()),0)</f>
        <v/>
      </c>
      <c r="AB563">
        <f>IFERROR(IF(--INDEX('Loans'!$G:$G,ROW())&gt;=1,--INDEX('Loans'!$G:$G,ROW())/100,--INDEX('Loans'!$G:$G,ROW())),0)</f>
        <v/>
      </c>
      <c r="AC563">
        <f>TRIM(SUBSTITUTE(INDEX('Loans'!$H:$H,ROW())&amp;""," "," "))</f>
        <v/>
      </c>
      <c r="AD563">
        <f>TRIM(SUBSTITUTE(INDEX('Loans'!$I:$I,ROW())&amp;""," "," "))</f>
        <v/>
      </c>
      <c r="AE563">
        <f>IFERROR(--INDEX('Loans'!$J:$J,ROW()),0)</f>
        <v/>
      </c>
      <c r="AF563">
        <f>TRIM(SUBSTITUTE(INDEX('Loans'!$K:$K,ROW())&amp;""," "," "))</f>
        <v/>
      </c>
      <c r="AG563">
        <f>IFERROR(--INDEX('Loans'!$L:$L,ROW()),0)</f>
        <v/>
      </c>
      <c r="AH563">
        <f>IF(ISNUMBER(INDEX('Loans'!$G:$G,ROW())),1,0)</f>
        <v/>
      </c>
    </row>
    <row r="564">
      <c r="A564">
        <f>TRIM(SUBSTITUTE(INDEX('Term investments'!$A:$A,ROW())&amp;""," "," "))</f>
        <v/>
      </c>
      <c r="B564">
        <f>TRIM(SUBSTITUTE(INDEX('Term investments'!$B:$B,ROW())&amp;""," "," "))</f>
        <v/>
      </c>
      <c r="C564">
        <f>TRIM(SUBSTITUTE(INDEX('Term investments'!$C:$C,ROW())&amp;""," "," "))</f>
        <v/>
      </c>
      <c r="D564">
        <f>IFERROR(--INDEX('Term investments'!$D:$D,ROW()),0)</f>
        <v/>
      </c>
      <c r="E564">
        <f>IFERROR(--INDEX('Term investments'!$E:$E,ROW()),0)</f>
        <v/>
      </c>
      <c r="F564">
        <f>IFERROR(--INDEX('Term investments'!$F:$F,ROW()),0)</f>
        <v/>
      </c>
      <c r="G564">
        <f>IFERROR(IF(--INDEX('Term investments'!$G:$G,ROW())&gt;=1,--INDEX('Term investments'!$G:$G,ROW())/100,--INDEX('Term investments'!$G:$G,ROW())),0)</f>
        <v/>
      </c>
      <c r="H564">
        <f>IFERROR(--INDEX('Term investments'!$H:$H,ROW()),0)</f>
        <v/>
      </c>
      <c r="I564">
        <f>IF(ISNUMBER(INDEX('Term investments'!$G:$G,ROW())),1,0)</f>
        <v/>
      </c>
      <c r="J564">
        <f>TRIM(SUBSTITUTE(INDEX('Call accounts and MMFs'!$A:$A,ROW())&amp;""," "," "))</f>
        <v/>
      </c>
      <c r="K564">
        <f>TRIM(SUBSTITUTE(INDEX('Call accounts and MMFs'!$B:$B,ROW())&amp;""," "," "))</f>
        <v/>
      </c>
      <c r="L564">
        <f>TRIM(SUBSTITUTE(INDEX('Call accounts and MMFs'!$C:$C,ROW())&amp;""," "," "))</f>
        <v/>
      </c>
      <c r="M564">
        <f>IFERROR(--INDEX('Call accounts and MMFs'!$D:$D,ROW()),0)</f>
        <v/>
      </c>
      <c r="N564">
        <f>IFERROR(IF(--INDEX('Call accounts and MMFs'!$E:$E,ROW())&gt;=1,--INDEX('Call accounts and MMFs'!$E:$E,ROW())/100,--INDEX('Call accounts and MMFs'!$E:$E,ROW())),0)</f>
        <v/>
      </c>
      <c r="O564">
        <f>IFERROR(--INDEX('Call accounts and MMFs'!$F:$F,ROW()),0)</f>
        <v/>
      </c>
      <c r="P564">
        <f>IF(ISNUMBER(INDEX('Call accounts and MMFs'!$E:$E,ROW())),1,0)</f>
        <v/>
      </c>
      <c r="Q564">
        <f>TRIM(SUBSTITUTE(INDEX('Pooled funds'!$B:$B,ROW())&amp;""," "," "))</f>
        <v/>
      </c>
      <c r="R564">
        <f>IFERROR(--INDEX('Pooled funds'!$C:$C,ROW()),0)</f>
        <v/>
      </c>
      <c r="S564">
        <f>IFERROR(--INDEX('Pooled funds'!$D:$D,ROW()),0)</f>
        <v/>
      </c>
      <c r="T564">
        <f>IFERROR(IF(--INDEX('Pooled funds'!$E:$E,ROW())&gt;=1,--INDEX('Pooled funds'!$E:$E,ROW())/100,--INDEX('Pooled funds'!$E:$E,ROW())),0)</f>
        <v/>
      </c>
      <c r="U564">
        <f>IF(ISNUMBER(INDEX('Pooled funds'!$E:$E,ROW())),1,0)</f>
        <v/>
      </c>
      <c r="V564">
        <f>TRIM(SUBSTITUTE(INDEX('Loans'!$A:$A,ROW())&amp;""," "," "))</f>
        <v/>
      </c>
      <c r="W564">
        <f>TRIM(SUBSTITUTE(INDEX('Loans'!$B:$B,ROW())&amp;""," "," "))</f>
        <v/>
      </c>
      <c r="X564">
        <f>TRIM(SUBSTITUTE(INDEX('Loans'!$C:$C,ROW())&amp;""," "," "))</f>
        <v/>
      </c>
      <c r="Y564">
        <f>IFERROR(--INDEX('Loans'!$D:$D,ROW()),0)</f>
        <v/>
      </c>
      <c r="Z564">
        <f>IFERROR(--INDEX('Loans'!$E:$E,ROW()),0)</f>
        <v/>
      </c>
      <c r="AA564">
        <f>IFERROR(--INDEX('Loans'!$F:$F,ROW()),0)</f>
        <v/>
      </c>
      <c r="AB564">
        <f>IFERROR(IF(--INDEX('Loans'!$G:$G,ROW())&gt;=1,--INDEX('Loans'!$G:$G,ROW())/100,--INDEX('Loans'!$G:$G,ROW())),0)</f>
        <v/>
      </c>
      <c r="AC564">
        <f>TRIM(SUBSTITUTE(INDEX('Loans'!$H:$H,ROW())&amp;""," "," "))</f>
        <v/>
      </c>
      <c r="AD564">
        <f>TRIM(SUBSTITUTE(INDEX('Loans'!$I:$I,ROW())&amp;""," "," "))</f>
        <v/>
      </c>
      <c r="AE564">
        <f>IFERROR(--INDEX('Loans'!$J:$J,ROW()),0)</f>
        <v/>
      </c>
      <c r="AF564">
        <f>TRIM(SUBSTITUTE(INDEX('Loans'!$K:$K,ROW())&amp;""," "," "))</f>
        <v/>
      </c>
      <c r="AG564">
        <f>IFERROR(--INDEX('Loans'!$L:$L,ROW()),0)</f>
        <v/>
      </c>
      <c r="AH564">
        <f>IF(ISNUMBER(INDEX('Loans'!$G:$G,ROW())),1,0)</f>
        <v/>
      </c>
    </row>
    <row r="565">
      <c r="A565">
        <f>TRIM(SUBSTITUTE(INDEX('Term investments'!$A:$A,ROW())&amp;""," "," "))</f>
        <v/>
      </c>
      <c r="B565">
        <f>TRIM(SUBSTITUTE(INDEX('Term investments'!$B:$B,ROW())&amp;""," "," "))</f>
        <v/>
      </c>
      <c r="C565">
        <f>TRIM(SUBSTITUTE(INDEX('Term investments'!$C:$C,ROW())&amp;""," "," "))</f>
        <v/>
      </c>
      <c r="D565">
        <f>IFERROR(--INDEX('Term investments'!$D:$D,ROW()),0)</f>
        <v/>
      </c>
      <c r="E565">
        <f>IFERROR(--INDEX('Term investments'!$E:$E,ROW()),0)</f>
        <v/>
      </c>
      <c r="F565">
        <f>IFERROR(--INDEX('Term investments'!$F:$F,ROW()),0)</f>
        <v/>
      </c>
      <c r="G565">
        <f>IFERROR(IF(--INDEX('Term investments'!$G:$G,ROW())&gt;=1,--INDEX('Term investments'!$G:$G,ROW())/100,--INDEX('Term investments'!$G:$G,ROW())),0)</f>
        <v/>
      </c>
      <c r="H565">
        <f>IFERROR(--INDEX('Term investments'!$H:$H,ROW()),0)</f>
        <v/>
      </c>
      <c r="I565">
        <f>IF(ISNUMBER(INDEX('Term investments'!$G:$G,ROW())),1,0)</f>
        <v/>
      </c>
      <c r="J565">
        <f>TRIM(SUBSTITUTE(INDEX('Call accounts and MMFs'!$A:$A,ROW())&amp;""," "," "))</f>
        <v/>
      </c>
      <c r="K565">
        <f>TRIM(SUBSTITUTE(INDEX('Call accounts and MMFs'!$B:$B,ROW())&amp;""," "," "))</f>
        <v/>
      </c>
      <c r="L565">
        <f>TRIM(SUBSTITUTE(INDEX('Call accounts and MMFs'!$C:$C,ROW())&amp;""," "," "))</f>
        <v/>
      </c>
      <c r="M565">
        <f>IFERROR(--INDEX('Call accounts and MMFs'!$D:$D,ROW()),0)</f>
        <v/>
      </c>
      <c r="N565">
        <f>IFERROR(IF(--INDEX('Call accounts and MMFs'!$E:$E,ROW())&gt;=1,--INDEX('Call accounts and MMFs'!$E:$E,ROW())/100,--INDEX('Call accounts and MMFs'!$E:$E,ROW())),0)</f>
        <v/>
      </c>
      <c r="O565">
        <f>IFERROR(--INDEX('Call accounts and MMFs'!$F:$F,ROW()),0)</f>
        <v/>
      </c>
      <c r="P565">
        <f>IF(ISNUMBER(INDEX('Call accounts and MMFs'!$E:$E,ROW())),1,0)</f>
        <v/>
      </c>
      <c r="Q565">
        <f>TRIM(SUBSTITUTE(INDEX('Pooled funds'!$B:$B,ROW())&amp;""," "," "))</f>
        <v/>
      </c>
      <c r="R565">
        <f>IFERROR(--INDEX('Pooled funds'!$C:$C,ROW()),0)</f>
        <v/>
      </c>
      <c r="S565">
        <f>IFERROR(--INDEX('Pooled funds'!$D:$D,ROW()),0)</f>
        <v/>
      </c>
      <c r="T565">
        <f>IFERROR(IF(--INDEX('Pooled funds'!$E:$E,ROW())&gt;=1,--INDEX('Pooled funds'!$E:$E,ROW())/100,--INDEX('Pooled funds'!$E:$E,ROW())),0)</f>
        <v/>
      </c>
      <c r="U565">
        <f>IF(ISNUMBER(INDEX('Pooled funds'!$E:$E,ROW())),1,0)</f>
        <v/>
      </c>
      <c r="V565">
        <f>TRIM(SUBSTITUTE(INDEX('Loans'!$A:$A,ROW())&amp;""," "," "))</f>
        <v/>
      </c>
      <c r="W565">
        <f>TRIM(SUBSTITUTE(INDEX('Loans'!$B:$B,ROW())&amp;""," "," "))</f>
        <v/>
      </c>
      <c r="X565">
        <f>TRIM(SUBSTITUTE(INDEX('Loans'!$C:$C,ROW())&amp;""," "," "))</f>
        <v/>
      </c>
      <c r="Y565">
        <f>IFERROR(--INDEX('Loans'!$D:$D,ROW()),0)</f>
        <v/>
      </c>
      <c r="Z565">
        <f>IFERROR(--INDEX('Loans'!$E:$E,ROW()),0)</f>
        <v/>
      </c>
      <c r="AA565">
        <f>IFERROR(--INDEX('Loans'!$F:$F,ROW()),0)</f>
        <v/>
      </c>
      <c r="AB565">
        <f>IFERROR(IF(--INDEX('Loans'!$G:$G,ROW())&gt;=1,--INDEX('Loans'!$G:$G,ROW())/100,--INDEX('Loans'!$G:$G,ROW())),0)</f>
        <v/>
      </c>
      <c r="AC565">
        <f>TRIM(SUBSTITUTE(INDEX('Loans'!$H:$H,ROW())&amp;""," "," "))</f>
        <v/>
      </c>
      <c r="AD565">
        <f>TRIM(SUBSTITUTE(INDEX('Loans'!$I:$I,ROW())&amp;""," "," "))</f>
        <v/>
      </c>
      <c r="AE565">
        <f>IFERROR(--INDEX('Loans'!$J:$J,ROW()),0)</f>
        <v/>
      </c>
      <c r="AF565">
        <f>TRIM(SUBSTITUTE(INDEX('Loans'!$K:$K,ROW())&amp;""," "," "))</f>
        <v/>
      </c>
      <c r="AG565">
        <f>IFERROR(--INDEX('Loans'!$L:$L,ROW()),0)</f>
        <v/>
      </c>
      <c r="AH565">
        <f>IF(ISNUMBER(INDEX('Loans'!$G:$G,ROW())),1,0)</f>
        <v/>
      </c>
    </row>
    <row r="566">
      <c r="A566">
        <f>TRIM(SUBSTITUTE(INDEX('Term investments'!$A:$A,ROW())&amp;""," "," "))</f>
        <v/>
      </c>
      <c r="B566">
        <f>TRIM(SUBSTITUTE(INDEX('Term investments'!$B:$B,ROW())&amp;""," "," "))</f>
        <v/>
      </c>
      <c r="C566">
        <f>TRIM(SUBSTITUTE(INDEX('Term investments'!$C:$C,ROW())&amp;""," "," "))</f>
        <v/>
      </c>
      <c r="D566">
        <f>IFERROR(--INDEX('Term investments'!$D:$D,ROW()),0)</f>
        <v/>
      </c>
      <c r="E566">
        <f>IFERROR(--INDEX('Term investments'!$E:$E,ROW()),0)</f>
        <v/>
      </c>
      <c r="F566">
        <f>IFERROR(--INDEX('Term investments'!$F:$F,ROW()),0)</f>
        <v/>
      </c>
      <c r="G566">
        <f>IFERROR(IF(--INDEX('Term investments'!$G:$G,ROW())&gt;=1,--INDEX('Term investments'!$G:$G,ROW())/100,--INDEX('Term investments'!$G:$G,ROW())),0)</f>
        <v/>
      </c>
      <c r="H566">
        <f>IFERROR(--INDEX('Term investments'!$H:$H,ROW()),0)</f>
        <v/>
      </c>
      <c r="I566">
        <f>IF(ISNUMBER(INDEX('Term investments'!$G:$G,ROW())),1,0)</f>
        <v/>
      </c>
      <c r="J566">
        <f>TRIM(SUBSTITUTE(INDEX('Call accounts and MMFs'!$A:$A,ROW())&amp;""," "," "))</f>
        <v/>
      </c>
      <c r="K566">
        <f>TRIM(SUBSTITUTE(INDEX('Call accounts and MMFs'!$B:$B,ROW())&amp;""," "," "))</f>
        <v/>
      </c>
      <c r="L566">
        <f>TRIM(SUBSTITUTE(INDEX('Call accounts and MMFs'!$C:$C,ROW())&amp;""," "," "))</f>
        <v/>
      </c>
      <c r="M566">
        <f>IFERROR(--INDEX('Call accounts and MMFs'!$D:$D,ROW()),0)</f>
        <v/>
      </c>
      <c r="N566">
        <f>IFERROR(IF(--INDEX('Call accounts and MMFs'!$E:$E,ROW())&gt;=1,--INDEX('Call accounts and MMFs'!$E:$E,ROW())/100,--INDEX('Call accounts and MMFs'!$E:$E,ROW())),0)</f>
        <v/>
      </c>
      <c r="O566">
        <f>IFERROR(--INDEX('Call accounts and MMFs'!$F:$F,ROW()),0)</f>
        <v/>
      </c>
      <c r="P566">
        <f>IF(ISNUMBER(INDEX('Call accounts and MMFs'!$E:$E,ROW())),1,0)</f>
        <v/>
      </c>
      <c r="Q566">
        <f>TRIM(SUBSTITUTE(INDEX('Pooled funds'!$B:$B,ROW())&amp;""," "," "))</f>
        <v/>
      </c>
      <c r="R566">
        <f>IFERROR(--INDEX('Pooled funds'!$C:$C,ROW()),0)</f>
        <v/>
      </c>
      <c r="S566">
        <f>IFERROR(--INDEX('Pooled funds'!$D:$D,ROW()),0)</f>
        <v/>
      </c>
      <c r="T566">
        <f>IFERROR(IF(--INDEX('Pooled funds'!$E:$E,ROW())&gt;=1,--INDEX('Pooled funds'!$E:$E,ROW())/100,--INDEX('Pooled funds'!$E:$E,ROW())),0)</f>
        <v/>
      </c>
      <c r="U566">
        <f>IF(ISNUMBER(INDEX('Pooled funds'!$E:$E,ROW())),1,0)</f>
        <v/>
      </c>
      <c r="V566">
        <f>TRIM(SUBSTITUTE(INDEX('Loans'!$A:$A,ROW())&amp;""," "," "))</f>
        <v/>
      </c>
      <c r="W566">
        <f>TRIM(SUBSTITUTE(INDEX('Loans'!$B:$B,ROW())&amp;""," "," "))</f>
        <v/>
      </c>
      <c r="X566">
        <f>TRIM(SUBSTITUTE(INDEX('Loans'!$C:$C,ROW())&amp;""," "," "))</f>
        <v/>
      </c>
      <c r="Y566">
        <f>IFERROR(--INDEX('Loans'!$D:$D,ROW()),0)</f>
        <v/>
      </c>
      <c r="Z566">
        <f>IFERROR(--INDEX('Loans'!$E:$E,ROW()),0)</f>
        <v/>
      </c>
      <c r="AA566">
        <f>IFERROR(--INDEX('Loans'!$F:$F,ROW()),0)</f>
        <v/>
      </c>
      <c r="AB566">
        <f>IFERROR(IF(--INDEX('Loans'!$G:$G,ROW())&gt;=1,--INDEX('Loans'!$G:$G,ROW())/100,--INDEX('Loans'!$G:$G,ROW())),0)</f>
        <v/>
      </c>
      <c r="AC566">
        <f>TRIM(SUBSTITUTE(INDEX('Loans'!$H:$H,ROW())&amp;""," "," "))</f>
        <v/>
      </c>
      <c r="AD566">
        <f>TRIM(SUBSTITUTE(INDEX('Loans'!$I:$I,ROW())&amp;""," "," "))</f>
        <v/>
      </c>
      <c r="AE566">
        <f>IFERROR(--INDEX('Loans'!$J:$J,ROW()),0)</f>
        <v/>
      </c>
      <c r="AF566">
        <f>TRIM(SUBSTITUTE(INDEX('Loans'!$K:$K,ROW())&amp;""," "," "))</f>
        <v/>
      </c>
      <c r="AG566">
        <f>IFERROR(--INDEX('Loans'!$L:$L,ROW()),0)</f>
        <v/>
      </c>
      <c r="AH566">
        <f>IF(ISNUMBER(INDEX('Loans'!$G:$G,ROW())),1,0)</f>
        <v/>
      </c>
    </row>
    <row r="567">
      <c r="A567">
        <f>TRIM(SUBSTITUTE(INDEX('Term investments'!$A:$A,ROW())&amp;""," "," "))</f>
        <v/>
      </c>
      <c r="B567">
        <f>TRIM(SUBSTITUTE(INDEX('Term investments'!$B:$B,ROW())&amp;""," "," "))</f>
        <v/>
      </c>
      <c r="C567">
        <f>TRIM(SUBSTITUTE(INDEX('Term investments'!$C:$C,ROW())&amp;""," "," "))</f>
        <v/>
      </c>
      <c r="D567">
        <f>IFERROR(--INDEX('Term investments'!$D:$D,ROW()),0)</f>
        <v/>
      </c>
      <c r="E567">
        <f>IFERROR(--INDEX('Term investments'!$E:$E,ROW()),0)</f>
        <v/>
      </c>
      <c r="F567">
        <f>IFERROR(--INDEX('Term investments'!$F:$F,ROW()),0)</f>
        <v/>
      </c>
      <c r="G567">
        <f>IFERROR(IF(--INDEX('Term investments'!$G:$G,ROW())&gt;=1,--INDEX('Term investments'!$G:$G,ROW())/100,--INDEX('Term investments'!$G:$G,ROW())),0)</f>
        <v/>
      </c>
      <c r="H567">
        <f>IFERROR(--INDEX('Term investments'!$H:$H,ROW()),0)</f>
        <v/>
      </c>
      <c r="I567">
        <f>IF(ISNUMBER(INDEX('Term investments'!$G:$G,ROW())),1,0)</f>
        <v/>
      </c>
      <c r="J567">
        <f>TRIM(SUBSTITUTE(INDEX('Call accounts and MMFs'!$A:$A,ROW())&amp;""," "," "))</f>
        <v/>
      </c>
      <c r="K567">
        <f>TRIM(SUBSTITUTE(INDEX('Call accounts and MMFs'!$B:$B,ROW())&amp;""," "," "))</f>
        <v/>
      </c>
      <c r="L567">
        <f>TRIM(SUBSTITUTE(INDEX('Call accounts and MMFs'!$C:$C,ROW())&amp;""," "," "))</f>
        <v/>
      </c>
      <c r="M567">
        <f>IFERROR(--INDEX('Call accounts and MMFs'!$D:$D,ROW()),0)</f>
        <v/>
      </c>
      <c r="N567">
        <f>IFERROR(IF(--INDEX('Call accounts and MMFs'!$E:$E,ROW())&gt;=1,--INDEX('Call accounts and MMFs'!$E:$E,ROW())/100,--INDEX('Call accounts and MMFs'!$E:$E,ROW())),0)</f>
        <v/>
      </c>
      <c r="O567">
        <f>IFERROR(--INDEX('Call accounts and MMFs'!$F:$F,ROW()),0)</f>
        <v/>
      </c>
      <c r="P567">
        <f>IF(ISNUMBER(INDEX('Call accounts and MMFs'!$E:$E,ROW())),1,0)</f>
        <v/>
      </c>
      <c r="Q567">
        <f>TRIM(SUBSTITUTE(INDEX('Pooled funds'!$B:$B,ROW())&amp;""," "," "))</f>
        <v/>
      </c>
      <c r="R567">
        <f>IFERROR(--INDEX('Pooled funds'!$C:$C,ROW()),0)</f>
        <v/>
      </c>
      <c r="S567">
        <f>IFERROR(--INDEX('Pooled funds'!$D:$D,ROW()),0)</f>
        <v/>
      </c>
      <c r="T567">
        <f>IFERROR(IF(--INDEX('Pooled funds'!$E:$E,ROW())&gt;=1,--INDEX('Pooled funds'!$E:$E,ROW())/100,--INDEX('Pooled funds'!$E:$E,ROW())),0)</f>
        <v/>
      </c>
      <c r="U567">
        <f>IF(ISNUMBER(INDEX('Pooled funds'!$E:$E,ROW())),1,0)</f>
        <v/>
      </c>
      <c r="V567">
        <f>TRIM(SUBSTITUTE(INDEX('Loans'!$A:$A,ROW())&amp;""," "," "))</f>
        <v/>
      </c>
      <c r="W567">
        <f>TRIM(SUBSTITUTE(INDEX('Loans'!$B:$B,ROW())&amp;""," "," "))</f>
        <v/>
      </c>
      <c r="X567">
        <f>TRIM(SUBSTITUTE(INDEX('Loans'!$C:$C,ROW())&amp;""," "," "))</f>
        <v/>
      </c>
      <c r="Y567">
        <f>IFERROR(--INDEX('Loans'!$D:$D,ROW()),0)</f>
        <v/>
      </c>
      <c r="Z567">
        <f>IFERROR(--INDEX('Loans'!$E:$E,ROW()),0)</f>
        <v/>
      </c>
      <c r="AA567">
        <f>IFERROR(--INDEX('Loans'!$F:$F,ROW()),0)</f>
        <v/>
      </c>
      <c r="AB567">
        <f>IFERROR(IF(--INDEX('Loans'!$G:$G,ROW())&gt;=1,--INDEX('Loans'!$G:$G,ROW())/100,--INDEX('Loans'!$G:$G,ROW())),0)</f>
        <v/>
      </c>
      <c r="AC567">
        <f>TRIM(SUBSTITUTE(INDEX('Loans'!$H:$H,ROW())&amp;""," "," "))</f>
        <v/>
      </c>
      <c r="AD567">
        <f>TRIM(SUBSTITUTE(INDEX('Loans'!$I:$I,ROW())&amp;""," "," "))</f>
        <v/>
      </c>
      <c r="AE567">
        <f>IFERROR(--INDEX('Loans'!$J:$J,ROW()),0)</f>
        <v/>
      </c>
      <c r="AF567">
        <f>TRIM(SUBSTITUTE(INDEX('Loans'!$K:$K,ROW())&amp;""," "," "))</f>
        <v/>
      </c>
      <c r="AG567">
        <f>IFERROR(--INDEX('Loans'!$L:$L,ROW()),0)</f>
        <v/>
      </c>
      <c r="AH567">
        <f>IF(ISNUMBER(INDEX('Loans'!$G:$G,ROW())),1,0)</f>
        <v/>
      </c>
    </row>
    <row r="568">
      <c r="A568">
        <f>TRIM(SUBSTITUTE(INDEX('Term investments'!$A:$A,ROW())&amp;""," "," "))</f>
        <v/>
      </c>
      <c r="B568">
        <f>TRIM(SUBSTITUTE(INDEX('Term investments'!$B:$B,ROW())&amp;""," "," "))</f>
        <v/>
      </c>
      <c r="C568">
        <f>TRIM(SUBSTITUTE(INDEX('Term investments'!$C:$C,ROW())&amp;""," "," "))</f>
        <v/>
      </c>
      <c r="D568">
        <f>IFERROR(--INDEX('Term investments'!$D:$D,ROW()),0)</f>
        <v/>
      </c>
      <c r="E568">
        <f>IFERROR(--INDEX('Term investments'!$E:$E,ROW()),0)</f>
        <v/>
      </c>
      <c r="F568">
        <f>IFERROR(--INDEX('Term investments'!$F:$F,ROW()),0)</f>
        <v/>
      </c>
      <c r="G568">
        <f>IFERROR(IF(--INDEX('Term investments'!$G:$G,ROW())&gt;=1,--INDEX('Term investments'!$G:$G,ROW())/100,--INDEX('Term investments'!$G:$G,ROW())),0)</f>
        <v/>
      </c>
      <c r="H568">
        <f>IFERROR(--INDEX('Term investments'!$H:$H,ROW()),0)</f>
        <v/>
      </c>
      <c r="I568">
        <f>IF(ISNUMBER(INDEX('Term investments'!$G:$G,ROW())),1,0)</f>
        <v/>
      </c>
      <c r="J568">
        <f>TRIM(SUBSTITUTE(INDEX('Call accounts and MMFs'!$A:$A,ROW())&amp;""," "," "))</f>
        <v/>
      </c>
      <c r="K568">
        <f>TRIM(SUBSTITUTE(INDEX('Call accounts and MMFs'!$B:$B,ROW())&amp;""," "," "))</f>
        <v/>
      </c>
      <c r="L568">
        <f>TRIM(SUBSTITUTE(INDEX('Call accounts and MMFs'!$C:$C,ROW())&amp;""," "," "))</f>
        <v/>
      </c>
      <c r="M568">
        <f>IFERROR(--INDEX('Call accounts and MMFs'!$D:$D,ROW()),0)</f>
        <v/>
      </c>
      <c r="N568">
        <f>IFERROR(IF(--INDEX('Call accounts and MMFs'!$E:$E,ROW())&gt;=1,--INDEX('Call accounts and MMFs'!$E:$E,ROW())/100,--INDEX('Call accounts and MMFs'!$E:$E,ROW())),0)</f>
        <v/>
      </c>
      <c r="O568">
        <f>IFERROR(--INDEX('Call accounts and MMFs'!$F:$F,ROW()),0)</f>
        <v/>
      </c>
      <c r="P568">
        <f>IF(ISNUMBER(INDEX('Call accounts and MMFs'!$E:$E,ROW())),1,0)</f>
        <v/>
      </c>
      <c r="Q568">
        <f>TRIM(SUBSTITUTE(INDEX('Pooled funds'!$B:$B,ROW())&amp;""," "," "))</f>
        <v/>
      </c>
      <c r="R568">
        <f>IFERROR(--INDEX('Pooled funds'!$C:$C,ROW()),0)</f>
        <v/>
      </c>
      <c r="S568">
        <f>IFERROR(--INDEX('Pooled funds'!$D:$D,ROW()),0)</f>
        <v/>
      </c>
      <c r="T568">
        <f>IFERROR(IF(--INDEX('Pooled funds'!$E:$E,ROW())&gt;=1,--INDEX('Pooled funds'!$E:$E,ROW())/100,--INDEX('Pooled funds'!$E:$E,ROW())),0)</f>
        <v/>
      </c>
      <c r="U568">
        <f>IF(ISNUMBER(INDEX('Pooled funds'!$E:$E,ROW())),1,0)</f>
        <v/>
      </c>
      <c r="V568">
        <f>TRIM(SUBSTITUTE(INDEX('Loans'!$A:$A,ROW())&amp;""," "," "))</f>
        <v/>
      </c>
      <c r="W568">
        <f>TRIM(SUBSTITUTE(INDEX('Loans'!$B:$B,ROW())&amp;""," "," "))</f>
        <v/>
      </c>
      <c r="X568">
        <f>TRIM(SUBSTITUTE(INDEX('Loans'!$C:$C,ROW())&amp;""," "," "))</f>
        <v/>
      </c>
      <c r="Y568">
        <f>IFERROR(--INDEX('Loans'!$D:$D,ROW()),0)</f>
        <v/>
      </c>
      <c r="Z568">
        <f>IFERROR(--INDEX('Loans'!$E:$E,ROW()),0)</f>
        <v/>
      </c>
      <c r="AA568">
        <f>IFERROR(--INDEX('Loans'!$F:$F,ROW()),0)</f>
        <v/>
      </c>
      <c r="AB568">
        <f>IFERROR(IF(--INDEX('Loans'!$G:$G,ROW())&gt;=1,--INDEX('Loans'!$G:$G,ROW())/100,--INDEX('Loans'!$G:$G,ROW())),0)</f>
        <v/>
      </c>
      <c r="AC568">
        <f>TRIM(SUBSTITUTE(INDEX('Loans'!$H:$H,ROW())&amp;""," "," "))</f>
        <v/>
      </c>
      <c r="AD568">
        <f>TRIM(SUBSTITUTE(INDEX('Loans'!$I:$I,ROW())&amp;""," "," "))</f>
        <v/>
      </c>
      <c r="AE568">
        <f>IFERROR(--INDEX('Loans'!$J:$J,ROW()),0)</f>
        <v/>
      </c>
      <c r="AF568">
        <f>TRIM(SUBSTITUTE(INDEX('Loans'!$K:$K,ROW())&amp;""," "," "))</f>
        <v/>
      </c>
      <c r="AG568">
        <f>IFERROR(--INDEX('Loans'!$L:$L,ROW()),0)</f>
        <v/>
      </c>
      <c r="AH568">
        <f>IF(ISNUMBER(INDEX('Loans'!$G:$G,ROW())),1,0)</f>
        <v/>
      </c>
    </row>
    <row r="569">
      <c r="A569">
        <f>TRIM(SUBSTITUTE(INDEX('Term investments'!$A:$A,ROW())&amp;""," "," "))</f>
        <v/>
      </c>
      <c r="B569">
        <f>TRIM(SUBSTITUTE(INDEX('Term investments'!$B:$B,ROW())&amp;""," "," "))</f>
        <v/>
      </c>
      <c r="C569">
        <f>TRIM(SUBSTITUTE(INDEX('Term investments'!$C:$C,ROW())&amp;""," "," "))</f>
        <v/>
      </c>
      <c r="D569">
        <f>IFERROR(--INDEX('Term investments'!$D:$D,ROW()),0)</f>
        <v/>
      </c>
      <c r="E569">
        <f>IFERROR(--INDEX('Term investments'!$E:$E,ROW()),0)</f>
        <v/>
      </c>
      <c r="F569">
        <f>IFERROR(--INDEX('Term investments'!$F:$F,ROW()),0)</f>
        <v/>
      </c>
      <c r="G569">
        <f>IFERROR(IF(--INDEX('Term investments'!$G:$G,ROW())&gt;=1,--INDEX('Term investments'!$G:$G,ROW())/100,--INDEX('Term investments'!$G:$G,ROW())),0)</f>
        <v/>
      </c>
      <c r="H569">
        <f>IFERROR(--INDEX('Term investments'!$H:$H,ROW()),0)</f>
        <v/>
      </c>
      <c r="I569">
        <f>IF(ISNUMBER(INDEX('Term investments'!$G:$G,ROW())),1,0)</f>
        <v/>
      </c>
      <c r="J569">
        <f>TRIM(SUBSTITUTE(INDEX('Call accounts and MMFs'!$A:$A,ROW())&amp;""," "," "))</f>
        <v/>
      </c>
      <c r="K569">
        <f>TRIM(SUBSTITUTE(INDEX('Call accounts and MMFs'!$B:$B,ROW())&amp;""," "," "))</f>
        <v/>
      </c>
      <c r="L569">
        <f>TRIM(SUBSTITUTE(INDEX('Call accounts and MMFs'!$C:$C,ROW())&amp;""," "," "))</f>
        <v/>
      </c>
      <c r="M569">
        <f>IFERROR(--INDEX('Call accounts and MMFs'!$D:$D,ROW()),0)</f>
        <v/>
      </c>
      <c r="N569">
        <f>IFERROR(IF(--INDEX('Call accounts and MMFs'!$E:$E,ROW())&gt;=1,--INDEX('Call accounts and MMFs'!$E:$E,ROW())/100,--INDEX('Call accounts and MMFs'!$E:$E,ROW())),0)</f>
        <v/>
      </c>
      <c r="O569">
        <f>IFERROR(--INDEX('Call accounts and MMFs'!$F:$F,ROW()),0)</f>
        <v/>
      </c>
      <c r="P569">
        <f>IF(ISNUMBER(INDEX('Call accounts and MMFs'!$E:$E,ROW())),1,0)</f>
        <v/>
      </c>
      <c r="Q569">
        <f>TRIM(SUBSTITUTE(INDEX('Pooled funds'!$B:$B,ROW())&amp;""," "," "))</f>
        <v/>
      </c>
      <c r="R569">
        <f>IFERROR(--INDEX('Pooled funds'!$C:$C,ROW()),0)</f>
        <v/>
      </c>
      <c r="S569">
        <f>IFERROR(--INDEX('Pooled funds'!$D:$D,ROW()),0)</f>
        <v/>
      </c>
      <c r="T569">
        <f>IFERROR(IF(--INDEX('Pooled funds'!$E:$E,ROW())&gt;=1,--INDEX('Pooled funds'!$E:$E,ROW())/100,--INDEX('Pooled funds'!$E:$E,ROW())),0)</f>
        <v/>
      </c>
      <c r="U569">
        <f>IF(ISNUMBER(INDEX('Pooled funds'!$E:$E,ROW())),1,0)</f>
        <v/>
      </c>
      <c r="V569">
        <f>TRIM(SUBSTITUTE(INDEX('Loans'!$A:$A,ROW())&amp;""," "," "))</f>
        <v/>
      </c>
      <c r="W569">
        <f>TRIM(SUBSTITUTE(INDEX('Loans'!$B:$B,ROW())&amp;""," "," "))</f>
        <v/>
      </c>
      <c r="X569">
        <f>TRIM(SUBSTITUTE(INDEX('Loans'!$C:$C,ROW())&amp;""," "," "))</f>
        <v/>
      </c>
      <c r="Y569">
        <f>IFERROR(--INDEX('Loans'!$D:$D,ROW()),0)</f>
        <v/>
      </c>
      <c r="Z569">
        <f>IFERROR(--INDEX('Loans'!$E:$E,ROW()),0)</f>
        <v/>
      </c>
      <c r="AA569">
        <f>IFERROR(--INDEX('Loans'!$F:$F,ROW()),0)</f>
        <v/>
      </c>
      <c r="AB569">
        <f>IFERROR(IF(--INDEX('Loans'!$G:$G,ROW())&gt;=1,--INDEX('Loans'!$G:$G,ROW())/100,--INDEX('Loans'!$G:$G,ROW())),0)</f>
        <v/>
      </c>
      <c r="AC569">
        <f>TRIM(SUBSTITUTE(INDEX('Loans'!$H:$H,ROW())&amp;""," "," "))</f>
        <v/>
      </c>
      <c r="AD569">
        <f>TRIM(SUBSTITUTE(INDEX('Loans'!$I:$I,ROW())&amp;""," "," "))</f>
        <v/>
      </c>
      <c r="AE569">
        <f>IFERROR(--INDEX('Loans'!$J:$J,ROW()),0)</f>
        <v/>
      </c>
      <c r="AF569">
        <f>TRIM(SUBSTITUTE(INDEX('Loans'!$K:$K,ROW())&amp;""," "," "))</f>
        <v/>
      </c>
      <c r="AG569">
        <f>IFERROR(--INDEX('Loans'!$L:$L,ROW()),0)</f>
        <v/>
      </c>
      <c r="AH569">
        <f>IF(ISNUMBER(INDEX('Loans'!$G:$G,ROW())),1,0)</f>
        <v/>
      </c>
    </row>
    <row r="570">
      <c r="A570">
        <f>TRIM(SUBSTITUTE(INDEX('Term investments'!$A:$A,ROW())&amp;""," "," "))</f>
        <v/>
      </c>
      <c r="B570">
        <f>TRIM(SUBSTITUTE(INDEX('Term investments'!$B:$B,ROW())&amp;""," "," "))</f>
        <v/>
      </c>
      <c r="C570">
        <f>TRIM(SUBSTITUTE(INDEX('Term investments'!$C:$C,ROW())&amp;""," "," "))</f>
        <v/>
      </c>
      <c r="D570">
        <f>IFERROR(--INDEX('Term investments'!$D:$D,ROW()),0)</f>
        <v/>
      </c>
      <c r="E570">
        <f>IFERROR(--INDEX('Term investments'!$E:$E,ROW()),0)</f>
        <v/>
      </c>
      <c r="F570">
        <f>IFERROR(--INDEX('Term investments'!$F:$F,ROW()),0)</f>
        <v/>
      </c>
      <c r="G570">
        <f>IFERROR(IF(--INDEX('Term investments'!$G:$G,ROW())&gt;=1,--INDEX('Term investments'!$G:$G,ROW())/100,--INDEX('Term investments'!$G:$G,ROW())),0)</f>
        <v/>
      </c>
      <c r="H570">
        <f>IFERROR(--INDEX('Term investments'!$H:$H,ROW()),0)</f>
        <v/>
      </c>
      <c r="I570">
        <f>IF(ISNUMBER(INDEX('Term investments'!$G:$G,ROW())),1,0)</f>
        <v/>
      </c>
      <c r="J570">
        <f>TRIM(SUBSTITUTE(INDEX('Call accounts and MMFs'!$A:$A,ROW())&amp;""," "," "))</f>
        <v/>
      </c>
      <c r="K570">
        <f>TRIM(SUBSTITUTE(INDEX('Call accounts and MMFs'!$B:$B,ROW())&amp;""," "," "))</f>
        <v/>
      </c>
      <c r="L570">
        <f>TRIM(SUBSTITUTE(INDEX('Call accounts and MMFs'!$C:$C,ROW())&amp;""," "," "))</f>
        <v/>
      </c>
      <c r="M570">
        <f>IFERROR(--INDEX('Call accounts and MMFs'!$D:$D,ROW()),0)</f>
        <v/>
      </c>
      <c r="N570">
        <f>IFERROR(IF(--INDEX('Call accounts and MMFs'!$E:$E,ROW())&gt;=1,--INDEX('Call accounts and MMFs'!$E:$E,ROW())/100,--INDEX('Call accounts and MMFs'!$E:$E,ROW())),0)</f>
        <v/>
      </c>
      <c r="O570">
        <f>IFERROR(--INDEX('Call accounts and MMFs'!$F:$F,ROW()),0)</f>
        <v/>
      </c>
      <c r="P570">
        <f>IF(ISNUMBER(INDEX('Call accounts and MMFs'!$E:$E,ROW())),1,0)</f>
        <v/>
      </c>
      <c r="Q570">
        <f>TRIM(SUBSTITUTE(INDEX('Pooled funds'!$B:$B,ROW())&amp;""," "," "))</f>
        <v/>
      </c>
      <c r="R570">
        <f>IFERROR(--INDEX('Pooled funds'!$C:$C,ROW()),0)</f>
        <v/>
      </c>
      <c r="S570">
        <f>IFERROR(--INDEX('Pooled funds'!$D:$D,ROW()),0)</f>
        <v/>
      </c>
      <c r="T570">
        <f>IFERROR(IF(--INDEX('Pooled funds'!$E:$E,ROW())&gt;=1,--INDEX('Pooled funds'!$E:$E,ROW())/100,--INDEX('Pooled funds'!$E:$E,ROW())),0)</f>
        <v/>
      </c>
      <c r="U570">
        <f>IF(ISNUMBER(INDEX('Pooled funds'!$E:$E,ROW())),1,0)</f>
        <v/>
      </c>
      <c r="V570">
        <f>TRIM(SUBSTITUTE(INDEX('Loans'!$A:$A,ROW())&amp;""," "," "))</f>
        <v/>
      </c>
      <c r="W570">
        <f>TRIM(SUBSTITUTE(INDEX('Loans'!$B:$B,ROW())&amp;""," "," "))</f>
        <v/>
      </c>
      <c r="X570">
        <f>TRIM(SUBSTITUTE(INDEX('Loans'!$C:$C,ROW())&amp;""," "," "))</f>
        <v/>
      </c>
      <c r="Y570">
        <f>IFERROR(--INDEX('Loans'!$D:$D,ROW()),0)</f>
        <v/>
      </c>
      <c r="Z570">
        <f>IFERROR(--INDEX('Loans'!$E:$E,ROW()),0)</f>
        <v/>
      </c>
      <c r="AA570">
        <f>IFERROR(--INDEX('Loans'!$F:$F,ROW()),0)</f>
        <v/>
      </c>
      <c r="AB570">
        <f>IFERROR(IF(--INDEX('Loans'!$G:$G,ROW())&gt;=1,--INDEX('Loans'!$G:$G,ROW())/100,--INDEX('Loans'!$G:$G,ROW())),0)</f>
        <v/>
      </c>
      <c r="AC570">
        <f>TRIM(SUBSTITUTE(INDEX('Loans'!$H:$H,ROW())&amp;""," "," "))</f>
        <v/>
      </c>
      <c r="AD570">
        <f>TRIM(SUBSTITUTE(INDEX('Loans'!$I:$I,ROW())&amp;""," "," "))</f>
        <v/>
      </c>
      <c r="AE570">
        <f>IFERROR(--INDEX('Loans'!$J:$J,ROW()),0)</f>
        <v/>
      </c>
      <c r="AF570">
        <f>TRIM(SUBSTITUTE(INDEX('Loans'!$K:$K,ROW())&amp;""," "," "))</f>
        <v/>
      </c>
      <c r="AG570">
        <f>IFERROR(--INDEX('Loans'!$L:$L,ROW()),0)</f>
        <v/>
      </c>
      <c r="AH570">
        <f>IF(ISNUMBER(INDEX('Loans'!$G:$G,ROW())),1,0)</f>
        <v/>
      </c>
    </row>
    <row r="571">
      <c r="A571">
        <f>TRIM(SUBSTITUTE(INDEX('Term investments'!$A:$A,ROW())&amp;""," "," "))</f>
        <v/>
      </c>
      <c r="B571">
        <f>TRIM(SUBSTITUTE(INDEX('Term investments'!$B:$B,ROW())&amp;""," "," "))</f>
        <v/>
      </c>
      <c r="C571">
        <f>TRIM(SUBSTITUTE(INDEX('Term investments'!$C:$C,ROW())&amp;""," "," "))</f>
        <v/>
      </c>
      <c r="D571">
        <f>IFERROR(--INDEX('Term investments'!$D:$D,ROW()),0)</f>
        <v/>
      </c>
      <c r="E571">
        <f>IFERROR(--INDEX('Term investments'!$E:$E,ROW()),0)</f>
        <v/>
      </c>
      <c r="F571">
        <f>IFERROR(--INDEX('Term investments'!$F:$F,ROW()),0)</f>
        <v/>
      </c>
      <c r="G571">
        <f>IFERROR(IF(--INDEX('Term investments'!$G:$G,ROW())&gt;=1,--INDEX('Term investments'!$G:$G,ROW())/100,--INDEX('Term investments'!$G:$G,ROW())),0)</f>
        <v/>
      </c>
      <c r="H571">
        <f>IFERROR(--INDEX('Term investments'!$H:$H,ROW()),0)</f>
        <v/>
      </c>
      <c r="I571">
        <f>IF(ISNUMBER(INDEX('Term investments'!$G:$G,ROW())),1,0)</f>
        <v/>
      </c>
      <c r="J571">
        <f>TRIM(SUBSTITUTE(INDEX('Call accounts and MMFs'!$A:$A,ROW())&amp;""," "," "))</f>
        <v/>
      </c>
      <c r="K571">
        <f>TRIM(SUBSTITUTE(INDEX('Call accounts and MMFs'!$B:$B,ROW())&amp;""," "," "))</f>
        <v/>
      </c>
      <c r="L571">
        <f>TRIM(SUBSTITUTE(INDEX('Call accounts and MMFs'!$C:$C,ROW())&amp;""," "," "))</f>
        <v/>
      </c>
      <c r="M571">
        <f>IFERROR(--INDEX('Call accounts and MMFs'!$D:$D,ROW()),0)</f>
        <v/>
      </c>
      <c r="N571">
        <f>IFERROR(IF(--INDEX('Call accounts and MMFs'!$E:$E,ROW())&gt;=1,--INDEX('Call accounts and MMFs'!$E:$E,ROW())/100,--INDEX('Call accounts and MMFs'!$E:$E,ROW())),0)</f>
        <v/>
      </c>
      <c r="O571">
        <f>IFERROR(--INDEX('Call accounts and MMFs'!$F:$F,ROW()),0)</f>
        <v/>
      </c>
      <c r="P571">
        <f>IF(ISNUMBER(INDEX('Call accounts and MMFs'!$E:$E,ROW())),1,0)</f>
        <v/>
      </c>
      <c r="Q571">
        <f>TRIM(SUBSTITUTE(INDEX('Pooled funds'!$B:$B,ROW())&amp;""," "," "))</f>
        <v/>
      </c>
      <c r="R571">
        <f>IFERROR(--INDEX('Pooled funds'!$C:$C,ROW()),0)</f>
        <v/>
      </c>
      <c r="S571">
        <f>IFERROR(--INDEX('Pooled funds'!$D:$D,ROW()),0)</f>
        <v/>
      </c>
      <c r="T571">
        <f>IFERROR(IF(--INDEX('Pooled funds'!$E:$E,ROW())&gt;=1,--INDEX('Pooled funds'!$E:$E,ROW())/100,--INDEX('Pooled funds'!$E:$E,ROW())),0)</f>
        <v/>
      </c>
      <c r="U571">
        <f>IF(ISNUMBER(INDEX('Pooled funds'!$E:$E,ROW())),1,0)</f>
        <v/>
      </c>
      <c r="V571">
        <f>TRIM(SUBSTITUTE(INDEX('Loans'!$A:$A,ROW())&amp;""," "," "))</f>
        <v/>
      </c>
      <c r="W571">
        <f>TRIM(SUBSTITUTE(INDEX('Loans'!$B:$B,ROW())&amp;""," "," "))</f>
        <v/>
      </c>
      <c r="X571">
        <f>TRIM(SUBSTITUTE(INDEX('Loans'!$C:$C,ROW())&amp;""," "," "))</f>
        <v/>
      </c>
      <c r="Y571">
        <f>IFERROR(--INDEX('Loans'!$D:$D,ROW()),0)</f>
        <v/>
      </c>
      <c r="Z571">
        <f>IFERROR(--INDEX('Loans'!$E:$E,ROW()),0)</f>
        <v/>
      </c>
      <c r="AA571">
        <f>IFERROR(--INDEX('Loans'!$F:$F,ROW()),0)</f>
        <v/>
      </c>
      <c r="AB571">
        <f>IFERROR(IF(--INDEX('Loans'!$G:$G,ROW())&gt;=1,--INDEX('Loans'!$G:$G,ROW())/100,--INDEX('Loans'!$G:$G,ROW())),0)</f>
        <v/>
      </c>
      <c r="AC571">
        <f>TRIM(SUBSTITUTE(INDEX('Loans'!$H:$H,ROW())&amp;""," "," "))</f>
        <v/>
      </c>
      <c r="AD571">
        <f>TRIM(SUBSTITUTE(INDEX('Loans'!$I:$I,ROW())&amp;""," "," "))</f>
        <v/>
      </c>
      <c r="AE571">
        <f>IFERROR(--INDEX('Loans'!$J:$J,ROW()),0)</f>
        <v/>
      </c>
      <c r="AF571">
        <f>TRIM(SUBSTITUTE(INDEX('Loans'!$K:$K,ROW())&amp;""," "," "))</f>
        <v/>
      </c>
      <c r="AG571">
        <f>IFERROR(--INDEX('Loans'!$L:$L,ROW()),0)</f>
        <v/>
      </c>
      <c r="AH571">
        <f>IF(ISNUMBER(INDEX('Loans'!$G:$G,ROW())),1,0)</f>
        <v/>
      </c>
    </row>
    <row r="572">
      <c r="A572">
        <f>TRIM(SUBSTITUTE(INDEX('Term investments'!$A:$A,ROW())&amp;""," "," "))</f>
        <v/>
      </c>
      <c r="B572">
        <f>TRIM(SUBSTITUTE(INDEX('Term investments'!$B:$B,ROW())&amp;""," "," "))</f>
        <v/>
      </c>
      <c r="C572">
        <f>TRIM(SUBSTITUTE(INDEX('Term investments'!$C:$C,ROW())&amp;""," "," "))</f>
        <v/>
      </c>
      <c r="D572">
        <f>IFERROR(--INDEX('Term investments'!$D:$D,ROW()),0)</f>
        <v/>
      </c>
      <c r="E572">
        <f>IFERROR(--INDEX('Term investments'!$E:$E,ROW()),0)</f>
        <v/>
      </c>
      <c r="F572">
        <f>IFERROR(--INDEX('Term investments'!$F:$F,ROW()),0)</f>
        <v/>
      </c>
      <c r="G572">
        <f>IFERROR(IF(--INDEX('Term investments'!$G:$G,ROW())&gt;=1,--INDEX('Term investments'!$G:$G,ROW())/100,--INDEX('Term investments'!$G:$G,ROW())),0)</f>
        <v/>
      </c>
      <c r="H572">
        <f>IFERROR(--INDEX('Term investments'!$H:$H,ROW()),0)</f>
        <v/>
      </c>
      <c r="I572">
        <f>IF(ISNUMBER(INDEX('Term investments'!$G:$G,ROW())),1,0)</f>
        <v/>
      </c>
      <c r="J572">
        <f>TRIM(SUBSTITUTE(INDEX('Call accounts and MMFs'!$A:$A,ROW())&amp;""," "," "))</f>
        <v/>
      </c>
      <c r="K572">
        <f>TRIM(SUBSTITUTE(INDEX('Call accounts and MMFs'!$B:$B,ROW())&amp;""," "," "))</f>
        <v/>
      </c>
      <c r="L572">
        <f>TRIM(SUBSTITUTE(INDEX('Call accounts and MMFs'!$C:$C,ROW())&amp;""," "," "))</f>
        <v/>
      </c>
      <c r="M572">
        <f>IFERROR(--INDEX('Call accounts and MMFs'!$D:$D,ROW()),0)</f>
        <v/>
      </c>
      <c r="N572">
        <f>IFERROR(IF(--INDEX('Call accounts and MMFs'!$E:$E,ROW())&gt;=1,--INDEX('Call accounts and MMFs'!$E:$E,ROW())/100,--INDEX('Call accounts and MMFs'!$E:$E,ROW())),0)</f>
        <v/>
      </c>
      <c r="O572">
        <f>IFERROR(--INDEX('Call accounts and MMFs'!$F:$F,ROW()),0)</f>
        <v/>
      </c>
      <c r="P572">
        <f>IF(ISNUMBER(INDEX('Call accounts and MMFs'!$E:$E,ROW())),1,0)</f>
        <v/>
      </c>
      <c r="Q572">
        <f>TRIM(SUBSTITUTE(INDEX('Pooled funds'!$B:$B,ROW())&amp;""," "," "))</f>
        <v/>
      </c>
      <c r="R572">
        <f>IFERROR(--INDEX('Pooled funds'!$C:$C,ROW()),0)</f>
        <v/>
      </c>
      <c r="S572">
        <f>IFERROR(--INDEX('Pooled funds'!$D:$D,ROW()),0)</f>
        <v/>
      </c>
      <c r="T572">
        <f>IFERROR(IF(--INDEX('Pooled funds'!$E:$E,ROW())&gt;=1,--INDEX('Pooled funds'!$E:$E,ROW())/100,--INDEX('Pooled funds'!$E:$E,ROW())),0)</f>
        <v/>
      </c>
      <c r="U572">
        <f>IF(ISNUMBER(INDEX('Pooled funds'!$E:$E,ROW())),1,0)</f>
        <v/>
      </c>
      <c r="V572">
        <f>TRIM(SUBSTITUTE(INDEX('Loans'!$A:$A,ROW())&amp;""," "," "))</f>
        <v/>
      </c>
      <c r="W572">
        <f>TRIM(SUBSTITUTE(INDEX('Loans'!$B:$B,ROW())&amp;""," "," "))</f>
        <v/>
      </c>
      <c r="X572">
        <f>TRIM(SUBSTITUTE(INDEX('Loans'!$C:$C,ROW())&amp;""," "," "))</f>
        <v/>
      </c>
      <c r="Y572">
        <f>IFERROR(--INDEX('Loans'!$D:$D,ROW()),0)</f>
        <v/>
      </c>
      <c r="Z572">
        <f>IFERROR(--INDEX('Loans'!$E:$E,ROW()),0)</f>
        <v/>
      </c>
      <c r="AA572">
        <f>IFERROR(--INDEX('Loans'!$F:$F,ROW()),0)</f>
        <v/>
      </c>
      <c r="AB572">
        <f>IFERROR(IF(--INDEX('Loans'!$G:$G,ROW())&gt;=1,--INDEX('Loans'!$G:$G,ROW())/100,--INDEX('Loans'!$G:$G,ROW())),0)</f>
        <v/>
      </c>
      <c r="AC572">
        <f>TRIM(SUBSTITUTE(INDEX('Loans'!$H:$H,ROW())&amp;""," "," "))</f>
        <v/>
      </c>
      <c r="AD572">
        <f>TRIM(SUBSTITUTE(INDEX('Loans'!$I:$I,ROW())&amp;""," "," "))</f>
        <v/>
      </c>
      <c r="AE572">
        <f>IFERROR(--INDEX('Loans'!$J:$J,ROW()),0)</f>
        <v/>
      </c>
      <c r="AF572">
        <f>TRIM(SUBSTITUTE(INDEX('Loans'!$K:$K,ROW())&amp;""," "," "))</f>
        <v/>
      </c>
      <c r="AG572">
        <f>IFERROR(--INDEX('Loans'!$L:$L,ROW()),0)</f>
        <v/>
      </c>
      <c r="AH572">
        <f>IF(ISNUMBER(INDEX('Loans'!$G:$G,ROW())),1,0)</f>
        <v/>
      </c>
    </row>
    <row r="573">
      <c r="A573">
        <f>TRIM(SUBSTITUTE(INDEX('Term investments'!$A:$A,ROW())&amp;""," "," "))</f>
        <v/>
      </c>
      <c r="B573">
        <f>TRIM(SUBSTITUTE(INDEX('Term investments'!$B:$B,ROW())&amp;""," "," "))</f>
        <v/>
      </c>
      <c r="C573">
        <f>TRIM(SUBSTITUTE(INDEX('Term investments'!$C:$C,ROW())&amp;""," "," "))</f>
        <v/>
      </c>
      <c r="D573">
        <f>IFERROR(--INDEX('Term investments'!$D:$D,ROW()),0)</f>
        <v/>
      </c>
      <c r="E573">
        <f>IFERROR(--INDEX('Term investments'!$E:$E,ROW()),0)</f>
        <v/>
      </c>
      <c r="F573">
        <f>IFERROR(--INDEX('Term investments'!$F:$F,ROW()),0)</f>
        <v/>
      </c>
      <c r="G573">
        <f>IFERROR(IF(--INDEX('Term investments'!$G:$G,ROW())&gt;=1,--INDEX('Term investments'!$G:$G,ROW())/100,--INDEX('Term investments'!$G:$G,ROW())),0)</f>
        <v/>
      </c>
      <c r="H573">
        <f>IFERROR(--INDEX('Term investments'!$H:$H,ROW()),0)</f>
        <v/>
      </c>
      <c r="I573">
        <f>IF(ISNUMBER(INDEX('Term investments'!$G:$G,ROW())),1,0)</f>
        <v/>
      </c>
      <c r="J573">
        <f>TRIM(SUBSTITUTE(INDEX('Call accounts and MMFs'!$A:$A,ROW())&amp;""," "," "))</f>
        <v/>
      </c>
      <c r="K573">
        <f>TRIM(SUBSTITUTE(INDEX('Call accounts and MMFs'!$B:$B,ROW())&amp;""," "," "))</f>
        <v/>
      </c>
      <c r="L573">
        <f>TRIM(SUBSTITUTE(INDEX('Call accounts and MMFs'!$C:$C,ROW())&amp;""," "," "))</f>
        <v/>
      </c>
      <c r="M573">
        <f>IFERROR(--INDEX('Call accounts and MMFs'!$D:$D,ROW()),0)</f>
        <v/>
      </c>
      <c r="N573">
        <f>IFERROR(IF(--INDEX('Call accounts and MMFs'!$E:$E,ROW())&gt;=1,--INDEX('Call accounts and MMFs'!$E:$E,ROW())/100,--INDEX('Call accounts and MMFs'!$E:$E,ROW())),0)</f>
        <v/>
      </c>
      <c r="O573">
        <f>IFERROR(--INDEX('Call accounts and MMFs'!$F:$F,ROW()),0)</f>
        <v/>
      </c>
      <c r="P573">
        <f>IF(ISNUMBER(INDEX('Call accounts and MMFs'!$E:$E,ROW())),1,0)</f>
        <v/>
      </c>
      <c r="Q573">
        <f>TRIM(SUBSTITUTE(INDEX('Pooled funds'!$B:$B,ROW())&amp;""," "," "))</f>
        <v/>
      </c>
      <c r="R573">
        <f>IFERROR(--INDEX('Pooled funds'!$C:$C,ROW()),0)</f>
        <v/>
      </c>
      <c r="S573">
        <f>IFERROR(--INDEX('Pooled funds'!$D:$D,ROW()),0)</f>
        <v/>
      </c>
      <c r="T573">
        <f>IFERROR(IF(--INDEX('Pooled funds'!$E:$E,ROW())&gt;=1,--INDEX('Pooled funds'!$E:$E,ROW())/100,--INDEX('Pooled funds'!$E:$E,ROW())),0)</f>
        <v/>
      </c>
      <c r="U573">
        <f>IF(ISNUMBER(INDEX('Pooled funds'!$E:$E,ROW())),1,0)</f>
        <v/>
      </c>
      <c r="V573">
        <f>TRIM(SUBSTITUTE(INDEX('Loans'!$A:$A,ROW())&amp;""," "," "))</f>
        <v/>
      </c>
      <c r="W573">
        <f>TRIM(SUBSTITUTE(INDEX('Loans'!$B:$B,ROW())&amp;""," "," "))</f>
        <v/>
      </c>
      <c r="X573">
        <f>TRIM(SUBSTITUTE(INDEX('Loans'!$C:$C,ROW())&amp;""," "," "))</f>
        <v/>
      </c>
      <c r="Y573">
        <f>IFERROR(--INDEX('Loans'!$D:$D,ROW()),0)</f>
        <v/>
      </c>
      <c r="Z573">
        <f>IFERROR(--INDEX('Loans'!$E:$E,ROW()),0)</f>
        <v/>
      </c>
      <c r="AA573">
        <f>IFERROR(--INDEX('Loans'!$F:$F,ROW()),0)</f>
        <v/>
      </c>
      <c r="AB573">
        <f>IFERROR(IF(--INDEX('Loans'!$G:$G,ROW())&gt;=1,--INDEX('Loans'!$G:$G,ROW())/100,--INDEX('Loans'!$G:$G,ROW())),0)</f>
        <v/>
      </c>
      <c r="AC573">
        <f>TRIM(SUBSTITUTE(INDEX('Loans'!$H:$H,ROW())&amp;""," "," "))</f>
        <v/>
      </c>
      <c r="AD573">
        <f>TRIM(SUBSTITUTE(INDEX('Loans'!$I:$I,ROW())&amp;""," "," "))</f>
        <v/>
      </c>
      <c r="AE573">
        <f>IFERROR(--INDEX('Loans'!$J:$J,ROW()),0)</f>
        <v/>
      </c>
      <c r="AF573">
        <f>TRIM(SUBSTITUTE(INDEX('Loans'!$K:$K,ROW())&amp;""," "," "))</f>
        <v/>
      </c>
      <c r="AG573">
        <f>IFERROR(--INDEX('Loans'!$L:$L,ROW()),0)</f>
        <v/>
      </c>
      <c r="AH573">
        <f>IF(ISNUMBER(INDEX('Loans'!$G:$G,ROW())),1,0)</f>
        <v/>
      </c>
    </row>
    <row r="574">
      <c r="A574">
        <f>TRIM(SUBSTITUTE(INDEX('Term investments'!$A:$A,ROW())&amp;""," "," "))</f>
        <v/>
      </c>
      <c r="B574">
        <f>TRIM(SUBSTITUTE(INDEX('Term investments'!$B:$B,ROW())&amp;""," "," "))</f>
        <v/>
      </c>
      <c r="C574">
        <f>TRIM(SUBSTITUTE(INDEX('Term investments'!$C:$C,ROW())&amp;""," "," "))</f>
        <v/>
      </c>
      <c r="D574">
        <f>IFERROR(--INDEX('Term investments'!$D:$D,ROW()),0)</f>
        <v/>
      </c>
      <c r="E574">
        <f>IFERROR(--INDEX('Term investments'!$E:$E,ROW()),0)</f>
        <v/>
      </c>
      <c r="F574">
        <f>IFERROR(--INDEX('Term investments'!$F:$F,ROW()),0)</f>
        <v/>
      </c>
      <c r="G574">
        <f>IFERROR(IF(--INDEX('Term investments'!$G:$G,ROW())&gt;=1,--INDEX('Term investments'!$G:$G,ROW())/100,--INDEX('Term investments'!$G:$G,ROW())),0)</f>
        <v/>
      </c>
      <c r="H574">
        <f>IFERROR(--INDEX('Term investments'!$H:$H,ROW()),0)</f>
        <v/>
      </c>
      <c r="I574">
        <f>IF(ISNUMBER(INDEX('Term investments'!$G:$G,ROW())),1,0)</f>
        <v/>
      </c>
      <c r="J574">
        <f>TRIM(SUBSTITUTE(INDEX('Call accounts and MMFs'!$A:$A,ROW())&amp;""," "," "))</f>
        <v/>
      </c>
      <c r="K574">
        <f>TRIM(SUBSTITUTE(INDEX('Call accounts and MMFs'!$B:$B,ROW())&amp;""," "," "))</f>
        <v/>
      </c>
      <c r="L574">
        <f>TRIM(SUBSTITUTE(INDEX('Call accounts and MMFs'!$C:$C,ROW())&amp;""," "," "))</f>
        <v/>
      </c>
      <c r="M574">
        <f>IFERROR(--INDEX('Call accounts and MMFs'!$D:$D,ROW()),0)</f>
        <v/>
      </c>
      <c r="N574">
        <f>IFERROR(IF(--INDEX('Call accounts and MMFs'!$E:$E,ROW())&gt;=1,--INDEX('Call accounts and MMFs'!$E:$E,ROW())/100,--INDEX('Call accounts and MMFs'!$E:$E,ROW())),0)</f>
        <v/>
      </c>
      <c r="O574">
        <f>IFERROR(--INDEX('Call accounts and MMFs'!$F:$F,ROW()),0)</f>
        <v/>
      </c>
      <c r="P574">
        <f>IF(ISNUMBER(INDEX('Call accounts and MMFs'!$E:$E,ROW())),1,0)</f>
        <v/>
      </c>
      <c r="Q574">
        <f>TRIM(SUBSTITUTE(INDEX('Pooled funds'!$B:$B,ROW())&amp;""," "," "))</f>
        <v/>
      </c>
      <c r="R574">
        <f>IFERROR(--INDEX('Pooled funds'!$C:$C,ROW()),0)</f>
        <v/>
      </c>
      <c r="S574">
        <f>IFERROR(--INDEX('Pooled funds'!$D:$D,ROW()),0)</f>
        <v/>
      </c>
      <c r="T574">
        <f>IFERROR(IF(--INDEX('Pooled funds'!$E:$E,ROW())&gt;=1,--INDEX('Pooled funds'!$E:$E,ROW())/100,--INDEX('Pooled funds'!$E:$E,ROW())),0)</f>
        <v/>
      </c>
      <c r="U574">
        <f>IF(ISNUMBER(INDEX('Pooled funds'!$E:$E,ROW())),1,0)</f>
        <v/>
      </c>
      <c r="V574">
        <f>TRIM(SUBSTITUTE(INDEX('Loans'!$A:$A,ROW())&amp;""," "," "))</f>
        <v/>
      </c>
      <c r="W574">
        <f>TRIM(SUBSTITUTE(INDEX('Loans'!$B:$B,ROW())&amp;""," "," "))</f>
        <v/>
      </c>
      <c r="X574">
        <f>TRIM(SUBSTITUTE(INDEX('Loans'!$C:$C,ROW())&amp;""," "," "))</f>
        <v/>
      </c>
      <c r="Y574">
        <f>IFERROR(--INDEX('Loans'!$D:$D,ROW()),0)</f>
        <v/>
      </c>
      <c r="Z574">
        <f>IFERROR(--INDEX('Loans'!$E:$E,ROW()),0)</f>
        <v/>
      </c>
      <c r="AA574">
        <f>IFERROR(--INDEX('Loans'!$F:$F,ROW()),0)</f>
        <v/>
      </c>
      <c r="AB574">
        <f>IFERROR(IF(--INDEX('Loans'!$G:$G,ROW())&gt;=1,--INDEX('Loans'!$G:$G,ROW())/100,--INDEX('Loans'!$G:$G,ROW())),0)</f>
        <v/>
      </c>
      <c r="AC574">
        <f>TRIM(SUBSTITUTE(INDEX('Loans'!$H:$H,ROW())&amp;""," "," "))</f>
        <v/>
      </c>
      <c r="AD574">
        <f>TRIM(SUBSTITUTE(INDEX('Loans'!$I:$I,ROW())&amp;""," "," "))</f>
        <v/>
      </c>
      <c r="AE574">
        <f>IFERROR(--INDEX('Loans'!$J:$J,ROW()),0)</f>
        <v/>
      </c>
      <c r="AF574">
        <f>TRIM(SUBSTITUTE(INDEX('Loans'!$K:$K,ROW())&amp;""," "," "))</f>
        <v/>
      </c>
      <c r="AG574">
        <f>IFERROR(--INDEX('Loans'!$L:$L,ROW()),0)</f>
        <v/>
      </c>
      <c r="AH574">
        <f>IF(ISNUMBER(INDEX('Loans'!$G:$G,ROW())),1,0)</f>
        <v/>
      </c>
    </row>
    <row r="575">
      <c r="A575">
        <f>TRIM(SUBSTITUTE(INDEX('Term investments'!$A:$A,ROW())&amp;""," "," "))</f>
        <v/>
      </c>
      <c r="B575">
        <f>TRIM(SUBSTITUTE(INDEX('Term investments'!$B:$B,ROW())&amp;""," "," "))</f>
        <v/>
      </c>
      <c r="C575">
        <f>TRIM(SUBSTITUTE(INDEX('Term investments'!$C:$C,ROW())&amp;""," "," "))</f>
        <v/>
      </c>
      <c r="D575">
        <f>IFERROR(--INDEX('Term investments'!$D:$D,ROW()),0)</f>
        <v/>
      </c>
      <c r="E575">
        <f>IFERROR(--INDEX('Term investments'!$E:$E,ROW()),0)</f>
        <v/>
      </c>
      <c r="F575">
        <f>IFERROR(--INDEX('Term investments'!$F:$F,ROW()),0)</f>
        <v/>
      </c>
      <c r="G575">
        <f>IFERROR(IF(--INDEX('Term investments'!$G:$G,ROW())&gt;=1,--INDEX('Term investments'!$G:$G,ROW())/100,--INDEX('Term investments'!$G:$G,ROW())),0)</f>
        <v/>
      </c>
      <c r="H575">
        <f>IFERROR(--INDEX('Term investments'!$H:$H,ROW()),0)</f>
        <v/>
      </c>
      <c r="I575">
        <f>IF(ISNUMBER(INDEX('Term investments'!$G:$G,ROW())),1,0)</f>
        <v/>
      </c>
      <c r="J575">
        <f>TRIM(SUBSTITUTE(INDEX('Call accounts and MMFs'!$A:$A,ROW())&amp;""," "," "))</f>
        <v/>
      </c>
      <c r="K575">
        <f>TRIM(SUBSTITUTE(INDEX('Call accounts and MMFs'!$B:$B,ROW())&amp;""," "," "))</f>
        <v/>
      </c>
      <c r="L575">
        <f>TRIM(SUBSTITUTE(INDEX('Call accounts and MMFs'!$C:$C,ROW())&amp;""," "," "))</f>
        <v/>
      </c>
      <c r="M575">
        <f>IFERROR(--INDEX('Call accounts and MMFs'!$D:$D,ROW()),0)</f>
        <v/>
      </c>
      <c r="N575">
        <f>IFERROR(IF(--INDEX('Call accounts and MMFs'!$E:$E,ROW())&gt;=1,--INDEX('Call accounts and MMFs'!$E:$E,ROW())/100,--INDEX('Call accounts and MMFs'!$E:$E,ROW())),0)</f>
        <v/>
      </c>
      <c r="O575">
        <f>IFERROR(--INDEX('Call accounts and MMFs'!$F:$F,ROW()),0)</f>
        <v/>
      </c>
      <c r="P575">
        <f>IF(ISNUMBER(INDEX('Call accounts and MMFs'!$E:$E,ROW())),1,0)</f>
        <v/>
      </c>
      <c r="Q575">
        <f>TRIM(SUBSTITUTE(INDEX('Pooled funds'!$B:$B,ROW())&amp;""," "," "))</f>
        <v/>
      </c>
      <c r="R575">
        <f>IFERROR(--INDEX('Pooled funds'!$C:$C,ROW()),0)</f>
        <v/>
      </c>
      <c r="S575">
        <f>IFERROR(--INDEX('Pooled funds'!$D:$D,ROW()),0)</f>
        <v/>
      </c>
      <c r="T575">
        <f>IFERROR(IF(--INDEX('Pooled funds'!$E:$E,ROW())&gt;=1,--INDEX('Pooled funds'!$E:$E,ROW())/100,--INDEX('Pooled funds'!$E:$E,ROW())),0)</f>
        <v/>
      </c>
      <c r="U575">
        <f>IF(ISNUMBER(INDEX('Pooled funds'!$E:$E,ROW())),1,0)</f>
        <v/>
      </c>
      <c r="V575">
        <f>TRIM(SUBSTITUTE(INDEX('Loans'!$A:$A,ROW())&amp;""," "," "))</f>
        <v/>
      </c>
      <c r="W575">
        <f>TRIM(SUBSTITUTE(INDEX('Loans'!$B:$B,ROW())&amp;""," "," "))</f>
        <v/>
      </c>
      <c r="X575">
        <f>TRIM(SUBSTITUTE(INDEX('Loans'!$C:$C,ROW())&amp;""," "," "))</f>
        <v/>
      </c>
      <c r="Y575">
        <f>IFERROR(--INDEX('Loans'!$D:$D,ROW()),0)</f>
        <v/>
      </c>
      <c r="Z575">
        <f>IFERROR(--INDEX('Loans'!$E:$E,ROW()),0)</f>
        <v/>
      </c>
      <c r="AA575">
        <f>IFERROR(--INDEX('Loans'!$F:$F,ROW()),0)</f>
        <v/>
      </c>
      <c r="AB575">
        <f>IFERROR(IF(--INDEX('Loans'!$G:$G,ROW())&gt;=1,--INDEX('Loans'!$G:$G,ROW())/100,--INDEX('Loans'!$G:$G,ROW())),0)</f>
        <v/>
      </c>
      <c r="AC575">
        <f>TRIM(SUBSTITUTE(INDEX('Loans'!$H:$H,ROW())&amp;""," "," "))</f>
        <v/>
      </c>
      <c r="AD575">
        <f>TRIM(SUBSTITUTE(INDEX('Loans'!$I:$I,ROW())&amp;""," "," "))</f>
        <v/>
      </c>
      <c r="AE575">
        <f>IFERROR(--INDEX('Loans'!$J:$J,ROW()),0)</f>
        <v/>
      </c>
      <c r="AF575">
        <f>TRIM(SUBSTITUTE(INDEX('Loans'!$K:$K,ROW())&amp;""," "," "))</f>
        <v/>
      </c>
      <c r="AG575">
        <f>IFERROR(--INDEX('Loans'!$L:$L,ROW()),0)</f>
        <v/>
      </c>
      <c r="AH575">
        <f>IF(ISNUMBER(INDEX('Loans'!$G:$G,ROW())),1,0)</f>
        <v/>
      </c>
    </row>
    <row r="576">
      <c r="A576">
        <f>TRIM(SUBSTITUTE(INDEX('Term investments'!$A:$A,ROW())&amp;""," "," "))</f>
        <v/>
      </c>
      <c r="B576">
        <f>TRIM(SUBSTITUTE(INDEX('Term investments'!$B:$B,ROW())&amp;""," "," "))</f>
        <v/>
      </c>
      <c r="C576">
        <f>TRIM(SUBSTITUTE(INDEX('Term investments'!$C:$C,ROW())&amp;""," "," "))</f>
        <v/>
      </c>
      <c r="D576">
        <f>IFERROR(--INDEX('Term investments'!$D:$D,ROW()),0)</f>
        <v/>
      </c>
      <c r="E576">
        <f>IFERROR(--INDEX('Term investments'!$E:$E,ROW()),0)</f>
        <v/>
      </c>
      <c r="F576">
        <f>IFERROR(--INDEX('Term investments'!$F:$F,ROW()),0)</f>
        <v/>
      </c>
      <c r="G576">
        <f>IFERROR(IF(--INDEX('Term investments'!$G:$G,ROW())&gt;=1,--INDEX('Term investments'!$G:$G,ROW())/100,--INDEX('Term investments'!$G:$G,ROW())),0)</f>
        <v/>
      </c>
      <c r="H576">
        <f>IFERROR(--INDEX('Term investments'!$H:$H,ROW()),0)</f>
        <v/>
      </c>
      <c r="I576">
        <f>IF(ISNUMBER(INDEX('Term investments'!$G:$G,ROW())),1,0)</f>
        <v/>
      </c>
      <c r="J576">
        <f>TRIM(SUBSTITUTE(INDEX('Call accounts and MMFs'!$A:$A,ROW())&amp;""," "," "))</f>
        <v/>
      </c>
      <c r="K576">
        <f>TRIM(SUBSTITUTE(INDEX('Call accounts and MMFs'!$B:$B,ROW())&amp;""," "," "))</f>
        <v/>
      </c>
      <c r="L576">
        <f>TRIM(SUBSTITUTE(INDEX('Call accounts and MMFs'!$C:$C,ROW())&amp;""," "," "))</f>
        <v/>
      </c>
      <c r="M576">
        <f>IFERROR(--INDEX('Call accounts and MMFs'!$D:$D,ROW()),0)</f>
        <v/>
      </c>
      <c r="N576">
        <f>IFERROR(IF(--INDEX('Call accounts and MMFs'!$E:$E,ROW())&gt;=1,--INDEX('Call accounts and MMFs'!$E:$E,ROW())/100,--INDEX('Call accounts and MMFs'!$E:$E,ROW())),0)</f>
        <v/>
      </c>
      <c r="O576">
        <f>IFERROR(--INDEX('Call accounts and MMFs'!$F:$F,ROW()),0)</f>
        <v/>
      </c>
      <c r="P576">
        <f>IF(ISNUMBER(INDEX('Call accounts and MMFs'!$E:$E,ROW())),1,0)</f>
        <v/>
      </c>
      <c r="Q576">
        <f>TRIM(SUBSTITUTE(INDEX('Pooled funds'!$B:$B,ROW())&amp;""," "," "))</f>
        <v/>
      </c>
      <c r="R576">
        <f>IFERROR(--INDEX('Pooled funds'!$C:$C,ROW()),0)</f>
        <v/>
      </c>
      <c r="S576">
        <f>IFERROR(--INDEX('Pooled funds'!$D:$D,ROW()),0)</f>
        <v/>
      </c>
      <c r="T576">
        <f>IFERROR(IF(--INDEX('Pooled funds'!$E:$E,ROW())&gt;=1,--INDEX('Pooled funds'!$E:$E,ROW())/100,--INDEX('Pooled funds'!$E:$E,ROW())),0)</f>
        <v/>
      </c>
      <c r="U576">
        <f>IF(ISNUMBER(INDEX('Pooled funds'!$E:$E,ROW())),1,0)</f>
        <v/>
      </c>
      <c r="V576">
        <f>TRIM(SUBSTITUTE(INDEX('Loans'!$A:$A,ROW())&amp;""," "," "))</f>
        <v/>
      </c>
      <c r="W576">
        <f>TRIM(SUBSTITUTE(INDEX('Loans'!$B:$B,ROW())&amp;""," "," "))</f>
        <v/>
      </c>
      <c r="X576">
        <f>TRIM(SUBSTITUTE(INDEX('Loans'!$C:$C,ROW())&amp;""," "," "))</f>
        <v/>
      </c>
      <c r="Y576">
        <f>IFERROR(--INDEX('Loans'!$D:$D,ROW()),0)</f>
        <v/>
      </c>
      <c r="Z576">
        <f>IFERROR(--INDEX('Loans'!$E:$E,ROW()),0)</f>
        <v/>
      </c>
      <c r="AA576">
        <f>IFERROR(--INDEX('Loans'!$F:$F,ROW()),0)</f>
        <v/>
      </c>
      <c r="AB576">
        <f>IFERROR(IF(--INDEX('Loans'!$G:$G,ROW())&gt;=1,--INDEX('Loans'!$G:$G,ROW())/100,--INDEX('Loans'!$G:$G,ROW())),0)</f>
        <v/>
      </c>
      <c r="AC576">
        <f>TRIM(SUBSTITUTE(INDEX('Loans'!$H:$H,ROW())&amp;""," "," "))</f>
        <v/>
      </c>
      <c r="AD576">
        <f>TRIM(SUBSTITUTE(INDEX('Loans'!$I:$I,ROW())&amp;""," "," "))</f>
        <v/>
      </c>
      <c r="AE576">
        <f>IFERROR(--INDEX('Loans'!$J:$J,ROW()),0)</f>
        <v/>
      </c>
      <c r="AF576">
        <f>TRIM(SUBSTITUTE(INDEX('Loans'!$K:$K,ROW())&amp;""," "," "))</f>
        <v/>
      </c>
      <c r="AG576">
        <f>IFERROR(--INDEX('Loans'!$L:$L,ROW()),0)</f>
        <v/>
      </c>
      <c r="AH576">
        <f>IF(ISNUMBER(INDEX('Loans'!$G:$G,ROW())),1,0)</f>
        <v/>
      </c>
    </row>
    <row r="577">
      <c r="A577">
        <f>TRIM(SUBSTITUTE(INDEX('Term investments'!$A:$A,ROW())&amp;""," "," "))</f>
        <v/>
      </c>
      <c r="B577">
        <f>TRIM(SUBSTITUTE(INDEX('Term investments'!$B:$B,ROW())&amp;""," "," "))</f>
        <v/>
      </c>
      <c r="C577">
        <f>TRIM(SUBSTITUTE(INDEX('Term investments'!$C:$C,ROW())&amp;""," "," "))</f>
        <v/>
      </c>
      <c r="D577">
        <f>IFERROR(--INDEX('Term investments'!$D:$D,ROW()),0)</f>
        <v/>
      </c>
      <c r="E577">
        <f>IFERROR(--INDEX('Term investments'!$E:$E,ROW()),0)</f>
        <v/>
      </c>
      <c r="F577">
        <f>IFERROR(--INDEX('Term investments'!$F:$F,ROW()),0)</f>
        <v/>
      </c>
      <c r="G577">
        <f>IFERROR(IF(--INDEX('Term investments'!$G:$G,ROW())&gt;=1,--INDEX('Term investments'!$G:$G,ROW())/100,--INDEX('Term investments'!$G:$G,ROW())),0)</f>
        <v/>
      </c>
      <c r="H577">
        <f>IFERROR(--INDEX('Term investments'!$H:$H,ROW()),0)</f>
        <v/>
      </c>
      <c r="I577">
        <f>IF(ISNUMBER(INDEX('Term investments'!$G:$G,ROW())),1,0)</f>
        <v/>
      </c>
      <c r="J577">
        <f>TRIM(SUBSTITUTE(INDEX('Call accounts and MMFs'!$A:$A,ROW())&amp;""," "," "))</f>
        <v/>
      </c>
      <c r="K577">
        <f>TRIM(SUBSTITUTE(INDEX('Call accounts and MMFs'!$B:$B,ROW())&amp;""," "," "))</f>
        <v/>
      </c>
      <c r="L577">
        <f>TRIM(SUBSTITUTE(INDEX('Call accounts and MMFs'!$C:$C,ROW())&amp;""," "," "))</f>
        <v/>
      </c>
      <c r="M577">
        <f>IFERROR(--INDEX('Call accounts and MMFs'!$D:$D,ROW()),0)</f>
        <v/>
      </c>
      <c r="N577">
        <f>IFERROR(IF(--INDEX('Call accounts and MMFs'!$E:$E,ROW())&gt;=1,--INDEX('Call accounts and MMFs'!$E:$E,ROW())/100,--INDEX('Call accounts and MMFs'!$E:$E,ROW())),0)</f>
        <v/>
      </c>
      <c r="O577">
        <f>IFERROR(--INDEX('Call accounts and MMFs'!$F:$F,ROW()),0)</f>
        <v/>
      </c>
      <c r="P577">
        <f>IF(ISNUMBER(INDEX('Call accounts and MMFs'!$E:$E,ROW())),1,0)</f>
        <v/>
      </c>
      <c r="Q577">
        <f>TRIM(SUBSTITUTE(INDEX('Pooled funds'!$B:$B,ROW())&amp;""," "," "))</f>
        <v/>
      </c>
      <c r="R577">
        <f>IFERROR(--INDEX('Pooled funds'!$C:$C,ROW()),0)</f>
        <v/>
      </c>
      <c r="S577">
        <f>IFERROR(--INDEX('Pooled funds'!$D:$D,ROW()),0)</f>
        <v/>
      </c>
      <c r="T577">
        <f>IFERROR(IF(--INDEX('Pooled funds'!$E:$E,ROW())&gt;=1,--INDEX('Pooled funds'!$E:$E,ROW())/100,--INDEX('Pooled funds'!$E:$E,ROW())),0)</f>
        <v/>
      </c>
      <c r="U577">
        <f>IF(ISNUMBER(INDEX('Pooled funds'!$E:$E,ROW())),1,0)</f>
        <v/>
      </c>
      <c r="V577">
        <f>TRIM(SUBSTITUTE(INDEX('Loans'!$A:$A,ROW())&amp;""," "," "))</f>
        <v/>
      </c>
      <c r="W577">
        <f>TRIM(SUBSTITUTE(INDEX('Loans'!$B:$B,ROW())&amp;""," "," "))</f>
        <v/>
      </c>
      <c r="X577">
        <f>TRIM(SUBSTITUTE(INDEX('Loans'!$C:$C,ROW())&amp;""," "," "))</f>
        <v/>
      </c>
      <c r="Y577">
        <f>IFERROR(--INDEX('Loans'!$D:$D,ROW()),0)</f>
        <v/>
      </c>
      <c r="Z577">
        <f>IFERROR(--INDEX('Loans'!$E:$E,ROW()),0)</f>
        <v/>
      </c>
      <c r="AA577">
        <f>IFERROR(--INDEX('Loans'!$F:$F,ROW()),0)</f>
        <v/>
      </c>
      <c r="AB577">
        <f>IFERROR(IF(--INDEX('Loans'!$G:$G,ROW())&gt;=1,--INDEX('Loans'!$G:$G,ROW())/100,--INDEX('Loans'!$G:$G,ROW())),0)</f>
        <v/>
      </c>
      <c r="AC577">
        <f>TRIM(SUBSTITUTE(INDEX('Loans'!$H:$H,ROW())&amp;""," "," "))</f>
        <v/>
      </c>
      <c r="AD577">
        <f>TRIM(SUBSTITUTE(INDEX('Loans'!$I:$I,ROW())&amp;""," "," "))</f>
        <v/>
      </c>
      <c r="AE577">
        <f>IFERROR(--INDEX('Loans'!$J:$J,ROW()),0)</f>
        <v/>
      </c>
      <c r="AF577">
        <f>TRIM(SUBSTITUTE(INDEX('Loans'!$K:$K,ROW())&amp;""," "," "))</f>
        <v/>
      </c>
      <c r="AG577">
        <f>IFERROR(--INDEX('Loans'!$L:$L,ROW()),0)</f>
        <v/>
      </c>
      <c r="AH577">
        <f>IF(ISNUMBER(INDEX('Loans'!$G:$G,ROW())),1,0)</f>
        <v/>
      </c>
    </row>
    <row r="578">
      <c r="A578">
        <f>TRIM(SUBSTITUTE(INDEX('Term investments'!$A:$A,ROW())&amp;""," "," "))</f>
        <v/>
      </c>
      <c r="B578">
        <f>TRIM(SUBSTITUTE(INDEX('Term investments'!$B:$B,ROW())&amp;""," "," "))</f>
        <v/>
      </c>
      <c r="C578">
        <f>TRIM(SUBSTITUTE(INDEX('Term investments'!$C:$C,ROW())&amp;""," "," "))</f>
        <v/>
      </c>
      <c r="D578">
        <f>IFERROR(--INDEX('Term investments'!$D:$D,ROW()),0)</f>
        <v/>
      </c>
      <c r="E578">
        <f>IFERROR(--INDEX('Term investments'!$E:$E,ROW()),0)</f>
        <v/>
      </c>
      <c r="F578">
        <f>IFERROR(--INDEX('Term investments'!$F:$F,ROW()),0)</f>
        <v/>
      </c>
      <c r="G578">
        <f>IFERROR(IF(--INDEX('Term investments'!$G:$G,ROW())&gt;=1,--INDEX('Term investments'!$G:$G,ROW())/100,--INDEX('Term investments'!$G:$G,ROW())),0)</f>
        <v/>
      </c>
      <c r="H578">
        <f>IFERROR(--INDEX('Term investments'!$H:$H,ROW()),0)</f>
        <v/>
      </c>
      <c r="I578">
        <f>IF(ISNUMBER(INDEX('Term investments'!$G:$G,ROW())),1,0)</f>
        <v/>
      </c>
      <c r="J578">
        <f>TRIM(SUBSTITUTE(INDEX('Call accounts and MMFs'!$A:$A,ROW())&amp;""," "," "))</f>
        <v/>
      </c>
      <c r="K578">
        <f>TRIM(SUBSTITUTE(INDEX('Call accounts and MMFs'!$B:$B,ROW())&amp;""," "," "))</f>
        <v/>
      </c>
      <c r="L578">
        <f>TRIM(SUBSTITUTE(INDEX('Call accounts and MMFs'!$C:$C,ROW())&amp;""," "," "))</f>
        <v/>
      </c>
      <c r="M578">
        <f>IFERROR(--INDEX('Call accounts and MMFs'!$D:$D,ROW()),0)</f>
        <v/>
      </c>
      <c r="N578">
        <f>IFERROR(IF(--INDEX('Call accounts and MMFs'!$E:$E,ROW())&gt;=1,--INDEX('Call accounts and MMFs'!$E:$E,ROW())/100,--INDEX('Call accounts and MMFs'!$E:$E,ROW())),0)</f>
        <v/>
      </c>
      <c r="O578">
        <f>IFERROR(--INDEX('Call accounts and MMFs'!$F:$F,ROW()),0)</f>
        <v/>
      </c>
      <c r="P578">
        <f>IF(ISNUMBER(INDEX('Call accounts and MMFs'!$E:$E,ROW())),1,0)</f>
        <v/>
      </c>
      <c r="Q578">
        <f>TRIM(SUBSTITUTE(INDEX('Pooled funds'!$B:$B,ROW())&amp;""," "," "))</f>
        <v/>
      </c>
      <c r="R578">
        <f>IFERROR(--INDEX('Pooled funds'!$C:$C,ROW()),0)</f>
        <v/>
      </c>
      <c r="S578">
        <f>IFERROR(--INDEX('Pooled funds'!$D:$D,ROW()),0)</f>
        <v/>
      </c>
      <c r="T578">
        <f>IFERROR(IF(--INDEX('Pooled funds'!$E:$E,ROW())&gt;=1,--INDEX('Pooled funds'!$E:$E,ROW())/100,--INDEX('Pooled funds'!$E:$E,ROW())),0)</f>
        <v/>
      </c>
      <c r="U578">
        <f>IF(ISNUMBER(INDEX('Pooled funds'!$E:$E,ROW())),1,0)</f>
        <v/>
      </c>
      <c r="V578">
        <f>TRIM(SUBSTITUTE(INDEX('Loans'!$A:$A,ROW())&amp;""," "," "))</f>
        <v/>
      </c>
      <c r="W578">
        <f>TRIM(SUBSTITUTE(INDEX('Loans'!$B:$B,ROW())&amp;""," "," "))</f>
        <v/>
      </c>
      <c r="X578">
        <f>TRIM(SUBSTITUTE(INDEX('Loans'!$C:$C,ROW())&amp;""," "," "))</f>
        <v/>
      </c>
      <c r="Y578">
        <f>IFERROR(--INDEX('Loans'!$D:$D,ROW()),0)</f>
        <v/>
      </c>
      <c r="Z578">
        <f>IFERROR(--INDEX('Loans'!$E:$E,ROW()),0)</f>
        <v/>
      </c>
      <c r="AA578">
        <f>IFERROR(--INDEX('Loans'!$F:$F,ROW()),0)</f>
        <v/>
      </c>
      <c r="AB578">
        <f>IFERROR(IF(--INDEX('Loans'!$G:$G,ROW())&gt;=1,--INDEX('Loans'!$G:$G,ROW())/100,--INDEX('Loans'!$G:$G,ROW())),0)</f>
        <v/>
      </c>
      <c r="AC578">
        <f>TRIM(SUBSTITUTE(INDEX('Loans'!$H:$H,ROW())&amp;""," "," "))</f>
        <v/>
      </c>
      <c r="AD578">
        <f>TRIM(SUBSTITUTE(INDEX('Loans'!$I:$I,ROW())&amp;""," "," "))</f>
        <v/>
      </c>
      <c r="AE578">
        <f>IFERROR(--INDEX('Loans'!$J:$J,ROW()),0)</f>
        <v/>
      </c>
      <c r="AF578">
        <f>TRIM(SUBSTITUTE(INDEX('Loans'!$K:$K,ROW())&amp;""," "," "))</f>
        <v/>
      </c>
      <c r="AG578">
        <f>IFERROR(--INDEX('Loans'!$L:$L,ROW()),0)</f>
        <v/>
      </c>
      <c r="AH578">
        <f>IF(ISNUMBER(INDEX('Loans'!$G:$G,ROW())),1,0)</f>
        <v/>
      </c>
    </row>
    <row r="579">
      <c r="A579">
        <f>TRIM(SUBSTITUTE(INDEX('Term investments'!$A:$A,ROW())&amp;""," "," "))</f>
        <v/>
      </c>
      <c r="B579">
        <f>TRIM(SUBSTITUTE(INDEX('Term investments'!$B:$B,ROW())&amp;""," "," "))</f>
        <v/>
      </c>
      <c r="C579">
        <f>TRIM(SUBSTITUTE(INDEX('Term investments'!$C:$C,ROW())&amp;""," "," "))</f>
        <v/>
      </c>
      <c r="D579">
        <f>IFERROR(--INDEX('Term investments'!$D:$D,ROW()),0)</f>
        <v/>
      </c>
      <c r="E579">
        <f>IFERROR(--INDEX('Term investments'!$E:$E,ROW()),0)</f>
        <v/>
      </c>
      <c r="F579">
        <f>IFERROR(--INDEX('Term investments'!$F:$F,ROW()),0)</f>
        <v/>
      </c>
      <c r="G579">
        <f>IFERROR(IF(--INDEX('Term investments'!$G:$G,ROW())&gt;=1,--INDEX('Term investments'!$G:$G,ROW())/100,--INDEX('Term investments'!$G:$G,ROW())),0)</f>
        <v/>
      </c>
      <c r="H579">
        <f>IFERROR(--INDEX('Term investments'!$H:$H,ROW()),0)</f>
        <v/>
      </c>
      <c r="I579">
        <f>IF(ISNUMBER(INDEX('Term investments'!$G:$G,ROW())),1,0)</f>
        <v/>
      </c>
      <c r="J579">
        <f>TRIM(SUBSTITUTE(INDEX('Call accounts and MMFs'!$A:$A,ROW())&amp;""," "," "))</f>
        <v/>
      </c>
      <c r="K579">
        <f>TRIM(SUBSTITUTE(INDEX('Call accounts and MMFs'!$B:$B,ROW())&amp;""," "," "))</f>
        <v/>
      </c>
      <c r="L579">
        <f>TRIM(SUBSTITUTE(INDEX('Call accounts and MMFs'!$C:$C,ROW())&amp;""," "," "))</f>
        <v/>
      </c>
      <c r="M579">
        <f>IFERROR(--INDEX('Call accounts and MMFs'!$D:$D,ROW()),0)</f>
        <v/>
      </c>
      <c r="N579">
        <f>IFERROR(IF(--INDEX('Call accounts and MMFs'!$E:$E,ROW())&gt;=1,--INDEX('Call accounts and MMFs'!$E:$E,ROW())/100,--INDEX('Call accounts and MMFs'!$E:$E,ROW())),0)</f>
        <v/>
      </c>
      <c r="O579">
        <f>IFERROR(--INDEX('Call accounts and MMFs'!$F:$F,ROW()),0)</f>
        <v/>
      </c>
      <c r="P579">
        <f>IF(ISNUMBER(INDEX('Call accounts and MMFs'!$E:$E,ROW())),1,0)</f>
        <v/>
      </c>
      <c r="Q579">
        <f>TRIM(SUBSTITUTE(INDEX('Pooled funds'!$B:$B,ROW())&amp;""," "," "))</f>
        <v/>
      </c>
      <c r="R579">
        <f>IFERROR(--INDEX('Pooled funds'!$C:$C,ROW()),0)</f>
        <v/>
      </c>
      <c r="S579">
        <f>IFERROR(--INDEX('Pooled funds'!$D:$D,ROW()),0)</f>
        <v/>
      </c>
      <c r="T579">
        <f>IFERROR(IF(--INDEX('Pooled funds'!$E:$E,ROW())&gt;=1,--INDEX('Pooled funds'!$E:$E,ROW())/100,--INDEX('Pooled funds'!$E:$E,ROW())),0)</f>
        <v/>
      </c>
      <c r="U579">
        <f>IF(ISNUMBER(INDEX('Pooled funds'!$E:$E,ROW())),1,0)</f>
        <v/>
      </c>
      <c r="V579">
        <f>TRIM(SUBSTITUTE(INDEX('Loans'!$A:$A,ROW())&amp;""," "," "))</f>
        <v/>
      </c>
      <c r="W579">
        <f>TRIM(SUBSTITUTE(INDEX('Loans'!$B:$B,ROW())&amp;""," "," "))</f>
        <v/>
      </c>
      <c r="X579">
        <f>TRIM(SUBSTITUTE(INDEX('Loans'!$C:$C,ROW())&amp;""," "," "))</f>
        <v/>
      </c>
      <c r="Y579">
        <f>IFERROR(--INDEX('Loans'!$D:$D,ROW()),0)</f>
        <v/>
      </c>
      <c r="Z579">
        <f>IFERROR(--INDEX('Loans'!$E:$E,ROW()),0)</f>
        <v/>
      </c>
      <c r="AA579">
        <f>IFERROR(--INDEX('Loans'!$F:$F,ROW()),0)</f>
        <v/>
      </c>
      <c r="AB579">
        <f>IFERROR(IF(--INDEX('Loans'!$G:$G,ROW())&gt;=1,--INDEX('Loans'!$G:$G,ROW())/100,--INDEX('Loans'!$G:$G,ROW())),0)</f>
        <v/>
      </c>
      <c r="AC579">
        <f>TRIM(SUBSTITUTE(INDEX('Loans'!$H:$H,ROW())&amp;""," "," "))</f>
        <v/>
      </c>
      <c r="AD579">
        <f>TRIM(SUBSTITUTE(INDEX('Loans'!$I:$I,ROW())&amp;""," "," "))</f>
        <v/>
      </c>
      <c r="AE579">
        <f>IFERROR(--INDEX('Loans'!$J:$J,ROW()),0)</f>
        <v/>
      </c>
      <c r="AF579">
        <f>TRIM(SUBSTITUTE(INDEX('Loans'!$K:$K,ROW())&amp;""," "," "))</f>
        <v/>
      </c>
      <c r="AG579">
        <f>IFERROR(--INDEX('Loans'!$L:$L,ROW()),0)</f>
        <v/>
      </c>
      <c r="AH579">
        <f>IF(ISNUMBER(INDEX('Loans'!$G:$G,ROW())),1,0)</f>
        <v/>
      </c>
    </row>
    <row r="580">
      <c r="A580">
        <f>TRIM(SUBSTITUTE(INDEX('Term investments'!$A:$A,ROW())&amp;""," "," "))</f>
        <v/>
      </c>
      <c r="B580">
        <f>TRIM(SUBSTITUTE(INDEX('Term investments'!$B:$B,ROW())&amp;""," "," "))</f>
        <v/>
      </c>
      <c r="C580">
        <f>TRIM(SUBSTITUTE(INDEX('Term investments'!$C:$C,ROW())&amp;""," "," "))</f>
        <v/>
      </c>
      <c r="D580">
        <f>IFERROR(--INDEX('Term investments'!$D:$D,ROW()),0)</f>
        <v/>
      </c>
      <c r="E580">
        <f>IFERROR(--INDEX('Term investments'!$E:$E,ROW()),0)</f>
        <v/>
      </c>
      <c r="F580">
        <f>IFERROR(--INDEX('Term investments'!$F:$F,ROW()),0)</f>
        <v/>
      </c>
      <c r="G580">
        <f>IFERROR(IF(--INDEX('Term investments'!$G:$G,ROW())&gt;=1,--INDEX('Term investments'!$G:$G,ROW())/100,--INDEX('Term investments'!$G:$G,ROW())),0)</f>
        <v/>
      </c>
      <c r="H580">
        <f>IFERROR(--INDEX('Term investments'!$H:$H,ROW()),0)</f>
        <v/>
      </c>
      <c r="I580">
        <f>IF(ISNUMBER(INDEX('Term investments'!$G:$G,ROW())),1,0)</f>
        <v/>
      </c>
      <c r="J580">
        <f>TRIM(SUBSTITUTE(INDEX('Call accounts and MMFs'!$A:$A,ROW())&amp;""," "," "))</f>
        <v/>
      </c>
      <c r="K580">
        <f>TRIM(SUBSTITUTE(INDEX('Call accounts and MMFs'!$B:$B,ROW())&amp;""," "," "))</f>
        <v/>
      </c>
      <c r="L580">
        <f>TRIM(SUBSTITUTE(INDEX('Call accounts and MMFs'!$C:$C,ROW())&amp;""," "," "))</f>
        <v/>
      </c>
      <c r="M580">
        <f>IFERROR(--INDEX('Call accounts and MMFs'!$D:$D,ROW()),0)</f>
        <v/>
      </c>
      <c r="N580">
        <f>IFERROR(IF(--INDEX('Call accounts and MMFs'!$E:$E,ROW())&gt;=1,--INDEX('Call accounts and MMFs'!$E:$E,ROW())/100,--INDEX('Call accounts and MMFs'!$E:$E,ROW())),0)</f>
        <v/>
      </c>
      <c r="O580">
        <f>IFERROR(--INDEX('Call accounts and MMFs'!$F:$F,ROW()),0)</f>
        <v/>
      </c>
      <c r="P580">
        <f>IF(ISNUMBER(INDEX('Call accounts and MMFs'!$E:$E,ROW())),1,0)</f>
        <v/>
      </c>
      <c r="Q580">
        <f>TRIM(SUBSTITUTE(INDEX('Pooled funds'!$B:$B,ROW())&amp;""," "," "))</f>
        <v/>
      </c>
      <c r="R580">
        <f>IFERROR(--INDEX('Pooled funds'!$C:$C,ROW()),0)</f>
        <v/>
      </c>
      <c r="S580">
        <f>IFERROR(--INDEX('Pooled funds'!$D:$D,ROW()),0)</f>
        <v/>
      </c>
      <c r="T580">
        <f>IFERROR(IF(--INDEX('Pooled funds'!$E:$E,ROW())&gt;=1,--INDEX('Pooled funds'!$E:$E,ROW())/100,--INDEX('Pooled funds'!$E:$E,ROW())),0)</f>
        <v/>
      </c>
      <c r="U580">
        <f>IF(ISNUMBER(INDEX('Pooled funds'!$E:$E,ROW())),1,0)</f>
        <v/>
      </c>
      <c r="V580">
        <f>TRIM(SUBSTITUTE(INDEX('Loans'!$A:$A,ROW())&amp;""," "," "))</f>
        <v/>
      </c>
      <c r="W580">
        <f>TRIM(SUBSTITUTE(INDEX('Loans'!$B:$B,ROW())&amp;""," "," "))</f>
        <v/>
      </c>
      <c r="X580">
        <f>TRIM(SUBSTITUTE(INDEX('Loans'!$C:$C,ROW())&amp;""," "," "))</f>
        <v/>
      </c>
      <c r="Y580">
        <f>IFERROR(--INDEX('Loans'!$D:$D,ROW()),0)</f>
        <v/>
      </c>
      <c r="Z580">
        <f>IFERROR(--INDEX('Loans'!$E:$E,ROW()),0)</f>
        <v/>
      </c>
      <c r="AA580">
        <f>IFERROR(--INDEX('Loans'!$F:$F,ROW()),0)</f>
        <v/>
      </c>
      <c r="AB580">
        <f>IFERROR(IF(--INDEX('Loans'!$G:$G,ROW())&gt;=1,--INDEX('Loans'!$G:$G,ROW())/100,--INDEX('Loans'!$G:$G,ROW())),0)</f>
        <v/>
      </c>
      <c r="AC580">
        <f>TRIM(SUBSTITUTE(INDEX('Loans'!$H:$H,ROW())&amp;""," "," "))</f>
        <v/>
      </c>
      <c r="AD580">
        <f>TRIM(SUBSTITUTE(INDEX('Loans'!$I:$I,ROW())&amp;""," "," "))</f>
        <v/>
      </c>
      <c r="AE580">
        <f>IFERROR(--INDEX('Loans'!$J:$J,ROW()),0)</f>
        <v/>
      </c>
      <c r="AF580">
        <f>TRIM(SUBSTITUTE(INDEX('Loans'!$K:$K,ROW())&amp;""," "," "))</f>
        <v/>
      </c>
      <c r="AG580">
        <f>IFERROR(--INDEX('Loans'!$L:$L,ROW()),0)</f>
        <v/>
      </c>
      <c r="AH580">
        <f>IF(ISNUMBER(INDEX('Loans'!$G:$G,ROW())),1,0)</f>
        <v/>
      </c>
    </row>
    <row r="581">
      <c r="A581">
        <f>TRIM(SUBSTITUTE(INDEX('Term investments'!$A:$A,ROW())&amp;""," "," "))</f>
        <v/>
      </c>
      <c r="B581">
        <f>TRIM(SUBSTITUTE(INDEX('Term investments'!$B:$B,ROW())&amp;""," "," "))</f>
        <v/>
      </c>
      <c r="C581">
        <f>TRIM(SUBSTITUTE(INDEX('Term investments'!$C:$C,ROW())&amp;""," "," "))</f>
        <v/>
      </c>
      <c r="D581">
        <f>IFERROR(--INDEX('Term investments'!$D:$D,ROW()),0)</f>
        <v/>
      </c>
      <c r="E581">
        <f>IFERROR(--INDEX('Term investments'!$E:$E,ROW()),0)</f>
        <v/>
      </c>
      <c r="F581">
        <f>IFERROR(--INDEX('Term investments'!$F:$F,ROW()),0)</f>
        <v/>
      </c>
      <c r="G581">
        <f>IFERROR(IF(--INDEX('Term investments'!$G:$G,ROW())&gt;=1,--INDEX('Term investments'!$G:$G,ROW())/100,--INDEX('Term investments'!$G:$G,ROW())),0)</f>
        <v/>
      </c>
      <c r="H581">
        <f>IFERROR(--INDEX('Term investments'!$H:$H,ROW()),0)</f>
        <v/>
      </c>
      <c r="I581">
        <f>IF(ISNUMBER(INDEX('Term investments'!$G:$G,ROW())),1,0)</f>
        <v/>
      </c>
      <c r="J581">
        <f>TRIM(SUBSTITUTE(INDEX('Call accounts and MMFs'!$A:$A,ROW())&amp;""," "," "))</f>
        <v/>
      </c>
      <c r="K581">
        <f>TRIM(SUBSTITUTE(INDEX('Call accounts and MMFs'!$B:$B,ROW())&amp;""," "," "))</f>
        <v/>
      </c>
      <c r="L581">
        <f>TRIM(SUBSTITUTE(INDEX('Call accounts and MMFs'!$C:$C,ROW())&amp;""," "," "))</f>
        <v/>
      </c>
      <c r="M581">
        <f>IFERROR(--INDEX('Call accounts and MMFs'!$D:$D,ROW()),0)</f>
        <v/>
      </c>
      <c r="N581">
        <f>IFERROR(IF(--INDEX('Call accounts and MMFs'!$E:$E,ROW())&gt;=1,--INDEX('Call accounts and MMFs'!$E:$E,ROW())/100,--INDEX('Call accounts and MMFs'!$E:$E,ROW())),0)</f>
        <v/>
      </c>
      <c r="O581">
        <f>IFERROR(--INDEX('Call accounts and MMFs'!$F:$F,ROW()),0)</f>
        <v/>
      </c>
      <c r="P581">
        <f>IF(ISNUMBER(INDEX('Call accounts and MMFs'!$E:$E,ROW())),1,0)</f>
        <v/>
      </c>
      <c r="Q581">
        <f>TRIM(SUBSTITUTE(INDEX('Pooled funds'!$B:$B,ROW())&amp;""," "," "))</f>
        <v/>
      </c>
      <c r="R581">
        <f>IFERROR(--INDEX('Pooled funds'!$C:$C,ROW()),0)</f>
        <v/>
      </c>
      <c r="S581">
        <f>IFERROR(--INDEX('Pooled funds'!$D:$D,ROW()),0)</f>
        <v/>
      </c>
      <c r="T581">
        <f>IFERROR(IF(--INDEX('Pooled funds'!$E:$E,ROW())&gt;=1,--INDEX('Pooled funds'!$E:$E,ROW())/100,--INDEX('Pooled funds'!$E:$E,ROW())),0)</f>
        <v/>
      </c>
      <c r="U581">
        <f>IF(ISNUMBER(INDEX('Pooled funds'!$E:$E,ROW())),1,0)</f>
        <v/>
      </c>
      <c r="V581">
        <f>TRIM(SUBSTITUTE(INDEX('Loans'!$A:$A,ROW())&amp;""," "," "))</f>
        <v/>
      </c>
      <c r="W581">
        <f>TRIM(SUBSTITUTE(INDEX('Loans'!$B:$B,ROW())&amp;""," "," "))</f>
        <v/>
      </c>
      <c r="X581">
        <f>TRIM(SUBSTITUTE(INDEX('Loans'!$C:$C,ROW())&amp;""," "," "))</f>
        <v/>
      </c>
      <c r="Y581">
        <f>IFERROR(--INDEX('Loans'!$D:$D,ROW()),0)</f>
        <v/>
      </c>
      <c r="Z581">
        <f>IFERROR(--INDEX('Loans'!$E:$E,ROW()),0)</f>
        <v/>
      </c>
      <c r="AA581">
        <f>IFERROR(--INDEX('Loans'!$F:$F,ROW()),0)</f>
        <v/>
      </c>
      <c r="AB581">
        <f>IFERROR(IF(--INDEX('Loans'!$G:$G,ROW())&gt;=1,--INDEX('Loans'!$G:$G,ROW())/100,--INDEX('Loans'!$G:$G,ROW())),0)</f>
        <v/>
      </c>
      <c r="AC581">
        <f>TRIM(SUBSTITUTE(INDEX('Loans'!$H:$H,ROW())&amp;""," "," "))</f>
        <v/>
      </c>
      <c r="AD581">
        <f>TRIM(SUBSTITUTE(INDEX('Loans'!$I:$I,ROW())&amp;""," "," "))</f>
        <v/>
      </c>
      <c r="AE581">
        <f>IFERROR(--INDEX('Loans'!$J:$J,ROW()),0)</f>
        <v/>
      </c>
      <c r="AF581">
        <f>TRIM(SUBSTITUTE(INDEX('Loans'!$K:$K,ROW())&amp;""," "," "))</f>
        <v/>
      </c>
      <c r="AG581">
        <f>IFERROR(--INDEX('Loans'!$L:$L,ROW()),0)</f>
        <v/>
      </c>
      <c r="AH581">
        <f>IF(ISNUMBER(INDEX('Loans'!$G:$G,ROW())),1,0)</f>
        <v/>
      </c>
    </row>
    <row r="582">
      <c r="A582">
        <f>TRIM(SUBSTITUTE(INDEX('Term investments'!$A:$A,ROW())&amp;""," "," "))</f>
        <v/>
      </c>
      <c r="B582">
        <f>TRIM(SUBSTITUTE(INDEX('Term investments'!$B:$B,ROW())&amp;""," "," "))</f>
        <v/>
      </c>
      <c r="C582">
        <f>TRIM(SUBSTITUTE(INDEX('Term investments'!$C:$C,ROW())&amp;""," "," "))</f>
        <v/>
      </c>
      <c r="D582">
        <f>IFERROR(--INDEX('Term investments'!$D:$D,ROW()),0)</f>
        <v/>
      </c>
      <c r="E582">
        <f>IFERROR(--INDEX('Term investments'!$E:$E,ROW()),0)</f>
        <v/>
      </c>
      <c r="F582">
        <f>IFERROR(--INDEX('Term investments'!$F:$F,ROW()),0)</f>
        <v/>
      </c>
      <c r="G582">
        <f>IFERROR(IF(--INDEX('Term investments'!$G:$G,ROW())&gt;=1,--INDEX('Term investments'!$G:$G,ROW())/100,--INDEX('Term investments'!$G:$G,ROW())),0)</f>
        <v/>
      </c>
      <c r="H582">
        <f>IFERROR(--INDEX('Term investments'!$H:$H,ROW()),0)</f>
        <v/>
      </c>
      <c r="I582">
        <f>IF(ISNUMBER(INDEX('Term investments'!$G:$G,ROW())),1,0)</f>
        <v/>
      </c>
      <c r="J582">
        <f>TRIM(SUBSTITUTE(INDEX('Call accounts and MMFs'!$A:$A,ROW())&amp;""," "," "))</f>
        <v/>
      </c>
      <c r="K582">
        <f>TRIM(SUBSTITUTE(INDEX('Call accounts and MMFs'!$B:$B,ROW())&amp;""," "," "))</f>
        <v/>
      </c>
      <c r="L582">
        <f>TRIM(SUBSTITUTE(INDEX('Call accounts and MMFs'!$C:$C,ROW())&amp;""," "," "))</f>
        <v/>
      </c>
      <c r="M582">
        <f>IFERROR(--INDEX('Call accounts and MMFs'!$D:$D,ROW()),0)</f>
        <v/>
      </c>
      <c r="N582">
        <f>IFERROR(IF(--INDEX('Call accounts and MMFs'!$E:$E,ROW())&gt;=1,--INDEX('Call accounts and MMFs'!$E:$E,ROW())/100,--INDEX('Call accounts and MMFs'!$E:$E,ROW())),0)</f>
        <v/>
      </c>
      <c r="O582">
        <f>IFERROR(--INDEX('Call accounts and MMFs'!$F:$F,ROW()),0)</f>
        <v/>
      </c>
      <c r="P582">
        <f>IF(ISNUMBER(INDEX('Call accounts and MMFs'!$E:$E,ROW())),1,0)</f>
        <v/>
      </c>
      <c r="Q582">
        <f>TRIM(SUBSTITUTE(INDEX('Pooled funds'!$B:$B,ROW())&amp;""," "," "))</f>
        <v/>
      </c>
      <c r="R582">
        <f>IFERROR(--INDEX('Pooled funds'!$C:$C,ROW()),0)</f>
        <v/>
      </c>
      <c r="S582">
        <f>IFERROR(--INDEX('Pooled funds'!$D:$D,ROW()),0)</f>
        <v/>
      </c>
      <c r="T582">
        <f>IFERROR(IF(--INDEX('Pooled funds'!$E:$E,ROW())&gt;=1,--INDEX('Pooled funds'!$E:$E,ROW())/100,--INDEX('Pooled funds'!$E:$E,ROW())),0)</f>
        <v/>
      </c>
      <c r="U582">
        <f>IF(ISNUMBER(INDEX('Pooled funds'!$E:$E,ROW())),1,0)</f>
        <v/>
      </c>
      <c r="V582">
        <f>TRIM(SUBSTITUTE(INDEX('Loans'!$A:$A,ROW())&amp;""," "," "))</f>
        <v/>
      </c>
      <c r="W582">
        <f>TRIM(SUBSTITUTE(INDEX('Loans'!$B:$B,ROW())&amp;""," "," "))</f>
        <v/>
      </c>
      <c r="X582">
        <f>TRIM(SUBSTITUTE(INDEX('Loans'!$C:$C,ROW())&amp;""," "," "))</f>
        <v/>
      </c>
      <c r="Y582">
        <f>IFERROR(--INDEX('Loans'!$D:$D,ROW()),0)</f>
        <v/>
      </c>
      <c r="Z582">
        <f>IFERROR(--INDEX('Loans'!$E:$E,ROW()),0)</f>
        <v/>
      </c>
      <c r="AA582">
        <f>IFERROR(--INDEX('Loans'!$F:$F,ROW()),0)</f>
        <v/>
      </c>
      <c r="AB582">
        <f>IFERROR(IF(--INDEX('Loans'!$G:$G,ROW())&gt;=1,--INDEX('Loans'!$G:$G,ROW())/100,--INDEX('Loans'!$G:$G,ROW())),0)</f>
        <v/>
      </c>
      <c r="AC582">
        <f>TRIM(SUBSTITUTE(INDEX('Loans'!$H:$H,ROW())&amp;""," "," "))</f>
        <v/>
      </c>
      <c r="AD582">
        <f>TRIM(SUBSTITUTE(INDEX('Loans'!$I:$I,ROW())&amp;""," "," "))</f>
        <v/>
      </c>
      <c r="AE582">
        <f>IFERROR(--INDEX('Loans'!$J:$J,ROW()),0)</f>
        <v/>
      </c>
      <c r="AF582">
        <f>TRIM(SUBSTITUTE(INDEX('Loans'!$K:$K,ROW())&amp;""," "," "))</f>
        <v/>
      </c>
      <c r="AG582">
        <f>IFERROR(--INDEX('Loans'!$L:$L,ROW()),0)</f>
        <v/>
      </c>
      <c r="AH582">
        <f>IF(ISNUMBER(INDEX('Loans'!$G:$G,ROW())),1,0)</f>
        <v/>
      </c>
    </row>
    <row r="583">
      <c r="A583">
        <f>TRIM(SUBSTITUTE(INDEX('Term investments'!$A:$A,ROW())&amp;""," "," "))</f>
        <v/>
      </c>
      <c r="B583">
        <f>TRIM(SUBSTITUTE(INDEX('Term investments'!$B:$B,ROW())&amp;""," "," "))</f>
        <v/>
      </c>
      <c r="C583">
        <f>TRIM(SUBSTITUTE(INDEX('Term investments'!$C:$C,ROW())&amp;""," "," "))</f>
        <v/>
      </c>
      <c r="D583">
        <f>IFERROR(--INDEX('Term investments'!$D:$D,ROW()),0)</f>
        <v/>
      </c>
      <c r="E583">
        <f>IFERROR(--INDEX('Term investments'!$E:$E,ROW()),0)</f>
        <v/>
      </c>
      <c r="F583">
        <f>IFERROR(--INDEX('Term investments'!$F:$F,ROW()),0)</f>
        <v/>
      </c>
      <c r="G583">
        <f>IFERROR(IF(--INDEX('Term investments'!$G:$G,ROW())&gt;=1,--INDEX('Term investments'!$G:$G,ROW())/100,--INDEX('Term investments'!$G:$G,ROW())),0)</f>
        <v/>
      </c>
      <c r="H583">
        <f>IFERROR(--INDEX('Term investments'!$H:$H,ROW()),0)</f>
        <v/>
      </c>
      <c r="I583">
        <f>IF(ISNUMBER(INDEX('Term investments'!$G:$G,ROW())),1,0)</f>
        <v/>
      </c>
      <c r="J583">
        <f>TRIM(SUBSTITUTE(INDEX('Call accounts and MMFs'!$A:$A,ROW())&amp;""," "," "))</f>
        <v/>
      </c>
      <c r="K583">
        <f>TRIM(SUBSTITUTE(INDEX('Call accounts and MMFs'!$B:$B,ROW())&amp;""," "," "))</f>
        <v/>
      </c>
      <c r="L583">
        <f>TRIM(SUBSTITUTE(INDEX('Call accounts and MMFs'!$C:$C,ROW())&amp;""," "," "))</f>
        <v/>
      </c>
      <c r="M583">
        <f>IFERROR(--INDEX('Call accounts and MMFs'!$D:$D,ROW()),0)</f>
        <v/>
      </c>
      <c r="N583">
        <f>IFERROR(IF(--INDEX('Call accounts and MMFs'!$E:$E,ROW())&gt;=1,--INDEX('Call accounts and MMFs'!$E:$E,ROW())/100,--INDEX('Call accounts and MMFs'!$E:$E,ROW())),0)</f>
        <v/>
      </c>
      <c r="O583">
        <f>IFERROR(--INDEX('Call accounts and MMFs'!$F:$F,ROW()),0)</f>
        <v/>
      </c>
      <c r="P583">
        <f>IF(ISNUMBER(INDEX('Call accounts and MMFs'!$E:$E,ROW())),1,0)</f>
        <v/>
      </c>
      <c r="Q583">
        <f>TRIM(SUBSTITUTE(INDEX('Pooled funds'!$B:$B,ROW())&amp;""," "," "))</f>
        <v/>
      </c>
      <c r="R583">
        <f>IFERROR(--INDEX('Pooled funds'!$C:$C,ROW()),0)</f>
        <v/>
      </c>
      <c r="S583">
        <f>IFERROR(--INDEX('Pooled funds'!$D:$D,ROW()),0)</f>
        <v/>
      </c>
      <c r="T583">
        <f>IFERROR(IF(--INDEX('Pooled funds'!$E:$E,ROW())&gt;=1,--INDEX('Pooled funds'!$E:$E,ROW())/100,--INDEX('Pooled funds'!$E:$E,ROW())),0)</f>
        <v/>
      </c>
      <c r="U583">
        <f>IF(ISNUMBER(INDEX('Pooled funds'!$E:$E,ROW())),1,0)</f>
        <v/>
      </c>
      <c r="V583">
        <f>TRIM(SUBSTITUTE(INDEX('Loans'!$A:$A,ROW())&amp;""," "," "))</f>
        <v/>
      </c>
      <c r="W583">
        <f>TRIM(SUBSTITUTE(INDEX('Loans'!$B:$B,ROW())&amp;""," "," "))</f>
        <v/>
      </c>
      <c r="X583">
        <f>TRIM(SUBSTITUTE(INDEX('Loans'!$C:$C,ROW())&amp;""," "," "))</f>
        <v/>
      </c>
      <c r="Y583">
        <f>IFERROR(--INDEX('Loans'!$D:$D,ROW()),0)</f>
        <v/>
      </c>
      <c r="Z583">
        <f>IFERROR(--INDEX('Loans'!$E:$E,ROW()),0)</f>
        <v/>
      </c>
      <c r="AA583">
        <f>IFERROR(--INDEX('Loans'!$F:$F,ROW()),0)</f>
        <v/>
      </c>
      <c r="AB583">
        <f>IFERROR(IF(--INDEX('Loans'!$G:$G,ROW())&gt;=1,--INDEX('Loans'!$G:$G,ROW())/100,--INDEX('Loans'!$G:$G,ROW())),0)</f>
        <v/>
      </c>
      <c r="AC583">
        <f>TRIM(SUBSTITUTE(INDEX('Loans'!$H:$H,ROW())&amp;""," "," "))</f>
        <v/>
      </c>
      <c r="AD583">
        <f>TRIM(SUBSTITUTE(INDEX('Loans'!$I:$I,ROW())&amp;""," "," "))</f>
        <v/>
      </c>
      <c r="AE583">
        <f>IFERROR(--INDEX('Loans'!$J:$J,ROW()),0)</f>
        <v/>
      </c>
      <c r="AF583">
        <f>TRIM(SUBSTITUTE(INDEX('Loans'!$K:$K,ROW())&amp;""," "," "))</f>
        <v/>
      </c>
      <c r="AG583">
        <f>IFERROR(--INDEX('Loans'!$L:$L,ROW()),0)</f>
        <v/>
      </c>
      <c r="AH583">
        <f>IF(ISNUMBER(INDEX('Loans'!$G:$G,ROW())),1,0)</f>
        <v/>
      </c>
    </row>
    <row r="584">
      <c r="A584">
        <f>TRIM(SUBSTITUTE(INDEX('Term investments'!$A:$A,ROW())&amp;""," "," "))</f>
        <v/>
      </c>
      <c r="B584">
        <f>TRIM(SUBSTITUTE(INDEX('Term investments'!$B:$B,ROW())&amp;""," "," "))</f>
        <v/>
      </c>
      <c r="C584">
        <f>TRIM(SUBSTITUTE(INDEX('Term investments'!$C:$C,ROW())&amp;""," "," "))</f>
        <v/>
      </c>
      <c r="D584">
        <f>IFERROR(--INDEX('Term investments'!$D:$D,ROW()),0)</f>
        <v/>
      </c>
      <c r="E584">
        <f>IFERROR(--INDEX('Term investments'!$E:$E,ROW()),0)</f>
        <v/>
      </c>
      <c r="F584">
        <f>IFERROR(--INDEX('Term investments'!$F:$F,ROW()),0)</f>
        <v/>
      </c>
      <c r="G584">
        <f>IFERROR(IF(--INDEX('Term investments'!$G:$G,ROW())&gt;=1,--INDEX('Term investments'!$G:$G,ROW())/100,--INDEX('Term investments'!$G:$G,ROW())),0)</f>
        <v/>
      </c>
      <c r="H584">
        <f>IFERROR(--INDEX('Term investments'!$H:$H,ROW()),0)</f>
        <v/>
      </c>
      <c r="I584">
        <f>IF(ISNUMBER(INDEX('Term investments'!$G:$G,ROW())),1,0)</f>
        <v/>
      </c>
      <c r="J584">
        <f>TRIM(SUBSTITUTE(INDEX('Call accounts and MMFs'!$A:$A,ROW())&amp;""," "," "))</f>
        <v/>
      </c>
      <c r="K584">
        <f>TRIM(SUBSTITUTE(INDEX('Call accounts and MMFs'!$B:$B,ROW())&amp;""," "," "))</f>
        <v/>
      </c>
      <c r="L584">
        <f>TRIM(SUBSTITUTE(INDEX('Call accounts and MMFs'!$C:$C,ROW())&amp;""," "," "))</f>
        <v/>
      </c>
      <c r="M584">
        <f>IFERROR(--INDEX('Call accounts and MMFs'!$D:$D,ROW()),0)</f>
        <v/>
      </c>
      <c r="N584">
        <f>IFERROR(IF(--INDEX('Call accounts and MMFs'!$E:$E,ROW())&gt;=1,--INDEX('Call accounts and MMFs'!$E:$E,ROW())/100,--INDEX('Call accounts and MMFs'!$E:$E,ROW())),0)</f>
        <v/>
      </c>
      <c r="O584">
        <f>IFERROR(--INDEX('Call accounts and MMFs'!$F:$F,ROW()),0)</f>
        <v/>
      </c>
      <c r="P584">
        <f>IF(ISNUMBER(INDEX('Call accounts and MMFs'!$E:$E,ROW())),1,0)</f>
        <v/>
      </c>
      <c r="Q584">
        <f>TRIM(SUBSTITUTE(INDEX('Pooled funds'!$B:$B,ROW())&amp;""," "," "))</f>
        <v/>
      </c>
      <c r="R584">
        <f>IFERROR(--INDEX('Pooled funds'!$C:$C,ROW()),0)</f>
        <v/>
      </c>
      <c r="S584">
        <f>IFERROR(--INDEX('Pooled funds'!$D:$D,ROW()),0)</f>
        <v/>
      </c>
      <c r="T584">
        <f>IFERROR(IF(--INDEX('Pooled funds'!$E:$E,ROW())&gt;=1,--INDEX('Pooled funds'!$E:$E,ROW())/100,--INDEX('Pooled funds'!$E:$E,ROW())),0)</f>
        <v/>
      </c>
      <c r="U584">
        <f>IF(ISNUMBER(INDEX('Pooled funds'!$E:$E,ROW())),1,0)</f>
        <v/>
      </c>
      <c r="V584">
        <f>TRIM(SUBSTITUTE(INDEX('Loans'!$A:$A,ROW())&amp;""," "," "))</f>
        <v/>
      </c>
      <c r="W584">
        <f>TRIM(SUBSTITUTE(INDEX('Loans'!$B:$B,ROW())&amp;""," "," "))</f>
        <v/>
      </c>
      <c r="X584">
        <f>TRIM(SUBSTITUTE(INDEX('Loans'!$C:$C,ROW())&amp;""," "," "))</f>
        <v/>
      </c>
      <c r="Y584">
        <f>IFERROR(--INDEX('Loans'!$D:$D,ROW()),0)</f>
        <v/>
      </c>
      <c r="Z584">
        <f>IFERROR(--INDEX('Loans'!$E:$E,ROW()),0)</f>
        <v/>
      </c>
      <c r="AA584">
        <f>IFERROR(--INDEX('Loans'!$F:$F,ROW()),0)</f>
        <v/>
      </c>
      <c r="AB584">
        <f>IFERROR(IF(--INDEX('Loans'!$G:$G,ROW())&gt;=1,--INDEX('Loans'!$G:$G,ROW())/100,--INDEX('Loans'!$G:$G,ROW())),0)</f>
        <v/>
      </c>
      <c r="AC584">
        <f>TRIM(SUBSTITUTE(INDEX('Loans'!$H:$H,ROW())&amp;""," "," "))</f>
        <v/>
      </c>
      <c r="AD584">
        <f>TRIM(SUBSTITUTE(INDEX('Loans'!$I:$I,ROW())&amp;""," "," "))</f>
        <v/>
      </c>
      <c r="AE584">
        <f>IFERROR(--INDEX('Loans'!$J:$J,ROW()),0)</f>
        <v/>
      </c>
      <c r="AF584">
        <f>TRIM(SUBSTITUTE(INDEX('Loans'!$K:$K,ROW())&amp;""," "," "))</f>
        <v/>
      </c>
      <c r="AG584">
        <f>IFERROR(--INDEX('Loans'!$L:$L,ROW()),0)</f>
        <v/>
      </c>
      <c r="AH584">
        <f>IF(ISNUMBER(INDEX('Loans'!$G:$G,ROW())),1,0)</f>
        <v/>
      </c>
    </row>
    <row r="585">
      <c r="A585">
        <f>TRIM(SUBSTITUTE(INDEX('Term investments'!$A:$A,ROW())&amp;""," "," "))</f>
        <v/>
      </c>
      <c r="B585">
        <f>TRIM(SUBSTITUTE(INDEX('Term investments'!$B:$B,ROW())&amp;""," "," "))</f>
        <v/>
      </c>
      <c r="C585">
        <f>TRIM(SUBSTITUTE(INDEX('Term investments'!$C:$C,ROW())&amp;""," "," "))</f>
        <v/>
      </c>
      <c r="D585">
        <f>IFERROR(--INDEX('Term investments'!$D:$D,ROW()),0)</f>
        <v/>
      </c>
      <c r="E585">
        <f>IFERROR(--INDEX('Term investments'!$E:$E,ROW()),0)</f>
        <v/>
      </c>
      <c r="F585">
        <f>IFERROR(--INDEX('Term investments'!$F:$F,ROW()),0)</f>
        <v/>
      </c>
      <c r="G585">
        <f>IFERROR(IF(--INDEX('Term investments'!$G:$G,ROW())&gt;=1,--INDEX('Term investments'!$G:$G,ROW())/100,--INDEX('Term investments'!$G:$G,ROW())),0)</f>
        <v/>
      </c>
      <c r="H585">
        <f>IFERROR(--INDEX('Term investments'!$H:$H,ROW()),0)</f>
        <v/>
      </c>
      <c r="I585">
        <f>IF(ISNUMBER(INDEX('Term investments'!$G:$G,ROW())),1,0)</f>
        <v/>
      </c>
      <c r="J585">
        <f>TRIM(SUBSTITUTE(INDEX('Call accounts and MMFs'!$A:$A,ROW())&amp;""," "," "))</f>
        <v/>
      </c>
      <c r="K585">
        <f>TRIM(SUBSTITUTE(INDEX('Call accounts and MMFs'!$B:$B,ROW())&amp;""," "," "))</f>
        <v/>
      </c>
      <c r="L585">
        <f>TRIM(SUBSTITUTE(INDEX('Call accounts and MMFs'!$C:$C,ROW())&amp;""," "," "))</f>
        <v/>
      </c>
      <c r="M585">
        <f>IFERROR(--INDEX('Call accounts and MMFs'!$D:$D,ROW()),0)</f>
        <v/>
      </c>
      <c r="N585">
        <f>IFERROR(IF(--INDEX('Call accounts and MMFs'!$E:$E,ROW())&gt;=1,--INDEX('Call accounts and MMFs'!$E:$E,ROW())/100,--INDEX('Call accounts and MMFs'!$E:$E,ROW())),0)</f>
        <v/>
      </c>
      <c r="O585">
        <f>IFERROR(--INDEX('Call accounts and MMFs'!$F:$F,ROW()),0)</f>
        <v/>
      </c>
      <c r="P585">
        <f>IF(ISNUMBER(INDEX('Call accounts and MMFs'!$E:$E,ROW())),1,0)</f>
        <v/>
      </c>
      <c r="Q585">
        <f>TRIM(SUBSTITUTE(INDEX('Pooled funds'!$B:$B,ROW())&amp;""," "," "))</f>
        <v/>
      </c>
      <c r="R585">
        <f>IFERROR(--INDEX('Pooled funds'!$C:$C,ROW()),0)</f>
        <v/>
      </c>
      <c r="S585">
        <f>IFERROR(--INDEX('Pooled funds'!$D:$D,ROW()),0)</f>
        <v/>
      </c>
      <c r="T585">
        <f>IFERROR(IF(--INDEX('Pooled funds'!$E:$E,ROW())&gt;=1,--INDEX('Pooled funds'!$E:$E,ROW())/100,--INDEX('Pooled funds'!$E:$E,ROW())),0)</f>
        <v/>
      </c>
      <c r="U585">
        <f>IF(ISNUMBER(INDEX('Pooled funds'!$E:$E,ROW())),1,0)</f>
        <v/>
      </c>
      <c r="V585">
        <f>TRIM(SUBSTITUTE(INDEX('Loans'!$A:$A,ROW())&amp;""," "," "))</f>
        <v/>
      </c>
      <c r="W585">
        <f>TRIM(SUBSTITUTE(INDEX('Loans'!$B:$B,ROW())&amp;""," "," "))</f>
        <v/>
      </c>
      <c r="X585">
        <f>TRIM(SUBSTITUTE(INDEX('Loans'!$C:$C,ROW())&amp;""," "," "))</f>
        <v/>
      </c>
      <c r="Y585">
        <f>IFERROR(--INDEX('Loans'!$D:$D,ROW()),0)</f>
        <v/>
      </c>
      <c r="Z585">
        <f>IFERROR(--INDEX('Loans'!$E:$E,ROW()),0)</f>
        <v/>
      </c>
      <c r="AA585">
        <f>IFERROR(--INDEX('Loans'!$F:$F,ROW()),0)</f>
        <v/>
      </c>
      <c r="AB585">
        <f>IFERROR(IF(--INDEX('Loans'!$G:$G,ROW())&gt;=1,--INDEX('Loans'!$G:$G,ROW())/100,--INDEX('Loans'!$G:$G,ROW())),0)</f>
        <v/>
      </c>
      <c r="AC585">
        <f>TRIM(SUBSTITUTE(INDEX('Loans'!$H:$H,ROW())&amp;""," "," "))</f>
        <v/>
      </c>
      <c r="AD585">
        <f>TRIM(SUBSTITUTE(INDEX('Loans'!$I:$I,ROW())&amp;""," "," "))</f>
        <v/>
      </c>
      <c r="AE585">
        <f>IFERROR(--INDEX('Loans'!$J:$J,ROW()),0)</f>
        <v/>
      </c>
      <c r="AF585">
        <f>TRIM(SUBSTITUTE(INDEX('Loans'!$K:$K,ROW())&amp;""," "," "))</f>
        <v/>
      </c>
      <c r="AG585">
        <f>IFERROR(--INDEX('Loans'!$L:$L,ROW()),0)</f>
        <v/>
      </c>
      <c r="AH585">
        <f>IF(ISNUMBER(INDEX('Loans'!$G:$G,ROW())),1,0)</f>
        <v/>
      </c>
    </row>
    <row r="586">
      <c r="A586">
        <f>TRIM(SUBSTITUTE(INDEX('Term investments'!$A:$A,ROW())&amp;""," "," "))</f>
        <v/>
      </c>
      <c r="B586">
        <f>TRIM(SUBSTITUTE(INDEX('Term investments'!$B:$B,ROW())&amp;""," "," "))</f>
        <v/>
      </c>
      <c r="C586">
        <f>TRIM(SUBSTITUTE(INDEX('Term investments'!$C:$C,ROW())&amp;""," "," "))</f>
        <v/>
      </c>
      <c r="D586">
        <f>IFERROR(--INDEX('Term investments'!$D:$D,ROW()),0)</f>
        <v/>
      </c>
      <c r="E586">
        <f>IFERROR(--INDEX('Term investments'!$E:$E,ROW()),0)</f>
        <v/>
      </c>
      <c r="F586">
        <f>IFERROR(--INDEX('Term investments'!$F:$F,ROW()),0)</f>
        <v/>
      </c>
      <c r="G586">
        <f>IFERROR(IF(--INDEX('Term investments'!$G:$G,ROW())&gt;=1,--INDEX('Term investments'!$G:$G,ROW())/100,--INDEX('Term investments'!$G:$G,ROW())),0)</f>
        <v/>
      </c>
      <c r="H586">
        <f>IFERROR(--INDEX('Term investments'!$H:$H,ROW()),0)</f>
        <v/>
      </c>
      <c r="I586">
        <f>IF(ISNUMBER(INDEX('Term investments'!$G:$G,ROW())),1,0)</f>
        <v/>
      </c>
      <c r="J586">
        <f>TRIM(SUBSTITUTE(INDEX('Call accounts and MMFs'!$A:$A,ROW())&amp;""," "," "))</f>
        <v/>
      </c>
      <c r="K586">
        <f>TRIM(SUBSTITUTE(INDEX('Call accounts and MMFs'!$B:$B,ROW())&amp;""," "," "))</f>
        <v/>
      </c>
      <c r="L586">
        <f>TRIM(SUBSTITUTE(INDEX('Call accounts and MMFs'!$C:$C,ROW())&amp;""," "," "))</f>
        <v/>
      </c>
      <c r="M586">
        <f>IFERROR(--INDEX('Call accounts and MMFs'!$D:$D,ROW()),0)</f>
        <v/>
      </c>
      <c r="N586">
        <f>IFERROR(IF(--INDEX('Call accounts and MMFs'!$E:$E,ROW())&gt;=1,--INDEX('Call accounts and MMFs'!$E:$E,ROW())/100,--INDEX('Call accounts and MMFs'!$E:$E,ROW())),0)</f>
        <v/>
      </c>
      <c r="O586">
        <f>IFERROR(--INDEX('Call accounts and MMFs'!$F:$F,ROW()),0)</f>
        <v/>
      </c>
      <c r="P586">
        <f>IF(ISNUMBER(INDEX('Call accounts and MMFs'!$E:$E,ROW())),1,0)</f>
        <v/>
      </c>
      <c r="Q586">
        <f>TRIM(SUBSTITUTE(INDEX('Pooled funds'!$B:$B,ROW())&amp;""," "," "))</f>
        <v/>
      </c>
      <c r="R586">
        <f>IFERROR(--INDEX('Pooled funds'!$C:$C,ROW()),0)</f>
        <v/>
      </c>
      <c r="S586">
        <f>IFERROR(--INDEX('Pooled funds'!$D:$D,ROW()),0)</f>
        <v/>
      </c>
      <c r="T586">
        <f>IFERROR(IF(--INDEX('Pooled funds'!$E:$E,ROW())&gt;=1,--INDEX('Pooled funds'!$E:$E,ROW())/100,--INDEX('Pooled funds'!$E:$E,ROW())),0)</f>
        <v/>
      </c>
      <c r="U586">
        <f>IF(ISNUMBER(INDEX('Pooled funds'!$E:$E,ROW())),1,0)</f>
        <v/>
      </c>
      <c r="V586">
        <f>TRIM(SUBSTITUTE(INDEX('Loans'!$A:$A,ROW())&amp;""," "," "))</f>
        <v/>
      </c>
      <c r="W586">
        <f>TRIM(SUBSTITUTE(INDEX('Loans'!$B:$B,ROW())&amp;""," "," "))</f>
        <v/>
      </c>
      <c r="X586">
        <f>TRIM(SUBSTITUTE(INDEX('Loans'!$C:$C,ROW())&amp;""," "," "))</f>
        <v/>
      </c>
      <c r="Y586">
        <f>IFERROR(--INDEX('Loans'!$D:$D,ROW()),0)</f>
        <v/>
      </c>
      <c r="Z586">
        <f>IFERROR(--INDEX('Loans'!$E:$E,ROW()),0)</f>
        <v/>
      </c>
      <c r="AA586">
        <f>IFERROR(--INDEX('Loans'!$F:$F,ROW()),0)</f>
        <v/>
      </c>
      <c r="AB586">
        <f>IFERROR(IF(--INDEX('Loans'!$G:$G,ROW())&gt;=1,--INDEX('Loans'!$G:$G,ROW())/100,--INDEX('Loans'!$G:$G,ROW())),0)</f>
        <v/>
      </c>
      <c r="AC586">
        <f>TRIM(SUBSTITUTE(INDEX('Loans'!$H:$H,ROW())&amp;""," "," "))</f>
        <v/>
      </c>
      <c r="AD586">
        <f>TRIM(SUBSTITUTE(INDEX('Loans'!$I:$I,ROW())&amp;""," "," "))</f>
        <v/>
      </c>
      <c r="AE586">
        <f>IFERROR(--INDEX('Loans'!$J:$J,ROW()),0)</f>
        <v/>
      </c>
      <c r="AF586">
        <f>TRIM(SUBSTITUTE(INDEX('Loans'!$K:$K,ROW())&amp;""," "," "))</f>
        <v/>
      </c>
      <c r="AG586">
        <f>IFERROR(--INDEX('Loans'!$L:$L,ROW()),0)</f>
        <v/>
      </c>
      <c r="AH586">
        <f>IF(ISNUMBER(INDEX('Loans'!$G:$G,ROW())),1,0)</f>
        <v/>
      </c>
    </row>
    <row r="587">
      <c r="A587">
        <f>TRIM(SUBSTITUTE(INDEX('Term investments'!$A:$A,ROW())&amp;""," "," "))</f>
        <v/>
      </c>
      <c r="B587">
        <f>TRIM(SUBSTITUTE(INDEX('Term investments'!$B:$B,ROW())&amp;""," "," "))</f>
        <v/>
      </c>
      <c r="C587">
        <f>TRIM(SUBSTITUTE(INDEX('Term investments'!$C:$C,ROW())&amp;""," "," "))</f>
        <v/>
      </c>
      <c r="D587">
        <f>IFERROR(--INDEX('Term investments'!$D:$D,ROW()),0)</f>
        <v/>
      </c>
      <c r="E587">
        <f>IFERROR(--INDEX('Term investments'!$E:$E,ROW()),0)</f>
        <v/>
      </c>
      <c r="F587">
        <f>IFERROR(--INDEX('Term investments'!$F:$F,ROW()),0)</f>
        <v/>
      </c>
      <c r="G587">
        <f>IFERROR(IF(--INDEX('Term investments'!$G:$G,ROW())&gt;=1,--INDEX('Term investments'!$G:$G,ROW())/100,--INDEX('Term investments'!$G:$G,ROW())),0)</f>
        <v/>
      </c>
      <c r="H587">
        <f>IFERROR(--INDEX('Term investments'!$H:$H,ROW()),0)</f>
        <v/>
      </c>
      <c r="I587">
        <f>IF(ISNUMBER(INDEX('Term investments'!$G:$G,ROW())),1,0)</f>
        <v/>
      </c>
      <c r="J587">
        <f>TRIM(SUBSTITUTE(INDEX('Call accounts and MMFs'!$A:$A,ROW())&amp;""," "," "))</f>
        <v/>
      </c>
      <c r="K587">
        <f>TRIM(SUBSTITUTE(INDEX('Call accounts and MMFs'!$B:$B,ROW())&amp;""," "," "))</f>
        <v/>
      </c>
      <c r="L587">
        <f>TRIM(SUBSTITUTE(INDEX('Call accounts and MMFs'!$C:$C,ROW())&amp;""," "," "))</f>
        <v/>
      </c>
      <c r="M587">
        <f>IFERROR(--INDEX('Call accounts and MMFs'!$D:$D,ROW()),0)</f>
        <v/>
      </c>
      <c r="N587">
        <f>IFERROR(IF(--INDEX('Call accounts and MMFs'!$E:$E,ROW())&gt;=1,--INDEX('Call accounts and MMFs'!$E:$E,ROW())/100,--INDEX('Call accounts and MMFs'!$E:$E,ROW())),0)</f>
        <v/>
      </c>
      <c r="O587">
        <f>IFERROR(--INDEX('Call accounts and MMFs'!$F:$F,ROW()),0)</f>
        <v/>
      </c>
      <c r="P587">
        <f>IF(ISNUMBER(INDEX('Call accounts and MMFs'!$E:$E,ROW())),1,0)</f>
        <v/>
      </c>
      <c r="Q587">
        <f>TRIM(SUBSTITUTE(INDEX('Pooled funds'!$B:$B,ROW())&amp;""," "," "))</f>
        <v/>
      </c>
      <c r="R587">
        <f>IFERROR(--INDEX('Pooled funds'!$C:$C,ROW()),0)</f>
        <v/>
      </c>
      <c r="S587">
        <f>IFERROR(--INDEX('Pooled funds'!$D:$D,ROW()),0)</f>
        <v/>
      </c>
      <c r="T587">
        <f>IFERROR(IF(--INDEX('Pooled funds'!$E:$E,ROW())&gt;=1,--INDEX('Pooled funds'!$E:$E,ROW())/100,--INDEX('Pooled funds'!$E:$E,ROW())),0)</f>
        <v/>
      </c>
      <c r="U587">
        <f>IF(ISNUMBER(INDEX('Pooled funds'!$E:$E,ROW())),1,0)</f>
        <v/>
      </c>
      <c r="V587">
        <f>TRIM(SUBSTITUTE(INDEX('Loans'!$A:$A,ROW())&amp;""," "," "))</f>
        <v/>
      </c>
      <c r="W587">
        <f>TRIM(SUBSTITUTE(INDEX('Loans'!$B:$B,ROW())&amp;""," "," "))</f>
        <v/>
      </c>
      <c r="X587">
        <f>TRIM(SUBSTITUTE(INDEX('Loans'!$C:$C,ROW())&amp;""," "," "))</f>
        <v/>
      </c>
      <c r="Y587">
        <f>IFERROR(--INDEX('Loans'!$D:$D,ROW()),0)</f>
        <v/>
      </c>
      <c r="Z587">
        <f>IFERROR(--INDEX('Loans'!$E:$E,ROW()),0)</f>
        <v/>
      </c>
      <c r="AA587">
        <f>IFERROR(--INDEX('Loans'!$F:$F,ROW()),0)</f>
        <v/>
      </c>
      <c r="AB587">
        <f>IFERROR(IF(--INDEX('Loans'!$G:$G,ROW())&gt;=1,--INDEX('Loans'!$G:$G,ROW())/100,--INDEX('Loans'!$G:$G,ROW())),0)</f>
        <v/>
      </c>
      <c r="AC587">
        <f>TRIM(SUBSTITUTE(INDEX('Loans'!$H:$H,ROW())&amp;""," "," "))</f>
        <v/>
      </c>
      <c r="AD587">
        <f>TRIM(SUBSTITUTE(INDEX('Loans'!$I:$I,ROW())&amp;""," "," "))</f>
        <v/>
      </c>
      <c r="AE587">
        <f>IFERROR(--INDEX('Loans'!$J:$J,ROW()),0)</f>
        <v/>
      </c>
      <c r="AF587">
        <f>TRIM(SUBSTITUTE(INDEX('Loans'!$K:$K,ROW())&amp;""," "," "))</f>
        <v/>
      </c>
      <c r="AG587">
        <f>IFERROR(--INDEX('Loans'!$L:$L,ROW()),0)</f>
        <v/>
      </c>
      <c r="AH587">
        <f>IF(ISNUMBER(INDEX('Loans'!$G:$G,ROW())),1,0)</f>
        <v/>
      </c>
    </row>
    <row r="588">
      <c r="A588">
        <f>TRIM(SUBSTITUTE(INDEX('Term investments'!$A:$A,ROW())&amp;""," "," "))</f>
        <v/>
      </c>
      <c r="B588">
        <f>TRIM(SUBSTITUTE(INDEX('Term investments'!$B:$B,ROW())&amp;""," "," "))</f>
        <v/>
      </c>
      <c r="C588">
        <f>TRIM(SUBSTITUTE(INDEX('Term investments'!$C:$C,ROW())&amp;""," "," "))</f>
        <v/>
      </c>
      <c r="D588">
        <f>IFERROR(--INDEX('Term investments'!$D:$D,ROW()),0)</f>
        <v/>
      </c>
      <c r="E588">
        <f>IFERROR(--INDEX('Term investments'!$E:$E,ROW()),0)</f>
        <v/>
      </c>
      <c r="F588">
        <f>IFERROR(--INDEX('Term investments'!$F:$F,ROW()),0)</f>
        <v/>
      </c>
      <c r="G588">
        <f>IFERROR(IF(--INDEX('Term investments'!$G:$G,ROW())&gt;=1,--INDEX('Term investments'!$G:$G,ROW())/100,--INDEX('Term investments'!$G:$G,ROW())),0)</f>
        <v/>
      </c>
      <c r="H588">
        <f>IFERROR(--INDEX('Term investments'!$H:$H,ROW()),0)</f>
        <v/>
      </c>
      <c r="I588">
        <f>IF(ISNUMBER(INDEX('Term investments'!$G:$G,ROW())),1,0)</f>
        <v/>
      </c>
      <c r="J588">
        <f>TRIM(SUBSTITUTE(INDEX('Call accounts and MMFs'!$A:$A,ROW())&amp;""," "," "))</f>
        <v/>
      </c>
      <c r="K588">
        <f>TRIM(SUBSTITUTE(INDEX('Call accounts and MMFs'!$B:$B,ROW())&amp;""," "," "))</f>
        <v/>
      </c>
      <c r="L588">
        <f>TRIM(SUBSTITUTE(INDEX('Call accounts and MMFs'!$C:$C,ROW())&amp;""," "," "))</f>
        <v/>
      </c>
      <c r="M588">
        <f>IFERROR(--INDEX('Call accounts and MMFs'!$D:$D,ROW()),0)</f>
        <v/>
      </c>
      <c r="N588">
        <f>IFERROR(IF(--INDEX('Call accounts and MMFs'!$E:$E,ROW())&gt;=1,--INDEX('Call accounts and MMFs'!$E:$E,ROW())/100,--INDEX('Call accounts and MMFs'!$E:$E,ROW())),0)</f>
        <v/>
      </c>
      <c r="O588">
        <f>IFERROR(--INDEX('Call accounts and MMFs'!$F:$F,ROW()),0)</f>
        <v/>
      </c>
      <c r="P588">
        <f>IF(ISNUMBER(INDEX('Call accounts and MMFs'!$E:$E,ROW())),1,0)</f>
        <v/>
      </c>
      <c r="Q588">
        <f>TRIM(SUBSTITUTE(INDEX('Pooled funds'!$B:$B,ROW())&amp;""," "," "))</f>
        <v/>
      </c>
      <c r="R588">
        <f>IFERROR(--INDEX('Pooled funds'!$C:$C,ROW()),0)</f>
        <v/>
      </c>
      <c r="S588">
        <f>IFERROR(--INDEX('Pooled funds'!$D:$D,ROW()),0)</f>
        <v/>
      </c>
      <c r="T588">
        <f>IFERROR(IF(--INDEX('Pooled funds'!$E:$E,ROW())&gt;=1,--INDEX('Pooled funds'!$E:$E,ROW())/100,--INDEX('Pooled funds'!$E:$E,ROW())),0)</f>
        <v/>
      </c>
      <c r="U588">
        <f>IF(ISNUMBER(INDEX('Pooled funds'!$E:$E,ROW())),1,0)</f>
        <v/>
      </c>
      <c r="V588">
        <f>TRIM(SUBSTITUTE(INDEX('Loans'!$A:$A,ROW())&amp;""," "," "))</f>
        <v/>
      </c>
      <c r="W588">
        <f>TRIM(SUBSTITUTE(INDEX('Loans'!$B:$B,ROW())&amp;""," "," "))</f>
        <v/>
      </c>
      <c r="X588">
        <f>TRIM(SUBSTITUTE(INDEX('Loans'!$C:$C,ROW())&amp;""," "," "))</f>
        <v/>
      </c>
      <c r="Y588">
        <f>IFERROR(--INDEX('Loans'!$D:$D,ROW()),0)</f>
        <v/>
      </c>
      <c r="Z588">
        <f>IFERROR(--INDEX('Loans'!$E:$E,ROW()),0)</f>
        <v/>
      </c>
      <c r="AA588">
        <f>IFERROR(--INDEX('Loans'!$F:$F,ROW()),0)</f>
        <v/>
      </c>
      <c r="AB588">
        <f>IFERROR(IF(--INDEX('Loans'!$G:$G,ROW())&gt;=1,--INDEX('Loans'!$G:$G,ROW())/100,--INDEX('Loans'!$G:$G,ROW())),0)</f>
        <v/>
      </c>
      <c r="AC588">
        <f>TRIM(SUBSTITUTE(INDEX('Loans'!$H:$H,ROW())&amp;""," "," "))</f>
        <v/>
      </c>
      <c r="AD588">
        <f>TRIM(SUBSTITUTE(INDEX('Loans'!$I:$I,ROW())&amp;""," "," "))</f>
        <v/>
      </c>
      <c r="AE588">
        <f>IFERROR(--INDEX('Loans'!$J:$J,ROW()),0)</f>
        <v/>
      </c>
      <c r="AF588">
        <f>TRIM(SUBSTITUTE(INDEX('Loans'!$K:$K,ROW())&amp;""," "," "))</f>
        <v/>
      </c>
      <c r="AG588">
        <f>IFERROR(--INDEX('Loans'!$L:$L,ROW()),0)</f>
        <v/>
      </c>
      <c r="AH588">
        <f>IF(ISNUMBER(INDEX('Loans'!$G:$G,ROW())),1,0)</f>
        <v/>
      </c>
    </row>
    <row r="589">
      <c r="A589">
        <f>TRIM(SUBSTITUTE(INDEX('Term investments'!$A:$A,ROW())&amp;""," "," "))</f>
        <v/>
      </c>
      <c r="B589">
        <f>TRIM(SUBSTITUTE(INDEX('Term investments'!$B:$B,ROW())&amp;""," "," "))</f>
        <v/>
      </c>
      <c r="C589">
        <f>TRIM(SUBSTITUTE(INDEX('Term investments'!$C:$C,ROW())&amp;""," "," "))</f>
        <v/>
      </c>
      <c r="D589">
        <f>IFERROR(--INDEX('Term investments'!$D:$D,ROW()),0)</f>
        <v/>
      </c>
      <c r="E589">
        <f>IFERROR(--INDEX('Term investments'!$E:$E,ROW()),0)</f>
        <v/>
      </c>
      <c r="F589">
        <f>IFERROR(--INDEX('Term investments'!$F:$F,ROW()),0)</f>
        <v/>
      </c>
      <c r="G589">
        <f>IFERROR(IF(--INDEX('Term investments'!$G:$G,ROW())&gt;=1,--INDEX('Term investments'!$G:$G,ROW())/100,--INDEX('Term investments'!$G:$G,ROW())),0)</f>
        <v/>
      </c>
      <c r="H589">
        <f>IFERROR(--INDEX('Term investments'!$H:$H,ROW()),0)</f>
        <v/>
      </c>
      <c r="I589">
        <f>IF(ISNUMBER(INDEX('Term investments'!$G:$G,ROW())),1,0)</f>
        <v/>
      </c>
      <c r="J589">
        <f>TRIM(SUBSTITUTE(INDEX('Call accounts and MMFs'!$A:$A,ROW())&amp;""," "," "))</f>
        <v/>
      </c>
      <c r="K589">
        <f>TRIM(SUBSTITUTE(INDEX('Call accounts and MMFs'!$B:$B,ROW())&amp;""," "," "))</f>
        <v/>
      </c>
      <c r="L589">
        <f>TRIM(SUBSTITUTE(INDEX('Call accounts and MMFs'!$C:$C,ROW())&amp;""," "," "))</f>
        <v/>
      </c>
      <c r="M589">
        <f>IFERROR(--INDEX('Call accounts and MMFs'!$D:$D,ROW()),0)</f>
        <v/>
      </c>
      <c r="N589">
        <f>IFERROR(IF(--INDEX('Call accounts and MMFs'!$E:$E,ROW())&gt;=1,--INDEX('Call accounts and MMFs'!$E:$E,ROW())/100,--INDEX('Call accounts and MMFs'!$E:$E,ROW())),0)</f>
        <v/>
      </c>
      <c r="O589">
        <f>IFERROR(--INDEX('Call accounts and MMFs'!$F:$F,ROW()),0)</f>
        <v/>
      </c>
      <c r="P589">
        <f>IF(ISNUMBER(INDEX('Call accounts and MMFs'!$E:$E,ROW())),1,0)</f>
        <v/>
      </c>
      <c r="Q589">
        <f>TRIM(SUBSTITUTE(INDEX('Pooled funds'!$B:$B,ROW())&amp;""," "," "))</f>
        <v/>
      </c>
      <c r="R589">
        <f>IFERROR(--INDEX('Pooled funds'!$C:$C,ROW()),0)</f>
        <v/>
      </c>
      <c r="S589">
        <f>IFERROR(--INDEX('Pooled funds'!$D:$D,ROW()),0)</f>
        <v/>
      </c>
      <c r="T589">
        <f>IFERROR(IF(--INDEX('Pooled funds'!$E:$E,ROW())&gt;=1,--INDEX('Pooled funds'!$E:$E,ROW())/100,--INDEX('Pooled funds'!$E:$E,ROW())),0)</f>
        <v/>
      </c>
      <c r="U589">
        <f>IF(ISNUMBER(INDEX('Pooled funds'!$E:$E,ROW())),1,0)</f>
        <v/>
      </c>
      <c r="V589">
        <f>TRIM(SUBSTITUTE(INDEX('Loans'!$A:$A,ROW())&amp;""," "," "))</f>
        <v/>
      </c>
      <c r="W589">
        <f>TRIM(SUBSTITUTE(INDEX('Loans'!$B:$B,ROW())&amp;""," "," "))</f>
        <v/>
      </c>
      <c r="X589">
        <f>TRIM(SUBSTITUTE(INDEX('Loans'!$C:$C,ROW())&amp;""," "," "))</f>
        <v/>
      </c>
      <c r="Y589">
        <f>IFERROR(--INDEX('Loans'!$D:$D,ROW()),0)</f>
        <v/>
      </c>
      <c r="Z589">
        <f>IFERROR(--INDEX('Loans'!$E:$E,ROW()),0)</f>
        <v/>
      </c>
      <c r="AA589">
        <f>IFERROR(--INDEX('Loans'!$F:$F,ROW()),0)</f>
        <v/>
      </c>
      <c r="AB589">
        <f>IFERROR(IF(--INDEX('Loans'!$G:$G,ROW())&gt;=1,--INDEX('Loans'!$G:$G,ROW())/100,--INDEX('Loans'!$G:$G,ROW())),0)</f>
        <v/>
      </c>
      <c r="AC589">
        <f>TRIM(SUBSTITUTE(INDEX('Loans'!$H:$H,ROW())&amp;""," "," "))</f>
        <v/>
      </c>
      <c r="AD589">
        <f>TRIM(SUBSTITUTE(INDEX('Loans'!$I:$I,ROW())&amp;""," "," "))</f>
        <v/>
      </c>
      <c r="AE589">
        <f>IFERROR(--INDEX('Loans'!$J:$J,ROW()),0)</f>
        <v/>
      </c>
      <c r="AF589">
        <f>TRIM(SUBSTITUTE(INDEX('Loans'!$K:$K,ROW())&amp;""," "," "))</f>
        <v/>
      </c>
      <c r="AG589">
        <f>IFERROR(--INDEX('Loans'!$L:$L,ROW()),0)</f>
        <v/>
      </c>
      <c r="AH589">
        <f>IF(ISNUMBER(INDEX('Loans'!$G:$G,ROW())),1,0)</f>
        <v/>
      </c>
    </row>
    <row r="590">
      <c r="A590">
        <f>TRIM(SUBSTITUTE(INDEX('Term investments'!$A:$A,ROW())&amp;""," "," "))</f>
        <v/>
      </c>
      <c r="B590">
        <f>TRIM(SUBSTITUTE(INDEX('Term investments'!$B:$B,ROW())&amp;""," "," "))</f>
        <v/>
      </c>
      <c r="C590">
        <f>TRIM(SUBSTITUTE(INDEX('Term investments'!$C:$C,ROW())&amp;""," "," "))</f>
        <v/>
      </c>
      <c r="D590">
        <f>IFERROR(--INDEX('Term investments'!$D:$D,ROW()),0)</f>
        <v/>
      </c>
      <c r="E590">
        <f>IFERROR(--INDEX('Term investments'!$E:$E,ROW()),0)</f>
        <v/>
      </c>
      <c r="F590">
        <f>IFERROR(--INDEX('Term investments'!$F:$F,ROW()),0)</f>
        <v/>
      </c>
      <c r="G590">
        <f>IFERROR(IF(--INDEX('Term investments'!$G:$G,ROW())&gt;=1,--INDEX('Term investments'!$G:$G,ROW())/100,--INDEX('Term investments'!$G:$G,ROW())),0)</f>
        <v/>
      </c>
      <c r="H590">
        <f>IFERROR(--INDEX('Term investments'!$H:$H,ROW()),0)</f>
        <v/>
      </c>
      <c r="I590">
        <f>IF(ISNUMBER(INDEX('Term investments'!$G:$G,ROW())),1,0)</f>
        <v/>
      </c>
      <c r="J590">
        <f>TRIM(SUBSTITUTE(INDEX('Call accounts and MMFs'!$A:$A,ROW())&amp;""," "," "))</f>
        <v/>
      </c>
      <c r="K590">
        <f>TRIM(SUBSTITUTE(INDEX('Call accounts and MMFs'!$B:$B,ROW())&amp;""," "," "))</f>
        <v/>
      </c>
      <c r="L590">
        <f>TRIM(SUBSTITUTE(INDEX('Call accounts and MMFs'!$C:$C,ROW())&amp;""," "," "))</f>
        <v/>
      </c>
      <c r="M590">
        <f>IFERROR(--INDEX('Call accounts and MMFs'!$D:$D,ROW()),0)</f>
        <v/>
      </c>
      <c r="N590">
        <f>IFERROR(IF(--INDEX('Call accounts and MMFs'!$E:$E,ROW())&gt;=1,--INDEX('Call accounts and MMFs'!$E:$E,ROW())/100,--INDEX('Call accounts and MMFs'!$E:$E,ROW())),0)</f>
        <v/>
      </c>
      <c r="O590">
        <f>IFERROR(--INDEX('Call accounts and MMFs'!$F:$F,ROW()),0)</f>
        <v/>
      </c>
      <c r="P590">
        <f>IF(ISNUMBER(INDEX('Call accounts and MMFs'!$E:$E,ROW())),1,0)</f>
        <v/>
      </c>
      <c r="Q590">
        <f>TRIM(SUBSTITUTE(INDEX('Pooled funds'!$B:$B,ROW())&amp;""," "," "))</f>
        <v/>
      </c>
      <c r="R590">
        <f>IFERROR(--INDEX('Pooled funds'!$C:$C,ROW()),0)</f>
        <v/>
      </c>
      <c r="S590">
        <f>IFERROR(--INDEX('Pooled funds'!$D:$D,ROW()),0)</f>
        <v/>
      </c>
      <c r="T590">
        <f>IFERROR(IF(--INDEX('Pooled funds'!$E:$E,ROW())&gt;=1,--INDEX('Pooled funds'!$E:$E,ROW())/100,--INDEX('Pooled funds'!$E:$E,ROW())),0)</f>
        <v/>
      </c>
      <c r="U590">
        <f>IF(ISNUMBER(INDEX('Pooled funds'!$E:$E,ROW())),1,0)</f>
        <v/>
      </c>
      <c r="V590">
        <f>TRIM(SUBSTITUTE(INDEX('Loans'!$A:$A,ROW())&amp;""," "," "))</f>
        <v/>
      </c>
      <c r="W590">
        <f>TRIM(SUBSTITUTE(INDEX('Loans'!$B:$B,ROW())&amp;""," "," "))</f>
        <v/>
      </c>
      <c r="X590">
        <f>TRIM(SUBSTITUTE(INDEX('Loans'!$C:$C,ROW())&amp;""," "," "))</f>
        <v/>
      </c>
      <c r="Y590">
        <f>IFERROR(--INDEX('Loans'!$D:$D,ROW()),0)</f>
        <v/>
      </c>
      <c r="Z590">
        <f>IFERROR(--INDEX('Loans'!$E:$E,ROW()),0)</f>
        <v/>
      </c>
      <c r="AA590">
        <f>IFERROR(--INDEX('Loans'!$F:$F,ROW()),0)</f>
        <v/>
      </c>
      <c r="AB590">
        <f>IFERROR(IF(--INDEX('Loans'!$G:$G,ROW())&gt;=1,--INDEX('Loans'!$G:$G,ROW())/100,--INDEX('Loans'!$G:$G,ROW())),0)</f>
        <v/>
      </c>
      <c r="AC590">
        <f>TRIM(SUBSTITUTE(INDEX('Loans'!$H:$H,ROW())&amp;""," "," "))</f>
        <v/>
      </c>
      <c r="AD590">
        <f>TRIM(SUBSTITUTE(INDEX('Loans'!$I:$I,ROW())&amp;""," "," "))</f>
        <v/>
      </c>
      <c r="AE590">
        <f>IFERROR(--INDEX('Loans'!$J:$J,ROW()),0)</f>
        <v/>
      </c>
      <c r="AF590">
        <f>TRIM(SUBSTITUTE(INDEX('Loans'!$K:$K,ROW())&amp;""," "," "))</f>
        <v/>
      </c>
      <c r="AG590">
        <f>IFERROR(--INDEX('Loans'!$L:$L,ROW()),0)</f>
        <v/>
      </c>
      <c r="AH590">
        <f>IF(ISNUMBER(INDEX('Loans'!$G:$G,ROW())),1,0)</f>
        <v/>
      </c>
    </row>
    <row r="591">
      <c r="A591">
        <f>TRIM(SUBSTITUTE(INDEX('Term investments'!$A:$A,ROW())&amp;""," "," "))</f>
        <v/>
      </c>
      <c r="B591">
        <f>TRIM(SUBSTITUTE(INDEX('Term investments'!$B:$B,ROW())&amp;""," "," "))</f>
        <v/>
      </c>
      <c r="C591">
        <f>TRIM(SUBSTITUTE(INDEX('Term investments'!$C:$C,ROW())&amp;""," "," "))</f>
        <v/>
      </c>
      <c r="D591">
        <f>IFERROR(--INDEX('Term investments'!$D:$D,ROW()),0)</f>
        <v/>
      </c>
      <c r="E591">
        <f>IFERROR(--INDEX('Term investments'!$E:$E,ROW()),0)</f>
        <v/>
      </c>
      <c r="F591">
        <f>IFERROR(--INDEX('Term investments'!$F:$F,ROW()),0)</f>
        <v/>
      </c>
      <c r="G591">
        <f>IFERROR(IF(--INDEX('Term investments'!$G:$G,ROW())&gt;=1,--INDEX('Term investments'!$G:$G,ROW())/100,--INDEX('Term investments'!$G:$G,ROW())),0)</f>
        <v/>
      </c>
      <c r="H591">
        <f>IFERROR(--INDEX('Term investments'!$H:$H,ROW()),0)</f>
        <v/>
      </c>
      <c r="I591">
        <f>IF(ISNUMBER(INDEX('Term investments'!$G:$G,ROW())),1,0)</f>
        <v/>
      </c>
      <c r="J591">
        <f>TRIM(SUBSTITUTE(INDEX('Call accounts and MMFs'!$A:$A,ROW())&amp;""," "," "))</f>
        <v/>
      </c>
      <c r="K591">
        <f>TRIM(SUBSTITUTE(INDEX('Call accounts and MMFs'!$B:$B,ROW())&amp;""," "," "))</f>
        <v/>
      </c>
      <c r="L591">
        <f>TRIM(SUBSTITUTE(INDEX('Call accounts and MMFs'!$C:$C,ROW())&amp;""," "," "))</f>
        <v/>
      </c>
      <c r="M591">
        <f>IFERROR(--INDEX('Call accounts and MMFs'!$D:$D,ROW()),0)</f>
        <v/>
      </c>
      <c r="N591">
        <f>IFERROR(IF(--INDEX('Call accounts and MMFs'!$E:$E,ROW())&gt;=1,--INDEX('Call accounts and MMFs'!$E:$E,ROW())/100,--INDEX('Call accounts and MMFs'!$E:$E,ROW())),0)</f>
        <v/>
      </c>
      <c r="O591">
        <f>IFERROR(--INDEX('Call accounts and MMFs'!$F:$F,ROW()),0)</f>
        <v/>
      </c>
      <c r="P591">
        <f>IF(ISNUMBER(INDEX('Call accounts and MMFs'!$E:$E,ROW())),1,0)</f>
        <v/>
      </c>
      <c r="Q591">
        <f>TRIM(SUBSTITUTE(INDEX('Pooled funds'!$B:$B,ROW())&amp;""," "," "))</f>
        <v/>
      </c>
      <c r="R591">
        <f>IFERROR(--INDEX('Pooled funds'!$C:$C,ROW()),0)</f>
        <v/>
      </c>
      <c r="S591">
        <f>IFERROR(--INDEX('Pooled funds'!$D:$D,ROW()),0)</f>
        <v/>
      </c>
      <c r="T591">
        <f>IFERROR(IF(--INDEX('Pooled funds'!$E:$E,ROW())&gt;=1,--INDEX('Pooled funds'!$E:$E,ROW())/100,--INDEX('Pooled funds'!$E:$E,ROW())),0)</f>
        <v/>
      </c>
      <c r="U591">
        <f>IF(ISNUMBER(INDEX('Pooled funds'!$E:$E,ROW())),1,0)</f>
        <v/>
      </c>
      <c r="V591">
        <f>TRIM(SUBSTITUTE(INDEX('Loans'!$A:$A,ROW())&amp;""," "," "))</f>
        <v/>
      </c>
      <c r="W591">
        <f>TRIM(SUBSTITUTE(INDEX('Loans'!$B:$B,ROW())&amp;""," "," "))</f>
        <v/>
      </c>
      <c r="X591">
        <f>TRIM(SUBSTITUTE(INDEX('Loans'!$C:$C,ROW())&amp;""," "," "))</f>
        <v/>
      </c>
      <c r="Y591">
        <f>IFERROR(--INDEX('Loans'!$D:$D,ROW()),0)</f>
        <v/>
      </c>
      <c r="Z591">
        <f>IFERROR(--INDEX('Loans'!$E:$E,ROW()),0)</f>
        <v/>
      </c>
      <c r="AA591">
        <f>IFERROR(--INDEX('Loans'!$F:$F,ROW()),0)</f>
        <v/>
      </c>
      <c r="AB591">
        <f>IFERROR(IF(--INDEX('Loans'!$G:$G,ROW())&gt;=1,--INDEX('Loans'!$G:$G,ROW())/100,--INDEX('Loans'!$G:$G,ROW())),0)</f>
        <v/>
      </c>
      <c r="AC591">
        <f>TRIM(SUBSTITUTE(INDEX('Loans'!$H:$H,ROW())&amp;""," "," "))</f>
        <v/>
      </c>
      <c r="AD591">
        <f>TRIM(SUBSTITUTE(INDEX('Loans'!$I:$I,ROW())&amp;""," "," "))</f>
        <v/>
      </c>
      <c r="AE591">
        <f>IFERROR(--INDEX('Loans'!$J:$J,ROW()),0)</f>
        <v/>
      </c>
      <c r="AF591">
        <f>TRIM(SUBSTITUTE(INDEX('Loans'!$K:$K,ROW())&amp;""," "," "))</f>
        <v/>
      </c>
      <c r="AG591">
        <f>IFERROR(--INDEX('Loans'!$L:$L,ROW()),0)</f>
        <v/>
      </c>
      <c r="AH591">
        <f>IF(ISNUMBER(INDEX('Loans'!$G:$G,ROW())),1,0)</f>
        <v/>
      </c>
    </row>
    <row r="592">
      <c r="A592">
        <f>TRIM(SUBSTITUTE(INDEX('Term investments'!$A:$A,ROW())&amp;""," "," "))</f>
        <v/>
      </c>
      <c r="B592">
        <f>TRIM(SUBSTITUTE(INDEX('Term investments'!$B:$B,ROW())&amp;""," "," "))</f>
        <v/>
      </c>
      <c r="C592">
        <f>TRIM(SUBSTITUTE(INDEX('Term investments'!$C:$C,ROW())&amp;""," "," "))</f>
        <v/>
      </c>
      <c r="D592">
        <f>IFERROR(--INDEX('Term investments'!$D:$D,ROW()),0)</f>
        <v/>
      </c>
      <c r="E592">
        <f>IFERROR(--INDEX('Term investments'!$E:$E,ROW()),0)</f>
        <v/>
      </c>
      <c r="F592">
        <f>IFERROR(--INDEX('Term investments'!$F:$F,ROW()),0)</f>
        <v/>
      </c>
      <c r="G592">
        <f>IFERROR(IF(--INDEX('Term investments'!$G:$G,ROW())&gt;=1,--INDEX('Term investments'!$G:$G,ROW())/100,--INDEX('Term investments'!$G:$G,ROW())),0)</f>
        <v/>
      </c>
      <c r="H592">
        <f>IFERROR(--INDEX('Term investments'!$H:$H,ROW()),0)</f>
        <v/>
      </c>
      <c r="I592">
        <f>IF(ISNUMBER(INDEX('Term investments'!$G:$G,ROW())),1,0)</f>
        <v/>
      </c>
      <c r="J592">
        <f>TRIM(SUBSTITUTE(INDEX('Call accounts and MMFs'!$A:$A,ROW())&amp;""," "," "))</f>
        <v/>
      </c>
      <c r="K592">
        <f>TRIM(SUBSTITUTE(INDEX('Call accounts and MMFs'!$B:$B,ROW())&amp;""," "," "))</f>
        <v/>
      </c>
      <c r="L592">
        <f>TRIM(SUBSTITUTE(INDEX('Call accounts and MMFs'!$C:$C,ROW())&amp;""," "," "))</f>
        <v/>
      </c>
      <c r="M592">
        <f>IFERROR(--INDEX('Call accounts and MMFs'!$D:$D,ROW()),0)</f>
        <v/>
      </c>
      <c r="N592">
        <f>IFERROR(IF(--INDEX('Call accounts and MMFs'!$E:$E,ROW())&gt;=1,--INDEX('Call accounts and MMFs'!$E:$E,ROW())/100,--INDEX('Call accounts and MMFs'!$E:$E,ROW())),0)</f>
        <v/>
      </c>
      <c r="O592">
        <f>IFERROR(--INDEX('Call accounts and MMFs'!$F:$F,ROW()),0)</f>
        <v/>
      </c>
      <c r="P592">
        <f>IF(ISNUMBER(INDEX('Call accounts and MMFs'!$E:$E,ROW())),1,0)</f>
        <v/>
      </c>
      <c r="Q592">
        <f>TRIM(SUBSTITUTE(INDEX('Pooled funds'!$B:$B,ROW())&amp;""," "," "))</f>
        <v/>
      </c>
      <c r="R592">
        <f>IFERROR(--INDEX('Pooled funds'!$C:$C,ROW()),0)</f>
        <v/>
      </c>
      <c r="S592">
        <f>IFERROR(--INDEX('Pooled funds'!$D:$D,ROW()),0)</f>
        <v/>
      </c>
      <c r="T592">
        <f>IFERROR(IF(--INDEX('Pooled funds'!$E:$E,ROW())&gt;=1,--INDEX('Pooled funds'!$E:$E,ROW())/100,--INDEX('Pooled funds'!$E:$E,ROW())),0)</f>
        <v/>
      </c>
      <c r="U592">
        <f>IF(ISNUMBER(INDEX('Pooled funds'!$E:$E,ROW())),1,0)</f>
        <v/>
      </c>
      <c r="V592">
        <f>TRIM(SUBSTITUTE(INDEX('Loans'!$A:$A,ROW())&amp;""," "," "))</f>
        <v/>
      </c>
      <c r="W592">
        <f>TRIM(SUBSTITUTE(INDEX('Loans'!$B:$B,ROW())&amp;""," "," "))</f>
        <v/>
      </c>
      <c r="X592">
        <f>TRIM(SUBSTITUTE(INDEX('Loans'!$C:$C,ROW())&amp;""," "," "))</f>
        <v/>
      </c>
      <c r="Y592">
        <f>IFERROR(--INDEX('Loans'!$D:$D,ROW()),0)</f>
        <v/>
      </c>
      <c r="Z592">
        <f>IFERROR(--INDEX('Loans'!$E:$E,ROW()),0)</f>
        <v/>
      </c>
      <c r="AA592">
        <f>IFERROR(--INDEX('Loans'!$F:$F,ROW()),0)</f>
        <v/>
      </c>
      <c r="AB592">
        <f>IFERROR(IF(--INDEX('Loans'!$G:$G,ROW())&gt;=1,--INDEX('Loans'!$G:$G,ROW())/100,--INDEX('Loans'!$G:$G,ROW())),0)</f>
        <v/>
      </c>
      <c r="AC592">
        <f>TRIM(SUBSTITUTE(INDEX('Loans'!$H:$H,ROW())&amp;""," "," "))</f>
        <v/>
      </c>
      <c r="AD592">
        <f>TRIM(SUBSTITUTE(INDEX('Loans'!$I:$I,ROW())&amp;""," "," "))</f>
        <v/>
      </c>
      <c r="AE592">
        <f>IFERROR(--INDEX('Loans'!$J:$J,ROW()),0)</f>
        <v/>
      </c>
      <c r="AF592">
        <f>TRIM(SUBSTITUTE(INDEX('Loans'!$K:$K,ROW())&amp;""," "," "))</f>
        <v/>
      </c>
      <c r="AG592">
        <f>IFERROR(--INDEX('Loans'!$L:$L,ROW()),0)</f>
        <v/>
      </c>
      <c r="AH592">
        <f>IF(ISNUMBER(INDEX('Loans'!$G:$G,ROW())),1,0)</f>
        <v/>
      </c>
    </row>
    <row r="593">
      <c r="A593">
        <f>TRIM(SUBSTITUTE(INDEX('Term investments'!$A:$A,ROW())&amp;""," "," "))</f>
        <v/>
      </c>
      <c r="B593">
        <f>TRIM(SUBSTITUTE(INDEX('Term investments'!$B:$B,ROW())&amp;""," "," "))</f>
        <v/>
      </c>
      <c r="C593">
        <f>TRIM(SUBSTITUTE(INDEX('Term investments'!$C:$C,ROW())&amp;""," "," "))</f>
        <v/>
      </c>
      <c r="D593">
        <f>IFERROR(--INDEX('Term investments'!$D:$D,ROW()),0)</f>
        <v/>
      </c>
      <c r="E593">
        <f>IFERROR(--INDEX('Term investments'!$E:$E,ROW()),0)</f>
        <v/>
      </c>
      <c r="F593">
        <f>IFERROR(--INDEX('Term investments'!$F:$F,ROW()),0)</f>
        <v/>
      </c>
      <c r="G593">
        <f>IFERROR(IF(--INDEX('Term investments'!$G:$G,ROW())&gt;=1,--INDEX('Term investments'!$G:$G,ROW())/100,--INDEX('Term investments'!$G:$G,ROW())),0)</f>
        <v/>
      </c>
      <c r="H593">
        <f>IFERROR(--INDEX('Term investments'!$H:$H,ROW()),0)</f>
        <v/>
      </c>
      <c r="I593">
        <f>IF(ISNUMBER(INDEX('Term investments'!$G:$G,ROW())),1,0)</f>
        <v/>
      </c>
      <c r="J593">
        <f>TRIM(SUBSTITUTE(INDEX('Call accounts and MMFs'!$A:$A,ROW())&amp;""," "," "))</f>
        <v/>
      </c>
      <c r="K593">
        <f>TRIM(SUBSTITUTE(INDEX('Call accounts and MMFs'!$B:$B,ROW())&amp;""," "," "))</f>
        <v/>
      </c>
      <c r="L593">
        <f>TRIM(SUBSTITUTE(INDEX('Call accounts and MMFs'!$C:$C,ROW())&amp;""," "," "))</f>
        <v/>
      </c>
      <c r="M593">
        <f>IFERROR(--INDEX('Call accounts and MMFs'!$D:$D,ROW()),0)</f>
        <v/>
      </c>
      <c r="N593">
        <f>IFERROR(IF(--INDEX('Call accounts and MMFs'!$E:$E,ROW())&gt;=1,--INDEX('Call accounts and MMFs'!$E:$E,ROW())/100,--INDEX('Call accounts and MMFs'!$E:$E,ROW())),0)</f>
        <v/>
      </c>
      <c r="O593">
        <f>IFERROR(--INDEX('Call accounts and MMFs'!$F:$F,ROW()),0)</f>
        <v/>
      </c>
      <c r="P593">
        <f>IF(ISNUMBER(INDEX('Call accounts and MMFs'!$E:$E,ROW())),1,0)</f>
        <v/>
      </c>
      <c r="Q593">
        <f>TRIM(SUBSTITUTE(INDEX('Pooled funds'!$B:$B,ROW())&amp;""," "," "))</f>
        <v/>
      </c>
      <c r="R593">
        <f>IFERROR(--INDEX('Pooled funds'!$C:$C,ROW()),0)</f>
        <v/>
      </c>
      <c r="S593">
        <f>IFERROR(--INDEX('Pooled funds'!$D:$D,ROW()),0)</f>
        <v/>
      </c>
      <c r="T593">
        <f>IFERROR(IF(--INDEX('Pooled funds'!$E:$E,ROW())&gt;=1,--INDEX('Pooled funds'!$E:$E,ROW())/100,--INDEX('Pooled funds'!$E:$E,ROW())),0)</f>
        <v/>
      </c>
      <c r="U593">
        <f>IF(ISNUMBER(INDEX('Pooled funds'!$E:$E,ROW())),1,0)</f>
        <v/>
      </c>
      <c r="V593">
        <f>TRIM(SUBSTITUTE(INDEX('Loans'!$A:$A,ROW())&amp;""," "," "))</f>
        <v/>
      </c>
      <c r="W593">
        <f>TRIM(SUBSTITUTE(INDEX('Loans'!$B:$B,ROW())&amp;""," "," "))</f>
        <v/>
      </c>
      <c r="X593">
        <f>TRIM(SUBSTITUTE(INDEX('Loans'!$C:$C,ROW())&amp;""," "," "))</f>
        <v/>
      </c>
      <c r="Y593">
        <f>IFERROR(--INDEX('Loans'!$D:$D,ROW()),0)</f>
        <v/>
      </c>
      <c r="Z593">
        <f>IFERROR(--INDEX('Loans'!$E:$E,ROW()),0)</f>
        <v/>
      </c>
      <c r="AA593">
        <f>IFERROR(--INDEX('Loans'!$F:$F,ROW()),0)</f>
        <v/>
      </c>
      <c r="AB593">
        <f>IFERROR(IF(--INDEX('Loans'!$G:$G,ROW())&gt;=1,--INDEX('Loans'!$G:$G,ROW())/100,--INDEX('Loans'!$G:$G,ROW())),0)</f>
        <v/>
      </c>
      <c r="AC593">
        <f>TRIM(SUBSTITUTE(INDEX('Loans'!$H:$H,ROW())&amp;""," "," "))</f>
        <v/>
      </c>
      <c r="AD593">
        <f>TRIM(SUBSTITUTE(INDEX('Loans'!$I:$I,ROW())&amp;""," "," "))</f>
        <v/>
      </c>
      <c r="AE593">
        <f>IFERROR(--INDEX('Loans'!$J:$J,ROW()),0)</f>
        <v/>
      </c>
      <c r="AF593">
        <f>TRIM(SUBSTITUTE(INDEX('Loans'!$K:$K,ROW())&amp;""," "," "))</f>
        <v/>
      </c>
      <c r="AG593">
        <f>IFERROR(--INDEX('Loans'!$L:$L,ROW()),0)</f>
        <v/>
      </c>
      <c r="AH593">
        <f>IF(ISNUMBER(INDEX('Loans'!$G:$G,ROW())),1,0)</f>
        <v/>
      </c>
    </row>
    <row r="594">
      <c r="A594">
        <f>TRIM(SUBSTITUTE(INDEX('Term investments'!$A:$A,ROW())&amp;""," "," "))</f>
        <v/>
      </c>
      <c r="B594">
        <f>TRIM(SUBSTITUTE(INDEX('Term investments'!$B:$B,ROW())&amp;""," "," "))</f>
        <v/>
      </c>
      <c r="C594">
        <f>TRIM(SUBSTITUTE(INDEX('Term investments'!$C:$C,ROW())&amp;""," "," "))</f>
        <v/>
      </c>
      <c r="D594">
        <f>IFERROR(--INDEX('Term investments'!$D:$D,ROW()),0)</f>
        <v/>
      </c>
      <c r="E594">
        <f>IFERROR(--INDEX('Term investments'!$E:$E,ROW()),0)</f>
        <v/>
      </c>
      <c r="F594">
        <f>IFERROR(--INDEX('Term investments'!$F:$F,ROW()),0)</f>
        <v/>
      </c>
      <c r="G594">
        <f>IFERROR(IF(--INDEX('Term investments'!$G:$G,ROW())&gt;=1,--INDEX('Term investments'!$G:$G,ROW())/100,--INDEX('Term investments'!$G:$G,ROW())),0)</f>
        <v/>
      </c>
      <c r="H594">
        <f>IFERROR(--INDEX('Term investments'!$H:$H,ROW()),0)</f>
        <v/>
      </c>
      <c r="I594">
        <f>IF(ISNUMBER(INDEX('Term investments'!$G:$G,ROW())),1,0)</f>
        <v/>
      </c>
      <c r="J594">
        <f>TRIM(SUBSTITUTE(INDEX('Call accounts and MMFs'!$A:$A,ROW())&amp;""," "," "))</f>
        <v/>
      </c>
      <c r="K594">
        <f>TRIM(SUBSTITUTE(INDEX('Call accounts and MMFs'!$B:$B,ROW())&amp;""," "," "))</f>
        <v/>
      </c>
      <c r="L594">
        <f>TRIM(SUBSTITUTE(INDEX('Call accounts and MMFs'!$C:$C,ROW())&amp;""," "," "))</f>
        <v/>
      </c>
      <c r="M594">
        <f>IFERROR(--INDEX('Call accounts and MMFs'!$D:$D,ROW()),0)</f>
        <v/>
      </c>
      <c r="N594">
        <f>IFERROR(IF(--INDEX('Call accounts and MMFs'!$E:$E,ROW())&gt;=1,--INDEX('Call accounts and MMFs'!$E:$E,ROW())/100,--INDEX('Call accounts and MMFs'!$E:$E,ROW())),0)</f>
        <v/>
      </c>
      <c r="O594">
        <f>IFERROR(--INDEX('Call accounts and MMFs'!$F:$F,ROW()),0)</f>
        <v/>
      </c>
      <c r="P594">
        <f>IF(ISNUMBER(INDEX('Call accounts and MMFs'!$E:$E,ROW())),1,0)</f>
        <v/>
      </c>
      <c r="Q594">
        <f>TRIM(SUBSTITUTE(INDEX('Pooled funds'!$B:$B,ROW())&amp;""," "," "))</f>
        <v/>
      </c>
      <c r="R594">
        <f>IFERROR(--INDEX('Pooled funds'!$C:$C,ROW()),0)</f>
        <v/>
      </c>
      <c r="S594">
        <f>IFERROR(--INDEX('Pooled funds'!$D:$D,ROW()),0)</f>
        <v/>
      </c>
      <c r="T594">
        <f>IFERROR(IF(--INDEX('Pooled funds'!$E:$E,ROW())&gt;=1,--INDEX('Pooled funds'!$E:$E,ROW())/100,--INDEX('Pooled funds'!$E:$E,ROW())),0)</f>
        <v/>
      </c>
      <c r="U594">
        <f>IF(ISNUMBER(INDEX('Pooled funds'!$E:$E,ROW())),1,0)</f>
        <v/>
      </c>
      <c r="V594">
        <f>TRIM(SUBSTITUTE(INDEX('Loans'!$A:$A,ROW())&amp;""," "," "))</f>
        <v/>
      </c>
      <c r="W594">
        <f>TRIM(SUBSTITUTE(INDEX('Loans'!$B:$B,ROW())&amp;""," "," "))</f>
        <v/>
      </c>
      <c r="X594">
        <f>TRIM(SUBSTITUTE(INDEX('Loans'!$C:$C,ROW())&amp;""," "," "))</f>
        <v/>
      </c>
      <c r="Y594">
        <f>IFERROR(--INDEX('Loans'!$D:$D,ROW()),0)</f>
        <v/>
      </c>
      <c r="Z594">
        <f>IFERROR(--INDEX('Loans'!$E:$E,ROW()),0)</f>
        <v/>
      </c>
      <c r="AA594">
        <f>IFERROR(--INDEX('Loans'!$F:$F,ROW()),0)</f>
        <v/>
      </c>
      <c r="AB594">
        <f>IFERROR(IF(--INDEX('Loans'!$G:$G,ROW())&gt;=1,--INDEX('Loans'!$G:$G,ROW())/100,--INDEX('Loans'!$G:$G,ROW())),0)</f>
        <v/>
      </c>
      <c r="AC594">
        <f>TRIM(SUBSTITUTE(INDEX('Loans'!$H:$H,ROW())&amp;""," "," "))</f>
        <v/>
      </c>
      <c r="AD594">
        <f>TRIM(SUBSTITUTE(INDEX('Loans'!$I:$I,ROW())&amp;""," "," "))</f>
        <v/>
      </c>
      <c r="AE594">
        <f>IFERROR(--INDEX('Loans'!$J:$J,ROW()),0)</f>
        <v/>
      </c>
      <c r="AF594">
        <f>TRIM(SUBSTITUTE(INDEX('Loans'!$K:$K,ROW())&amp;""," "," "))</f>
        <v/>
      </c>
      <c r="AG594">
        <f>IFERROR(--INDEX('Loans'!$L:$L,ROW()),0)</f>
        <v/>
      </c>
      <c r="AH594">
        <f>IF(ISNUMBER(INDEX('Loans'!$G:$G,ROW())),1,0)</f>
        <v/>
      </c>
    </row>
    <row r="595">
      <c r="A595">
        <f>TRIM(SUBSTITUTE(INDEX('Term investments'!$A:$A,ROW())&amp;""," "," "))</f>
        <v/>
      </c>
      <c r="B595">
        <f>TRIM(SUBSTITUTE(INDEX('Term investments'!$B:$B,ROW())&amp;""," "," "))</f>
        <v/>
      </c>
      <c r="C595">
        <f>TRIM(SUBSTITUTE(INDEX('Term investments'!$C:$C,ROW())&amp;""," "," "))</f>
        <v/>
      </c>
      <c r="D595">
        <f>IFERROR(--INDEX('Term investments'!$D:$D,ROW()),0)</f>
        <v/>
      </c>
      <c r="E595">
        <f>IFERROR(--INDEX('Term investments'!$E:$E,ROW()),0)</f>
        <v/>
      </c>
      <c r="F595">
        <f>IFERROR(--INDEX('Term investments'!$F:$F,ROW()),0)</f>
        <v/>
      </c>
      <c r="G595">
        <f>IFERROR(IF(--INDEX('Term investments'!$G:$G,ROW())&gt;=1,--INDEX('Term investments'!$G:$G,ROW())/100,--INDEX('Term investments'!$G:$G,ROW())),0)</f>
        <v/>
      </c>
      <c r="H595">
        <f>IFERROR(--INDEX('Term investments'!$H:$H,ROW()),0)</f>
        <v/>
      </c>
      <c r="I595">
        <f>IF(ISNUMBER(INDEX('Term investments'!$G:$G,ROW())),1,0)</f>
        <v/>
      </c>
      <c r="J595">
        <f>TRIM(SUBSTITUTE(INDEX('Call accounts and MMFs'!$A:$A,ROW())&amp;""," "," "))</f>
        <v/>
      </c>
      <c r="K595">
        <f>TRIM(SUBSTITUTE(INDEX('Call accounts and MMFs'!$B:$B,ROW())&amp;""," "," "))</f>
        <v/>
      </c>
      <c r="L595">
        <f>TRIM(SUBSTITUTE(INDEX('Call accounts and MMFs'!$C:$C,ROW())&amp;""," "," "))</f>
        <v/>
      </c>
      <c r="M595">
        <f>IFERROR(--INDEX('Call accounts and MMFs'!$D:$D,ROW()),0)</f>
        <v/>
      </c>
      <c r="N595">
        <f>IFERROR(IF(--INDEX('Call accounts and MMFs'!$E:$E,ROW())&gt;=1,--INDEX('Call accounts and MMFs'!$E:$E,ROW())/100,--INDEX('Call accounts and MMFs'!$E:$E,ROW())),0)</f>
        <v/>
      </c>
      <c r="O595">
        <f>IFERROR(--INDEX('Call accounts and MMFs'!$F:$F,ROW()),0)</f>
        <v/>
      </c>
      <c r="P595">
        <f>IF(ISNUMBER(INDEX('Call accounts and MMFs'!$E:$E,ROW())),1,0)</f>
        <v/>
      </c>
      <c r="Q595">
        <f>TRIM(SUBSTITUTE(INDEX('Pooled funds'!$B:$B,ROW())&amp;""," "," "))</f>
        <v/>
      </c>
      <c r="R595">
        <f>IFERROR(--INDEX('Pooled funds'!$C:$C,ROW()),0)</f>
        <v/>
      </c>
      <c r="S595">
        <f>IFERROR(--INDEX('Pooled funds'!$D:$D,ROW()),0)</f>
        <v/>
      </c>
      <c r="T595">
        <f>IFERROR(IF(--INDEX('Pooled funds'!$E:$E,ROW())&gt;=1,--INDEX('Pooled funds'!$E:$E,ROW())/100,--INDEX('Pooled funds'!$E:$E,ROW())),0)</f>
        <v/>
      </c>
      <c r="U595">
        <f>IF(ISNUMBER(INDEX('Pooled funds'!$E:$E,ROW())),1,0)</f>
        <v/>
      </c>
      <c r="V595">
        <f>TRIM(SUBSTITUTE(INDEX('Loans'!$A:$A,ROW())&amp;""," "," "))</f>
        <v/>
      </c>
      <c r="W595">
        <f>TRIM(SUBSTITUTE(INDEX('Loans'!$B:$B,ROW())&amp;""," "," "))</f>
        <v/>
      </c>
      <c r="X595">
        <f>TRIM(SUBSTITUTE(INDEX('Loans'!$C:$C,ROW())&amp;""," "," "))</f>
        <v/>
      </c>
      <c r="Y595">
        <f>IFERROR(--INDEX('Loans'!$D:$D,ROW()),0)</f>
        <v/>
      </c>
      <c r="Z595">
        <f>IFERROR(--INDEX('Loans'!$E:$E,ROW()),0)</f>
        <v/>
      </c>
      <c r="AA595">
        <f>IFERROR(--INDEX('Loans'!$F:$F,ROW()),0)</f>
        <v/>
      </c>
      <c r="AB595">
        <f>IFERROR(IF(--INDEX('Loans'!$G:$G,ROW())&gt;=1,--INDEX('Loans'!$G:$G,ROW())/100,--INDEX('Loans'!$G:$G,ROW())),0)</f>
        <v/>
      </c>
      <c r="AC595">
        <f>TRIM(SUBSTITUTE(INDEX('Loans'!$H:$H,ROW())&amp;""," "," "))</f>
        <v/>
      </c>
      <c r="AD595">
        <f>TRIM(SUBSTITUTE(INDEX('Loans'!$I:$I,ROW())&amp;""," "," "))</f>
        <v/>
      </c>
      <c r="AE595">
        <f>IFERROR(--INDEX('Loans'!$J:$J,ROW()),0)</f>
        <v/>
      </c>
      <c r="AF595">
        <f>TRIM(SUBSTITUTE(INDEX('Loans'!$K:$K,ROW())&amp;""," "," "))</f>
        <v/>
      </c>
      <c r="AG595">
        <f>IFERROR(--INDEX('Loans'!$L:$L,ROW()),0)</f>
        <v/>
      </c>
      <c r="AH595">
        <f>IF(ISNUMBER(INDEX('Loans'!$G:$G,ROW())),1,0)</f>
        <v/>
      </c>
    </row>
    <row r="596">
      <c r="A596">
        <f>TRIM(SUBSTITUTE(INDEX('Term investments'!$A:$A,ROW())&amp;""," "," "))</f>
        <v/>
      </c>
      <c r="B596">
        <f>TRIM(SUBSTITUTE(INDEX('Term investments'!$B:$B,ROW())&amp;""," "," "))</f>
        <v/>
      </c>
      <c r="C596">
        <f>TRIM(SUBSTITUTE(INDEX('Term investments'!$C:$C,ROW())&amp;""," "," "))</f>
        <v/>
      </c>
      <c r="D596">
        <f>IFERROR(--INDEX('Term investments'!$D:$D,ROW()),0)</f>
        <v/>
      </c>
      <c r="E596">
        <f>IFERROR(--INDEX('Term investments'!$E:$E,ROW()),0)</f>
        <v/>
      </c>
      <c r="F596">
        <f>IFERROR(--INDEX('Term investments'!$F:$F,ROW()),0)</f>
        <v/>
      </c>
      <c r="G596">
        <f>IFERROR(IF(--INDEX('Term investments'!$G:$G,ROW())&gt;=1,--INDEX('Term investments'!$G:$G,ROW())/100,--INDEX('Term investments'!$G:$G,ROW())),0)</f>
        <v/>
      </c>
      <c r="H596">
        <f>IFERROR(--INDEX('Term investments'!$H:$H,ROW()),0)</f>
        <v/>
      </c>
      <c r="I596">
        <f>IF(ISNUMBER(INDEX('Term investments'!$G:$G,ROW())),1,0)</f>
        <v/>
      </c>
      <c r="J596">
        <f>TRIM(SUBSTITUTE(INDEX('Call accounts and MMFs'!$A:$A,ROW())&amp;""," "," "))</f>
        <v/>
      </c>
      <c r="K596">
        <f>TRIM(SUBSTITUTE(INDEX('Call accounts and MMFs'!$B:$B,ROW())&amp;""," "," "))</f>
        <v/>
      </c>
      <c r="L596">
        <f>TRIM(SUBSTITUTE(INDEX('Call accounts and MMFs'!$C:$C,ROW())&amp;""," "," "))</f>
        <v/>
      </c>
      <c r="M596">
        <f>IFERROR(--INDEX('Call accounts and MMFs'!$D:$D,ROW()),0)</f>
        <v/>
      </c>
      <c r="N596">
        <f>IFERROR(IF(--INDEX('Call accounts and MMFs'!$E:$E,ROW())&gt;=1,--INDEX('Call accounts and MMFs'!$E:$E,ROW())/100,--INDEX('Call accounts and MMFs'!$E:$E,ROW())),0)</f>
        <v/>
      </c>
      <c r="O596">
        <f>IFERROR(--INDEX('Call accounts and MMFs'!$F:$F,ROW()),0)</f>
        <v/>
      </c>
      <c r="P596">
        <f>IF(ISNUMBER(INDEX('Call accounts and MMFs'!$E:$E,ROW())),1,0)</f>
        <v/>
      </c>
      <c r="Q596">
        <f>TRIM(SUBSTITUTE(INDEX('Pooled funds'!$B:$B,ROW())&amp;""," "," "))</f>
        <v/>
      </c>
      <c r="R596">
        <f>IFERROR(--INDEX('Pooled funds'!$C:$C,ROW()),0)</f>
        <v/>
      </c>
      <c r="S596">
        <f>IFERROR(--INDEX('Pooled funds'!$D:$D,ROW()),0)</f>
        <v/>
      </c>
      <c r="T596">
        <f>IFERROR(IF(--INDEX('Pooled funds'!$E:$E,ROW())&gt;=1,--INDEX('Pooled funds'!$E:$E,ROW())/100,--INDEX('Pooled funds'!$E:$E,ROW())),0)</f>
        <v/>
      </c>
      <c r="U596">
        <f>IF(ISNUMBER(INDEX('Pooled funds'!$E:$E,ROW())),1,0)</f>
        <v/>
      </c>
      <c r="V596">
        <f>TRIM(SUBSTITUTE(INDEX('Loans'!$A:$A,ROW())&amp;""," "," "))</f>
        <v/>
      </c>
      <c r="W596">
        <f>TRIM(SUBSTITUTE(INDEX('Loans'!$B:$B,ROW())&amp;""," "," "))</f>
        <v/>
      </c>
      <c r="X596">
        <f>TRIM(SUBSTITUTE(INDEX('Loans'!$C:$C,ROW())&amp;""," "," "))</f>
        <v/>
      </c>
      <c r="Y596">
        <f>IFERROR(--INDEX('Loans'!$D:$D,ROW()),0)</f>
        <v/>
      </c>
      <c r="Z596">
        <f>IFERROR(--INDEX('Loans'!$E:$E,ROW()),0)</f>
        <v/>
      </c>
      <c r="AA596">
        <f>IFERROR(--INDEX('Loans'!$F:$F,ROW()),0)</f>
        <v/>
      </c>
      <c r="AB596">
        <f>IFERROR(IF(--INDEX('Loans'!$G:$G,ROW())&gt;=1,--INDEX('Loans'!$G:$G,ROW())/100,--INDEX('Loans'!$G:$G,ROW())),0)</f>
        <v/>
      </c>
      <c r="AC596">
        <f>TRIM(SUBSTITUTE(INDEX('Loans'!$H:$H,ROW())&amp;""," "," "))</f>
        <v/>
      </c>
      <c r="AD596">
        <f>TRIM(SUBSTITUTE(INDEX('Loans'!$I:$I,ROW())&amp;""," "," "))</f>
        <v/>
      </c>
      <c r="AE596">
        <f>IFERROR(--INDEX('Loans'!$J:$J,ROW()),0)</f>
        <v/>
      </c>
      <c r="AF596">
        <f>TRIM(SUBSTITUTE(INDEX('Loans'!$K:$K,ROW())&amp;""," "," "))</f>
        <v/>
      </c>
      <c r="AG596">
        <f>IFERROR(--INDEX('Loans'!$L:$L,ROW()),0)</f>
        <v/>
      </c>
      <c r="AH596">
        <f>IF(ISNUMBER(INDEX('Loans'!$G:$G,ROW())),1,0)</f>
        <v/>
      </c>
    </row>
    <row r="597">
      <c r="A597">
        <f>TRIM(SUBSTITUTE(INDEX('Term investments'!$A:$A,ROW())&amp;""," "," "))</f>
        <v/>
      </c>
      <c r="B597">
        <f>TRIM(SUBSTITUTE(INDEX('Term investments'!$B:$B,ROW())&amp;""," "," "))</f>
        <v/>
      </c>
      <c r="C597">
        <f>TRIM(SUBSTITUTE(INDEX('Term investments'!$C:$C,ROW())&amp;""," "," "))</f>
        <v/>
      </c>
      <c r="D597">
        <f>IFERROR(--INDEX('Term investments'!$D:$D,ROW()),0)</f>
        <v/>
      </c>
      <c r="E597">
        <f>IFERROR(--INDEX('Term investments'!$E:$E,ROW()),0)</f>
        <v/>
      </c>
      <c r="F597">
        <f>IFERROR(--INDEX('Term investments'!$F:$F,ROW()),0)</f>
        <v/>
      </c>
      <c r="G597">
        <f>IFERROR(IF(--INDEX('Term investments'!$G:$G,ROW())&gt;=1,--INDEX('Term investments'!$G:$G,ROW())/100,--INDEX('Term investments'!$G:$G,ROW())),0)</f>
        <v/>
      </c>
      <c r="H597">
        <f>IFERROR(--INDEX('Term investments'!$H:$H,ROW()),0)</f>
        <v/>
      </c>
      <c r="I597">
        <f>IF(ISNUMBER(INDEX('Term investments'!$G:$G,ROW())),1,0)</f>
        <v/>
      </c>
      <c r="J597">
        <f>TRIM(SUBSTITUTE(INDEX('Call accounts and MMFs'!$A:$A,ROW())&amp;""," "," "))</f>
        <v/>
      </c>
      <c r="K597">
        <f>TRIM(SUBSTITUTE(INDEX('Call accounts and MMFs'!$B:$B,ROW())&amp;""," "," "))</f>
        <v/>
      </c>
      <c r="L597">
        <f>TRIM(SUBSTITUTE(INDEX('Call accounts and MMFs'!$C:$C,ROW())&amp;""," "," "))</f>
        <v/>
      </c>
      <c r="M597">
        <f>IFERROR(--INDEX('Call accounts and MMFs'!$D:$D,ROW()),0)</f>
        <v/>
      </c>
      <c r="N597">
        <f>IFERROR(IF(--INDEX('Call accounts and MMFs'!$E:$E,ROW())&gt;=1,--INDEX('Call accounts and MMFs'!$E:$E,ROW())/100,--INDEX('Call accounts and MMFs'!$E:$E,ROW())),0)</f>
        <v/>
      </c>
      <c r="O597">
        <f>IFERROR(--INDEX('Call accounts and MMFs'!$F:$F,ROW()),0)</f>
        <v/>
      </c>
      <c r="P597">
        <f>IF(ISNUMBER(INDEX('Call accounts and MMFs'!$E:$E,ROW())),1,0)</f>
        <v/>
      </c>
      <c r="Q597">
        <f>TRIM(SUBSTITUTE(INDEX('Pooled funds'!$B:$B,ROW())&amp;""," "," "))</f>
        <v/>
      </c>
      <c r="R597">
        <f>IFERROR(--INDEX('Pooled funds'!$C:$C,ROW()),0)</f>
        <v/>
      </c>
      <c r="S597">
        <f>IFERROR(--INDEX('Pooled funds'!$D:$D,ROW()),0)</f>
        <v/>
      </c>
      <c r="T597">
        <f>IFERROR(IF(--INDEX('Pooled funds'!$E:$E,ROW())&gt;=1,--INDEX('Pooled funds'!$E:$E,ROW())/100,--INDEX('Pooled funds'!$E:$E,ROW())),0)</f>
        <v/>
      </c>
      <c r="U597">
        <f>IF(ISNUMBER(INDEX('Pooled funds'!$E:$E,ROW())),1,0)</f>
        <v/>
      </c>
      <c r="V597">
        <f>TRIM(SUBSTITUTE(INDEX('Loans'!$A:$A,ROW())&amp;""," "," "))</f>
        <v/>
      </c>
      <c r="W597">
        <f>TRIM(SUBSTITUTE(INDEX('Loans'!$B:$B,ROW())&amp;""," "," "))</f>
        <v/>
      </c>
      <c r="X597">
        <f>TRIM(SUBSTITUTE(INDEX('Loans'!$C:$C,ROW())&amp;""," "," "))</f>
        <v/>
      </c>
      <c r="Y597">
        <f>IFERROR(--INDEX('Loans'!$D:$D,ROW()),0)</f>
        <v/>
      </c>
      <c r="Z597">
        <f>IFERROR(--INDEX('Loans'!$E:$E,ROW()),0)</f>
        <v/>
      </c>
      <c r="AA597">
        <f>IFERROR(--INDEX('Loans'!$F:$F,ROW()),0)</f>
        <v/>
      </c>
      <c r="AB597">
        <f>IFERROR(IF(--INDEX('Loans'!$G:$G,ROW())&gt;=1,--INDEX('Loans'!$G:$G,ROW())/100,--INDEX('Loans'!$G:$G,ROW())),0)</f>
        <v/>
      </c>
      <c r="AC597">
        <f>TRIM(SUBSTITUTE(INDEX('Loans'!$H:$H,ROW())&amp;""," "," "))</f>
        <v/>
      </c>
      <c r="AD597">
        <f>TRIM(SUBSTITUTE(INDEX('Loans'!$I:$I,ROW())&amp;""," "," "))</f>
        <v/>
      </c>
      <c r="AE597">
        <f>IFERROR(--INDEX('Loans'!$J:$J,ROW()),0)</f>
        <v/>
      </c>
      <c r="AF597">
        <f>TRIM(SUBSTITUTE(INDEX('Loans'!$K:$K,ROW())&amp;""," "," "))</f>
        <v/>
      </c>
      <c r="AG597">
        <f>IFERROR(--INDEX('Loans'!$L:$L,ROW()),0)</f>
        <v/>
      </c>
      <c r="AH597">
        <f>IF(ISNUMBER(INDEX('Loans'!$G:$G,ROW())),1,0)</f>
        <v/>
      </c>
    </row>
    <row r="598">
      <c r="A598">
        <f>TRIM(SUBSTITUTE(INDEX('Term investments'!$A:$A,ROW())&amp;""," "," "))</f>
        <v/>
      </c>
      <c r="B598">
        <f>TRIM(SUBSTITUTE(INDEX('Term investments'!$B:$B,ROW())&amp;""," "," "))</f>
        <v/>
      </c>
      <c r="C598">
        <f>TRIM(SUBSTITUTE(INDEX('Term investments'!$C:$C,ROW())&amp;""," "," "))</f>
        <v/>
      </c>
      <c r="D598">
        <f>IFERROR(--INDEX('Term investments'!$D:$D,ROW()),0)</f>
        <v/>
      </c>
      <c r="E598">
        <f>IFERROR(--INDEX('Term investments'!$E:$E,ROW()),0)</f>
        <v/>
      </c>
      <c r="F598">
        <f>IFERROR(--INDEX('Term investments'!$F:$F,ROW()),0)</f>
        <v/>
      </c>
      <c r="G598">
        <f>IFERROR(IF(--INDEX('Term investments'!$G:$G,ROW())&gt;=1,--INDEX('Term investments'!$G:$G,ROW())/100,--INDEX('Term investments'!$G:$G,ROW())),0)</f>
        <v/>
      </c>
      <c r="H598">
        <f>IFERROR(--INDEX('Term investments'!$H:$H,ROW()),0)</f>
        <v/>
      </c>
      <c r="I598">
        <f>IF(ISNUMBER(INDEX('Term investments'!$G:$G,ROW())),1,0)</f>
        <v/>
      </c>
      <c r="J598">
        <f>TRIM(SUBSTITUTE(INDEX('Call accounts and MMFs'!$A:$A,ROW())&amp;""," "," "))</f>
        <v/>
      </c>
      <c r="K598">
        <f>TRIM(SUBSTITUTE(INDEX('Call accounts and MMFs'!$B:$B,ROW())&amp;""," "," "))</f>
        <v/>
      </c>
      <c r="L598">
        <f>TRIM(SUBSTITUTE(INDEX('Call accounts and MMFs'!$C:$C,ROW())&amp;""," "," "))</f>
        <v/>
      </c>
      <c r="M598">
        <f>IFERROR(--INDEX('Call accounts and MMFs'!$D:$D,ROW()),0)</f>
        <v/>
      </c>
      <c r="N598">
        <f>IFERROR(IF(--INDEX('Call accounts and MMFs'!$E:$E,ROW())&gt;=1,--INDEX('Call accounts and MMFs'!$E:$E,ROW())/100,--INDEX('Call accounts and MMFs'!$E:$E,ROW())),0)</f>
        <v/>
      </c>
      <c r="O598">
        <f>IFERROR(--INDEX('Call accounts and MMFs'!$F:$F,ROW()),0)</f>
        <v/>
      </c>
      <c r="P598">
        <f>IF(ISNUMBER(INDEX('Call accounts and MMFs'!$E:$E,ROW())),1,0)</f>
        <v/>
      </c>
      <c r="Q598">
        <f>TRIM(SUBSTITUTE(INDEX('Pooled funds'!$B:$B,ROW())&amp;""," "," "))</f>
        <v/>
      </c>
      <c r="R598">
        <f>IFERROR(--INDEX('Pooled funds'!$C:$C,ROW()),0)</f>
        <v/>
      </c>
      <c r="S598">
        <f>IFERROR(--INDEX('Pooled funds'!$D:$D,ROW()),0)</f>
        <v/>
      </c>
      <c r="T598">
        <f>IFERROR(IF(--INDEX('Pooled funds'!$E:$E,ROW())&gt;=1,--INDEX('Pooled funds'!$E:$E,ROW())/100,--INDEX('Pooled funds'!$E:$E,ROW())),0)</f>
        <v/>
      </c>
      <c r="U598">
        <f>IF(ISNUMBER(INDEX('Pooled funds'!$E:$E,ROW())),1,0)</f>
        <v/>
      </c>
      <c r="V598">
        <f>TRIM(SUBSTITUTE(INDEX('Loans'!$A:$A,ROW())&amp;""," "," "))</f>
        <v/>
      </c>
      <c r="W598">
        <f>TRIM(SUBSTITUTE(INDEX('Loans'!$B:$B,ROW())&amp;""," "," "))</f>
        <v/>
      </c>
      <c r="X598">
        <f>TRIM(SUBSTITUTE(INDEX('Loans'!$C:$C,ROW())&amp;""," "," "))</f>
        <v/>
      </c>
      <c r="Y598">
        <f>IFERROR(--INDEX('Loans'!$D:$D,ROW()),0)</f>
        <v/>
      </c>
      <c r="Z598">
        <f>IFERROR(--INDEX('Loans'!$E:$E,ROW()),0)</f>
        <v/>
      </c>
      <c r="AA598">
        <f>IFERROR(--INDEX('Loans'!$F:$F,ROW()),0)</f>
        <v/>
      </c>
      <c r="AB598">
        <f>IFERROR(IF(--INDEX('Loans'!$G:$G,ROW())&gt;=1,--INDEX('Loans'!$G:$G,ROW())/100,--INDEX('Loans'!$G:$G,ROW())),0)</f>
        <v/>
      </c>
      <c r="AC598">
        <f>TRIM(SUBSTITUTE(INDEX('Loans'!$H:$H,ROW())&amp;""," "," "))</f>
        <v/>
      </c>
      <c r="AD598">
        <f>TRIM(SUBSTITUTE(INDEX('Loans'!$I:$I,ROW())&amp;""," "," "))</f>
        <v/>
      </c>
      <c r="AE598">
        <f>IFERROR(--INDEX('Loans'!$J:$J,ROW()),0)</f>
        <v/>
      </c>
      <c r="AF598">
        <f>TRIM(SUBSTITUTE(INDEX('Loans'!$K:$K,ROW())&amp;""," "," "))</f>
        <v/>
      </c>
      <c r="AG598">
        <f>IFERROR(--INDEX('Loans'!$L:$L,ROW()),0)</f>
        <v/>
      </c>
      <c r="AH598">
        <f>IF(ISNUMBER(INDEX('Loans'!$G:$G,ROW())),1,0)</f>
        <v/>
      </c>
    </row>
    <row r="599">
      <c r="A599">
        <f>TRIM(SUBSTITUTE(INDEX('Term investments'!$A:$A,ROW())&amp;""," "," "))</f>
        <v/>
      </c>
      <c r="B599">
        <f>TRIM(SUBSTITUTE(INDEX('Term investments'!$B:$B,ROW())&amp;""," "," "))</f>
        <v/>
      </c>
      <c r="C599">
        <f>TRIM(SUBSTITUTE(INDEX('Term investments'!$C:$C,ROW())&amp;""," "," "))</f>
        <v/>
      </c>
      <c r="D599">
        <f>IFERROR(--INDEX('Term investments'!$D:$D,ROW()),0)</f>
        <v/>
      </c>
      <c r="E599">
        <f>IFERROR(--INDEX('Term investments'!$E:$E,ROW()),0)</f>
        <v/>
      </c>
      <c r="F599">
        <f>IFERROR(--INDEX('Term investments'!$F:$F,ROW()),0)</f>
        <v/>
      </c>
      <c r="G599">
        <f>IFERROR(IF(--INDEX('Term investments'!$G:$G,ROW())&gt;=1,--INDEX('Term investments'!$G:$G,ROW())/100,--INDEX('Term investments'!$G:$G,ROW())),0)</f>
        <v/>
      </c>
      <c r="H599">
        <f>IFERROR(--INDEX('Term investments'!$H:$H,ROW()),0)</f>
        <v/>
      </c>
      <c r="I599">
        <f>IF(ISNUMBER(INDEX('Term investments'!$G:$G,ROW())),1,0)</f>
        <v/>
      </c>
      <c r="J599">
        <f>TRIM(SUBSTITUTE(INDEX('Call accounts and MMFs'!$A:$A,ROW())&amp;""," "," "))</f>
        <v/>
      </c>
      <c r="K599">
        <f>TRIM(SUBSTITUTE(INDEX('Call accounts and MMFs'!$B:$B,ROW())&amp;""," "," "))</f>
        <v/>
      </c>
      <c r="L599">
        <f>TRIM(SUBSTITUTE(INDEX('Call accounts and MMFs'!$C:$C,ROW())&amp;""," "," "))</f>
        <v/>
      </c>
      <c r="M599">
        <f>IFERROR(--INDEX('Call accounts and MMFs'!$D:$D,ROW()),0)</f>
        <v/>
      </c>
      <c r="N599">
        <f>IFERROR(IF(--INDEX('Call accounts and MMFs'!$E:$E,ROW())&gt;=1,--INDEX('Call accounts and MMFs'!$E:$E,ROW())/100,--INDEX('Call accounts and MMFs'!$E:$E,ROW())),0)</f>
        <v/>
      </c>
      <c r="O599">
        <f>IFERROR(--INDEX('Call accounts and MMFs'!$F:$F,ROW()),0)</f>
        <v/>
      </c>
      <c r="P599">
        <f>IF(ISNUMBER(INDEX('Call accounts and MMFs'!$E:$E,ROW())),1,0)</f>
        <v/>
      </c>
      <c r="Q599">
        <f>TRIM(SUBSTITUTE(INDEX('Pooled funds'!$B:$B,ROW())&amp;""," "," "))</f>
        <v/>
      </c>
      <c r="R599">
        <f>IFERROR(--INDEX('Pooled funds'!$C:$C,ROW()),0)</f>
        <v/>
      </c>
      <c r="S599">
        <f>IFERROR(--INDEX('Pooled funds'!$D:$D,ROW()),0)</f>
        <v/>
      </c>
      <c r="T599">
        <f>IFERROR(IF(--INDEX('Pooled funds'!$E:$E,ROW())&gt;=1,--INDEX('Pooled funds'!$E:$E,ROW())/100,--INDEX('Pooled funds'!$E:$E,ROW())),0)</f>
        <v/>
      </c>
      <c r="U599">
        <f>IF(ISNUMBER(INDEX('Pooled funds'!$E:$E,ROW())),1,0)</f>
        <v/>
      </c>
      <c r="V599">
        <f>TRIM(SUBSTITUTE(INDEX('Loans'!$A:$A,ROW())&amp;""," "," "))</f>
        <v/>
      </c>
      <c r="W599">
        <f>TRIM(SUBSTITUTE(INDEX('Loans'!$B:$B,ROW())&amp;""," "," "))</f>
        <v/>
      </c>
      <c r="X599">
        <f>TRIM(SUBSTITUTE(INDEX('Loans'!$C:$C,ROW())&amp;""," "," "))</f>
        <v/>
      </c>
      <c r="Y599">
        <f>IFERROR(--INDEX('Loans'!$D:$D,ROW()),0)</f>
        <v/>
      </c>
      <c r="Z599">
        <f>IFERROR(--INDEX('Loans'!$E:$E,ROW()),0)</f>
        <v/>
      </c>
      <c r="AA599">
        <f>IFERROR(--INDEX('Loans'!$F:$F,ROW()),0)</f>
        <v/>
      </c>
      <c r="AB599">
        <f>IFERROR(IF(--INDEX('Loans'!$G:$G,ROW())&gt;=1,--INDEX('Loans'!$G:$G,ROW())/100,--INDEX('Loans'!$G:$G,ROW())),0)</f>
        <v/>
      </c>
      <c r="AC599">
        <f>TRIM(SUBSTITUTE(INDEX('Loans'!$H:$H,ROW())&amp;""," "," "))</f>
        <v/>
      </c>
      <c r="AD599">
        <f>TRIM(SUBSTITUTE(INDEX('Loans'!$I:$I,ROW())&amp;""," "," "))</f>
        <v/>
      </c>
      <c r="AE599">
        <f>IFERROR(--INDEX('Loans'!$J:$J,ROW()),0)</f>
        <v/>
      </c>
      <c r="AF599">
        <f>TRIM(SUBSTITUTE(INDEX('Loans'!$K:$K,ROW())&amp;""," "," "))</f>
        <v/>
      </c>
      <c r="AG599">
        <f>IFERROR(--INDEX('Loans'!$L:$L,ROW()),0)</f>
        <v/>
      </c>
      <c r="AH599">
        <f>IF(ISNUMBER(INDEX('Loans'!$G:$G,ROW())),1,0)</f>
        <v/>
      </c>
    </row>
    <row r="600">
      <c r="A600">
        <f>TRIM(SUBSTITUTE(INDEX('Term investments'!$A:$A,ROW())&amp;""," "," "))</f>
        <v/>
      </c>
      <c r="B600">
        <f>TRIM(SUBSTITUTE(INDEX('Term investments'!$B:$B,ROW())&amp;""," "," "))</f>
        <v/>
      </c>
      <c r="C600">
        <f>TRIM(SUBSTITUTE(INDEX('Term investments'!$C:$C,ROW())&amp;""," "," "))</f>
        <v/>
      </c>
      <c r="D600">
        <f>IFERROR(--INDEX('Term investments'!$D:$D,ROW()),0)</f>
        <v/>
      </c>
      <c r="E600">
        <f>IFERROR(--INDEX('Term investments'!$E:$E,ROW()),0)</f>
        <v/>
      </c>
      <c r="F600">
        <f>IFERROR(--INDEX('Term investments'!$F:$F,ROW()),0)</f>
        <v/>
      </c>
      <c r="G600">
        <f>IFERROR(IF(--INDEX('Term investments'!$G:$G,ROW())&gt;=1,--INDEX('Term investments'!$G:$G,ROW())/100,--INDEX('Term investments'!$G:$G,ROW())),0)</f>
        <v/>
      </c>
      <c r="H600">
        <f>IFERROR(--INDEX('Term investments'!$H:$H,ROW()),0)</f>
        <v/>
      </c>
      <c r="I600">
        <f>IF(ISNUMBER(INDEX('Term investments'!$G:$G,ROW())),1,0)</f>
        <v/>
      </c>
      <c r="J600">
        <f>TRIM(SUBSTITUTE(INDEX('Call accounts and MMFs'!$A:$A,ROW())&amp;""," "," "))</f>
        <v/>
      </c>
      <c r="K600">
        <f>TRIM(SUBSTITUTE(INDEX('Call accounts and MMFs'!$B:$B,ROW())&amp;""," "," "))</f>
        <v/>
      </c>
      <c r="L600">
        <f>TRIM(SUBSTITUTE(INDEX('Call accounts and MMFs'!$C:$C,ROW())&amp;""," "," "))</f>
        <v/>
      </c>
      <c r="M600">
        <f>IFERROR(--INDEX('Call accounts and MMFs'!$D:$D,ROW()),0)</f>
        <v/>
      </c>
      <c r="N600">
        <f>IFERROR(IF(--INDEX('Call accounts and MMFs'!$E:$E,ROW())&gt;=1,--INDEX('Call accounts and MMFs'!$E:$E,ROW())/100,--INDEX('Call accounts and MMFs'!$E:$E,ROW())),0)</f>
        <v/>
      </c>
      <c r="O600">
        <f>IFERROR(--INDEX('Call accounts and MMFs'!$F:$F,ROW()),0)</f>
        <v/>
      </c>
      <c r="P600">
        <f>IF(ISNUMBER(INDEX('Call accounts and MMFs'!$E:$E,ROW())),1,0)</f>
        <v/>
      </c>
      <c r="Q600">
        <f>TRIM(SUBSTITUTE(INDEX('Pooled funds'!$B:$B,ROW())&amp;""," "," "))</f>
        <v/>
      </c>
      <c r="R600">
        <f>IFERROR(--INDEX('Pooled funds'!$C:$C,ROW()),0)</f>
        <v/>
      </c>
      <c r="S600">
        <f>IFERROR(--INDEX('Pooled funds'!$D:$D,ROW()),0)</f>
        <v/>
      </c>
      <c r="T600">
        <f>IFERROR(IF(--INDEX('Pooled funds'!$E:$E,ROW())&gt;=1,--INDEX('Pooled funds'!$E:$E,ROW())/100,--INDEX('Pooled funds'!$E:$E,ROW())),0)</f>
        <v/>
      </c>
      <c r="U600">
        <f>IF(ISNUMBER(INDEX('Pooled funds'!$E:$E,ROW())),1,0)</f>
        <v/>
      </c>
      <c r="V600">
        <f>TRIM(SUBSTITUTE(INDEX('Loans'!$A:$A,ROW())&amp;""," "," "))</f>
        <v/>
      </c>
      <c r="W600">
        <f>TRIM(SUBSTITUTE(INDEX('Loans'!$B:$B,ROW())&amp;""," "," "))</f>
        <v/>
      </c>
      <c r="X600">
        <f>TRIM(SUBSTITUTE(INDEX('Loans'!$C:$C,ROW())&amp;""," "," "))</f>
        <v/>
      </c>
      <c r="Y600">
        <f>IFERROR(--INDEX('Loans'!$D:$D,ROW()),0)</f>
        <v/>
      </c>
      <c r="Z600">
        <f>IFERROR(--INDEX('Loans'!$E:$E,ROW()),0)</f>
        <v/>
      </c>
      <c r="AA600">
        <f>IFERROR(--INDEX('Loans'!$F:$F,ROW()),0)</f>
        <v/>
      </c>
      <c r="AB600">
        <f>IFERROR(IF(--INDEX('Loans'!$G:$G,ROW())&gt;=1,--INDEX('Loans'!$G:$G,ROW())/100,--INDEX('Loans'!$G:$G,ROW())),0)</f>
        <v/>
      </c>
      <c r="AC600">
        <f>TRIM(SUBSTITUTE(INDEX('Loans'!$H:$H,ROW())&amp;""," "," "))</f>
        <v/>
      </c>
      <c r="AD600">
        <f>TRIM(SUBSTITUTE(INDEX('Loans'!$I:$I,ROW())&amp;""," "," "))</f>
        <v/>
      </c>
      <c r="AE600">
        <f>IFERROR(--INDEX('Loans'!$J:$J,ROW()),0)</f>
        <v/>
      </c>
      <c r="AF600">
        <f>TRIM(SUBSTITUTE(INDEX('Loans'!$K:$K,ROW())&amp;""," "," "))</f>
        <v/>
      </c>
      <c r="AG600">
        <f>IFERROR(--INDEX('Loans'!$L:$L,ROW()),0)</f>
        <v/>
      </c>
      <c r="AH600">
        <f>IF(ISNUMBER(INDEX('Loans'!$G:$G,ROW())),1,0)</f>
        <v/>
      </c>
    </row>
    <row r="601">
      <c r="A601">
        <f>TRIM(SUBSTITUTE(INDEX('Term investments'!$A:$A,ROW())&amp;""," "," "))</f>
        <v/>
      </c>
      <c r="B601">
        <f>TRIM(SUBSTITUTE(INDEX('Term investments'!$B:$B,ROW())&amp;""," "," "))</f>
        <v/>
      </c>
      <c r="C601">
        <f>TRIM(SUBSTITUTE(INDEX('Term investments'!$C:$C,ROW())&amp;""," "," "))</f>
        <v/>
      </c>
      <c r="D601">
        <f>IFERROR(--INDEX('Term investments'!$D:$D,ROW()),0)</f>
        <v/>
      </c>
      <c r="E601">
        <f>IFERROR(--INDEX('Term investments'!$E:$E,ROW()),0)</f>
        <v/>
      </c>
      <c r="F601">
        <f>IFERROR(--INDEX('Term investments'!$F:$F,ROW()),0)</f>
        <v/>
      </c>
      <c r="G601">
        <f>IFERROR(IF(--INDEX('Term investments'!$G:$G,ROW())&gt;=1,--INDEX('Term investments'!$G:$G,ROW())/100,--INDEX('Term investments'!$G:$G,ROW())),0)</f>
        <v/>
      </c>
      <c r="H601">
        <f>IFERROR(--INDEX('Term investments'!$H:$H,ROW()),0)</f>
        <v/>
      </c>
      <c r="I601">
        <f>IF(ISNUMBER(INDEX('Term investments'!$G:$G,ROW())),1,0)</f>
        <v/>
      </c>
      <c r="J601">
        <f>TRIM(SUBSTITUTE(INDEX('Call accounts and MMFs'!$A:$A,ROW())&amp;""," "," "))</f>
        <v/>
      </c>
      <c r="K601">
        <f>TRIM(SUBSTITUTE(INDEX('Call accounts and MMFs'!$B:$B,ROW())&amp;""," "," "))</f>
        <v/>
      </c>
      <c r="L601">
        <f>TRIM(SUBSTITUTE(INDEX('Call accounts and MMFs'!$C:$C,ROW())&amp;""," "," "))</f>
        <v/>
      </c>
      <c r="M601">
        <f>IFERROR(--INDEX('Call accounts and MMFs'!$D:$D,ROW()),0)</f>
        <v/>
      </c>
      <c r="N601">
        <f>IFERROR(IF(--INDEX('Call accounts and MMFs'!$E:$E,ROW())&gt;=1,--INDEX('Call accounts and MMFs'!$E:$E,ROW())/100,--INDEX('Call accounts and MMFs'!$E:$E,ROW())),0)</f>
        <v/>
      </c>
      <c r="O601">
        <f>IFERROR(--INDEX('Call accounts and MMFs'!$F:$F,ROW()),0)</f>
        <v/>
      </c>
      <c r="P601">
        <f>IF(ISNUMBER(INDEX('Call accounts and MMFs'!$E:$E,ROW())),1,0)</f>
        <v/>
      </c>
      <c r="Q601">
        <f>TRIM(SUBSTITUTE(INDEX('Pooled funds'!$B:$B,ROW())&amp;""," "," "))</f>
        <v/>
      </c>
      <c r="R601">
        <f>IFERROR(--INDEX('Pooled funds'!$C:$C,ROW()),0)</f>
        <v/>
      </c>
      <c r="S601">
        <f>IFERROR(--INDEX('Pooled funds'!$D:$D,ROW()),0)</f>
        <v/>
      </c>
      <c r="T601">
        <f>IFERROR(IF(--INDEX('Pooled funds'!$E:$E,ROW())&gt;=1,--INDEX('Pooled funds'!$E:$E,ROW())/100,--INDEX('Pooled funds'!$E:$E,ROW())),0)</f>
        <v/>
      </c>
      <c r="U601">
        <f>IF(ISNUMBER(INDEX('Pooled funds'!$E:$E,ROW())),1,0)</f>
        <v/>
      </c>
      <c r="V601">
        <f>TRIM(SUBSTITUTE(INDEX('Loans'!$A:$A,ROW())&amp;""," "," "))</f>
        <v/>
      </c>
      <c r="W601">
        <f>TRIM(SUBSTITUTE(INDEX('Loans'!$B:$B,ROW())&amp;""," "," "))</f>
        <v/>
      </c>
      <c r="X601">
        <f>TRIM(SUBSTITUTE(INDEX('Loans'!$C:$C,ROW())&amp;""," "," "))</f>
        <v/>
      </c>
      <c r="Y601">
        <f>IFERROR(--INDEX('Loans'!$D:$D,ROW()),0)</f>
        <v/>
      </c>
      <c r="Z601">
        <f>IFERROR(--INDEX('Loans'!$E:$E,ROW()),0)</f>
        <v/>
      </c>
      <c r="AA601">
        <f>IFERROR(--INDEX('Loans'!$F:$F,ROW()),0)</f>
        <v/>
      </c>
      <c r="AB601">
        <f>IFERROR(IF(--INDEX('Loans'!$G:$G,ROW())&gt;=1,--INDEX('Loans'!$G:$G,ROW())/100,--INDEX('Loans'!$G:$G,ROW())),0)</f>
        <v/>
      </c>
      <c r="AC601">
        <f>TRIM(SUBSTITUTE(INDEX('Loans'!$H:$H,ROW())&amp;""," "," "))</f>
        <v/>
      </c>
      <c r="AD601">
        <f>TRIM(SUBSTITUTE(INDEX('Loans'!$I:$I,ROW())&amp;""," "," "))</f>
        <v/>
      </c>
      <c r="AE601">
        <f>IFERROR(--INDEX('Loans'!$J:$J,ROW()),0)</f>
        <v/>
      </c>
      <c r="AF601">
        <f>TRIM(SUBSTITUTE(INDEX('Loans'!$K:$K,ROW())&amp;""," "," "))</f>
        <v/>
      </c>
      <c r="AG601">
        <f>IFERROR(--INDEX('Loans'!$L:$L,ROW()),0)</f>
        <v/>
      </c>
      <c r="AH601">
        <f>IF(ISNUMBER(INDEX('Loans'!$G:$G,ROW())),1,0)</f>
        <v/>
      </c>
    </row>
    <row r="602">
      <c r="A602">
        <f>TRIM(SUBSTITUTE(INDEX('Term investments'!$A:$A,ROW())&amp;""," "," "))</f>
        <v/>
      </c>
      <c r="B602">
        <f>TRIM(SUBSTITUTE(INDEX('Term investments'!$B:$B,ROW())&amp;""," "," "))</f>
        <v/>
      </c>
      <c r="C602">
        <f>TRIM(SUBSTITUTE(INDEX('Term investments'!$C:$C,ROW())&amp;""," "," "))</f>
        <v/>
      </c>
      <c r="D602">
        <f>IFERROR(--INDEX('Term investments'!$D:$D,ROW()),0)</f>
        <v/>
      </c>
      <c r="E602">
        <f>IFERROR(--INDEX('Term investments'!$E:$E,ROW()),0)</f>
        <v/>
      </c>
      <c r="F602">
        <f>IFERROR(--INDEX('Term investments'!$F:$F,ROW()),0)</f>
        <v/>
      </c>
      <c r="G602">
        <f>IFERROR(IF(--INDEX('Term investments'!$G:$G,ROW())&gt;=1,--INDEX('Term investments'!$G:$G,ROW())/100,--INDEX('Term investments'!$G:$G,ROW())),0)</f>
        <v/>
      </c>
      <c r="H602">
        <f>IFERROR(--INDEX('Term investments'!$H:$H,ROW()),0)</f>
        <v/>
      </c>
      <c r="I602">
        <f>IF(ISNUMBER(INDEX('Term investments'!$G:$G,ROW())),1,0)</f>
        <v/>
      </c>
      <c r="J602">
        <f>TRIM(SUBSTITUTE(INDEX('Call accounts and MMFs'!$A:$A,ROW())&amp;""," "," "))</f>
        <v/>
      </c>
      <c r="K602">
        <f>TRIM(SUBSTITUTE(INDEX('Call accounts and MMFs'!$B:$B,ROW())&amp;""," "," "))</f>
        <v/>
      </c>
      <c r="L602">
        <f>TRIM(SUBSTITUTE(INDEX('Call accounts and MMFs'!$C:$C,ROW())&amp;""," "," "))</f>
        <v/>
      </c>
      <c r="M602">
        <f>IFERROR(--INDEX('Call accounts and MMFs'!$D:$D,ROW()),0)</f>
        <v/>
      </c>
      <c r="N602">
        <f>IFERROR(IF(--INDEX('Call accounts and MMFs'!$E:$E,ROW())&gt;=1,--INDEX('Call accounts and MMFs'!$E:$E,ROW())/100,--INDEX('Call accounts and MMFs'!$E:$E,ROW())),0)</f>
        <v/>
      </c>
      <c r="O602">
        <f>IFERROR(--INDEX('Call accounts and MMFs'!$F:$F,ROW()),0)</f>
        <v/>
      </c>
      <c r="P602">
        <f>IF(ISNUMBER(INDEX('Call accounts and MMFs'!$E:$E,ROW())),1,0)</f>
        <v/>
      </c>
      <c r="Q602">
        <f>TRIM(SUBSTITUTE(INDEX('Pooled funds'!$B:$B,ROW())&amp;""," "," "))</f>
        <v/>
      </c>
      <c r="R602">
        <f>IFERROR(--INDEX('Pooled funds'!$C:$C,ROW()),0)</f>
        <v/>
      </c>
      <c r="S602">
        <f>IFERROR(--INDEX('Pooled funds'!$D:$D,ROW()),0)</f>
        <v/>
      </c>
      <c r="T602">
        <f>IFERROR(IF(--INDEX('Pooled funds'!$E:$E,ROW())&gt;=1,--INDEX('Pooled funds'!$E:$E,ROW())/100,--INDEX('Pooled funds'!$E:$E,ROW())),0)</f>
        <v/>
      </c>
      <c r="U602">
        <f>IF(ISNUMBER(INDEX('Pooled funds'!$E:$E,ROW())),1,0)</f>
        <v/>
      </c>
      <c r="V602">
        <f>TRIM(SUBSTITUTE(INDEX('Loans'!$A:$A,ROW())&amp;""," "," "))</f>
        <v/>
      </c>
      <c r="W602">
        <f>TRIM(SUBSTITUTE(INDEX('Loans'!$B:$B,ROW())&amp;""," "," "))</f>
        <v/>
      </c>
      <c r="X602">
        <f>TRIM(SUBSTITUTE(INDEX('Loans'!$C:$C,ROW())&amp;""," "," "))</f>
        <v/>
      </c>
      <c r="Y602">
        <f>IFERROR(--INDEX('Loans'!$D:$D,ROW()),0)</f>
        <v/>
      </c>
      <c r="Z602">
        <f>IFERROR(--INDEX('Loans'!$E:$E,ROW()),0)</f>
        <v/>
      </c>
      <c r="AA602">
        <f>IFERROR(--INDEX('Loans'!$F:$F,ROW()),0)</f>
        <v/>
      </c>
      <c r="AB602">
        <f>IFERROR(IF(--INDEX('Loans'!$G:$G,ROW())&gt;=1,--INDEX('Loans'!$G:$G,ROW())/100,--INDEX('Loans'!$G:$G,ROW())),0)</f>
        <v/>
      </c>
      <c r="AC602">
        <f>TRIM(SUBSTITUTE(INDEX('Loans'!$H:$H,ROW())&amp;""," "," "))</f>
        <v/>
      </c>
      <c r="AD602">
        <f>TRIM(SUBSTITUTE(INDEX('Loans'!$I:$I,ROW())&amp;""," "," "))</f>
        <v/>
      </c>
      <c r="AE602">
        <f>IFERROR(--INDEX('Loans'!$J:$J,ROW()),0)</f>
        <v/>
      </c>
      <c r="AF602">
        <f>TRIM(SUBSTITUTE(INDEX('Loans'!$K:$K,ROW())&amp;""," "," "))</f>
        <v/>
      </c>
      <c r="AG602">
        <f>IFERROR(--INDEX('Loans'!$L:$L,ROW()),0)</f>
        <v/>
      </c>
      <c r="AH602">
        <f>IF(ISNUMBER(INDEX('Loans'!$G:$G,ROW())),1,0)</f>
        <v/>
      </c>
    </row>
    <row r="603">
      <c r="A603">
        <f>TRIM(SUBSTITUTE(INDEX('Term investments'!$A:$A,ROW())&amp;""," "," "))</f>
        <v/>
      </c>
      <c r="B603">
        <f>TRIM(SUBSTITUTE(INDEX('Term investments'!$B:$B,ROW())&amp;""," "," "))</f>
        <v/>
      </c>
      <c r="C603">
        <f>TRIM(SUBSTITUTE(INDEX('Term investments'!$C:$C,ROW())&amp;""," "," "))</f>
        <v/>
      </c>
      <c r="D603">
        <f>IFERROR(--INDEX('Term investments'!$D:$D,ROW()),0)</f>
        <v/>
      </c>
      <c r="E603">
        <f>IFERROR(--INDEX('Term investments'!$E:$E,ROW()),0)</f>
        <v/>
      </c>
      <c r="F603">
        <f>IFERROR(--INDEX('Term investments'!$F:$F,ROW()),0)</f>
        <v/>
      </c>
      <c r="G603">
        <f>IFERROR(IF(--INDEX('Term investments'!$G:$G,ROW())&gt;=1,--INDEX('Term investments'!$G:$G,ROW())/100,--INDEX('Term investments'!$G:$G,ROW())),0)</f>
        <v/>
      </c>
      <c r="H603">
        <f>IFERROR(--INDEX('Term investments'!$H:$H,ROW()),0)</f>
        <v/>
      </c>
      <c r="I603">
        <f>IF(ISNUMBER(INDEX('Term investments'!$G:$G,ROW())),1,0)</f>
        <v/>
      </c>
      <c r="J603">
        <f>TRIM(SUBSTITUTE(INDEX('Call accounts and MMFs'!$A:$A,ROW())&amp;""," "," "))</f>
        <v/>
      </c>
      <c r="K603">
        <f>TRIM(SUBSTITUTE(INDEX('Call accounts and MMFs'!$B:$B,ROW())&amp;""," "," "))</f>
        <v/>
      </c>
      <c r="L603">
        <f>TRIM(SUBSTITUTE(INDEX('Call accounts and MMFs'!$C:$C,ROW())&amp;""," "," "))</f>
        <v/>
      </c>
      <c r="M603">
        <f>IFERROR(--INDEX('Call accounts and MMFs'!$D:$D,ROW()),0)</f>
        <v/>
      </c>
      <c r="N603">
        <f>IFERROR(IF(--INDEX('Call accounts and MMFs'!$E:$E,ROW())&gt;=1,--INDEX('Call accounts and MMFs'!$E:$E,ROW())/100,--INDEX('Call accounts and MMFs'!$E:$E,ROW())),0)</f>
        <v/>
      </c>
      <c r="O603">
        <f>IFERROR(--INDEX('Call accounts and MMFs'!$F:$F,ROW()),0)</f>
        <v/>
      </c>
      <c r="P603">
        <f>IF(ISNUMBER(INDEX('Call accounts and MMFs'!$E:$E,ROW())),1,0)</f>
        <v/>
      </c>
      <c r="Q603">
        <f>TRIM(SUBSTITUTE(INDEX('Pooled funds'!$B:$B,ROW())&amp;""," "," "))</f>
        <v/>
      </c>
      <c r="R603">
        <f>IFERROR(--INDEX('Pooled funds'!$C:$C,ROW()),0)</f>
        <v/>
      </c>
      <c r="S603">
        <f>IFERROR(--INDEX('Pooled funds'!$D:$D,ROW()),0)</f>
        <v/>
      </c>
      <c r="T603">
        <f>IFERROR(IF(--INDEX('Pooled funds'!$E:$E,ROW())&gt;=1,--INDEX('Pooled funds'!$E:$E,ROW())/100,--INDEX('Pooled funds'!$E:$E,ROW())),0)</f>
        <v/>
      </c>
      <c r="U603">
        <f>IF(ISNUMBER(INDEX('Pooled funds'!$E:$E,ROW())),1,0)</f>
        <v/>
      </c>
      <c r="V603">
        <f>TRIM(SUBSTITUTE(INDEX('Loans'!$A:$A,ROW())&amp;""," "," "))</f>
        <v/>
      </c>
      <c r="W603">
        <f>TRIM(SUBSTITUTE(INDEX('Loans'!$B:$B,ROW())&amp;""," "," "))</f>
        <v/>
      </c>
      <c r="X603">
        <f>TRIM(SUBSTITUTE(INDEX('Loans'!$C:$C,ROW())&amp;""," "," "))</f>
        <v/>
      </c>
      <c r="Y603">
        <f>IFERROR(--INDEX('Loans'!$D:$D,ROW()),0)</f>
        <v/>
      </c>
      <c r="Z603">
        <f>IFERROR(--INDEX('Loans'!$E:$E,ROW()),0)</f>
        <v/>
      </c>
      <c r="AA603">
        <f>IFERROR(--INDEX('Loans'!$F:$F,ROW()),0)</f>
        <v/>
      </c>
      <c r="AB603">
        <f>IFERROR(IF(--INDEX('Loans'!$G:$G,ROW())&gt;=1,--INDEX('Loans'!$G:$G,ROW())/100,--INDEX('Loans'!$G:$G,ROW())),0)</f>
        <v/>
      </c>
      <c r="AC603">
        <f>TRIM(SUBSTITUTE(INDEX('Loans'!$H:$H,ROW())&amp;""," "," "))</f>
        <v/>
      </c>
      <c r="AD603">
        <f>TRIM(SUBSTITUTE(INDEX('Loans'!$I:$I,ROW())&amp;""," "," "))</f>
        <v/>
      </c>
      <c r="AE603">
        <f>IFERROR(--INDEX('Loans'!$J:$J,ROW()),0)</f>
        <v/>
      </c>
      <c r="AF603">
        <f>TRIM(SUBSTITUTE(INDEX('Loans'!$K:$K,ROW())&amp;""," "," "))</f>
        <v/>
      </c>
      <c r="AG603">
        <f>IFERROR(--INDEX('Loans'!$L:$L,ROW()),0)</f>
        <v/>
      </c>
      <c r="AH603">
        <f>IF(ISNUMBER(INDEX('Loans'!$G:$G,ROW())),1,0)</f>
        <v/>
      </c>
    </row>
    <row r="604">
      <c r="A604">
        <f>TRIM(SUBSTITUTE(INDEX('Term investments'!$A:$A,ROW())&amp;""," "," "))</f>
        <v/>
      </c>
      <c r="B604">
        <f>TRIM(SUBSTITUTE(INDEX('Term investments'!$B:$B,ROW())&amp;""," "," "))</f>
        <v/>
      </c>
      <c r="C604">
        <f>TRIM(SUBSTITUTE(INDEX('Term investments'!$C:$C,ROW())&amp;""," "," "))</f>
        <v/>
      </c>
      <c r="D604">
        <f>IFERROR(--INDEX('Term investments'!$D:$D,ROW()),0)</f>
        <v/>
      </c>
      <c r="E604">
        <f>IFERROR(--INDEX('Term investments'!$E:$E,ROW()),0)</f>
        <v/>
      </c>
      <c r="F604">
        <f>IFERROR(--INDEX('Term investments'!$F:$F,ROW()),0)</f>
        <v/>
      </c>
      <c r="G604">
        <f>IFERROR(IF(--INDEX('Term investments'!$G:$G,ROW())&gt;=1,--INDEX('Term investments'!$G:$G,ROW())/100,--INDEX('Term investments'!$G:$G,ROW())),0)</f>
        <v/>
      </c>
      <c r="H604">
        <f>IFERROR(--INDEX('Term investments'!$H:$H,ROW()),0)</f>
        <v/>
      </c>
      <c r="I604">
        <f>IF(ISNUMBER(INDEX('Term investments'!$G:$G,ROW())),1,0)</f>
        <v/>
      </c>
      <c r="J604">
        <f>TRIM(SUBSTITUTE(INDEX('Call accounts and MMFs'!$A:$A,ROW())&amp;""," "," "))</f>
        <v/>
      </c>
      <c r="K604">
        <f>TRIM(SUBSTITUTE(INDEX('Call accounts and MMFs'!$B:$B,ROW())&amp;""," "," "))</f>
        <v/>
      </c>
      <c r="L604">
        <f>TRIM(SUBSTITUTE(INDEX('Call accounts and MMFs'!$C:$C,ROW())&amp;""," "," "))</f>
        <v/>
      </c>
      <c r="M604">
        <f>IFERROR(--INDEX('Call accounts and MMFs'!$D:$D,ROW()),0)</f>
        <v/>
      </c>
      <c r="N604">
        <f>IFERROR(IF(--INDEX('Call accounts and MMFs'!$E:$E,ROW())&gt;=1,--INDEX('Call accounts and MMFs'!$E:$E,ROW())/100,--INDEX('Call accounts and MMFs'!$E:$E,ROW())),0)</f>
        <v/>
      </c>
      <c r="O604">
        <f>IFERROR(--INDEX('Call accounts and MMFs'!$F:$F,ROW()),0)</f>
        <v/>
      </c>
      <c r="P604">
        <f>IF(ISNUMBER(INDEX('Call accounts and MMFs'!$E:$E,ROW())),1,0)</f>
        <v/>
      </c>
      <c r="Q604">
        <f>TRIM(SUBSTITUTE(INDEX('Pooled funds'!$B:$B,ROW())&amp;""," "," "))</f>
        <v/>
      </c>
      <c r="R604">
        <f>IFERROR(--INDEX('Pooled funds'!$C:$C,ROW()),0)</f>
        <v/>
      </c>
      <c r="S604">
        <f>IFERROR(--INDEX('Pooled funds'!$D:$D,ROW()),0)</f>
        <v/>
      </c>
      <c r="T604">
        <f>IFERROR(IF(--INDEX('Pooled funds'!$E:$E,ROW())&gt;=1,--INDEX('Pooled funds'!$E:$E,ROW())/100,--INDEX('Pooled funds'!$E:$E,ROW())),0)</f>
        <v/>
      </c>
      <c r="U604">
        <f>IF(ISNUMBER(INDEX('Pooled funds'!$E:$E,ROW())),1,0)</f>
        <v/>
      </c>
      <c r="V604">
        <f>TRIM(SUBSTITUTE(INDEX('Loans'!$A:$A,ROW())&amp;""," "," "))</f>
        <v/>
      </c>
      <c r="W604">
        <f>TRIM(SUBSTITUTE(INDEX('Loans'!$B:$B,ROW())&amp;""," "," "))</f>
        <v/>
      </c>
      <c r="X604">
        <f>TRIM(SUBSTITUTE(INDEX('Loans'!$C:$C,ROW())&amp;""," "," "))</f>
        <v/>
      </c>
      <c r="Y604">
        <f>IFERROR(--INDEX('Loans'!$D:$D,ROW()),0)</f>
        <v/>
      </c>
      <c r="Z604">
        <f>IFERROR(--INDEX('Loans'!$E:$E,ROW()),0)</f>
        <v/>
      </c>
      <c r="AA604">
        <f>IFERROR(--INDEX('Loans'!$F:$F,ROW()),0)</f>
        <v/>
      </c>
      <c r="AB604">
        <f>IFERROR(IF(--INDEX('Loans'!$G:$G,ROW())&gt;=1,--INDEX('Loans'!$G:$G,ROW())/100,--INDEX('Loans'!$G:$G,ROW())),0)</f>
        <v/>
      </c>
      <c r="AC604">
        <f>TRIM(SUBSTITUTE(INDEX('Loans'!$H:$H,ROW())&amp;""," "," "))</f>
        <v/>
      </c>
      <c r="AD604">
        <f>TRIM(SUBSTITUTE(INDEX('Loans'!$I:$I,ROW())&amp;""," "," "))</f>
        <v/>
      </c>
      <c r="AE604">
        <f>IFERROR(--INDEX('Loans'!$J:$J,ROW()),0)</f>
        <v/>
      </c>
      <c r="AF604">
        <f>TRIM(SUBSTITUTE(INDEX('Loans'!$K:$K,ROW())&amp;""," "," "))</f>
        <v/>
      </c>
      <c r="AG604">
        <f>IFERROR(--INDEX('Loans'!$L:$L,ROW()),0)</f>
        <v/>
      </c>
      <c r="AH604">
        <f>IF(ISNUMBER(INDEX('Loans'!$G:$G,ROW())),1,0)</f>
        <v/>
      </c>
    </row>
    <row r="605">
      <c r="A605">
        <f>TRIM(SUBSTITUTE(INDEX('Term investments'!$A:$A,ROW())&amp;""," "," "))</f>
        <v/>
      </c>
      <c r="B605">
        <f>TRIM(SUBSTITUTE(INDEX('Term investments'!$B:$B,ROW())&amp;""," "," "))</f>
        <v/>
      </c>
      <c r="C605">
        <f>TRIM(SUBSTITUTE(INDEX('Term investments'!$C:$C,ROW())&amp;""," "," "))</f>
        <v/>
      </c>
      <c r="D605">
        <f>IFERROR(--INDEX('Term investments'!$D:$D,ROW()),0)</f>
        <v/>
      </c>
      <c r="E605">
        <f>IFERROR(--INDEX('Term investments'!$E:$E,ROW()),0)</f>
        <v/>
      </c>
      <c r="F605">
        <f>IFERROR(--INDEX('Term investments'!$F:$F,ROW()),0)</f>
        <v/>
      </c>
      <c r="G605">
        <f>IFERROR(IF(--INDEX('Term investments'!$G:$G,ROW())&gt;=1,--INDEX('Term investments'!$G:$G,ROW())/100,--INDEX('Term investments'!$G:$G,ROW())),0)</f>
        <v/>
      </c>
      <c r="H605">
        <f>IFERROR(--INDEX('Term investments'!$H:$H,ROW()),0)</f>
        <v/>
      </c>
      <c r="I605">
        <f>IF(ISNUMBER(INDEX('Term investments'!$G:$G,ROW())),1,0)</f>
        <v/>
      </c>
      <c r="J605">
        <f>TRIM(SUBSTITUTE(INDEX('Call accounts and MMFs'!$A:$A,ROW())&amp;""," "," "))</f>
        <v/>
      </c>
      <c r="K605">
        <f>TRIM(SUBSTITUTE(INDEX('Call accounts and MMFs'!$B:$B,ROW())&amp;""," "," "))</f>
        <v/>
      </c>
      <c r="L605">
        <f>TRIM(SUBSTITUTE(INDEX('Call accounts and MMFs'!$C:$C,ROW())&amp;""," "," "))</f>
        <v/>
      </c>
      <c r="M605">
        <f>IFERROR(--INDEX('Call accounts and MMFs'!$D:$D,ROW()),0)</f>
        <v/>
      </c>
      <c r="N605">
        <f>IFERROR(IF(--INDEX('Call accounts and MMFs'!$E:$E,ROW())&gt;=1,--INDEX('Call accounts and MMFs'!$E:$E,ROW())/100,--INDEX('Call accounts and MMFs'!$E:$E,ROW())),0)</f>
        <v/>
      </c>
      <c r="O605">
        <f>IFERROR(--INDEX('Call accounts and MMFs'!$F:$F,ROW()),0)</f>
        <v/>
      </c>
      <c r="P605">
        <f>IF(ISNUMBER(INDEX('Call accounts and MMFs'!$E:$E,ROW())),1,0)</f>
        <v/>
      </c>
      <c r="Q605">
        <f>TRIM(SUBSTITUTE(INDEX('Pooled funds'!$B:$B,ROW())&amp;""," "," "))</f>
        <v/>
      </c>
      <c r="R605">
        <f>IFERROR(--INDEX('Pooled funds'!$C:$C,ROW()),0)</f>
        <v/>
      </c>
      <c r="S605">
        <f>IFERROR(--INDEX('Pooled funds'!$D:$D,ROW()),0)</f>
        <v/>
      </c>
      <c r="T605">
        <f>IFERROR(IF(--INDEX('Pooled funds'!$E:$E,ROW())&gt;=1,--INDEX('Pooled funds'!$E:$E,ROW())/100,--INDEX('Pooled funds'!$E:$E,ROW())),0)</f>
        <v/>
      </c>
      <c r="U605">
        <f>IF(ISNUMBER(INDEX('Pooled funds'!$E:$E,ROW())),1,0)</f>
        <v/>
      </c>
      <c r="V605">
        <f>TRIM(SUBSTITUTE(INDEX('Loans'!$A:$A,ROW())&amp;""," "," "))</f>
        <v/>
      </c>
      <c r="W605">
        <f>TRIM(SUBSTITUTE(INDEX('Loans'!$B:$B,ROW())&amp;""," "," "))</f>
        <v/>
      </c>
      <c r="X605">
        <f>TRIM(SUBSTITUTE(INDEX('Loans'!$C:$C,ROW())&amp;""," "," "))</f>
        <v/>
      </c>
      <c r="Y605">
        <f>IFERROR(--INDEX('Loans'!$D:$D,ROW()),0)</f>
        <v/>
      </c>
      <c r="Z605">
        <f>IFERROR(--INDEX('Loans'!$E:$E,ROW()),0)</f>
        <v/>
      </c>
      <c r="AA605">
        <f>IFERROR(--INDEX('Loans'!$F:$F,ROW()),0)</f>
        <v/>
      </c>
      <c r="AB605">
        <f>IFERROR(IF(--INDEX('Loans'!$G:$G,ROW())&gt;=1,--INDEX('Loans'!$G:$G,ROW())/100,--INDEX('Loans'!$G:$G,ROW())),0)</f>
        <v/>
      </c>
      <c r="AC605">
        <f>TRIM(SUBSTITUTE(INDEX('Loans'!$H:$H,ROW())&amp;""," "," "))</f>
        <v/>
      </c>
      <c r="AD605">
        <f>TRIM(SUBSTITUTE(INDEX('Loans'!$I:$I,ROW())&amp;""," "," "))</f>
        <v/>
      </c>
      <c r="AE605">
        <f>IFERROR(--INDEX('Loans'!$J:$J,ROW()),0)</f>
        <v/>
      </c>
      <c r="AF605">
        <f>TRIM(SUBSTITUTE(INDEX('Loans'!$K:$K,ROW())&amp;""," "," "))</f>
        <v/>
      </c>
      <c r="AG605">
        <f>IFERROR(--INDEX('Loans'!$L:$L,ROW()),0)</f>
        <v/>
      </c>
      <c r="AH605">
        <f>IF(ISNUMBER(INDEX('Loans'!$G:$G,ROW())),1,0)</f>
        <v/>
      </c>
    </row>
    <row r="606">
      <c r="A606">
        <f>TRIM(SUBSTITUTE(INDEX('Term investments'!$A:$A,ROW())&amp;""," "," "))</f>
        <v/>
      </c>
      <c r="B606">
        <f>TRIM(SUBSTITUTE(INDEX('Term investments'!$B:$B,ROW())&amp;""," "," "))</f>
        <v/>
      </c>
      <c r="C606">
        <f>TRIM(SUBSTITUTE(INDEX('Term investments'!$C:$C,ROW())&amp;""," "," "))</f>
        <v/>
      </c>
      <c r="D606">
        <f>IFERROR(--INDEX('Term investments'!$D:$D,ROW()),0)</f>
        <v/>
      </c>
      <c r="E606">
        <f>IFERROR(--INDEX('Term investments'!$E:$E,ROW()),0)</f>
        <v/>
      </c>
      <c r="F606">
        <f>IFERROR(--INDEX('Term investments'!$F:$F,ROW()),0)</f>
        <v/>
      </c>
      <c r="G606">
        <f>IFERROR(IF(--INDEX('Term investments'!$G:$G,ROW())&gt;=1,--INDEX('Term investments'!$G:$G,ROW())/100,--INDEX('Term investments'!$G:$G,ROW())),0)</f>
        <v/>
      </c>
      <c r="H606">
        <f>IFERROR(--INDEX('Term investments'!$H:$H,ROW()),0)</f>
        <v/>
      </c>
      <c r="I606">
        <f>IF(ISNUMBER(INDEX('Term investments'!$G:$G,ROW())),1,0)</f>
        <v/>
      </c>
      <c r="J606">
        <f>TRIM(SUBSTITUTE(INDEX('Call accounts and MMFs'!$A:$A,ROW())&amp;""," "," "))</f>
        <v/>
      </c>
      <c r="K606">
        <f>TRIM(SUBSTITUTE(INDEX('Call accounts and MMFs'!$B:$B,ROW())&amp;""," "," "))</f>
        <v/>
      </c>
      <c r="L606">
        <f>TRIM(SUBSTITUTE(INDEX('Call accounts and MMFs'!$C:$C,ROW())&amp;""," "," "))</f>
        <v/>
      </c>
      <c r="M606">
        <f>IFERROR(--INDEX('Call accounts and MMFs'!$D:$D,ROW()),0)</f>
        <v/>
      </c>
      <c r="N606">
        <f>IFERROR(IF(--INDEX('Call accounts and MMFs'!$E:$E,ROW())&gt;=1,--INDEX('Call accounts and MMFs'!$E:$E,ROW())/100,--INDEX('Call accounts and MMFs'!$E:$E,ROW())),0)</f>
        <v/>
      </c>
      <c r="O606">
        <f>IFERROR(--INDEX('Call accounts and MMFs'!$F:$F,ROW()),0)</f>
        <v/>
      </c>
      <c r="P606">
        <f>IF(ISNUMBER(INDEX('Call accounts and MMFs'!$E:$E,ROW())),1,0)</f>
        <v/>
      </c>
      <c r="Q606">
        <f>TRIM(SUBSTITUTE(INDEX('Pooled funds'!$B:$B,ROW())&amp;""," "," "))</f>
        <v/>
      </c>
      <c r="R606">
        <f>IFERROR(--INDEX('Pooled funds'!$C:$C,ROW()),0)</f>
        <v/>
      </c>
      <c r="S606">
        <f>IFERROR(--INDEX('Pooled funds'!$D:$D,ROW()),0)</f>
        <v/>
      </c>
      <c r="T606">
        <f>IFERROR(IF(--INDEX('Pooled funds'!$E:$E,ROW())&gt;=1,--INDEX('Pooled funds'!$E:$E,ROW())/100,--INDEX('Pooled funds'!$E:$E,ROW())),0)</f>
        <v/>
      </c>
      <c r="U606">
        <f>IF(ISNUMBER(INDEX('Pooled funds'!$E:$E,ROW())),1,0)</f>
        <v/>
      </c>
      <c r="V606">
        <f>TRIM(SUBSTITUTE(INDEX('Loans'!$A:$A,ROW())&amp;""," "," "))</f>
        <v/>
      </c>
      <c r="W606">
        <f>TRIM(SUBSTITUTE(INDEX('Loans'!$B:$B,ROW())&amp;""," "," "))</f>
        <v/>
      </c>
      <c r="X606">
        <f>TRIM(SUBSTITUTE(INDEX('Loans'!$C:$C,ROW())&amp;""," "," "))</f>
        <v/>
      </c>
      <c r="Y606">
        <f>IFERROR(--INDEX('Loans'!$D:$D,ROW()),0)</f>
        <v/>
      </c>
      <c r="Z606">
        <f>IFERROR(--INDEX('Loans'!$E:$E,ROW()),0)</f>
        <v/>
      </c>
      <c r="AA606">
        <f>IFERROR(--INDEX('Loans'!$F:$F,ROW()),0)</f>
        <v/>
      </c>
      <c r="AB606">
        <f>IFERROR(IF(--INDEX('Loans'!$G:$G,ROW())&gt;=1,--INDEX('Loans'!$G:$G,ROW())/100,--INDEX('Loans'!$G:$G,ROW())),0)</f>
        <v/>
      </c>
      <c r="AC606">
        <f>TRIM(SUBSTITUTE(INDEX('Loans'!$H:$H,ROW())&amp;""," "," "))</f>
        <v/>
      </c>
      <c r="AD606">
        <f>TRIM(SUBSTITUTE(INDEX('Loans'!$I:$I,ROW())&amp;""," "," "))</f>
        <v/>
      </c>
      <c r="AE606">
        <f>IFERROR(--INDEX('Loans'!$J:$J,ROW()),0)</f>
        <v/>
      </c>
      <c r="AF606">
        <f>TRIM(SUBSTITUTE(INDEX('Loans'!$K:$K,ROW())&amp;""," "," "))</f>
        <v/>
      </c>
      <c r="AG606">
        <f>IFERROR(--INDEX('Loans'!$L:$L,ROW()),0)</f>
        <v/>
      </c>
      <c r="AH606">
        <f>IF(ISNUMBER(INDEX('Loans'!$G:$G,ROW())),1,0)</f>
        <v/>
      </c>
    </row>
    <row r="607">
      <c r="A607">
        <f>TRIM(SUBSTITUTE(INDEX('Term investments'!$A:$A,ROW())&amp;""," "," "))</f>
        <v/>
      </c>
      <c r="B607">
        <f>TRIM(SUBSTITUTE(INDEX('Term investments'!$B:$B,ROW())&amp;""," "," "))</f>
        <v/>
      </c>
      <c r="C607">
        <f>TRIM(SUBSTITUTE(INDEX('Term investments'!$C:$C,ROW())&amp;""," "," "))</f>
        <v/>
      </c>
      <c r="D607">
        <f>IFERROR(--INDEX('Term investments'!$D:$D,ROW()),0)</f>
        <v/>
      </c>
      <c r="E607">
        <f>IFERROR(--INDEX('Term investments'!$E:$E,ROW()),0)</f>
        <v/>
      </c>
      <c r="F607">
        <f>IFERROR(--INDEX('Term investments'!$F:$F,ROW()),0)</f>
        <v/>
      </c>
      <c r="G607">
        <f>IFERROR(IF(--INDEX('Term investments'!$G:$G,ROW())&gt;=1,--INDEX('Term investments'!$G:$G,ROW())/100,--INDEX('Term investments'!$G:$G,ROW())),0)</f>
        <v/>
      </c>
      <c r="H607">
        <f>IFERROR(--INDEX('Term investments'!$H:$H,ROW()),0)</f>
        <v/>
      </c>
      <c r="I607">
        <f>IF(ISNUMBER(INDEX('Term investments'!$G:$G,ROW())),1,0)</f>
        <v/>
      </c>
      <c r="J607">
        <f>TRIM(SUBSTITUTE(INDEX('Call accounts and MMFs'!$A:$A,ROW())&amp;""," "," "))</f>
        <v/>
      </c>
      <c r="K607">
        <f>TRIM(SUBSTITUTE(INDEX('Call accounts and MMFs'!$B:$B,ROW())&amp;""," "," "))</f>
        <v/>
      </c>
      <c r="L607">
        <f>TRIM(SUBSTITUTE(INDEX('Call accounts and MMFs'!$C:$C,ROW())&amp;""," "," "))</f>
        <v/>
      </c>
      <c r="M607">
        <f>IFERROR(--INDEX('Call accounts and MMFs'!$D:$D,ROW()),0)</f>
        <v/>
      </c>
      <c r="N607">
        <f>IFERROR(IF(--INDEX('Call accounts and MMFs'!$E:$E,ROW())&gt;=1,--INDEX('Call accounts and MMFs'!$E:$E,ROW())/100,--INDEX('Call accounts and MMFs'!$E:$E,ROW())),0)</f>
        <v/>
      </c>
      <c r="O607">
        <f>IFERROR(--INDEX('Call accounts and MMFs'!$F:$F,ROW()),0)</f>
        <v/>
      </c>
      <c r="P607">
        <f>IF(ISNUMBER(INDEX('Call accounts and MMFs'!$E:$E,ROW())),1,0)</f>
        <v/>
      </c>
      <c r="Q607">
        <f>TRIM(SUBSTITUTE(INDEX('Pooled funds'!$B:$B,ROW())&amp;""," "," "))</f>
        <v/>
      </c>
      <c r="R607">
        <f>IFERROR(--INDEX('Pooled funds'!$C:$C,ROW()),0)</f>
        <v/>
      </c>
      <c r="S607">
        <f>IFERROR(--INDEX('Pooled funds'!$D:$D,ROW()),0)</f>
        <v/>
      </c>
      <c r="T607">
        <f>IFERROR(IF(--INDEX('Pooled funds'!$E:$E,ROW())&gt;=1,--INDEX('Pooled funds'!$E:$E,ROW())/100,--INDEX('Pooled funds'!$E:$E,ROW())),0)</f>
        <v/>
      </c>
      <c r="U607">
        <f>IF(ISNUMBER(INDEX('Pooled funds'!$E:$E,ROW())),1,0)</f>
        <v/>
      </c>
      <c r="V607">
        <f>TRIM(SUBSTITUTE(INDEX('Loans'!$A:$A,ROW())&amp;""," "," "))</f>
        <v/>
      </c>
      <c r="W607">
        <f>TRIM(SUBSTITUTE(INDEX('Loans'!$B:$B,ROW())&amp;""," "," "))</f>
        <v/>
      </c>
      <c r="X607">
        <f>TRIM(SUBSTITUTE(INDEX('Loans'!$C:$C,ROW())&amp;""," "," "))</f>
        <v/>
      </c>
      <c r="Y607">
        <f>IFERROR(--INDEX('Loans'!$D:$D,ROW()),0)</f>
        <v/>
      </c>
      <c r="Z607">
        <f>IFERROR(--INDEX('Loans'!$E:$E,ROW()),0)</f>
        <v/>
      </c>
      <c r="AA607">
        <f>IFERROR(--INDEX('Loans'!$F:$F,ROW()),0)</f>
        <v/>
      </c>
      <c r="AB607">
        <f>IFERROR(IF(--INDEX('Loans'!$G:$G,ROW())&gt;=1,--INDEX('Loans'!$G:$G,ROW())/100,--INDEX('Loans'!$G:$G,ROW())),0)</f>
        <v/>
      </c>
      <c r="AC607">
        <f>TRIM(SUBSTITUTE(INDEX('Loans'!$H:$H,ROW())&amp;""," "," "))</f>
        <v/>
      </c>
      <c r="AD607">
        <f>TRIM(SUBSTITUTE(INDEX('Loans'!$I:$I,ROW())&amp;""," "," "))</f>
        <v/>
      </c>
      <c r="AE607">
        <f>IFERROR(--INDEX('Loans'!$J:$J,ROW()),0)</f>
        <v/>
      </c>
      <c r="AF607">
        <f>TRIM(SUBSTITUTE(INDEX('Loans'!$K:$K,ROW())&amp;""," "," "))</f>
        <v/>
      </c>
      <c r="AG607">
        <f>IFERROR(--INDEX('Loans'!$L:$L,ROW()),0)</f>
        <v/>
      </c>
      <c r="AH607">
        <f>IF(ISNUMBER(INDEX('Loans'!$G:$G,ROW())),1,0)</f>
        <v/>
      </c>
    </row>
    <row r="608">
      <c r="A608">
        <f>TRIM(SUBSTITUTE(INDEX('Term investments'!$A:$A,ROW())&amp;""," "," "))</f>
        <v/>
      </c>
      <c r="B608">
        <f>TRIM(SUBSTITUTE(INDEX('Term investments'!$B:$B,ROW())&amp;""," "," "))</f>
        <v/>
      </c>
      <c r="C608">
        <f>TRIM(SUBSTITUTE(INDEX('Term investments'!$C:$C,ROW())&amp;""," "," "))</f>
        <v/>
      </c>
      <c r="D608">
        <f>IFERROR(--INDEX('Term investments'!$D:$D,ROW()),0)</f>
        <v/>
      </c>
      <c r="E608">
        <f>IFERROR(--INDEX('Term investments'!$E:$E,ROW()),0)</f>
        <v/>
      </c>
      <c r="F608">
        <f>IFERROR(--INDEX('Term investments'!$F:$F,ROW()),0)</f>
        <v/>
      </c>
      <c r="G608">
        <f>IFERROR(IF(--INDEX('Term investments'!$G:$G,ROW())&gt;=1,--INDEX('Term investments'!$G:$G,ROW())/100,--INDEX('Term investments'!$G:$G,ROW())),0)</f>
        <v/>
      </c>
      <c r="H608">
        <f>IFERROR(--INDEX('Term investments'!$H:$H,ROW()),0)</f>
        <v/>
      </c>
      <c r="I608">
        <f>IF(ISNUMBER(INDEX('Term investments'!$G:$G,ROW())),1,0)</f>
        <v/>
      </c>
      <c r="J608">
        <f>TRIM(SUBSTITUTE(INDEX('Call accounts and MMFs'!$A:$A,ROW())&amp;""," "," "))</f>
        <v/>
      </c>
      <c r="K608">
        <f>TRIM(SUBSTITUTE(INDEX('Call accounts and MMFs'!$B:$B,ROW())&amp;""," "," "))</f>
        <v/>
      </c>
      <c r="L608">
        <f>TRIM(SUBSTITUTE(INDEX('Call accounts and MMFs'!$C:$C,ROW())&amp;""," "," "))</f>
        <v/>
      </c>
      <c r="M608">
        <f>IFERROR(--INDEX('Call accounts and MMFs'!$D:$D,ROW()),0)</f>
        <v/>
      </c>
      <c r="N608">
        <f>IFERROR(IF(--INDEX('Call accounts and MMFs'!$E:$E,ROW())&gt;=1,--INDEX('Call accounts and MMFs'!$E:$E,ROW())/100,--INDEX('Call accounts and MMFs'!$E:$E,ROW())),0)</f>
        <v/>
      </c>
      <c r="O608">
        <f>IFERROR(--INDEX('Call accounts and MMFs'!$F:$F,ROW()),0)</f>
        <v/>
      </c>
      <c r="P608">
        <f>IF(ISNUMBER(INDEX('Call accounts and MMFs'!$E:$E,ROW())),1,0)</f>
        <v/>
      </c>
      <c r="Q608">
        <f>TRIM(SUBSTITUTE(INDEX('Pooled funds'!$B:$B,ROW())&amp;""," "," "))</f>
        <v/>
      </c>
      <c r="R608">
        <f>IFERROR(--INDEX('Pooled funds'!$C:$C,ROW()),0)</f>
        <v/>
      </c>
      <c r="S608">
        <f>IFERROR(--INDEX('Pooled funds'!$D:$D,ROW()),0)</f>
        <v/>
      </c>
      <c r="T608">
        <f>IFERROR(IF(--INDEX('Pooled funds'!$E:$E,ROW())&gt;=1,--INDEX('Pooled funds'!$E:$E,ROW())/100,--INDEX('Pooled funds'!$E:$E,ROW())),0)</f>
        <v/>
      </c>
      <c r="U608">
        <f>IF(ISNUMBER(INDEX('Pooled funds'!$E:$E,ROW())),1,0)</f>
        <v/>
      </c>
      <c r="V608">
        <f>TRIM(SUBSTITUTE(INDEX('Loans'!$A:$A,ROW())&amp;""," "," "))</f>
        <v/>
      </c>
      <c r="W608">
        <f>TRIM(SUBSTITUTE(INDEX('Loans'!$B:$B,ROW())&amp;""," "," "))</f>
        <v/>
      </c>
      <c r="X608">
        <f>TRIM(SUBSTITUTE(INDEX('Loans'!$C:$C,ROW())&amp;""," "," "))</f>
        <v/>
      </c>
      <c r="Y608">
        <f>IFERROR(--INDEX('Loans'!$D:$D,ROW()),0)</f>
        <v/>
      </c>
      <c r="Z608">
        <f>IFERROR(--INDEX('Loans'!$E:$E,ROW()),0)</f>
        <v/>
      </c>
      <c r="AA608">
        <f>IFERROR(--INDEX('Loans'!$F:$F,ROW()),0)</f>
        <v/>
      </c>
      <c r="AB608">
        <f>IFERROR(IF(--INDEX('Loans'!$G:$G,ROW())&gt;=1,--INDEX('Loans'!$G:$G,ROW())/100,--INDEX('Loans'!$G:$G,ROW())),0)</f>
        <v/>
      </c>
      <c r="AC608">
        <f>TRIM(SUBSTITUTE(INDEX('Loans'!$H:$H,ROW())&amp;""," "," "))</f>
        <v/>
      </c>
      <c r="AD608">
        <f>TRIM(SUBSTITUTE(INDEX('Loans'!$I:$I,ROW())&amp;""," "," "))</f>
        <v/>
      </c>
      <c r="AE608">
        <f>IFERROR(--INDEX('Loans'!$J:$J,ROW()),0)</f>
        <v/>
      </c>
      <c r="AF608">
        <f>TRIM(SUBSTITUTE(INDEX('Loans'!$K:$K,ROW())&amp;""," "," "))</f>
        <v/>
      </c>
      <c r="AG608">
        <f>IFERROR(--INDEX('Loans'!$L:$L,ROW()),0)</f>
        <v/>
      </c>
      <c r="AH608">
        <f>IF(ISNUMBER(INDEX('Loans'!$G:$G,ROW())),1,0)</f>
        <v/>
      </c>
    </row>
    <row r="609">
      <c r="A609">
        <f>TRIM(SUBSTITUTE(INDEX('Term investments'!$A:$A,ROW())&amp;""," "," "))</f>
        <v/>
      </c>
      <c r="B609">
        <f>TRIM(SUBSTITUTE(INDEX('Term investments'!$B:$B,ROW())&amp;""," "," "))</f>
        <v/>
      </c>
      <c r="C609">
        <f>TRIM(SUBSTITUTE(INDEX('Term investments'!$C:$C,ROW())&amp;""," "," "))</f>
        <v/>
      </c>
      <c r="D609">
        <f>IFERROR(--INDEX('Term investments'!$D:$D,ROW()),0)</f>
        <v/>
      </c>
      <c r="E609">
        <f>IFERROR(--INDEX('Term investments'!$E:$E,ROW()),0)</f>
        <v/>
      </c>
      <c r="F609">
        <f>IFERROR(--INDEX('Term investments'!$F:$F,ROW()),0)</f>
        <v/>
      </c>
      <c r="G609">
        <f>IFERROR(IF(--INDEX('Term investments'!$G:$G,ROW())&gt;=1,--INDEX('Term investments'!$G:$G,ROW())/100,--INDEX('Term investments'!$G:$G,ROW())),0)</f>
        <v/>
      </c>
      <c r="H609">
        <f>IFERROR(--INDEX('Term investments'!$H:$H,ROW()),0)</f>
        <v/>
      </c>
      <c r="I609">
        <f>IF(ISNUMBER(INDEX('Term investments'!$G:$G,ROW())),1,0)</f>
        <v/>
      </c>
      <c r="J609">
        <f>TRIM(SUBSTITUTE(INDEX('Call accounts and MMFs'!$A:$A,ROW())&amp;""," "," "))</f>
        <v/>
      </c>
      <c r="K609">
        <f>TRIM(SUBSTITUTE(INDEX('Call accounts and MMFs'!$B:$B,ROW())&amp;""," "," "))</f>
        <v/>
      </c>
      <c r="L609">
        <f>TRIM(SUBSTITUTE(INDEX('Call accounts and MMFs'!$C:$C,ROW())&amp;""," "," "))</f>
        <v/>
      </c>
      <c r="M609">
        <f>IFERROR(--INDEX('Call accounts and MMFs'!$D:$D,ROW()),0)</f>
        <v/>
      </c>
      <c r="N609">
        <f>IFERROR(IF(--INDEX('Call accounts and MMFs'!$E:$E,ROW())&gt;=1,--INDEX('Call accounts and MMFs'!$E:$E,ROW())/100,--INDEX('Call accounts and MMFs'!$E:$E,ROW())),0)</f>
        <v/>
      </c>
      <c r="O609">
        <f>IFERROR(--INDEX('Call accounts and MMFs'!$F:$F,ROW()),0)</f>
        <v/>
      </c>
      <c r="P609">
        <f>IF(ISNUMBER(INDEX('Call accounts and MMFs'!$E:$E,ROW())),1,0)</f>
        <v/>
      </c>
      <c r="Q609">
        <f>TRIM(SUBSTITUTE(INDEX('Pooled funds'!$B:$B,ROW())&amp;""," "," "))</f>
        <v/>
      </c>
      <c r="R609">
        <f>IFERROR(--INDEX('Pooled funds'!$C:$C,ROW()),0)</f>
        <v/>
      </c>
      <c r="S609">
        <f>IFERROR(--INDEX('Pooled funds'!$D:$D,ROW()),0)</f>
        <v/>
      </c>
      <c r="T609">
        <f>IFERROR(IF(--INDEX('Pooled funds'!$E:$E,ROW())&gt;=1,--INDEX('Pooled funds'!$E:$E,ROW())/100,--INDEX('Pooled funds'!$E:$E,ROW())),0)</f>
        <v/>
      </c>
      <c r="U609">
        <f>IF(ISNUMBER(INDEX('Pooled funds'!$E:$E,ROW())),1,0)</f>
        <v/>
      </c>
      <c r="V609">
        <f>TRIM(SUBSTITUTE(INDEX('Loans'!$A:$A,ROW())&amp;""," "," "))</f>
        <v/>
      </c>
      <c r="W609">
        <f>TRIM(SUBSTITUTE(INDEX('Loans'!$B:$B,ROW())&amp;""," "," "))</f>
        <v/>
      </c>
      <c r="X609">
        <f>TRIM(SUBSTITUTE(INDEX('Loans'!$C:$C,ROW())&amp;""," "," "))</f>
        <v/>
      </c>
      <c r="Y609">
        <f>IFERROR(--INDEX('Loans'!$D:$D,ROW()),0)</f>
        <v/>
      </c>
      <c r="Z609">
        <f>IFERROR(--INDEX('Loans'!$E:$E,ROW()),0)</f>
        <v/>
      </c>
      <c r="AA609">
        <f>IFERROR(--INDEX('Loans'!$F:$F,ROW()),0)</f>
        <v/>
      </c>
      <c r="AB609">
        <f>IFERROR(IF(--INDEX('Loans'!$G:$G,ROW())&gt;=1,--INDEX('Loans'!$G:$G,ROW())/100,--INDEX('Loans'!$G:$G,ROW())),0)</f>
        <v/>
      </c>
      <c r="AC609">
        <f>TRIM(SUBSTITUTE(INDEX('Loans'!$H:$H,ROW())&amp;""," "," "))</f>
        <v/>
      </c>
      <c r="AD609">
        <f>TRIM(SUBSTITUTE(INDEX('Loans'!$I:$I,ROW())&amp;""," "," "))</f>
        <v/>
      </c>
      <c r="AE609">
        <f>IFERROR(--INDEX('Loans'!$J:$J,ROW()),0)</f>
        <v/>
      </c>
      <c r="AF609">
        <f>TRIM(SUBSTITUTE(INDEX('Loans'!$K:$K,ROW())&amp;""," "," "))</f>
        <v/>
      </c>
      <c r="AG609">
        <f>IFERROR(--INDEX('Loans'!$L:$L,ROW()),0)</f>
        <v/>
      </c>
      <c r="AH609">
        <f>IF(ISNUMBER(INDEX('Loans'!$G:$G,ROW())),1,0)</f>
        <v/>
      </c>
    </row>
    <row r="610">
      <c r="A610">
        <f>TRIM(SUBSTITUTE(INDEX('Term investments'!$A:$A,ROW())&amp;""," "," "))</f>
        <v/>
      </c>
      <c r="B610">
        <f>TRIM(SUBSTITUTE(INDEX('Term investments'!$B:$B,ROW())&amp;""," "," "))</f>
        <v/>
      </c>
      <c r="C610">
        <f>TRIM(SUBSTITUTE(INDEX('Term investments'!$C:$C,ROW())&amp;""," "," "))</f>
        <v/>
      </c>
      <c r="D610">
        <f>IFERROR(--INDEX('Term investments'!$D:$D,ROW()),0)</f>
        <v/>
      </c>
      <c r="E610">
        <f>IFERROR(--INDEX('Term investments'!$E:$E,ROW()),0)</f>
        <v/>
      </c>
      <c r="F610">
        <f>IFERROR(--INDEX('Term investments'!$F:$F,ROW()),0)</f>
        <v/>
      </c>
      <c r="G610">
        <f>IFERROR(IF(--INDEX('Term investments'!$G:$G,ROW())&gt;=1,--INDEX('Term investments'!$G:$G,ROW())/100,--INDEX('Term investments'!$G:$G,ROW())),0)</f>
        <v/>
      </c>
      <c r="H610">
        <f>IFERROR(--INDEX('Term investments'!$H:$H,ROW()),0)</f>
        <v/>
      </c>
      <c r="I610">
        <f>IF(ISNUMBER(INDEX('Term investments'!$G:$G,ROW())),1,0)</f>
        <v/>
      </c>
      <c r="J610">
        <f>TRIM(SUBSTITUTE(INDEX('Call accounts and MMFs'!$A:$A,ROW())&amp;""," "," "))</f>
        <v/>
      </c>
      <c r="K610">
        <f>TRIM(SUBSTITUTE(INDEX('Call accounts and MMFs'!$B:$B,ROW())&amp;""," "," "))</f>
        <v/>
      </c>
      <c r="L610">
        <f>TRIM(SUBSTITUTE(INDEX('Call accounts and MMFs'!$C:$C,ROW())&amp;""," "," "))</f>
        <v/>
      </c>
      <c r="M610">
        <f>IFERROR(--INDEX('Call accounts and MMFs'!$D:$D,ROW()),0)</f>
        <v/>
      </c>
      <c r="N610">
        <f>IFERROR(IF(--INDEX('Call accounts and MMFs'!$E:$E,ROW())&gt;=1,--INDEX('Call accounts and MMFs'!$E:$E,ROW())/100,--INDEX('Call accounts and MMFs'!$E:$E,ROW())),0)</f>
        <v/>
      </c>
      <c r="O610">
        <f>IFERROR(--INDEX('Call accounts and MMFs'!$F:$F,ROW()),0)</f>
        <v/>
      </c>
      <c r="P610">
        <f>IF(ISNUMBER(INDEX('Call accounts and MMFs'!$E:$E,ROW())),1,0)</f>
        <v/>
      </c>
      <c r="Q610">
        <f>TRIM(SUBSTITUTE(INDEX('Pooled funds'!$B:$B,ROW())&amp;""," "," "))</f>
        <v/>
      </c>
      <c r="R610">
        <f>IFERROR(--INDEX('Pooled funds'!$C:$C,ROW()),0)</f>
        <v/>
      </c>
      <c r="S610">
        <f>IFERROR(--INDEX('Pooled funds'!$D:$D,ROW()),0)</f>
        <v/>
      </c>
      <c r="T610">
        <f>IFERROR(IF(--INDEX('Pooled funds'!$E:$E,ROW())&gt;=1,--INDEX('Pooled funds'!$E:$E,ROW())/100,--INDEX('Pooled funds'!$E:$E,ROW())),0)</f>
        <v/>
      </c>
      <c r="U610">
        <f>IF(ISNUMBER(INDEX('Pooled funds'!$E:$E,ROW())),1,0)</f>
        <v/>
      </c>
      <c r="V610">
        <f>TRIM(SUBSTITUTE(INDEX('Loans'!$A:$A,ROW())&amp;""," "," "))</f>
        <v/>
      </c>
      <c r="W610">
        <f>TRIM(SUBSTITUTE(INDEX('Loans'!$B:$B,ROW())&amp;""," "," "))</f>
        <v/>
      </c>
      <c r="X610">
        <f>TRIM(SUBSTITUTE(INDEX('Loans'!$C:$C,ROW())&amp;""," "," "))</f>
        <v/>
      </c>
      <c r="Y610">
        <f>IFERROR(--INDEX('Loans'!$D:$D,ROW()),0)</f>
        <v/>
      </c>
      <c r="Z610">
        <f>IFERROR(--INDEX('Loans'!$E:$E,ROW()),0)</f>
        <v/>
      </c>
      <c r="AA610">
        <f>IFERROR(--INDEX('Loans'!$F:$F,ROW()),0)</f>
        <v/>
      </c>
      <c r="AB610">
        <f>IFERROR(IF(--INDEX('Loans'!$G:$G,ROW())&gt;=1,--INDEX('Loans'!$G:$G,ROW())/100,--INDEX('Loans'!$G:$G,ROW())),0)</f>
        <v/>
      </c>
      <c r="AC610">
        <f>TRIM(SUBSTITUTE(INDEX('Loans'!$H:$H,ROW())&amp;""," "," "))</f>
        <v/>
      </c>
      <c r="AD610">
        <f>TRIM(SUBSTITUTE(INDEX('Loans'!$I:$I,ROW())&amp;""," "," "))</f>
        <v/>
      </c>
      <c r="AE610">
        <f>IFERROR(--INDEX('Loans'!$J:$J,ROW()),0)</f>
        <v/>
      </c>
      <c r="AF610">
        <f>TRIM(SUBSTITUTE(INDEX('Loans'!$K:$K,ROW())&amp;""," "," "))</f>
        <v/>
      </c>
      <c r="AG610">
        <f>IFERROR(--INDEX('Loans'!$L:$L,ROW()),0)</f>
        <v/>
      </c>
      <c r="AH610">
        <f>IF(ISNUMBER(INDEX('Loans'!$G:$G,ROW())),1,0)</f>
        <v/>
      </c>
    </row>
    <row r="611">
      <c r="A611">
        <f>TRIM(SUBSTITUTE(INDEX('Term investments'!$A:$A,ROW())&amp;""," "," "))</f>
        <v/>
      </c>
      <c r="B611">
        <f>TRIM(SUBSTITUTE(INDEX('Term investments'!$B:$B,ROW())&amp;""," "," "))</f>
        <v/>
      </c>
      <c r="C611">
        <f>TRIM(SUBSTITUTE(INDEX('Term investments'!$C:$C,ROW())&amp;""," "," "))</f>
        <v/>
      </c>
      <c r="D611">
        <f>IFERROR(--INDEX('Term investments'!$D:$D,ROW()),0)</f>
        <v/>
      </c>
      <c r="E611">
        <f>IFERROR(--INDEX('Term investments'!$E:$E,ROW()),0)</f>
        <v/>
      </c>
      <c r="F611">
        <f>IFERROR(--INDEX('Term investments'!$F:$F,ROW()),0)</f>
        <v/>
      </c>
      <c r="G611">
        <f>IFERROR(IF(--INDEX('Term investments'!$G:$G,ROW())&gt;=1,--INDEX('Term investments'!$G:$G,ROW())/100,--INDEX('Term investments'!$G:$G,ROW())),0)</f>
        <v/>
      </c>
      <c r="H611">
        <f>IFERROR(--INDEX('Term investments'!$H:$H,ROW()),0)</f>
        <v/>
      </c>
      <c r="I611">
        <f>IF(ISNUMBER(INDEX('Term investments'!$G:$G,ROW())),1,0)</f>
        <v/>
      </c>
      <c r="J611">
        <f>TRIM(SUBSTITUTE(INDEX('Call accounts and MMFs'!$A:$A,ROW())&amp;""," "," "))</f>
        <v/>
      </c>
      <c r="K611">
        <f>TRIM(SUBSTITUTE(INDEX('Call accounts and MMFs'!$B:$B,ROW())&amp;""," "," "))</f>
        <v/>
      </c>
      <c r="L611">
        <f>TRIM(SUBSTITUTE(INDEX('Call accounts and MMFs'!$C:$C,ROW())&amp;""," "," "))</f>
        <v/>
      </c>
      <c r="M611">
        <f>IFERROR(--INDEX('Call accounts and MMFs'!$D:$D,ROW()),0)</f>
        <v/>
      </c>
      <c r="N611">
        <f>IFERROR(IF(--INDEX('Call accounts and MMFs'!$E:$E,ROW())&gt;=1,--INDEX('Call accounts and MMFs'!$E:$E,ROW())/100,--INDEX('Call accounts and MMFs'!$E:$E,ROW())),0)</f>
        <v/>
      </c>
      <c r="O611">
        <f>IFERROR(--INDEX('Call accounts and MMFs'!$F:$F,ROW()),0)</f>
        <v/>
      </c>
      <c r="P611">
        <f>IF(ISNUMBER(INDEX('Call accounts and MMFs'!$E:$E,ROW())),1,0)</f>
        <v/>
      </c>
      <c r="Q611">
        <f>TRIM(SUBSTITUTE(INDEX('Pooled funds'!$B:$B,ROW())&amp;""," "," "))</f>
        <v/>
      </c>
      <c r="R611">
        <f>IFERROR(--INDEX('Pooled funds'!$C:$C,ROW()),0)</f>
        <v/>
      </c>
      <c r="S611">
        <f>IFERROR(--INDEX('Pooled funds'!$D:$D,ROW()),0)</f>
        <v/>
      </c>
      <c r="T611">
        <f>IFERROR(IF(--INDEX('Pooled funds'!$E:$E,ROW())&gt;=1,--INDEX('Pooled funds'!$E:$E,ROW())/100,--INDEX('Pooled funds'!$E:$E,ROW())),0)</f>
        <v/>
      </c>
      <c r="U611">
        <f>IF(ISNUMBER(INDEX('Pooled funds'!$E:$E,ROW())),1,0)</f>
        <v/>
      </c>
      <c r="V611">
        <f>TRIM(SUBSTITUTE(INDEX('Loans'!$A:$A,ROW())&amp;""," "," "))</f>
        <v/>
      </c>
      <c r="W611">
        <f>TRIM(SUBSTITUTE(INDEX('Loans'!$B:$B,ROW())&amp;""," "," "))</f>
        <v/>
      </c>
      <c r="X611">
        <f>TRIM(SUBSTITUTE(INDEX('Loans'!$C:$C,ROW())&amp;""," "," "))</f>
        <v/>
      </c>
      <c r="Y611">
        <f>IFERROR(--INDEX('Loans'!$D:$D,ROW()),0)</f>
        <v/>
      </c>
      <c r="Z611">
        <f>IFERROR(--INDEX('Loans'!$E:$E,ROW()),0)</f>
        <v/>
      </c>
      <c r="AA611">
        <f>IFERROR(--INDEX('Loans'!$F:$F,ROW()),0)</f>
        <v/>
      </c>
      <c r="AB611">
        <f>IFERROR(IF(--INDEX('Loans'!$G:$G,ROW())&gt;=1,--INDEX('Loans'!$G:$G,ROW())/100,--INDEX('Loans'!$G:$G,ROW())),0)</f>
        <v/>
      </c>
      <c r="AC611">
        <f>TRIM(SUBSTITUTE(INDEX('Loans'!$H:$H,ROW())&amp;""," "," "))</f>
        <v/>
      </c>
      <c r="AD611">
        <f>TRIM(SUBSTITUTE(INDEX('Loans'!$I:$I,ROW())&amp;""," "," "))</f>
        <v/>
      </c>
      <c r="AE611">
        <f>IFERROR(--INDEX('Loans'!$J:$J,ROW()),0)</f>
        <v/>
      </c>
      <c r="AF611">
        <f>TRIM(SUBSTITUTE(INDEX('Loans'!$K:$K,ROW())&amp;""," "," "))</f>
        <v/>
      </c>
      <c r="AG611">
        <f>IFERROR(--INDEX('Loans'!$L:$L,ROW()),0)</f>
        <v/>
      </c>
      <c r="AH611">
        <f>IF(ISNUMBER(INDEX('Loans'!$G:$G,ROW())),1,0)</f>
        <v/>
      </c>
    </row>
    <row r="612">
      <c r="A612">
        <f>TRIM(SUBSTITUTE(INDEX('Term investments'!$A:$A,ROW())&amp;""," "," "))</f>
        <v/>
      </c>
      <c r="B612">
        <f>TRIM(SUBSTITUTE(INDEX('Term investments'!$B:$B,ROW())&amp;""," "," "))</f>
        <v/>
      </c>
      <c r="C612">
        <f>TRIM(SUBSTITUTE(INDEX('Term investments'!$C:$C,ROW())&amp;""," "," "))</f>
        <v/>
      </c>
      <c r="D612">
        <f>IFERROR(--INDEX('Term investments'!$D:$D,ROW()),0)</f>
        <v/>
      </c>
      <c r="E612">
        <f>IFERROR(--INDEX('Term investments'!$E:$E,ROW()),0)</f>
        <v/>
      </c>
      <c r="F612">
        <f>IFERROR(--INDEX('Term investments'!$F:$F,ROW()),0)</f>
        <v/>
      </c>
      <c r="G612">
        <f>IFERROR(IF(--INDEX('Term investments'!$G:$G,ROW())&gt;=1,--INDEX('Term investments'!$G:$G,ROW())/100,--INDEX('Term investments'!$G:$G,ROW())),0)</f>
        <v/>
      </c>
      <c r="H612">
        <f>IFERROR(--INDEX('Term investments'!$H:$H,ROW()),0)</f>
        <v/>
      </c>
      <c r="I612">
        <f>IF(ISNUMBER(INDEX('Term investments'!$G:$G,ROW())),1,0)</f>
        <v/>
      </c>
      <c r="J612">
        <f>TRIM(SUBSTITUTE(INDEX('Call accounts and MMFs'!$A:$A,ROW())&amp;""," "," "))</f>
        <v/>
      </c>
      <c r="K612">
        <f>TRIM(SUBSTITUTE(INDEX('Call accounts and MMFs'!$B:$B,ROW())&amp;""," "," "))</f>
        <v/>
      </c>
      <c r="L612">
        <f>TRIM(SUBSTITUTE(INDEX('Call accounts and MMFs'!$C:$C,ROW())&amp;""," "," "))</f>
        <v/>
      </c>
      <c r="M612">
        <f>IFERROR(--INDEX('Call accounts and MMFs'!$D:$D,ROW()),0)</f>
        <v/>
      </c>
      <c r="N612">
        <f>IFERROR(IF(--INDEX('Call accounts and MMFs'!$E:$E,ROW())&gt;=1,--INDEX('Call accounts and MMFs'!$E:$E,ROW())/100,--INDEX('Call accounts and MMFs'!$E:$E,ROW())),0)</f>
        <v/>
      </c>
      <c r="O612">
        <f>IFERROR(--INDEX('Call accounts and MMFs'!$F:$F,ROW()),0)</f>
        <v/>
      </c>
      <c r="P612">
        <f>IF(ISNUMBER(INDEX('Call accounts and MMFs'!$E:$E,ROW())),1,0)</f>
        <v/>
      </c>
      <c r="Q612">
        <f>TRIM(SUBSTITUTE(INDEX('Pooled funds'!$B:$B,ROW())&amp;""," "," "))</f>
        <v/>
      </c>
      <c r="R612">
        <f>IFERROR(--INDEX('Pooled funds'!$C:$C,ROW()),0)</f>
        <v/>
      </c>
      <c r="S612">
        <f>IFERROR(--INDEX('Pooled funds'!$D:$D,ROW()),0)</f>
        <v/>
      </c>
      <c r="T612">
        <f>IFERROR(IF(--INDEX('Pooled funds'!$E:$E,ROW())&gt;=1,--INDEX('Pooled funds'!$E:$E,ROW())/100,--INDEX('Pooled funds'!$E:$E,ROW())),0)</f>
        <v/>
      </c>
      <c r="U612">
        <f>IF(ISNUMBER(INDEX('Pooled funds'!$E:$E,ROW())),1,0)</f>
        <v/>
      </c>
      <c r="V612">
        <f>TRIM(SUBSTITUTE(INDEX('Loans'!$A:$A,ROW())&amp;""," "," "))</f>
        <v/>
      </c>
      <c r="W612">
        <f>TRIM(SUBSTITUTE(INDEX('Loans'!$B:$B,ROW())&amp;""," "," "))</f>
        <v/>
      </c>
      <c r="X612">
        <f>TRIM(SUBSTITUTE(INDEX('Loans'!$C:$C,ROW())&amp;""," "," "))</f>
        <v/>
      </c>
      <c r="Y612">
        <f>IFERROR(--INDEX('Loans'!$D:$D,ROW()),0)</f>
        <v/>
      </c>
      <c r="Z612">
        <f>IFERROR(--INDEX('Loans'!$E:$E,ROW()),0)</f>
        <v/>
      </c>
      <c r="AA612">
        <f>IFERROR(--INDEX('Loans'!$F:$F,ROW()),0)</f>
        <v/>
      </c>
      <c r="AB612">
        <f>IFERROR(IF(--INDEX('Loans'!$G:$G,ROW())&gt;=1,--INDEX('Loans'!$G:$G,ROW())/100,--INDEX('Loans'!$G:$G,ROW())),0)</f>
        <v/>
      </c>
      <c r="AC612">
        <f>TRIM(SUBSTITUTE(INDEX('Loans'!$H:$H,ROW())&amp;""," "," "))</f>
        <v/>
      </c>
      <c r="AD612">
        <f>TRIM(SUBSTITUTE(INDEX('Loans'!$I:$I,ROW())&amp;""," "," "))</f>
        <v/>
      </c>
      <c r="AE612">
        <f>IFERROR(--INDEX('Loans'!$J:$J,ROW()),0)</f>
        <v/>
      </c>
      <c r="AF612">
        <f>TRIM(SUBSTITUTE(INDEX('Loans'!$K:$K,ROW())&amp;""," "," "))</f>
        <v/>
      </c>
      <c r="AG612">
        <f>IFERROR(--INDEX('Loans'!$L:$L,ROW()),0)</f>
        <v/>
      </c>
      <c r="AH612">
        <f>IF(ISNUMBER(INDEX('Loans'!$G:$G,ROW())),1,0)</f>
        <v/>
      </c>
    </row>
    <row r="613">
      <c r="A613">
        <f>TRIM(SUBSTITUTE(INDEX('Term investments'!$A:$A,ROW())&amp;""," "," "))</f>
        <v/>
      </c>
      <c r="B613">
        <f>TRIM(SUBSTITUTE(INDEX('Term investments'!$B:$B,ROW())&amp;""," "," "))</f>
        <v/>
      </c>
      <c r="C613">
        <f>TRIM(SUBSTITUTE(INDEX('Term investments'!$C:$C,ROW())&amp;""," "," "))</f>
        <v/>
      </c>
      <c r="D613">
        <f>IFERROR(--INDEX('Term investments'!$D:$D,ROW()),0)</f>
        <v/>
      </c>
      <c r="E613">
        <f>IFERROR(--INDEX('Term investments'!$E:$E,ROW()),0)</f>
        <v/>
      </c>
      <c r="F613">
        <f>IFERROR(--INDEX('Term investments'!$F:$F,ROW()),0)</f>
        <v/>
      </c>
      <c r="G613">
        <f>IFERROR(IF(--INDEX('Term investments'!$G:$G,ROW())&gt;=1,--INDEX('Term investments'!$G:$G,ROW())/100,--INDEX('Term investments'!$G:$G,ROW())),0)</f>
        <v/>
      </c>
      <c r="H613">
        <f>IFERROR(--INDEX('Term investments'!$H:$H,ROW()),0)</f>
        <v/>
      </c>
      <c r="I613">
        <f>IF(ISNUMBER(INDEX('Term investments'!$G:$G,ROW())),1,0)</f>
        <v/>
      </c>
      <c r="J613">
        <f>TRIM(SUBSTITUTE(INDEX('Call accounts and MMFs'!$A:$A,ROW())&amp;""," "," "))</f>
        <v/>
      </c>
      <c r="K613">
        <f>TRIM(SUBSTITUTE(INDEX('Call accounts and MMFs'!$B:$B,ROW())&amp;""," "," "))</f>
        <v/>
      </c>
      <c r="L613">
        <f>TRIM(SUBSTITUTE(INDEX('Call accounts and MMFs'!$C:$C,ROW())&amp;""," "," "))</f>
        <v/>
      </c>
      <c r="M613">
        <f>IFERROR(--INDEX('Call accounts and MMFs'!$D:$D,ROW()),0)</f>
        <v/>
      </c>
      <c r="N613">
        <f>IFERROR(IF(--INDEX('Call accounts and MMFs'!$E:$E,ROW())&gt;=1,--INDEX('Call accounts and MMFs'!$E:$E,ROW())/100,--INDEX('Call accounts and MMFs'!$E:$E,ROW())),0)</f>
        <v/>
      </c>
      <c r="O613">
        <f>IFERROR(--INDEX('Call accounts and MMFs'!$F:$F,ROW()),0)</f>
        <v/>
      </c>
      <c r="P613">
        <f>IF(ISNUMBER(INDEX('Call accounts and MMFs'!$E:$E,ROW())),1,0)</f>
        <v/>
      </c>
      <c r="Q613">
        <f>TRIM(SUBSTITUTE(INDEX('Pooled funds'!$B:$B,ROW())&amp;""," "," "))</f>
        <v/>
      </c>
      <c r="R613">
        <f>IFERROR(--INDEX('Pooled funds'!$C:$C,ROW()),0)</f>
        <v/>
      </c>
      <c r="S613">
        <f>IFERROR(--INDEX('Pooled funds'!$D:$D,ROW()),0)</f>
        <v/>
      </c>
      <c r="T613">
        <f>IFERROR(IF(--INDEX('Pooled funds'!$E:$E,ROW())&gt;=1,--INDEX('Pooled funds'!$E:$E,ROW())/100,--INDEX('Pooled funds'!$E:$E,ROW())),0)</f>
        <v/>
      </c>
      <c r="U613">
        <f>IF(ISNUMBER(INDEX('Pooled funds'!$E:$E,ROW())),1,0)</f>
        <v/>
      </c>
      <c r="V613">
        <f>TRIM(SUBSTITUTE(INDEX('Loans'!$A:$A,ROW())&amp;""," "," "))</f>
        <v/>
      </c>
      <c r="W613">
        <f>TRIM(SUBSTITUTE(INDEX('Loans'!$B:$B,ROW())&amp;""," "," "))</f>
        <v/>
      </c>
      <c r="X613">
        <f>TRIM(SUBSTITUTE(INDEX('Loans'!$C:$C,ROW())&amp;""," "," "))</f>
        <v/>
      </c>
      <c r="Y613">
        <f>IFERROR(--INDEX('Loans'!$D:$D,ROW()),0)</f>
        <v/>
      </c>
      <c r="Z613">
        <f>IFERROR(--INDEX('Loans'!$E:$E,ROW()),0)</f>
        <v/>
      </c>
      <c r="AA613">
        <f>IFERROR(--INDEX('Loans'!$F:$F,ROW()),0)</f>
        <v/>
      </c>
      <c r="AB613">
        <f>IFERROR(IF(--INDEX('Loans'!$G:$G,ROW())&gt;=1,--INDEX('Loans'!$G:$G,ROW())/100,--INDEX('Loans'!$G:$G,ROW())),0)</f>
        <v/>
      </c>
      <c r="AC613">
        <f>TRIM(SUBSTITUTE(INDEX('Loans'!$H:$H,ROW())&amp;""," "," "))</f>
        <v/>
      </c>
      <c r="AD613">
        <f>TRIM(SUBSTITUTE(INDEX('Loans'!$I:$I,ROW())&amp;""," "," "))</f>
        <v/>
      </c>
      <c r="AE613">
        <f>IFERROR(--INDEX('Loans'!$J:$J,ROW()),0)</f>
        <v/>
      </c>
      <c r="AF613">
        <f>TRIM(SUBSTITUTE(INDEX('Loans'!$K:$K,ROW())&amp;""," "," "))</f>
        <v/>
      </c>
      <c r="AG613">
        <f>IFERROR(--INDEX('Loans'!$L:$L,ROW()),0)</f>
        <v/>
      </c>
      <c r="AH613">
        <f>IF(ISNUMBER(INDEX('Loans'!$G:$G,ROW())),1,0)</f>
        <v/>
      </c>
    </row>
    <row r="614">
      <c r="A614">
        <f>TRIM(SUBSTITUTE(INDEX('Term investments'!$A:$A,ROW())&amp;""," "," "))</f>
        <v/>
      </c>
      <c r="B614">
        <f>TRIM(SUBSTITUTE(INDEX('Term investments'!$B:$B,ROW())&amp;""," "," "))</f>
        <v/>
      </c>
      <c r="C614">
        <f>TRIM(SUBSTITUTE(INDEX('Term investments'!$C:$C,ROW())&amp;""," "," "))</f>
        <v/>
      </c>
      <c r="D614">
        <f>IFERROR(--INDEX('Term investments'!$D:$D,ROW()),0)</f>
        <v/>
      </c>
      <c r="E614">
        <f>IFERROR(--INDEX('Term investments'!$E:$E,ROW()),0)</f>
        <v/>
      </c>
      <c r="F614">
        <f>IFERROR(--INDEX('Term investments'!$F:$F,ROW()),0)</f>
        <v/>
      </c>
      <c r="G614">
        <f>IFERROR(IF(--INDEX('Term investments'!$G:$G,ROW())&gt;=1,--INDEX('Term investments'!$G:$G,ROW())/100,--INDEX('Term investments'!$G:$G,ROW())),0)</f>
        <v/>
      </c>
      <c r="H614">
        <f>IFERROR(--INDEX('Term investments'!$H:$H,ROW()),0)</f>
        <v/>
      </c>
      <c r="I614">
        <f>IF(ISNUMBER(INDEX('Term investments'!$G:$G,ROW())),1,0)</f>
        <v/>
      </c>
      <c r="J614">
        <f>TRIM(SUBSTITUTE(INDEX('Call accounts and MMFs'!$A:$A,ROW())&amp;""," "," "))</f>
        <v/>
      </c>
      <c r="K614">
        <f>TRIM(SUBSTITUTE(INDEX('Call accounts and MMFs'!$B:$B,ROW())&amp;""," "," "))</f>
        <v/>
      </c>
      <c r="L614">
        <f>TRIM(SUBSTITUTE(INDEX('Call accounts and MMFs'!$C:$C,ROW())&amp;""," "," "))</f>
        <v/>
      </c>
      <c r="M614">
        <f>IFERROR(--INDEX('Call accounts and MMFs'!$D:$D,ROW()),0)</f>
        <v/>
      </c>
      <c r="N614">
        <f>IFERROR(IF(--INDEX('Call accounts and MMFs'!$E:$E,ROW())&gt;=1,--INDEX('Call accounts and MMFs'!$E:$E,ROW())/100,--INDEX('Call accounts and MMFs'!$E:$E,ROW())),0)</f>
        <v/>
      </c>
      <c r="O614">
        <f>IFERROR(--INDEX('Call accounts and MMFs'!$F:$F,ROW()),0)</f>
        <v/>
      </c>
      <c r="P614">
        <f>IF(ISNUMBER(INDEX('Call accounts and MMFs'!$E:$E,ROW())),1,0)</f>
        <v/>
      </c>
      <c r="Q614">
        <f>TRIM(SUBSTITUTE(INDEX('Pooled funds'!$B:$B,ROW())&amp;""," "," "))</f>
        <v/>
      </c>
      <c r="R614">
        <f>IFERROR(--INDEX('Pooled funds'!$C:$C,ROW()),0)</f>
        <v/>
      </c>
      <c r="S614">
        <f>IFERROR(--INDEX('Pooled funds'!$D:$D,ROW()),0)</f>
        <v/>
      </c>
      <c r="T614">
        <f>IFERROR(IF(--INDEX('Pooled funds'!$E:$E,ROW())&gt;=1,--INDEX('Pooled funds'!$E:$E,ROW())/100,--INDEX('Pooled funds'!$E:$E,ROW())),0)</f>
        <v/>
      </c>
      <c r="U614">
        <f>IF(ISNUMBER(INDEX('Pooled funds'!$E:$E,ROW())),1,0)</f>
        <v/>
      </c>
      <c r="V614">
        <f>TRIM(SUBSTITUTE(INDEX('Loans'!$A:$A,ROW())&amp;""," "," "))</f>
        <v/>
      </c>
      <c r="W614">
        <f>TRIM(SUBSTITUTE(INDEX('Loans'!$B:$B,ROW())&amp;""," "," "))</f>
        <v/>
      </c>
      <c r="X614">
        <f>TRIM(SUBSTITUTE(INDEX('Loans'!$C:$C,ROW())&amp;""," "," "))</f>
        <v/>
      </c>
      <c r="Y614">
        <f>IFERROR(--INDEX('Loans'!$D:$D,ROW()),0)</f>
        <v/>
      </c>
      <c r="Z614">
        <f>IFERROR(--INDEX('Loans'!$E:$E,ROW()),0)</f>
        <v/>
      </c>
      <c r="AA614">
        <f>IFERROR(--INDEX('Loans'!$F:$F,ROW()),0)</f>
        <v/>
      </c>
      <c r="AB614">
        <f>IFERROR(IF(--INDEX('Loans'!$G:$G,ROW())&gt;=1,--INDEX('Loans'!$G:$G,ROW())/100,--INDEX('Loans'!$G:$G,ROW())),0)</f>
        <v/>
      </c>
      <c r="AC614">
        <f>TRIM(SUBSTITUTE(INDEX('Loans'!$H:$H,ROW())&amp;""," "," "))</f>
        <v/>
      </c>
      <c r="AD614">
        <f>TRIM(SUBSTITUTE(INDEX('Loans'!$I:$I,ROW())&amp;""," "," "))</f>
        <v/>
      </c>
      <c r="AE614">
        <f>IFERROR(--INDEX('Loans'!$J:$J,ROW()),0)</f>
        <v/>
      </c>
      <c r="AF614">
        <f>TRIM(SUBSTITUTE(INDEX('Loans'!$K:$K,ROW())&amp;""," "," "))</f>
        <v/>
      </c>
      <c r="AG614">
        <f>IFERROR(--INDEX('Loans'!$L:$L,ROW()),0)</f>
        <v/>
      </c>
      <c r="AH614">
        <f>IF(ISNUMBER(INDEX('Loans'!$G:$G,ROW())),1,0)</f>
        <v/>
      </c>
    </row>
    <row r="615">
      <c r="A615">
        <f>TRIM(SUBSTITUTE(INDEX('Term investments'!$A:$A,ROW())&amp;""," "," "))</f>
        <v/>
      </c>
      <c r="B615">
        <f>TRIM(SUBSTITUTE(INDEX('Term investments'!$B:$B,ROW())&amp;""," "," "))</f>
        <v/>
      </c>
      <c r="C615">
        <f>TRIM(SUBSTITUTE(INDEX('Term investments'!$C:$C,ROW())&amp;""," "," "))</f>
        <v/>
      </c>
      <c r="D615">
        <f>IFERROR(--INDEX('Term investments'!$D:$D,ROW()),0)</f>
        <v/>
      </c>
      <c r="E615">
        <f>IFERROR(--INDEX('Term investments'!$E:$E,ROW()),0)</f>
        <v/>
      </c>
      <c r="F615">
        <f>IFERROR(--INDEX('Term investments'!$F:$F,ROW()),0)</f>
        <v/>
      </c>
      <c r="G615">
        <f>IFERROR(IF(--INDEX('Term investments'!$G:$G,ROW())&gt;=1,--INDEX('Term investments'!$G:$G,ROW())/100,--INDEX('Term investments'!$G:$G,ROW())),0)</f>
        <v/>
      </c>
      <c r="H615">
        <f>IFERROR(--INDEX('Term investments'!$H:$H,ROW()),0)</f>
        <v/>
      </c>
      <c r="I615">
        <f>IF(ISNUMBER(INDEX('Term investments'!$G:$G,ROW())),1,0)</f>
        <v/>
      </c>
      <c r="J615">
        <f>TRIM(SUBSTITUTE(INDEX('Call accounts and MMFs'!$A:$A,ROW())&amp;""," "," "))</f>
        <v/>
      </c>
      <c r="K615">
        <f>TRIM(SUBSTITUTE(INDEX('Call accounts and MMFs'!$B:$B,ROW())&amp;""," "," "))</f>
        <v/>
      </c>
      <c r="L615">
        <f>TRIM(SUBSTITUTE(INDEX('Call accounts and MMFs'!$C:$C,ROW())&amp;""," "," "))</f>
        <v/>
      </c>
      <c r="M615">
        <f>IFERROR(--INDEX('Call accounts and MMFs'!$D:$D,ROW()),0)</f>
        <v/>
      </c>
      <c r="N615">
        <f>IFERROR(IF(--INDEX('Call accounts and MMFs'!$E:$E,ROW())&gt;=1,--INDEX('Call accounts and MMFs'!$E:$E,ROW())/100,--INDEX('Call accounts and MMFs'!$E:$E,ROW())),0)</f>
        <v/>
      </c>
      <c r="O615">
        <f>IFERROR(--INDEX('Call accounts and MMFs'!$F:$F,ROW()),0)</f>
        <v/>
      </c>
      <c r="P615">
        <f>IF(ISNUMBER(INDEX('Call accounts and MMFs'!$E:$E,ROW())),1,0)</f>
        <v/>
      </c>
      <c r="Q615">
        <f>TRIM(SUBSTITUTE(INDEX('Pooled funds'!$B:$B,ROW())&amp;""," "," "))</f>
        <v/>
      </c>
      <c r="R615">
        <f>IFERROR(--INDEX('Pooled funds'!$C:$C,ROW()),0)</f>
        <v/>
      </c>
      <c r="S615">
        <f>IFERROR(--INDEX('Pooled funds'!$D:$D,ROW()),0)</f>
        <v/>
      </c>
      <c r="T615">
        <f>IFERROR(IF(--INDEX('Pooled funds'!$E:$E,ROW())&gt;=1,--INDEX('Pooled funds'!$E:$E,ROW())/100,--INDEX('Pooled funds'!$E:$E,ROW())),0)</f>
        <v/>
      </c>
      <c r="U615">
        <f>IF(ISNUMBER(INDEX('Pooled funds'!$E:$E,ROW())),1,0)</f>
        <v/>
      </c>
      <c r="V615">
        <f>TRIM(SUBSTITUTE(INDEX('Loans'!$A:$A,ROW())&amp;""," "," "))</f>
        <v/>
      </c>
      <c r="W615">
        <f>TRIM(SUBSTITUTE(INDEX('Loans'!$B:$B,ROW())&amp;""," "," "))</f>
        <v/>
      </c>
      <c r="X615">
        <f>TRIM(SUBSTITUTE(INDEX('Loans'!$C:$C,ROW())&amp;""," "," "))</f>
        <v/>
      </c>
      <c r="Y615">
        <f>IFERROR(--INDEX('Loans'!$D:$D,ROW()),0)</f>
        <v/>
      </c>
      <c r="Z615">
        <f>IFERROR(--INDEX('Loans'!$E:$E,ROW()),0)</f>
        <v/>
      </c>
      <c r="AA615">
        <f>IFERROR(--INDEX('Loans'!$F:$F,ROW()),0)</f>
        <v/>
      </c>
      <c r="AB615">
        <f>IFERROR(IF(--INDEX('Loans'!$G:$G,ROW())&gt;=1,--INDEX('Loans'!$G:$G,ROW())/100,--INDEX('Loans'!$G:$G,ROW())),0)</f>
        <v/>
      </c>
      <c r="AC615">
        <f>TRIM(SUBSTITUTE(INDEX('Loans'!$H:$H,ROW())&amp;""," "," "))</f>
        <v/>
      </c>
      <c r="AD615">
        <f>TRIM(SUBSTITUTE(INDEX('Loans'!$I:$I,ROW())&amp;""," "," "))</f>
        <v/>
      </c>
      <c r="AE615">
        <f>IFERROR(--INDEX('Loans'!$J:$J,ROW()),0)</f>
        <v/>
      </c>
      <c r="AF615">
        <f>TRIM(SUBSTITUTE(INDEX('Loans'!$K:$K,ROW())&amp;""," "," "))</f>
        <v/>
      </c>
      <c r="AG615">
        <f>IFERROR(--INDEX('Loans'!$L:$L,ROW()),0)</f>
        <v/>
      </c>
      <c r="AH615">
        <f>IF(ISNUMBER(INDEX('Loans'!$G:$G,ROW())),1,0)</f>
        <v/>
      </c>
    </row>
    <row r="616">
      <c r="A616">
        <f>TRIM(SUBSTITUTE(INDEX('Term investments'!$A:$A,ROW())&amp;""," "," "))</f>
        <v/>
      </c>
      <c r="B616">
        <f>TRIM(SUBSTITUTE(INDEX('Term investments'!$B:$B,ROW())&amp;""," "," "))</f>
        <v/>
      </c>
      <c r="C616">
        <f>TRIM(SUBSTITUTE(INDEX('Term investments'!$C:$C,ROW())&amp;""," "," "))</f>
        <v/>
      </c>
      <c r="D616">
        <f>IFERROR(--INDEX('Term investments'!$D:$D,ROW()),0)</f>
        <v/>
      </c>
      <c r="E616">
        <f>IFERROR(--INDEX('Term investments'!$E:$E,ROW()),0)</f>
        <v/>
      </c>
      <c r="F616">
        <f>IFERROR(--INDEX('Term investments'!$F:$F,ROW()),0)</f>
        <v/>
      </c>
      <c r="G616">
        <f>IFERROR(IF(--INDEX('Term investments'!$G:$G,ROW())&gt;=1,--INDEX('Term investments'!$G:$G,ROW())/100,--INDEX('Term investments'!$G:$G,ROW())),0)</f>
        <v/>
      </c>
      <c r="H616">
        <f>IFERROR(--INDEX('Term investments'!$H:$H,ROW()),0)</f>
        <v/>
      </c>
      <c r="I616">
        <f>IF(ISNUMBER(INDEX('Term investments'!$G:$G,ROW())),1,0)</f>
        <v/>
      </c>
      <c r="J616">
        <f>TRIM(SUBSTITUTE(INDEX('Call accounts and MMFs'!$A:$A,ROW())&amp;""," "," "))</f>
        <v/>
      </c>
      <c r="K616">
        <f>TRIM(SUBSTITUTE(INDEX('Call accounts and MMFs'!$B:$B,ROW())&amp;""," "," "))</f>
        <v/>
      </c>
      <c r="L616">
        <f>TRIM(SUBSTITUTE(INDEX('Call accounts and MMFs'!$C:$C,ROW())&amp;""," "," "))</f>
        <v/>
      </c>
      <c r="M616">
        <f>IFERROR(--INDEX('Call accounts and MMFs'!$D:$D,ROW()),0)</f>
        <v/>
      </c>
      <c r="N616">
        <f>IFERROR(IF(--INDEX('Call accounts and MMFs'!$E:$E,ROW())&gt;=1,--INDEX('Call accounts and MMFs'!$E:$E,ROW())/100,--INDEX('Call accounts and MMFs'!$E:$E,ROW())),0)</f>
        <v/>
      </c>
      <c r="O616">
        <f>IFERROR(--INDEX('Call accounts and MMFs'!$F:$F,ROW()),0)</f>
        <v/>
      </c>
      <c r="P616">
        <f>IF(ISNUMBER(INDEX('Call accounts and MMFs'!$E:$E,ROW())),1,0)</f>
        <v/>
      </c>
      <c r="Q616">
        <f>TRIM(SUBSTITUTE(INDEX('Pooled funds'!$B:$B,ROW())&amp;""," "," "))</f>
        <v/>
      </c>
      <c r="R616">
        <f>IFERROR(--INDEX('Pooled funds'!$C:$C,ROW()),0)</f>
        <v/>
      </c>
      <c r="S616">
        <f>IFERROR(--INDEX('Pooled funds'!$D:$D,ROW()),0)</f>
        <v/>
      </c>
      <c r="T616">
        <f>IFERROR(IF(--INDEX('Pooled funds'!$E:$E,ROW())&gt;=1,--INDEX('Pooled funds'!$E:$E,ROW())/100,--INDEX('Pooled funds'!$E:$E,ROW())),0)</f>
        <v/>
      </c>
      <c r="U616">
        <f>IF(ISNUMBER(INDEX('Pooled funds'!$E:$E,ROW())),1,0)</f>
        <v/>
      </c>
      <c r="V616">
        <f>TRIM(SUBSTITUTE(INDEX('Loans'!$A:$A,ROW())&amp;""," "," "))</f>
        <v/>
      </c>
      <c r="W616">
        <f>TRIM(SUBSTITUTE(INDEX('Loans'!$B:$B,ROW())&amp;""," "," "))</f>
        <v/>
      </c>
      <c r="X616">
        <f>TRIM(SUBSTITUTE(INDEX('Loans'!$C:$C,ROW())&amp;""," "," "))</f>
        <v/>
      </c>
      <c r="Y616">
        <f>IFERROR(--INDEX('Loans'!$D:$D,ROW()),0)</f>
        <v/>
      </c>
      <c r="Z616">
        <f>IFERROR(--INDEX('Loans'!$E:$E,ROW()),0)</f>
        <v/>
      </c>
      <c r="AA616">
        <f>IFERROR(--INDEX('Loans'!$F:$F,ROW()),0)</f>
        <v/>
      </c>
      <c r="AB616">
        <f>IFERROR(IF(--INDEX('Loans'!$G:$G,ROW())&gt;=1,--INDEX('Loans'!$G:$G,ROW())/100,--INDEX('Loans'!$G:$G,ROW())),0)</f>
        <v/>
      </c>
      <c r="AC616">
        <f>TRIM(SUBSTITUTE(INDEX('Loans'!$H:$H,ROW())&amp;""," "," "))</f>
        <v/>
      </c>
      <c r="AD616">
        <f>TRIM(SUBSTITUTE(INDEX('Loans'!$I:$I,ROW())&amp;""," "," "))</f>
        <v/>
      </c>
      <c r="AE616">
        <f>IFERROR(--INDEX('Loans'!$J:$J,ROW()),0)</f>
        <v/>
      </c>
      <c r="AF616">
        <f>TRIM(SUBSTITUTE(INDEX('Loans'!$K:$K,ROW())&amp;""," "," "))</f>
        <v/>
      </c>
      <c r="AG616">
        <f>IFERROR(--INDEX('Loans'!$L:$L,ROW()),0)</f>
        <v/>
      </c>
      <c r="AH616">
        <f>IF(ISNUMBER(INDEX('Loans'!$G:$G,ROW())),1,0)</f>
        <v/>
      </c>
    </row>
    <row r="617">
      <c r="A617">
        <f>TRIM(SUBSTITUTE(INDEX('Term investments'!$A:$A,ROW())&amp;""," "," "))</f>
        <v/>
      </c>
      <c r="B617">
        <f>TRIM(SUBSTITUTE(INDEX('Term investments'!$B:$B,ROW())&amp;""," "," "))</f>
        <v/>
      </c>
      <c r="C617">
        <f>TRIM(SUBSTITUTE(INDEX('Term investments'!$C:$C,ROW())&amp;""," "," "))</f>
        <v/>
      </c>
      <c r="D617">
        <f>IFERROR(--INDEX('Term investments'!$D:$D,ROW()),0)</f>
        <v/>
      </c>
      <c r="E617">
        <f>IFERROR(--INDEX('Term investments'!$E:$E,ROW()),0)</f>
        <v/>
      </c>
      <c r="F617">
        <f>IFERROR(--INDEX('Term investments'!$F:$F,ROW()),0)</f>
        <v/>
      </c>
      <c r="G617">
        <f>IFERROR(IF(--INDEX('Term investments'!$G:$G,ROW())&gt;=1,--INDEX('Term investments'!$G:$G,ROW())/100,--INDEX('Term investments'!$G:$G,ROW())),0)</f>
        <v/>
      </c>
      <c r="H617">
        <f>IFERROR(--INDEX('Term investments'!$H:$H,ROW()),0)</f>
        <v/>
      </c>
      <c r="I617">
        <f>IF(ISNUMBER(INDEX('Term investments'!$G:$G,ROW())),1,0)</f>
        <v/>
      </c>
      <c r="J617">
        <f>TRIM(SUBSTITUTE(INDEX('Call accounts and MMFs'!$A:$A,ROW())&amp;""," "," "))</f>
        <v/>
      </c>
      <c r="K617">
        <f>TRIM(SUBSTITUTE(INDEX('Call accounts and MMFs'!$B:$B,ROW())&amp;""," "," "))</f>
        <v/>
      </c>
      <c r="L617">
        <f>TRIM(SUBSTITUTE(INDEX('Call accounts and MMFs'!$C:$C,ROW())&amp;""," "," "))</f>
        <v/>
      </c>
      <c r="M617">
        <f>IFERROR(--INDEX('Call accounts and MMFs'!$D:$D,ROW()),0)</f>
        <v/>
      </c>
      <c r="N617">
        <f>IFERROR(IF(--INDEX('Call accounts and MMFs'!$E:$E,ROW())&gt;=1,--INDEX('Call accounts and MMFs'!$E:$E,ROW())/100,--INDEX('Call accounts and MMFs'!$E:$E,ROW())),0)</f>
        <v/>
      </c>
      <c r="O617">
        <f>IFERROR(--INDEX('Call accounts and MMFs'!$F:$F,ROW()),0)</f>
        <v/>
      </c>
      <c r="P617">
        <f>IF(ISNUMBER(INDEX('Call accounts and MMFs'!$E:$E,ROW())),1,0)</f>
        <v/>
      </c>
      <c r="Q617">
        <f>TRIM(SUBSTITUTE(INDEX('Pooled funds'!$B:$B,ROW())&amp;""," "," "))</f>
        <v/>
      </c>
      <c r="R617">
        <f>IFERROR(--INDEX('Pooled funds'!$C:$C,ROW()),0)</f>
        <v/>
      </c>
      <c r="S617">
        <f>IFERROR(--INDEX('Pooled funds'!$D:$D,ROW()),0)</f>
        <v/>
      </c>
      <c r="T617">
        <f>IFERROR(IF(--INDEX('Pooled funds'!$E:$E,ROW())&gt;=1,--INDEX('Pooled funds'!$E:$E,ROW())/100,--INDEX('Pooled funds'!$E:$E,ROW())),0)</f>
        <v/>
      </c>
      <c r="U617">
        <f>IF(ISNUMBER(INDEX('Pooled funds'!$E:$E,ROW())),1,0)</f>
        <v/>
      </c>
      <c r="V617">
        <f>TRIM(SUBSTITUTE(INDEX('Loans'!$A:$A,ROW())&amp;""," "," "))</f>
        <v/>
      </c>
      <c r="W617">
        <f>TRIM(SUBSTITUTE(INDEX('Loans'!$B:$B,ROW())&amp;""," "," "))</f>
        <v/>
      </c>
      <c r="X617">
        <f>TRIM(SUBSTITUTE(INDEX('Loans'!$C:$C,ROW())&amp;""," "," "))</f>
        <v/>
      </c>
      <c r="Y617">
        <f>IFERROR(--INDEX('Loans'!$D:$D,ROW()),0)</f>
        <v/>
      </c>
      <c r="Z617">
        <f>IFERROR(--INDEX('Loans'!$E:$E,ROW()),0)</f>
        <v/>
      </c>
      <c r="AA617">
        <f>IFERROR(--INDEX('Loans'!$F:$F,ROW()),0)</f>
        <v/>
      </c>
      <c r="AB617">
        <f>IFERROR(IF(--INDEX('Loans'!$G:$G,ROW())&gt;=1,--INDEX('Loans'!$G:$G,ROW())/100,--INDEX('Loans'!$G:$G,ROW())),0)</f>
        <v/>
      </c>
      <c r="AC617">
        <f>TRIM(SUBSTITUTE(INDEX('Loans'!$H:$H,ROW())&amp;""," "," "))</f>
        <v/>
      </c>
      <c r="AD617">
        <f>TRIM(SUBSTITUTE(INDEX('Loans'!$I:$I,ROW())&amp;""," "," "))</f>
        <v/>
      </c>
      <c r="AE617">
        <f>IFERROR(--INDEX('Loans'!$J:$J,ROW()),0)</f>
        <v/>
      </c>
      <c r="AF617">
        <f>TRIM(SUBSTITUTE(INDEX('Loans'!$K:$K,ROW())&amp;""," "," "))</f>
        <v/>
      </c>
      <c r="AG617">
        <f>IFERROR(--INDEX('Loans'!$L:$L,ROW()),0)</f>
        <v/>
      </c>
      <c r="AH617">
        <f>IF(ISNUMBER(INDEX('Loans'!$G:$G,ROW())),1,0)</f>
        <v/>
      </c>
    </row>
    <row r="618">
      <c r="A618">
        <f>TRIM(SUBSTITUTE(INDEX('Term investments'!$A:$A,ROW())&amp;""," "," "))</f>
        <v/>
      </c>
      <c r="B618">
        <f>TRIM(SUBSTITUTE(INDEX('Term investments'!$B:$B,ROW())&amp;""," "," "))</f>
        <v/>
      </c>
      <c r="C618">
        <f>TRIM(SUBSTITUTE(INDEX('Term investments'!$C:$C,ROW())&amp;""," "," "))</f>
        <v/>
      </c>
      <c r="D618">
        <f>IFERROR(--INDEX('Term investments'!$D:$D,ROW()),0)</f>
        <v/>
      </c>
      <c r="E618">
        <f>IFERROR(--INDEX('Term investments'!$E:$E,ROW()),0)</f>
        <v/>
      </c>
      <c r="F618">
        <f>IFERROR(--INDEX('Term investments'!$F:$F,ROW()),0)</f>
        <v/>
      </c>
      <c r="G618">
        <f>IFERROR(IF(--INDEX('Term investments'!$G:$G,ROW())&gt;=1,--INDEX('Term investments'!$G:$G,ROW())/100,--INDEX('Term investments'!$G:$G,ROW())),0)</f>
        <v/>
      </c>
      <c r="H618">
        <f>IFERROR(--INDEX('Term investments'!$H:$H,ROW()),0)</f>
        <v/>
      </c>
      <c r="I618">
        <f>IF(ISNUMBER(INDEX('Term investments'!$G:$G,ROW())),1,0)</f>
        <v/>
      </c>
      <c r="J618">
        <f>TRIM(SUBSTITUTE(INDEX('Call accounts and MMFs'!$A:$A,ROW())&amp;""," "," "))</f>
        <v/>
      </c>
      <c r="K618">
        <f>TRIM(SUBSTITUTE(INDEX('Call accounts and MMFs'!$B:$B,ROW())&amp;""," "," "))</f>
        <v/>
      </c>
      <c r="L618">
        <f>TRIM(SUBSTITUTE(INDEX('Call accounts and MMFs'!$C:$C,ROW())&amp;""," "," "))</f>
        <v/>
      </c>
      <c r="M618">
        <f>IFERROR(--INDEX('Call accounts and MMFs'!$D:$D,ROW()),0)</f>
        <v/>
      </c>
      <c r="N618">
        <f>IFERROR(IF(--INDEX('Call accounts and MMFs'!$E:$E,ROW())&gt;=1,--INDEX('Call accounts and MMFs'!$E:$E,ROW())/100,--INDEX('Call accounts and MMFs'!$E:$E,ROW())),0)</f>
        <v/>
      </c>
      <c r="O618">
        <f>IFERROR(--INDEX('Call accounts and MMFs'!$F:$F,ROW()),0)</f>
        <v/>
      </c>
      <c r="P618">
        <f>IF(ISNUMBER(INDEX('Call accounts and MMFs'!$E:$E,ROW())),1,0)</f>
        <v/>
      </c>
      <c r="Q618">
        <f>TRIM(SUBSTITUTE(INDEX('Pooled funds'!$B:$B,ROW())&amp;""," "," "))</f>
        <v/>
      </c>
      <c r="R618">
        <f>IFERROR(--INDEX('Pooled funds'!$C:$C,ROW()),0)</f>
        <v/>
      </c>
      <c r="S618">
        <f>IFERROR(--INDEX('Pooled funds'!$D:$D,ROW()),0)</f>
        <v/>
      </c>
      <c r="T618">
        <f>IFERROR(IF(--INDEX('Pooled funds'!$E:$E,ROW())&gt;=1,--INDEX('Pooled funds'!$E:$E,ROW())/100,--INDEX('Pooled funds'!$E:$E,ROW())),0)</f>
        <v/>
      </c>
      <c r="U618">
        <f>IF(ISNUMBER(INDEX('Pooled funds'!$E:$E,ROW())),1,0)</f>
        <v/>
      </c>
      <c r="V618">
        <f>TRIM(SUBSTITUTE(INDEX('Loans'!$A:$A,ROW())&amp;""," "," "))</f>
        <v/>
      </c>
      <c r="W618">
        <f>TRIM(SUBSTITUTE(INDEX('Loans'!$B:$B,ROW())&amp;""," "," "))</f>
        <v/>
      </c>
      <c r="X618">
        <f>TRIM(SUBSTITUTE(INDEX('Loans'!$C:$C,ROW())&amp;""," "," "))</f>
        <v/>
      </c>
      <c r="Y618">
        <f>IFERROR(--INDEX('Loans'!$D:$D,ROW()),0)</f>
        <v/>
      </c>
      <c r="Z618">
        <f>IFERROR(--INDEX('Loans'!$E:$E,ROW()),0)</f>
        <v/>
      </c>
      <c r="AA618">
        <f>IFERROR(--INDEX('Loans'!$F:$F,ROW()),0)</f>
        <v/>
      </c>
      <c r="AB618">
        <f>IFERROR(IF(--INDEX('Loans'!$G:$G,ROW())&gt;=1,--INDEX('Loans'!$G:$G,ROW())/100,--INDEX('Loans'!$G:$G,ROW())),0)</f>
        <v/>
      </c>
      <c r="AC618">
        <f>TRIM(SUBSTITUTE(INDEX('Loans'!$H:$H,ROW())&amp;""," "," "))</f>
        <v/>
      </c>
      <c r="AD618">
        <f>TRIM(SUBSTITUTE(INDEX('Loans'!$I:$I,ROW())&amp;""," "," "))</f>
        <v/>
      </c>
      <c r="AE618">
        <f>IFERROR(--INDEX('Loans'!$J:$J,ROW()),0)</f>
        <v/>
      </c>
      <c r="AF618">
        <f>TRIM(SUBSTITUTE(INDEX('Loans'!$K:$K,ROW())&amp;""," "," "))</f>
        <v/>
      </c>
      <c r="AG618">
        <f>IFERROR(--INDEX('Loans'!$L:$L,ROW()),0)</f>
        <v/>
      </c>
      <c r="AH618">
        <f>IF(ISNUMBER(INDEX('Loans'!$G:$G,ROW())),1,0)</f>
        <v/>
      </c>
    </row>
    <row r="619">
      <c r="A619">
        <f>TRIM(SUBSTITUTE(INDEX('Term investments'!$A:$A,ROW())&amp;""," "," "))</f>
        <v/>
      </c>
      <c r="B619">
        <f>TRIM(SUBSTITUTE(INDEX('Term investments'!$B:$B,ROW())&amp;""," "," "))</f>
        <v/>
      </c>
      <c r="C619">
        <f>TRIM(SUBSTITUTE(INDEX('Term investments'!$C:$C,ROW())&amp;""," "," "))</f>
        <v/>
      </c>
      <c r="D619">
        <f>IFERROR(--INDEX('Term investments'!$D:$D,ROW()),0)</f>
        <v/>
      </c>
      <c r="E619">
        <f>IFERROR(--INDEX('Term investments'!$E:$E,ROW()),0)</f>
        <v/>
      </c>
      <c r="F619">
        <f>IFERROR(--INDEX('Term investments'!$F:$F,ROW()),0)</f>
        <v/>
      </c>
      <c r="G619">
        <f>IFERROR(IF(--INDEX('Term investments'!$G:$G,ROW())&gt;=1,--INDEX('Term investments'!$G:$G,ROW())/100,--INDEX('Term investments'!$G:$G,ROW())),0)</f>
        <v/>
      </c>
      <c r="H619">
        <f>IFERROR(--INDEX('Term investments'!$H:$H,ROW()),0)</f>
        <v/>
      </c>
      <c r="I619">
        <f>IF(ISNUMBER(INDEX('Term investments'!$G:$G,ROW())),1,0)</f>
        <v/>
      </c>
      <c r="J619">
        <f>TRIM(SUBSTITUTE(INDEX('Call accounts and MMFs'!$A:$A,ROW())&amp;""," "," "))</f>
        <v/>
      </c>
      <c r="K619">
        <f>TRIM(SUBSTITUTE(INDEX('Call accounts and MMFs'!$B:$B,ROW())&amp;""," "," "))</f>
        <v/>
      </c>
      <c r="L619">
        <f>TRIM(SUBSTITUTE(INDEX('Call accounts and MMFs'!$C:$C,ROW())&amp;""," "," "))</f>
        <v/>
      </c>
      <c r="M619">
        <f>IFERROR(--INDEX('Call accounts and MMFs'!$D:$D,ROW()),0)</f>
        <v/>
      </c>
      <c r="N619">
        <f>IFERROR(IF(--INDEX('Call accounts and MMFs'!$E:$E,ROW())&gt;=1,--INDEX('Call accounts and MMFs'!$E:$E,ROW())/100,--INDEX('Call accounts and MMFs'!$E:$E,ROW())),0)</f>
        <v/>
      </c>
      <c r="O619">
        <f>IFERROR(--INDEX('Call accounts and MMFs'!$F:$F,ROW()),0)</f>
        <v/>
      </c>
      <c r="P619">
        <f>IF(ISNUMBER(INDEX('Call accounts and MMFs'!$E:$E,ROW())),1,0)</f>
        <v/>
      </c>
      <c r="Q619">
        <f>TRIM(SUBSTITUTE(INDEX('Pooled funds'!$B:$B,ROW())&amp;""," "," "))</f>
        <v/>
      </c>
      <c r="R619">
        <f>IFERROR(--INDEX('Pooled funds'!$C:$C,ROW()),0)</f>
        <v/>
      </c>
      <c r="S619">
        <f>IFERROR(--INDEX('Pooled funds'!$D:$D,ROW()),0)</f>
        <v/>
      </c>
      <c r="T619">
        <f>IFERROR(IF(--INDEX('Pooled funds'!$E:$E,ROW())&gt;=1,--INDEX('Pooled funds'!$E:$E,ROW())/100,--INDEX('Pooled funds'!$E:$E,ROW())),0)</f>
        <v/>
      </c>
      <c r="U619">
        <f>IF(ISNUMBER(INDEX('Pooled funds'!$E:$E,ROW())),1,0)</f>
        <v/>
      </c>
      <c r="V619">
        <f>TRIM(SUBSTITUTE(INDEX('Loans'!$A:$A,ROW())&amp;""," "," "))</f>
        <v/>
      </c>
      <c r="W619">
        <f>TRIM(SUBSTITUTE(INDEX('Loans'!$B:$B,ROW())&amp;""," "," "))</f>
        <v/>
      </c>
      <c r="X619">
        <f>TRIM(SUBSTITUTE(INDEX('Loans'!$C:$C,ROW())&amp;""," "," "))</f>
        <v/>
      </c>
      <c r="Y619">
        <f>IFERROR(--INDEX('Loans'!$D:$D,ROW()),0)</f>
        <v/>
      </c>
      <c r="Z619">
        <f>IFERROR(--INDEX('Loans'!$E:$E,ROW()),0)</f>
        <v/>
      </c>
      <c r="AA619">
        <f>IFERROR(--INDEX('Loans'!$F:$F,ROW()),0)</f>
        <v/>
      </c>
      <c r="AB619">
        <f>IFERROR(IF(--INDEX('Loans'!$G:$G,ROW())&gt;=1,--INDEX('Loans'!$G:$G,ROW())/100,--INDEX('Loans'!$G:$G,ROW())),0)</f>
        <v/>
      </c>
      <c r="AC619">
        <f>TRIM(SUBSTITUTE(INDEX('Loans'!$H:$H,ROW())&amp;""," "," "))</f>
        <v/>
      </c>
      <c r="AD619">
        <f>TRIM(SUBSTITUTE(INDEX('Loans'!$I:$I,ROW())&amp;""," "," "))</f>
        <v/>
      </c>
      <c r="AE619">
        <f>IFERROR(--INDEX('Loans'!$J:$J,ROW()),0)</f>
        <v/>
      </c>
      <c r="AF619">
        <f>TRIM(SUBSTITUTE(INDEX('Loans'!$K:$K,ROW())&amp;""," "," "))</f>
        <v/>
      </c>
      <c r="AG619">
        <f>IFERROR(--INDEX('Loans'!$L:$L,ROW()),0)</f>
        <v/>
      </c>
      <c r="AH619">
        <f>IF(ISNUMBER(INDEX('Loans'!$G:$G,ROW())),1,0)</f>
        <v/>
      </c>
    </row>
    <row r="620">
      <c r="A620">
        <f>TRIM(SUBSTITUTE(INDEX('Term investments'!$A:$A,ROW())&amp;""," "," "))</f>
        <v/>
      </c>
      <c r="B620">
        <f>TRIM(SUBSTITUTE(INDEX('Term investments'!$B:$B,ROW())&amp;""," "," "))</f>
        <v/>
      </c>
      <c r="C620">
        <f>TRIM(SUBSTITUTE(INDEX('Term investments'!$C:$C,ROW())&amp;""," "," "))</f>
        <v/>
      </c>
      <c r="D620">
        <f>IFERROR(--INDEX('Term investments'!$D:$D,ROW()),0)</f>
        <v/>
      </c>
      <c r="E620">
        <f>IFERROR(--INDEX('Term investments'!$E:$E,ROW()),0)</f>
        <v/>
      </c>
      <c r="F620">
        <f>IFERROR(--INDEX('Term investments'!$F:$F,ROW()),0)</f>
        <v/>
      </c>
      <c r="G620">
        <f>IFERROR(IF(--INDEX('Term investments'!$G:$G,ROW())&gt;=1,--INDEX('Term investments'!$G:$G,ROW())/100,--INDEX('Term investments'!$G:$G,ROW())),0)</f>
        <v/>
      </c>
      <c r="H620">
        <f>IFERROR(--INDEX('Term investments'!$H:$H,ROW()),0)</f>
        <v/>
      </c>
      <c r="I620">
        <f>IF(ISNUMBER(INDEX('Term investments'!$G:$G,ROW())),1,0)</f>
        <v/>
      </c>
      <c r="J620">
        <f>TRIM(SUBSTITUTE(INDEX('Call accounts and MMFs'!$A:$A,ROW())&amp;""," "," "))</f>
        <v/>
      </c>
      <c r="K620">
        <f>TRIM(SUBSTITUTE(INDEX('Call accounts and MMFs'!$B:$B,ROW())&amp;""," "," "))</f>
        <v/>
      </c>
      <c r="L620">
        <f>TRIM(SUBSTITUTE(INDEX('Call accounts and MMFs'!$C:$C,ROW())&amp;""," "," "))</f>
        <v/>
      </c>
      <c r="M620">
        <f>IFERROR(--INDEX('Call accounts and MMFs'!$D:$D,ROW()),0)</f>
        <v/>
      </c>
      <c r="N620">
        <f>IFERROR(IF(--INDEX('Call accounts and MMFs'!$E:$E,ROW())&gt;=1,--INDEX('Call accounts and MMFs'!$E:$E,ROW())/100,--INDEX('Call accounts and MMFs'!$E:$E,ROW())),0)</f>
        <v/>
      </c>
      <c r="O620">
        <f>IFERROR(--INDEX('Call accounts and MMFs'!$F:$F,ROW()),0)</f>
        <v/>
      </c>
      <c r="P620">
        <f>IF(ISNUMBER(INDEX('Call accounts and MMFs'!$E:$E,ROW())),1,0)</f>
        <v/>
      </c>
      <c r="Q620">
        <f>TRIM(SUBSTITUTE(INDEX('Pooled funds'!$B:$B,ROW())&amp;""," "," "))</f>
        <v/>
      </c>
      <c r="R620">
        <f>IFERROR(--INDEX('Pooled funds'!$C:$C,ROW()),0)</f>
        <v/>
      </c>
      <c r="S620">
        <f>IFERROR(--INDEX('Pooled funds'!$D:$D,ROW()),0)</f>
        <v/>
      </c>
      <c r="T620">
        <f>IFERROR(IF(--INDEX('Pooled funds'!$E:$E,ROW())&gt;=1,--INDEX('Pooled funds'!$E:$E,ROW())/100,--INDEX('Pooled funds'!$E:$E,ROW())),0)</f>
        <v/>
      </c>
      <c r="U620">
        <f>IF(ISNUMBER(INDEX('Pooled funds'!$E:$E,ROW())),1,0)</f>
        <v/>
      </c>
      <c r="V620">
        <f>TRIM(SUBSTITUTE(INDEX('Loans'!$A:$A,ROW())&amp;""," "," "))</f>
        <v/>
      </c>
      <c r="W620">
        <f>TRIM(SUBSTITUTE(INDEX('Loans'!$B:$B,ROW())&amp;""," "," "))</f>
        <v/>
      </c>
      <c r="X620">
        <f>TRIM(SUBSTITUTE(INDEX('Loans'!$C:$C,ROW())&amp;""," "," "))</f>
        <v/>
      </c>
      <c r="Y620">
        <f>IFERROR(--INDEX('Loans'!$D:$D,ROW()),0)</f>
        <v/>
      </c>
      <c r="Z620">
        <f>IFERROR(--INDEX('Loans'!$E:$E,ROW()),0)</f>
        <v/>
      </c>
      <c r="AA620">
        <f>IFERROR(--INDEX('Loans'!$F:$F,ROW()),0)</f>
        <v/>
      </c>
      <c r="AB620">
        <f>IFERROR(IF(--INDEX('Loans'!$G:$G,ROW())&gt;=1,--INDEX('Loans'!$G:$G,ROW())/100,--INDEX('Loans'!$G:$G,ROW())),0)</f>
        <v/>
      </c>
      <c r="AC620">
        <f>TRIM(SUBSTITUTE(INDEX('Loans'!$H:$H,ROW())&amp;""," "," "))</f>
        <v/>
      </c>
      <c r="AD620">
        <f>TRIM(SUBSTITUTE(INDEX('Loans'!$I:$I,ROW())&amp;""," "," "))</f>
        <v/>
      </c>
      <c r="AE620">
        <f>IFERROR(--INDEX('Loans'!$J:$J,ROW()),0)</f>
        <v/>
      </c>
      <c r="AF620">
        <f>TRIM(SUBSTITUTE(INDEX('Loans'!$K:$K,ROW())&amp;""," "," "))</f>
        <v/>
      </c>
      <c r="AG620">
        <f>IFERROR(--INDEX('Loans'!$L:$L,ROW()),0)</f>
        <v/>
      </c>
      <c r="AH620">
        <f>IF(ISNUMBER(INDEX('Loans'!$G:$G,ROW())),1,0)</f>
        <v/>
      </c>
    </row>
    <row r="621">
      <c r="A621">
        <f>TRIM(SUBSTITUTE(INDEX('Term investments'!$A:$A,ROW())&amp;""," "," "))</f>
        <v/>
      </c>
      <c r="B621">
        <f>TRIM(SUBSTITUTE(INDEX('Term investments'!$B:$B,ROW())&amp;""," "," "))</f>
        <v/>
      </c>
      <c r="C621">
        <f>TRIM(SUBSTITUTE(INDEX('Term investments'!$C:$C,ROW())&amp;""," "," "))</f>
        <v/>
      </c>
      <c r="D621">
        <f>IFERROR(--INDEX('Term investments'!$D:$D,ROW()),0)</f>
        <v/>
      </c>
      <c r="E621">
        <f>IFERROR(--INDEX('Term investments'!$E:$E,ROW()),0)</f>
        <v/>
      </c>
      <c r="F621">
        <f>IFERROR(--INDEX('Term investments'!$F:$F,ROW()),0)</f>
        <v/>
      </c>
      <c r="G621">
        <f>IFERROR(IF(--INDEX('Term investments'!$G:$G,ROW())&gt;=1,--INDEX('Term investments'!$G:$G,ROW())/100,--INDEX('Term investments'!$G:$G,ROW())),0)</f>
        <v/>
      </c>
      <c r="H621">
        <f>IFERROR(--INDEX('Term investments'!$H:$H,ROW()),0)</f>
        <v/>
      </c>
      <c r="I621">
        <f>IF(ISNUMBER(INDEX('Term investments'!$G:$G,ROW())),1,0)</f>
        <v/>
      </c>
      <c r="J621">
        <f>TRIM(SUBSTITUTE(INDEX('Call accounts and MMFs'!$A:$A,ROW())&amp;""," "," "))</f>
        <v/>
      </c>
      <c r="K621">
        <f>TRIM(SUBSTITUTE(INDEX('Call accounts and MMFs'!$B:$B,ROW())&amp;""," "," "))</f>
        <v/>
      </c>
      <c r="L621">
        <f>TRIM(SUBSTITUTE(INDEX('Call accounts and MMFs'!$C:$C,ROW())&amp;""," "," "))</f>
        <v/>
      </c>
      <c r="M621">
        <f>IFERROR(--INDEX('Call accounts and MMFs'!$D:$D,ROW()),0)</f>
        <v/>
      </c>
      <c r="N621">
        <f>IFERROR(IF(--INDEX('Call accounts and MMFs'!$E:$E,ROW())&gt;=1,--INDEX('Call accounts and MMFs'!$E:$E,ROW())/100,--INDEX('Call accounts and MMFs'!$E:$E,ROW())),0)</f>
        <v/>
      </c>
      <c r="O621">
        <f>IFERROR(--INDEX('Call accounts and MMFs'!$F:$F,ROW()),0)</f>
        <v/>
      </c>
      <c r="P621">
        <f>IF(ISNUMBER(INDEX('Call accounts and MMFs'!$E:$E,ROW())),1,0)</f>
        <v/>
      </c>
      <c r="Q621">
        <f>TRIM(SUBSTITUTE(INDEX('Pooled funds'!$B:$B,ROW())&amp;""," "," "))</f>
        <v/>
      </c>
      <c r="R621">
        <f>IFERROR(--INDEX('Pooled funds'!$C:$C,ROW()),0)</f>
        <v/>
      </c>
      <c r="S621">
        <f>IFERROR(--INDEX('Pooled funds'!$D:$D,ROW()),0)</f>
        <v/>
      </c>
      <c r="T621">
        <f>IFERROR(IF(--INDEX('Pooled funds'!$E:$E,ROW())&gt;=1,--INDEX('Pooled funds'!$E:$E,ROW())/100,--INDEX('Pooled funds'!$E:$E,ROW())),0)</f>
        <v/>
      </c>
      <c r="U621">
        <f>IF(ISNUMBER(INDEX('Pooled funds'!$E:$E,ROW())),1,0)</f>
        <v/>
      </c>
      <c r="V621">
        <f>TRIM(SUBSTITUTE(INDEX('Loans'!$A:$A,ROW())&amp;""," "," "))</f>
        <v/>
      </c>
      <c r="W621">
        <f>TRIM(SUBSTITUTE(INDEX('Loans'!$B:$B,ROW())&amp;""," "," "))</f>
        <v/>
      </c>
      <c r="X621">
        <f>TRIM(SUBSTITUTE(INDEX('Loans'!$C:$C,ROW())&amp;""," "," "))</f>
        <v/>
      </c>
      <c r="Y621">
        <f>IFERROR(--INDEX('Loans'!$D:$D,ROW()),0)</f>
        <v/>
      </c>
      <c r="Z621">
        <f>IFERROR(--INDEX('Loans'!$E:$E,ROW()),0)</f>
        <v/>
      </c>
      <c r="AA621">
        <f>IFERROR(--INDEX('Loans'!$F:$F,ROW()),0)</f>
        <v/>
      </c>
      <c r="AB621">
        <f>IFERROR(IF(--INDEX('Loans'!$G:$G,ROW())&gt;=1,--INDEX('Loans'!$G:$G,ROW())/100,--INDEX('Loans'!$G:$G,ROW())),0)</f>
        <v/>
      </c>
      <c r="AC621">
        <f>TRIM(SUBSTITUTE(INDEX('Loans'!$H:$H,ROW())&amp;""," "," "))</f>
        <v/>
      </c>
      <c r="AD621">
        <f>TRIM(SUBSTITUTE(INDEX('Loans'!$I:$I,ROW())&amp;""," "," "))</f>
        <v/>
      </c>
      <c r="AE621">
        <f>IFERROR(--INDEX('Loans'!$J:$J,ROW()),0)</f>
        <v/>
      </c>
      <c r="AF621">
        <f>TRIM(SUBSTITUTE(INDEX('Loans'!$K:$K,ROW())&amp;""," "," "))</f>
        <v/>
      </c>
      <c r="AG621">
        <f>IFERROR(--INDEX('Loans'!$L:$L,ROW()),0)</f>
        <v/>
      </c>
      <c r="AH621">
        <f>IF(ISNUMBER(INDEX('Loans'!$G:$G,ROW())),1,0)</f>
        <v/>
      </c>
    </row>
    <row r="622">
      <c r="A622">
        <f>TRIM(SUBSTITUTE(INDEX('Term investments'!$A:$A,ROW())&amp;""," "," "))</f>
        <v/>
      </c>
      <c r="B622">
        <f>TRIM(SUBSTITUTE(INDEX('Term investments'!$B:$B,ROW())&amp;""," "," "))</f>
        <v/>
      </c>
      <c r="C622">
        <f>TRIM(SUBSTITUTE(INDEX('Term investments'!$C:$C,ROW())&amp;""," "," "))</f>
        <v/>
      </c>
      <c r="D622">
        <f>IFERROR(--INDEX('Term investments'!$D:$D,ROW()),0)</f>
        <v/>
      </c>
      <c r="E622">
        <f>IFERROR(--INDEX('Term investments'!$E:$E,ROW()),0)</f>
        <v/>
      </c>
      <c r="F622">
        <f>IFERROR(--INDEX('Term investments'!$F:$F,ROW()),0)</f>
        <v/>
      </c>
      <c r="G622">
        <f>IFERROR(IF(--INDEX('Term investments'!$G:$G,ROW())&gt;=1,--INDEX('Term investments'!$G:$G,ROW())/100,--INDEX('Term investments'!$G:$G,ROW())),0)</f>
        <v/>
      </c>
      <c r="H622">
        <f>IFERROR(--INDEX('Term investments'!$H:$H,ROW()),0)</f>
        <v/>
      </c>
      <c r="I622">
        <f>IF(ISNUMBER(INDEX('Term investments'!$G:$G,ROW())),1,0)</f>
        <v/>
      </c>
      <c r="J622">
        <f>TRIM(SUBSTITUTE(INDEX('Call accounts and MMFs'!$A:$A,ROW())&amp;""," "," "))</f>
        <v/>
      </c>
      <c r="K622">
        <f>TRIM(SUBSTITUTE(INDEX('Call accounts and MMFs'!$B:$B,ROW())&amp;""," "," "))</f>
        <v/>
      </c>
      <c r="L622">
        <f>TRIM(SUBSTITUTE(INDEX('Call accounts and MMFs'!$C:$C,ROW())&amp;""," "," "))</f>
        <v/>
      </c>
      <c r="M622">
        <f>IFERROR(--INDEX('Call accounts and MMFs'!$D:$D,ROW()),0)</f>
        <v/>
      </c>
      <c r="N622">
        <f>IFERROR(IF(--INDEX('Call accounts and MMFs'!$E:$E,ROW())&gt;=1,--INDEX('Call accounts and MMFs'!$E:$E,ROW())/100,--INDEX('Call accounts and MMFs'!$E:$E,ROW())),0)</f>
        <v/>
      </c>
      <c r="O622">
        <f>IFERROR(--INDEX('Call accounts and MMFs'!$F:$F,ROW()),0)</f>
        <v/>
      </c>
      <c r="P622">
        <f>IF(ISNUMBER(INDEX('Call accounts and MMFs'!$E:$E,ROW())),1,0)</f>
        <v/>
      </c>
      <c r="Q622">
        <f>TRIM(SUBSTITUTE(INDEX('Pooled funds'!$B:$B,ROW())&amp;""," "," "))</f>
        <v/>
      </c>
      <c r="R622">
        <f>IFERROR(--INDEX('Pooled funds'!$C:$C,ROW()),0)</f>
        <v/>
      </c>
      <c r="S622">
        <f>IFERROR(--INDEX('Pooled funds'!$D:$D,ROW()),0)</f>
        <v/>
      </c>
      <c r="T622">
        <f>IFERROR(IF(--INDEX('Pooled funds'!$E:$E,ROW())&gt;=1,--INDEX('Pooled funds'!$E:$E,ROW())/100,--INDEX('Pooled funds'!$E:$E,ROW())),0)</f>
        <v/>
      </c>
      <c r="U622">
        <f>IF(ISNUMBER(INDEX('Pooled funds'!$E:$E,ROW())),1,0)</f>
        <v/>
      </c>
      <c r="V622">
        <f>TRIM(SUBSTITUTE(INDEX('Loans'!$A:$A,ROW())&amp;""," "," "))</f>
        <v/>
      </c>
      <c r="W622">
        <f>TRIM(SUBSTITUTE(INDEX('Loans'!$B:$B,ROW())&amp;""," "," "))</f>
        <v/>
      </c>
      <c r="X622">
        <f>TRIM(SUBSTITUTE(INDEX('Loans'!$C:$C,ROW())&amp;""," "," "))</f>
        <v/>
      </c>
      <c r="Y622">
        <f>IFERROR(--INDEX('Loans'!$D:$D,ROW()),0)</f>
        <v/>
      </c>
      <c r="Z622">
        <f>IFERROR(--INDEX('Loans'!$E:$E,ROW()),0)</f>
        <v/>
      </c>
      <c r="AA622">
        <f>IFERROR(--INDEX('Loans'!$F:$F,ROW()),0)</f>
        <v/>
      </c>
      <c r="AB622">
        <f>IFERROR(IF(--INDEX('Loans'!$G:$G,ROW())&gt;=1,--INDEX('Loans'!$G:$G,ROW())/100,--INDEX('Loans'!$G:$G,ROW())),0)</f>
        <v/>
      </c>
      <c r="AC622">
        <f>TRIM(SUBSTITUTE(INDEX('Loans'!$H:$H,ROW())&amp;""," "," "))</f>
        <v/>
      </c>
      <c r="AD622">
        <f>TRIM(SUBSTITUTE(INDEX('Loans'!$I:$I,ROW())&amp;""," "," "))</f>
        <v/>
      </c>
      <c r="AE622">
        <f>IFERROR(--INDEX('Loans'!$J:$J,ROW()),0)</f>
        <v/>
      </c>
      <c r="AF622">
        <f>TRIM(SUBSTITUTE(INDEX('Loans'!$K:$K,ROW())&amp;""," "," "))</f>
        <v/>
      </c>
      <c r="AG622">
        <f>IFERROR(--INDEX('Loans'!$L:$L,ROW()),0)</f>
        <v/>
      </c>
      <c r="AH622">
        <f>IF(ISNUMBER(INDEX('Loans'!$G:$G,ROW())),1,0)</f>
        <v/>
      </c>
    </row>
    <row r="623">
      <c r="A623">
        <f>TRIM(SUBSTITUTE(INDEX('Term investments'!$A:$A,ROW())&amp;""," "," "))</f>
        <v/>
      </c>
      <c r="B623">
        <f>TRIM(SUBSTITUTE(INDEX('Term investments'!$B:$B,ROW())&amp;""," "," "))</f>
        <v/>
      </c>
      <c r="C623">
        <f>TRIM(SUBSTITUTE(INDEX('Term investments'!$C:$C,ROW())&amp;""," "," "))</f>
        <v/>
      </c>
      <c r="D623">
        <f>IFERROR(--INDEX('Term investments'!$D:$D,ROW()),0)</f>
        <v/>
      </c>
      <c r="E623">
        <f>IFERROR(--INDEX('Term investments'!$E:$E,ROW()),0)</f>
        <v/>
      </c>
      <c r="F623">
        <f>IFERROR(--INDEX('Term investments'!$F:$F,ROW()),0)</f>
        <v/>
      </c>
      <c r="G623">
        <f>IFERROR(IF(--INDEX('Term investments'!$G:$G,ROW())&gt;=1,--INDEX('Term investments'!$G:$G,ROW())/100,--INDEX('Term investments'!$G:$G,ROW())),0)</f>
        <v/>
      </c>
      <c r="H623">
        <f>IFERROR(--INDEX('Term investments'!$H:$H,ROW()),0)</f>
        <v/>
      </c>
      <c r="I623">
        <f>IF(ISNUMBER(INDEX('Term investments'!$G:$G,ROW())),1,0)</f>
        <v/>
      </c>
      <c r="J623">
        <f>TRIM(SUBSTITUTE(INDEX('Call accounts and MMFs'!$A:$A,ROW())&amp;""," "," "))</f>
        <v/>
      </c>
      <c r="K623">
        <f>TRIM(SUBSTITUTE(INDEX('Call accounts and MMFs'!$B:$B,ROW())&amp;""," "," "))</f>
        <v/>
      </c>
      <c r="L623">
        <f>TRIM(SUBSTITUTE(INDEX('Call accounts and MMFs'!$C:$C,ROW())&amp;""," "," "))</f>
        <v/>
      </c>
      <c r="M623">
        <f>IFERROR(--INDEX('Call accounts and MMFs'!$D:$D,ROW()),0)</f>
        <v/>
      </c>
      <c r="N623">
        <f>IFERROR(IF(--INDEX('Call accounts and MMFs'!$E:$E,ROW())&gt;=1,--INDEX('Call accounts and MMFs'!$E:$E,ROW())/100,--INDEX('Call accounts and MMFs'!$E:$E,ROW())),0)</f>
        <v/>
      </c>
      <c r="O623">
        <f>IFERROR(--INDEX('Call accounts and MMFs'!$F:$F,ROW()),0)</f>
        <v/>
      </c>
      <c r="P623">
        <f>IF(ISNUMBER(INDEX('Call accounts and MMFs'!$E:$E,ROW())),1,0)</f>
        <v/>
      </c>
      <c r="Q623">
        <f>TRIM(SUBSTITUTE(INDEX('Pooled funds'!$B:$B,ROW())&amp;""," "," "))</f>
        <v/>
      </c>
      <c r="R623">
        <f>IFERROR(--INDEX('Pooled funds'!$C:$C,ROW()),0)</f>
        <v/>
      </c>
      <c r="S623">
        <f>IFERROR(--INDEX('Pooled funds'!$D:$D,ROW()),0)</f>
        <v/>
      </c>
      <c r="T623">
        <f>IFERROR(IF(--INDEX('Pooled funds'!$E:$E,ROW())&gt;=1,--INDEX('Pooled funds'!$E:$E,ROW())/100,--INDEX('Pooled funds'!$E:$E,ROW())),0)</f>
        <v/>
      </c>
      <c r="U623">
        <f>IF(ISNUMBER(INDEX('Pooled funds'!$E:$E,ROW())),1,0)</f>
        <v/>
      </c>
      <c r="V623">
        <f>TRIM(SUBSTITUTE(INDEX('Loans'!$A:$A,ROW())&amp;""," "," "))</f>
        <v/>
      </c>
      <c r="W623">
        <f>TRIM(SUBSTITUTE(INDEX('Loans'!$B:$B,ROW())&amp;""," "," "))</f>
        <v/>
      </c>
      <c r="X623">
        <f>TRIM(SUBSTITUTE(INDEX('Loans'!$C:$C,ROW())&amp;""," "," "))</f>
        <v/>
      </c>
      <c r="Y623">
        <f>IFERROR(--INDEX('Loans'!$D:$D,ROW()),0)</f>
        <v/>
      </c>
      <c r="Z623">
        <f>IFERROR(--INDEX('Loans'!$E:$E,ROW()),0)</f>
        <v/>
      </c>
      <c r="AA623">
        <f>IFERROR(--INDEX('Loans'!$F:$F,ROW()),0)</f>
        <v/>
      </c>
      <c r="AB623">
        <f>IFERROR(IF(--INDEX('Loans'!$G:$G,ROW())&gt;=1,--INDEX('Loans'!$G:$G,ROW())/100,--INDEX('Loans'!$G:$G,ROW())),0)</f>
        <v/>
      </c>
      <c r="AC623">
        <f>TRIM(SUBSTITUTE(INDEX('Loans'!$H:$H,ROW())&amp;""," "," "))</f>
        <v/>
      </c>
      <c r="AD623">
        <f>TRIM(SUBSTITUTE(INDEX('Loans'!$I:$I,ROW())&amp;""," "," "))</f>
        <v/>
      </c>
      <c r="AE623">
        <f>IFERROR(--INDEX('Loans'!$J:$J,ROW()),0)</f>
        <v/>
      </c>
      <c r="AF623">
        <f>TRIM(SUBSTITUTE(INDEX('Loans'!$K:$K,ROW())&amp;""," "," "))</f>
        <v/>
      </c>
      <c r="AG623">
        <f>IFERROR(--INDEX('Loans'!$L:$L,ROW()),0)</f>
        <v/>
      </c>
      <c r="AH623">
        <f>IF(ISNUMBER(INDEX('Loans'!$G:$G,ROW())),1,0)</f>
        <v/>
      </c>
    </row>
    <row r="624">
      <c r="A624">
        <f>TRIM(SUBSTITUTE(INDEX('Term investments'!$A:$A,ROW())&amp;""," "," "))</f>
        <v/>
      </c>
      <c r="B624">
        <f>TRIM(SUBSTITUTE(INDEX('Term investments'!$B:$B,ROW())&amp;""," "," "))</f>
        <v/>
      </c>
      <c r="C624">
        <f>TRIM(SUBSTITUTE(INDEX('Term investments'!$C:$C,ROW())&amp;""," "," "))</f>
        <v/>
      </c>
      <c r="D624">
        <f>IFERROR(--INDEX('Term investments'!$D:$D,ROW()),0)</f>
        <v/>
      </c>
      <c r="E624">
        <f>IFERROR(--INDEX('Term investments'!$E:$E,ROW()),0)</f>
        <v/>
      </c>
      <c r="F624">
        <f>IFERROR(--INDEX('Term investments'!$F:$F,ROW()),0)</f>
        <v/>
      </c>
      <c r="G624">
        <f>IFERROR(IF(--INDEX('Term investments'!$G:$G,ROW())&gt;=1,--INDEX('Term investments'!$G:$G,ROW())/100,--INDEX('Term investments'!$G:$G,ROW())),0)</f>
        <v/>
      </c>
      <c r="H624">
        <f>IFERROR(--INDEX('Term investments'!$H:$H,ROW()),0)</f>
        <v/>
      </c>
      <c r="I624">
        <f>IF(ISNUMBER(INDEX('Term investments'!$G:$G,ROW())),1,0)</f>
        <v/>
      </c>
      <c r="J624">
        <f>TRIM(SUBSTITUTE(INDEX('Call accounts and MMFs'!$A:$A,ROW())&amp;""," "," "))</f>
        <v/>
      </c>
      <c r="K624">
        <f>TRIM(SUBSTITUTE(INDEX('Call accounts and MMFs'!$B:$B,ROW())&amp;""," "," "))</f>
        <v/>
      </c>
      <c r="L624">
        <f>TRIM(SUBSTITUTE(INDEX('Call accounts and MMFs'!$C:$C,ROW())&amp;""," "," "))</f>
        <v/>
      </c>
      <c r="M624">
        <f>IFERROR(--INDEX('Call accounts and MMFs'!$D:$D,ROW()),0)</f>
        <v/>
      </c>
      <c r="N624">
        <f>IFERROR(IF(--INDEX('Call accounts and MMFs'!$E:$E,ROW())&gt;=1,--INDEX('Call accounts and MMFs'!$E:$E,ROW())/100,--INDEX('Call accounts and MMFs'!$E:$E,ROW())),0)</f>
        <v/>
      </c>
      <c r="O624">
        <f>IFERROR(--INDEX('Call accounts and MMFs'!$F:$F,ROW()),0)</f>
        <v/>
      </c>
      <c r="P624">
        <f>IF(ISNUMBER(INDEX('Call accounts and MMFs'!$E:$E,ROW())),1,0)</f>
        <v/>
      </c>
      <c r="Q624">
        <f>TRIM(SUBSTITUTE(INDEX('Pooled funds'!$B:$B,ROW())&amp;""," "," "))</f>
        <v/>
      </c>
      <c r="R624">
        <f>IFERROR(--INDEX('Pooled funds'!$C:$C,ROW()),0)</f>
        <v/>
      </c>
      <c r="S624">
        <f>IFERROR(--INDEX('Pooled funds'!$D:$D,ROW()),0)</f>
        <v/>
      </c>
      <c r="T624">
        <f>IFERROR(IF(--INDEX('Pooled funds'!$E:$E,ROW())&gt;=1,--INDEX('Pooled funds'!$E:$E,ROW())/100,--INDEX('Pooled funds'!$E:$E,ROW())),0)</f>
        <v/>
      </c>
      <c r="U624">
        <f>IF(ISNUMBER(INDEX('Pooled funds'!$E:$E,ROW())),1,0)</f>
        <v/>
      </c>
      <c r="V624">
        <f>TRIM(SUBSTITUTE(INDEX('Loans'!$A:$A,ROW())&amp;""," "," "))</f>
        <v/>
      </c>
      <c r="W624">
        <f>TRIM(SUBSTITUTE(INDEX('Loans'!$B:$B,ROW())&amp;""," "," "))</f>
        <v/>
      </c>
      <c r="X624">
        <f>TRIM(SUBSTITUTE(INDEX('Loans'!$C:$C,ROW())&amp;""," "," "))</f>
        <v/>
      </c>
      <c r="Y624">
        <f>IFERROR(--INDEX('Loans'!$D:$D,ROW()),0)</f>
        <v/>
      </c>
      <c r="Z624">
        <f>IFERROR(--INDEX('Loans'!$E:$E,ROW()),0)</f>
        <v/>
      </c>
      <c r="AA624">
        <f>IFERROR(--INDEX('Loans'!$F:$F,ROW()),0)</f>
        <v/>
      </c>
      <c r="AB624">
        <f>IFERROR(IF(--INDEX('Loans'!$G:$G,ROW())&gt;=1,--INDEX('Loans'!$G:$G,ROW())/100,--INDEX('Loans'!$G:$G,ROW())),0)</f>
        <v/>
      </c>
      <c r="AC624">
        <f>TRIM(SUBSTITUTE(INDEX('Loans'!$H:$H,ROW())&amp;""," "," "))</f>
        <v/>
      </c>
      <c r="AD624">
        <f>TRIM(SUBSTITUTE(INDEX('Loans'!$I:$I,ROW())&amp;""," "," "))</f>
        <v/>
      </c>
      <c r="AE624">
        <f>IFERROR(--INDEX('Loans'!$J:$J,ROW()),0)</f>
        <v/>
      </c>
      <c r="AF624">
        <f>TRIM(SUBSTITUTE(INDEX('Loans'!$K:$K,ROW())&amp;""," "," "))</f>
        <v/>
      </c>
      <c r="AG624">
        <f>IFERROR(--INDEX('Loans'!$L:$L,ROW()),0)</f>
        <v/>
      </c>
      <c r="AH624">
        <f>IF(ISNUMBER(INDEX('Loans'!$G:$G,ROW())),1,0)</f>
        <v/>
      </c>
    </row>
    <row r="625">
      <c r="A625">
        <f>TRIM(SUBSTITUTE(INDEX('Term investments'!$A:$A,ROW())&amp;""," "," "))</f>
        <v/>
      </c>
      <c r="B625">
        <f>TRIM(SUBSTITUTE(INDEX('Term investments'!$B:$B,ROW())&amp;""," "," "))</f>
        <v/>
      </c>
      <c r="C625">
        <f>TRIM(SUBSTITUTE(INDEX('Term investments'!$C:$C,ROW())&amp;""," "," "))</f>
        <v/>
      </c>
      <c r="D625">
        <f>IFERROR(--INDEX('Term investments'!$D:$D,ROW()),0)</f>
        <v/>
      </c>
      <c r="E625">
        <f>IFERROR(--INDEX('Term investments'!$E:$E,ROW()),0)</f>
        <v/>
      </c>
      <c r="F625">
        <f>IFERROR(--INDEX('Term investments'!$F:$F,ROW()),0)</f>
        <v/>
      </c>
      <c r="G625">
        <f>IFERROR(IF(--INDEX('Term investments'!$G:$G,ROW())&gt;=1,--INDEX('Term investments'!$G:$G,ROW())/100,--INDEX('Term investments'!$G:$G,ROW())),0)</f>
        <v/>
      </c>
      <c r="H625">
        <f>IFERROR(--INDEX('Term investments'!$H:$H,ROW()),0)</f>
        <v/>
      </c>
      <c r="I625">
        <f>IF(ISNUMBER(INDEX('Term investments'!$G:$G,ROW())),1,0)</f>
        <v/>
      </c>
      <c r="J625">
        <f>TRIM(SUBSTITUTE(INDEX('Call accounts and MMFs'!$A:$A,ROW())&amp;""," "," "))</f>
        <v/>
      </c>
      <c r="K625">
        <f>TRIM(SUBSTITUTE(INDEX('Call accounts and MMFs'!$B:$B,ROW())&amp;""," "," "))</f>
        <v/>
      </c>
      <c r="L625">
        <f>TRIM(SUBSTITUTE(INDEX('Call accounts and MMFs'!$C:$C,ROW())&amp;""," "," "))</f>
        <v/>
      </c>
      <c r="M625">
        <f>IFERROR(--INDEX('Call accounts and MMFs'!$D:$D,ROW()),0)</f>
        <v/>
      </c>
      <c r="N625">
        <f>IFERROR(IF(--INDEX('Call accounts and MMFs'!$E:$E,ROW())&gt;=1,--INDEX('Call accounts and MMFs'!$E:$E,ROW())/100,--INDEX('Call accounts and MMFs'!$E:$E,ROW())),0)</f>
        <v/>
      </c>
      <c r="O625">
        <f>IFERROR(--INDEX('Call accounts and MMFs'!$F:$F,ROW()),0)</f>
        <v/>
      </c>
      <c r="P625">
        <f>IF(ISNUMBER(INDEX('Call accounts and MMFs'!$E:$E,ROW())),1,0)</f>
        <v/>
      </c>
      <c r="Q625">
        <f>TRIM(SUBSTITUTE(INDEX('Pooled funds'!$B:$B,ROW())&amp;""," "," "))</f>
        <v/>
      </c>
      <c r="R625">
        <f>IFERROR(--INDEX('Pooled funds'!$C:$C,ROW()),0)</f>
        <v/>
      </c>
      <c r="S625">
        <f>IFERROR(--INDEX('Pooled funds'!$D:$D,ROW()),0)</f>
        <v/>
      </c>
      <c r="T625">
        <f>IFERROR(IF(--INDEX('Pooled funds'!$E:$E,ROW())&gt;=1,--INDEX('Pooled funds'!$E:$E,ROW())/100,--INDEX('Pooled funds'!$E:$E,ROW())),0)</f>
        <v/>
      </c>
      <c r="U625">
        <f>IF(ISNUMBER(INDEX('Pooled funds'!$E:$E,ROW())),1,0)</f>
        <v/>
      </c>
      <c r="V625">
        <f>TRIM(SUBSTITUTE(INDEX('Loans'!$A:$A,ROW())&amp;""," "," "))</f>
        <v/>
      </c>
      <c r="W625">
        <f>TRIM(SUBSTITUTE(INDEX('Loans'!$B:$B,ROW())&amp;""," "," "))</f>
        <v/>
      </c>
      <c r="X625">
        <f>TRIM(SUBSTITUTE(INDEX('Loans'!$C:$C,ROW())&amp;""," "," "))</f>
        <v/>
      </c>
      <c r="Y625">
        <f>IFERROR(--INDEX('Loans'!$D:$D,ROW()),0)</f>
        <v/>
      </c>
      <c r="Z625">
        <f>IFERROR(--INDEX('Loans'!$E:$E,ROW()),0)</f>
        <v/>
      </c>
      <c r="AA625">
        <f>IFERROR(--INDEX('Loans'!$F:$F,ROW()),0)</f>
        <v/>
      </c>
      <c r="AB625">
        <f>IFERROR(IF(--INDEX('Loans'!$G:$G,ROW())&gt;=1,--INDEX('Loans'!$G:$G,ROW())/100,--INDEX('Loans'!$G:$G,ROW())),0)</f>
        <v/>
      </c>
      <c r="AC625">
        <f>TRIM(SUBSTITUTE(INDEX('Loans'!$H:$H,ROW())&amp;""," "," "))</f>
        <v/>
      </c>
      <c r="AD625">
        <f>TRIM(SUBSTITUTE(INDEX('Loans'!$I:$I,ROW())&amp;""," "," "))</f>
        <v/>
      </c>
      <c r="AE625">
        <f>IFERROR(--INDEX('Loans'!$J:$J,ROW()),0)</f>
        <v/>
      </c>
      <c r="AF625">
        <f>TRIM(SUBSTITUTE(INDEX('Loans'!$K:$K,ROW())&amp;""," "," "))</f>
        <v/>
      </c>
      <c r="AG625">
        <f>IFERROR(--INDEX('Loans'!$L:$L,ROW()),0)</f>
        <v/>
      </c>
      <c r="AH625">
        <f>IF(ISNUMBER(INDEX('Loans'!$G:$G,ROW())),1,0)</f>
        <v/>
      </c>
    </row>
    <row r="626">
      <c r="A626">
        <f>TRIM(SUBSTITUTE(INDEX('Term investments'!$A:$A,ROW())&amp;""," "," "))</f>
        <v/>
      </c>
      <c r="B626">
        <f>TRIM(SUBSTITUTE(INDEX('Term investments'!$B:$B,ROW())&amp;""," "," "))</f>
        <v/>
      </c>
      <c r="C626">
        <f>TRIM(SUBSTITUTE(INDEX('Term investments'!$C:$C,ROW())&amp;""," "," "))</f>
        <v/>
      </c>
      <c r="D626">
        <f>IFERROR(--INDEX('Term investments'!$D:$D,ROW()),0)</f>
        <v/>
      </c>
      <c r="E626">
        <f>IFERROR(--INDEX('Term investments'!$E:$E,ROW()),0)</f>
        <v/>
      </c>
      <c r="F626">
        <f>IFERROR(--INDEX('Term investments'!$F:$F,ROW()),0)</f>
        <v/>
      </c>
      <c r="G626">
        <f>IFERROR(IF(--INDEX('Term investments'!$G:$G,ROW())&gt;=1,--INDEX('Term investments'!$G:$G,ROW())/100,--INDEX('Term investments'!$G:$G,ROW())),0)</f>
        <v/>
      </c>
      <c r="H626">
        <f>IFERROR(--INDEX('Term investments'!$H:$H,ROW()),0)</f>
        <v/>
      </c>
      <c r="I626">
        <f>IF(ISNUMBER(INDEX('Term investments'!$G:$G,ROW())),1,0)</f>
        <v/>
      </c>
      <c r="J626">
        <f>TRIM(SUBSTITUTE(INDEX('Call accounts and MMFs'!$A:$A,ROW())&amp;""," "," "))</f>
        <v/>
      </c>
      <c r="K626">
        <f>TRIM(SUBSTITUTE(INDEX('Call accounts and MMFs'!$B:$B,ROW())&amp;""," "," "))</f>
        <v/>
      </c>
      <c r="L626">
        <f>TRIM(SUBSTITUTE(INDEX('Call accounts and MMFs'!$C:$C,ROW())&amp;""," "," "))</f>
        <v/>
      </c>
      <c r="M626">
        <f>IFERROR(--INDEX('Call accounts and MMFs'!$D:$D,ROW()),0)</f>
        <v/>
      </c>
      <c r="N626">
        <f>IFERROR(IF(--INDEX('Call accounts and MMFs'!$E:$E,ROW())&gt;=1,--INDEX('Call accounts and MMFs'!$E:$E,ROW())/100,--INDEX('Call accounts and MMFs'!$E:$E,ROW())),0)</f>
        <v/>
      </c>
      <c r="O626">
        <f>IFERROR(--INDEX('Call accounts and MMFs'!$F:$F,ROW()),0)</f>
        <v/>
      </c>
      <c r="P626">
        <f>IF(ISNUMBER(INDEX('Call accounts and MMFs'!$E:$E,ROW())),1,0)</f>
        <v/>
      </c>
      <c r="Q626">
        <f>TRIM(SUBSTITUTE(INDEX('Pooled funds'!$B:$B,ROW())&amp;""," "," "))</f>
        <v/>
      </c>
      <c r="R626">
        <f>IFERROR(--INDEX('Pooled funds'!$C:$C,ROW()),0)</f>
        <v/>
      </c>
      <c r="S626">
        <f>IFERROR(--INDEX('Pooled funds'!$D:$D,ROW()),0)</f>
        <v/>
      </c>
      <c r="T626">
        <f>IFERROR(IF(--INDEX('Pooled funds'!$E:$E,ROW())&gt;=1,--INDEX('Pooled funds'!$E:$E,ROW())/100,--INDEX('Pooled funds'!$E:$E,ROW())),0)</f>
        <v/>
      </c>
      <c r="U626">
        <f>IF(ISNUMBER(INDEX('Pooled funds'!$E:$E,ROW())),1,0)</f>
        <v/>
      </c>
      <c r="V626">
        <f>TRIM(SUBSTITUTE(INDEX('Loans'!$A:$A,ROW())&amp;""," "," "))</f>
        <v/>
      </c>
      <c r="W626">
        <f>TRIM(SUBSTITUTE(INDEX('Loans'!$B:$B,ROW())&amp;""," "," "))</f>
        <v/>
      </c>
      <c r="X626">
        <f>TRIM(SUBSTITUTE(INDEX('Loans'!$C:$C,ROW())&amp;""," "," "))</f>
        <v/>
      </c>
      <c r="Y626">
        <f>IFERROR(--INDEX('Loans'!$D:$D,ROW()),0)</f>
        <v/>
      </c>
      <c r="Z626">
        <f>IFERROR(--INDEX('Loans'!$E:$E,ROW()),0)</f>
        <v/>
      </c>
      <c r="AA626">
        <f>IFERROR(--INDEX('Loans'!$F:$F,ROW()),0)</f>
        <v/>
      </c>
      <c r="AB626">
        <f>IFERROR(IF(--INDEX('Loans'!$G:$G,ROW())&gt;=1,--INDEX('Loans'!$G:$G,ROW())/100,--INDEX('Loans'!$G:$G,ROW())),0)</f>
        <v/>
      </c>
      <c r="AC626">
        <f>TRIM(SUBSTITUTE(INDEX('Loans'!$H:$H,ROW())&amp;""," "," "))</f>
        <v/>
      </c>
      <c r="AD626">
        <f>TRIM(SUBSTITUTE(INDEX('Loans'!$I:$I,ROW())&amp;""," "," "))</f>
        <v/>
      </c>
      <c r="AE626">
        <f>IFERROR(--INDEX('Loans'!$J:$J,ROW()),0)</f>
        <v/>
      </c>
      <c r="AF626">
        <f>TRIM(SUBSTITUTE(INDEX('Loans'!$K:$K,ROW())&amp;""," "," "))</f>
        <v/>
      </c>
      <c r="AG626">
        <f>IFERROR(--INDEX('Loans'!$L:$L,ROW()),0)</f>
        <v/>
      </c>
      <c r="AH626">
        <f>IF(ISNUMBER(INDEX('Loans'!$G:$G,ROW())),1,0)</f>
        <v/>
      </c>
    </row>
    <row r="627">
      <c r="A627">
        <f>TRIM(SUBSTITUTE(INDEX('Term investments'!$A:$A,ROW())&amp;""," "," "))</f>
        <v/>
      </c>
      <c r="B627">
        <f>TRIM(SUBSTITUTE(INDEX('Term investments'!$B:$B,ROW())&amp;""," "," "))</f>
        <v/>
      </c>
      <c r="C627">
        <f>TRIM(SUBSTITUTE(INDEX('Term investments'!$C:$C,ROW())&amp;""," "," "))</f>
        <v/>
      </c>
      <c r="D627">
        <f>IFERROR(--INDEX('Term investments'!$D:$D,ROW()),0)</f>
        <v/>
      </c>
      <c r="E627">
        <f>IFERROR(--INDEX('Term investments'!$E:$E,ROW()),0)</f>
        <v/>
      </c>
      <c r="F627">
        <f>IFERROR(--INDEX('Term investments'!$F:$F,ROW()),0)</f>
        <v/>
      </c>
      <c r="G627">
        <f>IFERROR(IF(--INDEX('Term investments'!$G:$G,ROW())&gt;=1,--INDEX('Term investments'!$G:$G,ROW())/100,--INDEX('Term investments'!$G:$G,ROW())),0)</f>
        <v/>
      </c>
      <c r="H627">
        <f>IFERROR(--INDEX('Term investments'!$H:$H,ROW()),0)</f>
        <v/>
      </c>
      <c r="I627">
        <f>IF(ISNUMBER(INDEX('Term investments'!$G:$G,ROW())),1,0)</f>
        <v/>
      </c>
      <c r="J627">
        <f>TRIM(SUBSTITUTE(INDEX('Call accounts and MMFs'!$A:$A,ROW())&amp;""," "," "))</f>
        <v/>
      </c>
      <c r="K627">
        <f>TRIM(SUBSTITUTE(INDEX('Call accounts and MMFs'!$B:$B,ROW())&amp;""," "," "))</f>
        <v/>
      </c>
      <c r="L627">
        <f>TRIM(SUBSTITUTE(INDEX('Call accounts and MMFs'!$C:$C,ROW())&amp;""," "," "))</f>
        <v/>
      </c>
      <c r="M627">
        <f>IFERROR(--INDEX('Call accounts and MMFs'!$D:$D,ROW()),0)</f>
        <v/>
      </c>
      <c r="N627">
        <f>IFERROR(IF(--INDEX('Call accounts and MMFs'!$E:$E,ROW())&gt;=1,--INDEX('Call accounts and MMFs'!$E:$E,ROW())/100,--INDEX('Call accounts and MMFs'!$E:$E,ROW())),0)</f>
        <v/>
      </c>
      <c r="O627">
        <f>IFERROR(--INDEX('Call accounts and MMFs'!$F:$F,ROW()),0)</f>
        <v/>
      </c>
      <c r="P627">
        <f>IF(ISNUMBER(INDEX('Call accounts and MMFs'!$E:$E,ROW())),1,0)</f>
        <v/>
      </c>
      <c r="Q627">
        <f>TRIM(SUBSTITUTE(INDEX('Pooled funds'!$B:$B,ROW())&amp;""," "," "))</f>
        <v/>
      </c>
      <c r="R627">
        <f>IFERROR(--INDEX('Pooled funds'!$C:$C,ROW()),0)</f>
        <v/>
      </c>
      <c r="S627">
        <f>IFERROR(--INDEX('Pooled funds'!$D:$D,ROW()),0)</f>
        <v/>
      </c>
      <c r="T627">
        <f>IFERROR(IF(--INDEX('Pooled funds'!$E:$E,ROW())&gt;=1,--INDEX('Pooled funds'!$E:$E,ROW())/100,--INDEX('Pooled funds'!$E:$E,ROW())),0)</f>
        <v/>
      </c>
      <c r="U627">
        <f>IF(ISNUMBER(INDEX('Pooled funds'!$E:$E,ROW())),1,0)</f>
        <v/>
      </c>
      <c r="V627">
        <f>TRIM(SUBSTITUTE(INDEX('Loans'!$A:$A,ROW())&amp;""," "," "))</f>
        <v/>
      </c>
      <c r="W627">
        <f>TRIM(SUBSTITUTE(INDEX('Loans'!$B:$B,ROW())&amp;""," "," "))</f>
        <v/>
      </c>
      <c r="X627">
        <f>TRIM(SUBSTITUTE(INDEX('Loans'!$C:$C,ROW())&amp;""," "," "))</f>
        <v/>
      </c>
      <c r="Y627">
        <f>IFERROR(--INDEX('Loans'!$D:$D,ROW()),0)</f>
        <v/>
      </c>
      <c r="Z627">
        <f>IFERROR(--INDEX('Loans'!$E:$E,ROW()),0)</f>
        <v/>
      </c>
      <c r="AA627">
        <f>IFERROR(--INDEX('Loans'!$F:$F,ROW()),0)</f>
        <v/>
      </c>
      <c r="AB627">
        <f>IFERROR(IF(--INDEX('Loans'!$G:$G,ROW())&gt;=1,--INDEX('Loans'!$G:$G,ROW())/100,--INDEX('Loans'!$G:$G,ROW())),0)</f>
        <v/>
      </c>
      <c r="AC627">
        <f>TRIM(SUBSTITUTE(INDEX('Loans'!$H:$H,ROW())&amp;""," "," "))</f>
        <v/>
      </c>
      <c r="AD627">
        <f>TRIM(SUBSTITUTE(INDEX('Loans'!$I:$I,ROW())&amp;""," "," "))</f>
        <v/>
      </c>
      <c r="AE627">
        <f>IFERROR(--INDEX('Loans'!$J:$J,ROW()),0)</f>
        <v/>
      </c>
      <c r="AF627">
        <f>TRIM(SUBSTITUTE(INDEX('Loans'!$K:$K,ROW())&amp;""," "," "))</f>
        <v/>
      </c>
      <c r="AG627">
        <f>IFERROR(--INDEX('Loans'!$L:$L,ROW()),0)</f>
        <v/>
      </c>
      <c r="AH627">
        <f>IF(ISNUMBER(INDEX('Loans'!$G:$G,ROW())),1,0)</f>
        <v/>
      </c>
    </row>
    <row r="628">
      <c r="A628">
        <f>TRIM(SUBSTITUTE(INDEX('Term investments'!$A:$A,ROW())&amp;""," "," "))</f>
        <v/>
      </c>
      <c r="B628">
        <f>TRIM(SUBSTITUTE(INDEX('Term investments'!$B:$B,ROW())&amp;""," "," "))</f>
        <v/>
      </c>
      <c r="C628">
        <f>TRIM(SUBSTITUTE(INDEX('Term investments'!$C:$C,ROW())&amp;""," "," "))</f>
        <v/>
      </c>
      <c r="D628">
        <f>IFERROR(--INDEX('Term investments'!$D:$D,ROW()),0)</f>
        <v/>
      </c>
      <c r="E628">
        <f>IFERROR(--INDEX('Term investments'!$E:$E,ROW()),0)</f>
        <v/>
      </c>
      <c r="F628">
        <f>IFERROR(--INDEX('Term investments'!$F:$F,ROW()),0)</f>
        <v/>
      </c>
      <c r="G628">
        <f>IFERROR(IF(--INDEX('Term investments'!$G:$G,ROW())&gt;=1,--INDEX('Term investments'!$G:$G,ROW())/100,--INDEX('Term investments'!$G:$G,ROW())),0)</f>
        <v/>
      </c>
      <c r="H628">
        <f>IFERROR(--INDEX('Term investments'!$H:$H,ROW()),0)</f>
        <v/>
      </c>
      <c r="I628">
        <f>IF(ISNUMBER(INDEX('Term investments'!$G:$G,ROW())),1,0)</f>
        <v/>
      </c>
      <c r="J628">
        <f>TRIM(SUBSTITUTE(INDEX('Call accounts and MMFs'!$A:$A,ROW())&amp;""," "," "))</f>
        <v/>
      </c>
      <c r="K628">
        <f>TRIM(SUBSTITUTE(INDEX('Call accounts and MMFs'!$B:$B,ROW())&amp;""," "," "))</f>
        <v/>
      </c>
      <c r="L628">
        <f>TRIM(SUBSTITUTE(INDEX('Call accounts and MMFs'!$C:$C,ROW())&amp;""," "," "))</f>
        <v/>
      </c>
      <c r="M628">
        <f>IFERROR(--INDEX('Call accounts and MMFs'!$D:$D,ROW()),0)</f>
        <v/>
      </c>
      <c r="N628">
        <f>IFERROR(IF(--INDEX('Call accounts and MMFs'!$E:$E,ROW())&gt;=1,--INDEX('Call accounts and MMFs'!$E:$E,ROW())/100,--INDEX('Call accounts and MMFs'!$E:$E,ROW())),0)</f>
        <v/>
      </c>
      <c r="O628">
        <f>IFERROR(--INDEX('Call accounts and MMFs'!$F:$F,ROW()),0)</f>
        <v/>
      </c>
      <c r="P628">
        <f>IF(ISNUMBER(INDEX('Call accounts and MMFs'!$E:$E,ROW())),1,0)</f>
        <v/>
      </c>
      <c r="Q628">
        <f>TRIM(SUBSTITUTE(INDEX('Pooled funds'!$B:$B,ROW())&amp;""," "," "))</f>
        <v/>
      </c>
      <c r="R628">
        <f>IFERROR(--INDEX('Pooled funds'!$C:$C,ROW()),0)</f>
        <v/>
      </c>
      <c r="S628">
        <f>IFERROR(--INDEX('Pooled funds'!$D:$D,ROW()),0)</f>
        <v/>
      </c>
      <c r="T628">
        <f>IFERROR(IF(--INDEX('Pooled funds'!$E:$E,ROW())&gt;=1,--INDEX('Pooled funds'!$E:$E,ROW())/100,--INDEX('Pooled funds'!$E:$E,ROW())),0)</f>
        <v/>
      </c>
      <c r="U628">
        <f>IF(ISNUMBER(INDEX('Pooled funds'!$E:$E,ROW())),1,0)</f>
        <v/>
      </c>
      <c r="V628">
        <f>TRIM(SUBSTITUTE(INDEX('Loans'!$A:$A,ROW())&amp;""," "," "))</f>
        <v/>
      </c>
      <c r="W628">
        <f>TRIM(SUBSTITUTE(INDEX('Loans'!$B:$B,ROW())&amp;""," "," "))</f>
        <v/>
      </c>
      <c r="X628">
        <f>TRIM(SUBSTITUTE(INDEX('Loans'!$C:$C,ROW())&amp;""," "," "))</f>
        <v/>
      </c>
      <c r="Y628">
        <f>IFERROR(--INDEX('Loans'!$D:$D,ROW()),0)</f>
        <v/>
      </c>
      <c r="Z628">
        <f>IFERROR(--INDEX('Loans'!$E:$E,ROW()),0)</f>
        <v/>
      </c>
      <c r="AA628">
        <f>IFERROR(--INDEX('Loans'!$F:$F,ROW()),0)</f>
        <v/>
      </c>
      <c r="AB628">
        <f>IFERROR(IF(--INDEX('Loans'!$G:$G,ROW())&gt;=1,--INDEX('Loans'!$G:$G,ROW())/100,--INDEX('Loans'!$G:$G,ROW())),0)</f>
        <v/>
      </c>
      <c r="AC628">
        <f>TRIM(SUBSTITUTE(INDEX('Loans'!$H:$H,ROW())&amp;""," "," "))</f>
        <v/>
      </c>
      <c r="AD628">
        <f>TRIM(SUBSTITUTE(INDEX('Loans'!$I:$I,ROW())&amp;""," "," "))</f>
        <v/>
      </c>
      <c r="AE628">
        <f>IFERROR(--INDEX('Loans'!$J:$J,ROW()),0)</f>
        <v/>
      </c>
      <c r="AF628">
        <f>TRIM(SUBSTITUTE(INDEX('Loans'!$K:$K,ROW())&amp;""," "," "))</f>
        <v/>
      </c>
      <c r="AG628">
        <f>IFERROR(--INDEX('Loans'!$L:$L,ROW()),0)</f>
        <v/>
      </c>
      <c r="AH628">
        <f>IF(ISNUMBER(INDEX('Loans'!$G:$G,ROW())),1,0)</f>
        <v/>
      </c>
    </row>
    <row r="629">
      <c r="A629">
        <f>TRIM(SUBSTITUTE(INDEX('Term investments'!$A:$A,ROW())&amp;""," "," "))</f>
        <v/>
      </c>
      <c r="B629">
        <f>TRIM(SUBSTITUTE(INDEX('Term investments'!$B:$B,ROW())&amp;""," "," "))</f>
        <v/>
      </c>
      <c r="C629">
        <f>TRIM(SUBSTITUTE(INDEX('Term investments'!$C:$C,ROW())&amp;""," "," "))</f>
        <v/>
      </c>
      <c r="D629">
        <f>IFERROR(--INDEX('Term investments'!$D:$D,ROW()),0)</f>
        <v/>
      </c>
      <c r="E629">
        <f>IFERROR(--INDEX('Term investments'!$E:$E,ROW()),0)</f>
        <v/>
      </c>
      <c r="F629">
        <f>IFERROR(--INDEX('Term investments'!$F:$F,ROW()),0)</f>
        <v/>
      </c>
      <c r="G629">
        <f>IFERROR(IF(--INDEX('Term investments'!$G:$G,ROW())&gt;=1,--INDEX('Term investments'!$G:$G,ROW())/100,--INDEX('Term investments'!$G:$G,ROW())),0)</f>
        <v/>
      </c>
      <c r="H629">
        <f>IFERROR(--INDEX('Term investments'!$H:$H,ROW()),0)</f>
        <v/>
      </c>
      <c r="I629">
        <f>IF(ISNUMBER(INDEX('Term investments'!$G:$G,ROW())),1,0)</f>
        <v/>
      </c>
      <c r="J629">
        <f>TRIM(SUBSTITUTE(INDEX('Call accounts and MMFs'!$A:$A,ROW())&amp;""," "," "))</f>
        <v/>
      </c>
      <c r="K629">
        <f>TRIM(SUBSTITUTE(INDEX('Call accounts and MMFs'!$B:$B,ROW())&amp;""," "," "))</f>
        <v/>
      </c>
      <c r="L629">
        <f>TRIM(SUBSTITUTE(INDEX('Call accounts and MMFs'!$C:$C,ROW())&amp;""," "," "))</f>
        <v/>
      </c>
      <c r="M629">
        <f>IFERROR(--INDEX('Call accounts and MMFs'!$D:$D,ROW()),0)</f>
        <v/>
      </c>
      <c r="N629">
        <f>IFERROR(IF(--INDEX('Call accounts and MMFs'!$E:$E,ROW())&gt;=1,--INDEX('Call accounts and MMFs'!$E:$E,ROW())/100,--INDEX('Call accounts and MMFs'!$E:$E,ROW())),0)</f>
        <v/>
      </c>
      <c r="O629">
        <f>IFERROR(--INDEX('Call accounts and MMFs'!$F:$F,ROW()),0)</f>
        <v/>
      </c>
      <c r="P629">
        <f>IF(ISNUMBER(INDEX('Call accounts and MMFs'!$E:$E,ROW())),1,0)</f>
        <v/>
      </c>
      <c r="Q629">
        <f>TRIM(SUBSTITUTE(INDEX('Pooled funds'!$B:$B,ROW())&amp;""," "," "))</f>
        <v/>
      </c>
      <c r="R629">
        <f>IFERROR(--INDEX('Pooled funds'!$C:$C,ROW()),0)</f>
        <v/>
      </c>
      <c r="S629">
        <f>IFERROR(--INDEX('Pooled funds'!$D:$D,ROW()),0)</f>
        <v/>
      </c>
      <c r="T629">
        <f>IFERROR(IF(--INDEX('Pooled funds'!$E:$E,ROW())&gt;=1,--INDEX('Pooled funds'!$E:$E,ROW())/100,--INDEX('Pooled funds'!$E:$E,ROW())),0)</f>
        <v/>
      </c>
      <c r="U629">
        <f>IF(ISNUMBER(INDEX('Pooled funds'!$E:$E,ROW())),1,0)</f>
        <v/>
      </c>
      <c r="V629">
        <f>TRIM(SUBSTITUTE(INDEX('Loans'!$A:$A,ROW())&amp;""," "," "))</f>
        <v/>
      </c>
      <c r="W629">
        <f>TRIM(SUBSTITUTE(INDEX('Loans'!$B:$B,ROW())&amp;""," "," "))</f>
        <v/>
      </c>
      <c r="X629">
        <f>TRIM(SUBSTITUTE(INDEX('Loans'!$C:$C,ROW())&amp;""," "," "))</f>
        <v/>
      </c>
      <c r="Y629">
        <f>IFERROR(--INDEX('Loans'!$D:$D,ROW()),0)</f>
        <v/>
      </c>
      <c r="Z629">
        <f>IFERROR(--INDEX('Loans'!$E:$E,ROW()),0)</f>
        <v/>
      </c>
      <c r="AA629">
        <f>IFERROR(--INDEX('Loans'!$F:$F,ROW()),0)</f>
        <v/>
      </c>
      <c r="AB629">
        <f>IFERROR(IF(--INDEX('Loans'!$G:$G,ROW())&gt;=1,--INDEX('Loans'!$G:$G,ROW())/100,--INDEX('Loans'!$G:$G,ROW())),0)</f>
        <v/>
      </c>
      <c r="AC629">
        <f>TRIM(SUBSTITUTE(INDEX('Loans'!$H:$H,ROW())&amp;""," "," "))</f>
        <v/>
      </c>
      <c r="AD629">
        <f>TRIM(SUBSTITUTE(INDEX('Loans'!$I:$I,ROW())&amp;""," "," "))</f>
        <v/>
      </c>
      <c r="AE629">
        <f>IFERROR(--INDEX('Loans'!$J:$J,ROW()),0)</f>
        <v/>
      </c>
      <c r="AF629">
        <f>TRIM(SUBSTITUTE(INDEX('Loans'!$K:$K,ROW())&amp;""," "," "))</f>
        <v/>
      </c>
      <c r="AG629">
        <f>IFERROR(--INDEX('Loans'!$L:$L,ROW()),0)</f>
        <v/>
      </c>
      <c r="AH629">
        <f>IF(ISNUMBER(INDEX('Loans'!$G:$G,ROW())),1,0)</f>
        <v/>
      </c>
    </row>
    <row r="630">
      <c r="A630">
        <f>TRIM(SUBSTITUTE(INDEX('Term investments'!$A:$A,ROW())&amp;""," "," "))</f>
        <v/>
      </c>
      <c r="B630">
        <f>TRIM(SUBSTITUTE(INDEX('Term investments'!$B:$B,ROW())&amp;""," "," "))</f>
        <v/>
      </c>
      <c r="C630">
        <f>TRIM(SUBSTITUTE(INDEX('Term investments'!$C:$C,ROW())&amp;""," "," "))</f>
        <v/>
      </c>
      <c r="D630">
        <f>IFERROR(--INDEX('Term investments'!$D:$D,ROW()),0)</f>
        <v/>
      </c>
      <c r="E630">
        <f>IFERROR(--INDEX('Term investments'!$E:$E,ROW()),0)</f>
        <v/>
      </c>
      <c r="F630">
        <f>IFERROR(--INDEX('Term investments'!$F:$F,ROW()),0)</f>
        <v/>
      </c>
      <c r="G630">
        <f>IFERROR(IF(--INDEX('Term investments'!$G:$G,ROW())&gt;=1,--INDEX('Term investments'!$G:$G,ROW())/100,--INDEX('Term investments'!$G:$G,ROW())),0)</f>
        <v/>
      </c>
      <c r="H630">
        <f>IFERROR(--INDEX('Term investments'!$H:$H,ROW()),0)</f>
        <v/>
      </c>
      <c r="I630">
        <f>IF(ISNUMBER(INDEX('Term investments'!$G:$G,ROW())),1,0)</f>
        <v/>
      </c>
      <c r="J630">
        <f>TRIM(SUBSTITUTE(INDEX('Call accounts and MMFs'!$A:$A,ROW())&amp;""," "," "))</f>
        <v/>
      </c>
      <c r="K630">
        <f>TRIM(SUBSTITUTE(INDEX('Call accounts and MMFs'!$B:$B,ROW())&amp;""," "," "))</f>
        <v/>
      </c>
      <c r="L630">
        <f>TRIM(SUBSTITUTE(INDEX('Call accounts and MMFs'!$C:$C,ROW())&amp;""," "," "))</f>
        <v/>
      </c>
      <c r="M630">
        <f>IFERROR(--INDEX('Call accounts and MMFs'!$D:$D,ROW()),0)</f>
        <v/>
      </c>
      <c r="N630">
        <f>IFERROR(IF(--INDEX('Call accounts and MMFs'!$E:$E,ROW())&gt;=1,--INDEX('Call accounts and MMFs'!$E:$E,ROW())/100,--INDEX('Call accounts and MMFs'!$E:$E,ROW())),0)</f>
        <v/>
      </c>
      <c r="O630">
        <f>IFERROR(--INDEX('Call accounts and MMFs'!$F:$F,ROW()),0)</f>
        <v/>
      </c>
      <c r="P630">
        <f>IF(ISNUMBER(INDEX('Call accounts and MMFs'!$E:$E,ROW())),1,0)</f>
        <v/>
      </c>
      <c r="Q630">
        <f>TRIM(SUBSTITUTE(INDEX('Pooled funds'!$B:$B,ROW())&amp;""," "," "))</f>
        <v/>
      </c>
      <c r="R630">
        <f>IFERROR(--INDEX('Pooled funds'!$C:$C,ROW()),0)</f>
        <v/>
      </c>
      <c r="S630">
        <f>IFERROR(--INDEX('Pooled funds'!$D:$D,ROW()),0)</f>
        <v/>
      </c>
      <c r="T630">
        <f>IFERROR(IF(--INDEX('Pooled funds'!$E:$E,ROW())&gt;=1,--INDEX('Pooled funds'!$E:$E,ROW())/100,--INDEX('Pooled funds'!$E:$E,ROW())),0)</f>
        <v/>
      </c>
      <c r="U630">
        <f>IF(ISNUMBER(INDEX('Pooled funds'!$E:$E,ROW())),1,0)</f>
        <v/>
      </c>
      <c r="V630">
        <f>TRIM(SUBSTITUTE(INDEX('Loans'!$A:$A,ROW())&amp;""," "," "))</f>
        <v/>
      </c>
      <c r="W630">
        <f>TRIM(SUBSTITUTE(INDEX('Loans'!$B:$B,ROW())&amp;""," "," "))</f>
        <v/>
      </c>
      <c r="X630">
        <f>TRIM(SUBSTITUTE(INDEX('Loans'!$C:$C,ROW())&amp;""," "," "))</f>
        <v/>
      </c>
      <c r="Y630">
        <f>IFERROR(--INDEX('Loans'!$D:$D,ROW()),0)</f>
        <v/>
      </c>
      <c r="Z630">
        <f>IFERROR(--INDEX('Loans'!$E:$E,ROW()),0)</f>
        <v/>
      </c>
      <c r="AA630">
        <f>IFERROR(--INDEX('Loans'!$F:$F,ROW()),0)</f>
        <v/>
      </c>
      <c r="AB630">
        <f>IFERROR(IF(--INDEX('Loans'!$G:$G,ROW())&gt;=1,--INDEX('Loans'!$G:$G,ROW())/100,--INDEX('Loans'!$G:$G,ROW())),0)</f>
        <v/>
      </c>
      <c r="AC630">
        <f>TRIM(SUBSTITUTE(INDEX('Loans'!$H:$H,ROW())&amp;""," "," "))</f>
        <v/>
      </c>
      <c r="AD630">
        <f>TRIM(SUBSTITUTE(INDEX('Loans'!$I:$I,ROW())&amp;""," "," "))</f>
        <v/>
      </c>
      <c r="AE630">
        <f>IFERROR(--INDEX('Loans'!$J:$J,ROW()),0)</f>
        <v/>
      </c>
      <c r="AF630">
        <f>TRIM(SUBSTITUTE(INDEX('Loans'!$K:$K,ROW())&amp;""," "," "))</f>
        <v/>
      </c>
      <c r="AG630">
        <f>IFERROR(--INDEX('Loans'!$L:$L,ROW()),0)</f>
        <v/>
      </c>
      <c r="AH630">
        <f>IF(ISNUMBER(INDEX('Loans'!$G:$G,ROW())),1,0)</f>
        <v/>
      </c>
    </row>
    <row r="631">
      <c r="A631">
        <f>TRIM(SUBSTITUTE(INDEX('Term investments'!$A:$A,ROW())&amp;""," "," "))</f>
        <v/>
      </c>
      <c r="B631">
        <f>TRIM(SUBSTITUTE(INDEX('Term investments'!$B:$B,ROW())&amp;""," "," "))</f>
        <v/>
      </c>
      <c r="C631">
        <f>TRIM(SUBSTITUTE(INDEX('Term investments'!$C:$C,ROW())&amp;""," "," "))</f>
        <v/>
      </c>
      <c r="D631">
        <f>IFERROR(--INDEX('Term investments'!$D:$D,ROW()),0)</f>
        <v/>
      </c>
      <c r="E631">
        <f>IFERROR(--INDEX('Term investments'!$E:$E,ROW()),0)</f>
        <v/>
      </c>
      <c r="F631">
        <f>IFERROR(--INDEX('Term investments'!$F:$F,ROW()),0)</f>
        <v/>
      </c>
      <c r="G631">
        <f>IFERROR(IF(--INDEX('Term investments'!$G:$G,ROW())&gt;=1,--INDEX('Term investments'!$G:$G,ROW())/100,--INDEX('Term investments'!$G:$G,ROW())),0)</f>
        <v/>
      </c>
      <c r="H631">
        <f>IFERROR(--INDEX('Term investments'!$H:$H,ROW()),0)</f>
        <v/>
      </c>
      <c r="I631">
        <f>IF(ISNUMBER(INDEX('Term investments'!$G:$G,ROW())),1,0)</f>
        <v/>
      </c>
      <c r="J631">
        <f>TRIM(SUBSTITUTE(INDEX('Call accounts and MMFs'!$A:$A,ROW())&amp;""," "," "))</f>
        <v/>
      </c>
      <c r="K631">
        <f>TRIM(SUBSTITUTE(INDEX('Call accounts and MMFs'!$B:$B,ROW())&amp;""," "," "))</f>
        <v/>
      </c>
      <c r="L631">
        <f>TRIM(SUBSTITUTE(INDEX('Call accounts and MMFs'!$C:$C,ROW())&amp;""," "," "))</f>
        <v/>
      </c>
      <c r="M631">
        <f>IFERROR(--INDEX('Call accounts and MMFs'!$D:$D,ROW()),0)</f>
        <v/>
      </c>
      <c r="N631">
        <f>IFERROR(IF(--INDEX('Call accounts and MMFs'!$E:$E,ROW())&gt;=1,--INDEX('Call accounts and MMFs'!$E:$E,ROW())/100,--INDEX('Call accounts and MMFs'!$E:$E,ROW())),0)</f>
        <v/>
      </c>
      <c r="O631">
        <f>IFERROR(--INDEX('Call accounts and MMFs'!$F:$F,ROW()),0)</f>
        <v/>
      </c>
      <c r="P631">
        <f>IF(ISNUMBER(INDEX('Call accounts and MMFs'!$E:$E,ROW())),1,0)</f>
        <v/>
      </c>
      <c r="Q631">
        <f>TRIM(SUBSTITUTE(INDEX('Pooled funds'!$B:$B,ROW())&amp;""," "," "))</f>
        <v/>
      </c>
      <c r="R631">
        <f>IFERROR(--INDEX('Pooled funds'!$C:$C,ROW()),0)</f>
        <v/>
      </c>
      <c r="S631">
        <f>IFERROR(--INDEX('Pooled funds'!$D:$D,ROW()),0)</f>
        <v/>
      </c>
      <c r="T631">
        <f>IFERROR(IF(--INDEX('Pooled funds'!$E:$E,ROW())&gt;=1,--INDEX('Pooled funds'!$E:$E,ROW())/100,--INDEX('Pooled funds'!$E:$E,ROW())),0)</f>
        <v/>
      </c>
      <c r="U631">
        <f>IF(ISNUMBER(INDEX('Pooled funds'!$E:$E,ROW())),1,0)</f>
        <v/>
      </c>
      <c r="V631">
        <f>TRIM(SUBSTITUTE(INDEX('Loans'!$A:$A,ROW())&amp;""," "," "))</f>
        <v/>
      </c>
      <c r="W631">
        <f>TRIM(SUBSTITUTE(INDEX('Loans'!$B:$B,ROW())&amp;""," "," "))</f>
        <v/>
      </c>
      <c r="X631">
        <f>TRIM(SUBSTITUTE(INDEX('Loans'!$C:$C,ROW())&amp;""," "," "))</f>
        <v/>
      </c>
      <c r="Y631">
        <f>IFERROR(--INDEX('Loans'!$D:$D,ROW()),0)</f>
        <v/>
      </c>
      <c r="Z631">
        <f>IFERROR(--INDEX('Loans'!$E:$E,ROW()),0)</f>
        <v/>
      </c>
      <c r="AA631">
        <f>IFERROR(--INDEX('Loans'!$F:$F,ROW()),0)</f>
        <v/>
      </c>
      <c r="AB631">
        <f>IFERROR(IF(--INDEX('Loans'!$G:$G,ROW())&gt;=1,--INDEX('Loans'!$G:$G,ROW())/100,--INDEX('Loans'!$G:$G,ROW())),0)</f>
        <v/>
      </c>
      <c r="AC631">
        <f>TRIM(SUBSTITUTE(INDEX('Loans'!$H:$H,ROW())&amp;""," "," "))</f>
        <v/>
      </c>
      <c r="AD631">
        <f>TRIM(SUBSTITUTE(INDEX('Loans'!$I:$I,ROW())&amp;""," "," "))</f>
        <v/>
      </c>
      <c r="AE631">
        <f>IFERROR(--INDEX('Loans'!$J:$J,ROW()),0)</f>
        <v/>
      </c>
      <c r="AF631">
        <f>TRIM(SUBSTITUTE(INDEX('Loans'!$K:$K,ROW())&amp;""," "," "))</f>
        <v/>
      </c>
      <c r="AG631">
        <f>IFERROR(--INDEX('Loans'!$L:$L,ROW()),0)</f>
        <v/>
      </c>
      <c r="AH631">
        <f>IF(ISNUMBER(INDEX('Loans'!$G:$G,ROW())),1,0)</f>
        <v/>
      </c>
    </row>
    <row r="632">
      <c r="A632">
        <f>TRIM(SUBSTITUTE(INDEX('Term investments'!$A:$A,ROW())&amp;""," "," "))</f>
        <v/>
      </c>
      <c r="B632">
        <f>TRIM(SUBSTITUTE(INDEX('Term investments'!$B:$B,ROW())&amp;""," "," "))</f>
        <v/>
      </c>
      <c r="C632">
        <f>TRIM(SUBSTITUTE(INDEX('Term investments'!$C:$C,ROW())&amp;""," "," "))</f>
        <v/>
      </c>
      <c r="D632">
        <f>IFERROR(--INDEX('Term investments'!$D:$D,ROW()),0)</f>
        <v/>
      </c>
      <c r="E632">
        <f>IFERROR(--INDEX('Term investments'!$E:$E,ROW()),0)</f>
        <v/>
      </c>
      <c r="F632">
        <f>IFERROR(--INDEX('Term investments'!$F:$F,ROW()),0)</f>
        <v/>
      </c>
      <c r="G632">
        <f>IFERROR(IF(--INDEX('Term investments'!$G:$G,ROW())&gt;=1,--INDEX('Term investments'!$G:$G,ROW())/100,--INDEX('Term investments'!$G:$G,ROW())),0)</f>
        <v/>
      </c>
      <c r="H632">
        <f>IFERROR(--INDEX('Term investments'!$H:$H,ROW()),0)</f>
        <v/>
      </c>
      <c r="I632">
        <f>IF(ISNUMBER(INDEX('Term investments'!$G:$G,ROW())),1,0)</f>
        <v/>
      </c>
      <c r="J632">
        <f>TRIM(SUBSTITUTE(INDEX('Call accounts and MMFs'!$A:$A,ROW())&amp;""," "," "))</f>
        <v/>
      </c>
      <c r="K632">
        <f>TRIM(SUBSTITUTE(INDEX('Call accounts and MMFs'!$B:$B,ROW())&amp;""," "," "))</f>
        <v/>
      </c>
      <c r="L632">
        <f>TRIM(SUBSTITUTE(INDEX('Call accounts and MMFs'!$C:$C,ROW())&amp;""," "," "))</f>
        <v/>
      </c>
      <c r="M632">
        <f>IFERROR(--INDEX('Call accounts and MMFs'!$D:$D,ROW()),0)</f>
        <v/>
      </c>
      <c r="N632">
        <f>IFERROR(IF(--INDEX('Call accounts and MMFs'!$E:$E,ROW())&gt;=1,--INDEX('Call accounts and MMFs'!$E:$E,ROW())/100,--INDEX('Call accounts and MMFs'!$E:$E,ROW())),0)</f>
        <v/>
      </c>
      <c r="O632">
        <f>IFERROR(--INDEX('Call accounts and MMFs'!$F:$F,ROW()),0)</f>
        <v/>
      </c>
      <c r="P632">
        <f>IF(ISNUMBER(INDEX('Call accounts and MMFs'!$E:$E,ROW())),1,0)</f>
        <v/>
      </c>
      <c r="Q632">
        <f>TRIM(SUBSTITUTE(INDEX('Pooled funds'!$B:$B,ROW())&amp;""," "," "))</f>
        <v/>
      </c>
      <c r="R632">
        <f>IFERROR(--INDEX('Pooled funds'!$C:$C,ROW()),0)</f>
        <v/>
      </c>
      <c r="S632">
        <f>IFERROR(--INDEX('Pooled funds'!$D:$D,ROW()),0)</f>
        <v/>
      </c>
      <c r="T632">
        <f>IFERROR(IF(--INDEX('Pooled funds'!$E:$E,ROW())&gt;=1,--INDEX('Pooled funds'!$E:$E,ROW())/100,--INDEX('Pooled funds'!$E:$E,ROW())),0)</f>
        <v/>
      </c>
      <c r="U632">
        <f>IF(ISNUMBER(INDEX('Pooled funds'!$E:$E,ROW())),1,0)</f>
        <v/>
      </c>
      <c r="V632">
        <f>TRIM(SUBSTITUTE(INDEX('Loans'!$A:$A,ROW())&amp;""," "," "))</f>
        <v/>
      </c>
      <c r="W632">
        <f>TRIM(SUBSTITUTE(INDEX('Loans'!$B:$B,ROW())&amp;""," "," "))</f>
        <v/>
      </c>
      <c r="X632">
        <f>TRIM(SUBSTITUTE(INDEX('Loans'!$C:$C,ROW())&amp;""," "," "))</f>
        <v/>
      </c>
      <c r="Y632">
        <f>IFERROR(--INDEX('Loans'!$D:$D,ROW()),0)</f>
        <v/>
      </c>
      <c r="Z632">
        <f>IFERROR(--INDEX('Loans'!$E:$E,ROW()),0)</f>
        <v/>
      </c>
      <c r="AA632">
        <f>IFERROR(--INDEX('Loans'!$F:$F,ROW()),0)</f>
        <v/>
      </c>
      <c r="AB632">
        <f>IFERROR(IF(--INDEX('Loans'!$G:$G,ROW())&gt;=1,--INDEX('Loans'!$G:$G,ROW())/100,--INDEX('Loans'!$G:$G,ROW())),0)</f>
        <v/>
      </c>
      <c r="AC632">
        <f>TRIM(SUBSTITUTE(INDEX('Loans'!$H:$H,ROW())&amp;""," "," "))</f>
        <v/>
      </c>
      <c r="AD632">
        <f>TRIM(SUBSTITUTE(INDEX('Loans'!$I:$I,ROW())&amp;""," "," "))</f>
        <v/>
      </c>
      <c r="AE632">
        <f>IFERROR(--INDEX('Loans'!$J:$J,ROW()),0)</f>
        <v/>
      </c>
      <c r="AF632">
        <f>TRIM(SUBSTITUTE(INDEX('Loans'!$K:$K,ROW())&amp;""," "," "))</f>
        <v/>
      </c>
      <c r="AG632">
        <f>IFERROR(--INDEX('Loans'!$L:$L,ROW()),0)</f>
        <v/>
      </c>
      <c r="AH632">
        <f>IF(ISNUMBER(INDEX('Loans'!$G:$G,ROW())),1,0)</f>
        <v/>
      </c>
    </row>
    <row r="633">
      <c r="A633">
        <f>TRIM(SUBSTITUTE(INDEX('Term investments'!$A:$A,ROW())&amp;""," "," "))</f>
        <v/>
      </c>
      <c r="B633">
        <f>TRIM(SUBSTITUTE(INDEX('Term investments'!$B:$B,ROW())&amp;""," "," "))</f>
        <v/>
      </c>
      <c r="C633">
        <f>TRIM(SUBSTITUTE(INDEX('Term investments'!$C:$C,ROW())&amp;""," "," "))</f>
        <v/>
      </c>
      <c r="D633">
        <f>IFERROR(--INDEX('Term investments'!$D:$D,ROW()),0)</f>
        <v/>
      </c>
      <c r="E633">
        <f>IFERROR(--INDEX('Term investments'!$E:$E,ROW()),0)</f>
        <v/>
      </c>
      <c r="F633">
        <f>IFERROR(--INDEX('Term investments'!$F:$F,ROW()),0)</f>
        <v/>
      </c>
      <c r="G633">
        <f>IFERROR(IF(--INDEX('Term investments'!$G:$G,ROW())&gt;=1,--INDEX('Term investments'!$G:$G,ROW())/100,--INDEX('Term investments'!$G:$G,ROW())),0)</f>
        <v/>
      </c>
      <c r="H633">
        <f>IFERROR(--INDEX('Term investments'!$H:$H,ROW()),0)</f>
        <v/>
      </c>
      <c r="I633">
        <f>IF(ISNUMBER(INDEX('Term investments'!$G:$G,ROW())),1,0)</f>
        <v/>
      </c>
      <c r="J633">
        <f>TRIM(SUBSTITUTE(INDEX('Call accounts and MMFs'!$A:$A,ROW())&amp;""," "," "))</f>
        <v/>
      </c>
      <c r="K633">
        <f>TRIM(SUBSTITUTE(INDEX('Call accounts and MMFs'!$B:$B,ROW())&amp;""," "," "))</f>
        <v/>
      </c>
      <c r="L633">
        <f>TRIM(SUBSTITUTE(INDEX('Call accounts and MMFs'!$C:$C,ROW())&amp;""," "," "))</f>
        <v/>
      </c>
      <c r="M633">
        <f>IFERROR(--INDEX('Call accounts and MMFs'!$D:$D,ROW()),0)</f>
        <v/>
      </c>
      <c r="N633">
        <f>IFERROR(IF(--INDEX('Call accounts and MMFs'!$E:$E,ROW())&gt;=1,--INDEX('Call accounts and MMFs'!$E:$E,ROW())/100,--INDEX('Call accounts and MMFs'!$E:$E,ROW())),0)</f>
        <v/>
      </c>
      <c r="O633">
        <f>IFERROR(--INDEX('Call accounts and MMFs'!$F:$F,ROW()),0)</f>
        <v/>
      </c>
      <c r="P633">
        <f>IF(ISNUMBER(INDEX('Call accounts and MMFs'!$E:$E,ROW())),1,0)</f>
        <v/>
      </c>
      <c r="Q633">
        <f>TRIM(SUBSTITUTE(INDEX('Pooled funds'!$B:$B,ROW())&amp;""," "," "))</f>
        <v/>
      </c>
      <c r="R633">
        <f>IFERROR(--INDEX('Pooled funds'!$C:$C,ROW()),0)</f>
        <v/>
      </c>
      <c r="S633">
        <f>IFERROR(--INDEX('Pooled funds'!$D:$D,ROW()),0)</f>
        <v/>
      </c>
      <c r="T633">
        <f>IFERROR(IF(--INDEX('Pooled funds'!$E:$E,ROW())&gt;=1,--INDEX('Pooled funds'!$E:$E,ROW())/100,--INDEX('Pooled funds'!$E:$E,ROW())),0)</f>
        <v/>
      </c>
      <c r="U633">
        <f>IF(ISNUMBER(INDEX('Pooled funds'!$E:$E,ROW())),1,0)</f>
        <v/>
      </c>
      <c r="V633">
        <f>TRIM(SUBSTITUTE(INDEX('Loans'!$A:$A,ROW())&amp;""," "," "))</f>
        <v/>
      </c>
      <c r="W633">
        <f>TRIM(SUBSTITUTE(INDEX('Loans'!$B:$B,ROW())&amp;""," "," "))</f>
        <v/>
      </c>
      <c r="X633">
        <f>TRIM(SUBSTITUTE(INDEX('Loans'!$C:$C,ROW())&amp;""," "," "))</f>
        <v/>
      </c>
      <c r="Y633">
        <f>IFERROR(--INDEX('Loans'!$D:$D,ROW()),0)</f>
        <v/>
      </c>
      <c r="Z633">
        <f>IFERROR(--INDEX('Loans'!$E:$E,ROW()),0)</f>
        <v/>
      </c>
      <c r="AA633">
        <f>IFERROR(--INDEX('Loans'!$F:$F,ROW()),0)</f>
        <v/>
      </c>
      <c r="AB633">
        <f>IFERROR(IF(--INDEX('Loans'!$G:$G,ROW())&gt;=1,--INDEX('Loans'!$G:$G,ROW())/100,--INDEX('Loans'!$G:$G,ROW())),0)</f>
        <v/>
      </c>
      <c r="AC633">
        <f>TRIM(SUBSTITUTE(INDEX('Loans'!$H:$H,ROW())&amp;""," "," "))</f>
        <v/>
      </c>
      <c r="AD633">
        <f>TRIM(SUBSTITUTE(INDEX('Loans'!$I:$I,ROW())&amp;""," "," "))</f>
        <v/>
      </c>
      <c r="AE633">
        <f>IFERROR(--INDEX('Loans'!$J:$J,ROW()),0)</f>
        <v/>
      </c>
      <c r="AF633">
        <f>TRIM(SUBSTITUTE(INDEX('Loans'!$K:$K,ROW())&amp;""," "," "))</f>
        <v/>
      </c>
      <c r="AG633">
        <f>IFERROR(--INDEX('Loans'!$L:$L,ROW()),0)</f>
        <v/>
      </c>
      <c r="AH633">
        <f>IF(ISNUMBER(INDEX('Loans'!$G:$G,ROW())),1,0)</f>
        <v/>
      </c>
    </row>
    <row r="634">
      <c r="A634">
        <f>TRIM(SUBSTITUTE(INDEX('Term investments'!$A:$A,ROW())&amp;""," "," "))</f>
        <v/>
      </c>
      <c r="B634">
        <f>TRIM(SUBSTITUTE(INDEX('Term investments'!$B:$B,ROW())&amp;""," "," "))</f>
        <v/>
      </c>
      <c r="C634">
        <f>TRIM(SUBSTITUTE(INDEX('Term investments'!$C:$C,ROW())&amp;""," "," "))</f>
        <v/>
      </c>
      <c r="D634">
        <f>IFERROR(--INDEX('Term investments'!$D:$D,ROW()),0)</f>
        <v/>
      </c>
      <c r="E634">
        <f>IFERROR(--INDEX('Term investments'!$E:$E,ROW()),0)</f>
        <v/>
      </c>
      <c r="F634">
        <f>IFERROR(--INDEX('Term investments'!$F:$F,ROW()),0)</f>
        <v/>
      </c>
      <c r="G634">
        <f>IFERROR(IF(--INDEX('Term investments'!$G:$G,ROW())&gt;=1,--INDEX('Term investments'!$G:$G,ROW())/100,--INDEX('Term investments'!$G:$G,ROW())),0)</f>
        <v/>
      </c>
      <c r="H634">
        <f>IFERROR(--INDEX('Term investments'!$H:$H,ROW()),0)</f>
        <v/>
      </c>
      <c r="I634">
        <f>IF(ISNUMBER(INDEX('Term investments'!$G:$G,ROW())),1,0)</f>
        <v/>
      </c>
      <c r="J634">
        <f>TRIM(SUBSTITUTE(INDEX('Call accounts and MMFs'!$A:$A,ROW())&amp;""," "," "))</f>
        <v/>
      </c>
      <c r="K634">
        <f>TRIM(SUBSTITUTE(INDEX('Call accounts and MMFs'!$B:$B,ROW())&amp;""," "," "))</f>
        <v/>
      </c>
      <c r="L634">
        <f>TRIM(SUBSTITUTE(INDEX('Call accounts and MMFs'!$C:$C,ROW())&amp;""," "," "))</f>
        <v/>
      </c>
      <c r="M634">
        <f>IFERROR(--INDEX('Call accounts and MMFs'!$D:$D,ROW()),0)</f>
        <v/>
      </c>
      <c r="N634">
        <f>IFERROR(IF(--INDEX('Call accounts and MMFs'!$E:$E,ROW())&gt;=1,--INDEX('Call accounts and MMFs'!$E:$E,ROW())/100,--INDEX('Call accounts and MMFs'!$E:$E,ROW())),0)</f>
        <v/>
      </c>
      <c r="O634">
        <f>IFERROR(--INDEX('Call accounts and MMFs'!$F:$F,ROW()),0)</f>
        <v/>
      </c>
      <c r="P634">
        <f>IF(ISNUMBER(INDEX('Call accounts and MMFs'!$E:$E,ROW())),1,0)</f>
        <v/>
      </c>
      <c r="Q634">
        <f>TRIM(SUBSTITUTE(INDEX('Pooled funds'!$B:$B,ROW())&amp;""," "," "))</f>
        <v/>
      </c>
      <c r="R634">
        <f>IFERROR(--INDEX('Pooled funds'!$C:$C,ROW()),0)</f>
        <v/>
      </c>
      <c r="S634">
        <f>IFERROR(--INDEX('Pooled funds'!$D:$D,ROW()),0)</f>
        <v/>
      </c>
      <c r="T634">
        <f>IFERROR(IF(--INDEX('Pooled funds'!$E:$E,ROW())&gt;=1,--INDEX('Pooled funds'!$E:$E,ROW())/100,--INDEX('Pooled funds'!$E:$E,ROW())),0)</f>
        <v/>
      </c>
      <c r="U634">
        <f>IF(ISNUMBER(INDEX('Pooled funds'!$E:$E,ROW())),1,0)</f>
        <v/>
      </c>
      <c r="V634">
        <f>TRIM(SUBSTITUTE(INDEX('Loans'!$A:$A,ROW())&amp;""," "," "))</f>
        <v/>
      </c>
      <c r="W634">
        <f>TRIM(SUBSTITUTE(INDEX('Loans'!$B:$B,ROW())&amp;""," "," "))</f>
        <v/>
      </c>
      <c r="X634">
        <f>TRIM(SUBSTITUTE(INDEX('Loans'!$C:$C,ROW())&amp;""," "," "))</f>
        <v/>
      </c>
      <c r="Y634">
        <f>IFERROR(--INDEX('Loans'!$D:$D,ROW()),0)</f>
        <v/>
      </c>
      <c r="Z634">
        <f>IFERROR(--INDEX('Loans'!$E:$E,ROW()),0)</f>
        <v/>
      </c>
      <c r="AA634">
        <f>IFERROR(--INDEX('Loans'!$F:$F,ROW()),0)</f>
        <v/>
      </c>
      <c r="AB634">
        <f>IFERROR(IF(--INDEX('Loans'!$G:$G,ROW())&gt;=1,--INDEX('Loans'!$G:$G,ROW())/100,--INDEX('Loans'!$G:$G,ROW())),0)</f>
        <v/>
      </c>
      <c r="AC634">
        <f>TRIM(SUBSTITUTE(INDEX('Loans'!$H:$H,ROW())&amp;""," "," "))</f>
        <v/>
      </c>
      <c r="AD634">
        <f>TRIM(SUBSTITUTE(INDEX('Loans'!$I:$I,ROW())&amp;""," "," "))</f>
        <v/>
      </c>
      <c r="AE634">
        <f>IFERROR(--INDEX('Loans'!$J:$J,ROW()),0)</f>
        <v/>
      </c>
      <c r="AF634">
        <f>TRIM(SUBSTITUTE(INDEX('Loans'!$K:$K,ROW())&amp;""," "," "))</f>
        <v/>
      </c>
      <c r="AG634">
        <f>IFERROR(--INDEX('Loans'!$L:$L,ROW()),0)</f>
        <v/>
      </c>
      <c r="AH634">
        <f>IF(ISNUMBER(INDEX('Loans'!$G:$G,ROW())),1,0)</f>
        <v/>
      </c>
    </row>
    <row r="635">
      <c r="A635">
        <f>TRIM(SUBSTITUTE(INDEX('Term investments'!$A:$A,ROW())&amp;""," "," "))</f>
        <v/>
      </c>
      <c r="B635">
        <f>TRIM(SUBSTITUTE(INDEX('Term investments'!$B:$B,ROW())&amp;""," "," "))</f>
        <v/>
      </c>
      <c r="C635">
        <f>TRIM(SUBSTITUTE(INDEX('Term investments'!$C:$C,ROW())&amp;""," "," "))</f>
        <v/>
      </c>
      <c r="D635">
        <f>IFERROR(--INDEX('Term investments'!$D:$D,ROW()),0)</f>
        <v/>
      </c>
      <c r="E635">
        <f>IFERROR(--INDEX('Term investments'!$E:$E,ROW()),0)</f>
        <v/>
      </c>
      <c r="F635">
        <f>IFERROR(--INDEX('Term investments'!$F:$F,ROW()),0)</f>
        <v/>
      </c>
      <c r="G635">
        <f>IFERROR(IF(--INDEX('Term investments'!$G:$G,ROW())&gt;=1,--INDEX('Term investments'!$G:$G,ROW())/100,--INDEX('Term investments'!$G:$G,ROW())),0)</f>
        <v/>
      </c>
      <c r="H635">
        <f>IFERROR(--INDEX('Term investments'!$H:$H,ROW()),0)</f>
        <v/>
      </c>
      <c r="I635">
        <f>IF(ISNUMBER(INDEX('Term investments'!$G:$G,ROW())),1,0)</f>
        <v/>
      </c>
      <c r="J635">
        <f>TRIM(SUBSTITUTE(INDEX('Call accounts and MMFs'!$A:$A,ROW())&amp;""," "," "))</f>
        <v/>
      </c>
      <c r="K635">
        <f>TRIM(SUBSTITUTE(INDEX('Call accounts and MMFs'!$B:$B,ROW())&amp;""," "," "))</f>
        <v/>
      </c>
      <c r="L635">
        <f>TRIM(SUBSTITUTE(INDEX('Call accounts and MMFs'!$C:$C,ROW())&amp;""," "," "))</f>
        <v/>
      </c>
      <c r="M635">
        <f>IFERROR(--INDEX('Call accounts and MMFs'!$D:$D,ROW()),0)</f>
        <v/>
      </c>
      <c r="N635">
        <f>IFERROR(IF(--INDEX('Call accounts and MMFs'!$E:$E,ROW())&gt;=1,--INDEX('Call accounts and MMFs'!$E:$E,ROW())/100,--INDEX('Call accounts and MMFs'!$E:$E,ROW())),0)</f>
        <v/>
      </c>
      <c r="O635">
        <f>IFERROR(--INDEX('Call accounts and MMFs'!$F:$F,ROW()),0)</f>
        <v/>
      </c>
      <c r="P635">
        <f>IF(ISNUMBER(INDEX('Call accounts and MMFs'!$E:$E,ROW())),1,0)</f>
        <v/>
      </c>
      <c r="Q635">
        <f>TRIM(SUBSTITUTE(INDEX('Pooled funds'!$B:$B,ROW())&amp;""," "," "))</f>
        <v/>
      </c>
      <c r="R635">
        <f>IFERROR(--INDEX('Pooled funds'!$C:$C,ROW()),0)</f>
        <v/>
      </c>
      <c r="S635">
        <f>IFERROR(--INDEX('Pooled funds'!$D:$D,ROW()),0)</f>
        <v/>
      </c>
      <c r="T635">
        <f>IFERROR(IF(--INDEX('Pooled funds'!$E:$E,ROW())&gt;=1,--INDEX('Pooled funds'!$E:$E,ROW())/100,--INDEX('Pooled funds'!$E:$E,ROW())),0)</f>
        <v/>
      </c>
      <c r="U635">
        <f>IF(ISNUMBER(INDEX('Pooled funds'!$E:$E,ROW())),1,0)</f>
        <v/>
      </c>
      <c r="V635">
        <f>TRIM(SUBSTITUTE(INDEX('Loans'!$A:$A,ROW())&amp;""," "," "))</f>
        <v/>
      </c>
      <c r="W635">
        <f>TRIM(SUBSTITUTE(INDEX('Loans'!$B:$B,ROW())&amp;""," "," "))</f>
        <v/>
      </c>
      <c r="X635">
        <f>TRIM(SUBSTITUTE(INDEX('Loans'!$C:$C,ROW())&amp;""," "," "))</f>
        <v/>
      </c>
      <c r="Y635">
        <f>IFERROR(--INDEX('Loans'!$D:$D,ROW()),0)</f>
        <v/>
      </c>
      <c r="Z635">
        <f>IFERROR(--INDEX('Loans'!$E:$E,ROW()),0)</f>
        <v/>
      </c>
      <c r="AA635">
        <f>IFERROR(--INDEX('Loans'!$F:$F,ROW()),0)</f>
        <v/>
      </c>
      <c r="AB635">
        <f>IFERROR(IF(--INDEX('Loans'!$G:$G,ROW())&gt;=1,--INDEX('Loans'!$G:$G,ROW())/100,--INDEX('Loans'!$G:$G,ROW())),0)</f>
        <v/>
      </c>
      <c r="AC635">
        <f>TRIM(SUBSTITUTE(INDEX('Loans'!$H:$H,ROW())&amp;""," "," "))</f>
        <v/>
      </c>
      <c r="AD635">
        <f>TRIM(SUBSTITUTE(INDEX('Loans'!$I:$I,ROW())&amp;""," "," "))</f>
        <v/>
      </c>
      <c r="AE635">
        <f>IFERROR(--INDEX('Loans'!$J:$J,ROW()),0)</f>
        <v/>
      </c>
      <c r="AF635">
        <f>TRIM(SUBSTITUTE(INDEX('Loans'!$K:$K,ROW())&amp;""," "," "))</f>
        <v/>
      </c>
      <c r="AG635">
        <f>IFERROR(--INDEX('Loans'!$L:$L,ROW()),0)</f>
        <v/>
      </c>
      <c r="AH635">
        <f>IF(ISNUMBER(INDEX('Loans'!$G:$G,ROW())),1,0)</f>
        <v/>
      </c>
    </row>
    <row r="636">
      <c r="A636">
        <f>TRIM(SUBSTITUTE(INDEX('Term investments'!$A:$A,ROW())&amp;""," "," "))</f>
        <v/>
      </c>
      <c r="B636">
        <f>TRIM(SUBSTITUTE(INDEX('Term investments'!$B:$B,ROW())&amp;""," "," "))</f>
        <v/>
      </c>
      <c r="C636">
        <f>TRIM(SUBSTITUTE(INDEX('Term investments'!$C:$C,ROW())&amp;""," "," "))</f>
        <v/>
      </c>
      <c r="D636">
        <f>IFERROR(--INDEX('Term investments'!$D:$D,ROW()),0)</f>
        <v/>
      </c>
      <c r="E636">
        <f>IFERROR(--INDEX('Term investments'!$E:$E,ROW()),0)</f>
        <v/>
      </c>
      <c r="F636">
        <f>IFERROR(--INDEX('Term investments'!$F:$F,ROW()),0)</f>
        <v/>
      </c>
      <c r="G636">
        <f>IFERROR(IF(--INDEX('Term investments'!$G:$G,ROW())&gt;=1,--INDEX('Term investments'!$G:$G,ROW())/100,--INDEX('Term investments'!$G:$G,ROW())),0)</f>
        <v/>
      </c>
      <c r="H636">
        <f>IFERROR(--INDEX('Term investments'!$H:$H,ROW()),0)</f>
        <v/>
      </c>
      <c r="I636">
        <f>IF(ISNUMBER(INDEX('Term investments'!$G:$G,ROW())),1,0)</f>
        <v/>
      </c>
      <c r="J636">
        <f>TRIM(SUBSTITUTE(INDEX('Call accounts and MMFs'!$A:$A,ROW())&amp;""," "," "))</f>
        <v/>
      </c>
      <c r="K636">
        <f>TRIM(SUBSTITUTE(INDEX('Call accounts and MMFs'!$B:$B,ROW())&amp;""," "," "))</f>
        <v/>
      </c>
      <c r="L636">
        <f>TRIM(SUBSTITUTE(INDEX('Call accounts and MMFs'!$C:$C,ROW())&amp;""," "," "))</f>
        <v/>
      </c>
      <c r="M636">
        <f>IFERROR(--INDEX('Call accounts and MMFs'!$D:$D,ROW()),0)</f>
        <v/>
      </c>
      <c r="N636">
        <f>IFERROR(IF(--INDEX('Call accounts and MMFs'!$E:$E,ROW())&gt;=1,--INDEX('Call accounts and MMFs'!$E:$E,ROW())/100,--INDEX('Call accounts and MMFs'!$E:$E,ROW())),0)</f>
        <v/>
      </c>
      <c r="O636">
        <f>IFERROR(--INDEX('Call accounts and MMFs'!$F:$F,ROW()),0)</f>
        <v/>
      </c>
      <c r="P636">
        <f>IF(ISNUMBER(INDEX('Call accounts and MMFs'!$E:$E,ROW())),1,0)</f>
        <v/>
      </c>
      <c r="Q636">
        <f>TRIM(SUBSTITUTE(INDEX('Pooled funds'!$B:$B,ROW())&amp;""," "," "))</f>
        <v/>
      </c>
      <c r="R636">
        <f>IFERROR(--INDEX('Pooled funds'!$C:$C,ROW()),0)</f>
        <v/>
      </c>
      <c r="S636">
        <f>IFERROR(--INDEX('Pooled funds'!$D:$D,ROW()),0)</f>
        <v/>
      </c>
      <c r="T636">
        <f>IFERROR(IF(--INDEX('Pooled funds'!$E:$E,ROW())&gt;=1,--INDEX('Pooled funds'!$E:$E,ROW())/100,--INDEX('Pooled funds'!$E:$E,ROW())),0)</f>
        <v/>
      </c>
      <c r="U636">
        <f>IF(ISNUMBER(INDEX('Pooled funds'!$E:$E,ROW())),1,0)</f>
        <v/>
      </c>
      <c r="V636">
        <f>TRIM(SUBSTITUTE(INDEX('Loans'!$A:$A,ROW())&amp;""," "," "))</f>
        <v/>
      </c>
      <c r="W636">
        <f>TRIM(SUBSTITUTE(INDEX('Loans'!$B:$B,ROW())&amp;""," "," "))</f>
        <v/>
      </c>
      <c r="X636">
        <f>TRIM(SUBSTITUTE(INDEX('Loans'!$C:$C,ROW())&amp;""," "," "))</f>
        <v/>
      </c>
      <c r="Y636">
        <f>IFERROR(--INDEX('Loans'!$D:$D,ROW()),0)</f>
        <v/>
      </c>
      <c r="Z636">
        <f>IFERROR(--INDEX('Loans'!$E:$E,ROW()),0)</f>
        <v/>
      </c>
      <c r="AA636">
        <f>IFERROR(--INDEX('Loans'!$F:$F,ROW()),0)</f>
        <v/>
      </c>
      <c r="AB636">
        <f>IFERROR(IF(--INDEX('Loans'!$G:$G,ROW())&gt;=1,--INDEX('Loans'!$G:$G,ROW())/100,--INDEX('Loans'!$G:$G,ROW())),0)</f>
        <v/>
      </c>
      <c r="AC636">
        <f>TRIM(SUBSTITUTE(INDEX('Loans'!$H:$H,ROW())&amp;""," "," "))</f>
        <v/>
      </c>
      <c r="AD636">
        <f>TRIM(SUBSTITUTE(INDEX('Loans'!$I:$I,ROW())&amp;""," "," "))</f>
        <v/>
      </c>
      <c r="AE636">
        <f>IFERROR(--INDEX('Loans'!$J:$J,ROW()),0)</f>
        <v/>
      </c>
      <c r="AF636">
        <f>TRIM(SUBSTITUTE(INDEX('Loans'!$K:$K,ROW())&amp;""," "," "))</f>
        <v/>
      </c>
      <c r="AG636">
        <f>IFERROR(--INDEX('Loans'!$L:$L,ROW()),0)</f>
        <v/>
      </c>
      <c r="AH636">
        <f>IF(ISNUMBER(INDEX('Loans'!$G:$G,ROW())),1,0)</f>
        <v/>
      </c>
    </row>
    <row r="637">
      <c r="A637">
        <f>TRIM(SUBSTITUTE(INDEX('Term investments'!$A:$A,ROW())&amp;""," "," "))</f>
        <v/>
      </c>
      <c r="B637">
        <f>TRIM(SUBSTITUTE(INDEX('Term investments'!$B:$B,ROW())&amp;""," "," "))</f>
        <v/>
      </c>
      <c r="C637">
        <f>TRIM(SUBSTITUTE(INDEX('Term investments'!$C:$C,ROW())&amp;""," "," "))</f>
        <v/>
      </c>
      <c r="D637">
        <f>IFERROR(--INDEX('Term investments'!$D:$D,ROW()),0)</f>
        <v/>
      </c>
      <c r="E637">
        <f>IFERROR(--INDEX('Term investments'!$E:$E,ROW()),0)</f>
        <v/>
      </c>
      <c r="F637">
        <f>IFERROR(--INDEX('Term investments'!$F:$F,ROW()),0)</f>
        <v/>
      </c>
      <c r="G637">
        <f>IFERROR(IF(--INDEX('Term investments'!$G:$G,ROW())&gt;=1,--INDEX('Term investments'!$G:$G,ROW())/100,--INDEX('Term investments'!$G:$G,ROW())),0)</f>
        <v/>
      </c>
      <c r="H637">
        <f>IFERROR(--INDEX('Term investments'!$H:$H,ROW()),0)</f>
        <v/>
      </c>
      <c r="I637">
        <f>IF(ISNUMBER(INDEX('Term investments'!$G:$G,ROW())),1,0)</f>
        <v/>
      </c>
      <c r="J637">
        <f>TRIM(SUBSTITUTE(INDEX('Call accounts and MMFs'!$A:$A,ROW())&amp;""," "," "))</f>
        <v/>
      </c>
      <c r="K637">
        <f>TRIM(SUBSTITUTE(INDEX('Call accounts and MMFs'!$B:$B,ROW())&amp;""," "," "))</f>
        <v/>
      </c>
      <c r="L637">
        <f>TRIM(SUBSTITUTE(INDEX('Call accounts and MMFs'!$C:$C,ROW())&amp;""," "," "))</f>
        <v/>
      </c>
      <c r="M637">
        <f>IFERROR(--INDEX('Call accounts and MMFs'!$D:$D,ROW()),0)</f>
        <v/>
      </c>
      <c r="N637">
        <f>IFERROR(IF(--INDEX('Call accounts and MMFs'!$E:$E,ROW())&gt;=1,--INDEX('Call accounts and MMFs'!$E:$E,ROW())/100,--INDEX('Call accounts and MMFs'!$E:$E,ROW())),0)</f>
        <v/>
      </c>
      <c r="O637">
        <f>IFERROR(--INDEX('Call accounts and MMFs'!$F:$F,ROW()),0)</f>
        <v/>
      </c>
      <c r="P637">
        <f>IF(ISNUMBER(INDEX('Call accounts and MMFs'!$E:$E,ROW())),1,0)</f>
        <v/>
      </c>
      <c r="Q637">
        <f>TRIM(SUBSTITUTE(INDEX('Pooled funds'!$B:$B,ROW())&amp;""," "," "))</f>
        <v/>
      </c>
      <c r="R637">
        <f>IFERROR(--INDEX('Pooled funds'!$C:$C,ROW()),0)</f>
        <v/>
      </c>
      <c r="S637">
        <f>IFERROR(--INDEX('Pooled funds'!$D:$D,ROW()),0)</f>
        <v/>
      </c>
      <c r="T637">
        <f>IFERROR(IF(--INDEX('Pooled funds'!$E:$E,ROW())&gt;=1,--INDEX('Pooled funds'!$E:$E,ROW())/100,--INDEX('Pooled funds'!$E:$E,ROW())),0)</f>
        <v/>
      </c>
      <c r="U637">
        <f>IF(ISNUMBER(INDEX('Pooled funds'!$E:$E,ROW())),1,0)</f>
        <v/>
      </c>
      <c r="V637">
        <f>TRIM(SUBSTITUTE(INDEX('Loans'!$A:$A,ROW())&amp;""," "," "))</f>
        <v/>
      </c>
      <c r="W637">
        <f>TRIM(SUBSTITUTE(INDEX('Loans'!$B:$B,ROW())&amp;""," "," "))</f>
        <v/>
      </c>
      <c r="X637">
        <f>TRIM(SUBSTITUTE(INDEX('Loans'!$C:$C,ROW())&amp;""," "," "))</f>
        <v/>
      </c>
      <c r="Y637">
        <f>IFERROR(--INDEX('Loans'!$D:$D,ROW()),0)</f>
        <v/>
      </c>
      <c r="Z637">
        <f>IFERROR(--INDEX('Loans'!$E:$E,ROW()),0)</f>
        <v/>
      </c>
      <c r="AA637">
        <f>IFERROR(--INDEX('Loans'!$F:$F,ROW()),0)</f>
        <v/>
      </c>
      <c r="AB637">
        <f>IFERROR(IF(--INDEX('Loans'!$G:$G,ROW())&gt;=1,--INDEX('Loans'!$G:$G,ROW())/100,--INDEX('Loans'!$G:$G,ROW())),0)</f>
        <v/>
      </c>
      <c r="AC637">
        <f>TRIM(SUBSTITUTE(INDEX('Loans'!$H:$H,ROW())&amp;""," "," "))</f>
        <v/>
      </c>
      <c r="AD637">
        <f>TRIM(SUBSTITUTE(INDEX('Loans'!$I:$I,ROW())&amp;""," "," "))</f>
        <v/>
      </c>
      <c r="AE637">
        <f>IFERROR(--INDEX('Loans'!$J:$J,ROW()),0)</f>
        <v/>
      </c>
      <c r="AF637">
        <f>TRIM(SUBSTITUTE(INDEX('Loans'!$K:$K,ROW())&amp;""," "," "))</f>
        <v/>
      </c>
      <c r="AG637">
        <f>IFERROR(--INDEX('Loans'!$L:$L,ROW()),0)</f>
        <v/>
      </c>
      <c r="AH637">
        <f>IF(ISNUMBER(INDEX('Loans'!$G:$G,ROW())),1,0)</f>
        <v/>
      </c>
    </row>
    <row r="638">
      <c r="A638">
        <f>TRIM(SUBSTITUTE(INDEX('Term investments'!$A:$A,ROW())&amp;""," "," "))</f>
        <v/>
      </c>
      <c r="B638">
        <f>TRIM(SUBSTITUTE(INDEX('Term investments'!$B:$B,ROW())&amp;""," "," "))</f>
        <v/>
      </c>
      <c r="C638">
        <f>TRIM(SUBSTITUTE(INDEX('Term investments'!$C:$C,ROW())&amp;""," "," "))</f>
        <v/>
      </c>
      <c r="D638">
        <f>IFERROR(--INDEX('Term investments'!$D:$D,ROW()),0)</f>
        <v/>
      </c>
      <c r="E638">
        <f>IFERROR(--INDEX('Term investments'!$E:$E,ROW()),0)</f>
        <v/>
      </c>
      <c r="F638">
        <f>IFERROR(--INDEX('Term investments'!$F:$F,ROW()),0)</f>
        <v/>
      </c>
      <c r="G638">
        <f>IFERROR(IF(--INDEX('Term investments'!$G:$G,ROW())&gt;=1,--INDEX('Term investments'!$G:$G,ROW())/100,--INDEX('Term investments'!$G:$G,ROW())),0)</f>
        <v/>
      </c>
      <c r="H638">
        <f>IFERROR(--INDEX('Term investments'!$H:$H,ROW()),0)</f>
        <v/>
      </c>
      <c r="I638">
        <f>IF(ISNUMBER(INDEX('Term investments'!$G:$G,ROW())),1,0)</f>
        <v/>
      </c>
      <c r="J638">
        <f>TRIM(SUBSTITUTE(INDEX('Call accounts and MMFs'!$A:$A,ROW())&amp;""," "," "))</f>
        <v/>
      </c>
      <c r="K638">
        <f>TRIM(SUBSTITUTE(INDEX('Call accounts and MMFs'!$B:$B,ROW())&amp;""," "," "))</f>
        <v/>
      </c>
      <c r="L638">
        <f>TRIM(SUBSTITUTE(INDEX('Call accounts and MMFs'!$C:$C,ROW())&amp;""," "," "))</f>
        <v/>
      </c>
      <c r="M638">
        <f>IFERROR(--INDEX('Call accounts and MMFs'!$D:$D,ROW()),0)</f>
        <v/>
      </c>
      <c r="N638">
        <f>IFERROR(IF(--INDEX('Call accounts and MMFs'!$E:$E,ROW())&gt;=1,--INDEX('Call accounts and MMFs'!$E:$E,ROW())/100,--INDEX('Call accounts and MMFs'!$E:$E,ROW())),0)</f>
        <v/>
      </c>
      <c r="O638">
        <f>IFERROR(--INDEX('Call accounts and MMFs'!$F:$F,ROW()),0)</f>
        <v/>
      </c>
      <c r="P638">
        <f>IF(ISNUMBER(INDEX('Call accounts and MMFs'!$E:$E,ROW())),1,0)</f>
        <v/>
      </c>
      <c r="Q638">
        <f>TRIM(SUBSTITUTE(INDEX('Pooled funds'!$B:$B,ROW())&amp;""," "," "))</f>
        <v/>
      </c>
      <c r="R638">
        <f>IFERROR(--INDEX('Pooled funds'!$C:$C,ROW()),0)</f>
        <v/>
      </c>
      <c r="S638">
        <f>IFERROR(--INDEX('Pooled funds'!$D:$D,ROW()),0)</f>
        <v/>
      </c>
      <c r="T638">
        <f>IFERROR(IF(--INDEX('Pooled funds'!$E:$E,ROW())&gt;=1,--INDEX('Pooled funds'!$E:$E,ROW())/100,--INDEX('Pooled funds'!$E:$E,ROW())),0)</f>
        <v/>
      </c>
      <c r="U638">
        <f>IF(ISNUMBER(INDEX('Pooled funds'!$E:$E,ROW())),1,0)</f>
        <v/>
      </c>
      <c r="V638">
        <f>TRIM(SUBSTITUTE(INDEX('Loans'!$A:$A,ROW())&amp;""," "," "))</f>
        <v/>
      </c>
      <c r="W638">
        <f>TRIM(SUBSTITUTE(INDEX('Loans'!$B:$B,ROW())&amp;""," "," "))</f>
        <v/>
      </c>
      <c r="X638">
        <f>TRIM(SUBSTITUTE(INDEX('Loans'!$C:$C,ROW())&amp;""," "," "))</f>
        <v/>
      </c>
      <c r="Y638">
        <f>IFERROR(--INDEX('Loans'!$D:$D,ROW()),0)</f>
        <v/>
      </c>
      <c r="Z638">
        <f>IFERROR(--INDEX('Loans'!$E:$E,ROW()),0)</f>
        <v/>
      </c>
      <c r="AA638">
        <f>IFERROR(--INDEX('Loans'!$F:$F,ROW()),0)</f>
        <v/>
      </c>
      <c r="AB638">
        <f>IFERROR(IF(--INDEX('Loans'!$G:$G,ROW())&gt;=1,--INDEX('Loans'!$G:$G,ROW())/100,--INDEX('Loans'!$G:$G,ROW())),0)</f>
        <v/>
      </c>
      <c r="AC638">
        <f>TRIM(SUBSTITUTE(INDEX('Loans'!$H:$H,ROW())&amp;""," "," "))</f>
        <v/>
      </c>
      <c r="AD638">
        <f>TRIM(SUBSTITUTE(INDEX('Loans'!$I:$I,ROW())&amp;""," "," "))</f>
        <v/>
      </c>
      <c r="AE638">
        <f>IFERROR(--INDEX('Loans'!$J:$J,ROW()),0)</f>
        <v/>
      </c>
      <c r="AF638">
        <f>TRIM(SUBSTITUTE(INDEX('Loans'!$K:$K,ROW())&amp;""," "," "))</f>
        <v/>
      </c>
      <c r="AG638">
        <f>IFERROR(--INDEX('Loans'!$L:$L,ROW()),0)</f>
        <v/>
      </c>
      <c r="AH638">
        <f>IF(ISNUMBER(INDEX('Loans'!$G:$G,ROW())),1,0)</f>
        <v/>
      </c>
    </row>
    <row r="639">
      <c r="A639">
        <f>TRIM(SUBSTITUTE(INDEX('Term investments'!$A:$A,ROW())&amp;""," "," "))</f>
        <v/>
      </c>
      <c r="B639">
        <f>TRIM(SUBSTITUTE(INDEX('Term investments'!$B:$B,ROW())&amp;""," "," "))</f>
        <v/>
      </c>
      <c r="C639">
        <f>TRIM(SUBSTITUTE(INDEX('Term investments'!$C:$C,ROW())&amp;""," "," "))</f>
        <v/>
      </c>
      <c r="D639">
        <f>IFERROR(--INDEX('Term investments'!$D:$D,ROW()),0)</f>
        <v/>
      </c>
      <c r="E639">
        <f>IFERROR(--INDEX('Term investments'!$E:$E,ROW()),0)</f>
        <v/>
      </c>
      <c r="F639">
        <f>IFERROR(--INDEX('Term investments'!$F:$F,ROW()),0)</f>
        <v/>
      </c>
      <c r="G639">
        <f>IFERROR(IF(--INDEX('Term investments'!$G:$G,ROW())&gt;=1,--INDEX('Term investments'!$G:$G,ROW())/100,--INDEX('Term investments'!$G:$G,ROW())),0)</f>
        <v/>
      </c>
      <c r="H639">
        <f>IFERROR(--INDEX('Term investments'!$H:$H,ROW()),0)</f>
        <v/>
      </c>
      <c r="I639">
        <f>IF(ISNUMBER(INDEX('Term investments'!$G:$G,ROW())),1,0)</f>
        <v/>
      </c>
      <c r="J639">
        <f>TRIM(SUBSTITUTE(INDEX('Call accounts and MMFs'!$A:$A,ROW())&amp;""," "," "))</f>
        <v/>
      </c>
      <c r="K639">
        <f>TRIM(SUBSTITUTE(INDEX('Call accounts and MMFs'!$B:$B,ROW())&amp;""," "," "))</f>
        <v/>
      </c>
      <c r="L639">
        <f>TRIM(SUBSTITUTE(INDEX('Call accounts and MMFs'!$C:$C,ROW())&amp;""," "," "))</f>
        <v/>
      </c>
      <c r="M639">
        <f>IFERROR(--INDEX('Call accounts and MMFs'!$D:$D,ROW()),0)</f>
        <v/>
      </c>
      <c r="N639">
        <f>IFERROR(IF(--INDEX('Call accounts and MMFs'!$E:$E,ROW())&gt;=1,--INDEX('Call accounts and MMFs'!$E:$E,ROW())/100,--INDEX('Call accounts and MMFs'!$E:$E,ROW())),0)</f>
        <v/>
      </c>
      <c r="O639">
        <f>IFERROR(--INDEX('Call accounts and MMFs'!$F:$F,ROW()),0)</f>
        <v/>
      </c>
      <c r="P639">
        <f>IF(ISNUMBER(INDEX('Call accounts and MMFs'!$E:$E,ROW())),1,0)</f>
        <v/>
      </c>
      <c r="Q639">
        <f>TRIM(SUBSTITUTE(INDEX('Pooled funds'!$B:$B,ROW())&amp;""," "," "))</f>
        <v/>
      </c>
      <c r="R639">
        <f>IFERROR(--INDEX('Pooled funds'!$C:$C,ROW()),0)</f>
        <v/>
      </c>
      <c r="S639">
        <f>IFERROR(--INDEX('Pooled funds'!$D:$D,ROW()),0)</f>
        <v/>
      </c>
      <c r="T639">
        <f>IFERROR(IF(--INDEX('Pooled funds'!$E:$E,ROW())&gt;=1,--INDEX('Pooled funds'!$E:$E,ROW())/100,--INDEX('Pooled funds'!$E:$E,ROW())),0)</f>
        <v/>
      </c>
      <c r="U639">
        <f>IF(ISNUMBER(INDEX('Pooled funds'!$E:$E,ROW())),1,0)</f>
        <v/>
      </c>
      <c r="V639">
        <f>TRIM(SUBSTITUTE(INDEX('Loans'!$A:$A,ROW())&amp;""," "," "))</f>
        <v/>
      </c>
      <c r="W639">
        <f>TRIM(SUBSTITUTE(INDEX('Loans'!$B:$B,ROW())&amp;""," "," "))</f>
        <v/>
      </c>
      <c r="X639">
        <f>TRIM(SUBSTITUTE(INDEX('Loans'!$C:$C,ROW())&amp;""," "," "))</f>
        <v/>
      </c>
      <c r="Y639">
        <f>IFERROR(--INDEX('Loans'!$D:$D,ROW()),0)</f>
        <v/>
      </c>
      <c r="Z639">
        <f>IFERROR(--INDEX('Loans'!$E:$E,ROW()),0)</f>
        <v/>
      </c>
      <c r="AA639">
        <f>IFERROR(--INDEX('Loans'!$F:$F,ROW()),0)</f>
        <v/>
      </c>
      <c r="AB639">
        <f>IFERROR(IF(--INDEX('Loans'!$G:$G,ROW())&gt;=1,--INDEX('Loans'!$G:$G,ROW())/100,--INDEX('Loans'!$G:$G,ROW())),0)</f>
        <v/>
      </c>
      <c r="AC639">
        <f>TRIM(SUBSTITUTE(INDEX('Loans'!$H:$H,ROW())&amp;""," "," "))</f>
        <v/>
      </c>
      <c r="AD639">
        <f>TRIM(SUBSTITUTE(INDEX('Loans'!$I:$I,ROW())&amp;""," "," "))</f>
        <v/>
      </c>
      <c r="AE639">
        <f>IFERROR(--INDEX('Loans'!$J:$J,ROW()),0)</f>
        <v/>
      </c>
      <c r="AF639">
        <f>TRIM(SUBSTITUTE(INDEX('Loans'!$K:$K,ROW())&amp;""," "," "))</f>
        <v/>
      </c>
      <c r="AG639">
        <f>IFERROR(--INDEX('Loans'!$L:$L,ROW()),0)</f>
        <v/>
      </c>
      <c r="AH639">
        <f>IF(ISNUMBER(INDEX('Loans'!$G:$G,ROW())),1,0)</f>
        <v/>
      </c>
    </row>
    <row r="640">
      <c r="A640">
        <f>TRIM(SUBSTITUTE(INDEX('Term investments'!$A:$A,ROW())&amp;""," "," "))</f>
        <v/>
      </c>
      <c r="B640">
        <f>TRIM(SUBSTITUTE(INDEX('Term investments'!$B:$B,ROW())&amp;""," "," "))</f>
        <v/>
      </c>
      <c r="C640">
        <f>TRIM(SUBSTITUTE(INDEX('Term investments'!$C:$C,ROW())&amp;""," "," "))</f>
        <v/>
      </c>
      <c r="D640">
        <f>IFERROR(--INDEX('Term investments'!$D:$D,ROW()),0)</f>
        <v/>
      </c>
      <c r="E640">
        <f>IFERROR(--INDEX('Term investments'!$E:$E,ROW()),0)</f>
        <v/>
      </c>
      <c r="F640">
        <f>IFERROR(--INDEX('Term investments'!$F:$F,ROW()),0)</f>
        <v/>
      </c>
      <c r="G640">
        <f>IFERROR(IF(--INDEX('Term investments'!$G:$G,ROW())&gt;=1,--INDEX('Term investments'!$G:$G,ROW())/100,--INDEX('Term investments'!$G:$G,ROW())),0)</f>
        <v/>
      </c>
      <c r="H640">
        <f>IFERROR(--INDEX('Term investments'!$H:$H,ROW()),0)</f>
        <v/>
      </c>
      <c r="I640">
        <f>IF(ISNUMBER(INDEX('Term investments'!$G:$G,ROW())),1,0)</f>
        <v/>
      </c>
      <c r="J640">
        <f>TRIM(SUBSTITUTE(INDEX('Call accounts and MMFs'!$A:$A,ROW())&amp;""," "," "))</f>
        <v/>
      </c>
      <c r="K640">
        <f>TRIM(SUBSTITUTE(INDEX('Call accounts and MMFs'!$B:$B,ROW())&amp;""," "," "))</f>
        <v/>
      </c>
      <c r="L640">
        <f>TRIM(SUBSTITUTE(INDEX('Call accounts and MMFs'!$C:$C,ROW())&amp;""," "," "))</f>
        <v/>
      </c>
      <c r="M640">
        <f>IFERROR(--INDEX('Call accounts and MMFs'!$D:$D,ROW()),0)</f>
        <v/>
      </c>
      <c r="N640">
        <f>IFERROR(IF(--INDEX('Call accounts and MMFs'!$E:$E,ROW())&gt;=1,--INDEX('Call accounts and MMFs'!$E:$E,ROW())/100,--INDEX('Call accounts and MMFs'!$E:$E,ROW())),0)</f>
        <v/>
      </c>
      <c r="O640">
        <f>IFERROR(--INDEX('Call accounts and MMFs'!$F:$F,ROW()),0)</f>
        <v/>
      </c>
      <c r="P640">
        <f>IF(ISNUMBER(INDEX('Call accounts and MMFs'!$E:$E,ROW())),1,0)</f>
        <v/>
      </c>
      <c r="Q640">
        <f>TRIM(SUBSTITUTE(INDEX('Pooled funds'!$B:$B,ROW())&amp;""," "," "))</f>
        <v/>
      </c>
      <c r="R640">
        <f>IFERROR(--INDEX('Pooled funds'!$C:$C,ROW()),0)</f>
        <v/>
      </c>
      <c r="S640">
        <f>IFERROR(--INDEX('Pooled funds'!$D:$D,ROW()),0)</f>
        <v/>
      </c>
      <c r="T640">
        <f>IFERROR(IF(--INDEX('Pooled funds'!$E:$E,ROW())&gt;=1,--INDEX('Pooled funds'!$E:$E,ROW())/100,--INDEX('Pooled funds'!$E:$E,ROW())),0)</f>
        <v/>
      </c>
      <c r="U640">
        <f>IF(ISNUMBER(INDEX('Pooled funds'!$E:$E,ROW())),1,0)</f>
        <v/>
      </c>
      <c r="V640">
        <f>TRIM(SUBSTITUTE(INDEX('Loans'!$A:$A,ROW())&amp;""," "," "))</f>
        <v/>
      </c>
      <c r="W640">
        <f>TRIM(SUBSTITUTE(INDEX('Loans'!$B:$B,ROW())&amp;""," "," "))</f>
        <v/>
      </c>
      <c r="X640">
        <f>TRIM(SUBSTITUTE(INDEX('Loans'!$C:$C,ROW())&amp;""," "," "))</f>
        <v/>
      </c>
      <c r="Y640">
        <f>IFERROR(--INDEX('Loans'!$D:$D,ROW()),0)</f>
        <v/>
      </c>
      <c r="Z640">
        <f>IFERROR(--INDEX('Loans'!$E:$E,ROW()),0)</f>
        <v/>
      </c>
      <c r="AA640">
        <f>IFERROR(--INDEX('Loans'!$F:$F,ROW()),0)</f>
        <v/>
      </c>
      <c r="AB640">
        <f>IFERROR(IF(--INDEX('Loans'!$G:$G,ROW())&gt;=1,--INDEX('Loans'!$G:$G,ROW())/100,--INDEX('Loans'!$G:$G,ROW())),0)</f>
        <v/>
      </c>
      <c r="AC640">
        <f>TRIM(SUBSTITUTE(INDEX('Loans'!$H:$H,ROW())&amp;""," "," "))</f>
        <v/>
      </c>
      <c r="AD640">
        <f>TRIM(SUBSTITUTE(INDEX('Loans'!$I:$I,ROW())&amp;""," "," "))</f>
        <v/>
      </c>
      <c r="AE640">
        <f>IFERROR(--INDEX('Loans'!$J:$J,ROW()),0)</f>
        <v/>
      </c>
      <c r="AF640">
        <f>TRIM(SUBSTITUTE(INDEX('Loans'!$K:$K,ROW())&amp;""," "," "))</f>
        <v/>
      </c>
      <c r="AG640">
        <f>IFERROR(--INDEX('Loans'!$L:$L,ROW()),0)</f>
        <v/>
      </c>
      <c r="AH640">
        <f>IF(ISNUMBER(INDEX('Loans'!$G:$G,ROW())),1,0)</f>
        <v/>
      </c>
    </row>
    <row r="641">
      <c r="A641">
        <f>TRIM(SUBSTITUTE(INDEX('Term investments'!$A:$A,ROW())&amp;""," "," "))</f>
        <v/>
      </c>
      <c r="B641">
        <f>TRIM(SUBSTITUTE(INDEX('Term investments'!$B:$B,ROW())&amp;""," "," "))</f>
        <v/>
      </c>
      <c r="C641">
        <f>TRIM(SUBSTITUTE(INDEX('Term investments'!$C:$C,ROW())&amp;""," "," "))</f>
        <v/>
      </c>
      <c r="D641">
        <f>IFERROR(--INDEX('Term investments'!$D:$D,ROW()),0)</f>
        <v/>
      </c>
      <c r="E641">
        <f>IFERROR(--INDEX('Term investments'!$E:$E,ROW()),0)</f>
        <v/>
      </c>
      <c r="F641">
        <f>IFERROR(--INDEX('Term investments'!$F:$F,ROW()),0)</f>
        <v/>
      </c>
      <c r="G641">
        <f>IFERROR(IF(--INDEX('Term investments'!$G:$G,ROW())&gt;=1,--INDEX('Term investments'!$G:$G,ROW())/100,--INDEX('Term investments'!$G:$G,ROW())),0)</f>
        <v/>
      </c>
      <c r="H641">
        <f>IFERROR(--INDEX('Term investments'!$H:$H,ROW()),0)</f>
        <v/>
      </c>
      <c r="I641">
        <f>IF(ISNUMBER(INDEX('Term investments'!$G:$G,ROW())),1,0)</f>
        <v/>
      </c>
      <c r="J641">
        <f>TRIM(SUBSTITUTE(INDEX('Call accounts and MMFs'!$A:$A,ROW())&amp;""," "," "))</f>
        <v/>
      </c>
      <c r="K641">
        <f>TRIM(SUBSTITUTE(INDEX('Call accounts and MMFs'!$B:$B,ROW())&amp;""," "," "))</f>
        <v/>
      </c>
      <c r="L641">
        <f>TRIM(SUBSTITUTE(INDEX('Call accounts and MMFs'!$C:$C,ROW())&amp;""," "," "))</f>
        <v/>
      </c>
      <c r="M641">
        <f>IFERROR(--INDEX('Call accounts and MMFs'!$D:$D,ROW()),0)</f>
        <v/>
      </c>
      <c r="N641">
        <f>IFERROR(IF(--INDEX('Call accounts and MMFs'!$E:$E,ROW())&gt;=1,--INDEX('Call accounts and MMFs'!$E:$E,ROW())/100,--INDEX('Call accounts and MMFs'!$E:$E,ROW())),0)</f>
        <v/>
      </c>
      <c r="O641">
        <f>IFERROR(--INDEX('Call accounts and MMFs'!$F:$F,ROW()),0)</f>
        <v/>
      </c>
      <c r="P641">
        <f>IF(ISNUMBER(INDEX('Call accounts and MMFs'!$E:$E,ROW())),1,0)</f>
        <v/>
      </c>
      <c r="Q641">
        <f>TRIM(SUBSTITUTE(INDEX('Pooled funds'!$B:$B,ROW())&amp;""," "," "))</f>
        <v/>
      </c>
      <c r="R641">
        <f>IFERROR(--INDEX('Pooled funds'!$C:$C,ROW()),0)</f>
        <v/>
      </c>
      <c r="S641">
        <f>IFERROR(--INDEX('Pooled funds'!$D:$D,ROW()),0)</f>
        <v/>
      </c>
      <c r="T641">
        <f>IFERROR(IF(--INDEX('Pooled funds'!$E:$E,ROW())&gt;=1,--INDEX('Pooled funds'!$E:$E,ROW())/100,--INDEX('Pooled funds'!$E:$E,ROW())),0)</f>
        <v/>
      </c>
      <c r="U641">
        <f>IF(ISNUMBER(INDEX('Pooled funds'!$E:$E,ROW())),1,0)</f>
        <v/>
      </c>
      <c r="V641">
        <f>TRIM(SUBSTITUTE(INDEX('Loans'!$A:$A,ROW())&amp;""," "," "))</f>
        <v/>
      </c>
      <c r="W641">
        <f>TRIM(SUBSTITUTE(INDEX('Loans'!$B:$B,ROW())&amp;""," "," "))</f>
        <v/>
      </c>
      <c r="X641">
        <f>TRIM(SUBSTITUTE(INDEX('Loans'!$C:$C,ROW())&amp;""," "," "))</f>
        <v/>
      </c>
      <c r="Y641">
        <f>IFERROR(--INDEX('Loans'!$D:$D,ROW()),0)</f>
        <v/>
      </c>
      <c r="Z641">
        <f>IFERROR(--INDEX('Loans'!$E:$E,ROW()),0)</f>
        <v/>
      </c>
      <c r="AA641">
        <f>IFERROR(--INDEX('Loans'!$F:$F,ROW()),0)</f>
        <v/>
      </c>
      <c r="AB641">
        <f>IFERROR(IF(--INDEX('Loans'!$G:$G,ROW())&gt;=1,--INDEX('Loans'!$G:$G,ROW())/100,--INDEX('Loans'!$G:$G,ROW())),0)</f>
        <v/>
      </c>
      <c r="AC641">
        <f>TRIM(SUBSTITUTE(INDEX('Loans'!$H:$H,ROW())&amp;""," "," "))</f>
        <v/>
      </c>
      <c r="AD641">
        <f>TRIM(SUBSTITUTE(INDEX('Loans'!$I:$I,ROW())&amp;""," "," "))</f>
        <v/>
      </c>
      <c r="AE641">
        <f>IFERROR(--INDEX('Loans'!$J:$J,ROW()),0)</f>
        <v/>
      </c>
      <c r="AF641">
        <f>TRIM(SUBSTITUTE(INDEX('Loans'!$K:$K,ROW())&amp;""," "," "))</f>
        <v/>
      </c>
      <c r="AG641">
        <f>IFERROR(--INDEX('Loans'!$L:$L,ROW()),0)</f>
        <v/>
      </c>
      <c r="AH641">
        <f>IF(ISNUMBER(INDEX('Loans'!$G:$G,ROW())),1,0)</f>
        <v/>
      </c>
    </row>
    <row r="642">
      <c r="A642">
        <f>TRIM(SUBSTITUTE(INDEX('Term investments'!$A:$A,ROW())&amp;""," "," "))</f>
        <v/>
      </c>
      <c r="B642">
        <f>TRIM(SUBSTITUTE(INDEX('Term investments'!$B:$B,ROW())&amp;""," "," "))</f>
        <v/>
      </c>
      <c r="C642">
        <f>TRIM(SUBSTITUTE(INDEX('Term investments'!$C:$C,ROW())&amp;""," "," "))</f>
        <v/>
      </c>
      <c r="D642">
        <f>IFERROR(--INDEX('Term investments'!$D:$D,ROW()),0)</f>
        <v/>
      </c>
      <c r="E642">
        <f>IFERROR(--INDEX('Term investments'!$E:$E,ROW()),0)</f>
        <v/>
      </c>
      <c r="F642">
        <f>IFERROR(--INDEX('Term investments'!$F:$F,ROW()),0)</f>
        <v/>
      </c>
      <c r="G642">
        <f>IFERROR(IF(--INDEX('Term investments'!$G:$G,ROW())&gt;=1,--INDEX('Term investments'!$G:$G,ROW())/100,--INDEX('Term investments'!$G:$G,ROW())),0)</f>
        <v/>
      </c>
      <c r="H642">
        <f>IFERROR(--INDEX('Term investments'!$H:$H,ROW()),0)</f>
        <v/>
      </c>
      <c r="I642">
        <f>IF(ISNUMBER(INDEX('Term investments'!$G:$G,ROW())),1,0)</f>
        <v/>
      </c>
      <c r="J642">
        <f>TRIM(SUBSTITUTE(INDEX('Call accounts and MMFs'!$A:$A,ROW())&amp;""," "," "))</f>
        <v/>
      </c>
      <c r="K642">
        <f>TRIM(SUBSTITUTE(INDEX('Call accounts and MMFs'!$B:$B,ROW())&amp;""," "," "))</f>
        <v/>
      </c>
      <c r="L642">
        <f>TRIM(SUBSTITUTE(INDEX('Call accounts and MMFs'!$C:$C,ROW())&amp;""," "," "))</f>
        <v/>
      </c>
      <c r="M642">
        <f>IFERROR(--INDEX('Call accounts and MMFs'!$D:$D,ROW()),0)</f>
        <v/>
      </c>
      <c r="N642">
        <f>IFERROR(IF(--INDEX('Call accounts and MMFs'!$E:$E,ROW())&gt;=1,--INDEX('Call accounts and MMFs'!$E:$E,ROW())/100,--INDEX('Call accounts and MMFs'!$E:$E,ROW())),0)</f>
        <v/>
      </c>
      <c r="O642">
        <f>IFERROR(--INDEX('Call accounts and MMFs'!$F:$F,ROW()),0)</f>
        <v/>
      </c>
      <c r="P642">
        <f>IF(ISNUMBER(INDEX('Call accounts and MMFs'!$E:$E,ROW())),1,0)</f>
        <v/>
      </c>
      <c r="Q642">
        <f>TRIM(SUBSTITUTE(INDEX('Pooled funds'!$B:$B,ROW())&amp;""," "," "))</f>
        <v/>
      </c>
      <c r="R642">
        <f>IFERROR(--INDEX('Pooled funds'!$C:$C,ROW()),0)</f>
        <v/>
      </c>
      <c r="S642">
        <f>IFERROR(--INDEX('Pooled funds'!$D:$D,ROW()),0)</f>
        <v/>
      </c>
      <c r="T642">
        <f>IFERROR(IF(--INDEX('Pooled funds'!$E:$E,ROW())&gt;=1,--INDEX('Pooled funds'!$E:$E,ROW())/100,--INDEX('Pooled funds'!$E:$E,ROW())),0)</f>
        <v/>
      </c>
      <c r="U642">
        <f>IF(ISNUMBER(INDEX('Pooled funds'!$E:$E,ROW())),1,0)</f>
        <v/>
      </c>
      <c r="V642">
        <f>TRIM(SUBSTITUTE(INDEX('Loans'!$A:$A,ROW())&amp;""," "," "))</f>
        <v/>
      </c>
      <c r="W642">
        <f>TRIM(SUBSTITUTE(INDEX('Loans'!$B:$B,ROW())&amp;""," "," "))</f>
        <v/>
      </c>
      <c r="X642">
        <f>TRIM(SUBSTITUTE(INDEX('Loans'!$C:$C,ROW())&amp;""," "," "))</f>
        <v/>
      </c>
      <c r="Y642">
        <f>IFERROR(--INDEX('Loans'!$D:$D,ROW()),0)</f>
        <v/>
      </c>
      <c r="Z642">
        <f>IFERROR(--INDEX('Loans'!$E:$E,ROW()),0)</f>
        <v/>
      </c>
      <c r="AA642">
        <f>IFERROR(--INDEX('Loans'!$F:$F,ROW()),0)</f>
        <v/>
      </c>
      <c r="AB642">
        <f>IFERROR(IF(--INDEX('Loans'!$G:$G,ROW())&gt;=1,--INDEX('Loans'!$G:$G,ROW())/100,--INDEX('Loans'!$G:$G,ROW())),0)</f>
        <v/>
      </c>
      <c r="AC642">
        <f>TRIM(SUBSTITUTE(INDEX('Loans'!$H:$H,ROW())&amp;""," "," "))</f>
        <v/>
      </c>
      <c r="AD642">
        <f>TRIM(SUBSTITUTE(INDEX('Loans'!$I:$I,ROW())&amp;""," "," "))</f>
        <v/>
      </c>
      <c r="AE642">
        <f>IFERROR(--INDEX('Loans'!$J:$J,ROW()),0)</f>
        <v/>
      </c>
      <c r="AF642">
        <f>TRIM(SUBSTITUTE(INDEX('Loans'!$K:$K,ROW())&amp;""," "," "))</f>
        <v/>
      </c>
      <c r="AG642">
        <f>IFERROR(--INDEX('Loans'!$L:$L,ROW()),0)</f>
        <v/>
      </c>
      <c r="AH642">
        <f>IF(ISNUMBER(INDEX('Loans'!$G:$G,ROW())),1,0)</f>
        <v/>
      </c>
    </row>
    <row r="643">
      <c r="A643">
        <f>TRIM(SUBSTITUTE(INDEX('Term investments'!$A:$A,ROW())&amp;""," "," "))</f>
        <v/>
      </c>
      <c r="B643">
        <f>TRIM(SUBSTITUTE(INDEX('Term investments'!$B:$B,ROW())&amp;""," "," "))</f>
        <v/>
      </c>
      <c r="C643">
        <f>TRIM(SUBSTITUTE(INDEX('Term investments'!$C:$C,ROW())&amp;""," "," "))</f>
        <v/>
      </c>
      <c r="D643">
        <f>IFERROR(--INDEX('Term investments'!$D:$D,ROW()),0)</f>
        <v/>
      </c>
      <c r="E643">
        <f>IFERROR(--INDEX('Term investments'!$E:$E,ROW()),0)</f>
        <v/>
      </c>
      <c r="F643">
        <f>IFERROR(--INDEX('Term investments'!$F:$F,ROW()),0)</f>
        <v/>
      </c>
      <c r="G643">
        <f>IFERROR(IF(--INDEX('Term investments'!$G:$G,ROW())&gt;=1,--INDEX('Term investments'!$G:$G,ROW())/100,--INDEX('Term investments'!$G:$G,ROW())),0)</f>
        <v/>
      </c>
      <c r="H643">
        <f>IFERROR(--INDEX('Term investments'!$H:$H,ROW()),0)</f>
        <v/>
      </c>
      <c r="I643">
        <f>IF(ISNUMBER(INDEX('Term investments'!$G:$G,ROW())),1,0)</f>
        <v/>
      </c>
      <c r="J643">
        <f>TRIM(SUBSTITUTE(INDEX('Call accounts and MMFs'!$A:$A,ROW())&amp;""," "," "))</f>
        <v/>
      </c>
      <c r="K643">
        <f>TRIM(SUBSTITUTE(INDEX('Call accounts and MMFs'!$B:$B,ROW())&amp;""," "," "))</f>
        <v/>
      </c>
      <c r="L643">
        <f>TRIM(SUBSTITUTE(INDEX('Call accounts and MMFs'!$C:$C,ROW())&amp;""," "," "))</f>
        <v/>
      </c>
      <c r="M643">
        <f>IFERROR(--INDEX('Call accounts and MMFs'!$D:$D,ROW()),0)</f>
        <v/>
      </c>
      <c r="N643">
        <f>IFERROR(IF(--INDEX('Call accounts and MMFs'!$E:$E,ROW())&gt;=1,--INDEX('Call accounts and MMFs'!$E:$E,ROW())/100,--INDEX('Call accounts and MMFs'!$E:$E,ROW())),0)</f>
        <v/>
      </c>
      <c r="O643">
        <f>IFERROR(--INDEX('Call accounts and MMFs'!$F:$F,ROW()),0)</f>
        <v/>
      </c>
      <c r="P643">
        <f>IF(ISNUMBER(INDEX('Call accounts and MMFs'!$E:$E,ROW())),1,0)</f>
        <v/>
      </c>
      <c r="Q643">
        <f>TRIM(SUBSTITUTE(INDEX('Pooled funds'!$B:$B,ROW())&amp;""," "," "))</f>
        <v/>
      </c>
      <c r="R643">
        <f>IFERROR(--INDEX('Pooled funds'!$C:$C,ROW()),0)</f>
        <v/>
      </c>
      <c r="S643">
        <f>IFERROR(--INDEX('Pooled funds'!$D:$D,ROW()),0)</f>
        <v/>
      </c>
      <c r="T643">
        <f>IFERROR(IF(--INDEX('Pooled funds'!$E:$E,ROW())&gt;=1,--INDEX('Pooled funds'!$E:$E,ROW())/100,--INDEX('Pooled funds'!$E:$E,ROW())),0)</f>
        <v/>
      </c>
      <c r="U643">
        <f>IF(ISNUMBER(INDEX('Pooled funds'!$E:$E,ROW())),1,0)</f>
        <v/>
      </c>
      <c r="V643">
        <f>TRIM(SUBSTITUTE(INDEX('Loans'!$A:$A,ROW())&amp;""," "," "))</f>
        <v/>
      </c>
      <c r="W643">
        <f>TRIM(SUBSTITUTE(INDEX('Loans'!$B:$B,ROW())&amp;""," "," "))</f>
        <v/>
      </c>
      <c r="X643">
        <f>TRIM(SUBSTITUTE(INDEX('Loans'!$C:$C,ROW())&amp;""," "," "))</f>
        <v/>
      </c>
      <c r="Y643">
        <f>IFERROR(--INDEX('Loans'!$D:$D,ROW()),0)</f>
        <v/>
      </c>
      <c r="Z643">
        <f>IFERROR(--INDEX('Loans'!$E:$E,ROW()),0)</f>
        <v/>
      </c>
      <c r="AA643">
        <f>IFERROR(--INDEX('Loans'!$F:$F,ROW()),0)</f>
        <v/>
      </c>
      <c r="AB643">
        <f>IFERROR(IF(--INDEX('Loans'!$G:$G,ROW())&gt;=1,--INDEX('Loans'!$G:$G,ROW())/100,--INDEX('Loans'!$G:$G,ROW())),0)</f>
        <v/>
      </c>
      <c r="AC643">
        <f>TRIM(SUBSTITUTE(INDEX('Loans'!$H:$H,ROW())&amp;""," "," "))</f>
        <v/>
      </c>
      <c r="AD643">
        <f>TRIM(SUBSTITUTE(INDEX('Loans'!$I:$I,ROW())&amp;""," "," "))</f>
        <v/>
      </c>
      <c r="AE643">
        <f>IFERROR(--INDEX('Loans'!$J:$J,ROW()),0)</f>
        <v/>
      </c>
      <c r="AF643">
        <f>TRIM(SUBSTITUTE(INDEX('Loans'!$K:$K,ROW())&amp;""," "," "))</f>
        <v/>
      </c>
      <c r="AG643">
        <f>IFERROR(--INDEX('Loans'!$L:$L,ROW()),0)</f>
        <v/>
      </c>
      <c r="AH643">
        <f>IF(ISNUMBER(INDEX('Loans'!$G:$G,ROW())),1,0)</f>
        <v/>
      </c>
    </row>
    <row r="644">
      <c r="A644">
        <f>TRIM(SUBSTITUTE(INDEX('Term investments'!$A:$A,ROW())&amp;""," "," "))</f>
        <v/>
      </c>
      <c r="B644">
        <f>TRIM(SUBSTITUTE(INDEX('Term investments'!$B:$B,ROW())&amp;""," "," "))</f>
        <v/>
      </c>
      <c r="C644">
        <f>TRIM(SUBSTITUTE(INDEX('Term investments'!$C:$C,ROW())&amp;""," "," "))</f>
        <v/>
      </c>
      <c r="D644">
        <f>IFERROR(--INDEX('Term investments'!$D:$D,ROW()),0)</f>
        <v/>
      </c>
      <c r="E644">
        <f>IFERROR(--INDEX('Term investments'!$E:$E,ROW()),0)</f>
        <v/>
      </c>
      <c r="F644">
        <f>IFERROR(--INDEX('Term investments'!$F:$F,ROW()),0)</f>
        <v/>
      </c>
      <c r="G644">
        <f>IFERROR(IF(--INDEX('Term investments'!$G:$G,ROW())&gt;=1,--INDEX('Term investments'!$G:$G,ROW())/100,--INDEX('Term investments'!$G:$G,ROW())),0)</f>
        <v/>
      </c>
      <c r="H644">
        <f>IFERROR(--INDEX('Term investments'!$H:$H,ROW()),0)</f>
        <v/>
      </c>
      <c r="I644">
        <f>IF(ISNUMBER(INDEX('Term investments'!$G:$G,ROW())),1,0)</f>
        <v/>
      </c>
      <c r="J644">
        <f>TRIM(SUBSTITUTE(INDEX('Call accounts and MMFs'!$A:$A,ROW())&amp;""," "," "))</f>
        <v/>
      </c>
      <c r="K644">
        <f>TRIM(SUBSTITUTE(INDEX('Call accounts and MMFs'!$B:$B,ROW())&amp;""," "," "))</f>
        <v/>
      </c>
      <c r="L644">
        <f>TRIM(SUBSTITUTE(INDEX('Call accounts and MMFs'!$C:$C,ROW())&amp;""," "," "))</f>
        <v/>
      </c>
      <c r="M644">
        <f>IFERROR(--INDEX('Call accounts and MMFs'!$D:$D,ROW()),0)</f>
        <v/>
      </c>
      <c r="N644">
        <f>IFERROR(IF(--INDEX('Call accounts and MMFs'!$E:$E,ROW())&gt;=1,--INDEX('Call accounts and MMFs'!$E:$E,ROW())/100,--INDEX('Call accounts and MMFs'!$E:$E,ROW())),0)</f>
        <v/>
      </c>
      <c r="O644">
        <f>IFERROR(--INDEX('Call accounts and MMFs'!$F:$F,ROW()),0)</f>
        <v/>
      </c>
      <c r="P644">
        <f>IF(ISNUMBER(INDEX('Call accounts and MMFs'!$E:$E,ROW())),1,0)</f>
        <v/>
      </c>
      <c r="Q644">
        <f>TRIM(SUBSTITUTE(INDEX('Pooled funds'!$B:$B,ROW())&amp;""," "," "))</f>
        <v/>
      </c>
      <c r="R644">
        <f>IFERROR(--INDEX('Pooled funds'!$C:$C,ROW()),0)</f>
        <v/>
      </c>
      <c r="S644">
        <f>IFERROR(--INDEX('Pooled funds'!$D:$D,ROW()),0)</f>
        <v/>
      </c>
      <c r="T644">
        <f>IFERROR(IF(--INDEX('Pooled funds'!$E:$E,ROW())&gt;=1,--INDEX('Pooled funds'!$E:$E,ROW())/100,--INDEX('Pooled funds'!$E:$E,ROW())),0)</f>
        <v/>
      </c>
      <c r="U644">
        <f>IF(ISNUMBER(INDEX('Pooled funds'!$E:$E,ROW())),1,0)</f>
        <v/>
      </c>
      <c r="V644">
        <f>TRIM(SUBSTITUTE(INDEX('Loans'!$A:$A,ROW())&amp;""," "," "))</f>
        <v/>
      </c>
      <c r="W644">
        <f>TRIM(SUBSTITUTE(INDEX('Loans'!$B:$B,ROW())&amp;""," "," "))</f>
        <v/>
      </c>
      <c r="X644">
        <f>TRIM(SUBSTITUTE(INDEX('Loans'!$C:$C,ROW())&amp;""," "," "))</f>
        <v/>
      </c>
      <c r="Y644">
        <f>IFERROR(--INDEX('Loans'!$D:$D,ROW()),0)</f>
        <v/>
      </c>
      <c r="Z644">
        <f>IFERROR(--INDEX('Loans'!$E:$E,ROW()),0)</f>
        <v/>
      </c>
      <c r="AA644">
        <f>IFERROR(--INDEX('Loans'!$F:$F,ROW()),0)</f>
        <v/>
      </c>
      <c r="AB644">
        <f>IFERROR(IF(--INDEX('Loans'!$G:$G,ROW())&gt;=1,--INDEX('Loans'!$G:$G,ROW())/100,--INDEX('Loans'!$G:$G,ROW())),0)</f>
        <v/>
      </c>
      <c r="AC644">
        <f>TRIM(SUBSTITUTE(INDEX('Loans'!$H:$H,ROW())&amp;""," "," "))</f>
        <v/>
      </c>
      <c r="AD644">
        <f>TRIM(SUBSTITUTE(INDEX('Loans'!$I:$I,ROW())&amp;""," "," "))</f>
        <v/>
      </c>
      <c r="AE644">
        <f>IFERROR(--INDEX('Loans'!$J:$J,ROW()),0)</f>
        <v/>
      </c>
      <c r="AF644">
        <f>TRIM(SUBSTITUTE(INDEX('Loans'!$K:$K,ROW())&amp;""," "," "))</f>
        <v/>
      </c>
      <c r="AG644">
        <f>IFERROR(--INDEX('Loans'!$L:$L,ROW()),0)</f>
        <v/>
      </c>
      <c r="AH644">
        <f>IF(ISNUMBER(INDEX('Loans'!$G:$G,ROW())),1,0)</f>
        <v/>
      </c>
    </row>
    <row r="645">
      <c r="A645">
        <f>TRIM(SUBSTITUTE(INDEX('Term investments'!$A:$A,ROW())&amp;""," "," "))</f>
        <v/>
      </c>
      <c r="B645">
        <f>TRIM(SUBSTITUTE(INDEX('Term investments'!$B:$B,ROW())&amp;""," "," "))</f>
        <v/>
      </c>
      <c r="C645">
        <f>TRIM(SUBSTITUTE(INDEX('Term investments'!$C:$C,ROW())&amp;""," "," "))</f>
        <v/>
      </c>
      <c r="D645">
        <f>IFERROR(--INDEX('Term investments'!$D:$D,ROW()),0)</f>
        <v/>
      </c>
      <c r="E645">
        <f>IFERROR(--INDEX('Term investments'!$E:$E,ROW()),0)</f>
        <v/>
      </c>
      <c r="F645">
        <f>IFERROR(--INDEX('Term investments'!$F:$F,ROW()),0)</f>
        <v/>
      </c>
      <c r="G645">
        <f>IFERROR(IF(--INDEX('Term investments'!$G:$G,ROW())&gt;=1,--INDEX('Term investments'!$G:$G,ROW())/100,--INDEX('Term investments'!$G:$G,ROW())),0)</f>
        <v/>
      </c>
      <c r="H645">
        <f>IFERROR(--INDEX('Term investments'!$H:$H,ROW()),0)</f>
        <v/>
      </c>
      <c r="I645">
        <f>IF(ISNUMBER(INDEX('Term investments'!$G:$G,ROW())),1,0)</f>
        <v/>
      </c>
      <c r="J645">
        <f>TRIM(SUBSTITUTE(INDEX('Call accounts and MMFs'!$A:$A,ROW())&amp;""," "," "))</f>
        <v/>
      </c>
      <c r="K645">
        <f>TRIM(SUBSTITUTE(INDEX('Call accounts and MMFs'!$B:$B,ROW())&amp;""," "," "))</f>
        <v/>
      </c>
      <c r="L645">
        <f>TRIM(SUBSTITUTE(INDEX('Call accounts and MMFs'!$C:$C,ROW())&amp;""," "," "))</f>
        <v/>
      </c>
      <c r="M645">
        <f>IFERROR(--INDEX('Call accounts and MMFs'!$D:$D,ROW()),0)</f>
        <v/>
      </c>
      <c r="N645">
        <f>IFERROR(IF(--INDEX('Call accounts and MMFs'!$E:$E,ROW())&gt;=1,--INDEX('Call accounts and MMFs'!$E:$E,ROW())/100,--INDEX('Call accounts and MMFs'!$E:$E,ROW())),0)</f>
        <v/>
      </c>
      <c r="O645">
        <f>IFERROR(--INDEX('Call accounts and MMFs'!$F:$F,ROW()),0)</f>
        <v/>
      </c>
      <c r="P645">
        <f>IF(ISNUMBER(INDEX('Call accounts and MMFs'!$E:$E,ROW())),1,0)</f>
        <v/>
      </c>
      <c r="Q645">
        <f>TRIM(SUBSTITUTE(INDEX('Pooled funds'!$B:$B,ROW())&amp;""," "," "))</f>
        <v/>
      </c>
      <c r="R645">
        <f>IFERROR(--INDEX('Pooled funds'!$C:$C,ROW()),0)</f>
        <v/>
      </c>
      <c r="S645">
        <f>IFERROR(--INDEX('Pooled funds'!$D:$D,ROW()),0)</f>
        <v/>
      </c>
      <c r="T645">
        <f>IFERROR(IF(--INDEX('Pooled funds'!$E:$E,ROW())&gt;=1,--INDEX('Pooled funds'!$E:$E,ROW())/100,--INDEX('Pooled funds'!$E:$E,ROW())),0)</f>
        <v/>
      </c>
      <c r="U645">
        <f>IF(ISNUMBER(INDEX('Pooled funds'!$E:$E,ROW())),1,0)</f>
        <v/>
      </c>
      <c r="V645">
        <f>TRIM(SUBSTITUTE(INDEX('Loans'!$A:$A,ROW())&amp;""," "," "))</f>
        <v/>
      </c>
      <c r="W645">
        <f>TRIM(SUBSTITUTE(INDEX('Loans'!$B:$B,ROW())&amp;""," "," "))</f>
        <v/>
      </c>
      <c r="X645">
        <f>TRIM(SUBSTITUTE(INDEX('Loans'!$C:$C,ROW())&amp;""," "," "))</f>
        <v/>
      </c>
      <c r="Y645">
        <f>IFERROR(--INDEX('Loans'!$D:$D,ROW()),0)</f>
        <v/>
      </c>
      <c r="Z645">
        <f>IFERROR(--INDEX('Loans'!$E:$E,ROW()),0)</f>
        <v/>
      </c>
      <c r="AA645">
        <f>IFERROR(--INDEX('Loans'!$F:$F,ROW()),0)</f>
        <v/>
      </c>
      <c r="AB645">
        <f>IFERROR(IF(--INDEX('Loans'!$G:$G,ROW())&gt;=1,--INDEX('Loans'!$G:$G,ROW())/100,--INDEX('Loans'!$G:$G,ROW())),0)</f>
        <v/>
      </c>
      <c r="AC645">
        <f>TRIM(SUBSTITUTE(INDEX('Loans'!$H:$H,ROW())&amp;""," "," "))</f>
        <v/>
      </c>
      <c r="AD645">
        <f>TRIM(SUBSTITUTE(INDEX('Loans'!$I:$I,ROW())&amp;""," "," "))</f>
        <v/>
      </c>
      <c r="AE645">
        <f>IFERROR(--INDEX('Loans'!$J:$J,ROW()),0)</f>
        <v/>
      </c>
      <c r="AF645">
        <f>TRIM(SUBSTITUTE(INDEX('Loans'!$K:$K,ROW())&amp;""," "," "))</f>
        <v/>
      </c>
      <c r="AG645">
        <f>IFERROR(--INDEX('Loans'!$L:$L,ROW()),0)</f>
        <v/>
      </c>
      <c r="AH645">
        <f>IF(ISNUMBER(INDEX('Loans'!$G:$G,ROW())),1,0)</f>
        <v/>
      </c>
    </row>
    <row r="646">
      <c r="A646">
        <f>TRIM(SUBSTITUTE(INDEX('Term investments'!$A:$A,ROW())&amp;""," "," "))</f>
        <v/>
      </c>
      <c r="B646">
        <f>TRIM(SUBSTITUTE(INDEX('Term investments'!$B:$B,ROW())&amp;""," "," "))</f>
        <v/>
      </c>
      <c r="C646">
        <f>TRIM(SUBSTITUTE(INDEX('Term investments'!$C:$C,ROW())&amp;""," "," "))</f>
        <v/>
      </c>
      <c r="D646">
        <f>IFERROR(--INDEX('Term investments'!$D:$D,ROW()),0)</f>
        <v/>
      </c>
      <c r="E646">
        <f>IFERROR(--INDEX('Term investments'!$E:$E,ROW()),0)</f>
        <v/>
      </c>
      <c r="F646">
        <f>IFERROR(--INDEX('Term investments'!$F:$F,ROW()),0)</f>
        <v/>
      </c>
      <c r="G646">
        <f>IFERROR(IF(--INDEX('Term investments'!$G:$G,ROW())&gt;=1,--INDEX('Term investments'!$G:$G,ROW())/100,--INDEX('Term investments'!$G:$G,ROW())),0)</f>
        <v/>
      </c>
      <c r="H646">
        <f>IFERROR(--INDEX('Term investments'!$H:$H,ROW()),0)</f>
        <v/>
      </c>
      <c r="I646">
        <f>IF(ISNUMBER(INDEX('Term investments'!$G:$G,ROW())),1,0)</f>
        <v/>
      </c>
      <c r="J646">
        <f>TRIM(SUBSTITUTE(INDEX('Call accounts and MMFs'!$A:$A,ROW())&amp;""," "," "))</f>
        <v/>
      </c>
      <c r="K646">
        <f>TRIM(SUBSTITUTE(INDEX('Call accounts and MMFs'!$B:$B,ROW())&amp;""," "," "))</f>
        <v/>
      </c>
      <c r="L646">
        <f>TRIM(SUBSTITUTE(INDEX('Call accounts and MMFs'!$C:$C,ROW())&amp;""," "," "))</f>
        <v/>
      </c>
      <c r="M646">
        <f>IFERROR(--INDEX('Call accounts and MMFs'!$D:$D,ROW()),0)</f>
        <v/>
      </c>
      <c r="N646">
        <f>IFERROR(IF(--INDEX('Call accounts and MMFs'!$E:$E,ROW())&gt;=1,--INDEX('Call accounts and MMFs'!$E:$E,ROW())/100,--INDEX('Call accounts and MMFs'!$E:$E,ROW())),0)</f>
        <v/>
      </c>
      <c r="O646">
        <f>IFERROR(--INDEX('Call accounts and MMFs'!$F:$F,ROW()),0)</f>
        <v/>
      </c>
      <c r="P646">
        <f>IF(ISNUMBER(INDEX('Call accounts and MMFs'!$E:$E,ROW())),1,0)</f>
        <v/>
      </c>
      <c r="Q646">
        <f>TRIM(SUBSTITUTE(INDEX('Pooled funds'!$B:$B,ROW())&amp;""," "," "))</f>
        <v/>
      </c>
      <c r="R646">
        <f>IFERROR(--INDEX('Pooled funds'!$C:$C,ROW()),0)</f>
        <v/>
      </c>
      <c r="S646">
        <f>IFERROR(--INDEX('Pooled funds'!$D:$D,ROW()),0)</f>
        <v/>
      </c>
      <c r="T646">
        <f>IFERROR(IF(--INDEX('Pooled funds'!$E:$E,ROW())&gt;=1,--INDEX('Pooled funds'!$E:$E,ROW())/100,--INDEX('Pooled funds'!$E:$E,ROW())),0)</f>
        <v/>
      </c>
      <c r="U646">
        <f>IF(ISNUMBER(INDEX('Pooled funds'!$E:$E,ROW())),1,0)</f>
        <v/>
      </c>
      <c r="V646">
        <f>TRIM(SUBSTITUTE(INDEX('Loans'!$A:$A,ROW())&amp;""," "," "))</f>
        <v/>
      </c>
      <c r="W646">
        <f>TRIM(SUBSTITUTE(INDEX('Loans'!$B:$B,ROW())&amp;""," "," "))</f>
        <v/>
      </c>
      <c r="X646">
        <f>TRIM(SUBSTITUTE(INDEX('Loans'!$C:$C,ROW())&amp;""," "," "))</f>
        <v/>
      </c>
      <c r="Y646">
        <f>IFERROR(--INDEX('Loans'!$D:$D,ROW()),0)</f>
        <v/>
      </c>
      <c r="Z646">
        <f>IFERROR(--INDEX('Loans'!$E:$E,ROW()),0)</f>
        <v/>
      </c>
      <c r="AA646">
        <f>IFERROR(--INDEX('Loans'!$F:$F,ROW()),0)</f>
        <v/>
      </c>
      <c r="AB646">
        <f>IFERROR(IF(--INDEX('Loans'!$G:$G,ROW())&gt;=1,--INDEX('Loans'!$G:$G,ROW())/100,--INDEX('Loans'!$G:$G,ROW())),0)</f>
        <v/>
      </c>
      <c r="AC646">
        <f>TRIM(SUBSTITUTE(INDEX('Loans'!$H:$H,ROW())&amp;""," "," "))</f>
        <v/>
      </c>
      <c r="AD646">
        <f>TRIM(SUBSTITUTE(INDEX('Loans'!$I:$I,ROW())&amp;""," "," "))</f>
        <v/>
      </c>
      <c r="AE646">
        <f>IFERROR(--INDEX('Loans'!$J:$J,ROW()),0)</f>
        <v/>
      </c>
      <c r="AF646">
        <f>TRIM(SUBSTITUTE(INDEX('Loans'!$K:$K,ROW())&amp;""," "," "))</f>
        <v/>
      </c>
      <c r="AG646">
        <f>IFERROR(--INDEX('Loans'!$L:$L,ROW()),0)</f>
        <v/>
      </c>
      <c r="AH646">
        <f>IF(ISNUMBER(INDEX('Loans'!$G:$G,ROW())),1,0)</f>
        <v/>
      </c>
    </row>
    <row r="647">
      <c r="A647">
        <f>TRIM(SUBSTITUTE(INDEX('Term investments'!$A:$A,ROW())&amp;""," "," "))</f>
        <v/>
      </c>
      <c r="B647">
        <f>TRIM(SUBSTITUTE(INDEX('Term investments'!$B:$B,ROW())&amp;""," "," "))</f>
        <v/>
      </c>
      <c r="C647">
        <f>TRIM(SUBSTITUTE(INDEX('Term investments'!$C:$C,ROW())&amp;""," "," "))</f>
        <v/>
      </c>
      <c r="D647">
        <f>IFERROR(--INDEX('Term investments'!$D:$D,ROW()),0)</f>
        <v/>
      </c>
      <c r="E647">
        <f>IFERROR(--INDEX('Term investments'!$E:$E,ROW()),0)</f>
        <v/>
      </c>
      <c r="F647">
        <f>IFERROR(--INDEX('Term investments'!$F:$F,ROW()),0)</f>
        <v/>
      </c>
      <c r="G647">
        <f>IFERROR(IF(--INDEX('Term investments'!$G:$G,ROW())&gt;=1,--INDEX('Term investments'!$G:$G,ROW())/100,--INDEX('Term investments'!$G:$G,ROW())),0)</f>
        <v/>
      </c>
      <c r="H647">
        <f>IFERROR(--INDEX('Term investments'!$H:$H,ROW()),0)</f>
        <v/>
      </c>
      <c r="I647">
        <f>IF(ISNUMBER(INDEX('Term investments'!$G:$G,ROW())),1,0)</f>
        <v/>
      </c>
      <c r="J647">
        <f>TRIM(SUBSTITUTE(INDEX('Call accounts and MMFs'!$A:$A,ROW())&amp;""," "," "))</f>
        <v/>
      </c>
      <c r="K647">
        <f>TRIM(SUBSTITUTE(INDEX('Call accounts and MMFs'!$B:$B,ROW())&amp;""," "," "))</f>
        <v/>
      </c>
      <c r="L647">
        <f>TRIM(SUBSTITUTE(INDEX('Call accounts and MMFs'!$C:$C,ROW())&amp;""," "," "))</f>
        <v/>
      </c>
      <c r="M647">
        <f>IFERROR(--INDEX('Call accounts and MMFs'!$D:$D,ROW()),0)</f>
        <v/>
      </c>
      <c r="N647">
        <f>IFERROR(IF(--INDEX('Call accounts and MMFs'!$E:$E,ROW())&gt;=1,--INDEX('Call accounts and MMFs'!$E:$E,ROW())/100,--INDEX('Call accounts and MMFs'!$E:$E,ROW())),0)</f>
        <v/>
      </c>
      <c r="O647">
        <f>IFERROR(--INDEX('Call accounts and MMFs'!$F:$F,ROW()),0)</f>
        <v/>
      </c>
      <c r="P647">
        <f>IF(ISNUMBER(INDEX('Call accounts and MMFs'!$E:$E,ROW())),1,0)</f>
        <v/>
      </c>
      <c r="Q647">
        <f>TRIM(SUBSTITUTE(INDEX('Pooled funds'!$B:$B,ROW())&amp;""," "," "))</f>
        <v/>
      </c>
      <c r="R647">
        <f>IFERROR(--INDEX('Pooled funds'!$C:$C,ROW()),0)</f>
        <v/>
      </c>
      <c r="S647">
        <f>IFERROR(--INDEX('Pooled funds'!$D:$D,ROW()),0)</f>
        <v/>
      </c>
      <c r="T647">
        <f>IFERROR(IF(--INDEX('Pooled funds'!$E:$E,ROW())&gt;=1,--INDEX('Pooled funds'!$E:$E,ROW())/100,--INDEX('Pooled funds'!$E:$E,ROW())),0)</f>
        <v/>
      </c>
      <c r="U647">
        <f>IF(ISNUMBER(INDEX('Pooled funds'!$E:$E,ROW())),1,0)</f>
        <v/>
      </c>
      <c r="V647">
        <f>TRIM(SUBSTITUTE(INDEX('Loans'!$A:$A,ROW())&amp;""," "," "))</f>
        <v/>
      </c>
      <c r="W647">
        <f>TRIM(SUBSTITUTE(INDEX('Loans'!$B:$B,ROW())&amp;""," "," "))</f>
        <v/>
      </c>
      <c r="X647">
        <f>TRIM(SUBSTITUTE(INDEX('Loans'!$C:$C,ROW())&amp;""," "," "))</f>
        <v/>
      </c>
      <c r="Y647">
        <f>IFERROR(--INDEX('Loans'!$D:$D,ROW()),0)</f>
        <v/>
      </c>
      <c r="Z647">
        <f>IFERROR(--INDEX('Loans'!$E:$E,ROW()),0)</f>
        <v/>
      </c>
      <c r="AA647">
        <f>IFERROR(--INDEX('Loans'!$F:$F,ROW()),0)</f>
        <v/>
      </c>
      <c r="AB647">
        <f>IFERROR(IF(--INDEX('Loans'!$G:$G,ROW())&gt;=1,--INDEX('Loans'!$G:$G,ROW())/100,--INDEX('Loans'!$G:$G,ROW())),0)</f>
        <v/>
      </c>
      <c r="AC647">
        <f>TRIM(SUBSTITUTE(INDEX('Loans'!$H:$H,ROW())&amp;""," "," "))</f>
        <v/>
      </c>
      <c r="AD647">
        <f>TRIM(SUBSTITUTE(INDEX('Loans'!$I:$I,ROW())&amp;""," "," "))</f>
        <v/>
      </c>
      <c r="AE647">
        <f>IFERROR(--INDEX('Loans'!$J:$J,ROW()),0)</f>
        <v/>
      </c>
      <c r="AF647">
        <f>TRIM(SUBSTITUTE(INDEX('Loans'!$K:$K,ROW())&amp;""," "," "))</f>
        <v/>
      </c>
      <c r="AG647">
        <f>IFERROR(--INDEX('Loans'!$L:$L,ROW()),0)</f>
        <v/>
      </c>
      <c r="AH647">
        <f>IF(ISNUMBER(INDEX('Loans'!$G:$G,ROW())),1,0)</f>
        <v/>
      </c>
    </row>
    <row r="648">
      <c r="A648">
        <f>TRIM(SUBSTITUTE(INDEX('Term investments'!$A:$A,ROW())&amp;""," "," "))</f>
        <v/>
      </c>
      <c r="B648">
        <f>TRIM(SUBSTITUTE(INDEX('Term investments'!$B:$B,ROW())&amp;""," "," "))</f>
        <v/>
      </c>
      <c r="C648">
        <f>TRIM(SUBSTITUTE(INDEX('Term investments'!$C:$C,ROW())&amp;""," "," "))</f>
        <v/>
      </c>
      <c r="D648">
        <f>IFERROR(--INDEX('Term investments'!$D:$D,ROW()),0)</f>
        <v/>
      </c>
      <c r="E648">
        <f>IFERROR(--INDEX('Term investments'!$E:$E,ROW()),0)</f>
        <v/>
      </c>
      <c r="F648">
        <f>IFERROR(--INDEX('Term investments'!$F:$F,ROW()),0)</f>
        <v/>
      </c>
      <c r="G648">
        <f>IFERROR(IF(--INDEX('Term investments'!$G:$G,ROW())&gt;=1,--INDEX('Term investments'!$G:$G,ROW())/100,--INDEX('Term investments'!$G:$G,ROW())),0)</f>
        <v/>
      </c>
      <c r="H648">
        <f>IFERROR(--INDEX('Term investments'!$H:$H,ROW()),0)</f>
        <v/>
      </c>
      <c r="I648">
        <f>IF(ISNUMBER(INDEX('Term investments'!$G:$G,ROW())),1,0)</f>
        <v/>
      </c>
      <c r="J648">
        <f>TRIM(SUBSTITUTE(INDEX('Call accounts and MMFs'!$A:$A,ROW())&amp;""," "," "))</f>
        <v/>
      </c>
      <c r="K648">
        <f>TRIM(SUBSTITUTE(INDEX('Call accounts and MMFs'!$B:$B,ROW())&amp;""," "," "))</f>
        <v/>
      </c>
      <c r="L648">
        <f>TRIM(SUBSTITUTE(INDEX('Call accounts and MMFs'!$C:$C,ROW())&amp;""," "," "))</f>
        <v/>
      </c>
      <c r="M648">
        <f>IFERROR(--INDEX('Call accounts and MMFs'!$D:$D,ROW()),0)</f>
        <v/>
      </c>
      <c r="N648">
        <f>IFERROR(IF(--INDEX('Call accounts and MMFs'!$E:$E,ROW())&gt;=1,--INDEX('Call accounts and MMFs'!$E:$E,ROW())/100,--INDEX('Call accounts and MMFs'!$E:$E,ROW())),0)</f>
        <v/>
      </c>
      <c r="O648">
        <f>IFERROR(--INDEX('Call accounts and MMFs'!$F:$F,ROW()),0)</f>
        <v/>
      </c>
      <c r="P648">
        <f>IF(ISNUMBER(INDEX('Call accounts and MMFs'!$E:$E,ROW())),1,0)</f>
        <v/>
      </c>
      <c r="Q648">
        <f>TRIM(SUBSTITUTE(INDEX('Pooled funds'!$B:$B,ROW())&amp;""," "," "))</f>
        <v/>
      </c>
      <c r="R648">
        <f>IFERROR(--INDEX('Pooled funds'!$C:$C,ROW()),0)</f>
        <v/>
      </c>
      <c r="S648">
        <f>IFERROR(--INDEX('Pooled funds'!$D:$D,ROW()),0)</f>
        <v/>
      </c>
      <c r="T648">
        <f>IFERROR(IF(--INDEX('Pooled funds'!$E:$E,ROW())&gt;=1,--INDEX('Pooled funds'!$E:$E,ROW())/100,--INDEX('Pooled funds'!$E:$E,ROW())),0)</f>
        <v/>
      </c>
      <c r="U648">
        <f>IF(ISNUMBER(INDEX('Pooled funds'!$E:$E,ROW())),1,0)</f>
        <v/>
      </c>
      <c r="V648">
        <f>TRIM(SUBSTITUTE(INDEX('Loans'!$A:$A,ROW())&amp;""," "," "))</f>
        <v/>
      </c>
      <c r="W648">
        <f>TRIM(SUBSTITUTE(INDEX('Loans'!$B:$B,ROW())&amp;""," "," "))</f>
        <v/>
      </c>
      <c r="X648">
        <f>TRIM(SUBSTITUTE(INDEX('Loans'!$C:$C,ROW())&amp;""," "," "))</f>
        <v/>
      </c>
      <c r="Y648">
        <f>IFERROR(--INDEX('Loans'!$D:$D,ROW()),0)</f>
        <v/>
      </c>
      <c r="Z648">
        <f>IFERROR(--INDEX('Loans'!$E:$E,ROW()),0)</f>
        <v/>
      </c>
      <c r="AA648">
        <f>IFERROR(--INDEX('Loans'!$F:$F,ROW()),0)</f>
        <v/>
      </c>
      <c r="AB648">
        <f>IFERROR(IF(--INDEX('Loans'!$G:$G,ROW())&gt;=1,--INDEX('Loans'!$G:$G,ROW())/100,--INDEX('Loans'!$G:$G,ROW())),0)</f>
        <v/>
      </c>
      <c r="AC648">
        <f>TRIM(SUBSTITUTE(INDEX('Loans'!$H:$H,ROW())&amp;""," "," "))</f>
        <v/>
      </c>
      <c r="AD648">
        <f>TRIM(SUBSTITUTE(INDEX('Loans'!$I:$I,ROW())&amp;""," "," "))</f>
        <v/>
      </c>
      <c r="AE648">
        <f>IFERROR(--INDEX('Loans'!$J:$J,ROW()),0)</f>
        <v/>
      </c>
      <c r="AF648">
        <f>TRIM(SUBSTITUTE(INDEX('Loans'!$K:$K,ROW())&amp;""," "," "))</f>
        <v/>
      </c>
      <c r="AG648">
        <f>IFERROR(--INDEX('Loans'!$L:$L,ROW()),0)</f>
        <v/>
      </c>
      <c r="AH648">
        <f>IF(ISNUMBER(INDEX('Loans'!$G:$G,ROW())),1,0)</f>
        <v/>
      </c>
    </row>
    <row r="649">
      <c r="A649">
        <f>TRIM(SUBSTITUTE(INDEX('Term investments'!$A:$A,ROW())&amp;""," "," "))</f>
        <v/>
      </c>
      <c r="B649">
        <f>TRIM(SUBSTITUTE(INDEX('Term investments'!$B:$B,ROW())&amp;""," "," "))</f>
        <v/>
      </c>
      <c r="C649">
        <f>TRIM(SUBSTITUTE(INDEX('Term investments'!$C:$C,ROW())&amp;""," "," "))</f>
        <v/>
      </c>
      <c r="D649">
        <f>IFERROR(--INDEX('Term investments'!$D:$D,ROW()),0)</f>
        <v/>
      </c>
      <c r="E649">
        <f>IFERROR(--INDEX('Term investments'!$E:$E,ROW()),0)</f>
        <v/>
      </c>
      <c r="F649">
        <f>IFERROR(--INDEX('Term investments'!$F:$F,ROW()),0)</f>
        <v/>
      </c>
      <c r="G649">
        <f>IFERROR(IF(--INDEX('Term investments'!$G:$G,ROW())&gt;=1,--INDEX('Term investments'!$G:$G,ROW())/100,--INDEX('Term investments'!$G:$G,ROW())),0)</f>
        <v/>
      </c>
      <c r="H649">
        <f>IFERROR(--INDEX('Term investments'!$H:$H,ROW()),0)</f>
        <v/>
      </c>
      <c r="I649">
        <f>IF(ISNUMBER(INDEX('Term investments'!$G:$G,ROW())),1,0)</f>
        <v/>
      </c>
      <c r="J649">
        <f>TRIM(SUBSTITUTE(INDEX('Call accounts and MMFs'!$A:$A,ROW())&amp;""," "," "))</f>
        <v/>
      </c>
      <c r="K649">
        <f>TRIM(SUBSTITUTE(INDEX('Call accounts and MMFs'!$B:$B,ROW())&amp;""," "," "))</f>
        <v/>
      </c>
      <c r="L649">
        <f>TRIM(SUBSTITUTE(INDEX('Call accounts and MMFs'!$C:$C,ROW())&amp;""," "," "))</f>
        <v/>
      </c>
      <c r="M649">
        <f>IFERROR(--INDEX('Call accounts and MMFs'!$D:$D,ROW()),0)</f>
        <v/>
      </c>
      <c r="N649">
        <f>IFERROR(IF(--INDEX('Call accounts and MMFs'!$E:$E,ROW())&gt;=1,--INDEX('Call accounts and MMFs'!$E:$E,ROW())/100,--INDEX('Call accounts and MMFs'!$E:$E,ROW())),0)</f>
        <v/>
      </c>
      <c r="O649">
        <f>IFERROR(--INDEX('Call accounts and MMFs'!$F:$F,ROW()),0)</f>
        <v/>
      </c>
      <c r="P649">
        <f>IF(ISNUMBER(INDEX('Call accounts and MMFs'!$E:$E,ROW())),1,0)</f>
        <v/>
      </c>
      <c r="Q649">
        <f>TRIM(SUBSTITUTE(INDEX('Pooled funds'!$B:$B,ROW())&amp;""," "," "))</f>
        <v/>
      </c>
      <c r="R649">
        <f>IFERROR(--INDEX('Pooled funds'!$C:$C,ROW()),0)</f>
        <v/>
      </c>
      <c r="S649">
        <f>IFERROR(--INDEX('Pooled funds'!$D:$D,ROW()),0)</f>
        <v/>
      </c>
      <c r="T649">
        <f>IFERROR(IF(--INDEX('Pooled funds'!$E:$E,ROW())&gt;=1,--INDEX('Pooled funds'!$E:$E,ROW())/100,--INDEX('Pooled funds'!$E:$E,ROW())),0)</f>
        <v/>
      </c>
      <c r="U649">
        <f>IF(ISNUMBER(INDEX('Pooled funds'!$E:$E,ROW())),1,0)</f>
        <v/>
      </c>
      <c r="V649">
        <f>TRIM(SUBSTITUTE(INDEX('Loans'!$A:$A,ROW())&amp;""," "," "))</f>
        <v/>
      </c>
      <c r="W649">
        <f>TRIM(SUBSTITUTE(INDEX('Loans'!$B:$B,ROW())&amp;""," "," "))</f>
        <v/>
      </c>
      <c r="X649">
        <f>TRIM(SUBSTITUTE(INDEX('Loans'!$C:$C,ROW())&amp;""," "," "))</f>
        <v/>
      </c>
      <c r="Y649">
        <f>IFERROR(--INDEX('Loans'!$D:$D,ROW()),0)</f>
        <v/>
      </c>
      <c r="Z649">
        <f>IFERROR(--INDEX('Loans'!$E:$E,ROW()),0)</f>
        <v/>
      </c>
      <c r="AA649">
        <f>IFERROR(--INDEX('Loans'!$F:$F,ROW()),0)</f>
        <v/>
      </c>
      <c r="AB649">
        <f>IFERROR(IF(--INDEX('Loans'!$G:$G,ROW())&gt;=1,--INDEX('Loans'!$G:$G,ROW())/100,--INDEX('Loans'!$G:$G,ROW())),0)</f>
        <v/>
      </c>
      <c r="AC649">
        <f>TRIM(SUBSTITUTE(INDEX('Loans'!$H:$H,ROW())&amp;""," "," "))</f>
        <v/>
      </c>
      <c r="AD649">
        <f>TRIM(SUBSTITUTE(INDEX('Loans'!$I:$I,ROW())&amp;""," "," "))</f>
        <v/>
      </c>
      <c r="AE649">
        <f>IFERROR(--INDEX('Loans'!$J:$J,ROW()),0)</f>
        <v/>
      </c>
      <c r="AF649">
        <f>TRIM(SUBSTITUTE(INDEX('Loans'!$K:$K,ROW())&amp;""," "," "))</f>
        <v/>
      </c>
      <c r="AG649">
        <f>IFERROR(--INDEX('Loans'!$L:$L,ROW()),0)</f>
        <v/>
      </c>
      <c r="AH649">
        <f>IF(ISNUMBER(INDEX('Loans'!$G:$G,ROW())),1,0)</f>
        <v/>
      </c>
    </row>
    <row r="650">
      <c r="A650">
        <f>TRIM(SUBSTITUTE(INDEX('Term investments'!$A:$A,ROW())&amp;""," "," "))</f>
        <v/>
      </c>
      <c r="B650">
        <f>TRIM(SUBSTITUTE(INDEX('Term investments'!$B:$B,ROW())&amp;""," "," "))</f>
        <v/>
      </c>
      <c r="C650">
        <f>TRIM(SUBSTITUTE(INDEX('Term investments'!$C:$C,ROW())&amp;""," "," "))</f>
        <v/>
      </c>
      <c r="D650">
        <f>IFERROR(--INDEX('Term investments'!$D:$D,ROW()),0)</f>
        <v/>
      </c>
      <c r="E650">
        <f>IFERROR(--INDEX('Term investments'!$E:$E,ROW()),0)</f>
        <v/>
      </c>
      <c r="F650">
        <f>IFERROR(--INDEX('Term investments'!$F:$F,ROW()),0)</f>
        <v/>
      </c>
      <c r="G650">
        <f>IFERROR(IF(--INDEX('Term investments'!$G:$G,ROW())&gt;=1,--INDEX('Term investments'!$G:$G,ROW())/100,--INDEX('Term investments'!$G:$G,ROW())),0)</f>
        <v/>
      </c>
      <c r="H650">
        <f>IFERROR(--INDEX('Term investments'!$H:$H,ROW()),0)</f>
        <v/>
      </c>
      <c r="I650">
        <f>IF(ISNUMBER(INDEX('Term investments'!$G:$G,ROW())),1,0)</f>
        <v/>
      </c>
      <c r="J650">
        <f>TRIM(SUBSTITUTE(INDEX('Call accounts and MMFs'!$A:$A,ROW())&amp;""," "," "))</f>
        <v/>
      </c>
      <c r="K650">
        <f>TRIM(SUBSTITUTE(INDEX('Call accounts and MMFs'!$B:$B,ROW())&amp;""," "," "))</f>
        <v/>
      </c>
      <c r="L650">
        <f>TRIM(SUBSTITUTE(INDEX('Call accounts and MMFs'!$C:$C,ROW())&amp;""," "," "))</f>
        <v/>
      </c>
      <c r="M650">
        <f>IFERROR(--INDEX('Call accounts and MMFs'!$D:$D,ROW()),0)</f>
        <v/>
      </c>
      <c r="N650">
        <f>IFERROR(IF(--INDEX('Call accounts and MMFs'!$E:$E,ROW())&gt;=1,--INDEX('Call accounts and MMFs'!$E:$E,ROW())/100,--INDEX('Call accounts and MMFs'!$E:$E,ROW())),0)</f>
        <v/>
      </c>
      <c r="O650">
        <f>IFERROR(--INDEX('Call accounts and MMFs'!$F:$F,ROW()),0)</f>
        <v/>
      </c>
      <c r="P650">
        <f>IF(ISNUMBER(INDEX('Call accounts and MMFs'!$E:$E,ROW())),1,0)</f>
        <v/>
      </c>
      <c r="Q650">
        <f>TRIM(SUBSTITUTE(INDEX('Pooled funds'!$B:$B,ROW())&amp;""," "," "))</f>
        <v/>
      </c>
      <c r="R650">
        <f>IFERROR(--INDEX('Pooled funds'!$C:$C,ROW()),0)</f>
        <v/>
      </c>
      <c r="S650">
        <f>IFERROR(--INDEX('Pooled funds'!$D:$D,ROW()),0)</f>
        <v/>
      </c>
      <c r="T650">
        <f>IFERROR(IF(--INDEX('Pooled funds'!$E:$E,ROW())&gt;=1,--INDEX('Pooled funds'!$E:$E,ROW())/100,--INDEX('Pooled funds'!$E:$E,ROW())),0)</f>
        <v/>
      </c>
      <c r="U650">
        <f>IF(ISNUMBER(INDEX('Pooled funds'!$E:$E,ROW())),1,0)</f>
        <v/>
      </c>
      <c r="V650">
        <f>TRIM(SUBSTITUTE(INDEX('Loans'!$A:$A,ROW())&amp;""," "," "))</f>
        <v/>
      </c>
      <c r="W650">
        <f>TRIM(SUBSTITUTE(INDEX('Loans'!$B:$B,ROW())&amp;""," "," "))</f>
        <v/>
      </c>
      <c r="X650">
        <f>TRIM(SUBSTITUTE(INDEX('Loans'!$C:$C,ROW())&amp;""," "," "))</f>
        <v/>
      </c>
      <c r="Y650">
        <f>IFERROR(--INDEX('Loans'!$D:$D,ROW()),0)</f>
        <v/>
      </c>
      <c r="Z650">
        <f>IFERROR(--INDEX('Loans'!$E:$E,ROW()),0)</f>
        <v/>
      </c>
      <c r="AA650">
        <f>IFERROR(--INDEX('Loans'!$F:$F,ROW()),0)</f>
        <v/>
      </c>
      <c r="AB650">
        <f>IFERROR(IF(--INDEX('Loans'!$G:$G,ROW())&gt;=1,--INDEX('Loans'!$G:$G,ROW())/100,--INDEX('Loans'!$G:$G,ROW())),0)</f>
        <v/>
      </c>
      <c r="AC650">
        <f>TRIM(SUBSTITUTE(INDEX('Loans'!$H:$H,ROW())&amp;""," "," "))</f>
        <v/>
      </c>
      <c r="AD650">
        <f>TRIM(SUBSTITUTE(INDEX('Loans'!$I:$I,ROW())&amp;""," "," "))</f>
        <v/>
      </c>
      <c r="AE650">
        <f>IFERROR(--INDEX('Loans'!$J:$J,ROW()),0)</f>
        <v/>
      </c>
      <c r="AF650">
        <f>TRIM(SUBSTITUTE(INDEX('Loans'!$K:$K,ROW())&amp;""," "," "))</f>
        <v/>
      </c>
      <c r="AG650">
        <f>IFERROR(--INDEX('Loans'!$L:$L,ROW()),0)</f>
        <v/>
      </c>
      <c r="AH650">
        <f>IF(ISNUMBER(INDEX('Loans'!$G:$G,ROW())),1,0)</f>
        <v/>
      </c>
    </row>
    <row r="651">
      <c r="A651">
        <f>TRIM(SUBSTITUTE(INDEX('Term investments'!$A:$A,ROW())&amp;""," "," "))</f>
        <v/>
      </c>
      <c r="B651">
        <f>TRIM(SUBSTITUTE(INDEX('Term investments'!$B:$B,ROW())&amp;""," "," "))</f>
        <v/>
      </c>
      <c r="C651">
        <f>TRIM(SUBSTITUTE(INDEX('Term investments'!$C:$C,ROW())&amp;""," "," "))</f>
        <v/>
      </c>
      <c r="D651">
        <f>IFERROR(--INDEX('Term investments'!$D:$D,ROW()),0)</f>
        <v/>
      </c>
      <c r="E651">
        <f>IFERROR(--INDEX('Term investments'!$E:$E,ROW()),0)</f>
        <v/>
      </c>
      <c r="F651">
        <f>IFERROR(--INDEX('Term investments'!$F:$F,ROW()),0)</f>
        <v/>
      </c>
      <c r="G651">
        <f>IFERROR(IF(--INDEX('Term investments'!$G:$G,ROW())&gt;=1,--INDEX('Term investments'!$G:$G,ROW())/100,--INDEX('Term investments'!$G:$G,ROW())),0)</f>
        <v/>
      </c>
      <c r="H651">
        <f>IFERROR(--INDEX('Term investments'!$H:$H,ROW()),0)</f>
        <v/>
      </c>
      <c r="I651">
        <f>IF(ISNUMBER(INDEX('Term investments'!$G:$G,ROW())),1,0)</f>
        <v/>
      </c>
      <c r="J651">
        <f>TRIM(SUBSTITUTE(INDEX('Call accounts and MMFs'!$A:$A,ROW())&amp;""," "," "))</f>
        <v/>
      </c>
      <c r="K651">
        <f>TRIM(SUBSTITUTE(INDEX('Call accounts and MMFs'!$B:$B,ROW())&amp;""," "," "))</f>
        <v/>
      </c>
      <c r="L651">
        <f>TRIM(SUBSTITUTE(INDEX('Call accounts and MMFs'!$C:$C,ROW())&amp;""," "," "))</f>
        <v/>
      </c>
      <c r="M651">
        <f>IFERROR(--INDEX('Call accounts and MMFs'!$D:$D,ROW()),0)</f>
        <v/>
      </c>
      <c r="N651">
        <f>IFERROR(IF(--INDEX('Call accounts and MMFs'!$E:$E,ROW())&gt;=1,--INDEX('Call accounts and MMFs'!$E:$E,ROW())/100,--INDEX('Call accounts and MMFs'!$E:$E,ROW())),0)</f>
        <v/>
      </c>
      <c r="O651">
        <f>IFERROR(--INDEX('Call accounts and MMFs'!$F:$F,ROW()),0)</f>
        <v/>
      </c>
      <c r="P651">
        <f>IF(ISNUMBER(INDEX('Call accounts and MMFs'!$E:$E,ROW())),1,0)</f>
        <v/>
      </c>
      <c r="Q651">
        <f>TRIM(SUBSTITUTE(INDEX('Pooled funds'!$B:$B,ROW())&amp;""," "," "))</f>
        <v/>
      </c>
      <c r="R651">
        <f>IFERROR(--INDEX('Pooled funds'!$C:$C,ROW()),0)</f>
        <v/>
      </c>
      <c r="S651">
        <f>IFERROR(--INDEX('Pooled funds'!$D:$D,ROW()),0)</f>
        <v/>
      </c>
      <c r="T651">
        <f>IFERROR(IF(--INDEX('Pooled funds'!$E:$E,ROW())&gt;=1,--INDEX('Pooled funds'!$E:$E,ROW())/100,--INDEX('Pooled funds'!$E:$E,ROW())),0)</f>
        <v/>
      </c>
      <c r="U651">
        <f>IF(ISNUMBER(INDEX('Pooled funds'!$E:$E,ROW())),1,0)</f>
        <v/>
      </c>
      <c r="V651">
        <f>TRIM(SUBSTITUTE(INDEX('Loans'!$A:$A,ROW())&amp;""," "," "))</f>
        <v/>
      </c>
      <c r="W651">
        <f>TRIM(SUBSTITUTE(INDEX('Loans'!$B:$B,ROW())&amp;""," "," "))</f>
        <v/>
      </c>
      <c r="X651">
        <f>TRIM(SUBSTITUTE(INDEX('Loans'!$C:$C,ROW())&amp;""," "," "))</f>
        <v/>
      </c>
      <c r="Y651">
        <f>IFERROR(--INDEX('Loans'!$D:$D,ROW()),0)</f>
        <v/>
      </c>
      <c r="Z651">
        <f>IFERROR(--INDEX('Loans'!$E:$E,ROW()),0)</f>
        <v/>
      </c>
      <c r="AA651">
        <f>IFERROR(--INDEX('Loans'!$F:$F,ROW()),0)</f>
        <v/>
      </c>
      <c r="AB651">
        <f>IFERROR(IF(--INDEX('Loans'!$G:$G,ROW())&gt;=1,--INDEX('Loans'!$G:$G,ROW())/100,--INDEX('Loans'!$G:$G,ROW())),0)</f>
        <v/>
      </c>
      <c r="AC651">
        <f>TRIM(SUBSTITUTE(INDEX('Loans'!$H:$H,ROW())&amp;""," "," "))</f>
        <v/>
      </c>
      <c r="AD651">
        <f>TRIM(SUBSTITUTE(INDEX('Loans'!$I:$I,ROW())&amp;""," "," "))</f>
        <v/>
      </c>
      <c r="AE651">
        <f>IFERROR(--INDEX('Loans'!$J:$J,ROW()),0)</f>
        <v/>
      </c>
      <c r="AF651">
        <f>TRIM(SUBSTITUTE(INDEX('Loans'!$K:$K,ROW())&amp;""," "," "))</f>
        <v/>
      </c>
      <c r="AG651">
        <f>IFERROR(--INDEX('Loans'!$L:$L,ROW()),0)</f>
        <v/>
      </c>
      <c r="AH651">
        <f>IF(ISNUMBER(INDEX('Loans'!$G:$G,ROW())),1,0)</f>
        <v/>
      </c>
    </row>
    <row r="652">
      <c r="A652">
        <f>TRIM(SUBSTITUTE(INDEX('Term investments'!$A:$A,ROW())&amp;""," "," "))</f>
        <v/>
      </c>
      <c r="B652">
        <f>TRIM(SUBSTITUTE(INDEX('Term investments'!$B:$B,ROW())&amp;""," "," "))</f>
        <v/>
      </c>
      <c r="C652">
        <f>TRIM(SUBSTITUTE(INDEX('Term investments'!$C:$C,ROW())&amp;""," "," "))</f>
        <v/>
      </c>
      <c r="D652">
        <f>IFERROR(--INDEX('Term investments'!$D:$D,ROW()),0)</f>
        <v/>
      </c>
      <c r="E652">
        <f>IFERROR(--INDEX('Term investments'!$E:$E,ROW()),0)</f>
        <v/>
      </c>
      <c r="F652">
        <f>IFERROR(--INDEX('Term investments'!$F:$F,ROW()),0)</f>
        <v/>
      </c>
      <c r="G652">
        <f>IFERROR(IF(--INDEX('Term investments'!$G:$G,ROW())&gt;=1,--INDEX('Term investments'!$G:$G,ROW())/100,--INDEX('Term investments'!$G:$G,ROW())),0)</f>
        <v/>
      </c>
      <c r="H652">
        <f>IFERROR(--INDEX('Term investments'!$H:$H,ROW()),0)</f>
        <v/>
      </c>
      <c r="I652">
        <f>IF(ISNUMBER(INDEX('Term investments'!$G:$G,ROW())),1,0)</f>
        <v/>
      </c>
      <c r="J652">
        <f>TRIM(SUBSTITUTE(INDEX('Call accounts and MMFs'!$A:$A,ROW())&amp;""," "," "))</f>
        <v/>
      </c>
      <c r="K652">
        <f>TRIM(SUBSTITUTE(INDEX('Call accounts and MMFs'!$B:$B,ROW())&amp;""," "," "))</f>
        <v/>
      </c>
      <c r="L652">
        <f>TRIM(SUBSTITUTE(INDEX('Call accounts and MMFs'!$C:$C,ROW())&amp;""," "," "))</f>
        <v/>
      </c>
      <c r="M652">
        <f>IFERROR(--INDEX('Call accounts and MMFs'!$D:$D,ROW()),0)</f>
        <v/>
      </c>
      <c r="N652">
        <f>IFERROR(IF(--INDEX('Call accounts and MMFs'!$E:$E,ROW())&gt;=1,--INDEX('Call accounts and MMFs'!$E:$E,ROW())/100,--INDEX('Call accounts and MMFs'!$E:$E,ROW())),0)</f>
        <v/>
      </c>
      <c r="O652">
        <f>IFERROR(--INDEX('Call accounts and MMFs'!$F:$F,ROW()),0)</f>
        <v/>
      </c>
      <c r="P652">
        <f>IF(ISNUMBER(INDEX('Call accounts and MMFs'!$E:$E,ROW())),1,0)</f>
        <v/>
      </c>
      <c r="Q652">
        <f>TRIM(SUBSTITUTE(INDEX('Pooled funds'!$B:$B,ROW())&amp;""," "," "))</f>
        <v/>
      </c>
      <c r="R652">
        <f>IFERROR(--INDEX('Pooled funds'!$C:$C,ROW()),0)</f>
        <v/>
      </c>
      <c r="S652">
        <f>IFERROR(--INDEX('Pooled funds'!$D:$D,ROW()),0)</f>
        <v/>
      </c>
      <c r="T652">
        <f>IFERROR(IF(--INDEX('Pooled funds'!$E:$E,ROW())&gt;=1,--INDEX('Pooled funds'!$E:$E,ROW())/100,--INDEX('Pooled funds'!$E:$E,ROW())),0)</f>
        <v/>
      </c>
      <c r="U652">
        <f>IF(ISNUMBER(INDEX('Pooled funds'!$E:$E,ROW())),1,0)</f>
        <v/>
      </c>
      <c r="V652">
        <f>TRIM(SUBSTITUTE(INDEX('Loans'!$A:$A,ROW())&amp;""," "," "))</f>
        <v/>
      </c>
      <c r="W652">
        <f>TRIM(SUBSTITUTE(INDEX('Loans'!$B:$B,ROW())&amp;""," "," "))</f>
        <v/>
      </c>
      <c r="X652">
        <f>TRIM(SUBSTITUTE(INDEX('Loans'!$C:$C,ROW())&amp;""," "," "))</f>
        <v/>
      </c>
      <c r="Y652">
        <f>IFERROR(--INDEX('Loans'!$D:$D,ROW()),0)</f>
        <v/>
      </c>
      <c r="Z652">
        <f>IFERROR(--INDEX('Loans'!$E:$E,ROW()),0)</f>
        <v/>
      </c>
      <c r="AA652">
        <f>IFERROR(--INDEX('Loans'!$F:$F,ROW()),0)</f>
        <v/>
      </c>
      <c r="AB652">
        <f>IFERROR(IF(--INDEX('Loans'!$G:$G,ROW())&gt;=1,--INDEX('Loans'!$G:$G,ROW())/100,--INDEX('Loans'!$G:$G,ROW())),0)</f>
        <v/>
      </c>
      <c r="AC652">
        <f>TRIM(SUBSTITUTE(INDEX('Loans'!$H:$H,ROW())&amp;""," "," "))</f>
        <v/>
      </c>
      <c r="AD652">
        <f>TRIM(SUBSTITUTE(INDEX('Loans'!$I:$I,ROW())&amp;""," "," "))</f>
        <v/>
      </c>
      <c r="AE652">
        <f>IFERROR(--INDEX('Loans'!$J:$J,ROW()),0)</f>
        <v/>
      </c>
      <c r="AF652">
        <f>TRIM(SUBSTITUTE(INDEX('Loans'!$K:$K,ROW())&amp;""," "," "))</f>
        <v/>
      </c>
      <c r="AG652">
        <f>IFERROR(--INDEX('Loans'!$L:$L,ROW()),0)</f>
        <v/>
      </c>
      <c r="AH652">
        <f>IF(ISNUMBER(INDEX('Loans'!$G:$G,ROW())),1,0)</f>
        <v/>
      </c>
    </row>
    <row r="653">
      <c r="A653">
        <f>TRIM(SUBSTITUTE(INDEX('Term investments'!$A:$A,ROW())&amp;""," "," "))</f>
        <v/>
      </c>
      <c r="B653">
        <f>TRIM(SUBSTITUTE(INDEX('Term investments'!$B:$B,ROW())&amp;""," "," "))</f>
        <v/>
      </c>
      <c r="C653">
        <f>TRIM(SUBSTITUTE(INDEX('Term investments'!$C:$C,ROW())&amp;""," "," "))</f>
        <v/>
      </c>
      <c r="D653">
        <f>IFERROR(--INDEX('Term investments'!$D:$D,ROW()),0)</f>
        <v/>
      </c>
      <c r="E653">
        <f>IFERROR(--INDEX('Term investments'!$E:$E,ROW()),0)</f>
        <v/>
      </c>
      <c r="F653">
        <f>IFERROR(--INDEX('Term investments'!$F:$F,ROW()),0)</f>
        <v/>
      </c>
      <c r="G653">
        <f>IFERROR(IF(--INDEX('Term investments'!$G:$G,ROW())&gt;=1,--INDEX('Term investments'!$G:$G,ROW())/100,--INDEX('Term investments'!$G:$G,ROW())),0)</f>
        <v/>
      </c>
      <c r="H653">
        <f>IFERROR(--INDEX('Term investments'!$H:$H,ROW()),0)</f>
        <v/>
      </c>
      <c r="I653">
        <f>IF(ISNUMBER(INDEX('Term investments'!$G:$G,ROW())),1,0)</f>
        <v/>
      </c>
      <c r="J653">
        <f>TRIM(SUBSTITUTE(INDEX('Call accounts and MMFs'!$A:$A,ROW())&amp;""," "," "))</f>
        <v/>
      </c>
      <c r="K653">
        <f>TRIM(SUBSTITUTE(INDEX('Call accounts and MMFs'!$B:$B,ROW())&amp;""," "," "))</f>
        <v/>
      </c>
      <c r="L653">
        <f>TRIM(SUBSTITUTE(INDEX('Call accounts and MMFs'!$C:$C,ROW())&amp;""," "," "))</f>
        <v/>
      </c>
      <c r="M653">
        <f>IFERROR(--INDEX('Call accounts and MMFs'!$D:$D,ROW()),0)</f>
        <v/>
      </c>
      <c r="N653">
        <f>IFERROR(IF(--INDEX('Call accounts and MMFs'!$E:$E,ROW())&gt;=1,--INDEX('Call accounts and MMFs'!$E:$E,ROW())/100,--INDEX('Call accounts and MMFs'!$E:$E,ROW())),0)</f>
        <v/>
      </c>
      <c r="O653">
        <f>IFERROR(--INDEX('Call accounts and MMFs'!$F:$F,ROW()),0)</f>
        <v/>
      </c>
      <c r="P653">
        <f>IF(ISNUMBER(INDEX('Call accounts and MMFs'!$E:$E,ROW())),1,0)</f>
        <v/>
      </c>
      <c r="Q653">
        <f>TRIM(SUBSTITUTE(INDEX('Pooled funds'!$B:$B,ROW())&amp;""," "," "))</f>
        <v/>
      </c>
      <c r="R653">
        <f>IFERROR(--INDEX('Pooled funds'!$C:$C,ROW()),0)</f>
        <v/>
      </c>
      <c r="S653">
        <f>IFERROR(--INDEX('Pooled funds'!$D:$D,ROW()),0)</f>
        <v/>
      </c>
      <c r="T653">
        <f>IFERROR(IF(--INDEX('Pooled funds'!$E:$E,ROW())&gt;=1,--INDEX('Pooled funds'!$E:$E,ROW())/100,--INDEX('Pooled funds'!$E:$E,ROW())),0)</f>
        <v/>
      </c>
      <c r="U653">
        <f>IF(ISNUMBER(INDEX('Pooled funds'!$E:$E,ROW())),1,0)</f>
        <v/>
      </c>
      <c r="V653">
        <f>TRIM(SUBSTITUTE(INDEX('Loans'!$A:$A,ROW())&amp;""," "," "))</f>
        <v/>
      </c>
      <c r="W653">
        <f>TRIM(SUBSTITUTE(INDEX('Loans'!$B:$B,ROW())&amp;""," "," "))</f>
        <v/>
      </c>
      <c r="X653">
        <f>TRIM(SUBSTITUTE(INDEX('Loans'!$C:$C,ROW())&amp;""," "," "))</f>
        <v/>
      </c>
      <c r="Y653">
        <f>IFERROR(--INDEX('Loans'!$D:$D,ROW()),0)</f>
        <v/>
      </c>
      <c r="Z653">
        <f>IFERROR(--INDEX('Loans'!$E:$E,ROW()),0)</f>
        <v/>
      </c>
      <c r="AA653">
        <f>IFERROR(--INDEX('Loans'!$F:$F,ROW()),0)</f>
        <v/>
      </c>
      <c r="AB653">
        <f>IFERROR(IF(--INDEX('Loans'!$G:$G,ROW())&gt;=1,--INDEX('Loans'!$G:$G,ROW())/100,--INDEX('Loans'!$G:$G,ROW())),0)</f>
        <v/>
      </c>
      <c r="AC653">
        <f>TRIM(SUBSTITUTE(INDEX('Loans'!$H:$H,ROW())&amp;""," "," "))</f>
        <v/>
      </c>
      <c r="AD653">
        <f>TRIM(SUBSTITUTE(INDEX('Loans'!$I:$I,ROW())&amp;""," "," "))</f>
        <v/>
      </c>
      <c r="AE653">
        <f>IFERROR(--INDEX('Loans'!$J:$J,ROW()),0)</f>
        <v/>
      </c>
      <c r="AF653">
        <f>TRIM(SUBSTITUTE(INDEX('Loans'!$K:$K,ROW())&amp;""," "," "))</f>
        <v/>
      </c>
      <c r="AG653">
        <f>IFERROR(--INDEX('Loans'!$L:$L,ROW()),0)</f>
        <v/>
      </c>
      <c r="AH653">
        <f>IF(ISNUMBER(INDEX('Loans'!$G:$G,ROW())),1,0)</f>
        <v/>
      </c>
    </row>
    <row r="654">
      <c r="A654">
        <f>TRIM(SUBSTITUTE(INDEX('Term investments'!$A:$A,ROW())&amp;""," "," "))</f>
        <v/>
      </c>
      <c r="B654">
        <f>TRIM(SUBSTITUTE(INDEX('Term investments'!$B:$B,ROW())&amp;""," "," "))</f>
        <v/>
      </c>
      <c r="C654">
        <f>TRIM(SUBSTITUTE(INDEX('Term investments'!$C:$C,ROW())&amp;""," "," "))</f>
        <v/>
      </c>
      <c r="D654">
        <f>IFERROR(--INDEX('Term investments'!$D:$D,ROW()),0)</f>
        <v/>
      </c>
      <c r="E654">
        <f>IFERROR(--INDEX('Term investments'!$E:$E,ROW()),0)</f>
        <v/>
      </c>
      <c r="F654">
        <f>IFERROR(--INDEX('Term investments'!$F:$F,ROW()),0)</f>
        <v/>
      </c>
      <c r="G654">
        <f>IFERROR(IF(--INDEX('Term investments'!$G:$G,ROW())&gt;=1,--INDEX('Term investments'!$G:$G,ROW())/100,--INDEX('Term investments'!$G:$G,ROW())),0)</f>
        <v/>
      </c>
      <c r="H654">
        <f>IFERROR(--INDEX('Term investments'!$H:$H,ROW()),0)</f>
        <v/>
      </c>
      <c r="I654">
        <f>IF(ISNUMBER(INDEX('Term investments'!$G:$G,ROW())),1,0)</f>
        <v/>
      </c>
      <c r="J654">
        <f>TRIM(SUBSTITUTE(INDEX('Call accounts and MMFs'!$A:$A,ROW())&amp;""," "," "))</f>
        <v/>
      </c>
      <c r="K654">
        <f>TRIM(SUBSTITUTE(INDEX('Call accounts and MMFs'!$B:$B,ROW())&amp;""," "," "))</f>
        <v/>
      </c>
      <c r="L654">
        <f>TRIM(SUBSTITUTE(INDEX('Call accounts and MMFs'!$C:$C,ROW())&amp;""," "," "))</f>
        <v/>
      </c>
      <c r="M654">
        <f>IFERROR(--INDEX('Call accounts and MMFs'!$D:$D,ROW()),0)</f>
        <v/>
      </c>
      <c r="N654">
        <f>IFERROR(IF(--INDEX('Call accounts and MMFs'!$E:$E,ROW())&gt;=1,--INDEX('Call accounts and MMFs'!$E:$E,ROW())/100,--INDEX('Call accounts and MMFs'!$E:$E,ROW())),0)</f>
        <v/>
      </c>
      <c r="O654">
        <f>IFERROR(--INDEX('Call accounts and MMFs'!$F:$F,ROW()),0)</f>
        <v/>
      </c>
      <c r="P654">
        <f>IF(ISNUMBER(INDEX('Call accounts and MMFs'!$E:$E,ROW())),1,0)</f>
        <v/>
      </c>
      <c r="Q654">
        <f>TRIM(SUBSTITUTE(INDEX('Pooled funds'!$B:$B,ROW())&amp;""," "," "))</f>
        <v/>
      </c>
      <c r="R654">
        <f>IFERROR(--INDEX('Pooled funds'!$C:$C,ROW()),0)</f>
        <v/>
      </c>
      <c r="S654">
        <f>IFERROR(--INDEX('Pooled funds'!$D:$D,ROW()),0)</f>
        <v/>
      </c>
      <c r="T654">
        <f>IFERROR(IF(--INDEX('Pooled funds'!$E:$E,ROW())&gt;=1,--INDEX('Pooled funds'!$E:$E,ROW())/100,--INDEX('Pooled funds'!$E:$E,ROW())),0)</f>
        <v/>
      </c>
      <c r="U654">
        <f>IF(ISNUMBER(INDEX('Pooled funds'!$E:$E,ROW())),1,0)</f>
        <v/>
      </c>
      <c r="V654">
        <f>TRIM(SUBSTITUTE(INDEX('Loans'!$A:$A,ROW())&amp;""," "," "))</f>
        <v/>
      </c>
      <c r="W654">
        <f>TRIM(SUBSTITUTE(INDEX('Loans'!$B:$B,ROW())&amp;""," "," "))</f>
        <v/>
      </c>
      <c r="X654">
        <f>TRIM(SUBSTITUTE(INDEX('Loans'!$C:$C,ROW())&amp;""," "," "))</f>
        <v/>
      </c>
      <c r="Y654">
        <f>IFERROR(--INDEX('Loans'!$D:$D,ROW()),0)</f>
        <v/>
      </c>
      <c r="Z654">
        <f>IFERROR(--INDEX('Loans'!$E:$E,ROW()),0)</f>
        <v/>
      </c>
      <c r="AA654">
        <f>IFERROR(--INDEX('Loans'!$F:$F,ROW()),0)</f>
        <v/>
      </c>
      <c r="AB654">
        <f>IFERROR(IF(--INDEX('Loans'!$G:$G,ROW())&gt;=1,--INDEX('Loans'!$G:$G,ROW())/100,--INDEX('Loans'!$G:$G,ROW())),0)</f>
        <v/>
      </c>
      <c r="AC654">
        <f>TRIM(SUBSTITUTE(INDEX('Loans'!$H:$H,ROW())&amp;""," "," "))</f>
        <v/>
      </c>
      <c r="AD654">
        <f>TRIM(SUBSTITUTE(INDEX('Loans'!$I:$I,ROW())&amp;""," "," "))</f>
        <v/>
      </c>
      <c r="AE654">
        <f>IFERROR(--INDEX('Loans'!$J:$J,ROW()),0)</f>
        <v/>
      </c>
      <c r="AF654">
        <f>TRIM(SUBSTITUTE(INDEX('Loans'!$K:$K,ROW())&amp;""," "," "))</f>
        <v/>
      </c>
      <c r="AG654">
        <f>IFERROR(--INDEX('Loans'!$L:$L,ROW()),0)</f>
        <v/>
      </c>
      <c r="AH654">
        <f>IF(ISNUMBER(INDEX('Loans'!$G:$G,ROW())),1,0)</f>
        <v/>
      </c>
    </row>
    <row r="655">
      <c r="A655">
        <f>TRIM(SUBSTITUTE(INDEX('Term investments'!$A:$A,ROW())&amp;""," "," "))</f>
        <v/>
      </c>
      <c r="B655">
        <f>TRIM(SUBSTITUTE(INDEX('Term investments'!$B:$B,ROW())&amp;""," "," "))</f>
        <v/>
      </c>
      <c r="C655">
        <f>TRIM(SUBSTITUTE(INDEX('Term investments'!$C:$C,ROW())&amp;""," "," "))</f>
        <v/>
      </c>
      <c r="D655">
        <f>IFERROR(--INDEX('Term investments'!$D:$D,ROW()),0)</f>
        <v/>
      </c>
      <c r="E655">
        <f>IFERROR(--INDEX('Term investments'!$E:$E,ROW()),0)</f>
        <v/>
      </c>
      <c r="F655">
        <f>IFERROR(--INDEX('Term investments'!$F:$F,ROW()),0)</f>
        <v/>
      </c>
      <c r="G655">
        <f>IFERROR(IF(--INDEX('Term investments'!$G:$G,ROW())&gt;=1,--INDEX('Term investments'!$G:$G,ROW())/100,--INDEX('Term investments'!$G:$G,ROW())),0)</f>
        <v/>
      </c>
      <c r="H655">
        <f>IFERROR(--INDEX('Term investments'!$H:$H,ROW()),0)</f>
        <v/>
      </c>
      <c r="I655">
        <f>IF(ISNUMBER(INDEX('Term investments'!$G:$G,ROW())),1,0)</f>
        <v/>
      </c>
      <c r="J655">
        <f>TRIM(SUBSTITUTE(INDEX('Call accounts and MMFs'!$A:$A,ROW())&amp;""," "," "))</f>
        <v/>
      </c>
      <c r="K655">
        <f>TRIM(SUBSTITUTE(INDEX('Call accounts and MMFs'!$B:$B,ROW())&amp;""," "," "))</f>
        <v/>
      </c>
      <c r="L655">
        <f>TRIM(SUBSTITUTE(INDEX('Call accounts and MMFs'!$C:$C,ROW())&amp;""," "," "))</f>
        <v/>
      </c>
      <c r="M655">
        <f>IFERROR(--INDEX('Call accounts and MMFs'!$D:$D,ROW()),0)</f>
        <v/>
      </c>
      <c r="N655">
        <f>IFERROR(IF(--INDEX('Call accounts and MMFs'!$E:$E,ROW())&gt;=1,--INDEX('Call accounts and MMFs'!$E:$E,ROW())/100,--INDEX('Call accounts and MMFs'!$E:$E,ROW())),0)</f>
        <v/>
      </c>
      <c r="O655">
        <f>IFERROR(--INDEX('Call accounts and MMFs'!$F:$F,ROW()),0)</f>
        <v/>
      </c>
      <c r="P655">
        <f>IF(ISNUMBER(INDEX('Call accounts and MMFs'!$E:$E,ROW())),1,0)</f>
        <v/>
      </c>
      <c r="Q655">
        <f>TRIM(SUBSTITUTE(INDEX('Pooled funds'!$B:$B,ROW())&amp;""," "," "))</f>
        <v/>
      </c>
      <c r="R655">
        <f>IFERROR(--INDEX('Pooled funds'!$C:$C,ROW()),0)</f>
        <v/>
      </c>
      <c r="S655">
        <f>IFERROR(--INDEX('Pooled funds'!$D:$D,ROW()),0)</f>
        <v/>
      </c>
      <c r="T655">
        <f>IFERROR(IF(--INDEX('Pooled funds'!$E:$E,ROW())&gt;=1,--INDEX('Pooled funds'!$E:$E,ROW())/100,--INDEX('Pooled funds'!$E:$E,ROW())),0)</f>
        <v/>
      </c>
      <c r="U655">
        <f>IF(ISNUMBER(INDEX('Pooled funds'!$E:$E,ROW())),1,0)</f>
        <v/>
      </c>
      <c r="V655">
        <f>TRIM(SUBSTITUTE(INDEX('Loans'!$A:$A,ROW())&amp;""," "," "))</f>
        <v/>
      </c>
      <c r="W655">
        <f>TRIM(SUBSTITUTE(INDEX('Loans'!$B:$B,ROW())&amp;""," "," "))</f>
        <v/>
      </c>
      <c r="X655">
        <f>TRIM(SUBSTITUTE(INDEX('Loans'!$C:$C,ROW())&amp;""," "," "))</f>
        <v/>
      </c>
      <c r="Y655">
        <f>IFERROR(--INDEX('Loans'!$D:$D,ROW()),0)</f>
        <v/>
      </c>
      <c r="Z655">
        <f>IFERROR(--INDEX('Loans'!$E:$E,ROW()),0)</f>
        <v/>
      </c>
      <c r="AA655">
        <f>IFERROR(--INDEX('Loans'!$F:$F,ROW()),0)</f>
        <v/>
      </c>
      <c r="AB655">
        <f>IFERROR(IF(--INDEX('Loans'!$G:$G,ROW())&gt;=1,--INDEX('Loans'!$G:$G,ROW())/100,--INDEX('Loans'!$G:$G,ROW())),0)</f>
        <v/>
      </c>
      <c r="AC655">
        <f>TRIM(SUBSTITUTE(INDEX('Loans'!$H:$H,ROW())&amp;""," "," "))</f>
        <v/>
      </c>
      <c r="AD655">
        <f>TRIM(SUBSTITUTE(INDEX('Loans'!$I:$I,ROW())&amp;""," "," "))</f>
        <v/>
      </c>
      <c r="AE655">
        <f>IFERROR(--INDEX('Loans'!$J:$J,ROW()),0)</f>
        <v/>
      </c>
      <c r="AF655">
        <f>TRIM(SUBSTITUTE(INDEX('Loans'!$K:$K,ROW())&amp;""," "," "))</f>
        <v/>
      </c>
      <c r="AG655">
        <f>IFERROR(--INDEX('Loans'!$L:$L,ROW()),0)</f>
        <v/>
      </c>
      <c r="AH655">
        <f>IF(ISNUMBER(INDEX('Loans'!$G:$G,ROW())),1,0)</f>
        <v/>
      </c>
    </row>
    <row r="656">
      <c r="A656">
        <f>TRIM(SUBSTITUTE(INDEX('Term investments'!$A:$A,ROW())&amp;""," "," "))</f>
        <v/>
      </c>
      <c r="B656">
        <f>TRIM(SUBSTITUTE(INDEX('Term investments'!$B:$B,ROW())&amp;""," "," "))</f>
        <v/>
      </c>
      <c r="C656">
        <f>TRIM(SUBSTITUTE(INDEX('Term investments'!$C:$C,ROW())&amp;""," "," "))</f>
        <v/>
      </c>
      <c r="D656">
        <f>IFERROR(--INDEX('Term investments'!$D:$D,ROW()),0)</f>
        <v/>
      </c>
      <c r="E656">
        <f>IFERROR(--INDEX('Term investments'!$E:$E,ROW()),0)</f>
        <v/>
      </c>
      <c r="F656">
        <f>IFERROR(--INDEX('Term investments'!$F:$F,ROW()),0)</f>
        <v/>
      </c>
      <c r="G656">
        <f>IFERROR(IF(--INDEX('Term investments'!$G:$G,ROW())&gt;=1,--INDEX('Term investments'!$G:$G,ROW())/100,--INDEX('Term investments'!$G:$G,ROW())),0)</f>
        <v/>
      </c>
      <c r="H656">
        <f>IFERROR(--INDEX('Term investments'!$H:$H,ROW()),0)</f>
        <v/>
      </c>
      <c r="I656">
        <f>IF(ISNUMBER(INDEX('Term investments'!$G:$G,ROW())),1,0)</f>
        <v/>
      </c>
      <c r="J656">
        <f>TRIM(SUBSTITUTE(INDEX('Call accounts and MMFs'!$A:$A,ROW())&amp;""," "," "))</f>
        <v/>
      </c>
      <c r="K656">
        <f>TRIM(SUBSTITUTE(INDEX('Call accounts and MMFs'!$B:$B,ROW())&amp;""," "," "))</f>
        <v/>
      </c>
      <c r="L656">
        <f>TRIM(SUBSTITUTE(INDEX('Call accounts and MMFs'!$C:$C,ROW())&amp;""," "," "))</f>
        <v/>
      </c>
      <c r="M656">
        <f>IFERROR(--INDEX('Call accounts and MMFs'!$D:$D,ROW()),0)</f>
        <v/>
      </c>
      <c r="N656">
        <f>IFERROR(IF(--INDEX('Call accounts and MMFs'!$E:$E,ROW())&gt;=1,--INDEX('Call accounts and MMFs'!$E:$E,ROW())/100,--INDEX('Call accounts and MMFs'!$E:$E,ROW())),0)</f>
        <v/>
      </c>
      <c r="O656">
        <f>IFERROR(--INDEX('Call accounts and MMFs'!$F:$F,ROW()),0)</f>
        <v/>
      </c>
      <c r="P656">
        <f>IF(ISNUMBER(INDEX('Call accounts and MMFs'!$E:$E,ROW())),1,0)</f>
        <v/>
      </c>
      <c r="Q656">
        <f>TRIM(SUBSTITUTE(INDEX('Pooled funds'!$B:$B,ROW())&amp;""," "," "))</f>
        <v/>
      </c>
      <c r="R656">
        <f>IFERROR(--INDEX('Pooled funds'!$C:$C,ROW()),0)</f>
        <v/>
      </c>
      <c r="S656">
        <f>IFERROR(--INDEX('Pooled funds'!$D:$D,ROW()),0)</f>
        <v/>
      </c>
      <c r="T656">
        <f>IFERROR(IF(--INDEX('Pooled funds'!$E:$E,ROW())&gt;=1,--INDEX('Pooled funds'!$E:$E,ROW())/100,--INDEX('Pooled funds'!$E:$E,ROW())),0)</f>
        <v/>
      </c>
      <c r="U656">
        <f>IF(ISNUMBER(INDEX('Pooled funds'!$E:$E,ROW())),1,0)</f>
        <v/>
      </c>
      <c r="V656">
        <f>TRIM(SUBSTITUTE(INDEX('Loans'!$A:$A,ROW())&amp;""," "," "))</f>
        <v/>
      </c>
      <c r="W656">
        <f>TRIM(SUBSTITUTE(INDEX('Loans'!$B:$B,ROW())&amp;""," "," "))</f>
        <v/>
      </c>
      <c r="X656">
        <f>TRIM(SUBSTITUTE(INDEX('Loans'!$C:$C,ROW())&amp;""," "," "))</f>
        <v/>
      </c>
      <c r="Y656">
        <f>IFERROR(--INDEX('Loans'!$D:$D,ROW()),0)</f>
        <v/>
      </c>
      <c r="Z656">
        <f>IFERROR(--INDEX('Loans'!$E:$E,ROW()),0)</f>
        <v/>
      </c>
      <c r="AA656">
        <f>IFERROR(--INDEX('Loans'!$F:$F,ROW()),0)</f>
        <v/>
      </c>
      <c r="AB656">
        <f>IFERROR(IF(--INDEX('Loans'!$G:$G,ROW())&gt;=1,--INDEX('Loans'!$G:$G,ROW())/100,--INDEX('Loans'!$G:$G,ROW())),0)</f>
        <v/>
      </c>
      <c r="AC656">
        <f>TRIM(SUBSTITUTE(INDEX('Loans'!$H:$H,ROW())&amp;""," "," "))</f>
        <v/>
      </c>
      <c r="AD656">
        <f>TRIM(SUBSTITUTE(INDEX('Loans'!$I:$I,ROW())&amp;""," "," "))</f>
        <v/>
      </c>
      <c r="AE656">
        <f>IFERROR(--INDEX('Loans'!$J:$J,ROW()),0)</f>
        <v/>
      </c>
      <c r="AF656">
        <f>TRIM(SUBSTITUTE(INDEX('Loans'!$K:$K,ROW())&amp;""," "," "))</f>
        <v/>
      </c>
      <c r="AG656">
        <f>IFERROR(--INDEX('Loans'!$L:$L,ROW()),0)</f>
        <v/>
      </c>
      <c r="AH656">
        <f>IF(ISNUMBER(INDEX('Loans'!$G:$G,ROW())),1,0)</f>
        <v/>
      </c>
    </row>
    <row r="657">
      <c r="A657">
        <f>TRIM(SUBSTITUTE(INDEX('Term investments'!$A:$A,ROW())&amp;""," "," "))</f>
        <v/>
      </c>
      <c r="B657">
        <f>TRIM(SUBSTITUTE(INDEX('Term investments'!$B:$B,ROW())&amp;""," "," "))</f>
        <v/>
      </c>
      <c r="C657">
        <f>TRIM(SUBSTITUTE(INDEX('Term investments'!$C:$C,ROW())&amp;""," "," "))</f>
        <v/>
      </c>
      <c r="D657">
        <f>IFERROR(--INDEX('Term investments'!$D:$D,ROW()),0)</f>
        <v/>
      </c>
      <c r="E657">
        <f>IFERROR(--INDEX('Term investments'!$E:$E,ROW()),0)</f>
        <v/>
      </c>
      <c r="F657">
        <f>IFERROR(--INDEX('Term investments'!$F:$F,ROW()),0)</f>
        <v/>
      </c>
      <c r="G657">
        <f>IFERROR(IF(--INDEX('Term investments'!$G:$G,ROW())&gt;=1,--INDEX('Term investments'!$G:$G,ROW())/100,--INDEX('Term investments'!$G:$G,ROW())),0)</f>
        <v/>
      </c>
      <c r="H657">
        <f>IFERROR(--INDEX('Term investments'!$H:$H,ROW()),0)</f>
        <v/>
      </c>
      <c r="I657">
        <f>IF(ISNUMBER(INDEX('Term investments'!$G:$G,ROW())),1,0)</f>
        <v/>
      </c>
      <c r="J657">
        <f>TRIM(SUBSTITUTE(INDEX('Call accounts and MMFs'!$A:$A,ROW())&amp;""," "," "))</f>
        <v/>
      </c>
      <c r="K657">
        <f>TRIM(SUBSTITUTE(INDEX('Call accounts and MMFs'!$B:$B,ROW())&amp;""," "," "))</f>
        <v/>
      </c>
      <c r="L657">
        <f>TRIM(SUBSTITUTE(INDEX('Call accounts and MMFs'!$C:$C,ROW())&amp;""," "," "))</f>
        <v/>
      </c>
      <c r="M657">
        <f>IFERROR(--INDEX('Call accounts and MMFs'!$D:$D,ROW()),0)</f>
        <v/>
      </c>
      <c r="N657">
        <f>IFERROR(IF(--INDEX('Call accounts and MMFs'!$E:$E,ROW())&gt;=1,--INDEX('Call accounts and MMFs'!$E:$E,ROW())/100,--INDEX('Call accounts and MMFs'!$E:$E,ROW())),0)</f>
        <v/>
      </c>
      <c r="O657">
        <f>IFERROR(--INDEX('Call accounts and MMFs'!$F:$F,ROW()),0)</f>
        <v/>
      </c>
      <c r="P657">
        <f>IF(ISNUMBER(INDEX('Call accounts and MMFs'!$E:$E,ROW())),1,0)</f>
        <v/>
      </c>
      <c r="Q657">
        <f>TRIM(SUBSTITUTE(INDEX('Pooled funds'!$B:$B,ROW())&amp;""," "," "))</f>
        <v/>
      </c>
      <c r="R657">
        <f>IFERROR(--INDEX('Pooled funds'!$C:$C,ROW()),0)</f>
        <v/>
      </c>
      <c r="S657">
        <f>IFERROR(--INDEX('Pooled funds'!$D:$D,ROW()),0)</f>
        <v/>
      </c>
      <c r="T657">
        <f>IFERROR(IF(--INDEX('Pooled funds'!$E:$E,ROW())&gt;=1,--INDEX('Pooled funds'!$E:$E,ROW())/100,--INDEX('Pooled funds'!$E:$E,ROW())),0)</f>
        <v/>
      </c>
      <c r="U657">
        <f>IF(ISNUMBER(INDEX('Pooled funds'!$E:$E,ROW())),1,0)</f>
        <v/>
      </c>
      <c r="V657">
        <f>TRIM(SUBSTITUTE(INDEX('Loans'!$A:$A,ROW())&amp;""," "," "))</f>
        <v/>
      </c>
      <c r="W657">
        <f>TRIM(SUBSTITUTE(INDEX('Loans'!$B:$B,ROW())&amp;""," "," "))</f>
        <v/>
      </c>
      <c r="X657">
        <f>TRIM(SUBSTITUTE(INDEX('Loans'!$C:$C,ROW())&amp;""," "," "))</f>
        <v/>
      </c>
      <c r="Y657">
        <f>IFERROR(--INDEX('Loans'!$D:$D,ROW()),0)</f>
        <v/>
      </c>
      <c r="Z657">
        <f>IFERROR(--INDEX('Loans'!$E:$E,ROW()),0)</f>
        <v/>
      </c>
      <c r="AA657">
        <f>IFERROR(--INDEX('Loans'!$F:$F,ROW()),0)</f>
        <v/>
      </c>
      <c r="AB657">
        <f>IFERROR(IF(--INDEX('Loans'!$G:$G,ROW())&gt;=1,--INDEX('Loans'!$G:$G,ROW())/100,--INDEX('Loans'!$G:$G,ROW())),0)</f>
        <v/>
      </c>
      <c r="AC657">
        <f>TRIM(SUBSTITUTE(INDEX('Loans'!$H:$H,ROW())&amp;""," "," "))</f>
        <v/>
      </c>
      <c r="AD657">
        <f>TRIM(SUBSTITUTE(INDEX('Loans'!$I:$I,ROW())&amp;""," "," "))</f>
        <v/>
      </c>
      <c r="AE657">
        <f>IFERROR(--INDEX('Loans'!$J:$J,ROW()),0)</f>
        <v/>
      </c>
      <c r="AF657">
        <f>TRIM(SUBSTITUTE(INDEX('Loans'!$K:$K,ROW())&amp;""," "," "))</f>
        <v/>
      </c>
      <c r="AG657">
        <f>IFERROR(--INDEX('Loans'!$L:$L,ROW()),0)</f>
        <v/>
      </c>
      <c r="AH657">
        <f>IF(ISNUMBER(INDEX('Loans'!$G:$G,ROW())),1,0)</f>
        <v/>
      </c>
    </row>
    <row r="658">
      <c r="A658">
        <f>TRIM(SUBSTITUTE(INDEX('Term investments'!$A:$A,ROW())&amp;""," "," "))</f>
        <v/>
      </c>
      <c r="B658">
        <f>TRIM(SUBSTITUTE(INDEX('Term investments'!$B:$B,ROW())&amp;""," "," "))</f>
        <v/>
      </c>
      <c r="C658">
        <f>TRIM(SUBSTITUTE(INDEX('Term investments'!$C:$C,ROW())&amp;""," "," "))</f>
        <v/>
      </c>
      <c r="D658">
        <f>IFERROR(--INDEX('Term investments'!$D:$D,ROW()),0)</f>
        <v/>
      </c>
      <c r="E658">
        <f>IFERROR(--INDEX('Term investments'!$E:$E,ROW()),0)</f>
        <v/>
      </c>
      <c r="F658">
        <f>IFERROR(--INDEX('Term investments'!$F:$F,ROW()),0)</f>
        <v/>
      </c>
      <c r="G658">
        <f>IFERROR(IF(--INDEX('Term investments'!$G:$G,ROW())&gt;=1,--INDEX('Term investments'!$G:$G,ROW())/100,--INDEX('Term investments'!$G:$G,ROW())),0)</f>
        <v/>
      </c>
      <c r="H658">
        <f>IFERROR(--INDEX('Term investments'!$H:$H,ROW()),0)</f>
        <v/>
      </c>
      <c r="I658">
        <f>IF(ISNUMBER(INDEX('Term investments'!$G:$G,ROW())),1,0)</f>
        <v/>
      </c>
      <c r="J658">
        <f>TRIM(SUBSTITUTE(INDEX('Call accounts and MMFs'!$A:$A,ROW())&amp;""," "," "))</f>
        <v/>
      </c>
      <c r="K658">
        <f>TRIM(SUBSTITUTE(INDEX('Call accounts and MMFs'!$B:$B,ROW())&amp;""," "," "))</f>
        <v/>
      </c>
      <c r="L658">
        <f>TRIM(SUBSTITUTE(INDEX('Call accounts and MMFs'!$C:$C,ROW())&amp;""," "," "))</f>
        <v/>
      </c>
      <c r="M658">
        <f>IFERROR(--INDEX('Call accounts and MMFs'!$D:$D,ROW()),0)</f>
        <v/>
      </c>
      <c r="N658">
        <f>IFERROR(IF(--INDEX('Call accounts and MMFs'!$E:$E,ROW())&gt;=1,--INDEX('Call accounts and MMFs'!$E:$E,ROW())/100,--INDEX('Call accounts and MMFs'!$E:$E,ROW())),0)</f>
        <v/>
      </c>
      <c r="O658">
        <f>IFERROR(--INDEX('Call accounts and MMFs'!$F:$F,ROW()),0)</f>
        <v/>
      </c>
      <c r="P658">
        <f>IF(ISNUMBER(INDEX('Call accounts and MMFs'!$E:$E,ROW())),1,0)</f>
        <v/>
      </c>
      <c r="Q658">
        <f>TRIM(SUBSTITUTE(INDEX('Pooled funds'!$B:$B,ROW())&amp;""," "," "))</f>
        <v/>
      </c>
      <c r="R658">
        <f>IFERROR(--INDEX('Pooled funds'!$C:$C,ROW()),0)</f>
        <v/>
      </c>
      <c r="S658">
        <f>IFERROR(--INDEX('Pooled funds'!$D:$D,ROW()),0)</f>
        <v/>
      </c>
      <c r="T658">
        <f>IFERROR(IF(--INDEX('Pooled funds'!$E:$E,ROW())&gt;=1,--INDEX('Pooled funds'!$E:$E,ROW())/100,--INDEX('Pooled funds'!$E:$E,ROW())),0)</f>
        <v/>
      </c>
      <c r="U658">
        <f>IF(ISNUMBER(INDEX('Pooled funds'!$E:$E,ROW())),1,0)</f>
        <v/>
      </c>
      <c r="V658">
        <f>TRIM(SUBSTITUTE(INDEX('Loans'!$A:$A,ROW())&amp;""," "," "))</f>
        <v/>
      </c>
      <c r="W658">
        <f>TRIM(SUBSTITUTE(INDEX('Loans'!$B:$B,ROW())&amp;""," "," "))</f>
        <v/>
      </c>
      <c r="X658">
        <f>TRIM(SUBSTITUTE(INDEX('Loans'!$C:$C,ROW())&amp;""," "," "))</f>
        <v/>
      </c>
      <c r="Y658">
        <f>IFERROR(--INDEX('Loans'!$D:$D,ROW()),0)</f>
        <v/>
      </c>
      <c r="Z658">
        <f>IFERROR(--INDEX('Loans'!$E:$E,ROW()),0)</f>
        <v/>
      </c>
      <c r="AA658">
        <f>IFERROR(--INDEX('Loans'!$F:$F,ROW()),0)</f>
        <v/>
      </c>
      <c r="AB658">
        <f>IFERROR(IF(--INDEX('Loans'!$G:$G,ROW())&gt;=1,--INDEX('Loans'!$G:$G,ROW())/100,--INDEX('Loans'!$G:$G,ROW())),0)</f>
        <v/>
      </c>
      <c r="AC658">
        <f>TRIM(SUBSTITUTE(INDEX('Loans'!$H:$H,ROW())&amp;""," "," "))</f>
        <v/>
      </c>
      <c r="AD658">
        <f>TRIM(SUBSTITUTE(INDEX('Loans'!$I:$I,ROW())&amp;""," "," "))</f>
        <v/>
      </c>
      <c r="AE658">
        <f>IFERROR(--INDEX('Loans'!$J:$J,ROW()),0)</f>
        <v/>
      </c>
      <c r="AF658">
        <f>TRIM(SUBSTITUTE(INDEX('Loans'!$K:$K,ROW())&amp;""," "," "))</f>
        <v/>
      </c>
      <c r="AG658">
        <f>IFERROR(--INDEX('Loans'!$L:$L,ROW()),0)</f>
        <v/>
      </c>
      <c r="AH658">
        <f>IF(ISNUMBER(INDEX('Loans'!$G:$G,ROW())),1,0)</f>
        <v/>
      </c>
    </row>
    <row r="659">
      <c r="A659">
        <f>TRIM(SUBSTITUTE(INDEX('Term investments'!$A:$A,ROW())&amp;""," "," "))</f>
        <v/>
      </c>
      <c r="B659">
        <f>TRIM(SUBSTITUTE(INDEX('Term investments'!$B:$B,ROW())&amp;""," "," "))</f>
        <v/>
      </c>
      <c r="C659">
        <f>TRIM(SUBSTITUTE(INDEX('Term investments'!$C:$C,ROW())&amp;""," "," "))</f>
        <v/>
      </c>
      <c r="D659">
        <f>IFERROR(--INDEX('Term investments'!$D:$D,ROW()),0)</f>
        <v/>
      </c>
      <c r="E659">
        <f>IFERROR(--INDEX('Term investments'!$E:$E,ROW()),0)</f>
        <v/>
      </c>
      <c r="F659">
        <f>IFERROR(--INDEX('Term investments'!$F:$F,ROW()),0)</f>
        <v/>
      </c>
      <c r="G659">
        <f>IFERROR(IF(--INDEX('Term investments'!$G:$G,ROW())&gt;=1,--INDEX('Term investments'!$G:$G,ROW())/100,--INDEX('Term investments'!$G:$G,ROW())),0)</f>
        <v/>
      </c>
      <c r="H659">
        <f>IFERROR(--INDEX('Term investments'!$H:$H,ROW()),0)</f>
        <v/>
      </c>
      <c r="I659">
        <f>IF(ISNUMBER(INDEX('Term investments'!$G:$G,ROW())),1,0)</f>
        <v/>
      </c>
      <c r="J659">
        <f>TRIM(SUBSTITUTE(INDEX('Call accounts and MMFs'!$A:$A,ROW())&amp;""," "," "))</f>
        <v/>
      </c>
      <c r="K659">
        <f>TRIM(SUBSTITUTE(INDEX('Call accounts and MMFs'!$B:$B,ROW())&amp;""," "," "))</f>
        <v/>
      </c>
      <c r="L659">
        <f>TRIM(SUBSTITUTE(INDEX('Call accounts and MMFs'!$C:$C,ROW())&amp;""," "," "))</f>
        <v/>
      </c>
      <c r="M659">
        <f>IFERROR(--INDEX('Call accounts and MMFs'!$D:$D,ROW()),0)</f>
        <v/>
      </c>
      <c r="N659">
        <f>IFERROR(IF(--INDEX('Call accounts and MMFs'!$E:$E,ROW())&gt;=1,--INDEX('Call accounts and MMFs'!$E:$E,ROW())/100,--INDEX('Call accounts and MMFs'!$E:$E,ROW())),0)</f>
        <v/>
      </c>
      <c r="O659">
        <f>IFERROR(--INDEX('Call accounts and MMFs'!$F:$F,ROW()),0)</f>
        <v/>
      </c>
      <c r="P659">
        <f>IF(ISNUMBER(INDEX('Call accounts and MMFs'!$E:$E,ROW())),1,0)</f>
        <v/>
      </c>
      <c r="Q659">
        <f>TRIM(SUBSTITUTE(INDEX('Pooled funds'!$B:$B,ROW())&amp;""," "," "))</f>
        <v/>
      </c>
      <c r="R659">
        <f>IFERROR(--INDEX('Pooled funds'!$C:$C,ROW()),0)</f>
        <v/>
      </c>
      <c r="S659">
        <f>IFERROR(--INDEX('Pooled funds'!$D:$D,ROW()),0)</f>
        <v/>
      </c>
      <c r="T659">
        <f>IFERROR(IF(--INDEX('Pooled funds'!$E:$E,ROW())&gt;=1,--INDEX('Pooled funds'!$E:$E,ROW())/100,--INDEX('Pooled funds'!$E:$E,ROW())),0)</f>
        <v/>
      </c>
      <c r="U659">
        <f>IF(ISNUMBER(INDEX('Pooled funds'!$E:$E,ROW())),1,0)</f>
        <v/>
      </c>
      <c r="V659">
        <f>TRIM(SUBSTITUTE(INDEX('Loans'!$A:$A,ROW())&amp;""," "," "))</f>
        <v/>
      </c>
      <c r="W659">
        <f>TRIM(SUBSTITUTE(INDEX('Loans'!$B:$B,ROW())&amp;""," "," "))</f>
        <v/>
      </c>
      <c r="X659">
        <f>TRIM(SUBSTITUTE(INDEX('Loans'!$C:$C,ROW())&amp;""," "," "))</f>
        <v/>
      </c>
      <c r="Y659">
        <f>IFERROR(--INDEX('Loans'!$D:$D,ROW()),0)</f>
        <v/>
      </c>
      <c r="Z659">
        <f>IFERROR(--INDEX('Loans'!$E:$E,ROW()),0)</f>
        <v/>
      </c>
      <c r="AA659">
        <f>IFERROR(--INDEX('Loans'!$F:$F,ROW()),0)</f>
        <v/>
      </c>
      <c r="AB659">
        <f>IFERROR(IF(--INDEX('Loans'!$G:$G,ROW())&gt;=1,--INDEX('Loans'!$G:$G,ROW())/100,--INDEX('Loans'!$G:$G,ROW())),0)</f>
        <v/>
      </c>
      <c r="AC659">
        <f>TRIM(SUBSTITUTE(INDEX('Loans'!$H:$H,ROW())&amp;""," "," "))</f>
        <v/>
      </c>
      <c r="AD659">
        <f>TRIM(SUBSTITUTE(INDEX('Loans'!$I:$I,ROW())&amp;""," "," "))</f>
        <v/>
      </c>
      <c r="AE659">
        <f>IFERROR(--INDEX('Loans'!$J:$J,ROW()),0)</f>
        <v/>
      </c>
      <c r="AF659">
        <f>TRIM(SUBSTITUTE(INDEX('Loans'!$K:$K,ROW())&amp;""," "," "))</f>
        <v/>
      </c>
      <c r="AG659">
        <f>IFERROR(--INDEX('Loans'!$L:$L,ROW()),0)</f>
        <v/>
      </c>
      <c r="AH659">
        <f>IF(ISNUMBER(INDEX('Loans'!$G:$G,ROW())),1,0)</f>
        <v/>
      </c>
    </row>
    <row r="660">
      <c r="A660">
        <f>TRIM(SUBSTITUTE(INDEX('Term investments'!$A:$A,ROW())&amp;""," "," "))</f>
        <v/>
      </c>
      <c r="B660">
        <f>TRIM(SUBSTITUTE(INDEX('Term investments'!$B:$B,ROW())&amp;""," "," "))</f>
        <v/>
      </c>
      <c r="C660">
        <f>TRIM(SUBSTITUTE(INDEX('Term investments'!$C:$C,ROW())&amp;""," "," "))</f>
        <v/>
      </c>
      <c r="D660">
        <f>IFERROR(--INDEX('Term investments'!$D:$D,ROW()),0)</f>
        <v/>
      </c>
      <c r="E660">
        <f>IFERROR(--INDEX('Term investments'!$E:$E,ROW()),0)</f>
        <v/>
      </c>
      <c r="F660">
        <f>IFERROR(--INDEX('Term investments'!$F:$F,ROW()),0)</f>
        <v/>
      </c>
      <c r="G660">
        <f>IFERROR(IF(--INDEX('Term investments'!$G:$G,ROW())&gt;=1,--INDEX('Term investments'!$G:$G,ROW())/100,--INDEX('Term investments'!$G:$G,ROW())),0)</f>
        <v/>
      </c>
      <c r="H660">
        <f>IFERROR(--INDEX('Term investments'!$H:$H,ROW()),0)</f>
        <v/>
      </c>
      <c r="I660">
        <f>IF(ISNUMBER(INDEX('Term investments'!$G:$G,ROW())),1,0)</f>
        <v/>
      </c>
      <c r="J660">
        <f>TRIM(SUBSTITUTE(INDEX('Call accounts and MMFs'!$A:$A,ROW())&amp;""," "," "))</f>
        <v/>
      </c>
      <c r="K660">
        <f>TRIM(SUBSTITUTE(INDEX('Call accounts and MMFs'!$B:$B,ROW())&amp;""," "," "))</f>
        <v/>
      </c>
      <c r="L660">
        <f>TRIM(SUBSTITUTE(INDEX('Call accounts and MMFs'!$C:$C,ROW())&amp;""," "," "))</f>
        <v/>
      </c>
      <c r="M660">
        <f>IFERROR(--INDEX('Call accounts and MMFs'!$D:$D,ROW()),0)</f>
        <v/>
      </c>
      <c r="N660">
        <f>IFERROR(IF(--INDEX('Call accounts and MMFs'!$E:$E,ROW())&gt;=1,--INDEX('Call accounts and MMFs'!$E:$E,ROW())/100,--INDEX('Call accounts and MMFs'!$E:$E,ROW())),0)</f>
        <v/>
      </c>
      <c r="O660">
        <f>IFERROR(--INDEX('Call accounts and MMFs'!$F:$F,ROW()),0)</f>
        <v/>
      </c>
      <c r="P660">
        <f>IF(ISNUMBER(INDEX('Call accounts and MMFs'!$E:$E,ROW())),1,0)</f>
        <v/>
      </c>
      <c r="Q660">
        <f>TRIM(SUBSTITUTE(INDEX('Pooled funds'!$B:$B,ROW())&amp;""," "," "))</f>
        <v/>
      </c>
      <c r="R660">
        <f>IFERROR(--INDEX('Pooled funds'!$C:$C,ROW()),0)</f>
        <v/>
      </c>
      <c r="S660">
        <f>IFERROR(--INDEX('Pooled funds'!$D:$D,ROW()),0)</f>
        <v/>
      </c>
      <c r="T660">
        <f>IFERROR(IF(--INDEX('Pooled funds'!$E:$E,ROW())&gt;=1,--INDEX('Pooled funds'!$E:$E,ROW())/100,--INDEX('Pooled funds'!$E:$E,ROW())),0)</f>
        <v/>
      </c>
      <c r="U660">
        <f>IF(ISNUMBER(INDEX('Pooled funds'!$E:$E,ROW())),1,0)</f>
        <v/>
      </c>
      <c r="V660">
        <f>TRIM(SUBSTITUTE(INDEX('Loans'!$A:$A,ROW())&amp;""," "," "))</f>
        <v/>
      </c>
      <c r="W660">
        <f>TRIM(SUBSTITUTE(INDEX('Loans'!$B:$B,ROW())&amp;""," "," "))</f>
        <v/>
      </c>
      <c r="X660">
        <f>TRIM(SUBSTITUTE(INDEX('Loans'!$C:$C,ROW())&amp;""," "," "))</f>
        <v/>
      </c>
      <c r="Y660">
        <f>IFERROR(--INDEX('Loans'!$D:$D,ROW()),0)</f>
        <v/>
      </c>
      <c r="Z660">
        <f>IFERROR(--INDEX('Loans'!$E:$E,ROW()),0)</f>
        <v/>
      </c>
      <c r="AA660">
        <f>IFERROR(--INDEX('Loans'!$F:$F,ROW()),0)</f>
        <v/>
      </c>
      <c r="AB660">
        <f>IFERROR(IF(--INDEX('Loans'!$G:$G,ROW())&gt;=1,--INDEX('Loans'!$G:$G,ROW())/100,--INDEX('Loans'!$G:$G,ROW())),0)</f>
        <v/>
      </c>
      <c r="AC660">
        <f>TRIM(SUBSTITUTE(INDEX('Loans'!$H:$H,ROW())&amp;""," "," "))</f>
        <v/>
      </c>
      <c r="AD660">
        <f>TRIM(SUBSTITUTE(INDEX('Loans'!$I:$I,ROW())&amp;""," "," "))</f>
        <v/>
      </c>
      <c r="AE660">
        <f>IFERROR(--INDEX('Loans'!$J:$J,ROW()),0)</f>
        <v/>
      </c>
      <c r="AF660">
        <f>TRIM(SUBSTITUTE(INDEX('Loans'!$K:$K,ROW())&amp;""," "," "))</f>
        <v/>
      </c>
      <c r="AG660">
        <f>IFERROR(--INDEX('Loans'!$L:$L,ROW()),0)</f>
        <v/>
      </c>
      <c r="AH660">
        <f>IF(ISNUMBER(INDEX('Loans'!$G:$G,ROW())),1,0)</f>
        <v/>
      </c>
    </row>
    <row r="661">
      <c r="A661">
        <f>TRIM(SUBSTITUTE(INDEX('Term investments'!$A:$A,ROW())&amp;""," "," "))</f>
        <v/>
      </c>
      <c r="B661">
        <f>TRIM(SUBSTITUTE(INDEX('Term investments'!$B:$B,ROW())&amp;""," "," "))</f>
        <v/>
      </c>
      <c r="C661">
        <f>TRIM(SUBSTITUTE(INDEX('Term investments'!$C:$C,ROW())&amp;""," "," "))</f>
        <v/>
      </c>
      <c r="D661">
        <f>IFERROR(--INDEX('Term investments'!$D:$D,ROW()),0)</f>
        <v/>
      </c>
      <c r="E661">
        <f>IFERROR(--INDEX('Term investments'!$E:$E,ROW()),0)</f>
        <v/>
      </c>
      <c r="F661">
        <f>IFERROR(--INDEX('Term investments'!$F:$F,ROW()),0)</f>
        <v/>
      </c>
      <c r="G661">
        <f>IFERROR(IF(--INDEX('Term investments'!$G:$G,ROW())&gt;=1,--INDEX('Term investments'!$G:$G,ROW())/100,--INDEX('Term investments'!$G:$G,ROW())),0)</f>
        <v/>
      </c>
      <c r="H661">
        <f>IFERROR(--INDEX('Term investments'!$H:$H,ROW()),0)</f>
        <v/>
      </c>
      <c r="I661">
        <f>IF(ISNUMBER(INDEX('Term investments'!$G:$G,ROW())),1,0)</f>
        <v/>
      </c>
      <c r="J661">
        <f>TRIM(SUBSTITUTE(INDEX('Call accounts and MMFs'!$A:$A,ROW())&amp;""," "," "))</f>
        <v/>
      </c>
      <c r="K661">
        <f>TRIM(SUBSTITUTE(INDEX('Call accounts and MMFs'!$B:$B,ROW())&amp;""," "," "))</f>
        <v/>
      </c>
      <c r="L661">
        <f>TRIM(SUBSTITUTE(INDEX('Call accounts and MMFs'!$C:$C,ROW())&amp;""," "," "))</f>
        <v/>
      </c>
      <c r="M661">
        <f>IFERROR(--INDEX('Call accounts and MMFs'!$D:$D,ROW()),0)</f>
        <v/>
      </c>
      <c r="N661">
        <f>IFERROR(IF(--INDEX('Call accounts and MMFs'!$E:$E,ROW())&gt;=1,--INDEX('Call accounts and MMFs'!$E:$E,ROW())/100,--INDEX('Call accounts and MMFs'!$E:$E,ROW())),0)</f>
        <v/>
      </c>
      <c r="O661">
        <f>IFERROR(--INDEX('Call accounts and MMFs'!$F:$F,ROW()),0)</f>
        <v/>
      </c>
      <c r="P661">
        <f>IF(ISNUMBER(INDEX('Call accounts and MMFs'!$E:$E,ROW())),1,0)</f>
        <v/>
      </c>
      <c r="Q661">
        <f>TRIM(SUBSTITUTE(INDEX('Pooled funds'!$B:$B,ROW())&amp;""," "," "))</f>
        <v/>
      </c>
      <c r="R661">
        <f>IFERROR(--INDEX('Pooled funds'!$C:$C,ROW()),0)</f>
        <v/>
      </c>
      <c r="S661">
        <f>IFERROR(--INDEX('Pooled funds'!$D:$D,ROW()),0)</f>
        <v/>
      </c>
      <c r="T661">
        <f>IFERROR(IF(--INDEX('Pooled funds'!$E:$E,ROW())&gt;=1,--INDEX('Pooled funds'!$E:$E,ROW())/100,--INDEX('Pooled funds'!$E:$E,ROW())),0)</f>
        <v/>
      </c>
      <c r="U661">
        <f>IF(ISNUMBER(INDEX('Pooled funds'!$E:$E,ROW())),1,0)</f>
        <v/>
      </c>
      <c r="V661">
        <f>TRIM(SUBSTITUTE(INDEX('Loans'!$A:$A,ROW())&amp;""," "," "))</f>
        <v/>
      </c>
      <c r="W661">
        <f>TRIM(SUBSTITUTE(INDEX('Loans'!$B:$B,ROW())&amp;""," "," "))</f>
        <v/>
      </c>
      <c r="X661">
        <f>TRIM(SUBSTITUTE(INDEX('Loans'!$C:$C,ROW())&amp;""," "," "))</f>
        <v/>
      </c>
      <c r="Y661">
        <f>IFERROR(--INDEX('Loans'!$D:$D,ROW()),0)</f>
        <v/>
      </c>
      <c r="Z661">
        <f>IFERROR(--INDEX('Loans'!$E:$E,ROW()),0)</f>
        <v/>
      </c>
      <c r="AA661">
        <f>IFERROR(--INDEX('Loans'!$F:$F,ROW()),0)</f>
        <v/>
      </c>
      <c r="AB661">
        <f>IFERROR(IF(--INDEX('Loans'!$G:$G,ROW())&gt;=1,--INDEX('Loans'!$G:$G,ROW())/100,--INDEX('Loans'!$G:$G,ROW())),0)</f>
        <v/>
      </c>
      <c r="AC661">
        <f>TRIM(SUBSTITUTE(INDEX('Loans'!$H:$H,ROW())&amp;""," "," "))</f>
        <v/>
      </c>
      <c r="AD661">
        <f>TRIM(SUBSTITUTE(INDEX('Loans'!$I:$I,ROW())&amp;""," "," "))</f>
        <v/>
      </c>
      <c r="AE661">
        <f>IFERROR(--INDEX('Loans'!$J:$J,ROW()),0)</f>
        <v/>
      </c>
      <c r="AF661">
        <f>TRIM(SUBSTITUTE(INDEX('Loans'!$K:$K,ROW())&amp;""," "," "))</f>
        <v/>
      </c>
      <c r="AG661">
        <f>IFERROR(--INDEX('Loans'!$L:$L,ROW()),0)</f>
        <v/>
      </c>
      <c r="AH661">
        <f>IF(ISNUMBER(INDEX('Loans'!$G:$G,ROW())),1,0)</f>
        <v/>
      </c>
    </row>
    <row r="662">
      <c r="A662">
        <f>TRIM(SUBSTITUTE(INDEX('Term investments'!$A:$A,ROW())&amp;""," "," "))</f>
        <v/>
      </c>
      <c r="B662">
        <f>TRIM(SUBSTITUTE(INDEX('Term investments'!$B:$B,ROW())&amp;""," "," "))</f>
        <v/>
      </c>
      <c r="C662">
        <f>TRIM(SUBSTITUTE(INDEX('Term investments'!$C:$C,ROW())&amp;""," "," "))</f>
        <v/>
      </c>
      <c r="D662">
        <f>IFERROR(--INDEX('Term investments'!$D:$D,ROW()),0)</f>
        <v/>
      </c>
      <c r="E662">
        <f>IFERROR(--INDEX('Term investments'!$E:$E,ROW()),0)</f>
        <v/>
      </c>
      <c r="F662">
        <f>IFERROR(--INDEX('Term investments'!$F:$F,ROW()),0)</f>
        <v/>
      </c>
      <c r="G662">
        <f>IFERROR(IF(--INDEX('Term investments'!$G:$G,ROW())&gt;=1,--INDEX('Term investments'!$G:$G,ROW())/100,--INDEX('Term investments'!$G:$G,ROW())),0)</f>
        <v/>
      </c>
      <c r="H662">
        <f>IFERROR(--INDEX('Term investments'!$H:$H,ROW()),0)</f>
        <v/>
      </c>
      <c r="I662">
        <f>IF(ISNUMBER(INDEX('Term investments'!$G:$G,ROW())),1,0)</f>
        <v/>
      </c>
      <c r="J662">
        <f>TRIM(SUBSTITUTE(INDEX('Call accounts and MMFs'!$A:$A,ROW())&amp;""," "," "))</f>
        <v/>
      </c>
      <c r="K662">
        <f>TRIM(SUBSTITUTE(INDEX('Call accounts and MMFs'!$B:$B,ROW())&amp;""," "," "))</f>
        <v/>
      </c>
      <c r="L662">
        <f>TRIM(SUBSTITUTE(INDEX('Call accounts and MMFs'!$C:$C,ROW())&amp;""," "," "))</f>
        <v/>
      </c>
      <c r="M662">
        <f>IFERROR(--INDEX('Call accounts and MMFs'!$D:$D,ROW()),0)</f>
        <v/>
      </c>
      <c r="N662">
        <f>IFERROR(IF(--INDEX('Call accounts and MMFs'!$E:$E,ROW())&gt;=1,--INDEX('Call accounts and MMFs'!$E:$E,ROW())/100,--INDEX('Call accounts and MMFs'!$E:$E,ROW())),0)</f>
        <v/>
      </c>
      <c r="O662">
        <f>IFERROR(--INDEX('Call accounts and MMFs'!$F:$F,ROW()),0)</f>
        <v/>
      </c>
      <c r="P662">
        <f>IF(ISNUMBER(INDEX('Call accounts and MMFs'!$E:$E,ROW())),1,0)</f>
        <v/>
      </c>
      <c r="Q662">
        <f>TRIM(SUBSTITUTE(INDEX('Pooled funds'!$B:$B,ROW())&amp;""," "," "))</f>
        <v/>
      </c>
      <c r="R662">
        <f>IFERROR(--INDEX('Pooled funds'!$C:$C,ROW()),0)</f>
        <v/>
      </c>
      <c r="S662">
        <f>IFERROR(--INDEX('Pooled funds'!$D:$D,ROW()),0)</f>
        <v/>
      </c>
      <c r="T662">
        <f>IFERROR(IF(--INDEX('Pooled funds'!$E:$E,ROW())&gt;=1,--INDEX('Pooled funds'!$E:$E,ROW())/100,--INDEX('Pooled funds'!$E:$E,ROW())),0)</f>
        <v/>
      </c>
      <c r="U662">
        <f>IF(ISNUMBER(INDEX('Pooled funds'!$E:$E,ROW())),1,0)</f>
        <v/>
      </c>
      <c r="V662">
        <f>TRIM(SUBSTITUTE(INDEX('Loans'!$A:$A,ROW())&amp;""," "," "))</f>
        <v/>
      </c>
      <c r="W662">
        <f>TRIM(SUBSTITUTE(INDEX('Loans'!$B:$B,ROW())&amp;""," "," "))</f>
        <v/>
      </c>
      <c r="X662">
        <f>TRIM(SUBSTITUTE(INDEX('Loans'!$C:$C,ROW())&amp;""," "," "))</f>
        <v/>
      </c>
      <c r="Y662">
        <f>IFERROR(--INDEX('Loans'!$D:$D,ROW()),0)</f>
        <v/>
      </c>
      <c r="Z662">
        <f>IFERROR(--INDEX('Loans'!$E:$E,ROW()),0)</f>
        <v/>
      </c>
      <c r="AA662">
        <f>IFERROR(--INDEX('Loans'!$F:$F,ROW()),0)</f>
        <v/>
      </c>
      <c r="AB662">
        <f>IFERROR(IF(--INDEX('Loans'!$G:$G,ROW())&gt;=1,--INDEX('Loans'!$G:$G,ROW())/100,--INDEX('Loans'!$G:$G,ROW())),0)</f>
        <v/>
      </c>
      <c r="AC662">
        <f>TRIM(SUBSTITUTE(INDEX('Loans'!$H:$H,ROW())&amp;""," "," "))</f>
        <v/>
      </c>
      <c r="AD662">
        <f>TRIM(SUBSTITUTE(INDEX('Loans'!$I:$I,ROW())&amp;""," "," "))</f>
        <v/>
      </c>
      <c r="AE662">
        <f>IFERROR(--INDEX('Loans'!$J:$J,ROW()),0)</f>
        <v/>
      </c>
      <c r="AF662">
        <f>TRIM(SUBSTITUTE(INDEX('Loans'!$K:$K,ROW())&amp;""," "," "))</f>
        <v/>
      </c>
      <c r="AG662">
        <f>IFERROR(--INDEX('Loans'!$L:$L,ROW()),0)</f>
        <v/>
      </c>
      <c r="AH662">
        <f>IF(ISNUMBER(INDEX('Loans'!$G:$G,ROW())),1,0)</f>
        <v/>
      </c>
    </row>
    <row r="663">
      <c r="A663">
        <f>TRIM(SUBSTITUTE(INDEX('Term investments'!$A:$A,ROW())&amp;""," "," "))</f>
        <v/>
      </c>
      <c r="B663">
        <f>TRIM(SUBSTITUTE(INDEX('Term investments'!$B:$B,ROW())&amp;""," "," "))</f>
        <v/>
      </c>
      <c r="C663">
        <f>TRIM(SUBSTITUTE(INDEX('Term investments'!$C:$C,ROW())&amp;""," "," "))</f>
        <v/>
      </c>
      <c r="D663">
        <f>IFERROR(--INDEX('Term investments'!$D:$D,ROW()),0)</f>
        <v/>
      </c>
      <c r="E663">
        <f>IFERROR(--INDEX('Term investments'!$E:$E,ROW()),0)</f>
        <v/>
      </c>
      <c r="F663">
        <f>IFERROR(--INDEX('Term investments'!$F:$F,ROW()),0)</f>
        <v/>
      </c>
      <c r="G663">
        <f>IFERROR(IF(--INDEX('Term investments'!$G:$G,ROW())&gt;=1,--INDEX('Term investments'!$G:$G,ROW())/100,--INDEX('Term investments'!$G:$G,ROW())),0)</f>
        <v/>
      </c>
      <c r="H663">
        <f>IFERROR(--INDEX('Term investments'!$H:$H,ROW()),0)</f>
        <v/>
      </c>
      <c r="I663">
        <f>IF(ISNUMBER(INDEX('Term investments'!$G:$G,ROW())),1,0)</f>
        <v/>
      </c>
      <c r="J663">
        <f>TRIM(SUBSTITUTE(INDEX('Call accounts and MMFs'!$A:$A,ROW())&amp;""," "," "))</f>
        <v/>
      </c>
      <c r="K663">
        <f>TRIM(SUBSTITUTE(INDEX('Call accounts and MMFs'!$B:$B,ROW())&amp;""," "," "))</f>
        <v/>
      </c>
      <c r="L663">
        <f>TRIM(SUBSTITUTE(INDEX('Call accounts and MMFs'!$C:$C,ROW())&amp;""," "," "))</f>
        <v/>
      </c>
      <c r="M663">
        <f>IFERROR(--INDEX('Call accounts and MMFs'!$D:$D,ROW()),0)</f>
        <v/>
      </c>
      <c r="N663">
        <f>IFERROR(IF(--INDEX('Call accounts and MMFs'!$E:$E,ROW())&gt;=1,--INDEX('Call accounts and MMFs'!$E:$E,ROW())/100,--INDEX('Call accounts and MMFs'!$E:$E,ROW())),0)</f>
        <v/>
      </c>
      <c r="O663">
        <f>IFERROR(--INDEX('Call accounts and MMFs'!$F:$F,ROW()),0)</f>
        <v/>
      </c>
      <c r="P663">
        <f>IF(ISNUMBER(INDEX('Call accounts and MMFs'!$E:$E,ROW())),1,0)</f>
        <v/>
      </c>
      <c r="Q663">
        <f>TRIM(SUBSTITUTE(INDEX('Pooled funds'!$B:$B,ROW())&amp;""," "," "))</f>
        <v/>
      </c>
      <c r="R663">
        <f>IFERROR(--INDEX('Pooled funds'!$C:$C,ROW()),0)</f>
        <v/>
      </c>
      <c r="S663">
        <f>IFERROR(--INDEX('Pooled funds'!$D:$D,ROW()),0)</f>
        <v/>
      </c>
      <c r="T663">
        <f>IFERROR(IF(--INDEX('Pooled funds'!$E:$E,ROW())&gt;=1,--INDEX('Pooled funds'!$E:$E,ROW())/100,--INDEX('Pooled funds'!$E:$E,ROW())),0)</f>
        <v/>
      </c>
      <c r="U663">
        <f>IF(ISNUMBER(INDEX('Pooled funds'!$E:$E,ROW())),1,0)</f>
        <v/>
      </c>
      <c r="V663">
        <f>TRIM(SUBSTITUTE(INDEX('Loans'!$A:$A,ROW())&amp;""," "," "))</f>
        <v/>
      </c>
      <c r="W663">
        <f>TRIM(SUBSTITUTE(INDEX('Loans'!$B:$B,ROW())&amp;""," "," "))</f>
        <v/>
      </c>
      <c r="X663">
        <f>TRIM(SUBSTITUTE(INDEX('Loans'!$C:$C,ROW())&amp;""," "," "))</f>
        <v/>
      </c>
      <c r="Y663">
        <f>IFERROR(--INDEX('Loans'!$D:$D,ROW()),0)</f>
        <v/>
      </c>
      <c r="Z663">
        <f>IFERROR(--INDEX('Loans'!$E:$E,ROW()),0)</f>
        <v/>
      </c>
      <c r="AA663">
        <f>IFERROR(--INDEX('Loans'!$F:$F,ROW()),0)</f>
        <v/>
      </c>
      <c r="AB663">
        <f>IFERROR(IF(--INDEX('Loans'!$G:$G,ROW())&gt;=1,--INDEX('Loans'!$G:$G,ROW())/100,--INDEX('Loans'!$G:$G,ROW())),0)</f>
        <v/>
      </c>
      <c r="AC663">
        <f>TRIM(SUBSTITUTE(INDEX('Loans'!$H:$H,ROW())&amp;""," "," "))</f>
        <v/>
      </c>
      <c r="AD663">
        <f>TRIM(SUBSTITUTE(INDEX('Loans'!$I:$I,ROW())&amp;""," "," "))</f>
        <v/>
      </c>
      <c r="AE663">
        <f>IFERROR(--INDEX('Loans'!$J:$J,ROW()),0)</f>
        <v/>
      </c>
      <c r="AF663">
        <f>TRIM(SUBSTITUTE(INDEX('Loans'!$K:$K,ROW())&amp;""," "," "))</f>
        <v/>
      </c>
      <c r="AG663">
        <f>IFERROR(--INDEX('Loans'!$L:$L,ROW()),0)</f>
        <v/>
      </c>
      <c r="AH663">
        <f>IF(ISNUMBER(INDEX('Loans'!$G:$G,ROW())),1,0)</f>
        <v/>
      </c>
    </row>
    <row r="664">
      <c r="A664">
        <f>TRIM(SUBSTITUTE(INDEX('Term investments'!$A:$A,ROW())&amp;""," "," "))</f>
        <v/>
      </c>
      <c r="B664">
        <f>TRIM(SUBSTITUTE(INDEX('Term investments'!$B:$B,ROW())&amp;""," "," "))</f>
        <v/>
      </c>
      <c r="C664">
        <f>TRIM(SUBSTITUTE(INDEX('Term investments'!$C:$C,ROW())&amp;""," "," "))</f>
        <v/>
      </c>
      <c r="D664">
        <f>IFERROR(--INDEX('Term investments'!$D:$D,ROW()),0)</f>
        <v/>
      </c>
      <c r="E664">
        <f>IFERROR(--INDEX('Term investments'!$E:$E,ROW()),0)</f>
        <v/>
      </c>
      <c r="F664">
        <f>IFERROR(--INDEX('Term investments'!$F:$F,ROW()),0)</f>
        <v/>
      </c>
      <c r="G664">
        <f>IFERROR(IF(--INDEX('Term investments'!$G:$G,ROW())&gt;=1,--INDEX('Term investments'!$G:$G,ROW())/100,--INDEX('Term investments'!$G:$G,ROW())),0)</f>
        <v/>
      </c>
      <c r="H664">
        <f>IFERROR(--INDEX('Term investments'!$H:$H,ROW()),0)</f>
        <v/>
      </c>
      <c r="I664">
        <f>IF(ISNUMBER(INDEX('Term investments'!$G:$G,ROW())),1,0)</f>
        <v/>
      </c>
      <c r="J664">
        <f>TRIM(SUBSTITUTE(INDEX('Call accounts and MMFs'!$A:$A,ROW())&amp;""," "," "))</f>
        <v/>
      </c>
      <c r="K664">
        <f>TRIM(SUBSTITUTE(INDEX('Call accounts and MMFs'!$B:$B,ROW())&amp;""," "," "))</f>
        <v/>
      </c>
      <c r="L664">
        <f>TRIM(SUBSTITUTE(INDEX('Call accounts and MMFs'!$C:$C,ROW())&amp;""," "," "))</f>
        <v/>
      </c>
      <c r="M664">
        <f>IFERROR(--INDEX('Call accounts and MMFs'!$D:$D,ROW()),0)</f>
        <v/>
      </c>
      <c r="N664">
        <f>IFERROR(IF(--INDEX('Call accounts and MMFs'!$E:$E,ROW())&gt;=1,--INDEX('Call accounts and MMFs'!$E:$E,ROW())/100,--INDEX('Call accounts and MMFs'!$E:$E,ROW())),0)</f>
        <v/>
      </c>
      <c r="O664">
        <f>IFERROR(--INDEX('Call accounts and MMFs'!$F:$F,ROW()),0)</f>
        <v/>
      </c>
      <c r="P664">
        <f>IF(ISNUMBER(INDEX('Call accounts and MMFs'!$E:$E,ROW())),1,0)</f>
        <v/>
      </c>
      <c r="Q664">
        <f>TRIM(SUBSTITUTE(INDEX('Pooled funds'!$B:$B,ROW())&amp;""," "," "))</f>
        <v/>
      </c>
      <c r="R664">
        <f>IFERROR(--INDEX('Pooled funds'!$C:$C,ROW()),0)</f>
        <v/>
      </c>
      <c r="S664">
        <f>IFERROR(--INDEX('Pooled funds'!$D:$D,ROW()),0)</f>
        <v/>
      </c>
      <c r="T664">
        <f>IFERROR(IF(--INDEX('Pooled funds'!$E:$E,ROW())&gt;=1,--INDEX('Pooled funds'!$E:$E,ROW())/100,--INDEX('Pooled funds'!$E:$E,ROW())),0)</f>
        <v/>
      </c>
      <c r="U664">
        <f>IF(ISNUMBER(INDEX('Pooled funds'!$E:$E,ROW())),1,0)</f>
        <v/>
      </c>
      <c r="V664">
        <f>TRIM(SUBSTITUTE(INDEX('Loans'!$A:$A,ROW())&amp;""," "," "))</f>
        <v/>
      </c>
      <c r="W664">
        <f>TRIM(SUBSTITUTE(INDEX('Loans'!$B:$B,ROW())&amp;""," "," "))</f>
        <v/>
      </c>
      <c r="X664">
        <f>TRIM(SUBSTITUTE(INDEX('Loans'!$C:$C,ROW())&amp;""," "," "))</f>
        <v/>
      </c>
      <c r="Y664">
        <f>IFERROR(--INDEX('Loans'!$D:$D,ROW()),0)</f>
        <v/>
      </c>
      <c r="Z664">
        <f>IFERROR(--INDEX('Loans'!$E:$E,ROW()),0)</f>
        <v/>
      </c>
      <c r="AA664">
        <f>IFERROR(--INDEX('Loans'!$F:$F,ROW()),0)</f>
        <v/>
      </c>
      <c r="AB664">
        <f>IFERROR(IF(--INDEX('Loans'!$G:$G,ROW())&gt;=1,--INDEX('Loans'!$G:$G,ROW())/100,--INDEX('Loans'!$G:$G,ROW())),0)</f>
        <v/>
      </c>
      <c r="AC664">
        <f>TRIM(SUBSTITUTE(INDEX('Loans'!$H:$H,ROW())&amp;""," "," "))</f>
        <v/>
      </c>
      <c r="AD664">
        <f>TRIM(SUBSTITUTE(INDEX('Loans'!$I:$I,ROW())&amp;""," "," "))</f>
        <v/>
      </c>
      <c r="AE664">
        <f>IFERROR(--INDEX('Loans'!$J:$J,ROW()),0)</f>
        <v/>
      </c>
      <c r="AF664">
        <f>TRIM(SUBSTITUTE(INDEX('Loans'!$K:$K,ROW())&amp;""," "," "))</f>
        <v/>
      </c>
      <c r="AG664">
        <f>IFERROR(--INDEX('Loans'!$L:$L,ROW()),0)</f>
        <v/>
      </c>
      <c r="AH664">
        <f>IF(ISNUMBER(INDEX('Loans'!$G:$G,ROW())),1,0)</f>
        <v/>
      </c>
    </row>
    <row r="665">
      <c r="A665">
        <f>TRIM(SUBSTITUTE(INDEX('Term investments'!$A:$A,ROW())&amp;""," "," "))</f>
        <v/>
      </c>
      <c r="B665">
        <f>TRIM(SUBSTITUTE(INDEX('Term investments'!$B:$B,ROW())&amp;""," "," "))</f>
        <v/>
      </c>
      <c r="C665">
        <f>TRIM(SUBSTITUTE(INDEX('Term investments'!$C:$C,ROW())&amp;""," "," "))</f>
        <v/>
      </c>
      <c r="D665">
        <f>IFERROR(--INDEX('Term investments'!$D:$D,ROW()),0)</f>
        <v/>
      </c>
      <c r="E665">
        <f>IFERROR(--INDEX('Term investments'!$E:$E,ROW()),0)</f>
        <v/>
      </c>
      <c r="F665">
        <f>IFERROR(--INDEX('Term investments'!$F:$F,ROW()),0)</f>
        <v/>
      </c>
      <c r="G665">
        <f>IFERROR(IF(--INDEX('Term investments'!$G:$G,ROW())&gt;=1,--INDEX('Term investments'!$G:$G,ROW())/100,--INDEX('Term investments'!$G:$G,ROW())),0)</f>
        <v/>
      </c>
      <c r="H665">
        <f>IFERROR(--INDEX('Term investments'!$H:$H,ROW()),0)</f>
        <v/>
      </c>
      <c r="I665">
        <f>IF(ISNUMBER(INDEX('Term investments'!$G:$G,ROW())),1,0)</f>
        <v/>
      </c>
      <c r="J665">
        <f>TRIM(SUBSTITUTE(INDEX('Call accounts and MMFs'!$A:$A,ROW())&amp;""," "," "))</f>
        <v/>
      </c>
      <c r="K665">
        <f>TRIM(SUBSTITUTE(INDEX('Call accounts and MMFs'!$B:$B,ROW())&amp;""," "," "))</f>
        <v/>
      </c>
      <c r="L665">
        <f>TRIM(SUBSTITUTE(INDEX('Call accounts and MMFs'!$C:$C,ROW())&amp;""," "," "))</f>
        <v/>
      </c>
      <c r="M665">
        <f>IFERROR(--INDEX('Call accounts and MMFs'!$D:$D,ROW()),0)</f>
        <v/>
      </c>
      <c r="N665">
        <f>IFERROR(IF(--INDEX('Call accounts and MMFs'!$E:$E,ROW())&gt;=1,--INDEX('Call accounts and MMFs'!$E:$E,ROW())/100,--INDEX('Call accounts and MMFs'!$E:$E,ROW())),0)</f>
        <v/>
      </c>
      <c r="O665">
        <f>IFERROR(--INDEX('Call accounts and MMFs'!$F:$F,ROW()),0)</f>
        <v/>
      </c>
      <c r="P665">
        <f>IF(ISNUMBER(INDEX('Call accounts and MMFs'!$E:$E,ROW())),1,0)</f>
        <v/>
      </c>
      <c r="Q665">
        <f>TRIM(SUBSTITUTE(INDEX('Pooled funds'!$B:$B,ROW())&amp;""," "," "))</f>
        <v/>
      </c>
      <c r="R665">
        <f>IFERROR(--INDEX('Pooled funds'!$C:$C,ROW()),0)</f>
        <v/>
      </c>
      <c r="S665">
        <f>IFERROR(--INDEX('Pooled funds'!$D:$D,ROW()),0)</f>
        <v/>
      </c>
      <c r="T665">
        <f>IFERROR(IF(--INDEX('Pooled funds'!$E:$E,ROW())&gt;=1,--INDEX('Pooled funds'!$E:$E,ROW())/100,--INDEX('Pooled funds'!$E:$E,ROW())),0)</f>
        <v/>
      </c>
      <c r="U665">
        <f>IF(ISNUMBER(INDEX('Pooled funds'!$E:$E,ROW())),1,0)</f>
        <v/>
      </c>
      <c r="V665">
        <f>TRIM(SUBSTITUTE(INDEX('Loans'!$A:$A,ROW())&amp;""," "," "))</f>
        <v/>
      </c>
      <c r="W665">
        <f>TRIM(SUBSTITUTE(INDEX('Loans'!$B:$B,ROW())&amp;""," "," "))</f>
        <v/>
      </c>
      <c r="X665">
        <f>TRIM(SUBSTITUTE(INDEX('Loans'!$C:$C,ROW())&amp;""," "," "))</f>
        <v/>
      </c>
      <c r="Y665">
        <f>IFERROR(--INDEX('Loans'!$D:$D,ROW()),0)</f>
        <v/>
      </c>
      <c r="Z665">
        <f>IFERROR(--INDEX('Loans'!$E:$E,ROW()),0)</f>
        <v/>
      </c>
      <c r="AA665">
        <f>IFERROR(--INDEX('Loans'!$F:$F,ROW()),0)</f>
        <v/>
      </c>
      <c r="AB665">
        <f>IFERROR(IF(--INDEX('Loans'!$G:$G,ROW())&gt;=1,--INDEX('Loans'!$G:$G,ROW())/100,--INDEX('Loans'!$G:$G,ROW())),0)</f>
        <v/>
      </c>
      <c r="AC665">
        <f>TRIM(SUBSTITUTE(INDEX('Loans'!$H:$H,ROW())&amp;""," "," "))</f>
        <v/>
      </c>
      <c r="AD665">
        <f>TRIM(SUBSTITUTE(INDEX('Loans'!$I:$I,ROW())&amp;""," "," "))</f>
        <v/>
      </c>
      <c r="AE665">
        <f>IFERROR(--INDEX('Loans'!$J:$J,ROW()),0)</f>
        <v/>
      </c>
      <c r="AF665">
        <f>TRIM(SUBSTITUTE(INDEX('Loans'!$K:$K,ROW())&amp;""," "," "))</f>
        <v/>
      </c>
      <c r="AG665">
        <f>IFERROR(--INDEX('Loans'!$L:$L,ROW()),0)</f>
        <v/>
      </c>
      <c r="AH665">
        <f>IF(ISNUMBER(INDEX('Loans'!$G:$G,ROW())),1,0)</f>
        <v/>
      </c>
    </row>
    <row r="666">
      <c r="A666">
        <f>TRIM(SUBSTITUTE(INDEX('Term investments'!$A:$A,ROW())&amp;""," "," "))</f>
        <v/>
      </c>
      <c r="B666">
        <f>TRIM(SUBSTITUTE(INDEX('Term investments'!$B:$B,ROW())&amp;""," "," "))</f>
        <v/>
      </c>
      <c r="C666">
        <f>TRIM(SUBSTITUTE(INDEX('Term investments'!$C:$C,ROW())&amp;""," "," "))</f>
        <v/>
      </c>
      <c r="D666">
        <f>IFERROR(--INDEX('Term investments'!$D:$D,ROW()),0)</f>
        <v/>
      </c>
      <c r="E666">
        <f>IFERROR(--INDEX('Term investments'!$E:$E,ROW()),0)</f>
        <v/>
      </c>
      <c r="F666">
        <f>IFERROR(--INDEX('Term investments'!$F:$F,ROW()),0)</f>
        <v/>
      </c>
      <c r="G666">
        <f>IFERROR(IF(--INDEX('Term investments'!$G:$G,ROW())&gt;=1,--INDEX('Term investments'!$G:$G,ROW())/100,--INDEX('Term investments'!$G:$G,ROW())),0)</f>
        <v/>
      </c>
      <c r="H666">
        <f>IFERROR(--INDEX('Term investments'!$H:$H,ROW()),0)</f>
        <v/>
      </c>
      <c r="I666">
        <f>IF(ISNUMBER(INDEX('Term investments'!$G:$G,ROW())),1,0)</f>
        <v/>
      </c>
      <c r="J666">
        <f>TRIM(SUBSTITUTE(INDEX('Call accounts and MMFs'!$A:$A,ROW())&amp;""," "," "))</f>
        <v/>
      </c>
      <c r="K666">
        <f>TRIM(SUBSTITUTE(INDEX('Call accounts and MMFs'!$B:$B,ROW())&amp;""," "," "))</f>
        <v/>
      </c>
      <c r="L666">
        <f>TRIM(SUBSTITUTE(INDEX('Call accounts and MMFs'!$C:$C,ROW())&amp;""," "," "))</f>
        <v/>
      </c>
      <c r="M666">
        <f>IFERROR(--INDEX('Call accounts and MMFs'!$D:$D,ROW()),0)</f>
        <v/>
      </c>
      <c r="N666">
        <f>IFERROR(IF(--INDEX('Call accounts and MMFs'!$E:$E,ROW())&gt;=1,--INDEX('Call accounts and MMFs'!$E:$E,ROW())/100,--INDEX('Call accounts and MMFs'!$E:$E,ROW())),0)</f>
        <v/>
      </c>
      <c r="O666">
        <f>IFERROR(--INDEX('Call accounts and MMFs'!$F:$F,ROW()),0)</f>
        <v/>
      </c>
      <c r="P666">
        <f>IF(ISNUMBER(INDEX('Call accounts and MMFs'!$E:$E,ROW())),1,0)</f>
        <v/>
      </c>
      <c r="Q666">
        <f>TRIM(SUBSTITUTE(INDEX('Pooled funds'!$B:$B,ROW())&amp;""," "," "))</f>
        <v/>
      </c>
      <c r="R666">
        <f>IFERROR(--INDEX('Pooled funds'!$C:$C,ROW()),0)</f>
        <v/>
      </c>
      <c r="S666">
        <f>IFERROR(--INDEX('Pooled funds'!$D:$D,ROW()),0)</f>
        <v/>
      </c>
      <c r="T666">
        <f>IFERROR(IF(--INDEX('Pooled funds'!$E:$E,ROW())&gt;=1,--INDEX('Pooled funds'!$E:$E,ROW())/100,--INDEX('Pooled funds'!$E:$E,ROW())),0)</f>
        <v/>
      </c>
      <c r="U666">
        <f>IF(ISNUMBER(INDEX('Pooled funds'!$E:$E,ROW())),1,0)</f>
        <v/>
      </c>
      <c r="V666">
        <f>TRIM(SUBSTITUTE(INDEX('Loans'!$A:$A,ROW())&amp;""," "," "))</f>
        <v/>
      </c>
      <c r="W666">
        <f>TRIM(SUBSTITUTE(INDEX('Loans'!$B:$B,ROW())&amp;""," "," "))</f>
        <v/>
      </c>
      <c r="X666">
        <f>TRIM(SUBSTITUTE(INDEX('Loans'!$C:$C,ROW())&amp;""," "," "))</f>
        <v/>
      </c>
      <c r="Y666">
        <f>IFERROR(--INDEX('Loans'!$D:$D,ROW()),0)</f>
        <v/>
      </c>
      <c r="Z666">
        <f>IFERROR(--INDEX('Loans'!$E:$E,ROW()),0)</f>
        <v/>
      </c>
      <c r="AA666">
        <f>IFERROR(--INDEX('Loans'!$F:$F,ROW()),0)</f>
        <v/>
      </c>
      <c r="AB666">
        <f>IFERROR(IF(--INDEX('Loans'!$G:$G,ROW())&gt;=1,--INDEX('Loans'!$G:$G,ROW())/100,--INDEX('Loans'!$G:$G,ROW())),0)</f>
        <v/>
      </c>
      <c r="AC666">
        <f>TRIM(SUBSTITUTE(INDEX('Loans'!$H:$H,ROW())&amp;""," "," "))</f>
        <v/>
      </c>
      <c r="AD666">
        <f>TRIM(SUBSTITUTE(INDEX('Loans'!$I:$I,ROW())&amp;""," "," "))</f>
        <v/>
      </c>
      <c r="AE666">
        <f>IFERROR(--INDEX('Loans'!$J:$J,ROW()),0)</f>
        <v/>
      </c>
      <c r="AF666">
        <f>TRIM(SUBSTITUTE(INDEX('Loans'!$K:$K,ROW())&amp;""," "," "))</f>
        <v/>
      </c>
      <c r="AG666">
        <f>IFERROR(--INDEX('Loans'!$L:$L,ROW()),0)</f>
        <v/>
      </c>
      <c r="AH666">
        <f>IF(ISNUMBER(INDEX('Loans'!$G:$G,ROW())),1,0)</f>
        <v/>
      </c>
    </row>
    <row r="667">
      <c r="A667">
        <f>TRIM(SUBSTITUTE(INDEX('Term investments'!$A:$A,ROW())&amp;""," "," "))</f>
        <v/>
      </c>
      <c r="B667">
        <f>TRIM(SUBSTITUTE(INDEX('Term investments'!$B:$B,ROW())&amp;""," "," "))</f>
        <v/>
      </c>
      <c r="C667">
        <f>TRIM(SUBSTITUTE(INDEX('Term investments'!$C:$C,ROW())&amp;""," "," "))</f>
        <v/>
      </c>
      <c r="D667">
        <f>IFERROR(--INDEX('Term investments'!$D:$D,ROW()),0)</f>
        <v/>
      </c>
      <c r="E667">
        <f>IFERROR(--INDEX('Term investments'!$E:$E,ROW()),0)</f>
        <v/>
      </c>
      <c r="F667">
        <f>IFERROR(--INDEX('Term investments'!$F:$F,ROW()),0)</f>
        <v/>
      </c>
      <c r="G667">
        <f>IFERROR(IF(--INDEX('Term investments'!$G:$G,ROW())&gt;=1,--INDEX('Term investments'!$G:$G,ROW())/100,--INDEX('Term investments'!$G:$G,ROW())),0)</f>
        <v/>
      </c>
      <c r="H667">
        <f>IFERROR(--INDEX('Term investments'!$H:$H,ROW()),0)</f>
        <v/>
      </c>
      <c r="I667">
        <f>IF(ISNUMBER(INDEX('Term investments'!$G:$G,ROW())),1,0)</f>
        <v/>
      </c>
      <c r="J667">
        <f>TRIM(SUBSTITUTE(INDEX('Call accounts and MMFs'!$A:$A,ROW())&amp;""," "," "))</f>
        <v/>
      </c>
      <c r="K667">
        <f>TRIM(SUBSTITUTE(INDEX('Call accounts and MMFs'!$B:$B,ROW())&amp;""," "," "))</f>
        <v/>
      </c>
      <c r="L667">
        <f>TRIM(SUBSTITUTE(INDEX('Call accounts and MMFs'!$C:$C,ROW())&amp;""," "," "))</f>
        <v/>
      </c>
      <c r="M667">
        <f>IFERROR(--INDEX('Call accounts and MMFs'!$D:$D,ROW()),0)</f>
        <v/>
      </c>
      <c r="N667">
        <f>IFERROR(IF(--INDEX('Call accounts and MMFs'!$E:$E,ROW())&gt;=1,--INDEX('Call accounts and MMFs'!$E:$E,ROW())/100,--INDEX('Call accounts and MMFs'!$E:$E,ROW())),0)</f>
        <v/>
      </c>
      <c r="O667">
        <f>IFERROR(--INDEX('Call accounts and MMFs'!$F:$F,ROW()),0)</f>
        <v/>
      </c>
      <c r="P667">
        <f>IF(ISNUMBER(INDEX('Call accounts and MMFs'!$E:$E,ROW())),1,0)</f>
        <v/>
      </c>
      <c r="Q667">
        <f>TRIM(SUBSTITUTE(INDEX('Pooled funds'!$B:$B,ROW())&amp;""," "," "))</f>
        <v/>
      </c>
      <c r="R667">
        <f>IFERROR(--INDEX('Pooled funds'!$C:$C,ROW()),0)</f>
        <v/>
      </c>
      <c r="S667">
        <f>IFERROR(--INDEX('Pooled funds'!$D:$D,ROW()),0)</f>
        <v/>
      </c>
      <c r="T667">
        <f>IFERROR(IF(--INDEX('Pooled funds'!$E:$E,ROW())&gt;=1,--INDEX('Pooled funds'!$E:$E,ROW())/100,--INDEX('Pooled funds'!$E:$E,ROW())),0)</f>
        <v/>
      </c>
      <c r="U667">
        <f>IF(ISNUMBER(INDEX('Pooled funds'!$E:$E,ROW())),1,0)</f>
        <v/>
      </c>
      <c r="V667">
        <f>TRIM(SUBSTITUTE(INDEX('Loans'!$A:$A,ROW())&amp;""," "," "))</f>
        <v/>
      </c>
      <c r="W667">
        <f>TRIM(SUBSTITUTE(INDEX('Loans'!$B:$B,ROW())&amp;""," "," "))</f>
        <v/>
      </c>
      <c r="X667">
        <f>TRIM(SUBSTITUTE(INDEX('Loans'!$C:$C,ROW())&amp;""," "," "))</f>
        <v/>
      </c>
      <c r="Y667">
        <f>IFERROR(--INDEX('Loans'!$D:$D,ROW()),0)</f>
        <v/>
      </c>
      <c r="Z667">
        <f>IFERROR(--INDEX('Loans'!$E:$E,ROW()),0)</f>
        <v/>
      </c>
      <c r="AA667">
        <f>IFERROR(--INDEX('Loans'!$F:$F,ROW()),0)</f>
        <v/>
      </c>
      <c r="AB667">
        <f>IFERROR(IF(--INDEX('Loans'!$G:$G,ROW())&gt;=1,--INDEX('Loans'!$G:$G,ROW())/100,--INDEX('Loans'!$G:$G,ROW())),0)</f>
        <v/>
      </c>
      <c r="AC667">
        <f>TRIM(SUBSTITUTE(INDEX('Loans'!$H:$H,ROW())&amp;""," "," "))</f>
        <v/>
      </c>
      <c r="AD667">
        <f>TRIM(SUBSTITUTE(INDEX('Loans'!$I:$I,ROW())&amp;""," "," "))</f>
        <v/>
      </c>
      <c r="AE667">
        <f>IFERROR(--INDEX('Loans'!$J:$J,ROW()),0)</f>
        <v/>
      </c>
      <c r="AF667">
        <f>TRIM(SUBSTITUTE(INDEX('Loans'!$K:$K,ROW())&amp;""," "," "))</f>
        <v/>
      </c>
      <c r="AG667">
        <f>IFERROR(--INDEX('Loans'!$L:$L,ROW()),0)</f>
        <v/>
      </c>
      <c r="AH667">
        <f>IF(ISNUMBER(INDEX('Loans'!$G:$G,ROW())),1,0)</f>
        <v/>
      </c>
    </row>
    <row r="668">
      <c r="A668">
        <f>TRIM(SUBSTITUTE(INDEX('Term investments'!$A:$A,ROW())&amp;""," "," "))</f>
        <v/>
      </c>
      <c r="B668">
        <f>TRIM(SUBSTITUTE(INDEX('Term investments'!$B:$B,ROW())&amp;""," "," "))</f>
        <v/>
      </c>
      <c r="C668">
        <f>TRIM(SUBSTITUTE(INDEX('Term investments'!$C:$C,ROW())&amp;""," "," "))</f>
        <v/>
      </c>
      <c r="D668">
        <f>IFERROR(--INDEX('Term investments'!$D:$D,ROW()),0)</f>
        <v/>
      </c>
      <c r="E668">
        <f>IFERROR(--INDEX('Term investments'!$E:$E,ROW()),0)</f>
        <v/>
      </c>
      <c r="F668">
        <f>IFERROR(--INDEX('Term investments'!$F:$F,ROW()),0)</f>
        <v/>
      </c>
      <c r="G668">
        <f>IFERROR(IF(--INDEX('Term investments'!$G:$G,ROW())&gt;=1,--INDEX('Term investments'!$G:$G,ROW())/100,--INDEX('Term investments'!$G:$G,ROW())),0)</f>
        <v/>
      </c>
      <c r="H668">
        <f>IFERROR(--INDEX('Term investments'!$H:$H,ROW()),0)</f>
        <v/>
      </c>
      <c r="I668">
        <f>IF(ISNUMBER(INDEX('Term investments'!$G:$G,ROW())),1,0)</f>
        <v/>
      </c>
      <c r="J668">
        <f>TRIM(SUBSTITUTE(INDEX('Call accounts and MMFs'!$A:$A,ROW())&amp;""," "," "))</f>
        <v/>
      </c>
      <c r="K668">
        <f>TRIM(SUBSTITUTE(INDEX('Call accounts and MMFs'!$B:$B,ROW())&amp;""," "," "))</f>
        <v/>
      </c>
      <c r="L668">
        <f>TRIM(SUBSTITUTE(INDEX('Call accounts and MMFs'!$C:$C,ROW())&amp;""," "," "))</f>
        <v/>
      </c>
      <c r="M668">
        <f>IFERROR(--INDEX('Call accounts and MMFs'!$D:$D,ROW()),0)</f>
        <v/>
      </c>
      <c r="N668">
        <f>IFERROR(IF(--INDEX('Call accounts and MMFs'!$E:$E,ROW())&gt;=1,--INDEX('Call accounts and MMFs'!$E:$E,ROW())/100,--INDEX('Call accounts and MMFs'!$E:$E,ROW())),0)</f>
        <v/>
      </c>
      <c r="O668">
        <f>IFERROR(--INDEX('Call accounts and MMFs'!$F:$F,ROW()),0)</f>
        <v/>
      </c>
      <c r="P668">
        <f>IF(ISNUMBER(INDEX('Call accounts and MMFs'!$E:$E,ROW())),1,0)</f>
        <v/>
      </c>
      <c r="Q668">
        <f>TRIM(SUBSTITUTE(INDEX('Pooled funds'!$B:$B,ROW())&amp;""," "," "))</f>
        <v/>
      </c>
      <c r="R668">
        <f>IFERROR(--INDEX('Pooled funds'!$C:$C,ROW()),0)</f>
        <v/>
      </c>
      <c r="S668">
        <f>IFERROR(--INDEX('Pooled funds'!$D:$D,ROW()),0)</f>
        <v/>
      </c>
      <c r="T668">
        <f>IFERROR(IF(--INDEX('Pooled funds'!$E:$E,ROW())&gt;=1,--INDEX('Pooled funds'!$E:$E,ROW())/100,--INDEX('Pooled funds'!$E:$E,ROW())),0)</f>
        <v/>
      </c>
      <c r="U668">
        <f>IF(ISNUMBER(INDEX('Pooled funds'!$E:$E,ROW())),1,0)</f>
        <v/>
      </c>
      <c r="V668">
        <f>TRIM(SUBSTITUTE(INDEX('Loans'!$A:$A,ROW())&amp;""," "," "))</f>
        <v/>
      </c>
      <c r="W668">
        <f>TRIM(SUBSTITUTE(INDEX('Loans'!$B:$B,ROW())&amp;""," "," "))</f>
        <v/>
      </c>
      <c r="X668">
        <f>TRIM(SUBSTITUTE(INDEX('Loans'!$C:$C,ROW())&amp;""," "," "))</f>
        <v/>
      </c>
      <c r="Y668">
        <f>IFERROR(--INDEX('Loans'!$D:$D,ROW()),0)</f>
        <v/>
      </c>
      <c r="Z668">
        <f>IFERROR(--INDEX('Loans'!$E:$E,ROW()),0)</f>
        <v/>
      </c>
      <c r="AA668">
        <f>IFERROR(--INDEX('Loans'!$F:$F,ROW()),0)</f>
        <v/>
      </c>
      <c r="AB668">
        <f>IFERROR(IF(--INDEX('Loans'!$G:$G,ROW())&gt;=1,--INDEX('Loans'!$G:$G,ROW())/100,--INDEX('Loans'!$G:$G,ROW())),0)</f>
        <v/>
      </c>
      <c r="AC668">
        <f>TRIM(SUBSTITUTE(INDEX('Loans'!$H:$H,ROW())&amp;""," "," "))</f>
        <v/>
      </c>
      <c r="AD668">
        <f>TRIM(SUBSTITUTE(INDEX('Loans'!$I:$I,ROW())&amp;""," "," "))</f>
        <v/>
      </c>
      <c r="AE668">
        <f>IFERROR(--INDEX('Loans'!$J:$J,ROW()),0)</f>
        <v/>
      </c>
      <c r="AF668">
        <f>TRIM(SUBSTITUTE(INDEX('Loans'!$K:$K,ROW())&amp;""," "," "))</f>
        <v/>
      </c>
      <c r="AG668">
        <f>IFERROR(--INDEX('Loans'!$L:$L,ROW()),0)</f>
        <v/>
      </c>
      <c r="AH668">
        <f>IF(ISNUMBER(INDEX('Loans'!$G:$G,ROW())),1,0)</f>
        <v/>
      </c>
    </row>
    <row r="669">
      <c r="A669">
        <f>TRIM(SUBSTITUTE(INDEX('Term investments'!$A:$A,ROW())&amp;""," "," "))</f>
        <v/>
      </c>
      <c r="B669">
        <f>TRIM(SUBSTITUTE(INDEX('Term investments'!$B:$B,ROW())&amp;""," "," "))</f>
        <v/>
      </c>
      <c r="C669">
        <f>TRIM(SUBSTITUTE(INDEX('Term investments'!$C:$C,ROW())&amp;""," "," "))</f>
        <v/>
      </c>
      <c r="D669">
        <f>IFERROR(--INDEX('Term investments'!$D:$D,ROW()),0)</f>
        <v/>
      </c>
      <c r="E669">
        <f>IFERROR(--INDEX('Term investments'!$E:$E,ROW()),0)</f>
        <v/>
      </c>
      <c r="F669">
        <f>IFERROR(--INDEX('Term investments'!$F:$F,ROW()),0)</f>
        <v/>
      </c>
      <c r="G669">
        <f>IFERROR(IF(--INDEX('Term investments'!$G:$G,ROW())&gt;=1,--INDEX('Term investments'!$G:$G,ROW())/100,--INDEX('Term investments'!$G:$G,ROW())),0)</f>
        <v/>
      </c>
      <c r="H669">
        <f>IFERROR(--INDEX('Term investments'!$H:$H,ROW()),0)</f>
        <v/>
      </c>
      <c r="I669">
        <f>IF(ISNUMBER(INDEX('Term investments'!$G:$G,ROW())),1,0)</f>
        <v/>
      </c>
      <c r="J669">
        <f>TRIM(SUBSTITUTE(INDEX('Call accounts and MMFs'!$A:$A,ROW())&amp;""," "," "))</f>
        <v/>
      </c>
      <c r="K669">
        <f>TRIM(SUBSTITUTE(INDEX('Call accounts and MMFs'!$B:$B,ROW())&amp;""," "," "))</f>
        <v/>
      </c>
      <c r="L669">
        <f>TRIM(SUBSTITUTE(INDEX('Call accounts and MMFs'!$C:$C,ROW())&amp;""," "," "))</f>
        <v/>
      </c>
      <c r="M669">
        <f>IFERROR(--INDEX('Call accounts and MMFs'!$D:$D,ROW()),0)</f>
        <v/>
      </c>
      <c r="N669">
        <f>IFERROR(IF(--INDEX('Call accounts and MMFs'!$E:$E,ROW())&gt;=1,--INDEX('Call accounts and MMFs'!$E:$E,ROW())/100,--INDEX('Call accounts and MMFs'!$E:$E,ROW())),0)</f>
        <v/>
      </c>
      <c r="O669">
        <f>IFERROR(--INDEX('Call accounts and MMFs'!$F:$F,ROW()),0)</f>
        <v/>
      </c>
      <c r="P669">
        <f>IF(ISNUMBER(INDEX('Call accounts and MMFs'!$E:$E,ROW())),1,0)</f>
        <v/>
      </c>
      <c r="Q669">
        <f>TRIM(SUBSTITUTE(INDEX('Pooled funds'!$B:$B,ROW())&amp;""," "," "))</f>
        <v/>
      </c>
      <c r="R669">
        <f>IFERROR(--INDEX('Pooled funds'!$C:$C,ROW()),0)</f>
        <v/>
      </c>
      <c r="S669">
        <f>IFERROR(--INDEX('Pooled funds'!$D:$D,ROW()),0)</f>
        <v/>
      </c>
      <c r="T669">
        <f>IFERROR(IF(--INDEX('Pooled funds'!$E:$E,ROW())&gt;=1,--INDEX('Pooled funds'!$E:$E,ROW())/100,--INDEX('Pooled funds'!$E:$E,ROW())),0)</f>
        <v/>
      </c>
      <c r="U669">
        <f>IF(ISNUMBER(INDEX('Pooled funds'!$E:$E,ROW())),1,0)</f>
        <v/>
      </c>
      <c r="V669">
        <f>TRIM(SUBSTITUTE(INDEX('Loans'!$A:$A,ROW())&amp;""," "," "))</f>
        <v/>
      </c>
      <c r="W669">
        <f>TRIM(SUBSTITUTE(INDEX('Loans'!$B:$B,ROW())&amp;""," "," "))</f>
        <v/>
      </c>
      <c r="X669">
        <f>TRIM(SUBSTITUTE(INDEX('Loans'!$C:$C,ROW())&amp;""," "," "))</f>
        <v/>
      </c>
      <c r="Y669">
        <f>IFERROR(--INDEX('Loans'!$D:$D,ROW()),0)</f>
        <v/>
      </c>
      <c r="Z669">
        <f>IFERROR(--INDEX('Loans'!$E:$E,ROW()),0)</f>
        <v/>
      </c>
      <c r="AA669">
        <f>IFERROR(--INDEX('Loans'!$F:$F,ROW()),0)</f>
        <v/>
      </c>
      <c r="AB669">
        <f>IFERROR(IF(--INDEX('Loans'!$G:$G,ROW())&gt;=1,--INDEX('Loans'!$G:$G,ROW())/100,--INDEX('Loans'!$G:$G,ROW())),0)</f>
        <v/>
      </c>
      <c r="AC669">
        <f>TRIM(SUBSTITUTE(INDEX('Loans'!$H:$H,ROW())&amp;""," "," "))</f>
        <v/>
      </c>
      <c r="AD669">
        <f>TRIM(SUBSTITUTE(INDEX('Loans'!$I:$I,ROW())&amp;""," "," "))</f>
        <v/>
      </c>
      <c r="AE669">
        <f>IFERROR(--INDEX('Loans'!$J:$J,ROW()),0)</f>
        <v/>
      </c>
      <c r="AF669">
        <f>TRIM(SUBSTITUTE(INDEX('Loans'!$K:$K,ROW())&amp;""," "," "))</f>
        <v/>
      </c>
      <c r="AG669">
        <f>IFERROR(--INDEX('Loans'!$L:$L,ROW()),0)</f>
        <v/>
      </c>
      <c r="AH669">
        <f>IF(ISNUMBER(INDEX('Loans'!$G:$G,ROW())),1,0)</f>
        <v/>
      </c>
    </row>
    <row r="670">
      <c r="A670">
        <f>TRIM(SUBSTITUTE(INDEX('Term investments'!$A:$A,ROW())&amp;""," "," "))</f>
        <v/>
      </c>
      <c r="B670">
        <f>TRIM(SUBSTITUTE(INDEX('Term investments'!$B:$B,ROW())&amp;""," "," "))</f>
        <v/>
      </c>
      <c r="C670">
        <f>TRIM(SUBSTITUTE(INDEX('Term investments'!$C:$C,ROW())&amp;""," "," "))</f>
        <v/>
      </c>
      <c r="D670">
        <f>IFERROR(--INDEX('Term investments'!$D:$D,ROW()),0)</f>
        <v/>
      </c>
      <c r="E670">
        <f>IFERROR(--INDEX('Term investments'!$E:$E,ROW()),0)</f>
        <v/>
      </c>
      <c r="F670">
        <f>IFERROR(--INDEX('Term investments'!$F:$F,ROW()),0)</f>
        <v/>
      </c>
      <c r="G670">
        <f>IFERROR(IF(--INDEX('Term investments'!$G:$G,ROW())&gt;=1,--INDEX('Term investments'!$G:$G,ROW())/100,--INDEX('Term investments'!$G:$G,ROW())),0)</f>
        <v/>
      </c>
      <c r="H670">
        <f>IFERROR(--INDEX('Term investments'!$H:$H,ROW()),0)</f>
        <v/>
      </c>
      <c r="I670">
        <f>IF(ISNUMBER(INDEX('Term investments'!$G:$G,ROW())),1,0)</f>
        <v/>
      </c>
      <c r="J670">
        <f>TRIM(SUBSTITUTE(INDEX('Call accounts and MMFs'!$A:$A,ROW())&amp;""," "," "))</f>
        <v/>
      </c>
      <c r="K670">
        <f>TRIM(SUBSTITUTE(INDEX('Call accounts and MMFs'!$B:$B,ROW())&amp;""," "," "))</f>
        <v/>
      </c>
      <c r="L670">
        <f>TRIM(SUBSTITUTE(INDEX('Call accounts and MMFs'!$C:$C,ROW())&amp;""," "," "))</f>
        <v/>
      </c>
      <c r="M670">
        <f>IFERROR(--INDEX('Call accounts and MMFs'!$D:$D,ROW()),0)</f>
        <v/>
      </c>
      <c r="N670">
        <f>IFERROR(IF(--INDEX('Call accounts and MMFs'!$E:$E,ROW())&gt;=1,--INDEX('Call accounts and MMFs'!$E:$E,ROW())/100,--INDEX('Call accounts and MMFs'!$E:$E,ROW())),0)</f>
        <v/>
      </c>
      <c r="O670">
        <f>IFERROR(--INDEX('Call accounts and MMFs'!$F:$F,ROW()),0)</f>
        <v/>
      </c>
      <c r="P670">
        <f>IF(ISNUMBER(INDEX('Call accounts and MMFs'!$E:$E,ROW())),1,0)</f>
        <v/>
      </c>
      <c r="Q670">
        <f>TRIM(SUBSTITUTE(INDEX('Pooled funds'!$B:$B,ROW())&amp;""," "," "))</f>
        <v/>
      </c>
      <c r="R670">
        <f>IFERROR(--INDEX('Pooled funds'!$C:$C,ROW()),0)</f>
        <v/>
      </c>
      <c r="S670">
        <f>IFERROR(--INDEX('Pooled funds'!$D:$D,ROW()),0)</f>
        <v/>
      </c>
      <c r="T670">
        <f>IFERROR(IF(--INDEX('Pooled funds'!$E:$E,ROW())&gt;=1,--INDEX('Pooled funds'!$E:$E,ROW())/100,--INDEX('Pooled funds'!$E:$E,ROW())),0)</f>
        <v/>
      </c>
      <c r="U670">
        <f>IF(ISNUMBER(INDEX('Pooled funds'!$E:$E,ROW())),1,0)</f>
        <v/>
      </c>
      <c r="V670">
        <f>TRIM(SUBSTITUTE(INDEX('Loans'!$A:$A,ROW())&amp;""," "," "))</f>
        <v/>
      </c>
      <c r="W670">
        <f>TRIM(SUBSTITUTE(INDEX('Loans'!$B:$B,ROW())&amp;""," "," "))</f>
        <v/>
      </c>
      <c r="X670">
        <f>TRIM(SUBSTITUTE(INDEX('Loans'!$C:$C,ROW())&amp;""," "," "))</f>
        <v/>
      </c>
      <c r="Y670">
        <f>IFERROR(--INDEX('Loans'!$D:$D,ROW()),0)</f>
        <v/>
      </c>
      <c r="Z670">
        <f>IFERROR(--INDEX('Loans'!$E:$E,ROW()),0)</f>
        <v/>
      </c>
      <c r="AA670">
        <f>IFERROR(--INDEX('Loans'!$F:$F,ROW()),0)</f>
        <v/>
      </c>
      <c r="AB670">
        <f>IFERROR(IF(--INDEX('Loans'!$G:$G,ROW())&gt;=1,--INDEX('Loans'!$G:$G,ROW())/100,--INDEX('Loans'!$G:$G,ROW())),0)</f>
        <v/>
      </c>
      <c r="AC670">
        <f>TRIM(SUBSTITUTE(INDEX('Loans'!$H:$H,ROW())&amp;""," "," "))</f>
        <v/>
      </c>
      <c r="AD670">
        <f>TRIM(SUBSTITUTE(INDEX('Loans'!$I:$I,ROW())&amp;""," "," "))</f>
        <v/>
      </c>
      <c r="AE670">
        <f>IFERROR(--INDEX('Loans'!$J:$J,ROW()),0)</f>
        <v/>
      </c>
      <c r="AF670">
        <f>TRIM(SUBSTITUTE(INDEX('Loans'!$K:$K,ROW())&amp;""," "," "))</f>
        <v/>
      </c>
      <c r="AG670">
        <f>IFERROR(--INDEX('Loans'!$L:$L,ROW()),0)</f>
        <v/>
      </c>
      <c r="AH670">
        <f>IF(ISNUMBER(INDEX('Loans'!$G:$G,ROW())),1,0)</f>
        <v/>
      </c>
    </row>
    <row r="671">
      <c r="A671">
        <f>TRIM(SUBSTITUTE(INDEX('Term investments'!$A:$A,ROW())&amp;""," "," "))</f>
        <v/>
      </c>
      <c r="B671">
        <f>TRIM(SUBSTITUTE(INDEX('Term investments'!$B:$B,ROW())&amp;""," "," "))</f>
        <v/>
      </c>
      <c r="C671">
        <f>TRIM(SUBSTITUTE(INDEX('Term investments'!$C:$C,ROW())&amp;""," "," "))</f>
        <v/>
      </c>
      <c r="D671">
        <f>IFERROR(--INDEX('Term investments'!$D:$D,ROW()),0)</f>
        <v/>
      </c>
      <c r="E671">
        <f>IFERROR(--INDEX('Term investments'!$E:$E,ROW()),0)</f>
        <v/>
      </c>
      <c r="F671">
        <f>IFERROR(--INDEX('Term investments'!$F:$F,ROW()),0)</f>
        <v/>
      </c>
      <c r="G671">
        <f>IFERROR(IF(--INDEX('Term investments'!$G:$G,ROW())&gt;=1,--INDEX('Term investments'!$G:$G,ROW())/100,--INDEX('Term investments'!$G:$G,ROW())),0)</f>
        <v/>
      </c>
      <c r="H671">
        <f>IFERROR(--INDEX('Term investments'!$H:$H,ROW()),0)</f>
        <v/>
      </c>
      <c r="I671">
        <f>IF(ISNUMBER(INDEX('Term investments'!$G:$G,ROW())),1,0)</f>
        <v/>
      </c>
      <c r="J671">
        <f>TRIM(SUBSTITUTE(INDEX('Call accounts and MMFs'!$A:$A,ROW())&amp;""," "," "))</f>
        <v/>
      </c>
      <c r="K671">
        <f>TRIM(SUBSTITUTE(INDEX('Call accounts and MMFs'!$B:$B,ROW())&amp;""," "," "))</f>
        <v/>
      </c>
      <c r="L671">
        <f>TRIM(SUBSTITUTE(INDEX('Call accounts and MMFs'!$C:$C,ROW())&amp;""," "," "))</f>
        <v/>
      </c>
      <c r="M671">
        <f>IFERROR(--INDEX('Call accounts and MMFs'!$D:$D,ROW()),0)</f>
        <v/>
      </c>
      <c r="N671">
        <f>IFERROR(IF(--INDEX('Call accounts and MMFs'!$E:$E,ROW())&gt;=1,--INDEX('Call accounts and MMFs'!$E:$E,ROW())/100,--INDEX('Call accounts and MMFs'!$E:$E,ROW())),0)</f>
        <v/>
      </c>
      <c r="O671">
        <f>IFERROR(--INDEX('Call accounts and MMFs'!$F:$F,ROW()),0)</f>
        <v/>
      </c>
      <c r="P671">
        <f>IF(ISNUMBER(INDEX('Call accounts and MMFs'!$E:$E,ROW())),1,0)</f>
        <v/>
      </c>
      <c r="Q671">
        <f>TRIM(SUBSTITUTE(INDEX('Pooled funds'!$B:$B,ROW())&amp;""," "," "))</f>
        <v/>
      </c>
      <c r="R671">
        <f>IFERROR(--INDEX('Pooled funds'!$C:$C,ROW()),0)</f>
        <v/>
      </c>
      <c r="S671">
        <f>IFERROR(--INDEX('Pooled funds'!$D:$D,ROW()),0)</f>
        <v/>
      </c>
      <c r="T671">
        <f>IFERROR(IF(--INDEX('Pooled funds'!$E:$E,ROW())&gt;=1,--INDEX('Pooled funds'!$E:$E,ROW())/100,--INDEX('Pooled funds'!$E:$E,ROW())),0)</f>
        <v/>
      </c>
      <c r="U671">
        <f>IF(ISNUMBER(INDEX('Pooled funds'!$E:$E,ROW())),1,0)</f>
        <v/>
      </c>
      <c r="V671">
        <f>TRIM(SUBSTITUTE(INDEX('Loans'!$A:$A,ROW())&amp;""," "," "))</f>
        <v/>
      </c>
      <c r="W671">
        <f>TRIM(SUBSTITUTE(INDEX('Loans'!$B:$B,ROW())&amp;""," "," "))</f>
        <v/>
      </c>
      <c r="X671">
        <f>TRIM(SUBSTITUTE(INDEX('Loans'!$C:$C,ROW())&amp;""," "," "))</f>
        <v/>
      </c>
      <c r="Y671">
        <f>IFERROR(--INDEX('Loans'!$D:$D,ROW()),0)</f>
        <v/>
      </c>
      <c r="Z671">
        <f>IFERROR(--INDEX('Loans'!$E:$E,ROW()),0)</f>
        <v/>
      </c>
      <c r="AA671">
        <f>IFERROR(--INDEX('Loans'!$F:$F,ROW()),0)</f>
        <v/>
      </c>
      <c r="AB671">
        <f>IFERROR(IF(--INDEX('Loans'!$G:$G,ROW())&gt;=1,--INDEX('Loans'!$G:$G,ROW())/100,--INDEX('Loans'!$G:$G,ROW())),0)</f>
        <v/>
      </c>
      <c r="AC671">
        <f>TRIM(SUBSTITUTE(INDEX('Loans'!$H:$H,ROW())&amp;""," "," "))</f>
        <v/>
      </c>
      <c r="AD671">
        <f>TRIM(SUBSTITUTE(INDEX('Loans'!$I:$I,ROW())&amp;""," "," "))</f>
        <v/>
      </c>
      <c r="AE671">
        <f>IFERROR(--INDEX('Loans'!$J:$J,ROW()),0)</f>
        <v/>
      </c>
      <c r="AF671">
        <f>TRIM(SUBSTITUTE(INDEX('Loans'!$K:$K,ROW())&amp;""," "," "))</f>
        <v/>
      </c>
      <c r="AG671">
        <f>IFERROR(--INDEX('Loans'!$L:$L,ROW()),0)</f>
        <v/>
      </c>
      <c r="AH671">
        <f>IF(ISNUMBER(INDEX('Loans'!$G:$G,ROW())),1,0)</f>
        <v/>
      </c>
    </row>
    <row r="672">
      <c r="A672">
        <f>TRIM(SUBSTITUTE(INDEX('Term investments'!$A:$A,ROW())&amp;""," "," "))</f>
        <v/>
      </c>
      <c r="B672">
        <f>TRIM(SUBSTITUTE(INDEX('Term investments'!$B:$B,ROW())&amp;""," "," "))</f>
        <v/>
      </c>
      <c r="C672">
        <f>TRIM(SUBSTITUTE(INDEX('Term investments'!$C:$C,ROW())&amp;""," "," "))</f>
        <v/>
      </c>
      <c r="D672">
        <f>IFERROR(--INDEX('Term investments'!$D:$D,ROW()),0)</f>
        <v/>
      </c>
      <c r="E672">
        <f>IFERROR(--INDEX('Term investments'!$E:$E,ROW()),0)</f>
        <v/>
      </c>
      <c r="F672">
        <f>IFERROR(--INDEX('Term investments'!$F:$F,ROW()),0)</f>
        <v/>
      </c>
      <c r="G672">
        <f>IFERROR(IF(--INDEX('Term investments'!$G:$G,ROW())&gt;=1,--INDEX('Term investments'!$G:$G,ROW())/100,--INDEX('Term investments'!$G:$G,ROW())),0)</f>
        <v/>
      </c>
      <c r="H672">
        <f>IFERROR(--INDEX('Term investments'!$H:$H,ROW()),0)</f>
        <v/>
      </c>
      <c r="I672">
        <f>IF(ISNUMBER(INDEX('Term investments'!$G:$G,ROW())),1,0)</f>
        <v/>
      </c>
      <c r="J672">
        <f>TRIM(SUBSTITUTE(INDEX('Call accounts and MMFs'!$A:$A,ROW())&amp;""," "," "))</f>
        <v/>
      </c>
      <c r="K672">
        <f>TRIM(SUBSTITUTE(INDEX('Call accounts and MMFs'!$B:$B,ROW())&amp;""," "," "))</f>
        <v/>
      </c>
      <c r="L672">
        <f>TRIM(SUBSTITUTE(INDEX('Call accounts and MMFs'!$C:$C,ROW())&amp;""," "," "))</f>
        <v/>
      </c>
      <c r="M672">
        <f>IFERROR(--INDEX('Call accounts and MMFs'!$D:$D,ROW()),0)</f>
        <v/>
      </c>
      <c r="N672">
        <f>IFERROR(IF(--INDEX('Call accounts and MMFs'!$E:$E,ROW())&gt;=1,--INDEX('Call accounts and MMFs'!$E:$E,ROW())/100,--INDEX('Call accounts and MMFs'!$E:$E,ROW())),0)</f>
        <v/>
      </c>
      <c r="O672">
        <f>IFERROR(--INDEX('Call accounts and MMFs'!$F:$F,ROW()),0)</f>
        <v/>
      </c>
      <c r="P672">
        <f>IF(ISNUMBER(INDEX('Call accounts and MMFs'!$E:$E,ROW())),1,0)</f>
        <v/>
      </c>
      <c r="Q672">
        <f>TRIM(SUBSTITUTE(INDEX('Pooled funds'!$B:$B,ROW())&amp;""," "," "))</f>
        <v/>
      </c>
      <c r="R672">
        <f>IFERROR(--INDEX('Pooled funds'!$C:$C,ROW()),0)</f>
        <v/>
      </c>
      <c r="S672">
        <f>IFERROR(--INDEX('Pooled funds'!$D:$D,ROW()),0)</f>
        <v/>
      </c>
      <c r="T672">
        <f>IFERROR(IF(--INDEX('Pooled funds'!$E:$E,ROW())&gt;=1,--INDEX('Pooled funds'!$E:$E,ROW())/100,--INDEX('Pooled funds'!$E:$E,ROW())),0)</f>
        <v/>
      </c>
      <c r="U672">
        <f>IF(ISNUMBER(INDEX('Pooled funds'!$E:$E,ROW())),1,0)</f>
        <v/>
      </c>
      <c r="V672">
        <f>TRIM(SUBSTITUTE(INDEX('Loans'!$A:$A,ROW())&amp;""," "," "))</f>
        <v/>
      </c>
      <c r="W672">
        <f>TRIM(SUBSTITUTE(INDEX('Loans'!$B:$B,ROW())&amp;""," "," "))</f>
        <v/>
      </c>
      <c r="X672">
        <f>TRIM(SUBSTITUTE(INDEX('Loans'!$C:$C,ROW())&amp;""," "," "))</f>
        <v/>
      </c>
      <c r="Y672">
        <f>IFERROR(--INDEX('Loans'!$D:$D,ROW()),0)</f>
        <v/>
      </c>
      <c r="Z672">
        <f>IFERROR(--INDEX('Loans'!$E:$E,ROW()),0)</f>
        <v/>
      </c>
      <c r="AA672">
        <f>IFERROR(--INDEX('Loans'!$F:$F,ROW()),0)</f>
        <v/>
      </c>
      <c r="AB672">
        <f>IFERROR(IF(--INDEX('Loans'!$G:$G,ROW())&gt;=1,--INDEX('Loans'!$G:$G,ROW())/100,--INDEX('Loans'!$G:$G,ROW())),0)</f>
        <v/>
      </c>
      <c r="AC672">
        <f>TRIM(SUBSTITUTE(INDEX('Loans'!$H:$H,ROW())&amp;""," "," "))</f>
        <v/>
      </c>
      <c r="AD672">
        <f>TRIM(SUBSTITUTE(INDEX('Loans'!$I:$I,ROW())&amp;""," "," "))</f>
        <v/>
      </c>
      <c r="AE672">
        <f>IFERROR(--INDEX('Loans'!$J:$J,ROW()),0)</f>
        <v/>
      </c>
      <c r="AF672">
        <f>TRIM(SUBSTITUTE(INDEX('Loans'!$K:$K,ROW())&amp;""," "," "))</f>
        <v/>
      </c>
      <c r="AG672">
        <f>IFERROR(--INDEX('Loans'!$L:$L,ROW()),0)</f>
        <v/>
      </c>
      <c r="AH672">
        <f>IF(ISNUMBER(INDEX('Loans'!$G:$G,ROW())),1,0)</f>
        <v/>
      </c>
    </row>
    <row r="673">
      <c r="A673">
        <f>TRIM(SUBSTITUTE(INDEX('Term investments'!$A:$A,ROW())&amp;""," "," "))</f>
        <v/>
      </c>
      <c r="B673">
        <f>TRIM(SUBSTITUTE(INDEX('Term investments'!$B:$B,ROW())&amp;""," "," "))</f>
        <v/>
      </c>
      <c r="C673">
        <f>TRIM(SUBSTITUTE(INDEX('Term investments'!$C:$C,ROW())&amp;""," "," "))</f>
        <v/>
      </c>
      <c r="D673">
        <f>IFERROR(--INDEX('Term investments'!$D:$D,ROW()),0)</f>
        <v/>
      </c>
      <c r="E673">
        <f>IFERROR(--INDEX('Term investments'!$E:$E,ROW()),0)</f>
        <v/>
      </c>
      <c r="F673">
        <f>IFERROR(--INDEX('Term investments'!$F:$F,ROW()),0)</f>
        <v/>
      </c>
      <c r="G673">
        <f>IFERROR(IF(--INDEX('Term investments'!$G:$G,ROW())&gt;=1,--INDEX('Term investments'!$G:$G,ROW())/100,--INDEX('Term investments'!$G:$G,ROW())),0)</f>
        <v/>
      </c>
      <c r="H673">
        <f>IFERROR(--INDEX('Term investments'!$H:$H,ROW()),0)</f>
        <v/>
      </c>
      <c r="I673">
        <f>IF(ISNUMBER(INDEX('Term investments'!$G:$G,ROW())),1,0)</f>
        <v/>
      </c>
      <c r="J673">
        <f>TRIM(SUBSTITUTE(INDEX('Call accounts and MMFs'!$A:$A,ROW())&amp;""," "," "))</f>
        <v/>
      </c>
      <c r="K673">
        <f>TRIM(SUBSTITUTE(INDEX('Call accounts and MMFs'!$B:$B,ROW())&amp;""," "," "))</f>
        <v/>
      </c>
      <c r="L673">
        <f>TRIM(SUBSTITUTE(INDEX('Call accounts and MMFs'!$C:$C,ROW())&amp;""," "," "))</f>
        <v/>
      </c>
      <c r="M673">
        <f>IFERROR(--INDEX('Call accounts and MMFs'!$D:$D,ROW()),0)</f>
        <v/>
      </c>
      <c r="N673">
        <f>IFERROR(IF(--INDEX('Call accounts and MMFs'!$E:$E,ROW())&gt;=1,--INDEX('Call accounts and MMFs'!$E:$E,ROW())/100,--INDEX('Call accounts and MMFs'!$E:$E,ROW())),0)</f>
        <v/>
      </c>
      <c r="O673">
        <f>IFERROR(--INDEX('Call accounts and MMFs'!$F:$F,ROW()),0)</f>
        <v/>
      </c>
      <c r="P673">
        <f>IF(ISNUMBER(INDEX('Call accounts and MMFs'!$E:$E,ROW())),1,0)</f>
        <v/>
      </c>
      <c r="Q673">
        <f>TRIM(SUBSTITUTE(INDEX('Pooled funds'!$B:$B,ROW())&amp;""," "," "))</f>
        <v/>
      </c>
      <c r="R673">
        <f>IFERROR(--INDEX('Pooled funds'!$C:$C,ROW()),0)</f>
        <v/>
      </c>
      <c r="S673">
        <f>IFERROR(--INDEX('Pooled funds'!$D:$D,ROW()),0)</f>
        <v/>
      </c>
      <c r="T673">
        <f>IFERROR(IF(--INDEX('Pooled funds'!$E:$E,ROW())&gt;=1,--INDEX('Pooled funds'!$E:$E,ROW())/100,--INDEX('Pooled funds'!$E:$E,ROW())),0)</f>
        <v/>
      </c>
      <c r="U673">
        <f>IF(ISNUMBER(INDEX('Pooled funds'!$E:$E,ROW())),1,0)</f>
        <v/>
      </c>
      <c r="V673">
        <f>TRIM(SUBSTITUTE(INDEX('Loans'!$A:$A,ROW())&amp;""," "," "))</f>
        <v/>
      </c>
      <c r="W673">
        <f>TRIM(SUBSTITUTE(INDEX('Loans'!$B:$B,ROW())&amp;""," "," "))</f>
        <v/>
      </c>
      <c r="X673">
        <f>TRIM(SUBSTITUTE(INDEX('Loans'!$C:$C,ROW())&amp;""," "," "))</f>
        <v/>
      </c>
      <c r="Y673">
        <f>IFERROR(--INDEX('Loans'!$D:$D,ROW()),0)</f>
        <v/>
      </c>
      <c r="Z673">
        <f>IFERROR(--INDEX('Loans'!$E:$E,ROW()),0)</f>
        <v/>
      </c>
      <c r="AA673">
        <f>IFERROR(--INDEX('Loans'!$F:$F,ROW()),0)</f>
        <v/>
      </c>
      <c r="AB673">
        <f>IFERROR(IF(--INDEX('Loans'!$G:$G,ROW())&gt;=1,--INDEX('Loans'!$G:$G,ROW())/100,--INDEX('Loans'!$G:$G,ROW())),0)</f>
        <v/>
      </c>
      <c r="AC673">
        <f>TRIM(SUBSTITUTE(INDEX('Loans'!$H:$H,ROW())&amp;""," "," "))</f>
        <v/>
      </c>
      <c r="AD673">
        <f>TRIM(SUBSTITUTE(INDEX('Loans'!$I:$I,ROW())&amp;""," "," "))</f>
        <v/>
      </c>
      <c r="AE673">
        <f>IFERROR(--INDEX('Loans'!$J:$J,ROW()),0)</f>
        <v/>
      </c>
      <c r="AF673">
        <f>TRIM(SUBSTITUTE(INDEX('Loans'!$K:$K,ROW())&amp;""," "," "))</f>
        <v/>
      </c>
      <c r="AG673">
        <f>IFERROR(--INDEX('Loans'!$L:$L,ROW()),0)</f>
        <v/>
      </c>
      <c r="AH673">
        <f>IF(ISNUMBER(INDEX('Loans'!$G:$G,ROW())),1,0)</f>
        <v/>
      </c>
    </row>
    <row r="674">
      <c r="A674">
        <f>TRIM(SUBSTITUTE(INDEX('Term investments'!$A:$A,ROW())&amp;""," "," "))</f>
        <v/>
      </c>
      <c r="B674">
        <f>TRIM(SUBSTITUTE(INDEX('Term investments'!$B:$B,ROW())&amp;""," "," "))</f>
        <v/>
      </c>
      <c r="C674">
        <f>TRIM(SUBSTITUTE(INDEX('Term investments'!$C:$C,ROW())&amp;""," "," "))</f>
        <v/>
      </c>
      <c r="D674">
        <f>IFERROR(--INDEX('Term investments'!$D:$D,ROW()),0)</f>
        <v/>
      </c>
      <c r="E674">
        <f>IFERROR(--INDEX('Term investments'!$E:$E,ROW()),0)</f>
        <v/>
      </c>
      <c r="F674">
        <f>IFERROR(--INDEX('Term investments'!$F:$F,ROW()),0)</f>
        <v/>
      </c>
      <c r="G674">
        <f>IFERROR(IF(--INDEX('Term investments'!$G:$G,ROW())&gt;=1,--INDEX('Term investments'!$G:$G,ROW())/100,--INDEX('Term investments'!$G:$G,ROW())),0)</f>
        <v/>
      </c>
      <c r="H674">
        <f>IFERROR(--INDEX('Term investments'!$H:$H,ROW()),0)</f>
        <v/>
      </c>
      <c r="I674">
        <f>IF(ISNUMBER(INDEX('Term investments'!$G:$G,ROW())),1,0)</f>
        <v/>
      </c>
      <c r="J674">
        <f>TRIM(SUBSTITUTE(INDEX('Call accounts and MMFs'!$A:$A,ROW())&amp;""," "," "))</f>
        <v/>
      </c>
      <c r="K674">
        <f>TRIM(SUBSTITUTE(INDEX('Call accounts and MMFs'!$B:$B,ROW())&amp;""," "," "))</f>
        <v/>
      </c>
      <c r="L674">
        <f>TRIM(SUBSTITUTE(INDEX('Call accounts and MMFs'!$C:$C,ROW())&amp;""," "," "))</f>
        <v/>
      </c>
      <c r="M674">
        <f>IFERROR(--INDEX('Call accounts and MMFs'!$D:$D,ROW()),0)</f>
        <v/>
      </c>
      <c r="N674">
        <f>IFERROR(IF(--INDEX('Call accounts and MMFs'!$E:$E,ROW())&gt;=1,--INDEX('Call accounts and MMFs'!$E:$E,ROW())/100,--INDEX('Call accounts and MMFs'!$E:$E,ROW())),0)</f>
        <v/>
      </c>
      <c r="O674">
        <f>IFERROR(--INDEX('Call accounts and MMFs'!$F:$F,ROW()),0)</f>
        <v/>
      </c>
      <c r="P674">
        <f>IF(ISNUMBER(INDEX('Call accounts and MMFs'!$E:$E,ROW())),1,0)</f>
        <v/>
      </c>
      <c r="Q674">
        <f>TRIM(SUBSTITUTE(INDEX('Pooled funds'!$B:$B,ROW())&amp;""," "," "))</f>
        <v/>
      </c>
      <c r="R674">
        <f>IFERROR(--INDEX('Pooled funds'!$C:$C,ROW()),0)</f>
        <v/>
      </c>
      <c r="S674">
        <f>IFERROR(--INDEX('Pooled funds'!$D:$D,ROW()),0)</f>
        <v/>
      </c>
      <c r="T674">
        <f>IFERROR(IF(--INDEX('Pooled funds'!$E:$E,ROW())&gt;=1,--INDEX('Pooled funds'!$E:$E,ROW())/100,--INDEX('Pooled funds'!$E:$E,ROW())),0)</f>
        <v/>
      </c>
      <c r="U674">
        <f>IF(ISNUMBER(INDEX('Pooled funds'!$E:$E,ROW())),1,0)</f>
        <v/>
      </c>
      <c r="V674">
        <f>TRIM(SUBSTITUTE(INDEX('Loans'!$A:$A,ROW())&amp;""," "," "))</f>
        <v/>
      </c>
      <c r="W674">
        <f>TRIM(SUBSTITUTE(INDEX('Loans'!$B:$B,ROW())&amp;""," "," "))</f>
        <v/>
      </c>
      <c r="X674">
        <f>TRIM(SUBSTITUTE(INDEX('Loans'!$C:$C,ROW())&amp;""," "," "))</f>
        <v/>
      </c>
      <c r="Y674">
        <f>IFERROR(--INDEX('Loans'!$D:$D,ROW()),0)</f>
        <v/>
      </c>
      <c r="Z674">
        <f>IFERROR(--INDEX('Loans'!$E:$E,ROW()),0)</f>
        <v/>
      </c>
      <c r="AA674">
        <f>IFERROR(--INDEX('Loans'!$F:$F,ROW()),0)</f>
        <v/>
      </c>
      <c r="AB674">
        <f>IFERROR(IF(--INDEX('Loans'!$G:$G,ROW())&gt;=1,--INDEX('Loans'!$G:$G,ROW())/100,--INDEX('Loans'!$G:$G,ROW())),0)</f>
        <v/>
      </c>
      <c r="AC674">
        <f>TRIM(SUBSTITUTE(INDEX('Loans'!$H:$H,ROW())&amp;""," "," "))</f>
        <v/>
      </c>
      <c r="AD674">
        <f>TRIM(SUBSTITUTE(INDEX('Loans'!$I:$I,ROW())&amp;""," "," "))</f>
        <v/>
      </c>
      <c r="AE674">
        <f>IFERROR(--INDEX('Loans'!$J:$J,ROW()),0)</f>
        <v/>
      </c>
      <c r="AF674">
        <f>TRIM(SUBSTITUTE(INDEX('Loans'!$K:$K,ROW())&amp;""," "," "))</f>
        <v/>
      </c>
      <c r="AG674">
        <f>IFERROR(--INDEX('Loans'!$L:$L,ROW()),0)</f>
        <v/>
      </c>
      <c r="AH674">
        <f>IF(ISNUMBER(INDEX('Loans'!$G:$G,ROW())),1,0)</f>
        <v/>
      </c>
    </row>
    <row r="675">
      <c r="A675">
        <f>TRIM(SUBSTITUTE(INDEX('Term investments'!$A:$A,ROW())&amp;""," "," "))</f>
        <v/>
      </c>
      <c r="B675">
        <f>TRIM(SUBSTITUTE(INDEX('Term investments'!$B:$B,ROW())&amp;""," "," "))</f>
        <v/>
      </c>
      <c r="C675">
        <f>TRIM(SUBSTITUTE(INDEX('Term investments'!$C:$C,ROW())&amp;""," "," "))</f>
        <v/>
      </c>
      <c r="D675">
        <f>IFERROR(--INDEX('Term investments'!$D:$D,ROW()),0)</f>
        <v/>
      </c>
      <c r="E675">
        <f>IFERROR(--INDEX('Term investments'!$E:$E,ROW()),0)</f>
        <v/>
      </c>
      <c r="F675">
        <f>IFERROR(--INDEX('Term investments'!$F:$F,ROW()),0)</f>
        <v/>
      </c>
      <c r="G675">
        <f>IFERROR(IF(--INDEX('Term investments'!$G:$G,ROW())&gt;=1,--INDEX('Term investments'!$G:$G,ROW())/100,--INDEX('Term investments'!$G:$G,ROW())),0)</f>
        <v/>
      </c>
      <c r="H675">
        <f>IFERROR(--INDEX('Term investments'!$H:$H,ROW()),0)</f>
        <v/>
      </c>
      <c r="I675">
        <f>IF(ISNUMBER(INDEX('Term investments'!$G:$G,ROW())),1,0)</f>
        <v/>
      </c>
      <c r="J675">
        <f>TRIM(SUBSTITUTE(INDEX('Call accounts and MMFs'!$A:$A,ROW())&amp;""," "," "))</f>
        <v/>
      </c>
      <c r="K675">
        <f>TRIM(SUBSTITUTE(INDEX('Call accounts and MMFs'!$B:$B,ROW())&amp;""," "," "))</f>
        <v/>
      </c>
      <c r="L675">
        <f>TRIM(SUBSTITUTE(INDEX('Call accounts and MMFs'!$C:$C,ROW())&amp;""," "," "))</f>
        <v/>
      </c>
      <c r="M675">
        <f>IFERROR(--INDEX('Call accounts and MMFs'!$D:$D,ROW()),0)</f>
        <v/>
      </c>
      <c r="N675">
        <f>IFERROR(IF(--INDEX('Call accounts and MMFs'!$E:$E,ROW())&gt;=1,--INDEX('Call accounts and MMFs'!$E:$E,ROW())/100,--INDEX('Call accounts and MMFs'!$E:$E,ROW())),0)</f>
        <v/>
      </c>
      <c r="O675">
        <f>IFERROR(--INDEX('Call accounts and MMFs'!$F:$F,ROW()),0)</f>
        <v/>
      </c>
      <c r="P675">
        <f>IF(ISNUMBER(INDEX('Call accounts and MMFs'!$E:$E,ROW())),1,0)</f>
        <v/>
      </c>
      <c r="Q675">
        <f>TRIM(SUBSTITUTE(INDEX('Pooled funds'!$B:$B,ROW())&amp;""," "," "))</f>
        <v/>
      </c>
      <c r="R675">
        <f>IFERROR(--INDEX('Pooled funds'!$C:$C,ROW()),0)</f>
        <v/>
      </c>
      <c r="S675">
        <f>IFERROR(--INDEX('Pooled funds'!$D:$D,ROW()),0)</f>
        <v/>
      </c>
      <c r="T675">
        <f>IFERROR(IF(--INDEX('Pooled funds'!$E:$E,ROW())&gt;=1,--INDEX('Pooled funds'!$E:$E,ROW())/100,--INDEX('Pooled funds'!$E:$E,ROW())),0)</f>
        <v/>
      </c>
      <c r="U675">
        <f>IF(ISNUMBER(INDEX('Pooled funds'!$E:$E,ROW())),1,0)</f>
        <v/>
      </c>
      <c r="V675">
        <f>TRIM(SUBSTITUTE(INDEX('Loans'!$A:$A,ROW())&amp;""," "," "))</f>
        <v/>
      </c>
      <c r="W675">
        <f>TRIM(SUBSTITUTE(INDEX('Loans'!$B:$B,ROW())&amp;""," "," "))</f>
        <v/>
      </c>
      <c r="X675">
        <f>TRIM(SUBSTITUTE(INDEX('Loans'!$C:$C,ROW())&amp;""," "," "))</f>
        <v/>
      </c>
      <c r="Y675">
        <f>IFERROR(--INDEX('Loans'!$D:$D,ROW()),0)</f>
        <v/>
      </c>
      <c r="Z675">
        <f>IFERROR(--INDEX('Loans'!$E:$E,ROW()),0)</f>
        <v/>
      </c>
      <c r="AA675">
        <f>IFERROR(--INDEX('Loans'!$F:$F,ROW()),0)</f>
        <v/>
      </c>
      <c r="AB675">
        <f>IFERROR(IF(--INDEX('Loans'!$G:$G,ROW())&gt;=1,--INDEX('Loans'!$G:$G,ROW())/100,--INDEX('Loans'!$G:$G,ROW())),0)</f>
        <v/>
      </c>
      <c r="AC675">
        <f>TRIM(SUBSTITUTE(INDEX('Loans'!$H:$H,ROW())&amp;""," "," "))</f>
        <v/>
      </c>
      <c r="AD675">
        <f>TRIM(SUBSTITUTE(INDEX('Loans'!$I:$I,ROW())&amp;""," "," "))</f>
        <v/>
      </c>
      <c r="AE675">
        <f>IFERROR(--INDEX('Loans'!$J:$J,ROW()),0)</f>
        <v/>
      </c>
      <c r="AF675">
        <f>TRIM(SUBSTITUTE(INDEX('Loans'!$K:$K,ROW())&amp;""," "," "))</f>
        <v/>
      </c>
      <c r="AG675">
        <f>IFERROR(--INDEX('Loans'!$L:$L,ROW()),0)</f>
        <v/>
      </c>
      <c r="AH675">
        <f>IF(ISNUMBER(INDEX('Loans'!$G:$G,ROW())),1,0)</f>
        <v/>
      </c>
    </row>
    <row r="676">
      <c r="A676">
        <f>TRIM(SUBSTITUTE(INDEX('Term investments'!$A:$A,ROW())&amp;""," "," "))</f>
        <v/>
      </c>
      <c r="B676">
        <f>TRIM(SUBSTITUTE(INDEX('Term investments'!$B:$B,ROW())&amp;""," "," "))</f>
        <v/>
      </c>
      <c r="C676">
        <f>TRIM(SUBSTITUTE(INDEX('Term investments'!$C:$C,ROW())&amp;""," "," "))</f>
        <v/>
      </c>
      <c r="D676">
        <f>IFERROR(--INDEX('Term investments'!$D:$D,ROW()),0)</f>
        <v/>
      </c>
      <c r="E676">
        <f>IFERROR(--INDEX('Term investments'!$E:$E,ROW()),0)</f>
        <v/>
      </c>
      <c r="F676">
        <f>IFERROR(--INDEX('Term investments'!$F:$F,ROW()),0)</f>
        <v/>
      </c>
      <c r="G676">
        <f>IFERROR(IF(--INDEX('Term investments'!$G:$G,ROW())&gt;=1,--INDEX('Term investments'!$G:$G,ROW())/100,--INDEX('Term investments'!$G:$G,ROW())),0)</f>
        <v/>
      </c>
      <c r="H676">
        <f>IFERROR(--INDEX('Term investments'!$H:$H,ROW()),0)</f>
        <v/>
      </c>
      <c r="I676">
        <f>IF(ISNUMBER(INDEX('Term investments'!$G:$G,ROW())),1,0)</f>
        <v/>
      </c>
      <c r="J676">
        <f>TRIM(SUBSTITUTE(INDEX('Call accounts and MMFs'!$A:$A,ROW())&amp;""," "," "))</f>
        <v/>
      </c>
      <c r="K676">
        <f>TRIM(SUBSTITUTE(INDEX('Call accounts and MMFs'!$B:$B,ROW())&amp;""," "," "))</f>
        <v/>
      </c>
      <c r="L676">
        <f>TRIM(SUBSTITUTE(INDEX('Call accounts and MMFs'!$C:$C,ROW())&amp;""," "," "))</f>
        <v/>
      </c>
      <c r="M676">
        <f>IFERROR(--INDEX('Call accounts and MMFs'!$D:$D,ROW()),0)</f>
        <v/>
      </c>
      <c r="N676">
        <f>IFERROR(IF(--INDEX('Call accounts and MMFs'!$E:$E,ROW())&gt;=1,--INDEX('Call accounts and MMFs'!$E:$E,ROW())/100,--INDEX('Call accounts and MMFs'!$E:$E,ROW())),0)</f>
        <v/>
      </c>
      <c r="O676">
        <f>IFERROR(--INDEX('Call accounts and MMFs'!$F:$F,ROW()),0)</f>
        <v/>
      </c>
      <c r="P676">
        <f>IF(ISNUMBER(INDEX('Call accounts and MMFs'!$E:$E,ROW())),1,0)</f>
        <v/>
      </c>
      <c r="Q676">
        <f>TRIM(SUBSTITUTE(INDEX('Pooled funds'!$B:$B,ROW())&amp;""," "," "))</f>
        <v/>
      </c>
      <c r="R676">
        <f>IFERROR(--INDEX('Pooled funds'!$C:$C,ROW()),0)</f>
        <v/>
      </c>
      <c r="S676">
        <f>IFERROR(--INDEX('Pooled funds'!$D:$D,ROW()),0)</f>
        <v/>
      </c>
      <c r="T676">
        <f>IFERROR(IF(--INDEX('Pooled funds'!$E:$E,ROW())&gt;=1,--INDEX('Pooled funds'!$E:$E,ROW())/100,--INDEX('Pooled funds'!$E:$E,ROW())),0)</f>
        <v/>
      </c>
      <c r="U676">
        <f>IF(ISNUMBER(INDEX('Pooled funds'!$E:$E,ROW())),1,0)</f>
        <v/>
      </c>
      <c r="V676">
        <f>TRIM(SUBSTITUTE(INDEX('Loans'!$A:$A,ROW())&amp;""," "," "))</f>
        <v/>
      </c>
      <c r="W676">
        <f>TRIM(SUBSTITUTE(INDEX('Loans'!$B:$B,ROW())&amp;""," "," "))</f>
        <v/>
      </c>
      <c r="X676">
        <f>TRIM(SUBSTITUTE(INDEX('Loans'!$C:$C,ROW())&amp;""," "," "))</f>
        <v/>
      </c>
      <c r="Y676">
        <f>IFERROR(--INDEX('Loans'!$D:$D,ROW()),0)</f>
        <v/>
      </c>
      <c r="Z676">
        <f>IFERROR(--INDEX('Loans'!$E:$E,ROW()),0)</f>
        <v/>
      </c>
      <c r="AA676">
        <f>IFERROR(--INDEX('Loans'!$F:$F,ROW()),0)</f>
        <v/>
      </c>
      <c r="AB676">
        <f>IFERROR(IF(--INDEX('Loans'!$G:$G,ROW())&gt;=1,--INDEX('Loans'!$G:$G,ROW())/100,--INDEX('Loans'!$G:$G,ROW())),0)</f>
        <v/>
      </c>
      <c r="AC676">
        <f>TRIM(SUBSTITUTE(INDEX('Loans'!$H:$H,ROW())&amp;""," "," "))</f>
        <v/>
      </c>
      <c r="AD676">
        <f>TRIM(SUBSTITUTE(INDEX('Loans'!$I:$I,ROW())&amp;""," "," "))</f>
        <v/>
      </c>
      <c r="AE676">
        <f>IFERROR(--INDEX('Loans'!$J:$J,ROW()),0)</f>
        <v/>
      </c>
      <c r="AF676">
        <f>TRIM(SUBSTITUTE(INDEX('Loans'!$K:$K,ROW())&amp;""," "," "))</f>
        <v/>
      </c>
      <c r="AG676">
        <f>IFERROR(--INDEX('Loans'!$L:$L,ROW()),0)</f>
        <v/>
      </c>
      <c r="AH676">
        <f>IF(ISNUMBER(INDEX('Loans'!$G:$G,ROW())),1,0)</f>
        <v/>
      </c>
    </row>
    <row r="677">
      <c r="A677">
        <f>TRIM(SUBSTITUTE(INDEX('Term investments'!$A:$A,ROW())&amp;""," "," "))</f>
        <v/>
      </c>
      <c r="B677">
        <f>TRIM(SUBSTITUTE(INDEX('Term investments'!$B:$B,ROW())&amp;""," "," "))</f>
        <v/>
      </c>
      <c r="C677">
        <f>TRIM(SUBSTITUTE(INDEX('Term investments'!$C:$C,ROW())&amp;""," "," "))</f>
        <v/>
      </c>
      <c r="D677">
        <f>IFERROR(--INDEX('Term investments'!$D:$D,ROW()),0)</f>
        <v/>
      </c>
      <c r="E677">
        <f>IFERROR(--INDEX('Term investments'!$E:$E,ROW()),0)</f>
        <v/>
      </c>
      <c r="F677">
        <f>IFERROR(--INDEX('Term investments'!$F:$F,ROW()),0)</f>
        <v/>
      </c>
      <c r="G677">
        <f>IFERROR(IF(--INDEX('Term investments'!$G:$G,ROW())&gt;=1,--INDEX('Term investments'!$G:$G,ROW())/100,--INDEX('Term investments'!$G:$G,ROW())),0)</f>
        <v/>
      </c>
      <c r="H677">
        <f>IFERROR(--INDEX('Term investments'!$H:$H,ROW()),0)</f>
        <v/>
      </c>
      <c r="I677">
        <f>IF(ISNUMBER(INDEX('Term investments'!$G:$G,ROW())),1,0)</f>
        <v/>
      </c>
      <c r="J677">
        <f>TRIM(SUBSTITUTE(INDEX('Call accounts and MMFs'!$A:$A,ROW())&amp;""," "," "))</f>
        <v/>
      </c>
      <c r="K677">
        <f>TRIM(SUBSTITUTE(INDEX('Call accounts and MMFs'!$B:$B,ROW())&amp;""," "," "))</f>
        <v/>
      </c>
      <c r="L677">
        <f>TRIM(SUBSTITUTE(INDEX('Call accounts and MMFs'!$C:$C,ROW())&amp;""," "," "))</f>
        <v/>
      </c>
      <c r="M677">
        <f>IFERROR(--INDEX('Call accounts and MMFs'!$D:$D,ROW()),0)</f>
        <v/>
      </c>
      <c r="N677">
        <f>IFERROR(IF(--INDEX('Call accounts and MMFs'!$E:$E,ROW())&gt;=1,--INDEX('Call accounts and MMFs'!$E:$E,ROW())/100,--INDEX('Call accounts and MMFs'!$E:$E,ROW())),0)</f>
        <v/>
      </c>
      <c r="O677">
        <f>IFERROR(--INDEX('Call accounts and MMFs'!$F:$F,ROW()),0)</f>
        <v/>
      </c>
      <c r="P677">
        <f>IF(ISNUMBER(INDEX('Call accounts and MMFs'!$E:$E,ROW())),1,0)</f>
        <v/>
      </c>
      <c r="Q677">
        <f>TRIM(SUBSTITUTE(INDEX('Pooled funds'!$B:$B,ROW())&amp;""," "," "))</f>
        <v/>
      </c>
      <c r="R677">
        <f>IFERROR(--INDEX('Pooled funds'!$C:$C,ROW()),0)</f>
        <v/>
      </c>
      <c r="S677">
        <f>IFERROR(--INDEX('Pooled funds'!$D:$D,ROW()),0)</f>
        <v/>
      </c>
      <c r="T677">
        <f>IFERROR(IF(--INDEX('Pooled funds'!$E:$E,ROW())&gt;=1,--INDEX('Pooled funds'!$E:$E,ROW())/100,--INDEX('Pooled funds'!$E:$E,ROW())),0)</f>
        <v/>
      </c>
      <c r="U677">
        <f>IF(ISNUMBER(INDEX('Pooled funds'!$E:$E,ROW())),1,0)</f>
        <v/>
      </c>
      <c r="V677">
        <f>TRIM(SUBSTITUTE(INDEX('Loans'!$A:$A,ROW())&amp;""," "," "))</f>
        <v/>
      </c>
      <c r="W677">
        <f>TRIM(SUBSTITUTE(INDEX('Loans'!$B:$B,ROW())&amp;""," "," "))</f>
        <v/>
      </c>
      <c r="X677">
        <f>TRIM(SUBSTITUTE(INDEX('Loans'!$C:$C,ROW())&amp;""," "," "))</f>
        <v/>
      </c>
      <c r="Y677">
        <f>IFERROR(--INDEX('Loans'!$D:$D,ROW()),0)</f>
        <v/>
      </c>
      <c r="Z677">
        <f>IFERROR(--INDEX('Loans'!$E:$E,ROW()),0)</f>
        <v/>
      </c>
      <c r="AA677">
        <f>IFERROR(--INDEX('Loans'!$F:$F,ROW()),0)</f>
        <v/>
      </c>
      <c r="AB677">
        <f>IFERROR(IF(--INDEX('Loans'!$G:$G,ROW())&gt;=1,--INDEX('Loans'!$G:$G,ROW())/100,--INDEX('Loans'!$G:$G,ROW())),0)</f>
        <v/>
      </c>
      <c r="AC677">
        <f>TRIM(SUBSTITUTE(INDEX('Loans'!$H:$H,ROW())&amp;""," "," "))</f>
        <v/>
      </c>
      <c r="AD677">
        <f>TRIM(SUBSTITUTE(INDEX('Loans'!$I:$I,ROW())&amp;""," "," "))</f>
        <v/>
      </c>
      <c r="AE677">
        <f>IFERROR(--INDEX('Loans'!$J:$J,ROW()),0)</f>
        <v/>
      </c>
      <c r="AF677">
        <f>TRIM(SUBSTITUTE(INDEX('Loans'!$K:$K,ROW())&amp;""," "," "))</f>
        <v/>
      </c>
      <c r="AG677">
        <f>IFERROR(--INDEX('Loans'!$L:$L,ROW()),0)</f>
        <v/>
      </c>
      <c r="AH677">
        <f>IF(ISNUMBER(INDEX('Loans'!$G:$G,ROW())),1,0)</f>
        <v/>
      </c>
    </row>
    <row r="678">
      <c r="A678">
        <f>TRIM(SUBSTITUTE(INDEX('Term investments'!$A:$A,ROW())&amp;""," "," "))</f>
        <v/>
      </c>
      <c r="B678">
        <f>TRIM(SUBSTITUTE(INDEX('Term investments'!$B:$B,ROW())&amp;""," "," "))</f>
        <v/>
      </c>
      <c r="C678">
        <f>TRIM(SUBSTITUTE(INDEX('Term investments'!$C:$C,ROW())&amp;""," "," "))</f>
        <v/>
      </c>
      <c r="D678">
        <f>IFERROR(--INDEX('Term investments'!$D:$D,ROW()),0)</f>
        <v/>
      </c>
      <c r="E678">
        <f>IFERROR(--INDEX('Term investments'!$E:$E,ROW()),0)</f>
        <v/>
      </c>
      <c r="F678">
        <f>IFERROR(--INDEX('Term investments'!$F:$F,ROW()),0)</f>
        <v/>
      </c>
      <c r="G678">
        <f>IFERROR(IF(--INDEX('Term investments'!$G:$G,ROW())&gt;=1,--INDEX('Term investments'!$G:$G,ROW())/100,--INDEX('Term investments'!$G:$G,ROW())),0)</f>
        <v/>
      </c>
      <c r="H678">
        <f>IFERROR(--INDEX('Term investments'!$H:$H,ROW()),0)</f>
        <v/>
      </c>
      <c r="I678">
        <f>IF(ISNUMBER(INDEX('Term investments'!$G:$G,ROW())),1,0)</f>
        <v/>
      </c>
      <c r="J678">
        <f>TRIM(SUBSTITUTE(INDEX('Call accounts and MMFs'!$A:$A,ROW())&amp;""," "," "))</f>
        <v/>
      </c>
      <c r="K678">
        <f>TRIM(SUBSTITUTE(INDEX('Call accounts and MMFs'!$B:$B,ROW())&amp;""," "," "))</f>
        <v/>
      </c>
      <c r="L678">
        <f>TRIM(SUBSTITUTE(INDEX('Call accounts and MMFs'!$C:$C,ROW())&amp;""," "," "))</f>
        <v/>
      </c>
      <c r="M678">
        <f>IFERROR(--INDEX('Call accounts and MMFs'!$D:$D,ROW()),0)</f>
        <v/>
      </c>
      <c r="N678">
        <f>IFERROR(IF(--INDEX('Call accounts and MMFs'!$E:$E,ROW())&gt;=1,--INDEX('Call accounts and MMFs'!$E:$E,ROW())/100,--INDEX('Call accounts and MMFs'!$E:$E,ROW())),0)</f>
        <v/>
      </c>
      <c r="O678">
        <f>IFERROR(--INDEX('Call accounts and MMFs'!$F:$F,ROW()),0)</f>
        <v/>
      </c>
      <c r="P678">
        <f>IF(ISNUMBER(INDEX('Call accounts and MMFs'!$E:$E,ROW())),1,0)</f>
        <v/>
      </c>
      <c r="Q678">
        <f>TRIM(SUBSTITUTE(INDEX('Pooled funds'!$B:$B,ROW())&amp;""," "," "))</f>
        <v/>
      </c>
      <c r="R678">
        <f>IFERROR(--INDEX('Pooled funds'!$C:$C,ROW()),0)</f>
        <v/>
      </c>
      <c r="S678">
        <f>IFERROR(--INDEX('Pooled funds'!$D:$D,ROW()),0)</f>
        <v/>
      </c>
      <c r="T678">
        <f>IFERROR(IF(--INDEX('Pooled funds'!$E:$E,ROW())&gt;=1,--INDEX('Pooled funds'!$E:$E,ROW())/100,--INDEX('Pooled funds'!$E:$E,ROW())),0)</f>
        <v/>
      </c>
      <c r="U678">
        <f>IF(ISNUMBER(INDEX('Pooled funds'!$E:$E,ROW())),1,0)</f>
        <v/>
      </c>
      <c r="V678">
        <f>TRIM(SUBSTITUTE(INDEX('Loans'!$A:$A,ROW())&amp;""," "," "))</f>
        <v/>
      </c>
      <c r="W678">
        <f>TRIM(SUBSTITUTE(INDEX('Loans'!$B:$B,ROW())&amp;""," "," "))</f>
        <v/>
      </c>
      <c r="X678">
        <f>TRIM(SUBSTITUTE(INDEX('Loans'!$C:$C,ROW())&amp;""," "," "))</f>
        <v/>
      </c>
      <c r="Y678">
        <f>IFERROR(--INDEX('Loans'!$D:$D,ROW()),0)</f>
        <v/>
      </c>
      <c r="Z678">
        <f>IFERROR(--INDEX('Loans'!$E:$E,ROW()),0)</f>
        <v/>
      </c>
      <c r="AA678">
        <f>IFERROR(--INDEX('Loans'!$F:$F,ROW()),0)</f>
        <v/>
      </c>
      <c r="AB678">
        <f>IFERROR(IF(--INDEX('Loans'!$G:$G,ROW())&gt;=1,--INDEX('Loans'!$G:$G,ROW())/100,--INDEX('Loans'!$G:$G,ROW())),0)</f>
        <v/>
      </c>
      <c r="AC678">
        <f>TRIM(SUBSTITUTE(INDEX('Loans'!$H:$H,ROW())&amp;""," "," "))</f>
        <v/>
      </c>
      <c r="AD678">
        <f>TRIM(SUBSTITUTE(INDEX('Loans'!$I:$I,ROW())&amp;""," "," "))</f>
        <v/>
      </c>
      <c r="AE678">
        <f>IFERROR(--INDEX('Loans'!$J:$J,ROW()),0)</f>
        <v/>
      </c>
      <c r="AF678">
        <f>TRIM(SUBSTITUTE(INDEX('Loans'!$K:$K,ROW())&amp;""," "," "))</f>
        <v/>
      </c>
      <c r="AG678">
        <f>IFERROR(--INDEX('Loans'!$L:$L,ROW()),0)</f>
        <v/>
      </c>
      <c r="AH678">
        <f>IF(ISNUMBER(INDEX('Loans'!$G:$G,ROW())),1,0)</f>
        <v/>
      </c>
    </row>
    <row r="679">
      <c r="A679">
        <f>TRIM(SUBSTITUTE(INDEX('Term investments'!$A:$A,ROW())&amp;""," "," "))</f>
        <v/>
      </c>
      <c r="B679">
        <f>TRIM(SUBSTITUTE(INDEX('Term investments'!$B:$B,ROW())&amp;""," "," "))</f>
        <v/>
      </c>
      <c r="C679">
        <f>TRIM(SUBSTITUTE(INDEX('Term investments'!$C:$C,ROW())&amp;""," "," "))</f>
        <v/>
      </c>
      <c r="D679">
        <f>IFERROR(--INDEX('Term investments'!$D:$D,ROW()),0)</f>
        <v/>
      </c>
      <c r="E679">
        <f>IFERROR(--INDEX('Term investments'!$E:$E,ROW()),0)</f>
        <v/>
      </c>
      <c r="F679">
        <f>IFERROR(--INDEX('Term investments'!$F:$F,ROW()),0)</f>
        <v/>
      </c>
      <c r="G679">
        <f>IFERROR(IF(--INDEX('Term investments'!$G:$G,ROW())&gt;=1,--INDEX('Term investments'!$G:$G,ROW())/100,--INDEX('Term investments'!$G:$G,ROW())),0)</f>
        <v/>
      </c>
      <c r="H679">
        <f>IFERROR(--INDEX('Term investments'!$H:$H,ROW()),0)</f>
        <v/>
      </c>
      <c r="I679">
        <f>IF(ISNUMBER(INDEX('Term investments'!$G:$G,ROW())),1,0)</f>
        <v/>
      </c>
      <c r="J679">
        <f>TRIM(SUBSTITUTE(INDEX('Call accounts and MMFs'!$A:$A,ROW())&amp;""," "," "))</f>
        <v/>
      </c>
      <c r="K679">
        <f>TRIM(SUBSTITUTE(INDEX('Call accounts and MMFs'!$B:$B,ROW())&amp;""," "," "))</f>
        <v/>
      </c>
      <c r="L679">
        <f>TRIM(SUBSTITUTE(INDEX('Call accounts and MMFs'!$C:$C,ROW())&amp;""," "," "))</f>
        <v/>
      </c>
      <c r="M679">
        <f>IFERROR(--INDEX('Call accounts and MMFs'!$D:$D,ROW()),0)</f>
        <v/>
      </c>
      <c r="N679">
        <f>IFERROR(IF(--INDEX('Call accounts and MMFs'!$E:$E,ROW())&gt;=1,--INDEX('Call accounts and MMFs'!$E:$E,ROW())/100,--INDEX('Call accounts and MMFs'!$E:$E,ROW())),0)</f>
        <v/>
      </c>
      <c r="O679">
        <f>IFERROR(--INDEX('Call accounts and MMFs'!$F:$F,ROW()),0)</f>
        <v/>
      </c>
      <c r="P679">
        <f>IF(ISNUMBER(INDEX('Call accounts and MMFs'!$E:$E,ROW())),1,0)</f>
        <v/>
      </c>
      <c r="Q679">
        <f>TRIM(SUBSTITUTE(INDEX('Pooled funds'!$B:$B,ROW())&amp;""," "," "))</f>
        <v/>
      </c>
      <c r="R679">
        <f>IFERROR(--INDEX('Pooled funds'!$C:$C,ROW()),0)</f>
        <v/>
      </c>
      <c r="S679">
        <f>IFERROR(--INDEX('Pooled funds'!$D:$D,ROW()),0)</f>
        <v/>
      </c>
      <c r="T679">
        <f>IFERROR(IF(--INDEX('Pooled funds'!$E:$E,ROW())&gt;=1,--INDEX('Pooled funds'!$E:$E,ROW())/100,--INDEX('Pooled funds'!$E:$E,ROW())),0)</f>
        <v/>
      </c>
      <c r="U679">
        <f>IF(ISNUMBER(INDEX('Pooled funds'!$E:$E,ROW())),1,0)</f>
        <v/>
      </c>
      <c r="V679">
        <f>TRIM(SUBSTITUTE(INDEX('Loans'!$A:$A,ROW())&amp;""," "," "))</f>
        <v/>
      </c>
      <c r="W679">
        <f>TRIM(SUBSTITUTE(INDEX('Loans'!$B:$B,ROW())&amp;""," "," "))</f>
        <v/>
      </c>
      <c r="X679">
        <f>TRIM(SUBSTITUTE(INDEX('Loans'!$C:$C,ROW())&amp;""," "," "))</f>
        <v/>
      </c>
      <c r="Y679">
        <f>IFERROR(--INDEX('Loans'!$D:$D,ROW()),0)</f>
        <v/>
      </c>
      <c r="Z679">
        <f>IFERROR(--INDEX('Loans'!$E:$E,ROW()),0)</f>
        <v/>
      </c>
      <c r="AA679">
        <f>IFERROR(--INDEX('Loans'!$F:$F,ROW()),0)</f>
        <v/>
      </c>
      <c r="AB679">
        <f>IFERROR(IF(--INDEX('Loans'!$G:$G,ROW())&gt;=1,--INDEX('Loans'!$G:$G,ROW())/100,--INDEX('Loans'!$G:$G,ROW())),0)</f>
        <v/>
      </c>
      <c r="AC679">
        <f>TRIM(SUBSTITUTE(INDEX('Loans'!$H:$H,ROW())&amp;""," "," "))</f>
        <v/>
      </c>
      <c r="AD679">
        <f>TRIM(SUBSTITUTE(INDEX('Loans'!$I:$I,ROW())&amp;""," "," "))</f>
        <v/>
      </c>
      <c r="AE679">
        <f>IFERROR(--INDEX('Loans'!$J:$J,ROW()),0)</f>
        <v/>
      </c>
      <c r="AF679">
        <f>TRIM(SUBSTITUTE(INDEX('Loans'!$K:$K,ROW())&amp;""," "," "))</f>
        <v/>
      </c>
      <c r="AG679">
        <f>IFERROR(--INDEX('Loans'!$L:$L,ROW()),0)</f>
        <v/>
      </c>
      <c r="AH679">
        <f>IF(ISNUMBER(INDEX('Loans'!$G:$G,ROW())),1,0)</f>
        <v/>
      </c>
    </row>
    <row r="680">
      <c r="A680">
        <f>TRIM(SUBSTITUTE(INDEX('Term investments'!$A:$A,ROW())&amp;""," "," "))</f>
        <v/>
      </c>
      <c r="B680">
        <f>TRIM(SUBSTITUTE(INDEX('Term investments'!$B:$B,ROW())&amp;""," "," "))</f>
        <v/>
      </c>
      <c r="C680">
        <f>TRIM(SUBSTITUTE(INDEX('Term investments'!$C:$C,ROW())&amp;""," "," "))</f>
        <v/>
      </c>
      <c r="D680">
        <f>IFERROR(--INDEX('Term investments'!$D:$D,ROW()),0)</f>
        <v/>
      </c>
      <c r="E680">
        <f>IFERROR(--INDEX('Term investments'!$E:$E,ROW()),0)</f>
        <v/>
      </c>
      <c r="F680">
        <f>IFERROR(--INDEX('Term investments'!$F:$F,ROW()),0)</f>
        <v/>
      </c>
      <c r="G680">
        <f>IFERROR(IF(--INDEX('Term investments'!$G:$G,ROW())&gt;=1,--INDEX('Term investments'!$G:$G,ROW())/100,--INDEX('Term investments'!$G:$G,ROW())),0)</f>
        <v/>
      </c>
      <c r="H680">
        <f>IFERROR(--INDEX('Term investments'!$H:$H,ROW()),0)</f>
        <v/>
      </c>
      <c r="I680">
        <f>IF(ISNUMBER(INDEX('Term investments'!$G:$G,ROW())),1,0)</f>
        <v/>
      </c>
      <c r="J680">
        <f>TRIM(SUBSTITUTE(INDEX('Call accounts and MMFs'!$A:$A,ROW())&amp;""," "," "))</f>
        <v/>
      </c>
      <c r="K680">
        <f>TRIM(SUBSTITUTE(INDEX('Call accounts and MMFs'!$B:$B,ROW())&amp;""," "," "))</f>
        <v/>
      </c>
      <c r="L680">
        <f>TRIM(SUBSTITUTE(INDEX('Call accounts and MMFs'!$C:$C,ROW())&amp;""," "," "))</f>
        <v/>
      </c>
      <c r="M680">
        <f>IFERROR(--INDEX('Call accounts and MMFs'!$D:$D,ROW()),0)</f>
        <v/>
      </c>
      <c r="N680">
        <f>IFERROR(IF(--INDEX('Call accounts and MMFs'!$E:$E,ROW())&gt;=1,--INDEX('Call accounts and MMFs'!$E:$E,ROW())/100,--INDEX('Call accounts and MMFs'!$E:$E,ROW())),0)</f>
        <v/>
      </c>
      <c r="O680">
        <f>IFERROR(--INDEX('Call accounts and MMFs'!$F:$F,ROW()),0)</f>
        <v/>
      </c>
      <c r="P680">
        <f>IF(ISNUMBER(INDEX('Call accounts and MMFs'!$E:$E,ROW())),1,0)</f>
        <v/>
      </c>
      <c r="Q680">
        <f>TRIM(SUBSTITUTE(INDEX('Pooled funds'!$B:$B,ROW())&amp;""," "," "))</f>
        <v/>
      </c>
      <c r="R680">
        <f>IFERROR(--INDEX('Pooled funds'!$C:$C,ROW()),0)</f>
        <v/>
      </c>
      <c r="S680">
        <f>IFERROR(--INDEX('Pooled funds'!$D:$D,ROW()),0)</f>
        <v/>
      </c>
      <c r="T680">
        <f>IFERROR(IF(--INDEX('Pooled funds'!$E:$E,ROW())&gt;=1,--INDEX('Pooled funds'!$E:$E,ROW())/100,--INDEX('Pooled funds'!$E:$E,ROW())),0)</f>
        <v/>
      </c>
      <c r="U680">
        <f>IF(ISNUMBER(INDEX('Pooled funds'!$E:$E,ROW())),1,0)</f>
        <v/>
      </c>
      <c r="V680">
        <f>TRIM(SUBSTITUTE(INDEX('Loans'!$A:$A,ROW())&amp;""," "," "))</f>
        <v/>
      </c>
      <c r="W680">
        <f>TRIM(SUBSTITUTE(INDEX('Loans'!$B:$B,ROW())&amp;""," "," "))</f>
        <v/>
      </c>
      <c r="X680">
        <f>TRIM(SUBSTITUTE(INDEX('Loans'!$C:$C,ROW())&amp;""," "," "))</f>
        <v/>
      </c>
      <c r="Y680">
        <f>IFERROR(--INDEX('Loans'!$D:$D,ROW()),0)</f>
        <v/>
      </c>
      <c r="Z680">
        <f>IFERROR(--INDEX('Loans'!$E:$E,ROW()),0)</f>
        <v/>
      </c>
      <c r="AA680">
        <f>IFERROR(--INDEX('Loans'!$F:$F,ROW()),0)</f>
        <v/>
      </c>
      <c r="AB680">
        <f>IFERROR(IF(--INDEX('Loans'!$G:$G,ROW())&gt;=1,--INDEX('Loans'!$G:$G,ROW())/100,--INDEX('Loans'!$G:$G,ROW())),0)</f>
        <v/>
      </c>
      <c r="AC680">
        <f>TRIM(SUBSTITUTE(INDEX('Loans'!$H:$H,ROW())&amp;""," "," "))</f>
        <v/>
      </c>
      <c r="AD680">
        <f>TRIM(SUBSTITUTE(INDEX('Loans'!$I:$I,ROW())&amp;""," "," "))</f>
        <v/>
      </c>
      <c r="AE680">
        <f>IFERROR(--INDEX('Loans'!$J:$J,ROW()),0)</f>
        <v/>
      </c>
      <c r="AF680">
        <f>TRIM(SUBSTITUTE(INDEX('Loans'!$K:$K,ROW())&amp;""," "," "))</f>
        <v/>
      </c>
      <c r="AG680">
        <f>IFERROR(--INDEX('Loans'!$L:$L,ROW()),0)</f>
        <v/>
      </c>
      <c r="AH680">
        <f>IF(ISNUMBER(INDEX('Loans'!$G:$G,ROW())),1,0)</f>
        <v/>
      </c>
    </row>
    <row r="681">
      <c r="A681">
        <f>TRIM(SUBSTITUTE(INDEX('Term investments'!$A:$A,ROW())&amp;""," "," "))</f>
        <v/>
      </c>
      <c r="B681">
        <f>TRIM(SUBSTITUTE(INDEX('Term investments'!$B:$B,ROW())&amp;""," "," "))</f>
        <v/>
      </c>
      <c r="C681">
        <f>TRIM(SUBSTITUTE(INDEX('Term investments'!$C:$C,ROW())&amp;""," "," "))</f>
        <v/>
      </c>
      <c r="D681">
        <f>IFERROR(--INDEX('Term investments'!$D:$D,ROW()),0)</f>
        <v/>
      </c>
      <c r="E681">
        <f>IFERROR(--INDEX('Term investments'!$E:$E,ROW()),0)</f>
        <v/>
      </c>
      <c r="F681">
        <f>IFERROR(--INDEX('Term investments'!$F:$F,ROW()),0)</f>
        <v/>
      </c>
      <c r="G681">
        <f>IFERROR(IF(--INDEX('Term investments'!$G:$G,ROW())&gt;=1,--INDEX('Term investments'!$G:$G,ROW())/100,--INDEX('Term investments'!$G:$G,ROW())),0)</f>
        <v/>
      </c>
      <c r="H681">
        <f>IFERROR(--INDEX('Term investments'!$H:$H,ROW()),0)</f>
        <v/>
      </c>
      <c r="I681">
        <f>IF(ISNUMBER(INDEX('Term investments'!$G:$G,ROW())),1,0)</f>
        <v/>
      </c>
      <c r="J681">
        <f>TRIM(SUBSTITUTE(INDEX('Call accounts and MMFs'!$A:$A,ROW())&amp;""," "," "))</f>
        <v/>
      </c>
      <c r="K681">
        <f>TRIM(SUBSTITUTE(INDEX('Call accounts and MMFs'!$B:$B,ROW())&amp;""," "," "))</f>
        <v/>
      </c>
      <c r="L681">
        <f>TRIM(SUBSTITUTE(INDEX('Call accounts and MMFs'!$C:$C,ROW())&amp;""," "," "))</f>
        <v/>
      </c>
      <c r="M681">
        <f>IFERROR(--INDEX('Call accounts and MMFs'!$D:$D,ROW()),0)</f>
        <v/>
      </c>
      <c r="N681">
        <f>IFERROR(IF(--INDEX('Call accounts and MMFs'!$E:$E,ROW())&gt;=1,--INDEX('Call accounts and MMFs'!$E:$E,ROW())/100,--INDEX('Call accounts and MMFs'!$E:$E,ROW())),0)</f>
        <v/>
      </c>
      <c r="O681">
        <f>IFERROR(--INDEX('Call accounts and MMFs'!$F:$F,ROW()),0)</f>
        <v/>
      </c>
      <c r="P681">
        <f>IF(ISNUMBER(INDEX('Call accounts and MMFs'!$E:$E,ROW())),1,0)</f>
        <v/>
      </c>
      <c r="Q681">
        <f>TRIM(SUBSTITUTE(INDEX('Pooled funds'!$B:$B,ROW())&amp;""," "," "))</f>
        <v/>
      </c>
      <c r="R681">
        <f>IFERROR(--INDEX('Pooled funds'!$C:$C,ROW()),0)</f>
        <v/>
      </c>
      <c r="S681">
        <f>IFERROR(--INDEX('Pooled funds'!$D:$D,ROW()),0)</f>
        <v/>
      </c>
      <c r="T681">
        <f>IFERROR(IF(--INDEX('Pooled funds'!$E:$E,ROW())&gt;=1,--INDEX('Pooled funds'!$E:$E,ROW())/100,--INDEX('Pooled funds'!$E:$E,ROW())),0)</f>
        <v/>
      </c>
      <c r="U681">
        <f>IF(ISNUMBER(INDEX('Pooled funds'!$E:$E,ROW())),1,0)</f>
        <v/>
      </c>
      <c r="V681">
        <f>TRIM(SUBSTITUTE(INDEX('Loans'!$A:$A,ROW())&amp;""," "," "))</f>
        <v/>
      </c>
      <c r="W681">
        <f>TRIM(SUBSTITUTE(INDEX('Loans'!$B:$B,ROW())&amp;""," "," "))</f>
        <v/>
      </c>
      <c r="X681">
        <f>TRIM(SUBSTITUTE(INDEX('Loans'!$C:$C,ROW())&amp;""," "," "))</f>
        <v/>
      </c>
      <c r="Y681">
        <f>IFERROR(--INDEX('Loans'!$D:$D,ROW()),0)</f>
        <v/>
      </c>
      <c r="Z681">
        <f>IFERROR(--INDEX('Loans'!$E:$E,ROW()),0)</f>
        <v/>
      </c>
      <c r="AA681">
        <f>IFERROR(--INDEX('Loans'!$F:$F,ROW()),0)</f>
        <v/>
      </c>
      <c r="AB681">
        <f>IFERROR(IF(--INDEX('Loans'!$G:$G,ROW())&gt;=1,--INDEX('Loans'!$G:$G,ROW())/100,--INDEX('Loans'!$G:$G,ROW())),0)</f>
        <v/>
      </c>
      <c r="AC681">
        <f>TRIM(SUBSTITUTE(INDEX('Loans'!$H:$H,ROW())&amp;""," "," "))</f>
        <v/>
      </c>
      <c r="AD681">
        <f>TRIM(SUBSTITUTE(INDEX('Loans'!$I:$I,ROW())&amp;""," "," "))</f>
        <v/>
      </c>
      <c r="AE681">
        <f>IFERROR(--INDEX('Loans'!$J:$J,ROW()),0)</f>
        <v/>
      </c>
      <c r="AF681">
        <f>TRIM(SUBSTITUTE(INDEX('Loans'!$K:$K,ROW())&amp;""," "," "))</f>
        <v/>
      </c>
      <c r="AG681">
        <f>IFERROR(--INDEX('Loans'!$L:$L,ROW()),0)</f>
        <v/>
      </c>
      <c r="AH681">
        <f>IF(ISNUMBER(INDEX('Loans'!$G:$G,ROW())),1,0)</f>
        <v/>
      </c>
    </row>
    <row r="682">
      <c r="A682">
        <f>TRIM(SUBSTITUTE(INDEX('Term investments'!$A:$A,ROW())&amp;""," "," "))</f>
        <v/>
      </c>
      <c r="B682">
        <f>TRIM(SUBSTITUTE(INDEX('Term investments'!$B:$B,ROW())&amp;""," "," "))</f>
        <v/>
      </c>
      <c r="C682">
        <f>TRIM(SUBSTITUTE(INDEX('Term investments'!$C:$C,ROW())&amp;""," "," "))</f>
        <v/>
      </c>
      <c r="D682">
        <f>IFERROR(--INDEX('Term investments'!$D:$D,ROW()),0)</f>
        <v/>
      </c>
      <c r="E682">
        <f>IFERROR(--INDEX('Term investments'!$E:$E,ROW()),0)</f>
        <v/>
      </c>
      <c r="F682">
        <f>IFERROR(--INDEX('Term investments'!$F:$F,ROW()),0)</f>
        <v/>
      </c>
      <c r="G682">
        <f>IFERROR(IF(--INDEX('Term investments'!$G:$G,ROW())&gt;=1,--INDEX('Term investments'!$G:$G,ROW())/100,--INDEX('Term investments'!$G:$G,ROW())),0)</f>
        <v/>
      </c>
      <c r="H682">
        <f>IFERROR(--INDEX('Term investments'!$H:$H,ROW()),0)</f>
        <v/>
      </c>
      <c r="I682">
        <f>IF(ISNUMBER(INDEX('Term investments'!$G:$G,ROW())),1,0)</f>
        <v/>
      </c>
      <c r="J682">
        <f>TRIM(SUBSTITUTE(INDEX('Call accounts and MMFs'!$A:$A,ROW())&amp;""," "," "))</f>
        <v/>
      </c>
      <c r="K682">
        <f>TRIM(SUBSTITUTE(INDEX('Call accounts and MMFs'!$B:$B,ROW())&amp;""," "," "))</f>
        <v/>
      </c>
      <c r="L682">
        <f>TRIM(SUBSTITUTE(INDEX('Call accounts and MMFs'!$C:$C,ROW())&amp;""," "," "))</f>
        <v/>
      </c>
      <c r="M682">
        <f>IFERROR(--INDEX('Call accounts and MMFs'!$D:$D,ROW()),0)</f>
        <v/>
      </c>
      <c r="N682">
        <f>IFERROR(IF(--INDEX('Call accounts and MMFs'!$E:$E,ROW())&gt;=1,--INDEX('Call accounts and MMFs'!$E:$E,ROW())/100,--INDEX('Call accounts and MMFs'!$E:$E,ROW())),0)</f>
        <v/>
      </c>
      <c r="O682">
        <f>IFERROR(--INDEX('Call accounts and MMFs'!$F:$F,ROW()),0)</f>
        <v/>
      </c>
      <c r="P682">
        <f>IF(ISNUMBER(INDEX('Call accounts and MMFs'!$E:$E,ROW())),1,0)</f>
        <v/>
      </c>
      <c r="Q682">
        <f>TRIM(SUBSTITUTE(INDEX('Pooled funds'!$B:$B,ROW())&amp;""," "," "))</f>
        <v/>
      </c>
      <c r="R682">
        <f>IFERROR(--INDEX('Pooled funds'!$C:$C,ROW()),0)</f>
        <v/>
      </c>
      <c r="S682">
        <f>IFERROR(--INDEX('Pooled funds'!$D:$D,ROW()),0)</f>
        <v/>
      </c>
      <c r="T682">
        <f>IFERROR(IF(--INDEX('Pooled funds'!$E:$E,ROW())&gt;=1,--INDEX('Pooled funds'!$E:$E,ROW())/100,--INDEX('Pooled funds'!$E:$E,ROW())),0)</f>
        <v/>
      </c>
      <c r="U682">
        <f>IF(ISNUMBER(INDEX('Pooled funds'!$E:$E,ROW())),1,0)</f>
        <v/>
      </c>
      <c r="V682">
        <f>TRIM(SUBSTITUTE(INDEX('Loans'!$A:$A,ROW())&amp;""," "," "))</f>
        <v/>
      </c>
      <c r="W682">
        <f>TRIM(SUBSTITUTE(INDEX('Loans'!$B:$B,ROW())&amp;""," "," "))</f>
        <v/>
      </c>
      <c r="X682">
        <f>TRIM(SUBSTITUTE(INDEX('Loans'!$C:$C,ROW())&amp;""," "," "))</f>
        <v/>
      </c>
      <c r="Y682">
        <f>IFERROR(--INDEX('Loans'!$D:$D,ROW()),0)</f>
        <v/>
      </c>
      <c r="Z682">
        <f>IFERROR(--INDEX('Loans'!$E:$E,ROW()),0)</f>
        <v/>
      </c>
      <c r="AA682">
        <f>IFERROR(--INDEX('Loans'!$F:$F,ROW()),0)</f>
        <v/>
      </c>
      <c r="AB682">
        <f>IFERROR(IF(--INDEX('Loans'!$G:$G,ROW())&gt;=1,--INDEX('Loans'!$G:$G,ROW())/100,--INDEX('Loans'!$G:$G,ROW())),0)</f>
        <v/>
      </c>
      <c r="AC682">
        <f>TRIM(SUBSTITUTE(INDEX('Loans'!$H:$H,ROW())&amp;""," "," "))</f>
        <v/>
      </c>
      <c r="AD682">
        <f>TRIM(SUBSTITUTE(INDEX('Loans'!$I:$I,ROW())&amp;""," "," "))</f>
        <v/>
      </c>
      <c r="AE682">
        <f>IFERROR(--INDEX('Loans'!$J:$J,ROW()),0)</f>
        <v/>
      </c>
      <c r="AF682">
        <f>TRIM(SUBSTITUTE(INDEX('Loans'!$K:$K,ROW())&amp;""," "," "))</f>
        <v/>
      </c>
      <c r="AG682">
        <f>IFERROR(--INDEX('Loans'!$L:$L,ROW()),0)</f>
        <v/>
      </c>
      <c r="AH682">
        <f>IF(ISNUMBER(INDEX('Loans'!$G:$G,ROW())),1,0)</f>
        <v/>
      </c>
    </row>
    <row r="683">
      <c r="A683">
        <f>TRIM(SUBSTITUTE(INDEX('Term investments'!$A:$A,ROW())&amp;""," "," "))</f>
        <v/>
      </c>
      <c r="B683">
        <f>TRIM(SUBSTITUTE(INDEX('Term investments'!$B:$B,ROW())&amp;""," "," "))</f>
        <v/>
      </c>
      <c r="C683">
        <f>TRIM(SUBSTITUTE(INDEX('Term investments'!$C:$C,ROW())&amp;""," "," "))</f>
        <v/>
      </c>
      <c r="D683">
        <f>IFERROR(--INDEX('Term investments'!$D:$D,ROW()),0)</f>
        <v/>
      </c>
      <c r="E683">
        <f>IFERROR(--INDEX('Term investments'!$E:$E,ROW()),0)</f>
        <v/>
      </c>
      <c r="F683">
        <f>IFERROR(--INDEX('Term investments'!$F:$F,ROW()),0)</f>
        <v/>
      </c>
      <c r="G683">
        <f>IFERROR(IF(--INDEX('Term investments'!$G:$G,ROW())&gt;=1,--INDEX('Term investments'!$G:$G,ROW())/100,--INDEX('Term investments'!$G:$G,ROW())),0)</f>
        <v/>
      </c>
      <c r="H683">
        <f>IFERROR(--INDEX('Term investments'!$H:$H,ROW()),0)</f>
        <v/>
      </c>
      <c r="I683">
        <f>IF(ISNUMBER(INDEX('Term investments'!$G:$G,ROW())),1,0)</f>
        <v/>
      </c>
      <c r="J683">
        <f>TRIM(SUBSTITUTE(INDEX('Call accounts and MMFs'!$A:$A,ROW())&amp;""," "," "))</f>
        <v/>
      </c>
      <c r="K683">
        <f>TRIM(SUBSTITUTE(INDEX('Call accounts and MMFs'!$B:$B,ROW())&amp;""," "," "))</f>
        <v/>
      </c>
      <c r="L683">
        <f>TRIM(SUBSTITUTE(INDEX('Call accounts and MMFs'!$C:$C,ROW())&amp;""," "," "))</f>
        <v/>
      </c>
      <c r="M683">
        <f>IFERROR(--INDEX('Call accounts and MMFs'!$D:$D,ROW()),0)</f>
        <v/>
      </c>
      <c r="N683">
        <f>IFERROR(IF(--INDEX('Call accounts and MMFs'!$E:$E,ROW())&gt;=1,--INDEX('Call accounts and MMFs'!$E:$E,ROW())/100,--INDEX('Call accounts and MMFs'!$E:$E,ROW())),0)</f>
        <v/>
      </c>
      <c r="O683">
        <f>IFERROR(--INDEX('Call accounts and MMFs'!$F:$F,ROW()),0)</f>
        <v/>
      </c>
      <c r="P683">
        <f>IF(ISNUMBER(INDEX('Call accounts and MMFs'!$E:$E,ROW())),1,0)</f>
        <v/>
      </c>
      <c r="Q683">
        <f>TRIM(SUBSTITUTE(INDEX('Pooled funds'!$B:$B,ROW())&amp;""," "," "))</f>
        <v/>
      </c>
      <c r="R683">
        <f>IFERROR(--INDEX('Pooled funds'!$C:$C,ROW()),0)</f>
        <v/>
      </c>
      <c r="S683">
        <f>IFERROR(--INDEX('Pooled funds'!$D:$D,ROW()),0)</f>
        <v/>
      </c>
      <c r="T683">
        <f>IFERROR(IF(--INDEX('Pooled funds'!$E:$E,ROW())&gt;=1,--INDEX('Pooled funds'!$E:$E,ROW())/100,--INDEX('Pooled funds'!$E:$E,ROW())),0)</f>
        <v/>
      </c>
      <c r="U683">
        <f>IF(ISNUMBER(INDEX('Pooled funds'!$E:$E,ROW())),1,0)</f>
        <v/>
      </c>
      <c r="V683">
        <f>TRIM(SUBSTITUTE(INDEX('Loans'!$A:$A,ROW())&amp;""," "," "))</f>
        <v/>
      </c>
      <c r="W683">
        <f>TRIM(SUBSTITUTE(INDEX('Loans'!$B:$B,ROW())&amp;""," "," "))</f>
        <v/>
      </c>
      <c r="X683">
        <f>TRIM(SUBSTITUTE(INDEX('Loans'!$C:$C,ROW())&amp;""," "," "))</f>
        <v/>
      </c>
      <c r="Y683">
        <f>IFERROR(--INDEX('Loans'!$D:$D,ROW()),0)</f>
        <v/>
      </c>
      <c r="Z683">
        <f>IFERROR(--INDEX('Loans'!$E:$E,ROW()),0)</f>
        <v/>
      </c>
      <c r="AA683">
        <f>IFERROR(--INDEX('Loans'!$F:$F,ROW()),0)</f>
        <v/>
      </c>
      <c r="AB683">
        <f>IFERROR(IF(--INDEX('Loans'!$G:$G,ROW())&gt;=1,--INDEX('Loans'!$G:$G,ROW())/100,--INDEX('Loans'!$G:$G,ROW())),0)</f>
        <v/>
      </c>
      <c r="AC683">
        <f>TRIM(SUBSTITUTE(INDEX('Loans'!$H:$H,ROW())&amp;""," "," "))</f>
        <v/>
      </c>
      <c r="AD683">
        <f>TRIM(SUBSTITUTE(INDEX('Loans'!$I:$I,ROW())&amp;""," "," "))</f>
        <v/>
      </c>
      <c r="AE683">
        <f>IFERROR(--INDEX('Loans'!$J:$J,ROW()),0)</f>
        <v/>
      </c>
      <c r="AF683">
        <f>TRIM(SUBSTITUTE(INDEX('Loans'!$K:$K,ROW())&amp;""," "," "))</f>
        <v/>
      </c>
      <c r="AG683">
        <f>IFERROR(--INDEX('Loans'!$L:$L,ROW()),0)</f>
        <v/>
      </c>
      <c r="AH683">
        <f>IF(ISNUMBER(INDEX('Loans'!$G:$G,ROW())),1,0)</f>
        <v/>
      </c>
    </row>
    <row r="684">
      <c r="A684">
        <f>TRIM(SUBSTITUTE(INDEX('Term investments'!$A:$A,ROW())&amp;""," "," "))</f>
        <v/>
      </c>
      <c r="B684">
        <f>TRIM(SUBSTITUTE(INDEX('Term investments'!$B:$B,ROW())&amp;""," "," "))</f>
        <v/>
      </c>
      <c r="C684">
        <f>TRIM(SUBSTITUTE(INDEX('Term investments'!$C:$C,ROW())&amp;""," "," "))</f>
        <v/>
      </c>
      <c r="D684">
        <f>IFERROR(--INDEX('Term investments'!$D:$D,ROW()),0)</f>
        <v/>
      </c>
      <c r="E684">
        <f>IFERROR(--INDEX('Term investments'!$E:$E,ROW()),0)</f>
        <v/>
      </c>
      <c r="F684">
        <f>IFERROR(--INDEX('Term investments'!$F:$F,ROW()),0)</f>
        <v/>
      </c>
      <c r="G684">
        <f>IFERROR(IF(--INDEX('Term investments'!$G:$G,ROW())&gt;=1,--INDEX('Term investments'!$G:$G,ROW())/100,--INDEX('Term investments'!$G:$G,ROW())),0)</f>
        <v/>
      </c>
      <c r="H684">
        <f>IFERROR(--INDEX('Term investments'!$H:$H,ROW()),0)</f>
        <v/>
      </c>
      <c r="I684">
        <f>IF(ISNUMBER(INDEX('Term investments'!$G:$G,ROW())),1,0)</f>
        <v/>
      </c>
      <c r="J684">
        <f>TRIM(SUBSTITUTE(INDEX('Call accounts and MMFs'!$A:$A,ROW())&amp;""," "," "))</f>
        <v/>
      </c>
      <c r="K684">
        <f>TRIM(SUBSTITUTE(INDEX('Call accounts and MMFs'!$B:$B,ROW())&amp;""," "," "))</f>
        <v/>
      </c>
      <c r="L684">
        <f>TRIM(SUBSTITUTE(INDEX('Call accounts and MMFs'!$C:$C,ROW())&amp;""," "," "))</f>
        <v/>
      </c>
      <c r="M684">
        <f>IFERROR(--INDEX('Call accounts and MMFs'!$D:$D,ROW()),0)</f>
        <v/>
      </c>
      <c r="N684">
        <f>IFERROR(IF(--INDEX('Call accounts and MMFs'!$E:$E,ROW())&gt;=1,--INDEX('Call accounts and MMFs'!$E:$E,ROW())/100,--INDEX('Call accounts and MMFs'!$E:$E,ROW())),0)</f>
        <v/>
      </c>
      <c r="O684">
        <f>IFERROR(--INDEX('Call accounts and MMFs'!$F:$F,ROW()),0)</f>
        <v/>
      </c>
      <c r="P684">
        <f>IF(ISNUMBER(INDEX('Call accounts and MMFs'!$E:$E,ROW())),1,0)</f>
        <v/>
      </c>
      <c r="Q684">
        <f>TRIM(SUBSTITUTE(INDEX('Pooled funds'!$B:$B,ROW())&amp;""," "," "))</f>
        <v/>
      </c>
      <c r="R684">
        <f>IFERROR(--INDEX('Pooled funds'!$C:$C,ROW()),0)</f>
        <v/>
      </c>
      <c r="S684">
        <f>IFERROR(--INDEX('Pooled funds'!$D:$D,ROW()),0)</f>
        <v/>
      </c>
      <c r="T684">
        <f>IFERROR(IF(--INDEX('Pooled funds'!$E:$E,ROW())&gt;=1,--INDEX('Pooled funds'!$E:$E,ROW())/100,--INDEX('Pooled funds'!$E:$E,ROW())),0)</f>
        <v/>
      </c>
      <c r="U684">
        <f>IF(ISNUMBER(INDEX('Pooled funds'!$E:$E,ROW())),1,0)</f>
        <v/>
      </c>
      <c r="V684">
        <f>TRIM(SUBSTITUTE(INDEX('Loans'!$A:$A,ROW())&amp;""," "," "))</f>
        <v/>
      </c>
      <c r="W684">
        <f>TRIM(SUBSTITUTE(INDEX('Loans'!$B:$B,ROW())&amp;""," "," "))</f>
        <v/>
      </c>
      <c r="X684">
        <f>TRIM(SUBSTITUTE(INDEX('Loans'!$C:$C,ROW())&amp;""," "," "))</f>
        <v/>
      </c>
      <c r="Y684">
        <f>IFERROR(--INDEX('Loans'!$D:$D,ROW()),0)</f>
        <v/>
      </c>
      <c r="Z684">
        <f>IFERROR(--INDEX('Loans'!$E:$E,ROW()),0)</f>
        <v/>
      </c>
      <c r="AA684">
        <f>IFERROR(--INDEX('Loans'!$F:$F,ROW()),0)</f>
        <v/>
      </c>
      <c r="AB684">
        <f>IFERROR(IF(--INDEX('Loans'!$G:$G,ROW())&gt;=1,--INDEX('Loans'!$G:$G,ROW())/100,--INDEX('Loans'!$G:$G,ROW())),0)</f>
        <v/>
      </c>
      <c r="AC684">
        <f>TRIM(SUBSTITUTE(INDEX('Loans'!$H:$H,ROW())&amp;""," "," "))</f>
        <v/>
      </c>
      <c r="AD684">
        <f>TRIM(SUBSTITUTE(INDEX('Loans'!$I:$I,ROW())&amp;""," "," "))</f>
        <v/>
      </c>
      <c r="AE684">
        <f>IFERROR(--INDEX('Loans'!$J:$J,ROW()),0)</f>
        <v/>
      </c>
      <c r="AF684">
        <f>TRIM(SUBSTITUTE(INDEX('Loans'!$K:$K,ROW())&amp;""," "," "))</f>
        <v/>
      </c>
      <c r="AG684">
        <f>IFERROR(--INDEX('Loans'!$L:$L,ROW()),0)</f>
        <v/>
      </c>
      <c r="AH684">
        <f>IF(ISNUMBER(INDEX('Loans'!$G:$G,ROW())),1,0)</f>
        <v/>
      </c>
    </row>
    <row r="685">
      <c r="A685">
        <f>TRIM(SUBSTITUTE(INDEX('Term investments'!$A:$A,ROW())&amp;""," "," "))</f>
        <v/>
      </c>
      <c r="B685">
        <f>TRIM(SUBSTITUTE(INDEX('Term investments'!$B:$B,ROW())&amp;""," "," "))</f>
        <v/>
      </c>
      <c r="C685">
        <f>TRIM(SUBSTITUTE(INDEX('Term investments'!$C:$C,ROW())&amp;""," "," "))</f>
        <v/>
      </c>
      <c r="D685">
        <f>IFERROR(--INDEX('Term investments'!$D:$D,ROW()),0)</f>
        <v/>
      </c>
      <c r="E685">
        <f>IFERROR(--INDEX('Term investments'!$E:$E,ROW()),0)</f>
        <v/>
      </c>
      <c r="F685">
        <f>IFERROR(--INDEX('Term investments'!$F:$F,ROW()),0)</f>
        <v/>
      </c>
      <c r="G685">
        <f>IFERROR(IF(--INDEX('Term investments'!$G:$G,ROW())&gt;=1,--INDEX('Term investments'!$G:$G,ROW())/100,--INDEX('Term investments'!$G:$G,ROW())),0)</f>
        <v/>
      </c>
      <c r="H685">
        <f>IFERROR(--INDEX('Term investments'!$H:$H,ROW()),0)</f>
        <v/>
      </c>
      <c r="I685">
        <f>IF(ISNUMBER(INDEX('Term investments'!$G:$G,ROW())),1,0)</f>
        <v/>
      </c>
      <c r="J685">
        <f>TRIM(SUBSTITUTE(INDEX('Call accounts and MMFs'!$A:$A,ROW())&amp;""," "," "))</f>
        <v/>
      </c>
      <c r="K685">
        <f>TRIM(SUBSTITUTE(INDEX('Call accounts and MMFs'!$B:$B,ROW())&amp;""," "," "))</f>
        <v/>
      </c>
      <c r="L685">
        <f>TRIM(SUBSTITUTE(INDEX('Call accounts and MMFs'!$C:$C,ROW())&amp;""," "," "))</f>
        <v/>
      </c>
      <c r="M685">
        <f>IFERROR(--INDEX('Call accounts and MMFs'!$D:$D,ROW()),0)</f>
        <v/>
      </c>
      <c r="N685">
        <f>IFERROR(IF(--INDEX('Call accounts and MMFs'!$E:$E,ROW())&gt;=1,--INDEX('Call accounts and MMFs'!$E:$E,ROW())/100,--INDEX('Call accounts and MMFs'!$E:$E,ROW())),0)</f>
        <v/>
      </c>
      <c r="O685">
        <f>IFERROR(--INDEX('Call accounts and MMFs'!$F:$F,ROW()),0)</f>
        <v/>
      </c>
      <c r="P685">
        <f>IF(ISNUMBER(INDEX('Call accounts and MMFs'!$E:$E,ROW())),1,0)</f>
        <v/>
      </c>
      <c r="Q685">
        <f>TRIM(SUBSTITUTE(INDEX('Pooled funds'!$B:$B,ROW())&amp;""," "," "))</f>
        <v/>
      </c>
      <c r="R685">
        <f>IFERROR(--INDEX('Pooled funds'!$C:$C,ROW()),0)</f>
        <v/>
      </c>
      <c r="S685">
        <f>IFERROR(--INDEX('Pooled funds'!$D:$D,ROW()),0)</f>
        <v/>
      </c>
      <c r="T685">
        <f>IFERROR(IF(--INDEX('Pooled funds'!$E:$E,ROW())&gt;=1,--INDEX('Pooled funds'!$E:$E,ROW())/100,--INDEX('Pooled funds'!$E:$E,ROW())),0)</f>
        <v/>
      </c>
      <c r="U685">
        <f>IF(ISNUMBER(INDEX('Pooled funds'!$E:$E,ROW())),1,0)</f>
        <v/>
      </c>
      <c r="V685">
        <f>TRIM(SUBSTITUTE(INDEX('Loans'!$A:$A,ROW())&amp;""," "," "))</f>
        <v/>
      </c>
      <c r="W685">
        <f>TRIM(SUBSTITUTE(INDEX('Loans'!$B:$B,ROW())&amp;""," "," "))</f>
        <v/>
      </c>
      <c r="X685">
        <f>TRIM(SUBSTITUTE(INDEX('Loans'!$C:$C,ROW())&amp;""," "," "))</f>
        <v/>
      </c>
      <c r="Y685">
        <f>IFERROR(--INDEX('Loans'!$D:$D,ROW()),0)</f>
        <v/>
      </c>
      <c r="Z685">
        <f>IFERROR(--INDEX('Loans'!$E:$E,ROW()),0)</f>
        <v/>
      </c>
      <c r="AA685">
        <f>IFERROR(--INDEX('Loans'!$F:$F,ROW()),0)</f>
        <v/>
      </c>
      <c r="AB685">
        <f>IFERROR(IF(--INDEX('Loans'!$G:$G,ROW())&gt;=1,--INDEX('Loans'!$G:$G,ROW())/100,--INDEX('Loans'!$G:$G,ROW())),0)</f>
        <v/>
      </c>
      <c r="AC685">
        <f>TRIM(SUBSTITUTE(INDEX('Loans'!$H:$H,ROW())&amp;""," "," "))</f>
        <v/>
      </c>
      <c r="AD685">
        <f>TRIM(SUBSTITUTE(INDEX('Loans'!$I:$I,ROW())&amp;""," "," "))</f>
        <v/>
      </c>
      <c r="AE685">
        <f>IFERROR(--INDEX('Loans'!$J:$J,ROW()),0)</f>
        <v/>
      </c>
      <c r="AF685">
        <f>TRIM(SUBSTITUTE(INDEX('Loans'!$K:$K,ROW())&amp;""," "," "))</f>
        <v/>
      </c>
      <c r="AG685">
        <f>IFERROR(--INDEX('Loans'!$L:$L,ROW()),0)</f>
        <v/>
      </c>
      <c r="AH685">
        <f>IF(ISNUMBER(INDEX('Loans'!$G:$G,ROW())),1,0)</f>
        <v/>
      </c>
    </row>
    <row r="686">
      <c r="A686">
        <f>TRIM(SUBSTITUTE(INDEX('Term investments'!$A:$A,ROW())&amp;""," "," "))</f>
        <v/>
      </c>
      <c r="B686">
        <f>TRIM(SUBSTITUTE(INDEX('Term investments'!$B:$B,ROW())&amp;""," "," "))</f>
        <v/>
      </c>
      <c r="C686">
        <f>TRIM(SUBSTITUTE(INDEX('Term investments'!$C:$C,ROW())&amp;""," "," "))</f>
        <v/>
      </c>
      <c r="D686">
        <f>IFERROR(--INDEX('Term investments'!$D:$D,ROW()),0)</f>
        <v/>
      </c>
      <c r="E686">
        <f>IFERROR(--INDEX('Term investments'!$E:$E,ROW()),0)</f>
        <v/>
      </c>
      <c r="F686">
        <f>IFERROR(--INDEX('Term investments'!$F:$F,ROW()),0)</f>
        <v/>
      </c>
      <c r="G686">
        <f>IFERROR(IF(--INDEX('Term investments'!$G:$G,ROW())&gt;=1,--INDEX('Term investments'!$G:$G,ROW())/100,--INDEX('Term investments'!$G:$G,ROW())),0)</f>
        <v/>
      </c>
      <c r="H686">
        <f>IFERROR(--INDEX('Term investments'!$H:$H,ROW()),0)</f>
        <v/>
      </c>
      <c r="I686">
        <f>IF(ISNUMBER(INDEX('Term investments'!$G:$G,ROW())),1,0)</f>
        <v/>
      </c>
      <c r="J686">
        <f>TRIM(SUBSTITUTE(INDEX('Call accounts and MMFs'!$A:$A,ROW())&amp;""," "," "))</f>
        <v/>
      </c>
      <c r="K686">
        <f>TRIM(SUBSTITUTE(INDEX('Call accounts and MMFs'!$B:$B,ROW())&amp;""," "," "))</f>
        <v/>
      </c>
      <c r="L686">
        <f>TRIM(SUBSTITUTE(INDEX('Call accounts and MMFs'!$C:$C,ROW())&amp;""," "," "))</f>
        <v/>
      </c>
      <c r="M686">
        <f>IFERROR(--INDEX('Call accounts and MMFs'!$D:$D,ROW()),0)</f>
        <v/>
      </c>
      <c r="N686">
        <f>IFERROR(IF(--INDEX('Call accounts and MMFs'!$E:$E,ROW())&gt;=1,--INDEX('Call accounts and MMFs'!$E:$E,ROW())/100,--INDEX('Call accounts and MMFs'!$E:$E,ROW())),0)</f>
        <v/>
      </c>
      <c r="O686">
        <f>IFERROR(--INDEX('Call accounts and MMFs'!$F:$F,ROW()),0)</f>
        <v/>
      </c>
      <c r="P686">
        <f>IF(ISNUMBER(INDEX('Call accounts and MMFs'!$E:$E,ROW())),1,0)</f>
        <v/>
      </c>
      <c r="Q686">
        <f>TRIM(SUBSTITUTE(INDEX('Pooled funds'!$B:$B,ROW())&amp;""," "," "))</f>
        <v/>
      </c>
      <c r="R686">
        <f>IFERROR(--INDEX('Pooled funds'!$C:$C,ROW()),0)</f>
        <v/>
      </c>
      <c r="S686">
        <f>IFERROR(--INDEX('Pooled funds'!$D:$D,ROW()),0)</f>
        <v/>
      </c>
      <c r="T686">
        <f>IFERROR(IF(--INDEX('Pooled funds'!$E:$E,ROW())&gt;=1,--INDEX('Pooled funds'!$E:$E,ROW())/100,--INDEX('Pooled funds'!$E:$E,ROW())),0)</f>
        <v/>
      </c>
      <c r="U686">
        <f>IF(ISNUMBER(INDEX('Pooled funds'!$E:$E,ROW())),1,0)</f>
        <v/>
      </c>
      <c r="V686">
        <f>TRIM(SUBSTITUTE(INDEX('Loans'!$A:$A,ROW())&amp;""," "," "))</f>
        <v/>
      </c>
      <c r="W686">
        <f>TRIM(SUBSTITUTE(INDEX('Loans'!$B:$B,ROW())&amp;""," "," "))</f>
        <v/>
      </c>
      <c r="X686">
        <f>TRIM(SUBSTITUTE(INDEX('Loans'!$C:$C,ROW())&amp;""," "," "))</f>
        <v/>
      </c>
      <c r="Y686">
        <f>IFERROR(--INDEX('Loans'!$D:$D,ROW()),0)</f>
        <v/>
      </c>
      <c r="Z686">
        <f>IFERROR(--INDEX('Loans'!$E:$E,ROW()),0)</f>
        <v/>
      </c>
      <c r="AA686">
        <f>IFERROR(--INDEX('Loans'!$F:$F,ROW()),0)</f>
        <v/>
      </c>
      <c r="AB686">
        <f>IFERROR(IF(--INDEX('Loans'!$G:$G,ROW())&gt;=1,--INDEX('Loans'!$G:$G,ROW())/100,--INDEX('Loans'!$G:$G,ROW())),0)</f>
        <v/>
      </c>
      <c r="AC686">
        <f>TRIM(SUBSTITUTE(INDEX('Loans'!$H:$H,ROW())&amp;""," "," "))</f>
        <v/>
      </c>
      <c r="AD686">
        <f>TRIM(SUBSTITUTE(INDEX('Loans'!$I:$I,ROW())&amp;""," "," "))</f>
        <v/>
      </c>
      <c r="AE686">
        <f>IFERROR(--INDEX('Loans'!$J:$J,ROW()),0)</f>
        <v/>
      </c>
      <c r="AF686">
        <f>TRIM(SUBSTITUTE(INDEX('Loans'!$K:$K,ROW())&amp;""," "," "))</f>
        <v/>
      </c>
      <c r="AG686">
        <f>IFERROR(--INDEX('Loans'!$L:$L,ROW()),0)</f>
        <v/>
      </c>
      <c r="AH686">
        <f>IF(ISNUMBER(INDEX('Loans'!$G:$G,ROW())),1,0)</f>
        <v/>
      </c>
    </row>
    <row r="687">
      <c r="A687">
        <f>TRIM(SUBSTITUTE(INDEX('Term investments'!$A:$A,ROW())&amp;""," "," "))</f>
        <v/>
      </c>
      <c r="B687">
        <f>TRIM(SUBSTITUTE(INDEX('Term investments'!$B:$B,ROW())&amp;""," "," "))</f>
        <v/>
      </c>
      <c r="C687">
        <f>TRIM(SUBSTITUTE(INDEX('Term investments'!$C:$C,ROW())&amp;""," "," "))</f>
        <v/>
      </c>
      <c r="D687">
        <f>IFERROR(--INDEX('Term investments'!$D:$D,ROW()),0)</f>
        <v/>
      </c>
      <c r="E687">
        <f>IFERROR(--INDEX('Term investments'!$E:$E,ROW()),0)</f>
        <v/>
      </c>
      <c r="F687">
        <f>IFERROR(--INDEX('Term investments'!$F:$F,ROW()),0)</f>
        <v/>
      </c>
      <c r="G687">
        <f>IFERROR(IF(--INDEX('Term investments'!$G:$G,ROW())&gt;=1,--INDEX('Term investments'!$G:$G,ROW())/100,--INDEX('Term investments'!$G:$G,ROW())),0)</f>
        <v/>
      </c>
      <c r="H687">
        <f>IFERROR(--INDEX('Term investments'!$H:$H,ROW()),0)</f>
        <v/>
      </c>
      <c r="I687">
        <f>IF(ISNUMBER(INDEX('Term investments'!$G:$G,ROW())),1,0)</f>
        <v/>
      </c>
      <c r="J687">
        <f>TRIM(SUBSTITUTE(INDEX('Call accounts and MMFs'!$A:$A,ROW())&amp;""," "," "))</f>
        <v/>
      </c>
      <c r="K687">
        <f>TRIM(SUBSTITUTE(INDEX('Call accounts and MMFs'!$B:$B,ROW())&amp;""," "," "))</f>
        <v/>
      </c>
      <c r="L687">
        <f>TRIM(SUBSTITUTE(INDEX('Call accounts and MMFs'!$C:$C,ROW())&amp;""," "," "))</f>
        <v/>
      </c>
      <c r="M687">
        <f>IFERROR(--INDEX('Call accounts and MMFs'!$D:$D,ROW()),0)</f>
        <v/>
      </c>
      <c r="N687">
        <f>IFERROR(IF(--INDEX('Call accounts and MMFs'!$E:$E,ROW())&gt;=1,--INDEX('Call accounts and MMFs'!$E:$E,ROW())/100,--INDEX('Call accounts and MMFs'!$E:$E,ROW())),0)</f>
        <v/>
      </c>
      <c r="O687">
        <f>IFERROR(--INDEX('Call accounts and MMFs'!$F:$F,ROW()),0)</f>
        <v/>
      </c>
      <c r="P687">
        <f>IF(ISNUMBER(INDEX('Call accounts and MMFs'!$E:$E,ROW())),1,0)</f>
        <v/>
      </c>
      <c r="Q687">
        <f>TRIM(SUBSTITUTE(INDEX('Pooled funds'!$B:$B,ROW())&amp;""," "," "))</f>
        <v/>
      </c>
      <c r="R687">
        <f>IFERROR(--INDEX('Pooled funds'!$C:$C,ROW()),0)</f>
        <v/>
      </c>
      <c r="S687">
        <f>IFERROR(--INDEX('Pooled funds'!$D:$D,ROW()),0)</f>
        <v/>
      </c>
      <c r="T687">
        <f>IFERROR(IF(--INDEX('Pooled funds'!$E:$E,ROW())&gt;=1,--INDEX('Pooled funds'!$E:$E,ROW())/100,--INDEX('Pooled funds'!$E:$E,ROW())),0)</f>
        <v/>
      </c>
      <c r="U687">
        <f>IF(ISNUMBER(INDEX('Pooled funds'!$E:$E,ROW())),1,0)</f>
        <v/>
      </c>
      <c r="V687">
        <f>TRIM(SUBSTITUTE(INDEX('Loans'!$A:$A,ROW())&amp;""," "," "))</f>
        <v/>
      </c>
      <c r="W687">
        <f>TRIM(SUBSTITUTE(INDEX('Loans'!$B:$B,ROW())&amp;""," "," "))</f>
        <v/>
      </c>
      <c r="X687">
        <f>TRIM(SUBSTITUTE(INDEX('Loans'!$C:$C,ROW())&amp;""," "," "))</f>
        <v/>
      </c>
      <c r="Y687">
        <f>IFERROR(--INDEX('Loans'!$D:$D,ROW()),0)</f>
        <v/>
      </c>
      <c r="Z687">
        <f>IFERROR(--INDEX('Loans'!$E:$E,ROW()),0)</f>
        <v/>
      </c>
      <c r="AA687">
        <f>IFERROR(--INDEX('Loans'!$F:$F,ROW()),0)</f>
        <v/>
      </c>
      <c r="AB687">
        <f>IFERROR(IF(--INDEX('Loans'!$G:$G,ROW())&gt;=1,--INDEX('Loans'!$G:$G,ROW())/100,--INDEX('Loans'!$G:$G,ROW())),0)</f>
        <v/>
      </c>
      <c r="AC687">
        <f>TRIM(SUBSTITUTE(INDEX('Loans'!$H:$H,ROW())&amp;""," "," "))</f>
        <v/>
      </c>
      <c r="AD687">
        <f>TRIM(SUBSTITUTE(INDEX('Loans'!$I:$I,ROW())&amp;""," "," "))</f>
        <v/>
      </c>
      <c r="AE687">
        <f>IFERROR(--INDEX('Loans'!$J:$J,ROW()),0)</f>
        <v/>
      </c>
      <c r="AF687">
        <f>TRIM(SUBSTITUTE(INDEX('Loans'!$K:$K,ROW())&amp;""," "," "))</f>
        <v/>
      </c>
      <c r="AG687">
        <f>IFERROR(--INDEX('Loans'!$L:$L,ROW()),0)</f>
        <v/>
      </c>
      <c r="AH687">
        <f>IF(ISNUMBER(INDEX('Loans'!$G:$G,ROW())),1,0)</f>
        <v/>
      </c>
    </row>
    <row r="688">
      <c r="A688">
        <f>TRIM(SUBSTITUTE(INDEX('Term investments'!$A:$A,ROW())&amp;""," "," "))</f>
        <v/>
      </c>
      <c r="B688">
        <f>TRIM(SUBSTITUTE(INDEX('Term investments'!$B:$B,ROW())&amp;""," "," "))</f>
        <v/>
      </c>
      <c r="C688">
        <f>TRIM(SUBSTITUTE(INDEX('Term investments'!$C:$C,ROW())&amp;""," "," "))</f>
        <v/>
      </c>
      <c r="D688">
        <f>IFERROR(--INDEX('Term investments'!$D:$D,ROW()),0)</f>
        <v/>
      </c>
      <c r="E688">
        <f>IFERROR(--INDEX('Term investments'!$E:$E,ROW()),0)</f>
        <v/>
      </c>
      <c r="F688">
        <f>IFERROR(--INDEX('Term investments'!$F:$F,ROW()),0)</f>
        <v/>
      </c>
      <c r="G688">
        <f>IFERROR(IF(--INDEX('Term investments'!$G:$G,ROW())&gt;=1,--INDEX('Term investments'!$G:$G,ROW())/100,--INDEX('Term investments'!$G:$G,ROW())),0)</f>
        <v/>
      </c>
      <c r="H688">
        <f>IFERROR(--INDEX('Term investments'!$H:$H,ROW()),0)</f>
        <v/>
      </c>
      <c r="I688">
        <f>IF(ISNUMBER(INDEX('Term investments'!$G:$G,ROW())),1,0)</f>
        <v/>
      </c>
      <c r="J688">
        <f>TRIM(SUBSTITUTE(INDEX('Call accounts and MMFs'!$A:$A,ROW())&amp;""," "," "))</f>
        <v/>
      </c>
      <c r="K688">
        <f>TRIM(SUBSTITUTE(INDEX('Call accounts and MMFs'!$B:$B,ROW())&amp;""," "," "))</f>
        <v/>
      </c>
      <c r="L688">
        <f>TRIM(SUBSTITUTE(INDEX('Call accounts and MMFs'!$C:$C,ROW())&amp;""," "," "))</f>
        <v/>
      </c>
      <c r="M688">
        <f>IFERROR(--INDEX('Call accounts and MMFs'!$D:$D,ROW()),0)</f>
        <v/>
      </c>
      <c r="N688">
        <f>IFERROR(IF(--INDEX('Call accounts and MMFs'!$E:$E,ROW())&gt;=1,--INDEX('Call accounts and MMFs'!$E:$E,ROW())/100,--INDEX('Call accounts and MMFs'!$E:$E,ROW())),0)</f>
        <v/>
      </c>
      <c r="O688">
        <f>IFERROR(--INDEX('Call accounts and MMFs'!$F:$F,ROW()),0)</f>
        <v/>
      </c>
      <c r="P688">
        <f>IF(ISNUMBER(INDEX('Call accounts and MMFs'!$E:$E,ROW())),1,0)</f>
        <v/>
      </c>
      <c r="Q688">
        <f>TRIM(SUBSTITUTE(INDEX('Pooled funds'!$B:$B,ROW())&amp;""," "," "))</f>
        <v/>
      </c>
      <c r="R688">
        <f>IFERROR(--INDEX('Pooled funds'!$C:$C,ROW()),0)</f>
        <v/>
      </c>
      <c r="S688">
        <f>IFERROR(--INDEX('Pooled funds'!$D:$D,ROW()),0)</f>
        <v/>
      </c>
      <c r="T688">
        <f>IFERROR(IF(--INDEX('Pooled funds'!$E:$E,ROW())&gt;=1,--INDEX('Pooled funds'!$E:$E,ROW())/100,--INDEX('Pooled funds'!$E:$E,ROW())),0)</f>
        <v/>
      </c>
      <c r="U688">
        <f>IF(ISNUMBER(INDEX('Pooled funds'!$E:$E,ROW())),1,0)</f>
        <v/>
      </c>
      <c r="V688">
        <f>TRIM(SUBSTITUTE(INDEX('Loans'!$A:$A,ROW())&amp;""," "," "))</f>
        <v/>
      </c>
      <c r="W688">
        <f>TRIM(SUBSTITUTE(INDEX('Loans'!$B:$B,ROW())&amp;""," "," "))</f>
        <v/>
      </c>
      <c r="X688">
        <f>TRIM(SUBSTITUTE(INDEX('Loans'!$C:$C,ROW())&amp;""," "," "))</f>
        <v/>
      </c>
      <c r="Y688">
        <f>IFERROR(--INDEX('Loans'!$D:$D,ROW()),0)</f>
        <v/>
      </c>
      <c r="Z688">
        <f>IFERROR(--INDEX('Loans'!$E:$E,ROW()),0)</f>
        <v/>
      </c>
      <c r="AA688">
        <f>IFERROR(--INDEX('Loans'!$F:$F,ROW()),0)</f>
        <v/>
      </c>
      <c r="AB688">
        <f>IFERROR(IF(--INDEX('Loans'!$G:$G,ROW())&gt;=1,--INDEX('Loans'!$G:$G,ROW())/100,--INDEX('Loans'!$G:$G,ROW())),0)</f>
        <v/>
      </c>
      <c r="AC688">
        <f>TRIM(SUBSTITUTE(INDEX('Loans'!$H:$H,ROW())&amp;""," "," "))</f>
        <v/>
      </c>
      <c r="AD688">
        <f>TRIM(SUBSTITUTE(INDEX('Loans'!$I:$I,ROW())&amp;""," "," "))</f>
        <v/>
      </c>
      <c r="AE688">
        <f>IFERROR(--INDEX('Loans'!$J:$J,ROW()),0)</f>
        <v/>
      </c>
      <c r="AF688">
        <f>TRIM(SUBSTITUTE(INDEX('Loans'!$K:$K,ROW())&amp;""," "," "))</f>
        <v/>
      </c>
      <c r="AG688">
        <f>IFERROR(--INDEX('Loans'!$L:$L,ROW()),0)</f>
        <v/>
      </c>
      <c r="AH688">
        <f>IF(ISNUMBER(INDEX('Loans'!$G:$G,ROW())),1,0)</f>
        <v/>
      </c>
    </row>
    <row r="689">
      <c r="A689">
        <f>TRIM(SUBSTITUTE(INDEX('Term investments'!$A:$A,ROW())&amp;""," "," "))</f>
        <v/>
      </c>
      <c r="B689">
        <f>TRIM(SUBSTITUTE(INDEX('Term investments'!$B:$B,ROW())&amp;""," "," "))</f>
        <v/>
      </c>
      <c r="C689">
        <f>TRIM(SUBSTITUTE(INDEX('Term investments'!$C:$C,ROW())&amp;""," "," "))</f>
        <v/>
      </c>
      <c r="D689">
        <f>IFERROR(--INDEX('Term investments'!$D:$D,ROW()),0)</f>
        <v/>
      </c>
      <c r="E689">
        <f>IFERROR(--INDEX('Term investments'!$E:$E,ROW()),0)</f>
        <v/>
      </c>
      <c r="F689">
        <f>IFERROR(--INDEX('Term investments'!$F:$F,ROW()),0)</f>
        <v/>
      </c>
      <c r="G689">
        <f>IFERROR(IF(--INDEX('Term investments'!$G:$G,ROW())&gt;=1,--INDEX('Term investments'!$G:$G,ROW())/100,--INDEX('Term investments'!$G:$G,ROW())),0)</f>
        <v/>
      </c>
      <c r="H689">
        <f>IFERROR(--INDEX('Term investments'!$H:$H,ROW()),0)</f>
        <v/>
      </c>
      <c r="I689">
        <f>IF(ISNUMBER(INDEX('Term investments'!$G:$G,ROW())),1,0)</f>
        <v/>
      </c>
      <c r="J689">
        <f>TRIM(SUBSTITUTE(INDEX('Call accounts and MMFs'!$A:$A,ROW())&amp;""," "," "))</f>
        <v/>
      </c>
      <c r="K689">
        <f>TRIM(SUBSTITUTE(INDEX('Call accounts and MMFs'!$B:$B,ROW())&amp;""," "," "))</f>
        <v/>
      </c>
      <c r="L689">
        <f>TRIM(SUBSTITUTE(INDEX('Call accounts and MMFs'!$C:$C,ROW())&amp;""," "," "))</f>
        <v/>
      </c>
      <c r="M689">
        <f>IFERROR(--INDEX('Call accounts and MMFs'!$D:$D,ROW()),0)</f>
        <v/>
      </c>
      <c r="N689">
        <f>IFERROR(IF(--INDEX('Call accounts and MMFs'!$E:$E,ROW())&gt;=1,--INDEX('Call accounts and MMFs'!$E:$E,ROW())/100,--INDEX('Call accounts and MMFs'!$E:$E,ROW())),0)</f>
        <v/>
      </c>
      <c r="O689">
        <f>IFERROR(--INDEX('Call accounts and MMFs'!$F:$F,ROW()),0)</f>
        <v/>
      </c>
      <c r="P689">
        <f>IF(ISNUMBER(INDEX('Call accounts and MMFs'!$E:$E,ROW())),1,0)</f>
        <v/>
      </c>
      <c r="Q689">
        <f>TRIM(SUBSTITUTE(INDEX('Pooled funds'!$B:$B,ROW())&amp;""," "," "))</f>
        <v/>
      </c>
      <c r="R689">
        <f>IFERROR(--INDEX('Pooled funds'!$C:$C,ROW()),0)</f>
        <v/>
      </c>
      <c r="S689">
        <f>IFERROR(--INDEX('Pooled funds'!$D:$D,ROW()),0)</f>
        <v/>
      </c>
      <c r="T689">
        <f>IFERROR(IF(--INDEX('Pooled funds'!$E:$E,ROW())&gt;=1,--INDEX('Pooled funds'!$E:$E,ROW())/100,--INDEX('Pooled funds'!$E:$E,ROW())),0)</f>
        <v/>
      </c>
      <c r="U689">
        <f>IF(ISNUMBER(INDEX('Pooled funds'!$E:$E,ROW())),1,0)</f>
        <v/>
      </c>
      <c r="V689">
        <f>TRIM(SUBSTITUTE(INDEX('Loans'!$A:$A,ROW())&amp;""," "," "))</f>
        <v/>
      </c>
      <c r="W689">
        <f>TRIM(SUBSTITUTE(INDEX('Loans'!$B:$B,ROW())&amp;""," "," "))</f>
        <v/>
      </c>
      <c r="X689">
        <f>TRIM(SUBSTITUTE(INDEX('Loans'!$C:$C,ROW())&amp;""," "," "))</f>
        <v/>
      </c>
      <c r="Y689">
        <f>IFERROR(--INDEX('Loans'!$D:$D,ROW()),0)</f>
        <v/>
      </c>
      <c r="Z689">
        <f>IFERROR(--INDEX('Loans'!$E:$E,ROW()),0)</f>
        <v/>
      </c>
      <c r="AA689">
        <f>IFERROR(--INDEX('Loans'!$F:$F,ROW()),0)</f>
        <v/>
      </c>
      <c r="AB689">
        <f>IFERROR(IF(--INDEX('Loans'!$G:$G,ROW())&gt;=1,--INDEX('Loans'!$G:$G,ROW())/100,--INDEX('Loans'!$G:$G,ROW())),0)</f>
        <v/>
      </c>
      <c r="AC689">
        <f>TRIM(SUBSTITUTE(INDEX('Loans'!$H:$H,ROW())&amp;""," "," "))</f>
        <v/>
      </c>
      <c r="AD689">
        <f>TRIM(SUBSTITUTE(INDEX('Loans'!$I:$I,ROW())&amp;""," "," "))</f>
        <v/>
      </c>
      <c r="AE689">
        <f>IFERROR(--INDEX('Loans'!$J:$J,ROW()),0)</f>
        <v/>
      </c>
      <c r="AF689">
        <f>TRIM(SUBSTITUTE(INDEX('Loans'!$K:$K,ROW())&amp;""," "," "))</f>
        <v/>
      </c>
      <c r="AG689">
        <f>IFERROR(--INDEX('Loans'!$L:$L,ROW()),0)</f>
        <v/>
      </c>
      <c r="AH689">
        <f>IF(ISNUMBER(INDEX('Loans'!$G:$G,ROW())),1,0)</f>
        <v/>
      </c>
    </row>
    <row r="690">
      <c r="A690">
        <f>TRIM(SUBSTITUTE(INDEX('Term investments'!$A:$A,ROW())&amp;""," "," "))</f>
        <v/>
      </c>
      <c r="B690">
        <f>TRIM(SUBSTITUTE(INDEX('Term investments'!$B:$B,ROW())&amp;""," "," "))</f>
        <v/>
      </c>
      <c r="C690">
        <f>TRIM(SUBSTITUTE(INDEX('Term investments'!$C:$C,ROW())&amp;""," "," "))</f>
        <v/>
      </c>
      <c r="D690">
        <f>IFERROR(--INDEX('Term investments'!$D:$D,ROW()),0)</f>
        <v/>
      </c>
      <c r="E690">
        <f>IFERROR(--INDEX('Term investments'!$E:$E,ROW()),0)</f>
        <v/>
      </c>
      <c r="F690">
        <f>IFERROR(--INDEX('Term investments'!$F:$F,ROW()),0)</f>
        <v/>
      </c>
      <c r="G690">
        <f>IFERROR(IF(--INDEX('Term investments'!$G:$G,ROW())&gt;=1,--INDEX('Term investments'!$G:$G,ROW())/100,--INDEX('Term investments'!$G:$G,ROW())),0)</f>
        <v/>
      </c>
      <c r="H690">
        <f>IFERROR(--INDEX('Term investments'!$H:$H,ROW()),0)</f>
        <v/>
      </c>
      <c r="I690">
        <f>IF(ISNUMBER(INDEX('Term investments'!$G:$G,ROW())),1,0)</f>
        <v/>
      </c>
      <c r="J690">
        <f>TRIM(SUBSTITUTE(INDEX('Call accounts and MMFs'!$A:$A,ROW())&amp;""," "," "))</f>
        <v/>
      </c>
      <c r="K690">
        <f>TRIM(SUBSTITUTE(INDEX('Call accounts and MMFs'!$B:$B,ROW())&amp;""," "," "))</f>
        <v/>
      </c>
      <c r="L690">
        <f>TRIM(SUBSTITUTE(INDEX('Call accounts and MMFs'!$C:$C,ROW())&amp;""," "," "))</f>
        <v/>
      </c>
      <c r="M690">
        <f>IFERROR(--INDEX('Call accounts and MMFs'!$D:$D,ROW()),0)</f>
        <v/>
      </c>
      <c r="N690">
        <f>IFERROR(IF(--INDEX('Call accounts and MMFs'!$E:$E,ROW())&gt;=1,--INDEX('Call accounts and MMFs'!$E:$E,ROW())/100,--INDEX('Call accounts and MMFs'!$E:$E,ROW())),0)</f>
        <v/>
      </c>
      <c r="O690">
        <f>IFERROR(--INDEX('Call accounts and MMFs'!$F:$F,ROW()),0)</f>
        <v/>
      </c>
      <c r="P690">
        <f>IF(ISNUMBER(INDEX('Call accounts and MMFs'!$E:$E,ROW())),1,0)</f>
        <v/>
      </c>
      <c r="Q690">
        <f>TRIM(SUBSTITUTE(INDEX('Pooled funds'!$B:$B,ROW())&amp;""," "," "))</f>
        <v/>
      </c>
      <c r="R690">
        <f>IFERROR(--INDEX('Pooled funds'!$C:$C,ROW()),0)</f>
        <v/>
      </c>
      <c r="S690">
        <f>IFERROR(--INDEX('Pooled funds'!$D:$D,ROW()),0)</f>
        <v/>
      </c>
      <c r="T690">
        <f>IFERROR(IF(--INDEX('Pooled funds'!$E:$E,ROW())&gt;=1,--INDEX('Pooled funds'!$E:$E,ROW())/100,--INDEX('Pooled funds'!$E:$E,ROW())),0)</f>
        <v/>
      </c>
      <c r="U690">
        <f>IF(ISNUMBER(INDEX('Pooled funds'!$E:$E,ROW())),1,0)</f>
        <v/>
      </c>
      <c r="V690">
        <f>TRIM(SUBSTITUTE(INDEX('Loans'!$A:$A,ROW())&amp;""," "," "))</f>
        <v/>
      </c>
      <c r="W690">
        <f>TRIM(SUBSTITUTE(INDEX('Loans'!$B:$B,ROW())&amp;""," "," "))</f>
        <v/>
      </c>
      <c r="X690">
        <f>TRIM(SUBSTITUTE(INDEX('Loans'!$C:$C,ROW())&amp;""," "," "))</f>
        <v/>
      </c>
      <c r="Y690">
        <f>IFERROR(--INDEX('Loans'!$D:$D,ROW()),0)</f>
        <v/>
      </c>
      <c r="Z690">
        <f>IFERROR(--INDEX('Loans'!$E:$E,ROW()),0)</f>
        <v/>
      </c>
      <c r="AA690">
        <f>IFERROR(--INDEX('Loans'!$F:$F,ROW()),0)</f>
        <v/>
      </c>
      <c r="AB690">
        <f>IFERROR(IF(--INDEX('Loans'!$G:$G,ROW())&gt;=1,--INDEX('Loans'!$G:$G,ROW())/100,--INDEX('Loans'!$G:$G,ROW())),0)</f>
        <v/>
      </c>
      <c r="AC690">
        <f>TRIM(SUBSTITUTE(INDEX('Loans'!$H:$H,ROW())&amp;""," "," "))</f>
        <v/>
      </c>
      <c r="AD690">
        <f>TRIM(SUBSTITUTE(INDEX('Loans'!$I:$I,ROW())&amp;""," "," "))</f>
        <v/>
      </c>
      <c r="AE690">
        <f>IFERROR(--INDEX('Loans'!$J:$J,ROW()),0)</f>
        <v/>
      </c>
      <c r="AF690">
        <f>TRIM(SUBSTITUTE(INDEX('Loans'!$K:$K,ROW())&amp;""," "," "))</f>
        <v/>
      </c>
      <c r="AG690">
        <f>IFERROR(--INDEX('Loans'!$L:$L,ROW()),0)</f>
        <v/>
      </c>
      <c r="AH690">
        <f>IF(ISNUMBER(INDEX('Loans'!$G:$G,ROW())),1,0)</f>
        <v/>
      </c>
    </row>
    <row r="691">
      <c r="A691">
        <f>TRIM(SUBSTITUTE(INDEX('Term investments'!$A:$A,ROW())&amp;""," "," "))</f>
        <v/>
      </c>
      <c r="B691">
        <f>TRIM(SUBSTITUTE(INDEX('Term investments'!$B:$B,ROW())&amp;""," "," "))</f>
        <v/>
      </c>
      <c r="C691">
        <f>TRIM(SUBSTITUTE(INDEX('Term investments'!$C:$C,ROW())&amp;""," "," "))</f>
        <v/>
      </c>
      <c r="D691">
        <f>IFERROR(--INDEX('Term investments'!$D:$D,ROW()),0)</f>
        <v/>
      </c>
      <c r="E691">
        <f>IFERROR(--INDEX('Term investments'!$E:$E,ROW()),0)</f>
        <v/>
      </c>
      <c r="F691">
        <f>IFERROR(--INDEX('Term investments'!$F:$F,ROW()),0)</f>
        <v/>
      </c>
      <c r="G691">
        <f>IFERROR(IF(--INDEX('Term investments'!$G:$G,ROW())&gt;=1,--INDEX('Term investments'!$G:$G,ROW())/100,--INDEX('Term investments'!$G:$G,ROW())),0)</f>
        <v/>
      </c>
      <c r="H691">
        <f>IFERROR(--INDEX('Term investments'!$H:$H,ROW()),0)</f>
        <v/>
      </c>
      <c r="I691">
        <f>IF(ISNUMBER(INDEX('Term investments'!$G:$G,ROW())),1,0)</f>
        <v/>
      </c>
      <c r="J691">
        <f>TRIM(SUBSTITUTE(INDEX('Call accounts and MMFs'!$A:$A,ROW())&amp;""," "," "))</f>
        <v/>
      </c>
      <c r="K691">
        <f>TRIM(SUBSTITUTE(INDEX('Call accounts and MMFs'!$B:$B,ROW())&amp;""," "," "))</f>
        <v/>
      </c>
      <c r="L691">
        <f>TRIM(SUBSTITUTE(INDEX('Call accounts and MMFs'!$C:$C,ROW())&amp;""," "," "))</f>
        <v/>
      </c>
      <c r="M691">
        <f>IFERROR(--INDEX('Call accounts and MMFs'!$D:$D,ROW()),0)</f>
        <v/>
      </c>
      <c r="N691">
        <f>IFERROR(IF(--INDEX('Call accounts and MMFs'!$E:$E,ROW())&gt;=1,--INDEX('Call accounts and MMFs'!$E:$E,ROW())/100,--INDEX('Call accounts and MMFs'!$E:$E,ROW())),0)</f>
        <v/>
      </c>
      <c r="O691">
        <f>IFERROR(--INDEX('Call accounts and MMFs'!$F:$F,ROW()),0)</f>
        <v/>
      </c>
      <c r="P691">
        <f>IF(ISNUMBER(INDEX('Call accounts and MMFs'!$E:$E,ROW())),1,0)</f>
        <v/>
      </c>
      <c r="Q691">
        <f>TRIM(SUBSTITUTE(INDEX('Pooled funds'!$B:$B,ROW())&amp;""," "," "))</f>
        <v/>
      </c>
      <c r="R691">
        <f>IFERROR(--INDEX('Pooled funds'!$C:$C,ROW()),0)</f>
        <v/>
      </c>
      <c r="S691">
        <f>IFERROR(--INDEX('Pooled funds'!$D:$D,ROW()),0)</f>
        <v/>
      </c>
      <c r="T691">
        <f>IFERROR(IF(--INDEX('Pooled funds'!$E:$E,ROW())&gt;=1,--INDEX('Pooled funds'!$E:$E,ROW())/100,--INDEX('Pooled funds'!$E:$E,ROW())),0)</f>
        <v/>
      </c>
      <c r="U691">
        <f>IF(ISNUMBER(INDEX('Pooled funds'!$E:$E,ROW())),1,0)</f>
        <v/>
      </c>
      <c r="V691">
        <f>TRIM(SUBSTITUTE(INDEX('Loans'!$A:$A,ROW())&amp;""," "," "))</f>
        <v/>
      </c>
      <c r="W691">
        <f>TRIM(SUBSTITUTE(INDEX('Loans'!$B:$B,ROW())&amp;""," "," "))</f>
        <v/>
      </c>
      <c r="X691">
        <f>TRIM(SUBSTITUTE(INDEX('Loans'!$C:$C,ROW())&amp;""," "," "))</f>
        <v/>
      </c>
      <c r="Y691">
        <f>IFERROR(--INDEX('Loans'!$D:$D,ROW()),0)</f>
        <v/>
      </c>
      <c r="Z691">
        <f>IFERROR(--INDEX('Loans'!$E:$E,ROW()),0)</f>
        <v/>
      </c>
      <c r="AA691">
        <f>IFERROR(--INDEX('Loans'!$F:$F,ROW()),0)</f>
        <v/>
      </c>
      <c r="AB691">
        <f>IFERROR(IF(--INDEX('Loans'!$G:$G,ROW())&gt;=1,--INDEX('Loans'!$G:$G,ROW())/100,--INDEX('Loans'!$G:$G,ROW())),0)</f>
        <v/>
      </c>
      <c r="AC691">
        <f>TRIM(SUBSTITUTE(INDEX('Loans'!$H:$H,ROW())&amp;""," "," "))</f>
        <v/>
      </c>
      <c r="AD691">
        <f>TRIM(SUBSTITUTE(INDEX('Loans'!$I:$I,ROW())&amp;""," "," "))</f>
        <v/>
      </c>
      <c r="AE691">
        <f>IFERROR(--INDEX('Loans'!$J:$J,ROW()),0)</f>
        <v/>
      </c>
      <c r="AF691">
        <f>TRIM(SUBSTITUTE(INDEX('Loans'!$K:$K,ROW())&amp;""," "," "))</f>
        <v/>
      </c>
      <c r="AG691">
        <f>IFERROR(--INDEX('Loans'!$L:$L,ROW()),0)</f>
        <v/>
      </c>
      <c r="AH691">
        <f>IF(ISNUMBER(INDEX('Loans'!$G:$G,ROW())),1,0)</f>
        <v/>
      </c>
    </row>
    <row r="692">
      <c r="A692">
        <f>TRIM(SUBSTITUTE(INDEX('Term investments'!$A:$A,ROW())&amp;""," "," "))</f>
        <v/>
      </c>
      <c r="B692">
        <f>TRIM(SUBSTITUTE(INDEX('Term investments'!$B:$B,ROW())&amp;""," "," "))</f>
        <v/>
      </c>
      <c r="C692">
        <f>TRIM(SUBSTITUTE(INDEX('Term investments'!$C:$C,ROW())&amp;""," "," "))</f>
        <v/>
      </c>
      <c r="D692">
        <f>IFERROR(--INDEX('Term investments'!$D:$D,ROW()),0)</f>
        <v/>
      </c>
      <c r="E692">
        <f>IFERROR(--INDEX('Term investments'!$E:$E,ROW()),0)</f>
        <v/>
      </c>
      <c r="F692">
        <f>IFERROR(--INDEX('Term investments'!$F:$F,ROW()),0)</f>
        <v/>
      </c>
      <c r="G692">
        <f>IFERROR(IF(--INDEX('Term investments'!$G:$G,ROW())&gt;=1,--INDEX('Term investments'!$G:$G,ROW())/100,--INDEX('Term investments'!$G:$G,ROW())),0)</f>
        <v/>
      </c>
      <c r="H692">
        <f>IFERROR(--INDEX('Term investments'!$H:$H,ROW()),0)</f>
        <v/>
      </c>
      <c r="I692">
        <f>IF(ISNUMBER(INDEX('Term investments'!$G:$G,ROW())),1,0)</f>
        <v/>
      </c>
      <c r="J692">
        <f>TRIM(SUBSTITUTE(INDEX('Call accounts and MMFs'!$A:$A,ROW())&amp;""," "," "))</f>
        <v/>
      </c>
      <c r="K692">
        <f>TRIM(SUBSTITUTE(INDEX('Call accounts and MMFs'!$B:$B,ROW())&amp;""," "," "))</f>
        <v/>
      </c>
      <c r="L692">
        <f>TRIM(SUBSTITUTE(INDEX('Call accounts and MMFs'!$C:$C,ROW())&amp;""," "," "))</f>
        <v/>
      </c>
      <c r="M692">
        <f>IFERROR(--INDEX('Call accounts and MMFs'!$D:$D,ROW()),0)</f>
        <v/>
      </c>
      <c r="N692">
        <f>IFERROR(IF(--INDEX('Call accounts and MMFs'!$E:$E,ROW())&gt;=1,--INDEX('Call accounts and MMFs'!$E:$E,ROW())/100,--INDEX('Call accounts and MMFs'!$E:$E,ROW())),0)</f>
        <v/>
      </c>
      <c r="O692">
        <f>IFERROR(--INDEX('Call accounts and MMFs'!$F:$F,ROW()),0)</f>
        <v/>
      </c>
      <c r="P692">
        <f>IF(ISNUMBER(INDEX('Call accounts and MMFs'!$E:$E,ROW())),1,0)</f>
        <v/>
      </c>
      <c r="Q692">
        <f>TRIM(SUBSTITUTE(INDEX('Pooled funds'!$B:$B,ROW())&amp;""," "," "))</f>
        <v/>
      </c>
      <c r="R692">
        <f>IFERROR(--INDEX('Pooled funds'!$C:$C,ROW()),0)</f>
        <v/>
      </c>
      <c r="S692">
        <f>IFERROR(--INDEX('Pooled funds'!$D:$D,ROW()),0)</f>
        <v/>
      </c>
      <c r="T692">
        <f>IFERROR(IF(--INDEX('Pooled funds'!$E:$E,ROW())&gt;=1,--INDEX('Pooled funds'!$E:$E,ROW())/100,--INDEX('Pooled funds'!$E:$E,ROW())),0)</f>
        <v/>
      </c>
      <c r="U692">
        <f>IF(ISNUMBER(INDEX('Pooled funds'!$E:$E,ROW())),1,0)</f>
        <v/>
      </c>
      <c r="V692">
        <f>TRIM(SUBSTITUTE(INDEX('Loans'!$A:$A,ROW())&amp;""," "," "))</f>
        <v/>
      </c>
      <c r="W692">
        <f>TRIM(SUBSTITUTE(INDEX('Loans'!$B:$B,ROW())&amp;""," "," "))</f>
        <v/>
      </c>
      <c r="X692">
        <f>TRIM(SUBSTITUTE(INDEX('Loans'!$C:$C,ROW())&amp;""," "," "))</f>
        <v/>
      </c>
      <c r="Y692">
        <f>IFERROR(--INDEX('Loans'!$D:$D,ROW()),0)</f>
        <v/>
      </c>
      <c r="Z692">
        <f>IFERROR(--INDEX('Loans'!$E:$E,ROW()),0)</f>
        <v/>
      </c>
      <c r="AA692">
        <f>IFERROR(--INDEX('Loans'!$F:$F,ROW()),0)</f>
        <v/>
      </c>
      <c r="AB692">
        <f>IFERROR(IF(--INDEX('Loans'!$G:$G,ROW())&gt;=1,--INDEX('Loans'!$G:$G,ROW())/100,--INDEX('Loans'!$G:$G,ROW())),0)</f>
        <v/>
      </c>
      <c r="AC692">
        <f>TRIM(SUBSTITUTE(INDEX('Loans'!$H:$H,ROW())&amp;""," "," "))</f>
        <v/>
      </c>
      <c r="AD692">
        <f>TRIM(SUBSTITUTE(INDEX('Loans'!$I:$I,ROW())&amp;""," "," "))</f>
        <v/>
      </c>
      <c r="AE692">
        <f>IFERROR(--INDEX('Loans'!$J:$J,ROW()),0)</f>
        <v/>
      </c>
      <c r="AF692">
        <f>TRIM(SUBSTITUTE(INDEX('Loans'!$K:$K,ROW())&amp;""," "," "))</f>
        <v/>
      </c>
      <c r="AG692">
        <f>IFERROR(--INDEX('Loans'!$L:$L,ROW()),0)</f>
        <v/>
      </c>
      <c r="AH692">
        <f>IF(ISNUMBER(INDEX('Loans'!$G:$G,ROW())),1,0)</f>
        <v/>
      </c>
    </row>
    <row r="693">
      <c r="A693">
        <f>TRIM(SUBSTITUTE(INDEX('Term investments'!$A:$A,ROW())&amp;""," "," "))</f>
        <v/>
      </c>
      <c r="B693">
        <f>TRIM(SUBSTITUTE(INDEX('Term investments'!$B:$B,ROW())&amp;""," "," "))</f>
        <v/>
      </c>
      <c r="C693">
        <f>TRIM(SUBSTITUTE(INDEX('Term investments'!$C:$C,ROW())&amp;""," "," "))</f>
        <v/>
      </c>
      <c r="D693">
        <f>IFERROR(--INDEX('Term investments'!$D:$D,ROW()),0)</f>
        <v/>
      </c>
      <c r="E693">
        <f>IFERROR(--INDEX('Term investments'!$E:$E,ROW()),0)</f>
        <v/>
      </c>
      <c r="F693">
        <f>IFERROR(--INDEX('Term investments'!$F:$F,ROW()),0)</f>
        <v/>
      </c>
      <c r="G693">
        <f>IFERROR(IF(--INDEX('Term investments'!$G:$G,ROW())&gt;=1,--INDEX('Term investments'!$G:$G,ROW())/100,--INDEX('Term investments'!$G:$G,ROW())),0)</f>
        <v/>
      </c>
      <c r="H693">
        <f>IFERROR(--INDEX('Term investments'!$H:$H,ROW()),0)</f>
        <v/>
      </c>
      <c r="I693">
        <f>IF(ISNUMBER(INDEX('Term investments'!$G:$G,ROW())),1,0)</f>
        <v/>
      </c>
      <c r="J693">
        <f>TRIM(SUBSTITUTE(INDEX('Call accounts and MMFs'!$A:$A,ROW())&amp;""," "," "))</f>
        <v/>
      </c>
      <c r="K693">
        <f>TRIM(SUBSTITUTE(INDEX('Call accounts and MMFs'!$B:$B,ROW())&amp;""," "," "))</f>
        <v/>
      </c>
      <c r="L693">
        <f>TRIM(SUBSTITUTE(INDEX('Call accounts and MMFs'!$C:$C,ROW())&amp;""," "," "))</f>
        <v/>
      </c>
      <c r="M693">
        <f>IFERROR(--INDEX('Call accounts and MMFs'!$D:$D,ROW()),0)</f>
        <v/>
      </c>
      <c r="N693">
        <f>IFERROR(IF(--INDEX('Call accounts and MMFs'!$E:$E,ROW())&gt;=1,--INDEX('Call accounts and MMFs'!$E:$E,ROW())/100,--INDEX('Call accounts and MMFs'!$E:$E,ROW())),0)</f>
        <v/>
      </c>
      <c r="O693">
        <f>IFERROR(--INDEX('Call accounts and MMFs'!$F:$F,ROW()),0)</f>
        <v/>
      </c>
      <c r="P693">
        <f>IF(ISNUMBER(INDEX('Call accounts and MMFs'!$E:$E,ROW())),1,0)</f>
        <v/>
      </c>
      <c r="Q693">
        <f>TRIM(SUBSTITUTE(INDEX('Pooled funds'!$B:$B,ROW())&amp;""," "," "))</f>
        <v/>
      </c>
      <c r="R693">
        <f>IFERROR(--INDEX('Pooled funds'!$C:$C,ROW()),0)</f>
        <v/>
      </c>
      <c r="S693">
        <f>IFERROR(--INDEX('Pooled funds'!$D:$D,ROW()),0)</f>
        <v/>
      </c>
      <c r="T693">
        <f>IFERROR(IF(--INDEX('Pooled funds'!$E:$E,ROW())&gt;=1,--INDEX('Pooled funds'!$E:$E,ROW())/100,--INDEX('Pooled funds'!$E:$E,ROW())),0)</f>
        <v/>
      </c>
      <c r="U693">
        <f>IF(ISNUMBER(INDEX('Pooled funds'!$E:$E,ROW())),1,0)</f>
        <v/>
      </c>
      <c r="V693">
        <f>TRIM(SUBSTITUTE(INDEX('Loans'!$A:$A,ROW())&amp;""," "," "))</f>
        <v/>
      </c>
      <c r="W693">
        <f>TRIM(SUBSTITUTE(INDEX('Loans'!$B:$B,ROW())&amp;""," "," "))</f>
        <v/>
      </c>
      <c r="X693">
        <f>TRIM(SUBSTITUTE(INDEX('Loans'!$C:$C,ROW())&amp;""," "," "))</f>
        <v/>
      </c>
      <c r="Y693">
        <f>IFERROR(--INDEX('Loans'!$D:$D,ROW()),0)</f>
        <v/>
      </c>
      <c r="Z693">
        <f>IFERROR(--INDEX('Loans'!$E:$E,ROW()),0)</f>
        <v/>
      </c>
      <c r="AA693">
        <f>IFERROR(--INDEX('Loans'!$F:$F,ROW()),0)</f>
        <v/>
      </c>
      <c r="AB693">
        <f>IFERROR(IF(--INDEX('Loans'!$G:$G,ROW())&gt;=1,--INDEX('Loans'!$G:$G,ROW())/100,--INDEX('Loans'!$G:$G,ROW())),0)</f>
        <v/>
      </c>
      <c r="AC693">
        <f>TRIM(SUBSTITUTE(INDEX('Loans'!$H:$H,ROW())&amp;""," "," "))</f>
        <v/>
      </c>
      <c r="AD693">
        <f>TRIM(SUBSTITUTE(INDEX('Loans'!$I:$I,ROW())&amp;""," "," "))</f>
        <v/>
      </c>
      <c r="AE693">
        <f>IFERROR(--INDEX('Loans'!$J:$J,ROW()),0)</f>
        <v/>
      </c>
      <c r="AF693">
        <f>TRIM(SUBSTITUTE(INDEX('Loans'!$K:$K,ROW())&amp;""," "," "))</f>
        <v/>
      </c>
      <c r="AG693">
        <f>IFERROR(--INDEX('Loans'!$L:$L,ROW()),0)</f>
        <v/>
      </c>
      <c r="AH693">
        <f>IF(ISNUMBER(INDEX('Loans'!$G:$G,ROW())),1,0)</f>
        <v/>
      </c>
    </row>
    <row r="694">
      <c r="A694">
        <f>TRIM(SUBSTITUTE(INDEX('Term investments'!$A:$A,ROW())&amp;""," "," "))</f>
        <v/>
      </c>
      <c r="B694">
        <f>TRIM(SUBSTITUTE(INDEX('Term investments'!$B:$B,ROW())&amp;""," "," "))</f>
        <v/>
      </c>
      <c r="C694">
        <f>TRIM(SUBSTITUTE(INDEX('Term investments'!$C:$C,ROW())&amp;""," "," "))</f>
        <v/>
      </c>
      <c r="D694">
        <f>IFERROR(--INDEX('Term investments'!$D:$D,ROW()),0)</f>
        <v/>
      </c>
      <c r="E694">
        <f>IFERROR(--INDEX('Term investments'!$E:$E,ROW()),0)</f>
        <v/>
      </c>
      <c r="F694">
        <f>IFERROR(--INDEX('Term investments'!$F:$F,ROW()),0)</f>
        <v/>
      </c>
      <c r="G694">
        <f>IFERROR(IF(--INDEX('Term investments'!$G:$G,ROW())&gt;=1,--INDEX('Term investments'!$G:$G,ROW())/100,--INDEX('Term investments'!$G:$G,ROW())),0)</f>
        <v/>
      </c>
      <c r="H694">
        <f>IFERROR(--INDEX('Term investments'!$H:$H,ROW()),0)</f>
        <v/>
      </c>
      <c r="I694">
        <f>IF(ISNUMBER(INDEX('Term investments'!$G:$G,ROW())),1,0)</f>
        <v/>
      </c>
      <c r="J694">
        <f>TRIM(SUBSTITUTE(INDEX('Call accounts and MMFs'!$A:$A,ROW())&amp;""," "," "))</f>
        <v/>
      </c>
      <c r="K694">
        <f>TRIM(SUBSTITUTE(INDEX('Call accounts and MMFs'!$B:$B,ROW())&amp;""," "," "))</f>
        <v/>
      </c>
      <c r="L694">
        <f>TRIM(SUBSTITUTE(INDEX('Call accounts and MMFs'!$C:$C,ROW())&amp;""," "," "))</f>
        <v/>
      </c>
      <c r="M694">
        <f>IFERROR(--INDEX('Call accounts and MMFs'!$D:$D,ROW()),0)</f>
        <v/>
      </c>
      <c r="N694">
        <f>IFERROR(IF(--INDEX('Call accounts and MMFs'!$E:$E,ROW())&gt;=1,--INDEX('Call accounts and MMFs'!$E:$E,ROW())/100,--INDEX('Call accounts and MMFs'!$E:$E,ROW())),0)</f>
        <v/>
      </c>
      <c r="O694">
        <f>IFERROR(--INDEX('Call accounts and MMFs'!$F:$F,ROW()),0)</f>
        <v/>
      </c>
      <c r="P694">
        <f>IF(ISNUMBER(INDEX('Call accounts and MMFs'!$E:$E,ROW())),1,0)</f>
        <v/>
      </c>
      <c r="Q694">
        <f>TRIM(SUBSTITUTE(INDEX('Pooled funds'!$B:$B,ROW())&amp;""," "," "))</f>
        <v/>
      </c>
      <c r="R694">
        <f>IFERROR(--INDEX('Pooled funds'!$C:$C,ROW()),0)</f>
        <v/>
      </c>
      <c r="S694">
        <f>IFERROR(--INDEX('Pooled funds'!$D:$D,ROW()),0)</f>
        <v/>
      </c>
      <c r="T694">
        <f>IFERROR(IF(--INDEX('Pooled funds'!$E:$E,ROW())&gt;=1,--INDEX('Pooled funds'!$E:$E,ROW())/100,--INDEX('Pooled funds'!$E:$E,ROW())),0)</f>
        <v/>
      </c>
      <c r="U694">
        <f>IF(ISNUMBER(INDEX('Pooled funds'!$E:$E,ROW())),1,0)</f>
        <v/>
      </c>
      <c r="V694">
        <f>TRIM(SUBSTITUTE(INDEX('Loans'!$A:$A,ROW())&amp;""," "," "))</f>
        <v/>
      </c>
      <c r="W694">
        <f>TRIM(SUBSTITUTE(INDEX('Loans'!$B:$B,ROW())&amp;""," "," "))</f>
        <v/>
      </c>
      <c r="X694">
        <f>TRIM(SUBSTITUTE(INDEX('Loans'!$C:$C,ROW())&amp;""," "," "))</f>
        <v/>
      </c>
      <c r="Y694">
        <f>IFERROR(--INDEX('Loans'!$D:$D,ROW()),0)</f>
        <v/>
      </c>
      <c r="Z694">
        <f>IFERROR(--INDEX('Loans'!$E:$E,ROW()),0)</f>
        <v/>
      </c>
      <c r="AA694">
        <f>IFERROR(--INDEX('Loans'!$F:$F,ROW()),0)</f>
        <v/>
      </c>
      <c r="AB694">
        <f>IFERROR(IF(--INDEX('Loans'!$G:$G,ROW())&gt;=1,--INDEX('Loans'!$G:$G,ROW())/100,--INDEX('Loans'!$G:$G,ROW())),0)</f>
        <v/>
      </c>
      <c r="AC694">
        <f>TRIM(SUBSTITUTE(INDEX('Loans'!$H:$H,ROW())&amp;""," "," "))</f>
        <v/>
      </c>
      <c r="AD694">
        <f>TRIM(SUBSTITUTE(INDEX('Loans'!$I:$I,ROW())&amp;""," "," "))</f>
        <v/>
      </c>
      <c r="AE694">
        <f>IFERROR(--INDEX('Loans'!$J:$J,ROW()),0)</f>
        <v/>
      </c>
      <c r="AF694">
        <f>TRIM(SUBSTITUTE(INDEX('Loans'!$K:$K,ROW())&amp;""," "," "))</f>
        <v/>
      </c>
      <c r="AG694">
        <f>IFERROR(--INDEX('Loans'!$L:$L,ROW()),0)</f>
        <v/>
      </c>
      <c r="AH694">
        <f>IF(ISNUMBER(INDEX('Loans'!$G:$G,ROW())),1,0)</f>
        <v/>
      </c>
    </row>
    <row r="695">
      <c r="A695">
        <f>TRIM(SUBSTITUTE(INDEX('Term investments'!$A:$A,ROW())&amp;""," "," "))</f>
        <v/>
      </c>
      <c r="B695">
        <f>TRIM(SUBSTITUTE(INDEX('Term investments'!$B:$B,ROW())&amp;""," "," "))</f>
        <v/>
      </c>
      <c r="C695">
        <f>TRIM(SUBSTITUTE(INDEX('Term investments'!$C:$C,ROW())&amp;""," "," "))</f>
        <v/>
      </c>
      <c r="D695">
        <f>IFERROR(--INDEX('Term investments'!$D:$D,ROW()),0)</f>
        <v/>
      </c>
      <c r="E695">
        <f>IFERROR(--INDEX('Term investments'!$E:$E,ROW()),0)</f>
        <v/>
      </c>
      <c r="F695">
        <f>IFERROR(--INDEX('Term investments'!$F:$F,ROW()),0)</f>
        <v/>
      </c>
      <c r="G695">
        <f>IFERROR(IF(--INDEX('Term investments'!$G:$G,ROW())&gt;=1,--INDEX('Term investments'!$G:$G,ROW())/100,--INDEX('Term investments'!$G:$G,ROW())),0)</f>
        <v/>
      </c>
      <c r="H695">
        <f>IFERROR(--INDEX('Term investments'!$H:$H,ROW()),0)</f>
        <v/>
      </c>
      <c r="I695">
        <f>IF(ISNUMBER(INDEX('Term investments'!$G:$G,ROW())),1,0)</f>
        <v/>
      </c>
      <c r="J695">
        <f>TRIM(SUBSTITUTE(INDEX('Call accounts and MMFs'!$A:$A,ROW())&amp;""," "," "))</f>
        <v/>
      </c>
      <c r="K695">
        <f>TRIM(SUBSTITUTE(INDEX('Call accounts and MMFs'!$B:$B,ROW())&amp;""," "," "))</f>
        <v/>
      </c>
      <c r="L695">
        <f>TRIM(SUBSTITUTE(INDEX('Call accounts and MMFs'!$C:$C,ROW())&amp;""," "," "))</f>
        <v/>
      </c>
      <c r="M695">
        <f>IFERROR(--INDEX('Call accounts and MMFs'!$D:$D,ROW()),0)</f>
        <v/>
      </c>
      <c r="N695">
        <f>IFERROR(IF(--INDEX('Call accounts and MMFs'!$E:$E,ROW())&gt;=1,--INDEX('Call accounts and MMFs'!$E:$E,ROW())/100,--INDEX('Call accounts and MMFs'!$E:$E,ROW())),0)</f>
        <v/>
      </c>
      <c r="O695">
        <f>IFERROR(--INDEX('Call accounts and MMFs'!$F:$F,ROW()),0)</f>
        <v/>
      </c>
      <c r="P695">
        <f>IF(ISNUMBER(INDEX('Call accounts and MMFs'!$E:$E,ROW())),1,0)</f>
        <v/>
      </c>
      <c r="Q695">
        <f>TRIM(SUBSTITUTE(INDEX('Pooled funds'!$B:$B,ROW())&amp;""," "," "))</f>
        <v/>
      </c>
      <c r="R695">
        <f>IFERROR(--INDEX('Pooled funds'!$C:$C,ROW()),0)</f>
        <v/>
      </c>
      <c r="S695">
        <f>IFERROR(--INDEX('Pooled funds'!$D:$D,ROW()),0)</f>
        <v/>
      </c>
      <c r="T695">
        <f>IFERROR(IF(--INDEX('Pooled funds'!$E:$E,ROW())&gt;=1,--INDEX('Pooled funds'!$E:$E,ROW())/100,--INDEX('Pooled funds'!$E:$E,ROW())),0)</f>
        <v/>
      </c>
      <c r="U695">
        <f>IF(ISNUMBER(INDEX('Pooled funds'!$E:$E,ROW())),1,0)</f>
        <v/>
      </c>
      <c r="V695">
        <f>TRIM(SUBSTITUTE(INDEX('Loans'!$A:$A,ROW())&amp;""," "," "))</f>
        <v/>
      </c>
      <c r="W695">
        <f>TRIM(SUBSTITUTE(INDEX('Loans'!$B:$B,ROW())&amp;""," "," "))</f>
        <v/>
      </c>
      <c r="X695">
        <f>TRIM(SUBSTITUTE(INDEX('Loans'!$C:$C,ROW())&amp;""," "," "))</f>
        <v/>
      </c>
      <c r="Y695">
        <f>IFERROR(--INDEX('Loans'!$D:$D,ROW()),0)</f>
        <v/>
      </c>
      <c r="Z695">
        <f>IFERROR(--INDEX('Loans'!$E:$E,ROW()),0)</f>
        <v/>
      </c>
      <c r="AA695">
        <f>IFERROR(--INDEX('Loans'!$F:$F,ROW()),0)</f>
        <v/>
      </c>
      <c r="AB695">
        <f>IFERROR(IF(--INDEX('Loans'!$G:$G,ROW())&gt;=1,--INDEX('Loans'!$G:$G,ROW())/100,--INDEX('Loans'!$G:$G,ROW())),0)</f>
        <v/>
      </c>
      <c r="AC695">
        <f>TRIM(SUBSTITUTE(INDEX('Loans'!$H:$H,ROW())&amp;""," "," "))</f>
        <v/>
      </c>
      <c r="AD695">
        <f>TRIM(SUBSTITUTE(INDEX('Loans'!$I:$I,ROW())&amp;""," "," "))</f>
        <v/>
      </c>
      <c r="AE695">
        <f>IFERROR(--INDEX('Loans'!$J:$J,ROW()),0)</f>
        <v/>
      </c>
      <c r="AF695">
        <f>TRIM(SUBSTITUTE(INDEX('Loans'!$K:$K,ROW())&amp;""," "," "))</f>
        <v/>
      </c>
      <c r="AG695">
        <f>IFERROR(--INDEX('Loans'!$L:$L,ROW()),0)</f>
        <v/>
      </c>
      <c r="AH695">
        <f>IF(ISNUMBER(INDEX('Loans'!$G:$G,ROW())),1,0)</f>
        <v/>
      </c>
    </row>
    <row r="696">
      <c r="A696">
        <f>TRIM(SUBSTITUTE(INDEX('Term investments'!$A:$A,ROW())&amp;""," "," "))</f>
        <v/>
      </c>
      <c r="B696">
        <f>TRIM(SUBSTITUTE(INDEX('Term investments'!$B:$B,ROW())&amp;""," "," "))</f>
        <v/>
      </c>
      <c r="C696">
        <f>TRIM(SUBSTITUTE(INDEX('Term investments'!$C:$C,ROW())&amp;""," "," "))</f>
        <v/>
      </c>
      <c r="D696">
        <f>IFERROR(--INDEX('Term investments'!$D:$D,ROW()),0)</f>
        <v/>
      </c>
      <c r="E696">
        <f>IFERROR(--INDEX('Term investments'!$E:$E,ROW()),0)</f>
        <v/>
      </c>
      <c r="F696">
        <f>IFERROR(--INDEX('Term investments'!$F:$F,ROW()),0)</f>
        <v/>
      </c>
      <c r="G696">
        <f>IFERROR(IF(--INDEX('Term investments'!$G:$G,ROW())&gt;=1,--INDEX('Term investments'!$G:$G,ROW())/100,--INDEX('Term investments'!$G:$G,ROW())),0)</f>
        <v/>
      </c>
      <c r="H696">
        <f>IFERROR(--INDEX('Term investments'!$H:$H,ROW()),0)</f>
        <v/>
      </c>
      <c r="I696">
        <f>IF(ISNUMBER(INDEX('Term investments'!$G:$G,ROW())),1,0)</f>
        <v/>
      </c>
      <c r="J696">
        <f>TRIM(SUBSTITUTE(INDEX('Call accounts and MMFs'!$A:$A,ROW())&amp;""," "," "))</f>
        <v/>
      </c>
      <c r="K696">
        <f>TRIM(SUBSTITUTE(INDEX('Call accounts and MMFs'!$B:$B,ROW())&amp;""," "," "))</f>
        <v/>
      </c>
      <c r="L696">
        <f>TRIM(SUBSTITUTE(INDEX('Call accounts and MMFs'!$C:$C,ROW())&amp;""," "," "))</f>
        <v/>
      </c>
      <c r="M696">
        <f>IFERROR(--INDEX('Call accounts and MMFs'!$D:$D,ROW()),0)</f>
        <v/>
      </c>
      <c r="N696">
        <f>IFERROR(IF(--INDEX('Call accounts and MMFs'!$E:$E,ROW())&gt;=1,--INDEX('Call accounts and MMFs'!$E:$E,ROW())/100,--INDEX('Call accounts and MMFs'!$E:$E,ROW())),0)</f>
        <v/>
      </c>
      <c r="O696">
        <f>IFERROR(--INDEX('Call accounts and MMFs'!$F:$F,ROW()),0)</f>
        <v/>
      </c>
      <c r="P696">
        <f>IF(ISNUMBER(INDEX('Call accounts and MMFs'!$E:$E,ROW())),1,0)</f>
        <v/>
      </c>
      <c r="Q696">
        <f>TRIM(SUBSTITUTE(INDEX('Pooled funds'!$B:$B,ROW())&amp;""," "," "))</f>
        <v/>
      </c>
      <c r="R696">
        <f>IFERROR(--INDEX('Pooled funds'!$C:$C,ROW()),0)</f>
        <v/>
      </c>
      <c r="S696">
        <f>IFERROR(--INDEX('Pooled funds'!$D:$D,ROW()),0)</f>
        <v/>
      </c>
      <c r="T696">
        <f>IFERROR(IF(--INDEX('Pooled funds'!$E:$E,ROW())&gt;=1,--INDEX('Pooled funds'!$E:$E,ROW())/100,--INDEX('Pooled funds'!$E:$E,ROW())),0)</f>
        <v/>
      </c>
      <c r="U696">
        <f>IF(ISNUMBER(INDEX('Pooled funds'!$E:$E,ROW())),1,0)</f>
        <v/>
      </c>
      <c r="V696">
        <f>TRIM(SUBSTITUTE(INDEX('Loans'!$A:$A,ROW())&amp;""," "," "))</f>
        <v/>
      </c>
      <c r="W696">
        <f>TRIM(SUBSTITUTE(INDEX('Loans'!$B:$B,ROW())&amp;""," "," "))</f>
        <v/>
      </c>
      <c r="X696">
        <f>TRIM(SUBSTITUTE(INDEX('Loans'!$C:$C,ROW())&amp;""," "," "))</f>
        <v/>
      </c>
      <c r="Y696">
        <f>IFERROR(--INDEX('Loans'!$D:$D,ROW()),0)</f>
        <v/>
      </c>
      <c r="Z696">
        <f>IFERROR(--INDEX('Loans'!$E:$E,ROW()),0)</f>
        <v/>
      </c>
      <c r="AA696">
        <f>IFERROR(--INDEX('Loans'!$F:$F,ROW()),0)</f>
        <v/>
      </c>
      <c r="AB696">
        <f>IFERROR(IF(--INDEX('Loans'!$G:$G,ROW())&gt;=1,--INDEX('Loans'!$G:$G,ROW())/100,--INDEX('Loans'!$G:$G,ROW())),0)</f>
        <v/>
      </c>
      <c r="AC696">
        <f>TRIM(SUBSTITUTE(INDEX('Loans'!$H:$H,ROW())&amp;""," "," "))</f>
        <v/>
      </c>
      <c r="AD696">
        <f>TRIM(SUBSTITUTE(INDEX('Loans'!$I:$I,ROW())&amp;""," "," "))</f>
        <v/>
      </c>
      <c r="AE696">
        <f>IFERROR(--INDEX('Loans'!$J:$J,ROW()),0)</f>
        <v/>
      </c>
      <c r="AF696">
        <f>TRIM(SUBSTITUTE(INDEX('Loans'!$K:$K,ROW())&amp;""," "," "))</f>
        <v/>
      </c>
      <c r="AG696">
        <f>IFERROR(--INDEX('Loans'!$L:$L,ROW()),0)</f>
        <v/>
      </c>
      <c r="AH696">
        <f>IF(ISNUMBER(INDEX('Loans'!$G:$G,ROW())),1,0)</f>
        <v/>
      </c>
    </row>
    <row r="697">
      <c r="A697">
        <f>TRIM(SUBSTITUTE(INDEX('Term investments'!$A:$A,ROW())&amp;""," "," "))</f>
        <v/>
      </c>
      <c r="B697">
        <f>TRIM(SUBSTITUTE(INDEX('Term investments'!$B:$B,ROW())&amp;""," "," "))</f>
        <v/>
      </c>
      <c r="C697">
        <f>TRIM(SUBSTITUTE(INDEX('Term investments'!$C:$C,ROW())&amp;""," "," "))</f>
        <v/>
      </c>
      <c r="D697">
        <f>IFERROR(--INDEX('Term investments'!$D:$D,ROW()),0)</f>
        <v/>
      </c>
      <c r="E697">
        <f>IFERROR(--INDEX('Term investments'!$E:$E,ROW()),0)</f>
        <v/>
      </c>
      <c r="F697">
        <f>IFERROR(--INDEX('Term investments'!$F:$F,ROW()),0)</f>
        <v/>
      </c>
      <c r="G697">
        <f>IFERROR(IF(--INDEX('Term investments'!$G:$G,ROW())&gt;=1,--INDEX('Term investments'!$G:$G,ROW())/100,--INDEX('Term investments'!$G:$G,ROW())),0)</f>
        <v/>
      </c>
      <c r="H697">
        <f>IFERROR(--INDEX('Term investments'!$H:$H,ROW()),0)</f>
        <v/>
      </c>
      <c r="I697">
        <f>IF(ISNUMBER(INDEX('Term investments'!$G:$G,ROW())),1,0)</f>
        <v/>
      </c>
      <c r="J697">
        <f>TRIM(SUBSTITUTE(INDEX('Call accounts and MMFs'!$A:$A,ROW())&amp;""," "," "))</f>
        <v/>
      </c>
      <c r="K697">
        <f>TRIM(SUBSTITUTE(INDEX('Call accounts and MMFs'!$B:$B,ROW())&amp;""," "," "))</f>
        <v/>
      </c>
      <c r="L697">
        <f>TRIM(SUBSTITUTE(INDEX('Call accounts and MMFs'!$C:$C,ROW())&amp;""," "," "))</f>
        <v/>
      </c>
      <c r="M697">
        <f>IFERROR(--INDEX('Call accounts and MMFs'!$D:$D,ROW()),0)</f>
        <v/>
      </c>
      <c r="N697">
        <f>IFERROR(IF(--INDEX('Call accounts and MMFs'!$E:$E,ROW())&gt;=1,--INDEX('Call accounts and MMFs'!$E:$E,ROW())/100,--INDEX('Call accounts and MMFs'!$E:$E,ROW())),0)</f>
        <v/>
      </c>
      <c r="O697">
        <f>IFERROR(--INDEX('Call accounts and MMFs'!$F:$F,ROW()),0)</f>
        <v/>
      </c>
      <c r="P697">
        <f>IF(ISNUMBER(INDEX('Call accounts and MMFs'!$E:$E,ROW())),1,0)</f>
        <v/>
      </c>
      <c r="Q697">
        <f>TRIM(SUBSTITUTE(INDEX('Pooled funds'!$B:$B,ROW())&amp;""," "," "))</f>
        <v/>
      </c>
      <c r="R697">
        <f>IFERROR(--INDEX('Pooled funds'!$C:$C,ROW()),0)</f>
        <v/>
      </c>
      <c r="S697">
        <f>IFERROR(--INDEX('Pooled funds'!$D:$D,ROW()),0)</f>
        <v/>
      </c>
      <c r="T697">
        <f>IFERROR(IF(--INDEX('Pooled funds'!$E:$E,ROW())&gt;=1,--INDEX('Pooled funds'!$E:$E,ROW())/100,--INDEX('Pooled funds'!$E:$E,ROW())),0)</f>
        <v/>
      </c>
      <c r="U697">
        <f>IF(ISNUMBER(INDEX('Pooled funds'!$E:$E,ROW())),1,0)</f>
        <v/>
      </c>
      <c r="V697">
        <f>TRIM(SUBSTITUTE(INDEX('Loans'!$A:$A,ROW())&amp;""," "," "))</f>
        <v/>
      </c>
      <c r="W697">
        <f>TRIM(SUBSTITUTE(INDEX('Loans'!$B:$B,ROW())&amp;""," "," "))</f>
        <v/>
      </c>
      <c r="X697">
        <f>TRIM(SUBSTITUTE(INDEX('Loans'!$C:$C,ROW())&amp;""," "," "))</f>
        <v/>
      </c>
      <c r="Y697">
        <f>IFERROR(--INDEX('Loans'!$D:$D,ROW()),0)</f>
        <v/>
      </c>
      <c r="Z697">
        <f>IFERROR(--INDEX('Loans'!$E:$E,ROW()),0)</f>
        <v/>
      </c>
      <c r="AA697">
        <f>IFERROR(--INDEX('Loans'!$F:$F,ROW()),0)</f>
        <v/>
      </c>
      <c r="AB697">
        <f>IFERROR(IF(--INDEX('Loans'!$G:$G,ROW())&gt;=1,--INDEX('Loans'!$G:$G,ROW())/100,--INDEX('Loans'!$G:$G,ROW())),0)</f>
        <v/>
      </c>
      <c r="AC697">
        <f>TRIM(SUBSTITUTE(INDEX('Loans'!$H:$H,ROW())&amp;""," "," "))</f>
        <v/>
      </c>
      <c r="AD697">
        <f>TRIM(SUBSTITUTE(INDEX('Loans'!$I:$I,ROW())&amp;""," "," "))</f>
        <v/>
      </c>
      <c r="AE697">
        <f>IFERROR(--INDEX('Loans'!$J:$J,ROW()),0)</f>
        <v/>
      </c>
      <c r="AF697">
        <f>TRIM(SUBSTITUTE(INDEX('Loans'!$K:$K,ROW())&amp;""," "," "))</f>
        <v/>
      </c>
      <c r="AG697">
        <f>IFERROR(--INDEX('Loans'!$L:$L,ROW()),0)</f>
        <v/>
      </c>
      <c r="AH697">
        <f>IF(ISNUMBER(INDEX('Loans'!$G:$G,ROW())),1,0)</f>
        <v/>
      </c>
    </row>
    <row r="698">
      <c r="A698">
        <f>TRIM(SUBSTITUTE(INDEX('Term investments'!$A:$A,ROW())&amp;""," "," "))</f>
        <v/>
      </c>
      <c r="B698">
        <f>TRIM(SUBSTITUTE(INDEX('Term investments'!$B:$B,ROW())&amp;""," "," "))</f>
        <v/>
      </c>
      <c r="C698">
        <f>TRIM(SUBSTITUTE(INDEX('Term investments'!$C:$C,ROW())&amp;""," "," "))</f>
        <v/>
      </c>
      <c r="D698">
        <f>IFERROR(--INDEX('Term investments'!$D:$D,ROW()),0)</f>
        <v/>
      </c>
      <c r="E698">
        <f>IFERROR(--INDEX('Term investments'!$E:$E,ROW()),0)</f>
        <v/>
      </c>
      <c r="F698">
        <f>IFERROR(--INDEX('Term investments'!$F:$F,ROW()),0)</f>
        <v/>
      </c>
      <c r="G698">
        <f>IFERROR(IF(--INDEX('Term investments'!$G:$G,ROW())&gt;=1,--INDEX('Term investments'!$G:$G,ROW())/100,--INDEX('Term investments'!$G:$G,ROW())),0)</f>
        <v/>
      </c>
      <c r="H698">
        <f>IFERROR(--INDEX('Term investments'!$H:$H,ROW()),0)</f>
        <v/>
      </c>
      <c r="I698">
        <f>IF(ISNUMBER(INDEX('Term investments'!$G:$G,ROW())),1,0)</f>
        <v/>
      </c>
      <c r="J698">
        <f>TRIM(SUBSTITUTE(INDEX('Call accounts and MMFs'!$A:$A,ROW())&amp;""," "," "))</f>
        <v/>
      </c>
      <c r="K698">
        <f>TRIM(SUBSTITUTE(INDEX('Call accounts and MMFs'!$B:$B,ROW())&amp;""," "," "))</f>
        <v/>
      </c>
      <c r="L698">
        <f>TRIM(SUBSTITUTE(INDEX('Call accounts and MMFs'!$C:$C,ROW())&amp;""," "," "))</f>
        <v/>
      </c>
      <c r="M698">
        <f>IFERROR(--INDEX('Call accounts and MMFs'!$D:$D,ROW()),0)</f>
        <v/>
      </c>
      <c r="N698">
        <f>IFERROR(IF(--INDEX('Call accounts and MMFs'!$E:$E,ROW())&gt;=1,--INDEX('Call accounts and MMFs'!$E:$E,ROW())/100,--INDEX('Call accounts and MMFs'!$E:$E,ROW())),0)</f>
        <v/>
      </c>
      <c r="O698">
        <f>IFERROR(--INDEX('Call accounts and MMFs'!$F:$F,ROW()),0)</f>
        <v/>
      </c>
      <c r="P698">
        <f>IF(ISNUMBER(INDEX('Call accounts and MMFs'!$E:$E,ROW())),1,0)</f>
        <v/>
      </c>
      <c r="Q698">
        <f>TRIM(SUBSTITUTE(INDEX('Pooled funds'!$B:$B,ROW())&amp;""," "," "))</f>
        <v/>
      </c>
      <c r="R698">
        <f>IFERROR(--INDEX('Pooled funds'!$C:$C,ROW()),0)</f>
        <v/>
      </c>
      <c r="S698">
        <f>IFERROR(--INDEX('Pooled funds'!$D:$D,ROW()),0)</f>
        <v/>
      </c>
      <c r="T698">
        <f>IFERROR(IF(--INDEX('Pooled funds'!$E:$E,ROW())&gt;=1,--INDEX('Pooled funds'!$E:$E,ROW())/100,--INDEX('Pooled funds'!$E:$E,ROW())),0)</f>
        <v/>
      </c>
      <c r="U698">
        <f>IF(ISNUMBER(INDEX('Pooled funds'!$E:$E,ROW())),1,0)</f>
        <v/>
      </c>
      <c r="V698">
        <f>TRIM(SUBSTITUTE(INDEX('Loans'!$A:$A,ROW())&amp;""," "," "))</f>
        <v/>
      </c>
      <c r="W698">
        <f>TRIM(SUBSTITUTE(INDEX('Loans'!$B:$B,ROW())&amp;""," "," "))</f>
        <v/>
      </c>
      <c r="X698">
        <f>TRIM(SUBSTITUTE(INDEX('Loans'!$C:$C,ROW())&amp;""," "," "))</f>
        <v/>
      </c>
      <c r="Y698">
        <f>IFERROR(--INDEX('Loans'!$D:$D,ROW()),0)</f>
        <v/>
      </c>
      <c r="Z698">
        <f>IFERROR(--INDEX('Loans'!$E:$E,ROW()),0)</f>
        <v/>
      </c>
      <c r="AA698">
        <f>IFERROR(--INDEX('Loans'!$F:$F,ROW()),0)</f>
        <v/>
      </c>
      <c r="AB698">
        <f>IFERROR(IF(--INDEX('Loans'!$G:$G,ROW())&gt;=1,--INDEX('Loans'!$G:$G,ROW())/100,--INDEX('Loans'!$G:$G,ROW())),0)</f>
        <v/>
      </c>
      <c r="AC698">
        <f>TRIM(SUBSTITUTE(INDEX('Loans'!$H:$H,ROW())&amp;""," "," "))</f>
        <v/>
      </c>
      <c r="AD698">
        <f>TRIM(SUBSTITUTE(INDEX('Loans'!$I:$I,ROW())&amp;""," "," "))</f>
        <v/>
      </c>
      <c r="AE698">
        <f>IFERROR(--INDEX('Loans'!$J:$J,ROW()),0)</f>
        <v/>
      </c>
      <c r="AF698">
        <f>TRIM(SUBSTITUTE(INDEX('Loans'!$K:$K,ROW())&amp;""," "," "))</f>
        <v/>
      </c>
      <c r="AG698">
        <f>IFERROR(--INDEX('Loans'!$L:$L,ROW()),0)</f>
        <v/>
      </c>
      <c r="AH698">
        <f>IF(ISNUMBER(INDEX('Loans'!$G:$G,ROW())),1,0)</f>
        <v/>
      </c>
    </row>
    <row r="699">
      <c r="A699">
        <f>TRIM(SUBSTITUTE(INDEX('Term investments'!$A:$A,ROW())&amp;""," "," "))</f>
        <v/>
      </c>
      <c r="B699">
        <f>TRIM(SUBSTITUTE(INDEX('Term investments'!$B:$B,ROW())&amp;""," "," "))</f>
        <v/>
      </c>
      <c r="C699">
        <f>TRIM(SUBSTITUTE(INDEX('Term investments'!$C:$C,ROW())&amp;""," "," "))</f>
        <v/>
      </c>
      <c r="D699">
        <f>IFERROR(--INDEX('Term investments'!$D:$D,ROW()),0)</f>
        <v/>
      </c>
      <c r="E699">
        <f>IFERROR(--INDEX('Term investments'!$E:$E,ROW()),0)</f>
        <v/>
      </c>
      <c r="F699">
        <f>IFERROR(--INDEX('Term investments'!$F:$F,ROW()),0)</f>
        <v/>
      </c>
      <c r="G699">
        <f>IFERROR(IF(--INDEX('Term investments'!$G:$G,ROW())&gt;=1,--INDEX('Term investments'!$G:$G,ROW())/100,--INDEX('Term investments'!$G:$G,ROW())),0)</f>
        <v/>
      </c>
      <c r="H699">
        <f>IFERROR(--INDEX('Term investments'!$H:$H,ROW()),0)</f>
        <v/>
      </c>
      <c r="I699">
        <f>IF(ISNUMBER(INDEX('Term investments'!$G:$G,ROW())),1,0)</f>
        <v/>
      </c>
      <c r="J699">
        <f>TRIM(SUBSTITUTE(INDEX('Call accounts and MMFs'!$A:$A,ROW())&amp;""," "," "))</f>
        <v/>
      </c>
      <c r="K699">
        <f>TRIM(SUBSTITUTE(INDEX('Call accounts and MMFs'!$B:$B,ROW())&amp;""," "," "))</f>
        <v/>
      </c>
      <c r="L699">
        <f>TRIM(SUBSTITUTE(INDEX('Call accounts and MMFs'!$C:$C,ROW())&amp;""," "," "))</f>
        <v/>
      </c>
      <c r="M699">
        <f>IFERROR(--INDEX('Call accounts and MMFs'!$D:$D,ROW()),0)</f>
        <v/>
      </c>
      <c r="N699">
        <f>IFERROR(IF(--INDEX('Call accounts and MMFs'!$E:$E,ROW())&gt;=1,--INDEX('Call accounts and MMFs'!$E:$E,ROW())/100,--INDEX('Call accounts and MMFs'!$E:$E,ROW())),0)</f>
        <v/>
      </c>
      <c r="O699">
        <f>IFERROR(--INDEX('Call accounts and MMFs'!$F:$F,ROW()),0)</f>
        <v/>
      </c>
      <c r="P699">
        <f>IF(ISNUMBER(INDEX('Call accounts and MMFs'!$E:$E,ROW())),1,0)</f>
        <v/>
      </c>
      <c r="Q699">
        <f>TRIM(SUBSTITUTE(INDEX('Pooled funds'!$B:$B,ROW())&amp;""," "," "))</f>
        <v/>
      </c>
      <c r="R699">
        <f>IFERROR(--INDEX('Pooled funds'!$C:$C,ROW()),0)</f>
        <v/>
      </c>
      <c r="S699">
        <f>IFERROR(--INDEX('Pooled funds'!$D:$D,ROW()),0)</f>
        <v/>
      </c>
      <c r="T699">
        <f>IFERROR(IF(--INDEX('Pooled funds'!$E:$E,ROW())&gt;=1,--INDEX('Pooled funds'!$E:$E,ROW())/100,--INDEX('Pooled funds'!$E:$E,ROW())),0)</f>
        <v/>
      </c>
      <c r="U699">
        <f>IF(ISNUMBER(INDEX('Pooled funds'!$E:$E,ROW())),1,0)</f>
        <v/>
      </c>
      <c r="V699">
        <f>TRIM(SUBSTITUTE(INDEX('Loans'!$A:$A,ROW())&amp;""," "," "))</f>
        <v/>
      </c>
      <c r="W699">
        <f>TRIM(SUBSTITUTE(INDEX('Loans'!$B:$B,ROW())&amp;""," "," "))</f>
        <v/>
      </c>
      <c r="X699">
        <f>TRIM(SUBSTITUTE(INDEX('Loans'!$C:$C,ROW())&amp;""," "," "))</f>
        <v/>
      </c>
      <c r="Y699">
        <f>IFERROR(--INDEX('Loans'!$D:$D,ROW()),0)</f>
        <v/>
      </c>
      <c r="Z699">
        <f>IFERROR(--INDEX('Loans'!$E:$E,ROW()),0)</f>
        <v/>
      </c>
      <c r="AA699">
        <f>IFERROR(--INDEX('Loans'!$F:$F,ROW()),0)</f>
        <v/>
      </c>
      <c r="AB699">
        <f>IFERROR(IF(--INDEX('Loans'!$G:$G,ROW())&gt;=1,--INDEX('Loans'!$G:$G,ROW())/100,--INDEX('Loans'!$G:$G,ROW())),0)</f>
        <v/>
      </c>
      <c r="AC699">
        <f>TRIM(SUBSTITUTE(INDEX('Loans'!$H:$H,ROW())&amp;""," "," "))</f>
        <v/>
      </c>
      <c r="AD699">
        <f>TRIM(SUBSTITUTE(INDEX('Loans'!$I:$I,ROW())&amp;""," "," "))</f>
        <v/>
      </c>
      <c r="AE699">
        <f>IFERROR(--INDEX('Loans'!$J:$J,ROW()),0)</f>
        <v/>
      </c>
      <c r="AF699">
        <f>TRIM(SUBSTITUTE(INDEX('Loans'!$K:$K,ROW())&amp;""," "," "))</f>
        <v/>
      </c>
      <c r="AG699">
        <f>IFERROR(--INDEX('Loans'!$L:$L,ROW()),0)</f>
        <v/>
      </c>
      <c r="AH699">
        <f>IF(ISNUMBER(INDEX('Loans'!$G:$G,ROW())),1,0)</f>
        <v/>
      </c>
    </row>
    <row r="700">
      <c r="A700">
        <f>TRIM(SUBSTITUTE(INDEX('Term investments'!$A:$A,ROW())&amp;""," "," "))</f>
        <v/>
      </c>
      <c r="B700">
        <f>TRIM(SUBSTITUTE(INDEX('Term investments'!$B:$B,ROW())&amp;""," "," "))</f>
        <v/>
      </c>
      <c r="C700">
        <f>TRIM(SUBSTITUTE(INDEX('Term investments'!$C:$C,ROW())&amp;""," "," "))</f>
        <v/>
      </c>
      <c r="D700">
        <f>IFERROR(--INDEX('Term investments'!$D:$D,ROW()),0)</f>
        <v/>
      </c>
      <c r="E700">
        <f>IFERROR(--INDEX('Term investments'!$E:$E,ROW()),0)</f>
        <v/>
      </c>
      <c r="F700">
        <f>IFERROR(--INDEX('Term investments'!$F:$F,ROW()),0)</f>
        <v/>
      </c>
      <c r="G700">
        <f>IFERROR(IF(--INDEX('Term investments'!$G:$G,ROW())&gt;=1,--INDEX('Term investments'!$G:$G,ROW())/100,--INDEX('Term investments'!$G:$G,ROW())),0)</f>
        <v/>
      </c>
      <c r="H700">
        <f>IFERROR(--INDEX('Term investments'!$H:$H,ROW()),0)</f>
        <v/>
      </c>
      <c r="I700">
        <f>IF(ISNUMBER(INDEX('Term investments'!$G:$G,ROW())),1,0)</f>
        <v/>
      </c>
      <c r="J700">
        <f>TRIM(SUBSTITUTE(INDEX('Call accounts and MMFs'!$A:$A,ROW())&amp;""," "," "))</f>
        <v/>
      </c>
      <c r="K700">
        <f>TRIM(SUBSTITUTE(INDEX('Call accounts and MMFs'!$B:$B,ROW())&amp;""," "," "))</f>
        <v/>
      </c>
      <c r="L700">
        <f>TRIM(SUBSTITUTE(INDEX('Call accounts and MMFs'!$C:$C,ROW())&amp;""," "," "))</f>
        <v/>
      </c>
      <c r="M700">
        <f>IFERROR(--INDEX('Call accounts and MMFs'!$D:$D,ROW()),0)</f>
        <v/>
      </c>
      <c r="N700">
        <f>IFERROR(IF(--INDEX('Call accounts and MMFs'!$E:$E,ROW())&gt;=1,--INDEX('Call accounts and MMFs'!$E:$E,ROW())/100,--INDEX('Call accounts and MMFs'!$E:$E,ROW())),0)</f>
        <v/>
      </c>
      <c r="O700">
        <f>IFERROR(--INDEX('Call accounts and MMFs'!$F:$F,ROW()),0)</f>
        <v/>
      </c>
      <c r="P700">
        <f>IF(ISNUMBER(INDEX('Call accounts and MMFs'!$E:$E,ROW())),1,0)</f>
        <v/>
      </c>
      <c r="Q700">
        <f>TRIM(SUBSTITUTE(INDEX('Pooled funds'!$B:$B,ROW())&amp;""," "," "))</f>
        <v/>
      </c>
      <c r="R700">
        <f>IFERROR(--INDEX('Pooled funds'!$C:$C,ROW()),0)</f>
        <v/>
      </c>
      <c r="S700">
        <f>IFERROR(--INDEX('Pooled funds'!$D:$D,ROW()),0)</f>
        <v/>
      </c>
      <c r="T700">
        <f>IFERROR(IF(--INDEX('Pooled funds'!$E:$E,ROW())&gt;=1,--INDEX('Pooled funds'!$E:$E,ROW())/100,--INDEX('Pooled funds'!$E:$E,ROW())),0)</f>
        <v/>
      </c>
      <c r="U700">
        <f>IF(ISNUMBER(INDEX('Pooled funds'!$E:$E,ROW())),1,0)</f>
        <v/>
      </c>
      <c r="V700">
        <f>TRIM(SUBSTITUTE(INDEX('Loans'!$A:$A,ROW())&amp;""," "," "))</f>
        <v/>
      </c>
      <c r="W700">
        <f>TRIM(SUBSTITUTE(INDEX('Loans'!$B:$B,ROW())&amp;""," "," "))</f>
        <v/>
      </c>
      <c r="X700">
        <f>TRIM(SUBSTITUTE(INDEX('Loans'!$C:$C,ROW())&amp;""," "," "))</f>
        <v/>
      </c>
      <c r="Y700">
        <f>IFERROR(--INDEX('Loans'!$D:$D,ROW()),0)</f>
        <v/>
      </c>
      <c r="Z700">
        <f>IFERROR(--INDEX('Loans'!$E:$E,ROW()),0)</f>
        <v/>
      </c>
      <c r="AA700">
        <f>IFERROR(--INDEX('Loans'!$F:$F,ROW()),0)</f>
        <v/>
      </c>
      <c r="AB700">
        <f>IFERROR(IF(--INDEX('Loans'!$G:$G,ROW())&gt;=1,--INDEX('Loans'!$G:$G,ROW())/100,--INDEX('Loans'!$G:$G,ROW())),0)</f>
        <v/>
      </c>
      <c r="AC700">
        <f>TRIM(SUBSTITUTE(INDEX('Loans'!$H:$H,ROW())&amp;""," "," "))</f>
        <v/>
      </c>
      <c r="AD700">
        <f>TRIM(SUBSTITUTE(INDEX('Loans'!$I:$I,ROW())&amp;""," "," "))</f>
        <v/>
      </c>
      <c r="AE700">
        <f>IFERROR(--INDEX('Loans'!$J:$J,ROW()),0)</f>
        <v/>
      </c>
      <c r="AF700">
        <f>TRIM(SUBSTITUTE(INDEX('Loans'!$K:$K,ROW())&amp;""," "," "))</f>
        <v/>
      </c>
      <c r="AG700">
        <f>IFERROR(--INDEX('Loans'!$L:$L,ROW()),0)</f>
        <v/>
      </c>
      <c r="AH700">
        <f>IF(ISNUMBER(INDEX('Loans'!$G:$G,ROW())),1,0)</f>
        <v/>
      </c>
    </row>
    <row r="701">
      <c r="A701">
        <f>TRIM(SUBSTITUTE(INDEX('Term investments'!$A:$A,ROW())&amp;""," "," "))</f>
        <v/>
      </c>
      <c r="B701">
        <f>TRIM(SUBSTITUTE(INDEX('Term investments'!$B:$B,ROW())&amp;""," "," "))</f>
        <v/>
      </c>
      <c r="C701">
        <f>TRIM(SUBSTITUTE(INDEX('Term investments'!$C:$C,ROW())&amp;""," "," "))</f>
        <v/>
      </c>
      <c r="D701">
        <f>IFERROR(--INDEX('Term investments'!$D:$D,ROW()),0)</f>
        <v/>
      </c>
      <c r="E701">
        <f>IFERROR(--INDEX('Term investments'!$E:$E,ROW()),0)</f>
        <v/>
      </c>
      <c r="F701">
        <f>IFERROR(--INDEX('Term investments'!$F:$F,ROW()),0)</f>
        <v/>
      </c>
      <c r="G701">
        <f>IFERROR(IF(--INDEX('Term investments'!$G:$G,ROW())&gt;=1,--INDEX('Term investments'!$G:$G,ROW())/100,--INDEX('Term investments'!$G:$G,ROW())),0)</f>
        <v/>
      </c>
      <c r="H701">
        <f>IFERROR(--INDEX('Term investments'!$H:$H,ROW()),0)</f>
        <v/>
      </c>
      <c r="I701">
        <f>IF(ISNUMBER(INDEX('Term investments'!$G:$G,ROW())),1,0)</f>
        <v/>
      </c>
      <c r="J701">
        <f>TRIM(SUBSTITUTE(INDEX('Call accounts and MMFs'!$A:$A,ROW())&amp;""," "," "))</f>
        <v/>
      </c>
      <c r="K701">
        <f>TRIM(SUBSTITUTE(INDEX('Call accounts and MMFs'!$B:$B,ROW())&amp;""," "," "))</f>
        <v/>
      </c>
      <c r="L701">
        <f>TRIM(SUBSTITUTE(INDEX('Call accounts and MMFs'!$C:$C,ROW())&amp;""," "," "))</f>
        <v/>
      </c>
      <c r="M701">
        <f>IFERROR(--INDEX('Call accounts and MMFs'!$D:$D,ROW()),0)</f>
        <v/>
      </c>
      <c r="N701">
        <f>IFERROR(IF(--INDEX('Call accounts and MMFs'!$E:$E,ROW())&gt;=1,--INDEX('Call accounts and MMFs'!$E:$E,ROW())/100,--INDEX('Call accounts and MMFs'!$E:$E,ROW())),0)</f>
        <v/>
      </c>
      <c r="O701">
        <f>IFERROR(--INDEX('Call accounts and MMFs'!$F:$F,ROW()),0)</f>
        <v/>
      </c>
      <c r="P701">
        <f>IF(ISNUMBER(INDEX('Call accounts and MMFs'!$E:$E,ROW())),1,0)</f>
        <v/>
      </c>
      <c r="Q701">
        <f>TRIM(SUBSTITUTE(INDEX('Pooled funds'!$B:$B,ROW())&amp;""," "," "))</f>
        <v/>
      </c>
      <c r="R701">
        <f>IFERROR(--INDEX('Pooled funds'!$C:$C,ROW()),0)</f>
        <v/>
      </c>
      <c r="S701">
        <f>IFERROR(--INDEX('Pooled funds'!$D:$D,ROW()),0)</f>
        <v/>
      </c>
      <c r="T701">
        <f>IFERROR(IF(--INDEX('Pooled funds'!$E:$E,ROW())&gt;=1,--INDEX('Pooled funds'!$E:$E,ROW())/100,--INDEX('Pooled funds'!$E:$E,ROW())),0)</f>
        <v/>
      </c>
      <c r="U701">
        <f>IF(ISNUMBER(INDEX('Pooled funds'!$E:$E,ROW())),1,0)</f>
        <v/>
      </c>
      <c r="V701">
        <f>TRIM(SUBSTITUTE(INDEX('Loans'!$A:$A,ROW())&amp;""," "," "))</f>
        <v/>
      </c>
      <c r="W701">
        <f>TRIM(SUBSTITUTE(INDEX('Loans'!$B:$B,ROW())&amp;""," "," "))</f>
        <v/>
      </c>
      <c r="X701">
        <f>TRIM(SUBSTITUTE(INDEX('Loans'!$C:$C,ROW())&amp;""," "," "))</f>
        <v/>
      </c>
      <c r="Y701">
        <f>IFERROR(--INDEX('Loans'!$D:$D,ROW()),0)</f>
        <v/>
      </c>
      <c r="Z701">
        <f>IFERROR(--INDEX('Loans'!$E:$E,ROW()),0)</f>
        <v/>
      </c>
      <c r="AA701">
        <f>IFERROR(--INDEX('Loans'!$F:$F,ROW()),0)</f>
        <v/>
      </c>
      <c r="AB701">
        <f>IFERROR(IF(--INDEX('Loans'!$G:$G,ROW())&gt;=1,--INDEX('Loans'!$G:$G,ROW())/100,--INDEX('Loans'!$G:$G,ROW())),0)</f>
        <v/>
      </c>
      <c r="AC701">
        <f>TRIM(SUBSTITUTE(INDEX('Loans'!$H:$H,ROW())&amp;""," "," "))</f>
        <v/>
      </c>
      <c r="AD701">
        <f>TRIM(SUBSTITUTE(INDEX('Loans'!$I:$I,ROW())&amp;""," "," "))</f>
        <v/>
      </c>
      <c r="AE701">
        <f>IFERROR(--INDEX('Loans'!$J:$J,ROW()),0)</f>
        <v/>
      </c>
      <c r="AF701">
        <f>TRIM(SUBSTITUTE(INDEX('Loans'!$K:$K,ROW())&amp;""," "," "))</f>
        <v/>
      </c>
      <c r="AG701">
        <f>IFERROR(--INDEX('Loans'!$L:$L,ROW()),0)</f>
        <v/>
      </c>
      <c r="AH701">
        <f>IF(ISNUMBER(INDEX('Loans'!$G:$G,ROW())),1,0)</f>
        <v/>
      </c>
    </row>
    <row r="702">
      <c r="A702">
        <f>TRIM(SUBSTITUTE(INDEX('Term investments'!$A:$A,ROW())&amp;""," "," "))</f>
        <v/>
      </c>
      <c r="B702">
        <f>TRIM(SUBSTITUTE(INDEX('Term investments'!$B:$B,ROW())&amp;""," "," "))</f>
        <v/>
      </c>
      <c r="C702">
        <f>TRIM(SUBSTITUTE(INDEX('Term investments'!$C:$C,ROW())&amp;""," "," "))</f>
        <v/>
      </c>
      <c r="D702">
        <f>IFERROR(--INDEX('Term investments'!$D:$D,ROW()),0)</f>
        <v/>
      </c>
      <c r="E702">
        <f>IFERROR(--INDEX('Term investments'!$E:$E,ROW()),0)</f>
        <v/>
      </c>
      <c r="F702">
        <f>IFERROR(--INDEX('Term investments'!$F:$F,ROW()),0)</f>
        <v/>
      </c>
      <c r="G702">
        <f>IFERROR(IF(--INDEX('Term investments'!$G:$G,ROW())&gt;=1,--INDEX('Term investments'!$G:$G,ROW())/100,--INDEX('Term investments'!$G:$G,ROW())),0)</f>
        <v/>
      </c>
      <c r="H702">
        <f>IFERROR(--INDEX('Term investments'!$H:$H,ROW()),0)</f>
        <v/>
      </c>
      <c r="I702">
        <f>IF(ISNUMBER(INDEX('Term investments'!$G:$G,ROW())),1,0)</f>
        <v/>
      </c>
      <c r="J702">
        <f>TRIM(SUBSTITUTE(INDEX('Call accounts and MMFs'!$A:$A,ROW())&amp;""," "," "))</f>
        <v/>
      </c>
      <c r="K702">
        <f>TRIM(SUBSTITUTE(INDEX('Call accounts and MMFs'!$B:$B,ROW())&amp;""," "," "))</f>
        <v/>
      </c>
      <c r="L702">
        <f>TRIM(SUBSTITUTE(INDEX('Call accounts and MMFs'!$C:$C,ROW())&amp;""," "," "))</f>
        <v/>
      </c>
      <c r="M702">
        <f>IFERROR(--INDEX('Call accounts and MMFs'!$D:$D,ROW()),0)</f>
        <v/>
      </c>
      <c r="N702">
        <f>IFERROR(IF(--INDEX('Call accounts and MMFs'!$E:$E,ROW())&gt;=1,--INDEX('Call accounts and MMFs'!$E:$E,ROW())/100,--INDEX('Call accounts and MMFs'!$E:$E,ROW())),0)</f>
        <v/>
      </c>
      <c r="O702">
        <f>IFERROR(--INDEX('Call accounts and MMFs'!$F:$F,ROW()),0)</f>
        <v/>
      </c>
      <c r="P702">
        <f>IF(ISNUMBER(INDEX('Call accounts and MMFs'!$E:$E,ROW())),1,0)</f>
        <v/>
      </c>
      <c r="Q702">
        <f>TRIM(SUBSTITUTE(INDEX('Pooled funds'!$B:$B,ROW())&amp;""," "," "))</f>
        <v/>
      </c>
      <c r="R702">
        <f>IFERROR(--INDEX('Pooled funds'!$C:$C,ROW()),0)</f>
        <v/>
      </c>
      <c r="S702">
        <f>IFERROR(--INDEX('Pooled funds'!$D:$D,ROW()),0)</f>
        <v/>
      </c>
      <c r="T702">
        <f>IFERROR(IF(--INDEX('Pooled funds'!$E:$E,ROW())&gt;=1,--INDEX('Pooled funds'!$E:$E,ROW())/100,--INDEX('Pooled funds'!$E:$E,ROW())),0)</f>
        <v/>
      </c>
      <c r="U702">
        <f>IF(ISNUMBER(INDEX('Pooled funds'!$E:$E,ROW())),1,0)</f>
        <v/>
      </c>
      <c r="V702">
        <f>TRIM(SUBSTITUTE(INDEX('Loans'!$A:$A,ROW())&amp;""," "," "))</f>
        <v/>
      </c>
      <c r="W702">
        <f>TRIM(SUBSTITUTE(INDEX('Loans'!$B:$B,ROW())&amp;""," "," "))</f>
        <v/>
      </c>
      <c r="X702">
        <f>TRIM(SUBSTITUTE(INDEX('Loans'!$C:$C,ROW())&amp;""," "," "))</f>
        <v/>
      </c>
      <c r="Y702">
        <f>IFERROR(--INDEX('Loans'!$D:$D,ROW()),0)</f>
        <v/>
      </c>
      <c r="Z702">
        <f>IFERROR(--INDEX('Loans'!$E:$E,ROW()),0)</f>
        <v/>
      </c>
      <c r="AA702">
        <f>IFERROR(--INDEX('Loans'!$F:$F,ROW()),0)</f>
        <v/>
      </c>
      <c r="AB702">
        <f>IFERROR(IF(--INDEX('Loans'!$G:$G,ROW())&gt;=1,--INDEX('Loans'!$G:$G,ROW())/100,--INDEX('Loans'!$G:$G,ROW())),0)</f>
        <v/>
      </c>
      <c r="AC702">
        <f>TRIM(SUBSTITUTE(INDEX('Loans'!$H:$H,ROW())&amp;""," "," "))</f>
        <v/>
      </c>
      <c r="AD702">
        <f>TRIM(SUBSTITUTE(INDEX('Loans'!$I:$I,ROW())&amp;""," "," "))</f>
        <v/>
      </c>
      <c r="AE702">
        <f>IFERROR(--INDEX('Loans'!$J:$J,ROW()),0)</f>
        <v/>
      </c>
      <c r="AF702">
        <f>TRIM(SUBSTITUTE(INDEX('Loans'!$K:$K,ROW())&amp;""," "," "))</f>
        <v/>
      </c>
      <c r="AG702">
        <f>IFERROR(--INDEX('Loans'!$L:$L,ROW()),0)</f>
        <v/>
      </c>
      <c r="AH702">
        <f>IF(ISNUMBER(INDEX('Loans'!$G:$G,ROW())),1,0)</f>
        <v/>
      </c>
    </row>
    <row r="703">
      <c r="A703">
        <f>TRIM(SUBSTITUTE(INDEX('Term investments'!$A:$A,ROW())&amp;""," "," "))</f>
        <v/>
      </c>
      <c r="B703">
        <f>TRIM(SUBSTITUTE(INDEX('Term investments'!$B:$B,ROW())&amp;""," "," "))</f>
        <v/>
      </c>
      <c r="C703">
        <f>TRIM(SUBSTITUTE(INDEX('Term investments'!$C:$C,ROW())&amp;""," "," "))</f>
        <v/>
      </c>
      <c r="D703">
        <f>IFERROR(--INDEX('Term investments'!$D:$D,ROW()),0)</f>
        <v/>
      </c>
      <c r="E703">
        <f>IFERROR(--INDEX('Term investments'!$E:$E,ROW()),0)</f>
        <v/>
      </c>
      <c r="F703">
        <f>IFERROR(--INDEX('Term investments'!$F:$F,ROW()),0)</f>
        <v/>
      </c>
      <c r="G703">
        <f>IFERROR(IF(--INDEX('Term investments'!$G:$G,ROW())&gt;=1,--INDEX('Term investments'!$G:$G,ROW())/100,--INDEX('Term investments'!$G:$G,ROW())),0)</f>
        <v/>
      </c>
      <c r="H703">
        <f>IFERROR(--INDEX('Term investments'!$H:$H,ROW()),0)</f>
        <v/>
      </c>
      <c r="I703">
        <f>IF(ISNUMBER(INDEX('Term investments'!$G:$G,ROW())),1,0)</f>
        <v/>
      </c>
      <c r="J703">
        <f>TRIM(SUBSTITUTE(INDEX('Call accounts and MMFs'!$A:$A,ROW())&amp;""," "," "))</f>
        <v/>
      </c>
      <c r="K703">
        <f>TRIM(SUBSTITUTE(INDEX('Call accounts and MMFs'!$B:$B,ROW())&amp;""," "," "))</f>
        <v/>
      </c>
      <c r="L703">
        <f>TRIM(SUBSTITUTE(INDEX('Call accounts and MMFs'!$C:$C,ROW())&amp;""," "," "))</f>
        <v/>
      </c>
      <c r="M703">
        <f>IFERROR(--INDEX('Call accounts and MMFs'!$D:$D,ROW()),0)</f>
        <v/>
      </c>
      <c r="N703">
        <f>IFERROR(IF(--INDEX('Call accounts and MMFs'!$E:$E,ROW())&gt;=1,--INDEX('Call accounts and MMFs'!$E:$E,ROW())/100,--INDEX('Call accounts and MMFs'!$E:$E,ROW())),0)</f>
        <v/>
      </c>
      <c r="O703">
        <f>IFERROR(--INDEX('Call accounts and MMFs'!$F:$F,ROW()),0)</f>
        <v/>
      </c>
      <c r="P703">
        <f>IF(ISNUMBER(INDEX('Call accounts and MMFs'!$E:$E,ROW())),1,0)</f>
        <v/>
      </c>
      <c r="Q703">
        <f>TRIM(SUBSTITUTE(INDEX('Pooled funds'!$B:$B,ROW())&amp;""," "," "))</f>
        <v/>
      </c>
      <c r="R703">
        <f>IFERROR(--INDEX('Pooled funds'!$C:$C,ROW()),0)</f>
        <v/>
      </c>
      <c r="S703">
        <f>IFERROR(--INDEX('Pooled funds'!$D:$D,ROW()),0)</f>
        <v/>
      </c>
      <c r="T703">
        <f>IFERROR(IF(--INDEX('Pooled funds'!$E:$E,ROW())&gt;=1,--INDEX('Pooled funds'!$E:$E,ROW())/100,--INDEX('Pooled funds'!$E:$E,ROW())),0)</f>
        <v/>
      </c>
      <c r="U703">
        <f>IF(ISNUMBER(INDEX('Pooled funds'!$E:$E,ROW())),1,0)</f>
        <v/>
      </c>
      <c r="V703">
        <f>TRIM(SUBSTITUTE(INDEX('Loans'!$A:$A,ROW())&amp;""," "," "))</f>
        <v/>
      </c>
      <c r="W703">
        <f>TRIM(SUBSTITUTE(INDEX('Loans'!$B:$B,ROW())&amp;""," "," "))</f>
        <v/>
      </c>
      <c r="X703">
        <f>TRIM(SUBSTITUTE(INDEX('Loans'!$C:$C,ROW())&amp;""," "," "))</f>
        <v/>
      </c>
      <c r="Y703">
        <f>IFERROR(--INDEX('Loans'!$D:$D,ROW()),0)</f>
        <v/>
      </c>
      <c r="Z703">
        <f>IFERROR(--INDEX('Loans'!$E:$E,ROW()),0)</f>
        <v/>
      </c>
      <c r="AA703">
        <f>IFERROR(--INDEX('Loans'!$F:$F,ROW()),0)</f>
        <v/>
      </c>
      <c r="AB703">
        <f>IFERROR(IF(--INDEX('Loans'!$G:$G,ROW())&gt;=1,--INDEX('Loans'!$G:$G,ROW())/100,--INDEX('Loans'!$G:$G,ROW())),0)</f>
        <v/>
      </c>
      <c r="AC703">
        <f>TRIM(SUBSTITUTE(INDEX('Loans'!$H:$H,ROW())&amp;""," "," "))</f>
        <v/>
      </c>
      <c r="AD703">
        <f>TRIM(SUBSTITUTE(INDEX('Loans'!$I:$I,ROW())&amp;""," "," "))</f>
        <v/>
      </c>
      <c r="AE703">
        <f>IFERROR(--INDEX('Loans'!$J:$J,ROW()),0)</f>
        <v/>
      </c>
      <c r="AF703">
        <f>TRIM(SUBSTITUTE(INDEX('Loans'!$K:$K,ROW())&amp;""," "," "))</f>
        <v/>
      </c>
      <c r="AG703">
        <f>IFERROR(--INDEX('Loans'!$L:$L,ROW()),0)</f>
        <v/>
      </c>
      <c r="AH703">
        <f>IF(ISNUMBER(INDEX('Loans'!$G:$G,ROW())),1,0)</f>
        <v/>
      </c>
    </row>
    <row r="704">
      <c r="A704">
        <f>TRIM(SUBSTITUTE(INDEX('Term investments'!$A:$A,ROW())&amp;""," "," "))</f>
        <v/>
      </c>
      <c r="B704">
        <f>TRIM(SUBSTITUTE(INDEX('Term investments'!$B:$B,ROW())&amp;""," "," "))</f>
        <v/>
      </c>
      <c r="C704">
        <f>TRIM(SUBSTITUTE(INDEX('Term investments'!$C:$C,ROW())&amp;""," "," "))</f>
        <v/>
      </c>
      <c r="D704">
        <f>IFERROR(--INDEX('Term investments'!$D:$D,ROW()),0)</f>
        <v/>
      </c>
      <c r="E704">
        <f>IFERROR(--INDEX('Term investments'!$E:$E,ROW()),0)</f>
        <v/>
      </c>
      <c r="F704">
        <f>IFERROR(--INDEX('Term investments'!$F:$F,ROW()),0)</f>
        <v/>
      </c>
      <c r="G704">
        <f>IFERROR(IF(--INDEX('Term investments'!$G:$G,ROW())&gt;=1,--INDEX('Term investments'!$G:$G,ROW())/100,--INDEX('Term investments'!$G:$G,ROW())),0)</f>
        <v/>
      </c>
      <c r="H704">
        <f>IFERROR(--INDEX('Term investments'!$H:$H,ROW()),0)</f>
        <v/>
      </c>
      <c r="I704">
        <f>IF(ISNUMBER(INDEX('Term investments'!$G:$G,ROW())),1,0)</f>
        <v/>
      </c>
      <c r="J704">
        <f>TRIM(SUBSTITUTE(INDEX('Call accounts and MMFs'!$A:$A,ROW())&amp;""," "," "))</f>
        <v/>
      </c>
      <c r="K704">
        <f>TRIM(SUBSTITUTE(INDEX('Call accounts and MMFs'!$B:$B,ROW())&amp;""," "," "))</f>
        <v/>
      </c>
      <c r="L704">
        <f>TRIM(SUBSTITUTE(INDEX('Call accounts and MMFs'!$C:$C,ROW())&amp;""," "," "))</f>
        <v/>
      </c>
      <c r="M704">
        <f>IFERROR(--INDEX('Call accounts and MMFs'!$D:$D,ROW()),0)</f>
        <v/>
      </c>
      <c r="N704">
        <f>IFERROR(IF(--INDEX('Call accounts and MMFs'!$E:$E,ROW())&gt;=1,--INDEX('Call accounts and MMFs'!$E:$E,ROW())/100,--INDEX('Call accounts and MMFs'!$E:$E,ROW())),0)</f>
        <v/>
      </c>
      <c r="O704">
        <f>IFERROR(--INDEX('Call accounts and MMFs'!$F:$F,ROW()),0)</f>
        <v/>
      </c>
      <c r="P704">
        <f>IF(ISNUMBER(INDEX('Call accounts and MMFs'!$E:$E,ROW())),1,0)</f>
        <v/>
      </c>
      <c r="Q704">
        <f>TRIM(SUBSTITUTE(INDEX('Pooled funds'!$B:$B,ROW())&amp;""," "," "))</f>
        <v/>
      </c>
      <c r="R704">
        <f>IFERROR(--INDEX('Pooled funds'!$C:$C,ROW()),0)</f>
        <v/>
      </c>
      <c r="S704">
        <f>IFERROR(--INDEX('Pooled funds'!$D:$D,ROW()),0)</f>
        <v/>
      </c>
      <c r="T704">
        <f>IFERROR(IF(--INDEX('Pooled funds'!$E:$E,ROW())&gt;=1,--INDEX('Pooled funds'!$E:$E,ROW())/100,--INDEX('Pooled funds'!$E:$E,ROW())),0)</f>
        <v/>
      </c>
      <c r="U704">
        <f>IF(ISNUMBER(INDEX('Pooled funds'!$E:$E,ROW())),1,0)</f>
        <v/>
      </c>
      <c r="V704">
        <f>TRIM(SUBSTITUTE(INDEX('Loans'!$A:$A,ROW())&amp;""," "," "))</f>
        <v/>
      </c>
      <c r="W704">
        <f>TRIM(SUBSTITUTE(INDEX('Loans'!$B:$B,ROW())&amp;""," "," "))</f>
        <v/>
      </c>
      <c r="X704">
        <f>TRIM(SUBSTITUTE(INDEX('Loans'!$C:$C,ROW())&amp;""," "," "))</f>
        <v/>
      </c>
      <c r="Y704">
        <f>IFERROR(--INDEX('Loans'!$D:$D,ROW()),0)</f>
        <v/>
      </c>
      <c r="Z704">
        <f>IFERROR(--INDEX('Loans'!$E:$E,ROW()),0)</f>
        <v/>
      </c>
      <c r="AA704">
        <f>IFERROR(--INDEX('Loans'!$F:$F,ROW()),0)</f>
        <v/>
      </c>
      <c r="AB704">
        <f>IFERROR(IF(--INDEX('Loans'!$G:$G,ROW())&gt;=1,--INDEX('Loans'!$G:$G,ROW())/100,--INDEX('Loans'!$G:$G,ROW())),0)</f>
        <v/>
      </c>
      <c r="AC704">
        <f>TRIM(SUBSTITUTE(INDEX('Loans'!$H:$H,ROW())&amp;""," "," "))</f>
        <v/>
      </c>
      <c r="AD704">
        <f>TRIM(SUBSTITUTE(INDEX('Loans'!$I:$I,ROW())&amp;""," "," "))</f>
        <v/>
      </c>
      <c r="AE704">
        <f>IFERROR(--INDEX('Loans'!$J:$J,ROW()),0)</f>
        <v/>
      </c>
      <c r="AF704">
        <f>TRIM(SUBSTITUTE(INDEX('Loans'!$K:$K,ROW())&amp;""," "," "))</f>
        <v/>
      </c>
      <c r="AG704">
        <f>IFERROR(--INDEX('Loans'!$L:$L,ROW()),0)</f>
        <v/>
      </c>
      <c r="AH704">
        <f>IF(ISNUMBER(INDEX('Loans'!$G:$G,ROW())),1,0)</f>
        <v/>
      </c>
    </row>
    <row r="705">
      <c r="A705">
        <f>TRIM(SUBSTITUTE(INDEX('Term investments'!$A:$A,ROW())&amp;""," "," "))</f>
        <v/>
      </c>
      <c r="B705">
        <f>TRIM(SUBSTITUTE(INDEX('Term investments'!$B:$B,ROW())&amp;""," "," "))</f>
        <v/>
      </c>
      <c r="C705">
        <f>TRIM(SUBSTITUTE(INDEX('Term investments'!$C:$C,ROW())&amp;""," "," "))</f>
        <v/>
      </c>
      <c r="D705">
        <f>IFERROR(--INDEX('Term investments'!$D:$D,ROW()),0)</f>
        <v/>
      </c>
      <c r="E705">
        <f>IFERROR(--INDEX('Term investments'!$E:$E,ROW()),0)</f>
        <v/>
      </c>
      <c r="F705">
        <f>IFERROR(--INDEX('Term investments'!$F:$F,ROW()),0)</f>
        <v/>
      </c>
      <c r="G705">
        <f>IFERROR(IF(--INDEX('Term investments'!$G:$G,ROW())&gt;=1,--INDEX('Term investments'!$G:$G,ROW())/100,--INDEX('Term investments'!$G:$G,ROW())),0)</f>
        <v/>
      </c>
      <c r="H705">
        <f>IFERROR(--INDEX('Term investments'!$H:$H,ROW()),0)</f>
        <v/>
      </c>
      <c r="I705">
        <f>IF(ISNUMBER(INDEX('Term investments'!$G:$G,ROW())),1,0)</f>
        <v/>
      </c>
      <c r="J705">
        <f>TRIM(SUBSTITUTE(INDEX('Call accounts and MMFs'!$A:$A,ROW())&amp;""," "," "))</f>
        <v/>
      </c>
      <c r="K705">
        <f>TRIM(SUBSTITUTE(INDEX('Call accounts and MMFs'!$B:$B,ROW())&amp;""," "," "))</f>
        <v/>
      </c>
      <c r="L705">
        <f>TRIM(SUBSTITUTE(INDEX('Call accounts and MMFs'!$C:$C,ROW())&amp;""," "," "))</f>
        <v/>
      </c>
      <c r="M705">
        <f>IFERROR(--INDEX('Call accounts and MMFs'!$D:$D,ROW()),0)</f>
        <v/>
      </c>
      <c r="N705">
        <f>IFERROR(IF(--INDEX('Call accounts and MMFs'!$E:$E,ROW())&gt;=1,--INDEX('Call accounts and MMFs'!$E:$E,ROW())/100,--INDEX('Call accounts and MMFs'!$E:$E,ROW())),0)</f>
        <v/>
      </c>
      <c r="O705">
        <f>IFERROR(--INDEX('Call accounts and MMFs'!$F:$F,ROW()),0)</f>
        <v/>
      </c>
      <c r="P705">
        <f>IF(ISNUMBER(INDEX('Call accounts and MMFs'!$E:$E,ROW())),1,0)</f>
        <v/>
      </c>
      <c r="Q705">
        <f>TRIM(SUBSTITUTE(INDEX('Pooled funds'!$B:$B,ROW())&amp;""," "," "))</f>
        <v/>
      </c>
      <c r="R705">
        <f>IFERROR(--INDEX('Pooled funds'!$C:$C,ROW()),0)</f>
        <v/>
      </c>
      <c r="S705">
        <f>IFERROR(--INDEX('Pooled funds'!$D:$D,ROW()),0)</f>
        <v/>
      </c>
      <c r="T705">
        <f>IFERROR(IF(--INDEX('Pooled funds'!$E:$E,ROW())&gt;=1,--INDEX('Pooled funds'!$E:$E,ROW())/100,--INDEX('Pooled funds'!$E:$E,ROW())),0)</f>
        <v/>
      </c>
      <c r="U705">
        <f>IF(ISNUMBER(INDEX('Pooled funds'!$E:$E,ROW())),1,0)</f>
        <v/>
      </c>
      <c r="V705">
        <f>TRIM(SUBSTITUTE(INDEX('Loans'!$A:$A,ROW())&amp;""," "," "))</f>
        <v/>
      </c>
      <c r="W705">
        <f>TRIM(SUBSTITUTE(INDEX('Loans'!$B:$B,ROW())&amp;""," "," "))</f>
        <v/>
      </c>
      <c r="X705">
        <f>TRIM(SUBSTITUTE(INDEX('Loans'!$C:$C,ROW())&amp;""," "," "))</f>
        <v/>
      </c>
      <c r="Y705">
        <f>IFERROR(--INDEX('Loans'!$D:$D,ROW()),0)</f>
        <v/>
      </c>
      <c r="Z705">
        <f>IFERROR(--INDEX('Loans'!$E:$E,ROW()),0)</f>
        <v/>
      </c>
      <c r="AA705">
        <f>IFERROR(--INDEX('Loans'!$F:$F,ROW()),0)</f>
        <v/>
      </c>
      <c r="AB705">
        <f>IFERROR(IF(--INDEX('Loans'!$G:$G,ROW())&gt;=1,--INDEX('Loans'!$G:$G,ROW())/100,--INDEX('Loans'!$G:$G,ROW())),0)</f>
        <v/>
      </c>
      <c r="AC705">
        <f>TRIM(SUBSTITUTE(INDEX('Loans'!$H:$H,ROW())&amp;""," "," "))</f>
        <v/>
      </c>
      <c r="AD705">
        <f>TRIM(SUBSTITUTE(INDEX('Loans'!$I:$I,ROW())&amp;""," "," "))</f>
        <v/>
      </c>
      <c r="AE705">
        <f>IFERROR(--INDEX('Loans'!$J:$J,ROW()),0)</f>
        <v/>
      </c>
      <c r="AF705">
        <f>TRIM(SUBSTITUTE(INDEX('Loans'!$K:$K,ROW())&amp;""," "," "))</f>
        <v/>
      </c>
      <c r="AG705">
        <f>IFERROR(--INDEX('Loans'!$L:$L,ROW()),0)</f>
        <v/>
      </c>
      <c r="AH705">
        <f>IF(ISNUMBER(INDEX('Loans'!$G:$G,ROW())),1,0)</f>
        <v/>
      </c>
    </row>
    <row r="706">
      <c r="A706">
        <f>TRIM(SUBSTITUTE(INDEX('Term investments'!$A:$A,ROW())&amp;""," "," "))</f>
        <v/>
      </c>
      <c r="B706">
        <f>TRIM(SUBSTITUTE(INDEX('Term investments'!$B:$B,ROW())&amp;""," "," "))</f>
        <v/>
      </c>
      <c r="C706">
        <f>TRIM(SUBSTITUTE(INDEX('Term investments'!$C:$C,ROW())&amp;""," "," "))</f>
        <v/>
      </c>
      <c r="D706">
        <f>IFERROR(--INDEX('Term investments'!$D:$D,ROW()),0)</f>
        <v/>
      </c>
      <c r="E706">
        <f>IFERROR(--INDEX('Term investments'!$E:$E,ROW()),0)</f>
        <v/>
      </c>
      <c r="F706">
        <f>IFERROR(--INDEX('Term investments'!$F:$F,ROW()),0)</f>
        <v/>
      </c>
      <c r="G706">
        <f>IFERROR(IF(--INDEX('Term investments'!$G:$G,ROW())&gt;=1,--INDEX('Term investments'!$G:$G,ROW())/100,--INDEX('Term investments'!$G:$G,ROW())),0)</f>
        <v/>
      </c>
      <c r="H706">
        <f>IFERROR(--INDEX('Term investments'!$H:$H,ROW()),0)</f>
        <v/>
      </c>
      <c r="I706">
        <f>IF(ISNUMBER(INDEX('Term investments'!$G:$G,ROW())),1,0)</f>
        <v/>
      </c>
      <c r="J706">
        <f>TRIM(SUBSTITUTE(INDEX('Call accounts and MMFs'!$A:$A,ROW())&amp;""," "," "))</f>
        <v/>
      </c>
      <c r="K706">
        <f>TRIM(SUBSTITUTE(INDEX('Call accounts and MMFs'!$B:$B,ROW())&amp;""," "," "))</f>
        <v/>
      </c>
      <c r="L706">
        <f>TRIM(SUBSTITUTE(INDEX('Call accounts and MMFs'!$C:$C,ROW())&amp;""," "," "))</f>
        <v/>
      </c>
      <c r="M706">
        <f>IFERROR(--INDEX('Call accounts and MMFs'!$D:$D,ROW()),0)</f>
        <v/>
      </c>
      <c r="N706">
        <f>IFERROR(IF(--INDEX('Call accounts and MMFs'!$E:$E,ROW())&gt;=1,--INDEX('Call accounts and MMFs'!$E:$E,ROW())/100,--INDEX('Call accounts and MMFs'!$E:$E,ROW())),0)</f>
        <v/>
      </c>
      <c r="O706">
        <f>IFERROR(--INDEX('Call accounts and MMFs'!$F:$F,ROW()),0)</f>
        <v/>
      </c>
      <c r="P706">
        <f>IF(ISNUMBER(INDEX('Call accounts and MMFs'!$E:$E,ROW())),1,0)</f>
        <v/>
      </c>
      <c r="Q706">
        <f>TRIM(SUBSTITUTE(INDEX('Pooled funds'!$B:$B,ROW())&amp;""," "," "))</f>
        <v/>
      </c>
      <c r="R706">
        <f>IFERROR(--INDEX('Pooled funds'!$C:$C,ROW()),0)</f>
        <v/>
      </c>
      <c r="S706">
        <f>IFERROR(--INDEX('Pooled funds'!$D:$D,ROW()),0)</f>
        <v/>
      </c>
      <c r="T706">
        <f>IFERROR(IF(--INDEX('Pooled funds'!$E:$E,ROW())&gt;=1,--INDEX('Pooled funds'!$E:$E,ROW())/100,--INDEX('Pooled funds'!$E:$E,ROW())),0)</f>
        <v/>
      </c>
      <c r="U706">
        <f>IF(ISNUMBER(INDEX('Pooled funds'!$E:$E,ROW())),1,0)</f>
        <v/>
      </c>
      <c r="V706">
        <f>TRIM(SUBSTITUTE(INDEX('Loans'!$A:$A,ROW())&amp;""," "," "))</f>
        <v/>
      </c>
      <c r="W706">
        <f>TRIM(SUBSTITUTE(INDEX('Loans'!$B:$B,ROW())&amp;""," "," "))</f>
        <v/>
      </c>
      <c r="X706">
        <f>TRIM(SUBSTITUTE(INDEX('Loans'!$C:$C,ROW())&amp;""," "," "))</f>
        <v/>
      </c>
      <c r="Y706">
        <f>IFERROR(--INDEX('Loans'!$D:$D,ROW()),0)</f>
        <v/>
      </c>
      <c r="Z706">
        <f>IFERROR(--INDEX('Loans'!$E:$E,ROW()),0)</f>
        <v/>
      </c>
      <c r="AA706">
        <f>IFERROR(--INDEX('Loans'!$F:$F,ROW()),0)</f>
        <v/>
      </c>
      <c r="AB706">
        <f>IFERROR(IF(--INDEX('Loans'!$G:$G,ROW())&gt;=1,--INDEX('Loans'!$G:$G,ROW())/100,--INDEX('Loans'!$G:$G,ROW())),0)</f>
        <v/>
      </c>
      <c r="AC706">
        <f>TRIM(SUBSTITUTE(INDEX('Loans'!$H:$H,ROW())&amp;""," "," "))</f>
        <v/>
      </c>
      <c r="AD706">
        <f>TRIM(SUBSTITUTE(INDEX('Loans'!$I:$I,ROW())&amp;""," "," "))</f>
        <v/>
      </c>
      <c r="AE706">
        <f>IFERROR(--INDEX('Loans'!$J:$J,ROW()),0)</f>
        <v/>
      </c>
      <c r="AF706">
        <f>TRIM(SUBSTITUTE(INDEX('Loans'!$K:$K,ROW())&amp;""," "," "))</f>
        <v/>
      </c>
      <c r="AG706">
        <f>IFERROR(--INDEX('Loans'!$L:$L,ROW()),0)</f>
        <v/>
      </c>
      <c r="AH706">
        <f>IF(ISNUMBER(INDEX('Loans'!$G:$G,ROW())),1,0)</f>
        <v/>
      </c>
    </row>
    <row r="707">
      <c r="A707">
        <f>TRIM(SUBSTITUTE(INDEX('Term investments'!$A:$A,ROW())&amp;""," "," "))</f>
        <v/>
      </c>
      <c r="B707">
        <f>TRIM(SUBSTITUTE(INDEX('Term investments'!$B:$B,ROW())&amp;""," "," "))</f>
        <v/>
      </c>
      <c r="C707">
        <f>TRIM(SUBSTITUTE(INDEX('Term investments'!$C:$C,ROW())&amp;""," "," "))</f>
        <v/>
      </c>
      <c r="D707">
        <f>IFERROR(--INDEX('Term investments'!$D:$D,ROW()),0)</f>
        <v/>
      </c>
      <c r="E707">
        <f>IFERROR(--INDEX('Term investments'!$E:$E,ROW()),0)</f>
        <v/>
      </c>
      <c r="F707">
        <f>IFERROR(--INDEX('Term investments'!$F:$F,ROW()),0)</f>
        <v/>
      </c>
      <c r="G707">
        <f>IFERROR(IF(--INDEX('Term investments'!$G:$G,ROW())&gt;=1,--INDEX('Term investments'!$G:$G,ROW())/100,--INDEX('Term investments'!$G:$G,ROW())),0)</f>
        <v/>
      </c>
      <c r="H707">
        <f>IFERROR(--INDEX('Term investments'!$H:$H,ROW()),0)</f>
        <v/>
      </c>
      <c r="I707">
        <f>IF(ISNUMBER(INDEX('Term investments'!$G:$G,ROW())),1,0)</f>
        <v/>
      </c>
      <c r="J707">
        <f>TRIM(SUBSTITUTE(INDEX('Call accounts and MMFs'!$A:$A,ROW())&amp;""," "," "))</f>
        <v/>
      </c>
      <c r="K707">
        <f>TRIM(SUBSTITUTE(INDEX('Call accounts and MMFs'!$B:$B,ROW())&amp;""," "," "))</f>
        <v/>
      </c>
      <c r="L707">
        <f>TRIM(SUBSTITUTE(INDEX('Call accounts and MMFs'!$C:$C,ROW())&amp;""," "," "))</f>
        <v/>
      </c>
      <c r="M707">
        <f>IFERROR(--INDEX('Call accounts and MMFs'!$D:$D,ROW()),0)</f>
        <v/>
      </c>
      <c r="N707">
        <f>IFERROR(IF(--INDEX('Call accounts and MMFs'!$E:$E,ROW())&gt;=1,--INDEX('Call accounts and MMFs'!$E:$E,ROW())/100,--INDEX('Call accounts and MMFs'!$E:$E,ROW())),0)</f>
        <v/>
      </c>
      <c r="O707">
        <f>IFERROR(--INDEX('Call accounts and MMFs'!$F:$F,ROW()),0)</f>
        <v/>
      </c>
      <c r="P707">
        <f>IF(ISNUMBER(INDEX('Call accounts and MMFs'!$E:$E,ROW())),1,0)</f>
        <v/>
      </c>
      <c r="Q707">
        <f>TRIM(SUBSTITUTE(INDEX('Pooled funds'!$B:$B,ROW())&amp;""," "," "))</f>
        <v/>
      </c>
      <c r="R707">
        <f>IFERROR(--INDEX('Pooled funds'!$C:$C,ROW()),0)</f>
        <v/>
      </c>
      <c r="S707">
        <f>IFERROR(--INDEX('Pooled funds'!$D:$D,ROW()),0)</f>
        <v/>
      </c>
      <c r="T707">
        <f>IFERROR(IF(--INDEX('Pooled funds'!$E:$E,ROW())&gt;=1,--INDEX('Pooled funds'!$E:$E,ROW())/100,--INDEX('Pooled funds'!$E:$E,ROW())),0)</f>
        <v/>
      </c>
      <c r="U707">
        <f>IF(ISNUMBER(INDEX('Pooled funds'!$E:$E,ROW())),1,0)</f>
        <v/>
      </c>
      <c r="V707">
        <f>TRIM(SUBSTITUTE(INDEX('Loans'!$A:$A,ROW())&amp;""," "," "))</f>
        <v/>
      </c>
      <c r="W707">
        <f>TRIM(SUBSTITUTE(INDEX('Loans'!$B:$B,ROW())&amp;""," "," "))</f>
        <v/>
      </c>
      <c r="X707">
        <f>TRIM(SUBSTITUTE(INDEX('Loans'!$C:$C,ROW())&amp;""," "," "))</f>
        <v/>
      </c>
      <c r="Y707">
        <f>IFERROR(--INDEX('Loans'!$D:$D,ROW()),0)</f>
        <v/>
      </c>
      <c r="Z707">
        <f>IFERROR(--INDEX('Loans'!$E:$E,ROW()),0)</f>
        <v/>
      </c>
      <c r="AA707">
        <f>IFERROR(--INDEX('Loans'!$F:$F,ROW()),0)</f>
        <v/>
      </c>
      <c r="AB707">
        <f>IFERROR(IF(--INDEX('Loans'!$G:$G,ROW())&gt;=1,--INDEX('Loans'!$G:$G,ROW())/100,--INDEX('Loans'!$G:$G,ROW())),0)</f>
        <v/>
      </c>
      <c r="AC707">
        <f>TRIM(SUBSTITUTE(INDEX('Loans'!$H:$H,ROW())&amp;""," "," "))</f>
        <v/>
      </c>
      <c r="AD707">
        <f>TRIM(SUBSTITUTE(INDEX('Loans'!$I:$I,ROW())&amp;""," "," "))</f>
        <v/>
      </c>
      <c r="AE707">
        <f>IFERROR(--INDEX('Loans'!$J:$J,ROW()),0)</f>
        <v/>
      </c>
      <c r="AF707">
        <f>TRIM(SUBSTITUTE(INDEX('Loans'!$K:$K,ROW())&amp;""," "," "))</f>
        <v/>
      </c>
      <c r="AG707">
        <f>IFERROR(--INDEX('Loans'!$L:$L,ROW()),0)</f>
        <v/>
      </c>
      <c r="AH707">
        <f>IF(ISNUMBER(INDEX('Loans'!$G:$G,ROW())),1,0)</f>
        <v/>
      </c>
    </row>
    <row r="708">
      <c r="A708">
        <f>TRIM(SUBSTITUTE(INDEX('Term investments'!$A:$A,ROW())&amp;""," "," "))</f>
        <v/>
      </c>
      <c r="B708">
        <f>TRIM(SUBSTITUTE(INDEX('Term investments'!$B:$B,ROW())&amp;""," "," "))</f>
        <v/>
      </c>
      <c r="C708">
        <f>TRIM(SUBSTITUTE(INDEX('Term investments'!$C:$C,ROW())&amp;""," "," "))</f>
        <v/>
      </c>
      <c r="D708">
        <f>IFERROR(--INDEX('Term investments'!$D:$D,ROW()),0)</f>
        <v/>
      </c>
      <c r="E708">
        <f>IFERROR(--INDEX('Term investments'!$E:$E,ROW()),0)</f>
        <v/>
      </c>
      <c r="F708">
        <f>IFERROR(--INDEX('Term investments'!$F:$F,ROW()),0)</f>
        <v/>
      </c>
      <c r="G708">
        <f>IFERROR(IF(--INDEX('Term investments'!$G:$G,ROW())&gt;=1,--INDEX('Term investments'!$G:$G,ROW())/100,--INDEX('Term investments'!$G:$G,ROW())),0)</f>
        <v/>
      </c>
      <c r="H708">
        <f>IFERROR(--INDEX('Term investments'!$H:$H,ROW()),0)</f>
        <v/>
      </c>
      <c r="I708">
        <f>IF(ISNUMBER(INDEX('Term investments'!$G:$G,ROW())),1,0)</f>
        <v/>
      </c>
      <c r="J708">
        <f>TRIM(SUBSTITUTE(INDEX('Call accounts and MMFs'!$A:$A,ROW())&amp;""," "," "))</f>
        <v/>
      </c>
      <c r="K708">
        <f>TRIM(SUBSTITUTE(INDEX('Call accounts and MMFs'!$B:$B,ROW())&amp;""," "," "))</f>
        <v/>
      </c>
      <c r="L708">
        <f>TRIM(SUBSTITUTE(INDEX('Call accounts and MMFs'!$C:$C,ROW())&amp;""," "," "))</f>
        <v/>
      </c>
      <c r="M708">
        <f>IFERROR(--INDEX('Call accounts and MMFs'!$D:$D,ROW()),0)</f>
        <v/>
      </c>
      <c r="N708">
        <f>IFERROR(IF(--INDEX('Call accounts and MMFs'!$E:$E,ROW())&gt;=1,--INDEX('Call accounts and MMFs'!$E:$E,ROW())/100,--INDEX('Call accounts and MMFs'!$E:$E,ROW())),0)</f>
        <v/>
      </c>
      <c r="O708">
        <f>IFERROR(--INDEX('Call accounts and MMFs'!$F:$F,ROW()),0)</f>
        <v/>
      </c>
      <c r="P708">
        <f>IF(ISNUMBER(INDEX('Call accounts and MMFs'!$E:$E,ROW())),1,0)</f>
        <v/>
      </c>
      <c r="Q708">
        <f>TRIM(SUBSTITUTE(INDEX('Pooled funds'!$B:$B,ROW())&amp;""," "," "))</f>
        <v/>
      </c>
      <c r="R708">
        <f>IFERROR(--INDEX('Pooled funds'!$C:$C,ROW()),0)</f>
        <v/>
      </c>
      <c r="S708">
        <f>IFERROR(--INDEX('Pooled funds'!$D:$D,ROW()),0)</f>
        <v/>
      </c>
      <c r="T708">
        <f>IFERROR(IF(--INDEX('Pooled funds'!$E:$E,ROW())&gt;=1,--INDEX('Pooled funds'!$E:$E,ROW())/100,--INDEX('Pooled funds'!$E:$E,ROW())),0)</f>
        <v/>
      </c>
      <c r="U708">
        <f>IF(ISNUMBER(INDEX('Pooled funds'!$E:$E,ROW())),1,0)</f>
        <v/>
      </c>
      <c r="V708">
        <f>TRIM(SUBSTITUTE(INDEX('Loans'!$A:$A,ROW())&amp;""," "," "))</f>
        <v/>
      </c>
      <c r="W708">
        <f>TRIM(SUBSTITUTE(INDEX('Loans'!$B:$B,ROW())&amp;""," "," "))</f>
        <v/>
      </c>
      <c r="X708">
        <f>TRIM(SUBSTITUTE(INDEX('Loans'!$C:$C,ROW())&amp;""," "," "))</f>
        <v/>
      </c>
      <c r="Y708">
        <f>IFERROR(--INDEX('Loans'!$D:$D,ROW()),0)</f>
        <v/>
      </c>
      <c r="Z708">
        <f>IFERROR(--INDEX('Loans'!$E:$E,ROW()),0)</f>
        <v/>
      </c>
      <c r="AA708">
        <f>IFERROR(--INDEX('Loans'!$F:$F,ROW()),0)</f>
        <v/>
      </c>
      <c r="AB708">
        <f>IFERROR(IF(--INDEX('Loans'!$G:$G,ROW())&gt;=1,--INDEX('Loans'!$G:$G,ROW())/100,--INDEX('Loans'!$G:$G,ROW())),0)</f>
        <v/>
      </c>
      <c r="AC708">
        <f>TRIM(SUBSTITUTE(INDEX('Loans'!$H:$H,ROW())&amp;""," "," "))</f>
        <v/>
      </c>
      <c r="AD708">
        <f>TRIM(SUBSTITUTE(INDEX('Loans'!$I:$I,ROW())&amp;""," "," "))</f>
        <v/>
      </c>
      <c r="AE708">
        <f>IFERROR(--INDEX('Loans'!$J:$J,ROW()),0)</f>
        <v/>
      </c>
      <c r="AF708">
        <f>TRIM(SUBSTITUTE(INDEX('Loans'!$K:$K,ROW())&amp;""," "," "))</f>
        <v/>
      </c>
      <c r="AG708">
        <f>IFERROR(--INDEX('Loans'!$L:$L,ROW()),0)</f>
        <v/>
      </c>
      <c r="AH708">
        <f>IF(ISNUMBER(INDEX('Loans'!$G:$G,ROW())),1,0)</f>
        <v/>
      </c>
    </row>
    <row r="709">
      <c r="A709">
        <f>TRIM(SUBSTITUTE(INDEX('Term investments'!$A:$A,ROW())&amp;""," "," "))</f>
        <v/>
      </c>
      <c r="B709">
        <f>TRIM(SUBSTITUTE(INDEX('Term investments'!$B:$B,ROW())&amp;""," "," "))</f>
        <v/>
      </c>
      <c r="C709">
        <f>TRIM(SUBSTITUTE(INDEX('Term investments'!$C:$C,ROW())&amp;""," "," "))</f>
        <v/>
      </c>
      <c r="D709">
        <f>IFERROR(--INDEX('Term investments'!$D:$D,ROW()),0)</f>
        <v/>
      </c>
      <c r="E709">
        <f>IFERROR(--INDEX('Term investments'!$E:$E,ROW()),0)</f>
        <v/>
      </c>
      <c r="F709">
        <f>IFERROR(--INDEX('Term investments'!$F:$F,ROW()),0)</f>
        <v/>
      </c>
      <c r="G709">
        <f>IFERROR(IF(--INDEX('Term investments'!$G:$G,ROW())&gt;=1,--INDEX('Term investments'!$G:$G,ROW())/100,--INDEX('Term investments'!$G:$G,ROW())),0)</f>
        <v/>
      </c>
      <c r="H709">
        <f>IFERROR(--INDEX('Term investments'!$H:$H,ROW()),0)</f>
        <v/>
      </c>
      <c r="I709">
        <f>IF(ISNUMBER(INDEX('Term investments'!$G:$G,ROW())),1,0)</f>
        <v/>
      </c>
      <c r="J709">
        <f>TRIM(SUBSTITUTE(INDEX('Call accounts and MMFs'!$A:$A,ROW())&amp;""," "," "))</f>
        <v/>
      </c>
      <c r="K709">
        <f>TRIM(SUBSTITUTE(INDEX('Call accounts and MMFs'!$B:$B,ROW())&amp;""," "," "))</f>
        <v/>
      </c>
      <c r="L709">
        <f>TRIM(SUBSTITUTE(INDEX('Call accounts and MMFs'!$C:$C,ROW())&amp;""," "," "))</f>
        <v/>
      </c>
      <c r="M709">
        <f>IFERROR(--INDEX('Call accounts and MMFs'!$D:$D,ROW()),0)</f>
        <v/>
      </c>
      <c r="N709">
        <f>IFERROR(IF(--INDEX('Call accounts and MMFs'!$E:$E,ROW())&gt;=1,--INDEX('Call accounts and MMFs'!$E:$E,ROW())/100,--INDEX('Call accounts and MMFs'!$E:$E,ROW())),0)</f>
        <v/>
      </c>
      <c r="O709">
        <f>IFERROR(--INDEX('Call accounts and MMFs'!$F:$F,ROW()),0)</f>
        <v/>
      </c>
      <c r="P709">
        <f>IF(ISNUMBER(INDEX('Call accounts and MMFs'!$E:$E,ROW())),1,0)</f>
        <v/>
      </c>
      <c r="Q709">
        <f>TRIM(SUBSTITUTE(INDEX('Pooled funds'!$B:$B,ROW())&amp;""," "," "))</f>
        <v/>
      </c>
      <c r="R709">
        <f>IFERROR(--INDEX('Pooled funds'!$C:$C,ROW()),0)</f>
        <v/>
      </c>
      <c r="S709">
        <f>IFERROR(--INDEX('Pooled funds'!$D:$D,ROW()),0)</f>
        <v/>
      </c>
      <c r="T709">
        <f>IFERROR(IF(--INDEX('Pooled funds'!$E:$E,ROW())&gt;=1,--INDEX('Pooled funds'!$E:$E,ROW())/100,--INDEX('Pooled funds'!$E:$E,ROW())),0)</f>
        <v/>
      </c>
      <c r="U709">
        <f>IF(ISNUMBER(INDEX('Pooled funds'!$E:$E,ROW())),1,0)</f>
        <v/>
      </c>
      <c r="V709">
        <f>TRIM(SUBSTITUTE(INDEX('Loans'!$A:$A,ROW())&amp;""," "," "))</f>
        <v/>
      </c>
      <c r="W709">
        <f>TRIM(SUBSTITUTE(INDEX('Loans'!$B:$B,ROW())&amp;""," "," "))</f>
        <v/>
      </c>
      <c r="X709">
        <f>TRIM(SUBSTITUTE(INDEX('Loans'!$C:$C,ROW())&amp;""," "," "))</f>
        <v/>
      </c>
      <c r="Y709">
        <f>IFERROR(--INDEX('Loans'!$D:$D,ROW()),0)</f>
        <v/>
      </c>
      <c r="Z709">
        <f>IFERROR(--INDEX('Loans'!$E:$E,ROW()),0)</f>
        <v/>
      </c>
      <c r="AA709">
        <f>IFERROR(--INDEX('Loans'!$F:$F,ROW()),0)</f>
        <v/>
      </c>
      <c r="AB709">
        <f>IFERROR(IF(--INDEX('Loans'!$G:$G,ROW())&gt;=1,--INDEX('Loans'!$G:$G,ROW())/100,--INDEX('Loans'!$G:$G,ROW())),0)</f>
        <v/>
      </c>
      <c r="AC709">
        <f>TRIM(SUBSTITUTE(INDEX('Loans'!$H:$H,ROW())&amp;""," "," "))</f>
        <v/>
      </c>
      <c r="AD709">
        <f>TRIM(SUBSTITUTE(INDEX('Loans'!$I:$I,ROW())&amp;""," "," "))</f>
        <v/>
      </c>
      <c r="AE709">
        <f>IFERROR(--INDEX('Loans'!$J:$J,ROW()),0)</f>
        <v/>
      </c>
      <c r="AF709">
        <f>TRIM(SUBSTITUTE(INDEX('Loans'!$K:$K,ROW())&amp;""," "," "))</f>
        <v/>
      </c>
      <c r="AG709">
        <f>IFERROR(--INDEX('Loans'!$L:$L,ROW()),0)</f>
        <v/>
      </c>
      <c r="AH709">
        <f>IF(ISNUMBER(INDEX('Loans'!$G:$G,ROW())),1,0)</f>
        <v/>
      </c>
    </row>
    <row r="710">
      <c r="A710">
        <f>TRIM(SUBSTITUTE(INDEX('Term investments'!$A:$A,ROW())&amp;""," "," "))</f>
        <v/>
      </c>
      <c r="B710">
        <f>TRIM(SUBSTITUTE(INDEX('Term investments'!$B:$B,ROW())&amp;""," "," "))</f>
        <v/>
      </c>
      <c r="C710">
        <f>TRIM(SUBSTITUTE(INDEX('Term investments'!$C:$C,ROW())&amp;""," "," "))</f>
        <v/>
      </c>
      <c r="D710">
        <f>IFERROR(--INDEX('Term investments'!$D:$D,ROW()),0)</f>
        <v/>
      </c>
      <c r="E710">
        <f>IFERROR(--INDEX('Term investments'!$E:$E,ROW()),0)</f>
        <v/>
      </c>
      <c r="F710">
        <f>IFERROR(--INDEX('Term investments'!$F:$F,ROW()),0)</f>
        <v/>
      </c>
      <c r="G710">
        <f>IFERROR(IF(--INDEX('Term investments'!$G:$G,ROW())&gt;=1,--INDEX('Term investments'!$G:$G,ROW())/100,--INDEX('Term investments'!$G:$G,ROW())),0)</f>
        <v/>
      </c>
      <c r="H710">
        <f>IFERROR(--INDEX('Term investments'!$H:$H,ROW()),0)</f>
        <v/>
      </c>
      <c r="I710">
        <f>IF(ISNUMBER(INDEX('Term investments'!$G:$G,ROW())),1,0)</f>
        <v/>
      </c>
      <c r="J710">
        <f>TRIM(SUBSTITUTE(INDEX('Call accounts and MMFs'!$A:$A,ROW())&amp;""," "," "))</f>
        <v/>
      </c>
      <c r="K710">
        <f>TRIM(SUBSTITUTE(INDEX('Call accounts and MMFs'!$B:$B,ROW())&amp;""," "," "))</f>
        <v/>
      </c>
      <c r="L710">
        <f>TRIM(SUBSTITUTE(INDEX('Call accounts and MMFs'!$C:$C,ROW())&amp;""," "," "))</f>
        <v/>
      </c>
      <c r="M710">
        <f>IFERROR(--INDEX('Call accounts and MMFs'!$D:$D,ROW()),0)</f>
        <v/>
      </c>
      <c r="N710">
        <f>IFERROR(IF(--INDEX('Call accounts and MMFs'!$E:$E,ROW())&gt;=1,--INDEX('Call accounts and MMFs'!$E:$E,ROW())/100,--INDEX('Call accounts and MMFs'!$E:$E,ROW())),0)</f>
        <v/>
      </c>
      <c r="O710">
        <f>IFERROR(--INDEX('Call accounts and MMFs'!$F:$F,ROW()),0)</f>
        <v/>
      </c>
      <c r="P710">
        <f>IF(ISNUMBER(INDEX('Call accounts and MMFs'!$E:$E,ROW())),1,0)</f>
        <v/>
      </c>
      <c r="Q710">
        <f>TRIM(SUBSTITUTE(INDEX('Pooled funds'!$B:$B,ROW())&amp;""," "," "))</f>
        <v/>
      </c>
      <c r="R710">
        <f>IFERROR(--INDEX('Pooled funds'!$C:$C,ROW()),0)</f>
        <v/>
      </c>
      <c r="S710">
        <f>IFERROR(--INDEX('Pooled funds'!$D:$D,ROW()),0)</f>
        <v/>
      </c>
      <c r="T710">
        <f>IFERROR(IF(--INDEX('Pooled funds'!$E:$E,ROW())&gt;=1,--INDEX('Pooled funds'!$E:$E,ROW())/100,--INDEX('Pooled funds'!$E:$E,ROW())),0)</f>
        <v/>
      </c>
      <c r="U710">
        <f>IF(ISNUMBER(INDEX('Pooled funds'!$E:$E,ROW())),1,0)</f>
        <v/>
      </c>
      <c r="V710">
        <f>TRIM(SUBSTITUTE(INDEX('Loans'!$A:$A,ROW())&amp;""," "," "))</f>
        <v/>
      </c>
      <c r="W710">
        <f>TRIM(SUBSTITUTE(INDEX('Loans'!$B:$B,ROW())&amp;""," "," "))</f>
        <v/>
      </c>
      <c r="X710">
        <f>TRIM(SUBSTITUTE(INDEX('Loans'!$C:$C,ROW())&amp;""," "," "))</f>
        <v/>
      </c>
      <c r="Y710">
        <f>IFERROR(--INDEX('Loans'!$D:$D,ROW()),0)</f>
        <v/>
      </c>
      <c r="Z710">
        <f>IFERROR(--INDEX('Loans'!$E:$E,ROW()),0)</f>
        <v/>
      </c>
      <c r="AA710">
        <f>IFERROR(--INDEX('Loans'!$F:$F,ROW()),0)</f>
        <v/>
      </c>
      <c r="AB710">
        <f>IFERROR(IF(--INDEX('Loans'!$G:$G,ROW())&gt;=1,--INDEX('Loans'!$G:$G,ROW())/100,--INDEX('Loans'!$G:$G,ROW())),0)</f>
        <v/>
      </c>
      <c r="AC710">
        <f>TRIM(SUBSTITUTE(INDEX('Loans'!$H:$H,ROW())&amp;""," "," "))</f>
        <v/>
      </c>
      <c r="AD710">
        <f>TRIM(SUBSTITUTE(INDEX('Loans'!$I:$I,ROW())&amp;""," "," "))</f>
        <v/>
      </c>
      <c r="AE710">
        <f>IFERROR(--INDEX('Loans'!$J:$J,ROW()),0)</f>
        <v/>
      </c>
      <c r="AF710">
        <f>TRIM(SUBSTITUTE(INDEX('Loans'!$K:$K,ROW())&amp;""," "," "))</f>
        <v/>
      </c>
      <c r="AG710">
        <f>IFERROR(--INDEX('Loans'!$L:$L,ROW()),0)</f>
        <v/>
      </c>
      <c r="AH710">
        <f>IF(ISNUMBER(INDEX('Loans'!$G:$G,ROW())),1,0)</f>
        <v/>
      </c>
    </row>
    <row r="711">
      <c r="A711">
        <f>TRIM(SUBSTITUTE(INDEX('Term investments'!$A:$A,ROW())&amp;""," "," "))</f>
        <v/>
      </c>
      <c r="B711">
        <f>TRIM(SUBSTITUTE(INDEX('Term investments'!$B:$B,ROW())&amp;""," "," "))</f>
        <v/>
      </c>
      <c r="C711">
        <f>TRIM(SUBSTITUTE(INDEX('Term investments'!$C:$C,ROW())&amp;""," "," "))</f>
        <v/>
      </c>
      <c r="D711">
        <f>IFERROR(--INDEX('Term investments'!$D:$D,ROW()),0)</f>
        <v/>
      </c>
      <c r="E711">
        <f>IFERROR(--INDEX('Term investments'!$E:$E,ROW()),0)</f>
        <v/>
      </c>
      <c r="F711">
        <f>IFERROR(--INDEX('Term investments'!$F:$F,ROW()),0)</f>
        <v/>
      </c>
      <c r="G711">
        <f>IFERROR(IF(--INDEX('Term investments'!$G:$G,ROW())&gt;=1,--INDEX('Term investments'!$G:$G,ROW())/100,--INDEX('Term investments'!$G:$G,ROW())),0)</f>
        <v/>
      </c>
      <c r="H711">
        <f>IFERROR(--INDEX('Term investments'!$H:$H,ROW()),0)</f>
        <v/>
      </c>
      <c r="I711">
        <f>IF(ISNUMBER(INDEX('Term investments'!$G:$G,ROW())),1,0)</f>
        <v/>
      </c>
      <c r="J711">
        <f>TRIM(SUBSTITUTE(INDEX('Call accounts and MMFs'!$A:$A,ROW())&amp;""," "," "))</f>
        <v/>
      </c>
      <c r="K711">
        <f>TRIM(SUBSTITUTE(INDEX('Call accounts and MMFs'!$B:$B,ROW())&amp;""," "," "))</f>
        <v/>
      </c>
      <c r="L711">
        <f>TRIM(SUBSTITUTE(INDEX('Call accounts and MMFs'!$C:$C,ROW())&amp;""," "," "))</f>
        <v/>
      </c>
      <c r="M711">
        <f>IFERROR(--INDEX('Call accounts and MMFs'!$D:$D,ROW()),0)</f>
        <v/>
      </c>
      <c r="N711">
        <f>IFERROR(IF(--INDEX('Call accounts and MMFs'!$E:$E,ROW())&gt;=1,--INDEX('Call accounts and MMFs'!$E:$E,ROW())/100,--INDEX('Call accounts and MMFs'!$E:$E,ROW())),0)</f>
        <v/>
      </c>
      <c r="O711">
        <f>IFERROR(--INDEX('Call accounts and MMFs'!$F:$F,ROW()),0)</f>
        <v/>
      </c>
      <c r="P711">
        <f>IF(ISNUMBER(INDEX('Call accounts and MMFs'!$E:$E,ROW())),1,0)</f>
        <v/>
      </c>
      <c r="Q711">
        <f>TRIM(SUBSTITUTE(INDEX('Pooled funds'!$B:$B,ROW())&amp;""," "," "))</f>
        <v/>
      </c>
      <c r="R711">
        <f>IFERROR(--INDEX('Pooled funds'!$C:$C,ROW()),0)</f>
        <v/>
      </c>
      <c r="S711">
        <f>IFERROR(--INDEX('Pooled funds'!$D:$D,ROW()),0)</f>
        <v/>
      </c>
      <c r="T711">
        <f>IFERROR(IF(--INDEX('Pooled funds'!$E:$E,ROW())&gt;=1,--INDEX('Pooled funds'!$E:$E,ROW())/100,--INDEX('Pooled funds'!$E:$E,ROW())),0)</f>
        <v/>
      </c>
      <c r="U711">
        <f>IF(ISNUMBER(INDEX('Pooled funds'!$E:$E,ROW())),1,0)</f>
        <v/>
      </c>
      <c r="V711">
        <f>TRIM(SUBSTITUTE(INDEX('Loans'!$A:$A,ROW())&amp;""," "," "))</f>
        <v/>
      </c>
      <c r="W711">
        <f>TRIM(SUBSTITUTE(INDEX('Loans'!$B:$B,ROW())&amp;""," "," "))</f>
        <v/>
      </c>
      <c r="X711">
        <f>TRIM(SUBSTITUTE(INDEX('Loans'!$C:$C,ROW())&amp;""," "," "))</f>
        <v/>
      </c>
      <c r="Y711">
        <f>IFERROR(--INDEX('Loans'!$D:$D,ROW()),0)</f>
        <v/>
      </c>
      <c r="Z711">
        <f>IFERROR(--INDEX('Loans'!$E:$E,ROW()),0)</f>
        <v/>
      </c>
      <c r="AA711">
        <f>IFERROR(--INDEX('Loans'!$F:$F,ROW()),0)</f>
        <v/>
      </c>
      <c r="AB711">
        <f>IFERROR(IF(--INDEX('Loans'!$G:$G,ROW())&gt;=1,--INDEX('Loans'!$G:$G,ROW())/100,--INDEX('Loans'!$G:$G,ROW())),0)</f>
        <v/>
      </c>
      <c r="AC711">
        <f>TRIM(SUBSTITUTE(INDEX('Loans'!$H:$H,ROW())&amp;""," "," "))</f>
        <v/>
      </c>
      <c r="AD711">
        <f>TRIM(SUBSTITUTE(INDEX('Loans'!$I:$I,ROW())&amp;""," "," "))</f>
        <v/>
      </c>
      <c r="AE711">
        <f>IFERROR(--INDEX('Loans'!$J:$J,ROW()),0)</f>
        <v/>
      </c>
      <c r="AF711">
        <f>TRIM(SUBSTITUTE(INDEX('Loans'!$K:$K,ROW())&amp;""," "," "))</f>
        <v/>
      </c>
      <c r="AG711">
        <f>IFERROR(--INDEX('Loans'!$L:$L,ROW()),0)</f>
        <v/>
      </c>
      <c r="AH711">
        <f>IF(ISNUMBER(INDEX('Loans'!$G:$G,ROW())),1,0)</f>
        <v/>
      </c>
    </row>
    <row r="712">
      <c r="A712">
        <f>TRIM(SUBSTITUTE(INDEX('Term investments'!$A:$A,ROW())&amp;""," "," "))</f>
        <v/>
      </c>
      <c r="B712">
        <f>TRIM(SUBSTITUTE(INDEX('Term investments'!$B:$B,ROW())&amp;""," "," "))</f>
        <v/>
      </c>
      <c r="C712">
        <f>TRIM(SUBSTITUTE(INDEX('Term investments'!$C:$C,ROW())&amp;""," "," "))</f>
        <v/>
      </c>
      <c r="D712">
        <f>IFERROR(--INDEX('Term investments'!$D:$D,ROW()),0)</f>
        <v/>
      </c>
      <c r="E712">
        <f>IFERROR(--INDEX('Term investments'!$E:$E,ROW()),0)</f>
        <v/>
      </c>
      <c r="F712">
        <f>IFERROR(--INDEX('Term investments'!$F:$F,ROW()),0)</f>
        <v/>
      </c>
      <c r="G712">
        <f>IFERROR(IF(--INDEX('Term investments'!$G:$G,ROW())&gt;=1,--INDEX('Term investments'!$G:$G,ROW())/100,--INDEX('Term investments'!$G:$G,ROW())),0)</f>
        <v/>
      </c>
      <c r="H712">
        <f>IFERROR(--INDEX('Term investments'!$H:$H,ROW()),0)</f>
        <v/>
      </c>
      <c r="I712">
        <f>IF(ISNUMBER(INDEX('Term investments'!$G:$G,ROW())),1,0)</f>
        <v/>
      </c>
      <c r="J712">
        <f>TRIM(SUBSTITUTE(INDEX('Call accounts and MMFs'!$A:$A,ROW())&amp;""," "," "))</f>
        <v/>
      </c>
      <c r="K712">
        <f>TRIM(SUBSTITUTE(INDEX('Call accounts and MMFs'!$B:$B,ROW())&amp;""," "," "))</f>
        <v/>
      </c>
      <c r="L712">
        <f>TRIM(SUBSTITUTE(INDEX('Call accounts and MMFs'!$C:$C,ROW())&amp;""," "," "))</f>
        <v/>
      </c>
      <c r="M712">
        <f>IFERROR(--INDEX('Call accounts and MMFs'!$D:$D,ROW()),0)</f>
        <v/>
      </c>
      <c r="N712">
        <f>IFERROR(IF(--INDEX('Call accounts and MMFs'!$E:$E,ROW())&gt;=1,--INDEX('Call accounts and MMFs'!$E:$E,ROW())/100,--INDEX('Call accounts and MMFs'!$E:$E,ROW())),0)</f>
        <v/>
      </c>
      <c r="O712">
        <f>IFERROR(--INDEX('Call accounts and MMFs'!$F:$F,ROW()),0)</f>
        <v/>
      </c>
      <c r="P712">
        <f>IF(ISNUMBER(INDEX('Call accounts and MMFs'!$E:$E,ROW())),1,0)</f>
        <v/>
      </c>
      <c r="Q712">
        <f>TRIM(SUBSTITUTE(INDEX('Pooled funds'!$B:$B,ROW())&amp;""," "," "))</f>
        <v/>
      </c>
      <c r="R712">
        <f>IFERROR(--INDEX('Pooled funds'!$C:$C,ROW()),0)</f>
        <v/>
      </c>
      <c r="S712">
        <f>IFERROR(--INDEX('Pooled funds'!$D:$D,ROW()),0)</f>
        <v/>
      </c>
      <c r="T712">
        <f>IFERROR(IF(--INDEX('Pooled funds'!$E:$E,ROW())&gt;=1,--INDEX('Pooled funds'!$E:$E,ROW())/100,--INDEX('Pooled funds'!$E:$E,ROW())),0)</f>
        <v/>
      </c>
      <c r="U712">
        <f>IF(ISNUMBER(INDEX('Pooled funds'!$E:$E,ROW())),1,0)</f>
        <v/>
      </c>
      <c r="V712">
        <f>TRIM(SUBSTITUTE(INDEX('Loans'!$A:$A,ROW())&amp;""," "," "))</f>
        <v/>
      </c>
      <c r="W712">
        <f>TRIM(SUBSTITUTE(INDEX('Loans'!$B:$B,ROW())&amp;""," "," "))</f>
        <v/>
      </c>
      <c r="X712">
        <f>TRIM(SUBSTITUTE(INDEX('Loans'!$C:$C,ROW())&amp;""," "," "))</f>
        <v/>
      </c>
      <c r="Y712">
        <f>IFERROR(--INDEX('Loans'!$D:$D,ROW()),0)</f>
        <v/>
      </c>
      <c r="Z712">
        <f>IFERROR(--INDEX('Loans'!$E:$E,ROW()),0)</f>
        <v/>
      </c>
      <c r="AA712">
        <f>IFERROR(--INDEX('Loans'!$F:$F,ROW()),0)</f>
        <v/>
      </c>
      <c r="AB712">
        <f>IFERROR(IF(--INDEX('Loans'!$G:$G,ROW())&gt;=1,--INDEX('Loans'!$G:$G,ROW())/100,--INDEX('Loans'!$G:$G,ROW())),0)</f>
        <v/>
      </c>
      <c r="AC712">
        <f>TRIM(SUBSTITUTE(INDEX('Loans'!$H:$H,ROW())&amp;""," "," "))</f>
        <v/>
      </c>
      <c r="AD712">
        <f>TRIM(SUBSTITUTE(INDEX('Loans'!$I:$I,ROW())&amp;""," "," "))</f>
        <v/>
      </c>
      <c r="AE712">
        <f>IFERROR(--INDEX('Loans'!$J:$J,ROW()),0)</f>
        <v/>
      </c>
      <c r="AF712">
        <f>TRIM(SUBSTITUTE(INDEX('Loans'!$K:$K,ROW())&amp;""," "," "))</f>
        <v/>
      </c>
      <c r="AG712">
        <f>IFERROR(--INDEX('Loans'!$L:$L,ROW()),0)</f>
        <v/>
      </c>
      <c r="AH712">
        <f>IF(ISNUMBER(INDEX('Loans'!$G:$G,ROW())),1,0)</f>
        <v/>
      </c>
    </row>
    <row r="713">
      <c r="A713">
        <f>TRIM(SUBSTITUTE(INDEX('Term investments'!$A:$A,ROW())&amp;""," "," "))</f>
        <v/>
      </c>
      <c r="B713">
        <f>TRIM(SUBSTITUTE(INDEX('Term investments'!$B:$B,ROW())&amp;""," "," "))</f>
        <v/>
      </c>
      <c r="C713">
        <f>TRIM(SUBSTITUTE(INDEX('Term investments'!$C:$C,ROW())&amp;""," "," "))</f>
        <v/>
      </c>
      <c r="D713">
        <f>IFERROR(--INDEX('Term investments'!$D:$D,ROW()),0)</f>
        <v/>
      </c>
      <c r="E713">
        <f>IFERROR(--INDEX('Term investments'!$E:$E,ROW()),0)</f>
        <v/>
      </c>
      <c r="F713">
        <f>IFERROR(--INDEX('Term investments'!$F:$F,ROW()),0)</f>
        <v/>
      </c>
      <c r="G713">
        <f>IFERROR(IF(--INDEX('Term investments'!$G:$G,ROW())&gt;=1,--INDEX('Term investments'!$G:$G,ROW())/100,--INDEX('Term investments'!$G:$G,ROW())),0)</f>
        <v/>
      </c>
      <c r="H713">
        <f>IFERROR(--INDEX('Term investments'!$H:$H,ROW()),0)</f>
        <v/>
      </c>
      <c r="I713">
        <f>IF(ISNUMBER(INDEX('Term investments'!$G:$G,ROW())),1,0)</f>
        <v/>
      </c>
      <c r="J713">
        <f>TRIM(SUBSTITUTE(INDEX('Call accounts and MMFs'!$A:$A,ROW())&amp;""," "," "))</f>
        <v/>
      </c>
      <c r="K713">
        <f>TRIM(SUBSTITUTE(INDEX('Call accounts and MMFs'!$B:$B,ROW())&amp;""," "," "))</f>
        <v/>
      </c>
      <c r="L713">
        <f>TRIM(SUBSTITUTE(INDEX('Call accounts and MMFs'!$C:$C,ROW())&amp;""," "," "))</f>
        <v/>
      </c>
      <c r="M713">
        <f>IFERROR(--INDEX('Call accounts and MMFs'!$D:$D,ROW()),0)</f>
        <v/>
      </c>
      <c r="N713">
        <f>IFERROR(IF(--INDEX('Call accounts and MMFs'!$E:$E,ROW())&gt;=1,--INDEX('Call accounts and MMFs'!$E:$E,ROW())/100,--INDEX('Call accounts and MMFs'!$E:$E,ROW())),0)</f>
        <v/>
      </c>
      <c r="O713">
        <f>IFERROR(--INDEX('Call accounts and MMFs'!$F:$F,ROW()),0)</f>
        <v/>
      </c>
      <c r="P713">
        <f>IF(ISNUMBER(INDEX('Call accounts and MMFs'!$E:$E,ROW())),1,0)</f>
        <v/>
      </c>
      <c r="Q713">
        <f>TRIM(SUBSTITUTE(INDEX('Pooled funds'!$B:$B,ROW())&amp;""," "," "))</f>
        <v/>
      </c>
      <c r="R713">
        <f>IFERROR(--INDEX('Pooled funds'!$C:$C,ROW()),0)</f>
        <v/>
      </c>
      <c r="S713">
        <f>IFERROR(--INDEX('Pooled funds'!$D:$D,ROW()),0)</f>
        <v/>
      </c>
      <c r="T713">
        <f>IFERROR(IF(--INDEX('Pooled funds'!$E:$E,ROW())&gt;=1,--INDEX('Pooled funds'!$E:$E,ROW())/100,--INDEX('Pooled funds'!$E:$E,ROW())),0)</f>
        <v/>
      </c>
      <c r="U713">
        <f>IF(ISNUMBER(INDEX('Pooled funds'!$E:$E,ROW())),1,0)</f>
        <v/>
      </c>
      <c r="V713">
        <f>TRIM(SUBSTITUTE(INDEX('Loans'!$A:$A,ROW())&amp;""," "," "))</f>
        <v/>
      </c>
      <c r="W713">
        <f>TRIM(SUBSTITUTE(INDEX('Loans'!$B:$B,ROW())&amp;""," "," "))</f>
        <v/>
      </c>
      <c r="X713">
        <f>TRIM(SUBSTITUTE(INDEX('Loans'!$C:$C,ROW())&amp;""," "," "))</f>
        <v/>
      </c>
      <c r="Y713">
        <f>IFERROR(--INDEX('Loans'!$D:$D,ROW()),0)</f>
        <v/>
      </c>
      <c r="Z713">
        <f>IFERROR(--INDEX('Loans'!$E:$E,ROW()),0)</f>
        <v/>
      </c>
      <c r="AA713">
        <f>IFERROR(--INDEX('Loans'!$F:$F,ROW()),0)</f>
        <v/>
      </c>
      <c r="AB713">
        <f>IFERROR(IF(--INDEX('Loans'!$G:$G,ROW())&gt;=1,--INDEX('Loans'!$G:$G,ROW())/100,--INDEX('Loans'!$G:$G,ROW())),0)</f>
        <v/>
      </c>
      <c r="AC713">
        <f>TRIM(SUBSTITUTE(INDEX('Loans'!$H:$H,ROW())&amp;""," "," "))</f>
        <v/>
      </c>
      <c r="AD713">
        <f>TRIM(SUBSTITUTE(INDEX('Loans'!$I:$I,ROW())&amp;""," "," "))</f>
        <v/>
      </c>
      <c r="AE713">
        <f>IFERROR(--INDEX('Loans'!$J:$J,ROW()),0)</f>
        <v/>
      </c>
      <c r="AF713">
        <f>TRIM(SUBSTITUTE(INDEX('Loans'!$K:$K,ROW())&amp;""," "," "))</f>
        <v/>
      </c>
      <c r="AG713">
        <f>IFERROR(--INDEX('Loans'!$L:$L,ROW()),0)</f>
        <v/>
      </c>
      <c r="AH713">
        <f>IF(ISNUMBER(INDEX('Loans'!$G:$G,ROW())),1,0)</f>
        <v/>
      </c>
    </row>
    <row r="714">
      <c r="A714">
        <f>TRIM(SUBSTITUTE(INDEX('Term investments'!$A:$A,ROW())&amp;""," "," "))</f>
        <v/>
      </c>
      <c r="B714">
        <f>TRIM(SUBSTITUTE(INDEX('Term investments'!$B:$B,ROW())&amp;""," "," "))</f>
        <v/>
      </c>
      <c r="C714">
        <f>TRIM(SUBSTITUTE(INDEX('Term investments'!$C:$C,ROW())&amp;""," "," "))</f>
        <v/>
      </c>
      <c r="D714">
        <f>IFERROR(--INDEX('Term investments'!$D:$D,ROW()),0)</f>
        <v/>
      </c>
      <c r="E714">
        <f>IFERROR(--INDEX('Term investments'!$E:$E,ROW()),0)</f>
        <v/>
      </c>
      <c r="F714">
        <f>IFERROR(--INDEX('Term investments'!$F:$F,ROW()),0)</f>
        <v/>
      </c>
      <c r="G714">
        <f>IFERROR(IF(--INDEX('Term investments'!$G:$G,ROW())&gt;=1,--INDEX('Term investments'!$G:$G,ROW())/100,--INDEX('Term investments'!$G:$G,ROW())),0)</f>
        <v/>
      </c>
      <c r="H714">
        <f>IFERROR(--INDEX('Term investments'!$H:$H,ROW()),0)</f>
        <v/>
      </c>
      <c r="I714">
        <f>IF(ISNUMBER(INDEX('Term investments'!$G:$G,ROW())),1,0)</f>
        <v/>
      </c>
      <c r="J714">
        <f>TRIM(SUBSTITUTE(INDEX('Call accounts and MMFs'!$A:$A,ROW())&amp;""," "," "))</f>
        <v/>
      </c>
      <c r="K714">
        <f>TRIM(SUBSTITUTE(INDEX('Call accounts and MMFs'!$B:$B,ROW())&amp;""," "," "))</f>
        <v/>
      </c>
      <c r="L714">
        <f>TRIM(SUBSTITUTE(INDEX('Call accounts and MMFs'!$C:$C,ROW())&amp;""," "," "))</f>
        <v/>
      </c>
      <c r="M714">
        <f>IFERROR(--INDEX('Call accounts and MMFs'!$D:$D,ROW()),0)</f>
        <v/>
      </c>
      <c r="N714">
        <f>IFERROR(IF(--INDEX('Call accounts and MMFs'!$E:$E,ROW())&gt;=1,--INDEX('Call accounts and MMFs'!$E:$E,ROW())/100,--INDEX('Call accounts and MMFs'!$E:$E,ROW())),0)</f>
        <v/>
      </c>
      <c r="O714">
        <f>IFERROR(--INDEX('Call accounts and MMFs'!$F:$F,ROW()),0)</f>
        <v/>
      </c>
      <c r="P714">
        <f>IF(ISNUMBER(INDEX('Call accounts and MMFs'!$E:$E,ROW())),1,0)</f>
        <v/>
      </c>
      <c r="Q714">
        <f>TRIM(SUBSTITUTE(INDEX('Pooled funds'!$B:$B,ROW())&amp;""," "," "))</f>
        <v/>
      </c>
      <c r="R714">
        <f>IFERROR(--INDEX('Pooled funds'!$C:$C,ROW()),0)</f>
        <v/>
      </c>
      <c r="S714">
        <f>IFERROR(--INDEX('Pooled funds'!$D:$D,ROW()),0)</f>
        <v/>
      </c>
      <c r="T714">
        <f>IFERROR(IF(--INDEX('Pooled funds'!$E:$E,ROW())&gt;=1,--INDEX('Pooled funds'!$E:$E,ROW())/100,--INDEX('Pooled funds'!$E:$E,ROW())),0)</f>
        <v/>
      </c>
      <c r="U714">
        <f>IF(ISNUMBER(INDEX('Pooled funds'!$E:$E,ROW())),1,0)</f>
        <v/>
      </c>
      <c r="V714">
        <f>TRIM(SUBSTITUTE(INDEX('Loans'!$A:$A,ROW())&amp;""," "," "))</f>
        <v/>
      </c>
      <c r="W714">
        <f>TRIM(SUBSTITUTE(INDEX('Loans'!$B:$B,ROW())&amp;""," "," "))</f>
        <v/>
      </c>
      <c r="X714">
        <f>TRIM(SUBSTITUTE(INDEX('Loans'!$C:$C,ROW())&amp;""," "," "))</f>
        <v/>
      </c>
      <c r="Y714">
        <f>IFERROR(--INDEX('Loans'!$D:$D,ROW()),0)</f>
        <v/>
      </c>
      <c r="Z714">
        <f>IFERROR(--INDEX('Loans'!$E:$E,ROW()),0)</f>
        <v/>
      </c>
      <c r="AA714">
        <f>IFERROR(--INDEX('Loans'!$F:$F,ROW()),0)</f>
        <v/>
      </c>
      <c r="AB714">
        <f>IFERROR(IF(--INDEX('Loans'!$G:$G,ROW())&gt;=1,--INDEX('Loans'!$G:$G,ROW())/100,--INDEX('Loans'!$G:$G,ROW())),0)</f>
        <v/>
      </c>
      <c r="AC714">
        <f>TRIM(SUBSTITUTE(INDEX('Loans'!$H:$H,ROW())&amp;""," "," "))</f>
        <v/>
      </c>
      <c r="AD714">
        <f>TRIM(SUBSTITUTE(INDEX('Loans'!$I:$I,ROW())&amp;""," "," "))</f>
        <v/>
      </c>
      <c r="AE714">
        <f>IFERROR(--INDEX('Loans'!$J:$J,ROW()),0)</f>
        <v/>
      </c>
      <c r="AF714">
        <f>TRIM(SUBSTITUTE(INDEX('Loans'!$K:$K,ROW())&amp;""," "," "))</f>
        <v/>
      </c>
      <c r="AG714">
        <f>IFERROR(--INDEX('Loans'!$L:$L,ROW()),0)</f>
        <v/>
      </c>
      <c r="AH714">
        <f>IF(ISNUMBER(INDEX('Loans'!$G:$G,ROW())),1,0)</f>
        <v/>
      </c>
    </row>
    <row r="715">
      <c r="A715">
        <f>TRIM(SUBSTITUTE(INDEX('Term investments'!$A:$A,ROW())&amp;""," "," "))</f>
        <v/>
      </c>
      <c r="B715">
        <f>TRIM(SUBSTITUTE(INDEX('Term investments'!$B:$B,ROW())&amp;""," "," "))</f>
        <v/>
      </c>
      <c r="C715">
        <f>TRIM(SUBSTITUTE(INDEX('Term investments'!$C:$C,ROW())&amp;""," "," "))</f>
        <v/>
      </c>
      <c r="D715">
        <f>IFERROR(--INDEX('Term investments'!$D:$D,ROW()),0)</f>
        <v/>
      </c>
      <c r="E715">
        <f>IFERROR(--INDEX('Term investments'!$E:$E,ROW()),0)</f>
        <v/>
      </c>
      <c r="F715">
        <f>IFERROR(--INDEX('Term investments'!$F:$F,ROW()),0)</f>
        <v/>
      </c>
      <c r="G715">
        <f>IFERROR(IF(--INDEX('Term investments'!$G:$G,ROW())&gt;=1,--INDEX('Term investments'!$G:$G,ROW())/100,--INDEX('Term investments'!$G:$G,ROW())),0)</f>
        <v/>
      </c>
      <c r="H715">
        <f>IFERROR(--INDEX('Term investments'!$H:$H,ROW()),0)</f>
        <v/>
      </c>
      <c r="I715">
        <f>IF(ISNUMBER(INDEX('Term investments'!$G:$G,ROW())),1,0)</f>
        <v/>
      </c>
      <c r="J715">
        <f>TRIM(SUBSTITUTE(INDEX('Call accounts and MMFs'!$A:$A,ROW())&amp;""," "," "))</f>
        <v/>
      </c>
      <c r="K715">
        <f>TRIM(SUBSTITUTE(INDEX('Call accounts and MMFs'!$B:$B,ROW())&amp;""," "," "))</f>
        <v/>
      </c>
      <c r="L715">
        <f>TRIM(SUBSTITUTE(INDEX('Call accounts and MMFs'!$C:$C,ROW())&amp;""," "," "))</f>
        <v/>
      </c>
      <c r="M715">
        <f>IFERROR(--INDEX('Call accounts and MMFs'!$D:$D,ROW()),0)</f>
        <v/>
      </c>
      <c r="N715">
        <f>IFERROR(IF(--INDEX('Call accounts and MMFs'!$E:$E,ROW())&gt;=1,--INDEX('Call accounts and MMFs'!$E:$E,ROW())/100,--INDEX('Call accounts and MMFs'!$E:$E,ROW())),0)</f>
        <v/>
      </c>
      <c r="O715">
        <f>IFERROR(--INDEX('Call accounts and MMFs'!$F:$F,ROW()),0)</f>
        <v/>
      </c>
      <c r="P715">
        <f>IF(ISNUMBER(INDEX('Call accounts and MMFs'!$E:$E,ROW())),1,0)</f>
        <v/>
      </c>
      <c r="Q715">
        <f>TRIM(SUBSTITUTE(INDEX('Pooled funds'!$B:$B,ROW())&amp;""," "," "))</f>
        <v/>
      </c>
      <c r="R715">
        <f>IFERROR(--INDEX('Pooled funds'!$C:$C,ROW()),0)</f>
        <v/>
      </c>
      <c r="S715">
        <f>IFERROR(--INDEX('Pooled funds'!$D:$D,ROW()),0)</f>
        <v/>
      </c>
      <c r="T715">
        <f>IFERROR(IF(--INDEX('Pooled funds'!$E:$E,ROW())&gt;=1,--INDEX('Pooled funds'!$E:$E,ROW())/100,--INDEX('Pooled funds'!$E:$E,ROW())),0)</f>
        <v/>
      </c>
      <c r="U715">
        <f>IF(ISNUMBER(INDEX('Pooled funds'!$E:$E,ROW())),1,0)</f>
        <v/>
      </c>
      <c r="V715">
        <f>TRIM(SUBSTITUTE(INDEX('Loans'!$A:$A,ROW())&amp;""," "," "))</f>
        <v/>
      </c>
      <c r="W715">
        <f>TRIM(SUBSTITUTE(INDEX('Loans'!$B:$B,ROW())&amp;""," "," "))</f>
        <v/>
      </c>
      <c r="X715">
        <f>TRIM(SUBSTITUTE(INDEX('Loans'!$C:$C,ROW())&amp;""," "," "))</f>
        <v/>
      </c>
      <c r="Y715">
        <f>IFERROR(--INDEX('Loans'!$D:$D,ROW()),0)</f>
        <v/>
      </c>
      <c r="Z715">
        <f>IFERROR(--INDEX('Loans'!$E:$E,ROW()),0)</f>
        <v/>
      </c>
      <c r="AA715">
        <f>IFERROR(--INDEX('Loans'!$F:$F,ROW()),0)</f>
        <v/>
      </c>
      <c r="AB715">
        <f>IFERROR(IF(--INDEX('Loans'!$G:$G,ROW())&gt;=1,--INDEX('Loans'!$G:$G,ROW())/100,--INDEX('Loans'!$G:$G,ROW())),0)</f>
        <v/>
      </c>
      <c r="AC715">
        <f>TRIM(SUBSTITUTE(INDEX('Loans'!$H:$H,ROW())&amp;""," "," "))</f>
        <v/>
      </c>
      <c r="AD715">
        <f>TRIM(SUBSTITUTE(INDEX('Loans'!$I:$I,ROW())&amp;""," "," "))</f>
        <v/>
      </c>
      <c r="AE715">
        <f>IFERROR(--INDEX('Loans'!$J:$J,ROW()),0)</f>
        <v/>
      </c>
      <c r="AF715">
        <f>TRIM(SUBSTITUTE(INDEX('Loans'!$K:$K,ROW())&amp;""," "," "))</f>
        <v/>
      </c>
      <c r="AG715">
        <f>IFERROR(--INDEX('Loans'!$L:$L,ROW()),0)</f>
        <v/>
      </c>
      <c r="AH715">
        <f>IF(ISNUMBER(INDEX('Loans'!$G:$G,ROW())),1,0)</f>
        <v/>
      </c>
    </row>
    <row r="716">
      <c r="A716">
        <f>TRIM(SUBSTITUTE(INDEX('Term investments'!$A:$A,ROW())&amp;""," "," "))</f>
        <v/>
      </c>
      <c r="B716">
        <f>TRIM(SUBSTITUTE(INDEX('Term investments'!$B:$B,ROW())&amp;""," "," "))</f>
        <v/>
      </c>
      <c r="C716">
        <f>TRIM(SUBSTITUTE(INDEX('Term investments'!$C:$C,ROW())&amp;""," "," "))</f>
        <v/>
      </c>
      <c r="D716">
        <f>IFERROR(--INDEX('Term investments'!$D:$D,ROW()),0)</f>
        <v/>
      </c>
      <c r="E716">
        <f>IFERROR(--INDEX('Term investments'!$E:$E,ROW()),0)</f>
        <v/>
      </c>
      <c r="F716">
        <f>IFERROR(--INDEX('Term investments'!$F:$F,ROW()),0)</f>
        <v/>
      </c>
      <c r="G716">
        <f>IFERROR(IF(--INDEX('Term investments'!$G:$G,ROW())&gt;=1,--INDEX('Term investments'!$G:$G,ROW())/100,--INDEX('Term investments'!$G:$G,ROW())),0)</f>
        <v/>
      </c>
      <c r="H716">
        <f>IFERROR(--INDEX('Term investments'!$H:$H,ROW()),0)</f>
        <v/>
      </c>
      <c r="I716">
        <f>IF(ISNUMBER(INDEX('Term investments'!$G:$G,ROW())),1,0)</f>
        <v/>
      </c>
      <c r="J716">
        <f>TRIM(SUBSTITUTE(INDEX('Call accounts and MMFs'!$A:$A,ROW())&amp;""," "," "))</f>
        <v/>
      </c>
      <c r="K716">
        <f>TRIM(SUBSTITUTE(INDEX('Call accounts and MMFs'!$B:$B,ROW())&amp;""," "," "))</f>
        <v/>
      </c>
      <c r="L716">
        <f>TRIM(SUBSTITUTE(INDEX('Call accounts and MMFs'!$C:$C,ROW())&amp;""," "," "))</f>
        <v/>
      </c>
      <c r="M716">
        <f>IFERROR(--INDEX('Call accounts and MMFs'!$D:$D,ROW()),0)</f>
        <v/>
      </c>
      <c r="N716">
        <f>IFERROR(IF(--INDEX('Call accounts and MMFs'!$E:$E,ROW())&gt;=1,--INDEX('Call accounts and MMFs'!$E:$E,ROW())/100,--INDEX('Call accounts and MMFs'!$E:$E,ROW())),0)</f>
        <v/>
      </c>
      <c r="O716">
        <f>IFERROR(--INDEX('Call accounts and MMFs'!$F:$F,ROW()),0)</f>
        <v/>
      </c>
      <c r="P716">
        <f>IF(ISNUMBER(INDEX('Call accounts and MMFs'!$E:$E,ROW())),1,0)</f>
        <v/>
      </c>
      <c r="Q716">
        <f>TRIM(SUBSTITUTE(INDEX('Pooled funds'!$B:$B,ROW())&amp;""," "," "))</f>
        <v/>
      </c>
      <c r="R716">
        <f>IFERROR(--INDEX('Pooled funds'!$C:$C,ROW()),0)</f>
        <v/>
      </c>
      <c r="S716">
        <f>IFERROR(--INDEX('Pooled funds'!$D:$D,ROW()),0)</f>
        <v/>
      </c>
      <c r="T716">
        <f>IFERROR(IF(--INDEX('Pooled funds'!$E:$E,ROW())&gt;=1,--INDEX('Pooled funds'!$E:$E,ROW())/100,--INDEX('Pooled funds'!$E:$E,ROW())),0)</f>
        <v/>
      </c>
      <c r="U716">
        <f>IF(ISNUMBER(INDEX('Pooled funds'!$E:$E,ROW())),1,0)</f>
        <v/>
      </c>
      <c r="V716">
        <f>TRIM(SUBSTITUTE(INDEX('Loans'!$A:$A,ROW())&amp;""," "," "))</f>
        <v/>
      </c>
      <c r="W716">
        <f>TRIM(SUBSTITUTE(INDEX('Loans'!$B:$B,ROW())&amp;""," "," "))</f>
        <v/>
      </c>
      <c r="X716">
        <f>TRIM(SUBSTITUTE(INDEX('Loans'!$C:$C,ROW())&amp;""," "," "))</f>
        <v/>
      </c>
      <c r="Y716">
        <f>IFERROR(--INDEX('Loans'!$D:$D,ROW()),0)</f>
        <v/>
      </c>
      <c r="Z716">
        <f>IFERROR(--INDEX('Loans'!$E:$E,ROW()),0)</f>
        <v/>
      </c>
      <c r="AA716">
        <f>IFERROR(--INDEX('Loans'!$F:$F,ROW()),0)</f>
        <v/>
      </c>
      <c r="AB716">
        <f>IFERROR(IF(--INDEX('Loans'!$G:$G,ROW())&gt;=1,--INDEX('Loans'!$G:$G,ROW())/100,--INDEX('Loans'!$G:$G,ROW())),0)</f>
        <v/>
      </c>
      <c r="AC716">
        <f>TRIM(SUBSTITUTE(INDEX('Loans'!$H:$H,ROW())&amp;""," "," "))</f>
        <v/>
      </c>
      <c r="AD716">
        <f>TRIM(SUBSTITUTE(INDEX('Loans'!$I:$I,ROW())&amp;""," "," "))</f>
        <v/>
      </c>
      <c r="AE716">
        <f>IFERROR(--INDEX('Loans'!$J:$J,ROW()),0)</f>
        <v/>
      </c>
      <c r="AF716">
        <f>TRIM(SUBSTITUTE(INDEX('Loans'!$K:$K,ROW())&amp;""," "," "))</f>
        <v/>
      </c>
      <c r="AG716">
        <f>IFERROR(--INDEX('Loans'!$L:$L,ROW()),0)</f>
        <v/>
      </c>
      <c r="AH716">
        <f>IF(ISNUMBER(INDEX('Loans'!$G:$G,ROW())),1,0)</f>
        <v/>
      </c>
    </row>
    <row r="717">
      <c r="A717">
        <f>TRIM(SUBSTITUTE(INDEX('Term investments'!$A:$A,ROW())&amp;""," "," "))</f>
        <v/>
      </c>
      <c r="B717">
        <f>TRIM(SUBSTITUTE(INDEX('Term investments'!$B:$B,ROW())&amp;""," "," "))</f>
        <v/>
      </c>
      <c r="C717">
        <f>TRIM(SUBSTITUTE(INDEX('Term investments'!$C:$C,ROW())&amp;""," "," "))</f>
        <v/>
      </c>
      <c r="D717">
        <f>IFERROR(--INDEX('Term investments'!$D:$D,ROW()),0)</f>
        <v/>
      </c>
      <c r="E717">
        <f>IFERROR(--INDEX('Term investments'!$E:$E,ROW()),0)</f>
        <v/>
      </c>
      <c r="F717">
        <f>IFERROR(--INDEX('Term investments'!$F:$F,ROW()),0)</f>
        <v/>
      </c>
      <c r="G717">
        <f>IFERROR(IF(--INDEX('Term investments'!$G:$G,ROW())&gt;=1,--INDEX('Term investments'!$G:$G,ROW())/100,--INDEX('Term investments'!$G:$G,ROW())),0)</f>
        <v/>
      </c>
      <c r="H717">
        <f>IFERROR(--INDEX('Term investments'!$H:$H,ROW()),0)</f>
        <v/>
      </c>
      <c r="I717">
        <f>IF(ISNUMBER(INDEX('Term investments'!$G:$G,ROW())),1,0)</f>
        <v/>
      </c>
      <c r="J717">
        <f>TRIM(SUBSTITUTE(INDEX('Call accounts and MMFs'!$A:$A,ROW())&amp;""," "," "))</f>
        <v/>
      </c>
      <c r="K717">
        <f>TRIM(SUBSTITUTE(INDEX('Call accounts and MMFs'!$B:$B,ROW())&amp;""," "," "))</f>
        <v/>
      </c>
      <c r="L717">
        <f>TRIM(SUBSTITUTE(INDEX('Call accounts and MMFs'!$C:$C,ROW())&amp;""," "," "))</f>
        <v/>
      </c>
      <c r="M717">
        <f>IFERROR(--INDEX('Call accounts and MMFs'!$D:$D,ROW()),0)</f>
        <v/>
      </c>
      <c r="N717">
        <f>IFERROR(IF(--INDEX('Call accounts and MMFs'!$E:$E,ROW())&gt;=1,--INDEX('Call accounts and MMFs'!$E:$E,ROW())/100,--INDEX('Call accounts and MMFs'!$E:$E,ROW())),0)</f>
        <v/>
      </c>
      <c r="O717">
        <f>IFERROR(--INDEX('Call accounts and MMFs'!$F:$F,ROW()),0)</f>
        <v/>
      </c>
      <c r="P717">
        <f>IF(ISNUMBER(INDEX('Call accounts and MMFs'!$E:$E,ROW())),1,0)</f>
        <v/>
      </c>
      <c r="Q717">
        <f>TRIM(SUBSTITUTE(INDEX('Pooled funds'!$B:$B,ROW())&amp;""," "," "))</f>
        <v/>
      </c>
      <c r="R717">
        <f>IFERROR(--INDEX('Pooled funds'!$C:$C,ROW()),0)</f>
        <v/>
      </c>
      <c r="S717">
        <f>IFERROR(--INDEX('Pooled funds'!$D:$D,ROW()),0)</f>
        <v/>
      </c>
      <c r="T717">
        <f>IFERROR(IF(--INDEX('Pooled funds'!$E:$E,ROW())&gt;=1,--INDEX('Pooled funds'!$E:$E,ROW())/100,--INDEX('Pooled funds'!$E:$E,ROW())),0)</f>
        <v/>
      </c>
      <c r="U717">
        <f>IF(ISNUMBER(INDEX('Pooled funds'!$E:$E,ROW())),1,0)</f>
        <v/>
      </c>
      <c r="V717">
        <f>TRIM(SUBSTITUTE(INDEX('Loans'!$A:$A,ROW())&amp;""," "," "))</f>
        <v/>
      </c>
      <c r="W717">
        <f>TRIM(SUBSTITUTE(INDEX('Loans'!$B:$B,ROW())&amp;""," "," "))</f>
        <v/>
      </c>
      <c r="X717">
        <f>TRIM(SUBSTITUTE(INDEX('Loans'!$C:$C,ROW())&amp;""," "," "))</f>
        <v/>
      </c>
      <c r="Y717">
        <f>IFERROR(--INDEX('Loans'!$D:$D,ROW()),0)</f>
        <v/>
      </c>
      <c r="Z717">
        <f>IFERROR(--INDEX('Loans'!$E:$E,ROW()),0)</f>
        <v/>
      </c>
      <c r="AA717">
        <f>IFERROR(--INDEX('Loans'!$F:$F,ROW()),0)</f>
        <v/>
      </c>
      <c r="AB717">
        <f>IFERROR(IF(--INDEX('Loans'!$G:$G,ROW())&gt;=1,--INDEX('Loans'!$G:$G,ROW())/100,--INDEX('Loans'!$G:$G,ROW())),0)</f>
        <v/>
      </c>
      <c r="AC717">
        <f>TRIM(SUBSTITUTE(INDEX('Loans'!$H:$H,ROW())&amp;""," "," "))</f>
        <v/>
      </c>
      <c r="AD717">
        <f>TRIM(SUBSTITUTE(INDEX('Loans'!$I:$I,ROW())&amp;""," "," "))</f>
        <v/>
      </c>
      <c r="AE717">
        <f>IFERROR(--INDEX('Loans'!$J:$J,ROW()),0)</f>
        <v/>
      </c>
      <c r="AF717">
        <f>TRIM(SUBSTITUTE(INDEX('Loans'!$K:$K,ROW())&amp;""," "," "))</f>
        <v/>
      </c>
      <c r="AG717">
        <f>IFERROR(--INDEX('Loans'!$L:$L,ROW()),0)</f>
        <v/>
      </c>
      <c r="AH717">
        <f>IF(ISNUMBER(INDEX('Loans'!$G:$G,ROW())),1,0)</f>
        <v/>
      </c>
    </row>
    <row r="718">
      <c r="A718">
        <f>TRIM(SUBSTITUTE(INDEX('Term investments'!$A:$A,ROW())&amp;""," "," "))</f>
        <v/>
      </c>
      <c r="B718">
        <f>TRIM(SUBSTITUTE(INDEX('Term investments'!$B:$B,ROW())&amp;""," "," "))</f>
        <v/>
      </c>
      <c r="C718">
        <f>TRIM(SUBSTITUTE(INDEX('Term investments'!$C:$C,ROW())&amp;""," "," "))</f>
        <v/>
      </c>
      <c r="D718">
        <f>IFERROR(--INDEX('Term investments'!$D:$D,ROW()),0)</f>
        <v/>
      </c>
      <c r="E718">
        <f>IFERROR(--INDEX('Term investments'!$E:$E,ROW()),0)</f>
        <v/>
      </c>
      <c r="F718">
        <f>IFERROR(--INDEX('Term investments'!$F:$F,ROW()),0)</f>
        <v/>
      </c>
      <c r="G718">
        <f>IFERROR(IF(--INDEX('Term investments'!$G:$G,ROW())&gt;=1,--INDEX('Term investments'!$G:$G,ROW())/100,--INDEX('Term investments'!$G:$G,ROW())),0)</f>
        <v/>
      </c>
      <c r="H718">
        <f>IFERROR(--INDEX('Term investments'!$H:$H,ROW()),0)</f>
        <v/>
      </c>
      <c r="I718">
        <f>IF(ISNUMBER(INDEX('Term investments'!$G:$G,ROW())),1,0)</f>
        <v/>
      </c>
      <c r="J718">
        <f>TRIM(SUBSTITUTE(INDEX('Call accounts and MMFs'!$A:$A,ROW())&amp;""," "," "))</f>
        <v/>
      </c>
      <c r="K718">
        <f>TRIM(SUBSTITUTE(INDEX('Call accounts and MMFs'!$B:$B,ROW())&amp;""," "," "))</f>
        <v/>
      </c>
      <c r="L718">
        <f>TRIM(SUBSTITUTE(INDEX('Call accounts and MMFs'!$C:$C,ROW())&amp;""," "," "))</f>
        <v/>
      </c>
      <c r="M718">
        <f>IFERROR(--INDEX('Call accounts and MMFs'!$D:$D,ROW()),0)</f>
        <v/>
      </c>
      <c r="N718">
        <f>IFERROR(IF(--INDEX('Call accounts and MMFs'!$E:$E,ROW())&gt;=1,--INDEX('Call accounts and MMFs'!$E:$E,ROW())/100,--INDEX('Call accounts and MMFs'!$E:$E,ROW())),0)</f>
        <v/>
      </c>
      <c r="O718">
        <f>IFERROR(--INDEX('Call accounts and MMFs'!$F:$F,ROW()),0)</f>
        <v/>
      </c>
      <c r="P718">
        <f>IF(ISNUMBER(INDEX('Call accounts and MMFs'!$E:$E,ROW())),1,0)</f>
        <v/>
      </c>
      <c r="Q718">
        <f>TRIM(SUBSTITUTE(INDEX('Pooled funds'!$B:$B,ROW())&amp;""," "," "))</f>
        <v/>
      </c>
      <c r="R718">
        <f>IFERROR(--INDEX('Pooled funds'!$C:$C,ROW()),0)</f>
        <v/>
      </c>
      <c r="S718">
        <f>IFERROR(--INDEX('Pooled funds'!$D:$D,ROW()),0)</f>
        <v/>
      </c>
      <c r="T718">
        <f>IFERROR(IF(--INDEX('Pooled funds'!$E:$E,ROW())&gt;=1,--INDEX('Pooled funds'!$E:$E,ROW())/100,--INDEX('Pooled funds'!$E:$E,ROW())),0)</f>
        <v/>
      </c>
      <c r="U718">
        <f>IF(ISNUMBER(INDEX('Pooled funds'!$E:$E,ROW())),1,0)</f>
        <v/>
      </c>
      <c r="V718">
        <f>TRIM(SUBSTITUTE(INDEX('Loans'!$A:$A,ROW())&amp;""," "," "))</f>
        <v/>
      </c>
      <c r="W718">
        <f>TRIM(SUBSTITUTE(INDEX('Loans'!$B:$B,ROW())&amp;""," "," "))</f>
        <v/>
      </c>
      <c r="X718">
        <f>TRIM(SUBSTITUTE(INDEX('Loans'!$C:$C,ROW())&amp;""," "," "))</f>
        <v/>
      </c>
      <c r="Y718">
        <f>IFERROR(--INDEX('Loans'!$D:$D,ROW()),0)</f>
        <v/>
      </c>
      <c r="Z718">
        <f>IFERROR(--INDEX('Loans'!$E:$E,ROW()),0)</f>
        <v/>
      </c>
      <c r="AA718">
        <f>IFERROR(--INDEX('Loans'!$F:$F,ROW()),0)</f>
        <v/>
      </c>
      <c r="AB718">
        <f>IFERROR(IF(--INDEX('Loans'!$G:$G,ROW())&gt;=1,--INDEX('Loans'!$G:$G,ROW())/100,--INDEX('Loans'!$G:$G,ROW())),0)</f>
        <v/>
      </c>
      <c r="AC718">
        <f>TRIM(SUBSTITUTE(INDEX('Loans'!$H:$H,ROW())&amp;""," "," "))</f>
        <v/>
      </c>
      <c r="AD718">
        <f>TRIM(SUBSTITUTE(INDEX('Loans'!$I:$I,ROW())&amp;""," "," "))</f>
        <v/>
      </c>
      <c r="AE718">
        <f>IFERROR(--INDEX('Loans'!$J:$J,ROW()),0)</f>
        <v/>
      </c>
      <c r="AF718">
        <f>TRIM(SUBSTITUTE(INDEX('Loans'!$K:$K,ROW())&amp;""," "," "))</f>
        <v/>
      </c>
      <c r="AG718">
        <f>IFERROR(--INDEX('Loans'!$L:$L,ROW()),0)</f>
        <v/>
      </c>
      <c r="AH718">
        <f>IF(ISNUMBER(INDEX('Loans'!$G:$G,ROW())),1,0)</f>
        <v/>
      </c>
    </row>
    <row r="719">
      <c r="A719">
        <f>TRIM(SUBSTITUTE(INDEX('Term investments'!$A:$A,ROW())&amp;""," "," "))</f>
        <v/>
      </c>
      <c r="B719">
        <f>TRIM(SUBSTITUTE(INDEX('Term investments'!$B:$B,ROW())&amp;""," "," "))</f>
        <v/>
      </c>
      <c r="C719">
        <f>TRIM(SUBSTITUTE(INDEX('Term investments'!$C:$C,ROW())&amp;""," "," "))</f>
        <v/>
      </c>
      <c r="D719">
        <f>IFERROR(--INDEX('Term investments'!$D:$D,ROW()),0)</f>
        <v/>
      </c>
      <c r="E719">
        <f>IFERROR(--INDEX('Term investments'!$E:$E,ROW()),0)</f>
        <v/>
      </c>
      <c r="F719">
        <f>IFERROR(--INDEX('Term investments'!$F:$F,ROW()),0)</f>
        <v/>
      </c>
      <c r="G719">
        <f>IFERROR(IF(--INDEX('Term investments'!$G:$G,ROW())&gt;=1,--INDEX('Term investments'!$G:$G,ROW())/100,--INDEX('Term investments'!$G:$G,ROW())),0)</f>
        <v/>
      </c>
      <c r="H719">
        <f>IFERROR(--INDEX('Term investments'!$H:$H,ROW()),0)</f>
        <v/>
      </c>
      <c r="I719">
        <f>IF(ISNUMBER(INDEX('Term investments'!$G:$G,ROW())),1,0)</f>
        <v/>
      </c>
      <c r="J719">
        <f>TRIM(SUBSTITUTE(INDEX('Call accounts and MMFs'!$A:$A,ROW())&amp;""," "," "))</f>
        <v/>
      </c>
      <c r="K719">
        <f>TRIM(SUBSTITUTE(INDEX('Call accounts and MMFs'!$B:$B,ROW())&amp;""," "," "))</f>
        <v/>
      </c>
      <c r="L719">
        <f>TRIM(SUBSTITUTE(INDEX('Call accounts and MMFs'!$C:$C,ROW())&amp;""," "," "))</f>
        <v/>
      </c>
      <c r="M719">
        <f>IFERROR(--INDEX('Call accounts and MMFs'!$D:$D,ROW()),0)</f>
        <v/>
      </c>
      <c r="N719">
        <f>IFERROR(IF(--INDEX('Call accounts and MMFs'!$E:$E,ROW())&gt;=1,--INDEX('Call accounts and MMFs'!$E:$E,ROW())/100,--INDEX('Call accounts and MMFs'!$E:$E,ROW())),0)</f>
        <v/>
      </c>
      <c r="O719">
        <f>IFERROR(--INDEX('Call accounts and MMFs'!$F:$F,ROW()),0)</f>
        <v/>
      </c>
      <c r="P719">
        <f>IF(ISNUMBER(INDEX('Call accounts and MMFs'!$E:$E,ROW())),1,0)</f>
        <v/>
      </c>
      <c r="Q719">
        <f>TRIM(SUBSTITUTE(INDEX('Pooled funds'!$B:$B,ROW())&amp;""," "," "))</f>
        <v/>
      </c>
      <c r="R719">
        <f>IFERROR(--INDEX('Pooled funds'!$C:$C,ROW()),0)</f>
        <v/>
      </c>
      <c r="S719">
        <f>IFERROR(--INDEX('Pooled funds'!$D:$D,ROW()),0)</f>
        <v/>
      </c>
      <c r="T719">
        <f>IFERROR(IF(--INDEX('Pooled funds'!$E:$E,ROW())&gt;=1,--INDEX('Pooled funds'!$E:$E,ROW())/100,--INDEX('Pooled funds'!$E:$E,ROW())),0)</f>
        <v/>
      </c>
      <c r="U719">
        <f>IF(ISNUMBER(INDEX('Pooled funds'!$E:$E,ROW())),1,0)</f>
        <v/>
      </c>
      <c r="V719">
        <f>TRIM(SUBSTITUTE(INDEX('Loans'!$A:$A,ROW())&amp;""," "," "))</f>
        <v/>
      </c>
      <c r="W719">
        <f>TRIM(SUBSTITUTE(INDEX('Loans'!$B:$B,ROW())&amp;""," "," "))</f>
        <v/>
      </c>
      <c r="X719">
        <f>TRIM(SUBSTITUTE(INDEX('Loans'!$C:$C,ROW())&amp;""," "," "))</f>
        <v/>
      </c>
      <c r="Y719">
        <f>IFERROR(--INDEX('Loans'!$D:$D,ROW()),0)</f>
        <v/>
      </c>
      <c r="Z719">
        <f>IFERROR(--INDEX('Loans'!$E:$E,ROW()),0)</f>
        <v/>
      </c>
      <c r="AA719">
        <f>IFERROR(--INDEX('Loans'!$F:$F,ROW()),0)</f>
        <v/>
      </c>
      <c r="AB719">
        <f>IFERROR(IF(--INDEX('Loans'!$G:$G,ROW())&gt;=1,--INDEX('Loans'!$G:$G,ROW())/100,--INDEX('Loans'!$G:$G,ROW())),0)</f>
        <v/>
      </c>
      <c r="AC719">
        <f>TRIM(SUBSTITUTE(INDEX('Loans'!$H:$H,ROW())&amp;""," "," "))</f>
        <v/>
      </c>
      <c r="AD719">
        <f>TRIM(SUBSTITUTE(INDEX('Loans'!$I:$I,ROW())&amp;""," "," "))</f>
        <v/>
      </c>
      <c r="AE719">
        <f>IFERROR(--INDEX('Loans'!$J:$J,ROW()),0)</f>
        <v/>
      </c>
      <c r="AF719">
        <f>TRIM(SUBSTITUTE(INDEX('Loans'!$K:$K,ROW())&amp;""," "," "))</f>
        <v/>
      </c>
      <c r="AG719">
        <f>IFERROR(--INDEX('Loans'!$L:$L,ROW()),0)</f>
        <v/>
      </c>
      <c r="AH719">
        <f>IF(ISNUMBER(INDEX('Loans'!$G:$G,ROW())),1,0)</f>
        <v/>
      </c>
    </row>
    <row r="720">
      <c r="A720">
        <f>TRIM(SUBSTITUTE(INDEX('Term investments'!$A:$A,ROW())&amp;""," "," "))</f>
        <v/>
      </c>
      <c r="B720">
        <f>TRIM(SUBSTITUTE(INDEX('Term investments'!$B:$B,ROW())&amp;""," "," "))</f>
        <v/>
      </c>
      <c r="C720">
        <f>TRIM(SUBSTITUTE(INDEX('Term investments'!$C:$C,ROW())&amp;""," "," "))</f>
        <v/>
      </c>
      <c r="D720">
        <f>IFERROR(--INDEX('Term investments'!$D:$D,ROW()),0)</f>
        <v/>
      </c>
      <c r="E720">
        <f>IFERROR(--INDEX('Term investments'!$E:$E,ROW()),0)</f>
        <v/>
      </c>
      <c r="F720">
        <f>IFERROR(--INDEX('Term investments'!$F:$F,ROW()),0)</f>
        <v/>
      </c>
      <c r="G720">
        <f>IFERROR(IF(--INDEX('Term investments'!$G:$G,ROW())&gt;=1,--INDEX('Term investments'!$G:$G,ROW())/100,--INDEX('Term investments'!$G:$G,ROW())),0)</f>
        <v/>
      </c>
      <c r="H720">
        <f>IFERROR(--INDEX('Term investments'!$H:$H,ROW()),0)</f>
        <v/>
      </c>
      <c r="I720">
        <f>IF(ISNUMBER(INDEX('Term investments'!$G:$G,ROW())),1,0)</f>
        <v/>
      </c>
      <c r="J720">
        <f>TRIM(SUBSTITUTE(INDEX('Call accounts and MMFs'!$A:$A,ROW())&amp;""," "," "))</f>
        <v/>
      </c>
      <c r="K720">
        <f>TRIM(SUBSTITUTE(INDEX('Call accounts and MMFs'!$B:$B,ROW())&amp;""," "," "))</f>
        <v/>
      </c>
      <c r="L720">
        <f>TRIM(SUBSTITUTE(INDEX('Call accounts and MMFs'!$C:$C,ROW())&amp;""," "," "))</f>
        <v/>
      </c>
      <c r="M720">
        <f>IFERROR(--INDEX('Call accounts and MMFs'!$D:$D,ROW()),0)</f>
        <v/>
      </c>
      <c r="N720">
        <f>IFERROR(IF(--INDEX('Call accounts and MMFs'!$E:$E,ROW())&gt;=1,--INDEX('Call accounts and MMFs'!$E:$E,ROW())/100,--INDEX('Call accounts and MMFs'!$E:$E,ROW())),0)</f>
        <v/>
      </c>
      <c r="O720">
        <f>IFERROR(--INDEX('Call accounts and MMFs'!$F:$F,ROW()),0)</f>
        <v/>
      </c>
      <c r="P720">
        <f>IF(ISNUMBER(INDEX('Call accounts and MMFs'!$E:$E,ROW())),1,0)</f>
        <v/>
      </c>
      <c r="Q720">
        <f>TRIM(SUBSTITUTE(INDEX('Pooled funds'!$B:$B,ROW())&amp;""," "," "))</f>
        <v/>
      </c>
      <c r="R720">
        <f>IFERROR(--INDEX('Pooled funds'!$C:$C,ROW()),0)</f>
        <v/>
      </c>
      <c r="S720">
        <f>IFERROR(--INDEX('Pooled funds'!$D:$D,ROW()),0)</f>
        <v/>
      </c>
      <c r="T720">
        <f>IFERROR(IF(--INDEX('Pooled funds'!$E:$E,ROW())&gt;=1,--INDEX('Pooled funds'!$E:$E,ROW())/100,--INDEX('Pooled funds'!$E:$E,ROW())),0)</f>
        <v/>
      </c>
      <c r="U720">
        <f>IF(ISNUMBER(INDEX('Pooled funds'!$E:$E,ROW())),1,0)</f>
        <v/>
      </c>
      <c r="V720">
        <f>TRIM(SUBSTITUTE(INDEX('Loans'!$A:$A,ROW())&amp;""," "," "))</f>
        <v/>
      </c>
      <c r="W720">
        <f>TRIM(SUBSTITUTE(INDEX('Loans'!$B:$B,ROW())&amp;""," "," "))</f>
        <v/>
      </c>
      <c r="X720">
        <f>TRIM(SUBSTITUTE(INDEX('Loans'!$C:$C,ROW())&amp;""," "," "))</f>
        <v/>
      </c>
      <c r="Y720">
        <f>IFERROR(--INDEX('Loans'!$D:$D,ROW()),0)</f>
        <v/>
      </c>
      <c r="Z720">
        <f>IFERROR(--INDEX('Loans'!$E:$E,ROW()),0)</f>
        <v/>
      </c>
      <c r="AA720">
        <f>IFERROR(--INDEX('Loans'!$F:$F,ROW()),0)</f>
        <v/>
      </c>
      <c r="AB720">
        <f>IFERROR(IF(--INDEX('Loans'!$G:$G,ROW())&gt;=1,--INDEX('Loans'!$G:$G,ROW())/100,--INDEX('Loans'!$G:$G,ROW())),0)</f>
        <v/>
      </c>
      <c r="AC720">
        <f>TRIM(SUBSTITUTE(INDEX('Loans'!$H:$H,ROW())&amp;""," "," "))</f>
        <v/>
      </c>
      <c r="AD720">
        <f>TRIM(SUBSTITUTE(INDEX('Loans'!$I:$I,ROW())&amp;""," "," "))</f>
        <v/>
      </c>
      <c r="AE720">
        <f>IFERROR(--INDEX('Loans'!$J:$J,ROW()),0)</f>
        <v/>
      </c>
      <c r="AF720">
        <f>TRIM(SUBSTITUTE(INDEX('Loans'!$K:$K,ROW())&amp;""," "," "))</f>
        <v/>
      </c>
      <c r="AG720">
        <f>IFERROR(--INDEX('Loans'!$L:$L,ROW()),0)</f>
        <v/>
      </c>
      <c r="AH720">
        <f>IF(ISNUMBER(INDEX('Loans'!$G:$G,ROW())),1,0)</f>
        <v/>
      </c>
    </row>
    <row r="721">
      <c r="A721">
        <f>TRIM(SUBSTITUTE(INDEX('Term investments'!$A:$A,ROW())&amp;""," "," "))</f>
        <v/>
      </c>
      <c r="B721">
        <f>TRIM(SUBSTITUTE(INDEX('Term investments'!$B:$B,ROW())&amp;""," "," "))</f>
        <v/>
      </c>
      <c r="C721">
        <f>TRIM(SUBSTITUTE(INDEX('Term investments'!$C:$C,ROW())&amp;""," "," "))</f>
        <v/>
      </c>
      <c r="D721">
        <f>IFERROR(--INDEX('Term investments'!$D:$D,ROW()),0)</f>
        <v/>
      </c>
      <c r="E721">
        <f>IFERROR(--INDEX('Term investments'!$E:$E,ROW()),0)</f>
        <v/>
      </c>
      <c r="F721">
        <f>IFERROR(--INDEX('Term investments'!$F:$F,ROW()),0)</f>
        <v/>
      </c>
      <c r="G721">
        <f>IFERROR(IF(--INDEX('Term investments'!$G:$G,ROW())&gt;=1,--INDEX('Term investments'!$G:$G,ROW())/100,--INDEX('Term investments'!$G:$G,ROW())),0)</f>
        <v/>
      </c>
      <c r="H721">
        <f>IFERROR(--INDEX('Term investments'!$H:$H,ROW()),0)</f>
        <v/>
      </c>
      <c r="I721">
        <f>IF(ISNUMBER(INDEX('Term investments'!$G:$G,ROW())),1,0)</f>
        <v/>
      </c>
      <c r="J721">
        <f>TRIM(SUBSTITUTE(INDEX('Call accounts and MMFs'!$A:$A,ROW())&amp;""," "," "))</f>
        <v/>
      </c>
      <c r="K721">
        <f>TRIM(SUBSTITUTE(INDEX('Call accounts and MMFs'!$B:$B,ROW())&amp;""," "," "))</f>
        <v/>
      </c>
      <c r="L721">
        <f>TRIM(SUBSTITUTE(INDEX('Call accounts and MMFs'!$C:$C,ROW())&amp;""," "," "))</f>
        <v/>
      </c>
      <c r="M721">
        <f>IFERROR(--INDEX('Call accounts and MMFs'!$D:$D,ROW()),0)</f>
        <v/>
      </c>
      <c r="N721">
        <f>IFERROR(IF(--INDEX('Call accounts and MMFs'!$E:$E,ROW())&gt;=1,--INDEX('Call accounts and MMFs'!$E:$E,ROW())/100,--INDEX('Call accounts and MMFs'!$E:$E,ROW())),0)</f>
        <v/>
      </c>
      <c r="O721">
        <f>IFERROR(--INDEX('Call accounts and MMFs'!$F:$F,ROW()),0)</f>
        <v/>
      </c>
      <c r="P721">
        <f>IF(ISNUMBER(INDEX('Call accounts and MMFs'!$E:$E,ROW())),1,0)</f>
        <v/>
      </c>
      <c r="Q721">
        <f>TRIM(SUBSTITUTE(INDEX('Pooled funds'!$B:$B,ROW())&amp;""," "," "))</f>
        <v/>
      </c>
      <c r="R721">
        <f>IFERROR(--INDEX('Pooled funds'!$C:$C,ROW()),0)</f>
        <v/>
      </c>
      <c r="S721">
        <f>IFERROR(--INDEX('Pooled funds'!$D:$D,ROW()),0)</f>
        <v/>
      </c>
      <c r="T721">
        <f>IFERROR(IF(--INDEX('Pooled funds'!$E:$E,ROW())&gt;=1,--INDEX('Pooled funds'!$E:$E,ROW())/100,--INDEX('Pooled funds'!$E:$E,ROW())),0)</f>
        <v/>
      </c>
      <c r="U721">
        <f>IF(ISNUMBER(INDEX('Pooled funds'!$E:$E,ROW())),1,0)</f>
        <v/>
      </c>
      <c r="V721">
        <f>TRIM(SUBSTITUTE(INDEX('Loans'!$A:$A,ROW())&amp;""," "," "))</f>
        <v/>
      </c>
      <c r="W721">
        <f>TRIM(SUBSTITUTE(INDEX('Loans'!$B:$B,ROW())&amp;""," "," "))</f>
        <v/>
      </c>
      <c r="X721">
        <f>TRIM(SUBSTITUTE(INDEX('Loans'!$C:$C,ROW())&amp;""," "," "))</f>
        <v/>
      </c>
      <c r="Y721">
        <f>IFERROR(--INDEX('Loans'!$D:$D,ROW()),0)</f>
        <v/>
      </c>
      <c r="Z721">
        <f>IFERROR(--INDEX('Loans'!$E:$E,ROW()),0)</f>
        <v/>
      </c>
      <c r="AA721">
        <f>IFERROR(--INDEX('Loans'!$F:$F,ROW()),0)</f>
        <v/>
      </c>
      <c r="AB721">
        <f>IFERROR(IF(--INDEX('Loans'!$G:$G,ROW())&gt;=1,--INDEX('Loans'!$G:$G,ROW())/100,--INDEX('Loans'!$G:$G,ROW())),0)</f>
        <v/>
      </c>
      <c r="AC721">
        <f>TRIM(SUBSTITUTE(INDEX('Loans'!$H:$H,ROW())&amp;""," "," "))</f>
        <v/>
      </c>
      <c r="AD721">
        <f>TRIM(SUBSTITUTE(INDEX('Loans'!$I:$I,ROW())&amp;""," "," "))</f>
        <v/>
      </c>
      <c r="AE721">
        <f>IFERROR(--INDEX('Loans'!$J:$J,ROW()),0)</f>
        <v/>
      </c>
      <c r="AF721">
        <f>TRIM(SUBSTITUTE(INDEX('Loans'!$K:$K,ROW())&amp;""," "," "))</f>
        <v/>
      </c>
      <c r="AG721">
        <f>IFERROR(--INDEX('Loans'!$L:$L,ROW()),0)</f>
        <v/>
      </c>
      <c r="AH721">
        <f>IF(ISNUMBER(INDEX('Loans'!$G:$G,ROW())),1,0)</f>
        <v/>
      </c>
    </row>
    <row r="722">
      <c r="A722">
        <f>TRIM(SUBSTITUTE(INDEX('Term investments'!$A:$A,ROW())&amp;""," "," "))</f>
        <v/>
      </c>
      <c r="B722">
        <f>TRIM(SUBSTITUTE(INDEX('Term investments'!$B:$B,ROW())&amp;""," "," "))</f>
        <v/>
      </c>
      <c r="C722">
        <f>TRIM(SUBSTITUTE(INDEX('Term investments'!$C:$C,ROW())&amp;""," "," "))</f>
        <v/>
      </c>
      <c r="D722">
        <f>IFERROR(--INDEX('Term investments'!$D:$D,ROW()),0)</f>
        <v/>
      </c>
      <c r="E722">
        <f>IFERROR(--INDEX('Term investments'!$E:$E,ROW()),0)</f>
        <v/>
      </c>
      <c r="F722">
        <f>IFERROR(--INDEX('Term investments'!$F:$F,ROW()),0)</f>
        <v/>
      </c>
      <c r="G722">
        <f>IFERROR(IF(--INDEX('Term investments'!$G:$G,ROW())&gt;=1,--INDEX('Term investments'!$G:$G,ROW())/100,--INDEX('Term investments'!$G:$G,ROW())),0)</f>
        <v/>
      </c>
      <c r="H722">
        <f>IFERROR(--INDEX('Term investments'!$H:$H,ROW()),0)</f>
        <v/>
      </c>
      <c r="I722">
        <f>IF(ISNUMBER(INDEX('Term investments'!$G:$G,ROW())),1,0)</f>
        <v/>
      </c>
      <c r="J722">
        <f>TRIM(SUBSTITUTE(INDEX('Call accounts and MMFs'!$A:$A,ROW())&amp;""," "," "))</f>
        <v/>
      </c>
      <c r="K722">
        <f>TRIM(SUBSTITUTE(INDEX('Call accounts and MMFs'!$B:$B,ROW())&amp;""," "," "))</f>
        <v/>
      </c>
      <c r="L722">
        <f>TRIM(SUBSTITUTE(INDEX('Call accounts and MMFs'!$C:$C,ROW())&amp;""," "," "))</f>
        <v/>
      </c>
      <c r="M722">
        <f>IFERROR(--INDEX('Call accounts and MMFs'!$D:$D,ROW()),0)</f>
        <v/>
      </c>
      <c r="N722">
        <f>IFERROR(IF(--INDEX('Call accounts and MMFs'!$E:$E,ROW())&gt;=1,--INDEX('Call accounts and MMFs'!$E:$E,ROW())/100,--INDEX('Call accounts and MMFs'!$E:$E,ROW())),0)</f>
        <v/>
      </c>
      <c r="O722">
        <f>IFERROR(--INDEX('Call accounts and MMFs'!$F:$F,ROW()),0)</f>
        <v/>
      </c>
      <c r="P722">
        <f>IF(ISNUMBER(INDEX('Call accounts and MMFs'!$E:$E,ROW())),1,0)</f>
        <v/>
      </c>
      <c r="Q722">
        <f>TRIM(SUBSTITUTE(INDEX('Pooled funds'!$B:$B,ROW())&amp;""," "," "))</f>
        <v/>
      </c>
      <c r="R722">
        <f>IFERROR(--INDEX('Pooled funds'!$C:$C,ROW()),0)</f>
        <v/>
      </c>
      <c r="S722">
        <f>IFERROR(--INDEX('Pooled funds'!$D:$D,ROW()),0)</f>
        <v/>
      </c>
      <c r="T722">
        <f>IFERROR(IF(--INDEX('Pooled funds'!$E:$E,ROW())&gt;=1,--INDEX('Pooled funds'!$E:$E,ROW())/100,--INDEX('Pooled funds'!$E:$E,ROW())),0)</f>
        <v/>
      </c>
      <c r="U722">
        <f>IF(ISNUMBER(INDEX('Pooled funds'!$E:$E,ROW())),1,0)</f>
        <v/>
      </c>
      <c r="V722">
        <f>TRIM(SUBSTITUTE(INDEX('Loans'!$A:$A,ROW())&amp;""," "," "))</f>
        <v/>
      </c>
      <c r="W722">
        <f>TRIM(SUBSTITUTE(INDEX('Loans'!$B:$B,ROW())&amp;""," "," "))</f>
        <v/>
      </c>
      <c r="X722">
        <f>TRIM(SUBSTITUTE(INDEX('Loans'!$C:$C,ROW())&amp;""," "," "))</f>
        <v/>
      </c>
      <c r="Y722">
        <f>IFERROR(--INDEX('Loans'!$D:$D,ROW()),0)</f>
        <v/>
      </c>
      <c r="Z722">
        <f>IFERROR(--INDEX('Loans'!$E:$E,ROW()),0)</f>
        <v/>
      </c>
      <c r="AA722">
        <f>IFERROR(--INDEX('Loans'!$F:$F,ROW()),0)</f>
        <v/>
      </c>
      <c r="AB722">
        <f>IFERROR(IF(--INDEX('Loans'!$G:$G,ROW())&gt;=1,--INDEX('Loans'!$G:$G,ROW())/100,--INDEX('Loans'!$G:$G,ROW())),0)</f>
        <v/>
      </c>
      <c r="AC722">
        <f>TRIM(SUBSTITUTE(INDEX('Loans'!$H:$H,ROW())&amp;""," "," "))</f>
        <v/>
      </c>
      <c r="AD722">
        <f>TRIM(SUBSTITUTE(INDEX('Loans'!$I:$I,ROW())&amp;""," "," "))</f>
        <v/>
      </c>
      <c r="AE722">
        <f>IFERROR(--INDEX('Loans'!$J:$J,ROW()),0)</f>
        <v/>
      </c>
      <c r="AF722">
        <f>TRIM(SUBSTITUTE(INDEX('Loans'!$K:$K,ROW())&amp;""," "," "))</f>
        <v/>
      </c>
      <c r="AG722">
        <f>IFERROR(--INDEX('Loans'!$L:$L,ROW()),0)</f>
        <v/>
      </c>
      <c r="AH722">
        <f>IF(ISNUMBER(INDEX('Loans'!$G:$G,ROW())),1,0)</f>
        <v/>
      </c>
    </row>
    <row r="723">
      <c r="A723">
        <f>TRIM(SUBSTITUTE(INDEX('Term investments'!$A:$A,ROW())&amp;""," "," "))</f>
        <v/>
      </c>
      <c r="B723">
        <f>TRIM(SUBSTITUTE(INDEX('Term investments'!$B:$B,ROW())&amp;""," "," "))</f>
        <v/>
      </c>
      <c r="C723">
        <f>TRIM(SUBSTITUTE(INDEX('Term investments'!$C:$C,ROW())&amp;""," "," "))</f>
        <v/>
      </c>
      <c r="D723">
        <f>IFERROR(--INDEX('Term investments'!$D:$D,ROW()),0)</f>
        <v/>
      </c>
      <c r="E723">
        <f>IFERROR(--INDEX('Term investments'!$E:$E,ROW()),0)</f>
        <v/>
      </c>
      <c r="F723">
        <f>IFERROR(--INDEX('Term investments'!$F:$F,ROW()),0)</f>
        <v/>
      </c>
      <c r="G723">
        <f>IFERROR(IF(--INDEX('Term investments'!$G:$G,ROW())&gt;=1,--INDEX('Term investments'!$G:$G,ROW())/100,--INDEX('Term investments'!$G:$G,ROW())),0)</f>
        <v/>
      </c>
      <c r="H723">
        <f>IFERROR(--INDEX('Term investments'!$H:$H,ROW()),0)</f>
        <v/>
      </c>
      <c r="I723">
        <f>IF(ISNUMBER(INDEX('Term investments'!$G:$G,ROW())),1,0)</f>
        <v/>
      </c>
      <c r="J723">
        <f>TRIM(SUBSTITUTE(INDEX('Call accounts and MMFs'!$A:$A,ROW())&amp;""," "," "))</f>
        <v/>
      </c>
      <c r="K723">
        <f>TRIM(SUBSTITUTE(INDEX('Call accounts and MMFs'!$B:$B,ROW())&amp;""," "," "))</f>
        <v/>
      </c>
      <c r="L723">
        <f>TRIM(SUBSTITUTE(INDEX('Call accounts and MMFs'!$C:$C,ROW())&amp;""," "," "))</f>
        <v/>
      </c>
      <c r="M723">
        <f>IFERROR(--INDEX('Call accounts and MMFs'!$D:$D,ROW()),0)</f>
        <v/>
      </c>
      <c r="N723">
        <f>IFERROR(IF(--INDEX('Call accounts and MMFs'!$E:$E,ROW())&gt;=1,--INDEX('Call accounts and MMFs'!$E:$E,ROW())/100,--INDEX('Call accounts and MMFs'!$E:$E,ROW())),0)</f>
        <v/>
      </c>
      <c r="O723">
        <f>IFERROR(--INDEX('Call accounts and MMFs'!$F:$F,ROW()),0)</f>
        <v/>
      </c>
      <c r="P723">
        <f>IF(ISNUMBER(INDEX('Call accounts and MMFs'!$E:$E,ROW())),1,0)</f>
        <v/>
      </c>
      <c r="Q723">
        <f>TRIM(SUBSTITUTE(INDEX('Pooled funds'!$B:$B,ROW())&amp;""," "," "))</f>
        <v/>
      </c>
      <c r="R723">
        <f>IFERROR(--INDEX('Pooled funds'!$C:$C,ROW()),0)</f>
        <v/>
      </c>
      <c r="S723">
        <f>IFERROR(--INDEX('Pooled funds'!$D:$D,ROW()),0)</f>
        <v/>
      </c>
      <c r="T723">
        <f>IFERROR(IF(--INDEX('Pooled funds'!$E:$E,ROW())&gt;=1,--INDEX('Pooled funds'!$E:$E,ROW())/100,--INDEX('Pooled funds'!$E:$E,ROW())),0)</f>
        <v/>
      </c>
      <c r="U723">
        <f>IF(ISNUMBER(INDEX('Pooled funds'!$E:$E,ROW())),1,0)</f>
        <v/>
      </c>
      <c r="V723">
        <f>TRIM(SUBSTITUTE(INDEX('Loans'!$A:$A,ROW())&amp;""," "," "))</f>
        <v/>
      </c>
      <c r="W723">
        <f>TRIM(SUBSTITUTE(INDEX('Loans'!$B:$B,ROW())&amp;""," "," "))</f>
        <v/>
      </c>
      <c r="X723">
        <f>TRIM(SUBSTITUTE(INDEX('Loans'!$C:$C,ROW())&amp;""," "," "))</f>
        <v/>
      </c>
      <c r="Y723">
        <f>IFERROR(--INDEX('Loans'!$D:$D,ROW()),0)</f>
        <v/>
      </c>
      <c r="Z723">
        <f>IFERROR(--INDEX('Loans'!$E:$E,ROW()),0)</f>
        <v/>
      </c>
      <c r="AA723">
        <f>IFERROR(--INDEX('Loans'!$F:$F,ROW()),0)</f>
        <v/>
      </c>
      <c r="AB723">
        <f>IFERROR(IF(--INDEX('Loans'!$G:$G,ROW())&gt;=1,--INDEX('Loans'!$G:$G,ROW())/100,--INDEX('Loans'!$G:$G,ROW())),0)</f>
        <v/>
      </c>
      <c r="AC723">
        <f>TRIM(SUBSTITUTE(INDEX('Loans'!$H:$H,ROW())&amp;""," "," "))</f>
        <v/>
      </c>
      <c r="AD723">
        <f>TRIM(SUBSTITUTE(INDEX('Loans'!$I:$I,ROW())&amp;""," "," "))</f>
        <v/>
      </c>
      <c r="AE723">
        <f>IFERROR(--INDEX('Loans'!$J:$J,ROW()),0)</f>
        <v/>
      </c>
      <c r="AF723">
        <f>TRIM(SUBSTITUTE(INDEX('Loans'!$K:$K,ROW())&amp;""," "," "))</f>
        <v/>
      </c>
      <c r="AG723">
        <f>IFERROR(--INDEX('Loans'!$L:$L,ROW()),0)</f>
        <v/>
      </c>
      <c r="AH723">
        <f>IF(ISNUMBER(INDEX('Loans'!$G:$G,ROW())),1,0)</f>
        <v/>
      </c>
    </row>
    <row r="724">
      <c r="A724">
        <f>TRIM(SUBSTITUTE(INDEX('Term investments'!$A:$A,ROW())&amp;""," "," "))</f>
        <v/>
      </c>
      <c r="B724">
        <f>TRIM(SUBSTITUTE(INDEX('Term investments'!$B:$B,ROW())&amp;""," "," "))</f>
        <v/>
      </c>
      <c r="C724">
        <f>TRIM(SUBSTITUTE(INDEX('Term investments'!$C:$C,ROW())&amp;""," "," "))</f>
        <v/>
      </c>
      <c r="D724">
        <f>IFERROR(--INDEX('Term investments'!$D:$D,ROW()),0)</f>
        <v/>
      </c>
      <c r="E724">
        <f>IFERROR(--INDEX('Term investments'!$E:$E,ROW()),0)</f>
        <v/>
      </c>
      <c r="F724">
        <f>IFERROR(--INDEX('Term investments'!$F:$F,ROW()),0)</f>
        <v/>
      </c>
      <c r="G724">
        <f>IFERROR(IF(--INDEX('Term investments'!$G:$G,ROW())&gt;=1,--INDEX('Term investments'!$G:$G,ROW())/100,--INDEX('Term investments'!$G:$G,ROW())),0)</f>
        <v/>
      </c>
      <c r="H724">
        <f>IFERROR(--INDEX('Term investments'!$H:$H,ROW()),0)</f>
        <v/>
      </c>
      <c r="I724">
        <f>IF(ISNUMBER(INDEX('Term investments'!$G:$G,ROW())),1,0)</f>
        <v/>
      </c>
      <c r="J724">
        <f>TRIM(SUBSTITUTE(INDEX('Call accounts and MMFs'!$A:$A,ROW())&amp;""," "," "))</f>
        <v/>
      </c>
      <c r="K724">
        <f>TRIM(SUBSTITUTE(INDEX('Call accounts and MMFs'!$B:$B,ROW())&amp;""," "," "))</f>
        <v/>
      </c>
      <c r="L724">
        <f>TRIM(SUBSTITUTE(INDEX('Call accounts and MMFs'!$C:$C,ROW())&amp;""," "," "))</f>
        <v/>
      </c>
      <c r="M724">
        <f>IFERROR(--INDEX('Call accounts and MMFs'!$D:$D,ROW()),0)</f>
        <v/>
      </c>
      <c r="N724">
        <f>IFERROR(IF(--INDEX('Call accounts and MMFs'!$E:$E,ROW())&gt;=1,--INDEX('Call accounts and MMFs'!$E:$E,ROW())/100,--INDEX('Call accounts and MMFs'!$E:$E,ROW())),0)</f>
        <v/>
      </c>
      <c r="O724">
        <f>IFERROR(--INDEX('Call accounts and MMFs'!$F:$F,ROW()),0)</f>
        <v/>
      </c>
      <c r="P724">
        <f>IF(ISNUMBER(INDEX('Call accounts and MMFs'!$E:$E,ROW())),1,0)</f>
        <v/>
      </c>
      <c r="Q724">
        <f>TRIM(SUBSTITUTE(INDEX('Pooled funds'!$B:$B,ROW())&amp;""," "," "))</f>
        <v/>
      </c>
      <c r="R724">
        <f>IFERROR(--INDEX('Pooled funds'!$C:$C,ROW()),0)</f>
        <v/>
      </c>
      <c r="S724">
        <f>IFERROR(--INDEX('Pooled funds'!$D:$D,ROW()),0)</f>
        <v/>
      </c>
      <c r="T724">
        <f>IFERROR(IF(--INDEX('Pooled funds'!$E:$E,ROW())&gt;=1,--INDEX('Pooled funds'!$E:$E,ROW())/100,--INDEX('Pooled funds'!$E:$E,ROW())),0)</f>
        <v/>
      </c>
      <c r="U724">
        <f>IF(ISNUMBER(INDEX('Pooled funds'!$E:$E,ROW())),1,0)</f>
        <v/>
      </c>
      <c r="V724">
        <f>TRIM(SUBSTITUTE(INDEX('Loans'!$A:$A,ROW())&amp;""," "," "))</f>
        <v/>
      </c>
      <c r="W724">
        <f>TRIM(SUBSTITUTE(INDEX('Loans'!$B:$B,ROW())&amp;""," "," "))</f>
        <v/>
      </c>
      <c r="X724">
        <f>TRIM(SUBSTITUTE(INDEX('Loans'!$C:$C,ROW())&amp;""," "," "))</f>
        <v/>
      </c>
      <c r="Y724">
        <f>IFERROR(--INDEX('Loans'!$D:$D,ROW()),0)</f>
        <v/>
      </c>
      <c r="Z724">
        <f>IFERROR(--INDEX('Loans'!$E:$E,ROW()),0)</f>
        <v/>
      </c>
      <c r="AA724">
        <f>IFERROR(--INDEX('Loans'!$F:$F,ROW()),0)</f>
        <v/>
      </c>
      <c r="AB724">
        <f>IFERROR(IF(--INDEX('Loans'!$G:$G,ROW())&gt;=1,--INDEX('Loans'!$G:$G,ROW())/100,--INDEX('Loans'!$G:$G,ROW())),0)</f>
        <v/>
      </c>
      <c r="AC724">
        <f>TRIM(SUBSTITUTE(INDEX('Loans'!$H:$H,ROW())&amp;""," "," "))</f>
        <v/>
      </c>
      <c r="AD724">
        <f>TRIM(SUBSTITUTE(INDEX('Loans'!$I:$I,ROW())&amp;""," "," "))</f>
        <v/>
      </c>
      <c r="AE724">
        <f>IFERROR(--INDEX('Loans'!$J:$J,ROW()),0)</f>
        <v/>
      </c>
      <c r="AF724">
        <f>TRIM(SUBSTITUTE(INDEX('Loans'!$K:$K,ROW())&amp;""," "," "))</f>
        <v/>
      </c>
      <c r="AG724">
        <f>IFERROR(--INDEX('Loans'!$L:$L,ROW()),0)</f>
        <v/>
      </c>
      <c r="AH724">
        <f>IF(ISNUMBER(INDEX('Loans'!$G:$G,ROW())),1,0)</f>
        <v/>
      </c>
    </row>
    <row r="725">
      <c r="A725">
        <f>TRIM(SUBSTITUTE(INDEX('Term investments'!$A:$A,ROW())&amp;""," "," "))</f>
        <v/>
      </c>
      <c r="B725">
        <f>TRIM(SUBSTITUTE(INDEX('Term investments'!$B:$B,ROW())&amp;""," "," "))</f>
        <v/>
      </c>
      <c r="C725">
        <f>TRIM(SUBSTITUTE(INDEX('Term investments'!$C:$C,ROW())&amp;""," "," "))</f>
        <v/>
      </c>
      <c r="D725">
        <f>IFERROR(--INDEX('Term investments'!$D:$D,ROW()),0)</f>
        <v/>
      </c>
      <c r="E725">
        <f>IFERROR(--INDEX('Term investments'!$E:$E,ROW()),0)</f>
        <v/>
      </c>
      <c r="F725">
        <f>IFERROR(--INDEX('Term investments'!$F:$F,ROW()),0)</f>
        <v/>
      </c>
      <c r="G725">
        <f>IFERROR(IF(--INDEX('Term investments'!$G:$G,ROW())&gt;=1,--INDEX('Term investments'!$G:$G,ROW())/100,--INDEX('Term investments'!$G:$G,ROW())),0)</f>
        <v/>
      </c>
      <c r="H725">
        <f>IFERROR(--INDEX('Term investments'!$H:$H,ROW()),0)</f>
        <v/>
      </c>
      <c r="I725">
        <f>IF(ISNUMBER(INDEX('Term investments'!$G:$G,ROW())),1,0)</f>
        <v/>
      </c>
      <c r="J725">
        <f>TRIM(SUBSTITUTE(INDEX('Call accounts and MMFs'!$A:$A,ROW())&amp;""," "," "))</f>
        <v/>
      </c>
      <c r="K725">
        <f>TRIM(SUBSTITUTE(INDEX('Call accounts and MMFs'!$B:$B,ROW())&amp;""," "," "))</f>
        <v/>
      </c>
      <c r="L725">
        <f>TRIM(SUBSTITUTE(INDEX('Call accounts and MMFs'!$C:$C,ROW())&amp;""," "," "))</f>
        <v/>
      </c>
      <c r="M725">
        <f>IFERROR(--INDEX('Call accounts and MMFs'!$D:$D,ROW()),0)</f>
        <v/>
      </c>
      <c r="N725">
        <f>IFERROR(IF(--INDEX('Call accounts and MMFs'!$E:$E,ROW())&gt;=1,--INDEX('Call accounts and MMFs'!$E:$E,ROW())/100,--INDEX('Call accounts and MMFs'!$E:$E,ROW())),0)</f>
        <v/>
      </c>
      <c r="O725">
        <f>IFERROR(--INDEX('Call accounts and MMFs'!$F:$F,ROW()),0)</f>
        <v/>
      </c>
      <c r="P725">
        <f>IF(ISNUMBER(INDEX('Call accounts and MMFs'!$E:$E,ROW())),1,0)</f>
        <v/>
      </c>
      <c r="Q725">
        <f>TRIM(SUBSTITUTE(INDEX('Pooled funds'!$B:$B,ROW())&amp;""," "," "))</f>
        <v/>
      </c>
      <c r="R725">
        <f>IFERROR(--INDEX('Pooled funds'!$C:$C,ROW()),0)</f>
        <v/>
      </c>
      <c r="S725">
        <f>IFERROR(--INDEX('Pooled funds'!$D:$D,ROW()),0)</f>
        <v/>
      </c>
      <c r="T725">
        <f>IFERROR(IF(--INDEX('Pooled funds'!$E:$E,ROW())&gt;=1,--INDEX('Pooled funds'!$E:$E,ROW())/100,--INDEX('Pooled funds'!$E:$E,ROW())),0)</f>
        <v/>
      </c>
      <c r="U725">
        <f>IF(ISNUMBER(INDEX('Pooled funds'!$E:$E,ROW())),1,0)</f>
        <v/>
      </c>
      <c r="V725">
        <f>TRIM(SUBSTITUTE(INDEX('Loans'!$A:$A,ROW())&amp;""," "," "))</f>
        <v/>
      </c>
      <c r="W725">
        <f>TRIM(SUBSTITUTE(INDEX('Loans'!$B:$B,ROW())&amp;""," "," "))</f>
        <v/>
      </c>
      <c r="X725">
        <f>TRIM(SUBSTITUTE(INDEX('Loans'!$C:$C,ROW())&amp;""," "," "))</f>
        <v/>
      </c>
      <c r="Y725">
        <f>IFERROR(--INDEX('Loans'!$D:$D,ROW()),0)</f>
        <v/>
      </c>
      <c r="Z725">
        <f>IFERROR(--INDEX('Loans'!$E:$E,ROW()),0)</f>
        <v/>
      </c>
      <c r="AA725">
        <f>IFERROR(--INDEX('Loans'!$F:$F,ROW()),0)</f>
        <v/>
      </c>
      <c r="AB725">
        <f>IFERROR(IF(--INDEX('Loans'!$G:$G,ROW())&gt;=1,--INDEX('Loans'!$G:$G,ROW())/100,--INDEX('Loans'!$G:$G,ROW())),0)</f>
        <v/>
      </c>
      <c r="AC725">
        <f>TRIM(SUBSTITUTE(INDEX('Loans'!$H:$H,ROW())&amp;""," "," "))</f>
        <v/>
      </c>
      <c r="AD725">
        <f>TRIM(SUBSTITUTE(INDEX('Loans'!$I:$I,ROW())&amp;""," "," "))</f>
        <v/>
      </c>
      <c r="AE725">
        <f>IFERROR(--INDEX('Loans'!$J:$J,ROW()),0)</f>
        <v/>
      </c>
      <c r="AF725">
        <f>TRIM(SUBSTITUTE(INDEX('Loans'!$K:$K,ROW())&amp;""," "," "))</f>
        <v/>
      </c>
      <c r="AG725">
        <f>IFERROR(--INDEX('Loans'!$L:$L,ROW()),0)</f>
        <v/>
      </c>
      <c r="AH725">
        <f>IF(ISNUMBER(INDEX('Loans'!$G:$G,ROW())),1,0)</f>
        <v/>
      </c>
    </row>
    <row r="726">
      <c r="A726">
        <f>TRIM(SUBSTITUTE(INDEX('Term investments'!$A:$A,ROW())&amp;""," "," "))</f>
        <v/>
      </c>
      <c r="B726">
        <f>TRIM(SUBSTITUTE(INDEX('Term investments'!$B:$B,ROW())&amp;""," "," "))</f>
        <v/>
      </c>
      <c r="C726">
        <f>TRIM(SUBSTITUTE(INDEX('Term investments'!$C:$C,ROW())&amp;""," "," "))</f>
        <v/>
      </c>
      <c r="D726">
        <f>IFERROR(--INDEX('Term investments'!$D:$D,ROW()),0)</f>
        <v/>
      </c>
      <c r="E726">
        <f>IFERROR(--INDEX('Term investments'!$E:$E,ROW()),0)</f>
        <v/>
      </c>
      <c r="F726">
        <f>IFERROR(--INDEX('Term investments'!$F:$F,ROW()),0)</f>
        <v/>
      </c>
      <c r="G726">
        <f>IFERROR(IF(--INDEX('Term investments'!$G:$G,ROW())&gt;=1,--INDEX('Term investments'!$G:$G,ROW())/100,--INDEX('Term investments'!$G:$G,ROW())),0)</f>
        <v/>
      </c>
      <c r="H726">
        <f>IFERROR(--INDEX('Term investments'!$H:$H,ROW()),0)</f>
        <v/>
      </c>
      <c r="I726">
        <f>IF(ISNUMBER(INDEX('Term investments'!$G:$G,ROW())),1,0)</f>
        <v/>
      </c>
      <c r="J726">
        <f>TRIM(SUBSTITUTE(INDEX('Call accounts and MMFs'!$A:$A,ROW())&amp;""," "," "))</f>
        <v/>
      </c>
      <c r="K726">
        <f>TRIM(SUBSTITUTE(INDEX('Call accounts and MMFs'!$B:$B,ROW())&amp;""," "," "))</f>
        <v/>
      </c>
      <c r="L726">
        <f>TRIM(SUBSTITUTE(INDEX('Call accounts and MMFs'!$C:$C,ROW())&amp;""," "," "))</f>
        <v/>
      </c>
      <c r="M726">
        <f>IFERROR(--INDEX('Call accounts and MMFs'!$D:$D,ROW()),0)</f>
        <v/>
      </c>
      <c r="N726">
        <f>IFERROR(IF(--INDEX('Call accounts and MMFs'!$E:$E,ROW())&gt;=1,--INDEX('Call accounts and MMFs'!$E:$E,ROW())/100,--INDEX('Call accounts and MMFs'!$E:$E,ROW())),0)</f>
        <v/>
      </c>
      <c r="O726">
        <f>IFERROR(--INDEX('Call accounts and MMFs'!$F:$F,ROW()),0)</f>
        <v/>
      </c>
      <c r="P726">
        <f>IF(ISNUMBER(INDEX('Call accounts and MMFs'!$E:$E,ROW())),1,0)</f>
        <v/>
      </c>
      <c r="Q726">
        <f>TRIM(SUBSTITUTE(INDEX('Pooled funds'!$B:$B,ROW())&amp;""," "," "))</f>
        <v/>
      </c>
      <c r="R726">
        <f>IFERROR(--INDEX('Pooled funds'!$C:$C,ROW()),0)</f>
        <v/>
      </c>
      <c r="S726">
        <f>IFERROR(--INDEX('Pooled funds'!$D:$D,ROW()),0)</f>
        <v/>
      </c>
      <c r="T726">
        <f>IFERROR(IF(--INDEX('Pooled funds'!$E:$E,ROW())&gt;=1,--INDEX('Pooled funds'!$E:$E,ROW())/100,--INDEX('Pooled funds'!$E:$E,ROW())),0)</f>
        <v/>
      </c>
      <c r="U726">
        <f>IF(ISNUMBER(INDEX('Pooled funds'!$E:$E,ROW())),1,0)</f>
        <v/>
      </c>
      <c r="V726">
        <f>TRIM(SUBSTITUTE(INDEX('Loans'!$A:$A,ROW())&amp;""," "," "))</f>
        <v/>
      </c>
      <c r="W726">
        <f>TRIM(SUBSTITUTE(INDEX('Loans'!$B:$B,ROW())&amp;""," "," "))</f>
        <v/>
      </c>
      <c r="X726">
        <f>TRIM(SUBSTITUTE(INDEX('Loans'!$C:$C,ROW())&amp;""," "," "))</f>
        <v/>
      </c>
      <c r="Y726">
        <f>IFERROR(--INDEX('Loans'!$D:$D,ROW()),0)</f>
        <v/>
      </c>
      <c r="Z726">
        <f>IFERROR(--INDEX('Loans'!$E:$E,ROW()),0)</f>
        <v/>
      </c>
      <c r="AA726">
        <f>IFERROR(--INDEX('Loans'!$F:$F,ROW()),0)</f>
        <v/>
      </c>
      <c r="AB726">
        <f>IFERROR(IF(--INDEX('Loans'!$G:$G,ROW())&gt;=1,--INDEX('Loans'!$G:$G,ROW())/100,--INDEX('Loans'!$G:$G,ROW())),0)</f>
        <v/>
      </c>
      <c r="AC726">
        <f>TRIM(SUBSTITUTE(INDEX('Loans'!$H:$H,ROW())&amp;""," "," "))</f>
        <v/>
      </c>
      <c r="AD726">
        <f>TRIM(SUBSTITUTE(INDEX('Loans'!$I:$I,ROW())&amp;""," "," "))</f>
        <v/>
      </c>
      <c r="AE726">
        <f>IFERROR(--INDEX('Loans'!$J:$J,ROW()),0)</f>
        <v/>
      </c>
      <c r="AF726">
        <f>TRIM(SUBSTITUTE(INDEX('Loans'!$K:$K,ROW())&amp;""," "," "))</f>
        <v/>
      </c>
      <c r="AG726">
        <f>IFERROR(--INDEX('Loans'!$L:$L,ROW()),0)</f>
        <v/>
      </c>
      <c r="AH726">
        <f>IF(ISNUMBER(INDEX('Loans'!$G:$G,ROW())),1,0)</f>
        <v/>
      </c>
    </row>
    <row r="727">
      <c r="A727">
        <f>TRIM(SUBSTITUTE(INDEX('Term investments'!$A:$A,ROW())&amp;""," "," "))</f>
        <v/>
      </c>
      <c r="B727">
        <f>TRIM(SUBSTITUTE(INDEX('Term investments'!$B:$B,ROW())&amp;""," "," "))</f>
        <v/>
      </c>
      <c r="C727">
        <f>TRIM(SUBSTITUTE(INDEX('Term investments'!$C:$C,ROW())&amp;""," "," "))</f>
        <v/>
      </c>
      <c r="D727">
        <f>IFERROR(--INDEX('Term investments'!$D:$D,ROW()),0)</f>
        <v/>
      </c>
      <c r="E727">
        <f>IFERROR(--INDEX('Term investments'!$E:$E,ROW()),0)</f>
        <v/>
      </c>
      <c r="F727">
        <f>IFERROR(--INDEX('Term investments'!$F:$F,ROW()),0)</f>
        <v/>
      </c>
      <c r="G727">
        <f>IFERROR(IF(--INDEX('Term investments'!$G:$G,ROW())&gt;=1,--INDEX('Term investments'!$G:$G,ROW())/100,--INDEX('Term investments'!$G:$G,ROW())),0)</f>
        <v/>
      </c>
      <c r="H727">
        <f>IFERROR(--INDEX('Term investments'!$H:$H,ROW()),0)</f>
        <v/>
      </c>
      <c r="I727">
        <f>IF(ISNUMBER(INDEX('Term investments'!$G:$G,ROW())),1,0)</f>
        <v/>
      </c>
      <c r="J727">
        <f>TRIM(SUBSTITUTE(INDEX('Call accounts and MMFs'!$A:$A,ROW())&amp;""," "," "))</f>
        <v/>
      </c>
      <c r="K727">
        <f>TRIM(SUBSTITUTE(INDEX('Call accounts and MMFs'!$B:$B,ROW())&amp;""," "," "))</f>
        <v/>
      </c>
      <c r="L727">
        <f>TRIM(SUBSTITUTE(INDEX('Call accounts and MMFs'!$C:$C,ROW())&amp;""," "," "))</f>
        <v/>
      </c>
      <c r="M727">
        <f>IFERROR(--INDEX('Call accounts and MMFs'!$D:$D,ROW()),0)</f>
        <v/>
      </c>
      <c r="N727">
        <f>IFERROR(IF(--INDEX('Call accounts and MMFs'!$E:$E,ROW())&gt;=1,--INDEX('Call accounts and MMFs'!$E:$E,ROW())/100,--INDEX('Call accounts and MMFs'!$E:$E,ROW())),0)</f>
        <v/>
      </c>
      <c r="O727">
        <f>IFERROR(--INDEX('Call accounts and MMFs'!$F:$F,ROW()),0)</f>
        <v/>
      </c>
      <c r="P727">
        <f>IF(ISNUMBER(INDEX('Call accounts and MMFs'!$E:$E,ROW())),1,0)</f>
        <v/>
      </c>
      <c r="Q727">
        <f>TRIM(SUBSTITUTE(INDEX('Pooled funds'!$B:$B,ROW())&amp;""," "," "))</f>
        <v/>
      </c>
      <c r="R727">
        <f>IFERROR(--INDEX('Pooled funds'!$C:$C,ROW()),0)</f>
        <v/>
      </c>
      <c r="S727">
        <f>IFERROR(--INDEX('Pooled funds'!$D:$D,ROW()),0)</f>
        <v/>
      </c>
      <c r="T727">
        <f>IFERROR(IF(--INDEX('Pooled funds'!$E:$E,ROW())&gt;=1,--INDEX('Pooled funds'!$E:$E,ROW())/100,--INDEX('Pooled funds'!$E:$E,ROW())),0)</f>
        <v/>
      </c>
      <c r="U727">
        <f>IF(ISNUMBER(INDEX('Pooled funds'!$E:$E,ROW())),1,0)</f>
        <v/>
      </c>
      <c r="V727">
        <f>TRIM(SUBSTITUTE(INDEX('Loans'!$A:$A,ROW())&amp;""," "," "))</f>
        <v/>
      </c>
      <c r="W727">
        <f>TRIM(SUBSTITUTE(INDEX('Loans'!$B:$B,ROW())&amp;""," "," "))</f>
        <v/>
      </c>
      <c r="X727">
        <f>TRIM(SUBSTITUTE(INDEX('Loans'!$C:$C,ROW())&amp;""," "," "))</f>
        <v/>
      </c>
      <c r="Y727">
        <f>IFERROR(--INDEX('Loans'!$D:$D,ROW()),0)</f>
        <v/>
      </c>
      <c r="Z727">
        <f>IFERROR(--INDEX('Loans'!$E:$E,ROW()),0)</f>
        <v/>
      </c>
      <c r="AA727">
        <f>IFERROR(--INDEX('Loans'!$F:$F,ROW()),0)</f>
        <v/>
      </c>
      <c r="AB727">
        <f>IFERROR(IF(--INDEX('Loans'!$G:$G,ROW())&gt;=1,--INDEX('Loans'!$G:$G,ROW())/100,--INDEX('Loans'!$G:$G,ROW())),0)</f>
        <v/>
      </c>
      <c r="AC727">
        <f>TRIM(SUBSTITUTE(INDEX('Loans'!$H:$H,ROW())&amp;""," "," "))</f>
        <v/>
      </c>
      <c r="AD727">
        <f>TRIM(SUBSTITUTE(INDEX('Loans'!$I:$I,ROW())&amp;""," "," "))</f>
        <v/>
      </c>
      <c r="AE727">
        <f>IFERROR(--INDEX('Loans'!$J:$J,ROW()),0)</f>
        <v/>
      </c>
      <c r="AF727">
        <f>TRIM(SUBSTITUTE(INDEX('Loans'!$K:$K,ROW())&amp;""," "," "))</f>
        <v/>
      </c>
      <c r="AG727">
        <f>IFERROR(--INDEX('Loans'!$L:$L,ROW()),0)</f>
        <v/>
      </c>
      <c r="AH727">
        <f>IF(ISNUMBER(INDEX('Loans'!$G:$G,ROW())),1,0)</f>
        <v/>
      </c>
    </row>
    <row r="728">
      <c r="A728">
        <f>TRIM(SUBSTITUTE(INDEX('Term investments'!$A:$A,ROW())&amp;""," "," "))</f>
        <v/>
      </c>
      <c r="B728">
        <f>TRIM(SUBSTITUTE(INDEX('Term investments'!$B:$B,ROW())&amp;""," "," "))</f>
        <v/>
      </c>
      <c r="C728">
        <f>TRIM(SUBSTITUTE(INDEX('Term investments'!$C:$C,ROW())&amp;""," "," "))</f>
        <v/>
      </c>
      <c r="D728">
        <f>IFERROR(--INDEX('Term investments'!$D:$D,ROW()),0)</f>
        <v/>
      </c>
      <c r="E728">
        <f>IFERROR(--INDEX('Term investments'!$E:$E,ROW()),0)</f>
        <v/>
      </c>
      <c r="F728">
        <f>IFERROR(--INDEX('Term investments'!$F:$F,ROW()),0)</f>
        <v/>
      </c>
      <c r="G728">
        <f>IFERROR(IF(--INDEX('Term investments'!$G:$G,ROW())&gt;=1,--INDEX('Term investments'!$G:$G,ROW())/100,--INDEX('Term investments'!$G:$G,ROW())),0)</f>
        <v/>
      </c>
      <c r="H728">
        <f>IFERROR(--INDEX('Term investments'!$H:$H,ROW()),0)</f>
        <v/>
      </c>
      <c r="I728">
        <f>IF(ISNUMBER(INDEX('Term investments'!$G:$G,ROW())),1,0)</f>
        <v/>
      </c>
      <c r="J728">
        <f>TRIM(SUBSTITUTE(INDEX('Call accounts and MMFs'!$A:$A,ROW())&amp;""," "," "))</f>
        <v/>
      </c>
      <c r="K728">
        <f>TRIM(SUBSTITUTE(INDEX('Call accounts and MMFs'!$B:$B,ROW())&amp;""," "," "))</f>
        <v/>
      </c>
      <c r="L728">
        <f>TRIM(SUBSTITUTE(INDEX('Call accounts and MMFs'!$C:$C,ROW())&amp;""," "," "))</f>
        <v/>
      </c>
      <c r="M728">
        <f>IFERROR(--INDEX('Call accounts and MMFs'!$D:$D,ROW()),0)</f>
        <v/>
      </c>
      <c r="N728">
        <f>IFERROR(IF(--INDEX('Call accounts and MMFs'!$E:$E,ROW())&gt;=1,--INDEX('Call accounts and MMFs'!$E:$E,ROW())/100,--INDEX('Call accounts and MMFs'!$E:$E,ROW())),0)</f>
        <v/>
      </c>
      <c r="O728">
        <f>IFERROR(--INDEX('Call accounts and MMFs'!$F:$F,ROW()),0)</f>
        <v/>
      </c>
      <c r="P728">
        <f>IF(ISNUMBER(INDEX('Call accounts and MMFs'!$E:$E,ROW())),1,0)</f>
        <v/>
      </c>
      <c r="Q728">
        <f>TRIM(SUBSTITUTE(INDEX('Pooled funds'!$B:$B,ROW())&amp;""," "," "))</f>
        <v/>
      </c>
      <c r="R728">
        <f>IFERROR(--INDEX('Pooled funds'!$C:$C,ROW()),0)</f>
        <v/>
      </c>
      <c r="S728">
        <f>IFERROR(--INDEX('Pooled funds'!$D:$D,ROW()),0)</f>
        <v/>
      </c>
      <c r="T728">
        <f>IFERROR(IF(--INDEX('Pooled funds'!$E:$E,ROW())&gt;=1,--INDEX('Pooled funds'!$E:$E,ROW())/100,--INDEX('Pooled funds'!$E:$E,ROW())),0)</f>
        <v/>
      </c>
      <c r="U728">
        <f>IF(ISNUMBER(INDEX('Pooled funds'!$E:$E,ROW())),1,0)</f>
        <v/>
      </c>
      <c r="V728">
        <f>TRIM(SUBSTITUTE(INDEX('Loans'!$A:$A,ROW())&amp;""," "," "))</f>
        <v/>
      </c>
      <c r="W728">
        <f>TRIM(SUBSTITUTE(INDEX('Loans'!$B:$B,ROW())&amp;""," "," "))</f>
        <v/>
      </c>
      <c r="X728">
        <f>TRIM(SUBSTITUTE(INDEX('Loans'!$C:$C,ROW())&amp;""," "," "))</f>
        <v/>
      </c>
      <c r="Y728">
        <f>IFERROR(--INDEX('Loans'!$D:$D,ROW()),0)</f>
        <v/>
      </c>
      <c r="Z728">
        <f>IFERROR(--INDEX('Loans'!$E:$E,ROW()),0)</f>
        <v/>
      </c>
      <c r="AA728">
        <f>IFERROR(--INDEX('Loans'!$F:$F,ROW()),0)</f>
        <v/>
      </c>
      <c r="AB728">
        <f>IFERROR(IF(--INDEX('Loans'!$G:$G,ROW())&gt;=1,--INDEX('Loans'!$G:$G,ROW())/100,--INDEX('Loans'!$G:$G,ROW())),0)</f>
        <v/>
      </c>
      <c r="AC728">
        <f>TRIM(SUBSTITUTE(INDEX('Loans'!$H:$H,ROW())&amp;""," "," "))</f>
        <v/>
      </c>
      <c r="AD728">
        <f>TRIM(SUBSTITUTE(INDEX('Loans'!$I:$I,ROW())&amp;""," "," "))</f>
        <v/>
      </c>
      <c r="AE728">
        <f>IFERROR(--INDEX('Loans'!$J:$J,ROW()),0)</f>
        <v/>
      </c>
      <c r="AF728">
        <f>TRIM(SUBSTITUTE(INDEX('Loans'!$K:$K,ROW())&amp;""," "," "))</f>
        <v/>
      </c>
      <c r="AG728">
        <f>IFERROR(--INDEX('Loans'!$L:$L,ROW()),0)</f>
        <v/>
      </c>
      <c r="AH728">
        <f>IF(ISNUMBER(INDEX('Loans'!$G:$G,ROW())),1,0)</f>
        <v/>
      </c>
    </row>
    <row r="729">
      <c r="A729">
        <f>TRIM(SUBSTITUTE(INDEX('Term investments'!$A:$A,ROW())&amp;""," "," "))</f>
        <v/>
      </c>
      <c r="B729">
        <f>TRIM(SUBSTITUTE(INDEX('Term investments'!$B:$B,ROW())&amp;""," "," "))</f>
        <v/>
      </c>
      <c r="C729">
        <f>TRIM(SUBSTITUTE(INDEX('Term investments'!$C:$C,ROW())&amp;""," "," "))</f>
        <v/>
      </c>
      <c r="D729">
        <f>IFERROR(--INDEX('Term investments'!$D:$D,ROW()),0)</f>
        <v/>
      </c>
      <c r="E729">
        <f>IFERROR(--INDEX('Term investments'!$E:$E,ROW()),0)</f>
        <v/>
      </c>
      <c r="F729">
        <f>IFERROR(--INDEX('Term investments'!$F:$F,ROW()),0)</f>
        <v/>
      </c>
      <c r="G729">
        <f>IFERROR(IF(--INDEX('Term investments'!$G:$G,ROW())&gt;=1,--INDEX('Term investments'!$G:$G,ROW())/100,--INDEX('Term investments'!$G:$G,ROW())),0)</f>
        <v/>
      </c>
      <c r="H729">
        <f>IFERROR(--INDEX('Term investments'!$H:$H,ROW()),0)</f>
        <v/>
      </c>
      <c r="I729">
        <f>IF(ISNUMBER(INDEX('Term investments'!$G:$G,ROW())),1,0)</f>
        <v/>
      </c>
      <c r="J729">
        <f>TRIM(SUBSTITUTE(INDEX('Call accounts and MMFs'!$A:$A,ROW())&amp;""," "," "))</f>
        <v/>
      </c>
      <c r="K729">
        <f>TRIM(SUBSTITUTE(INDEX('Call accounts and MMFs'!$B:$B,ROW())&amp;""," "," "))</f>
        <v/>
      </c>
      <c r="L729">
        <f>TRIM(SUBSTITUTE(INDEX('Call accounts and MMFs'!$C:$C,ROW())&amp;""," "," "))</f>
        <v/>
      </c>
      <c r="M729">
        <f>IFERROR(--INDEX('Call accounts and MMFs'!$D:$D,ROW()),0)</f>
        <v/>
      </c>
      <c r="N729">
        <f>IFERROR(IF(--INDEX('Call accounts and MMFs'!$E:$E,ROW())&gt;=1,--INDEX('Call accounts and MMFs'!$E:$E,ROW())/100,--INDEX('Call accounts and MMFs'!$E:$E,ROW())),0)</f>
        <v/>
      </c>
      <c r="O729">
        <f>IFERROR(--INDEX('Call accounts and MMFs'!$F:$F,ROW()),0)</f>
        <v/>
      </c>
      <c r="P729">
        <f>IF(ISNUMBER(INDEX('Call accounts and MMFs'!$E:$E,ROW())),1,0)</f>
        <v/>
      </c>
      <c r="Q729">
        <f>TRIM(SUBSTITUTE(INDEX('Pooled funds'!$B:$B,ROW())&amp;""," "," "))</f>
        <v/>
      </c>
      <c r="R729">
        <f>IFERROR(--INDEX('Pooled funds'!$C:$C,ROW()),0)</f>
        <v/>
      </c>
      <c r="S729">
        <f>IFERROR(--INDEX('Pooled funds'!$D:$D,ROW()),0)</f>
        <v/>
      </c>
      <c r="T729">
        <f>IFERROR(IF(--INDEX('Pooled funds'!$E:$E,ROW())&gt;=1,--INDEX('Pooled funds'!$E:$E,ROW())/100,--INDEX('Pooled funds'!$E:$E,ROW())),0)</f>
        <v/>
      </c>
      <c r="U729">
        <f>IF(ISNUMBER(INDEX('Pooled funds'!$E:$E,ROW())),1,0)</f>
        <v/>
      </c>
      <c r="V729">
        <f>TRIM(SUBSTITUTE(INDEX('Loans'!$A:$A,ROW())&amp;""," "," "))</f>
        <v/>
      </c>
      <c r="W729">
        <f>TRIM(SUBSTITUTE(INDEX('Loans'!$B:$B,ROW())&amp;""," "," "))</f>
        <v/>
      </c>
      <c r="X729">
        <f>TRIM(SUBSTITUTE(INDEX('Loans'!$C:$C,ROW())&amp;""," "," "))</f>
        <v/>
      </c>
      <c r="Y729">
        <f>IFERROR(--INDEX('Loans'!$D:$D,ROW()),0)</f>
        <v/>
      </c>
      <c r="Z729">
        <f>IFERROR(--INDEX('Loans'!$E:$E,ROW()),0)</f>
        <v/>
      </c>
      <c r="AA729">
        <f>IFERROR(--INDEX('Loans'!$F:$F,ROW()),0)</f>
        <v/>
      </c>
      <c r="AB729">
        <f>IFERROR(IF(--INDEX('Loans'!$G:$G,ROW())&gt;=1,--INDEX('Loans'!$G:$G,ROW())/100,--INDEX('Loans'!$G:$G,ROW())),0)</f>
        <v/>
      </c>
      <c r="AC729">
        <f>TRIM(SUBSTITUTE(INDEX('Loans'!$H:$H,ROW())&amp;""," "," "))</f>
        <v/>
      </c>
      <c r="AD729">
        <f>TRIM(SUBSTITUTE(INDEX('Loans'!$I:$I,ROW())&amp;""," "," "))</f>
        <v/>
      </c>
      <c r="AE729">
        <f>IFERROR(--INDEX('Loans'!$J:$J,ROW()),0)</f>
        <v/>
      </c>
      <c r="AF729">
        <f>TRIM(SUBSTITUTE(INDEX('Loans'!$K:$K,ROW())&amp;""," "," "))</f>
        <v/>
      </c>
      <c r="AG729">
        <f>IFERROR(--INDEX('Loans'!$L:$L,ROW()),0)</f>
        <v/>
      </c>
      <c r="AH729">
        <f>IF(ISNUMBER(INDEX('Loans'!$G:$G,ROW())),1,0)</f>
        <v/>
      </c>
    </row>
    <row r="730">
      <c r="A730">
        <f>TRIM(SUBSTITUTE(INDEX('Term investments'!$A:$A,ROW())&amp;""," "," "))</f>
        <v/>
      </c>
      <c r="B730">
        <f>TRIM(SUBSTITUTE(INDEX('Term investments'!$B:$B,ROW())&amp;""," "," "))</f>
        <v/>
      </c>
      <c r="C730">
        <f>TRIM(SUBSTITUTE(INDEX('Term investments'!$C:$C,ROW())&amp;""," "," "))</f>
        <v/>
      </c>
      <c r="D730">
        <f>IFERROR(--INDEX('Term investments'!$D:$D,ROW()),0)</f>
        <v/>
      </c>
      <c r="E730">
        <f>IFERROR(--INDEX('Term investments'!$E:$E,ROW()),0)</f>
        <v/>
      </c>
      <c r="F730">
        <f>IFERROR(--INDEX('Term investments'!$F:$F,ROW()),0)</f>
        <v/>
      </c>
      <c r="G730">
        <f>IFERROR(IF(--INDEX('Term investments'!$G:$G,ROW())&gt;=1,--INDEX('Term investments'!$G:$G,ROW())/100,--INDEX('Term investments'!$G:$G,ROW())),0)</f>
        <v/>
      </c>
      <c r="H730">
        <f>IFERROR(--INDEX('Term investments'!$H:$H,ROW()),0)</f>
        <v/>
      </c>
      <c r="I730">
        <f>IF(ISNUMBER(INDEX('Term investments'!$G:$G,ROW())),1,0)</f>
        <v/>
      </c>
      <c r="J730">
        <f>TRIM(SUBSTITUTE(INDEX('Call accounts and MMFs'!$A:$A,ROW())&amp;""," "," "))</f>
        <v/>
      </c>
      <c r="K730">
        <f>TRIM(SUBSTITUTE(INDEX('Call accounts and MMFs'!$B:$B,ROW())&amp;""," "," "))</f>
        <v/>
      </c>
      <c r="L730">
        <f>TRIM(SUBSTITUTE(INDEX('Call accounts and MMFs'!$C:$C,ROW())&amp;""," "," "))</f>
        <v/>
      </c>
      <c r="M730">
        <f>IFERROR(--INDEX('Call accounts and MMFs'!$D:$D,ROW()),0)</f>
        <v/>
      </c>
      <c r="N730">
        <f>IFERROR(IF(--INDEX('Call accounts and MMFs'!$E:$E,ROW())&gt;=1,--INDEX('Call accounts and MMFs'!$E:$E,ROW())/100,--INDEX('Call accounts and MMFs'!$E:$E,ROW())),0)</f>
        <v/>
      </c>
      <c r="O730">
        <f>IFERROR(--INDEX('Call accounts and MMFs'!$F:$F,ROW()),0)</f>
        <v/>
      </c>
      <c r="P730">
        <f>IF(ISNUMBER(INDEX('Call accounts and MMFs'!$E:$E,ROW())),1,0)</f>
        <v/>
      </c>
      <c r="Q730">
        <f>TRIM(SUBSTITUTE(INDEX('Pooled funds'!$B:$B,ROW())&amp;""," "," "))</f>
        <v/>
      </c>
      <c r="R730">
        <f>IFERROR(--INDEX('Pooled funds'!$C:$C,ROW()),0)</f>
        <v/>
      </c>
      <c r="S730">
        <f>IFERROR(--INDEX('Pooled funds'!$D:$D,ROW()),0)</f>
        <v/>
      </c>
      <c r="T730">
        <f>IFERROR(IF(--INDEX('Pooled funds'!$E:$E,ROW())&gt;=1,--INDEX('Pooled funds'!$E:$E,ROW())/100,--INDEX('Pooled funds'!$E:$E,ROW())),0)</f>
        <v/>
      </c>
      <c r="U730">
        <f>IF(ISNUMBER(INDEX('Pooled funds'!$E:$E,ROW())),1,0)</f>
        <v/>
      </c>
      <c r="V730">
        <f>TRIM(SUBSTITUTE(INDEX('Loans'!$A:$A,ROW())&amp;""," "," "))</f>
        <v/>
      </c>
      <c r="W730">
        <f>TRIM(SUBSTITUTE(INDEX('Loans'!$B:$B,ROW())&amp;""," "," "))</f>
        <v/>
      </c>
      <c r="X730">
        <f>TRIM(SUBSTITUTE(INDEX('Loans'!$C:$C,ROW())&amp;""," "," "))</f>
        <v/>
      </c>
      <c r="Y730">
        <f>IFERROR(--INDEX('Loans'!$D:$D,ROW()),0)</f>
        <v/>
      </c>
      <c r="Z730">
        <f>IFERROR(--INDEX('Loans'!$E:$E,ROW()),0)</f>
        <v/>
      </c>
      <c r="AA730">
        <f>IFERROR(--INDEX('Loans'!$F:$F,ROW()),0)</f>
        <v/>
      </c>
      <c r="AB730">
        <f>IFERROR(IF(--INDEX('Loans'!$G:$G,ROW())&gt;=1,--INDEX('Loans'!$G:$G,ROW())/100,--INDEX('Loans'!$G:$G,ROW())),0)</f>
        <v/>
      </c>
      <c r="AC730">
        <f>TRIM(SUBSTITUTE(INDEX('Loans'!$H:$H,ROW())&amp;""," "," "))</f>
        <v/>
      </c>
      <c r="AD730">
        <f>TRIM(SUBSTITUTE(INDEX('Loans'!$I:$I,ROW())&amp;""," "," "))</f>
        <v/>
      </c>
      <c r="AE730">
        <f>IFERROR(--INDEX('Loans'!$J:$J,ROW()),0)</f>
        <v/>
      </c>
      <c r="AF730">
        <f>TRIM(SUBSTITUTE(INDEX('Loans'!$K:$K,ROW())&amp;""," "," "))</f>
        <v/>
      </c>
      <c r="AG730">
        <f>IFERROR(--INDEX('Loans'!$L:$L,ROW()),0)</f>
        <v/>
      </c>
      <c r="AH730">
        <f>IF(ISNUMBER(INDEX('Loans'!$G:$G,ROW())),1,0)</f>
        <v/>
      </c>
    </row>
    <row r="731">
      <c r="A731">
        <f>TRIM(SUBSTITUTE(INDEX('Term investments'!$A:$A,ROW())&amp;""," "," "))</f>
        <v/>
      </c>
      <c r="B731">
        <f>TRIM(SUBSTITUTE(INDEX('Term investments'!$B:$B,ROW())&amp;""," "," "))</f>
        <v/>
      </c>
      <c r="C731">
        <f>TRIM(SUBSTITUTE(INDEX('Term investments'!$C:$C,ROW())&amp;""," "," "))</f>
        <v/>
      </c>
      <c r="D731">
        <f>IFERROR(--INDEX('Term investments'!$D:$D,ROW()),0)</f>
        <v/>
      </c>
      <c r="E731">
        <f>IFERROR(--INDEX('Term investments'!$E:$E,ROW()),0)</f>
        <v/>
      </c>
      <c r="F731">
        <f>IFERROR(--INDEX('Term investments'!$F:$F,ROW()),0)</f>
        <v/>
      </c>
      <c r="G731">
        <f>IFERROR(IF(--INDEX('Term investments'!$G:$G,ROW())&gt;=1,--INDEX('Term investments'!$G:$G,ROW())/100,--INDEX('Term investments'!$G:$G,ROW())),0)</f>
        <v/>
      </c>
      <c r="H731">
        <f>IFERROR(--INDEX('Term investments'!$H:$H,ROW()),0)</f>
        <v/>
      </c>
      <c r="I731">
        <f>IF(ISNUMBER(INDEX('Term investments'!$G:$G,ROW())),1,0)</f>
        <v/>
      </c>
      <c r="J731">
        <f>TRIM(SUBSTITUTE(INDEX('Call accounts and MMFs'!$A:$A,ROW())&amp;""," "," "))</f>
        <v/>
      </c>
      <c r="K731">
        <f>TRIM(SUBSTITUTE(INDEX('Call accounts and MMFs'!$B:$B,ROW())&amp;""," "," "))</f>
        <v/>
      </c>
      <c r="L731">
        <f>TRIM(SUBSTITUTE(INDEX('Call accounts and MMFs'!$C:$C,ROW())&amp;""," "," "))</f>
        <v/>
      </c>
      <c r="M731">
        <f>IFERROR(--INDEX('Call accounts and MMFs'!$D:$D,ROW()),0)</f>
        <v/>
      </c>
      <c r="N731">
        <f>IFERROR(IF(--INDEX('Call accounts and MMFs'!$E:$E,ROW())&gt;=1,--INDEX('Call accounts and MMFs'!$E:$E,ROW())/100,--INDEX('Call accounts and MMFs'!$E:$E,ROW())),0)</f>
        <v/>
      </c>
      <c r="O731">
        <f>IFERROR(--INDEX('Call accounts and MMFs'!$F:$F,ROW()),0)</f>
        <v/>
      </c>
      <c r="P731">
        <f>IF(ISNUMBER(INDEX('Call accounts and MMFs'!$E:$E,ROW())),1,0)</f>
        <v/>
      </c>
      <c r="Q731">
        <f>TRIM(SUBSTITUTE(INDEX('Pooled funds'!$B:$B,ROW())&amp;""," "," "))</f>
        <v/>
      </c>
      <c r="R731">
        <f>IFERROR(--INDEX('Pooled funds'!$C:$C,ROW()),0)</f>
        <v/>
      </c>
      <c r="S731">
        <f>IFERROR(--INDEX('Pooled funds'!$D:$D,ROW()),0)</f>
        <v/>
      </c>
      <c r="T731">
        <f>IFERROR(IF(--INDEX('Pooled funds'!$E:$E,ROW())&gt;=1,--INDEX('Pooled funds'!$E:$E,ROW())/100,--INDEX('Pooled funds'!$E:$E,ROW())),0)</f>
        <v/>
      </c>
      <c r="U731">
        <f>IF(ISNUMBER(INDEX('Pooled funds'!$E:$E,ROW())),1,0)</f>
        <v/>
      </c>
      <c r="V731">
        <f>TRIM(SUBSTITUTE(INDEX('Loans'!$A:$A,ROW())&amp;""," "," "))</f>
        <v/>
      </c>
      <c r="W731">
        <f>TRIM(SUBSTITUTE(INDEX('Loans'!$B:$B,ROW())&amp;""," "," "))</f>
        <v/>
      </c>
      <c r="X731">
        <f>TRIM(SUBSTITUTE(INDEX('Loans'!$C:$C,ROW())&amp;""," "," "))</f>
        <v/>
      </c>
      <c r="Y731">
        <f>IFERROR(--INDEX('Loans'!$D:$D,ROW()),0)</f>
        <v/>
      </c>
      <c r="Z731">
        <f>IFERROR(--INDEX('Loans'!$E:$E,ROW()),0)</f>
        <v/>
      </c>
      <c r="AA731">
        <f>IFERROR(--INDEX('Loans'!$F:$F,ROW()),0)</f>
        <v/>
      </c>
      <c r="AB731">
        <f>IFERROR(IF(--INDEX('Loans'!$G:$G,ROW())&gt;=1,--INDEX('Loans'!$G:$G,ROW())/100,--INDEX('Loans'!$G:$G,ROW())),0)</f>
        <v/>
      </c>
      <c r="AC731">
        <f>TRIM(SUBSTITUTE(INDEX('Loans'!$H:$H,ROW())&amp;""," "," "))</f>
        <v/>
      </c>
      <c r="AD731">
        <f>TRIM(SUBSTITUTE(INDEX('Loans'!$I:$I,ROW())&amp;""," "," "))</f>
        <v/>
      </c>
      <c r="AE731">
        <f>IFERROR(--INDEX('Loans'!$J:$J,ROW()),0)</f>
        <v/>
      </c>
      <c r="AF731">
        <f>TRIM(SUBSTITUTE(INDEX('Loans'!$K:$K,ROW())&amp;""," "," "))</f>
        <v/>
      </c>
      <c r="AG731">
        <f>IFERROR(--INDEX('Loans'!$L:$L,ROW()),0)</f>
        <v/>
      </c>
      <c r="AH731">
        <f>IF(ISNUMBER(INDEX('Loans'!$G:$G,ROW())),1,0)</f>
        <v/>
      </c>
    </row>
    <row r="732">
      <c r="A732">
        <f>TRIM(SUBSTITUTE(INDEX('Term investments'!$A:$A,ROW())&amp;""," "," "))</f>
        <v/>
      </c>
      <c r="B732">
        <f>TRIM(SUBSTITUTE(INDEX('Term investments'!$B:$B,ROW())&amp;""," "," "))</f>
        <v/>
      </c>
      <c r="C732">
        <f>TRIM(SUBSTITUTE(INDEX('Term investments'!$C:$C,ROW())&amp;""," "," "))</f>
        <v/>
      </c>
      <c r="D732">
        <f>IFERROR(--INDEX('Term investments'!$D:$D,ROW()),0)</f>
        <v/>
      </c>
      <c r="E732">
        <f>IFERROR(--INDEX('Term investments'!$E:$E,ROW()),0)</f>
        <v/>
      </c>
      <c r="F732">
        <f>IFERROR(--INDEX('Term investments'!$F:$F,ROW()),0)</f>
        <v/>
      </c>
      <c r="G732">
        <f>IFERROR(IF(--INDEX('Term investments'!$G:$G,ROW())&gt;=1,--INDEX('Term investments'!$G:$G,ROW())/100,--INDEX('Term investments'!$G:$G,ROW())),0)</f>
        <v/>
      </c>
      <c r="H732">
        <f>IFERROR(--INDEX('Term investments'!$H:$H,ROW()),0)</f>
        <v/>
      </c>
      <c r="I732">
        <f>IF(ISNUMBER(INDEX('Term investments'!$G:$G,ROW())),1,0)</f>
        <v/>
      </c>
      <c r="J732">
        <f>TRIM(SUBSTITUTE(INDEX('Call accounts and MMFs'!$A:$A,ROW())&amp;""," "," "))</f>
        <v/>
      </c>
      <c r="K732">
        <f>TRIM(SUBSTITUTE(INDEX('Call accounts and MMFs'!$B:$B,ROW())&amp;""," "," "))</f>
        <v/>
      </c>
      <c r="L732">
        <f>TRIM(SUBSTITUTE(INDEX('Call accounts and MMFs'!$C:$C,ROW())&amp;""," "," "))</f>
        <v/>
      </c>
      <c r="M732">
        <f>IFERROR(--INDEX('Call accounts and MMFs'!$D:$D,ROW()),0)</f>
        <v/>
      </c>
      <c r="N732">
        <f>IFERROR(IF(--INDEX('Call accounts and MMFs'!$E:$E,ROW())&gt;=1,--INDEX('Call accounts and MMFs'!$E:$E,ROW())/100,--INDEX('Call accounts and MMFs'!$E:$E,ROW())),0)</f>
        <v/>
      </c>
      <c r="O732">
        <f>IFERROR(--INDEX('Call accounts and MMFs'!$F:$F,ROW()),0)</f>
        <v/>
      </c>
      <c r="P732">
        <f>IF(ISNUMBER(INDEX('Call accounts and MMFs'!$E:$E,ROW())),1,0)</f>
        <v/>
      </c>
      <c r="Q732">
        <f>TRIM(SUBSTITUTE(INDEX('Pooled funds'!$B:$B,ROW())&amp;""," "," "))</f>
        <v/>
      </c>
      <c r="R732">
        <f>IFERROR(--INDEX('Pooled funds'!$C:$C,ROW()),0)</f>
        <v/>
      </c>
      <c r="S732">
        <f>IFERROR(--INDEX('Pooled funds'!$D:$D,ROW()),0)</f>
        <v/>
      </c>
      <c r="T732">
        <f>IFERROR(IF(--INDEX('Pooled funds'!$E:$E,ROW())&gt;=1,--INDEX('Pooled funds'!$E:$E,ROW())/100,--INDEX('Pooled funds'!$E:$E,ROW())),0)</f>
        <v/>
      </c>
      <c r="U732">
        <f>IF(ISNUMBER(INDEX('Pooled funds'!$E:$E,ROW())),1,0)</f>
        <v/>
      </c>
      <c r="V732">
        <f>TRIM(SUBSTITUTE(INDEX('Loans'!$A:$A,ROW())&amp;""," "," "))</f>
        <v/>
      </c>
      <c r="W732">
        <f>TRIM(SUBSTITUTE(INDEX('Loans'!$B:$B,ROW())&amp;""," "," "))</f>
        <v/>
      </c>
      <c r="X732">
        <f>TRIM(SUBSTITUTE(INDEX('Loans'!$C:$C,ROW())&amp;""," "," "))</f>
        <v/>
      </c>
      <c r="Y732">
        <f>IFERROR(--INDEX('Loans'!$D:$D,ROW()),0)</f>
        <v/>
      </c>
      <c r="Z732">
        <f>IFERROR(--INDEX('Loans'!$E:$E,ROW()),0)</f>
        <v/>
      </c>
      <c r="AA732">
        <f>IFERROR(--INDEX('Loans'!$F:$F,ROW()),0)</f>
        <v/>
      </c>
      <c r="AB732">
        <f>IFERROR(IF(--INDEX('Loans'!$G:$G,ROW())&gt;=1,--INDEX('Loans'!$G:$G,ROW())/100,--INDEX('Loans'!$G:$G,ROW())),0)</f>
        <v/>
      </c>
      <c r="AC732">
        <f>TRIM(SUBSTITUTE(INDEX('Loans'!$H:$H,ROW())&amp;""," "," "))</f>
        <v/>
      </c>
      <c r="AD732">
        <f>TRIM(SUBSTITUTE(INDEX('Loans'!$I:$I,ROW())&amp;""," "," "))</f>
        <v/>
      </c>
      <c r="AE732">
        <f>IFERROR(--INDEX('Loans'!$J:$J,ROW()),0)</f>
        <v/>
      </c>
      <c r="AF732">
        <f>TRIM(SUBSTITUTE(INDEX('Loans'!$K:$K,ROW())&amp;""," "," "))</f>
        <v/>
      </c>
      <c r="AG732">
        <f>IFERROR(--INDEX('Loans'!$L:$L,ROW()),0)</f>
        <v/>
      </c>
      <c r="AH732">
        <f>IF(ISNUMBER(INDEX('Loans'!$G:$G,ROW())),1,0)</f>
        <v/>
      </c>
    </row>
    <row r="733">
      <c r="A733">
        <f>TRIM(SUBSTITUTE(INDEX('Term investments'!$A:$A,ROW())&amp;""," "," "))</f>
        <v/>
      </c>
      <c r="B733">
        <f>TRIM(SUBSTITUTE(INDEX('Term investments'!$B:$B,ROW())&amp;""," "," "))</f>
        <v/>
      </c>
      <c r="C733">
        <f>TRIM(SUBSTITUTE(INDEX('Term investments'!$C:$C,ROW())&amp;""," "," "))</f>
        <v/>
      </c>
      <c r="D733">
        <f>IFERROR(--INDEX('Term investments'!$D:$D,ROW()),0)</f>
        <v/>
      </c>
      <c r="E733">
        <f>IFERROR(--INDEX('Term investments'!$E:$E,ROW()),0)</f>
        <v/>
      </c>
      <c r="F733">
        <f>IFERROR(--INDEX('Term investments'!$F:$F,ROW()),0)</f>
        <v/>
      </c>
      <c r="G733">
        <f>IFERROR(IF(--INDEX('Term investments'!$G:$G,ROW())&gt;=1,--INDEX('Term investments'!$G:$G,ROW())/100,--INDEX('Term investments'!$G:$G,ROW())),0)</f>
        <v/>
      </c>
      <c r="H733">
        <f>IFERROR(--INDEX('Term investments'!$H:$H,ROW()),0)</f>
        <v/>
      </c>
      <c r="I733">
        <f>IF(ISNUMBER(INDEX('Term investments'!$G:$G,ROW())),1,0)</f>
        <v/>
      </c>
      <c r="J733">
        <f>TRIM(SUBSTITUTE(INDEX('Call accounts and MMFs'!$A:$A,ROW())&amp;""," "," "))</f>
        <v/>
      </c>
      <c r="K733">
        <f>TRIM(SUBSTITUTE(INDEX('Call accounts and MMFs'!$B:$B,ROW())&amp;""," "," "))</f>
        <v/>
      </c>
      <c r="L733">
        <f>TRIM(SUBSTITUTE(INDEX('Call accounts and MMFs'!$C:$C,ROW())&amp;""," "," "))</f>
        <v/>
      </c>
      <c r="M733">
        <f>IFERROR(--INDEX('Call accounts and MMFs'!$D:$D,ROW()),0)</f>
        <v/>
      </c>
      <c r="N733">
        <f>IFERROR(IF(--INDEX('Call accounts and MMFs'!$E:$E,ROW())&gt;=1,--INDEX('Call accounts and MMFs'!$E:$E,ROW())/100,--INDEX('Call accounts and MMFs'!$E:$E,ROW())),0)</f>
        <v/>
      </c>
      <c r="O733">
        <f>IFERROR(--INDEX('Call accounts and MMFs'!$F:$F,ROW()),0)</f>
        <v/>
      </c>
      <c r="P733">
        <f>IF(ISNUMBER(INDEX('Call accounts and MMFs'!$E:$E,ROW())),1,0)</f>
        <v/>
      </c>
      <c r="Q733">
        <f>TRIM(SUBSTITUTE(INDEX('Pooled funds'!$B:$B,ROW())&amp;""," "," "))</f>
        <v/>
      </c>
      <c r="R733">
        <f>IFERROR(--INDEX('Pooled funds'!$C:$C,ROW()),0)</f>
        <v/>
      </c>
      <c r="S733">
        <f>IFERROR(--INDEX('Pooled funds'!$D:$D,ROW()),0)</f>
        <v/>
      </c>
      <c r="T733">
        <f>IFERROR(IF(--INDEX('Pooled funds'!$E:$E,ROW())&gt;=1,--INDEX('Pooled funds'!$E:$E,ROW())/100,--INDEX('Pooled funds'!$E:$E,ROW())),0)</f>
        <v/>
      </c>
      <c r="U733">
        <f>IF(ISNUMBER(INDEX('Pooled funds'!$E:$E,ROW())),1,0)</f>
        <v/>
      </c>
      <c r="V733">
        <f>TRIM(SUBSTITUTE(INDEX('Loans'!$A:$A,ROW())&amp;""," "," "))</f>
        <v/>
      </c>
      <c r="W733">
        <f>TRIM(SUBSTITUTE(INDEX('Loans'!$B:$B,ROW())&amp;""," "," "))</f>
        <v/>
      </c>
      <c r="X733">
        <f>TRIM(SUBSTITUTE(INDEX('Loans'!$C:$C,ROW())&amp;""," "," "))</f>
        <v/>
      </c>
      <c r="Y733">
        <f>IFERROR(--INDEX('Loans'!$D:$D,ROW()),0)</f>
        <v/>
      </c>
      <c r="Z733">
        <f>IFERROR(--INDEX('Loans'!$E:$E,ROW()),0)</f>
        <v/>
      </c>
      <c r="AA733">
        <f>IFERROR(--INDEX('Loans'!$F:$F,ROW()),0)</f>
        <v/>
      </c>
      <c r="AB733">
        <f>IFERROR(IF(--INDEX('Loans'!$G:$G,ROW())&gt;=1,--INDEX('Loans'!$G:$G,ROW())/100,--INDEX('Loans'!$G:$G,ROW())),0)</f>
        <v/>
      </c>
      <c r="AC733">
        <f>TRIM(SUBSTITUTE(INDEX('Loans'!$H:$H,ROW())&amp;""," "," "))</f>
        <v/>
      </c>
      <c r="AD733">
        <f>TRIM(SUBSTITUTE(INDEX('Loans'!$I:$I,ROW())&amp;""," "," "))</f>
        <v/>
      </c>
      <c r="AE733">
        <f>IFERROR(--INDEX('Loans'!$J:$J,ROW()),0)</f>
        <v/>
      </c>
      <c r="AF733">
        <f>TRIM(SUBSTITUTE(INDEX('Loans'!$K:$K,ROW())&amp;""," "," "))</f>
        <v/>
      </c>
      <c r="AG733">
        <f>IFERROR(--INDEX('Loans'!$L:$L,ROW()),0)</f>
        <v/>
      </c>
      <c r="AH733">
        <f>IF(ISNUMBER(INDEX('Loans'!$G:$G,ROW())),1,0)</f>
        <v/>
      </c>
    </row>
    <row r="734">
      <c r="A734">
        <f>TRIM(SUBSTITUTE(INDEX('Term investments'!$A:$A,ROW())&amp;""," "," "))</f>
        <v/>
      </c>
      <c r="B734">
        <f>TRIM(SUBSTITUTE(INDEX('Term investments'!$B:$B,ROW())&amp;""," "," "))</f>
        <v/>
      </c>
      <c r="C734">
        <f>TRIM(SUBSTITUTE(INDEX('Term investments'!$C:$C,ROW())&amp;""," "," "))</f>
        <v/>
      </c>
      <c r="D734">
        <f>IFERROR(--INDEX('Term investments'!$D:$D,ROW()),0)</f>
        <v/>
      </c>
      <c r="E734">
        <f>IFERROR(--INDEX('Term investments'!$E:$E,ROW()),0)</f>
        <v/>
      </c>
      <c r="F734">
        <f>IFERROR(--INDEX('Term investments'!$F:$F,ROW()),0)</f>
        <v/>
      </c>
      <c r="G734">
        <f>IFERROR(IF(--INDEX('Term investments'!$G:$G,ROW())&gt;=1,--INDEX('Term investments'!$G:$G,ROW())/100,--INDEX('Term investments'!$G:$G,ROW())),0)</f>
        <v/>
      </c>
      <c r="H734">
        <f>IFERROR(--INDEX('Term investments'!$H:$H,ROW()),0)</f>
        <v/>
      </c>
      <c r="I734">
        <f>IF(ISNUMBER(INDEX('Term investments'!$G:$G,ROW())),1,0)</f>
        <v/>
      </c>
      <c r="J734">
        <f>TRIM(SUBSTITUTE(INDEX('Call accounts and MMFs'!$A:$A,ROW())&amp;""," "," "))</f>
        <v/>
      </c>
      <c r="K734">
        <f>TRIM(SUBSTITUTE(INDEX('Call accounts and MMFs'!$B:$B,ROW())&amp;""," "," "))</f>
        <v/>
      </c>
      <c r="L734">
        <f>TRIM(SUBSTITUTE(INDEX('Call accounts and MMFs'!$C:$C,ROW())&amp;""," "," "))</f>
        <v/>
      </c>
      <c r="M734">
        <f>IFERROR(--INDEX('Call accounts and MMFs'!$D:$D,ROW()),0)</f>
        <v/>
      </c>
      <c r="N734">
        <f>IFERROR(IF(--INDEX('Call accounts and MMFs'!$E:$E,ROW())&gt;=1,--INDEX('Call accounts and MMFs'!$E:$E,ROW())/100,--INDEX('Call accounts and MMFs'!$E:$E,ROW())),0)</f>
        <v/>
      </c>
      <c r="O734">
        <f>IFERROR(--INDEX('Call accounts and MMFs'!$F:$F,ROW()),0)</f>
        <v/>
      </c>
      <c r="P734">
        <f>IF(ISNUMBER(INDEX('Call accounts and MMFs'!$E:$E,ROW())),1,0)</f>
        <v/>
      </c>
      <c r="Q734">
        <f>TRIM(SUBSTITUTE(INDEX('Pooled funds'!$B:$B,ROW())&amp;""," "," "))</f>
        <v/>
      </c>
      <c r="R734">
        <f>IFERROR(--INDEX('Pooled funds'!$C:$C,ROW()),0)</f>
        <v/>
      </c>
      <c r="S734">
        <f>IFERROR(--INDEX('Pooled funds'!$D:$D,ROW()),0)</f>
        <v/>
      </c>
      <c r="T734">
        <f>IFERROR(IF(--INDEX('Pooled funds'!$E:$E,ROW())&gt;=1,--INDEX('Pooled funds'!$E:$E,ROW())/100,--INDEX('Pooled funds'!$E:$E,ROW())),0)</f>
        <v/>
      </c>
      <c r="U734">
        <f>IF(ISNUMBER(INDEX('Pooled funds'!$E:$E,ROW())),1,0)</f>
        <v/>
      </c>
      <c r="V734">
        <f>TRIM(SUBSTITUTE(INDEX('Loans'!$A:$A,ROW())&amp;""," "," "))</f>
        <v/>
      </c>
      <c r="W734">
        <f>TRIM(SUBSTITUTE(INDEX('Loans'!$B:$B,ROW())&amp;""," "," "))</f>
        <v/>
      </c>
      <c r="X734">
        <f>TRIM(SUBSTITUTE(INDEX('Loans'!$C:$C,ROW())&amp;""," "," "))</f>
        <v/>
      </c>
      <c r="Y734">
        <f>IFERROR(--INDEX('Loans'!$D:$D,ROW()),0)</f>
        <v/>
      </c>
      <c r="Z734">
        <f>IFERROR(--INDEX('Loans'!$E:$E,ROW()),0)</f>
        <v/>
      </c>
      <c r="AA734">
        <f>IFERROR(--INDEX('Loans'!$F:$F,ROW()),0)</f>
        <v/>
      </c>
      <c r="AB734">
        <f>IFERROR(IF(--INDEX('Loans'!$G:$G,ROW())&gt;=1,--INDEX('Loans'!$G:$G,ROW())/100,--INDEX('Loans'!$G:$G,ROW())),0)</f>
        <v/>
      </c>
      <c r="AC734">
        <f>TRIM(SUBSTITUTE(INDEX('Loans'!$H:$H,ROW())&amp;""," "," "))</f>
        <v/>
      </c>
      <c r="AD734">
        <f>TRIM(SUBSTITUTE(INDEX('Loans'!$I:$I,ROW())&amp;""," "," "))</f>
        <v/>
      </c>
      <c r="AE734">
        <f>IFERROR(--INDEX('Loans'!$J:$J,ROW()),0)</f>
        <v/>
      </c>
      <c r="AF734">
        <f>TRIM(SUBSTITUTE(INDEX('Loans'!$K:$K,ROW())&amp;""," "," "))</f>
        <v/>
      </c>
      <c r="AG734">
        <f>IFERROR(--INDEX('Loans'!$L:$L,ROW()),0)</f>
        <v/>
      </c>
      <c r="AH734">
        <f>IF(ISNUMBER(INDEX('Loans'!$G:$G,ROW())),1,0)</f>
        <v/>
      </c>
    </row>
    <row r="735">
      <c r="A735">
        <f>TRIM(SUBSTITUTE(INDEX('Term investments'!$A:$A,ROW())&amp;""," "," "))</f>
        <v/>
      </c>
      <c r="B735">
        <f>TRIM(SUBSTITUTE(INDEX('Term investments'!$B:$B,ROW())&amp;""," "," "))</f>
        <v/>
      </c>
      <c r="C735">
        <f>TRIM(SUBSTITUTE(INDEX('Term investments'!$C:$C,ROW())&amp;""," "," "))</f>
        <v/>
      </c>
      <c r="D735">
        <f>IFERROR(--INDEX('Term investments'!$D:$D,ROW()),0)</f>
        <v/>
      </c>
      <c r="E735">
        <f>IFERROR(--INDEX('Term investments'!$E:$E,ROW()),0)</f>
        <v/>
      </c>
      <c r="F735">
        <f>IFERROR(--INDEX('Term investments'!$F:$F,ROW()),0)</f>
        <v/>
      </c>
      <c r="G735">
        <f>IFERROR(IF(--INDEX('Term investments'!$G:$G,ROW())&gt;=1,--INDEX('Term investments'!$G:$G,ROW())/100,--INDEX('Term investments'!$G:$G,ROW())),0)</f>
        <v/>
      </c>
      <c r="H735">
        <f>IFERROR(--INDEX('Term investments'!$H:$H,ROW()),0)</f>
        <v/>
      </c>
      <c r="I735">
        <f>IF(ISNUMBER(INDEX('Term investments'!$G:$G,ROW())),1,0)</f>
        <v/>
      </c>
      <c r="J735">
        <f>TRIM(SUBSTITUTE(INDEX('Call accounts and MMFs'!$A:$A,ROW())&amp;""," "," "))</f>
        <v/>
      </c>
      <c r="K735">
        <f>TRIM(SUBSTITUTE(INDEX('Call accounts and MMFs'!$B:$B,ROW())&amp;""," "," "))</f>
        <v/>
      </c>
      <c r="L735">
        <f>TRIM(SUBSTITUTE(INDEX('Call accounts and MMFs'!$C:$C,ROW())&amp;""," "," "))</f>
        <v/>
      </c>
      <c r="M735">
        <f>IFERROR(--INDEX('Call accounts and MMFs'!$D:$D,ROW()),0)</f>
        <v/>
      </c>
      <c r="N735">
        <f>IFERROR(IF(--INDEX('Call accounts and MMFs'!$E:$E,ROW())&gt;=1,--INDEX('Call accounts and MMFs'!$E:$E,ROW())/100,--INDEX('Call accounts and MMFs'!$E:$E,ROW())),0)</f>
        <v/>
      </c>
      <c r="O735">
        <f>IFERROR(--INDEX('Call accounts and MMFs'!$F:$F,ROW()),0)</f>
        <v/>
      </c>
      <c r="P735">
        <f>IF(ISNUMBER(INDEX('Call accounts and MMFs'!$E:$E,ROW())),1,0)</f>
        <v/>
      </c>
      <c r="Q735">
        <f>TRIM(SUBSTITUTE(INDEX('Pooled funds'!$B:$B,ROW())&amp;""," "," "))</f>
        <v/>
      </c>
      <c r="R735">
        <f>IFERROR(--INDEX('Pooled funds'!$C:$C,ROW()),0)</f>
        <v/>
      </c>
      <c r="S735">
        <f>IFERROR(--INDEX('Pooled funds'!$D:$D,ROW()),0)</f>
        <v/>
      </c>
      <c r="T735">
        <f>IFERROR(IF(--INDEX('Pooled funds'!$E:$E,ROW())&gt;=1,--INDEX('Pooled funds'!$E:$E,ROW())/100,--INDEX('Pooled funds'!$E:$E,ROW())),0)</f>
        <v/>
      </c>
      <c r="U735">
        <f>IF(ISNUMBER(INDEX('Pooled funds'!$E:$E,ROW())),1,0)</f>
        <v/>
      </c>
      <c r="V735">
        <f>TRIM(SUBSTITUTE(INDEX('Loans'!$A:$A,ROW())&amp;""," "," "))</f>
        <v/>
      </c>
      <c r="W735">
        <f>TRIM(SUBSTITUTE(INDEX('Loans'!$B:$B,ROW())&amp;""," "," "))</f>
        <v/>
      </c>
      <c r="X735">
        <f>TRIM(SUBSTITUTE(INDEX('Loans'!$C:$C,ROW())&amp;""," "," "))</f>
        <v/>
      </c>
      <c r="Y735">
        <f>IFERROR(--INDEX('Loans'!$D:$D,ROW()),0)</f>
        <v/>
      </c>
      <c r="Z735">
        <f>IFERROR(--INDEX('Loans'!$E:$E,ROW()),0)</f>
        <v/>
      </c>
      <c r="AA735">
        <f>IFERROR(--INDEX('Loans'!$F:$F,ROW()),0)</f>
        <v/>
      </c>
      <c r="AB735">
        <f>IFERROR(IF(--INDEX('Loans'!$G:$G,ROW())&gt;=1,--INDEX('Loans'!$G:$G,ROW())/100,--INDEX('Loans'!$G:$G,ROW())),0)</f>
        <v/>
      </c>
      <c r="AC735">
        <f>TRIM(SUBSTITUTE(INDEX('Loans'!$H:$H,ROW())&amp;""," "," "))</f>
        <v/>
      </c>
      <c r="AD735">
        <f>TRIM(SUBSTITUTE(INDEX('Loans'!$I:$I,ROW())&amp;""," "," "))</f>
        <v/>
      </c>
      <c r="AE735">
        <f>IFERROR(--INDEX('Loans'!$J:$J,ROW()),0)</f>
        <v/>
      </c>
      <c r="AF735">
        <f>TRIM(SUBSTITUTE(INDEX('Loans'!$K:$K,ROW())&amp;""," "," "))</f>
        <v/>
      </c>
      <c r="AG735">
        <f>IFERROR(--INDEX('Loans'!$L:$L,ROW()),0)</f>
        <v/>
      </c>
      <c r="AH735">
        <f>IF(ISNUMBER(INDEX('Loans'!$G:$G,ROW())),1,0)</f>
        <v/>
      </c>
    </row>
    <row r="736">
      <c r="A736">
        <f>TRIM(SUBSTITUTE(INDEX('Term investments'!$A:$A,ROW())&amp;""," "," "))</f>
        <v/>
      </c>
      <c r="B736">
        <f>TRIM(SUBSTITUTE(INDEX('Term investments'!$B:$B,ROW())&amp;""," "," "))</f>
        <v/>
      </c>
      <c r="C736">
        <f>TRIM(SUBSTITUTE(INDEX('Term investments'!$C:$C,ROW())&amp;""," "," "))</f>
        <v/>
      </c>
      <c r="D736">
        <f>IFERROR(--INDEX('Term investments'!$D:$D,ROW()),0)</f>
        <v/>
      </c>
      <c r="E736">
        <f>IFERROR(--INDEX('Term investments'!$E:$E,ROW()),0)</f>
        <v/>
      </c>
      <c r="F736">
        <f>IFERROR(--INDEX('Term investments'!$F:$F,ROW()),0)</f>
        <v/>
      </c>
      <c r="G736">
        <f>IFERROR(IF(--INDEX('Term investments'!$G:$G,ROW())&gt;=1,--INDEX('Term investments'!$G:$G,ROW())/100,--INDEX('Term investments'!$G:$G,ROW())),0)</f>
        <v/>
      </c>
      <c r="H736">
        <f>IFERROR(--INDEX('Term investments'!$H:$H,ROW()),0)</f>
        <v/>
      </c>
      <c r="I736">
        <f>IF(ISNUMBER(INDEX('Term investments'!$G:$G,ROW())),1,0)</f>
        <v/>
      </c>
      <c r="J736">
        <f>TRIM(SUBSTITUTE(INDEX('Call accounts and MMFs'!$A:$A,ROW())&amp;""," "," "))</f>
        <v/>
      </c>
      <c r="K736">
        <f>TRIM(SUBSTITUTE(INDEX('Call accounts and MMFs'!$B:$B,ROW())&amp;""," "," "))</f>
        <v/>
      </c>
      <c r="L736">
        <f>TRIM(SUBSTITUTE(INDEX('Call accounts and MMFs'!$C:$C,ROW())&amp;""," "," "))</f>
        <v/>
      </c>
      <c r="M736">
        <f>IFERROR(--INDEX('Call accounts and MMFs'!$D:$D,ROW()),0)</f>
        <v/>
      </c>
      <c r="N736">
        <f>IFERROR(IF(--INDEX('Call accounts and MMFs'!$E:$E,ROW())&gt;=1,--INDEX('Call accounts and MMFs'!$E:$E,ROW())/100,--INDEX('Call accounts and MMFs'!$E:$E,ROW())),0)</f>
        <v/>
      </c>
      <c r="O736">
        <f>IFERROR(--INDEX('Call accounts and MMFs'!$F:$F,ROW()),0)</f>
        <v/>
      </c>
      <c r="P736">
        <f>IF(ISNUMBER(INDEX('Call accounts and MMFs'!$E:$E,ROW())),1,0)</f>
        <v/>
      </c>
      <c r="Q736">
        <f>TRIM(SUBSTITUTE(INDEX('Pooled funds'!$B:$B,ROW())&amp;""," "," "))</f>
        <v/>
      </c>
      <c r="R736">
        <f>IFERROR(--INDEX('Pooled funds'!$C:$C,ROW()),0)</f>
        <v/>
      </c>
      <c r="S736">
        <f>IFERROR(--INDEX('Pooled funds'!$D:$D,ROW()),0)</f>
        <v/>
      </c>
      <c r="T736">
        <f>IFERROR(IF(--INDEX('Pooled funds'!$E:$E,ROW())&gt;=1,--INDEX('Pooled funds'!$E:$E,ROW())/100,--INDEX('Pooled funds'!$E:$E,ROW())),0)</f>
        <v/>
      </c>
      <c r="U736">
        <f>IF(ISNUMBER(INDEX('Pooled funds'!$E:$E,ROW())),1,0)</f>
        <v/>
      </c>
      <c r="V736">
        <f>TRIM(SUBSTITUTE(INDEX('Loans'!$A:$A,ROW())&amp;""," "," "))</f>
        <v/>
      </c>
      <c r="W736">
        <f>TRIM(SUBSTITUTE(INDEX('Loans'!$B:$B,ROW())&amp;""," "," "))</f>
        <v/>
      </c>
      <c r="X736">
        <f>TRIM(SUBSTITUTE(INDEX('Loans'!$C:$C,ROW())&amp;""," "," "))</f>
        <v/>
      </c>
      <c r="Y736">
        <f>IFERROR(--INDEX('Loans'!$D:$D,ROW()),0)</f>
        <v/>
      </c>
      <c r="Z736">
        <f>IFERROR(--INDEX('Loans'!$E:$E,ROW()),0)</f>
        <v/>
      </c>
      <c r="AA736">
        <f>IFERROR(--INDEX('Loans'!$F:$F,ROW()),0)</f>
        <v/>
      </c>
      <c r="AB736">
        <f>IFERROR(IF(--INDEX('Loans'!$G:$G,ROW())&gt;=1,--INDEX('Loans'!$G:$G,ROW())/100,--INDEX('Loans'!$G:$G,ROW())),0)</f>
        <v/>
      </c>
      <c r="AC736">
        <f>TRIM(SUBSTITUTE(INDEX('Loans'!$H:$H,ROW())&amp;""," "," "))</f>
        <v/>
      </c>
      <c r="AD736">
        <f>TRIM(SUBSTITUTE(INDEX('Loans'!$I:$I,ROW())&amp;""," "," "))</f>
        <v/>
      </c>
      <c r="AE736">
        <f>IFERROR(--INDEX('Loans'!$J:$J,ROW()),0)</f>
        <v/>
      </c>
      <c r="AF736">
        <f>TRIM(SUBSTITUTE(INDEX('Loans'!$K:$K,ROW())&amp;""," "," "))</f>
        <v/>
      </c>
      <c r="AG736">
        <f>IFERROR(--INDEX('Loans'!$L:$L,ROW()),0)</f>
        <v/>
      </c>
      <c r="AH736">
        <f>IF(ISNUMBER(INDEX('Loans'!$G:$G,ROW())),1,0)</f>
        <v/>
      </c>
    </row>
    <row r="737">
      <c r="A737">
        <f>TRIM(SUBSTITUTE(INDEX('Term investments'!$A:$A,ROW())&amp;""," "," "))</f>
        <v/>
      </c>
      <c r="B737">
        <f>TRIM(SUBSTITUTE(INDEX('Term investments'!$B:$B,ROW())&amp;""," "," "))</f>
        <v/>
      </c>
      <c r="C737">
        <f>TRIM(SUBSTITUTE(INDEX('Term investments'!$C:$C,ROW())&amp;""," "," "))</f>
        <v/>
      </c>
      <c r="D737">
        <f>IFERROR(--INDEX('Term investments'!$D:$D,ROW()),0)</f>
        <v/>
      </c>
      <c r="E737">
        <f>IFERROR(--INDEX('Term investments'!$E:$E,ROW()),0)</f>
        <v/>
      </c>
      <c r="F737">
        <f>IFERROR(--INDEX('Term investments'!$F:$F,ROW()),0)</f>
        <v/>
      </c>
      <c r="G737">
        <f>IFERROR(IF(--INDEX('Term investments'!$G:$G,ROW())&gt;=1,--INDEX('Term investments'!$G:$G,ROW())/100,--INDEX('Term investments'!$G:$G,ROW())),0)</f>
        <v/>
      </c>
      <c r="H737">
        <f>IFERROR(--INDEX('Term investments'!$H:$H,ROW()),0)</f>
        <v/>
      </c>
      <c r="I737">
        <f>IF(ISNUMBER(INDEX('Term investments'!$G:$G,ROW())),1,0)</f>
        <v/>
      </c>
      <c r="J737">
        <f>TRIM(SUBSTITUTE(INDEX('Call accounts and MMFs'!$A:$A,ROW())&amp;""," "," "))</f>
        <v/>
      </c>
      <c r="K737">
        <f>TRIM(SUBSTITUTE(INDEX('Call accounts and MMFs'!$B:$B,ROW())&amp;""," "," "))</f>
        <v/>
      </c>
      <c r="L737">
        <f>TRIM(SUBSTITUTE(INDEX('Call accounts and MMFs'!$C:$C,ROW())&amp;""," "," "))</f>
        <v/>
      </c>
      <c r="M737">
        <f>IFERROR(--INDEX('Call accounts and MMFs'!$D:$D,ROW()),0)</f>
        <v/>
      </c>
      <c r="N737">
        <f>IFERROR(IF(--INDEX('Call accounts and MMFs'!$E:$E,ROW())&gt;=1,--INDEX('Call accounts and MMFs'!$E:$E,ROW())/100,--INDEX('Call accounts and MMFs'!$E:$E,ROW())),0)</f>
        <v/>
      </c>
      <c r="O737">
        <f>IFERROR(--INDEX('Call accounts and MMFs'!$F:$F,ROW()),0)</f>
        <v/>
      </c>
      <c r="P737">
        <f>IF(ISNUMBER(INDEX('Call accounts and MMFs'!$E:$E,ROW())),1,0)</f>
        <v/>
      </c>
      <c r="Q737">
        <f>TRIM(SUBSTITUTE(INDEX('Pooled funds'!$B:$B,ROW())&amp;""," "," "))</f>
        <v/>
      </c>
      <c r="R737">
        <f>IFERROR(--INDEX('Pooled funds'!$C:$C,ROW()),0)</f>
        <v/>
      </c>
      <c r="S737">
        <f>IFERROR(--INDEX('Pooled funds'!$D:$D,ROW()),0)</f>
        <v/>
      </c>
      <c r="T737">
        <f>IFERROR(IF(--INDEX('Pooled funds'!$E:$E,ROW())&gt;=1,--INDEX('Pooled funds'!$E:$E,ROW())/100,--INDEX('Pooled funds'!$E:$E,ROW())),0)</f>
        <v/>
      </c>
      <c r="U737">
        <f>IF(ISNUMBER(INDEX('Pooled funds'!$E:$E,ROW())),1,0)</f>
        <v/>
      </c>
      <c r="V737">
        <f>TRIM(SUBSTITUTE(INDEX('Loans'!$A:$A,ROW())&amp;""," "," "))</f>
        <v/>
      </c>
      <c r="W737">
        <f>TRIM(SUBSTITUTE(INDEX('Loans'!$B:$B,ROW())&amp;""," "," "))</f>
        <v/>
      </c>
      <c r="X737">
        <f>TRIM(SUBSTITUTE(INDEX('Loans'!$C:$C,ROW())&amp;""," "," "))</f>
        <v/>
      </c>
      <c r="Y737">
        <f>IFERROR(--INDEX('Loans'!$D:$D,ROW()),0)</f>
        <v/>
      </c>
      <c r="Z737">
        <f>IFERROR(--INDEX('Loans'!$E:$E,ROW()),0)</f>
        <v/>
      </c>
      <c r="AA737">
        <f>IFERROR(--INDEX('Loans'!$F:$F,ROW()),0)</f>
        <v/>
      </c>
      <c r="AB737">
        <f>IFERROR(IF(--INDEX('Loans'!$G:$G,ROW())&gt;=1,--INDEX('Loans'!$G:$G,ROW())/100,--INDEX('Loans'!$G:$G,ROW())),0)</f>
        <v/>
      </c>
      <c r="AC737">
        <f>TRIM(SUBSTITUTE(INDEX('Loans'!$H:$H,ROW())&amp;""," "," "))</f>
        <v/>
      </c>
      <c r="AD737">
        <f>TRIM(SUBSTITUTE(INDEX('Loans'!$I:$I,ROW())&amp;""," "," "))</f>
        <v/>
      </c>
      <c r="AE737">
        <f>IFERROR(--INDEX('Loans'!$J:$J,ROW()),0)</f>
        <v/>
      </c>
      <c r="AF737">
        <f>TRIM(SUBSTITUTE(INDEX('Loans'!$K:$K,ROW())&amp;""," "," "))</f>
        <v/>
      </c>
      <c r="AG737">
        <f>IFERROR(--INDEX('Loans'!$L:$L,ROW()),0)</f>
        <v/>
      </c>
      <c r="AH737">
        <f>IF(ISNUMBER(INDEX('Loans'!$G:$G,ROW())),1,0)</f>
        <v/>
      </c>
    </row>
    <row r="738">
      <c r="A738">
        <f>TRIM(SUBSTITUTE(INDEX('Term investments'!$A:$A,ROW())&amp;""," "," "))</f>
        <v/>
      </c>
      <c r="B738">
        <f>TRIM(SUBSTITUTE(INDEX('Term investments'!$B:$B,ROW())&amp;""," "," "))</f>
        <v/>
      </c>
      <c r="C738">
        <f>TRIM(SUBSTITUTE(INDEX('Term investments'!$C:$C,ROW())&amp;""," "," "))</f>
        <v/>
      </c>
      <c r="D738">
        <f>IFERROR(--INDEX('Term investments'!$D:$D,ROW()),0)</f>
        <v/>
      </c>
      <c r="E738">
        <f>IFERROR(--INDEX('Term investments'!$E:$E,ROW()),0)</f>
        <v/>
      </c>
      <c r="F738">
        <f>IFERROR(--INDEX('Term investments'!$F:$F,ROW()),0)</f>
        <v/>
      </c>
      <c r="G738">
        <f>IFERROR(IF(--INDEX('Term investments'!$G:$G,ROW())&gt;=1,--INDEX('Term investments'!$G:$G,ROW())/100,--INDEX('Term investments'!$G:$G,ROW())),0)</f>
        <v/>
      </c>
      <c r="H738">
        <f>IFERROR(--INDEX('Term investments'!$H:$H,ROW()),0)</f>
        <v/>
      </c>
      <c r="I738">
        <f>IF(ISNUMBER(INDEX('Term investments'!$G:$G,ROW())),1,0)</f>
        <v/>
      </c>
      <c r="J738">
        <f>TRIM(SUBSTITUTE(INDEX('Call accounts and MMFs'!$A:$A,ROW())&amp;""," "," "))</f>
        <v/>
      </c>
      <c r="K738">
        <f>TRIM(SUBSTITUTE(INDEX('Call accounts and MMFs'!$B:$B,ROW())&amp;""," "," "))</f>
        <v/>
      </c>
      <c r="L738">
        <f>TRIM(SUBSTITUTE(INDEX('Call accounts and MMFs'!$C:$C,ROW())&amp;""," "," "))</f>
        <v/>
      </c>
      <c r="M738">
        <f>IFERROR(--INDEX('Call accounts and MMFs'!$D:$D,ROW()),0)</f>
        <v/>
      </c>
      <c r="N738">
        <f>IFERROR(IF(--INDEX('Call accounts and MMFs'!$E:$E,ROW())&gt;=1,--INDEX('Call accounts and MMFs'!$E:$E,ROW())/100,--INDEX('Call accounts and MMFs'!$E:$E,ROW())),0)</f>
        <v/>
      </c>
      <c r="O738">
        <f>IFERROR(--INDEX('Call accounts and MMFs'!$F:$F,ROW()),0)</f>
        <v/>
      </c>
      <c r="P738">
        <f>IF(ISNUMBER(INDEX('Call accounts and MMFs'!$E:$E,ROW())),1,0)</f>
        <v/>
      </c>
      <c r="Q738">
        <f>TRIM(SUBSTITUTE(INDEX('Pooled funds'!$B:$B,ROW())&amp;""," "," "))</f>
        <v/>
      </c>
      <c r="R738">
        <f>IFERROR(--INDEX('Pooled funds'!$C:$C,ROW()),0)</f>
        <v/>
      </c>
      <c r="S738">
        <f>IFERROR(--INDEX('Pooled funds'!$D:$D,ROW()),0)</f>
        <v/>
      </c>
      <c r="T738">
        <f>IFERROR(IF(--INDEX('Pooled funds'!$E:$E,ROW())&gt;=1,--INDEX('Pooled funds'!$E:$E,ROW())/100,--INDEX('Pooled funds'!$E:$E,ROW())),0)</f>
        <v/>
      </c>
      <c r="U738">
        <f>IF(ISNUMBER(INDEX('Pooled funds'!$E:$E,ROW())),1,0)</f>
        <v/>
      </c>
      <c r="V738">
        <f>TRIM(SUBSTITUTE(INDEX('Loans'!$A:$A,ROW())&amp;""," "," "))</f>
        <v/>
      </c>
      <c r="W738">
        <f>TRIM(SUBSTITUTE(INDEX('Loans'!$B:$B,ROW())&amp;""," "," "))</f>
        <v/>
      </c>
      <c r="X738">
        <f>TRIM(SUBSTITUTE(INDEX('Loans'!$C:$C,ROW())&amp;""," "," "))</f>
        <v/>
      </c>
      <c r="Y738">
        <f>IFERROR(--INDEX('Loans'!$D:$D,ROW()),0)</f>
        <v/>
      </c>
      <c r="Z738">
        <f>IFERROR(--INDEX('Loans'!$E:$E,ROW()),0)</f>
        <v/>
      </c>
      <c r="AA738">
        <f>IFERROR(--INDEX('Loans'!$F:$F,ROW()),0)</f>
        <v/>
      </c>
      <c r="AB738">
        <f>IFERROR(IF(--INDEX('Loans'!$G:$G,ROW())&gt;=1,--INDEX('Loans'!$G:$G,ROW())/100,--INDEX('Loans'!$G:$G,ROW())),0)</f>
        <v/>
      </c>
      <c r="AC738">
        <f>TRIM(SUBSTITUTE(INDEX('Loans'!$H:$H,ROW())&amp;""," "," "))</f>
        <v/>
      </c>
      <c r="AD738">
        <f>TRIM(SUBSTITUTE(INDEX('Loans'!$I:$I,ROW())&amp;""," "," "))</f>
        <v/>
      </c>
      <c r="AE738">
        <f>IFERROR(--INDEX('Loans'!$J:$J,ROW()),0)</f>
        <v/>
      </c>
      <c r="AF738">
        <f>TRIM(SUBSTITUTE(INDEX('Loans'!$K:$K,ROW())&amp;""," "," "))</f>
        <v/>
      </c>
      <c r="AG738">
        <f>IFERROR(--INDEX('Loans'!$L:$L,ROW()),0)</f>
        <v/>
      </c>
      <c r="AH738">
        <f>IF(ISNUMBER(INDEX('Loans'!$G:$G,ROW())),1,0)</f>
        <v/>
      </c>
    </row>
    <row r="739">
      <c r="A739">
        <f>TRIM(SUBSTITUTE(INDEX('Term investments'!$A:$A,ROW())&amp;""," "," "))</f>
        <v/>
      </c>
      <c r="B739">
        <f>TRIM(SUBSTITUTE(INDEX('Term investments'!$B:$B,ROW())&amp;""," "," "))</f>
        <v/>
      </c>
      <c r="C739">
        <f>TRIM(SUBSTITUTE(INDEX('Term investments'!$C:$C,ROW())&amp;""," "," "))</f>
        <v/>
      </c>
      <c r="D739">
        <f>IFERROR(--INDEX('Term investments'!$D:$D,ROW()),0)</f>
        <v/>
      </c>
      <c r="E739">
        <f>IFERROR(--INDEX('Term investments'!$E:$E,ROW()),0)</f>
        <v/>
      </c>
      <c r="F739">
        <f>IFERROR(--INDEX('Term investments'!$F:$F,ROW()),0)</f>
        <v/>
      </c>
      <c r="G739">
        <f>IFERROR(IF(--INDEX('Term investments'!$G:$G,ROW())&gt;=1,--INDEX('Term investments'!$G:$G,ROW())/100,--INDEX('Term investments'!$G:$G,ROW())),0)</f>
        <v/>
      </c>
      <c r="H739">
        <f>IFERROR(--INDEX('Term investments'!$H:$H,ROW()),0)</f>
        <v/>
      </c>
      <c r="I739">
        <f>IF(ISNUMBER(INDEX('Term investments'!$G:$G,ROW())),1,0)</f>
        <v/>
      </c>
      <c r="J739">
        <f>TRIM(SUBSTITUTE(INDEX('Call accounts and MMFs'!$A:$A,ROW())&amp;""," "," "))</f>
        <v/>
      </c>
      <c r="K739">
        <f>TRIM(SUBSTITUTE(INDEX('Call accounts and MMFs'!$B:$B,ROW())&amp;""," "," "))</f>
        <v/>
      </c>
      <c r="L739">
        <f>TRIM(SUBSTITUTE(INDEX('Call accounts and MMFs'!$C:$C,ROW())&amp;""," "," "))</f>
        <v/>
      </c>
      <c r="M739">
        <f>IFERROR(--INDEX('Call accounts and MMFs'!$D:$D,ROW()),0)</f>
        <v/>
      </c>
      <c r="N739">
        <f>IFERROR(IF(--INDEX('Call accounts and MMFs'!$E:$E,ROW())&gt;=1,--INDEX('Call accounts and MMFs'!$E:$E,ROW())/100,--INDEX('Call accounts and MMFs'!$E:$E,ROW())),0)</f>
        <v/>
      </c>
      <c r="O739">
        <f>IFERROR(--INDEX('Call accounts and MMFs'!$F:$F,ROW()),0)</f>
        <v/>
      </c>
      <c r="P739">
        <f>IF(ISNUMBER(INDEX('Call accounts and MMFs'!$E:$E,ROW())),1,0)</f>
        <v/>
      </c>
      <c r="Q739">
        <f>TRIM(SUBSTITUTE(INDEX('Pooled funds'!$B:$B,ROW())&amp;""," "," "))</f>
        <v/>
      </c>
      <c r="R739">
        <f>IFERROR(--INDEX('Pooled funds'!$C:$C,ROW()),0)</f>
        <v/>
      </c>
      <c r="S739">
        <f>IFERROR(--INDEX('Pooled funds'!$D:$D,ROW()),0)</f>
        <v/>
      </c>
      <c r="T739">
        <f>IFERROR(IF(--INDEX('Pooled funds'!$E:$E,ROW())&gt;=1,--INDEX('Pooled funds'!$E:$E,ROW())/100,--INDEX('Pooled funds'!$E:$E,ROW())),0)</f>
        <v/>
      </c>
      <c r="U739">
        <f>IF(ISNUMBER(INDEX('Pooled funds'!$E:$E,ROW())),1,0)</f>
        <v/>
      </c>
      <c r="V739">
        <f>TRIM(SUBSTITUTE(INDEX('Loans'!$A:$A,ROW())&amp;""," "," "))</f>
        <v/>
      </c>
      <c r="W739">
        <f>TRIM(SUBSTITUTE(INDEX('Loans'!$B:$B,ROW())&amp;""," "," "))</f>
        <v/>
      </c>
      <c r="X739">
        <f>TRIM(SUBSTITUTE(INDEX('Loans'!$C:$C,ROW())&amp;""," "," "))</f>
        <v/>
      </c>
      <c r="Y739">
        <f>IFERROR(--INDEX('Loans'!$D:$D,ROW()),0)</f>
        <v/>
      </c>
      <c r="Z739">
        <f>IFERROR(--INDEX('Loans'!$E:$E,ROW()),0)</f>
        <v/>
      </c>
      <c r="AA739">
        <f>IFERROR(--INDEX('Loans'!$F:$F,ROW()),0)</f>
        <v/>
      </c>
      <c r="AB739">
        <f>IFERROR(IF(--INDEX('Loans'!$G:$G,ROW())&gt;=1,--INDEX('Loans'!$G:$G,ROW())/100,--INDEX('Loans'!$G:$G,ROW())),0)</f>
        <v/>
      </c>
      <c r="AC739">
        <f>TRIM(SUBSTITUTE(INDEX('Loans'!$H:$H,ROW())&amp;""," "," "))</f>
        <v/>
      </c>
      <c r="AD739">
        <f>TRIM(SUBSTITUTE(INDEX('Loans'!$I:$I,ROW())&amp;""," "," "))</f>
        <v/>
      </c>
      <c r="AE739">
        <f>IFERROR(--INDEX('Loans'!$J:$J,ROW()),0)</f>
        <v/>
      </c>
      <c r="AF739">
        <f>TRIM(SUBSTITUTE(INDEX('Loans'!$K:$K,ROW())&amp;""," "," "))</f>
        <v/>
      </c>
      <c r="AG739">
        <f>IFERROR(--INDEX('Loans'!$L:$L,ROW()),0)</f>
        <v/>
      </c>
      <c r="AH739">
        <f>IF(ISNUMBER(INDEX('Loans'!$G:$G,ROW())),1,0)</f>
        <v/>
      </c>
    </row>
    <row r="740">
      <c r="A740">
        <f>TRIM(SUBSTITUTE(INDEX('Term investments'!$A:$A,ROW())&amp;""," "," "))</f>
        <v/>
      </c>
      <c r="B740">
        <f>TRIM(SUBSTITUTE(INDEX('Term investments'!$B:$B,ROW())&amp;""," "," "))</f>
        <v/>
      </c>
      <c r="C740">
        <f>TRIM(SUBSTITUTE(INDEX('Term investments'!$C:$C,ROW())&amp;""," "," "))</f>
        <v/>
      </c>
      <c r="D740">
        <f>IFERROR(--INDEX('Term investments'!$D:$D,ROW()),0)</f>
        <v/>
      </c>
      <c r="E740">
        <f>IFERROR(--INDEX('Term investments'!$E:$E,ROW()),0)</f>
        <v/>
      </c>
      <c r="F740">
        <f>IFERROR(--INDEX('Term investments'!$F:$F,ROW()),0)</f>
        <v/>
      </c>
      <c r="G740">
        <f>IFERROR(IF(--INDEX('Term investments'!$G:$G,ROW())&gt;=1,--INDEX('Term investments'!$G:$G,ROW())/100,--INDEX('Term investments'!$G:$G,ROW())),0)</f>
        <v/>
      </c>
      <c r="H740">
        <f>IFERROR(--INDEX('Term investments'!$H:$H,ROW()),0)</f>
        <v/>
      </c>
      <c r="I740">
        <f>IF(ISNUMBER(INDEX('Term investments'!$G:$G,ROW())),1,0)</f>
        <v/>
      </c>
      <c r="J740">
        <f>TRIM(SUBSTITUTE(INDEX('Call accounts and MMFs'!$A:$A,ROW())&amp;""," "," "))</f>
        <v/>
      </c>
      <c r="K740">
        <f>TRIM(SUBSTITUTE(INDEX('Call accounts and MMFs'!$B:$B,ROW())&amp;""," "," "))</f>
        <v/>
      </c>
      <c r="L740">
        <f>TRIM(SUBSTITUTE(INDEX('Call accounts and MMFs'!$C:$C,ROW())&amp;""," "," "))</f>
        <v/>
      </c>
      <c r="M740">
        <f>IFERROR(--INDEX('Call accounts and MMFs'!$D:$D,ROW()),0)</f>
        <v/>
      </c>
      <c r="N740">
        <f>IFERROR(IF(--INDEX('Call accounts and MMFs'!$E:$E,ROW())&gt;=1,--INDEX('Call accounts and MMFs'!$E:$E,ROW())/100,--INDEX('Call accounts and MMFs'!$E:$E,ROW())),0)</f>
        <v/>
      </c>
      <c r="O740">
        <f>IFERROR(--INDEX('Call accounts and MMFs'!$F:$F,ROW()),0)</f>
        <v/>
      </c>
      <c r="P740">
        <f>IF(ISNUMBER(INDEX('Call accounts and MMFs'!$E:$E,ROW())),1,0)</f>
        <v/>
      </c>
      <c r="Q740">
        <f>TRIM(SUBSTITUTE(INDEX('Pooled funds'!$B:$B,ROW())&amp;""," "," "))</f>
        <v/>
      </c>
      <c r="R740">
        <f>IFERROR(--INDEX('Pooled funds'!$C:$C,ROW()),0)</f>
        <v/>
      </c>
      <c r="S740">
        <f>IFERROR(--INDEX('Pooled funds'!$D:$D,ROW()),0)</f>
        <v/>
      </c>
      <c r="T740">
        <f>IFERROR(IF(--INDEX('Pooled funds'!$E:$E,ROW())&gt;=1,--INDEX('Pooled funds'!$E:$E,ROW())/100,--INDEX('Pooled funds'!$E:$E,ROW())),0)</f>
        <v/>
      </c>
      <c r="U740">
        <f>IF(ISNUMBER(INDEX('Pooled funds'!$E:$E,ROW())),1,0)</f>
        <v/>
      </c>
      <c r="V740">
        <f>TRIM(SUBSTITUTE(INDEX('Loans'!$A:$A,ROW())&amp;""," "," "))</f>
        <v/>
      </c>
      <c r="W740">
        <f>TRIM(SUBSTITUTE(INDEX('Loans'!$B:$B,ROW())&amp;""," "," "))</f>
        <v/>
      </c>
      <c r="X740">
        <f>TRIM(SUBSTITUTE(INDEX('Loans'!$C:$C,ROW())&amp;""," "," "))</f>
        <v/>
      </c>
      <c r="Y740">
        <f>IFERROR(--INDEX('Loans'!$D:$D,ROW()),0)</f>
        <v/>
      </c>
      <c r="Z740">
        <f>IFERROR(--INDEX('Loans'!$E:$E,ROW()),0)</f>
        <v/>
      </c>
      <c r="AA740">
        <f>IFERROR(--INDEX('Loans'!$F:$F,ROW()),0)</f>
        <v/>
      </c>
      <c r="AB740">
        <f>IFERROR(IF(--INDEX('Loans'!$G:$G,ROW())&gt;=1,--INDEX('Loans'!$G:$G,ROW())/100,--INDEX('Loans'!$G:$G,ROW())),0)</f>
        <v/>
      </c>
      <c r="AC740">
        <f>TRIM(SUBSTITUTE(INDEX('Loans'!$H:$H,ROW())&amp;""," "," "))</f>
        <v/>
      </c>
      <c r="AD740">
        <f>TRIM(SUBSTITUTE(INDEX('Loans'!$I:$I,ROW())&amp;""," "," "))</f>
        <v/>
      </c>
      <c r="AE740">
        <f>IFERROR(--INDEX('Loans'!$J:$J,ROW()),0)</f>
        <v/>
      </c>
      <c r="AF740">
        <f>TRIM(SUBSTITUTE(INDEX('Loans'!$K:$K,ROW())&amp;""," "," "))</f>
        <v/>
      </c>
      <c r="AG740">
        <f>IFERROR(--INDEX('Loans'!$L:$L,ROW()),0)</f>
        <v/>
      </c>
      <c r="AH740">
        <f>IF(ISNUMBER(INDEX('Loans'!$G:$G,ROW())),1,0)</f>
        <v/>
      </c>
    </row>
    <row r="741">
      <c r="A741">
        <f>TRIM(SUBSTITUTE(INDEX('Term investments'!$A:$A,ROW())&amp;""," "," "))</f>
        <v/>
      </c>
      <c r="B741">
        <f>TRIM(SUBSTITUTE(INDEX('Term investments'!$B:$B,ROW())&amp;""," "," "))</f>
        <v/>
      </c>
      <c r="C741">
        <f>TRIM(SUBSTITUTE(INDEX('Term investments'!$C:$C,ROW())&amp;""," "," "))</f>
        <v/>
      </c>
      <c r="D741">
        <f>IFERROR(--INDEX('Term investments'!$D:$D,ROW()),0)</f>
        <v/>
      </c>
      <c r="E741">
        <f>IFERROR(--INDEX('Term investments'!$E:$E,ROW()),0)</f>
        <v/>
      </c>
      <c r="F741">
        <f>IFERROR(--INDEX('Term investments'!$F:$F,ROW()),0)</f>
        <v/>
      </c>
      <c r="G741">
        <f>IFERROR(IF(--INDEX('Term investments'!$G:$G,ROW())&gt;=1,--INDEX('Term investments'!$G:$G,ROW())/100,--INDEX('Term investments'!$G:$G,ROW())),0)</f>
        <v/>
      </c>
      <c r="H741">
        <f>IFERROR(--INDEX('Term investments'!$H:$H,ROW()),0)</f>
        <v/>
      </c>
      <c r="I741">
        <f>IF(ISNUMBER(INDEX('Term investments'!$G:$G,ROW())),1,0)</f>
        <v/>
      </c>
      <c r="J741">
        <f>TRIM(SUBSTITUTE(INDEX('Call accounts and MMFs'!$A:$A,ROW())&amp;""," "," "))</f>
        <v/>
      </c>
      <c r="K741">
        <f>TRIM(SUBSTITUTE(INDEX('Call accounts and MMFs'!$B:$B,ROW())&amp;""," "," "))</f>
        <v/>
      </c>
      <c r="L741">
        <f>TRIM(SUBSTITUTE(INDEX('Call accounts and MMFs'!$C:$C,ROW())&amp;""," "," "))</f>
        <v/>
      </c>
      <c r="M741">
        <f>IFERROR(--INDEX('Call accounts and MMFs'!$D:$D,ROW()),0)</f>
        <v/>
      </c>
      <c r="N741">
        <f>IFERROR(IF(--INDEX('Call accounts and MMFs'!$E:$E,ROW())&gt;=1,--INDEX('Call accounts and MMFs'!$E:$E,ROW())/100,--INDEX('Call accounts and MMFs'!$E:$E,ROW())),0)</f>
        <v/>
      </c>
      <c r="O741">
        <f>IFERROR(--INDEX('Call accounts and MMFs'!$F:$F,ROW()),0)</f>
        <v/>
      </c>
      <c r="P741">
        <f>IF(ISNUMBER(INDEX('Call accounts and MMFs'!$E:$E,ROW())),1,0)</f>
        <v/>
      </c>
      <c r="Q741">
        <f>TRIM(SUBSTITUTE(INDEX('Pooled funds'!$B:$B,ROW())&amp;""," "," "))</f>
        <v/>
      </c>
      <c r="R741">
        <f>IFERROR(--INDEX('Pooled funds'!$C:$C,ROW()),0)</f>
        <v/>
      </c>
      <c r="S741">
        <f>IFERROR(--INDEX('Pooled funds'!$D:$D,ROW()),0)</f>
        <v/>
      </c>
      <c r="T741">
        <f>IFERROR(IF(--INDEX('Pooled funds'!$E:$E,ROW())&gt;=1,--INDEX('Pooled funds'!$E:$E,ROW())/100,--INDEX('Pooled funds'!$E:$E,ROW())),0)</f>
        <v/>
      </c>
      <c r="U741">
        <f>IF(ISNUMBER(INDEX('Pooled funds'!$E:$E,ROW())),1,0)</f>
        <v/>
      </c>
      <c r="V741">
        <f>TRIM(SUBSTITUTE(INDEX('Loans'!$A:$A,ROW())&amp;""," "," "))</f>
        <v/>
      </c>
      <c r="W741">
        <f>TRIM(SUBSTITUTE(INDEX('Loans'!$B:$B,ROW())&amp;""," "," "))</f>
        <v/>
      </c>
      <c r="X741">
        <f>TRIM(SUBSTITUTE(INDEX('Loans'!$C:$C,ROW())&amp;""," "," "))</f>
        <v/>
      </c>
      <c r="Y741">
        <f>IFERROR(--INDEX('Loans'!$D:$D,ROW()),0)</f>
        <v/>
      </c>
      <c r="Z741">
        <f>IFERROR(--INDEX('Loans'!$E:$E,ROW()),0)</f>
        <v/>
      </c>
      <c r="AA741">
        <f>IFERROR(--INDEX('Loans'!$F:$F,ROW()),0)</f>
        <v/>
      </c>
      <c r="AB741">
        <f>IFERROR(IF(--INDEX('Loans'!$G:$G,ROW())&gt;=1,--INDEX('Loans'!$G:$G,ROW())/100,--INDEX('Loans'!$G:$G,ROW())),0)</f>
        <v/>
      </c>
      <c r="AC741">
        <f>TRIM(SUBSTITUTE(INDEX('Loans'!$H:$H,ROW())&amp;""," "," "))</f>
        <v/>
      </c>
      <c r="AD741">
        <f>TRIM(SUBSTITUTE(INDEX('Loans'!$I:$I,ROW())&amp;""," "," "))</f>
        <v/>
      </c>
      <c r="AE741">
        <f>IFERROR(--INDEX('Loans'!$J:$J,ROW()),0)</f>
        <v/>
      </c>
      <c r="AF741">
        <f>TRIM(SUBSTITUTE(INDEX('Loans'!$K:$K,ROW())&amp;""," "," "))</f>
        <v/>
      </c>
      <c r="AG741">
        <f>IFERROR(--INDEX('Loans'!$L:$L,ROW()),0)</f>
        <v/>
      </c>
      <c r="AH741">
        <f>IF(ISNUMBER(INDEX('Loans'!$G:$G,ROW())),1,0)</f>
        <v/>
      </c>
    </row>
    <row r="742">
      <c r="A742">
        <f>TRIM(SUBSTITUTE(INDEX('Term investments'!$A:$A,ROW())&amp;""," "," "))</f>
        <v/>
      </c>
      <c r="B742">
        <f>TRIM(SUBSTITUTE(INDEX('Term investments'!$B:$B,ROW())&amp;""," "," "))</f>
        <v/>
      </c>
      <c r="C742">
        <f>TRIM(SUBSTITUTE(INDEX('Term investments'!$C:$C,ROW())&amp;""," "," "))</f>
        <v/>
      </c>
      <c r="D742">
        <f>IFERROR(--INDEX('Term investments'!$D:$D,ROW()),0)</f>
        <v/>
      </c>
      <c r="E742">
        <f>IFERROR(--INDEX('Term investments'!$E:$E,ROW()),0)</f>
        <v/>
      </c>
      <c r="F742">
        <f>IFERROR(--INDEX('Term investments'!$F:$F,ROW()),0)</f>
        <v/>
      </c>
      <c r="G742">
        <f>IFERROR(IF(--INDEX('Term investments'!$G:$G,ROW())&gt;=1,--INDEX('Term investments'!$G:$G,ROW())/100,--INDEX('Term investments'!$G:$G,ROW())),0)</f>
        <v/>
      </c>
      <c r="H742">
        <f>IFERROR(--INDEX('Term investments'!$H:$H,ROW()),0)</f>
        <v/>
      </c>
      <c r="I742">
        <f>IF(ISNUMBER(INDEX('Term investments'!$G:$G,ROW())),1,0)</f>
        <v/>
      </c>
      <c r="J742">
        <f>TRIM(SUBSTITUTE(INDEX('Call accounts and MMFs'!$A:$A,ROW())&amp;""," "," "))</f>
        <v/>
      </c>
      <c r="K742">
        <f>TRIM(SUBSTITUTE(INDEX('Call accounts and MMFs'!$B:$B,ROW())&amp;""," "," "))</f>
        <v/>
      </c>
      <c r="L742">
        <f>TRIM(SUBSTITUTE(INDEX('Call accounts and MMFs'!$C:$C,ROW())&amp;""," "," "))</f>
        <v/>
      </c>
      <c r="M742">
        <f>IFERROR(--INDEX('Call accounts and MMFs'!$D:$D,ROW()),0)</f>
        <v/>
      </c>
      <c r="N742">
        <f>IFERROR(IF(--INDEX('Call accounts and MMFs'!$E:$E,ROW())&gt;=1,--INDEX('Call accounts and MMFs'!$E:$E,ROW())/100,--INDEX('Call accounts and MMFs'!$E:$E,ROW())),0)</f>
        <v/>
      </c>
      <c r="O742">
        <f>IFERROR(--INDEX('Call accounts and MMFs'!$F:$F,ROW()),0)</f>
        <v/>
      </c>
      <c r="P742">
        <f>IF(ISNUMBER(INDEX('Call accounts and MMFs'!$E:$E,ROW())),1,0)</f>
        <v/>
      </c>
      <c r="Q742">
        <f>TRIM(SUBSTITUTE(INDEX('Pooled funds'!$B:$B,ROW())&amp;""," "," "))</f>
        <v/>
      </c>
      <c r="R742">
        <f>IFERROR(--INDEX('Pooled funds'!$C:$C,ROW()),0)</f>
        <v/>
      </c>
      <c r="S742">
        <f>IFERROR(--INDEX('Pooled funds'!$D:$D,ROW()),0)</f>
        <v/>
      </c>
      <c r="T742">
        <f>IFERROR(IF(--INDEX('Pooled funds'!$E:$E,ROW())&gt;=1,--INDEX('Pooled funds'!$E:$E,ROW())/100,--INDEX('Pooled funds'!$E:$E,ROW())),0)</f>
        <v/>
      </c>
      <c r="U742">
        <f>IF(ISNUMBER(INDEX('Pooled funds'!$E:$E,ROW())),1,0)</f>
        <v/>
      </c>
      <c r="V742">
        <f>TRIM(SUBSTITUTE(INDEX('Loans'!$A:$A,ROW())&amp;""," "," "))</f>
        <v/>
      </c>
      <c r="W742">
        <f>TRIM(SUBSTITUTE(INDEX('Loans'!$B:$B,ROW())&amp;""," "," "))</f>
        <v/>
      </c>
      <c r="X742">
        <f>TRIM(SUBSTITUTE(INDEX('Loans'!$C:$C,ROW())&amp;""," "," "))</f>
        <v/>
      </c>
      <c r="Y742">
        <f>IFERROR(--INDEX('Loans'!$D:$D,ROW()),0)</f>
        <v/>
      </c>
      <c r="Z742">
        <f>IFERROR(--INDEX('Loans'!$E:$E,ROW()),0)</f>
        <v/>
      </c>
      <c r="AA742">
        <f>IFERROR(--INDEX('Loans'!$F:$F,ROW()),0)</f>
        <v/>
      </c>
      <c r="AB742">
        <f>IFERROR(IF(--INDEX('Loans'!$G:$G,ROW())&gt;=1,--INDEX('Loans'!$G:$G,ROW())/100,--INDEX('Loans'!$G:$G,ROW())),0)</f>
        <v/>
      </c>
      <c r="AC742">
        <f>TRIM(SUBSTITUTE(INDEX('Loans'!$H:$H,ROW())&amp;""," "," "))</f>
        <v/>
      </c>
      <c r="AD742">
        <f>TRIM(SUBSTITUTE(INDEX('Loans'!$I:$I,ROW())&amp;""," "," "))</f>
        <v/>
      </c>
      <c r="AE742">
        <f>IFERROR(--INDEX('Loans'!$J:$J,ROW()),0)</f>
        <v/>
      </c>
      <c r="AF742">
        <f>TRIM(SUBSTITUTE(INDEX('Loans'!$K:$K,ROW())&amp;""," "," "))</f>
        <v/>
      </c>
      <c r="AG742">
        <f>IFERROR(--INDEX('Loans'!$L:$L,ROW()),0)</f>
        <v/>
      </c>
      <c r="AH742">
        <f>IF(ISNUMBER(INDEX('Loans'!$G:$G,ROW())),1,0)</f>
        <v/>
      </c>
    </row>
    <row r="743">
      <c r="A743">
        <f>TRIM(SUBSTITUTE(INDEX('Term investments'!$A:$A,ROW())&amp;""," "," "))</f>
        <v/>
      </c>
      <c r="B743">
        <f>TRIM(SUBSTITUTE(INDEX('Term investments'!$B:$B,ROW())&amp;""," "," "))</f>
        <v/>
      </c>
      <c r="C743">
        <f>TRIM(SUBSTITUTE(INDEX('Term investments'!$C:$C,ROW())&amp;""," "," "))</f>
        <v/>
      </c>
      <c r="D743">
        <f>IFERROR(--INDEX('Term investments'!$D:$D,ROW()),0)</f>
        <v/>
      </c>
      <c r="E743">
        <f>IFERROR(--INDEX('Term investments'!$E:$E,ROW()),0)</f>
        <v/>
      </c>
      <c r="F743">
        <f>IFERROR(--INDEX('Term investments'!$F:$F,ROW()),0)</f>
        <v/>
      </c>
      <c r="G743">
        <f>IFERROR(IF(--INDEX('Term investments'!$G:$G,ROW())&gt;=1,--INDEX('Term investments'!$G:$G,ROW())/100,--INDEX('Term investments'!$G:$G,ROW())),0)</f>
        <v/>
      </c>
      <c r="H743">
        <f>IFERROR(--INDEX('Term investments'!$H:$H,ROW()),0)</f>
        <v/>
      </c>
      <c r="I743">
        <f>IF(ISNUMBER(INDEX('Term investments'!$G:$G,ROW())),1,0)</f>
        <v/>
      </c>
      <c r="J743">
        <f>TRIM(SUBSTITUTE(INDEX('Call accounts and MMFs'!$A:$A,ROW())&amp;""," "," "))</f>
        <v/>
      </c>
      <c r="K743">
        <f>TRIM(SUBSTITUTE(INDEX('Call accounts and MMFs'!$B:$B,ROW())&amp;""," "," "))</f>
        <v/>
      </c>
      <c r="L743">
        <f>TRIM(SUBSTITUTE(INDEX('Call accounts and MMFs'!$C:$C,ROW())&amp;""," "," "))</f>
        <v/>
      </c>
      <c r="M743">
        <f>IFERROR(--INDEX('Call accounts and MMFs'!$D:$D,ROW()),0)</f>
        <v/>
      </c>
      <c r="N743">
        <f>IFERROR(IF(--INDEX('Call accounts and MMFs'!$E:$E,ROW())&gt;=1,--INDEX('Call accounts and MMFs'!$E:$E,ROW())/100,--INDEX('Call accounts and MMFs'!$E:$E,ROW())),0)</f>
        <v/>
      </c>
      <c r="O743">
        <f>IFERROR(--INDEX('Call accounts and MMFs'!$F:$F,ROW()),0)</f>
        <v/>
      </c>
      <c r="P743">
        <f>IF(ISNUMBER(INDEX('Call accounts and MMFs'!$E:$E,ROW())),1,0)</f>
        <v/>
      </c>
      <c r="Q743">
        <f>TRIM(SUBSTITUTE(INDEX('Pooled funds'!$B:$B,ROW())&amp;""," "," "))</f>
        <v/>
      </c>
      <c r="R743">
        <f>IFERROR(--INDEX('Pooled funds'!$C:$C,ROW()),0)</f>
        <v/>
      </c>
      <c r="S743">
        <f>IFERROR(--INDEX('Pooled funds'!$D:$D,ROW()),0)</f>
        <v/>
      </c>
      <c r="T743">
        <f>IFERROR(IF(--INDEX('Pooled funds'!$E:$E,ROW())&gt;=1,--INDEX('Pooled funds'!$E:$E,ROW())/100,--INDEX('Pooled funds'!$E:$E,ROW())),0)</f>
        <v/>
      </c>
      <c r="U743">
        <f>IF(ISNUMBER(INDEX('Pooled funds'!$E:$E,ROW())),1,0)</f>
        <v/>
      </c>
      <c r="V743">
        <f>TRIM(SUBSTITUTE(INDEX('Loans'!$A:$A,ROW())&amp;""," "," "))</f>
        <v/>
      </c>
      <c r="W743">
        <f>TRIM(SUBSTITUTE(INDEX('Loans'!$B:$B,ROW())&amp;""," "," "))</f>
        <v/>
      </c>
      <c r="X743">
        <f>TRIM(SUBSTITUTE(INDEX('Loans'!$C:$C,ROW())&amp;""," "," "))</f>
        <v/>
      </c>
      <c r="Y743">
        <f>IFERROR(--INDEX('Loans'!$D:$D,ROW()),0)</f>
        <v/>
      </c>
      <c r="Z743">
        <f>IFERROR(--INDEX('Loans'!$E:$E,ROW()),0)</f>
        <v/>
      </c>
      <c r="AA743">
        <f>IFERROR(--INDEX('Loans'!$F:$F,ROW()),0)</f>
        <v/>
      </c>
      <c r="AB743">
        <f>IFERROR(IF(--INDEX('Loans'!$G:$G,ROW())&gt;=1,--INDEX('Loans'!$G:$G,ROW())/100,--INDEX('Loans'!$G:$G,ROW())),0)</f>
        <v/>
      </c>
      <c r="AC743">
        <f>TRIM(SUBSTITUTE(INDEX('Loans'!$H:$H,ROW())&amp;""," "," "))</f>
        <v/>
      </c>
      <c r="AD743">
        <f>TRIM(SUBSTITUTE(INDEX('Loans'!$I:$I,ROW())&amp;""," "," "))</f>
        <v/>
      </c>
      <c r="AE743">
        <f>IFERROR(--INDEX('Loans'!$J:$J,ROW()),0)</f>
        <v/>
      </c>
      <c r="AF743">
        <f>TRIM(SUBSTITUTE(INDEX('Loans'!$K:$K,ROW())&amp;""," "," "))</f>
        <v/>
      </c>
      <c r="AG743">
        <f>IFERROR(--INDEX('Loans'!$L:$L,ROW()),0)</f>
        <v/>
      </c>
      <c r="AH743">
        <f>IF(ISNUMBER(INDEX('Loans'!$G:$G,ROW())),1,0)</f>
        <v/>
      </c>
    </row>
    <row r="744">
      <c r="A744">
        <f>TRIM(SUBSTITUTE(INDEX('Term investments'!$A:$A,ROW())&amp;""," "," "))</f>
        <v/>
      </c>
      <c r="B744">
        <f>TRIM(SUBSTITUTE(INDEX('Term investments'!$B:$B,ROW())&amp;""," "," "))</f>
        <v/>
      </c>
      <c r="C744">
        <f>TRIM(SUBSTITUTE(INDEX('Term investments'!$C:$C,ROW())&amp;""," "," "))</f>
        <v/>
      </c>
      <c r="D744">
        <f>IFERROR(--INDEX('Term investments'!$D:$D,ROW()),0)</f>
        <v/>
      </c>
      <c r="E744">
        <f>IFERROR(--INDEX('Term investments'!$E:$E,ROW()),0)</f>
        <v/>
      </c>
      <c r="F744">
        <f>IFERROR(--INDEX('Term investments'!$F:$F,ROW()),0)</f>
        <v/>
      </c>
      <c r="G744">
        <f>IFERROR(IF(--INDEX('Term investments'!$G:$G,ROW())&gt;=1,--INDEX('Term investments'!$G:$G,ROW())/100,--INDEX('Term investments'!$G:$G,ROW())),0)</f>
        <v/>
      </c>
      <c r="H744">
        <f>IFERROR(--INDEX('Term investments'!$H:$H,ROW()),0)</f>
        <v/>
      </c>
      <c r="I744">
        <f>IF(ISNUMBER(INDEX('Term investments'!$G:$G,ROW())),1,0)</f>
        <v/>
      </c>
      <c r="J744">
        <f>TRIM(SUBSTITUTE(INDEX('Call accounts and MMFs'!$A:$A,ROW())&amp;""," "," "))</f>
        <v/>
      </c>
      <c r="K744">
        <f>TRIM(SUBSTITUTE(INDEX('Call accounts and MMFs'!$B:$B,ROW())&amp;""," "," "))</f>
        <v/>
      </c>
      <c r="L744">
        <f>TRIM(SUBSTITUTE(INDEX('Call accounts and MMFs'!$C:$C,ROW())&amp;""," "," "))</f>
        <v/>
      </c>
      <c r="M744">
        <f>IFERROR(--INDEX('Call accounts and MMFs'!$D:$D,ROW()),0)</f>
        <v/>
      </c>
      <c r="N744">
        <f>IFERROR(IF(--INDEX('Call accounts and MMFs'!$E:$E,ROW())&gt;=1,--INDEX('Call accounts and MMFs'!$E:$E,ROW())/100,--INDEX('Call accounts and MMFs'!$E:$E,ROW())),0)</f>
        <v/>
      </c>
      <c r="O744">
        <f>IFERROR(--INDEX('Call accounts and MMFs'!$F:$F,ROW()),0)</f>
        <v/>
      </c>
      <c r="P744">
        <f>IF(ISNUMBER(INDEX('Call accounts and MMFs'!$E:$E,ROW())),1,0)</f>
        <v/>
      </c>
      <c r="Q744">
        <f>TRIM(SUBSTITUTE(INDEX('Pooled funds'!$B:$B,ROW())&amp;""," "," "))</f>
        <v/>
      </c>
      <c r="R744">
        <f>IFERROR(--INDEX('Pooled funds'!$C:$C,ROW()),0)</f>
        <v/>
      </c>
      <c r="S744">
        <f>IFERROR(--INDEX('Pooled funds'!$D:$D,ROW()),0)</f>
        <v/>
      </c>
      <c r="T744">
        <f>IFERROR(IF(--INDEX('Pooled funds'!$E:$E,ROW())&gt;=1,--INDEX('Pooled funds'!$E:$E,ROW())/100,--INDEX('Pooled funds'!$E:$E,ROW())),0)</f>
        <v/>
      </c>
      <c r="U744">
        <f>IF(ISNUMBER(INDEX('Pooled funds'!$E:$E,ROW())),1,0)</f>
        <v/>
      </c>
      <c r="V744">
        <f>TRIM(SUBSTITUTE(INDEX('Loans'!$A:$A,ROW())&amp;""," "," "))</f>
        <v/>
      </c>
      <c r="W744">
        <f>TRIM(SUBSTITUTE(INDEX('Loans'!$B:$B,ROW())&amp;""," "," "))</f>
        <v/>
      </c>
      <c r="X744">
        <f>TRIM(SUBSTITUTE(INDEX('Loans'!$C:$C,ROW())&amp;""," "," "))</f>
        <v/>
      </c>
      <c r="Y744">
        <f>IFERROR(--INDEX('Loans'!$D:$D,ROW()),0)</f>
        <v/>
      </c>
      <c r="Z744">
        <f>IFERROR(--INDEX('Loans'!$E:$E,ROW()),0)</f>
        <v/>
      </c>
      <c r="AA744">
        <f>IFERROR(--INDEX('Loans'!$F:$F,ROW()),0)</f>
        <v/>
      </c>
      <c r="AB744">
        <f>IFERROR(IF(--INDEX('Loans'!$G:$G,ROW())&gt;=1,--INDEX('Loans'!$G:$G,ROW())/100,--INDEX('Loans'!$G:$G,ROW())),0)</f>
        <v/>
      </c>
      <c r="AC744">
        <f>TRIM(SUBSTITUTE(INDEX('Loans'!$H:$H,ROW())&amp;""," "," "))</f>
        <v/>
      </c>
      <c r="AD744">
        <f>TRIM(SUBSTITUTE(INDEX('Loans'!$I:$I,ROW())&amp;""," "," "))</f>
        <v/>
      </c>
      <c r="AE744">
        <f>IFERROR(--INDEX('Loans'!$J:$J,ROW()),0)</f>
        <v/>
      </c>
      <c r="AF744">
        <f>TRIM(SUBSTITUTE(INDEX('Loans'!$K:$K,ROW())&amp;""," "," "))</f>
        <v/>
      </c>
      <c r="AG744">
        <f>IFERROR(--INDEX('Loans'!$L:$L,ROW()),0)</f>
        <v/>
      </c>
      <c r="AH744">
        <f>IF(ISNUMBER(INDEX('Loans'!$G:$G,ROW())),1,0)</f>
        <v/>
      </c>
    </row>
    <row r="745">
      <c r="A745">
        <f>TRIM(SUBSTITUTE(INDEX('Term investments'!$A:$A,ROW())&amp;""," "," "))</f>
        <v/>
      </c>
      <c r="B745">
        <f>TRIM(SUBSTITUTE(INDEX('Term investments'!$B:$B,ROW())&amp;""," "," "))</f>
        <v/>
      </c>
      <c r="C745">
        <f>TRIM(SUBSTITUTE(INDEX('Term investments'!$C:$C,ROW())&amp;""," "," "))</f>
        <v/>
      </c>
      <c r="D745">
        <f>IFERROR(--INDEX('Term investments'!$D:$D,ROW()),0)</f>
        <v/>
      </c>
      <c r="E745">
        <f>IFERROR(--INDEX('Term investments'!$E:$E,ROW()),0)</f>
        <v/>
      </c>
      <c r="F745">
        <f>IFERROR(--INDEX('Term investments'!$F:$F,ROW()),0)</f>
        <v/>
      </c>
      <c r="G745">
        <f>IFERROR(IF(--INDEX('Term investments'!$G:$G,ROW())&gt;=1,--INDEX('Term investments'!$G:$G,ROW())/100,--INDEX('Term investments'!$G:$G,ROW())),0)</f>
        <v/>
      </c>
      <c r="H745">
        <f>IFERROR(--INDEX('Term investments'!$H:$H,ROW()),0)</f>
        <v/>
      </c>
      <c r="I745">
        <f>IF(ISNUMBER(INDEX('Term investments'!$G:$G,ROW())),1,0)</f>
        <v/>
      </c>
      <c r="J745">
        <f>TRIM(SUBSTITUTE(INDEX('Call accounts and MMFs'!$A:$A,ROW())&amp;""," "," "))</f>
        <v/>
      </c>
      <c r="K745">
        <f>TRIM(SUBSTITUTE(INDEX('Call accounts and MMFs'!$B:$B,ROW())&amp;""," "," "))</f>
        <v/>
      </c>
      <c r="L745">
        <f>TRIM(SUBSTITUTE(INDEX('Call accounts and MMFs'!$C:$C,ROW())&amp;""," "," "))</f>
        <v/>
      </c>
      <c r="M745">
        <f>IFERROR(--INDEX('Call accounts and MMFs'!$D:$D,ROW()),0)</f>
        <v/>
      </c>
      <c r="N745">
        <f>IFERROR(IF(--INDEX('Call accounts and MMFs'!$E:$E,ROW())&gt;=1,--INDEX('Call accounts and MMFs'!$E:$E,ROW())/100,--INDEX('Call accounts and MMFs'!$E:$E,ROW())),0)</f>
        <v/>
      </c>
      <c r="O745">
        <f>IFERROR(--INDEX('Call accounts and MMFs'!$F:$F,ROW()),0)</f>
        <v/>
      </c>
      <c r="P745">
        <f>IF(ISNUMBER(INDEX('Call accounts and MMFs'!$E:$E,ROW())),1,0)</f>
        <v/>
      </c>
      <c r="Q745">
        <f>TRIM(SUBSTITUTE(INDEX('Pooled funds'!$B:$B,ROW())&amp;""," "," "))</f>
        <v/>
      </c>
      <c r="R745">
        <f>IFERROR(--INDEX('Pooled funds'!$C:$C,ROW()),0)</f>
        <v/>
      </c>
      <c r="S745">
        <f>IFERROR(--INDEX('Pooled funds'!$D:$D,ROW()),0)</f>
        <v/>
      </c>
      <c r="T745">
        <f>IFERROR(IF(--INDEX('Pooled funds'!$E:$E,ROW())&gt;=1,--INDEX('Pooled funds'!$E:$E,ROW())/100,--INDEX('Pooled funds'!$E:$E,ROW())),0)</f>
        <v/>
      </c>
      <c r="U745">
        <f>IF(ISNUMBER(INDEX('Pooled funds'!$E:$E,ROW())),1,0)</f>
        <v/>
      </c>
      <c r="V745">
        <f>TRIM(SUBSTITUTE(INDEX('Loans'!$A:$A,ROW())&amp;""," "," "))</f>
        <v/>
      </c>
      <c r="W745">
        <f>TRIM(SUBSTITUTE(INDEX('Loans'!$B:$B,ROW())&amp;""," "," "))</f>
        <v/>
      </c>
      <c r="X745">
        <f>TRIM(SUBSTITUTE(INDEX('Loans'!$C:$C,ROW())&amp;""," "," "))</f>
        <v/>
      </c>
      <c r="Y745">
        <f>IFERROR(--INDEX('Loans'!$D:$D,ROW()),0)</f>
        <v/>
      </c>
      <c r="Z745">
        <f>IFERROR(--INDEX('Loans'!$E:$E,ROW()),0)</f>
        <v/>
      </c>
      <c r="AA745">
        <f>IFERROR(--INDEX('Loans'!$F:$F,ROW()),0)</f>
        <v/>
      </c>
      <c r="AB745">
        <f>IFERROR(IF(--INDEX('Loans'!$G:$G,ROW())&gt;=1,--INDEX('Loans'!$G:$G,ROW())/100,--INDEX('Loans'!$G:$G,ROW())),0)</f>
        <v/>
      </c>
      <c r="AC745">
        <f>TRIM(SUBSTITUTE(INDEX('Loans'!$H:$H,ROW())&amp;""," "," "))</f>
        <v/>
      </c>
      <c r="AD745">
        <f>TRIM(SUBSTITUTE(INDEX('Loans'!$I:$I,ROW())&amp;""," "," "))</f>
        <v/>
      </c>
      <c r="AE745">
        <f>IFERROR(--INDEX('Loans'!$J:$J,ROW()),0)</f>
        <v/>
      </c>
      <c r="AF745">
        <f>TRIM(SUBSTITUTE(INDEX('Loans'!$K:$K,ROW())&amp;""," "," "))</f>
        <v/>
      </c>
      <c r="AG745">
        <f>IFERROR(--INDEX('Loans'!$L:$L,ROW()),0)</f>
        <v/>
      </c>
      <c r="AH745">
        <f>IF(ISNUMBER(INDEX('Loans'!$G:$G,ROW())),1,0)</f>
        <v/>
      </c>
    </row>
    <row r="746">
      <c r="A746">
        <f>TRIM(SUBSTITUTE(INDEX('Term investments'!$A:$A,ROW())&amp;""," "," "))</f>
        <v/>
      </c>
      <c r="B746">
        <f>TRIM(SUBSTITUTE(INDEX('Term investments'!$B:$B,ROW())&amp;""," "," "))</f>
        <v/>
      </c>
      <c r="C746">
        <f>TRIM(SUBSTITUTE(INDEX('Term investments'!$C:$C,ROW())&amp;""," "," "))</f>
        <v/>
      </c>
      <c r="D746">
        <f>IFERROR(--INDEX('Term investments'!$D:$D,ROW()),0)</f>
        <v/>
      </c>
      <c r="E746">
        <f>IFERROR(--INDEX('Term investments'!$E:$E,ROW()),0)</f>
        <v/>
      </c>
      <c r="F746">
        <f>IFERROR(--INDEX('Term investments'!$F:$F,ROW()),0)</f>
        <v/>
      </c>
      <c r="G746">
        <f>IFERROR(IF(--INDEX('Term investments'!$G:$G,ROW())&gt;=1,--INDEX('Term investments'!$G:$G,ROW())/100,--INDEX('Term investments'!$G:$G,ROW())),0)</f>
        <v/>
      </c>
      <c r="H746">
        <f>IFERROR(--INDEX('Term investments'!$H:$H,ROW()),0)</f>
        <v/>
      </c>
      <c r="I746">
        <f>IF(ISNUMBER(INDEX('Term investments'!$G:$G,ROW())),1,0)</f>
        <v/>
      </c>
      <c r="J746">
        <f>TRIM(SUBSTITUTE(INDEX('Call accounts and MMFs'!$A:$A,ROW())&amp;""," "," "))</f>
        <v/>
      </c>
      <c r="K746">
        <f>TRIM(SUBSTITUTE(INDEX('Call accounts and MMFs'!$B:$B,ROW())&amp;""," "," "))</f>
        <v/>
      </c>
      <c r="L746">
        <f>TRIM(SUBSTITUTE(INDEX('Call accounts and MMFs'!$C:$C,ROW())&amp;""," "," "))</f>
        <v/>
      </c>
      <c r="M746">
        <f>IFERROR(--INDEX('Call accounts and MMFs'!$D:$D,ROW()),0)</f>
        <v/>
      </c>
      <c r="N746">
        <f>IFERROR(IF(--INDEX('Call accounts and MMFs'!$E:$E,ROW())&gt;=1,--INDEX('Call accounts and MMFs'!$E:$E,ROW())/100,--INDEX('Call accounts and MMFs'!$E:$E,ROW())),0)</f>
        <v/>
      </c>
      <c r="O746">
        <f>IFERROR(--INDEX('Call accounts and MMFs'!$F:$F,ROW()),0)</f>
        <v/>
      </c>
      <c r="P746">
        <f>IF(ISNUMBER(INDEX('Call accounts and MMFs'!$E:$E,ROW())),1,0)</f>
        <v/>
      </c>
      <c r="Q746">
        <f>TRIM(SUBSTITUTE(INDEX('Pooled funds'!$B:$B,ROW())&amp;""," "," "))</f>
        <v/>
      </c>
      <c r="R746">
        <f>IFERROR(--INDEX('Pooled funds'!$C:$C,ROW()),0)</f>
        <v/>
      </c>
      <c r="S746">
        <f>IFERROR(--INDEX('Pooled funds'!$D:$D,ROW()),0)</f>
        <v/>
      </c>
      <c r="T746">
        <f>IFERROR(IF(--INDEX('Pooled funds'!$E:$E,ROW())&gt;=1,--INDEX('Pooled funds'!$E:$E,ROW())/100,--INDEX('Pooled funds'!$E:$E,ROW())),0)</f>
        <v/>
      </c>
      <c r="U746">
        <f>IF(ISNUMBER(INDEX('Pooled funds'!$E:$E,ROW())),1,0)</f>
        <v/>
      </c>
      <c r="V746">
        <f>TRIM(SUBSTITUTE(INDEX('Loans'!$A:$A,ROW())&amp;""," "," "))</f>
        <v/>
      </c>
      <c r="W746">
        <f>TRIM(SUBSTITUTE(INDEX('Loans'!$B:$B,ROW())&amp;""," "," "))</f>
        <v/>
      </c>
      <c r="X746">
        <f>TRIM(SUBSTITUTE(INDEX('Loans'!$C:$C,ROW())&amp;""," "," "))</f>
        <v/>
      </c>
      <c r="Y746">
        <f>IFERROR(--INDEX('Loans'!$D:$D,ROW()),0)</f>
        <v/>
      </c>
      <c r="Z746">
        <f>IFERROR(--INDEX('Loans'!$E:$E,ROW()),0)</f>
        <v/>
      </c>
      <c r="AA746">
        <f>IFERROR(--INDEX('Loans'!$F:$F,ROW()),0)</f>
        <v/>
      </c>
      <c r="AB746">
        <f>IFERROR(IF(--INDEX('Loans'!$G:$G,ROW())&gt;=1,--INDEX('Loans'!$G:$G,ROW())/100,--INDEX('Loans'!$G:$G,ROW())),0)</f>
        <v/>
      </c>
      <c r="AC746">
        <f>TRIM(SUBSTITUTE(INDEX('Loans'!$H:$H,ROW())&amp;""," "," "))</f>
        <v/>
      </c>
      <c r="AD746">
        <f>TRIM(SUBSTITUTE(INDEX('Loans'!$I:$I,ROW())&amp;""," "," "))</f>
        <v/>
      </c>
      <c r="AE746">
        <f>IFERROR(--INDEX('Loans'!$J:$J,ROW()),0)</f>
        <v/>
      </c>
      <c r="AF746">
        <f>TRIM(SUBSTITUTE(INDEX('Loans'!$K:$K,ROW())&amp;""," "," "))</f>
        <v/>
      </c>
      <c r="AG746">
        <f>IFERROR(--INDEX('Loans'!$L:$L,ROW()),0)</f>
        <v/>
      </c>
      <c r="AH746">
        <f>IF(ISNUMBER(INDEX('Loans'!$G:$G,ROW())),1,0)</f>
        <v/>
      </c>
    </row>
    <row r="747">
      <c r="A747">
        <f>TRIM(SUBSTITUTE(INDEX('Term investments'!$A:$A,ROW())&amp;""," "," "))</f>
        <v/>
      </c>
      <c r="B747">
        <f>TRIM(SUBSTITUTE(INDEX('Term investments'!$B:$B,ROW())&amp;""," "," "))</f>
        <v/>
      </c>
      <c r="C747">
        <f>TRIM(SUBSTITUTE(INDEX('Term investments'!$C:$C,ROW())&amp;""," "," "))</f>
        <v/>
      </c>
      <c r="D747">
        <f>IFERROR(--INDEX('Term investments'!$D:$D,ROW()),0)</f>
        <v/>
      </c>
      <c r="E747">
        <f>IFERROR(--INDEX('Term investments'!$E:$E,ROW()),0)</f>
        <v/>
      </c>
      <c r="F747">
        <f>IFERROR(--INDEX('Term investments'!$F:$F,ROW()),0)</f>
        <v/>
      </c>
      <c r="G747">
        <f>IFERROR(IF(--INDEX('Term investments'!$G:$G,ROW())&gt;=1,--INDEX('Term investments'!$G:$G,ROW())/100,--INDEX('Term investments'!$G:$G,ROW())),0)</f>
        <v/>
      </c>
      <c r="H747">
        <f>IFERROR(--INDEX('Term investments'!$H:$H,ROW()),0)</f>
        <v/>
      </c>
      <c r="I747">
        <f>IF(ISNUMBER(INDEX('Term investments'!$G:$G,ROW())),1,0)</f>
        <v/>
      </c>
      <c r="J747">
        <f>TRIM(SUBSTITUTE(INDEX('Call accounts and MMFs'!$A:$A,ROW())&amp;""," "," "))</f>
        <v/>
      </c>
      <c r="K747">
        <f>TRIM(SUBSTITUTE(INDEX('Call accounts and MMFs'!$B:$B,ROW())&amp;""," "," "))</f>
        <v/>
      </c>
      <c r="L747">
        <f>TRIM(SUBSTITUTE(INDEX('Call accounts and MMFs'!$C:$C,ROW())&amp;""," "," "))</f>
        <v/>
      </c>
      <c r="M747">
        <f>IFERROR(--INDEX('Call accounts and MMFs'!$D:$D,ROW()),0)</f>
        <v/>
      </c>
      <c r="N747">
        <f>IFERROR(IF(--INDEX('Call accounts and MMFs'!$E:$E,ROW())&gt;=1,--INDEX('Call accounts and MMFs'!$E:$E,ROW())/100,--INDEX('Call accounts and MMFs'!$E:$E,ROW())),0)</f>
        <v/>
      </c>
      <c r="O747">
        <f>IFERROR(--INDEX('Call accounts and MMFs'!$F:$F,ROW()),0)</f>
        <v/>
      </c>
      <c r="P747">
        <f>IF(ISNUMBER(INDEX('Call accounts and MMFs'!$E:$E,ROW())),1,0)</f>
        <v/>
      </c>
      <c r="Q747">
        <f>TRIM(SUBSTITUTE(INDEX('Pooled funds'!$B:$B,ROW())&amp;""," "," "))</f>
        <v/>
      </c>
      <c r="R747">
        <f>IFERROR(--INDEX('Pooled funds'!$C:$C,ROW()),0)</f>
        <v/>
      </c>
      <c r="S747">
        <f>IFERROR(--INDEX('Pooled funds'!$D:$D,ROW()),0)</f>
        <v/>
      </c>
      <c r="T747">
        <f>IFERROR(IF(--INDEX('Pooled funds'!$E:$E,ROW())&gt;=1,--INDEX('Pooled funds'!$E:$E,ROW())/100,--INDEX('Pooled funds'!$E:$E,ROW())),0)</f>
        <v/>
      </c>
      <c r="U747">
        <f>IF(ISNUMBER(INDEX('Pooled funds'!$E:$E,ROW())),1,0)</f>
        <v/>
      </c>
      <c r="V747">
        <f>TRIM(SUBSTITUTE(INDEX('Loans'!$A:$A,ROW())&amp;""," "," "))</f>
        <v/>
      </c>
      <c r="W747">
        <f>TRIM(SUBSTITUTE(INDEX('Loans'!$B:$B,ROW())&amp;""," "," "))</f>
        <v/>
      </c>
      <c r="X747">
        <f>TRIM(SUBSTITUTE(INDEX('Loans'!$C:$C,ROW())&amp;""," "," "))</f>
        <v/>
      </c>
      <c r="Y747">
        <f>IFERROR(--INDEX('Loans'!$D:$D,ROW()),0)</f>
        <v/>
      </c>
      <c r="Z747">
        <f>IFERROR(--INDEX('Loans'!$E:$E,ROW()),0)</f>
        <v/>
      </c>
      <c r="AA747">
        <f>IFERROR(--INDEX('Loans'!$F:$F,ROW()),0)</f>
        <v/>
      </c>
      <c r="AB747">
        <f>IFERROR(IF(--INDEX('Loans'!$G:$G,ROW())&gt;=1,--INDEX('Loans'!$G:$G,ROW())/100,--INDEX('Loans'!$G:$G,ROW())),0)</f>
        <v/>
      </c>
      <c r="AC747">
        <f>TRIM(SUBSTITUTE(INDEX('Loans'!$H:$H,ROW())&amp;""," "," "))</f>
        <v/>
      </c>
      <c r="AD747">
        <f>TRIM(SUBSTITUTE(INDEX('Loans'!$I:$I,ROW())&amp;""," "," "))</f>
        <v/>
      </c>
      <c r="AE747">
        <f>IFERROR(--INDEX('Loans'!$J:$J,ROW()),0)</f>
        <v/>
      </c>
      <c r="AF747">
        <f>TRIM(SUBSTITUTE(INDEX('Loans'!$K:$K,ROW())&amp;""," "," "))</f>
        <v/>
      </c>
      <c r="AG747">
        <f>IFERROR(--INDEX('Loans'!$L:$L,ROW()),0)</f>
        <v/>
      </c>
      <c r="AH747">
        <f>IF(ISNUMBER(INDEX('Loans'!$G:$G,ROW())),1,0)</f>
        <v/>
      </c>
    </row>
    <row r="748">
      <c r="A748">
        <f>TRIM(SUBSTITUTE(INDEX('Term investments'!$A:$A,ROW())&amp;""," "," "))</f>
        <v/>
      </c>
      <c r="B748">
        <f>TRIM(SUBSTITUTE(INDEX('Term investments'!$B:$B,ROW())&amp;""," "," "))</f>
        <v/>
      </c>
      <c r="C748">
        <f>TRIM(SUBSTITUTE(INDEX('Term investments'!$C:$C,ROW())&amp;""," "," "))</f>
        <v/>
      </c>
      <c r="D748">
        <f>IFERROR(--INDEX('Term investments'!$D:$D,ROW()),0)</f>
        <v/>
      </c>
      <c r="E748">
        <f>IFERROR(--INDEX('Term investments'!$E:$E,ROW()),0)</f>
        <v/>
      </c>
      <c r="F748">
        <f>IFERROR(--INDEX('Term investments'!$F:$F,ROW()),0)</f>
        <v/>
      </c>
      <c r="G748">
        <f>IFERROR(IF(--INDEX('Term investments'!$G:$G,ROW())&gt;=1,--INDEX('Term investments'!$G:$G,ROW())/100,--INDEX('Term investments'!$G:$G,ROW())),0)</f>
        <v/>
      </c>
      <c r="H748">
        <f>IFERROR(--INDEX('Term investments'!$H:$H,ROW()),0)</f>
        <v/>
      </c>
      <c r="I748">
        <f>IF(ISNUMBER(INDEX('Term investments'!$G:$G,ROW())),1,0)</f>
        <v/>
      </c>
      <c r="J748">
        <f>TRIM(SUBSTITUTE(INDEX('Call accounts and MMFs'!$A:$A,ROW())&amp;""," "," "))</f>
        <v/>
      </c>
      <c r="K748">
        <f>TRIM(SUBSTITUTE(INDEX('Call accounts and MMFs'!$B:$B,ROW())&amp;""," "," "))</f>
        <v/>
      </c>
      <c r="L748">
        <f>TRIM(SUBSTITUTE(INDEX('Call accounts and MMFs'!$C:$C,ROW())&amp;""," "," "))</f>
        <v/>
      </c>
      <c r="M748">
        <f>IFERROR(--INDEX('Call accounts and MMFs'!$D:$D,ROW()),0)</f>
        <v/>
      </c>
      <c r="N748">
        <f>IFERROR(IF(--INDEX('Call accounts and MMFs'!$E:$E,ROW())&gt;=1,--INDEX('Call accounts and MMFs'!$E:$E,ROW())/100,--INDEX('Call accounts and MMFs'!$E:$E,ROW())),0)</f>
        <v/>
      </c>
      <c r="O748">
        <f>IFERROR(--INDEX('Call accounts and MMFs'!$F:$F,ROW()),0)</f>
        <v/>
      </c>
      <c r="P748">
        <f>IF(ISNUMBER(INDEX('Call accounts and MMFs'!$E:$E,ROW())),1,0)</f>
        <v/>
      </c>
      <c r="Q748">
        <f>TRIM(SUBSTITUTE(INDEX('Pooled funds'!$B:$B,ROW())&amp;""," "," "))</f>
        <v/>
      </c>
      <c r="R748">
        <f>IFERROR(--INDEX('Pooled funds'!$C:$C,ROW()),0)</f>
        <v/>
      </c>
      <c r="S748">
        <f>IFERROR(--INDEX('Pooled funds'!$D:$D,ROW()),0)</f>
        <v/>
      </c>
      <c r="T748">
        <f>IFERROR(IF(--INDEX('Pooled funds'!$E:$E,ROW())&gt;=1,--INDEX('Pooled funds'!$E:$E,ROW())/100,--INDEX('Pooled funds'!$E:$E,ROW())),0)</f>
        <v/>
      </c>
      <c r="U748">
        <f>IF(ISNUMBER(INDEX('Pooled funds'!$E:$E,ROW())),1,0)</f>
        <v/>
      </c>
      <c r="V748">
        <f>TRIM(SUBSTITUTE(INDEX('Loans'!$A:$A,ROW())&amp;""," "," "))</f>
        <v/>
      </c>
      <c r="W748">
        <f>TRIM(SUBSTITUTE(INDEX('Loans'!$B:$B,ROW())&amp;""," "," "))</f>
        <v/>
      </c>
      <c r="X748">
        <f>TRIM(SUBSTITUTE(INDEX('Loans'!$C:$C,ROW())&amp;""," "," "))</f>
        <v/>
      </c>
      <c r="Y748">
        <f>IFERROR(--INDEX('Loans'!$D:$D,ROW()),0)</f>
        <v/>
      </c>
      <c r="Z748">
        <f>IFERROR(--INDEX('Loans'!$E:$E,ROW()),0)</f>
        <v/>
      </c>
      <c r="AA748">
        <f>IFERROR(--INDEX('Loans'!$F:$F,ROW()),0)</f>
        <v/>
      </c>
      <c r="AB748">
        <f>IFERROR(IF(--INDEX('Loans'!$G:$G,ROW())&gt;=1,--INDEX('Loans'!$G:$G,ROW())/100,--INDEX('Loans'!$G:$G,ROW())),0)</f>
        <v/>
      </c>
      <c r="AC748">
        <f>TRIM(SUBSTITUTE(INDEX('Loans'!$H:$H,ROW())&amp;""," "," "))</f>
        <v/>
      </c>
      <c r="AD748">
        <f>TRIM(SUBSTITUTE(INDEX('Loans'!$I:$I,ROW())&amp;""," "," "))</f>
        <v/>
      </c>
      <c r="AE748">
        <f>IFERROR(--INDEX('Loans'!$J:$J,ROW()),0)</f>
        <v/>
      </c>
      <c r="AF748">
        <f>TRIM(SUBSTITUTE(INDEX('Loans'!$K:$K,ROW())&amp;""," "," "))</f>
        <v/>
      </c>
      <c r="AG748">
        <f>IFERROR(--INDEX('Loans'!$L:$L,ROW()),0)</f>
        <v/>
      </c>
      <c r="AH748">
        <f>IF(ISNUMBER(INDEX('Loans'!$G:$G,ROW())),1,0)</f>
        <v/>
      </c>
    </row>
    <row r="749">
      <c r="A749">
        <f>TRIM(SUBSTITUTE(INDEX('Term investments'!$A:$A,ROW())&amp;""," "," "))</f>
        <v/>
      </c>
      <c r="B749">
        <f>TRIM(SUBSTITUTE(INDEX('Term investments'!$B:$B,ROW())&amp;""," "," "))</f>
        <v/>
      </c>
      <c r="C749">
        <f>TRIM(SUBSTITUTE(INDEX('Term investments'!$C:$C,ROW())&amp;""," "," "))</f>
        <v/>
      </c>
      <c r="D749">
        <f>IFERROR(--INDEX('Term investments'!$D:$D,ROW()),0)</f>
        <v/>
      </c>
      <c r="E749">
        <f>IFERROR(--INDEX('Term investments'!$E:$E,ROW()),0)</f>
        <v/>
      </c>
      <c r="F749">
        <f>IFERROR(--INDEX('Term investments'!$F:$F,ROW()),0)</f>
        <v/>
      </c>
      <c r="G749">
        <f>IFERROR(IF(--INDEX('Term investments'!$G:$G,ROW())&gt;=1,--INDEX('Term investments'!$G:$G,ROW())/100,--INDEX('Term investments'!$G:$G,ROW())),0)</f>
        <v/>
      </c>
      <c r="H749">
        <f>IFERROR(--INDEX('Term investments'!$H:$H,ROW()),0)</f>
        <v/>
      </c>
      <c r="I749">
        <f>IF(ISNUMBER(INDEX('Term investments'!$G:$G,ROW())),1,0)</f>
        <v/>
      </c>
      <c r="J749">
        <f>TRIM(SUBSTITUTE(INDEX('Call accounts and MMFs'!$A:$A,ROW())&amp;""," "," "))</f>
        <v/>
      </c>
      <c r="K749">
        <f>TRIM(SUBSTITUTE(INDEX('Call accounts and MMFs'!$B:$B,ROW())&amp;""," "," "))</f>
        <v/>
      </c>
      <c r="L749">
        <f>TRIM(SUBSTITUTE(INDEX('Call accounts and MMFs'!$C:$C,ROW())&amp;""," "," "))</f>
        <v/>
      </c>
      <c r="M749">
        <f>IFERROR(--INDEX('Call accounts and MMFs'!$D:$D,ROW()),0)</f>
        <v/>
      </c>
      <c r="N749">
        <f>IFERROR(IF(--INDEX('Call accounts and MMFs'!$E:$E,ROW())&gt;=1,--INDEX('Call accounts and MMFs'!$E:$E,ROW())/100,--INDEX('Call accounts and MMFs'!$E:$E,ROW())),0)</f>
        <v/>
      </c>
      <c r="O749">
        <f>IFERROR(--INDEX('Call accounts and MMFs'!$F:$F,ROW()),0)</f>
        <v/>
      </c>
      <c r="P749">
        <f>IF(ISNUMBER(INDEX('Call accounts and MMFs'!$E:$E,ROW())),1,0)</f>
        <v/>
      </c>
      <c r="Q749">
        <f>TRIM(SUBSTITUTE(INDEX('Pooled funds'!$B:$B,ROW())&amp;""," "," "))</f>
        <v/>
      </c>
      <c r="R749">
        <f>IFERROR(--INDEX('Pooled funds'!$C:$C,ROW()),0)</f>
        <v/>
      </c>
      <c r="S749">
        <f>IFERROR(--INDEX('Pooled funds'!$D:$D,ROW()),0)</f>
        <v/>
      </c>
      <c r="T749">
        <f>IFERROR(IF(--INDEX('Pooled funds'!$E:$E,ROW())&gt;=1,--INDEX('Pooled funds'!$E:$E,ROW())/100,--INDEX('Pooled funds'!$E:$E,ROW())),0)</f>
        <v/>
      </c>
      <c r="U749">
        <f>IF(ISNUMBER(INDEX('Pooled funds'!$E:$E,ROW())),1,0)</f>
        <v/>
      </c>
      <c r="V749">
        <f>TRIM(SUBSTITUTE(INDEX('Loans'!$A:$A,ROW())&amp;""," "," "))</f>
        <v/>
      </c>
      <c r="W749">
        <f>TRIM(SUBSTITUTE(INDEX('Loans'!$B:$B,ROW())&amp;""," "," "))</f>
        <v/>
      </c>
      <c r="X749">
        <f>TRIM(SUBSTITUTE(INDEX('Loans'!$C:$C,ROW())&amp;""," "," "))</f>
        <v/>
      </c>
      <c r="Y749">
        <f>IFERROR(--INDEX('Loans'!$D:$D,ROW()),0)</f>
        <v/>
      </c>
      <c r="Z749">
        <f>IFERROR(--INDEX('Loans'!$E:$E,ROW()),0)</f>
        <v/>
      </c>
      <c r="AA749">
        <f>IFERROR(--INDEX('Loans'!$F:$F,ROW()),0)</f>
        <v/>
      </c>
      <c r="AB749">
        <f>IFERROR(IF(--INDEX('Loans'!$G:$G,ROW())&gt;=1,--INDEX('Loans'!$G:$G,ROW())/100,--INDEX('Loans'!$G:$G,ROW())),0)</f>
        <v/>
      </c>
      <c r="AC749">
        <f>TRIM(SUBSTITUTE(INDEX('Loans'!$H:$H,ROW())&amp;""," "," "))</f>
        <v/>
      </c>
      <c r="AD749">
        <f>TRIM(SUBSTITUTE(INDEX('Loans'!$I:$I,ROW())&amp;""," "," "))</f>
        <v/>
      </c>
      <c r="AE749">
        <f>IFERROR(--INDEX('Loans'!$J:$J,ROW()),0)</f>
        <v/>
      </c>
      <c r="AF749">
        <f>TRIM(SUBSTITUTE(INDEX('Loans'!$K:$K,ROW())&amp;""," "," "))</f>
        <v/>
      </c>
      <c r="AG749">
        <f>IFERROR(--INDEX('Loans'!$L:$L,ROW()),0)</f>
        <v/>
      </c>
      <c r="AH749">
        <f>IF(ISNUMBER(INDEX('Loans'!$G:$G,ROW())),1,0)</f>
        <v/>
      </c>
    </row>
    <row r="750">
      <c r="A750">
        <f>TRIM(SUBSTITUTE(INDEX('Term investments'!$A:$A,ROW())&amp;""," "," "))</f>
        <v/>
      </c>
      <c r="B750">
        <f>TRIM(SUBSTITUTE(INDEX('Term investments'!$B:$B,ROW())&amp;""," "," "))</f>
        <v/>
      </c>
      <c r="C750">
        <f>TRIM(SUBSTITUTE(INDEX('Term investments'!$C:$C,ROW())&amp;""," "," "))</f>
        <v/>
      </c>
      <c r="D750">
        <f>IFERROR(--INDEX('Term investments'!$D:$D,ROW()),0)</f>
        <v/>
      </c>
      <c r="E750">
        <f>IFERROR(--INDEX('Term investments'!$E:$E,ROW()),0)</f>
        <v/>
      </c>
      <c r="F750">
        <f>IFERROR(--INDEX('Term investments'!$F:$F,ROW()),0)</f>
        <v/>
      </c>
      <c r="G750">
        <f>IFERROR(IF(--INDEX('Term investments'!$G:$G,ROW())&gt;=1,--INDEX('Term investments'!$G:$G,ROW())/100,--INDEX('Term investments'!$G:$G,ROW())),0)</f>
        <v/>
      </c>
      <c r="H750">
        <f>IFERROR(--INDEX('Term investments'!$H:$H,ROW()),0)</f>
        <v/>
      </c>
      <c r="I750">
        <f>IF(ISNUMBER(INDEX('Term investments'!$G:$G,ROW())),1,0)</f>
        <v/>
      </c>
      <c r="J750">
        <f>TRIM(SUBSTITUTE(INDEX('Call accounts and MMFs'!$A:$A,ROW())&amp;""," "," "))</f>
        <v/>
      </c>
      <c r="K750">
        <f>TRIM(SUBSTITUTE(INDEX('Call accounts and MMFs'!$B:$B,ROW())&amp;""," "," "))</f>
        <v/>
      </c>
      <c r="L750">
        <f>TRIM(SUBSTITUTE(INDEX('Call accounts and MMFs'!$C:$C,ROW())&amp;""," "," "))</f>
        <v/>
      </c>
      <c r="M750">
        <f>IFERROR(--INDEX('Call accounts and MMFs'!$D:$D,ROW()),0)</f>
        <v/>
      </c>
      <c r="N750">
        <f>IFERROR(IF(--INDEX('Call accounts and MMFs'!$E:$E,ROW())&gt;=1,--INDEX('Call accounts and MMFs'!$E:$E,ROW())/100,--INDEX('Call accounts and MMFs'!$E:$E,ROW())),0)</f>
        <v/>
      </c>
      <c r="O750">
        <f>IFERROR(--INDEX('Call accounts and MMFs'!$F:$F,ROW()),0)</f>
        <v/>
      </c>
      <c r="P750">
        <f>IF(ISNUMBER(INDEX('Call accounts and MMFs'!$E:$E,ROW())),1,0)</f>
        <v/>
      </c>
      <c r="Q750">
        <f>TRIM(SUBSTITUTE(INDEX('Pooled funds'!$B:$B,ROW())&amp;""," "," "))</f>
        <v/>
      </c>
      <c r="R750">
        <f>IFERROR(--INDEX('Pooled funds'!$C:$C,ROW()),0)</f>
        <v/>
      </c>
      <c r="S750">
        <f>IFERROR(--INDEX('Pooled funds'!$D:$D,ROW()),0)</f>
        <v/>
      </c>
      <c r="T750">
        <f>IFERROR(IF(--INDEX('Pooled funds'!$E:$E,ROW())&gt;=1,--INDEX('Pooled funds'!$E:$E,ROW())/100,--INDEX('Pooled funds'!$E:$E,ROW())),0)</f>
        <v/>
      </c>
      <c r="U750">
        <f>IF(ISNUMBER(INDEX('Pooled funds'!$E:$E,ROW())),1,0)</f>
        <v/>
      </c>
      <c r="V750">
        <f>TRIM(SUBSTITUTE(INDEX('Loans'!$A:$A,ROW())&amp;""," "," "))</f>
        <v/>
      </c>
      <c r="W750">
        <f>TRIM(SUBSTITUTE(INDEX('Loans'!$B:$B,ROW())&amp;""," "," "))</f>
        <v/>
      </c>
      <c r="X750">
        <f>TRIM(SUBSTITUTE(INDEX('Loans'!$C:$C,ROW())&amp;""," "," "))</f>
        <v/>
      </c>
      <c r="Y750">
        <f>IFERROR(--INDEX('Loans'!$D:$D,ROW()),0)</f>
        <v/>
      </c>
      <c r="Z750">
        <f>IFERROR(--INDEX('Loans'!$E:$E,ROW()),0)</f>
        <v/>
      </c>
      <c r="AA750">
        <f>IFERROR(--INDEX('Loans'!$F:$F,ROW()),0)</f>
        <v/>
      </c>
      <c r="AB750">
        <f>IFERROR(IF(--INDEX('Loans'!$G:$G,ROW())&gt;=1,--INDEX('Loans'!$G:$G,ROW())/100,--INDEX('Loans'!$G:$G,ROW())),0)</f>
        <v/>
      </c>
      <c r="AC750">
        <f>TRIM(SUBSTITUTE(INDEX('Loans'!$H:$H,ROW())&amp;""," "," "))</f>
        <v/>
      </c>
      <c r="AD750">
        <f>TRIM(SUBSTITUTE(INDEX('Loans'!$I:$I,ROW())&amp;""," "," "))</f>
        <v/>
      </c>
      <c r="AE750">
        <f>IFERROR(--INDEX('Loans'!$J:$J,ROW()),0)</f>
        <v/>
      </c>
      <c r="AF750">
        <f>TRIM(SUBSTITUTE(INDEX('Loans'!$K:$K,ROW())&amp;""," "," "))</f>
        <v/>
      </c>
      <c r="AG750">
        <f>IFERROR(--INDEX('Loans'!$L:$L,ROW()),0)</f>
        <v/>
      </c>
      <c r="AH750">
        <f>IF(ISNUMBER(INDEX('Loans'!$G:$G,ROW())),1,0)</f>
        <v/>
      </c>
    </row>
    <row r="751">
      <c r="A751">
        <f>TRIM(SUBSTITUTE(INDEX('Term investments'!$A:$A,ROW())&amp;""," "," "))</f>
        <v/>
      </c>
      <c r="B751">
        <f>TRIM(SUBSTITUTE(INDEX('Term investments'!$B:$B,ROW())&amp;""," "," "))</f>
        <v/>
      </c>
      <c r="C751">
        <f>TRIM(SUBSTITUTE(INDEX('Term investments'!$C:$C,ROW())&amp;""," "," "))</f>
        <v/>
      </c>
      <c r="D751">
        <f>IFERROR(--INDEX('Term investments'!$D:$D,ROW()),0)</f>
        <v/>
      </c>
      <c r="E751">
        <f>IFERROR(--INDEX('Term investments'!$E:$E,ROW()),0)</f>
        <v/>
      </c>
      <c r="F751">
        <f>IFERROR(--INDEX('Term investments'!$F:$F,ROW()),0)</f>
        <v/>
      </c>
      <c r="G751">
        <f>IFERROR(IF(--INDEX('Term investments'!$G:$G,ROW())&gt;=1,--INDEX('Term investments'!$G:$G,ROW())/100,--INDEX('Term investments'!$G:$G,ROW())),0)</f>
        <v/>
      </c>
      <c r="H751">
        <f>IFERROR(--INDEX('Term investments'!$H:$H,ROW()),0)</f>
        <v/>
      </c>
      <c r="I751">
        <f>IF(ISNUMBER(INDEX('Term investments'!$G:$G,ROW())),1,0)</f>
        <v/>
      </c>
      <c r="J751">
        <f>TRIM(SUBSTITUTE(INDEX('Call accounts and MMFs'!$A:$A,ROW())&amp;""," "," "))</f>
        <v/>
      </c>
      <c r="K751">
        <f>TRIM(SUBSTITUTE(INDEX('Call accounts and MMFs'!$B:$B,ROW())&amp;""," "," "))</f>
        <v/>
      </c>
      <c r="L751">
        <f>TRIM(SUBSTITUTE(INDEX('Call accounts and MMFs'!$C:$C,ROW())&amp;""," "," "))</f>
        <v/>
      </c>
      <c r="M751">
        <f>IFERROR(--INDEX('Call accounts and MMFs'!$D:$D,ROW()),0)</f>
        <v/>
      </c>
      <c r="N751">
        <f>IFERROR(IF(--INDEX('Call accounts and MMFs'!$E:$E,ROW())&gt;=1,--INDEX('Call accounts and MMFs'!$E:$E,ROW())/100,--INDEX('Call accounts and MMFs'!$E:$E,ROW())),0)</f>
        <v/>
      </c>
      <c r="O751">
        <f>IFERROR(--INDEX('Call accounts and MMFs'!$F:$F,ROW()),0)</f>
        <v/>
      </c>
      <c r="P751">
        <f>IF(ISNUMBER(INDEX('Call accounts and MMFs'!$E:$E,ROW())),1,0)</f>
        <v/>
      </c>
      <c r="Q751">
        <f>TRIM(SUBSTITUTE(INDEX('Pooled funds'!$B:$B,ROW())&amp;""," "," "))</f>
        <v/>
      </c>
      <c r="R751">
        <f>IFERROR(--INDEX('Pooled funds'!$C:$C,ROW()),0)</f>
        <v/>
      </c>
      <c r="S751">
        <f>IFERROR(--INDEX('Pooled funds'!$D:$D,ROW()),0)</f>
        <v/>
      </c>
      <c r="T751">
        <f>IFERROR(IF(--INDEX('Pooled funds'!$E:$E,ROW())&gt;=1,--INDEX('Pooled funds'!$E:$E,ROW())/100,--INDEX('Pooled funds'!$E:$E,ROW())),0)</f>
        <v/>
      </c>
      <c r="U751">
        <f>IF(ISNUMBER(INDEX('Pooled funds'!$E:$E,ROW())),1,0)</f>
        <v/>
      </c>
      <c r="V751">
        <f>TRIM(SUBSTITUTE(INDEX('Loans'!$A:$A,ROW())&amp;""," "," "))</f>
        <v/>
      </c>
      <c r="W751">
        <f>TRIM(SUBSTITUTE(INDEX('Loans'!$B:$B,ROW())&amp;""," "," "))</f>
        <v/>
      </c>
      <c r="X751">
        <f>TRIM(SUBSTITUTE(INDEX('Loans'!$C:$C,ROW())&amp;""," "," "))</f>
        <v/>
      </c>
      <c r="Y751">
        <f>IFERROR(--INDEX('Loans'!$D:$D,ROW()),0)</f>
        <v/>
      </c>
      <c r="Z751">
        <f>IFERROR(--INDEX('Loans'!$E:$E,ROW()),0)</f>
        <v/>
      </c>
      <c r="AA751">
        <f>IFERROR(--INDEX('Loans'!$F:$F,ROW()),0)</f>
        <v/>
      </c>
      <c r="AB751">
        <f>IFERROR(IF(--INDEX('Loans'!$G:$G,ROW())&gt;=1,--INDEX('Loans'!$G:$G,ROW())/100,--INDEX('Loans'!$G:$G,ROW())),0)</f>
        <v/>
      </c>
      <c r="AC751">
        <f>TRIM(SUBSTITUTE(INDEX('Loans'!$H:$H,ROW())&amp;""," "," "))</f>
        <v/>
      </c>
      <c r="AD751">
        <f>TRIM(SUBSTITUTE(INDEX('Loans'!$I:$I,ROW())&amp;""," "," "))</f>
        <v/>
      </c>
      <c r="AE751">
        <f>IFERROR(--INDEX('Loans'!$J:$J,ROW()),0)</f>
        <v/>
      </c>
      <c r="AF751">
        <f>TRIM(SUBSTITUTE(INDEX('Loans'!$K:$K,ROW())&amp;""," "," "))</f>
        <v/>
      </c>
      <c r="AG751">
        <f>IFERROR(--INDEX('Loans'!$L:$L,ROW()),0)</f>
        <v/>
      </c>
      <c r="AH751">
        <f>IF(ISNUMBER(INDEX('Loans'!$G:$G,ROW())),1,0)</f>
        <v/>
      </c>
    </row>
    <row r="752">
      <c r="A752">
        <f>TRIM(SUBSTITUTE(INDEX('Term investments'!$A:$A,ROW())&amp;""," "," "))</f>
        <v/>
      </c>
      <c r="B752">
        <f>TRIM(SUBSTITUTE(INDEX('Term investments'!$B:$B,ROW())&amp;""," "," "))</f>
        <v/>
      </c>
      <c r="C752">
        <f>TRIM(SUBSTITUTE(INDEX('Term investments'!$C:$C,ROW())&amp;""," "," "))</f>
        <v/>
      </c>
      <c r="D752">
        <f>IFERROR(--INDEX('Term investments'!$D:$D,ROW()),0)</f>
        <v/>
      </c>
      <c r="E752">
        <f>IFERROR(--INDEX('Term investments'!$E:$E,ROW()),0)</f>
        <v/>
      </c>
      <c r="F752">
        <f>IFERROR(--INDEX('Term investments'!$F:$F,ROW()),0)</f>
        <v/>
      </c>
      <c r="G752">
        <f>IFERROR(IF(--INDEX('Term investments'!$G:$G,ROW())&gt;=1,--INDEX('Term investments'!$G:$G,ROW())/100,--INDEX('Term investments'!$G:$G,ROW())),0)</f>
        <v/>
      </c>
      <c r="H752">
        <f>IFERROR(--INDEX('Term investments'!$H:$H,ROW()),0)</f>
        <v/>
      </c>
      <c r="I752">
        <f>IF(ISNUMBER(INDEX('Term investments'!$G:$G,ROW())),1,0)</f>
        <v/>
      </c>
      <c r="J752">
        <f>TRIM(SUBSTITUTE(INDEX('Call accounts and MMFs'!$A:$A,ROW())&amp;""," "," "))</f>
        <v/>
      </c>
      <c r="K752">
        <f>TRIM(SUBSTITUTE(INDEX('Call accounts and MMFs'!$B:$B,ROW())&amp;""," "," "))</f>
        <v/>
      </c>
      <c r="L752">
        <f>TRIM(SUBSTITUTE(INDEX('Call accounts and MMFs'!$C:$C,ROW())&amp;""," "," "))</f>
        <v/>
      </c>
      <c r="M752">
        <f>IFERROR(--INDEX('Call accounts and MMFs'!$D:$D,ROW()),0)</f>
        <v/>
      </c>
      <c r="N752">
        <f>IFERROR(IF(--INDEX('Call accounts and MMFs'!$E:$E,ROW())&gt;=1,--INDEX('Call accounts and MMFs'!$E:$E,ROW())/100,--INDEX('Call accounts and MMFs'!$E:$E,ROW())),0)</f>
        <v/>
      </c>
      <c r="O752">
        <f>IFERROR(--INDEX('Call accounts and MMFs'!$F:$F,ROW()),0)</f>
        <v/>
      </c>
      <c r="P752">
        <f>IF(ISNUMBER(INDEX('Call accounts and MMFs'!$E:$E,ROW())),1,0)</f>
        <v/>
      </c>
      <c r="Q752">
        <f>TRIM(SUBSTITUTE(INDEX('Pooled funds'!$B:$B,ROW())&amp;""," "," "))</f>
        <v/>
      </c>
      <c r="R752">
        <f>IFERROR(--INDEX('Pooled funds'!$C:$C,ROW()),0)</f>
        <v/>
      </c>
      <c r="S752">
        <f>IFERROR(--INDEX('Pooled funds'!$D:$D,ROW()),0)</f>
        <v/>
      </c>
      <c r="T752">
        <f>IFERROR(IF(--INDEX('Pooled funds'!$E:$E,ROW())&gt;=1,--INDEX('Pooled funds'!$E:$E,ROW())/100,--INDEX('Pooled funds'!$E:$E,ROW())),0)</f>
        <v/>
      </c>
      <c r="U752">
        <f>IF(ISNUMBER(INDEX('Pooled funds'!$E:$E,ROW())),1,0)</f>
        <v/>
      </c>
      <c r="V752">
        <f>TRIM(SUBSTITUTE(INDEX('Loans'!$A:$A,ROW())&amp;""," "," "))</f>
        <v/>
      </c>
      <c r="W752">
        <f>TRIM(SUBSTITUTE(INDEX('Loans'!$B:$B,ROW())&amp;""," "," "))</f>
        <v/>
      </c>
      <c r="X752">
        <f>TRIM(SUBSTITUTE(INDEX('Loans'!$C:$C,ROW())&amp;""," "," "))</f>
        <v/>
      </c>
      <c r="Y752">
        <f>IFERROR(--INDEX('Loans'!$D:$D,ROW()),0)</f>
        <v/>
      </c>
      <c r="Z752">
        <f>IFERROR(--INDEX('Loans'!$E:$E,ROW()),0)</f>
        <v/>
      </c>
      <c r="AA752">
        <f>IFERROR(--INDEX('Loans'!$F:$F,ROW()),0)</f>
        <v/>
      </c>
      <c r="AB752">
        <f>IFERROR(IF(--INDEX('Loans'!$G:$G,ROW())&gt;=1,--INDEX('Loans'!$G:$G,ROW())/100,--INDEX('Loans'!$G:$G,ROW())),0)</f>
        <v/>
      </c>
      <c r="AC752">
        <f>TRIM(SUBSTITUTE(INDEX('Loans'!$H:$H,ROW())&amp;""," "," "))</f>
        <v/>
      </c>
      <c r="AD752">
        <f>TRIM(SUBSTITUTE(INDEX('Loans'!$I:$I,ROW())&amp;""," "," "))</f>
        <v/>
      </c>
      <c r="AE752">
        <f>IFERROR(--INDEX('Loans'!$J:$J,ROW()),0)</f>
        <v/>
      </c>
      <c r="AF752">
        <f>TRIM(SUBSTITUTE(INDEX('Loans'!$K:$K,ROW())&amp;""," "," "))</f>
        <v/>
      </c>
      <c r="AG752">
        <f>IFERROR(--INDEX('Loans'!$L:$L,ROW()),0)</f>
        <v/>
      </c>
      <c r="AH752">
        <f>IF(ISNUMBER(INDEX('Loans'!$G:$G,ROW())),1,0)</f>
        <v/>
      </c>
    </row>
    <row r="753">
      <c r="A753">
        <f>TRIM(SUBSTITUTE(INDEX('Term investments'!$A:$A,ROW())&amp;""," "," "))</f>
        <v/>
      </c>
      <c r="B753">
        <f>TRIM(SUBSTITUTE(INDEX('Term investments'!$B:$B,ROW())&amp;""," "," "))</f>
        <v/>
      </c>
      <c r="C753">
        <f>TRIM(SUBSTITUTE(INDEX('Term investments'!$C:$C,ROW())&amp;""," "," "))</f>
        <v/>
      </c>
      <c r="D753">
        <f>IFERROR(--INDEX('Term investments'!$D:$D,ROW()),0)</f>
        <v/>
      </c>
      <c r="E753">
        <f>IFERROR(--INDEX('Term investments'!$E:$E,ROW()),0)</f>
        <v/>
      </c>
      <c r="F753">
        <f>IFERROR(--INDEX('Term investments'!$F:$F,ROW()),0)</f>
        <v/>
      </c>
      <c r="G753">
        <f>IFERROR(IF(--INDEX('Term investments'!$G:$G,ROW())&gt;=1,--INDEX('Term investments'!$G:$G,ROW())/100,--INDEX('Term investments'!$G:$G,ROW())),0)</f>
        <v/>
      </c>
      <c r="H753">
        <f>IFERROR(--INDEX('Term investments'!$H:$H,ROW()),0)</f>
        <v/>
      </c>
      <c r="I753">
        <f>IF(ISNUMBER(INDEX('Term investments'!$G:$G,ROW())),1,0)</f>
        <v/>
      </c>
      <c r="J753">
        <f>TRIM(SUBSTITUTE(INDEX('Call accounts and MMFs'!$A:$A,ROW())&amp;""," "," "))</f>
        <v/>
      </c>
      <c r="K753">
        <f>TRIM(SUBSTITUTE(INDEX('Call accounts and MMFs'!$B:$B,ROW())&amp;""," "," "))</f>
        <v/>
      </c>
      <c r="L753">
        <f>TRIM(SUBSTITUTE(INDEX('Call accounts and MMFs'!$C:$C,ROW())&amp;""," "," "))</f>
        <v/>
      </c>
      <c r="M753">
        <f>IFERROR(--INDEX('Call accounts and MMFs'!$D:$D,ROW()),0)</f>
        <v/>
      </c>
      <c r="N753">
        <f>IFERROR(IF(--INDEX('Call accounts and MMFs'!$E:$E,ROW())&gt;=1,--INDEX('Call accounts and MMFs'!$E:$E,ROW())/100,--INDEX('Call accounts and MMFs'!$E:$E,ROW())),0)</f>
        <v/>
      </c>
      <c r="O753">
        <f>IFERROR(--INDEX('Call accounts and MMFs'!$F:$F,ROW()),0)</f>
        <v/>
      </c>
      <c r="P753">
        <f>IF(ISNUMBER(INDEX('Call accounts and MMFs'!$E:$E,ROW())),1,0)</f>
        <v/>
      </c>
      <c r="Q753">
        <f>TRIM(SUBSTITUTE(INDEX('Pooled funds'!$B:$B,ROW())&amp;""," "," "))</f>
        <v/>
      </c>
      <c r="R753">
        <f>IFERROR(--INDEX('Pooled funds'!$C:$C,ROW()),0)</f>
        <v/>
      </c>
      <c r="S753">
        <f>IFERROR(--INDEX('Pooled funds'!$D:$D,ROW()),0)</f>
        <v/>
      </c>
      <c r="T753">
        <f>IFERROR(IF(--INDEX('Pooled funds'!$E:$E,ROW())&gt;=1,--INDEX('Pooled funds'!$E:$E,ROW())/100,--INDEX('Pooled funds'!$E:$E,ROW())),0)</f>
        <v/>
      </c>
      <c r="U753">
        <f>IF(ISNUMBER(INDEX('Pooled funds'!$E:$E,ROW())),1,0)</f>
        <v/>
      </c>
      <c r="V753">
        <f>TRIM(SUBSTITUTE(INDEX('Loans'!$A:$A,ROW())&amp;""," "," "))</f>
        <v/>
      </c>
      <c r="W753">
        <f>TRIM(SUBSTITUTE(INDEX('Loans'!$B:$B,ROW())&amp;""," "," "))</f>
        <v/>
      </c>
      <c r="X753">
        <f>TRIM(SUBSTITUTE(INDEX('Loans'!$C:$C,ROW())&amp;""," "," "))</f>
        <v/>
      </c>
      <c r="Y753">
        <f>IFERROR(--INDEX('Loans'!$D:$D,ROW()),0)</f>
        <v/>
      </c>
      <c r="Z753">
        <f>IFERROR(--INDEX('Loans'!$E:$E,ROW()),0)</f>
        <v/>
      </c>
      <c r="AA753">
        <f>IFERROR(--INDEX('Loans'!$F:$F,ROW()),0)</f>
        <v/>
      </c>
      <c r="AB753">
        <f>IFERROR(IF(--INDEX('Loans'!$G:$G,ROW())&gt;=1,--INDEX('Loans'!$G:$G,ROW())/100,--INDEX('Loans'!$G:$G,ROW())),0)</f>
        <v/>
      </c>
      <c r="AC753">
        <f>TRIM(SUBSTITUTE(INDEX('Loans'!$H:$H,ROW())&amp;""," "," "))</f>
        <v/>
      </c>
      <c r="AD753">
        <f>TRIM(SUBSTITUTE(INDEX('Loans'!$I:$I,ROW())&amp;""," "," "))</f>
        <v/>
      </c>
      <c r="AE753">
        <f>IFERROR(--INDEX('Loans'!$J:$J,ROW()),0)</f>
        <v/>
      </c>
      <c r="AF753">
        <f>TRIM(SUBSTITUTE(INDEX('Loans'!$K:$K,ROW())&amp;""," "," "))</f>
        <v/>
      </c>
      <c r="AG753">
        <f>IFERROR(--INDEX('Loans'!$L:$L,ROW()),0)</f>
        <v/>
      </c>
      <c r="AH753">
        <f>IF(ISNUMBER(INDEX('Loans'!$G:$G,ROW())),1,0)</f>
        <v/>
      </c>
    </row>
    <row r="754">
      <c r="A754">
        <f>TRIM(SUBSTITUTE(INDEX('Term investments'!$A:$A,ROW())&amp;""," "," "))</f>
        <v/>
      </c>
      <c r="B754">
        <f>TRIM(SUBSTITUTE(INDEX('Term investments'!$B:$B,ROW())&amp;""," "," "))</f>
        <v/>
      </c>
      <c r="C754">
        <f>TRIM(SUBSTITUTE(INDEX('Term investments'!$C:$C,ROW())&amp;""," "," "))</f>
        <v/>
      </c>
      <c r="D754">
        <f>IFERROR(--INDEX('Term investments'!$D:$D,ROW()),0)</f>
        <v/>
      </c>
      <c r="E754">
        <f>IFERROR(--INDEX('Term investments'!$E:$E,ROW()),0)</f>
        <v/>
      </c>
      <c r="F754">
        <f>IFERROR(--INDEX('Term investments'!$F:$F,ROW()),0)</f>
        <v/>
      </c>
      <c r="G754">
        <f>IFERROR(IF(--INDEX('Term investments'!$G:$G,ROW())&gt;=1,--INDEX('Term investments'!$G:$G,ROW())/100,--INDEX('Term investments'!$G:$G,ROW())),0)</f>
        <v/>
      </c>
      <c r="H754">
        <f>IFERROR(--INDEX('Term investments'!$H:$H,ROW()),0)</f>
        <v/>
      </c>
      <c r="I754">
        <f>IF(ISNUMBER(INDEX('Term investments'!$G:$G,ROW())),1,0)</f>
        <v/>
      </c>
      <c r="J754">
        <f>TRIM(SUBSTITUTE(INDEX('Call accounts and MMFs'!$A:$A,ROW())&amp;""," "," "))</f>
        <v/>
      </c>
      <c r="K754">
        <f>TRIM(SUBSTITUTE(INDEX('Call accounts and MMFs'!$B:$B,ROW())&amp;""," "," "))</f>
        <v/>
      </c>
      <c r="L754">
        <f>TRIM(SUBSTITUTE(INDEX('Call accounts and MMFs'!$C:$C,ROW())&amp;""," "," "))</f>
        <v/>
      </c>
      <c r="M754">
        <f>IFERROR(--INDEX('Call accounts and MMFs'!$D:$D,ROW()),0)</f>
        <v/>
      </c>
      <c r="N754">
        <f>IFERROR(IF(--INDEX('Call accounts and MMFs'!$E:$E,ROW())&gt;=1,--INDEX('Call accounts and MMFs'!$E:$E,ROW())/100,--INDEX('Call accounts and MMFs'!$E:$E,ROW())),0)</f>
        <v/>
      </c>
      <c r="O754">
        <f>IFERROR(--INDEX('Call accounts and MMFs'!$F:$F,ROW()),0)</f>
        <v/>
      </c>
      <c r="P754">
        <f>IF(ISNUMBER(INDEX('Call accounts and MMFs'!$E:$E,ROW())),1,0)</f>
        <v/>
      </c>
      <c r="Q754">
        <f>TRIM(SUBSTITUTE(INDEX('Pooled funds'!$B:$B,ROW())&amp;""," "," "))</f>
        <v/>
      </c>
      <c r="R754">
        <f>IFERROR(--INDEX('Pooled funds'!$C:$C,ROW()),0)</f>
        <v/>
      </c>
      <c r="S754">
        <f>IFERROR(--INDEX('Pooled funds'!$D:$D,ROW()),0)</f>
        <v/>
      </c>
      <c r="T754">
        <f>IFERROR(IF(--INDEX('Pooled funds'!$E:$E,ROW())&gt;=1,--INDEX('Pooled funds'!$E:$E,ROW())/100,--INDEX('Pooled funds'!$E:$E,ROW())),0)</f>
        <v/>
      </c>
      <c r="U754">
        <f>IF(ISNUMBER(INDEX('Pooled funds'!$E:$E,ROW())),1,0)</f>
        <v/>
      </c>
      <c r="V754">
        <f>TRIM(SUBSTITUTE(INDEX('Loans'!$A:$A,ROW())&amp;""," "," "))</f>
        <v/>
      </c>
      <c r="W754">
        <f>TRIM(SUBSTITUTE(INDEX('Loans'!$B:$B,ROW())&amp;""," "," "))</f>
        <v/>
      </c>
      <c r="X754">
        <f>TRIM(SUBSTITUTE(INDEX('Loans'!$C:$C,ROW())&amp;""," "," "))</f>
        <v/>
      </c>
      <c r="Y754">
        <f>IFERROR(--INDEX('Loans'!$D:$D,ROW()),0)</f>
        <v/>
      </c>
      <c r="Z754">
        <f>IFERROR(--INDEX('Loans'!$E:$E,ROW()),0)</f>
        <v/>
      </c>
      <c r="AA754">
        <f>IFERROR(--INDEX('Loans'!$F:$F,ROW()),0)</f>
        <v/>
      </c>
      <c r="AB754">
        <f>IFERROR(IF(--INDEX('Loans'!$G:$G,ROW())&gt;=1,--INDEX('Loans'!$G:$G,ROW())/100,--INDEX('Loans'!$G:$G,ROW())),0)</f>
        <v/>
      </c>
      <c r="AC754">
        <f>TRIM(SUBSTITUTE(INDEX('Loans'!$H:$H,ROW())&amp;""," "," "))</f>
        <v/>
      </c>
      <c r="AD754">
        <f>TRIM(SUBSTITUTE(INDEX('Loans'!$I:$I,ROW())&amp;""," "," "))</f>
        <v/>
      </c>
      <c r="AE754">
        <f>IFERROR(--INDEX('Loans'!$J:$J,ROW()),0)</f>
        <v/>
      </c>
      <c r="AF754">
        <f>TRIM(SUBSTITUTE(INDEX('Loans'!$K:$K,ROW())&amp;""," "," "))</f>
        <v/>
      </c>
      <c r="AG754">
        <f>IFERROR(--INDEX('Loans'!$L:$L,ROW()),0)</f>
        <v/>
      </c>
      <c r="AH754">
        <f>IF(ISNUMBER(INDEX('Loans'!$G:$G,ROW())),1,0)</f>
        <v/>
      </c>
    </row>
    <row r="755">
      <c r="A755">
        <f>TRIM(SUBSTITUTE(INDEX('Term investments'!$A:$A,ROW())&amp;""," "," "))</f>
        <v/>
      </c>
      <c r="B755">
        <f>TRIM(SUBSTITUTE(INDEX('Term investments'!$B:$B,ROW())&amp;""," "," "))</f>
        <v/>
      </c>
      <c r="C755">
        <f>TRIM(SUBSTITUTE(INDEX('Term investments'!$C:$C,ROW())&amp;""," "," "))</f>
        <v/>
      </c>
      <c r="D755">
        <f>IFERROR(--INDEX('Term investments'!$D:$D,ROW()),0)</f>
        <v/>
      </c>
      <c r="E755">
        <f>IFERROR(--INDEX('Term investments'!$E:$E,ROW()),0)</f>
        <v/>
      </c>
      <c r="F755">
        <f>IFERROR(--INDEX('Term investments'!$F:$F,ROW()),0)</f>
        <v/>
      </c>
      <c r="G755">
        <f>IFERROR(IF(--INDEX('Term investments'!$G:$G,ROW())&gt;=1,--INDEX('Term investments'!$G:$G,ROW())/100,--INDEX('Term investments'!$G:$G,ROW())),0)</f>
        <v/>
      </c>
      <c r="H755">
        <f>IFERROR(--INDEX('Term investments'!$H:$H,ROW()),0)</f>
        <v/>
      </c>
      <c r="I755">
        <f>IF(ISNUMBER(INDEX('Term investments'!$G:$G,ROW())),1,0)</f>
        <v/>
      </c>
      <c r="J755">
        <f>TRIM(SUBSTITUTE(INDEX('Call accounts and MMFs'!$A:$A,ROW())&amp;""," "," "))</f>
        <v/>
      </c>
      <c r="K755">
        <f>TRIM(SUBSTITUTE(INDEX('Call accounts and MMFs'!$B:$B,ROW())&amp;""," "," "))</f>
        <v/>
      </c>
      <c r="L755">
        <f>TRIM(SUBSTITUTE(INDEX('Call accounts and MMFs'!$C:$C,ROW())&amp;""," "," "))</f>
        <v/>
      </c>
      <c r="M755">
        <f>IFERROR(--INDEX('Call accounts and MMFs'!$D:$D,ROW()),0)</f>
        <v/>
      </c>
      <c r="N755">
        <f>IFERROR(IF(--INDEX('Call accounts and MMFs'!$E:$E,ROW())&gt;=1,--INDEX('Call accounts and MMFs'!$E:$E,ROW())/100,--INDEX('Call accounts and MMFs'!$E:$E,ROW())),0)</f>
        <v/>
      </c>
      <c r="O755">
        <f>IFERROR(--INDEX('Call accounts and MMFs'!$F:$F,ROW()),0)</f>
        <v/>
      </c>
      <c r="P755">
        <f>IF(ISNUMBER(INDEX('Call accounts and MMFs'!$E:$E,ROW())),1,0)</f>
        <v/>
      </c>
      <c r="Q755">
        <f>TRIM(SUBSTITUTE(INDEX('Pooled funds'!$B:$B,ROW())&amp;""," "," "))</f>
        <v/>
      </c>
      <c r="R755">
        <f>IFERROR(--INDEX('Pooled funds'!$C:$C,ROW()),0)</f>
        <v/>
      </c>
      <c r="S755">
        <f>IFERROR(--INDEX('Pooled funds'!$D:$D,ROW()),0)</f>
        <v/>
      </c>
      <c r="T755">
        <f>IFERROR(IF(--INDEX('Pooled funds'!$E:$E,ROW())&gt;=1,--INDEX('Pooled funds'!$E:$E,ROW())/100,--INDEX('Pooled funds'!$E:$E,ROW())),0)</f>
        <v/>
      </c>
      <c r="U755">
        <f>IF(ISNUMBER(INDEX('Pooled funds'!$E:$E,ROW())),1,0)</f>
        <v/>
      </c>
      <c r="V755">
        <f>TRIM(SUBSTITUTE(INDEX('Loans'!$A:$A,ROW())&amp;""," "," "))</f>
        <v/>
      </c>
      <c r="W755">
        <f>TRIM(SUBSTITUTE(INDEX('Loans'!$B:$B,ROW())&amp;""," "," "))</f>
        <v/>
      </c>
      <c r="X755">
        <f>TRIM(SUBSTITUTE(INDEX('Loans'!$C:$C,ROW())&amp;""," "," "))</f>
        <v/>
      </c>
      <c r="Y755">
        <f>IFERROR(--INDEX('Loans'!$D:$D,ROW()),0)</f>
        <v/>
      </c>
      <c r="Z755">
        <f>IFERROR(--INDEX('Loans'!$E:$E,ROW()),0)</f>
        <v/>
      </c>
      <c r="AA755">
        <f>IFERROR(--INDEX('Loans'!$F:$F,ROW()),0)</f>
        <v/>
      </c>
      <c r="AB755">
        <f>IFERROR(IF(--INDEX('Loans'!$G:$G,ROW())&gt;=1,--INDEX('Loans'!$G:$G,ROW())/100,--INDEX('Loans'!$G:$G,ROW())),0)</f>
        <v/>
      </c>
      <c r="AC755">
        <f>TRIM(SUBSTITUTE(INDEX('Loans'!$H:$H,ROW())&amp;""," "," "))</f>
        <v/>
      </c>
      <c r="AD755">
        <f>TRIM(SUBSTITUTE(INDEX('Loans'!$I:$I,ROW())&amp;""," "," "))</f>
        <v/>
      </c>
      <c r="AE755">
        <f>IFERROR(--INDEX('Loans'!$J:$J,ROW()),0)</f>
        <v/>
      </c>
      <c r="AF755">
        <f>TRIM(SUBSTITUTE(INDEX('Loans'!$K:$K,ROW())&amp;""," "," "))</f>
        <v/>
      </c>
      <c r="AG755">
        <f>IFERROR(--INDEX('Loans'!$L:$L,ROW()),0)</f>
        <v/>
      </c>
      <c r="AH755">
        <f>IF(ISNUMBER(INDEX('Loans'!$G:$G,ROW())),1,0)</f>
        <v/>
      </c>
    </row>
    <row r="756">
      <c r="A756">
        <f>TRIM(SUBSTITUTE(INDEX('Term investments'!$A:$A,ROW())&amp;""," "," "))</f>
        <v/>
      </c>
      <c r="B756">
        <f>TRIM(SUBSTITUTE(INDEX('Term investments'!$B:$B,ROW())&amp;""," "," "))</f>
        <v/>
      </c>
      <c r="C756">
        <f>TRIM(SUBSTITUTE(INDEX('Term investments'!$C:$C,ROW())&amp;""," "," "))</f>
        <v/>
      </c>
      <c r="D756">
        <f>IFERROR(--INDEX('Term investments'!$D:$D,ROW()),0)</f>
        <v/>
      </c>
      <c r="E756">
        <f>IFERROR(--INDEX('Term investments'!$E:$E,ROW()),0)</f>
        <v/>
      </c>
      <c r="F756">
        <f>IFERROR(--INDEX('Term investments'!$F:$F,ROW()),0)</f>
        <v/>
      </c>
      <c r="G756">
        <f>IFERROR(IF(--INDEX('Term investments'!$G:$G,ROW())&gt;=1,--INDEX('Term investments'!$G:$G,ROW())/100,--INDEX('Term investments'!$G:$G,ROW())),0)</f>
        <v/>
      </c>
      <c r="H756">
        <f>IFERROR(--INDEX('Term investments'!$H:$H,ROW()),0)</f>
        <v/>
      </c>
      <c r="I756">
        <f>IF(ISNUMBER(INDEX('Term investments'!$G:$G,ROW())),1,0)</f>
        <v/>
      </c>
      <c r="J756">
        <f>TRIM(SUBSTITUTE(INDEX('Call accounts and MMFs'!$A:$A,ROW())&amp;""," "," "))</f>
        <v/>
      </c>
      <c r="K756">
        <f>TRIM(SUBSTITUTE(INDEX('Call accounts and MMFs'!$B:$B,ROW())&amp;""," "," "))</f>
        <v/>
      </c>
      <c r="L756">
        <f>TRIM(SUBSTITUTE(INDEX('Call accounts and MMFs'!$C:$C,ROW())&amp;""," "," "))</f>
        <v/>
      </c>
      <c r="M756">
        <f>IFERROR(--INDEX('Call accounts and MMFs'!$D:$D,ROW()),0)</f>
        <v/>
      </c>
      <c r="N756">
        <f>IFERROR(IF(--INDEX('Call accounts and MMFs'!$E:$E,ROW())&gt;=1,--INDEX('Call accounts and MMFs'!$E:$E,ROW())/100,--INDEX('Call accounts and MMFs'!$E:$E,ROW())),0)</f>
        <v/>
      </c>
      <c r="O756">
        <f>IFERROR(--INDEX('Call accounts and MMFs'!$F:$F,ROW()),0)</f>
        <v/>
      </c>
      <c r="P756">
        <f>IF(ISNUMBER(INDEX('Call accounts and MMFs'!$E:$E,ROW())),1,0)</f>
        <v/>
      </c>
      <c r="Q756">
        <f>TRIM(SUBSTITUTE(INDEX('Pooled funds'!$B:$B,ROW())&amp;""," "," "))</f>
        <v/>
      </c>
      <c r="R756">
        <f>IFERROR(--INDEX('Pooled funds'!$C:$C,ROW()),0)</f>
        <v/>
      </c>
      <c r="S756">
        <f>IFERROR(--INDEX('Pooled funds'!$D:$D,ROW()),0)</f>
        <v/>
      </c>
      <c r="T756">
        <f>IFERROR(IF(--INDEX('Pooled funds'!$E:$E,ROW())&gt;=1,--INDEX('Pooled funds'!$E:$E,ROW())/100,--INDEX('Pooled funds'!$E:$E,ROW())),0)</f>
        <v/>
      </c>
      <c r="U756">
        <f>IF(ISNUMBER(INDEX('Pooled funds'!$E:$E,ROW())),1,0)</f>
        <v/>
      </c>
      <c r="V756">
        <f>TRIM(SUBSTITUTE(INDEX('Loans'!$A:$A,ROW())&amp;""," "," "))</f>
        <v/>
      </c>
      <c r="W756">
        <f>TRIM(SUBSTITUTE(INDEX('Loans'!$B:$B,ROW())&amp;""," "," "))</f>
        <v/>
      </c>
      <c r="X756">
        <f>TRIM(SUBSTITUTE(INDEX('Loans'!$C:$C,ROW())&amp;""," "," "))</f>
        <v/>
      </c>
      <c r="Y756">
        <f>IFERROR(--INDEX('Loans'!$D:$D,ROW()),0)</f>
        <v/>
      </c>
      <c r="Z756">
        <f>IFERROR(--INDEX('Loans'!$E:$E,ROW()),0)</f>
        <v/>
      </c>
      <c r="AA756">
        <f>IFERROR(--INDEX('Loans'!$F:$F,ROW()),0)</f>
        <v/>
      </c>
      <c r="AB756">
        <f>IFERROR(IF(--INDEX('Loans'!$G:$G,ROW())&gt;=1,--INDEX('Loans'!$G:$G,ROW())/100,--INDEX('Loans'!$G:$G,ROW())),0)</f>
        <v/>
      </c>
      <c r="AC756">
        <f>TRIM(SUBSTITUTE(INDEX('Loans'!$H:$H,ROW())&amp;""," "," "))</f>
        <v/>
      </c>
      <c r="AD756">
        <f>TRIM(SUBSTITUTE(INDEX('Loans'!$I:$I,ROW())&amp;""," "," "))</f>
        <v/>
      </c>
      <c r="AE756">
        <f>IFERROR(--INDEX('Loans'!$J:$J,ROW()),0)</f>
        <v/>
      </c>
      <c r="AF756">
        <f>TRIM(SUBSTITUTE(INDEX('Loans'!$K:$K,ROW())&amp;""," "," "))</f>
        <v/>
      </c>
      <c r="AG756">
        <f>IFERROR(--INDEX('Loans'!$L:$L,ROW()),0)</f>
        <v/>
      </c>
      <c r="AH756">
        <f>IF(ISNUMBER(INDEX('Loans'!$G:$G,ROW())),1,0)</f>
        <v/>
      </c>
    </row>
    <row r="757">
      <c r="A757">
        <f>TRIM(SUBSTITUTE(INDEX('Term investments'!$A:$A,ROW())&amp;""," "," "))</f>
        <v/>
      </c>
      <c r="B757">
        <f>TRIM(SUBSTITUTE(INDEX('Term investments'!$B:$B,ROW())&amp;""," "," "))</f>
        <v/>
      </c>
      <c r="C757">
        <f>TRIM(SUBSTITUTE(INDEX('Term investments'!$C:$C,ROW())&amp;""," "," "))</f>
        <v/>
      </c>
      <c r="D757">
        <f>IFERROR(--INDEX('Term investments'!$D:$D,ROW()),0)</f>
        <v/>
      </c>
      <c r="E757">
        <f>IFERROR(--INDEX('Term investments'!$E:$E,ROW()),0)</f>
        <v/>
      </c>
      <c r="F757">
        <f>IFERROR(--INDEX('Term investments'!$F:$F,ROW()),0)</f>
        <v/>
      </c>
      <c r="G757">
        <f>IFERROR(IF(--INDEX('Term investments'!$G:$G,ROW())&gt;=1,--INDEX('Term investments'!$G:$G,ROW())/100,--INDEX('Term investments'!$G:$G,ROW())),0)</f>
        <v/>
      </c>
      <c r="H757">
        <f>IFERROR(--INDEX('Term investments'!$H:$H,ROW()),0)</f>
        <v/>
      </c>
      <c r="I757">
        <f>IF(ISNUMBER(INDEX('Term investments'!$G:$G,ROW())),1,0)</f>
        <v/>
      </c>
      <c r="J757">
        <f>TRIM(SUBSTITUTE(INDEX('Call accounts and MMFs'!$A:$A,ROW())&amp;""," "," "))</f>
        <v/>
      </c>
      <c r="K757">
        <f>TRIM(SUBSTITUTE(INDEX('Call accounts and MMFs'!$B:$B,ROW())&amp;""," "," "))</f>
        <v/>
      </c>
      <c r="L757">
        <f>TRIM(SUBSTITUTE(INDEX('Call accounts and MMFs'!$C:$C,ROW())&amp;""," "," "))</f>
        <v/>
      </c>
      <c r="M757">
        <f>IFERROR(--INDEX('Call accounts and MMFs'!$D:$D,ROW()),0)</f>
        <v/>
      </c>
      <c r="N757">
        <f>IFERROR(IF(--INDEX('Call accounts and MMFs'!$E:$E,ROW())&gt;=1,--INDEX('Call accounts and MMFs'!$E:$E,ROW())/100,--INDEX('Call accounts and MMFs'!$E:$E,ROW())),0)</f>
        <v/>
      </c>
      <c r="O757">
        <f>IFERROR(--INDEX('Call accounts and MMFs'!$F:$F,ROW()),0)</f>
        <v/>
      </c>
      <c r="P757">
        <f>IF(ISNUMBER(INDEX('Call accounts and MMFs'!$E:$E,ROW())),1,0)</f>
        <v/>
      </c>
      <c r="Q757">
        <f>TRIM(SUBSTITUTE(INDEX('Pooled funds'!$B:$B,ROW())&amp;""," "," "))</f>
        <v/>
      </c>
      <c r="R757">
        <f>IFERROR(--INDEX('Pooled funds'!$C:$C,ROW()),0)</f>
        <v/>
      </c>
      <c r="S757">
        <f>IFERROR(--INDEX('Pooled funds'!$D:$D,ROW()),0)</f>
        <v/>
      </c>
      <c r="T757">
        <f>IFERROR(IF(--INDEX('Pooled funds'!$E:$E,ROW())&gt;=1,--INDEX('Pooled funds'!$E:$E,ROW())/100,--INDEX('Pooled funds'!$E:$E,ROW())),0)</f>
        <v/>
      </c>
      <c r="U757">
        <f>IF(ISNUMBER(INDEX('Pooled funds'!$E:$E,ROW())),1,0)</f>
        <v/>
      </c>
      <c r="V757">
        <f>TRIM(SUBSTITUTE(INDEX('Loans'!$A:$A,ROW())&amp;""," "," "))</f>
        <v/>
      </c>
      <c r="W757">
        <f>TRIM(SUBSTITUTE(INDEX('Loans'!$B:$B,ROW())&amp;""," "," "))</f>
        <v/>
      </c>
      <c r="X757">
        <f>TRIM(SUBSTITUTE(INDEX('Loans'!$C:$C,ROW())&amp;""," "," "))</f>
        <v/>
      </c>
      <c r="Y757">
        <f>IFERROR(--INDEX('Loans'!$D:$D,ROW()),0)</f>
        <v/>
      </c>
      <c r="Z757">
        <f>IFERROR(--INDEX('Loans'!$E:$E,ROW()),0)</f>
        <v/>
      </c>
      <c r="AA757">
        <f>IFERROR(--INDEX('Loans'!$F:$F,ROW()),0)</f>
        <v/>
      </c>
      <c r="AB757">
        <f>IFERROR(IF(--INDEX('Loans'!$G:$G,ROW())&gt;=1,--INDEX('Loans'!$G:$G,ROW())/100,--INDEX('Loans'!$G:$G,ROW())),0)</f>
        <v/>
      </c>
      <c r="AC757">
        <f>TRIM(SUBSTITUTE(INDEX('Loans'!$H:$H,ROW())&amp;""," "," "))</f>
        <v/>
      </c>
      <c r="AD757">
        <f>TRIM(SUBSTITUTE(INDEX('Loans'!$I:$I,ROW())&amp;""," "," "))</f>
        <v/>
      </c>
      <c r="AE757">
        <f>IFERROR(--INDEX('Loans'!$J:$J,ROW()),0)</f>
        <v/>
      </c>
      <c r="AF757">
        <f>TRIM(SUBSTITUTE(INDEX('Loans'!$K:$K,ROW())&amp;""," "," "))</f>
        <v/>
      </c>
      <c r="AG757">
        <f>IFERROR(--INDEX('Loans'!$L:$L,ROW()),0)</f>
        <v/>
      </c>
      <c r="AH757">
        <f>IF(ISNUMBER(INDEX('Loans'!$G:$G,ROW())),1,0)</f>
        <v/>
      </c>
    </row>
    <row r="758">
      <c r="A758">
        <f>TRIM(SUBSTITUTE(INDEX('Term investments'!$A:$A,ROW())&amp;""," "," "))</f>
        <v/>
      </c>
      <c r="B758">
        <f>TRIM(SUBSTITUTE(INDEX('Term investments'!$B:$B,ROW())&amp;""," "," "))</f>
        <v/>
      </c>
      <c r="C758">
        <f>TRIM(SUBSTITUTE(INDEX('Term investments'!$C:$C,ROW())&amp;""," "," "))</f>
        <v/>
      </c>
      <c r="D758">
        <f>IFERROR(--INDEX('Term investments'!$D:$D,ROW()),0)</f>
        <v/>
      </c>
      <c r="E758">
        <f>IFERROR(--INDEX('Term investments'!$E:$E,ROW()),0)</f>
        <v/>
      </c>
      <c r="F758">
        <f>IFERROR(--INDEX('Term investments'!$F:$F,ROW()),0)</f>
        <v/>
      </c>
      <c r="G758">
        <f>IFERROR(IF(--INDEX('Term investments'!$G:$G,ROW())&gt;=1,--INDEX('Term investments'!$G:$G,ROW())/100,--INDEX('Term investments'!$G:$G,ROW())),0)</f>
        <v/>
      </c>
      <c r="H758">
        <f>IFERROR(--INDEX('Term investments'!$H:$H,ROW()),0)</f>
        <v/>
      </c>
      <c r="I758">
        <f>IF(ISNUMBER(INDEX('Term investments'!$G:$G,ROW())),1,0)</f>
        <v/>
      </c>
      <c r="J758">
        <f>TRIM(SUBSTITUTE(INDEX('Call accounts and MMFs'!$A:$A,ROW())&amp;""," "," "))</f>
        <v/>
      </c>
      <c r="K758">
        <f>TRIM(SUBSTITUTE(INDEX('Call accounts and MMFs'!$B:$B,ROW())&amp;""," "," "))</f>
        <v/>
      </c>
      <c r="L758">
        <f>TRIM(SUBSTITUTE(INDEX('Call accounts and MMFs'!$C:$C,ROW())&amp;""," "," "))</f>
        <v/>
      </c>
      <c r="M758">
        <f>IFERROR(--INDEX('Call accounts and MMFs'!$D:$D,ROW()),0)</f>
        <v/>
      </c>
      <c r="N758">
        <f>IFERROR(IF(--INDEX('Call accounts and MMFs'!$E:$E,ROW())&gt;=1,--INDEX('Call accounts and MMFs'!$E:$E,ROW())/100,--INDEX('Call accounts and MMFs'!$E:$E,ROW())),0)</f>
        <v/>
      </c>
      <c r="O758">
        <f>IFERROR(--INDEX('Call accounts and MMFs'!$F:$F,ROW()),0)</f>
        <v/>
      </c>
      <c r="P758">
        <f>IF(ISNUMBER(INDEX('Call accounts and MMFs'!$E:$E,ROW())),1,0)</f>
        <v/>
      </c>
      <c r="Q758">
        <f>TRIM(SUBSTITUTE(INDEX('Pooled funds'!$B:$B,ROW())&amp;""," "," "))</f>
        <v/>
      </c>
      <c r="R758">
        <f>IFERROR(--INDEX('Pooled funds'!$C:$C,ROW()),0)</f>
        <v/>
      </c>
      <c r="S758">
        <f>IFERROR(--INDEX('Pooled funds'!$D:$D,ROW()),0)</f>
        <v/>
      </c>
      <c r="T758">
        <f>IFERROR(IF(--INDEX('Pooled funds'!$E:$E,ROW())&gt;=1,--INDEX('Pooled funds'!$E:$E,ROW())/100,--INDEX('Pooled funds'!$E:$E,ROW())),0)</f>
        <v/>
      </c>
      <c r="U758">
        <f>IF(ISNUMBER(INDEX('Pooled funds'!$E:$E,ROW())),1,0)</f>
        <v/>
      </c>
      <c r="V758">
        <f>TRIM(SUBSTITUTE(INDEX('Loans'!$A:$A,ROW())&amp;""," "," "))</f>
        <v/>
      </c>
      <c r="W758">
        <f>TRIM(SUBSTITUTE(INDEX('Loans'!$B:$B,ROW())&amp;""," "," "))</f>
        <v/>
      </c>
      <c r="X758">
        <f>TRIM(SUBSTITUTE(INDEX('Loans'!$C:$C,ROW())&amp;""," "," "))</f>
        <v/>
      </c>
      <c r="Y758">
        <f>IFERROR(--INDEX('Loans'!$D:$D,ROW()),0)</f>
        <v/>
      </c>
      <c r="Z758">
        <f>IFERROR(--INDEX('Loans'!$E:$E,ROW()),0)</f>
        <v/>
      </c>
      <c r="AA758">
        <f>IFERROR(--INDEX('Loans'!$F:$F,ROW()),0)</f>
        <v/>
      </c>
      <c r="AB758">
        <f>IFERROR(IF(--INDEX('Loans'!$G:$G,ROW())&gt;=1,--INDEX('Loans'!$G:$G,ROW())/100,--INDEX('Loans'!$G:$G,ROW())),0)</f>
        <v/>
      </c>
      <c r="AC758">
        <f>TRIM(SUBSTITUTE(INDEX('Loans'!$H:$H,ROW())&amp;""," "," "))</f>
        <v/>
      </c>
      <c r="AD758">
        <f>TRIM(SUBSTITUTE(INDEX('Loans'!$I:$I,ROW())&amp;""," "," "))</f>
        <v/>
      </c>
      <c r="AE758">
        <f>IFERROR(--INDEX('Loans'!$J:$J,ROW()),0)</f>
        <v/>
      </c>
      <c r="AF758">
        <f>TRIM(SUBSTITUTE(INDEX('Loans'!$K:$K,ROW())&amp;""," "," "))</f>
        <v/>
      </c>
      <c r="AG758">
        <f>IFERROR(--INDEX('Loans'!$L:$L,ROW()),0)</f>
        <v/>
      </c>
      <c r="AH758">
        <f>IF(ISNUMBER(INDEX('Loans'!$G:$G,ROW())),1,0)</f>
        <v/>
      </c>
    </row>
    <row r="759">
      <c r="A759">
        <f>TRIM(SUBSTITUTE(INDEX('Term investments'!$A:$A,ROW())&amp;""," "," "))</f>
        <v/>
      </c>
      <c r="B759">
        <f>TRIM(SUBSTITUTE(INDEX('Term investments'!$B:$B,ROW())&amp;""," "," "))</f>
        <v/>
      </c>
      <c r="C759">
        <f>TRIM(SUBSTITUTE(INDEX('Term investments'!$C:$C,ROW())&amp;""," "," "))</f>
        <v/>
      </c>
      <c r="D759">
        <f>IFERROR(--INDEX('Term investments'!$D:$D,ROW()),0)</f>
        <v/>
      </c>
      <c r="E759">
        <f>IFERROR(--INDEX('Term investments'!$E:$E,ROW()),0)</f>
        <v/>
      </c>
      <c r="F759">
        <f>IFERROR(--INDEX('Term investments'!$F:$F,ROW()),0)</f>
        <v/>
      </c>
      <c r="G759">
        <f>IFERROR(IF(--INDEX('Term investments'!$G:$G,ROW())&gt;=1,--INDEX('Term investments'!$G:$G,ROW())/100,--INDEX('Term investments'!$G:$G,ROW())),0)</f>
        <v/>
      </c>
      <c r="H759">
        <f>IFERROR(--INDEX('Term investments'!$H:$H,ROW()),0)</f>
        <v/>
      </c>
      <c r="I759">
        <f>IF(ISNUMBER(INDEX('Term investments'!$G:$G,ROW())),1,0)</f>
        <v/>
      </c>
      <c r="J759">
        <f>TRIM(SUBSTITUTE(INDEX('Call accounts and MMFs'!$A:$A,ROW())&amp;""," "," "))</f>
        <v/>
      </c>
      <c r="K759">
        <f>TRIM(SUBSTITUTE(INDEX('Call accounts and MMFs'!$B:$B,ROW())&amp;""," "," "))</f>
        <v/>
      </c>
      <c r="L759">
        <f>TRIM(SUBSTITUTE(INDEX('Call accounts and MMFs'!$C:$C,ROW())&amp;""," "," "))</f>
        <v/>
      </c>
      <c r="M759">
        <f>IFERROR(--INDEX('Call accounts and MMFs'!$D:$D,ROW()),0)</f>
        <v/>
      </c>
      <c r="N759">
        <f>IFERROR(IF(--INDEX('Call accounts and MMFs'!$E:$E,ROW())&gt;=1,--INDEX('Call accounts and MMFs'!$E:$E,ROW())/100,--INDEX('Call accounts and MMFs'!$E:$E,ROW())),0)</f>
        <v/>
      </c>
      <c r="O759">
        <f>IFERROR(--INDEX('Call accounts and MMFs'!$F:$F,ROW()),0)</f>
        <v/>
      </c>
      <c r="P759">
        <f>IF(ISNUMBER(INDEX('Call accounts and MMFs'!$E:$E,ROW())),1,0)</f>
        <v/>
      </c>
      <c r="Q759">
        <f>TRIM(SUBSTITUTE(INDEX('Pooled funds'!$B:$B,ROW())&amp;""," "," "))</f>
        <v/>
      </c>
      <c r="R759">
        <f>IFERROR(--INDEX('Pooled funds'!$C:$C,ROW()),0)</f>
        <v/>
      </c>
      <c r="S759">
        <f>IFERROR(--INDEX('Pooled funds'!$D:$D,ROW()),0)</f>
        <v/>
      </c>
      <c r="T759">
        <f>IFERROR(IF(--INDEX('Pooled funds'!$E:$E,ROW())&gt;=1,--INDEX('Pooled funds'!$E:$E,ROW())/100,--INDEX('Pooled funds'!$E:$E,ROW())),0)</f>
        <v/>
      </c>
      <c r="U759">
        <f>IF(ISNUMBER(INDEX('Pooled funds'!$E:$E,ROW())),1,0)</f>
        <v/>
      </c>
      <c r="V759">
        <f>TRIM(SUBSTITUTE(INDEX('Loans'!$A:$A,ROW())&amp;""," "," "))</f>
        <v/>
      </c>
      <c r="W759">
        <f>TRIM(SUBSTITUTE(INDEX('Loans'!$B:$B,ROW())&amp;""," "," "))</f>
        <v/>
      </c>
      <c r="X759">
        <f>TRIM(SUBSTITUTE(INDEX('Loans'!$C:$C,ROW())&amp;""," "," "))</f>
        <v/>
      </c>
      <c r="Y759">
        <f>IFERROR(--INDEX('Loans'!$D:$D,ROW()),0)</f>
        <v/>
      </c>
      <c r="Z759">
        <f>IFERROR(--INDEX('Loans'!$E:$E,ROW()),0)</f>
        <v/>
      </c>
      <c r="AA759">
        <f>IFERROR(--INDEX('Loans'!$F:$F,ROW()),0)</f>
        <v/>
      </c>
      <c r="AB759">
        <f>IFERROR(IF(--INDEX('Loans'!$G:$G,ROW())&gt;=1,--INDEX('Loans'!$G:$G,ROW())/100,--INDEX('Loans'!$G:$G,ROW())),0)</f>
        <v/>
      </c>
      <c r="AC759">
        <f>TRIM(SUBSTITUTE(INDEX('Loans'!$H:$H,ROW())&amp;""," "," "))</f>
        <v/>
      </c>
      <c r="AD759">
        <f>TRIM(SUBSTITUTE(INDEX('Loans'!$I:$I,ROW())&amp;""," "," "))</f>
        <v/>
      </c>
      <c r="AE759">
        <f>IFERROR(--INDEX('Loans'!$J:$J,ROW()),0)</f>
        <v/>
      </c>
      <c r="AF759">
        <f>TRIM(SUBSTITUTE(INDEX('Loans'!$K:$K,ROW())&amp;""," "," "))</f>
        <v/>
      </c>
      <c r="AG759">
        <f>IFERROR(--INDEX('Loans'!$L:$L,ROW()),0)</f>
        <v/>
      </c>
      <c r="AH759">
        <f>IF(ISNUMBER(INDEX('Loans'!$G:$G,ROW())),1,0)</f>
        <v/>
      </c>
    </row>
    <row r="760">
      <c r="A760">
        <f>TRIM(SUBSTITUTE(INDEX('Term investments'!$A:$A,ROW())&amp;""," "," "))</f>
        <v/>
      </c>
      <c r="B760">
        <f>TRIM(SUBSTITUTE(INDEX('Term investments'!$B:$B,ROW())&amp;""," "," "))</f>
        <v/>
      </c>
      <c r="C760">
        <f>TRIM(SUBSTITUTE(INDEX('Term investments'!$C:$C,ROW())&amp;""," "," "))</f>
        <v/>
      </c>
      <c r="D760">
        <f>IFERROR(--INDEX('Term investments'!$D:$D,ROW()),0)</f>
        <v/>
      </c>
      <c r="E760">
        <f>IFERROR(--INDEX('Term investments'!$E:$E,ROW()),0)</f>
        <v/>
      </c>
      <c r="F760">
        <f>IFERROR(--INDEX('Term investments'!$F:$F,ROW()),0)</f>
        <v/>
      </c>
      <c r="G760">
        <f>IFERROR(IF(--INDEX('Term investments'!$G:$G,ROW())&gt;=1,--INDEX('Term investments'!$G:$G,ROW())/100,--INDEX('Term investments'!$G:$G,ROW())),0)</f>
        <v/>
      </c>
      <c r="H760">
        <f>IFERROR(--INDEX('Term investments'!$H:$H,ROW()),0)</f>
        <v/>
      </c>
      <c r="I760">
        <f>IF(ISNUMBER(INDEX('Term investments'!$G:$G,ROW())),1,0)</f>
        <v/>
      </c>
      <c r="J760">
        <f>TRIM(SUBSTITUTE(INDEX('Call accounts and MMFs'!$A:$A,ROW())&amp;""," "," "))</f>
        <v/>
      </c>
      <c r="K760">
        <f>TRIM(SUBSTITUTE(INDEX('Call accounts and MMFs'!$B:$B,ROW())&amp;""," "," "))</f>
        <v/>
      </c>
      <c r="L760">
        <f>TRIM(SUBSTITUTE(INDEX('Call accounts and MMFs'!$C:$C,ROW())&amp;""," "," "))</f>
        <v/>
      </c>
      <c r="M760">
        <f>IFERROR(--INDEX('Call accounts and MMFs'!$D:$D,ROW()),0)</f>
        <v/>
      </c>
      <c r="N760">
        <f>IFERROR(IF(--INDEX('Call accounts and MMFs'!$E:$E,ROW())&gt;=1,--INDEX('Call accounts and MMFs'!$E:$E,ROW())/100,--INDEX('Call accounts and MMFs'!$E:$E,ROW())),0)</f>
        <v/>
      </c>
      <c r="O760">
        <f>IFERROR(--INDEX('Call accounts and MMFs'!$F:$F,ROW()),0)</f>
        <v/>
      </c>
      <c r="P760">
        <f>IF(ISNUMBER(INDEX('Call accounts and MMFs'!$E:$E,ROW())),1,0)</f>
        <v/>
      </c>
      <c r="Q760">
        <f>TRIM(SUBSTITUTE(INDEX('Pooled funds'!$B:$B,ROW())&amp;""," "," "))</f>
        <v/>
      </c>
      <c r="R760">
        <f>IFERROR(--INDEX('Pooled funds'!$C:$C,ROW()),0)</f>
        <v/>
      </c>
      <c r="S760">
        <f>IFERROR(--INDEX('Pooled funds'!$D:$D,ROW()),0)</f>
        <v/>
      </c>
      <c r="T760">
        <f>IFERROR(IF(--INDEX('Pooled funds'!$E:$E,ROW())&gt;=1,--INDEX('Pooled funds'!$E:$E,ROW())/100,--INDEX('Pooled funds'!$E:$E,ROW())),0)</f>
        <v/>
      </c>
      <c r="U760">
        <f>IF(ISNUMBER(INDEX('Pooled funds'!$E:$E,ROW())),1,0)</f>
        <v/>
      </c>
      <c r="V760">
        <f>TRIM(SUBSTITUTE(INDEX('Loans'!$A:$A,ROW())&amp;""," "," "))</f>
        <v/>
      </c>
      <c r="W760">
        <f>TRIM(SUBSTITUTE(INDEX('Loans'!$B:$B,ROW())&amp;""," "," "))</f>
        <v/>
      </c>
      <c r="X760">
        <f>TRIM(SUBSTITUTE(INDEX('Loans'!$C:$C,ROW())&amp;""," "," "))</f>
        <v/>
      </c>
      <c r="Y760">
        <f>IFERROR(--INDEX('Loans'!$D:$D,ROW()),0)</f>
        <v/>
      </c>
      <c r="Z760">
        <f>IFERROR(--INDEX('Loans'!$E:$E,ROW()),0)</f>
        <v/>
      </c>
      <c r="AA760">
        <f>IFERROR(--INDEX('Loans'!$F:$F,ROW()),0)</f>
        <v/>
      </c>
      <c r="AB760">
        <f>IFERROR(IF(--INDEX('Loans'!$G:$G,ROW())&gt;=1,--INDEX('Loans'!$G:$G,ROW())/100,--INDEX('Loans'!$G:$G,ROW())),0)</f>
        <v/>
      </c>
      <c r="AC760">
        <f>TRIM(SUBSTITUTE(INDEX('Loans'!$H:$H,ROW())&amp;""," "," "))</f>
        <v/>
      </c>
      <c r="AD760">
        <f>TRIM(SUBSTITUTE(INDEX('Loans'!$I:$I,ROW())&amp;""," "," "))</f>
        <v/>
      </c>
      <c r="AE760">
        <f>IFERROR(--INDEX('Loans'!$J:$J,ROW()),0)</f>
        <v/>
      </c>
      <c r="AF760">
        <f>TRIM(SUBSTITUTE(INDEX('Loans'!$K:$K,ROW())&amp;""," "," "))</f>
        <v/>
      </c>
      <c r="AG760">
        <f>IFERROR(--INDEX('Loans'!$L:$L,ROW()),0)</f>
        <v/>
      </c>
      <c r="AH760">
        <f>IF(ISNUMBER(INDEX('Loans'!$G:$G,ROW())),1,0)</f>
        <v/>
      </c>
    </row>
    <row r="761">
      <c r="A761">
        <f>TRIM(SUBSTITUTE(INDEX('Term investments'!$A:$A,ROW())&amp;""," "," "))</f>
        <v/>
      </c>
      <c r="B761">
        <f>TRIM(SUBSTITUTE(INDEX('Term investments'!$B:$B,ROW())&amp;""," "," "))</f>
        <v/>
      </c>
      <c r="C761">
        <f>TRIM(SUBSTITUTE(INDEX('Term investments'!$C:$C,ROW())&amp;""," "," "))</f>
        <v/>
      </c>
      <c r="D761">
        <f>IFERROR(--INDEX('Term investments'!$D:$D,ROW()),0)</f>
        <v/>
      </c>
      <c r="E761">
        <f>IFERROR(--INDEX('Term investments'!$E:$E,ROW()),0)</f>
        <v/>
      </c>
      <c r="F761">
        <f>IFERROR(--INDEX('Term investments'!$F:$F,ROW()),0)</f>
        <v/>
      </c>
      <c r="G761">
        <f>IFERROR(IF(--INDEX('Term investments'!$G:$G,ROW())&gt;=1,--INDEX('Term investments'!$G:$G,ROW())/100,--INDEX('Term investments'!$G:$G,ROW())),0)</f>
        <v/>
      </c>
      <c r="H761">
        <f>IFERROR(--INDEX('Term investments'!$H:$H,ROW()),0)</f>
        <v/>
      </c>
      <c r="I761">
        <f>IF(ISNUMBER(INDEX('Term investments'!$G:$G,ROW())),1,0)</f>
        <v/>
      </c>
      <c r="J761">
        <f>TRIM(SUBSTITUTE(INDEX('Call accounts and MMFs'!$A:$A,ROW())&amp;""," "," "))</f>
        <v/>
      </c>
      <c r="K761">
        <f>TRIM(SUBSTITUTE(INDEX('Call accounts and MMFs'!$B:$B,ROW())&amp;""," "," "))</f>
        <v/>
      </c>
      <c r="L761">
        <f>TRIM(SUBSTITUTE(INDEX('Call accounts and MMFs'!$C:$C,ROW())&amp;""," "," "))</f>
        <v/>
      </c>
      <c r="M761">
        <f>IFERROR(--INDEX('Call accounts and MMFs'!$D:$D,ROW()),0)</f>
        <v/>
      </c>
      <c r="N761">
        <f>IFERROR(IF(--INDEX('Call accounts and MMFs'!$E:$E,ROW())&gt;=1,--INDEX('Call accounts and MMFs'!$E:$E,ROW())/100,--INDEX('Call accounts and MMFs'!$E:$E,ROW())),0)</f>
        <v/>
      </c>
      <c r="O761">
        <f>IFERROR(--INDEX('Call accounts and MMFs'!$F:$F,ROW()),0)</f>
        <v/>
      </c>
      <c r="P761">
        <f>IF(ISNUMBER(INDEX('Call accounts and MMFs'!$E:$E,ROW())),1,0)</f>
        <v/>
      </c>
      <c r="Q761">
        <f>TRIM(SUBSTITUTE(INDEX('Pooled funds'!$B:$B,ROW())&amp;""," "," "))</f>
        <v/>
      </c>
      <c r="R761">
        <f>IFERROR(--INDEX('Pooled funds'!$C:$C,ROW()),0)</f>
        <v/>
      </c>
      <c r="S761">
        <f>IFERROR(--INDEX('Pooled funds'!$D:$D,ROW()),0)</f>
        <v/>
      </c>
      <c r="T761">
        <f>IFERROR(IF(--INDEX('Pooled funds'!$E:$E,ROW())&gt;=1,--INDEX('Pooled funds'!$E:$E,ROW())/100,--INDEX('Pooled funds'!$E:$E,ROW())),0)</f>
        <v/>
      </c>
      <c r="U761">
        <f>IF(ISNUMBER(INDEX('Pooled funds'!$E:$E,ROW())),1,0)</f>
        <v/>
      </c>
      <c r="V761">
        <f>TRIM(SUBSTITUTE(INDEX('Loans'!$A:$A,ROW())&amp;""," "," "))</f>
        <v/>
      </c>
      <c r="W761">
        <f>TRIM(SUBSTITUTE(INDEX('Loans'!$B:$B,ROW())&amp;""," "," "))</f>
        <v/>
      </c>
      <c r="X761">
        <f>TRIM(SUBSTITUTE(INDEX('Loans'!$C:$C,ROW())&amp;""," "," "))</f>
        <v/>
      </c>
      <c r="Y761">
        <f>IFERROR(--INDEX('Loans'!$D:$D,ROW()),0)</f>
        <v/>
      </c>
      <c r="Z761">
        <f>IFERROR(--INDEX('Loans'!$E:$E,ROW()),0)</f>
        <v/>
      </c>
      <c r="AA761">
        <f>IFERROR(--INDEX('Loans'!$F:$F,ROW()),0)</f>
        <v/>
      </c>
      <c r="AB761">
        <f>IFERROR(IF(--INDEX('Loans'!$G:$G,ROW())&gt;=1,--INDEX('Loans'!$G:$G,ROW())/100,--INDEX('Loans'!$G:$G,ROW())),0)</f>
        <v/>
      </c>
      <c r="AC761">
        <f>TRIM(SUBSTITUTE(INDEX('Loans'!$H:$H,ROW())&amp;""," "," "))</f>
        <v/>
      </c>
      <c r="AD761">
        <f>TRIM(SUBSTITUTE(INDEX('Loans'!$I:$I,ROW())&amp;""," "," "))</f>
        <v/>
      </c>
      <c r="AE761">
        <f>IFERROR(--INDEX('Loans'!$J:$J,ROW()),0)</f>
        <v/>
      </c>
      <c r="AF761">
        <f>TRIM(SUBSTITUTE(INDEX('Loans'!$K:$K,ROW())&amp;""," "," "))</f>
        <v/>
      </c>
      <c r="AG761">
        <f>IFERROR(--INDEX('Loans'!$L:$L,ROW()),0)</f>
        <v/>
      </c>
      <c r="AH761">
        <f>IF(ISNUMBER(INDEX('Loans'!$G:$G,ROW())),1,0)</f>
        <v/>
      </c>
    </row>
    <row r="762">
      <c r="A762">
        <f>TRIM(SUBSTITUTE(INDEX('Term investments'!$A:$A,ROW())&amp;""," "," "))</f>
        <v/>
      </c>
      <c r="B762">
        <f>TRIM(SUBSTITUTE(INDEX('Term investments'!$B:$B,ROW())&amp;""," "," "))</f>
        <v/>
      </c>
      <c r="C762">
        <f>TRIM(SUBSTITUTE(INDEX('Term investments'!$C:$C,ROW())&amp;""," "," "))</f>
        <v/>
      </c>
      <c r="D762">
        <f>IFERROR(--INDEX('Term investments'!$D:$D,ROW()),0)</f>
        <v/>
      </c>
      <c r="E762">
        <f>IFERROR(--INDEX('Term investments'!$E:$E,ROW()),0)</f>
        <v/>
      </c>
      <c r="F762">
        <f>IFERROR(--INDEX('Term investments'!$F:$F,ROW()),0)</f>
        <v/>
      </c>
      <c r="G762">
        <f>IFERROR(IF(--INDEX('Term investments'!$G:$G,ROW())&gt;=1,--INDEX('Term investments'!$G:$G,ROW())/100,--INDEX('Term investments'!$G:$G,ROW())),0)</f>
        <v/>
      </c>
      <c r="H762">
        <f>IFERROR(--INDEX('Term investments'!$H:$H,ROW()),0)</f>
        <v/>
      </c>
      <c r="I762">
        <f>IF(ISNUMBER(INDEX('Term investments'!$G:$G,ROW())),1,0)</f>
        <v/>
      </c>
      <c r="J762">
        <f>TRIM(SUBSTITUTE(INDEX('Call accounts and MMFs'!$A:$A,ROW())&amp;""," "," "))</f>
        <v/>
      </c>
      <c r="K762">
        <f>TRIM(SUBSTITUTE(INDEX('Call accounts and MMFs'!$B:$B,ROW())&amp;""," "," "))</f>
        <v/>
      </c>
      <c r="L762">
        <f>TRIM(SUBSTITUTE(INDEX('Call accounts and MMFs'!$C:$C,ROW())&amp;""," "," "))</f>
        <v/>
      </c>
      <c r="M762">
        <f>IFERROR(--INDEX('Call accounts and MMFs'!$D:$D,ROW()),0)</f>
        <v/>
      </c>
      <c r="N762">
        <f>IFERROR(IF(--INDEX('Call accounts and MMFs'!$E:$E,ROW())&gt;=1,--INDEX('Call accounts and MMFs'!$E:$E,ROW())/100,--INDEX('Call accounts and MMFs'!$E:$E,ROW())),0)</f>
        <v/>
      </c>
      <c r="O762">
        <f>IFERROR(--INDEX('Call accounts and MMFs'!$F:$F,ROW()),0)</f>
        <v/>
      </c>
      <c r="P762">
        <f>IF(ISNUMBER(INDEX('Call accounts and MMFs'!$E:$E,ROW())),1,0)</f>
        <v/>
      </c>
      <c r="Q762">
        <f>TRIM(SUBSTITUTE(INDEX('Pooled funds'!$B:$B,ROW())&amp;""," "," "))</f>
        <v/>
      </c>
      <c r="R762">
        <f>IFERROR(--INDEX('Pooled funds'!$C:$C,ROW()),0)</f>
        <v/>
      </c>
      <c r="S762">
        <f>IFERROR(--INDEX('Pooled funds'!$D:$D,ROW()),0)</f>
        <v/>
      </c>
      <c r="T762">
        <f>IFERROR(IF(--INDEX('Pooled funds'!$E:$E,ROW())&gt;=1,--INDEX('Pooled funds'!$E:$E,ROW())/100,--INDEX('Pooled funds'!$E:$E,ROW())),0)</f>
        <v/>
      </c>
      <c r="U762">
        <f>IF(ISNUMBER(INDEX('Pooled funds'!$E:$E,ROW())),1,0)</f>
        <v/>
      </c>
      <c r="V762">
        <f>TRIM(SUBSTITUTE(INDEX('Loans'!$A:$A,ROW())&amp;""," "," "))</f>
        <v/>
      </c>
      <c r="W762">
        <f>TRIM(SUBSTITUTE(INDEX('Loans'!$B:$B,ROW())&amp;""," "," "))</f>
        <v/>
      </c>
      <c r="X762">
        <f>TRIM(SUBSTITUTE(INDEX('Loans'!$C:$C,ROW())&amp;""," "," "))</f>
        <v/>
      </c>
      <c r="Y762">
        <f>IFERROR(--INDEX('Loans'!$D:$D,ROW()),0)</f>
        <v/>
      </c>
      <c r="Z762">
        <f>IFERROR(--INDEX('Loans'!$E:$E,ROW()),0)</f>
        <v/>
      </c>
      <c r="AA762">
        <f>IFERROR(--INDEX('Loans'!$F:$F,ROW()),0)</f>
        <v/>
      </c>
      <c r="AB762">
        <f>IFERROR(IF(--INDEX('Loans'!$G:$G,ROW())&gt;=1,--INDEX('Loans'!$G:$G,ROW())/100,--INDEX('Loans'!$G:$G,ROW())),0)</f>
        <v/>
      </c>
      <c r="AC762">
        <f>TRIM(SUBSTITUTE(INDEX('Loans'!$H:$H,ROW())&amp;""," "," "))</f>
        <v/>
      </c>
      <c r="AD762">
        <f>TRIM(SUBSTITUTE(INDEX('Loans'!$I:$I,ROW())&amp;""," "," "))</f>
        <v/>
      </c>
      <c r="AE762">
        <f>IFERROR(--INDEX('Loans'!$J:$J,ROW()),0)</f>
        <v/>
      </c>
      <c r="AF762">
        <f>TRIM(SUBSTITUTE(INDEX('Loans'!$K:$K,ROW())&amp;""," "," "))</f>
        <v/>
      </c>
      <c r="AG762">
        <f>IFERROR(--INDEX('Loans'!$L:$L,ROW()),0)</f>
        <v/>
      </c>
      <c r="AH762">
        <f>IF(ISNUMBER(INDEX('Loans'!$G:$G,ROW())),1,0)</f>
        <v/>
      </c>
    </row>
    <row r="763">
      <c r="A763">
        <f>TRIM(SUBSTITUTE(INDEX('Term investments'!$A:$A,ROW())&amp;""," "," "))</f>
        <v/>
      </c>
      <c r="B763">
        <f>TRIM(SUBSTITUTE(INDEX('Term investments'!$B:$B,ROW())&amp;""," "," "))</f>
        <v/>
      </c>
      <c r="C763">
        <f>TRIM(SUBSTITUTE(INDEX('Term investments'!$C:$C,ROW())&amp;""," "," "))</f>
        <v/>
      </c>
      <c r="D763">
        <f>IFERROR(--INDEX('Term investments'!$D:$D,ROW()),0)</f>
        <v/>
      </c>
      <c r="E763">
        <f>IFERROR(--INDEX('Term investments'!$E:$E,ROW()),0)</f>
        <v/>
      </c>
      <c r="F763">
        <f>IFERROR(--INDEX('Term investments'!$F:$F,ROW()),0)</f>
        <v/>
      </c>
      <c r="G763">
        <f>IFERROR(IF(--INDEX('Term investments'!$G:$G,ROW())&gt;=1,--INDEX('Term investments'!$G:$G,ROW())/100,--INDEX('Term investments'!$G:$G,ROW())),0)</f>
        <v/>
      </c>
      <c r="H763">
        <f>IFERROR(--INDEX('Term investments'!$H:$H,ROW()),0)</f>
        <v/>
      </c>
      <c r="I763">
        <f>IF(ISNUMBER(INDEX('Term investments'!$G:$G,ROW())),1,0)</f>
        <v/>
      </c>
      <c r="J763">
        <f>TRIM(SUBSTITUTE(INDEX('Call accounts and MMFs'!$A:$A,ROW())&amp;""," "," "))</f>
        <v/>
      </c>
      <c r="K763">
        <f>TRIM(SUBSTITUTE(INDEX('Call accounts and MMFs'!$B:$B,ROW())&amp;""," "," "))</f>
        <v/>
      </c>
      <c r="L763">
        <f>TRIM(SUBSTITUTE(INDEX('Call accounts and MMFs'!$C:$C,ROW())&amp;""," "," "))</f>
        <v/>
      </c>
      <c r="M763">
        <f>IFERROR(--INDEX('Call accounts and MMFs'!$D:$D,ROW()),0)</f>
        <v/>
      </c>
      <c r="N763">
        <f>IFERROR(IF(--INDEX('Call accounts and MMFs'!$E:$E,ROW())&gt;=1,--INDEX('Call accounts and MMFs'!$E:$E,ROW())/100,--INDEX('Call accounts and MMFs'!$E:$E,ROW())),0)</f>
        <v/>
      </c>
      <c r="O763">
        <f>IFERROR(--INDEX('Call accounts and MMFs'!$F:$F,ROW()),0)</f>
        <v/>
      </c>
      <c r="P763">
        <f>IF(ISNUMBER(INDEX('Call accounts and MMFs'!$E:$E,ROW())),1,0)</f>
        <v/>
      </c>
      <c r="Q763">
        <f>TRIM(SUBSTITUTE(INDEX('Pooled funds'!$B:$B,ROW())&amp;""," "," "))</f>
        <v/>
      </c>
      <c r="R763">
        <f>IFERROR(--INDEX('Pooled funds'!$C:$C,ROW()),0)</f>
        <v/>
      </c>
      <c r="S763">
        <f>IFERROR(--INDEX('Pooled funds'!$D:$D,ROW()),0)</f>
        <v/>
      </c>
      <c r="T763">
        <f>IFERROR(IF(--INDEX('Pooled funds'!$E:$E,ROW())&gt;=1,--INDEX('Pooled funds'!$E:$E,ROW())/100,--INDEX('Pooled funds'!$E:$E,ROW())),0)</f>
        <v/>
      </c>
      <c r="U763">
        <f>IF(ISNUMBER(INDEX('Pooled funds'!$E:$E,ROW())),1,0)</f>
        <v/>
      </c>
      <c r="V763">
        <f>TRIM(SUBSTITUTE(INDEX('Loans'!$A:$A,ROW())&amp;""," "," "))</f>
        <v/>
      </c>
      <c r="W763">
        <f>TRIM(SUBSTITUTE(INDEX('Loans'!$B:$B,ROW())&amp;""," "," "))</f>
        <v/>
      </c>
      <c r="X763">
        <f>TRIM(SUBSTITUTE(INDEX('Loans'!$C:$C,ROW())&amp;""," "," "))</f>
        <v/>
      </c>
      <c r="Y763">
        <f>IFERROR(--INDEX('Loans'!$D:$D,ROW()),0)</f>
        <v/>
      </c>
      <c r="Z763">
        <f>IFERROR(--INDEX('Loans'!$E:$E,ROW()),0)</f>
        <v/>
      </c>
      <c r="AA763">
        <f>IFERROR(--INDEX('Loans'!$F:$F,ROW()),0)</f>
        <v/>
      </c>
      <c r="AB763">
        <f>IFERROR(IF(--INDEX('Loans'!$G:$G,ROW())&gt;=1,--INDEX('Loans'!$G:$G,ROW())/100,--INDEX('Loans'!$G:$G,ROW())),0)</f>
        <v/>
      </c>
      <c r="AC763">
        <f>TRIM(SUBSTITUTE(INDEX('Loans'!$H:$H,ROW())&amp;""," "," "))</f>
        <v/>
      </c>
      <c r="AD763">
        <f>TRIM(SUBSTITUTE(INDEX('Loans'!$I:$I,ROW())&amp;""," "," "))</f>
        <v/>
      </c>
      <c r="AE763">
        <f>IFERROR(--INDEX('Loans'!$J:$J,ROW()),0)</f>
        <v/>
      </c>
      <c r="AF763">
        <f>TRIM(SUBSTITUTE(INDEX('Loans'!$K:$K,ROW())&amp;""," "," "))</f>
        <v/>
      </c>
      <c r="AG763">
        <f>IFERROR(--INDEX('Loans'!$L:$L,ROW()),0)</f>
        <v/>
      </c>
      <c r="AH763">
        <f>IF(ISNUMBER(INDEX('Loans'!$G:$G,ROW())),1,0)</f>
        <v/>
      </c>
    </row>
    <row r="764">
      <c r="A764">
        <f>TRIM(SUBSTITUTE(INDEX('Term investments'!$A:$A,ROW())&amp;""," "," "))</f>
        <v/>
      </c>
      <c r="B764">
        <f>TRIM(SUBSTITUTE(INDEX('Term investments'!$B:$B,ROW())&amp;""," "," "))</f>
        <v/>
      </c>
      <c r="C764">
        <f>TRIM(SUBSTITUTE(INDEX('Term investments'!$C:$C,ROW())&amp;""," "," "))</f>
        <v/>
      </c>
      <c r="D764">
        <f>IFERROR(--INDEX('Term investments'!$D:$D,ROW()),0)</f>
        <v/>
      </c>
      <c r="E764">
        <f>IFERROR(--INDEX('Term investments'!$E:$E,ROW()),0)</f>
        <v/>
      </c>
      <c r="F764">
        <f>IFERROR(--INDEX('Term investments'!$F:$F,ROW()),0)</f>
        <v/>
      </c>
      <c r="G764">
        <f>IFERROR(IF(--INDEX('Term investments'!$G:$G,ROW())&gt;=1,--INDEX('Term investments'!$G:$G,ROW())/100,--INDEX('Term investments'!$G:$G,ROW())),0)</f>
        <v/>
      </c>
      <c r="H764">
        <f>IFERROR(--INDEX('Term investments'!$H:$H,ROW()),0)</f>
        <v/>
      </c>
      <c r="I764">
        <f>IF(ISNUMBER(INDEX('Term investments'!$G:$G,ROW())),1,0)</f>
        <v/>
      </c>
      <c r="J764">
        <f>TRIM(SUBSTITUTE(INDEX('Call accounts and MMFs'!$A:$A,ROW())&amp;""," "," "))</f>
        <v/>
      </c>
      <c r="K764">
        <f>TRIM(SUBSTITUTE(INDEX('Call accounts and MMFs'!$B:$B,ROW())&amp;""," "," "))</f>
        <v/>
      </c>
      <c r="L764">
        <f>TRIM(SUBSTITUTE(INDEX('Call accounts and MMFs'!$C:$C,ROW())&amp;""," "," "))</f>
        <v/>
      </c>
      <c r="M764">
        <f>IFERROR(--INDEX('Call accounts and MMFs'!$D:$D,ROW()),0)</f>
        <v/>
      </c>
      <c r="N764">
        <f>IFERROR(IF(--INDEX('Call accounts and MMFs'!$E:$E,ROW())&gt;=1,--INDEX('Call accounts and MMFs'!$E:$E,ROW())/100,--INDEX('Call accounts and MMFs'!$E:$E,ROW())),0)</f>
        <v/>
      </c>
      <c r="O764">
        <f>IFERROR(--INDEX('Call accounts and MMFs'!$F:$F,ROW()),0)</f>
        <v/>
      </c>
      <c r="P764">
        <f>IF(ISNUMBER(INDEX('Call accounts and MMFs'!$E:$E,ROW())),1,0)</f>
        <v/>
      </c>
      <c r="Q764">
        <f>TRIM(SUBSTITUTE(INDEX('Pooled funds'!$B:$B,ROW())&amp;""," "," "))</f>
        <v/>
      </c>
      <c r="R764">
        <f>IFERROR(--INDEX('Pooled funds'!$C:$C,ROW()),0)</f>
        <v/>
      </c>
      <c r="S764">
        <f>IFERROR(--INDEX('Pooled funds'!$D:$D,ROW()),0)</f>
        <v/>
      </c>
      <c r="T764">
        <f>IFERROR(IF(--INDEX('Pooled funds'!$E:$E,ROW())&gt;=1,--INDEX('Pooled funds'!$E:$E,ROW())/100,--INDEX('Pooled funds'!$E:$E,ROW())),0)</f>
        <v/>
      </c>
      <c r="U764">
        <f>IF(ISNUMBER(INDEX('Pooled funds'!$E:$E,ROW())),1,0)</f>
        <v/>
      </c>
      <c r="V764">
        <f>TRIM(SUBSTITUTE(INDEX('Loans'!$A:$A,ROW())&amp;""," "," "))</f>
        <v/>
      </c>
      <c r="W764">
        <f>TRIM(SUBSTITUTE(INDEX('Loans'!$B:$B,ROW())&amp;""," "," "))</f>
        <v/>
      </c>
      <c r="X764">
        <f>TRIM(SUBSTITUTE(INDEX('Loans'!$C:$C,ROW())&amp;""," "," "))</f>
        <v/>
      </c>
      <c r="Y764">
        <f>IFERROR(--INDEX('Loans'!$D:$D,ROW()),0)</f>
        <v/>
      </c>
      <c r="Z764">
        <f>IFERROR(--INDEX('Loans'!$E:$E,ROW()),0)</f>
        <v/>
      </c>
      <c r="AA764">
        <f>IFERROR(--INDEX('Loans'!$F:$F,ROW()),0)</f>
        <v/>
      </c>
      <c r="AB764">
        <f>IFERROR(IF(--INDEX('Loans'!$G:$G,ROW())&gt;=1,--INDEX('Loans'!$G:$G,ROW())/100,--INDEX('Loans'!$G:$G,ROW())),0)</f>
        <v/>
      </c>
      <c r="AC764">
        <f>TRIM(SUBSTITUTE(INDEX('Loans'!$H:$H,ROW())&amp;""," "," "))</f>
        <v/>
      </c>
      <c r="AD764">
        <f>TRIM(SUBSTITUTE(INDEX('Loans'!$I:$I,ROW())&amp;""," "," "))</f>
        <v/>
      </c>
      <c r="AE764">
        <f>IFERROR(--INDEX('Loans'!$J:$J,ROW()),0)</f>
        <v/>
      </c>
      <c r="AF764">
        <f>TRIM(SUBSTITUTE(INDEX('Loans'!$K:$K,ROW())&amp;""," "," "))</f>
        <v/>
      </c>
      <c r="AG764">
        <f>IFERROR(--INDEX('Loans'!$L:$L,ROW()),0)</f>
        <v/>
      </c>
      <c r="AH764">
        <f>IF(ISNUMBER(INDEX('Loans'!$G:$G,ROW())),1,0)</f>
        <v/>
      </c>
    </row>
    <row r="765">
      <c r="A765">
        <f>TRIM(SUBSTITUTE(INDEX('Term investments'!$A:$A,ROW())&amp;""," "," "))</f>
        <v/>
      </c>
      <c r="B765">
        <f>TRIM(SUBSTITUTE(INDEX('Term investments'!$B:$B,ROW())&amp;""," "," "))</f>
        <v/>
      </c>
      <c r="C765">
        <f>TRIM(SUBSTITUTE(INDEX('Term investments'!$C:$C,ROW())&amp;""," "," "))</f>
        <v/>
      </c>
      <c r="D765">
        <f>IFERROR(--INDEX('Term investments'!$D:$D,ROW()),0)</f>
        <v/>
      </c>
      <c r="E765">
        <f>IFERROR(--INDEX('Term investments'!$E:$E,ROW()),0)</f>
        <v/>
      </c>
      <c r="F765">
        <f>IFERROR(--INDEX('Term investments'!$F:$F,ROW()),0)</f>
        <v/>
      </c>
      <c r="G765">
        <f>IFERROR(IF(--INDEX('Term investments'!$G:$G,ROW())&gt;=1,--INDEX('Term investments'!$G:$G,ROW())/100,--INDEX('Term investments'!$G:$G,ROW())),0)</f>
        <v/>
      </c>
      <c r="H765">
        <f>IFERROR(--INDEX('Term investments'!$H:$H,ROW()),0)</f>
        <v/>
      </c>
      <c r="I765">
        <f>IF(ISNUMBER(INDEX('Term investments'!$G:$G,ROW())),1,0)</f>
        <v/>
      </c>
      <c r="J765">
        <f>TRIM(SUBSTITUTE(INDEX('Call accounts and MMFs'!$A:$A,ROW())&amp;""," "," "))</f>
        <v/>
      </c>
      <c r="K765">
        <f>TRIM(SUBSTITUTE(INDEX('Call accounts and MMFs'!$B:$B,ROW())&amp;""," "," "))</f>
        <v/>
      </c>
      <c r="L765">
        <f>TRIM(SUBSTITUTE(INDEX('Call accounts and MMFs'!$C:$C,ROW())&amp;""," "," "))</f>
        <v/>
      </c>
      <c r="M765">
        <f>IFERROR(--INDEX('Call accounts and MMFs'!$D:$D,ROW()),0)</f>
        <v/>
      </c>
      <c r="N765">
        <f>IFERROR(IF(--INDEX('Call accounts and MMFs'!$E:$E,ROW())&gt;=1,--INDEX('Call accounts and MMFs'!$E:$E,ROW())/100,--INDEX('Call accounts and MMFs'!$E:$E,ROW())),0)</f>
        <v/>
      </c>
      <c r="O765">
        <f>IFERROR(--INDEX('Call accounts and MMFs'!$F:$F,ROW()),0)</f>
        <v/>
      </c>
      <c r="P765">
        <f>IF(ISNUMBER(INDEX('Call accounts and MMFs'!$E:$E,ROW())),1,0)</f>
        <v/>
      </c>
      <c r="Q765">
        <f>TRIM(SUBSTITUTE(INDEX('Pooled funds'!$B:$B,ROW())&amp;""," "," "))</f>
        <v/>
      </c>
      <c r="R765">
        <f>IFERROR(--INDEX('Pooled funds'!$C:$C,ROW()),0)</f>
        <v/>
      </c>
      <c r="S765">
        <f>IFERROR(--INDEX('Pooled funds'!$D:$D,ROW()),0)</f>
        <v/>
      </c>
      <c r="T765">
        <f>IFERROR(IF(--INDEX('Pooled funds'!$E:$E,ROW())&gt;=1,--INDEX('Pooled funds'!$E:$E,ROW())/100,--INDEX('Pooled funds'!$E:$E,ROW())),0)</f>
        <v/>
      </c>
      <c r="U765">
        <f>IF(ISNUMBER(INDEX('Pooled funds'!$E:$E,ROW())),1,0)</f>
        <v/>
      </c>
      <c r="V765">
        <f>TRIM(SUBSTITUTE(INDEX('Loans'!$A:$A,ROW())&amp;""," "," "))</f>
        <v/>
      </c>
      <c r="W765">
        <f>TRIM(SUBSTITUTE(INDEX('Loans'!$B:$B,ROW())&amp;""," "," "))</f>
        <v/>
      </c>
      <c r="X765">
        <f>TRIM(SUBSTITUTE(INDEX('Loans'!$C:$C,ROW())&amp;""," "," "))</f>
        <v/>
      </c>
      <c r="Y765">
        <f>IFERROR(--INDEX('Loans'!$D:$D,ROW()),0)</f>
        <v/>
      </c>
      <c r="Z765">
        <f>IFERROR(--INDEX('Loans'!$E:$E,ROW()),0)</f>
        <v/>
      </c>
      <c r="AA765">
        <f>IFERROR(--INDEX('Loans'!$F:$F,ROW()),0)</f>
        <v/>
      </c>
      <c r="AB765">
        <f>IFERROR(IF(--INDEX('Loans'!$G:$G,ROW())&gt;=1,--INDEX('Loans'!$G:$G,ROW())/100,--INDEX('Loans'!$G:$G,ROW())),0)</f>
        <v/>
      </c>
      <c r="AC765">
        <f>TRIM(SUBSTITUTE(INDEX('Loans'!$H:$H,ROW())&amp;""," "," "))</f>
        <v/>
      </c>
      <c r="AD765">
        <f>TRIM(SUBSTITUTE(INDEX('Loans'!$I:$I,ROW())&amp;""," "," "))</f>
        <v/>
      </c>
      <c r="AE765">
        <f>IFERROR(--INDEX('Loans'!$J:$J,ROW()),0)</f>
        <v/>
      </c>
      <c r="AF765">
        <f>TRIM(SUBSTITUTE(INDEX('Loans'!$K:$K,ROW())&amp;""," "," "))</f>
        <v/>
      </c>
      <c r="AG765">
        <f>IFERROR(--INDEX('Loans'!$L:$L,ROW()),0)</f>
        <v/>
      </c>
      <c r="AH765">
        <f>IF(ISNUMBER(INDEX('Loans'!$G:$G,ROW())),1,0)</f>
        <v/>
      </c>
    </row>
    <row r="766">
      <c r="A766">
        <f>TRIM(SUBSTITUTE(INDEX('Term investments'!$A:$A,ROW())&amp;""," "," "))</f>
        <v/>
      </c>
      <c r="B766">
        <f>TRIM(SUBSTITUTE(INDEX('Term investments'!$B:$B,ROW())&amp;""," "," "))</f>
        <v/>
      </c>
      <c r="C766">
        <f>TRIM(SUBSTITUTE(INDEX('Term investments'!$C:$C,ROW())&amp;""," "," "))</f>
        <v/>
      </c>
      <c r="D766">
        <f>IFERROR(--INDEX('Term investments'!$D:$D,ROW()),0)</f>
        <v/>
      </c>
      <c r="E766">
        <f>IFERROR(--INDEX('Term investments'!$E:$E,ROW()),0)</f>
        <v/>
      </c>
      <c r="F766">
        <f>IFERROR(--INDEX('Term investments'!$F:$F,ROW()),0)</f>
        <v/>
      </c>
      <c r="G766">
        <f>IFERROR(IF(--INDEX('Term investments'!$G:$G,ROW())&gt;=1,--INDEX('Term investments'!$G:$G,ROW())/100,--INDEX('Term investments'!$G:$G,ROW())),0)</f>
        <v/>
      </c>
      <c r="H766">
        <f>IFERROR(--INDEX('Term investments'!$H:$H,ROW()),0)</f>
        <v/>
      </c>
      <c r="I766">
        <f>IF(ISNUMBER(INDEX('Term investments'!$G:$G,ROW())),1,0)</f>
        <v/>
      </c>
      <c r="J766">
        <f>TRIM(SUBSTITUTE(INDEX('Call accounts and MMFs'!$A:$A,ROW())&amp;""," "," "))</f>
        <v/>
      </c>
      <c r="K766">
        <f>TRIM(SUBSTITUTE(INDEX('Call accounts and MMFs'!$B:$B,ROW())&amp;""," "," "))</f>
        <v/>
      </c>
      <c r="L766">
        <f>TRIM(SUBSTITUTE(INDEX('Call accounts and MMFs'!$C:$C,ROW())&amp;""," "," "))</f>
        <v/>
      </c>
      <c r="M766">
        <f>IFERROR(--INDEX('Call accounts and MMFs'!$D:$D,ROW()),0)</f>
        <v/>
      </c>
      <c r="N766">
        <f>IFERROR(IF(--INDEX('Call accounts and MMFs'!$E:$E,ROW())&gt;=1,--INDEX('Call accounts and MMFs'!$E:$E,ROW())/100,--INDEX('Call accounts and MMFs'!$E:$E,ROW())),0)</f>
        <v/>
      </c>
      <c r="O766">
        <f>IFERROR(--INDEX('Call accounts and MMFs'!$F:$F,ROW()),0)</f>
        <v/>
      </c>
      <c r="P766">
        <f>IF(ISNUMBER(INDEX('Call accounts and MMFs'!$E:$E,ROW())),1,0)</f>
        <v/>
      </c>
      <c r="Q766">
        <f>TRIM(SUBSTITUTE(INDEX('Pooled funds'!$B:$B,ROW())&amp;""," "," "))</f>
        <v/>
      </c>
      <c r="R766">
        <f>IFERROR(--INDEX('Pooled funds'!$C:$C,ROW()),0)</f>
        <v/>
      </c>
      <c r="S766">
        <f>IFERROR(--INDEX('Pooled funds'!$D:$D,ROW()),0)</f>
        <v/>
      </c>
      <c r="T766">
        <f>IFERROR(IF(--INDEX('Pooled funds'!$E:$E,ROW())&gt;=1,--INDEX('Pooled funds'!$E:$E,ROW())/100,--INDEX('Pooled funds'!$E:$E,ROW())),0)</f>
        <v/>
      </c>
      <c r="U766">
        <f>IF(ISNUMBER(INDEX('Pooled funds'!$E:$E,ROW())),1,0)</f>
        <v/>
      </c>
      <c r="V766">
        <f>TRIM(SUBSTITUTE(INDEX('Loans'!$A:$A,ROW())&amp;""," "," "))</f>
        <v/>
      </c>
      <c r="W766">
        <f>TRIM(SUBSTITUTE(INDEX('Loans'!$B:$B,ROW())&amp;""," "," "))</f>
        <v/>
      </c>
      <c r="X766">
        <f>TRIM(SUBSTITUTE(INDEX('Loans'!$C:$C,ROW())&amp;""," "," "))</f>
        <v/>
      </c>
      <c r="Y766">
        <f>IFERROR(--INDEX('Loans'!$D:$D,ROW()),0)</f>
        <v/>
      </c>
      <c r="Z766">
        <f>IFERROR(--INDEX('Loans'!$E:$E,ROW()),0)</f>
        <v/>
      </c>
      <c r="AA766">
        <f>IFERROR(--INDEX('Loans'!$F:$F,ROW()),0)</f>
        <v/>
      </c>
      <c r="AB766">
        <f>IFERROR(IF(--INDEX('Loans'!$G:$G,ROW())&gt;=1,--INDEX('Loans'!$G:$G,ROW())/100,--INDEX('Loans'!$G:$G,ROW())),0)</f>
        <v/>
      </c>
      <c r="AC766">
        <f>TRIM(SUBSTITUTE(INDEX('Loans'!$H:$H,ROW())&amp;""," "," "))</f>
        <v/>
      </c>
      <c r="AD766">
        <f>TRIM(SUBSTITUTE(INDEX('Loans'!$I:$I,ROW())&amp;""," "," "))</f>
        <v/>
      </c>
      <c r="AE766">
        <f>IFERROR(--INDEX('Loans'!$J:$J,ROW()),0)</f>
        <v/>
      </c>
      <c r="AF766">
        <f>TRIM(SUBSTITUTE(INDEX('Loans'!$K:$K,ROW())&amp;""," "," "))</f>
        <v/>
      </c>
      <c r="AG766">
        <f>IFERROR(--INDEX('Loans'!$L:$L,ROW()),0)</f>
        <v/>
      </c>
      <c r="AH766">
        <f>IF(ISNUMBER(INDEX('Loans'!$G:$G,ROW())),1,0)</f>
        <v/>
      </c>
    </row>
    <row r="767">
      <c r="A767">
        <f>TRIM(SUBSTITUTE(INDEX('Term investments'!$A:$A,ROW())&amp;""," "," "))</f>
        <v/>
      </c>
      <c r="B767">
        <f>TRIM(SUBSTITUTE(INDEX('Term investments'!$B:$B,ROW())&amp;""," "," "))</f>
        <v/>
      </c>
      <c r="C767">
        <f>TRIM(SUBSTITUTE(INDEX('Term investments'!$C:$C,ROW())&amp;""," "," "))</f>
        <v/>
      </c>
      <c r="D767">
        <f>IFERROR(--INDEX('Term investments'!$D:$D,ROW()),0)</f>
        <v/>
      </c>
      <c r="E767">
        <f>IFERROR(--INDEX('Term investments'!$E:$E,ROW()),0)</f>
        <v/>
      </c>
      <c r="F767">
        <f>IFERROR(--INDEX('Term investments'!$F:$F,ROW()),0)</f>
        <v/>
      </c>
      <c r="G767">
        <f>IFERROR(IF(--INDEX('Term investments'!$G:$G,ROW())&gt;=1,--INDEX('Term investments'!$G:$G,ROW())/100,--INDEX('Term investments'!$G:$G,ROW())),0)</f>
        <v/>
      </c>
      <c r="H767">
        <f>IFERROR(--INDEX('Term investments'!$H:$H,ROW()),0)</f>
        <v/>
      </c>
      <c r="I767">
        <f>IF(ISNUMBER(INDEX('Term investments'!$G:$G,ROW())),1,0)</f>
        <v/>
      </c>
      <c r="J767">
        <f>TRIM(SUBSTITUTE(INDEX('Call accounts and MMFs'!$A:$A,ROW())&amp;""," "," "))</f>
        <v/>
      </c>
      <c r="K767">
        <f>TRIM(SUBSTITUTE(INDEX('Call accounts and MMFs'!$B:$B,ROW())&amp;""," "," "))</f>
        <v/>
      </c>
      <c r="L767">
        <f>TRIM(SUBSTITUTE(INDEX('Call accounts and MMFs'!$C:$C,ROW())&amp;""," "," "))</f>
        <v/>
      </c>
      <c r="M767">
        <f>IFERROR(--INDEX('Call accounts and MMFs'!$D:$D,ROW()),0)</f>
        <v/>
      </c>
      <c r="N767">
        <f>IFERROR(IF(--INDEX('Call accounts and MMFs'!$E:$E,ROW())&gt;=1,--INDEX('Call accounts and MMFs'!$E:$E,ROW())/100,--INDEX('Call accounts and MMFs'!$E:$E,ROW())),0)</f>
        <v/>
      </c>
      <c r="O767">
        <f>IFERROR(--INDEX('Call accounts and MMFs'!$F:$F,ROW()),0)</f>
        <v/>
      </c>
      <c r="P767">
        <f>IF(ISNUMBER(INDEX('Call accounts and MMFs'!$E:$E,ROW())),1,0)</f>
        <v/>
      </c>
      <c r="Q767">
        <f>TRIM(SUBSTITUTE(INDEX('Pooled funds'!$B:$B,ROW())&amp;""," "," "))</f>
        <v/>
      </c>
      <c r="R767">
        <f>IFERROR(--INDEX('Pooled funds'!$C:$C,ROW()),0)</f>
        <v/>
      </c>
      <c r="S767">
        <f>IFERROR(--INDEX('Pooled funds'!$D:$D,ROW()),0)</f>
        <v/>
      </c>
      <c r="T767">
        <f>IFERROR(IF(--INDEX('Pooled funds'!$E:$E,ROW())&gt;=1,--INDEX('Pooled funds'!$E:$E,ROW())/100,--INDEX('Pooled funds'!$E:$E,ROW())),0)</f>
        <v/>
      </c>
      <c r="U767">
        <f>IF(ISNUMBER(INDEX('Pooled funds'!$E:$E,ROW())),1,0)</f>
        <v/>
      </c>
      <c r="V767">
        <f>TRIM(SUBSTITUTE(INDEX('Loans'!$A:$A,ROW())&amp;""," "," "))</f>
        <v/>
      </c>
      <c r="W767">
        <f>TRIM(SUBSTITUTE(INDEX('Loans'!$B:$B,ROW())&amp;""," "," "))</f>
        <v/>
      </c>
      <c r="X767">
        <f>TRIM(SUBSTITUTE(INDEX('Loans'!$C:$C,ROW())&amp;""," "," "))</f>
        <v/>
      </c>
      <c r="Y767">
        <f>IFERROR(--INDEX('Loans'!$D:$D,ROW()),0)</f>
        <v/>
      </c>
      <c r="Z767">
        <f>IFERROR(--INDEX('Loans'!$E:$E,ROW()),0)</f>
        <v/>
      </c>
      <c r="AA767">
        <f>IFERROR(--INDEX('Loans'!$F:$F,ROW()),0)</f>
        <v/>
      </c>
      <c r="AB767">
        <f>IFERROR(IF(--INDEX('Loans'!$G:$G,ROW())&gt;=1,--INDEX('Loans'!$G:$G,ROW())/100,--INDEX('Loans'!$G:$G,ROW())),0)</f>
        <v/>
      </c>
      <c r="AC767">
        <f>TRIM(SUBSTITUTE(INDEX('Loans'!$H:$H,ROW())&amp;""," "," "))</f>
        <v/>
      </c>
      <c r="AD767">
        <f>TRIM(SUBSTITUTE(INDEX('Loans'!$I:$I,ROW())&amp;""," "," "))</f>
        <v/>
      </c>
      <c r="AE767">
        <f>IFERROR(--INDEX('Loans'!$J:$J,ROW()),0)</f>
        <v/>
      </c>
      <c r="AF767">
        <f>TRIM(SUBSTITUTE(INDEX('Loans'!$K:$K,ROW())&amp;""," "," "))</f>
        <v/>
      </c>
      <c r="AG767">
        <f>IFERROR(--INDEX('Loans'!$L:$L,ROW()),0)</f>
        <v/>
      </c>
      <c r="AH767">
        <f>IF(ISNUMBER(INDEX('Loans'!$G:$G,ROW())),1,0)</f>
        <v/>
      </c>
    </row>
    <row r="768">
      <c r="A768">
        <f>TRIM(SUBSTITUTE(INDEX('Term investments'!$A:$A,ROW())&amp;""," "," "))</f>
        <v/>
      </c>
      <c r="B768">
        <f>TRIM(SUBSTITUTE(INDEX('Term investments'!$B:$B,ROW())&amp;""," "," "))</f>
        <v/>
      </c>
      <c r="C768">
        <f>TRIM(SUBSTITUTE(INDEX('Term investments'!$C:$C,ROW())&amp;""," "," "))</f>
        <v/>
      </c>
      <c r="D768">
        <f>IFERROR(--INDEX('Term investments'!$D:$D,ROW()),0)</f>
        <v/>
      </c>
      <c r="E768">
        <f>IFERROR(--INDEX('Term investments'!$E:$E,ROW()),0)</f>
        <v/>
      </c>
      <c r="F768">
        <f>IFERROR(--INDEX('Term investments'!$F:$F,ROW()),0)</f>
        <v/>
      </c>
      <c r="G768">
        <f>IFERROR(IF(--INDEX('Term investments'!$G:$G,ROW())&gt;=1,--INDEX('Term investments'!$G:$G,ROW())/100,--INDEX('Term investments'!$G:$G,ROW())),0)</f>
        <v/>
      </c>
      <c r="H768">
        <f>IFERROR(--INDEX('Term investments'!$H:$H,ROW()),0)</f>
        <v/>
      </c>
      <c r="I768">
        <f>IF(ISNUMBER(INDEX('Term investments'!$G:$G,ROW())),1,0)</f>
        <v/>
      </c>
      <c r="J768">
        <f>TRIM(SUBSTITUTE(INDEX('Call accounts and MMFs'!$A:$A,ROW())&amp;""," "," "))</f>
        <v/>
      </c>
      <c r="K768">
        <f>TRIM(SUBSTITUTE(INDEX('Call accounts and MMFs'!$B:$B,ROW())&amp;""," "," "))</f>
        <v/>
      </c>
      <c r="L768">
        <f>TRIM(SUBSTITUTE(INDEX('Call accounts and MMFs'!$C:$C,ROW())&amp;""," "," "))</f>
        <v/>
      </c>
      <c r="M768">
        <f>IFERROR(--INDEX('Call accounts and MMFs'!$D:$D,ROW()),0)</f>
        <v/>
      </c>
      <c r="N768">
        <f>IFERROR(IF(--INDEX('Call accounts and MMFs'!$E:$E,ROW())&gt;=1,--INDEX('Call accounts and MMFs'!$E:$E,ROW())/100,--INDEX('Call accounts and MMFs'!$E:$E,ROW())),0)</f>
        <v/>
      </c>
      <c r="O768">
        <f>IFERROR(--INDEX('Call accounts and MMFs'!$F:$F,ROW()),0)</f>
        <v/>
      </c>
      <c r="P768">
        <f>IF(ISNUMBER(INDEX('Call accounts and MMFs'!$E:$E,ROW())),1,0)</f>
        <v/>
      </c>
      <c r="Q768">
        <f>TRIM(SUBSTITUTE(INDEX('Pooled funds'!$B:$B,ROW())&amp;""," "," "))</f>
        <v/>
      </c>
      <c r="R768">
        <f>IFERROR(--INDEX('Pooled funds'!$C:$C,ROW()),0)</f>
        <v/>
      </c>
      <c r="S768">
        <f>IFERROR(--INDEX('Pooled funds'!$D:$D,ROW()),0)</f>
        <v/>
      </c>
      <c r="T768">
        <f>IFERROR(IF(--INDEX('Pooled funds'!$E:$E,ROW())&gt;=1,--INDEX('Pooled funds'!$E:$E,ROW())/100,--INDEX('Pooled funds'!$E:$E,ROW())),0)</f>
        <v/>
      </c>
      <c r="U768">
        <f>IF(ISNUMBER(INDEX('Pooled funds'!$E:$E,ROW())),1,0)</f>
        <v/>
      </c>
      <c r="V768">
        <f>TRIM(SUBSTITUTE(INDEX('Loans'!$A:$A,ROW())&amp;""," "," "))</f>
        <v/>
      </c>
      <c r="W768">
        <f>TRIM(SUBSTITUTE(INDEX('Loans'!$B:$B,ROW())&amp;""," "," "))</f>
        <v/>
      </c>
      <c r="X768">
        <f>TRIM(SUBSTITUTE(INDEX('Loans'!$C:$C,ROW())&amp;""," "," "))</f>
        <v/>
      </c>
      <c r="Y768">
        <f>IFERROR(--INDEX('Loans'!$D:$D,ROW()),0)</f>
        <v/>
      </c>
      <c r="Z768">
        <f>IFERROR(--INDEX('Loans'!$E:$E,ROW()),0)</f>
        <v/>
      </c>
      <c r="AA768">
        <f>IFERROR(--INDEX('Loans'!$F:$F,ROW()),0)</f>
        <v/>
      </c>
      <c r="AB768">
        <f>IFERROR(IF(--INDEX('Loans'!$G:$G,ROW())&gt;=1,--INDEX('Loans'!$G:$G,ROW())/100,--INDEX('Loans'!$G:$G,ROW())),0)</f>
        <v/>
      </c>
      <c r="AC768">
        <f>TRIM(SUBSTITUTE(INDEX('Loans'!$H:$H,ROW())&amp;""," "," "))</f>
        <v/>
      </c>
      <c r="AD768">
        <f>TRIM(SUBSTITUTE(INDEX('Loans'!$I:$I,ROW())&amp;""," "," "))</f>
        <v/>
      </c>
      <c r="AE768">
        <f>IFERROR(--INDEX('Loans'!$J:$J,ROW()),0)</f>
        <v/>
      </c>
      <c r="AF768">
        <f>TRIM(SUBSTITUTE(INDEX('Loans'!$K:$K,ROW())&amp;""," "," "))</f>
        <v/>
      </c>
      <c r="AG768">
        <f>IFERROR(--INDEX('Loans'!$L:$L,ROW()),0)</f>
        <v/>
      </c>
      <c r="AH768">
        <f>IF(ISNUMBER(INDEX('Loans'!$G:$G,ROW())),1,0)</f>
        <v/>
      </c>
    </row>
    <row r="769">
      <c r="A769">
        <f>TRIM(SUBSTITUTE(INDEX('Term investments'!$A:$A,ROW())&amp;""," "," "))</f>
        <v/>
      </c>
      <c r="B769">
        <f>TRIM(SUBSTITUTE(INDEX('Term investments'!$B:$B,ROW())&amp;""," "," "))</f>
        <v/>
      </c>
      <c r="C769">
        <f>TRIM(SUBSTITUTE(INDEX('Term investments'!$C:$C,ROW())&amp;""," "," "))</f>
        <v/>
      </c>
      <c r="D769">
        <f>IFERROR(--INDEX('Term investments'!$D:$D,ROW()),0)</f>
        <v/>
      </c>
      <c r="E769">
        <f>IFERROR(--INDEX('Term investments'!$E:$E,ROW()),0)</f>
        <v/>
      </c>
      <c r="F769">
        <f>IFERROR(--INDEX('Term investments'!$F:$F,ROW()),0)</f>
        <v/>
      </c>
      <c r="G769">
        <f>IFERROR(IF(--INDEX('Term investments'!$G:$G,ROW())&gt;=1,--INDEX('Term investments'!$G:$G,ROW())/100,--INDEX('Term investments'!$G:$G,ROW())),0)</f>
        <v/>
      </c>
      <c r="H769">
        <f>IFERROR(--INDEX('Term investments'!$H:$H,ROW()),0)</f>
        <v/>
      </c>
      <c r="I769">
        <f>IF(ISNUMBER(INDEX('Term investments'!$G:$G,ROW())),1,0)</f>
        <v/>
      </c>
      <c r="J769">
        <f>TRIM(SUBSTITUTE(INDEX('Call accounts and MMFs'!$A:$A,ROW())&amp;""," "," "))</f>
        <v/>
      </c>
      <c r="K769">
        <f>TRIM(SUBSTITUTE(INDEX('Call accounts and MMFs'!$B:$B,ROW())&amp;""," "," "))</f>
        <v/>
      </c>
      <c r="L769">
        <f>TRIM(SUBSTITUTE(INDEX('Call accounts and MMFs'!$C:$C,ROW())&amp;""," "," "))</f>
        <v/>
      </c>
      <c r="M769">
        <f>IFERROR(--INDEX('Call accounts and MMFs'!$D:$D,ROW()),0)</f>
        <v/>
      </c>
      <c r="N769">
        <f>IFERROR(IF(--INDEX('Call accounts and MMFs'!$E:$E,ROW())&gt;=1,--INDEX('Call accounts and MMFs'!$E:$E,ROW())/100,--INDEX('Call accounts and MMFs'!$E:$E,ROW())),0)</f>
        <v/>
      </c>
      <c r="O769">
        <f>IFERROR(--INDEX('Call accounts and MMFs'!$F:$F,ROW()),0)</f>
        <v/>
      </c>
      <c r="P769">
        <f>IF(ISNUMBER(INDEX('Call accounts and MMFs'!$E:$E,ROW())),1,0)</f>
        <v/>
      </c>
      <c r="Q769">
        <f>TRIM(SUBSTITUTE(INDEX('Pooled funds'!$B:$B,ROW())&amp;""," "," "))</f>
        <v/>
      </c>
      <c r="R769">
        <f>IFERROR(--INDEX('Pooled funds'!$C:$C,ROW()),0)</f>
        <v/>
      </c>
      <c r="S769">
        <f>IFERROR(--INDEX('Pooled funds'!$D:$D,ROW()),0)</f>
        <v/>
      </c>
      <c r="T769">
        <f>IFERROR(IF(--INDEX('Pooled funds'!$E:$E,ROW())&gt;=1,--INDEX('Pooled funds'!$E:$E,ROW())/100,--INDEX('Pooled funds'!$E:$E,ROW())),0)</f>
        <v/>
      </c>
      <c r="U769">
        <f>IF(ISNUMBER(INDEX('Pooled funds'!$E:$E,ROW())),1,0)</f>
        <v/>
      </c>
      <c r="V769">
        <f>TRIM(SUBSTITUTE(INDEX('Loans'!$A:$A,ROW())&amp;""," "," "))</f>
        <v/>
      </c>
      <c r="W769">
        <f>TRIM(SUBSTITUTE(INDEX('Loans'!$B:$B,ROW())&amp;""," "," "))</f>
        <v/>
      </c>
      <c r="X769">
        <f>TRIM(SUBSTITUTE(INDEX('Loans'!$C:$C,ROW())&amp;""," "," "))</f>
        <v/>
      </c>
      <c r="Y769">
        <f>IFERROR(--INDEX('Loans'!$D:$D,ROW()),0)</f>
        <v/>
      </c>
      <c r="Z769">
        <f>IFERROR(--INDEX('Loans'!$E:$E,ROW()),0)</f>
        <v/>
      </c>
      <c r="AA769">
        <f>IFERROR(--INDEX('Loans'!$F:$F,ROW()),0)</f>
        <v/>
      </c>
      <c r="AB769">
        <f>IFERROR(IF(--INDEX('Loans'!$G:$G,ROW())&gt;=1,--INDEX('Loans'!$G:$G,ROW())/100,--INDEX('Loans'!$G:$G,ROW())),0)</f>
        <v/>
      </c>
      <c r="AC769">
        <f>TRIM(SUBSTITUTE(INDEX('Loans'!$H:$H,ROW())&amp;""," "," "))</f>
        <v/>
      </c>
      <c r="AD769">
        <f>TRIM(SUBSTITUTE(INDEX('Loans'!$I:$I,ROW())&amp;""," "," "))</f>
        <v/>
      </c>
      <c r="AE769">
        <f>IFERROR(--INDEX('Loans'!$J:$J,ROW()),0)</f>
        <v/>
      </c>
      <c r="AF769">
        <f>TRIM(SUBSTITUTE(INDEX('Loans'!$K:$K,ROW())&amp;""," "," "))</f>
        <v/>
      </c>
      <c r="AG769">
        <f>IFERROR(--INDEX('Loans'!$L:$L,ROW()),0)</f>
        <v/>
      </c>
      <c r="AH769">
        <f>IF(ISNUMBER(INDEX('Loans'!$G:$G,ROW())),1,0)</f>
        <v/>
      </c>
    </row>
    <row r="770">
      <c r="A770">
        <f>TRIM(SUBSTITUTE(INDEX('Term investments'!$A:$A,ROW())&amp;""," "," "))</f>
        <v/>
      </c>
      <c r="B770">
        <f>TRIM(SUBSTITUTE(INDEX('Term investments'!$B:$B,ROW())&amp;""," "," "))</f>
        <v/>
      </c>
      <c r="C770">
        <f>TRIM(SUBSTITUTE(INDEX('Term investments'!$C:$C,ROW())&amp;""," "," "))</f>
        <v/>
      </c>
      <c r="D770">
        <f>IFERROR(--INDEX('Term investments'!$D:$D,ROW()),0)</f>
        <v/>
      </c>
      <c r="E770">
        <f>IFERROR(--INDEX('Term investments'!$E:$E,ROW()),0)</f>
        <v/>
      </c>
      <c r="F770">
        <f>IFERROR(--INDEX('Term investments'!$F:$F,ROW()),0)</f>
        <v/>
      </c>
      <c r="G770">
        <f>IFERROR(IF(--INDEX('Term investments'!$G:$G,ROW())&gt;=1,--INDEX('Term investments'!$G:$G,ROW())/100,--INDEX('Term investments'!$G:$G,ROW())),0)</f>
        <v/>
      </c>
      <c r="H770">
        <f>IFERROR(--INDEX('Term investments'!$H:$H,ROW()),0)</f>
        <v/>
      </c>
      <c r="I770">
        <f>IF(ISNUMBER(INDEX('Term investments'!$G:$G,ROW())),1,0)</f>
        <v/>
      </c>
      <c r="J770">
        <f>TRIM(SUBSTITUTE(INDEX('Call accounts and MMFs'!$A:$A,ROW())&amp;""," "," "))</f>
        <v/>
      </c>
      <c r="K770">
        <f>TRIM(SUBSTITUTE(INDEX('Call accounts and MMFs'!$B:$B,ROW())&amp;""," "," "))</f>
        <v/>
      </c>
      <c r="L770">
        <f>TRIM(SUBSTITUTE(INDEX('Call accounts and MMFs'!$C:$C,ROW())&amp;""," "," "))</f>
        <v/>
      </c>
      <c r="M770">
        <f>IFERROR(--INDEX('Call accounts and MMFs'!$D:$D,ROW()),0)</f>
        <v/>
      </c>
      <c r="N770">
        <f>IFERROR(IF(--INDEX('Call accounts and MMFs'!$E:$E,ROW())&gt;=1,--INDEX('Call accounts and MMFs'!$E:$E,ROW())/100,--INDEX('Call accounts and MMFs'!$E:$E,ROW())),0)</f>
        <v/>
      </c>
      <c r="O770">
        <f>IFERROR(--INDEX('Call accounts and MMFs'!$F:$F,ROW()),0)</f>
        <v/>
      </c>
      <c r="P770">
        <f>IF(ISNUMBER(INDEX('Call accounts and MMFs'!$E:$E,ROW())),1,0)</f>
        <v/>
      </c>
      <c r="Q770">
        <f>TRIM(SUBSTITUTE(INDEX('Pooled funds'!$B:$B,ROW())&amp;""," "," "))</f>
        <v/>
      </c>
      <c r="R770">
        <f>IFERROR(--INDEX('Pooled funds'!$C:$C,ROW()),0)</f>
        <v/>
      </c>
      <c r="S770">
        <f>IFERROR(--INDEX('Pooled funds'!$D:$D,ROW()),0)</f>
        <v/>
      </c>
      <c r="T770">
        <f>IFERROR(IF(--INDEX('Pooled funds'!$E:$E,ROW())&gt;=1,--INDEX('Pooled funds'!$E:$E,ROW())/100,--INDEX('Pooled funds'!$E:$E,ROW())),0)</f>
        <v/>
      </c>
      <c r="U770">
        <f>IF(ISNUMBER(INDEX('Pooled funds'!$E:$E,ROW())),1,0)</f>
        <v/>
      </c>
      <c r="V770">
        <f>TRIM(SUBSTITUTE(INDEX('Loans'!$A:$A,ROW())&amp;""," "," "))</f>
        <v/>
      </c>
      <c r="W770">
        <f>TRIM(SUBSTITUTE(INDEX('Loans'!$B:$B,ROW())&amp;""," "," "))</f>
        <v/>
      </c>
      <c r="X770">
        <f>TRIM(SUBSTITUTE(INDEX('Loans'!$C:$C,ROW())&amp;""," "," "))</f>
        <v/>
      </c>
      <c r="Y770">
        <f>IFERROR(--INDEX('Loans'!$D:$D,ROW()),0)</f>
        <v/>
      </c>
      <c r="Z770">
        <f>IFERROR(--INDEX('Loans'!$E:$E,ROW()),0)</f>
        <v/>
      </c>
      <c r="AA770">
        <f>IFERROR(--INDEX('Loans'!$F:$F,ROW()),0)</f>
        <v/>
      </c>
      <c r="AB770">
        <f>IFERROR(IF(--INDEX('Loans'!$G:$G,ROW())&gt;=1,--INDEX('Loans'!$G:$G,ROW())/100,--INDEX('Loans'!$G:$G,ROW())),0)</f>
        <v/>
      </c>
      <c r="AC770">
        <f>TRIM(SUBSTITUTE(INDEX('Loans'!$H:$H,ROW())&amp;""," "," "))</f>
        <v/>
      </c>
      <c r="AD770">
        <f>TRIM(SUBSTITUTE(INDEX('Loans'!$I:$I,ROW())&amp;""," "," "))</f>
        <v/>
      </c>
      <c r="AE770">
        <f>IFERROR(--INDEX('Loans'!$J:$J,ROW()),0)</f>
        <v/>
      </c>
      <c r="AF770">
        <f>TRIM(SUBSTITUTE(INDEX('Loans'!$K:$K,ROW())&amp;""," "," "))</f>
        <v/>
      </c>
      <c r="AG770">
        <f>IFERROR(--INDEX('Loans'!$L:$L,ROW()),0)</f>
        <v/>
      </c>
      <c r="AH770">
        <f>IF(ISNUMBER(INDEX('Loans'!$G:$G,ROW())),1,0)</f>
        <v/>
      </c>
    </row>
    <row r="771">
      <c r="A771">
        <f>TRIM(SUBSTITUTE(INDEX('Term investments'!$A:$A,ROW())&amp;""," "," "))</f>
        <v/>
      </c>
      <c r="B771">
        <f>TRIM(SUBSTITUTE(INDEX('Term investments'!$B:$B,ROW())&amp;""," "," "))</f>
        <v/>
      </c>
      <c r="C771">
        <f>TRIM(SUBSTITUTE(INDEX('Term investments'!$C:$C,ROW())&amp;""," "," "))</f>
        <v/>
      </c>
      <c r="D771">
        <f>IFERROR(--INDEX('Term investments'!$D:$D,ROW()),0)</f>
        <v/>
      </c>
      <c r="E771">
        <f>IFERROR(--INDEX('Term investments'!$E:$E,ROW()),0)</f>
        <v/>
      </c>
      <c r="F771">
        <f>IFERROR(--INDEX('Term investments'!$F:$F,ROW()),0)</f>
        <v/>
      </c>
      <c r="G771">
        <f>IFERROR(IF(--INDEX('Term investments'!$G:$G,ROW())&gt;=1,--INDEX('Term investments'!$G:$G,ROW())/100,--INDEX('Term investments'!$G:$G,ROW())),0)</f>
        <v/>
      </c>
      <c r="H771">
        <f>IFERROR(--INDEX('Term investments'!$H:$H,ROW()),0)</f>
        <v/>
      </c>
      <c r="I771">
        <f>IF(ISNUMBER(INDEX('Term investments'!$G:$G,ROW())),1,0)</f>
        <v/>
      </c>
      <c r="J771">
        <f>TRIM(SUBSTITUTE(INDEX('Call accounts and MMFs'!$A:$A,ROW())&amp;""," "," "))</f>
        <v/>
      </c>
      <c r="K771">
        <f>TRIM(SUBSTITUTE(INDEX('Call accounts and MMFs'!$B:$B,ROW())&amp;""," "," "))</f>
        <v/>
      </c>
      <c r="L771">
        <f>TRIM(SUBSTITUTE(INDEX('Call accounts and MMFs'!$C:$C,ROW())&amp;""," "," "))</f>
        <v/>
      </c>
      <c r="M771">
        <f>IFERROR(--INDEX('Call accounts and MMFs'!$D:$D,ROW()),0)</f>
        <v/>
      </c>
      <c r="N771">
        <f>IFERROR(IF(--INDEX('Call accounts and MMFs'!$E:$E,ROW())&gt;=1,--INDEX('Call accounts and MMFs'!$E:$E,ROW())/100,--INDEX('Call accounts and MMFs'!$E:$E,ROW())),0)</f>
        <v/>
      </c>
      <c r="O771">
        <f>IFERROR(--INDEX('Call accounts and MMFs'!$F:$F,ROW()),0)</f>
        <v/>
      </c>
      <c r="P771">
        <f>IF(ISNUMBER(INDEX('Call accounts and MMFs'!$E:$E,ROW())),1,0)</f>
        <v/>
      </c>
      <c r="Q771">
        <f>TRIM(SUBSTITUTE(INDEX('Pooled funds'!$B:$B,ROW())&amp;""," "," "))</f>
        <v/>
      </c>
      <c r="R771">
        <f>IFERROR(--INDEX('Pooled funds'!$C:$C,ROW()),0)</f>
        <v/>
      </c>
      <c r="S771">
        <f>IFERROR(--INDEX('Pooled funds'!$D:$D,ROW()),0)</f>
        <v/>
      </c>
      <c r="T771">
        <f>IFERROR(IF(--INDEX('Pooled funds'!$E:$E,ROW())&gt;=1,--INDEX('Pooled funds'!$E:$E,ROW())/100,--INDEX('Pooled funds'!$E:$E,ROW())),0)</f>
        <v/>
      </c>
      <c r="U771">
        <f>IF(ISNUMBER(INDEX('Pooled funds'!$E:$E,ROW())),1,0)</f>
        <v/>
      </c>
      <c r="V771">
        <f>TRIM(SUBSTITUTE(INDEX('Loans'!$A:$A,ROW())&amp;""," "," "))</f>
        <v/>
      </c>
      <c r="W771">
        <f>TRIM(SUBSTITUTE(INDEX('Loans'!$B:$B,ROW())&amp;""," "," "))</f>
        <v/>
      </c>
      <c r="X771">
        <f>TRIM(SUBSTITUTE(INDEX('Loans'!$C:$C,ROW())&amp;""," "," "))</f>
        <v/>
      </c>
      <c r="Y771">
        <f>IFERROR(--INDEX('Loans'!$D:$D,ROW()),0)</f>
        <v/>
      </c>
      <c r="Z771">
        <f>IFERROR(--INDEX('Loans'!$E:$E,ROW()),0)</f>
        <v/>
      </c>
      <c r="AA771">
        <f>IFERROR(--INDEX('Loans'!$F:$F,ROW()),0)</f>
        <v/>
      </c>
      <c r="AB771">
        <f>IFERROR(IF(--INDEX('Loans'!$G:$G,ROW())&gt;=1,--INDEX('Loans'!$G:$G,ROW())/100,--INDEX('Loans'!$G:$G,ROW())),0)</f>
        <v/>
      </c>
      <c r="AC771">
        <f>TRIM(SUBSTITUTE(INDEX('Loans'!$H:$H,ROW())&amp;""," "," "))</f>
        <v/>
      </c>
      <c r="AD771">
        <f>TRIM(SUBSTITUTE(INDEX('Loans'!$I:$I,ROW())&amp;""," "," "))</f>
        <v/>
      </c>
      <c r="AE771">
        <f>IFERROR(--INDEX('Loans'!$J:$J,ROW()),0)</f>
        <v/>
      </c>
      <c r="AF771">
        <f>TRIM(SUBSTITUTE(INDEX('Loans'!$K:$K,ROW())&amp;""," "," "))</f>
        <v/>
      </c>
      <c r="AG771">
        <f>IFERROR(--INDEX('Loans'!$L:$L,ROW()),0)</f>
        <v/>
      </c>
      <c r="AH771">
        <f>IF(ISNUMBER(INDEX('Loans'!$G:$G,ROW())),1,0)</f>
        <v/>
      </c>
    </row>
    <row r="772">
      <c r="A772">
        <f>TRIM(SUBSTITUTE(INDEX('Term investments'!$A:$A,ROW())&amp;""," "," "))</f>
        <v/>
      </c>
      <c r="B772">
        <f>TRIM(SUBSTITUTE(INDEX('Term investments'!$B:$B,ROW())&amp;""," "," "))</f>
        <v/>
      </c>
      <c r="C772">
        <f>TRIM(SUBSTITUTE(INDEX('Term investments'!$C:$C,ROW())&amp;""," "," "))</f>
        <v/>
      </c>
      <c r="D772">
        <f>IFERROR(--INDEX('Term investments'!$D:$D,ROW()),0)</f>
        <v/>
      </c>
      <c r="E772">
        <f>IFERROR(--INDEX('Term investments'!$E:$E,ROW()),0)</f>
        <v/>
      </c>
      <c r="F772">
        <f>IFERROR(--INDEX('Term investments'!$F:$F,ROW()),0)</f>
        <v/>
      </c>
      <c r="G772">
        <f>IFERROR(IF(--INDEX('Term investments'!$G:$G,ROW())&gt;=1,--INDEX('Term investments'!$G:$G,ROW())/100,--INDEX('Term investments'!$G:$G,ROW())),0)</f>
        <v/>
      </c>
      <c r="H772">
        <f>IFERROR(--INDEX('Term investments'!$H:$H,ROW()),0)</f>
        <v/>
      </c>
      <c r="I772">
        <f>IF(ISNUMBER(INDEX('Term investments'!$G:$G,ROW())),1,0)</f>
        <v/>
      </c>
      <c r="J772">
        <f>TRIM(SUBSTITUTE(INDEX('Call accounts and MMFs'!$A:$A,ROW())&amp;""," "," "))</f>
        <v/>
      </c>
      <c r="K772">
        <f>TRIM(SUBSTITUTE(INDEX('Call accounts and MMFs'!$B:$B,ROW())&amp;""," "," "))</f>
        <v/>
      </c>
      <c r="L772">
        <f>TRIM(SUBSTITUTE(INDEX('Call accounts and MMFs'!$C:$C,ROW())&amp;""," "," "))</f>
        <v/>
      </c>
      <c r="M772">
        <f>IFERROR(--INDEX('Call accounts and MMFs'!$D:$D,ROW()),0)</f>
        <v/>
      </c>
      <c r="N772">
        <f>IFERROR(IF(--INDEX('Call accounts and MMFs'!$E:$E,ROW())&gt;=1,--INDEX('Call accounts and MMFs'!$E:$E,ROW())/100,--INDEX('Call accounts and MMFs'!$E:$E,ROW())),0)</f>
        <v/>
      </c>
      <c r="O772">
        <f>IFERROR(--INDEX('Call accounts and MMFs'!$F:$F,ROW()),0)</f>
        <v/>
      </c>
      <c r="P772">
        <f>IF(ISNUMBER(INDEX('Call accounts and MMFs'!$E:$E,ROW())),1,0)</f>
        <v/>
      </c>
      <c r="Q772">
        <f>TRIM(SUBSTITUTE(INDEX('Pooled funds'!$B:$B,ROW())&amp;""," "," "))</f>
        <v/>
      </c>
      <c r="R772">
        <f>IFERROR(--INDEX('Pooled funds'!$C:$C,ROW()),0)</f>
        <v/>
      </c>
      <c r="S772">
        <f>IFERROR(--INDEX('Pooled funds'!$D:$D,ROW()),0)</f>
        <v/>
      </c>
      <c r="T772">
        <f>IFERROR(IF(--INDEX('Pooled funds'!$E:$E,ROW())&gt;=1,--INDEX('Pooled funds'!$E:$E,ROW())/100,--INDEX('Pooled funds'!$E:$E,ROW())),0)</f>
        <v/>
      </c>
      <c r="U772">
        <f>IF(ISNUMBER(INDEX('Pooled funds'!$E:$E,ROW())),1,0)</f>
        <v/>
      </c>
      <c r="V772">
        <f>TRIM(SUBSTITUTE(INDEX('Loans'!$A:$A,ROW())&amp;""," "," "))</f>
        <v/>
      </c>
      <c r="W772">
        <f>TRIM(SUBSTITUTE(INDEX('Loans'!$B:$B,ROW())&amp;""," "," "))</f>
        <v/>
      </c>
      <c r="X772">
        <f>TRIM(SUBSTITUTE(INDEX('Loans'!$C:$C,ROW())&amp;""," "," "))</f>
        <v/>
      </c>
      <c r="Y772">
        <f>IFERROR(--INDEX('Loans'!$D:$D,ROW()),0)</f>
        <v/>
      </c>
      <c r="Z772">
        <f>IFERROR(--INDEX('Loans'!$E:$E,ROW()),0)</f>
        <v/>
      </c>
      <c r="AA772">
        <f>IFERROR(--INDEX('Loans'!$F:$F,ROW()),0)</f>
        <v/>
      </c>
      <c r="AB772">
        <f>IFERROR(IF(--INDEX('Loans'!$G:$G,ROW())&gt;=1,--INDEX('Loans'!$G:$G,ROW())/100,--INDEX('Loans'!$G:$G,ROW())),0)</f>
        <v/>
      </c>
      <c r="AC772">
        <f>TRIM(SUBSTITUTE(INDEX('Loans'!$H:$H,ROW())&amp;""," "," "))</f>
        <v/>
      </c>
      <c r="AD772">
        <f>TRIM(SUBSTITUTE(INDEX('Loans'!$I:$I,ROW())&amp;""," "," "))</f>
        <v/>
      </c>
      <c r="AE772">
        <f>IFERROR(--INDEX('Loans'!$J:$J,ROW()),0)</f>
        <v/>
      </c>
      <c r="AF772">
        <f>TRIM(SUBSTITUTE(INDEX('Loans'!$K:$K,ROW())&amp;""," "," "))</f>
        <v/>
      </c>
      <c r="AG772">
        <f>IFERROR(--INDEX('Loans'!$L:$L,ROW()),0)</f>
        <v/>
      </c>
      <c r="AH772">
        <f>IF(ISNUMBER(INDEX('Loans'!$G:$G,ROW())),1,0)</f>
        <v/>
      </c>
    </row>
    <row r="773">
      <c r="A773">
        <f>TRIM(SUBSTITUTE(INDEX('Term investments'!$A:$A,ROW())&amp;""," "," "))</f>
        <v/>
      </c>
      <c r="B773">
        <f>TRIM(SUBSTITUTE(INDEX('Term investments'!$B:$B,ROW())&amp;""," "," "))</f>
        <v/>
      </c>
      <c r="C773">
        <f>TRIM(SUBSTITUTE(INDEX('Term investments'!$C:$C,ROW())&amp;""," "," "))</f>
        <v/>
      </c>
      <c r="D773">
        <f>IFERROR(--INDEX('Term investments'!$D:$D,ROW()),0)</f>
        <v/>
      </c>
      <c r="E773">
        <f>IFERROR(--INDEX('Term investments'!$E:$E,ROW()),0)</f>
        <v/>
      </c>
      <c r="F773">
        <f>IFERROR(--INDEX('Term investments'!$F:$F,ROW()),0)</f>
        <v/>
      </c>
      <c r="G773">
        <f>IFERROR(IF(--INDEX('Term investments'!$G:$G,ROW())&gt;=1,--INDEX('Term investments'!$G:$G,ROW())/100,--INDEX('Term investments'!$G:$G,ROW())),0)</f>
        <v/>
      </c>
      <c r="H773">
        <f>IFERROR(--INDEX('Term investments'!$H:$H,ROW()),0)</f>
        <v/>
      </c>
      <c r="I773">
        <f>IF(ISNUMBER(INDEX('Term investments'!$G:$G,ROW())),1,0)</f>
        <v/>
      </c>
      <c r="J773">
        <f>TRIM(SUBSTITUTE(INDEX('Call accounts and MMFs'!$A:$A,ROW())&amp;""," "," "))</f>
        <v/>
      </c>
      <c r="K773">
        <f>TRIM(SUBSTITUTE(INDEX('Call accounts and MMFs'!$B:$B,ROW())&amp;""," "," "))</f>
        <v/>
      </c>
      <c r="L773">
        <f>TRIM(SUBSTITUTE(INDEX('Call accounts and MMFs'!$C:$C,ROW())&amp;""," "," "))</f>
        <v/>
      </c>
      <c r="M773">
        <f>IFERROR(--INDEX('Call accounts and MMFs'!$D:$D,ROW()),0)</f>
        <v/>
      </c>
      <c r="N773">
        <f>IFERROR(IF(--INDEX('Call accounts and MMFs'!$E:$E,ROW())&gt;=1,--INDEX('Call accounts and MMFs'!$E:$E,ROW())/100,--INDEX('Call accounts and MMFs'!$E:$E,ROW())),0)</f>
        <v/>
      </c>
      <c r="O773">
        <f>IFERROR(--INDEX('Call accounts and MMFs'!$F:$F,ROW()),0)</f>
        <v/>
      </c>
      <c r="P773">
        <f>IF(ISNUMBER(INDEX('Call accounts and MMFs'!$E:$E,ROW())),1,0)</f>
        <v/>
      </c>
      <c r="Q773">
        <f>TRIM(SUBSTITUTE(INDEX('Pooled funds'!$B:$B,ROW())&amp;""," "," "))</f>
        <v/>
      </c>
      <c r="R773">
        <f>IFERROR(--INDEX('Pooled funds'!$C:$C,ROW()),0)</f>
        <v/>
      </c>
      <c r="S773">
        <f>IFERROR(--INDEX('Pooled funds'!$D:$D,ROW()),0)</f>
        <v/>
      </c>
      <c r="T773">
        <f>IFERROR(IF(--INDEX('Pooled funds'!$E:$E,ROW())&gt;=1,--INDEX('Pooled funds'!$E:$E,ROW())/100,--INDEX('Pooled funds'!$E:$E,ROW())),0)</f>
        <v/>
      </c>
      <c r="U773">
        <f>IF(ISNUMBER(INDEX('Pooled funds'!$E:$E,ROW())),1,0)</f>
        <v/>
      </c>
      <c r="V773">
        <f>TRIM(SUBSTITUTE(INDEX('Loans'!$A:$A,ROW())&amp;""," "," "))</f>
        <v/>
      </c>
      <c r="W773">
        <f>TRIM(SUBSTITUTE(INDEX('Loans'!$B:$B,ROW())&amp;""," "," "))</f>
        <v/>
      </c>
      <c r="X773">
        <f>TRIM(SUBSTITUTE(INDEX('Loans'!$C:$C,ROW())&amp;""," "," "))</f>
        <v/>
      </c>
      <c r="Y773">
        <f>IFERROR(--INDEX('Loans'!$D:$D,ROW()),0)</f>
        <v/>
      </c>
      <c r="Z773">
        <f>IFERROR(--INDEX('Loans'!$E:$E,ROW()),0)</f>
        <v/>
      </c>
      <c r="AA773">
        <f>IFERROR(--INDEX('Loans'!$F:$F,ROW()),0)</f>
        <v/>
      </c>
      <c r="AB773">
        <f>IFERROR(IF(--INDEX('Loans'!$G:$G,ROW())&gt;=1,--INDEX('Loans'!$G:$G,ROW())/100,--INDEX('Loans'!$G:$G,ROW())),0)</f>
        <v/>
      </c>
      <c r="AC773">
        <f>TRIM(SUBSTITUTE(INDEX('Loans'!$H:$H,ROW())&amp;""," "," "))</f>
        <v/>
      </c>
      <c r="AD773">
        <f>TRIM(SUBSTITUTE(INDEX('Loans'!$I:$I,ROW())&amp;""," "," "))</f>
        <v/>
      </c>
      <c r="AE773">
        <f>IFERROR(--INDEX('Loans'!$J:$J,ROW()),0)</f>
        <v/>
      </c>
      <c r="AF773">
        <f>TRIM(SUBSTITUTE(INDEX('Loans'!$K:$K,ROW())&amp;""," "," "))</f>
        <v/>
      </c>
      <c r="AG773">
        <f>IFERROR(--INDEX('Loans'!$L:$L,ROW()),0)</f>
        <v/>
      </c>
      <c r="AH773">
        <f>IF(ISNUMBER(INDEX('Loans'!$G:$G,ROW())),1,0)</f>
        <v/>
      </c>
    </row>
    <row r="774">
      <c r="A774">
        <f>TRIM(SUBSTITUTE(INDEX('Term investments'!$A:$A,ROW())&amp;""," "," "))</f>
        <v/>
      </c>
      <c r="B774">
        <f>TRIM(SUBSTITUTE(INDEX('Term investments'!$B:$B,ROW())&amp;""," "," "))</f>
        <v/>
      </c>
      <c r="C774">
        <f>TRIM(SUBSTITUTE(INDEX('Term investments'!$C:$C,ROW())&amp;""," "," "))</f>
        <v/>
      </c>
      <c r="D774">
        <f>IFERROR(--INDEX('Term investments'!$D:$D,ROW()),0)</f>
        <v/>
      </c>
      <c r="E774">
        <f>IFERROR(--INDEX('Term investments'!$E:$E,ROW()),0)</f>
        <v/>
      </c>
      <c r="F774">
        <f>IFERROR(--INDEX('Term investments'!$F:$F,ROW()),0)</f>
        <v/>
      </c>
      <c r="G774">
        <f>IFERROR(IF(--INDEX('Term investments'!$G:$G,ROW())&gt;=1,--INDEX('Term investments'!$G:$G,ROW())/100,--INDEX('Term investments'!$G:$G,ROW())),0)</f>
        <v/>
      </c>
      <c r="H774">
        <f>IFERROR(--INDEX('Term investments'!$H:$H,ROW()),0)</f>
        <v/>
      </c>
      <c r="I774">
        <f>IF(ISNUMBER(INDEX('Term investments'!$G:$G,ROW())),1,0)</f>
        <v/>
      </c>
      <c r="J774">
        <f>TRIM(SUBSTITUTE(INDEX('Call accounts and MMFs'!$A:$A,ROW())&amp;""," "," "))</f>
        <v/>
      </c>
      <c r="K774">
        <f>TRIM(SUBSTITUTE(INDEX('Call accounts and MMFs'!$B:$B,ROW())&amp;""," "," "))</f>
        <v/>
      </c>
      <c r="L774">
        <f>TRIM(SUBSTITUTE(INDEX('Call accounts and MMFs'!$C:$C,ROW())&amp;""," "," "))</f>
        <v/>
      </c>
      <c r="M774">
        <f>IFERROR(--INDEX('Call accounts and MMFs'!$D:$D,ROW()),0)</f>
        <v/>
      </c>
      <c r="N774">
        <f>IFERROR(IF(--INDEX('Call accounts and MMFs'!$E:$E,ROW())&gt;=1,--INDEX('Call accounts and MMFs'!$E:$E,ROW())/100,--INDEX('Call accounts and MMFs'!$E:$E,ROW())),0)</f>
        <v/>
      </c>
      <c r="O774">
        <f>IFERROR(--INDEX('Call accounts and MMFs'!$F:$F,ROW()),0)</f>
        <v/>
      </c>
      <c r="P774">
        <f>IF(ISNUMBER(INDEX('Call accounts and MMFs'!$E:$E,ROW())),1,0)</f>
        <v/>
      </c>
      <c r="Q774">
        <f>TRIM(SUBSTITUTE(INDEX('Pooled funds'!$B:$B,ROW())&amp;""," "," "))</f>
        <v/>
      </c>
      <c r="R774">
        <f>IFERROR(--INDEX('Pooled funds'!$C:$C,ROW()),0)</f>
        <v/>
      </c>
      <c r="S774">
        <f>IFERROR(--INDEX('Pooled funds'!$D:$D,ROW()),0)</f>
        <v/>
      </c>
      <c r="T774">
        <f>IFERROR(IF(--INDEX('Pooled funds'!$E:$E,ROW())&gt;=1,--INDEX('Pooled funds'!$E:$E,ROW())/100,--INDEX('Pooled funds'!$E:$E,ROW())),0)</f>
        <v/>
      </c>
      <c r="U774">
        <f>IF(ISNUMBER(INDEX('Pooled funds'!$E:$E,ROW())),1,0)</f>
        <v/>
      </c>
      <c r="V774">
        <f>TRIM(SUBSTITUTE(INDEX('Loans'!$A:$A,ROW())&amp;""," "," "))</f>
        <v/>
      </c>
      <c r="W774">
        <f>TRIM(SUBSTITUTE(INDEX('Loans'!$B:$B,ROW())&amp;""," "," "))</f>
        <v/>
      </c>
      <c r="X774">
        <f>TRIM(SUBSTITUTE(INDEX('Loans'!$C:$C,ROW())&amp;""," "," "))</f>
        <v/>
      </c>
      <c r="Y774">
        <f>IFERROR(--INDEX('Loans'!$D:$D,ROW()),0)</f>
        <v/>
      </c>
      <c r="Z774">
        <f>IFERROR(--INDEX('Loans'!$E:$E,ROW()),0)</f>
        <v/>
      </c>
      <c r="AA774">
        <f>IFERROR(--INDEX('Loans'!$F:$F,ROW()),0)</f>
        <v/>
      </c>
      <c r="AB774">
        <f>IFERROR(IF(--INDEX('Loans'!$G:$G,ROW())&gt;=1,--INDEX('Loans'!$G:$G,ROW())/100,--INDEX('Loans'!$G:$G,ROW())),0)</f>
        <v/>
      </c>
      <c r="AC774">
        <f>TRIM(SUBSTITUTE(INDEX('Loans'!$H:$H,ROW())&amp;""," "," "))</f>
        <v/>
      </c>
      <c r="AD774">
        <f>TRIM(SUBSTITUTE(INDEX('Loans'!$I:$I,ROW())&amp;""," "," "))</f>
        <v/>
      </c>
      <c r="AE774">
        <f>IFERROR(--INDEX('Loans'!$J:$J,ROW()),0)</f>
        <v/>
      </c>
      <c r="AF774">
        <f>TRIM(SUBSTITUTE(INDEX('Loans'!$K:$K,ROW())&amp;""," "," "))</f>
        <v/>
      </c>
      <c r="AG774">
        <f>IFERROR(--INDEX('Loans'!$L:$L,ROW()),0)</f>
        <v/>
      </c>
      <c r="AH774">
        <f>IF(ISNUMBER(INDEX('Loans'!$G:$G,ROW())),1,0)</f>
        <v/>
      </c>
    </row>
    <row r="775">
      <c r="A775">
        <f>TRIM(SUBSTITUTE(INDEX('Term investments'!$A:$A,ROW())&amp;""," "," "))</f>
        <v/>
      </c>
      <c r="B775">
        <f>TRIM(SUBSTITUTE(INDEX('Term investments'!$B:$B,ROW())&amp;""," "," "))</f>
        <v/>
      </c>
      <c r="C775">
        <f>TRIM(SUBSTITUTE(INDEX('Term investments'!$C:$C,ROW())&amp;""," "," "))</f>
        <v/>
      </c>
      <c r="D775">
        <f>IFERROR(--INDEX('Term investments'!$D:$D,ROW()),0)</f>
        <v/>
      </c>
      <c r="E775">
        <f>IFERROR(--INDEX('Term investments'!$E:$E,ROW()),0)</f>
        <v/>
      </c>
      <c r="F775">
        <f>IFERROR(--INDEX('Term investments'!$F:$F,ROW()),0)</f>
        <v/>
      </c>
      <c r="G775">
        <f>IFERROR(IF(--INDEX('Term investments'!$G:$G,ROW())&gt;=1,--INDEX('Term investments'!$G:$G,ROW())/100,--INDEX('Term investments'!$G:$G,ROW())),0)</f>
        <v/>
      </c>
      <c r="H775">
        <f>IFERROR(--INDEX('Term investments'!$H:$H,ROW()),0)</f>
        <v/>
      </c>
      <c r="I775">
        <f>IF(ISNUMBER(INDEX('Term investments'!$G:$G,ROW())),1,0)</f>
        <v/>
      </c>
      <c r="J775">
        <f>TRIM(SUBSTITUTE(INDEX('Call accounts and MMFs'!$A:$A,ROW())&amp;""," "," "))</f>
        <v/>
      </c>
      <c r="K775">
        <f>TRIM(SUBSTITUTE(INDEX('Call accounts and MMFs'!$B:$B,ROW())&amp;""," "," "))</f>
        <v/>
      </c>
      <c r="L775">
        <f>TRIM(SUBSTITUTE(INDEX('Call accounts and MMFs'!$C:$C,ROW())&amp;""," "," "))</f>
        <v/>
      </c>
      <c r="M775">
        <f>IFERROR(--INDEX('Call accounts and MMFs'!$D:$D,ROW()),0)</f>
        <v/>
      </c>
      <c r="N775">
        <f>IFERROR(IF(--INDEX('Call accounts and MMFs'!$E:$E,ROW())&gt;=1,--INDEX('Call accounts and MMFs'!$E:$E,ROW())/100,--INDEX('Call accounts and MMFs'!$E:$E,ROW())),0)</f>
        <v/>
      </c>
      <c r="O775">
        <f>IFERROR(--INDEX('Call accounts and MMFs'!$F:$F,ROW()),0)</f>
        <v/>
      </c>
      <c r="P775">
        <f>IF(ISNUMBER(INDEX('Call accounts and MMFs'!$E:$E,ROW())),1,0)</f>
        <v/>
      </c>
      <c r="Q775">
        <f>TRIM(SUBSTITUTE(INDEX('Pooled funds'!$B:$B,ROW())&amp;""," "," "))</f>
        <v/>
      </c>
      <c r="R775">
        <f>IFERROR(--INDEX('Pooled funds'!$C:$C,ROW()),0)</f>
        <v/>
      </c>
      <c r="S775">
        <f>IFERROR(--INDEX('Pooled funds'!$D:$D,ROW()),0)</f>
        <v/>
      </c>
      <c r="T775">
        <f>IFERROR(IF(--INDEX('Pooled funds'!$E:$E,ROW())&gt;=1,--INDEX('Pooled funds'!$E:$E,ROW())/100,--INDEX('Pooled funds'!$E:$E,ROW())),0)</f>
        <v/>
      </c>
      <c r="U775">
        <f>IF(ISNUMBER(INDEX('Pooled funds'!$E:$E,ROW())),1,0)</f>
        <v/>
      </c>
      <c r="V775">
        <f>TRIM(SUBSTITUTE(INDEX('Loans'!$A:$A,ROW())&amp;""," "," "))</f>
        <v/>
      </c>
      <c r="W775">
        <f>TRIM(SUBSTITUTE(INDEX('Loans'!$B:$B,ROW())&amp;""," "," "))</f>
        <v/>
      </c>
      <c r="X775">
        <f>TRIM(SUBSTITUTE(INDEX('Loans'!$C:$C,ROW())&amp;""," "," "))</f>
        <v/>
      </c>
      <c r="Y775">
        <f>IFERROR(--INDEX('Loans'!$D:$D,ROW()),0)</f>
        <v/>
      </c>
      <c r="Z775">
        <f>IFERROR(--INDEX('Loans'!$E:$E,ROW()),0)</f>
        <v/>
      </c>
      <c r="AA775">
        <f>IFERROR(--INDEX('Loans'!$F:$F,ROW()),0)</f>
        <v/>
      </c>
      <c r="AB775">
        <f>IFERROR(IF(--INDEX('Loans'!$G:$G,ROW())&gt;=1,--INDEX('Loans'!$G:$G,ROW())/100,--INDEX('Loans'!$G:$G,ROW())),0)</f>
        <v/>
      </c>
      <c r="AC775">
        <f>TRIM(SUBSTITUTE(INDEX('Loans'!$H:$H,ROW())&amp;""," "," "))</f>
        <v/>
      </c>
      <c r="AD775">
        <f>TRIM(SUBSTITUTE(INDEX('Loans'!$I:$I,ROW())&amp;""," "," "))</f>
        <v/>
      </c>
      <c r="AE775">
        <f>IFERROR(--INDEX('Loans'!$J:$J,ROW()),0)</f>
        <v/>
      </c>
      <c r="AF775">
        <f>TRIM(SUBSTITUTE(INDEX('Loans'!$K:$K,ROW())&amp;""," "," "))</f>
        <v/>
      </c>
      <c r="AG775">
        <f>IFERROR(--INDEX('Loans'!$L:$L,ROW()),0)</f>
        <v/>
      </c>
      <c r="AH775">
        <f>IF(ISNUMBER(INDEX('Loans'!$G:$G,ROW())),1,0)</f>
        <v/>
      </c>
    </row>
    <row r="776">
      <c r="A776">
        <f>TRIM(SUBSTITUTE(INDEX('Term investments'!$A:$A,ROW())&amp;""," "," "))</f>
        <v/>
      </c>
      <c r="B776">
        <f>TRIM(SUBSTITUTE(INDEX('Term investments'!$B:$B,ROW())&amp;""," "," "))</f>
        <v/>
      </c>
      <c r="C776">
        <f>TRIM(SUBSTITUTE(INDEX('Term investments'!$C:$C,ROW())&amp;""," "," "))</f>
        <v/>
      </c>
      <c r="D776">
        <f>IFERROR(--INDEX('Term investments'!$D:$D,ROW()),0)</f>
        <v/>
      </c>
      <c r="E776">
        <f>IFERROR(--INDEX('Term investments'!$E:$E,ROW()),0)</f>
        <v/>
      </c>
      <c r="F776">
        <f>IFERROR(--INDEX('Term investments'!$F:$F,ROW()),0)</f>
        <v/>
      </c>
      <c r="G776">
        <f>IFERROR(IF(--INDEX('Term investments'!$G:$G,ROW())&gt;=1,--INDEX('Term investments'!$G:$G,ROW())/100,--INDEX('Term investments'!$G:$G,ROW())),0)</f>
        <v/>
      </c>
      <c r="H776">
        <f>IFERROR(--INDEX('Term investments'!$H:$H,ROW()),0)</f>
        <v/>
      </c>
      <c r="I776">
        <f>IF(ISNUMBER(INDEX('Term investments'!$G:$G,ROW())),1,0)</f>
        <v/>
      </c>
      <c r="J776">
        <f>TRIM(SUBSTITUTE(INDEX('Call accounts and MMFs'!$A:$A,ROW())&amp;""," "," "))</f>
        <v/>
      </c>
      <c r="K776">
        <f>TRIM(SUBSTITUTE(INDEX('Call accounts and MMFs'!$B:$B,ROW())&amp;""," "," "))</f>
        <v/>
      </c>
      <c r="L776">
        <f>TRIM(SUBSTITUTE(INDEX('Call accounts and MMFs'!$C:$C,ROW())&amp;""," "," "))</f>
        <v/>
      </c>
      <c r="M776">
        <f>IFERROR(--INDEX('Call accounts and MMFs'!$D:$D,ROW()),0)</f>
        <v/>
      </c>
      <c r="N776">
        <f>IFERROR(IF(--INDEX('Call accounts and MMFs'!$E:$E,ROW())&gt;=1,--INDEX('Call accounts and MMFs'!$E:$E,ROW())/100,--INDEX('Call accounts and MMFs'!$E:$E,ROW())),0)</f>
        <v/>
      </c>
      <c r="O776">
        <f>IFERROR(--INDEX('Call accounts and MMFs'!$F:$F,ROW()),0)</f>
        <v/>
      </c>
      <c r="P776">
        <f>IF(ISNUMBER(INDEX('Call accounts and MMFs'!$E:$E,ROW())),1,0)</f>
        <v/>
      </c>
      <c r="Q776">
        <f>TRIM(SUBSTITUTE(INDEX('Pooled funds'!$B:$B,ROW())&amp;""," "," "))</f>
        <v/>
      </c>
      <c r="R776">
        <f>IFERROR(--INDEX('Pooled funds'!$C:$C,ROW()),0)</f>
        <v/>
      </c>
      <c r="S776">
        <f>IFERROR(--INDEX('Pooled funds'!$D:$D,ROW()),0)</f>
        <v/>
      </c>
      <c r="T776">
        <f>IFERROR(IF(--INDEX('Pooled funds'!$E:$E,ROW())&gt;=1,--INDEX('Pooled funds'!$E:$E,ROW())/100,--INDEX('Pooled funds'!$E:$E,ROW())),0)</f>
        <v/>
      </c>
      <c r="U776">
        <f>IF(ISNUMBER(INDEX('Pooled funds'!$E:$E,ROW())),1,0)</f>
        <v/>
      </c>
      <c r="V776">
        <f>TRIM(SUBSTITUTE(INDEX('Loans'!$A:$A,ROW())&amp;""," "," "))</f>
        <v/>
      </c>
      <c r="W776">
        <f>TRIM(SUBSTITUTE(INDEX('Loans'!$B:$B,ROW())&amp;""," "," "))</f>
        <v/>
      </c>
      <c r="X776">
        <f>TRIM(SUBSTITUTE(INDEX('Loans'!$C:$C,ROW())&amp;""," "," "))</f>
        <v/>
      </c>
      <c r="Y776">
        <f>IFERROR(--INDEX('Loans'!$D:$D,ROW()),0)</f>
        <v/>
      </c>
      <c r="Z776">
        <f>IFERROR(--INDEX('Loans'!$E:$E,ROW()),0)</f>
        <v/>
      </c>
      <c r="AA776">
        <f>IFERROR(--INDEX('Loans'!$F:$F,ROW()),0)</f>
        <v/>
      </c>
      <c r="AB776">
        <f>IFERROR(IF(--INDEX('Loans'!$G:$G,ROW())&gt;=1,--INDEX('Loans'!$G:$G,ROW())/100,--INDEX('Loans'!$G:$G,ROW())),0)</f>
        <v/>
      </c>
      <c r="AC776">
        <f>TRIM(SUBSTITUTE(INDEX('Loans'!$H:$H,ROW())&amp;""," "," "))</f>
        <v/>
      </c>
      <c r="AD776">
        <f>TRIM(SUBSTITUTE(INDEX('Loans'!$I:$I,ROW())&amp;""," "," "))</f>
        <v/>
      </c>
      <c r="AE776">
        <f>IFERROR(--INDEX('Loans'!$J:$J,ROW()),0)</f>
        <v/>
      </c>
      <c r="AF776">
        <f>TRIM(SUBSTITUTE(INDEX('Loans'!$K:$K,ROW())&amp;""," "," "))</f>
        <v/>
      </c>
      <c r="AG776">
        <f>IFERROR(--INDEX('Loans'!$L:$L,ROW()),0)</f>
        <v/>
      </c>
      <c r="AH776">
        <f>IF(ISNUMBER(INDEX('Loans'!$G:$G,ROW())),1,0)</f>
        <v/>
      </c>
    </row>
    <row r="777">
      <c r="A777">
        <f>TRIM(SUBSTITUTE(INDEX('Term investments'!$A:$A,ROW())&amp;""," "," "))</f>
        <v/>
      </c>
      <c r="B777">
        <f>TRIM(SUBSTITUTE(INDEX('Term investments'!$B:$B,ROW())&amp;""," "," "))</f>
        <v/>
      </c>
      <c r="C777">
        <f>TRIM(SUBSTITUTE(INDEX('Term investments'!$C:$C,ROW())&amp;""," "," "))</f>
        <v/>
      </c>
      <c r="D777">
        <f>IFERROR(--INDEX('Term investments'!$D:$D,ROW()),0)</f>
        <v/>
      </c>
      <c r="E777">
        <f>IFERROR(--INDEX('Term investments'!$E:$E,ROW()),0)</f>
        <v/>
      </c>
      <c r="F777">
        <f>IFERROR(--INDEX('Term investments'!$F:$F,ROW()),0)</f>
        <v/>
      </c>
      <c r="G777">
        <f>IFERROR(IF(--INDEX('Term investments'!$G:$G,ROW())&gt;=1,--INDEX('Term investments'!$G:$G,ROW())/100,--INDEX('Term investments'!$G:$G,ROW())),0)</f>
        <v/>
      </c>
      <c r="H777">
        <f>IFERROR(--INDEX('Term investments'!$H:$H,ROW()),0)</f>
        <v/>
      </c>
      <c r="I777">
        <f>IF(ISNUMBER(INDEX('Term investments'!$G:$G,ROW())),1,0)</f>
        <v/>
      </c>
      <c r="J777">
        <f>TRIM(SUBSTITUTE(INDEX('Call accounts and MMFs'!$A:$A,ROW())&amp;""," "," "))</f>
        <v/>
      </c>
      <c r="K777">
        <f>TRIM(SUBSTITUTE(INDEX('Call accounts and MMFs'!$B:$B,ROW())&amp;""," "," "))</f>
        <v/>
      </c>
      <c r="L777">
        <f>TRIM(SUBSTITUTE(INDEX('Call accounts and MMFs'!$C:$C,ROW())&amp;""," "," "))</f>
        <v/>
      </c>
      <c r="M777">
        <f>IFERROR(--INDEX('Call accounts and MMFs'!$D:$D,ROW()),0)</f>
        <v/>
      </c>
      <c r="N777">
        <f>IFERROR(IF(--INDEX('Call accounts and MMFs'!$E:$E,ROW())&gt;=1,--INDEX('Call accounts and MMFs'!$E:$E,ROW())/100,--INDEX('Call accounts and MMFs'!$E:$E,ROW())),0)</f>
        <v/>
      </c>
      <c r="O777">
        <f>IFERROR(--INDEX('Call accounts and MMFs'!$F:$F,ROW()),0)</f>
        <v/>
      </c>
      <c r="P777">
        <f>IF(ISNUMBER(INDEX('Call accounts and MMFs'!$E:$E,ROW())),1,0)</f>
        <v/>
      </c>
      <c r="Q777">
        <f>TRIM(SUBSTITUTE(INDEX('Pooled funds'!$B:$B,ROW())&amp;""," "," "))</f>
        <v/>
      </c>
      <c r="R777">
        <f>IFERROR(--INDEX('Pooled funds'!$C:$C,ROW()),0)</f>
        <v/>
      </c>
      <c r="S777">
        <f>IFERROR(--INDEX('Pooled funds'!$D:$D,ROW()),0)</f>
        <v/>
      </c>
      <c r="T777">
        <f>IFERROR(IF(--INDEX('Pooled funds'!$E:$E,ROW())&gt;=1,--INDEX('Pooled funds'!$E:$E,ROW())/100,--INDEX('Pooled funds'!$E:$E,ROW())),0)</f>
        <v/>
      </c>
      <c r="U777">
        <f>IF(ISNUMBER(INDEX('Pooled funds'!$E:$E,ROW())),1,0)</f>
        <v/>
      </c>
      <c r="V777">
        <f>TRIM(SUBSTITUTE(INDEX('Loans'!$A:$A,ROW())&amp;""," "," "))</f>
        <v/>
      </c>
      <c r="W777">
        <f>TRIM(SUBSTITUTE(INDEX('Loans'!$B:$B,ROW())&amp;""," "," "))</f>
        <v/>
      </c>
      <c r="X777">
        <f>TRIM(SUBSTITUTE(INDEX('Loans'!$C:$C,ROW())&amp;""," "," "))</f>
        <v/>
      </c>
      <c r="Y777">
        <f>IFERROR(--INDEX('Loans'!$D:$D,ROW()),0)</f>
        <v/>
      </c>
      <c r="Z777">
        <f>IFERROR(--INDEX('Loans'!$E:$E,ROW()),0)</f>
        <v/>
      </c>
      <c r="AA777">
        <f>IFERROR(--INDEX('Loans'!$F:$F,ROW()),0)</f>
        <v/>
      </c>
      <c r="AB777">
        <f>IFERROR(IF(--INDEX('Loans'!$G:$G,ROW())&gt;=1,--INDEX('Loans'!$G:$G,ROW())/100,--INDEX('Loans'!$G:$G,ROW())),0)</f>
        <v/>
      </c>
      <c r="AC777">
        <f>TRIM(SUBSTITUTE(INDEX('Loans'!$H:$H,ROW())&amp;""," "," "))</f>
        <v/>
      </c>
      <c r="AD777">
        <f>TRIM(SUBSTITUTE(INDEX('Loans'!$I:$I,ROW())&amp;""," "," "))</f>
        <v/>
      </c>
      <c r="AE777">
        <f>IFERROR(--INDEX('Loans'!$J:$J,ROW()),0)</f>
        <v/>
      </c>
      <c r="AF777">
        <f>TRIM(SUBSTITUTE(INDEX('Loans'!$K:$K,ROW())&amp;""," "," "))</f>
        <v/>
      </c>
      <c r="AG777">
        <f>IFERROR(--INDEX('Loans'!$L:$L,ROW()),0)</f>
        <v/>
      </c>
      <c r="AH777">
        <f>IF(ISNUMBER(INDEX('Loans'!$G:$G,ROW())),1,0)</f>
        <v/>
      </c>
    </row>
    <row r="778">
      <c r="A778">
        <f>TRIM(SUBSTITUTE(INDEX('Term investments'!$A:$A,ROW())&amp;""," "," "))</f>
        <v/>
      </c>
      <c r="B778">
        <f>TRIM(SUBSTITUTE(INDEX('Term investments'!$B:$B,ROW())&amp;""," "," "))</f>
        <v/>
      </c>
      <c r="C778">
        <f>TRIM(SUBSTITUTE(INDEX('Term investments'!$C:$C,ROW())&amp;""," "," "))</f>
        <v/>
      </c>
      <c r="D778">
        <f>IFERROR(--INDEX('Term investments'!$D:$D,ROW()),0)</f>
        <v/>
      </c>
      <c r="E778">
        <f>IFERROR(--INDEX('Term investments'!$E:$E,ROW()),0)</f>
        <v/>
      </c>
      <c r="F778">
        <f>IFERROR(--INDEX('Term investments'!$F:$F,ROW()),0)</f>
        <v/>
      </c>
      <c r="G778">
        <f>IFERROR(IF(--INDEX('Term investments'!$G:$G,ROW())&gt;=1,--INDEX('Term investments'!$G:$G,ROW())/100,--INDEX('Term investments'!$G:$G,ROW())),0)</f>
        <v/>
      </c>
      <c r="H778">
        <f>IFERROR(--INDEX('Term investments'!$H:$H,ROW()),0)</f>
        <v/>
      </c>
      <c r="I778">
        <f>IF(ISNUMBER(INDEX('Term investments'!$G:$G,ROW())),1,0)</f>
        <v/>
      </c>
      <c r="J778">
        <f>TRIM(SUBSTITUTE(INDEX('Call accounts and MMFs'!$A:$A,ROW())&amp;""," "," "))</f>
        <v/>
      </c>
      <c r="K778">
        <f>TRIM(SUBSTITUTE(INDEX('Call accounts and MMFs'!$B:$B,ROW())&amp;""," "," "))</f>
        <v/>
      </c>
      <c r="L778">
        <f>TRIM(SUBSTITUTE(INDEX('Call accounts and MMFs'!$C:$C,ROW())&amp;""," "," "))</f>
        <v/>
      </c>
      <c r="M778">
        <f>IFERROR(--INDEX('Call accounts and MMFs'!$D:$D,ROW()),0)</f>
        <v/>
      </c>
      <c r="N778">
        <f>IFERROR(IF(--INDEX('Call accounts and MMFs'!$E:$E,ROW())&gt;=1,--INDEX('Call accounts and MMFs'!$E:$E,ROW())/100,--INDEX('Call accounts and MMFs'!$E:$E,ROW())),0)</f>
        <v/>
      </c>
      <c r="O778">
        <f>IFERROR(--INDEX('Call accounts and MMFs'!$F:$F,ROW()),0)</f>
        <v/>
      </c>
      <c r="P778">
        <f>IF(ISNUMBER(INDEX('Call accounts and MMFs'!$E:$E,ROW())),1,0)</f>
        <v/>
      </c>
      <c r="Q778">
        <f>TRIM(SUBSTITUTE(INDEX('Pooled funds'!$B:$B,ROW())&amp;""," "," "))</f>
        <v/>
      </c>
      <c r="R778">
        <f>IFERROR(--INDEX('Pooled funds'!$C:$C,ROW()),0)</f>
        <v/>
      </c>
      <c r="S778">
        <f>IFERROR(--INDEX('Pooled funds'!$D:$D,ROW()),0)</f>
        <v/>
      </c>
      <c r="T778">
        <f>IFERROR(IF(--INDEX('Pooled funds'!$E:$E,ROW())&gt;=1,--INDEX('Pooled funds'!$E:$E,ROW())/100,--INDEX('Pooled funds'!$E:$E,ROW())),0)</f>
        <v/>
      </c>
      <c r="U778">
        <f>IF(ISNUMBER(INDEX('Pooled funds'!$E:$E,ROW())),1,0)</f>
        <v/>
      </c>
      <c r="V778">
        <f>TRIM(SUBSTITUTE(INDEX('Loans'!$A:$A,ROW())&amp;""," "," "))</f>
        <v/>
      </c>
      <c r="W778">
        <f>TRIM(SUBSTITUTE(INDEX('Loans'!$B:$B,ROW())&amp;""," "," "))</f>
        <v/>
      </c>
      <c r="X778">
        <f>TRIM(SUBSTITUTE(INDEX('Loans'!$C:$C,ROW())&amp;""," "," "))</f>
        <v/>
      </c>
      <c r="Y778">
        <f>IFERROR(--INDEX('Loans'!$D:$D,ROW()),0)</f>
        <v/>
      </c>
      <c r="Z778">
        <f>IFERROR(--INDEX('Loans'!$E:$E,ROW()),0)</f>
        <v/>
      </c>
      <c r="AA778">
        <f>IFERROR(--INDEX('Loans'!$F:$F,ROW()),0)</f>
        <v/>
      </c>
      <c r="AB778">
        <f>IFERROR(IF(--INDEX('Loans'!$G:$G,ROW())&gt;=1,--INDEX('Loans'!$G:$G,ROW())/100,--INDEX('Loans'!$G:$G,ROW())),0)</f>
        <v/>
      </c>
      <c r="AC778">
        <f>TRIM(SUBSTITUTE(INDEX('Loans'!$H:$H,ROW())&amp;""," "," "))</f>
        <v/>
      </c>
      <c r="AD778">
        <f>TRIM(SUBSTITUTE(INDEX('Loans'!$I:$I,ROW())&amp;""," "," "))</f>
        <v/>
      </c>
      <c r="AE778">
        <f>IFERROR(--INDEX('Loans'!$J:$J,ROW()),0)</f>
        <v/>
      </c>
      <c r="AF778">
        <f>TRIM(SUBSTITUTE(INDEX('Loans'!$K:$K,ROW())&amp;""," "," "))</f>
        <v/>
      </c>
      <c r="AG778">
        <f>IFERROR(--INDEX('Loans'!$L:$L,ROW()),0)</f>
        <v/>
      </c>
      <c r="AH778">
        <f>IF(ISNUMBER(INDEX('Loans'!$G:$G,ROW())),1,0)</f>
        <v/>
      </c>
    </row>
    <row r="779">
      <c r="A779">
        <f>TRIM(SUBSTITUTE(INDEX('Term investments'!$A:$A,ROW())&amp;""," "," "))</f>
        <v/>
      </c>
      <c r="B779">
        <f>TRIM(SUBSTITUTE(INDEX('Term investments'!$B:$B,ROW())&amp;""," "," "))</f>
        <v/>
      </c>
      <c r="C779">
        <f>TRIM(SUBSTITUTE(INDEX('Term investments'!$C:$C,ROW())&amp;""," "," "))</f>
        <v/>
      </c>
      <c r="D779">
        <f>IFERROR(--INDEX('Term investments'!$D:$D,ROW()),0)</f>
        <v/>
      </c>
      <c r="E779">
        <f>IFERROR(--INDEX('Term investments'!$E:$E,ROW()),0)</f>
        <v/>
      </c>
      <c r="F779">
        <f>IFERROR(--INDEX('Term investments'!$F:$F,ROW()),0)</f>
        <v/>
      </c>
      <c r="G779">
        <f>IFERROR(IF(--INDEX('Term investments'!$G:$G,ROW())&gt;=1,--INDEX('Term investments'!$G:$G,ROW())/100,--INDEX('Term investments'!$G:$G,ROW())),0)</f>
        <v/>
      </c>
      <c r="H779">
        <f>IFERROR(--INDEX('Term investments'!$H:$H,ROW()),0)</f>
        <v/>
      </c>
      <c r="I779">
        <f>IF(ISNUMBER(INDEX('Term investments'!$G:$G,ROW())),1,0)</f>
        <v/>
      </c>
      <c r="J779">
        <f>TRIM(SUBSTITUTE(INDEX('Call accounts and MMFs'!$A:$A,ROW())&amp;""," "," "))</f>
        <v/>
      </c>
      <c r="K779">
        <f>TRIM(SUBSTITUTE(INDEX('Call accounts and MMFs'!$B:$B,ROW())&amp;""," "," "))</f>
        <v/>
      </c>
      <c r="L779">
        <f>TRIM(SUBSTITUTE(INDEX('Call accounts and MMFs'!$C:$C,ROW())&amp;""," "," "))</f>
        <v/>
      </c>
      <c r="M779">
        <f>IFERROR(--INDEX('Call accounts and MMFs'!$D:$D,ROW()),0)</f>
        <v/>
      </c>
      <c r="N779">
        <f>IFERROR(IF(--INDEX('Call accounts and MMFs'!$E:$E,ROW())&gt;=1,--INDEX('Call accounts and MMFs'!$E:$E,ROW())/100,--INDEX('Call accounts and MMFs'!$E:$E,ROW())),0)</f>
        <v/>
      </c>
      <c r="O779">
        <f>IFERROR(--INDEX('Call accounts and MMFs'!$F:$F,ROW()),0)</f>
        <v/>
      </c>
      <c r="P779">
        <f>IF(ISNUMBER(INDEX('Call accounts and MMFs'!$E:$E,ROW())),1,0)</f>
        <v/>
      </c>
      <c r="Q779">
        <f>TRIM(SUBSTITUTE(INDEX('Pooled funds'!$B:$B,ROW())&amp;""," "," "))</f>
        <v/>
      </c>
      <c r="R779">
        <f>IFERROR(--INDEX('Pooled funds'!$C:$C,ROW()),0)</f>
        <v/>
      </c>
      <c r="S779">
        <f>IFERROR(--INDEX('Pooled funds'!$D:$D,ROW()),0)</f>
        <v/>
      </c>
      <c r="T779">
        <f>IFERROR(IF(--INDEX('Pooled funds'!$E:$E,ROW())&gt;=1,--INDEX('Pooled funds'!$E:$E,ROW())/100,--INDEX('Pooled funds'!$E:$E,ROW())),0)</f>
        <v/>
      </c>
      <c r="U779">
        <f>IF(ISNUMBER(INDEX('Pooled funds'!$E:$E,ROW())),1,0)</f>
        <v/>
      </c>
      <c r="V779">
        <f>TRIM(SUBSTITUTE(INDEX('Loans'!$A:$A,ROW())&amp;""," "," "))</f>
        <v/>
      </c>
      <c r="W779">
        <f>TRIM(SUBSTITUTE(INDEX('Loans'!$B:$B,ROW())&amp;""," "," "))</f>
        <v/>
      </c>
      <c r="X779">
        <f>TRIM(SUBSTITUTE(INDEX('Loans'!$C:$C,ROW())&amp;""," "," "))</f>
        <v/>
      </c>
      <c r="Y779">
        <f>IFERROR(--INDEX('Loans'!$D:$D,ROW()),0)</f>
        <v/>
      </c>
      <c r="Z779">
        <f>IFERROR(--INDEX('Loans'!$E:$E,ROW()),0)</f>
        <v/>
      </c>
      <c r="AA779">
        <f>IFERROR(--INDEX('Loans'!$F:$F,ROW()),0)</f>
        <v/>
      </c>
      <c r="AB779">
        <f>IFERROR(IF(--INDEX('Loans'!$G:$G,ROW())&gt;=1,--INDEX('Loans'!$G:$G,ROW())/100,--INDEX('Loans'!$G:$G,ROW())),0)</f>
        <v/>
      </c>
      <c r="AC779">
        <f>TRIM(SUBSTITUTE(INDEX('Loans'!$H:$H,ROW())&amp;""," "," "))</f>
        <v/>
      </c>
      <c r="AD779">
        <f>TRIM(SUBSTITUTE(INDEX('Loans'!$I:$I,ROW())&amp;""," "," "))</f>
        <v/>
      </c>
      <c r="AE779">
        <f>IFERROR(--INDEX('Loans'!$J:$J,ROW()),0)</f>
        <v/>
      </c>
      <c r="AF779">
        <f>TRIM(SUBSTITUTE(INDEX('Loans'!$K:$K,ROW())&amp;""," "," "))</f>
        <v/>
      </c>
      <c r="AG779">
        <f>IFERROR(--INDEX('Loans'!$L:$L,ROW()),0)</f>
        <v/>
      </c>
      <c r="AH779">
        <f>IF(ISNUMBER(INDEX('Loans'!$G:$G,ROW())),1,0)</f>
        <v/>
      </c>
    </row>
    <row r="780">
      <c r="A780">
        <f>TRIM(SUBSTITUTE(INDEX('Term investments'!$A:$A,ROW())&amp;""," "," "))</f>
        <v/>
      </c>
      <c r="B780">
        <f>TRIM(SUBSTITUTE(INDEX('Term investments'!$B:$B,ROW())&amp;""," "," "))</f>
        <v/>
      </c>
      <c r="C780">
        <f>TRIM(SUBSTITUTE(INDEX('Term investments'!$C:$C,ROW())&amp;""," "," "))</f>
        <v/>
      </c>
      <c r="D780">
        <f>IFERROR(--INDEX('Term investments'!$D:$D,ROW()),0)</f>
        <v/>
      </c>
      <c r="E780">
        <f>IFERROR(--INDEX('Term investments'!$E:$E,ROW()),0)</f>
        <v/>
      </c>
      <c r="F780">
        <f>IFERROR(--INDEX('Term investments'!$F:$F,ROW()),0)</f>
        <v/>
      </c>
      <c r="G780">
        <f>IFERROR(IF(--INDEX('Term investments'!$G:$G,ROW())&gt;=1,--INDEX('Term investments'!$G:$G,ROW())/100,--INDEX('Term investments'!$G:$G,ROW())),0)</f>
        <v/>
      </c>
      <c r="H780">
        <f>IFERROR(--INDEX('Term investments'!$H:$H,ROW()),0)</f>
        <v/>
      </c>
      <c r="I780">
        <f>IF(ISNUMBER(INDEX('Term investments'!$G:$G,ROW())),1,0)</f>
        <v/>
      </c>
      <c r="J780">
        <f>TRIM(SUBSTITUTE(INDEX('Call accounts and MMFs'!$A:$A,ROW())&amp;""," "," "))</f>
        <v/>
      </c>
      <c r="K780">
        <f>TRIM(SUBSTITUTE(INDEX('Call accounts and MMFs'!$B:$B,ROW())&amp;""," "," "))</f>
        <v/>
      </c>
      <c r="L780">
        <f>TRIM(SUBSTITUTE(INDEX('Call accounts and MMFs'!$C:$C,ROW())&amp;""," "," "))</f>
        <v/>
      </c>
      <c r="M780">
        <f>IFERROR(--INDEX('Call accounts and MMFs'!$D:$D,ROW()),0)</f>
        <v/>
      </c>
      <c r="N780">
        <f>IFERROR(IF(--INDEX('Call accounts and MMFs'!$E:$E,ROW())&gt;=1,--INDEX('Call accounts and MMFs'!$E:$E,ROW())/100,--INDEX('Call accounts and MMFs'!$E:$E,ROW())),0)</f>
        <v/>
      </c>
      <c r="O780">
        <f>IFERROR(--INDEX('Call accounts and MMFs'!$F:$F,ROW()),0)</f>
        <v/>
      </c>
      <c r="P780">
        <f>IF(ISNUMBER(INDEX('Call accounts and MMFs'!$E:$E,ROW())),1,0)</f>
        <v/>
      </c>
      <c r="Q780">
        <f>TRIM(SUBSTITUTE(INDEX('Pooled funds'!$B:$B,ROW())&amp;""," "," "))</f>
        <v/>
      </c>
      <c r="R780">
        <f>IFERROR(--INDEX('Pooled funds'!$C:$C,ROW()),0)</f>
        <v/>
      </c>
      <c r="S780">
        <f>IFERROR(--INDEX('Pooled funds'!$D:$D,ROW()),0)</f>
        <v/>
      </c>
      <c r="T780">
        <f>IFERROR(IF(--INDEX('Pooled funds'!$E:$E,ROW())&gt;=1,--INDEX('Pooled funds'!$E:$E,ROW())/100,--INDEX('Pooled funds'!$E:$E,ROW())),0)</f>
        <v/>
      </c>
      <c r="U780">
        <f>IF(ISNUMBER(INDEX('Pooled funds'!$E:$E,ROW())),1,0)</f>
        <v/>
      </c>
      <c r="V780">
        <f>TRIM(SUBSTITUTE(INDEX('Loans'!$A:$A,ROW())&amp;""," "," "))</f>
        <v/>
      </c>
      <c r="W780">
        <f>TRIM(SUBSTITUTE(INDEX('Loans'!$B:$B,ROW())&amp;""," "," "))</f>
        <v/>
      </c>
      <c r="X780">
        <f>TRIM(SUBSTITUTE(INDEX('Loans'!$C:$C,ROW())&amp;""," "," "))</f>
        <v/>
      </c>
      <c r="Y780">
        <f>IFERROR(--INDEX('Loans'!$D:$D,ROW()),0)</f>
        <v/>
      </c>
      <c r="Z780">
        <f>IFERROR(--INDEX('Loans'!$E:$E,ROW()),0)</f>
        <v/>
      </c>
      <c r="AA780">
        <f>IFERROR(--INDEX('Loans'!$F:$F,ROW()),0)</f>
        <v/>
      </c>
      <c r="AB780">
        <f>IFERROR(IF(--INDEX('Loans'!$G:$G,ROW())&gt;=1,--INDEX('Loans'!$G:$G,ROW())/100,--INDEX('Loans'!$G:$G,ROW())),0)</f>
        <v/>
      </c>
      <c r="AC780">
        <f>TRIM(SUBSTITUTE(INDEX('Loans'!$H:$H,ROW())&amp;""," "," "))</f>
        <v/>
      </c>
      <c r="AD780">
        <f>TRIM(SUBSTITUTE(INDEX('Loans'!$I:$I,ROW())&amp;""," "," "))</f>
        <v/>
      </c>
      <c r="AE780">
        <f>IFERROR(--INDEX('Loans'!$J:$J,ROW()),0)</f>
        <v/>
      </c>
      <c r="AF780">
        <f>TRIM(SUBSTITUTE(INDEX('Loans'!$K:$K,ROW())&amp;""," "," "))</f>
        <v/>
      </c>
      <c r="AG780">
        <f>IFERROR(--INDEX('Loans'!$L:$L,ROW()),0)</f>
        <v/>
      </c>
      <c r="AH780">
        <f>IF(ISNUMBER(INDEX('Loans'!$G:$G,ROW())),1,0)</f>
        <v/>
      </c>
    </row>
    <row r="781">
      <c r="A781">
        <f>TRIM(SUBSTITUTE(INDEX('Term investments'!$A:$A,ROW())&amp;""," "," "))</f>
        <v/>
      </c>
      <c r="B781">
        <f>TRIM(SUBSTITUTE(INDEX('Term investments'!$B:$B,ROW())&amp;""," "," "))</f>
        <v/>
      </c>
      <c r="C781">
        <f>TRIM(SUBSTITUTE(INDEX('Term investments'!$C:$C,ROW())&amp;""," "," "))</f>
        <v/>
      </c>
      <c r="D781">
        <f>IFERROR(--INDEX('Term investments'!$D:$D,ROW()),0)</f>
        <v/>
      </c>
      <c r="E781">
        <f>IFERROR(--INDEX('Term investments'!$E:$E,ROW()),0)</f>
        <v/>
      </c>
      <c r="F781">
        <f>IFERROR(--INDEX('Term investments'!$F:$F,ROW()),0)</f>
        <v/>
      </c>
      <c r="G781">
        <f>IFERROR(IF(--INDEX('Term investments'!$G:$G,ROW())&gt;=1,--INDEX('Term investments'!$G:$G,ROW())/100,--INDEX('Term investments'!$G:$G,ROW())),0)</f>
        <v/>
      </c>
      <c r="H781">
        <f>IFERROR(--INDEX('Term investments'!$H:$H,ROW()),0)</f>
        <v/>
      </c>
      <c r="I781">
        <f>IF(ISNUMBER(INDEX('Term investments'!$G:$G,ROW())),1,0)</f>
        <v/>
      </c>
      <c r="J781">
        <f>TRIM(SUBSTITUTE(INDEX('Call accounts and MMFs'!$A:$A,ROW())&amp;""," "," "))</f>
        <v/>
      </c>
      <c r="K781">
        <f>TRIM(SUBSTITUTE(INDEX('Call accounts and MMFs'!$B:$B,ROW())&amp;""," "," "))</f>
        <v/>
      </c>
      <c r="L781">
        <f>TRIM(SUBSTITUTE(INDEX('Call accounts and MMFs'!$C:$C,ROW())&amp;""," "," "))</f>
        <v/>
      </c>
      <c r="M781">
        <f>IFERROR(--INDEX('Call accounts and MMFs'!$D:$D,ROW()),0)</f>
        <v/>
      </c>
      <c r="N781">
        <f>IFERROR(IF(--INDEX('Call accounts and MMFs'!$E:$E,ROW())&gt;=1,--INDEX('Call accounts and MMFs'!$E:$E,ROW())/100,--INDEX('Call accounts and MMFs'!$E:$E,ROW())),0)</f>
        <v/>
      </c>
      <c r="O781">
        <f>IFERROR(--INDEX('Call accounts and MMFs'!$F:$F,ROW()),0)</f>
        <v/>
      </c>
      <c r="P781">
        <f>IF(ISNUMBER(INDEX('Call accounts and MMFs'!$E:$E,ROW())),1,0)</f>
        <v/>
      </c>
      <c r="Q781">
        <f>TRIM(SUBSTITUTE(INDEX('Pooled funds'!$B:$B,ROW())&amp;""," "," "))</f>
        <v/>
      </c>
      <c r="R781">
        <f>IFERROR(--INDEX('Pooled funds'!$C:$C,ROW()),0)</f>
        <v/>
      </c>
      <c r="S781">
        <f>IFERROR(--INDEX('Pooled funds'!$D:$D,ROW()),0)</f>
        <v/>
      </c>
      <c r="T781">
        <f>IFERROR(IF(--INDEX('Pooled funds'!$E:$E,ROW())&gt;=1,--INDEX('Pooled funds'!$E:$E,ROW())/100,--INDEX('Pooled funds'!$E:$E,ROW())),0)</f>
        <v/>
      </c>
      <c r="U781">
        <f>IF(ISNUMBER(INDEX('Pooled funds'!$E:$E,ROW())),1,0)</f>
        <v/>
      </c>
      <c r="V781">
        <f>TRIM(SUBSTITUTE(INDEX('Loans'!$A:$A,ROW())&amp;""," "," "))</f>
        <v/>
      </c>
      <c r="W781">
        <f>TRIM(SUBSTITUTE(INDEX('Loans'!$B:$B,ROW())&amp;""," "," "))</f>
        <v/>
      </c>
      <c r="X781">
        <f>TRIM(SUBSTITUTE(INDEX('Loans'!$C:$C,ROW())&amp;""," "," "))</f>
        <v/>
      </c>
      <c r="Y781">
        <f>IFERROR(--INDEX('Loans'!$D:$D,ROW()),0)</f>
        <v/>
      </c>
      <c r="Z781">
        <f>IFERROR(--INDEX('Loans'!$E:$E,ROW()),0)</f>
        <v/>
      </c>
      <c r="AA781">
        <f>IFERROR(--INDEX('Loans'!$F:$F,ROW()),0)</f>
        <v/>
      </c>
      <c r="AB781">
        <f>IFERROR(IF(--INDEX('Loans'!$G:$G,ROW())&gt;=1,--INDEX('Loans'!$G:$G,ROW())/100,--INDEX('Loans'!$G:$G,ROW())),0)</f>
        <v/>
      </c>
      <c r="AC781">
        <f>TRIM(SUBSTITUTE(INDEX('Loans'!$H:$H,ROW())&amp;""," "," "))</f>
        <v/>
      </c>
      <c r="AD781">
        <f>TRIM(SUBSTITUTE(INDEX('Loans'!$I:$I,ROW())&amp;""," "," "))</f>
        <v/>
      </c>
      <c r="AE781">
        <f>IFERROR(--INDEX('Loans'!$J:$J,ROW()),0)</f>
        <v/>
      </c>
      <c r="AF781">
        <f>TRIM(SUBSTITUTE(INDEX('Loans'!$K:$K,ROW())&amp;""," "," "))</f>
        <v/>
      </c>
      <c r="AG781">
        <f>IFERROR(--INDEX('Loans'!$L:$L,ROW()),0)</f>
        <v/>
      </c>
      <c r="AH781">
        <f>IF(ISNUMBER(INDEX('Loans'!$G:$G,ROW())),1,0)</f>
        <v/>
      </c>
    </row>
    <row r="782">
      <c r="A782">
        <f>TRIM(SUBSTITUTE(INDEX('Term investments'!$A:$A,ROW())&amp;""," "," "))</f>
        <v/>
      </c>
      <c r="B782">
        <f>TRIM(SUBSTITUTE(INDEX('Term investments'!$B:$B,ROW())&amp;""," "," "))</f>
        <v/>
      </c>
      <c r="C782">
        <f>TRIM(SUBSTITUTE(INDEX('Term investments'!$C:$C,ROW())&amp;""," "," "))</f>
        <v/>
      </c>
      <c r="D782">
        <f>IFERROR(--INDEX('Term investments'!$D:$D,ROW()),0)</f>
        <v/>
      </c>
      <c r="E782">
        <f>IFERROR(--INDEX('Term investments'!$E:$E,ROW()),0)</f>
        <v/>
      </c>
      <c r="F782">
        <f>IFERROR(--INDEX('Term investments'!$F:$F,ROW()),0)</f>
        <v/>
      </c>
      <c r="G782">
        <f>IFERROR(IF(--INDEX('Term investments'!$G:$G,ROW())&gt;=1,--INDEX('Term investments'!$G:$G,ROW())/100,--INDEX('Term investments'!$G:$G,ROW())),0)</f>
        <v/>
      </c>
      <c r="H782">
        <f>IFERROR(--INDEX('Term investments'!$H:$H,ROW()),0)</f>
        <v/>
      </c>
      <c r="I782">
        <f>IF(ISNUMBER(INDEX('Term investments'!$G:$G,ROW())),1,0)</f>
        <v/>
      </c>
      <c r="J782">
        <f>TRIM(SUBSTITUTE(INDEX('Call accounts and MMFs'!$A:$A,ROW())&amp;""," "," "))</f>
        <v/>
      </c>
      <c r="K782">
        <f>TRIM(SUBSTITUTE(INDEX('Call accounts and MMFs'!$B:$B,ROW())&amp;""," "," "))</f>
        <v/>
      </c>
      <c r="L782">
        <f>TRIM(SUBSTITUTE(INDEX('Call accounts and MMFs'!$C:$C,ROW())&amp;""," "," "))</f>
        <v/>
      </c>
      <c r="M782">
        <f>IFERROR(--INDEX('Call accounts and MMFs'!$D:$D,ROW()),0)</f>
        <v/>
      </c>
      <c r="N782">
        <f>IFERROR(IF(--INDEX('Call accounts and MMFs'!$E:$E,ROW())&gt;=1,--INDEX('Call accounts and MMFs'!$E:$E,ROW())/100,--INDEX('Call accounts and MMFs'!$E:$E,ROW())),0)</f>
        <v/>
      </c>
      <c r="O782">
        <f>IFERROR(--INDEX('Call accounts and MMFs'!$F:$F,ROW()),0)</f>
        <v/>
      </c>
      <c r="P782">
        <f>IF(ISNUMBER(INDEX('Call accounts and MMFs'!$E:$E,ROW())),1,0)</f>
        <v/>
      </c>
      <c r="Q782">
        <f>TRIM(SUBSTITUTE(INDEX('Pooled funds'!$B:$B,ROW())&amp;""," "," "))</f>
        <v/>
      </c>
      <c r="R782">
        <f>IFERROR(--INDEX('Pooled funds'!$C:$C,ROW()),0)</f>
        <v/>
      </c>
      <c r="S782">
        <f>IFERROR(--INDEX('Pooled funds'!$D:$D,ROW()),0)</f>
        <v/>
      </c>
      <c r="T782">
        <f>IFERROR(IF(--INDEX('Pooled funds'!$E:$E,ROW())&gt;=1,--INDEX('Pooled funds'!$E:$E,ROW())/100,--INDEX('Pooled funds'!$E:$E,ROW())),0)</f>
        <v/>
      </c>
      <c r="U782">
        <f>IF(ISNUMBER(INDEX('Pooled funds'!$E:$E,ROW())),1,0)</f>
        <v/>
      </c>
      <c r="V782">
        <f>TRIM(SUBSTITUTE(INDEX('Loans'!$A:$A,ROW())&amp;""," "," "))</f>
        <v/>
      </c>
      <c r="W782">
        <f>TRIM(SUBSTITUTE(INDEX('Loans'!$B:$B,ROW())&amp;""," "," "))</f>
        <v/>
      </c>
      <c r="X782">
        <f>TRIM(SUBSTITUTE(INDEX('Loans'!$C:$C,ROW())&amp;""," "," "))</f>
        <v/>
      </c>
      <c r="Y782">
        <f>IFERROR(--INDEX('Loans'!$D:$D,ROW()),0)</f>
        <v/>
      </c>
      <c r="Z782">
        <f>IFERROR(--INDEX('Loans'!$E:$E,ROW()),0)</f>
        <v/>
      </c>
      <c r="AA782">
        <f>IFERROR(--INDEX('Loans'!$F:$F,ROW()),0)</f>
        <v/>
      </c>
      <c r="AB782">
        <f>IFERROR(IF(--INDEX('Loans'!$G:$G,ROW())&gt;=1,--INDEX('Loans'!$G:$G,ROW())/100,--INDEX('Loans'!$G:$G,ROW())),0)</f>
        <v/>
      </c>
      <c r="AC782">
        <f>TRIM(SUBSTITUTE(INDEX('Loans'!$H:$H,ROW())&amp;""," "," "))</f>
        <v/>
      </c>
      <c r="AD782">
        <f>TRIM(SUBSTITUTE(INDEX('Loans'!$I:$I,ROW())&amp;""," "," "))</f>
        <v/>
      </c>
      <c r="AE782">
        <f>IFERROR(--INDEX('Loans'!$J:$J,ROW()),0)</f>
        <v/>
      </c>
      <c r="AF782">
        <f>TRIM(SUBSTITUTE(INDEX('Loans'!$K:$K,ROW())&amp;""," "," "))</f>
        <v/>
      </c>
      <c r="AG782">
        <f>IFERROR(--INDEX('Loans'!$L:$L,ROW()),0)</f>
        <v/>
      </c>
      <c r="AH782">
        <f>IF(ISNUMBER(INDEX('Loans'!$G:$G,ROW())),1,0)</f>
        <v/>
      </c>
    </row>
    <row r="783">
      <c r="A783">
        <f>TRIM(SUBSTITUTE(INDEX('Term investments'!$A:$A,ROW())&amp;""," "," "))</f>
        <v/>
      </c>
      <c r="B783">
        <f>TRIM(SUBSTITUTE(INDEX('Term investments'!$B:$B,ROW())&amp;""," "," "))</f>
        <v/>
      </c>
      <c r="C783">
        <f>TRIM(SUBSTITUTE(INDEX('Term investments'!$C:$C,ROW())&amp;""," "," "))</f>
        <v/>
      </c>
      <c r="D783">
        <f>IFERROR(--INDEX('Term investments'!$D:$D,ROW()),0)</f>
        <v/>
      </c>
      <c r="E783">
        <f>IFERROR(--INDEX('Term investments'!$E:$E,ROW()),0)</f>
        <v/>
      </c>
      <c r="F783">
        <f>IFERROR(--INDEX('Term investments'!$F:$F,ROW()),0)</f>
        <v/>
      </c>
      <c r="G783">
        <f>IFERROR(IF(--INDEX('Term investments'!$G:$G,ROW())&gt;=1,--INDEX('Term investments'!$G:$G,ROW())/100,--INDEX('Term investments'!$G:$G,ROW())),0)</f>
        <v/>
      </c>
      <c r="H783">
        <f>IFERROR(--INDEX('Term investments'!$H:$H,ROW()),0)</f>
        <v/>
      </c>
      <c r="I783">
        <f>IF(ISNUMBER(INDEX('Term investments'!$G:$G,ROW())),1,0)</f>
        <v/>
      </c>
      <c r="J783">
        <f>TRIM(SUBSTITUTE(INDEX('Call accounts and MMFs'!$A:$A,ROW())&amp;""," "," "))</f>
        <v/>
      </c>
      <c r="K783">
        <f>TRIM(SUBSTITUTE(INDEX('Call accounts and MMFs'!$B:$B,ROW())&amp;""," "," "))</f>
        <v/>
      </c>
      <c r="L783">
        <f>TRIM(SUBSTITUTE(INDEX('Call accounts and MMFs'!$C:$C,ROW())&amp;""," "," "))</f>
        <v/>
      </c>
      <c r="M783">
        <f>IFERROR(--INDEX('Call accounts and MMFs'!$D:$D,ROW()),0)</f>
        <v/>
      </c>
      <c r="N783">
        <f>IFERROR(IF(--INDEX('Call accounts and MMFs'!$E:$E,ROW())&gt;=1,--INDEX('Call accounts and MMFs'!$E:$E,ROW())/100,--INDEX('Call accounts and MMFs'!$E:$E,ROW())),0)</f>
        <v/>
      </c>
      <c r="O783">
        <f>IFERROR(--INDEX('Call accounts and MMFs'!$F:$F,ROW()),0)</f>
        <v/>
      </c>
      <c r="P783">
        <f>IF(ISNUMBER(INDEX('Call accounts and MMFs'!$E:$E,ROW())),1,0)</f>
        <v/>
      </c>
      <c r="Q783">
        <f>TRIM(SUBSTITUTE(INDEX('Pooled funds'!$B:$B,ROW())&amp;""," "," "))</f>
        <v/>
      </c>
      <c r="R783">
        <f>IFERROR(--INDEX('Pooled funds'!$C:$C,ROW()),0)</f>
        <v/>
      </c>
      <c r="S783">
        <f>IFERROR(--INDEX('Pooled funds'!$D:$D,ROW()),0)</f>
        <v/>
      </c>
      <c r="T783">
        <f>IFERROR(IF(--INDEX('Pooled funds'!$E:$E,ROW())&gt;=1,--INDEX('Pooled funds'!$E:$E,ROW())/100,--INDEX('Pooled funds'!$E:$E,ROW())),0)</f>
        <v/>
      </c>
      <c r="U783">
        <f>IF(ISNUMBER(INDEX('Pooled funds'!$E:$E,ROW())),1,0)</f>
        <v/>
      </c>
      <c r="V783">
        <f>TRIM(SUBSTITUTE(INDEX('Loans'!$A:$A,ROW())&amp;""," "," "))</f>
        <v/>
      </c>
      <c r="W783">
        <f>TRIM(SUBSTITUTE(INDEX('Loans'!$B:$B,ROW())&amp;""," "," "))</f>
        <v/>
      </c>
      <c r="X783">
        <f>TRIM(SUBSTITUTE(INDEX('Loans'!$C:$C,ROW())&amp;""," "," "))</f>
        <v/>
      </c>
      <c r="Y783">
        <f>IFERROR(--INDEX('Loans'!$D:$D,ROW()),0)</f>
        <v/>
      </c>
      <c r="Z783">
        <f>IFERROR(--INDEX('Loans'!$E:$E,ROW()),0)</f>
        <v/>
      </c>
      <c r="AA783">
        <f>IFERROR(--INDEX('Loans'!$F:$F,ROW()),0)</f>
        <v/>
      </c>
      <c r="AB783">
        <f>IFERROR(IF(--INDEX('Loans'!$G:$G,ROW())&gt;=1,--INDEX('Loans'!$G:$G,ROW())/100,--INDEX('Loans'!$G:$G,ROW())),0)</f>
        <v/>
      </c>
      <c r="AC783">
        <f>TRIM(SUBSTITUTE(INDEX('Loans'!$H:$H,ROW())&amp;""," "," "))</f>
        <v/>
      </c>
      <c r="AD783">
        <f>TRIM(SUBSTITUTE(INDEX('Loans'!$I:$I,ROW())&amp;""," "," "))</f>
        <v/>
      </c>
      <c r="AE783">
        <f>IFERROR(--INDEX('Loans'!$J:$J,ROW()),0)</f>
        <v/>
      </c>
      <c r="AF783">
        <f>TRIM(SUBSTITUTE(INDEX('Loans'!$K:$K,ROW())&amp;""," "," "))</f>
        <v/>
      </c>
      <c r="AG783">
        <f>IFERROR(--INDEX('Loans'!$L:$L,ROW()),0)</f>
        <v/>
      </c>
      <c r="AH783">
        <f>IF(ISNUMBER(INDEX('Loans'!$G:$G,ROW())),1,0)</f>
        <v/>
      </c>
    </row>
    <row r="784">
      <c r="A784">
        <f>TRIM(SUBSTITUTE(INDEX('Term investments'!$A:$A,ROW())&amp;""," "," "))</f>
        <v/>
      </c>
      <c r="B784">
        <f>TRIM(SUBSTITUTE(INDEX('Term investments'!$B:$B,ROW())&amp;""," "," "))</f>
        <v/>
      </c>
      <c r="C784">
        <f>TRIM(SUBSTITUTE(INDEX('Term investments'!$C:$C,ROW())&amp;""," "," "))</f>
        <v/>
      </c>
      <c r="D784">
        <f>IFERROR(--INDEX('Term investments'!$D:$D,ROW()),0)</f>
        <v/>
      </c>
      <c r="E784">
        <f>IFERROR(--INDEX('Term investments'!$E:$E,ROW()),0)</f>
        <v/>
      </c>
      <c r="F784">
        <f>IFERROR(--INDEX('Term investments'!$F:$F,ROW()),0)</f>
        <v/>
      </c>
      <c r="G784">
        <f>IFERROR(IF(--INDEX('Term investments'!$G:$G,ROW())&gt;=1,--INDEX('Term investments'!$G:$G,ROW())/100,--INDEX('Term investments'!$G:$G,ROW())),0)</f>
        <v/>
      </c>
      <c r="H784">
        <f>IFERROR(--INDEX('Term investments'!$H:$H,ROW()),0)</f>
        <v/>
      </c>
      <c r="I784">
        <f>IF(ISNUMBER(INDEX('Term investments'!$G:$G,ROW())),1,0)</f>
        <v/>
      </c>
      <c r="J784">
        <f>TRIM(SUBSTITUTE(INDEX('Call accounts and MMFs'!$A:$A,ROW())&amp;""," "," "))</f>
        <v/>
      </c>
      <c r="K784">
        <f>TRIM(SUBSTITUTE(INDEX('Call accounts and MMFs'!$B:$B,ROW())&amp;""," "," "))</f>
        <v/>
      </c>
      <c r="L784">
        <f>TRIM(SUBSTITUTE(INDEX('Call accounts and MMFs'!$C:$C,ROW())&amp;""," "," "))</f>
        <v/>
      </c>
      <c r="M784">
        <f>IFERROR(--INDEX('Call accounts and MMFs'!$D:$D,ROW()),0)</f>
        <v/>
      </c>
      <c r="N784">
        <f>IFERROR(IF(--INDEX('Call accounts and MMFs'!$E:$E,ROW())&gt;=1,--INDEX('Call accounts and MMFs'!$E:$E,ROW())/100,--INDEX('Call accounts and MMFs'!$E:$E,ROW())),0)</f>
        <v/>
      </c>
      <c r="O784">
        <f>IFERROR(--INDEX('Call accounts and MMFs'!$F:$F,ROW()),0)</f>
        <v/>
      </c>
      <c r="P784">
        <f>IF(ISNUMBER(INDEX('Call accounts and MMFs'!$E:$E,ROW())),1,0)</f>
        <v/>
      </c>
      <c r="Q784">
        <f>TRIM(SUBSTITUTE(INDEX('Pooled funds'!$B:$B,ROW())&amp;""," "," "))</f>
        <v/>
      </c>
      <c r="R784">
        <f>IFERROR(--INDEX('Pooled funds'!$C:$C,ROW()),0)</f>
        <v/>
      </c>
      <c r="S784">
        <f>IFERROR(--INDEX('Pooled funds'!$D:$D,ROW()),0)</f>
        <v/>
      </c>
      <c r="T784">
        <f>IFERROR(IF(--INDEX('Pooled funds'!$E:$E,ROW())&gt;=1,--INDEX('Pooled funds'!$E:$E,ROW())/100,--INDEX('Pooled funds'!$E:$E,ROW())),0)</f>
        <v/>
      </c>
      <c r="U784">
        <f>IF(ISNUMBER(INDEX('Pooled funds'!$E:$E,ROW())),1,0)</f>
        <v/>
      </c>
      <c r="V784">
        <f>TRIM(SUBSTITUTE(INDEX('Loans'!$A:$A,ROW())&amp;""," "," "))</f>
        <v/>
      </c>
      <c r="W784">
        <f>TRIM(SUBSTITUTE(INDEX('Loans'!$B:$B,ROW())&amp;""," "," "))</f>
        <v/>
      </c>
      <c r="X784">
        <f>TRIM(SUBSTITUTE(INDEX('Loans'!$C:$C,ROW())&amp;""," "," "))</f>
        <v/>
      </c>
      <c r="Y784">
        <f>IFERROR(--INDEX('Loans'!$D:$D,ROW()),0)</f>
        <v/>
      </c>
      <c r="Z784">
        <f>IFERROR(--INDEX('Loans'!$E:$E,ROW()),0)</f>
        <v/>
      </c>
      <c r="AA784">
        <f>IFERROR(--INDEX('Loans'!$F:$F,ROW()),0)</f>
        <v/>
      </c>
      <c r="AB784">
        <f>IFERROR(IF(--INDEX('Loans'!$G:$G,ROW())&gt;=1,--INDEX('Loans'!$G:$G,ROW())/100,--INDEX('Loans'!$G:$G,ROW())),0)</f>
        <v/>
      </c>
      <c r="AC784">
        <f>TRIM(SUBSTITUTE(INDEX('Loans'!$H:$H,ROW())&amp;""," "," "))</f>
        <v/>
      </c>
      <c r="AD784">
        <f>TRIM(SUBSTITUTE(INDEX('Loans'!$I:$I,ROW())&amp;""," "," "))</f>
        <v/>
      </c>
      <c r="AE784">
        <f>IFERROR(--INDEX('Loans'!$J:$J,ROW()),0)</f>
        <v/>
      </c>
      <c r="AF784">
        <f>TRIM(SUBSTITUTE(INDEX('Loans'!$K:$K,ROW())&amp;""," "," "))</f>
        <v/>
      </c>
      <c r="AG784">
        <f>IFERROR(--INDEX('Loans'!$L:$L,ROW()),0)</f>
        <v/>
      </c>
      <c r="AH784">
        <f>IF(ISNUMBER(INDEX('Loans'!$G:$G,ROW())),1,0)</f>
        <v/>
      </c>
    </row>
    <row r="785">
      <c r="A785">
        <f>TRIM(SUBSTITUTE(INDEX('Term investments'!$A:$A,ROW())&amp;""," "," "))</f>
        <v/>
      </c>
      <c r="B785">
        <f>TRIM(SUBSTITUTE(INDEX('Term investments'!$B:$B,ROW())&amp;""," "," "))</f>
        <v/>
      </c>
      <c r="C785">
        <f>TRIM(SUBSTITUTE(INDEX('Term investments'!$C:$C,ROW())&amp;""," "," "))</f>
        <v/>
      </c>
      <c r="D785">
        <f>IFERROR(--INDEX('Term investments'!$D:$D,ROW()),0)</f>
        <v/>
      </c>
      <c r="E785">
        <f>IFERROR(--INDEX('Term investments'!$E:$E,ROW()),0)</f>
        <v/>
      </c>
      <c r="F785">
        <f>IFERROR(--INDEX('Term investments'!$F:$F,ROW()),0)</f>
        <v/>
      </c>
      <c r="G785">
        <f>IFERROR(IF(--INDEX('Term investments'!$G:$G,ROW())&gt;=1,--INDEX('Term investments'!$G:$G,ROW())/100,--INDEX('Term investments'!$G:$G,ROW())),0)</f>
        <v/>
      </c>
      <c r="H785">
        <f>IFERROR(--INDEX('Term investments'!$H:$H,ROW()),0)</f>
        <v/>
      </c>
      <c r="I785">
        <f>IF(ISNUMBER(INDEX('Term investments'!$G:$G,ROW())),1,0)</f>
        <v/>
      </c>
      <c r="J785">
        <f>TRIM(SUBSTITUTE(INDEX('Call accounts and MMFs'!$A:$A,ROW())&amp;""," "," "))</f>
        <v/>
      </c>
      <c r="K785">
        <f>TRIM(SUBSTITUTE(INDEX('Call accounts and MMFs'!$B:$B,ROW())&amp;""," "," "))</f>
        <v/>
      </c>
      <c r="L785">
        <f>TRIM(SUBSTITUTE(INDEX('Call accounts and MMFs'!$C:$C,ROW())&amp;""," "," "))</f>
        <v/>
      </c>
      <c r="M785">
        <f>IFERROR(--INDEX('Call accounts and MMFs'!$D:$D,ROW()),0)</f>
        <v/>
      </c>
      <c r="N785">
        <f>IFERROR(IF(--INDEX('Call accounts and MMFs'!$E:$E,ROW())&gt;=1,--INDEX('Call accounts and MMFs'!$E:$E,ROW())/100,--INDEX('Call accounts and MMFs'!$E:$E,ROW())),0)</f>
        <v/>
      </c>
      <c r="O785">
        <f>IFERROR(--INDEX('Call accounts and MMFs'!$F:$F,ROW()),0)</f>
        <v/>
      </c>
      <c r="P785">
        <f>IF(ISNUMBER(INDEX('Call accounts and MMFs'!$E:$E,ROW())),1,0)</f>
        <v/>
      </c>
      <c r="Q785">
        <f>TRIM(SUBSTITUTE(INDEX('Pooled funds'!$B:$B,ROW())&amp;""," "," "))</f>
        <v/>
      </c>
      <c r="R785">
        <f>IFERROR(--INDEX('Pooled funds'!$C:$C,ROW()),0)</f>
        <v/>
      </c>
      <c r="S785">
        <f>IFERROR(--INDEX('Pooled funds'!$D:$D,ROW()),0)</f>
        <v/>
      </c>
      <c r="T785">
        <f>IFERROR(IF(--INDEX('Pooled funds'!$E:$E,ROW())&gt;=1,--INDEX('Pooled funds'!$E:$E,ROW())/100,--INDEX('Pooled funds'!$E:$E,ROW())),0)</f>
        <v/>
      </c>
      <c r="U785">
        <f>IF(ISNUMBER(INDEX('Pooled funds'!$E:$E,ROW())),1,0)</f>
        <v/>
      </c>
      <c r="V785">
        <f>TRIM(SUBSTITUTE(INDEX('Loans'!$A:$A,ROW())&amp;""," "," "))</f>
        <v/>
      </c>
      <c r="W785">
        <f>TRIM(SUBSTITUTE(INDEX('Loans'!$B:$B,ROW())&amp;""," "," "))</f>
        <v/>
      </c>
      <c r="X785">
        <f>TRIM(SUBSTITUTE(INDEX('Loans'!$C:$C,ROW())&amp;""," "," "))</f>
        <v/>
      </c>
      <c r="Y785">
        <f>IFERROR(--INDEX('Loans'!$D:$D,ROW()),0)</f>
        <v/>
      </c>
      <c r="Z785">
        <f>IFERROR(--INDEX('Loans'!$E:$E,ROW()),0)</f>
        <v/>
      </c>
      <c r="AA785">
        <f>IFERROR(--INDEX('Loans'!$F:$F,ROW()),0)</f>
        <v/>
      </c>
      <c r="AB785">
        <f>IFERROR(IF(--INDEX('Loans'!$G:$G,ROW())&gt;=1,--INDEX('Loans'!$G:$G,ROW())/100,--INDEX('Loans'!$G:$G,ROW())),0)</f>
        <v/>
      </c>
      <c r="AC785">
        <f>TRIM(SUBSTITUTE(INDEX('Loans'!$H:$H,ROW())&amp;""," "," "))</f>
        <v/>
      </c>
      <c r="AD785">
        <f>TRIM(SUBSTITUTE(INDEX('Loans'!$I:$I,ROW())&amp;""," "," "))</f>
        <v/>
      </c>
      <c r="AE785">
        <f>IFERROR(--INDEX('Loans'!$J:$J,ROW()),0)</f>
        <v/>
      </c>
      <c r="AF785">
        <f>TRIM(SUBSTITUTE(INDEX('Loans'!$K:$K,ROW())&amp;""," "," "))</f>
        <v/>
      </c>
      <c r="AG785">
        <f>IFERROR(--INDEX('Loans'!$L:$L,ROW()),0)</f>
        <v/>
      </c>
      <c r="AH785">
        <f>IF(ISNUMBER(INDEX('Loans'!$G:$G,ROW())),1,0)</f>
        <v/>
      </c>
    </row>
    <row r="786">
      <c r="A786">
        <f>TRIM(SUBSTITUTE(INDEX('Term investments'!$A:$A,ROW())&amp;""," "," "))</f>
        <v/>
      </c>
      <c r="B786">
        <f>TRIM(SUBSTITUTE(INDEX('Term investments'!$B:$B,ROW())&amp;""," "," "))</f>
        <v/>
      </c>
      <c r="C786">
        <f>TRIM(SUBSTITUTE(INDEX('Term investments'!$C:$C,ROW())&amp;""," "," "))</f>
        <v/>
      </c>
      <c r="D786">
        <f>IFERROR(--INDEX('Term investments'!$D:$D,ROW()),0)</f>
        <v/>
      </c>
      <c r="E786">
        <f>IFERROR(--INDEX('Term investments'!$E:$E,ROW()),0)</f>
        <v/>
      </c>
      <c r="F786">
        <f>IFERROR(--INDEX('Term investments'!$F:$F,ROW()),0)</f>
        <v/>
      </c>
      <c r="G786">
        <f>IFERROR(IF(--INDEX('Term investments'!$G:$G,ROW())&gt;=1,--INDEX('Term investments'!$G:$G,ROW())/100,--INDEX('Term investments'!$G:$G,ROW())),0)</f>
        <v/>
      </c>
      <c r="H786">
        <f>IFERROR(--INDEX('Term investments'!$H:$H,ROW()),0)</f>
        <v/>
      </c>
      <c r="I786">
        <f>IF(ISNUMBER(INDEX('Term investments'!$G:$G,ROW())),1,0)</f>
        <v/>
      </c>
      <c r="J786">
        <f>TRIM(SUBSTITUTE(INDEX('Call accounts and MMFs'!$A:$A,ROW())&amp;""," "," "))</f>
        <v/>
      </c>
      <c r="K786">
        <f>TRIM(SUBSTITUTE(INDEX('Call accounts and MMFs'!$B:$B,ROW())&amp;""," "," "))</f>
        <v/>
      </c>
      <c r="L786">
        <f>TRIM(SUBSTITUTE(INDEX('Call accounts and MMFs'!$C:$C,ROW())&amp;""," "," "))</f>
        <v/>
      </c>
      <c r="M786">
        <f>IFERROR(--INDEX('Call accounts and MMFs'!$D:$D,ROW()),0)</f>
        <v/>
      </c>
      <c r="N786">
        <f>IFERROR(IF(--INDEX('Call accounts and MMFs'!$E:$E,ROW())&gt;=1,--INDEX('Call accounts and MMFs'!$E:$E,ROW())/100,--INDEX('Call accounts and MMFs'!$E:$E,ROW())),0)</f>
        <v/>
      </c>
      <c r="O786">
        <f>IFERROR(--INDEX('Call accounts and MMFs'!$F:$F,ROW()),0)</f>
        <v/>
      </c>
      <c r="P786">
        <f>IF(ISNUMBER(INDEX('Call accounts and MMFs'!$E:$E,ROW())),1,0)</f>
        <v/>
      </c>
      <c r="Q786">
        <f>TRIM(SUBSTITUTE(INDEX('Pooled funds'!$B:$B,ROW())&amp;""," "," "))</f>
        <v/>
      </c>
      <c r="R786">
        <f>IFERROR(--INDEX('Pooled funds'!$C:$C,ROW()),0)</f>
        <v/>
      </c>
      <c r="S786">
        <f>IFERROR(--INDEX('Pooled funds'!$D:$D,ROW()),0)</f>
        <v/>
      </c>
      <c r="T786">
        <f>IFERROR(IF(--INDEX('Pooled funds'!$E:$E,ROW())&gt;=1,--INDEX('Pooled funds'!$E:$E,ROW())/100,--INDEX('Pooled funds'!$E:$E,ROW())),0)</f>
        <v/>
      </c>
      <c r="U786">
        <f>IF(ISNUMBER(INDEX('Pooled funds'!$E:$E,ROW())),1,0)</f>
        <v/>
      </c>
      <c r="V786">
        <f>TRIM(SUBSTITUTE(INDEX('Loans'!$A:$A,ROW())&amp;""," "," "))</f>
        <v/>
      </c>
      <c r="W786">
        <f>TRIM(SUBSTITUTE(INDEX('Loans'!$B:$B,ROW())&amp;""," "," "))</f>
        <v/>
      </c>
      <c r="X786">
        <f>TRIM(SUBSTITUTE(INDEX('Loans'!$C:$C,ROW())&amp;""," "," "))</f>
        <v/>
      </c>
      <c r="Y786">
        <f>IFERROR(--INDEX('Loans'!$D:$D,ROW()),0)</f>
        <v/>
      </c>
      <c r="Z786">
        <f>IFERROR(--INDEX('Loans'!$E:$E,ROW()),0)</f>
        <v/>
      </c>
      <c r="AA786">
        <f>IFERROR(--INDEX('Loans'!$F:$F,ROW()),0)</f>
        <v/>
      </c>
      <c r="AB786">
        <f>IFERROR(IF(--INDEX('Loans'!$G:$G,ROW())&gt;=1,--INDEX('Loans'!$G:$G,ROW())/100,--INDEX('Loans'!$G:$G,ROW())),0)</f>
        <v/>
      </c>
      <c r="AC786">
        <f>TRIM(SUBSTITUTE(INDEX('Loans'!$H:$H,ROW())&amp;""," "," "))</f>
        <v/>
      </c>
      <c r="AD786">
        <f>TRIM(SUBSTITUTE(INDEX('Loans'!$I:$I,ROW())&amp;""," "," "))</f>
        <v/>
      </c>
      <c r="AE786">
        <f>IFERROR(--INDEX('Loans'!$J:$J,ROW()),0)</f>
        <v/>
      </c>
      <c r="AF786">
        <f>TRIM(SUBSTITUTE(INDEX('Loans'!$K:$K,ROW())&amp;""," "," "))</f>
        <v/>
      </c>
      <c r="AG786">
        <f>IFERROR(--INDEX('Loans'!$L:$L,ROW()),0)</f>
        <v/>
      </c>
      <c r="AH786">
        <f>IF(ISNUMBER(INDEX('Loans'!$G:$G,ROW())),1,0)</f>
        <v/>
      </c>
    </row>
    <row r="787">
      <c r="A787">
        <f>TRIM(SUBSTITUTE(INDEX('Term investments'!$A:$A,ROW())&amp;""," "," "))</f>
        <v/>
      </c>
      <c r="B787">
        <f>TRIM(SUBSTITUTE(INDEX('Term investments'!$B:$B,ROW())&amp;""," "," "))</f>
        <v/>
      </c>
      <c r="C787">
        <f>TRIM(SUBSTITUTE(INDEX('Term investments'!$C:$C,ROW())&amp;""," "," "))</f>
        <v/>
      </c>
      <c r="D787">
        <f>IFERROR(--INDEX('Term investments'!$D:$D,ROW()),0)</f>
        <v/>
      </c>
      <c r="E787">
        <f>IFERROR(--INDEX('Term investments'!$E:$E,ROW()),0)</f>
        <v/>
      </c>
      <c r="F787">
        <f>IFERROR(--INDEX('Term investments'!$F:$F,ROW()),0)</f>
        <v/>
      </c>
      <c r="G787">
        <f>IFERROR(IF(--INDEX('Term investments'!$G:$G,ROW())&gt;=1,--INDEX('Term investments'!$G:$G,ROW())/100,--INDEX('Term investments'!$G:$G,ROW())),0)</f>
        <v/>
      </c>
      <c r="H787">
        <f>IFERROR(--INDEX('Term investments'!$H:$H,ROW()),0)</f>
        <v/>
      </c>
      <c r="I787">
        <f>IF(ISNUMBER(INDEX('Term investments'!$G:$G,ROW())),1,0)</f>
        <v/>
      </c>
      <c r="J787">
        <f>TRIM(SUBSTITUTE(INDEX('Call accounts and MMFs'!$A:$A,ROW())&amp;""," "," "))</f>
        <v/>
      </c>
      <c r="K787">
        <f>TRIM(SUBSTITUTE(INDEX('Call accounts and MMFs'!$B:$B,ROW())&amp;""," "," "))</f>
        <v/>
      </c>
      <c r="L787">
        <f>TRIM(SUBSTITUTE(INDEX('Call accounts and MMFs'!$C:$C,ROW())&amp;""," "," "))</f>
        <v/>
      </c>
      <c r="M787">
        <f>IFERROR(--INDEX('Call accounts and MMFs'!$D:$D,ROW()),0)</f>
        <v/>
      </c>
      <c r="N787">
        <f>IFERROR(IF(--INDEX('Call accounts and MMFs'!$E:$E,ROW())&gt;=1,--INDEX('Call accounts and MMFs'!$E:$E,ROW())/100,--INDEX('Call accounts and MMFs'!$E:$E,ROW())),0)</f>
        <v/>
      </c>
      <c r="O787">
        <f>IFERROR(--INDEX('Call accounts and MMFs'!$F:$F,ROW()),0)</f>
        <v/>
      </c>
      <c r="P787">
        <f>IF(ISNUMBER(INDEX('Call accounts and MMFs'!$E:$E,ROW())),1,0)</f>
        <v/>
      </c>
      <c r="Q787">
        <f>TRIM(SUBSTITUTE(INDEX('Pooled funds'!$B:$B,ROW())&amp;""," "," "))</f>
        <v/>
      </c>
      <c r="R787">
        <f>IFERROR(--INDEX('Pooled funds'!$C:$C,ROW()),0)</f>
        <v/>
      </c>
      <c r="S787">
        <f>IFERROR(--INDEX('Pooled funds'!$D:$D,ROW()),0)</f>
        <v/>
      </c>
      <c r="T787">
        <f>IFERROR(IF(--INDEX('Pooled funds'!$E:$E,ROW())&gt;=1,--INDEX('Pooled funds'!$E:$E,ROW())/100,--INDEX('Pooled funds'!$E:$E,ROW())),0)</f>
        <v/>
      </c>
      <c r="U787">
        <f>IF(ISNUMBER(INDEX('Pooled funds'!$E:$E,ROW())),1,0)</f>
        <v/>
      </c>
      <c r="V787">
        <f>TRIM(SUBSTITUTE(INDEX('Loans'!$A:$A,ROW())&amp;""," "," "))</f>
        <v/>
      </c>
      <c r="W787">
        <f>TRIM(SUBSTITUTE(INDEX('Loans'!$B:$B,ROW())&amp;""," "," "))</f>
        <v/>
      </c>
      <c r="X787">
        <f>TRIM(SUBSTITUTE(INDEX('Loans'!$C:$C,ROW())&amp;""," "," "))</f>
        <v/>
      </c>
      <c r="Y787">
        <f>IFERROR(--INDEX('Loans'!$D:$D,ROW()),0)</f>
        <v/>
      </c>
      <c r="Z787">
        <f>IFERROR(--INDEX('Loans'!$E:$E,ROW()),0)</f>
        <v/>
      </c>
      <c r="AA787">
        <f>IFERROR(--INDEX('Loans'!$F:$F,ROW()),0)</f>
        <v/>
      </c>
      <c r="AB787">
        <f>IFERROR(IF(--INDEX('Loans'!$G:$G,ROW())&gt;=1,--INDEX('Loans'!$G:$G,ROW())/100,--INDEX('Loans'!$G:$G,ROW())),0)</f>
        <v/>
      </c>
      <c r="AC787">
        <f>TRIM(SUBSTITUTE(INDEX('Loans'!$H:$H,ROW())&amp;""," "," "))</f>
        <v/>
      </c>
      <c r="AD787">
        <f>TRIM(SUBSTITUTE(INDEX('Loans'!$I:$I,ROW())&amp;""," "," "))</f>
        <v/>
      </c>
      <c r="AE787">
        <f>IFERROR(--INDEX('Loans'!$J:$J,ROW()),0)</f>
        <v/>
      </c>
      <c r="AF787">
        <f>TRIM(SUBSTITUTE(INDEX('Loans'!$K:$K,ROW())&amp;""," "," "))</f>
        <v/>
      </c>
      <c r="AG787">
        <f>IFERROR(--INDEX('Loans'!$L:$L,ROW()),0)</f>
        <v/>
      </c>
      <c r="AH787">
        <f>IF(ISNUMBER(INDEX('Loans'!$G:$G,ROW())),1,0)</f>
        <v/>
      </c>
    </row>
    <row r="788">
      <c r="A788">
        <f>TRIM(SUBSTITUTE(INDEX('Term investments'!$A:$A,ROW())&amp;""," "," "))</f>
        <v/>
      </c>
      <c r="B788">
        <f>TRIM(SUBSTITUTE(INDEX('Term investments'!$B:$B,ROW())&amp;""," "," "))</f>
        <v/>
      </c>
      <c r="C788">
        <f>TRIM(SUBSTITUTE(INDEX('Term investments'!$C:$C,ROW())&amp;""," "," "))</f>
        <v/>
      </c>
      <c r="D788">
        <f>IFERROR(--INDEX('Term investments'!$D:$D,ROW()),0)</f>
        <v/>
      </c>
      <c r="E788">
        <f>IFERROR(--INDEX('Term investments'!$E:$E,ROW()),0)</f>
        <v/>
      </c>
      <c r="F788">
        <f>IFERROR(--INDEX('Term investments'!$F:$F,ROW()),0)</f>
        <v/>
      </c>
      <c r="G788">
        <f>IFERROR(IF(--INDEX('Term investments'!$G:$G,ROW())&gt;=1,--INDEX('Term investments'!$G:$G,ROW())/100,--INDEX('Term investments'!$G:$G,ROW())),0)</f>
        <v/>
      </c>
      <c r="H788">
        <f>IFERROR(--INDEX('Term investments'!$H:$H,ROW()),0)</f>
        <v/>
      </c>
      <c r="I788">
        <f>IF(ISNUMBER(INDEX('Term investments'!$G:$G,ROW())),1,0)</f>
        <v/>
      </c>
      <c r="J788">
        <f>TRIM(SUBSTITUTE(INDEX('Call accounts and MMFs'!$A:$A,ROW())&amp;""," "," "))</f>
        <v/>
      </c>
      <c r="K788">
        <f>TRIM(SUBSTITUTE(INDEX('Call accounts and MMFs'!$B:$B,ROW())&amp;""," "," "))</f>
        <v/>
      </c>
      <c r="L788">
        <f>TRIM(SUBSTITUTE(INDEX('Call accounts and MMFs'!$C:$C,ROW())&amp;""," "," "))</f>
        <v/>
      </c>
      <c r="M788">
        <f>IFERROR(--INDEX('Call accounts and MMFs'!$D:$D,ROW()),0)</f>
        <v/>
      </c>
      <c r="N788">
        <f>IFERROR(IF(--INDEX('Call accounts and MMFs'!$E:$E,ROW())&gt;=1,--INDEX('Call accounts and MMFs'!$E:$E,ROW())/100,--INDEX('Call accounts and MMFs'!$E:$E,ROW())),0)</f>
        <v/>
      </c>
      <c r="O788">
        <f>IFERROR(--INDEX('Call accounts and MMFs'!$F:$F,ROW()),0)</f>
        <v/>
      </c>
      <c r="P788">
        <f>IF(ISNUMBER(INDEX('Call accounts and MMFs'!$E:$E,ROW())),1,0)</f>
        <v/>
      </c>
      <c r="Q788">
        <f>TRIM(SUBSTITUTE(INDEX('Pooled funds'!$B:$B,ROW())&amp;""," "," "))</f>
        <v/>
      </c>
      <c r="R788">
        <f>IFERROR(--INDEX('Pooled funds'!$C:$C,ROW()),0)</f>
        <v/>
      </c>
      <c r="S788">
        <f>IFERROR(--INDEX('Pooled funds'!$D:$D,ROW()),0)</f>
        <v/>
      </c>
      <c r="T788">
        <f>IFERROR(IF(--INDEX('Pooled funds'!$E:$E,ROW())&gt;=1,--INDEX('Pooled funds'!$E:$E,ROW())/100,--INDEX('Pooled funds'!$E:$E,ROW())),0)</f>
        <v/>
      </c>
      <c r="U788">
        <f>IF(ISNUMBER(INDEX('Pooled funds'!$E:$E,ROW())),1,0)</f>
        <v/>
      </c>
      <c r="V788">
        <f>TRIM(SUBSTITUTE(INDEX('Loans'!$A:$A,ROW())&amp;""," "," "))</f>
        <v/>
      </c>
      <c r="W788">
        <f>TRIM(SUBSTITUTE(INDEX('Loans'!$B:$B,ROW())&amp;""," "," "))</f>
        <v/>
      </c>
      <c r="X788">
        <f>TRIM(SUBSTITUTE(INDEX('Loans'!$C:$C,ROW())&amp;""," "," "))</f>
        <v/>
      </c>
      <c r="Y788">
        <f>IFERROR(--INDEX('Loans'!$D:$D,ROW()),0)</f>
        <v/>
      </c>
      <c r="Z788">
        <f>IFERROR(--INDEX('Loans'!$E:$E,ROW()),0)</f>
        <v/>
      </c>
      <c r="AA788">
        <f>IFERROR(--INDEX('Loans'!$F:$F,ROW()),0)</f>
        <v/>
      </c>
      <c r="AB788">
        <f>IFERROR(IF(--INDEX('Loans'!$G:$G,ROW())&gt;=1,--INDEX('Loans'!$G:$G,ROW())/100,--INDEX('Loans'!$G:$G,ROW())),0)</f>
        <v/>
      </c>
      <c r="AC788">
        <f>TRIM(SUBSTITUTE(INDEX('Loans'!$H:$H,ROW())&amp;""," "," "))</f>
        <v/>
      </c>
      <c r="AD788">
        <f>TRIM(SUBSTITUTE(INDEX('Loans'!$I:$I,ROW())&amp;""," "," "))</f>
        <v/>
      </c>
      <c r="AE788">
        <f>IFERROR(--INDEX('Loans'!$J:$J,ROW()),0)</f>
        <v/>
      </c>
      <c r="AF788">
        <f>TRIM(SUBSTITUTE(INDEX('Loans'!$K:$K,ROW())&amp;""," "," "))</f>
        <v/>
      </c>
      <c r="AG788">
        <f>IFERROR(--INDEX('Loans'!$L:$L,ROW()),0)</f>
        <v/>
      </c>
      <c r="AH788">
        <f>IF(ISNUMBER(INDEX('Loans'!$G:$G,ROW())),1,0)</f>
        <v/>
      </c>
    </row>
    <row r="789">
      <c r="A789">
        <f>TRIM(SUBSTITUTE(INDEX('Term investments'!$A:$A,ROW())&amp;""," "," "))</f>
        <v/>
      </c>
      <c r="B789">
        <f>TRIM(SUBSTITUTE(INDEX('Term investments'!$B:$B,ROW())&amp;""," "," "))</f>
        <v/>
      </c>
      <c r="C789">
        <f>TRIM(SUBSTITUTE(INDEX('Term investments'!$C:$C,ROW())&amp;""," "," "))</f>
        <v/>
      </c>
      <c r="D789">
        <f>IFERROR(--INDEX('Term investments'!$D:$D,ROW()),0)</f>
        <v/>
      </c>
      <c r="E789">
        <f>IFERROR(--INDEX('Term investments'!$E:$E,ROW()),0)</f>
        <v/>
      </c>
      <c r="F789">
        <f>IFERROR(--INDEX('Term investments'!$F:$F,ROW()),0)</f>
        <v/>
      </c>
      <c r="G789">
        <f>IFERROR(IF(--INDEX('Term investments'!$G:$G,ROW())&gt;=1,--INDEX('Term investments'!$G:$G,ROW())/100,--INDEX('Term investments'!$G:$G,ROW())),0)</f>
        <v/>
      </c>
      <c r="H789">
        <f>IFERROR(--INDEX('Term investments'!$H:$H,ROW()),0)</f>
        <v/>
      </c>
      <c r="I789">
        <f>IF(ISNUMBER(INDEX('Term investments'!$G:$G,ROW())),1,0)</f>
        <v/>
      </c>
      <c r="J789">
        <f>TRIM(SUBSTITUTE(INDEX('Call accounts and MMFs'!$A:$A,ROW())&amp;""," "," "))</f>
        <v/>
      </c>
      <c r="K789">
        <f>TRIM(SUBSTITUTE(INDEX('Call accounts and MMFs'!$B:$B,ROW())&amp;""," "," "))</f>
        <v/>
      </c>
      <c r="L789">
        <f>TRIM(SUBSTITUTE(INDEX('Call accounts and MMFs'!$C:$C,ROW())&amp;""," "," "))</f>
        <v/>
      </c>
      <c r="M789">
        <f>IFERROR(--INDEX('Call accounts and MMFs'!$D:$D,ROW()),0)</f>
        <v/>
      </c>
      <c r="N789">
        <f>IFERROR(IF(--INDEX('Call accounts and MMFs'!$E:$E,ROW())&gt;=1,--INDEX('Call accounts and MMFs'!$E:$E,ROW())/100,--INDEX('Call accounts and MMFs'!$E:$E,ROW())),0)</f>
        <v/>
      </c>
      <c r="O789">
        <f>IFERROR(--INDEX('Call accounts and MMFs'!$F:$F,ROW()),0)</f>
        <v/>
      </c>
      <c r="P789">
        <f>IF(ISNUMBER(INDEX('Call accounts and MMFs'!$E:$E,ROW())),1,0)</f>
        <v/>
      </c>
      <c r="Q789">
        <f>TRIM(SUBSTITUTE(INDEX('Pooled funds'!$B:$B,ROW())&amp;""," "," "))</f>
        <v/>
      </c>
      <c r="R789">
        <f>IFERROR(--INDEX('Pooled funds'!$C:$C,ROW()),0)</f>
        <v/>
      </c>
      <c r="S789">
        <f>IFERROR(--INDEX('Pooled funds'!$D:$D,ROW()),0)</f>
        <v/>
      </c>
      <c r="T789">
        <f>IFERROR(IF(--INDEX('Pooled funds'!$E:$E,ROW())&gt;=1,--INDEX('Pooled funds'!$E:$E,ROW())/100,--INDEX('Pooled funds'!$E:$E,ROW())),0)</f>
        <v/>
      </c>
      <c r="U789">
        <f>IF(ISNUMBER(INDEX('Pooled funds'!$E:$E,ROW())),1,0)</f>
        <v/>
      </c>
      <c r="V789">
        <f>TRIM(SUBSTITUTE(INDEX('Loans'!$A:$A,ROW())&amp;""," "," "))</f>
        <v/>
      </c>
      <c r="W789">
        <f>TRIM(SUBSTITUTE(INDEX('Loans'!$B:$B,ROW())&amp;""," "," "))</f>
        <v/>
      </c>
      <c r="X789">
        <f>TRIM(SUBSTITUTE(INDEX('Loans'!$C:$C,ROW())&amp;""," "," "))</f>
        <v/>
      </c>
      <c r="Y789">
        <f>IFERROR(--INDEX('Loans'!$D:$D,ROW()),0)</f>
        <v/>
      </c>
      <c r="Z789">
        <f>IFERROR(--INDEX('Loans'!$E:$E,ROW()),0)</f>
        <v/>
      </c>
      <c r="AA789">
        <f>IFERROR(--INDEX('Loans'!$F:$F,ROW()),0)</f>
        <v/>
      </c>
      <c r="AB789">
        <f>IFERROR(IF(--INDEX('Loans'!$G:$G,ROW())&gt;=1,--INDEX('Loans'!$G:$G,ROW())/100,--INDEX('Loans'!$G:$G,ROW())),0)</f>
        <v/>
      </c>
      <c r="AC789">
        <f>TRIM(SUBSTITUTE(INDEX('Loans'!$H:$H,ROW())&amp;""," "," "))</f>
        <v/>
      </c>
      <c r="AD789">
        <f>TRIM(SUBSTITUTE(INDEX('Loans'!$I:$I,ROW())&amp;""," "," "))</f>
        <v/>
      </c>
      <c r="AE789">
        <f>IFERROR(--INDEX('Loans'!$J:$J,ROW()),0)</f>
        <v/>
      </c>
      <c r="AF789">
        <f>TRIM(SUBSTITUTE(INDEX('Loans'!$K:$K,ROW())&amp;""," "," "))</f>
        <v/>
      </c>
      <c r="AG789">
        <f>IFERROR(--INDEX('Loans'!$L:$L,ROW()),0)</f>
        <v/>
      </c>
      <c r="AH789">
        <f>IF(ISNUMBER(INDEX('Loans'!$G:$G,ROW())),1,0)</f>
        <v/>
      </c>
    </row>
    <row r="790">
      <c r="A790">
        <f>TRIM(SUBSTITUTE(INDEX('Term investments'!$A:$A,ROW())&amp;""," "," "))</f>
        <v/>
      </c>
      <c r="B790">
        <f>TRIM(SUBSTITUTE(INDEX('Term investments'!$B:$B,ROW())&amp;""," "," "))</f>
        <v/>
      </c>
      <c r="C790">
        <f>TRIM(SUBSTITUTE(INDEX('Term investments'!$C:$C,ROW())&amp;""," "," "))</f>
        <v/>
      </c>
      <c r="D790">
        <f>IFERROR(--INDEX('Term investments'!$D:$D,ROW()),0)</f>
        <v/>
      </c>
      <c r="E790">
        <f>IFERROR(--INDEX('Term investments'!$E:$E,ROW()),0)</f>
        <v/>
      </c>
      <c r="F790">
        <f>IFERROR(--INDEX('Term investments'!$F:$F,ROW()),0)</f>
        <v/>
      </c>
      <c r="G790">
        <f>IFERROR(IF(--INDEX('Term investments'!$G:$G,ROW())&gt;=1,--INDEX('Term investments'!$G:$G,ROW())/100,--INDEX('Term investments'!$G:$G,ROW())),0)</f>
        <v/>
      </c>
      <c r="H790">
        <f>IFERROR(--INDEX('Term investments'!$H:$H,ROW()),0)</f>
        <v/>
      </c>
      <c r="I790">
        <f>IF(ISNUMBER(INDEX('Term investments'!$G:$G,ROW())),1,0)</f>
        <v/>
      </c>
      <c r="J790">
        <f>TRIM(SUBSTITUTE(INDEX('Call accounts and MMFs'!$A:$A,ROW())&amp;""," "," "))</f>
        <v/>
      </c>
      <c r="K790">
        <f>TRIM(SUBSTITUTE(INDEX('Call accounts and MMFs'!$B:$B,ROW())&amp;""," "," "))</f>
        <v/>
      </c>
      <c r="L790">
        <f>TRIM(SUBSTITUTE(INDEX('Call accounts and MMFs'!$C:$C,ROW())&amp;""," "," "))</f>
        <v/>
      </c>
      <c r="M790">
        <f>IFERROR(--INDEX('Call accounts and MMFs'!$D:$D,ROW()),0)</f>
        <v/>
      </c>
      <c r="N790">
        <f>IFERROR(IF(--INDEX('Call accounts and MMFs'!$E:$E,ROW())&gt;=1,--INDEX('Call accounts and MMFs'!$E:$E,ROW())/100,--INDEX('Call accounts and MMFs'!$E:$E,ROW())),0)</f>
        <v/>
      </c>
      <c r="O790">
        <f>IFERROR(--INDEX('Call accounts and MMFs'!$F:$F,ROW()),0)</f>
        <v/>
      </c>
      <c r="P790">
        <f>IF(ISNUMBER(INDEX('Call accounts and MMFs'!$E:$E,ROW())),1,0)</f>
        <v/>
      </c>
      <c r="Q790">
        <f>TRIM(SUBSTITUTE(INDEX('Pooled funds'!$B:$B,ROW())&amp;""," "," "))</f>
        <v/>
      </c>
      <c r="R790">
        <f>IFERROR(--INDEX('Pooled funds'!$C:$C,ROW()),0)</f>
        <v/>
      </c>
      <c r="S790">
        <f>IFERROR(--INDEX('Pooled funds'!$D:$D,ROW()),0)</f>
        <v/>
      </c>
      <c r="T790">
        <f>IFERROR(IF(--INDEX('Pooled funds'!$E:$E,ROW())&gt;=1,--INDEX('Pooled funds'!$E:$E,ROW())/100,--INDEX('Pooled funds'!$E:$E,ROW())),0)</f>
        <v/>
      </c>
      <c r="U790">
        <f>IF(ISNUMBER(INDEX('Pooled funds'!$E:$E,ROW())),1,0)</f>
        <v/>
      </c>
      <c r="V790">
        <f>TRIM(SUBSTITUTE(INDEX('Loans'!$A:$A,ROW())&amp;""," "," "))</f>
        <v/>
      </c>
      <c r="W790">
        <f>TRIM(SUBSTITUTE(INDEX('Loans'!$B:$B,ROW())&amp;""," "," "))</f>
        <v/>
      </c>
      <c r="X790">
        <f>TRIM(SUBSTITUTE(INDEX('Loans'!$C:$C,ROW())&amp;""," "," "))</f>
        <v/>
      </c>
      <c r="Y790">
        <f>IFERROR(--INDEX('Loans'!$D:$D,ROW()),0)</f>
        <v/>
      </c>
      <c r="Z790">
        <f>IFERROR(--INDEX('Loans'!$E:$E,ROW()),0)</f>
        <v/>
      </c>
      <c r="AA790">
        <f>IFERROR(--INDEX('Loans'!$F:$F,ROW()),0)</f>
        <v/>
      </c>
      <c r="AB790">
        <f>IFERROR(IF(--INDEX('Loans'!$G:$G,ROW())&gt;=1,--INDEX('Loans'!$G:$G,ROW())/100,--INDEX('Loans'!$G:$G,ROW())),0)</f>
        <v/>
      </c>
      <c r="AC790">
        <f>TRIM(SUBSTITUTE(INDEX('Loans'!$H:$H,ROW())&amp;""," "," "))</f>
        <v/>
      </c>
      <c r="AD790">
        <f>TRIM(SUBSTITUTE(INDEX('Loans'!$I:$I,ROW())&amp;""," "," "))</f>
        <v/>
      </c>
      <c r="AE790">
        <f>IFERROR(--INDEX('Loans'!$J:$J,ROW()),0)</f>
        <v/>
      </c>
      <c r="AF790">
        <f>TRIM(SUBSTITUTE(INDEX('Loans'!$K:$K,ROW())&amp;""," "," "))</f>
        <v/>
      </c>
      <c r="AG790">
        <f>IFERROR(--INDEX('Loans'!$L:$L,ROW()),0)</f>
        <v/>
      </c>
      <c r="AH790">
        <f>IF(ISNUMBER(INDEX('Loans'!$G:$G,ROW())),1,0)</f>
        <v/>
      </c>
    </row>
    <row r="791">
      <c r="A791">
        <f>TRIM(SUBSTITUTE(INDEX('Term investments'!$A:$A,ROW())&amp;""," "," "))</f>
        <v/>
      </c>
      <c r="B791">
        <f>TRIM(SUBSTITUTE(INDEX('Term investments'!$B:$B,ROW())&amp;""," "," "))</f>
        <v/>
      </c>
      <c r="C791">
        <f>TRIM(SUBSTITUTE(INDEX('Term investments'!$C:$C,ROW())&amp;""," "," "))</f>
        <v/>
      </c>
      <c r="D791">
        <f>IFERROR(--INDEX('Term investments'!$D:$D,ROW()),0)</f>
        <v/>
      </c>
      <c r="E791">
        <f>IFERROR(--INDEX('Term investments'!$E:$E,ROW()),0)</f>
        <v/>
      </c>
      <c r="F791">
        <f>IFERROR(--INDEX('Term investments'!$F:$F,ROW()),0)</f>
        <v/>
      </c>
      <c r="G791">
        <f>IFERROR(IF(--INDEX('Term investments'!$G:$G,ROW())&gt;=1,--INDEX('Term investments'!$G:$G,ROW())/100,--INDEX('Term investments'!$G:$G,ROW())),0)</f>
        <v/>
      </c>
      <c r="H791">
        <f>IFERROR(--INDEX('Term investments'!$H:$H,ROW()),0)</f>
        <v/>
      </c>
      <c r="I791">
        <f>IF(ISNUMBER(INDEX('Term investments'!$G:$G,ROW())),1,0)</f>
        <v/>
      </c>
      <c r="J791">
        <f>TRIM(SUBSTITUTE(INDEX('Call accounts and MMFs'!$A:$A,ROW())&amp;""," "," "))</f>
        <v/>
      </c>
      <c r="K791">
        <f>TRIM(SUBSTITUTE(INDEX('Call accounts and MMFs'!$B:$B,ROW())&amp;""," "," "))</f>
        <v/>
      </c>
      <c r="L791">
        <f>TRIM(SUBSTITUTE(INDEX('Call accounts and MMFs'!$C:$C,ROW())&amp;""," "," "))</f>
        <v/>
      </c>
      <c r="M791">
        <f>IFERROR(--INDEX('Call accounts and MMFs'!$D:$D,ROW()),0)</f>
        <v/>
      </c>
      <c r="N791">
        <f>IFERROR(IF(--INDEX('Call accounts and MMFs'!$E:$E,ROW())&gt;=1,--INDEX('Call accounts and MMFs'!$E:$E,ROW())/100,--INDEX('Call accounts and MMFs'!$E:$E,ROW())),0)</f>
        <v/>
      </c>
      <c r="O791">
        <f>IFERROR(--INDEX('Call accounts and MMFs'!$F:$F,ROW()),0)</f>
        <v/>
      </c>
      <c r="P791">
        <f>IF(ISNUMBER(INDEX('Call accounts and MMFs'!$E:$E,ROW())),1,0)</f>
        <v/>
      </c>
      <c r="Q791">
        <f>TRIM(SUBSTITUTE(INDEX('Pooled funds'!$B:$B,ROW())&amp;""," "," "))</f>
        <v/>
      </c>
      <c r="R791">
        <f>IFERROR(--INDEX('Pooled funds'!$C:$C,ROW()),0)</f>
        <v/>
      </c>
      <c r="S791">
        <f>IFERROR(--INDEX('Pooled funds'!$D:$D,ROW()),0)</f>
        <v/>
      </c>
      <c r="T791">
        <f>IFERROR(IF(--INDEX('Pooled funds'!$E:$E,ROW())&gt;=1,--INDEX('Pooled funds'!$E:$E,ROW())/100,--INDEX('Pooled funds'!$E:$E,ROW())),0)</f>
        <v/>
      </c>
      <c r="U791">
        <f>IF(ISNUMBER(INDEX('Pooled funds'!$E:$E,ROW())),1,0)</f>
        <v/>
      </c>
      <c r="V791">
        <f>TRIM(SUBSTITUTE(INDEX('Loans'!$A:$A,ROW())&amp;""," "," "))</f>
        <v/>
      </c>
      <c r="W791">
        <f>TRIM(SUBSTITUTE(INDEX('Loans'!$B:$B,ROW())&amp;""," "," "))</f>
        <v/>
      </c>
      <c r="X791">
        <f>TRIM(SUBSTITUTE(INDEX('Loans'!$C:$C,ROW())&amp;""," "," "))</f>
        <v/>
      </c>
      <c r="Y791">
        <f>IFERROR(--INDEX('Loans'!$D:$D,ROW()),0)</f>
        <v/>
      </c>
      <c r="Z791">
        <f>IFERROR(--INDEX('Loans'!$E:$E,ROW()),0)</f>
        <v/>
      </c>
      <c r="AA791">
        <f>IFERROR(--INDEX('Loans'!$F:$F,ROW()),0)</f>
        <v/>
      </c>
      <c r="AB791">
        <f>IFERROR(IF(--INDEX('Loans'!$G:$G,ROW())&gt;=1,--INDEX('Loans'!$G:$G,ROW())/100,--INDEX('Loans'!$G:$G,ROW())),0)</f>
        <v/>
      </c>
      <c r="AC791">
        <f>TRIM(SUBSTITUTE(INDEX('Loans'!$H:$H,ROW())&amp;""," "," "))</f>
        <v/>
      </c>
      <c r="AD791">
        <f>TRIM(SUBSTITUTE(INDEX('Loans'!$I:$I,ROW())&amp;""," "," "))</f>
        <v/>
      </c>
      <c r="AE791">
        <f>IFERROR(--INDEX('Loans'!$J:$J,ROW()),0)</f>
        <v/>
      </c>
      <c r="AF791">
        <f>TRIM(SUBSTITUTE(INDEX('Loans'!$K:$K,ROW())&amp;""," "," "))</f>
        <v/>
      </c>
      <c r="AG791">
        <f>IFERROR(--INDEX('Loans'!$L:$L,ROW()),0)</f>
        <v/>
      </c>
      <c r="AH791">
        <f>IF(ISNUMBER(INDEX('Loans'!$G:$G,ROW())),1,0)</f>
        <v/>
      </c>
    </row>
    <row r="792">
      <c r="A792">
        <f>TRIM(SUBSTITUTE(INDEX('Term investments'!$A:$A,ROW())&amp;""," "," "))</f>
        <v/>
      </c>
      <c r="B792">
        <f>TRIM(SUBSTITUTE(INDEX('Term investments'!$B:$B,ROW())&amp;""," "," "))</f>
        <v/>
      </c>
      <c r="C792">
        <f>TRIM(SUBSTITUTE(INDEX('Term investments'!$C:$C,ROW())&amp;""," "," "))</f>
        <v/>
      </c>
      <c r="D792">
        <f>IFERROR(--INDEX('Term investments'!$D:$D,ROW()),0)</f>
        <v/>
      </c>
      <c r="E792">
        <f>IFERROR(--INDEX('Term investments'!$E:$E,ROW()),0)</f>
        <v/>
      </c>
      <c r="F792">
        <f>IFERROR(--INDEX('Term investments'!$F:$F,ROW()),0)</f>
        <v/>
      </c>
      <c r="G792">
        <f>IFERROR(IF(--INDEX('Term investments'!$G:$G,ROW())&gt;=1,--INDEX('Term investments'!$G:$G,ROW())/100,--INDEX('Term investments'!$G:$G,ROW())),0)</f>
        <v/>
      </c>
      <c r="H792">
        <f>IFERROR(--INDEX('Term investments'!$H:$H,ROW()),0)</f>
        <v/>
      </c>
      <c r="I792">
        <f>IF(ISNUMBER(INDEX('Term investments'!$G:$G,ROW())),1,0)</f>
        <v/>
      </c>
      <c r="J792">
        <f>TRIM(SUBSTITUTE(INDEX('Call accounts and MMFs'!$A:$A,ROW())&amp;""," "," "))</f>
        <v/>
      </c>
      <c r="K792">
        <f>TRIM(SUBSTITUTE(INDEX('Call accounts and MMFs'!$B:$B,ROW())&amp;""," "," "))</f>
        <v/>
      </c>
      <c r="L792">
        <f>TRIM(SUBSTITUTE(INDEX('Call accounts and MMFs'!$C:$C,ROW())&amp;""," "," "))</f>
        <v/>
      </c>
      <c r="M792">
        <f>IFERROR(--INDEX('Call accounts and MMFs'!$D:$D,ROW()),0)</f>
        <v/>
      </c>
      <c r="N792">
        <f>IFERROR(IF(--INDEX('Call accounts and MMFs'!$E:$E,ROW())&gt;=1,--INDEX('Call accounts and MMFs'!$E:$E,ROW())/100,--INDEX('Call accounts and MMFs'!$E:$E,ROW())),0)</f>
        <v/>
      </c>
      <c r="O792">
        <f>IFERROR(--INDEX('Call accounts and MMFs'!$F:$F,ROW()),0)</f>
        <v/>
      </c>
      <c r="P792">
        <f>IF(ISNUMBER(INDEX('Call accounts and MMFs'!$E:$E,ROW())),1,0)</f>
        <v/>
      </c>
      <c r="Q792">
        <f>TRIM(SUBSTITUTE(INDEX('Pooled funds'!$B:$B,ROW())&amp;""," "," "))</f>
        <v/>
      </c>
      <c r="R792">
        <f>IFERROR(--INDEX('Pooled funds'!$C:$C,ROW()),0)</f>
        <v/>
      </c>
      <c r="S792">
        <f>IFERROR(--INDEX('Pooled funds'!$D:$D,ROW()),0)</f>
        <v/>
      </c>
      <c r="T792">
        <f>IFERROR(IF(--INDEX('Pooled funds'!$E:$E,ROW())&gt;=1,--INDEX('Pooled funds'!$E:$E,ROW())/100,--INDEX('Pooled funds'!$E:$E,ROW())),0)</f>
        <v/>
      </c>
      <c r="U792">
        <f>IF(ISNUMBER(INDEX('Pooled funds'!$E:$E,ROW())),1,0)</f>
        <v/>
      </c>
      <c r="V792">
        <f>TRIM(SUBSTITUTE(INDEX('Loans'!$A:$A,ROW())&amp;""," "," "))</f>
        <v/>
      </c>
      <c r="W792">
        <f>TRIM(SUBSTITUTE(INDEX('Loans'!$B:$B,ROW())&amp;""," "," "))</f>
        <v/>
      </c>
      <c r="X792">
        <f>TRIM(SUBSTITUTE(INDEX('Loans'!$C:$C,ROW())&amp;""," "," "))</f>
        <v/>
      </c>
      <c r="Y792">
        <f>IFERROR(--INDEX('Loans'!$D:$D,ROW()),0)</f>
        <v/>
      </c>
      <c r="Z792">
        <f>IFERROR(--INDEX('Loans'!$E:$E,ROW()),0)</f>
        <v/>
      </c>
      <c r="AA792">
        <f>IFERROR(--INDEX('Loans'!$F:$F,ROW()),0)</f>
        <v/>
      </c>
      <c r="AB792">
        <f>IFERROR(IF(--INDEX('Loans'!$G:$G,ROW())&gt;=1,--INDEX('Loans'!$G:$G,ROW())/100,--INDEX('Loans'!$G:$G,ROW())),0)</f>
        <v/>
      </c>
      <c r="AC792">
        <f>TRIM(SUBSTITUTE(INDEX('Loans'!$H:$H,ROW())&amp;""," "," "))</f>
        <v/>
      </c>
      <c r="AD792">
        <f>TRIM(SUBSTITUTE(INDEX('Loans'!$I:$I,ROW())&amp;""," "," "))</f>
        <v/>
      </c>
      <c r="AE792">
        <f>IFERROR(--INDEX('Loans'!$J:$J,ROW()),0)</f>
        <v/>
      </c>
      <c r="AF792">
        <f>TRIM(SUBSTITUTE(INDEX('Loans'!$K:$K,ROW())&amp;""," "," "))</f>
        <v/>
      </c>
      <c r="AG792">
        <f>IFERROR(--INDEX('Loans'!$L:$L,ROW()),0)</f>
        <v/>
      </c>
      <c r="AH792">
        <f>IF(ISNUMBER(INDEX('Loans'!$G:$G,ROW())),1,0)</f>
        <v/>
      </c>
    </row>
    <row r="793">
      <c r="A793">
        <f>TRIM(SUBSTITUTE(INDEX('Term investments'!$A:$A,ROW())&amp;""," "," "))</f>
        <v/>
      </c>
      <c r="B793">
        <f>TRIM(SUBSTITUTE(INDEX('Term investments'!$B:$B,ROW())&amp;""," "," "))</f>
        <v/>
      </c>
      <c r="C793">
        <f>TRIM(SUBSTITUTE(INDEX('Term investments'!$C:$C,ROW())&amp;""," "," "))</f>
        <v/>
      </c>
      <c r="D793">
        <f>IFERROR(--INDEX('Term investments'!$D:$D,ROW()),0)</f>
        <v/>
      </c>
      <c r="E793">
        <f>IFERROR(--INDEX('Term investments'!$E:$E,ROW()),0)</f>
        <v/>
      </c>
      <c r="F793">
        <f>IFERROR(--INDEX('Term investments'!$F:$F,ROW()),0)</f>
        <v/>
      </c>
      <c r="G793">
        <f>IFERROR(IF(--INDEX('Term investments'!$G:$G,ROW())&gt;=1,--INDEX('Term investments'!$G:$G,ROW())/100,--INDEX('Term investments'!$G:$G,ROW())),0)</f>
        <v/>
      </c>
      <c r="H793">
        <f>IFERROR(--INDEX('Term investments'!$H:$H,ROW()),0)</f>
        <v/>
      </c>
      <c r="I793">
        <f>IF(ISNUMBER(INDEX('Term investments'!$G:$G,ROW())),1,0)</f>
        <v/>
      </c>
      <c r="J793">
        <f>TRIM(SUBSTITUTE(INDEX('Call accounts and MMFs'!$A:$A,ROW())&amp;""," "," "))</f>
        <v/>
      </c>
      <c r="K793">
        <f>TRIM(SUBSTITUTE(INDEX('Call accounts and MMFs'!$B:$B,ROW())&amp;""," "," "))</f>
        <v/>
      </c>
      <c r="L793">
        <f>TRIM(SUBSTITUTE(INDEX('Call accounts and MMFs'!$C:$C,ROW())&amp;""," "," "))</f>
        <v/>
      </c>
      <c r="M793">
        <f>IFERROR(--INDEX('Call accounts and MMFs'!$D:$D,ROW()),0)</f>
        <v/>
      </c>
      <c r="N793">
        <f>IFERROR(IF(--INDEX('Call accounts and MMFs'!$E:$E,ROW())&gt;=1,--INDEX('Call accounts and MMFs'!$E:$E,ROW())/100,--INDEX('Call accounts and MMFs'!$E:$E,ROW())),0)</f>
        <v/>
      </c>
      <c r="O793">
        <f>IFERROR(--INDEX('Call accounts and MMFs'!$F:$F,ROW()),0)</f>
        <v/>
      </c>
      <c r="P793">
        <f>IF(ISNUMBER(INDEX('Call accounts and MMFs'!$E:$E,ROW())),1,0)</f>
        <v/>
      </c>
      <c r="Q793">
        <f>TRIM(SUBSTITUTE(INDEX('Pooled funds'!$B:$B,ROW())&amp;""," "," "))</f>
        <v/>
      </c>
      <c r="R793">
        <f>IFERROR(--INDEX('Pooled funds'!$C:$C,ROW()),0)</f>
        <v/>
      </c>
      <c r="S793">
        <f>IFERROR(--INDEX('Pooled funds'!$D:$D,ROW()),0)</f>
        <v/>
      </c>
      <c r="T793">
        <f>IFERROR(IF(--INDEX('Pooled funds'!$E:$E,ROW())&gt;=1,--INDEX('Pooled funds'!$E:$E,ROW())/100,--INDEX('Pooled funds'!$E:$E,ROW())),0)</f>
        <v/>
      </c>
      <c r="U793">
        <f>IF(ISNUMBER(INDEX('Pooled funds'!$E:$E,ROW())),1,0)</f>
        <v/>
      </c>
      <c r="V793">
        <f>TRIM(SUBSTITUTE(INDEX('Loans'!$A:$A,ROW())&amp;""," "," "))</f>
        <v/>
      </c>
      <c r="W793">
        <f>TRIM(SUBSTITUTE(INDEX('Loans'!$B:$B,ROW())&amp;""," "," "))</f>
        <v/>
      </c>
      <c r="X793">
        <f>TRIM(SUBSTITUTE(INDEX('Loans'!$C:$C,ROW())&amp;""," "," "))</f>
        <v/>
      </c>
      <c r="Y793">
        <f>IFERROR(--INDEX('Loans'!$D:$D,ROW()),0)</f>
        <v/>
      </c>
      <c r="Z793">
        <f>IFERROR(--INDEX('Loans'!$E:$E,ROW()),0)</f>
        <v/>
      </c>
      <c r="AA793">
        <f>IFERROR(--INDEX('Loans'!$F:$F,ROW()),0)</f>
        <v/>
      </c>
      <c r="AB793">
        <f>IFERROR(IF(--INDEX('Loans'!$G:$G,ROW())&gt;=1,--INDEX('Loans'!$G:$G,ROW())/100,--INDEX('Loans'!$G:$G,ROW())),0)</f>
        <v/>
      </c>
      <c r="AC793">
        <f>TRIM(SUBSTITUTE(INDEX('Loans'!$H:$H,ROW())&amp;""," "," "))</f>
        <v/>
      </c>
      <c r="AD793">
        <f>TRIM(SUBSTITUTE(INDEX('Loans'!$I:$I,ROW())&amp;""," "," "))</f>
        <v/>
      </c>
      <c r="AE793">
        <f>IFERROR(--INDEX('Loans'!$J:$J,ROW()),0)</f>
        <v/>
      </c>
      <c r="AF793">
        <f>TRIM(SUBSTITUTE(INDEX('Loans'!$K:$K,ROW())&amp;""," "," "))</f>
        <v/>
      </c>
      <c r="AG793">
        <f>IFERROR(--INDEX('Loans'!$L:$L,ROW()),0)</f>
        <v/>
      </c>
      <c r="AH793">
        <f>IF(ISNUMBER(INDEX('Loans'!$G:$G,ROW())),1,0)</f>
        <v/>
      </c>
    </row>
    <row r="794">
      <c r="A794">
        <f>TRIM(SUBSTITUTE(INDEX('Term investments'!$A:$A,ROW())&amp;""," "," "))</f>
        <v/>
      </c>
      <c r="B794">
        <f>TRIM(SUBSTITUTE(INDEX('Term investments'!$B:$B,ROW())&amp;""," "," "))</f>
        <v/>
      </c>
      <c r="C794">
        <f>TRIM(SUBSTITUTE(INDEX('Term investments'!$C:$C,ROW())&amp;""," "," "))</f>
        <v/>
      </c>
      <c r="D794">
        <f>IFERROR(--INDEX('Term investments'!$D:$D,ROW()),0)</f>
        <v/>
      </c>
      <c r="E794">
        <f>IFERROR(--INDEX('Term investments'!$E:$E,ROW()),0)</f>
        <v/>
      </c>
      <c r="F794">
        <f>IFERROR(--INDEX('Term investments'!$F:$F,ROW()),0)</f>
        <v/>
      </c>
      <c r="G794">
        <f>IFERROR(IF(--INDEX('Term investments'!$G:$G,ROW())&gt;=1,--INDEX('Term investments'!$G:$G,ROW())/100,--INDEX('Term investments'!$G:$G,ROW())),0)</f>
        <v/>
      </c>
      <c r="H794">
        <f>IFERROR(--INDEX('Term investments'!$H:$H,ROW()),0)</f>
        <v/>
      </c>
      <c r="I794">
        <f>IF(ISNUMBER(INDEX('Term investments'!$G:$G,ROW())),1,0)</f>
        <v/>
      </c>
      <c r="J794">
        <f>TRIM(SUBSTITUTE(INDEX('Call accounts and MMFs'!$A:$A,ROW())&amp;""," "," "))</f>
        <v/>
      </c>
      <c r="K794">
        <f>TRIM(SUBSTITUTE(INDEX('Call accounts and MMFs'!$B:$B,ROW())&amp;""," "," "))</f>
        <v/>
      </c>
      <c r="L794">
        <f>TRIM(SUBSTITUTE(INDEX('Call accounts and MMFs'!$C:$C,ROW())&amp;""," "," "))</f>
        <v/>
      </c>
      <c r="M794">
        <f>IFERROR(--INDEX('Call accounts and MMFs'!$D:$D,ROW()),0)</f>
        <v/>
      </c>
      <c r="N794">
        <f>IFERROR(IF(--INDEX('Call accounts and MMFs'!$E:$E,ROW())&gt;=1,--INDEX('Call accounts and MMFs'!$E:$E,ROW())/100,--INDEX('Call accounts and MMFs'!$E:$E,ROW())),0)</f>
        <v/>
      </c>
      <c r="O794">
        <f>IFERROR(--INDEX('Call accounts and MMFs'!$F:$F,ROW()),0)</f>
        <v/>
      </c>
      <c r="P794">
        <f>IF(ISNUMBER(INDEX('Call accounts and MMFs'!$E:$E,ROW())),1,0)</f>
        <v/>
      </c>
      <c r="Q794">
        <f>TRIM(SUBSTITUTE(INDEX('Pooled funds'!$B:$B,ROW())&amp;""," "," "))</f>
        <v/>
      </c>
      <c r="R794">
        <f>IFERROR(--INDEX('Pooled funds'!$C:$C,ROW()),0)</f>
        <v/>
      </c>
      <c r="S794">
        <f>IFERROR(--INDEX('Pooled funds'!$D:$D,ROW()),0)</f>
        <v/>
      </c>
      <c r="T794">
        <f>IFERROR(IF(--INDEX('Pooled funds'!$E:$E,ROW())&gt;=1,--INDEX('Pooled funds'!$E:$E,ROW())/100,--INDEX('Pooled funds'!$E:$E,ROW())),0)</f>
        <v/>
      </c>
      <c r="U794">
        <f>IF(ISNUMBER(INDEX('Pooled funds'!$E:$E,ROW())),1,0)</f>
        <v/>
      </c>
      <c r="V794">
        <f>TRIM(SUBSTITUTE(INDEX('Loans'!$A:$A,ROW())&amp;""," "," "))</f>
        <v/>
      </c>
      <c r="W794">
        <f>TRIM(SUBSTITUTE(INDEX('Loans'!$B:$B,ROW())&amp;""," "," "))</f>
        <v/>
      </c>
      <c r="X794">
        <f>TRIM(SUBSTITUTE(INDEX('Loans'!$C:$C,ROW())&amp;""," "," "))</f>
        <v/>
      </c>
      <c r="Y794">
        <f>IFERROR(--INDEX('Loans'!$D:$D,ROW()),0)</f>
        <v/>
      </c>
      <c r="Z794">
        <f>IFERROR(--INDEX('Loans'!$E:$E,ROW()),0)</f>
        <v/>
      </c>
      <c r="AA794">
        <f>IFERROR(--INDEX('Loans'!$F:$F,ROW()),0)</f>
        <v/>
      </c>
      <c r="AB794">
        <f>IFERROR(IF(--INDEX('Loans'!$G:$G,ROW())&gt;=1,--INDEX('Loans'!$G:$G,ROW())/100,--INDEX('Loans'!$G:$G,ROW())),0)</f>
        <v/>
      </c>
      <c r="AC794">
        <f>TRIM(SUBSTITUTE(INDEX('Loans'!$H:$H,ROW())&amp;""," "," "))</f>
        <v/>
      </c>
      <c r="AD794">
        <f>TRIM(SUBSTITUTE(INDEX('Loans'!$I:$I,ROW())&amp;""," "," "))</f>
        <v/>
      </c>
      <c r="AE794">
        <f>IFERROR(--INDEX('Loans'!$J:$J,ROW()),0)</f>
        <v/>
      </c>
      <c r="AF794">
        <f>TRIM(SUBSTITUTE(INDEX('Loans'!$K:$K,ROW())&amp;""," "," "))</f>
        <v/>
      </c>
      <c r="AG794">
        <f>IFERROR(--INDEX('Loans'!$L:$L,ROW()),0)</f>
        <v/>
      </c>
      <c r="AH794">
        <f>IF(ISNUMBER(INDEX('Loans'!$G:$G,ROW())),1,0)</f>
        <v/>
      </c>
    </row>
    <row r="795">
      <c r="A795">
        <f>TRIM(SUBSTITUTE(INDEX('Term investments'!$A:$A,ROW())&amp;""," "," "))</f>
        <v/>
      </c>
      <c r="B795">
        <f>TRIM(SUBSTITUTE(INDEX('Term investments'!$B:$B,ROW())&amp;""," "," "))</f>
        <v/>
      </c>
      <c r="C795">
        <f>TRIM(SUBSTITUTE(INDEX('Term investments'!$C:$C,ROW())&amp;""," "," "))</f>
        <v/>
      </c>
      <c r="D795">
        <f>IFERROR(--INDEX('Term investments'!$D:$D,ROW()),0)</f>
        <v/>
      </c>
      <c r="E795">
        <f>IFERROR(--INDEX('Term investments'!$E:$E,ROW()),0)</f>
        <v/>
      </c>
      <c r="F795">
        <f>IFERROR(--INDEX('Term investments'!$F:$F,ROW()),0)</f>
        <v/>
      </c>
      <c r="G795">
        <f>IFERROR(IF(--INDEX('Term investments'!$G:$G,ROW())&gt;=1,--INDEX('Term investments'!$G:$G,ROW())/100,--INDEX('Term investments'!$G:$G,ROW())),0)</f>
        <v/>
      </c>
      <c r="H795">
        <f>IFERROR(--INDEX('Term investments'!$H:$H,ROW()),0)</f>
        <v/>
      </c>
      <c r="I795">
        <f>IF(ISNUMBER(INDEX('Term investments'!$G:$G,ROW())),1,0)</f>
        <v/>
      </c>
      <c r="J795">
        <f>TRIM(SUBSTITUTE(INDEX('Call accounts and MMFs'!$A:$A,ROW())&amp;""," "," "))</f>
        <v/>
      </c>
      <c r="K795">
        <f>TRIM(SUBSTITUTE(INDEX('Call accounts and MMFs'!$B:$B,ROW())&amp;""," "," "))</f>
        <v/>
      </c>
      <c r="L795">
        <f>TRIM(SUBSTITUTE(INDEX('Call accounts and MMFs'!$C:$C,ROW())&amp;""," "," "))</f>
        <v/>
      </c>
      <c r="M795">
        <f>IFERROR(--INDEX('Call accounts and MMFs'!$D:$D,ROW()),0)</f>
        <v/>
      </c>
      <c r="N795">
        <f>IFERROR(IF(--INDEX('Call accounts and MMFs'!$E:$E,ROW())&gt;=1,--INDEX('Call accounts and MMFs'!$E:$E,ROW())/100,--INDEX('Call accounts and MMFs'!$E:$E,ROW())),0)</f>
        <v/>
      </c>
      <c r="O795">
        <f>IFERROR(--INDEX('Call accounts and MMFs'!$F:$F,ROW()),0)</f>
        <v/>
      </c>
      <c r="P795">
        <f>IF(ISNUMBER(INDEX('Call accounts and MMFs'!$E:$E,ROW())),1,0)</f>
        <v/>
      </c>
      <c r="Q795">
        <f>TRIM(SUBSTITUTE(INDEX('Pooled funds'!$B:$B,ROW())&amp;""," "," "))</f>
        <v/>
      </c>
      <c r="R795">
        <f>IFERROR(--INDEX('Pooled funds'!$C:$C,ROW()),0)</f>
        <v/>
      </c>
      <c r="S795">
        <f>IFERROR(--INDEX('Pooled funds'!$D:$D,ROW()),0)</f>
        <v/>
      </c>
      <c r="T795">
        <f>IFERROR(IF(--INDEX('Pooled funds'!$E:$E,ROW())&gt;=1,--INDEX('Pooled funds'!$E:$E,ROW())/100,--INDEX('Pooled funds'!$E:$E,ROW())),0)</f>
        <v/>
      </c>
      <c r="U795">
        <f>IF(ISNUMBER(INDEX('Pooled funds'!$E:$E,ROW())),1,0)</f>
        <v/>
      </c>
      <c r="V795">
        <f>TRIM(SUBSTITUTE(INDEX('Loans'!$A:$A,ROW())&amp;""," "," "))</f>
        <v/>
      </c>
      <c r="W795">
        <f>TRIM(SUBSTITUTE(INDEX('Loans'!$B:$B,ROW())&amp;""," "," "))</f>
        <v/>
      </c>
      <c r="X795">
        <f>TRIM(SUBSTITUTE(INDEX('Loans'!$C:$C,ROW())&amp;""," "," "))</f>
        <v/>
      </c>
      <c r="Y795">
        <f>IFERROR(--INDEX('Loans'!$D:$D,ROW()),0)</f>
        <v/>
      </c>
      <c r="Z795">
        <f>IFERROR(--INDEX('Loans'!$E:$E,ROW()),0)</f>
        <v/>
      </c>
      <c r="AA795">
        <f>IFERROR(--INDEX('Loans'!$F:$F,ROW()),0)</f>
        <v/>
      </c>
      <c r="AB795">
        <f>IFERROR(IF(--INDEX('Loans'!$G:$G,ROW())&gt;=1,--INDEX('Loans'!$G:$G,ROW())/100,--INDEX('Loans'!$G:$G,ROW())),0)</f>
        <v/>
      </c>
      <c r="AC795">
        <f>TRIM(SUBSTITUTE(INDEX('Loans'!$H:$H,ROW())&amp;""," "," "))</f>
        <v/>
      </c>
      <c r="AD795">
        <f>TRIM(SUBSTITUTE(INDEX('Loans'!$I:$I,ROW())&amp;""," "," "))</f>
        <v/>
      </c>
      <c r="AE795">
        <f>IFERROR(--INDEX('Loans'!$J:$J,ROW()),0)</f>
        <v/>
      </c>
      <c r="AF795">
        <f>TRIM(SUBSTITUTE(INDEX('Loans'!$K:$K,ROW())&amp;""," "," "))</f>
        <v/>
      </c>
      <c r="AG795">
        <f>IFERROR(--INDEX('Loans'!$L:$L,ROW()),0)</f>
        <v/>
      </c>
      <c r="AH795">
        <f>IF(ISNUMBER(INDEX('Loans'!$G:$G,ROW())),1,0)</f>
        <v/>
      </c>
    </row>
    <row r="796">
      <c r="A796">
        <f>TRIM(SUBSTITUTE(INDEX('Term investments'!$A:$A,ROW())&amp;""," "," "))</f>
        <v/>
      </c>
      <c r="B796">
        <f>TRIM(SUBSTITUTE(INDEX('Term investments'!$B:$B,ROW())&amp;""," "," "))</f>
        <v/>
      </c>
      <c r="C796">
        <f>TRIM(SUBSTITUTE(INDEX('Term investments'!$C:$C,ROW())&amp;""," "," "))</f>
        <v/>
      </c>
      <c r="D796">
        <f>IFERROR(--INDEX('Term investments'!$D:$D,ROW()),0)</f>
        <v/>
      </c>
      <c r="E796">
        <f>IFERROR(--INDEX('Term investments'!$E:$E,ROW()),0)</f>
        <v/>
      </c>
      <c r="F796">
        <f>IFERROR(--INDEX('Term investments'!$F:$F,ROW()),0)</f>
        <v/>
      </c>
      <c r="G796">
        <f>IFERROR(IF(--INDEX('Term investments'!$G:$G,ROW())&gt;=1,--INDEX('Term investments'!$G:$G,ROW())/100,--INDEX('Term investments'!$G:$G,ROW())),0)</f>
        <v/>
      </c>
      <c r="H796">
        <f>IFERROR(--INDEX('Term investments'!$H:$H,ROW()),0)</f>
        <v/>
      </c>
      <c r="I796">
        <f>IF(ISNUMBER(INDEX('Term investments'!$G:$G,ROW())),1,0)</f>
        <v/>
      </c>
      <c r="J796">
        <f>TRIM(SUBSTITUTE(INDEX('Call accounts and MMFs'!$A:$A,ROW())&amp;""," "," "))</f>
        <v/>
      </c>
      <c r="K796">
        <f>TRIM(SUBSTITUTE(INDEX('Call accounts and MMFs'!$B:$B,ROW())&amp;""," "," "))</f>
        <v/>
      </c>
      <c r="L796">
        <f>TRIM(SUBSTITUTE(INDEX('Call accounts and MMFs'!$C:$C,ROW())&amp;""," "," "))</f>
        <v/>
      </c>
      <c r="M796">
        <f>IFERROR(--INDEX('Call accounts and MMFs'!$D:$D,ROW()),0)</f>
        <v/>
      </c>
      <c r="N796">
        <f>IFERROR(IF(--INDEX('Call accounts and MMFs'!$E:$E,ROW())&gt;=1,--INDEX('Call accounts and MMFs'!$E:$E,ROW())/100,--INDEX('Call accounts and MMFs'!$E:$E,ROW())),0)</f>
        <v/>
      </c>
      <c r="O796">
        <f>IFERROR(--INDEX('Call accounts and MMFs'!$F:$F,ROW()),0)</f>
        <v/>
      </c>
      <c r="P796">
        <f>IF(ISNUMBER(INDEX('Call accounts and MMFs'!$E:$E,ROW())),1,0)</f>
        <v/>
      </c>
      <c r="Q796">
        <f>TRIM(SUBSTITUTE(INDEX('Pooled funds'!$B:$B,ROW())&amp;""," "," "))</f>
        <v/>
      </c>
      <c r="R796">
        <f>IFERROR(--INDEX('Pooled funds'!$C:$C,ROW()),0)</f>
        <v/>
      </c>
      <c r="S796">
        <f>IFERROR(--INDEX('Pooled funds'!$D:$D,ROW()),0)</f>
        <v/>
      </c>
      <c r="T796">
        <f>IFERROR(IF(--INDEX('Pooled funds'!$E:$E,ROW())&gt;=1,--INDEX('Pooled funds'!$E:$E,ROW())/100,--INDEX('Pooled funds'!$E:$E,ROW())),0)</f>
        <v/>
      </c>
      <c r="U796">
        <f>IF(ISNUMBER(INDEX('Pooled funds'!$E:$E,ROW())),1,0)</f>
        <v/>
      </c>
      <c r="V796">
        <f>TRIM(SUBSTITUTE(INDEX('Loans'!$A:$A,ROW())&amp;""," "," "))</f>
        <v/>
      </c>
      <c r="W796">
        <f>TRIM(SUBSTITUTE(INDEX('Loans'!$B:$B,ROW())&amp;""," "," "))</f>
        <v/>
      </c>
      <c r="X796">
        <f>TRIM(SUBSTITUTE(INDEX('Loans'!$C:$C,ROW())&amp;""," "," "))</f>
        <v/>
      </c>
      <c r="Y796">
        <f>IFERROR(--INDEX('Loans'!$D:$D,ROW()),0)</f>
        <v/>
      </c>
      <c r="Z796">
        <f>IFERROR(--INDEX('Loans'!$E:$E,ROW()),0)</f>
        <v/>
      </c>
      <c r="AA796">
        <f>IFERROR(--INDEX('Loans'!$F:$F,ROW()),0)</f>
        <v/>
      </c>
      <c r="AB796">
        <f>IFERROR(IF(--INDEX('Loans'!$G:$G,ROW())&gt;=1,--INDEX('Loans'!$G:$G,ROW())/100,--INDEX('Loans'!$G:$G,ROW())),0)</f>
        <v/>
      </c>
      <c r="AC796">
        <f>TRIM(SUBSTITUTE(INDEX('Loans'!$H:$H,ROW())&amp;""," "," "))</f>
        <v/>
      </c>
      <c r="AD796">
        <f>TRIM(SUBSTITUTE(INDEX('Loans'!$I:$I,ROW())&amp;""," "," "))</f>
        <v/>
      </c>
      <c r="AE796">
        <f>IFERROR(--INDEX('Loans'!$J:$J,ROW()),0)</f>
        <v/>
      </c>
      <c r="AF796">
        <f>TRIM(SUBSTITUTE(INDEX('Loans'!$K:$K,ROW())&amp;""," "," "))</f>
        <v/>
      </c>
      <c r="AG796">
        <f>IFERROR(--INDEX('Loans'!$L:$L,ROW()),0)</f>
        <v/>
      </c>
      <c r="AH796">
        <f>IF(ISNUMBER(INDEX('Loans'!$G:$G,ROW())),1,0)</f>
        <v/>
      </c>
    </row>
    <row r="797">
      <c r="A797">
        <f>TRIM(SUBSTITUTE(INDEX('Term investments'!$A:$A,ROW())&amp;""," "," "))</f>
        <v/>
      </c>
      <c r="B797">
        <f>TRIM(SUBSTITUTE(INDEX('Term investments'!$B:$B,ROW())&amp;""," "," "))</f>
        <v/>
      </c>
      <c r="C797">
        <f>TRIM(SUBSTITUTE(INDEX('Term investments'!$C:$C,ROW())&amp;""," "," "))</f>
        <v/>
      </c>
      <c r="D797">
        <f>IFERROR(--INDEX('Term investments'!$D:$D,ROW()),0)</f>
        <v/>
      </c>
      <c r="E797">
        <f>IFERROR(--INDEX('Term investments'!$E:$E,ROW()),0)</f>
        <v/>
      </c>
      <c r="F797">
        <f>IFERROR(--INDEX('Term investments'!$F:$F,ROW()),0)</f>
        <v/>
      </c>
      <c r="G797">
        <f>IFERROR(IF(--INDEX('Term investments'!$G:$G,ROW())&gt;=1,--INDEX('Term investments'!$G:$G,ROW())/100,--INDEX('Term investments'!$G:$G,ROW())),0)</f>
        <v/>
      </c>
      <c r="H797">
        <f>IFERROR(--INDEX('Term investments'!$H:$H,ROW()),0)</f>
        <v/>
      </c>
      <c r="I797">
        <f>IF(ISNUMBER(INDEX('Term investments'!$G:$G,ROW())),1,0)</f>
        <v/>
      </c>
      <c r="J797">
        <f>TRIM(SUBSTITUTE(INDEX('Call accounts and MMFs'!$A:$A,ROW())&amp;""," "," "))</f>
        <v/>
      </c>
      <c r="K797">
        <f>TRIM(SUBSTITUTE(INDEX('Call accounts and MMFs'!$B:$B,ROW())&amp;""," "," "))</f>
        <v/>
      </c>
      <c r="L797">
        <f>TRIM(SUBSTITUTE(INDEX('Call accounts and MMFs'!$C:$C,ROW())&amp;""," "," "))</f>
        <v/>
      </c>
      <c r="M797">
        <f>IFERROR(--INDEX('Call accounts and MMFs'!$D:$D,ROW()),0)</f>
        <v/>
      </c>
      <c r="N797">
        <f>IFERROR(IF(--INDEX('Call accounts and MMFs'!$E:$E,ROW())&gt;=1,--INDEX('Call accounts and MMFs'!$E:$E,ROW())/100,--INDEX('Call accounts and MMFs'!$E:$E,ROW())),0)</f>
        <v/>
      </c>
      <c r="O797">
        <f>IFERROR(--INDEX('Call accounts and MMFs'!$F:$F,ROW()),0)</f>
        <v/>
      </c>
      <c r="P797">
        <f>IF(ISNUMBER(INDEX('Call accounts and MMFs'!$E:$E,ROW())),1,0)</f>
        <v/>
      </c>
      <c r="Q797">
        <f>TRIM(SUBSTITUTE(INDEX('Pooled funds'!$B:$B,ROW())&amp;""," "," "))</f>
        <v/>
      </c>
      <c r="R797">
        <f>IFERROR(--INDEX('Pooled funds'!$C:$C,ROW()),0)</f>
        <v/>
      </c>
      <c r="S797">
        <f>IFERROR(--INDEX('Pooled funds'!$D:$D,ROW()),0)</f>
        <v/>
      </c>
      <c r="T797">
        <f>IFERROR(IF(--INDEX('Pooled funds'!$E:$E,ROW())&gt;=1,--INDEX('Pooled funds'!$E:$E,ROW())/100,--INDEX('Pooled funds'!$E:$E,ROW())),0)</f>
        <v/>
      </c>
      <c r="U797">
        <f>IF(ISNUMBER(INDEX('Pooled funds'!$E:$E,ROW())),1,0)</f>
        <v/>
      </c>
      <c r="V797">
        <f>TRIM(SUBSTITUTE(INDEX('Loans'!$A:$A,ROW())&amp;""," "," "))</f>
        <v/>
      </c>
      <c r="W797">
        <f>TRIM(SUBSTITUTE(INDEX('Loans'!$B:$B,ROW())&amp;""," "," "))</f>
        <v/>
      </c>
      <c r="X797">
        <f>TRIM(SUBSTITUTE(INDEX('Loans'!$C:$C,ROW())&amp;""," "," "))</f>
        <v/>
      </c>
      <c r="Y797">
        <f>IFERROR(--INDEX('Loans'!$D:$D,ROW()),0)</f>
        <v/>
      </c>
      <c r="Z797">
        <f>IFERROR(--INDEX('Loans'!$E:$E,ROW()),0)</f>
        <v/>
      </c>
      <c r="AA797">
        <f>IFERROR(--INDEX('Loans'!$F:$F,ROW()),0)</f>
        <v/>
      </c>
      <c r="AB797">
        <f>IFERROR(IF(--INDEX('Loans'!$G:$G,ROW())&gt;=1,--INDEX('Loans'!$G:$G,ROW())/100,--INDEX('Loans'!$G:$G,ROW())),0)</f>
        <v/>
      </c>
      <c r="AC797">
        <f>TRIM(SUBSTITUTE(INDEX('Loans'!$H:$H,ROW())&amp;""," "," "))</f>
        <v/>
      </c>
      <c r="AD797">
        <f>TRIM(SUBSTITUTE(INDEX('Loans'!$I:$I,ROW())&amp;""," "," "))</f>
        <v/>
      </c>
      <c r="AE797">
        <f>IFERROR(--INDEX('Loans'!$J:$J,ROW()),0)</f>
        <v/>
      </c>
      <c r="AF797">
        <f>TRIM(SUBSTITUTE(INDEX('Loans'!$K:$K,ROW())&amp;""," "," "))</f>
        <v/>
      </c>
      <c r="AG797">
        <f>IFERROR(--INDEX('Loans'!$L:$L,ROW()),0)</f>
        <v/>
      </c>
      <c r="AH797">
        <f>IF(ISNUMBER(INDEX('Loans'!$G:$G,ROW())),1,0)</f>
        <v/>
      </c>
    </row>
    <row r="798">
      <c r="A798">
        <f>TRIM(SUBSTITUTE(INDEX('Term investments'!$A:$A,ROW())&amp;""," "," "))</f>
        <v/>
      </c>
      <c r="B798">
        <f>TRIM(SUBSTITUTE(INDEX('Term investments'!$B:$B,ROW())&amp;""," "," "))</f>
        <v/>
      </c>
      <c r="C798">
        <f>TRIM(SUBSTITUTE(INDEX('Term investments'!$C:$C,ROW())&amp;""," "," "))</f>
        <v/>
      </c>
      <c r="D798">
        <f>IFERROR(--INDEX('Term investments'!$D:$D,ROW()),0)</f>
        <v/>
      </c>
      <c r="E798">
        <f>IFERROR(--INDEX('Term investments'!$E:$E,ROW()),0)</f>
        <v/>
      </c>
      <c r="F798">
        <f>IFERROR(--INDEX('Term investments'!$F:$F,ROW()),0)</f>
        <v/>
      </c>
      <c r="G798">
        <f>IFERROR(IF(--INDEX('Term investments'!$G:$G,ROW())&gt;=1,--INDEX('Term investments'!$G:$G,ROW())/100,--INDEX('Term investments'!$G:$G,ROW())),0)</f>
        <v/>
      </c>
      <c r="H798">
        <f>IFERROR(--INDEX('Term investments'!$H:$H,ROW()),0)</f>
        <v/>
      </c>
      <c r="I798">
        <f>IF(ISNUMBER(INDEX('Term investments'!$G:$G,ROW())),1,0)</f>
        <v/>
      </c>
      <c r="J798">
        <f>TRIM(SUBSTITUTE(INDEX('Call accounts and MMFs'!$A:$A,ROW())&amp;""," "," "))</f>
        <v/>
      </c>
      <c r="K798">
        <f>TRIM(SUBSTITUTE(INDEX('Call accounts and MMFs'!$B:$B,ROW())&amp;""," "," "))</f>
        <v/>
      </c>
      <c r="L798">
        <f>TRIM(SUBSTITUTE(INDEX('Call accounts and MMFs'!$C:$C,ROW())&amp;""," "," "))</f>
        <v/>
      </c>
      <c r="M798">
        <f>IFERROR(--INDEX('Call accounts and MMFs'!$D:$D,ROW()),0)</f>
        <v/>
      </c>
      <c r="N798">
        <f>IFERROR(IF(--INDEX('Call accounts and MMFs'!$E:$E,ROW())&gt;=1,--INDEX('Call accounts and MMFs'!$E:$E,ROW())/100,--INDEX('Call accounts and MMFs'!$E:$E,ROW())),0)</f>
        <v/>
      </c>
      <c r="O798">
        <f>IFERROR(--INDEX('Call accounts and MMFs'!$F:$F,ROW()),0)</f>
        <v/>
      </c>
      <c r="P798">
        <f>IF(ISNUMBER(INDEX('Call accounts and MMFs'!$E:$E,ROW())),1,0)</f>
        <v/>
      </c>
      <c r="Q798">
        <f>TRIM(SUBSTITUTE(INDEX('Pooled funds'!$B:$B,ROW())&amp;""," "," "))</f>
        <v/>
      </c>
      <c r="R798">
        <f>IFERROR(--INDEX('Pooled funds'!$C:$C,ROW()),0)</f>
        <v/>
      </c>
      <c r="S798">
        <f>IFERROR(--INDEX('Pooled funds'!$D:$D,ROW()),0)</f>
        <v/>
      </c>
      <c r="T798">
        <f>IFERROR(IF(--INDEX('Pooled funds'!$E:$E,ROW())&gt;=1,--INDEX('Pooled funds'!$E:$E,ROW())/100,--INDEX('Pooled funds'!$E:$E,ROW())),0)</f>
        <v/>
      </c>
      <c r="U798">
        <f>IF(ISNUMBER(INDEX('Pooled funds'!$E:$E,ROW())),1,0)</f>
        <v/>
      </c>
      <c r="V798">
        <f>TRIM(SUBSTITUTE(INDEX('Loans'!$A:$A,ROW())&amp;""," "," "))</f>
        <v/>
      </c>
      <c r="W798">
        <f>TRIM(SUBSTITUTE(INDEX('Loans'!$B:$B,ROW())&amp;""," "," "))</f>
        <v/>
      </c>
      <c r="X798">
        <f>TRIM(SUBSTITUTE(INDEX('Loans'!$C:$C,ROW())&amp;""," "," "))</f>
        <v/>
      </c>
      <c r="Y798">
        <f>IFERROR(--INDEX('Loans'!$D:$D,ROW()),0)</f>
        <v/>
      </c>
      <c r="Z798">
        <f>IFERROR(--INDEX('Loans'!$E:$E,ROW()),0)</f>
        <v/>
      </c>
      <c r="AA798">
        <f>IFERROR(--INDEX('Loans'!$F:$F,ROW()),0)</f>
        <v/>
      </c>
      <c r="AB798">
        <f>IFERROR(IF(--INDEX('Loans'!$G:$G,ROW())&gt;=1,--INDEX('Loans'!$G:$G,ROW())/100,--INDEX('Loans'!$G:$G,ROW())),0)</f>
        <v/>
      </c>
      <c r="AC798">
        <f>TRIM(SUBSTITUTE(INDEX('Loans'!$H:$H,ROW())&amp;""," "," "))</f>
        <v/>
      </c>
      <c r="AD798">
        <f>TRIM(SUBSTITUTE(INDEX('Loans'!$I:$I,ROW())&amp;""," "," "))</f>
        <v/>
      </c>
      <c r="AE798">
        <f>IFERROR(--INDEX('Loans'!$J:$J,ROW()),0)</f>
        <v/>
      </c>
      <c r="AF798">
        <f>TRIM(SUBSTITUTE(INDEX('Loans'!$K:$K,ROW())&amp;""," "," "))</f>
        <v/>
      </c>
      <c r="AG798">
        <f>IFERROR(--INDEX('Loans'!$L:$L,ROW()),0)</f>
        <v/>
      </c>
      <c r="AH798">
        <f>IF(ISNUMBER(INDEX('Loans'!$G:$G,ROW())),1,0)</f>
        <v/>
      </c>
    </row>
    <row r="799">
      <c r="A799">
        <f>TRIM(SUBSTITUTE(INDEX('Term investments'!$A:$A,ROW())&amp;""," "," "))</f>
        <v/>
      </c>
      <c r="B799">
        <f>TRIM(SUBSTITUTE(INDEX('Term investments'!$B:$B,ROW())&amp;""," "," "))</f>
        <v/>
      </c>
      <c r="C799">
        <f>TRIM(SUBSTITUTE(INDEX('Term investments'!$C:$C,ROW())&amp;""," "," "))</f>
        <v/>
      </c>
      <c r="D799">
        <f>IFERROR(--INDEX('Term investments'!$D:$D,ROW()),0)</f>
        <v/>
      </c>
      <c r="E799">
        <f>IFERROR(--INDEX('Term investments'!$E:$E,ROW()),0)</f>
        <v/>
      </c>
      <c r="F799">
        <f>IFERROR(--INDEX('Term investments'!$F:$F,ROW()),0)</f>
        <v/>
      </c>
      <c r="G799">
        <f>IFERROR(IF(--INDEX('Term investments'!$G:$G,ROW())&gt;=1,--INDEX('Term investments'!$G:$G,ROW())/100,--INDEX('Term investments'!$G:$G,ROW())),0)</f>
        <v/>
      </c>
      <c r="H799">
        <f>IFERROR(--INDEX('Term investments'!$H:$H,ROW()),0)</f>
        <v/>
      </c>
      <c r="I799">
        <f>IF(ISNUMBER(INDEX('Term investments'!$G:$G,ROW())),1,0)</f>
        <v/>
      </c>
      <c r="J799">
        <f>TRIM(SUBSTITUTE(INDEX('Call accounts and MMFs'!$A:$A,ROW())&amp;""," "," "))</f>
        <v/>
      </c>
      <c r="K799">
        <f>TRIM(SUBSTITUTE(INDEX('Call accounts and MMFs'!$B:$B,ROW())&amp;""," "," "))</f>
        <v/>
      </c>
      <c r="L799">
        <f>TRIM(SUBSTITUTE(INDEX('Call accounts and MMFs'!$C:$C,ROW())&amp;""," "," "))</f>
        <v/>
      </c>
      <c r="M799">
        <f>IFERROR(--INDEX('Call accounts and MMFs'!$D:$D,ROW()),0)</f>
        <v/>
      </c>
      <c r="N799">
        <f>IFERROR(IF(--INDEX('Call accounts and MMFs'!$E:$E,ROW())&gt;=1,--INDEX('Call accounts and MMFs'!$E:$E,ROW())/100,--INDEX('Call accounts and MMFs'!$E:$E,ROW())),0)</f>
        <v/>
      </c>
      <c r="O799">
        <f>IFERROR(--INDEX('Call accounts and MMFs'!$F:$F,ROW()),0)</f>
        <v/>
      </c>
      <c r="P799">
        <f>IF(ISNUMBER(INDEX('Call accounts and MMFs'!$E:$E,ROW())),1,0)</f>
        <v/>
      </c>
      <c r="Q799">
        <f>TRIM(SUBSTITUTE(INDEX('Pooled funds'!$B:$B,ROW())&amp;""," "," "))</f>
        <v/>
      </c>
      <c r="R799">
        <f>IFERROR(--INDEX('Pooled funds'!$C:$C,ROW()),0)</f>
        <v/>
      </c>
      <c r="S799">
        <f>IFERROR(--INDEX('Pooled funds'!$D:$D,ROW()),0)</f>
        <v/>
      </c>
      <c r="T799">
        <f>IFERROR(IF(--INDEX('Pooled funds'!$E:$E,ROW())&gt;=1,--INDEX('Pooled funds'!$E:$E,ROW())/100,--INDEX('Pooled funds'!$E:$E,ROW())),0)</f>
        <v/>
      </c>
      <c r="U799">
        <f>IF(ISNUMBER(INDEX('Pooled funds'!$E:$E,ROW())),1,0)</f>
        <v/>
      </c>
      <c r="V799">
        <f>TRIM(SUBSTITUTE(INDEX('Loans'!$A:$A,ROW())&amp;""," "," "))</f>
        <v/>
      </c>
      <c r="W799">
        <f>TRIM(SUBSTITUTE(INDEX('Loans'!$B:$B,ROW())&amp;""," "," "))</f>
        <v/>
      </c>
      <c r="X799">
        <f>TRIM(SUBSTITUTE(INDEX('Loans'!$C:$C,ROW())&amp;""," "," "))</f>
        <v/>
      </c>
      <c r="Y799">
        <f>IFERROR(--INDEX('Loans'!$D:$D,ROW()),0)</f>
        <v/>
      </c>
      <c r="Z799">
        <f>IFERROR(--INDEX('Loans'!$E:$E,ROW()),0)</f>
        <v/>
      </c>
      <c r="AA799">
        <f>IFERROR(--INDEX('Loans'!$F:$F,ROW()),0)</f>
        <v/>
      </c>
      <c r="AB799">
        <f>IFERROR(IF(--INDEX('Loans'!$G:$G,ROW())&gt;=1,--INDEX('Loans'!$G:$G,ROW())/100,--INDEX('Loans'!$G:$G,ROW())),0)</f>
        <v/>
      </c>
      <c r="AC799">
        <f>TRIM(SUBSTITUTE(INDEX('Loans'!$H:$H,ROW())&amp;""," "," "))</f>
        <v/>
      </c>
      <c r="AD799">
        <f>TRIM(SUBSTITUTE(INDEX('Loans'!$I:$I,ROW())&amp;""," "," "))</f>
        <v/>
      </c>
      <c r="AE799">
        <f>IFERROR(--INDEX('Loans'!$J:$J,ROW()),0)</f>
        <v/>
      </c>
      <c r="AF799">
        <f>TRIM(SUBSTITUTE(INDEX('Loans'!$K:$K,ROW())&amp;""," "," "))</f>
        <v/>
      </c>
      <c r="AG799">
        <f>IFERROR(--INDEX('Loans'!$L:$L,ROW()),0)</f>
        <v/>
      </c>
      <c r="AH799">
        <f>IF(ISNUMBER(INDEX('Loans'!$G:$G,ROW())),1,0)</f>
        <v/>
      </c>
    </row>
    <row r="800">
      <c r="A800">
        <f>TRIM(SUBSTITUTE(INDEX('Term investments'!$A:$A,ROW())&amp;""," "," "))</f>
        <v/>
      </c>
      <c r="B800">
        <f>TRIM(SUBSTITUTE(INDEX('Term investments'!$B:$B,ROW())&amp;""," "," "))</f>
        <v/>
      </c>
      <c r="C800">
        <f>TRIM(SUBSTITUTE(INDEX('Term investments'!$C:$C,ROW())&amp;""," "," "))</f>
        <v/>
      </c>
      <c r="D800">
        <f>IFERROR(--INDEX('Term investments'!$D:$D,ROW()),0)</f>
        <v/>
      </c>
      <c r="E800">
        <f>IFERROR(--INDEX('Term investments'!$E:$E,ROW()),0)</f>
        <v/>
      </c>
      <c r="F800">
        <f>IFERROR(--INDEX('Term investments'!$F:$F,ROW()),0)</f>
        <v/>
      </c>
      <c r="G800">
        <f>IFERROR(IF(--INDEX('Term investments'!$G:$G,ROW())&gt;=1,--INDEX('Term investments'!$G:$G,ROW())/100,--INDEX('Term investments'!$G:$G,ROW())),0)</f>
        <v/>
      </c>
      <c r="H800">
        <f>IFERROR(--INDEX('Term investments'!$H:$H,ROW()),0)</f>
        <v/>
      </c>
      <c r="I800">
        <f>IF(ISNUMBER(INDEX('Term investments'!$G:$G,ROW())),1,0)</f>
        <v/>
      </c>
      <c r="J800">
        <f>TRIM(SUBSTITUTE(INDEX('Call accounts and MMFs'!$A:$A,ROW())&amp;""," "," "))</f>
        <v/>
      </c>
      <c r="K800">
        <f>TRIM(SUBSTITUTE(INDEX('Call accounts and MMFs'!$B:$B,ROW())&amp;""," "," "))</f>
        <v/>
      </c>
      <c r="L800">
        <f>TRIM(SUBSTITUTE(INDEX('Call accounts and MMFs'!$C:$C,ROW())&amp;""," "," "))</f>
        <v/>
      </c>
      <c r="M800">
        <f>IFERROR(--INDEX('Call accounts and MMFs'!$D:$D,ROW()),0)</f>
        <v/>
      </c>
      <c r="N800">
        <f>IFERROR(IF(--INDEX('Call accounts and MMFs'!$E:$E,ROW())&gt;=1,--INDEX('Call accounts and MMFs'!$E:$E,ROW())/100,--INDEX('Call accounts and MMFs'!$E:$E,ROW())),0)</f>
        <v/>
      </c>
      <c r="O800">
        <f>IFERROR(--INDEX('Call accounts and MMFs'!$F:$F,ROW()),0)</f>
        <v/>
      </c>
      <c r="P800">
        <f>IF(ISNUMBER(INDEX('Call accounts and MMFs'!$E:$E,ROW())),1,0)</f>
        <v/>
      </c>
      <c r="Q800">
        <f>TRIM(SUBSTITUTE(INDEX('Pooled funds'!$B:$B,ROW())&amp;""," "," "))</f>
        <v/>
      </c>
      <c r="R800">
        <f>IFERROR(--INDEX('Pooled funds'!$C:$C,ROW()),0)</f>
        <v/>
      </c>
      <c r="S800">
        <f>IFERROR(--INDEX('Pooled funds'!$D:$D,ROW()),0)</f>
        <v/>
      </c>
      <c r="T800">
        <f>IFERROR(IF(--INDEX('Pooled funds'!$E:$E,ROW())&gt;=1,--INDEX('Pooled funds'!$E:$E,ROW())/100,--INDEX('Pooled funds'!$E:$E,ROW())),0)</f>
        <v/>
      </c>
      <c r="U800">
        <f>IF(ISNUMBER(INDEX('Pooled funds'!$E:$E,ROW())),1,0)</f>
        <v/>
      </c>
      <c r="V800">
        <f>TRIM(SUBSTITUTE(INDEX('Loans'!$A:$A,ROW())&amp;""," "," "))</f>
        <v/>
      </c>
      <c r="W800">
        <f>TRIM(SUBSTITUTE(INDEX('Loans'!$B:$B,ROW())&amp;""," "," "))</f>
        <v/>
      </c>
      <c r="X800">
        <f>TRIM(SUBSTITUTE(INDEX('Loans'!$C:$C,ROW())&amp;""," "," "))</f>
        <v/>
      </c>
      <c r="Y800">
        <f>IFERROR(--INDEX('Loans'!$D:$D,ROW()),0)</f>
        <v/>
      </c>
      <c r="Z800">
        <f>IFERROR(--INDEX('Loans'!$E:$E,ROW()),0)</f>
        <v/>
      </c>
      <c r="AA800">
        <f>IFERROR(--INDEX('Loans'!$F:$F,ROW()),0)</f>
        <v/>
      </c>
      <c r="AB800">
        <f>IFERROR(IF(--INDEX('Loans'!$G:$G,ROW())&gt;=1,--INDEX('Loans'!$G:$G,ROW())/100,--INDEX('Loans'!$G:$G,ROW())),0)</f>
        <v/>
      </c>
      <c r="AC800">
        <f>TRIM(SUBSTITUTE(INDEX('Loans'!$H:$H,ROW())&amp;""," "," "))</f>
        <v/>
      </c>
      <c r="AD800">
        <f>TRIM(SUBSTITUTE(INDEX('Loans'!$I:$I,ROW())&amp;""," "," "))</f>
        <v/>
      </c>
      <c r="AE800">
        <f>IFERROR(--INDEX('Loans'!$J:$J,ROW()),0)</f>
        <v/>
      </c>
      <c r="AF800">
        <f>TRIM(SUBSTITUTE(INDEX('Loans'!$K:$K,ROW())&amp;""," "," "))</f>
        <v/>
      </c>
      <c r="AG800">
        <f>IFERROR(--INDEX('Loans'!$L:$L,ROW()),0)</f>
        <v/>
      </c>
      <c r="AH800">
        <f>IF(ISNUMBER(INDEX('Loans'!$G:$G,ROW())),1,0)</f>
        <v/>
      </c>
    </row>
    <row r="801">
      <c r="A801">
        <f>TRIM(SUBSTITUTE(INDEX('Term investments'!$A:$A,ROW())&amp;""," "," "))</f>
        <v/>
      </c>
      <c r="B801">
        <f>TRIM(SUBSTITUTE(INDEX('Term investments'!$B:$B,ROW())&amp;""," "," "))</f>
        <v/>
      </c>
      <c r="C801">
        <f>TRIM(SUBSTITUTE(INDEX('Term investments'!$C:$C,ROW())&amp;""," "," "))</f>
        <v/>
      </c>
      <c r="D801">
        <f>IFERROR(--INDEX('Term investments'!$D:$D,ROW()),0)</f>
        <v/>
      </c>
      <c r="E801">
        <f>IFERROR(--INDEX('Term investments'!$E:$E,ROW()),0)</f>
        <v/>
      </c>
      <c r="F801">
        <f>IFERROR(--INDEX('Term investments'!$F:$F,ROW()),0)</f>
        <v/>
      </c>
      <c r="G801">
        <f>IFERROR(IF(--INDEX('Term investments'!$G:$G,ROW())&gt;=1,--INDEX('Term investments'!$G:$G,ROW())/100,--INDEX('Term investments'!$G:$G,ROW())),0)</f>
        <v/>
      </c>
      <c r="H801">
        <f>IFERROR(--INDEX('Term investments'!$H:$H,ROW()),0)</f>
        <v/>
      </c>
      <c r="I801">
        <f>IF(ISNUMBER(INDEX('Term investments'!$G:$G,ROW())),1,0)</f>
        <v/>
      </c>
      <c r="J801">
        <f>TRIM(SUBSTITUTE(INDEX('Call accounts and MMFs'!$A:$A,ROW())&amp;""," "," "))</f>
        <v/>
      </c>
      <c r="K801">
        <f>TRIM(SUBSTITUTE(INDEX('Call accounts and MMFs'!$B:$B,ROW())&amp;""," "," "))</f>
        <v/>
      </c>
      <c r="L801">
        <f>TRIM(SUBSTITUTE(INDEX('Call accounts and MMFs'!$C:$C,ROW())&amp;""," "," "))</f>
        <v/>
      </c>
      <c r="M801">
        <f>IFERROR(--INDEX('Call accounts and MMFs'!$D:$D,ROW()),0)</f>
        <v/>
      </c>
      <c r="N801">
        <f>IFERROR(IF(--INDEX('Call accounts and MMFs'!$E:$E,ROW())&gt;=1,--INDEX('Call accounts and MMFs'!$E:$E,ROW())/100,--INDEX('Call accounts and MMFs'!$E:$E,ROW())),0)</f>
        <v/>
      </c>
      <c r="O801">
        <f>IFERROR(--INDEX('Call accounts and MMFs'!$F:$F,ROW()),0)</f>
        <v/>
      </c>
      <c r="P801">
        <f>IF(ISNUMBER(INDEX('Call accounts and MMFs'!$E:$E,ROW())),1,0)</f>
        <v/>
      </c>
      <c r="Q801">
        <f>TRIM(SUBSTITUTE(INDEX('Pooled funds'!$B:$B,ROW())&amp;""," "," "))</f>
        <v/>
      </c>
      <c r="R801">
        <f>IFERROR(--INDEX('Pooled funds'!$C:$C,ROW()),0)</f>
        <v/>
      </c>
      <c r="S801">
        <f>IFERROR(--INDEX('Pooled funds'!$D:$D,ROW()),0)</f>
        <v/>
      </c>
      <c r="T801">
        <f>IFERROR(IF(--INDEX('Pooled funds'!$E:$E,ROW())&gt;=1,--INDEX('Pooled funds'!$E:$E,ROW())/100,--INDEX('Pooled funds'!$E:$E,ROW())),0)</f>
        <v/>
      </c>
      <c r="U801">
        <f>IF(ISNUMBER(INDEX('Pooled funds'!$E:$E,ROW())),1,0)</f>
        <v/>
      </c>
      <c r="V801">
        <f>TRIM(SUBSTITUTE(INDEX('Loans'!$A:$A,ROW())&amp;""," "," "))</f>
        <v/>
      </c>
      <c r="W801">
        <f>TRIM(SUBSTITUTE(INDEX('Loans'!$B:$B,ROW())&amp;""," "," "))</f>
        <v/>
      </c>
      <c r="X801">
        <f>TRIM(SUBSTITUTE(INDEX('Loans'!$C:$C,ROW())&amp;""," "," "))</f>
        <v/>
      </c>
      <c r="Y801">
        <f>IFERROR(--INDEX('Loans'!$D:$D,ROW()),0)</f>
        <v/>
      </c>
      <c r="Z801">
        <f>IFERROR(--INDEX('Loans'!$E:$E,ROW()),0)</f>
        <v/>
      </c>
      <c r="AA801">
        <f>IFERROR(--INDEX('Loans'!$F:$F,ROW()),0)</f>
        <v/>
      </c>
      <c r="AB801">
        <f>IFERROR(IF(--INDEX('Loans'!$G:$G,ROW())&gt;=1,--INDEX('Loans'!$G:$G,ROW())/100,--INDEX('Loans'!$G:$G,ROW())),0)</f>
        <v/>
      </c>
      <c r="AC801">
        <f>TRIM(SUBSTITUTE(INDEX('Loans'!$H:$H,ROW())&amp;""," "," "))</f>
        <v/>
      </c>
      <c r="AD801">
        <f>TRIM(SUBSTITUTE(INDEX('Loans'!$I:$I,ROW())&amp;""," "," "))</f>
        <v/>
      </c>
      <c r="AE801">
        <f>IFERROR(--INDEX('Loans'!$J:$J,ROW()),0)</f>
        <v/>
      </c>
      <c r="AF801">
        <f>TRIM(SUBSTITUTE(INDEX('Loans'!$K:$K,ROW())&amp;""," "," "))</f>
        <v/>
      </c>
      <c r="AG801">
        <f>IFERROR(--INDEX('Loans'!$L:$L,ROW()),0)</f>
        <v/>
      </c>
      <c r="AH801">
        <f>IF(ISNUMBER(INDEX('Loans'!$G:$G,ROW())),1,0)</f>
        <v/>
      </c>
    </row>
    <row r="802">
      <c r="A802">
        <f>TRIM(SUBSTITUTE(INDEX('Term investments'!$A:$A,ROW())&amp;""," "," "))</f>
        <v/>
      </c>
      <c r="B802">
        <f>TRIM(SUBSTITUTE(INDEX('Term investments'!$B:$B,ROW())&amp;""," "," "))</f>
        <v/>
      </c>
      <c r="C802">
        <f>TRIM(SUBSTITUTE(INDEX('Term investments'!$C:$C,ROW())&amp;""," "," "))</f>
        <v/>
      </c>
      <c r="D802">
        <f>IFERROR(--INDEX('Term investments'!$D:$D,ROW()),0)</f>
        <v/>
      </c>
      <c r="E802">
        <f>IFERROR(--INDEX('Term investments'!$E:$E,ROW()),0)</f>
        <v/>
      </c>
      <c r="F802">
        <f>IFERROR(--INDEX('Term investments'!$F:$F,ROW()),0)</f>
        <v/>
      </c>
      <c r="G802">
        <f>IFERROR(IF(--INDEX('Term investments'!$G:$G,ROW())&gt;=1,--INDEX('Term investments'!$G:$G,ROW())/100,--INDEX('Term investments'!$G:$G,ROW())),0)</f>
        <v/>
      </c>
      <c r="H802">
        <f>IFERROR(--INDEX('Term investments'!$H:$H,ROW()),0)</f>
        <v/>
      </c>
      <c r="I802">
        <f>IF(ISNUMBER(INDEX('Term investments'!$G:$G,ROW())),1,0)</f>
        <v/>
      </c>
      <c r="J802">
        <f>TRIM(SUBSTITUTE(INDEX('Call accounts and MMFs'!$A:$A,ROW())&amp;""," "," "))</f>
        <v/>
      </c>
      <c r="K802">
        <f>TRIM(SUBSTITUTE(INDEX('Call accounts and MMFs'!$B:$B,ROW())&amp;""," "," "))</f>
        <v/>
      </c>
      <c r="L802">
        <f>TRIM(SUBSTITUTE(INDEX('Call accounts and MMFs'!$C:$C,ROW())&amp;""," "," "))</f>
        <v/>
      </c>
      <c r="M802">
        <f>IFERROR(--INDEX('Call accounts and MMFs'!$D:$D,ROW()),0)</f>
        <v/>
      </c>
      <c r="N802">
        <f>IFERROR(IF(--INDEX('Call accounts and MMFs'!$E:$E,ROW())&gt;=1,--INDEX('Call accounts and MMFs'!$E:$E,ROW())/100,--INDEX('Call accounts and MMFs'!$E:$E,ROW())),0)</f>
        <v/>
      </c>
      <c r="O802">
        <f>IFERROR(--INDEX('Call accounts and MMFs'!$F:$F,ROW()),0)</f>
        <v/>
      </c>
      <c r="P802">
        <f>IF(ISNUMBER(INDEX('Call accounts and MMFs'!$E:$E,ROW())),1,0)</f>
        <v/>
      </c>
      <c r="Q802">
        <f>TRIM(SUBSTITUTE(INDEX('Pooled funds'!$B:$B,ROW())&amp;""," "," "))</f>
        <v/>
      </c>
      <c r="R802">
        <f>IFERROR(--INDEX('Pooled funds'!$C:$C,ROW()),0)</f>
        <v/>
      </c>
      <c r="S802">
        <f>IFERROR(--INDEX('Pooled funds'!$D:$D,ROW()),0)</f>
        <v/>
      </c>
      <c r="T802">
        <f>IFERROR(IF(--INDEX('Pooled funds'!$E:$E,ROW())&gt;=1,--INDEX('Pooled funds'!$E:$E,ROW())/100,--INDEX('Pooled funds'!$E:$E,ROW())),0)</f>
        <v/>
      </c>
      <c r="U802">
        <f>IF(ISNUMBER(INDEX('Pooled funds'!$E:$E,ROW())),1,0)</f>
        <v/>
      </c>
      <c r="V802">
        <f>TRIM(SUBSTITUTE(INDEX('Loans'!$A:$A,ROW())&amp;""," "," "))</f>
        <v/>
      </c>
      <c r="W802">
        <f>TRIM(SUBSTITUTE(INDEX('Loans'!$B:$B,ROW())&amp;""," "," "))</f>
        <v/>
      </c>
      <c r="X802">
        <f>TRIM(SUBSTITUTE(INDEX('Loans'!$C:$C,ROW())&amp;""," "," "))</f>
        <v/>
      </c>
      <c r="Y802">
        <f>IFERROR(--INDEX('Loans'!$D:$D,ROW()),0)</f>
        <v/>
      </c>
      <c r="Z802">
        <f>IFERROR(--INDEX('Loans'!$E:$E,ROW()),0)</f>
        <v/>
      </c>
      <c r="AA802">
        <f>IFERROR(--INDEX('Loans'!$F:$F,ROW()),0)</f>
        <v/>
      </c>
      <c r="AB802">
        <f>IFERROR(IF(--INDEX('Loans'!$G:$G,ROW())&gt;=1,--INDEX('Loans'!$G:$G,ROW())/100,--INDEX('Loans'!$G:$G,ROW())),0)</f>
        <v/>
      </c>
      <c r="AC802">
        <f>TRIM(SUBSTITUTE(INDEX('Loans'!$H:$H,ROW())&amp;""," "," "))</f>
        <v/>
      </c>
      <c r="AD802">
        <f>TRIM(SUBSTITUTE(INDEX('Loans'!$I:$I,ROW())&amp;""," "," "))</f>
        <v/>
      </c>
      <c r="AE802">
        <f>IFERROR(--INDEX('Loans'!$J:$J,ROW()),0)</f>
        <v/>
      </c>
      <c r="AF802">
        <f>TRIM(SUBSTITUTE(INDEX('Loans'!$K:$K,ROW())&amp;""," "," "))</f>
        <v/>
      </c>
      <c r="AG802">
        <f>IFERROR(--INDEX('Loans'!$L:$L,ROW()),0)</f>
        <v/>
      </c>
      <c r="AH802">
        <f>IF(ISNUMBER(INDEX('Loans'!$G:$G,ROW())),1,0)</f>
        <v/>
      </c>
    </row>
    <row r="803">
      <c r="A803">
        <f>TRIM(SUBSTITUTE(INDEX('Term investments'!$A:$A,ROW())&amp;""," "," "))</f>
        <v/>
      </c>
      <c r="B803">
        <f>TRIM(SUBSTITUTE(INDEX('Term investments'!$B:$B,ROW())&amp;""," "," "))</f>
        <v/>
      </c>
      <c r="C803">
        <f>TRIM(SUBSTITUTE(INDEX('Term investments'!$C:$C,ROW())&amp;""," "," "))</f>
        <v/>
      </c>
      <c r="D803">
        <f>IFERROR(--INDEX('Term investments'!$D:$D,ROW()),0)</f>
        <v/>
      </c>
      <c r="E803">
        <f>IFERROR(--INDEX('Term investments'!$E:$E,ROW()),0)</f>
        <v/>
      </c>
      <c r="F803">
        <f>IFERROR(--INDEX('Term investments'!$F:$F,ROW()),0)</f>
        <v/>
      </c>
      <c r="G803">
        <f>IFERROR(IF(--INDEX('Term investments'!$G:$G,ROW())&gt;=1,--INDEX('Term investments'!$G:$G,ROW())/100,--INDEX('Term investments'!$G:$G,ROW())),0)</f>
        <v/>
      </c>
      <c r="H803">
        <f>IFERROR(--INDEX('Term investments'!$H:$H,ROW()),0)</f>
        <v/>
      </c>
      <c r="I803">
        <f>IF(ISNUMBER(INDEX('Term investments'!$G:$G,ROW())),1,0)</f>
        <v/>
      </c>
      <c r="J803">
        <f>TRIM(SUBSTITUTE(INDEX('Call accounts and MMFs'!$A:$A,ROW())&amp;""," "," "))</f>
        <v/>
      </c>
      <c r="K803">
        <f>TRIM(SUBSTITUTE(INDEX('Call accounts and MMFs'!$B:$B,ROW())&amp;""," "," "))</f>
        <v/>
      </c>
      <c r="L803">
        <f>TRIM(SUBSTITUTE(INDEX('Call accounts and MMFs'!$C:$C,ROW())&amp;""," "," "))</f>
        <v/>
      </c>
      <c r="M803">
        <f>IFERROR(--INDEX('Call accounts and MMFs'!$D:$D,ROW()),0)</f>
        <v/>
      </c>
      <c r="N803">
        <f>IFERROR(IF(--INDEX('Call accounts and MMFs'!$E:$E,ROW())&gt;=1,--INDEX('Call accounts and MMFs'!$E:$E,ROW())/100,--INDEX('Call accounts and MMFs'!$E:$E,ROW())),0)</f>
        <v/>
      </c>
      <c r="O803">
        <f>IFERROR(--INDEX('Call accounts and MMFs'!$F:$F,ROW()),0)</f>
        <v/>
      </c>
      <c r="P803">
        <f>IF(ISNUMBER(INDEX('Call accounts and MMFs'!$E:$E,ROW())),1,0)</f>
        <v/>
      </c>
      <c r="Q803">
        <f>TRIM(SUBSTITUTE(INDEX('Pooled funds'!$B:$B,ROW())&amp;""," "," "))</f>
        <v/>
      </c>
      <c r="R803">
        <f>IFERROR(--INDEX('Pooled funds'!$C:$C,ROW()),0)</f>
        <v/>
      </c>
      <c r="S803">
        <f>IFERROR(--INDEX('Pooled funds'!$D:$D,ROW()),0)</f>
        <v/>
      </c>
      <c r="T803">
        <f>IFERROR(IF(--INDEX('Pooled funds'!$E:$E,ROW())&gt;=1,--INDEX('Pooled funds'!$E:$E,ROW())/100,--INDEX('Pooled funds'!$E:$E,ROW())),0)</f>
        <v/>
      </c>
      <c r="U803">
        <f>IF(ISNUMBER(INDEX('Pooled funds'!$E:$E,ROW())),1,0)</f>
        <v/>
      </c>
      <c r="V803">
        <f>TRIM(SUBSTITUTE(INDEX('Loans'!$A:$A,ROW())&amp;""," "," "))</f>
        <v/>
      </c>
      <c r="W803">
        <f>TRIM(SUBSTITUTE(INDEX('Loans'!$B:$B,ROW())&amp;""," "," "))</f>
        <v/>
      </c>
      <c r="X803">
        <f>TRIM(SUBSTITUTE(INDEX('Loans'!$C:$C,ROW())&amp;""," "," "))</f>
        <v/>
      </c>
      <c r="Y803">
        <f>IFERROR(--INDEX('Loans'!$D:$D,ROW()),0)</f>
        <v/>
      </c>
      <c r="Z803">
        <f>IFERROR(--INDEX('Loans'!$E:$E,ROW()),0)</f>
        <v/>
      </c>
      <c r="AA803">
        <f>IFERROR(--INDEX('Loans'!$F:$F,ROW()),0)</f>
        <v/>
      </c>
      <c r="AB803">
        <f>IFERROR(IF(--INDEX('Loans'!$G:$G,ROW())&gt;=1,--INDEX('Loans'!$G:$G,ROW())/100,--INDEX('Loans'!$G:$G,ROW())),0)</f>
        <v/>
      </c>
      <c r="AC803">
        <f>TRIM(SUBSTITUTE(INDEX('Loans'!$H:$H,ROW())&amp;""," "," "))</f>
        <v/>
      </c>
      <c r="AD803">
        <f>TRIM(SUBSTITUTE(INDEX('Loans'!$I:$I,ROW())&amp;""," "," "))</f>
        <v/>
      </c>
      <c r="AE803">
        <f>IFERROR(--INDEX('Loans'!$J:$J,ROW()),0)</f>
        <v/>
      </c>
      <c r="AF803">
        <f>TRIM(SUBSTITUTE(INDEX('Loans'!$K:$K,ROW())&amp;""," "," "))</f>
        <v/>
      </c>
      <c r="AG803">
        <f>IFERROR(--INDEX('Loans'!$L:$L,ROW()),0)</f>
        <v/>
      </c>
      <c r="AH803">
        <f>IF(ISNUMBER(INDEX('Loans'!$G:$G,ROW())),1,0)</f>
        <v/>
      </c>
    </row>
    <row r="804">
      <c r="A804">
        <f>TRIM(SUBSTITUTE(INDEX('Term investments'!$A:$A,ROW())&amp;""," "," "))</f>
        <v/>
      </c>
      <c r="B804">
        <f>TRIM(SUBSTITUTE(INDEX('Term investments'!$B:$B,ROW())&amp;""," "," "))</f>
        <v/>
      </c>
      <c r="C804">
        <f>TRIM(SUBSTITUTE(INDEX('Term investments'!$C:$C,ROW())&amp;""," "," "))</f>
        <v/>
      </c>
      <c r="D804">
        <f>IFERROR(--INDEX('Term investments'!$D:$D,ROW()),0)</f>
        <v/>
      </c>
      <c r="E804">
        <f>IFERROR(--INDEX('Term investments'!$E:$E,ROW()),0)</f>
        <v/>
      </c>
      <c r="F804">
        <f>IFERROR(--INDEX('Term investments'!$F:$F,ROW()),0)</f>
        <v/>
      </c>
      <c r="G804">
        <f>IFERROR(IF(--INDEX('Term investments'!$G:$G,ROW())&gt;=1,--INDEX('Term investments'!$G:$G,ROW())/100,--INDEX('Term investments'!$G:$G,ROW())),0)</f>
        <v/>
      </c>
      <c r="H804">
        <f>IFERROR(--INDEX('Term investments'!$H:$H,ROW()),0)</f>
        <v/>
      </c>
      <c r="I804">
        <f>IF(ISNUMBER(INDEX('Term investments'!$G:$G,ROW())),1,0)</f>
        <v/>
      </c>
      <c r="J804">
        <f>TRIM(SUBSTITUTE(INDEX('Call accounts and MMFs'!$A:$A,ROW())&amp;""," "," "))</f>
        <v/>
      </c>
      <c r="K804">
        <f>TRIM(SUBSTITUTE(INDEX('Call accounts and MMFs'!$B:$B,ROW())&amp;""," "," "))</f>
        <v/>
      </c>
      <c r="L804">
        <f>TRIM(SUBSTITUTE(INDEX('Call accounts and MMFs'!$C:$C,ROW())&amp;""," "," "))</f>
        <v/>
      </c>
      <c r="M804">
        <f>IFERROR(--INDEX('Call accounts and MMFs'!$D:$D,ROW()),0)</f>
        <v/>
      </c>
      <c r="N804">
        <f>IFERROR(IF(--INDEX('Call accounts and MMFs'!$E:$E,ROW())&gt;=1,--INDEX('Call accounts and MMFs'!$E:$E,ROW())/100,--INDEX('Call accounts and MMFs'!$E:$E,ROW())),0)</f>
        <v/>
      </c>
      <c r="O804">
        <f>IFERROR(--INDEX('Call accounts and MMFs'!$F:$F,ROW()),0)</f>
        <v/>
      </c>
      <c r="P804">
        <f>IF(ISNUMBER(INDEX('Call accounts and MMFs'!$E:$E,ROW())),1,0)</f>
        <v/>
      </c>
      <c r="Q804">
        <f>TRIM(SUBSTITUTE(INDEX('Pooled funds'!$B:$B,ROW())&amp;""," "," "))</f>
        <v/>
      </c>
      <c r="R804">
        <f>IFERROR(--INDEX('Pooled funds'!$C:$C,ROW()),0)</f>
        <v/>
      </c>
      <c r="S804">
        <f>IFERROR(--INDEX('Pooled funds'!$D:$D,ROW()),0)</f>
        <v/>
      </c>
      <c r="T804">
        <f>IFERROR(IF(--INDEX('Pooled funds'!$E:$E,ROW())&gt;=1,--INDEX('Pooled funds'!$E:$E,ROW())/100,--INDEX('Pooled funds'!$E:$E,ROW())),0)</f>
        <v/>
      </c>
      <c r="U804">
        <f>IF(ISNUMBER(INDEX('Pooled funds'!$E:$E,ROW())),1,0)</f>
        <v/>
      </c>
      <c r="V804">
        <f>TRIM(SUBSTITUTE(INDEX('Loans'!$A:$A,ROW())&amp;""," "," "))</f>
        <v/>
      </c>
      <c r="W804">
        <f>TRIM(SUBSTITUTE(INDEX('Loans'!$B:$B,ROW())&amp;""," "," "))</f>
        <v/>
      </c>
      <c r="X804">
        <f>TRIM(SUBSTITUTE(INDEX('Loans'!$C:$C,ROW())&amp;""," "," "))</f>
        <v/>
      </c>
      <c r="Y804">
        <f>IFERROR(--INDEX('Loans'!$D:$D,ROW()),0)</f>
        <v/>
      </c>
      <c r="Z804">
        <f>IFERROR(--INDEX('Loans'!$E:$E,ROW()),0)</f>
        <v/>
      </c>
      <c r="AA804">
        <f>IFERROR(--INDEX('Loans'!$F:$F,ROW()),0)</f>
        <v/>
      </c>
      <c r="AB804">
        <f>IFERROR(IF(--INDEX('Loans'!$G:$G,ROW())&gt;=1,--INDEX('Loans'!$G:$G,ROW())/100,--INDEX('Loans'!$G:$G,ROW())),0)</f>
        <v/>
      </c>
      <c r="AC804">
        <f>TRIM(SUBSTITUTE(INDEX('Loans'!$H:$H,ROW())&amp;""," "," "))</f>
        <v/>
      </c>
      <c r="AD804">
        <f>TRIM(SUBSTITUTE(INDEX('Loans'!$I:$I,ROW())&amp;""," "," "))</f>
        <v/>
      </c>
      <c r="AE804">
        <f>IFERROR(--INDEX('Loans'!$J:$J,ROW()),0)</f>
        <v/>
      </c>
      <c r="AF804">
        <f>TRIM(SUBSTITUTE(INDEX('Loans'!$K:$K,ROW())&amp;""," "," "))</f>
        <v/>
      </c>
      <c r="AG804">
        <f>IFERROR(--INDEX('Loans'!$L:$L,ROW()),0)</f>
        <v/>
      </c>
      <c r="AH804">
        <f>IF(ISNUMBER(INDEX('Loans'!$G:$G,ROW())),1,0)</f>
        <v/>
      </c>
    </row>
    <row r="805">
      <c r="A805">
        <f>TRIM(SUBSTITUTE(INDEX('Term investments'!$A:$A,ROW())&amp;""," "," "))</f>
        <v/>
      </c>
      <c r="B805">
        <f>TRIM(SUBSTITUTE(INDEX('Term investments'!$B:$B,ROW())&amp;""," "," "))</f>
        <v/>
      </c>
      <c r="C805">
        <f>TRIM(SUBSTITUTE(INDEX('Term investments'!$C:$C,ROW())&amp;""," "," "))</f>
        <v/>
      </c>
      <c r="D805">
        <f>IFERROR(--INDEX('Term investments'!$D:$D,ROW()),0)</f>
        <v/>
      </c>
      <c r="E805">
        <f>IFERROR(--INDEX('Term investments'!$E:$E,ROW()),0)</f>
        <v/>
      </c>
      <c r="F805">
        <f>IFERROR(--INDEX('Term investments'!$F:$F,ROW()),0)</f>
        <v/>
      </c>
      <c r="G805">
        <f>IFERROR(IF(--INDEX('Term investments'!$G:$G,ROW())&gt;=1,--INDEX('Term investments'!$G:$G,ROW())/100,--INDEX('Term investments'!$G:$G,ROW())),0)</f>
        <v/>
      </c>
      <c r="H805">
        <f>IFERROR(--INDEX('Term investments'!$H:$H,ROW()),0)</f>
        <v/>
      </c>
      <c r="I805">
        <f>IF(ISNUMBER(INDEX('Term investments'!$G:$G,ROW())),1,0)</f>
        <v/>
      </c>
      <c r="J805">
        <f>TRIM(SUBSTITUTE(INDEX('Call accounts and MMFs'!$A:$A,ROW())&amp;""," "," "))</f>
        <v/>
      </c>
      <c r="K805">
        <f>TRIM(SUBSTITUTE(INDEX('Call accounts and MMFs'!$B:$B,ROW())&amp;""," "," "))</f>
        <v/>
      </c>
      <c r="L805">
        <f>TRIM(SUBSTITUTE(INDEX('Call accounts and MMFs'!$C:$C,ROW())&amp;""," "," "))</f>
        <v/>
      </c>
      <c r="M805">
        <f>IFERROR(--INDEX('Call accounts and MMFs'!$D:$D,ROW()),0)</f>
        <v/>
      </c>
      <c r="N805">
        <f>IFERROR(IF(--INDEX('Call accounts and MMFs'!$E:$E,ROW())&gt;=1,--INDEX('Call accounts and MMFs'!$E:$E,ROW())/100,--INDEX('Call accounts and MMFs'!$E:$E,ROW())),0)</f>
        <v/>
      </c>
      <c r="O805">
        <f>IFERROR(--INDEX('Call accounts and MMFs'!$F:$F,ROW()),0)</f>
        <v/>
      </c>
      <c r="P805">
        <f>IF(ISNUMBER(INDEX('Call accounts and MMFs'!$E:$E,ROW())),1,0)</f>
        <v/>
      </c>
      <c r="Q805">
        <f>TRIM(SUBSTITUTE(INDEX('Pooled funds'!$B:$B,ROW())&amp;""," "," "))</f>
        <v/>
      </c>
      <c r="R805">
        <f>IFERROR(--INDEX('Pooled funds'!$C:$C,ROW()),0)</f>
        <v/>
      </c>
      <c r="S805">
        <f>IFERROR(--INDEX('Pooled funds'!$D:$D,ROW()),0)</f>
        <v/>
      </c>
      <c r="T805">
        <f>IFERROR(IF(--INDEX('Pooled funds'!$E:$E,ROW())&gt;=1,--INDEX('Pooled funds'!$E:$E,ROW())/100,--INDEX('Pooled funds'!$E:$E,ROW())),0)</f>
        <v/>
      </c>
      <c r="U805">
        <f>IF(ISNUMBER(INDEX('Pooled funds'!$E:$E,ROW())),1,0)</f>
        <v/>
      </c>
      <c r="V805">
        <f>TRIM(SUBSTITUTE(INDEX('Loans'!$A:$A,ROW())&amp;""," "," "))</f>
        <v/>
      </c>
      <c r="W805">
        <f>TRIM(SUBSTITUTE(INDEX('Loans'!$B:$B,ROW())&amp;""," "," "))</f>
        <v/>
      </c>
      <c r="X805">
        <f>TRIM(SUBSTITUTE(INDEX('Loans'!$C:$C,ROW())&amp;""," "," "))</f>
        <v/>
      </c>
      <c r="Y805">
        <f>IFERROR(--INDEX('Loans'!$D:$D,ROW()),0)</f>
        <v/>
      </c>
      <c r="Z805">
        <f>IFERROR(--INDEX('Loans'!$E:$E,ROW()),0)</f>
        <v/>
      </c>
      <c r="AA805">
        <f>IFERROR(--INDEX('Loans'!$F:$F,ROW()),0)</f>
        <v/>
      </c>
      <c r="AB805">
        <f>IFERROR(IF(--INDEX('Loans'!$G:$G,ROW())&gt;=1,--INDEX('Loans'!$G:$G,ROW())/100,--INDEX('Loans'!$G:$G,ROW())),0)</f>
        <v/>
      </c>
      <c r="AC805">
        <f>TRIM(SUBSTITUTE(INDEX('Loans'!$H:$H,ROW())&amp;""," "," "))</f>
        <v/>
      </c>
      <c r="AD805">
        <f>TRIM(SUBSTITUTE(INDEX('Loans'!$I:$I,ROW())&amp;""," "," "))</f>
        <v/>
      </c>
      <c r="AE805">
        <f>IFERROR(--INDEX('Loans'!$J:$J,ROW()),0)</f>
        <v/>
      </c>
      <c r="AF805">
        <f>TRIM(SUBSTITUTE(INDEX('Loans'!$K:$K,ROW())&amp;""," "," "))</f>
        <v/>
      </c>
      <c r="AG805">
        <f>IFERROR(--INDEX('Loans'!$L:$L,ROW()),0)</f>
        <v/>
      </c>
      <c r="AH805">
        <f>IF(ISNUMBER(INDEX('Loans'!$G:$G,ROW())),1,0)</f>
        <v/>
      </c>
    </row>
    <row r="806">
      <c r="A806">
        <f>TRIM(SUBSTITUTE(INDEX('Term investments'!$A:$A,ROW())&amp;""," "," "))</f>
        <v/>
      </c>
      <c r="B806">
        <f>TRIM(SUBSTITUTE(INDEX('Term investments'!$B:$B,ROW())&amp;""," "," "))</f>
        <v/>
      </c>
      <c r="C806">
        <f>TRIM(SUBSTITUTE(INDEX('Term investments'!$C:$C,ROW())&amp;""," "," "))</f>
        <v/>
      </c>
      <c r="D806">
        <f>IFERROR(--INDEX('Term investments'!$D:$D,ROW()),0)</f>
        <v/>
      </c>
      <c r="E806">
        <f>IFERROR(--INDEX('Term investments'!$E:$E,ROW()),0)</f>
        <v/>
      </c>
      <c r="F806">
        <f>IFERROR(--INDEX('Term investments'!$F:$F,ROW()),0)</f>
        <v/>
      </c>
      <c r="G806">
        <f>IFERROR(IF(--INDEX('Term investments'!$G:$G,ROW())&gt;=1,--INDEX('Term investments'!$G:$G,ROW())/100,--INDEX('Term investments'!$G:$G,ROW())),0)</f>
        <v/>
      </c>
      <c r="H806">
        <f>IFERROR(--INDEX('Term investments'!$H:$H,ROW()),0)</f>
        <v/>
      </c>
      <c r="I806">
        <f>IF(ISNUMBER(INDEX('Term investments'!$G:$G,ROW())),1,0)</f>
        <v/>
      </c>
      <c r="J806">
        <f>TRIM(SUBSTITUTE(INDEX('Call accounts and MMFs'!$A:$A,ROW())&amp;""," "," "))</f>
        <v/>
      </c>
      <c r="K806">
        <f>TRIM(SUBSTITUTE(INDEX('Call accounts and MMFs'!$B:$B,ROW())&amp;""," "," "))</f>
        <v/>
      </c>
      <c r="L806">
        <f>TRIM(SUBSTITUTE(INDEX('Call accounts and MMFs'!$C:$C,ROW())&amp;""," "," "))</f>
        <v/>
      </c>
      <c r="M806">
        <f>IFERROR(--INDEX('Call accounts and MMFs'!$D:$D,ROW()),0)</f>
        <v/>
      </c>
      <c r="N806">
        <f>IFERROR(IF(--INDEX('Call accounts and MMFs'!$E:$E,ROW())&gt;=1,--INDEX('Call accounts and MMFs'!$E:$E,ROW())/100,--INDEX('Call accounts and MMFs'!$E:$E,ROW())),0)</f>
        <v/>
      </c>
      <c r="O806">
        <f>IFERROR(--INDEX('Call accounts and MMFs'!$F:$F,ROW()),0)</f>
        <v/>
      </c>
      <c r="P806">
        <f>IF(ISNUMBER(INDEX('Call accounts and MMFs'!$E:$E,ROW())),1,0)</f>
        <v/>
      </c>
      <c r="Q806">
        <f>TRIM(SUBSTITUTE(INDEX('Pooled funds'!$B:$B,ROW())&amp;""," "," "))</f>
        <v/>
      </c>
      <c r="R806">
        <f>IFERROR(--INDEX('Pooled funds'!$C:$C,ROW()),0)</f>
        <v/>
      </c>
      <c r="S806">
        <f>IFERROR(--INDEX('Pooled funds'!$D:$D,ROW()),0)</f>
        <v/>
      </c>
      <c r="T806">
        <f>IFERROR(IF(--INDEX('Pooled funds'!$E:$E,ROW())&gt;=1,--INDEX('Pooled funds'!$E:$E,ROW())/100,--INDEX('Pooled funds'!$E:$E,ROW())),0)</f>
        <v/>
      </c>
      <c r="U806">
        <f>IF(ISNUMBER(INDEX('Pooled funds'!$E:$E,ROW())),1,0)</f>
        <v/>
      </c>
      <c r="V806">
        <f>TRIM(SUBSTITUTE(INDEX('Loans'!$A:$A,ROW())&amp;""," "," "))</f>
        <v/>
      </c>
      <c r="W806">
        <f>TRIM(SUBSTITUTE(INDEX('Loans'!$B:$B,ROW())&amp;""," "," "))</f>
        <v/>
      </c>
      <c r="X806">
        <f>TRIM(SUBSTITUTE(INDEX('Loans'!$C:$C,ROW())&amp;""," "," "))</f>
        <v/>
      </c>
      <c r="Y806">
        <f>IFERROR(--INDEX('Loans'!$D:$D,ROW()),0)</f>
        <v/>
      </c>
      <c r="Z806">
        <f>IFERROR(--INDEX('Loans'!$E:$E,ROW()),0)</f>
        <v/>
      </c>
      <c r="AA806">
        <f>IFERROR(--INDEX('Loans'!$F:$F,ROW()),0)</f>
        <v/>
      </c>
      <c r="AB806">
        <f>IFERROR(IF(--INDEX('Loans'!$G:$G,ROW())&gt;=1,--INDEX('Loans'!$G:$G,ROW())/100,--INDEX('Loans'!$G:$G,ROW())),0)</f>
        <v/>
      </c>
      <c r="AC806">
        <f>TRIM(SUBSTITUTE(INDEX('Loans'!$H:$H,ROW())&amp;""," "," "))</f>
        <v/>
      </c>
      <c r="AD806">
        <f>TRIM(SUBSTITUTE(INDEX('Loans'!$I:$I,ROW())&amp;""," "," "))</f>
        <v/>
      </c>
      <c r="AE806">
        <f>IFERROR(--INDEX('Loans'!$J:$J,ROW()),0)</f>
        <v/>
      </c>
      <c r="AF806">
        <f>TRIM(SUBSTITUTE(INDEX('Loans'!$K:$K,ROW())&amp;""," "," "))</f>
        <v/>
      </c>
      <c r="AG806">
        <f>IFERROR(--INDEX('Loans'!$L:$L,ROW()),0)</f>
        <v/>
      </c>
      <c r="AH806">
        <f>IF(ISNUMBER(INDEX('Loans'!$G:$G,ROW())),1,0)</f>
        <v/>
      </c>
    </row>
    <row r="807">
      <c r="A807">
        <f>TRIM(SUBSTITUTE(INDEX('Term investments'!$A:$A,ROW())&amp;""," "," "))</f>
        <v/>
      </c>
      <c r="B807">
        <f>TRIM(SUBSTITUTE(INDEX('Term investments'!$B:$B,ROW())&amp;""," "," "))</f>
        <v/>
      </c>
      <c r="C807">
        <f>TRIM(SUBSTITUTE(INDEX('Term investments'!$C:$C,ROW())&amp;""," "," "))</f>
        <v/>
      </c>
      <c r="D807">
        <f>IFERROR(--INDEX('Term investments'!$D:$D,ROW()),0)</f>
        <v/>
      </c>
      <c r="E807">
        <f>IFERROR(--INDEX('Term investments'!$E:$E,ROW()),0)</f>
        <v/>
      </c>
      <c r="F807">
        <f>IFERROR(--INDEX('Term investments'!$F:$F,ROW()),0)</f>
        <v/>
      </c>
      <c r="G807">
        <f>IFERROR(IF(--INDEX('Term investments'!$G:$G,ROW())&gt;=1,--INDEX('Term investments'!$G:$G,ROW())/100,--INDEX('Term investments'!$G:$G,ROW())),0)</f>
        <v/>
      </c>
      <c r="H807">
        <f>IFERROR(--INDEX('Term investments'!$H:$H,ROW()),0)</f>
        <v/>
      </c>
      <c r="I807">
        <f>IF(ISNUMBER(INDEX('Term investments'!$G:$G,ROW())),1,0)</f>
        <v/>
      </c>
      <c r="J807">
        <f>TRIM(SUBSTITUTE(INDEX('Call accounts and MMFs'!$A:$A,ROW())&amp;""," "," "))</f>
        <v/>
      </c>
      <c r="K807">
        <f>TRIM(SUBSTITUTE(INDEX('Call accounts and MMFs'!$B:$B,ROW())&amp;""," "," "))</f>
        <v/>
      </c>
      <c r="L807">
        <f>TRIM(SUBSTITUTE(INDEX('Call accounts and MMFs'!$C:$C,ROW())&amp;""," "," "))</f>
        <v/>
      </c>
      <c r="M807">
        <f>IFERROR(--INDEX('Call accounts and MMFs'!$D:$D,ROW()),0)</f>
        <v/>
      </c>
      <c r="N807">
        <f>IFERROR(IF(--INDEX('Call accounts and MMFs'!$E:$E,ROW())&gt;=1,--INDEX('Call accounts and MMFs'!$E:$E,ROW())/100,--INDEX('Call accounts and MMFs'!$E:$E,ROW())),0)</f>
        <v/>
      </c>
      <c r="O807">
        <f>IFERROR(--INDEX('Call accounts and MMFs'!$F:$F,ROW()),0)</f>
        <v/>
      </c>
      <c r="P807">
        <f>IF(ISNUMBER(INDEX('Call accounts and MMFs'!$E:$E,ROW())),1,0)</f>
        <v/>
      </c>
      <c r="Q807">
        <f>TRIM(SUBSTITUTE(INDEX('Pooled funds'!$B:$B,ROW())&amp;""," "," "))</f>
        <v/>
      </c>
      <c r="R807">
        <f>IFERROR(--INDEX('Pooled funds'!$C:$C,ROW()),0)</f>
        <v/>
      </c>
      <c r="S807">
        <f>IFERROR(--INDEX('Pooled funds'!$D:$D,ROW()),0)</f>
        <v/>
      </c>
      <c r="T807">
        <f>IFERROR(IF(--INDEX('Pooled funds'!$E:$E,ROW())&gt;=1,--INDEX('Pooled funds'!$E:$E,ROW())/100,--INDEX('Pooled funds'!$E:$E,ROW())),0)</f>
        <v/>
      </c>
      <c r="U807">
        <f>IF(ISNUMBER(INDEX('Pooled funds'!$E:$E,ROW())),1,0)</f>
        <v/>
      </c>
      <c r="V807">
        <f>TRIM(SUBSTITUTE(INDEX('Loans'!$A:$A,ROW())&amp;""," "," "))</f>
        <v/>
      </c>
      <c r="W807">
        <f>TRIM(SUBSTITUTE(INDEX('Loans'!$B:$B,ROW())&amp;""," "," "))</f>
        <v/>
      </c>
      <c r="X807">
        <f>TRIM(SUBSTITUTE(INDEX('Loans'!$C:$C,ROW())&amp;""," "," "))</f>
        <v/>
      </c>
      <c r="Y807">
        <f>IFERROR(--INDEX('Loans'!$D:$D,ROW()),0)</f>
        <v/>
      </c>
      <c r="Z807">
        <f>IFERROR(--INDEX('Loans'!$E:$E,ROW()),0)</f>
        <v/>
      </c>
      <c r="AA807">
        <f>IFERROR(--INDEX('Loans'!$F:$F,ROW()),0)</f>
        <v/>
      </c>
      <c r="AB807">
        <f>IFERROR(IF(--INDEX('Loans'!$G:$G,ROW())&gt;=1,--INDEX('Loans'!$G:$G,ROW())/100,--INDEX('Loans'!$G:$G,ROW())),0)</f>
        <v/>
      </c>
      <c r="AC807">
        <f>TRIM(SUBSTITUTE(INDEX('Loans'!$H:$H,ROW())&amp;""," "," "))</f>
        <v/>
      </c>
      <c r="AD807">
        <f>TRIM(SUBSTITUTE(INDEX('Loans'!$I:$I,ROW())&amp;""," "," "))</f>
        <v/>
      </c>
      <c r="AE807">
        <f>IFERROR(--INDEX('Loans'!$J:$J,ROW()),0)</f>
        <v/>
      </c>
      <c r="AF807">
        <f>TRIM(SUBSTITUTE(INDEX('Loans'!$K:$K,ROW())&amp;""," "," "))</f>
        <v/>
      </c>
      <c r="AG807">
        <f>IFERROR(--INDEX('Loans'!$L:$L,ROW()),0)</f>
        <v/>
      </c>
      <c r="AH807">
        <f>IF(ISNUMBER(INDEX('Loans'!$G:$G,ROW())),1,0)</f>
        <v/>
      </c>
    </row>
    <row r="808">
      <c r="A808">
        <f>TRIM(SUBSTITUTE(INDEX('Term investments'!$A:$A,ROW())&amp;""," "," "))</f>
        <v/>
      </c>
      <c r="B808">
        <f>TRIM(SUBSTITUTE(INDEX('Term investments'!$B:$B,ROW())&amp;""," "," "))</f>
        <v/>
      </c>
      <c r="C808">
        <f>TRIM(SUBSTITUTE(INDEX('Term investments'!$C:$C,ROW())&amp;""," "," "))</f>
        <v/>
      </c>
      <c r="D808">
        <f>IFERROR(--INDEX('Term investments'!$D:$D,ROW()),0)</f>
        <v/>
      </c>
      <c r="E808">
        <f>IFERROR(--INDEX('Term investments'!$E:$E,ROW()),0)</f>
        <v/>
      </c>
      <c r="F808">
        <f>IFERROR(--INDEX('Term investments'!$F:$F,ROW()),0)</f>
        <v/>
      </c>
      <c r="G808">
        <f>IFERROR(IF(--INDEX('Term investments'!$G:$G,ROW())&gt;=1,--INDEX('Term investments'!$G:$G,ROW())/100,--INDEX('Term investments'!$G:$G,ROW())),0)</f>
        <v/>
      </c>
      <c r="H808">
        <f>IFERROR(--INDEX('Term investments'!$H:$H,ROW()),0)</f>
        <v/>
      </c>
      <c r="I808">
        <f>IF(ISNUMBER(INDEX('Term investments'!$G:$G,ROW())),1,0)</f>
        <v/>
      </c>
      <c r="J808">
        <f>TRIM(SUBSTITUTE(INDEX('Call accounts and MMFs'!$A:$A,ROW())&amp;""," "," "))</f>
        <v/>
      </c>
      <c r="K808">
        <f>TRIM(SUBSTITUTE(INDEX('Call accounts and MMFs'!$B:$B,ROW())&amp;""," "," "))</f>
        <v/>
      </c>
      <c r="L808">
        <f>TRIM(SUBSTITUTE(INDEX('Call accounts and MMFs'!$C:$C,ROW())&amp;""," "," "))</f>
        <v/>
      </c>
      <c r="M808">
        <f>IFERROR(--INDEX('Call accounts and MMFs'!$D:$D,ROW()),0)</f>
        <v/>
      </c>
      <c r="N808">
        <f>IFERROR(IF(--INDEX('Call accounts and MMFs'!$E:$E,ROW())&gt;=1,--INDEX('Call accounts and MMFs'!$E:$E,ROW())/100,--INDEX('Call accounts and MMFs'!$E:$E,ROW())),0)</f>
        <v/>
      </c>
      <c r="O808">
        <f>IFERROR(--INDEX('Call accounts and MMFs'!$F:$F,ROW()),0)</f>
        <v/>
      </c>
      <c r="P808">
        <f>IF(ISNUMBER(INDEX('Call accounts and MMFs'!$E:$E,ROW())),1,0)</f>
        <v/>
      </c>
      <c r="Q808">
        <f>TRIM(SUBSTITUTE(INDEX('Pooled funds'!$B:$B,ROW())&amp;""," "," "))</f>
        <v/>
      </c>
      <c r="R808">
        <f>IFERROR(--INDEX('Pooled funds'!$C:$C,ROW()),0)</f>
        <v/>
      </c>
      <c r="S808">
        <f>IFERROR(--INDEX('Pooled funds'!$D:$D,ROW()),0)</f>
        <v/>
      </c>
      <c r="T808">
        <f>IFERROR(IF(--INDEX('Pooled funds'!$E:$E,ROW())&gt;=1,--INDEX('Pooled funds'!$E:$E,ROW())/100,--INDEX('Pooled funds'!$E:$E,ROW())),0)</f>
        <v/>
      </c>
      <c r="U808">
        <f>IF(ISNUMBER(INDEX('Pooled funds'!$E:$E,ROW())),1,0)</f>
        <v/>
      </c>
      <c r="V808">
        <f>TRIM(SUBSTITUTE(INDEX('Loans'!$A:$A,ROW())&amp;""," "," "))</f>
        <v/>
      </c>
      <c r="W808">
        <f>TRIM(SUBSTITUTE(INDEX('Loans'!$B:$B,ROW())&amp;""," "," "))</f>
        <v/>
      </c>
      <c r="X808">
        <f>TRIM(SUBSTITUTE(INDEX('Loans'!$C:$C,ROW())&amp;""," "," "))</f>
        <v/>
      </c>
      <c r="Y808">
        <f>IFERROR(--INDEX('Loans'!$D:$D,ROW()),0)</f>
        <v/>
      </c>
      <c r="Z808">
        <f>IFERROR(--INDEX('Loans'!$E:$E,ROW()),0)</f>
        <v/>
      </c>
      <c r="AA808">
        <f>IFERROR(--INDEX('Loans'!$F:$F,ROW()),0)</f>
        <v/>
      </c>
      <c r="AB808">
        <f>IFERROR(IF(--INDEX('Loans'!$G:$G,ROW())&gt;=1,--INDEX('Loans'!$G:$G,ROW())/100,--INDEX('Loans'!$G:$G,ROW())),0)</f>
        <v/>
      </c>
      <c r="AC808">
        <f>TRIM(SUBSTITUTE(INDEX('Loans'!$H:$H,ROW())&amp;""," "," "))</f>
        <v/>
      </c>
      <c r="AD808">
        <f>TRIM(SUBSTITUTE(INDEX('Loans'!$I:$I,ROW())&amp;""," "," "))</f>
        <v/>
      </c>
      <c r="AE808">
        <f>IFERROR(--INDEX('Loans'!$J:$J,ROW()),0)</f>
        <v/>
      </c>
      <c r="AF808">
        <f>TRIM(SUBSTITUTE(INDEX('Loans'!$K:$K,ROW())&amp;""," "," "))</f>
        <v/>
      </c>
      <c r="AG808">
        <f>IFERROR(--INDEX('Loans'!$L:$L,ROW()),0)</f>
        <v/>
      </c>
      <c r="AH808">
        <f>IF(ISNUMBER(INDEX('Loans'!$G:$G,ROW())),1,0)</f>
        <v/>
      </c>
    </row>
    <row r="809">
      <c r="A809">
        <f>TRIM(SUBSTITUTE(INDEX('Term investments'!$A:$A,ROW())&amp;""," "," "))</f>
        <v/>
      </c>
      <c r="B809">
        <f>TRIM(SUBSTITUTE(INDEX('Term investments'!$B:$B,ROW())&amp;""," "," "))</f>
        <v/>
      </c>
      <c r="C809">
        <f>TRIM(SUBSTITUTE(INDEX('Term investments'!$C:$C,ROW())&amp;""," "," "))</f>
        <v/>
      </c>
      <c r="D809">
        <f>IFERROR(--INDEX('Term investments'!$D:$D,ROW()),0)</f>
        <v/>
      </c>
      <c r="E809">
        <f>IFERROR(--INDEX('Term investments'!$E:$E,ROW()),0)</f>
        <v/>
      </c>
      <c r="F809">
        <f>IFERROR(--INDEX('Term investments'!$F:$F,ROW()),0)</f>
        <v/>
      </c>
      <c r="G809">
        <f>IFERROR(IF(--INDEX('Term investments'!$G:$G,ROW())&gt;=1,--INDEX('Term investments'!$G:$G,ROW())/100,--INDEX('Term investments'!$G:$G,ROW())),0)</f>
        <v/>
      </c>
      <c r="H809">
        <f>IFERROR(--INDEX('Term investments'!$H:$H,ROW()),0)</f>
        <v/>
      </c>
      <c r="I809">
        <f>IF(ISNUMBER(INDEX('Term investments'!$G:$G,ROW())),1,0)</f>
        <v/>
      </c>
      <c r="J809">
        <f>TRIM(SUBSTITUTE(INDEX('Call accounts and MMFs'!$A:$A,ROW())&amp;""," "," "))</f>
        <v/>
      </c>
      <c r="K809">
        <f>TRIM(SUBSTITUTE(INDEX('Call accounts and MMFs'!$B:$B,ROW())&amp;""," "," "))</f>
        <v/>
      </c>
      <c r="L809">
        <f>TRIM(SUBSTITUTE(INDEX('Call accounts and MMFs'!$C:$C,ROW())&amp;""," "," "))</f>
        <v/>
      </c>
      <c r="M809">
        <f>IFERROR(--INDEX('Call accounts and MMFs'!$D:$D,ROW()),0)</f>
        <v/>
      </c>
      <c r="N809">
        <f>IFERROR(IF(--INDEX('Call accounts and MMFs'!$E:$E,ROW())&gt;=1,--INDEX('Call accounts and MMFs'!$E:$E,ROW())/100,--INDEX('Call accounts and MMFs'!$E:$E,ROW())),0)</f>
        <v/>
      </c>
      <c r="O809">
        <f>IFERROR(--INDEX('Call accounts and MMFs'!$F:$F,ROW()),0)</f>
        <v/>
      </c>
      <c r="P809">
        <f>IF(ISNUMBER(INDEX('Call accounts and MMFs'!$E:$E,ROW())),1,0)</f>
        <v/>
      </c>
      <c r="Q809">
        <f>TRIM(SUBSTITUTE(INDEX('Pooled funds'!$B:$B,ROW())&amp;""," "," "))</f>
        <v/>
      </c>
      <c r="R809">
        <f>IFERROR(--INDEX('Pooled funds'!$C:$C,ROW()),0)</f>
        <v/>
      </c>
      <c r="S809">
        <f>IFERROR(--INDEX('Pooled funds'!$D:$D,ROW()),0)</f>
        <v/>
      </c>
      <c r="T809">
        <f>IFERROR(IF(--INDEX('Pooled funds'!$E:$E,ROW())&gt;=1,--INDEX('Pooled funds'!$E:$E,ROW())/100,--INDEX('Pooled funds'!$E:$E,ROW())),0)</f>
        <v/>
      </c>
      <c r="U809">
        <f>IF(ISNUMBER(INDEX('Pooled funds'!$E:$E,ROW())),1,0)</f>
        <v/>
      </c>
      <c r="V809">
        <f>TRIM(SUBSTITUTE(INDEX('Loans'!$A:$A,ROW())&amp;""," "," "))</f>
        <v/>
      </c>
      <c r="W809">
        <f>TRIM(SUBSTITUTE(INDEX('Loans'!$B:$B,ROW())&amp;""," "," "))</f>
        <v/>
      </c>
      <c r="X809">
        <f>TRIM(SUBSTITUTE(INDEX('Loans'!$C:$C,ROW())&amp;""," "," "))</f>
        <v/>
      </c>
      <c r="Y809">
        <f>IFERROR(--INDEX('Loans'!$D:$D,ROW()),0)</f>
        <v/>
      </c>
      <c r="Z809">
        <f>IFERROR(--INDEX('Loans'!$E:$E,ROW()),0)</f>
        <v/>
      </c>
      <c r="AA809">
        <f>IFERROR(--INDEX('Loans'!$F:$F,ROW()),0)</f>
        <v/>
      </c>
      <c r="AB809">
        <f>IFERROR(IF(--INDEX('Loans'!$G:$G,ROW())&gt;=1,--INDEX('Loans'!$G:$G,ROW())/100,--INDEX('Loans'!$G:$G,ROW())),0)</f>
        <v/>
      </c>
      <c r="AC809">
        <f>TRIM(SUBSTITUTE(INDEX('Loans'!$H:$H,ROW())&amp;""," "," "))</f>
        <v/>
      </c>
      <c r="AD809">
        <f>TRIM(SUBSTITUTE(INDEX('Loans'!$I:$I,ROW())&amp;""," "," "))</f>
        <v/>
      </c>
      <c r="AE809">
        <f>IFERROR(--INDEX('Loans'!$J:$J,ROW()),0)</f>
        <v/>
      </c>
      <c r="AF809">
        <f>TRIM(SUBSTITUTE(INDEX('Loans'!$K:$K,ROW())&amp;""," "," "))</f>
        <v/>
      </c>
      <c r="AG809">
        <f>IFERROR(--INDEX('Loans'!$L:$L,ROW()),0)</f>
        <v/>
      </c>
      <c r="AH809">
        <f>IF(ISNUMBER(INDEX('Loans'!$G:$G,ROW())),1,0)</f>
        <v/>
      </c>
    </row>
    <row r="810">
      <c r="A810">
        <f>TRIM(SUBSTITUTE(INDEX('Term investments'!$A:$A,ROW())&amp;""," "," "))</f>
        <v/>
      </c>
      <c r="B810">
        <f>TRIM(SUBSTITUTE(INDEX('Term investments'!$B:$B,ROW())&amp;""," "," "))</f>
        <v/>
      </c>
      <c r="C810">
        <f>TRIM(SUBSTITUTE(INDEX('Term investments'!$C:$C,ROW())&amp;""," "," "))</f>
        <v/>
      </c>
      <c r="D810">
        <f>IFERROR(--INDEX('Term investments'!$D:$D,ROW()),0)</f>
        <v/>
      </c>
      <c r="E810">
        <f>IFERROR(--INDEX('Term investments'!$E:$E,ROW()),0)</f>
        <v/>
      </c>
      <c r="F810">
        <f>IFERROR(--INDEX('Term investments'!$F:$F,ROW()),0)</f>
        <v/>
      </c>
      <c r="G810">
        <f>IFERROR(IF(--INDEX('Term investments'!$G:$G,ROW())&gt;=1,--INDEX('Term investments'!$G:$G,ROW())/100,--INDEX('Term investments'!$G:$G,ROW())),0)</f>
        <v/>
      </c>
      <c r="H810">
        <f>IFERROR(--INDEX('Term investments'!$H:$H,ROW()),0)</f>
        <v/>
      </c>
      <c r="I810">
        <f>IF(ISNUMBER(INDEX('Term investments'!$G:$G,ROW())),1,0)</f>
        <v/>
      </c>
      <c r="J810">
        <f>TRIM(SUBSTITUTE(INDEX('Call accounts and MMFs'!$A:$A,ROW())&amp;""," "," "))</f>
        <v/>
      </c>
      <c r="K810">
        <f>TRIM(SUBSTITUTE(INDEX('Call accounts and MMFs'!$B:$B,ROW())&amp;""," "," "))</f>
        <v/>
      </c>
      <c r="L810">
        <f>TRIM(SUBSTITUTE(INDEX('Call accounts and MMFs'!$C:$C,ROW())&amp;""," "," "))</f>
        <v/>
      </c>
      <c r="M810">
        <f>IFERROR(--INDEX('Call accounts and MMFs'!$D:$D,ROW()),0)</f>
        <v/>
      </c>
      <c r="N810">
        <f>IFERROR(IF(--INDEX('Call accounts and MMFs'!$E:$E,ROW())&gt;=1,--INDEX('Call accounts and MMFs'!$E:$E,ROW())/100,--INDEX('Call accounts and MMFs'!$E:$E,ROW())),0)</f>
        <v/>
      </c>
      <c r="O810">
        <f>IFERROR(--INDEX('Call accounts and MMFs'!$F:$F,ROW()),0)</f>
        <v/>
      </c>
      <c r="P810">
        <f>IF(ISNUMBER(INDEX('Call accounts and MMFs'!$E:$E,ROW())),1,0)</f>
        <v/>
      </c>
      <c r="Q810">
        <f>TRIM(SUBSTITUTE(INDEX('Pooled funds'!$B:$B,ROW())&amp;""," "," "))</f>
        <v/>
      </c>
      <c r="R810">
        <f>IFERROR(--INDEX('Pooled funds'!$C:$C,ROW()),0)</f>
        <v/>
      </c>
      <c r="S810">
        <f>IFERROR(--INDEX('Pooled funds'!$D:$D,ROW()),0)</f>
        <v/>
      </c>
      <c r="T810">
        <f>IFERROR(IF(--INDEX('Pooled funds'!$E:$E,ROW())&gt;=1,--INDEX('Pooled funds'!$E:$E,ROW())/100,--INDEX('Pooled funds'!$E:$E,ROW())),0)</f>
        <v/>
      </c>
      <c r="U810">
        <f>IF(ISNUMBER(INDEX('Pooled funds'!$E:$E,ROW())),1,0)</f>
        <v/>
      </c>
      <c r="V810">
        <f>TRIM(SUBSTITUTE(INDEX('Loans'!$A:$A,ROW())&amp;""," "," "))</f>
        <v/>
      </c>
      <c r="W810">
        <f>TRIM(SUBSTITUTE(INDEX('Loans'!$B:$B,ROW())&amp;""," "," "))</f>
        <v/>
      </c>
      <c r="X810">
        <f>TRIM(SUBSTITUTE(INDEX('Loans'!$C:$C,ROW())&amp;""," "," "))</f>
        <v/>
      </c>
      <c r="Y810">
        <f>IFERROR(--INDEX('Loans'!$D:$D,ROW()),0)</f>
        <v/>
      </c>
      <c r="Z810">
        <f>IFERROR(--INDEX('Loans'!$E:$E,ROW()),0)</f>
        <v/>
      </c>
      <c r="AA810">
        <f>IFERROR(--INDEX('Loans'!$F:$F,ROW()),0)</f>
        <v/>
      </c>
      <c r="AB810">
        <f>IFERROR(IF(--INDEX('Loans'!$G:$G,ROW())&gt;=1,--INDEX('Loans'!$G:$G,ROW())/100,--INDEX('Loans'!$G:$G,ROW())),0)</f>
        <v/>
      </c>
      <c r="AC810">
        <f>TRIM(SUBSTITUTE(INDEX('Loans'!$H:$H,ROW())&amp;""," "," "))</f>
        <v/>
      </c>
      <c r="AD810">
        <f>TRIM(SUBSTITUTE(INDEX('Loans'!$I:$I,ROW())&amp;""," "," "))</f>
        <v/>
      </c>
      <c r="AE810">
        <f>IFERROR(--INDEX('Loans'!$J:$J,ROW()),0)</f>
        <v/>
      </c>
      <c r="AF810">
        <f>TRIM(SUBSTITUTE(INDEX('Loans'!$K:$K,ROW())&amp;""," "," "))</f>
        <v/>
      </c>
      <c r="AG810">
        <f>IFERROR(--INDEX('Loans'!$L:$L,ROW()),0)</f>
        <v/>
      </c>
      <c r="AH810">
        <f>IF(ISNUMBER(INDEX('Loans'!$G:$G,ROW())),1,0)</f>
        <v/>
      </c>
    </row>
    <row r="811">
      <c r="A811">
        <f>TRIM(SUBSTITUTE(INDEX('Term investments'!$A:$A,ROW())&amp;""," "," "))</f>
        <v/>
      </c>
      <c r="B811">
        <f>TRIM(SUBSTITUTE(INDEX('Term investments'!$B:$B,ROW())&amp;""," "," "))</f>
        <v/>
      </c>
      <c r="C811">
        <f>TRIM(SUBSTITUTE(INDEX('Term investments'!$C:$C,ROW())&amp;""," "," "))</f>
        <v/>
      </c>
      <c r="D811">
        <f>IFERROR(--INDEX('Term investments'!$D:$D,ROW()),0)</f>
        <v/>
      </c>
      <c r="E811">
        <f>IFERROR(--INDEX('Term investments'!$E:$E,ROW()),0)</f>
        <v/>
      </c>
      <c r="F811">
        <f>IFERROR(--INDEX('Term investments'!$F:$F,ROW()),0)</f>
        <v/>
      </c>
      <c r="G811">
        <f>IFERROR(IF(--INDEX('Term investments'!$G:$G,ROW())&gt;=1,--INDEX('Term investments'!$G:$G,ROW())/100,--INDEX('Term investments'!$G:$G,ROW())),0)</f>
        <v/>
      </c>
      <c r="H811">
        <f>IFERROR(--INDEX('Term investments'!$H:$H,ROW()),0)</f>
        <v/>
      </c>
      <c r="I811">
        <f>IF(ISNUMBER(INDEX('Term investments'!$G:$G,ROW())),1,0)</f>
        <v/>
      </c>
      <c r="J811">
        <f>TRIM(SUBSTITUTE(INDEX('Call accounts and MMFs'!$A:$A,ROW())&amp;""," "," "))</f>
        <v/>
      </c>
      <c r="K811">
        <f>TRIM(SUBSTITUTE(INDEX('Call accounts and MMFs'!$B:$B,ROW())&amp;""," "," "))</f>
        <v/>
      </c>
      <c r="L811">
        <f>TRIM(SUBSTITUTE(INDEX('Call accounts and MMFs'!$C:$C,ROW())&amp;""," "," "))</f>
        <v/>
      </c>
      <c r="M811">
        <f>IFERROR(--INDEX('Call accounts and MMFs'!$D:$D,ROW()),0)</f>
        <v/>
      </c>
      <c r="N811">
        <f>IFERROR(IF(--INDEX('Call accounts and MMFs'!$E:$E,ROW())&gt;=1,--INDEX('Call accounts and MMFs'!$E:$E,ROW())/100,--INDEX('Call accounts and MMFs'!$E:$E,ROW())),0)</f>
        <v/>
      </c>
      <c r="O811">
        <f>IFERROR(--INDEX('Call accounts and MMFs'!$F:$F,ROW()),0)</f>
        <v/>
      </c>
      <c r="P811">
        <f>IF(ISNUMBER(INDEX('Call accounts and MMFs'!$E:$E,ROW())),1,0)</f>
        <v/>
      </c>
      <c r="Q811">
        <f>TRIM(SUBSTITUTE(INDEX('Pooled funds'!$B:$B,ROW())&amp;""," "," "))</f>
        <v/>
      </c>
      <c r="R811">
        <f>IFERROR(--INDEX('Pooled funds'!$C:$C,ROW()),0)</f>
        <v/>
      </c>
      <c r="S811">
        <f>IFERROR(--INDEX('Pooled funds'!$D:$D,ROW()),0)</f>
        <v/>
      </c>
      <c r="T811">
        <f>IFERROR(IF(--INDEX('Pooled funds'!$E:$E,ROW())&gt;=1,--INDEX('Pooled funds'!$E:$E,ROW())/100,--INDEX('Pooled funds'!$E:$E,ROW())),0)</f>
        <v/>
      </c>
      <c r="U811">
        <f>IF(ISNUMBER(INDEX('Pooled funds'!$E:$E,ROW())),1,0)</f>
        <v/>
      </c>
      <c r="V811">
        <f>TRIM(SUBSTITUTE(INDEX('Loans'!$A:$A,ROW())&amp;""," "," "))</f>
        <v/>
      </c>
      <c r="W811">
        <f>TRIM(SUBSTITUTE(INDEX('Loans'!$B:$B,ROW())&amp;""," "," "))</f>
        <v/>
      </c>
      <c r="X811">
        <f>TRIM(SUBSTITUTE(INDEX('Loans'!$C:$C,ROW())&amp;""," "," "))</f>
        <v/>
      </c>
      <c r="Y811">
        <f>IFERROR(--INDEX('Loans'!$D:$D,ROW()),0)</f>
        <v/>
      </c>
      <c r="Z811">
        <f>IFERROR(--INDEX('Loans'!$E:$E,ROW()),0)</f>
        <v/>
      </c>
      <c r="AA811">
        <f>IFERROR(--INDEX('Loans'!$F:$F,ROW()),0)</f>
        <v/>
      </c>
      <c r="AB811">
        <f>IFERROR(IF(--INDEX('Loans'!$G:$G,ROW())&gt;=1,--INDEX('Loans'!$G:$G,ROW())/100,--INDEX('Loans'!$G:$G,ROW())),0)</f>
        <v/>
      </c>
      <c r="AC811">
        <f>TRIM(SUBSTITUTE(INDEX('Loans'!$H:$H,ROW())&amp;""," "," "))</f>
        <v/>
      </c>
      <c r="AD811">
        <f>TRIM(SUBSTITUTE(INDEX('Loans'!$I:$I,ROW())&amp;""," "," "))</f>
        <v/>
      </c>
      <c r="AE811">
        <f>IFERROR(--INDEX('Loans'!$J:$J,ROW()),0)</f>
        <v/>
      </c>
      <c r="AF811">
        <f>TRIM(SUBSTITUTE(INDEX('Loans'!$K:$K,ROW())&amp;""," "," "))</f>
        <v/>
      </c>
      <c r="AG811">
        <f>IFERROR(--INDEX('Loans'!$L:$L,ROW()),0)</f>
        <v/>
      </c>
      <c r="AH811">
        <f>IF(ISNUMBER(INDEX('Loans'!$G:$G,ROW())),1,0)</f>
        <v/>
      </c>
    </row>
    <row r="812">
      <c r="A812">
        <f>TRIM(SUBSTITUTE(INDEX('Term investments'!$A:$A,ROW())&amp;""," "," "))</f>
        <v/>
      </c>
      <c r="B812">
        <f>TRIM(SUBSTITUTE(INDEX('Term investments'!$B:$B,ROW())&amp;""," "," "))</f>
        <v/>
      </c>
      <c r="C812">
        <f>TRIM(SUBSTITUTE(INDEX('Term investments'!$C:$C,ROW())&amp;""," "," "))</f>
        <v/>
      </c>
      <c r="D812">
        <f>IFERROR(--INDEX('Term investments'!$D:$D,ROW()),0)</f>
        <v/>
      </c>
      <c r="E812">
        <f>IFERROR(--INDEX('Term investments'!$E:$E,ROW()),0)</f>
        <v/>
      </c>
      <c r="F812">
        <f>IFERROR(--INDEX('Term investments'!$F:$F,ROW()),0)</f>
        <v/>
      </c>
      <c r="G812">
        <f>IFERROR(IF(--INDEX('Term investments'!$G:$G,ROW())&gt;=1,--INDEX('Term investments'!$G:$G,ROW())/100,--INDEX('Term investments'!$G:$G,ROW())),0)</f>
        <v/>
      </c>
      <c r="H812">
        <f>IFERROR(--INDEX('Term investments'!$H:$H,ROW()),0)</f>
        <v/>
      </c>
      <c r="I812">
        <f>IF(ISNUMBER(INDEX('Term investments'!$G:$G,ROW())),1,0)</f>
        <v/>
      </c>
      <c r="J812">
        <f>TRIM(SUBSTITUTE(INDEX('Call accounts and MMFs'!$A:$A,ROW())&amp;""," "," "))</f>
        <v/>
      </c>
      <c r="K812">
        <f>TRIM(SUBSTITUTE(INDEX('Call accounts and MMFs'!$B:$B,ROW())&amp;""," "," "))</f>
        <v/>
      </c>
      <c r="L812">
        <f>TRIM(SUBSTITUTE(INDEX('Call accounts and MMFs'!$C:$C,ROW())&amp;""," "," "))</f>
        <v/>
      </c>
      <c r="M812">
        <f>IFERROR(--INDEX('Call accounts and MMFs'!$D:$D,ROW()),0)</f>
        <v/>
      </c>
      <c r="N812">
        <f>IFERROR(IF(--INDEX('Call accounts and MMFs'!$E:$E,ROW())&gt;=1,--INDEX('Call accounts and MMFs'!$E:$E,ROW())/100,--INDEX('Call accounts and MMFs'!$E:$E,ROW())),0)</f>
        <v/>
      </c>
      <c r="O812">
        <f>IFERROR(--INDEX('Call accounts and MMFs'!$F:$F,ROW()),0)</f>
        <v/>
      </c>
      <c r="P812">
        <f>IF(ISNUMBER(INDEX('Call accounts and MMFs'!$E:$E,ROW())),1,0)</f>
        <v/>
      </c>
      <c r="Q812">
        <f>TRIM(SUBSTITUTE(INDEX('Pooled funds'!$B:$B,ROW())&amp;""," "," "))</f>
        <v/>
      </c>
      <c r="R812">
        <f>IFERROR(--INDEX('Pooled funds'!$C:$C,ROW()),0)</f>
        <v/>
      </c>
      <c r="S812">
        <f>IFERROR(--INDEX('Pooled funds'!$D:$D,ROW()),0)</f>
        <v/>
      </c>
      <c r="T812">
        <f>IFERROR(IF(--INDEX('Pooled funds'!$E:$E,ROW())&gt;=1,--INDEX('Pooled funds'!$E:$E,ROW())/100,--INDEX('Pooled funds'!$E:$E,ROW())),0)</f>
        <v/>
      </c>
      <c r="U812">
        <f>IF(ISNUMBER(INDEX('Pooled funds'!$E:$E,ROW())),1,0)</f>
        <v/>
      </c>
      <c r="V812">
        <f>TRIM(SUBSTITUTE(INDEX('Loans'!$A:$A,ROW())&amp;""," "," "))</f>
        <v/>
      </c>
      <c r="W812">
        <f>TRIM(SUBSTITUTE(INDEX('Loans'!$B:$B,ROW())&amp;""," "," "))</f>
        <v/>
      </c>
      <c r="X812">
        <f>TRIM(SUBSTITUTE(INDEX('Loans'!$C:$C,ROW())&amp;""," "," "))</f>
        <v/>
      </c>
      <c r="Y812">
        <f>IFERROR(--INDEX('Loans'!$D:$D,ROW()),0)</f>
        <v/>
      </c>
      <c r="Z812">
        <f>IFERROR(--INDEX('Loans'!$E:$E,ROW()),0)</f>
        <v/>
      </c>
      <c r="AA812">
        <f>IFERROR(--INDEX('Loans'!$F:$F,ROW()),0)</f>
        <v/>
      </c>
      <c r="AB812">
        <f>IFERROR(IF(--INDEX('Loans'!$G:$G,ROW())&gt;=1,--INDEX('Loans'!$G:$G,ROW())/100,--INDEX('Loans'!$G:$G,ROW())),0)</f>
        <v/>
      </c>
      <c r="AC812">
        <f>TRIM(SUBSTITUTE(INDEX('Loans'!$H:$H,ROW())&amp;""," "," "))</f>
        <v/>
      </c>
      <c r="AD812">
        <f>TRIM(SUBSTITUTE(INDEX('Loans'!$I:$I,ROW())&amp;""," "," "))</f>
        <v/>
      </c>
      <c r="AE812">
        <f>IFERROR(--INDEX('Loans'!$J:$J,ROW()),0)</f>
        <v/>
      </c>
      <c r="AF812">
        <f>TRIM(SUBSTITUTE(INDEX('Loans'!$K:$K,ROW())&amp;""," "," "))</f>
        <v/>
      </c>
      <c r="AG812">
        <f>IFERROR(--INDEX('Loans'!$L:$L,ROW()),0)</f>
        <v/>
      </c>
      <c r="AH812">
        <f>IF(ISNUMBER(INDEX('Loans'!$G:$G,ROW())),1,0)</f>
        <v/>
      </c>
    </row>
    <row r="813">
      <c r="A813">
        <f>TRIM(SUBSTITUTE(INDEX('Term investments'!$A:$A,ROW())&amp;""," "," "))</f>
        <v/>
      </c>
      <c r="B813">
        <f>TRIM(SUBSTITUTE(INDEX('Term investments'!$B:$B,ROW())&amp;""," "," "))</f>
        <v/>
      </c>
      <c r="C813">
        <f>TRIM(SUBSTITUTE(INDEX('Term investments'!$C:$C,ROW())&amp;""," "," "))</f>
        <v/>
      </c>
      <c r="D813">
        <f>IFERROR(--INDEX('Term investments'!$D:$D,ROW()),0)</f>
        <v/>
      </c>
      <c r="E813">
        <f>IFERROR(--INDEX('Term investments'!$E:$E,ROW()),0)</f>
        <v/>
      </c>
      <c r="F813">
        <f>IFERROR(--INDEX('Term investments'!$F:$F,ROW()),0)</f>
        <v/>
      </c>
      <c r="G813">
        <f>IFERROR(IF(--INDEX('Term investments'!$G:$G,ROW())&gt;=1,--INDEX('Term investments'!$G:$G,ROW())/100,--INDEX('Term investments'!$G:$G,ROW())),0)</f>
        <v/>
      </c>
      <c r="H813">
        <f>IFERROR(--INDEX('Term investments'!$H:$H,ROW()),0)</f>
        <v/>
      </c>
      <c r="I813">
        <f>IF(ISNUMBER(INDEX('Term investments'!$G:$G,ROW())),1,0)</f>
        <v/>
      </c>
      <c r="J813">
        <f>TRIM(SUBSTITUTE(INDEX('Call accounts and MMFs'!$A:$A,ROW())&amp;""," "," "))</f>
        <v/>
      </c>
      <c r="K813">
        <f>TRIM(SUBSTITUTE(INDEX('Call accounts and MMFs'!$B:$B,ROW())&amp;""," "," "))</f>
        <v/>
      </c>
      <c r="L813">
        <f>TRIM(SUBSTITUTE(INDEX('Call accounts and MMFs'!$C:$C,ROW())&amp;""," "," "))</f>
        <v/>
      </c>
      <c r="M813">
        <f>IFERROR(--INDEX('Call accounts and MMFs'!$D:$D,ROW()),0)</f>
        <v/>
      </c>
      <c r="N813">
        <f>IFERROR(IF(--INDEX('Call accounts and MMFs'!$E:$E,ROW())&gt;=1,--INDEX('Call accounts and MMFs'!$E:$E,ROW())/100,--INDEX('Call accounts and MMFs'!$E:$E,ROW())),0)</f>
        <v/>
      </c>
      <c r="O813">
        <f>IFERROR(--INDEX('Call accounts and MMFs'!$F:$F,ROW()),0)</f>
        <v/>
      </c>
      <c r="P813">
        <f>IF(ISNUMBER(INDEX('Call accounts and MMFs'!$E:$E,ROW())),1,0)</f>
        <v/>
      </c>
      <c r="Q813">
        <f>TRIM(SUBSTITUTE(INDEX('Pooled funds'!$B:$B,ROW())&amp;""," "," "))</f>
        <v/>
      </c>
      <c r="R813">
        <f>IFERROR(--INDEX('Pooled funds'!$C:$C,ROW()),0)</f>
        <v/>
      </c>
      <c r="S813">
        <f>IFERROR(--INDEX('Pooled funds'!$D:$D,ROW()),0)</f>
        <v/>
      </c>
      <c r="T813">
        <f>IFERROR(IF(--INDEX('Pooled funds'!$E:$E,ROW())&gt;=1,--INDEX('Pooled funds'!$E:$E,ROW())/100,--INDEX('Pooled funds'!$E:$E,ROW())),0)</f>
        <v/>
      </c>
      <c r="U813">
        <f>IF(ISNUMBER(INDEX('Pooled funds'!$E:$E,ROW())),1,0)</f>
        <v/>
      </c>
      <c r="V813">
        <f>TRIM(SUBSTITUTE(INDEX('Loans'!$A:$A,ROW())&amp;""," "," "))</f>
        <v/>
      </c>
      <c r="W813">
        <f>TRIM(SUBSTITUTE(INDEX('Loans'!$B:$B,ROW())&amp;""," "," "))</f>
        <v/>
      </c>
      <c r="X813">
        <f>TRIM(SUBSTITUTE(INDEX('Loans'!$C:$C,ROW())&amp;""," "," "))</f>
        <v/>
      </c>
      <c r="Y813">
        <f>IFERROR(--INDEX('Loans'!$D:$D,ROW()),0)</f>
        <v/>
      </c>
      <c r="Z813">
        <f>IFERROR(--INDEX('Loans'!$E:$E,ROW()),0)</f>
        <v/>
      </c>
      <c r="AA813">
        <f>IFERROR(--INDEX('Loans'!$F:$F,ROW()),0)</f>
        <v/>
      </c>
      <c r="AB813">
        <f>IFERROR(IF(--INDEX('Loans'!$G:$G,ROW())&gt;=1,--INDEX('Loans'!$G:$G,ROW())/100,--INDEX('Loans'!$G:$G,ROW())),0)</f>
        <v/>
      </c>
      <c r="AC813">
        <f>TRIM(SUBSTITUTE(INDEX('Loans'!$H:$H,ROW())&amp;""," "," "))</f>
        <v/>
      </c>
      <c r="AD813">
        <f>TRIM(SUBSTITUTE(INDEX('Loans'!$I:$I,ROW())&amp;""," "," "))</f>
        <v/>
      </c>
      <c r="AE813">
        <f>IFERROR(--INDEX('Loans'!$J:$J,ROW()),0)</f>
        <v/>
      </c>
      <c r="AF813">
        <f>TRIM(SUBSTITUTE(INDEX('Loans'!$K:$K,ROW())&amp;""," "," "))</f>
        <v/>
      </c>
      <c r="AG813">
        <f>IFERROR(--INDEX('Loans'!$L:$L,ROW()),0)</f>
        <v/>
      </c>
      <c r="AH813">
        <f>IF(ISNUMBER(INDEX('Loans'!$G:$G,ROW())),1,0)</f>
        <v/>
      </c>
    </row>
    <row r="814">
      <c r="A814">
        <f>TRIM(SUBSTITUTE(INDEX('Term investments'!$A:$A,ROW())&amp;""," "," "))</f>
        <v/>
      </c>
      <c r="B814">
        <f>TRIM(SUBSTITUTE(INDEX('Term investments'!$B:$B,ROW())&amp;""," "," "))</f>
        <v/>
      </c>
      <c r="C814">
        <f>TRIM(SUBSTITUTE(INDEX('Term investments'!$C:$C,ROW())&amp;""," "," "))</f>
        <v/>
      </c>
      <c r="D814">
        <f>IFERROR(--INDEX('Term investments'!$D:$D,ROW()),0)</f>
        <v/>
      </c>
      <c r="E814">
        <f>IFERROR(--INDEX('Term investments'!$E:$E,ROW()),0)</f>
        <v/>
      </c>
      <c r="F814">
        <f>IFERROR(--INDEX('Term investments'!$F:$F,ROW()),0)</f>
        <v/>
      </c>
      <c r="G814">
        <f>IFERROR(IF(--INDEX('Term investments'!$G:$G,ROW())&gt;=1,--INDEX('Term investments'!$G:$G,ROW())/100,--INDEX('Term investments'!$G:$G,ROW())),0)</f>
        <v/>
      </c>
      <c r="H814">
        <f>IFERROR(--INDEX('Term investments'!$H:$H,ROW()),0)</f>
        <v/>
      </c>
      <c r="I814">
        <f>IF(ISNUMBER(INDEX('Term investments'!$G:$G,ROW())),1,0)</f>
        <v/>
      </c>
      <c r="J814">
        <f>TRIM(SUBSTITUTE(INDEX('Call accounts and MMFs'!$A:$A,ROW())&amp;""," "," "))</f>
        <v/>
      </c>
      <c r="K814">
        <f>TRIM(SUBSTITUTE(INDEX('Call accounts and MMFs'!$B:$B,ROW())&amp;""," "," "))</f>
        <v/>
      </c>
      <c r="L814">
        <f>TRIM(SUBSTITUTE(INDEX('Call accounts and MMFs'!$C:$C,ROW())&amp;""," "," "))</f>
        <v/>
      </c>
      <c r="M814">
        <f>IFERROR(--INDEX('Call accounts and MMFs'!$D:$D,ROW()),0)</f>
        <v/>
      </c>
      <c r="N814">
        <f>IFERROR(IF(--INDEX('Call accounts and MMFs'!$E:$E,ROW())&gt;=1,--INDEX('Call accounts and MMFs'!$E:$E,ROW())/100,--INDEX('Call accounts and MMFs'!$E:$E,ROW())),0)</f>
        <v/>
      </c>
      <c r="O814">
        <f>IFERROR(--INDEX('Call accounts and MMFs'!$F:$F,ROW()),0)</f>
        <v/>
      </c>
      <c r="P814">
        <f>IF(ISNUMBER(INDEX('Call accounts and MMFs'!$E:$E,ROW())),1,0)</f>
        <v/>
      </c>
      <c r="Q814">
        <f>TRIM(SUBSTITUTE(INDEX('Pooled funds'!$B:$B,ROW())&amp;""," "," "))</f>
        <v/>
      </c>
      <c r="R814">
        <f>IFERROR(--INDEX('Pooled funds'!$C:$C,ROW()),0)</f>
        <v/>
      </c>
      <c r="S814">
        <f>IFERROR(--INDEX('Pooled funds'!$D:$D,ROW()),0)</f>
        <v/>
      </c>
      <c r="T814">
        <f>IFERROR(IF(--INDEX('Pooled funds'!$E:$E,ROW())&gt;=1,--INDEX('Pooled funds'!$E:$E,ROW())/100,--INDEX('Pooled funds'!$E:$E,ROW())),0)</f>
        <v/>
      </c>
      <c r="U814">
        <f>IF(ISNUMBER(INDEX('Pooled funds'!$E:$E,ROW())),1,0)</f>
        <v/>
      </c>
      <c r="V814">
        <f>TRIM(SUBSTITUTE(INDEX('Loans'!$A:$A,ROW())&amp;""," "," "))</f>
        <v/>
      </c>
      <c r="W814">
        <f>TRIM(SUBSTITUTE(INDEX('Loans'!$B:$B,ROW())&amp;""," "," "))</f>
        <v/>
      </c>
      <c r="X814">
        <f>TRIM(SUBSTITUTE(INDEX('Loans'!$C:$C,ROW())&amp;""," "," "))</f>
        <v/>
      </c>
      <c r="Y814">
        <f>IFERROR(--INDEX('Loans'!$D:$D,ROW()),0)</f>
        <v/>
      </c>
      <c r="Z814">
        <f>IFERROR(--INDEX('Loans'!$E:$E,ROW()),0)</f>
        <v/>
      </c>
      <c r="AA814">
        <f>IFERROR(--INDEX('Loans'!$F:$F,ROW()),0)</f>
        <v/>
      </c>
      <c r="AB814">
        <f>IFERROR(IF(--INDEX('Loans'!$G:$G,ROW())&gt;=1,--INDEX('Loans'!$G:$G,ROW())/100,--INDEX('Loans'!$G:$G,ROW())),0)</f>
        <v/>
      </c>
      <c r="AC814">
        <f>TRIM(SUBSTITUTE(INDEX('Loans'!$H:$H,ROW())&amp;""," "," "))</f>
        <v/>
      </c>
      <c r="AD814">
        <f>TRIM(SUBSTITUTE(INDEX('Loans'!$I:$I,ROW())&amp;""," "," "))</f>
        <v/>
      </c>
      <c r="AE814">
        <f>IFERROR(--INDEX('Loans'!$J:$J,ROW()),0)</f>
        <v/>
      </c>
      <c r="AF814">
        <f>TRIM(SUBSTITUTE(INDEX('Loans'!$K:$K,ROW())&amp;""," "," "))</f>
        <v/>
      </c>
      <c r="AG814">
        <f>IFERROR(--INDEX('Loans'!$L:$L,ROW()),0)</f>
        <v/>
      </c>
      <c r="AH814">
        <f>IF(ISNUMBER(INDEX('Loans'!$G:$G,ROW())),1,0)</f>
        <v/>
      </c>
    </row>
    <row r="815">
      <c r="A815">
        <f>TRIM(SUBSTITUTE(INDEX('Term investments'!$A:$A,ROW())&amp;""," "," "))</f>
        <v/>
      </c>
      <c r="B815">
        <f>TRIM(SUBSTITUTE(INDEX('Term investments'!$B:$B,ROW())&amp;""," "," "))</f>
        <v/>
      </c>
      <c r="C815">
        <f>TRIM(SUBSTITUTE(INDEX('Term investments'!$C:$C,ROW())&amp;""," "," "))</f>
        <v/>
      </c>
      <c r="D815">
        <f>IFERROR(--INDEX('Term investments'!$D:$D,ROW()),0)</f>
        <v/>
      </c>
      <c r="E815">
        <f>IFERROR(--INDEX('Term investments'!$E:$E,ROW()),0)</f>
        <v/>
      </c>
      <c r="F815">
        <f>IFERROR(--INDEX('Term investments'!$F:$F,ROW()),0)</f>
        <v/>
      </c>
      <c r="G815">
        <f>IFERROR(IF(--INDEX('Term investments'!$G:$G,ROW())&gt;=1,--INDEX('Term investments'!$G:$G,ROW())/100,--INDEX('Term investments'!$G:$G,ROW())),0)</f>
        <v/>
      </c>
      <c r="H815">
        <f>IFERROR(--INDEX('Term investments'!$H:$H,ROW()),0)</f>
        <v/>
      </c>
      <c r="I815">
        <f>IF(ISNUMBER(INDEX('Term investments'!$G:$G,ROW())),1,0)</f>
        <v/>
      </c>
      <c r="J815">
        <f>TRIM(SUBSTITUTE(INDEX('Call accounts and MMFs'!$A:$A,ROW())&amp;""," "," "))</f>
        <v/>
      </c>
      <c r="K815">
        <f>TRIM(SUBSTITUTE(INDEX('Call accounts and MMFs'!$B:$B,ROW())&amp;""," "," "))</f>
        <v/>
      </c>
      <c r="L815">
        <f>TRIM(SUBSTITUTE(INDEX('Call accounts and MMFs'!$C:$C,ROW())&amp;""," "," "))</f>
        <v/>
      </c>
      <c r="M815">
        <f>IFERROR(--INDEX('Call accounts and MMFs'!$D:$D,ROW()),0)</f>
        <v/>
      </c>
      <c r="N815">
        <f>IFERROR(IF(--INDEX('Call accounts and MMFs'!$E:$E,ROW())&gt;=1,--INDEX('Call accounts and MMFs'!$E:$E,ROW())/100,--INDEX('Call accounts and MMFs'!$E:$E,ROW())),0)</f>
        <v/>
      </c>
      <c r="O815">
        <f>IFERROR(--INDEX('Call accounts and MMFs'!$F:$F,ROW()),0)</f>
        <v/>
      </c>
      <c r="P815">
        <f>IF(ISNUMBER(INDEX('Call accounts and MMFs'!$E:$E,ROW())),1,0)</f>
        <v/>
      </c>
      <c r="Q815">
        <f>TRIM(SUBSTITUTE(INDEX('Pooled funds'!$B:$B,ROW())&amp;""," "," "))</f>
        <v/>
      </c>
      <c r="R815">
        <f>IFERROR(--INDEX('Pooled funds'!$C:$C,ROW()),0)</f>
        <v/>
      </c>
      <c r="S815">
        <f>IFERROR(--INDEX('Pooled funds'!$D:$D,ROW()),0)</f>
        <v/>
      </c>
      <c r="T815">
        <f>IFERROR(IF(--INDEX('Pooled funds'!$E:$E,ROW())&gt;=1,--INDEX('Pooled funds'!$E:$E,ROW())/100,--INDEX('Pooled funds'!$E:$E,ROW())),0)</f>
        <v/>
      </c>
      <c r="U815">
        <f>IF(ISNUMBER(INDEX('Pooled funds'!$E:$E,ROW())),1,0)</f>
        <v/>
      </c>
      <c r="V815">
        <f>TRIM(SUBSTITUTE(INDEX('Loans'!$A:$A,ROW())&amp;""," "," "))</f>
        <v/>
      </c>
      <c r="W815">
        <f>TRIM(SUBSTITUTE(INDEX('Loans'!$B:$B,ROW())&amp;""," "," "))</f>
        <v/>
      </c>
      <c r="X815">
        <f>TRIM(SUBSTITUTE(INDEX('Loans'!$C:$C,ROW())&amp;""," "," "))</f>
        <v/>
      </c>
      <c r="Y815">
        <f>IFERROR(--INDEX('Loans'!$D:$D,ROW()),0)</f>
        <v/>
      </c>
      <c r="Z815">
        <f>IFERROR(--INDEX('Loans'!$E:$E,ROW()),0)</f>
        <v/>
      </c>
      <c r="AA815">
        <f>IFERROR(--INDEX('Loans'!$F:$F,ROW()),0)</f>
        <v/>
      </c>
      <c r="AB815">
        <f>IFERROR(IF(--INDEX('Loans'!$G:$G,ROW())&gt;=1,--INDEX('Loans'!$G:$G,ROW())/100,--INDEX('Loans'!$G:$G,ROW())),0)</f>
        <v/>
      </c>
      <c r="AC815">
        <f>TRIM(SUBSTITUTE(INDEX('Loans'!$H:$H,ROW())&amp;""," "," "))</f>
        <v/>
      </c>
      <c r="AD815">
        <f>TRIM(SUBSTITUTE(INDEX('Loans'!$I:$I,ROW())&amp;""," "," "))</f>
        <v/>
      </c>
      <c r="AE815">
        <f>IFERROR(--INDEX('Loans'!$J:$J,ROW()),0)</f>
        <v/>
      </c>
      <c r="AF815">
        <f>TRIM(SUBSTITUTE(INDEX('Loans'!$K:$K,ROW())&amp;""," "," "))</f>
        <v/>
      </c>
      <c r="AG815">
        <f>IFERROR(--INDEX('Loans'!$L:$L,ROW()),0)</f>
        <v/>
      </c>
      <c r="AH815">
        <f>IF(ISNUMBER(INDEX('Loans'!$G:$G,ROW())),1,0)</f>
        <v/>
      </c>
    </row>
    <row r="816">
      <c r="A816">
        <f>TRIM(SUBSTITUTE(INDEX('Term investments'!$A:$A,ROW())&amp;""," "," "))</f>
        <v/>
      </c>
      <c r="B816">
        <f>TRIM(SUBSTITUTE(INDEX('Term investments'!$B:$B,ROW())&amp;""," "," "))</f>
        <v/>
      </c>
      <c r="C816">
        <f>TRIM(SUBSTITUTE(INDEX('Term investments'!$C:$C,ROW())&amp;""," "," "))</f>
        <v/>
      </c>
      <c r="D816">
        <f>IFERROR(--INDEX('Term investments'!$D:$D,ROW()),0)</f>
        <v/>
      </c>
      <c r="E816">
        <f>IFERROR(--INDEX('Term investments'!$E:$E,ROW()),0)</f>
        <v/>
      </c>
      <c r="F816">
        <f>IFERROR(--INDEX('Term investments'!$F:$F,ROW()),0)</f>
        <v/>
      </c>
      <c r="G816">
        <f>IFERROR(IF(--INDEX('Term investments'!$G:$G,ROW())&gt;=1,--INDEX('Term investments'!$G:$G,ROW())/100,--INDEX('Term investments'!$G:$G,ROW())),0)</f>
        <v/>
      </c>
      <c r="H816">
        <f>IFERROR(--INDEX('Term investments'!$H:$H,ROW()),0)</f>
        <v/>
      </c>
      <c r="I816">
        <f>IF(ISNUMBER(INDEX('Term investments'!$G:$G,ROW())),1,0)</f>
        <v/>
      </c>
      <c r="J816">
        <f>TRIM(SUBSTITUTE(INDEX('Call accounts and MMFs'!$A:$A,ROW())&amp;""," "," "))</f>
        <v/>
      </c>
      <c r="K816">
        <f>TRIM(SUBSTITUTE(INDEX('Call accounts and MMFs'!$B:$B,ROW())&amp;""," "," "))</f>
        <v/>
      </c>
      <c r="L816">
        <f>TRIM(SUBSTITUTE(INDEX('Call accounts and MMFs'!$C:$C,ROW())&amp;""," "," "))</f>
        <v/>
      </c>
      <c r="M816">
        <f>IFERROR(--INDEX('Call accounts and MMFs'!$D:$D,ROW()),0)</f>
        <v/>
      </c>
      <c r="N816">
        <f>IFERROR(IF(--INDEX('Call accounts and MMFs'!$E:$E,ROW())&gt;=1,--INDEX('Call accounts and MMFs'!$E:$E,ROW())/100,--INDEX('Call accounts and MMFs'!$E:$E,ROW())),0)</f>
        <v/>
      </c>
      <c r="O816">
        <f>IFERROR(--INDEX('Call accounts and MMFs'!$F:$F,ROW()),0)</f>
        <v/>
      </c>
      <c r="P816">
        <f>IF(ISNUMBER(INDEX('Call accounts and MMFs'!$E:$E,ROW())),1,0)</f>
        <v/>
      </c>
      <c r="Q816">
        <f>TRIM(SUBSTITUTE(INDEX('Pooled funds'!$B:$B,ROW())&amp;""," "," "))</f>
        <v/>
      </c>
      <c r="R816">
        <f>IFERROR(--INDEX('Pooled funds'!$C:$C,ROW()),0)</f>
        <v/>
      </c>
      <c r="S816">
        <f>IFERROR(--INDEX('Pooled funds'!$D:$D,ROW()),0)</f>
        <v/>
      </c>
      <c r="T816">
        <f>IFERROR(IF(--INDEX('Pooled funds'!$E:$E,ROW())&gt;=1,--INDEX('Pooled funds'!$E:$E,ROW())/100,--INDEX('Pooled funds'!$E:$E,ROW())),0)</f>
        <v/>
      </c>
      <c r="U816">
        <f>IF(ISNUMBER(INDEX('Pooled funds'!$E:$E,ROW())),1,0)</f>
        <v/>
      </c>
      <c r="V816">
        <f>TRIM(SUBSTITUTE(INDEX('Loans'!$A:$A,ROW())&amp;""," "," "))</f>
        <v/>
      </c>
      <c r="W816">
        <f>TRIM(SUBSTITUTE(INDEX('Loans'!$B:$B,ROW())&amp;""," "," "))</f>
        <v/>
      </c>
      <c r="X816">
        <f>TRIM(SUBSTITUTE(INDEX('Loans'!$C:$C,ROW())&amp;""," "," "))</f>
        <v/>
      </c>
      <c r="Y816">
        <f>IFERROR(--INDEX('Loans'!$D:$D,ROW()),0)</f>
        <v/>
      </c>
      <c r="Z816">
        <f>IFERROR(--INDEX('Loans'!$E:$E,ROW()),0)</f>
        <v/>
      </c>
      <c r="AA816">
        <f>IFERROR(--INDEX('Loans'!$F:$F,ROW()),0)</f>
        <v/>
      </c>
      <c r="AB816">
        <f>IFERROR(IF(--INDEX('Loans'!$G:$G,ROW())&gt;=1,--INDEX('Loans'!$G:$G,ROW())/100,--INDEX('Loans'!$G:$G,ROW())),0)</f>
        <v/>
      </c>
      <c r="AC816">
        <f>TRIM(SUBSTITUTE(INDEX('Loans'!$H:$H,ROW())&amp;""," "," "))</f>
        <v/>
      </c>
      <c r="AD816">
        <f>TRIM(SUBSTITUTE(INDEX('Loans'!$I:$I,ROW())&amp;""," "," "))</f>
        <v/>
      </c>
      <c r="AE816">
        <f>IFERROR(--INDEX('Loans'!$J:$J,ROW()),0)</f>
        <v/>
      </c>
      <c r="AF816">
        <f>TRIM(SUBSTITUTE(INDEX('Loans'!$K:$K,ROW())&amp;""," "," "))</f>
        <v/>
      </c>
      <c r="AG816">
        <f>IFERROR(--INDEX('Loans'!$L:$L,ROW()),0)</f>
        <v/>
      </c>
      <c r="AH816">
        <f>IF(ISNUMBER(INDEX('Loans'!$G:$G,ROW())),1,0)</f>
        <v/>
      </c>
    </row>
    <row r="817">
      <c r="A817">
        <f>TRIM(SUBSTITUTE(INDEX('Term investments'!$A:$A,ROW())&amp;""," "," "))</f>
        <v/>
      </c>
      <c r="B817">
        <f>TRIM(SUBSTITUTE(INDEX('Term investments'!$B:$B,ROW())&amp;""," "," "))</f>
        <v/>
      </c>
      <c r="C817">
        <f>TRIM(SUBSTITUTE(INDEX('Term investments'!$C:$C,ROW())&amp;""," "," "))</f>
        <v/>
      </c>
      <c r="D817">
        <f>IFERROR(--INDEX('Term investments'!$D:$D,ROW()),0)</f>
        <v/>
      </c>
      <c r="E817">
        <f>IFERROR(--INDEX('Term investments'!$E:$E,ROW()),0)</f>
        <v/>
      </c>
      <c r="F817">
        <f>IFERROR(--INDEX('Term investments'!$F:$F,ROW()),0)</f>
        <v/>
      </c>
      <c r="G817">
        <f>IFERROR(IF(--INDEX('Term investments'!$G:$G,ROW())&gt;=1,--INDEX('Term investments'!$G:$G,ROW())/100,--INDEX('Term investments'!$G:$G,ROW())),0)</f>
        <v/>
      </c>
      <c r="H817">
        <f>IFERROR(--INDEX('Term investments'!$H:$H,ROW()),0)</f>
        <v/>
      </c>
      <c r="I817">
        <f>IF(ISNUMBER(INDEX('Term investments'!$G:$G,ROW())),1,0)</f>
        <v/>
      </c>
      <c r="J817">
        <f>TRIM(SUBSTITUTE(INDEX('Call accounts and MMFs'!$A:$A,ROW())&amp;""," "," "))</f>
        <v/>
      </c>
      <c r="K817">
        <f>TRIM(SUBSTITUTE(INDEX('Call accounts and MMFs'!$B:$B,ROW())&amp;""," "," "))</f>
        <v/>
      </c>
      <c r="L817">
        <f>TRIM(SUBSTITUTE(INDEX('Call accounts and MMFs'!$C:$C,ROW())&amp;""," "," "))</f>
        <v/>
      </c>
      <c r="M817">
        <f>IFERROR(--INDEX('Call accounts and MMFs'!$D:$D,ROW()),0)</f>
        <v/>
      </c>
      <c r="N817">
        <f>IFERROR(IF(--INDEX('Call accounts and MMFs'!$E:$E,ROW())&gt;=1,--INDEX('Call accounts and MMFs'!$E:$E,ROW())/100,--INDEX('Call accounts and MMFs'!$E:$E,ROW())),0)</f>
        <v/>
      </c>
      <c r="O817">
        <f>IFERROR(--INDEX('Call accounts and MMFs'!$F:$F,ROW()),0)</f>
        <v/>
      </c>
      <c r="P817">
        <f>IF(ISNUMBER(INDEX('Call accounts and MMFs'!$E:$E,ROW())),1,0)</f>
        <v/>
      </c>
      <c r="Q817">
        <f>TRIM(SUBSTITUTE(INDEX('Pooled funds'!$B:$B,ROW())&amp;""," "," "))</f>
        <v/>
      </c>
      <c r="R817">
        <f>IFERROR(--INDEX('Pooled funds'!$C:$C,ROW()),0)</f>
        <v/>
      </c>
      <c r="S817">
        <f>IFERROR(--INDEX('Pooled funds'!$D:$D,ROW()),0)</f>
        <v/>
      </c>
      <c r="T817">
        <f>IFERROR(IF(--INDEX('Pooled funds'!$E:$E,ROW())&gt;=1,--INDEX('Pooled funds'!$E:$E,ROW())/100,--INDEX('Pooled funds'!$E:$E,ROW())),0)</f>
        <v/>
      </c>
      <c r="U817">
        <f>IF(ISNUMBER(INDEX('Pooled funds'!$E:$E,ROW())),1,0)</f>
        <v/>
      </c>
      <c r="V817">
        <f>TRIM(SUBSTITUTE(INDEX('Loans'!$A:$A,ROW())&amp;""," "," "))</f>
        <v/>
      </c>
      <c r="W817">
        <f>TRIM(SUBSTITUTE(INDEX('Loans'!$B:$B,ROW())&amp;""," "," "))</f>
        <v/>
      </c>
      <c r="X817">
        <f>TRIM(SUBSTITUTE(INDEX('Loans'!$C:$C,ROW())&amp;""," "," "))</f>
        <v/>
      </c>
      <c r="Y817">
        <f>IFERROR(--INDEX('Loans'!$D:$D,ROW()),0)</f>
        <v/>
      </c>
      <c r="Z817">
        <f>IFERROR(--INDEX('Loans'!$E:$E,ROW()),0)</f>
        <v/>
      </c>
      <c r="AA817">
        <f>IFERROR(--INDEX('Loans'!$F:$F,ROW()),0)</f>
        <v/>
      </c>
      <c r="AB817">
        <f>IFERROR(IF(--INDEX('Loans'!$G:$G,ROW())&gt;=1,--INDEX('Loans'!$G:$G,ROW())/100,--INDEX('Loans'!$G:$G,ROW())),0)</f>
        <v/>
      </c>
      <c r="AC817">
        <f>TRIM(SUBSTITUTE(INDEX('Loans'!$H:$H,ROW())&amp;""," "," "))</f>
        <v/>
      </c>
      <c r="AD817">
        <f>TRIM(SUBSTITUTE(INDEX('Loans'!$I:$I,ROW())&amp;""," "," "))</f>
        <v/>
      </c>
      <c r="AE817">
        <f>IFERROR(--INDEX('Loans'!$J:$J,ROW()),0)</f>
        <v/>
      </c>
      <c r="AF817">
        <f>TRIM(SUBSTITUTE(INDEX('Loans'!$K:$K,ROW())&amp;""," "," "))</f>
        <v/>
      </c>
      <c r="AG817">
        <f>IFERROR(--INDEX('Loans'!$L:$L,ROW()),0)</f>
        <v/>
      </c>
      <c r="AH817">
        <f>IF(ISNUMBER(INDEX('Loans'!$G:$G,ROW())),1,0)</f>
        <v/>
      </c>
    </row>
    <row r="818">
      <c r="A818">
        <f>TRIM(SUBSTITUTE(INDEX('Term investments'!$A:$A,ROW())&amp;""," "," "))</f>
        <v/>
      </c>
      <c r="B818">
        <f>TRIM(SUBSTITUTE(INDEX('Term investments'!$B:$B,ROW())&amp;""," "," "))</f>
        <v/>
      </c>
      <c r="C818">
        <f>TRIM(SUBSTITUTE(INDEX('Term investments'!$C:$C,ROW())&amp;""," "," "))</f>
        <v/>
      </c>
      <c r="D818">
        <f>IFERROR(--INDEX('Term investments'!$D:$D,ROW()),0)</f>
        <v/>
      </c>
      <c r="E818">
        <f>IFERROR(--INDEX('Term investments'!$E:$E,ROW()),0)</f>
        <v/>
      </c>
      <c r="F818">
        <f>IFERROR(--INDEX('Term investments'!$F:$F,ROW()),0)</f>
        <v/>
      </c>
      <c r="G818">
        <f>IFERROR(IF(--INDEX('Term investments'!$G:$G,ROW())&gt;=1,--INDEX('Term investments'!$G:$G,ROW())/100,--INDEX('Term investments'!$G:$G,ROW())),0)</f>
        <v/>
      </c>
      <c r="H818">
        <f>IFERROR(--INDEX('Term investments'!$H:$H,ROW()),0)</f>
        <v/>
      </c>
      <c r="I818">
        <f>IF(ISNUMBER(INDEX('Term investments'!$G:$G,ROW())),1,0)</f>
        <v/>
      </c>
      <c r="J818">
        <f>TRIM(SUBSTITUTE(INDEX('Call accounts and MMFs'!$A:$A,ROW())&amp;""," "," "))</f>
        <v/>
      </c>
      <c r="K818">
        <f>TRIM(SUBSTITUTE(INDEX('Call accounts and MMFs'!$B:$B,ROW())&amp;""," "," "))</f>
        <v/>
      </c>
      <c r="L818">
        <f>TRIM(SUBSTITUTE(INDEX('Call accounts and MMFs'!$C:$C,ROW())&amp;""," "," "))</f>
        <v/>
      </c>
      <c r="M818">
        <f>IFERROR(--INDEX('Call accounts and MMFs'!$D:$D,ROW()),0)</f>
        <v/>
      </c>
      <c r="N818">
        <f>IFERROR(IF(--INDEX('Call accounts and MMFs'!$E:$E,ROW())&gt;=1,--INDEX('Call accounts and MMFs'!$E:$E,ROW())/100,--INDEX('Call accounts and MMFs'!$E:$E,ROW())),0)</f>
        <v/>
      </c>
      <c r="O818">
        <f>IFERROR(--INDEX('Call accounts and MMFs'!$F:$F,ROW()),0)</f>
        <v/>
      </c>
      <c r="P818">
        <f>IF(ISNUMBER(INDEX('Call accounts and MMFs'!$E:$E,ROW())),1,0)</f>
        <v/>
      </c>
      <c r="Q818">
        <f>TRIM(SUBSTITUTE(INDEX('Pooled funds'!$B:$B,ROW())&amp;""," "," "))</f>
        <v/>
      </c>
      <c r="R818">
        <f>IFERROR(--INDEX('Pooled funds'!$C:$C,ROW()),0)</f>
        <v/>
      </c>
      <c r="S818">
        <f>IFERROR(--INDEX('Pooled funds'!$D:$D,ROW()),0)</f>
        <v/>
      </c>
      <c r="T818">
        <f>IFERROR(IF(--INDEX('Pooled funds'!$E:$E,ROW())&gt;=1,--INDEX('Pooled funds'!$E:$E,ROW())/100,--INDEX('Pooled funds'!$E:$E,ROW())),0)</f>
        <v/>
      </c>
      <c r="U818">
        <f>IF(ISNUMBER(INDEX('Pooled funds'!$E:$E,ROW())),1,0)</f>
        <v/>
      </c>
      <c r="V818">
        <f>TRIM(SUBSTITUTE(INDEX('Loans'!$A:$A,ROW())&amp;""," "," "))</f>
        <v/>
      </c>
      <c r="W818">
        <f>TRIM(SUBSTITUTE(INDEX('Loans'!$B:$B,ROW())&amp;""," "," "))</f>
        <v/>
      </c>
      <c r="X818">
        <f>TRIM(SUBSTITUTE(INDEX('Loans'!$C:$C,ROW())&amp;""," "," "))</f>
        <v/>
      </c>
      <c r="Y818">
        <f>IFERROR(--INDEX('Loans'!$D:$D,ROW()),0)</f>
        <v/>
      </c>
      <c r="Z818">
        <f>IFERROR(--INDEX('Loans'!$E:$E,ROW()),0)</f>
        <v/>
      </c>
      <c r="AA818">
        <f>IFERROR(--INDEX('Loans'!$F:$F,ROW()),0)</f>
        <v/>
      </c>
      <c r="AB818">
        <f>IFERROR(IF(--INDEX('Loans'!$G:$G,ROW())&gt;=1,--INDEX('Loans'!$G:$G,ROW())/100,--INDEX('Loans'!$G:$G,ROW())),0)</f>
        <v/>
      </c>
      <c r="AC818">
        <f>TRIM(SUBSTITUTE(INDEX('Loans'!$H:$H,ROW())&amp;""," "," "))</f>
        <v/>
      </c>
      <c r="AD818">
        <f>TRIM(SUBSTITUTE(INDEX('Loans'!$I:$I,ROW())&amp;""," "," "))</f>
        <v/>
      </c>
      <c r="AE818">
        <f>IFERROR(--INDEX('Loans'!$J:$J,ROW()),0)</f>
        <v/>
      </c>
      <c r="AF818">
        <f>TRIM(SUBSTITUTE(INDEX('Loans'!$K:$K,ROW())&amp;""," "," "))</f>
        <v/>
      </c>
      <c r="AG818">
        <f>IFERROR(--INDEX('Loans'!$L:$L,ROW()),0)</f>
        <v/>
      </c>
      <c r="AH818">
        <f>IF(ISNUMBER(INDEX('Loans'!$G:$G,ROW())),1,0)</f>
        <v/>
      </c>
    </row>
    <row r="819">
      <c r="A819">
        <f>TRIM(SUBSTITUTE(INDEX('Term investments'!$A:$A,ROW())&amp;""," "," "))</f>
        <v/>
      </c>
      <c r="B819">
        <f>TRIM(SUBSTITUTE(INDEX('Term investments'!$B:$B,ROW())&amp;""," "," "))</f>
        <v/>
      </c>
      <c r="C819">
        <f>TRIM(SUBSTITUTE(INDEX('Term investments'!$C:$C,ROW())&amp;""," "," "))</f>
        <v/>
      </c>
      <c r="D819">
        <f>IFERROR(--INDEX('Term investments'!$D:$D,ROW()),0)</f>
        <v/>
      </c>
      <c r="E819">
        <f>IFERROR(--INDEX('Term investments'!$E:$E,ROW()),0)</f>
        <v/>
      </c>
      <c r="F819">
        <f>IFERROR(--INDEX('Term investments'!$F:$F,ROW()),0)</f>
        <v/>
      </c>
      <c r="G819">
        <f>IFERROR(IF(--INDEX('Term investments'!$G:$G,ROW())&gt;=1,--INDEX('Term investments'!$G:$G,ROW())/100,--INDEX('Term investments'!$G:$G,ROW())),0)</f>
        <v/>
      </c>
      <c r="H819">
        <f>IFERROR(--INDEX('Term investments'!$H:$H,ROW()),0)</f>
        <v/>
      </c>
      <c r="I819">
        <f>IF(ISNUMBER(INDEX('Term investments'!$G:$G,ROW())),1,0)</f>
        <v/>
      </c>
      <c r="J819">
        <f>TRIM(SUBSTITUTE(INDEX('Call accounts and MMFs'!$A:$A,ROW())&amp;""," "," "))</f>
        <v/>
      </c>
      <c r="K819">
        <f>TRIM(SUBSTITUTE(INDEX('Call accounts and MMFs'!$B:$B,ROW())&amp;""," "," "))</f>
        <v/>
      </c>
      <c r="L819">
        <f>TRIM(SUBSTITUTE(INDEX('Call accounts and MMFs'!$C:$C,ROW())&amp;""," "," "))</f>
        <v/>
      </c>
      <c r="M819">
        <f>IFERROR(--INDEX('Call accounts and MMFs'!$D:$D,ROW()),0)</f>
        <v/>
      </c>
      <c r="N819">
        <f>IFERROR(IF(--INDEX('Call accounts and MMFs'!$E:$E,ROW())&gt;=1,--INDEX('Call accounts and MMFs'!$E:$E,ROW())/100,--INDEX('Call accounts and MMFs'!$E:$E,ROW())),0)</f>
        <v/>
      </c>
      <c r="O819">
        <f>IFERROR(--INDEX('Call accounts and MMFs'!$F:$F,ROW()),0)</f>
        <v/>
      </c>
      <c r="P819">
        <f>IF(ISNUMBER(INDEX('Call accounts and MMFs'!$E:$E,ROW())),1,0)</f>
        <v/>
      </c>
      <c r="Q819">
        <f>TRIM(SUBSTITUTE(INDEX('Pooled funds'!$B:$B,ROW())&amp;""," "," "))</f>
        <v/>
      </c>
      <c r="R819">
        <f>IFERROR(--INDEX('Pooled funds'!$C:$C,ROW()),0)</f>
        <v/>
      </c>
      <c r="S819">
        <f>IFERROR(--INDEX('Pooled funds'!$D:$D,ROW()),0)</f>
        <v/>
      </c>
      <c r="T819">
        <f>IFERROR(IF(--INDEX('Pooled funds'!$E:$E,ROW())&gt;=1,--INDEX('Pooled funds'!$E:$E,ROW())/100,--INDEX('Pooled funds'!$E:$E,ROW())),0)</f>
        <v/>
      </c>
      <c r="U819">
        <f>IF(ISNUMBER(INDEX('Pooled funds'!$E:$E,ROW())),1,0)</f>
        <v/>
      </c>
      <c r="V819">
        <f>TRIM(SUBSTITUTE(INDEX('Loans'!$A:$A,ROW())&amp;""," "," "))</f>
        <v/>
      </c>
      <c r="W819">
        <f>TRIM(SUBSTITUTE(INDEX('Loans'!$B:$B,ROW())&amp;""," "," "))</f>
        <v/>
      </c>
      <c r="X819">
        <f>TRIM(SUBSTITUTE(INDEX('Loans'!$C:$C,ROW())&amp;""," "," "))</f>
        <v/>
      </c>
      <c r="Y819">
        <f>IFERROR(--INDEX('Loans'!$D:$D,ROW()),0)</f>
        <v/>
      </c>
      <c r="Z819">
        <f>IFERROR(--INDEX('Loans'!$E:$E,ROW()),0)</f>
        <v/>
      </c>
      <c r="AA819">
        <f>IFERROR(--INDEX('Loans'!$F:$F,ROW()),0)</f>
        <v/>
      </c>
      <c r="AB819">
        <f>IFERROR(IF(--INDEX('Loans'!$G:$G,ROW())&gt;=1,--INDEX('Loans'!$G:$G,ROW())/100,--INDEX('Loans'!$G:$G,ROW())),0)</f>
        <v/>
      </c>
      <c r="AC819">
        <f>TRIM(SUBSTITUTE(INDEX('Loans'!$H:$H,ROW())&amp;""," "," "))</f>
        <v/>
      </c>
      <c r="AD819">
        <f>TRIM(SUBSTITUTE(INDEX('Loans'!$I:$I,ROW())&amp;""," "," "))</f>
        <v/>
      </c>
      <c r="AE819">
        <f>IFERROR(--INDEX('Loans'!$J:$J,ROW()),0)</f>
        <v/>
      </c>
      <c r="AF819">
        <f>TRIM(SUBSTITUTE(INDEX('Loans'!$K:$K,ROW())&amp;""," "," "))</f>
        <v/>
      </c>
      <c r="AG819">
        <f>IFERROR(--INDEX('Loans'!$L:$L,ROW()),0)</f>
        <v/>
      </c>
      <c r="AH819">
        <f>IF(ISNUMBER(INDEX('Loans'!$G:$G,ROW())),1,0)</f>
        <v/>
      </c>
    </row>
    <row r="820">
      <c r="A820">
        <f>TRIM(SUBSTITUTE(INDEX('Term investments'!$A:$A,ROW())&amp;""," "," "))</f>
        <v/>
      </c>
      <c r="B820">
        <f>TRIM(SUBSTITUTE(INDEX('Term investments'!$B:$B,ROW())&amp;""," "," "))</f>
        <v/>
      </c>
      <c r="C820">
        <f>TRIM(SUBSTITUTE(INDEX('Term investments'!$C:$C,ROW())&amp;""," "," "))</f>
        <v/>
      </c>
      <c r="D820">
        <f>IFERROR(--INDEX('Term investments'!$D:$D,ROW()),0)</f>
        <v/>
      </c>
      <c r="E820">
        <f>IFERROR(--INDEX('Term investments'!$E:$E,ROW()),0)</f>
        <v/>
      </c>
      <c r="F820">
        <f>IFERROR(--INDEX('Term investments'!$F:$F,ROW()),0)</f>
        <v/>
      </c>
      <c r="G820">
        <f>IFERROR(IF(--INDEX('Term investments'!$G:$G,ROW())&gt;=1,--INDEX('Term investments'!$G:$G,ROW())/100,--INDEX('Term investments'!$G:$G,ROW())),0)</f>
        <v/>
      </c>
      <c r="H820">
        <f>IFERROR(--INDEX('Term investments'!$H:$H,ROW()),0)</f>
        <v/>
      </c>
      <c r="I820">
        <f>IF(ISNUMBER(INDEX('Term investments'!$G:$G,ROW())),1,0)</f>
        <v/>
      </c>
      <c r="J820">
        <f>TRIM(SUBSTITUTE(INDEX('Call accounts and MMFs'!$A:$A,ROW())&amp;""," "," "))</f>
        <v/>
      </c>
      <c r="K820">
        <f>TRIM(SUBSTITUTE(INDEX('Call accounts and MMFs'!$B:$B,ROW())&amp;""," "," "))</f>
        <v/>
      </c>
      <c r="L820">
        <f>TRIM(SUBSTITUTE(INDEX('Call accounts and MMFs'!$C:$C,ROW())&amp;""," "," "))</f>
        <v/>
      </c>
      <c r="M820">
        <f>IFERROR(--INDEX('Call accounts and MMFs'!$D:$D,ROW()),0)</f>
        <v/>
      </c>
      <c r="N820">
        <f>IFERROR(IF(--INDEX('Call accounts and MMFs'!$E:$E,ROW())&gt;=1,--INDEX('Call accounts and MMFs'!$E:$E,ROW())/100,--INDEX('Call accounts and MMFs'!$E:$E,ROW())),0)</f>
        <v/>
      </c>
      <c r="O820">
        <f>IFERROR(--INDEX('Call accounts and MMFs'!$F:$F,ROW()),0)</f>
        <v/>
      </c>
      <c r="P820">
        <f>IF(ISNUMBER(INDEX('Call accounts and MMFs'!$E:$E,ROW())),1,0)</f>
        <v/>
      </c>
      <c r="Q820">
        <f>TRIM(SUBSTITUTE(INDEX('Pooled funds'!$B:$B,ROW())&amp;""," "," "))</f>
        <v/>
      </c>
      <c r="R820">
        <f>IFERROR(--INDEX('Pooled funds'!$C:$C,ROW()),0)</f>
        <v/>
      </c>
      <c r="S820">
        <f>IFERROR(--INDEX('Pooled funds'!$D:$D,ROW()),0)</f>
        <v/>
      </c>
      <c r="T820">
        <f>IFERROR(IF(--INDEX('Pooled funds'!$E:$E,ROW())&gt;=1,--INDEX('Pooled funds'!$E:$E,ROW())/100,--INDEX('Pooled funds'!$E:$E,ROW())),0)</f>
        <v/>
      </c>
      <c r="U820">
        <f>IF(ISNUMBER(INDEX('Pooled funds'!$E:$E,ROW())),1,0)</f>
        <v/>
      </c>
      <c r="V820">
        <f>TRIM(SUBSTITUTE(INDEX('Loans'!$A:$A,ROW())&amp;""," "," "))</f>
        <v/>
      </c>
      <c r="W820">
        <f>TRIM(SUBSTITUTE(INDEX('Loans'!$B:$B,ROW())&amp;""," "," "))</f>
        <v/>
      </c>
      <c r="X820">
        <f>TRIM(SUBSTITUTE(INDEX('Loans'!$C:$C,ROW())&amp;""," "," "))</f>
        <v/>
      </c>
      <c r="Y820">
        <f>IFERROR(--INDEX('Loans'!$D:$D,ROW()),0)</f>
        <v/>
      </c>
      <c r="Z820">
        <f>IFERROR(--INDEX('Loans'!$E:$E,ROW()),0)</f>
        <v/>
      </c>
      <c r="AA820">
        <f>IFERROR(--INDEX('Loans'!$F:$F,ROW()),0)</f>
        <v/>
      </c>
      <c r="AB820">
        <f>IFERROR(IF(--INDEX('Loans'!$G:$G,ROW())&gt;=1,--INDEX('Loans'!$G:$G,ROW())/100,--INDEX('Loans'!$G:$G,ROW())),0)</f>
        <v/>
      </c>
      <c r="AC820">
        <f>TRIM(SUBSTITUTE(INDEX('Loans'!$H:$H,ROW())&amp;""," "," "))</f>
        <v/>
      </c>
      <c r="AD820">
        <f>TRIM(SUBSTITUTE(INDEX('Loans'!$I:$I,ROW())&amp;""," "," "))</f>
        <v/>
      </c>
      <c r="AE820">
        <f>IFERROR(--INDEX('Loans'!$J:$J,ROW()),0)</f>
        <v/>
      </c>
      <c r="AF820">
        <f>TRIM(SUBSTITUTE(INDEX('Loans'!$K:$K,ROW())&amp;""," "," "))</f>
        <v/>
      </c>
      <c r="AG820">
        <f>IFERROR(--INDEX('Loans'!$L:$L,ROW()),0)</f>
        <v/>
      </c>
      <c r="AH820">
        <f>IF(ISNUMBER(INDEX('Loans'!$G:$G,ROW())),1,0)</f>
        <v/>
      </c>
    </row>
    <row r="821">
      <c r="A821">
        <f>TRIM(SUBSTITUTE(INDEX('Term investments'!$A:$A,ROW())&amp;""," "," "))</f>
        <v/>
      </c>
      <c r="B821">
        <f>TRIM(SUBSTITUTE(INDEX('Term investments'!$B:$B,ROW())&amp;""," "," "))</f>
        <v/>
      </c>
      <c r="C821">
        <f>TRIM(SUBSTITUTE(INDEX('Term investments'!$C:$C,ROW())&amp;""," "," "))</f>
        <v/>
      </c>
      <c r="D821">
        <f>IFERROR(--INDEX('Term investments'!$D:$D,ROW()),0)</f>
        <v/>
      </c>
      <c r="E821">
        <f>IFERROR(--INDEX('Term investments'!$E:$E,ROW()),0)</f>
        <v/>
      </c>
      <c r="F821">
        <f>IFERROR(--INDEX('Term investments'!$F:$F,ROW()),0)</f>
        <v/>
      </c>
      <c r="G821">
        <f>IFERROR(IF(--INDEX('Term investments'!$G:$G,ROW())&gt;=1,--INDEX('Term investments'!$G:$G,ROW())/100,--INDEX('Term investments'!$G:$G,ROW())),0)</f>
        <v/>
      </c>
      <c r="H821">
        <f>IFERROR(--INDEX('Term investments'!$H:$H,ROW()),0)</f>
        <v/>
      </c>
      <c r="I821">
        <f>IF(ISNUMBER(INDEX('Term investments'!$G:$G,ROW())),1,0)</f>
        <v/>
      </c>
      <c r="J821">
        <f>TRIM(SUBSTITUTE(INDEX('Call accounts and MMFs'!$A:$A,ROW())&amp;""," "," "))</f>
        <v/>
      </c>
      <c r="K821">
        <f>TRIM(SUBSTITUTE(INDEX('Call accounts and MMFs'!$B:$B,ROW())&amp;""," "," "))</f>
        <v/>
      </c>
      <c r="L821">
        <f>TRIM(SUBSTITUTE(INDEX('Call accounts and MMFs'!$C:$C,ROW())&amp;""," "," "))</f>
        <v/>
      </c>
      <c r="M821">
        <f>IFERROR(--INDEX('Call accounts and MMFs'!$D:$D,ROW()),0)</f>
        <v/>
      </c>
      <c r="N821">
        <f>IFERROR(IF(--INDEX('Call accounts and MMFs'!$E:$E,ROW())&gt;=1,--INDEX('Call accounts and MMFs'!$E:$E,ROW())/100,--INDEX('Call accounts and MMFs'!$E:$E,ROW())),0)</f>
        <v/>
      </c>
      <c r="O821">
        <f>IFERROR(--INDEX('Call accounts and MMFs'!$F:$F,ROW()),0)</f>
        <v/>
      </c>
      <c r="P821">
        <f>IF(ISNUMBER(INDEX('Call accounts and MMFs'!$E:$E,ROW())),1,0)</f>
        <v/>
      </c>
      <c r="Q821">
        <f>TRIM(SUBSTITUTE(INDEX('Pooled funds'!$B:$B,ROW())&amp;""," "," "))</f>
        <v/>
      </c>
      <c r="R821">
        <f>IFERROR(--INDEX('Pooled funds'!$C:$C,ROW()),0)</f>
        <v/>
      </c>
      <c r="S821">
        <f>IFERROR(--INDEX('Pooled funds'!$D:$D,ROW()),0)</f>
        <v/>
      </c>
      <c r="T821">
        <f>IFERROR(IF(--INDEX('Pooled funds'!$E:$E,ROW())&gt;=1,--INDEX('Pooled funds'!$E:$E,ROW())/100,--INDEX('Pooled funds'!$E:$E,ROW())),0)</f>
        <v/>
      </c>
      <c r="U821">
        <f>IF(ISNUMBER(INDEX('Pooled funds'!$E:$E,ROW())),1,0)</f>
        <v/>
      </c>
      <c r="V821">
        <f>TRIM(SUBSTITUTE(INDEX('Loans'!$A:$A,ROW())&amp;""," "," "))</f>
        <v/>
      </c>
      <c r="W821">
        <f>TRIM(SUBSTITUTE(INDEX('Loans'!$B:$B,ROW())&amp;""," "," "))</f>
        <v/>
      </c>
      <c r="X821">
        <f>TRIM(SUBSTITUTE(INDEX('Loans'!$C:$C,ROW())&amp;""," "," "))</f>
        <v/>
      </c>
      <c r="Y821">
        <f>IFERROR(--INDEX('Loans'!$D:$D,ROW()),0)</f>
        <v/>
      </c>
      <c r="Z821">
        <f>IFERROR(--INDEX('Loans'!$E:$E,ROW()),0)</f>
        <v/>
      </c>
      <c r="AA821">
        <f>IFERROR(--INDEX('Loans'!$F:$F,ROW()),0)</f>
        <v/>
      </c>
      <c r="AB821">
        <f>IFERROR(IF(--INDEX('Loans'!$G:$G,ROW())&gt;=1,--INDEX('Loans'!$G:$G,ROW())/100,--INDEX('Loans'!$G:$G,ROW())),0)</f>
        <v/>
      </c>
      <c r="AC821">
        <f>TRIM(SUBSTITUTE(INDEX('Loans'!$H:$H,ROW())&amp;""," "," "))</f>
        <v/>
      </c>
      <c r="AD821">
        <f>TRIM(SUBSTITUTE(INDEX('Loans'!$I:$I,ROW())&amp;""," "," "))</f>
        <v/>
      </c>
      <c r="AE821">
        <f>IFERROR(--INDEX('Loans'!$J:$J,ROW()),0)</f>
        <v/>
      </c>
      <c r="AF821">
        <f>TRIM(SUBSTITUTE(INDEX('Loans'!$K:$K,ROW())&amp;""," "," "))</f>
        <v/>
      </c>
      <c r="AG821">
        <f>IFERROR(--INDEX('Loans'!$L:$L,ROW()),0)</f>
        <v/>
      </c>
      <c r="AH821">
        <f>IF(ISNUMBER(INDEX('Loans'!$G:$G,ROW())),1,0)</f>
        <v/>
      </c>
    </row>
    <row r="822">
      <c r="A822">
        <f>TRIM(SUBSTITUTE(INDEX('Term investments'!$A:$A,ROW())&amp;""," "," "))</f>
        <v/>
      </c>
      <c r="B822">
        <f>TRIM(SUBSTITUTE(INDEX('Term investments'!$B:$B,ROW())&amp;""," "," "))</f>
        <v/>
      </c>
      <c r="C822">
        <f>TRIM(SUBSTITUTE(INDEX('Term investments'!$C:$C,ROW())&amp;""," "," "))</f>
        <v/>
      </c>
      <c r="D822">
        <f>IFERROR(--INDEX('Term investments'!$D:$D,ROW()),0)</f>
        <v/>
      </c>
      <c r="E822">
        <f>IFERROR(--INDEX('Term investments'!$E:$E,ROW()),0)</f>
        <v/>
      </c>
      <c r="F822">
        <f>IFERROR(--INDEX('Term investments'!$F:$F,ROW()),0)</f>
        <v/>
      </c>
      <c r="G822">
        <f>IFERROR(IF(--INDEX('Term investments'!$G:$G,ROW())&gt;=1,--INDEX('Term investments'!$G:$G,ROW())/100,--INDEX('Term investments'!$G:$G,ROW())),0)</f>
        <v/>
      </c>
      <c r="H822">
        <f>IFERROR(--INDEX('Term investments'!$H:$H,ROW()),0)</f>
        <v/>
      </c>
      <c r="I822">
        <f>IF(ISNUMBER(INDEX('Term investments'!$G:$G,ROW())),1,0)</f>
        <v/>
      </c>
      <c r="J822">
        <f>TRIM(SUBSTITUTE(INDEX('Call accounts and MMFs'!$A:$A,ROW())&amp;""," "," "))</f>
        <v/>
      </c>
      <c r="K822">
        <f>TRIM(SUBSTITUTE(INDEX('Call accounts and MMFs'!$B:$B,ROW())&amp;""," "," "))</f>
        <v/>
      </c>
      <c r="L822">
        <f>TRIM(SUBSTITUTE(INDEX('Call accounts and MMFs'!$C:$C,ROW())&amp;""," "," "))</f>
        <v/>
      </c>
      <c r="M822">
        <f>IFERROR(--INDEX('Call accounts and MMFs'!$D:$D,ROW()),0)</f>
        <v/>
      </c>
      <c r="N822">
        <f>IFERROR(IF(--INDEX('Call accounts and MMFs'!$E:$E,ROW())&gt;=1,--INDEX('Call accounts and MMFs'!$E:$E,ROW())/100,--INDEX('Call accounts and MMFs'!$E:$E,ROW())),0)</f>
        <v/>
      </c>
      <c r="O822">
        <f>IFERROR(--INDEX('Call accounts and MMFs'!$F:$F,ROW()),0)</f>
        <v/>
      </c>
      <c r="P822">
        <f>IF(ISNUMBER(INDEX('Call accounts and MMFs'!$E:$E,ROW())),1,0)</f>
        <v/>
      </c>
      <c r="Q822">
        <f>TRIM(SUBSTITUTE(INDEX('Pooled funds'!$B:$B,ROW())&amp;""," "," "))</f>
        <v/>
      </c>
      <c r="R822">
        <f>IFERROR(--INDEX('Pooled funds'!$C:$C,ROW()),0)</f>
        <v/>
      </c>
      <c r="S822">
        <f>IFERROR(--INDEX('Pooled funds'!$D:$D,ROW()),0)</f>
        <v/>
      </c>
      <c r="T822">
        <f>IFERROR(IF(--INDEX('Pooled funds'!$E:$E,ROW())&gt;=1,--INDEX('Pooled funds'!$E:$E,ROW())/100,--INDEX('Pooled funds'!$E:$E,ROW())),0)</f>
        <v/>
      </c>
      <c r="U822">
        <f>IF(ISNUMBER(INDEX('Pooled funds'!$E:$E,ROW())),1,0)</f>
        <v/>
      </c>
      <c r="V822">
        <f>TRIM(SUBSTITUTE(INDEX('Loans'!$A:$A,ROW())&amp;""," "," "))</f>
        <v/>
      </c>
      <c r="W822">
        <f>TRIM(SUBSTITUTE(INDEX('Loans'!$B:$B,ROW())&amp;""," "," "))</f>
        <v/>
      </c>
      <c r="X822">
        <f>TRIM(SUBSTITUTE(INDEX('Loans'!$C:$C,ROW())&amp;""," "," "))</f>
        <v/>
      </c>
      <c r="Y822">
        <f>IFERROR(--INDEX('Loans'!$D:$D,ROW()),0)</f>
        <v/>
      </c>
      <c r="Z822">
        <f>IFERROR(--INDEX('Loans'!$E:$E,ROW()),0)</f>
        <v/>
      </c>
      <c r="AA822">
        <f>IFERROR(--INDEX('Loans'!$F:$F,ROW()),0)</f>
        <v/>
      </c>
      <c r="AB822">
        <f>IFERROR(IF(--INDEX('Loans'!$G:$G,ROW())&gt;=1,--INDEX('Loans'!$G:$G,ROW())/100,--INDEX('Loans'!$G:$G,ROW())),0)</f>
        <v/>
      </c>
      <c r="AC822">
        <f>TRIM(SUBSTITUTE(INDEX('Loans'!$H:$H,ROW())&amp;""," "," "))</f>
        <v/>
      </c>
      <c r="AD822">
        <f>TRIM(SUBSTITUTE(INDEX('Loans'!$I:$I,ROW())&amp;""," "," "))</f>
        <v/>
      </c>
      <c r="AE822">
        <f>IFERROR(--INDEX('Loans'!$J:$J,ROW()),0)</f>
        <v/>
      </c>
      <c r="AF822">
        <f>TRIM(SUBSTITUTE(INDEX('Loans'!$K:$K,ROW())&amp;""," "," "))</f>
        <v/>
      </c>
      <c r="AG822">
        <f>IFERROR(--INDEX('Loans'!$L:$L,ROW()),0)</f>
        <v/>
      </c>
      <c r="AH822">
        <f>IF(ISNUMBER(INDEX('Loans'!$G:$G,ROW())),1,0)</f>
        <v/>
      </c>
    </row>
    <row r="823">
      <c r="A823">
        <f>TRIM(SUBSTITUTE(INDEX('Term investments'!$A:$A,ROW())&amp;""," "," "))</f>
        <v/>
      </c>
      <c r="B823">
        <f>TRIM(SUBSTITUTE(INDEX('Term investments'!$B:$B,ROW())&amp;""," "," "))</f>
        <v/>
      </c>
      <c r="C823">
        <f>TRIM(SUBSTITUTE(INDEX('Term investments'!$C:$C,ROW())&amp;""," "," "))</f>
        <v/>
      </c>
      <c r="D823">
        <f>IFERROR(--INDEX('Term investments'!$D:$D,ROW()),0)</f>
        <v/>
      </c>
      <c r="E823">
        <f>IFERROR(--INDEX('Term investments'!$E:$E,ROW()),0)</f>
        <v/>
      </c>
      <c r="F823">
        <f>IFERROR(--INDEX('Term investments'!$F:$F,ROW()),0)</f>
        <v/>
      </c>
      <c r="G823">
        <f>IFERROR(IF(--INDEX('Term investments'!$G:$G,ROW())&gt;=1,--INDEX('Term investments'!$G:$G,ROW())/100,--INDEX('Term investments'!$G:$G,ROW())),0)</f>
        <v/>
      </c>
      <c r="H823">
        <f>IFERROR(--INDEX('Term investments'!$H:$H,ROW()),0)</f>
        <v/>
      </c>
      <c r="I823">
        <f>IF(ISNUMBER(INDEX('Term investments'!$G:$G,ROW())),1,0)</f>
        <v/>
      </c>
      <c r="J823">
        <f>TRIM(SUBSTITUTE(INDEX('Call accounts and MMFs'!$A:$A,ROW())&amp;""," "," "))</f>
        <v/>
      </c>
      <c r="K823">
        <f>TRIM(SUBSTITUTE(INDEX('Call accounts and MMFs'!$B:$B,ROW())&amp;""," "," "))</f>
        <v/>
      </c>
      <c r="L823">
        <f>TRIM(SUBSTITUTE(INDEX('Call accounts and MMFs'!$C:$C,ROW())&amp;""," "," "))</f>
        <v/>
      </c>
      <c r="M823">
        <f>IFERROR(--INDEX('Call accounts and MMFs'!$D:$D,ROW()),0)</f>
        <v/>
      </c>
      <c r="N823">
        <f>IFERROR(IF(--INDEX('Call accounts and MMFs'!$E:$E,ROW())&gt;=1,--INDEX('Call accounts and MMFs'!$E:$E,ROW())/100,--INDEX('Call accounts and MMFs'!$E:$E,ROW())),0)</f>
        <v/>
      </c>
      <c r="O823">
        <f>IFERROR(--INDEX('Call accounts and MMFs'!$F:$F,ROW()),0)</f>
        <v/>
      </c>
      <c r="P823">
        <f>IF(ISNUMBER(INDEX('Call accounts and MMFs'!$E:$E,ROW())),1,0)</f>
        <v/>
      </c>
      <c r="Q823">
        <f>TRIM(SUBSTITUTE(INDEX('Pooled funds'!$B:$B,ROW())&amp;""," "," "))</f>
        <v/>
      </c>
      <c r="R823">
        <f>IFERROR(--INDEX('Pooled funds'!$C:$C,ROW()),0)</f>
        <v/>
      </c>
      <c r="S823">
        <f>IFERROR(--INDEX('Pooled funds'!$D:$D,ROW()),0)</f>
        <v/>
      </c>
      <c r="T823">
        <f>IFERROR(IF(--INDEX('Pooled funds'!$E:$E,ROW())&gt;=1,--INDEX('Pooled funds'!$E:$E,ROW())/100,--INDEX('Pooled funds'!$E:$E,ROW())),0)</f>
        <v/>
      </c>
      <c r="U823">
        <f>IF(ISNUMBER(INDEX('Pooled funds'!$E:$E,ROW())),1,0)</f>
        <v/>
      </c>
      <c r="V823">
        <f>TRIM(SUBSTITUTE(INDEX('Loans'!$A:$A,ROW())&amp;""," "," "))</f>
        <v/>
      </c>
      <c r="W823">
        <f>TRIM(SUBSTITUTE(INDEX('Loans'!$B:$B,ROW())&amp;""," "," "))</f>
        <v/>
      </c>
      <c r="X823">
        <f>TRIM(SUBSTITUTE(INDEX('Loans'!$C:$C,ROW())&amp;""," "," "))</f>
        <v/>
      </c>
      <c r="Y823">
        <f>IFERROR(--INDEX('Loans'!$D:$D,ROW()),0)</f>
        <v/>
      </c>
      <c r="Z823">
        <f>IFERROR(--INDEX('Loans'!$E:$E,ROW()),0)</f>
        <v/>
      </c>
      <c r="AA823">
        <f>IFERROR(--INDEX('Loans'!$F:$F,ROW()),0)</f>
        <v/>
      </c>
      <c r="AB823">
        <f>IFERROR(IF(--INDEX('Loans'!$G:$G,ROW())&gt;=1,--INDEX('Loans'!$G:$G,ROW())/100,--INDEX('Loans'!$G:$G,ROW())),0)</f>
        <v/>
      </c>
      <c r="AC823">
        <f>TRIM(SUBSTITUTE(INDEX('Loans'!$H:$H,ROW())&amp;""," "," "))</f>
        <v/>
      </c>
      <c r="AD823">
        <f>TRIM(SUBSTITUTE(INDEX('Loans'!$I:$I,ROW())&amp;""," "," "))</f>
        <v/>
      </c>
      <c r="AE823">
        <f>IFERROR(--INDEX('Loans'!$J:$J,ROW()),0)</f>
        <v/>
      </c>
      <c r="AF823">
        <f>TRIM(SUBSTITUTE(INDEX('Loans'!$K:$K,ROW())&amp;""," "," "))</f>
        <v/>
      </c>
      <c r="AG823">
        <f>IFERROR(--INDEX('Loans'!$L:$L,ROW()),0)</f>
        <v/>
      </c>
      <c r="AH823">
        <f>IF(ISNUMBER(INDEX('Loans'!$G:$G,ROW())),1,0)</f>
        <v/>
      </c>
    </row>
    <row r="824">
      <c r="A824">
        <f>TRIM(SUBSTITUTE(INDEX('Term investments'!$A:$A,ROW())&amp;""," "," "))</f>
        <v/>
      </c>
      <c r="B824">
        <f>TRIM(SUBSTITUTE(INDEX('Term investments'!$B:$B,ROW())&amp;""," "," "))</f>
        <v/>
      </c>
      <c r="C824">
        <f>TRIM(SUBSTITUTE(INDEX('Term investments'!$C:$C,ROW())&amp;""," "," "))</f>
        <v/>
      </c>
      <c r="D824">
        <f>IFERROR(--INDEX('Term investments'!$D:$D,ROW()),0)</f>
        <v/>
      </c>
      <c r="E824">
        <f>IFERROR(--INDEX('Term investments'!$E:$E,ROW()),0)</f>
        <v/>
      </c>
      <c r="F824">
        <f>IFERROR(--INDEX('Term investments'!$F:$F,ROW()),0)</f>
        <v/>
      </c>
      <c r="G824">
        <f>IFERROR(IF(--INDEX('Term investments'!$G:$G,ROW())&gt;=1,--INDEX('Term investments'!$G:$G,ROW())/100,--INDEX('Term investments'!$G:$G,ROW())),0)</f>
        <v/>
      </c>
      <c r="H824">
        <f>IFERROR(--INDEX('Term investments'!$H:$H,ROW()),0)</f>
        <v/>
      </c>
      <c r="I824">
        <f>IF(ISNUMBER(INDEX('Term investments'!$G:$G,ROW())),1,0)</f>
        <v/>
      </c>
      <c r="J824">
        <f>TRIM(SUBSTITUTE(INDEX('Call accounts and MMFs'!$A:$A,ROW())&amp;""," "," "))</f>
        <v/>
      </c>
      <c r="K824">
        <f>TRIM(SUBSTITUTE(INDEX('Call accounts and MMFs'!$B:$B,ROW())&amp;""," "," "))</f>
        <v/>
      </c>
      <c r="L824">
        <f>TRIM(SUBSTITUTE(INDEX('Call accounts and MMFs'!$C:$C,ROW())&amp;""," "," "))</f>
        <v/>
      </c>
      <c r="M824">
        <f>IFERROR(--INDEX('Call accounts and MMFs'!$D:$D,ROW()),0)</f>
        <v/>
      </c>
      <c r="N824">
        <f>IFERROR(IF(--INDEX('Call accounts and MMFs'!$E:$E,ROW())&gt;=1,--INDEX('Call accounts and MMFs'!$E:$E,ROW())/100,--INDEX('Call accounts and MMFs'!$E:$E,ROW())),0)</f>
        <v/>
      </c>
      <c r="O824">
        <f>IFERROR(--INDEX('Call accounts and MMFs'!$F:$F,ROW()),0)</f>
        <v/>
      </c>
      <c r="P824">
        <f>IF(ISNUMBER(INDEX('Call accounts and MMFs'!$E:$E,ROW())),1,0)</f>
        <v/>
      </c>
      <c r="Q824">
        <f>TRIM(SUBSTITUTE(INDEX('Pooled funds'!$B:$B,ROW())&amp;""," "," "))</f>
        <v/>
      </c>
      <c r="R824">
        <f>IFERROR(--INDEX('Pooled funds'!$C:$C,ROW()),0)</f>
        <v/>
      </c>
      <c r="S824">
        <f>IFERROR(--INDEX('Pooled funds'!$D:$D,ROW()),0)</f>
        <v/>
      </c>
      <c r="T824">
        <f>IFERROR(IF(--INDEX('Pooled funds'!$E:$E,ROW())&gt;=1,--INDEX('Pooled funds'!$E:$E,ROW())/100,--INDEX('Pooled funds'!$E:$E,ROW())),0)</f>
        <v/>
      </c>
      <c r="U824">
        <f>IF(ISNUMBER(INDEX('Pooled funds'!$E:$E,ROW())),1,0)</f>
        <v/>
      </c>
      <c r="V824">
        <f>TRIM(SUBSTITUTE(INDEX('Loans'!$A:$A,ROW())&amp;""," "," "))</f>
        <v/>
      </c>
      <c r="W824">
        <f>TRIM(SUBSTITUTE(INDEX('Loans'!$B:$B,ROW())&amp;""," "," "))</f>
        <v/>
      </c>
      <c r="X824">
        <f>TRIM(SUBSTITUTE(INDEX('Loans'!$C:$C,ROW())&amp;""," "," "))</f>
        <v/>
      </c>
      <c r="Y824">
        <f>IFERROR(--INDEX('Loans'!$D:$D,ROW()),0)</f>
        <v/>
      </c>
      <c r="Z824">
        <f>IFERROR(--INDEX('Loans'!$E:$E,ROW()),0)</f>
        <v/>
      </c>
      <c r="AA824">
        <f>IFERROR(--INDEX('Loans'!$F:$F,ROW()),0)</f>
        <v/>
      </c>
      <c r="AB824">
        <f>IFERROR(IF(--INDEX('Loans'!$G:$G,ROW())&gt;=1,--INDEX('Loans'!$G:$G,ROW())/100,--INDEX('Loans'!$G:$G,ROW())),0)</f>
        <v/>
      </c>
      <c r="AC824">
        <f>TRIM(SUBSTITUTE(INDEX('Loans'!$H:$H,ROW())&amp;""," "," "))</f>
        <v/>
      </c>
      <c r="AD824">
        <f>TRIM(SUBSTITUTE(INDEX('Loans'!$I:$I,ROW())&amp;""," "," "))</f>
        <v/>
      </c>
      <c r="AE824">
        <f>IFERROR(--INDEX('Loans'!$J:$J,ROW()),0)</f>
        <v/>
      </c>
      <c r="AF824">
        <f>TRIM(SUBSTITUTE(INDEX('Loans'!$K:$K,ROW())&amp;""," "," "))</f>
        <v/>
      </c>
      <c r="AG824">
        <f>IFERROR(--INDEX('Loans'!$L:$L,ROW()),0)</f>
        <v/>
      </c>
      <c r="AH824">
        <f>IF(ISNUMBER(INDEX('Loans'!$G:$G,ROW())),1,0)</f>
        <v/>
      </c>
    </row>
    <row r="825">
      <c r="A825">
        <f>TRIM(SUBSTITUTE(INDEX('Term investments'!$A:$A,ROW())&amp;""," "," "))</f>
        <v/>
      </c>
      <c r="B825">
        <f>TRIM(SUBSTITUTE(INDEX('Term investments'!$B:$B,ROW())&amp;""," "," "))</f>
        <v/>
      </c>
      <c r="C825">
        <f>TRIM(SUBSTITUTE(INDEX('Term investments'!$C:$C,ROW())&amp;""," "," "))</f>
        <v/>
      </c>
      <c r="D825">
        <f>IFERROR(--INDEX('Term investments'!$D:$D,ROW()),0)</f>
        <v/>
      </c>
      <c r="E825">
        <f>IFERROR(--INDEX('Term investments'!$E:$E,ROW()),0)</f>
        <v/>
      </c>
      <c r="F825">
        <f>IFERROR(--INDEX('Term investments'!$F:$F,ROW()),0)</f>
        <v/>
      </c>
      <c r="G825">
        <f>IFERROR(IF(--INDEX('Term investments'!$G:$G,ROW())&gt;=1,--INDEX('Term investments'!$G:$G,ROW())/100,--INDEX('Term investments'!$G:$G,ROW())),0)</f>
        <v/>
      </c>
      <c r="H825">
        <f>IFERROR(--INDEX('Term investments'!$H:$H,ROW()),0)</f>
        <v/>
      </c>
      <c r="I825">
        <f>IF(ISNUMBER(INDEX('Term investments'!$G:$G,ROW())),1,0)</f>
        <v/>
      </c>
      <c r="J825">
        <f>TRIM(SUBSTITUTE(INDEX('Call accounts and MMFs'!$A:$A,ROW())&amp;""," "," "))</f>
        <v/>
      </c>
      <c r="K825">
        <f>TRIM(SUBSTITUTE(INDEX('Call accounts and MMFs'!$B:$B,ROW())&amp;""," "," "))</f>
        <v/>
      </c>
      <c r="L825">
        <f>TRIM(SUBSTITUTE(INDEX('Call accounts and MMFs'!$C:$C,ROW())&amp;""," "," "))</f>
        <v/>
      </c>
      <c r="M825">
        <f>IFERROR(--INDEX('Call accounts and MMFs'!$D:$D,ROW()),0)</f>
        <v/>
      </c>
      <c r="N825">
        <f>IFERROR(IF(--INDEX('Call accounts and MMFs'!$E:$E,ROW())&gt;=1,--INDEX('Call accounts and MMFs'!$E:$E,ROW())/100,--INDEX('Call accounts and MMFs'!$E:$E,ROW())),0)</f>
        <v/>
      </c>
      <c r="O825">
        <f>IFERROR(--INDEX('Call accounts and MMFs'!$F:$F,ROW()),0)</f>
        <v/>
      </c>
      <c r="P825">
        <f>IF(ISNUMBER(INDEX('Call accounts and MMFs'!$E:$E,ROW())),1,0)</f>
        <v/>
      </c>
      <c r="Q825">
        <f>TRIM(SUBSTITUTE(INDEX('Pooled funds'!$B:$B,ROW())&amp;""," "," "))</f>
        <v/>
      </c>
      <c r="R825">
        <f>IFERROR(--INDEX('Pooled funds'!$C:$C,ROW()),0)</f>
        <v/>
      </c>
      <c r="S825">
        <f>IFERROR(--INDEX('Pooled funds'!$D:$D,ROW()),0)</f>
        <v/>
      </c>
      <c r="T825">
        <f>IFERROR(IF(--INDEX('Pooled funds'!$E:$E,ROW())&gt;=1,--INDEX('Pooled funds'!$E:$E,ROW())/100,--INDEX('Pooled funds'!$E:$E,ROW())),0)</f>
        <v/>
      </c>
      <c r="U825">
        <f>IF(ISNUMBER(INDEX('Pooled funds'!$E:$E,ROW())),1,0)</f>
        <v/>
      </c>
      <c r="V825">
        <f>TRIM(SUBSTITUTE(INDEX('Loans'!$A:$A,ROW())&amp;""," "," "))</f>
        <v/>
      </c>
      <c r="W825">
        <f>TRIM(SUBSTITUTE(INDEX('Loans'!$B:$B,ROW())&amp;""," "," "))</f>
        <v/>
      </c>
      <c r="X825">
        <f>TRIM(SUBSTITUTE(INDEX('Loans'!$C:$C,ROW())&amp;""," "," "))</f>
        <v/>
      </c>
      <c r="Y825">
        <f>IFERROR(--INDEX('Loans'!$D:$D,ROW()),0)</f>
        <v/>
      </c>
      <c r="Z825">
        <f>IFERROR(--INDEX('Loans'!$E:$E,ROW()),0)</f>
        <v/>
      </c>
      <c r="AA825">
        <f>IFERROR(--INDEX('Loans'!$F:$F,ROW()),0)</f>
        <v/>
      </c>
      <c r="AB825">
        <f>IFERROR(IF(--INDEX('Loans'!$G:$G,ROW())&gt;=1,--INDEX('Loans'!$G:$G,ROW())/100,--INDEX('Loans'!$G:$G,ROW())),0)</f>
        <v/>
      </c>
      <c r="AC825">
        <f>TRIM(SUBSTITUTE(INDEX('Loans'!$H:$H,ROW())&amp;""," "," "))</f>
        <v/>
      </c>
      <c r="AD825">
        <f>TRIM(SUBSTITUTE(INDEX('Loans'!$I:$I,ROW())&amp;""," "," "))</f>
        <v/>
      </c>
      <c r="AE825">
        <f>IFERROR(--INDEX('Loans'!$J:$J,ROW()),0)</f>
        <v/>
      </c>
      <c r="AF825">
        <f>TRIM(SUBSTITUTE(INDEX('Loans'!$K:$K,ROW())&amp;""," "," "))</f>
        <v/>
      </c>
      <c r="AG825">
        <f>IFERROR(--INDEX('Loans'!$L:$L,ROW()),0)</f>
        <v/>
      </c>
      <c r="AH825">
        <f>IF(ISNUMBER(INDEX('Loans'!$G:$G,ROW())),1,0)</f>
        <v/>
      </c>
    </row>
    <row r="826">
      <c r="A826">
        <f>TRIM(SUBSTITUTE(INDEX('Term investments'!$A:$A,ROW())&amp;""," "," "))</f>
        <v/>
      </c>
      <c r="B826">
        <f>TRIM(SUBSTITUTE(INDEX('Term investments'!$B:$B,ROW())&amp;""," "," "))</f>
        <v/>
      </c>
      <c r="C826">
        <f>TRIM(SUBSTITUTE(INDEX('Term investments'!$C:$C,ROW())&amp;""," "," "))</f>
        <v/>
      </c>
      <c r="D826">
        <f>IFERROR(--INDEX('Term investments'!$D:$D,ROW()),0)</f>
        <v/>
      </c>
      <c r="E826">
        <f>IFERROR(--INDEX('Term investments'!$E:$E,ROW()),0)</f>
        <v/>
      </c>
      <c r="F826">
        <f>IFERROR(--INDEX('Term investments'!$F:$F,ROW()),0)</f>
        <v/>
      </c>
      <c r="G826">
        <f>IFERROR(IF(--INDEX('Term investments'!$G:$G,ROW())&gt;=1,--INDEX('Term investments'!$G:$G,ROW())/100,--INDEX('Term investments'!$G:$G,ROW())),0)</f>
        <v/>
      </c>
      <c r="H826">
        <f>IFERROR(--INDEX('Term investments'!$H:$H,ROW()),0)</f>
        <v/>
      </c>
      <c r="I826">
        <f>IF(ISNUMBER(INDEX('Term investments'!$G:$G,ROW())),1,0)</f>
        <v/>
      </c>
      <c r="J826">
        <f>TRIM(SUBSTITUTE(INDEX('Call accounts and MMFs'!$A:$A,ROW())&amp;""," "," "))</f>
        <v/>
      </c>
      <c r="K826">
        <f>TRIM(SUBSTITUTE(INDEX('Call accounts and MMFs'!$B:$B,ROW())&amp;""," "," "))</f>
        <v/>
      </c>
      <c r="L826">
        <f>TRIM(SUBSTITUTE(INDEX('Call accounts and MMFs'!$C:$C,ROW())&amp;""," "," "))</f>
        <v/>
      </c>
      <c r="M826">
        <f>IFERROR(--INDEX('Call accounts and MMFs'!$D:$D,ROW()),0)</f>
        <v/>
      </c>
      <c r="N826">
        <f>IFERROR(IF(--INDEX('Call accounts and MMFs'!$E:$E,ROW())&gt;=1,--INDEX('Call accounts and MMFs'!$E:$E,ROW())/100,--INDEX('Call accounts and MMFs'!$E:$E,ROW())),0)</f>
        <v/>
      </c>
      <c r="O826">
        <f>IFERROR(--INDEX('Call accounts and MMFs'!$F:$F,ROW()),0)</f>
        <v/>
      </c>
      <c r="P826">
        <f>IF(ISNUMBER(INDEX('Call accounts and MMFs'!$E:$E,ROW())),1,0)</f>
        <v/>
      </c>
      <c r="Q826">
        <f>TRIM(SUBSTITUTE(INDEX('Pooled funds'!$B:$B,ROW())&amp;""," "," "))</f>
        <v/>
      </c>
      <c r="R826">
        <f>IFERROR(--INDEX('Pooled funds'!$C:$C,ROW()),0)</f>
        <v/>
      </c>
      <c r="S826">
        <f>IFERROR(--INDEX('Pooled funds'!$D:$D,ROW()),0)</f>
        <v/>
      </c>
      <c r="T826">
        <f>IFERROR(IF(--INDEX('Pooled funds'!$E:$E,ROW())&gt;=1,--INDEX('Pooled funds'!$E:$E,ROW())/100,--INDEX('Pooled funds'!$E:$E,ROW())),0)</f>
        <v/>
      </c>
      <c r="U826">
        <f>IF(ISNUMBER(INDEX('Pooled funds'!$E:$E,ROW())),1,0)</f>
        <v/>
      </c>
      <c r="V826">
        <f>TRIM(SUBSTITUTE(INDEX('Loans'!$A:$A,ROW())&amp;""," "," "))</f>
        <v/>
      </c>
      <c r="W826">
        <f>TRIM(SUBSTITUTE(INDEX('Loans'!$B:$B,ROW())&amp;""," "," "))</f>
        <v/>
      </c>
      <c r="X826">
        <f>TRIM(SUBSTITUTE(INDEX('Loans'!$C:$C,ROW())&amp;""," "," "))</f>
        <v/>
      </c>
      <c r="Y826">
        <f>IFERROR(--INDEX('Loans'!$D:$D,ROW()),0)</f>
        <v/>
      </c>
      <c r="Z826">
        <f>IFERROR(--INDEX('Loans'!$E:$E,ROW()),0)</f>
        <v/>
      </c>
      <c r="AA826">
        <f>IFERROR(--INDEX('Loans'!$F:$F,ROW()),0)</f>
        <v/>
      </c>
      <c r="AB826">
        <f>IFERROR(IF(--INDEX('Loans'!$G:$G,ROW())&gt;=1,--INDEX('Loans'!$G:$G,ROW())/100,--INDEX('Loans'!$G:$G,ROW())),0)</f>
        <v/>
      </c>
      <c r="AC826">
        <f>TRIM(SUBSTITUTE(INDEX('Loans'!$H:$H,ROW())&amp;""," "," "))</f>
        <v/>
      </c>
      <c r="AD826">
        <f>TRIM(SUBSTITUTE(INDEX('Loans'!$I:$I,ROW())&amp;""," "," "))</f>
        <v/>
      </c>
      <c r="AE826">
        <f>IFERROR(--INDEX('Loans'!$J:$J,ROW()),0)</f>
        <v/>
      </c>
      <c r="AF826">
        <f>TRIM(SUBSTITUTE(INDEX('Loans'!$K:$K,ROW())&amp;""," "," "))</f>
        <v/>
      </c>
      <c r="AG826">
        <f>IFERROR(--INDEX('Loans'!$L:$L,ROW()),0)</f>
        <v/>
      </c>
      <c r="AH826">
        <f>IF(ISNUMBER(INDEX('Loans'!$G:$G,ROW())),1,0)</f>
        <v/>
      </c>
    </row>
    <row r="827">
      <c r="A827">
        <f>TRIM(SUBSTITUTE(INDEX('Term investments'!$A:$A,ROW())&amp;""," "," "))</f>
        <v/>
      </c>
      <c r="B827">
        <f>TRIM(SUBSTITUTE(INDEX('Term investments'!$B:$B,ROW())&amp;""," "," "))</f>
        <v/>
      </c>
      <c r="C827">
        <f>TRIM(SUBSTITUTE(INDEX('Term investments'!$C:$C,ROW())&amp;""," "," "))</f>
        <v/>
      </c>
      <c r="D827">
        <f>IFERROR(--INDEX('Term investments'!$D:$D,ROW()),0)</f>
        <v/>
      </c>
      <c r="E827">
        <f>IFERROR(--INDEX('Term investments'!$E:$E,ROW()),0)</f>
        <v/>
      </c>
      <c r="F827">
        <f>IFERROR(--INDEX('Term investments'!$F:$F,ROW()),0)</f>
        <v/>
      </c>
      <c r="G827">
        <f>IFERROR(IF(--INDEX('Term investments'!$G:$G,ROW())&gt;=1,--INDEX('Term investments'!$G:$G,ROW())/100,--INDEX('Term investments'!$G:$G,ROW())),0)</f>
        <v/>
      </c>
      <c r="H827">
        <f>IFERROR(--INDEX('Term investments'!$H:$H,ROW()),0)</f>
        <v/>
      </c>
      <c r="I827">
        <f>IF(ISNUMBER(INDEX('Term investments'!$G:$G,ROW())),1,0)</f>
        <v/>
      </c>
      <c r="J827">
        <f>TRIM(SUBSTITUTE(INDEX('Call accounts and MMFs'!$A:$A,ROW())&amp;""," "," "))</f>
        <v/>
      </c>
      <c r="K827">
        <f>TRIM(SUBSTITUTE(INDEX('Call accounts and MMFs'!$B:$B,ROW())&amp;""," "," "))</f>
        <v/>
      </c>
      <c r="L827">
        <f>TRIM(SUBSTITUTE(INDEX('Call accounts and MMFs'!$C:$C,ROW())&amp;""," "," "))</f>
        <v/>
      </c>
      <c r="M827">
        <f>IFERROR(--INDEX('Call accounts and MMFs'!$D:$D,ROW()),0)</f>
        <v/>
      </c>
      <c r="N827">
        <f>IFERROR(IF(--INDEX('Call accounts and MMFs'!$E:$E,ROW())&gt;=1,--INDEX('Call accounts and MMFs'!$E:$E,ROW())/100,--INDEX('Call accounts and MMFs'!$E:$E,ROW())),0)</f>
        <v/>
      </c>
      <c r="O827">
        <f>IFERROR(--INDEX('Call accounts and MMFs'!$F:$F,ROW()),0)</f>
        <v/>
      </c>
      <c r="P827">
        <f>IF(ISNUMBER(INDEX('Call accounts and MMFs'!$E:$E,ROW())),1,0)</f>
        <v/>
      </c>
      <c r="Q827">
        <f>TRIM(SUBSTITUTE(INDEX('Pooled funds'!$B:$B,ROW())&amp;""," "," "))</f>
        <v/>
      </c>
      <c r="R827">
        <f>IFERROR(--INDEX('Pooled funds'!$C:$C,ROW()),0)</f>
        <v/>
      </c>
      <c r="S827">
        <f>IFERROR(--INDEX('Pooled funds'!$D:$D,ROW()),0)</f>
        <v/>
      </c>
      <c r="T827">
        <f>IFERROR(IF(--INDEX('Pooled funds'!$E:$E,ROW())&gt;=1,--INDEX('Pooled funds'!$E:$E,ROW())/100,--INDEX('Pooled funds'!$E:$E,ROW())),0)</f>
        <v/>
      </c>
      <c r="U827">
        <f>IF(ISNUMBER(INDEX('Pooled funds'!$E:$E,ROW())),1,0)</f>
        <v/>
      </c>
      <c r="V827">
        <f>TRIM(SUBSTITUTE(INDEX('Loans'!$A:$A,ROW())&amp;""," "," "))</f>
        <v/>
      </c>
      <c r="W827">
        <f>TRIM(SUBSTITUTE(INDEX('Loans'!$B:$B,ROW())&amp;""," "," "))</f>
        <v/>
      </c>
      <c r="X827">
        <f>TRIM(SUBSTITUTE(INDEX('Loans'!$C:$C,ROW())&amp;""," "," "))</f>
        <v/>
      </c>
      <c r="Y827">
        <f>IFERROR(--INDEX('Loans'!$D:$D,ROW()),0)</f>
        <v/>
      </c>
      <c r="Z827">
        <f>IFERROR(--INDEX('Loans'!$E:$E,ROW()),0)</f>
        <v/>
      </c>
      <c r="AA827">
        <f>IFERROR(--INDEX('Loans'!$F:$F,ROW()),0)</f>
        <v/>
      </c>
      <c r="AB827">
        <f>IFERROR(IF(--INDEX('Loans'!$G:$G,ROW())&gt;=1,--INDEX('Loans'!$G:$G,ROW())/100,--INDEX('Loans'!$G:$G,ROW())),0)</f>
        <v/>
      </c>
      <c r="AC827">
        <f>TRIM(SUBSTITUTE(INDEX('Loans'!$H:$H,ROW())&amp;""," "," "))</f>
        <v/>
      </c>
      <c r="AD827">
        <f>TRIM(SUBSTITUTE(INDEX('Loans'!$I:$I,ROW())&amp;""," "," "))</f>
        <v/>
      </c>
      <c r="AE827">
        <f>IFERROR(--INDEX('Loans'!$J:$J,ROW()),0)</f>
        <v/>
      </c>
      <c r="AF827">
        <f>TRIM(SUBSTITUTE(INDEX('Loans'!$K:$K,ROW())&amp;""," "," "))</f>
        <v/>
      </c>
      <c r="AG827">
        <f>IFERROR(--INDEX('Loans'!$L:$L,ROW()),0)</f>
        <v/>
      </c>
      <c r="AH827">
        <f>IF(ISNUMBER(INDEX('Loans'!$G:$G,ROW())),1,0)</f>
        <v/>
      </c>
    </row>
    <row r="828">
      <c r="A828">
        <f>TRIM(SUBSTITUTE(INDEX('Term investments'!$A:$A,ROW())&amp;""," "," "))</f>
        <v/>
      </c>
      <c r="B828">
        <f>TRIM(SUBSTITUTE(INDEX('Term investments'!$B:$B,ROW())&amp;""," "," "))</f>
        <v/>
      </c>
      <c r="C828">
        <f>TRIM(SUBSTITUTE(INDEX('Term investments'!$C:$C,ROW())&amp;""," "," "))</f>
        <v/>
      </c>
      <c r="D828">
        <f>IFERROR(--INDEX('Term investments'!$D:$D,ROW()),0)</f>
        <v/>
      </c>
      <c r="E828">
        <f>IFERROR(--INDEX('Term investments'!$E:$E,ROW()),0)</f>
        <v/>
      </c>
      <c r="F828">
        <f>IFERROR(--INDEX('Term investments'!$F:$F,ROW()),0)</f>
        <v/>
      </c>
      <c r="G828">
        <f>IFERROR(IF(--INDEX('Term investments'!$G:$G,ROW())&gt;=1,--INDEX('Term investments'!$G:$G,ROW())/100,--INDEX('Term investments'!$G:$G,ROW())),0)</f>
        <v/>
      </c>
      <c r="H828">
        <f>IFERROR(--INDEX('Term investments'!$H:$H,ROW()),0)</f>
        <v/>
      </c>
      <c r="I828">
        <f>IF(ISNUMBER(INDEX('Term investments'!$G:$G,ROW())),1,0)</f>
        <v/>
      </c>
      <c r="J828">
        <f>TRIM(SUBSTITUTE(INDEX('Call accounts and MMFs'!$A:$A,ROW())&amp;""," "," "))</f>
        <v/>
      </c>
      <c r="K828">
        <f>TRIM(SUBSTITUTE(INDEX('Call accounts and MMFs'!$B:$B,ROW())&amp;""," "," "))</f>
        <v/>
      </c>
      <c r="L828">
        <f>TRIM(SUBSTITUTE(INDEX('Call accounts and MMFs'!$C:$C,ROW())&amp;""," "," "))</f>
        <v/>
      </c>
      <c r="M828">
        <f>IFERROR(--INDEX('Call accounts and MMFs'!$D:$D,ROW()),0)</f>
        <v/>
      </c>
      <c r="N828">
        <f>IFERROR(IF(--INDEX('Call accounts and MMFs'!$E:$E,ROW())&gt;=1,--INDEX('Call accounts and MMFs'!$E:$E,ROW())/100,--INDEX('Call accounts and MMFs'!$E:$E,ROW())),0)</f>
        <v/>
      </c>
      <c r="O828">
        <f>IFERROR(--INDEX('Call accounts and MMFs'!$F:$F,ROW()),0)</f>
        <v/>
      </c>
      <c r="P828">
        <f>IF(ISNUMBER(INDEX('Call accounts and MMFs'!$E:$E,ROW())),1,0)</f>
        <v/>
      </c>
      <c r="Q828">
        <f>TRIM(SUBSTITUTE(INDEX('Pooled funds'!$B:$B,ROW())&amp;""," "," "))</f>
        <v/>
      </c>
      <c r="R828">
        <f>IFERROR(--INDEX('Pooled funds'!$C:$C,ROW()),0)</f>
        <v/>
      </c>
      <c r="S828">
        <f>IFERROR(--INDEX('Pooled funds'!$D:$D,ROW()),0)</f>
        <v/>
      </c>
      <c r="T828">
        <f>IFERROR(IF(--INDEX('Pooled funds'!$E:$E,ROW())&gt;=1,--INDEX('Pooled funds'!$E:$E,ROW())/100,--INDEX('Pooled funds'!$E:$E,ROW())),0)</f>
        <v/>
      </c>
      <c r="U828">
        <f>IF(ISNUMBER(INDEX('Pooled funds'!$E:$E,ROW())),1,0)</f>
        <v/>
      </c>
      <c r="V828">
        <f>TRIM(SUBSTITUTE(INDEX('Loans'!$A:$A,ROW())&amp;""," "," "))</f>
        <v/>
      </c>
      <c r="W828">
        <f>TRIM(SUBSTITUTE(INDEX('Loans'!$B:$B,ROW())&amp;""," "," "))</f>
        <v/>
      </c>
      <c r="X828">
        <f>TRIM(SUBSTITUTE(INDEX('Loans'!$C:$C,ROW())&amp;""," "," "))</f>
        <v/>
      </c>
      <c r="Y828">
        <f>IFERROR(--INDEX('Loans'!$D:$D,ROW()),0)</f>
        <v/>
      </c>
      <c r="Z828">
        <f>IFERROR(--INDEX('Loans'!$E:$E,ROW()),0)</f>
        <v/>
      </c>
      <c r="AA828">
        <f>IFERROR(--INDEX('Loans'!$F:$F,ROW()),0)</f>
        <v/>
      </c>
      <c r="AB828">
        <f>IFERROR(IF(--INDEX('Loans'!$G:$G,ROW())&gt;=1,--INDEX('Loans'!$G:$G,ROW())/100,--INDEX('Loans'!$G:$G,ROW())),0)</f>
        <v/>
      </c>
      <c r="AC828">
        <f>TRIM(SUBSTITUTE(INDEX('Loans'!$H:$H,ROW())&amp;""," "," "))</f>
        <v/>
      </c>
      <c r="AD828">
        <f>TRIM(SUBSTITUTE(INDEX('Loans'!$I:$I,ROW())&amp;""," "," "))</f>
        <v/>
      </c>
      <c r="AE828">
        <f>IFERROR(--INDEX('Loans'!$J:$J,ROW()),0)</f>
        <v/>
      </c>
      <c r="AF828">
        <f>TRIM(SUBSTITUTE(INDEX('Loans'!$K:$K,ROW())&amp;""," "," "))</f>
        <v/>
      </c>
      <c r="AG828">
        <f>IFERROR(--INDEX('Loans'!$L:$L,ROW()),0)</f>
        <v/>
      </c>
      <c r="AH828">
        <f>IF(ISNUMBER(INDEX('Loans'!$G:$G,ROW())),1,0)</f>
        <v/>
      </c>
    </row>
    <row r="829">
      <c r="A829">
        <f>TRIM(SUBSTITUTE(INDEX('Term investments'!$A:$A,ROW())&amp;""," "," "))</f>
        <v/>
      </c>
      <c r="B829">
        <f>TRIM(SUBSTITUTE(INDEX('Term investments'!$B:$B,ROW())&amp;""," "," "))</f>
        <v/>
      </c>
      <c r="C829">
        <f>TRIM(SUBSTITUTE(INDEX('Term investments'!$C:$C,ROW())&amp;""," "," "))</f>
        <v/>
      </c>
      <c r="D829">
        <f>IFERROR(--INDEX('Term investments'!$D:$D,ROW()),0)</f>
        <v/>
      </c>
      <c r="E829">
        <f>IFERROR(--INDEX('Term investments'!$E:$E,ROW()),0)</f>
        <v/>
      </c>
      <c r="F829">
        <f>IFERROR(--INDEX('Term investments'!$F:$F,ROW()),0)</f>
        <v/>
      </c>
      <c r="G829">
        <f>IFERROR(IF(--INDEX('Term investments'!$G:$G,ROW())&gt;=1,--INDEX('Term investments'!$G:$G,ROW())/100,--INDEX('Term investments'!$G:$G,ROW())),0)</f>
        <v/>
      </c>
      <c r="H829">
        <f>IFERROR(--INDEX('Term investments'!$H:$H,ROW()),0)</f>
        <v/>
      </c>
      <c r="I829">
        <f>IF(ISNUMBER(INDEX('Term investments'!$G:$G,ROW())),1,0)</f>
        <v/>
      </c>
      <c r="J829">
        <f>TRIM(SUBSTITUTE(INDEX('Call accounts and MMFs'!$A:$A,ROW())&amp;""," "," "))</f>
        <v/>
      </c>
      <c r="K829">
        <f>TRIM(SUBSTITUTE(INDEX('Call accounts and MMFs'!$B:$B,ROW())&amp;""," "," "))</f>
        <v/>
      </c>
      <c r="L829">
        <f>TRIM(SUBSTITUTE(INDEX('Call accounts and MMFs'!$C:$C,ROW())&amp;""," "," "))</f>
        <v/>
      </c>
      <c r="M829">
        <f>IFERROR(--INDEX('Call accounts and MMFs'!$D:$D,ROW()),0)</f>
        <v/>
      </c>
      <c r="N829">
        <f>IFERROR(IF(--INDEX('Call accounts and MMFs'!$E:$E,ROW())&gt;=1,--INDEX('Call accounts and MMFs'!$E:$E,ROW())/100,--INDEX('Call accounts and MMFs'!$E:$E,ROW())),0)</f>
        <v/>
      </c>
      <c r="O829">
        <f>IFERROR(--INDEX('Call accounts and MMFs'!$F:$F,ROW()),0)</f>
        <v/>
      </c>
      <c r="P829">
        <f>IF(ISNUMBER(INDEX('Call accounts and MMFs'!$E:$E,ROW())),1,0)</f>
        <v/>
      </c>
      <c r="Q829">
        <f>TRIM(SUBSTITUTE(INDEX('Pooled funds'!$B:$B,ROW())&amp;""," "," "))</f>
        <v/>
      </c>
      <c r="R829">
        <f>IFERROR(--INDEX('Pooled funds'!$C:$C,ROW()),0)</f>
        <v/>
      </c>
      <c r="S829">
        <f>IFERROR(--INDEX('Pooled funds'!$D:$D,ROW()),0)</f>
        <v/>
      </c>
      <c r="T829">
        <f>IFERROR(IF(--INDEX('Pooled funds'!$E:$E,ROW())&gt;=1,--INDEX('Pooled funds'!$E:$E,ROW())/100,--INDEX('Pooled funds'!$E:$E,ROW())),0)</f>
        <v/>
      </c>
      <c r="U829">
        <f>IF(ISNUMBER(INDEX('Pooled funds'!$E:$E,ROW())),1,0)</f>
        <v/>
      </c>
      <c r="V829">
        <f>TRIM(SUBSTITUTE(INDEX('Loans'!$A:$A,ROW())&amp;""," "," "))</f>
        <v/>
      </c>
      <c r="W829">
        <f>TRIM(SUBSTITUTE(INDEX('Loans'!$B:$B,ROW())&amp;""," "," "))</f>
        <v/>
      </c>
      <c r="X829">
        <f>TRIM(SUBSTITUTE(INDEX('Loans'!$C:$C,ROW())&amp;""," "," "))</f>
        <v/>
      </c>
      <c r="Y829">
        <f>IFERROR(--INDEX('Loans'!$D:$D,ROW()),0)</f>
        <v/>
      </c>
      <c r="Z829">
        <f>IFERROR(--INDEX('Loans'!$E:$E,ROW()),0)</f>
        <v/>
      </c>
      <c r="AA829">
        <f>IFERROR(--INDEX('Loans'!$F:$F,ROW()),0)</f>
        <v/>
      </c>
      <c r="AB829">
        <f>IFERROR(IF(--INDEX('Loans'!$G:$G,ROW())&gt;=1,--INDEX('Loans'!$G:$G,ROW())/100,--INDEX('Loans'!$G:$G,ROW())),0)</f>
        <v/>
      </c>
      <c r="AC829">
        <f>TRIM(SUBSTITUTE(INDEX('Loans'!$H:$H,ROW())&amp;""," "," "))</f>
        <v/>
      </c>
      <c r="AD829">
        <f>TRIM(SUBSTITUTE(INDEX('Loans'!$I:$I,ROW())&amp;""," "," "))</f>
        <v/>
      </c>
      <c r="AE829">
        <f>IFERROR(--INDEX('Loans'!$J:$J,ROW()),0)</f>
        <v/>
      </c>
      <c r="AF829">
        <f>TRIM(SUBSTITUTE(INDEX('Loans'!$K:$K,ROW())&amp;""," "," "))</f>
        <v/>
      </c>
      <c r="AG829">
        <f>IFERROR(--INDEX('Loans'!$L:$L,ROW()),0)</f>
        <v/>
      </c>
      <c r="AH829">
        <f>IF(ISNUMBER(INDEX('Loans'!$G:$G,ROW())),1,0)</f>
        <v/>
      </c>
    </row>
    <row r="830">
      <c r="A830">
        <f>TRIM(SUBSTITUTE(INDEX('Term investments'!$A:$A,ROW())&amp;""," "," "))</f>
        <v/>
      </c>
      <c r="B830">
        <f>TRIM(SUBSTITUTE(INDEX('Term investments'!$B:$B,ROW())&amp;""," "," "))</f>
        <v/>
      </c>
      <c r="C830">
        <f>TRIM(SUBSTITUTE(INDEX('Term investments'!$C:$C,ROW())&amp;""," "," "))</f>
        <v/>
      </c>
      <c r="D830">
        <f>IFERROR(--INDEX('Term investments'!$D:$D,ROW()),0)</f>
        <v/>
      </c>
      <c r="E830">
        <f>IFERROR(--INDEX('Term investments'!$E:$E,ROW()),0)</f>
        <v/>
      </c>
      <c r="F830">
        <f>IFERROR(--INDEX('Term investments'!$F:$F,ROW()),0)</f>
        <v/>
      </c>
      <c r="G830">
        <f>IFERROR(IF(--INDEX('Term investments'!$G:$G,ROW())&gt;=1,--INDEX('Term investments'!$G:$G,ROW())/100,--INDEX('Term investments'!$G:$G,ROW())),0)</f>
        <v/>
      </c>
      <c r="H830">
        <f>IFERROR(--INDEX('Term investments'!$H:$H,ROW()),0)</f>
        <v/>
      </c>
      <c r="I830">
        <f>IF(ISNUMBER(INDEX('Term investments'!$G:$G,ROW())),1,0)</f>
        <v/>
      </c>
      <c r="J830">
        <f>TRIM(SUBSTITUTE(INDEX('Call accounts and MMFs'!$A:$A,ROW())&amp;""," "," "))</f>
        <v/>
      </c>
      <c r="K830">
        <f>TRIM(SUBSTITUTE(INDEX('Call accounts and MMFs'!$B:$B,ROW())&amp;""," "," "))</f>
        <v/>
      </c>
      <c r="L830">
        <f>TRIM(SUBSTITUTE(INDEX('Call accounts and MMFs'!$C:$C,ROW())&amp;""," "," "))</f>
        <v/>
      </c>
      <c r="M830">
        <f>IFERROR(--INDEX('Call accounts and MMFs'!$D:$D,ROW()),0)</f>
        <v/>
      </c>
      <c r="N830">
        <f>IFERROR(IF(--INDEX('Call accounts and MMFs'!$E:$E,ROW())&gt;=1,--INDEX('Call accounts and MMFs'!$E:$E,ROW())/100,--INDEX('Call accounts and MMFs'!$E:$E,ROW())),0)</f>
        <v/>
      </c>
      <c r="O830">
        <f>IFERROR(--INDEX('Call accounts and MMFs'!$F:$F,ROW()),0)</f>
        <v/>
      </c>
      <c r="P830">
        <f>IF(ISNUMBER(INDEX('Call accounts and MMFs'!$E:$E,ROW())),1,0)</f>
        <v/>
      </c>
      <c r="Q830">
        <f>TRIM(SUBSTITUTE(INDEX('Pooled funds'!$B:$B,ROW())&amp;""," "," "))</f>
        <v/>
      </c>
      <c r="R830">
        <f>IFERROR(--INDEX('Pooled funds'!$C:$C,ROW()),0)</f>
        <v/>
      </c>
      <c r="S830">
        <f>IFERROR(--INDEX('Pooled funds'!$D:$D,ROW()),0)</f>
        <v/>
      </c>
      <c r="T830">
        <f>IFERROR(IF(--INDEX('Pooled funds'!$E:$E,ROW())&gt;=1,--INDEX('Pooled funds'!$E:$E,ROW())/100,--INDEX('Pooled funds'!$E:$E,ROW())),0)</f>
        <v/>
      </c>
      <c r="U830">
        <f>IF(ISNUMBER(INDEX('Pooled funds'!$E:$E,ROW())),1,0)</f>
        <v/>
      </c>
      <c r="V830">
        <f>TRIM(SUBSTITUTE(INDEX('Loans'!$A:$A,ROW())&amp;""," "," "))</f>
        <v/>
      </c>
      <c r="W830">
        <f>TRIM(SUBSTITUTE(INDEX('Loans'!$B:$B,ROW())&amp;""," "," "))</f>
        <v/>
      </c>
      <c r="X830">
        <f>TRIM(SUBSTITUTE(INDEX('Loans'!$C:$C,ROW())&amp;""," "," "))</f>
        <v/>
      </c>
      <c r="Y830">
        <f>IFERROR(--INDEX('Loans'!$D:$D,ROW()),0)</f>
        <v/>
      </c>
      <c r="Z830">
        <f>IFERROR(--INDEX('Loans'!$E:$E,ROW()),0)</f>
        <v/>
      </c>
      <c r="AA830">
        <f>IFERROR(--INDEX('Loans'!$F:$F,ROW()),0)</f>
        <v/>
      </c>
      <c r="AB830">
        <f>IFERROR(IF(--INDEX('Loans'!$G:$G,ROW())&gt;=1,--INDEX('Loans'!$G:$G,ROW())/100,--INDEX('Loans'!$G:$G,ROW())),0)</f>
        <v/>
      </c>
      <c r="AC830">
        <f>TRIM(SUBSTITUTE(INDEX('Loans'!$H:$H,ROW())&amp;""," "," "))</f>
        <v/>
      </c>
      <c r="AD830">
        <f>TRIM(SUBSTITUTE(INDEX('Loans'!$I:$I,ROW())&amp;""," "," "))</f>
        <v/>
      </c>
      <c r="AE830">
        <f>IFERROR(--INDEX('Loans'!$J:$J,ROW()),0)</f>
        <v/>
      </c>
      <c r="AF830">
        <f>TRIM(SUBSTITUTE(INDEX('Loans'!$K:$K,ROW())&amp;""," "," "))</f>
        <v/>
      </c>
      <c r="AG830">
        <f>IFERROR(--INDEX('Loans'!$L:$L,ROW()),0)</f>
        <v/>
      </c>
      <c r="AH830">
        <f>IF(ISNUMBER(INDEX('Loans'!$G:$G,ROW())),1,0)</f>
        <v/>
      </c>
    </row>
    <row r="831">
      <c r="A831">
        <f>TRIM(SUBSTITUTE(INDEX('Term investments'!$A:$A,ROW())&amp;""," "," "))</f>
        <v/>
      </c>
      <c r="B831">
        <f>TRIM(SUBSTITUTE(INDEX('Term investments'!$B:$B,ROW())&amp;""," "," "))</f>
        <v/>
      </c>
      <c r="C831">
        <f>TRIM(SUBSTITUTE(INDEX('Term investments'!$C:$C,ROW())&amp;""," "," "))</f>
        <v/>
      </c>
      <c r="D831">
        <f>IFERROR(--INDEX('Term investments'!$D:$D,ROW()),0)</f>
        <v/>
      </c>
      <c r="E831">
        <f>IFERROR(--INDEX('Term investments'!$E:$E,ROW()),0)</f>
        <v/>
      </c>
      <c r="F831">
        <f>IFERROR(--INDEX('Term investments'!$F:$F,ROW()),0)</f>
        <v/>
      </c>
      <c r="G831">
        <f>IFERROR(IF(--INDEX('Term investments'!$G:$G,ROW())&gt;=1,--INDEX('Term investments'!$G:$G,ROW())/100,--INDEX('Term investments'!$G:$G,ROW())),0)</f>
        <v/>
      </c>
      <c r="H831">
        <f>IFERROR(--INDEX('Term investments'!$H:$H,ROW()),0)</f>
        <v/>
      </c>
      <c r="I831">
        <f>IF(ISNUMBER(INDEX('Term investments'!$G:$G,ROW())),1,0)</f>
        <v/>
      </c>
      <c r="J831">
        <f>TRIM(SUBSTITUTE(INDEX('Call accounts and MMFs'!$A:$A,ROW())&amp;""," "," "))</f>
        <v/>
      </c>
      <c r="K831">
        <f>TRIM(SUBSTITUTE(INDEX('Call accounts and MMFs'!$B:$B,ROW())&amp;""," "," "))</f>
        <v/>
      </c>
      <c r="L831">
        <f>TRIM(SUBSTITUTE(INDEX('Call accounts and MMFs'!$C:$C,ROW())&amp;""," "," "))</f>
        <v/>
      </c>
      <c r="M831">
        <f>IFERROR(--INDEX('Call accounts and MMFs'!$D:$D,ROW()),0)</f>
        <v/>
      </c>
      <c r="N831">
        <f>IFERROR(IF(--INDEX('Call accounts and MMFs'!$E:$E,ROW())&gt;=1,--INDEX('Call accounts and MMFs'!$E:$E,ROW())/100,--INDEX('Call accounts and MMFs'!$E:$E,ROW())),0)</f>
        <v/>
      </c>
      <c r="O831">
        <f>IFERROR(--INDEX('Call accounts and MMFs'!$F:$F,ROW()),0)</f>
        <v/>
      </c>
      <c r="P831">
        <f>IF(ISNUMBER(INDEX('Call accounts and MMFs'!$E:$E,ROW())),1,0)</f>
        <v/>
      </c>
      <c r="Q831">
        <f>TRIM(SUBSTITUTE(INDEX('Pooled funds'!$B:$B,ROW())&amp;""," "," "))</f>
        <v/>
      </c>
      <c r="R831">
        <f>IFERROR(--INDEX('Pooled funds'!$C:$C,ROW()),0)</f>
        <v/>
      </c>
      <c r="S831">
        <f>IFERROR(--INDEX('Pooled funds'!$D:$D,ROW()),0)</f>
        <v/>
      </c>
      <c r="T831">
        <f>IFERROR(IF(--INDEX('Pooled funds'!$E:$E,ROW())&gt;=1,--INDEX('Pooled funds'!$E:$E,ROW())/100,--INDEX('Pooled funds'!$E:$E,ROW())),0)</f>
        <v/>
      </c>
      <c r="U831">
        <f>IF(ISNUMBER(INDEX('Pooled funds'!$E:$E,ROW())),1,0)</f>
        <v/>
      </c>
      <c r="V831">
        <f>TRIM(SUBSTITUTE(INDEX('Loans'!$A:$A,ROW())&amp;""," "," "))</f>
        <v/>
      </c>
      <c r="W831">
        <f>TRIM(SUBSTITUTE(INDEX('Loans'!$B:$B,ROW())&amp;""," "," "))</f>
        <v/>
      </c>
      <c r="X831">
        <f>TRIM(SUBSTITUTE(INDEX('Loans'!$C:$C,ROW())&amp;""," "," "))</f>
        <v/>
      </c>
      <c r="Y831">
        <f>IFERROR(--INDEX('Loans'!$D:$D,ROW()),0)</f>
        <v/>
      </c>
      <c r="Z831">
        <f>IFERROR(--INDEX('Loans'!$E:$E,ROW()),0)</f>
        <v/>
      </c>
      <c r="AA831">
        <f>IFERROR(--INDEX('Loans'!$F:$F,ROW()),0)</f>
        <v/>
      </c>
      <c r="AB831">
        <f>IFERROR(IF(--INDEX('Loans'!$G:$G,ROW())&gt;=1,--INDEX('Loans'!$G:$G,ROW())/100,--INDEX('Loans'!$G:$G,ROW())),0)</f>
        <v/>
      </c>
      <c r="AC831">
        <f>TRIM(SUBSTITUTE(INDEX('Loans'!$H:$H,ROW())&amp;""," "," "))</f>
        <v/>
      </c>
      <c r="AD831">
        <f>TRIM(SUBSTITUTE(INDEX('Loans'!$I:$I,ROW())&amp;""," "," "))</f>
        <v/>
      </c>
      <c r="AE831">
        <f>IFERROR(--INDEX('Loans'!$J:$J,ROW()),0)</f>
        <v/>
      </c>
      <c r="AF831">
        <f>TRIM(SUBSTITUTE(INDEX('Loans'!$K:$K,ROW())&amp;""," "," "))</f>
        <v/>
      </c>
      <c r="AG831">
        <f>IFERROR(--INDEX('Loans'!$L:$L,ROW()),0)</f>
        <v/>
      </c>
      <c r="AH831">
        <f>IF(ISNUMBER(INDEX('Loans'!$G:$G,ROW())),1,0)</f>
        <v/>
      </c>
    </row>
    <row r="832">
      <c r="A832">
        <f>TRIM(SUBSTITUTE(INDEX('Term investments'!$A:$A,ROW())&amp;""," "," "))</f>
        <v/>
      </c>
      <c r="B832">
        <f>TRIM(SUBSTITUTE(INDEX('Term investments'!$B:$B,ROW())&amp;""," "," "))</f>
        <v/>
      </c>
      <c r="C832">
        <f>TRIM(SUBSTITUTE(INDEX('Term investments'!$C:$C,ROW())&amp;""," "," "))</f>
        <v/>
      </c>
      <c r="D832">
        <f>IFERROR(--INDEX('Term investments'!$D:$D,ROW()),0)</f>
        <v/>
      </c>
      <c r="E832">
        <f>IFERROR(--INDEX('Term investments'!$E:$E,ROW()),0)</f>
        <v/>
      </c>
      <c r="F832">
        <f>IFERROR(--INDEX('Term investments'!$F:$F,ROW()),0)</f>
        <v/>
      </c>
      <c r="G832">
        <f>IFERROR(IF(--INDEX('Term investments'!$G:$G,ROW())&gt;=1,--INDEX('Term investments'!$G:$G,ROW())/100,--INDEX('Term investments'!$G:$G,ROW())),0)</f>
        <v/>
      </c>
      <c r="H832">
        <f>IFERROR(--INDEX('Term investments'!$H:$H,ROW()),0)</f>
        <v/>
      </c>
      <c r="I832">
        <f>IF(ISNUMBER(INDEX('Term investments'!$G:$G,ROW())),1,0)</f>
        <v/>
      </c>
      <c r="J832">
        <f>TRIM(SUBSTITUTE(INDEX('Call accounts and MMFs'!$A:$A,ROW())&amp;""," "," "))</f>
        <v/>
      </c>
      <c r="K832">
        <f>TRIM(SUBSTITUTE(INDEX('Call accounts and MMFs'!$B:$B,ROW())&amp;""," "," "))</f>
        <v/>
      </c>
      <c r="L832">
        <f>TRIM(SUBSTITUTE(INDEX('Call accounts and MMFs'!$C:$C,ROW())&amp;""," "," "))</f>
        <v/>
      </c>
      <c r="M832">
        <f>IFERROR(--INDEX('Call accounts and MMFs'!$D:$D,ROW()),0)</f>
        <v/>
      </c>
      <c r="N832">
        <f>IFERROR(IF(--INDEX('Call accounts and MMFs'!$E:$E,ROW())&gt;=1,--INDEX('Call accounts and MMFs'!$E:$E,ROW())/100,--INDEX('Call accounts and MMFs'!$E:$E,ROW())),0)</f>
        <v/>
      </c>
      <c r="O832">
        <f>IFERROR(--INDEX('Call accounts and MMFs'!$F:$F,ROW()),0)</f>
        <v/>
      </c>
      <c r="P832">
        <f>IF(ISNUMBER(INDEX('Call accounts and MMFs'!$E:$E,ROW())),1,0)</f>
        <v/>
      </c>
      <c r="Q832">
        <f>TRIM(SUBSTITUTE(INDEX('Pooled funds'!$B:$B,ROW())&amp;""," "," "))</f>
        <v/>
      </c>
      <c r="R832">
        <f>IFERROR(--INDEX('Pooled funds'!$C:$C,ROW()),0)</f>
        <v/>
      </c>
      <c r="S832">
        <f>IFERROR(--INDEX('Pooled funds'!$D:$D,ROW()),0)</f>
        <v/>
      </c>
      <c r="T832">
        <f>IFERROR(IF(--INDEX('Pooled funds'!$E:$E,ROW())&gt;=1,--INDEX('Pooled funds'!$E:$E,ROW())/100,--INDEX('Pooled funds'!$E:$E,ROW())),0)</f>
        <v/>
      </c>
      <c r="U832">
        <f>IF(ISNUMBER(INDEX('Pooled funds'!$E:$E,ROW())),1,0)</f>
        <v/>
      </c>
      <c r="V832">
        <f>TRIM(SUBSTITUTE(INDEX('Loans'!$A:$A,ROW())&amp;""," "," "))</f>
        <v/>
      </c>
      <c r="W832">
        <f>TRIM(SUBSTITUTE(INDEX('Loans'!$B:$B,ROW())&amp;""," "," "))</f>
        <v/>
      </c>
      <c r="X832">
        <f>TRIM(SUBSTITUTE(INDEX('Loans'!$C:$C,ROW())&amp;""," "," "))</f>
        <v/>
      </c>
      <c r="Y832">
        <f>IFERROR(--INDEX('Loans'!$D:$D,ROW()),0)</f>
        <v/>
      </c>
      <c r="Z832">
        <f>IFERROR(--INDEX('Loans'!$E:$E,ROW()),0)</f>
        <v/>
      </c>
      <c r="AA832">
        <f>IFERROR(--INDEX('Loans'!$F:$F,ROW()),0)</f>
        <v/>
      </c>
      <c r="AB832">
        <f>IFERROR(IF(--INDEX('Loans'!$G:$G,ROW())&gt;=1,--INDEX('Loans'!$G:$G,ROW())/100,--INDEX('Loans'!$G:$G,ROW())),0)</f>
        <v/>
      </c>
      <c r="AC832">
        <f>TRIM(SUBSTITUTE(INDEX('Loans'!$H:$H,ROW())&amp;""," "," "))</f>
        <v/>
      </c>
      <c r="AD832">
        <f>TRIM(SUBSTITUTE(INDEX('Loans'!$I:$I,ROW())&amp;""," "," "))</f>
        <v/>
      </c>
      <c r="AE832">
        <f>IFERROR(--INDEX('Loans'!$J:$J,ROW()),0)</f>
        <v/>
      </c>
      <c r="AF832">
        <f>TRIM(SUBSTITUTE(INDEX('Loans'!$K:$K,ROW())&amp;""," "," "))</f>
        <v/>
      </c>
      <c r="AG832">
        <f>IFERROR(--INDEX('Loans'!$L:$L,ROW()),0)</f>
        <v/>
      </c>
      <c r="AH832">
        <f>IF(ISNUMBER(INDEX('Loans'!$G:$G,ROW())),1,0)</f>
        <v/>
      </c>
    </row>
    <row r="833">
      <c r="A833">
        <f>TRIM(SUBSTITUTE(INDEX('Term investments'!$A:$A,ROW())&amp;""," "," "))</f>
        <v/>
      </c>
      <c r="B833">
        <f>TRIM(SUBSTITUTE(INDEX('Term investments'!$B:$B,ROW())&amp;""," "," "))</f>
        <v/>
      </c>
      <c r="C833">
        <f>TRIM(SUBSTITUTE(INDEX('Term investments'!$C:$C,ROW())&amp;""," "," "))</f>
        <v/>
      </c>
      <c r="D833">
        <f>IFERROR(--INDEX('Term investments'!$D:$D,ROW()),0)</f>
        <v/>
      </c>
      <c r="E833">
        <f>IFERROR(--INDEX('Term investments'!$E:$E,ROW()),0)</f>
        <v/>
      </c>
      <c r="F833">
        <f>IFERROR(--INDEX('Term investments'!$F:$F,ROW()),0)</f>
        <v/>
      </c>
      <c r="G833">
        <f>IFERROR(IF(--INDEX('Term investments'!$G:$G,ROW())&gt;=1,--INDEX('Term investments'!$G:$G,ROW())/100,--INDEX('Term investments'!$G:$G,ROW())),0)</f>
        <v/>
      </c>
      <c r="H833">
        <f>IFERROR(--INDEX('Term investments'!$H:$H,ROW()),0)</f>
        <v/>
      </c>
      <c r="I833">
        <f>IF(ISNUMBER(INDEX('Term investments'!$G:$G,ROW())),1,0)</f>
        <v/>
      </c>
      <c r="J833">
        <f>TRIM(SUBSTITUTE(INDEX('Call accounts and MMFs'!$A:$A,ROW())&amp;""," "," "))</f>
        <v/>
      </c>
      <c r="K833">
        <f>TRIM(SUBSTITUTE(INDEX('Call accounts and MMFs'!$B:$B,ROW())&amp;""," "," "))</f>
        <v/>
      </c>
      <c r="L833">
        <f>TRIM(SUBSTITUTE(INDEX('Call accounts and MMFs'!$C:$C,ROW())&amp;""," "," "))</f>
        <v/>
      </c>
      <c r="M833">
        <f>IFERROR(--INDEX('Call accounts and MMFs'!$D:$D,ROW()),0)</f>
        <v/>
      </c>
      <c r="N833">
        <f>IFERROR(IF(--INDEX('Call accounts and MMFs'!$E:$E,ROW())&gt;=1,--INDEX('Call accounts and MMFs'!$E:$E,ROW())/100,--INDEX('Call accounts and MMFs'!$E:$E,ROW())),0)</f>
        <v/>
      </c>
      <c r="O833">
        <f>IFERROR(--INDEX('Call accounts and MMFs'!$F:$F,ROW()),0)</f>
        <v/>
      </c>
      <c r="P833">
        <f>IF(ISNUMBER(INDEX('Call accounts and MMFs'!$E:$E,ROW())),1,0)</f>
        <v/>
      </c>
      <c r="Q833">
        <f>TRIM(SUBSTITUTE(INDEX('Pooled funds'!$B:$B,ROW())&amp;""," "," "))</f>
        <v/>
      </c>
      <c r="R833">
        <f>IFERROR(--INDEX('Pooled funds'!$C:$C,ROW()),0)</f>
        <v/>
      </c>
      <c r="S833">
        <f>IFERROR(--INDEX('Pooled funds'!$D:$D,ROW()),0)</f>
        <v/>
      </c>
      <c r="T833">
        <f>IFERROR(IF(--INDEX('Pooled funds'!$E:$E,ROW())&gt;=1,--INDEX('Pooled funds'!$E:$E,ROW())/100,--INDEX('Pooled funds'!$E:$E,ROW())),0)</f>
        <v/>
      </c>
      <c r="U833">
        <f>IF(ISNUMBER(INDEX('Pooled funds'!$E:$E,ROW())),1,0)</f>
        <v/>
      </c>
      <c r="V833">
        <f>TRIM(SUBSTITUTE(INDEX('Loans'!$A:$A,ROW())&amp;""," "," "))</f>
        <v/>
      </c>
      <c r="W833">
        <f>TRIM(SUBSTITUTE(INDEX('Loans'!$B:$B,ROW())&amp;""," "," "))</f>
        <v/>
      </c>
      <c r="X833">
        <f>TRIM(SUBSTITUTE(INDEX('Loans'!$C:$C,ROW())&amp;""," "," "))</f>
        <v/>
      </c>
      <c r="Y833">
        <f>IFERROR(--INDEX('Loans'!$D:$D,ROW()),0)</f>
        <v/>
      </c>
      <c r="Z833">
        <f>IFERROR(--INDEX('Loans'!$E:$E,ROW()),0)</f>
        <v/>
      </c>
      <c r="AA833">
        <f>IFERROR(--INDEX('Loans'!$F:$F,ROW()),0)</f>
        <v/>
      </c>
      <c r="AB833">
        <f>IFERROR(IF(--INDEX('Loans'!$G:$G,ROW())&gt;=1,--INDEX('Loans'!$G:$G,ROW())/100,--INDEX('Loans'!$G:$G,ROW())),0)</f>
        <v/>
      </c>
      <c r="AC833">
        <f>TRIM(SUBSTITUTE(INDEX('Loans'!$H:$H,ROW())&amp;""," "," "))</f>
        <v/>
      </c>
      <c r="AD833">
        <f>TRIM(SUBSTITUTE(INDEX('Loans'!$I:$I,ROW())&amp;""," "," "))</f>
        <v/>
      </c>
      <c r="AE833">
        <f>IFERROR(--INDEX('Loans'!$J:$J,ROW()),0)</f>
        <v/>
      </c>
      <c r="AF833">
        <f>TRIM(SUBSTITUTE(INDEX('Loans'!$K:$K,ROW())&amp;""," "," "))</f>
        <v/>
      </c>
      <c r="AG833">
        <f>IFERROR(--INDEX('Loans'!$L:$L,ROW()),0)</f>
        <v/>
      </c>
      <c r="AH833">
        <f>IF(ISNUMBER(INDEX('Loans'!$G:$G,ROW())),1,0)</f>
        <v/>
      </c>
    </row>
    <row r="834">
      <c r="A834">
        <f>TRIM(SUBSTITUTE(INDEX('Term investments'!$A:$A,ROW())&amp;""," "," "))</f>
        <v/>
      </c>
      <c r="B834">
        <f>TRIM(SUBSTITUTE(INDEX('Term investments'!$B:$B,ROW())&amp;""," "," "))</f>
        <v/>
      </c>
      <c r="C834">
        <f>TRIM(SUBSTITUTE(INDEX('Term investments'!$C:$C,ROW())&amp;""," "," "))</f>
        <v/>
      </c>
      <c r="D834">
        <f>IFERROR(--INDEX('Term investments'!$D:$D,ROW()),0)</f>
        <v/>
      </c>
      <c r="E834">
        <f>IFERROR(--INDEX('Term investments'!$E:$E,ROW()),0)</f>
        <v/>
      </c>
      <c r="F834">
        <f>IFERROR(--INDEX('Term investments'!$F:$F,ROW()),0)</f>
        <v/>
      </c>
      <c r="G834">
        <f>IFERROR(IF(--INDEX('Term investments'!$G:$G,ROW())&gt;=1,--INDEX('Term investments'!$G:$G,ROW())/100,--INDEX('Term investments'!$G:$G,ROW())),0)</f>
        <v/>
      </c>
      <c r="H834">
        <f>IFERROR(--INDEX('Term investments'!$H:$H,ROW()),0)</f>
        <v/>
      </c>
      <c r="I834">
        <f>IF(ISNUMBER(INDEX('Term investments'!$G:$G,ROW())),1,0)</f>
        <v/>
      </c>
      <c r="J834">
        <f>TRIM(SUBSTITUTE(INDEX('Call accounts and MMFs'!$A:$A,ROW())&amp;""," "," "))</f>
        <v/>
      </c>
      <c r="K834">
        <f>TRIM(SUBSTITUTE(INDEX('Call accounts and MMFs'!$B:$B,ROW())&amp;""," "," "))</f>
        <v/>
      </c>
      <c r="L834">
        <f>TRIM(SUBSTITUTE(INDEX('Call accounts and MMFs'!$C:$C,ROW())&amp;""," "," "))</f>
        <v/>
      </c>
      <c r="M834">
        <f>IFERROR(--INDEX('Call accounts and MMFs'!$D:$D,ROW()),0)</f>
        <v/>
      </c>
      <c r="N834">
        <f>IFERROR(IF(--INDEX('Call accounts and MMFs'!$E:$E,ROW())&gt;=1,--INDEX('Call accounts and MMFs'!$E:$E,ROW())/100,--INDEX('Call accounts and MMFs'!$E:$E,ROW())),0)</f>
        <v/>
      </c>
      <c r="O834">
        <f>IFERROR(--INDEX('Call accounts and MMFs'!$F:$F,ROW()),0)</f>
        <v/>
      </c>
      <c r="P834">
        <f>IF(ISNUMBER(INDEX('Call accounts and MMFs'!$E:$E,ROW())),1,0)</f>
        <v/>
      </c>
      <c r="Q834">
        <f>TRIM(SUBSTITUTE(INDEX('Pooled funds'!$B:$B,ROW())&amp;""," "," "))</f>
        <v/>
      </c>
      <c r="R834">
        <f>IFERROR(--INDEX('Pooled funds'!$C:$C,ROW()),0)</f>
        <v/>
      </c>
      <c r="S834">
        <f>IFERROR(--INDEX('Pooled funds'!$D:$D,ROW()),0)</f>
        <v/>
      </c>
      <c r="T834">
        <f>IFERROR(IF(--INDEX('Pooled funds'!$E:$E,ROW())&gt;=1,--INDEX('Pooled funds'!$E:$E,ROW())/100,--INDEX('Pooled funds'!$E:$E,ROW())),0)</f>
        <v/>
      </c>
      <c r="U834">
        <f>IF(ISNUMBER(INDEX('Pooled funds'!$E:$E,ROW())),1,0)</f>
        <v/>
      </c>
      <c r="V834">
        <f>TRIM(SUBSTITUTE(INDEX('Loans'!$A:$A,ROW())&amp;""," "," "))</f>
        <v/>
      </c>
      <c r="W834">
        <f>TRIM(SUBSTITUTE(INDEX('Loans'!$B:$B,ROW())&amp;""," "," "))</f>
        <v/>
      </c>
      <c r="X834">
        <f>TRIM(SUBSTITUTE(INDEX('Loans'!$C:$C,ROW())&amp;""," "," "))</f>
        <v/>
      </c>
      <c r="Y834">
        <f>IFERROR(--INDEX('Loans'!$D:$D,ROW()),0)</f>
        <v/>
      </c>
      <c r="Z834">
        <f>IFERROR(--INDEX('Loans'!$E:$E,ROW()),0)</f>
        <v/>
      </c>
      <c r="AA834">
        <f>IFERROR(--INDEX('Loans'!$F:$F,ROW()),0)</f>
        <v/>
      </c>
      <c r="AB834">
        <f>IFERROR(IF(--INDEX('Loans'!$G:$G,ROW())&gt;=1,--INDEX('Loans'!$G:$G,ROW())/100,--INDEX('Loans'!$G:$G,ROW())),0)</f>
        <v/>
      </c>
      <c r="AC834">
        <f>TRIM(SUBSTITUTE(INDEX('Loans'!$H:$H,ROW())&amp;""," "," "))</f>
        <v/>
      </c>
      <c r="AD834">
        <f>TRIM(SUBSTITUTE(INDEX('Loans'!$I:$I,ROW())&amp;""," "," "))</f>
        <v/>
      </c>
      <c r="AE834">
        <f>IFERROR(--INDEX('Loans'!$J:$J,ROW()),0)</f>
        <v/>
      </c>
      <c r="AF834">
        <f>TRIM(SUBSTITUTE(INDEX('Loans'!$K:$K,ROW())&amp;""," "," "))</f>
        <v/>
      </c>
      <c r="AG834">
        <f>IFERROR(--INDEX('Loans'!$L:$L,ROW()),0)</f>
        <v/>
      </c>
      <c r="AH834">
        <f>IF(ISNUMBER(INDEX('Loans'!$G:$G,ROW())),1,0)</f>
        <v/>
      </c>
    </row>
    <row r="835">
      <c r="A835">
        <f>TRIM(SUBSTITUTE(INDEX('Term investments'!$A:$A,ROW())&amp;""," "," "))</f>
        <v/>
      </c>
      <c r="B835">
        <f>TRIM(SUBSTITUTE(INDEX('Term investments'!$B:$B,ROW())&amp;""," "," "))</f>
        <v/>
      </c>
      <c r="C835">
        <f>TRIM(SUBSTITUTE(INDEX('Term investments'!$C:$C,ROW())&amp;""," "," "))</f>
        <v/>
      </c>
      <c r="D835">
        <f>IFERROR(--INDEX('Term investments'!$D:$D,ROW()),0)</f>
        <v/>
      </c>
      <c r="E835">
        <f>IFERROR(--INDEX('Term investments'!$E:$E,ROW()),0)</f>
        <v/>
      </c>
      <c r="F835">
        <f>IFERROR(--INDEX('Term investments'!$F:$F,ROW()),0)</f>
        <v/>
      </c>
      <c r="G835">
        <f>IFERROR(IF(--INDEX('Term investments'!$G:$G,ROW())&gt;=1,--INDEX('Term investments'!$G:$G,ROW())/100,--INDEX('Term investments'!$G:$G,ROW())),0)</f>
        <v/>
      </c>
      <c r="H835">
        <f>IFERROR(--INDEX('Term investments'!$H:$H,ROW()),0)</f>
        <v/>
      </c>
      <c r="I835">
        <f>IF(ISNUMBER(INDEX('Term investments'!$G:$G,ROW())),1,0)</f>
        <v/>
      </c>
      <c r="J835">
        <f>TRIM(SUBSTITUTE(INDEX('Call accounts and MMFs'!$A:$A,ROW())&amp;""," "," "))</f>
        <v/>
      </c>
      <c r="K835">
        <f>TRIM(SUBSTITUTE(INDEX('Call accounts and MMFs'!$B:$B,ROW())&amp;""," "," "))</f>
        <v/>
      </c>
      <c r="L835">
        <f>TRIM(SUBSTITUTE(INDEX('Call accounts and MMFs'!$C:$C,ROW())&amp;""," "," "))</f>
        <v/>
      </c>
      <c r="M835">
        <f>IFERROR(--INDEX('Call accounts and MMFs'!$D:$D,ROW()),0)</f>
        <v/>
      </c>
      <c r="N835">
        <f>IFERROR(IF(--INDEX('Call accounts and MMFs'!$E:$E,ROW())&gt;=1,--INDEX('Call accounts and MMFs'!$E:$E,ROW())/100,--INDEX('Call accounts and MMFs'!$E:$E,ROW())),0)</f>
        <v/>
      </c>
      <c r="O835">
        <f>IFERROR(--INDEX('Call accounts and MMFs'!$F:$F,ROW()),0)</f>
        <v/>
      </c>
      <c r="P835">
        <f>IF(ISNUMBER(INDEX('Call accounts and MMFs'!$E:$E,ROW())),1,0)</f>
        <v/>
      </c>
      <c r="Q835">
        <f>TRIM(SUBSTITUTE(INDEX('Pooled funds'!$B:$B,ROW())&amp;""," "," "))</f>
        <v/>
      </c>
      <c r="R835">
        <f>IFERROR(--INDEX('Pooled funds'!$C:$C,ROW()),0)</f>
        <v/>
      </c>
      <c r="S835">
        <f>IFERROR(--INDEX('Pooled funds'!$D:$D,ROW()),0)</f>
        <v/>
      </c>
      <c r="T835">
        <f>IFERROR(IF(--INDEX('Pooled funds'!$E:$E,ROW())&gt;=1,--INDEX('Pooled funds'!$E:$E,ROW())/100,--INDEX('Pooled funds'!$E:$E,ROW())),0)</f>
        <v/>
      </c>
      <c r="U835">
        <f>IF(ISNUMBER(INDEX('Pooled funds'!$E:$E,ROW())),1,0)</f>
        <v/>
      </c>
      <c r="V835">
        <f>TRIM(SUBSTITUTE(INDEX('Loans'!$A:$A,ROW())&amp;""," "," "))</f>
        <v/>
      </c>
      <c r="W835">
        <f>TRIM(SUBSTITUTE(INDEX('Loans'!$B:$B,ROW())&amp;""," "," "))</f>
        <v/>
      </c>
      <c r="X835">
        <f>TRIM(SUBSTITUTE(INDEX('Loans'!$C:$C,ROW())&amp;""," "," "))</f>
        <v/>
      </c>
      <c r="Y835">
        <f>IFERROR(--INDEX('Loans'!$D:$D,ROW()),0)</f>
        <v/>
      </c>
      <c r="Z835">
        <f>IFERROR(--INDEX('Loans'!$E:$E,ROW()),0)</f>
        <v/>
      </c>
      <c r="AA835">
        <f>IFERROR(--INDEX('Loans'!$F:$F,ROW()),0)</f>
        <v/>
      </c>
      <c r="AB835">
        <f>IFERROR(IF(--INDEX('Loans'!$G:$G,ROW())&gt;=1,--INDEX('Loans'!$G:$G,ROW())/100,--INDEX('Loans'!$G:$G,ROW())),0)</f>
        <v/>
      </c>
      <c r="AC835">
        <f>TRIM(SUBSTITUTE(INDEX('Loans'!$H:$H,ROW())&amp;""," "," "))</f>
        <v/>
      </c>
      <c r="AD835">
        <f>TRIM(SUBSTITUTE(INDEX('Loans'!$I:$I,ROW())&amp;""," "," "))</f>
        <v/>
      </c>
      <c r="AE835">
        <f>IFERROR(--INDEX('Loans'!$J:$J,ROW()),0)</f>
        <v/>
      </c>
      <c r="AF835">
        <f>TRIM(SUBSTITUTE(INDEX('Loans'!$K:$K,ROW())&amp;""," "," "))</f>
        <v/>
      </c>
      <c r="AG835">
        <f>IFERROR(--INDEX('Loans'!$L:$L,ROW()),0)</f>
        <v/>
      </c>
      <c r="AH835">
        <f>IF(ISNUMBER(INDEX('Loans'!$G:$G,ROW())),1,0)</f>
        <v/>
      </c>
    </row>
    <row r="836">
      <c r="A836">
        <f>TRIM(SUBSTITUTE(INDEX('Term investments'!$A:$A,ROW())&amp;""," "," "))</f>
        <v/>
      </c>
      <c r="B836">
        <f>TRIM(SUBSTITUTE(INDEX('Term investments'!$B:$B,ROW())&amp;""," "," "))</f>
        <v/>
      </c>
      <c r="C836">
        <f>TRIM(SUBSTITUTE(INDEX('Term investments'!$C:$C,ROW())&amp;""," "," "))</f>
        <v/>
      </c>
      <c r="D836">
        <f>IFERROR(--INDEX('Term investments'!$D:$D,ROW()),0)</f>
        <v/>
      </c>
      <c r="E836">
        <f>IFERROR(--INDEX('Term investments'!$E:$E,ROW()),0)</f>
        <v/>
      </c>
      <c r="F836">
        <f>IFERROR(--INDEX('Term investments'!$F:$F,ROW()),0)</f>
        <v/>
      </c>
      <c r="G836">
        <f>IFERROR(IF(--INDEX('Term investments'!$G:$G,ROW())&gt;=1,--INDEX('Term investments'!$G:$G,ROW())/100,--INDEX('Term investments'!$G:$G,ROW())),0)</f>
        <v/>
      </c>
      <c r="H836">
        <f>IFERROR(--INDEX('Term investments'!$H:$H,ROW()),0)</f>
        <v/>
      </c>
      <c r="I836">
        <f>IF(ISNUMBER(INDEX('Term investments'!$G:$G,ROW())),1,0)</f>
        <v/>
      </c>
      <c r="J836">
        <f>TRIM(SUBSTITUTE(INDEX('Call accounts and MMFs'!$A:$A,ROW())&amp;""," "," "))</f>
        <v/>
      </c>
      <c r="K836">
        <f>TRIM(SUBSTITUTE(INDEX('Call accounts and MMFs'!$B:$B,ROW())&amp;""," "," "))</f>
        <v/>
      </c>
      <c r="L836">
        <f>TRIM(SUBSTITUTE(INDEX('Call accounts and MMFs'!$C:$C,ROW())&amp;""," "," "))</f>
        <v/>
      </c>
      <c r="M836">
        <f>IFERROR(--INDEX('Call accounts and MMFs'!$D:$D,ROW()),0)</f>
        <v/>
      </c>
      <c r="N836">
        <f>IFERROR(IF(--INDEX('Call accounts and MMFs'!$E:$E,ROW())&gt;=1,--INDEX('Call accounts and MMFs'!$E:$E,ROW())/100,--INDEX('Call accounts and MMFs'!$E:$E,ROW())),0)</f>
        <v/>
      </c>
      <c r="O836">
        <f>IFERROR(--INDEX('Call accounts and MMFs'!$F:$F,ROW()),0)</f>
        <v/>
      </c>
      <c r="P836">
        <f>IF(ISNUMBER(INDEX('Call accounts and MMFs'!$E:$E,ROW())),1,0)</f>
        <v/>
      </c>
      <c r="Q836">
        <f>TRIM(SUBSTITUTE(INDEX('Pooled funds'!$B:$B,ROW())&amp;""," "," "))</f>
        <v/>
      </c>
      <c r="R836">
        <f>IFERROR(--INDEX('Pooled funds'!$C:$C,ROW()),0)</f>
        <v/>
      </c>
      <c r="S836">
        <f>IFERROR(--INDEX('Pooled funds'!$D:$D,ROW()),0)</f>
        <v/>
      </c>
      <c r="T836">
        <f>IFERROR(IF(--INDEX('Pooled funds'!$E:$E,ROW())&gt;=1,--INDEX('Pooled funds'!$E:$E,ROW())/100,--INDEX('Pooled funds'!$E:$E,ROW())),0)</f>
        <v/>
      </c>
      <c r="U836">
        <f>IF(ISNUMBER(INDEX('Pooled funds'!$E:$E,ROW())),1,0)</f>
        <v/>
      </c>
      <c r="V836">
        <f>TRIM(SUBSTITUTE(INDEX('Loans'!$A:$A,ROW())&amp;""," "," "))</f>
        <v/>
      </c>
      <c r="W836">
        <f>TRIM(SUBSTITUTE(INDEX('Loans'!$B:$B,ROW())&amp;""," "," "))</f>
        <v/>
      </c>
      <c r="X836">
        <f>TRIM(SUBSTITUTE(INDEX('Loans'!$C:$C,ROW())&amp;""," "," "))</f>
        <v/>
      </c>
      <c r="Y836">
        <f>IFERROR(--INDEX('Loans'!$D:$D,ROW()),0)</f>
        <v/>
      </c>
      <c r="Z836">
        <f>IFERROR(--INDEX('Loans'!$E:$E,ROW()),0)</f>
        <v/>
      </c>
      <c r="AA836">
        <f>IFERROR(--INDEX('Loans'!$F:$F,ROW()),0)</f>
        <v/>
      </c>
      <c r="AB836">
        <f>IFERROR(IF(--INDEX('Loans'!$G:$G,ROW())&gt;=1,--INDEX('Loans'!$G:$G,ROW())/100,--INDEX('Loans'!$G:$G,ROW())),0)</f>
        <v/>
      </c>
      <c r="AC836">
        <f>TRIM(SUBSTITUTE(INDEX('Loans'!$H:$H,ROW())&amp;""," "," "))</f>
        <v/>
      </c>
      <c r="AD836">
        <f>TRIM(SUBSTITUTE(INDEX('Loans'!$I:$I,ROW())&amp;""," "," "))</f>
        <v/>
      </c>
      <c r="AE836">
        <f>IFERROR(--INDEX('Loans'!$J:$J,ROW()),0)</f>
        <v/>
      </c>
      <c r="AF836">
        <f>TRIM(SUBSTITUTE(INDEX('Loans'!$K:$K,ROW())&amp;""," "," "))</f>
        <v/>
      </c>
      <c r="AG836">
        <f>IFERROR(--INDEX('Loans'!$L:$L,ROW()),0)</f>
        <v/>
      </c>
      <c r="AH836">
        <f>IF(ISNUMBER(INDEX('Loans'!$G:$G,ROW())),1,0)</f>
        <v/>
      </c>
    </row>
    <row r="837">
      <c r="A837">
        <f>TRIM(SUBSTITUTE(INDEX('Term investments'!$A:$A,ROW())&amp;""," "," "))</f>
        <v/>
      </c>
      <c r="B837">
        <f>TRIM(SUBSTITUTE(INDEX('Term investments'!$B:$B,ROW())&amp;""," "," "))</f>
        <v/>
      </c>
      <c r="C837">
        <f>TRIM(SUBSTITUTE(INDEX('Term investments'!$C:$C,ROW())&amp;""," "," "))</f>
        <v/>
      </c>
      <c r="D837">
        <f>IFERROR(--INDEX('Term investments'!$D:$D,ROW()),0)</f>
        <v/>
      </c>
      <c r="E837">
        <f>IFERROR(--INDEX('Term investments'!$E:$E,ROW()),0)</f>
        <v/>
      </c>
      <c r="F837">
        <f>IFERROR(--INDEX('Term investments'!$F:$F,ROW()),0)</f>
        <v/>
      </c>
      <c r="G837">
        <f>IFERROR(IF(--INDEX('Term investments'!$G:$G,ROW())&gt;=1,--INDEX('Term investments'!$G:$G,ROW())/100,--INDEX('Term investments'!$G:$G,ROW())),0)</f>
        <v/>
      </c>
      <c r="H837">
        <f>IFERROR(--INDEX('Term investments'!$H:$H,ROW()),0)</f>
        <v/>
      </c>
      <c r="I837">
        <f>IF(ISNUMBER(INDEX('Term investments'!$G:$G,ROW())),1,0)</f>
        <v/>
      </c>
      <c r="J837">
        <f>TRIM(SUBSTITUTE(INDEX('Call accounts and MMFs'!$A:$A,ROW())&amp;""," "," "))</f>
        <v/>
      </c>
      <c r="K837">
        <f>TRIM(SUBSTITUTE(INDEX('Call accounts and MMFs'!$B:$B,ROW())&amp;""," "," "))</f>
        <v/>
      </c>
      <c r="L837">
        <f>TRIM(SUBSTITUTE(INDEX('Call accounts and MMFs'!$C:$C,ROW())&amp;""," "," "))</f>
        <v/>
      </c>
      <c r="M837">
        <f>IFERROR(--INDEX('Call accounts and MMFs'!$D:$D,ROW()),0)</f>
        <v/>
      </c>
      <c r="N837">
        <f>IFERROR(IF(--INDEX('Call accounts and MMFs'!$E:$E,ROW())&gt;=1,--INDEX('Call accounts and MMFs'!$E:$E,ROW())/100,--INDEX('Call accounts and MMFs'!$E:$E,ROW())),0)</f>
        <v/>
      </c>
      <c r="O837">
        <f>IFERROR(--INDEX('Call accounts and MMFs'!$F:$F,ROW()),0)</f>
        <v/>
      </c>
      <c r="P837">
        <f>IF(ISNUMBER(INDEX('Call accounts and MMFs'!$E:$E,ROW())),1,0)</f>
        <v/>
      </c>
      <c r="Q837">
        <f>TRIM(SUBSTITUTE(INDEX('Pooled funds'!$B:$B,ROW())&amp;""," "," "))</f>
        <v/>
      </c>
      <c r="R837">
        <f>IFERROR(--INDEX('Pooled funds'!$C:$C,ROW()),0)</f>
        <v/>
      </c>
      <c r="S837">
        <f>IFERROR(--INDEX('Pooled funds'!$D:$D,ROW()),0)</f>
        <v/>
      </c>
      <c r="T837">
        <f>IFERROR(IF(--INDEX('Pooled funds'!$E:$E,ROW())&gt;=1,--INDEX('Pooled funds'!$E:$E,ROW())/100,--INDEX('Pooled funds'!$E:$E,ROW())),0)</f>
        <v/>
      </c>
      <c r="U837">
        <f>IF(ISNUMBER(INDEX('Pooled funds'!$E:$E,ROW())),1,0)</f>
        <v/>
      </c>
      <c r="V837">
        <f>TRIM(SUBSTITUTE(INDEX('Loans'!$A:$A,ROW())&amp;""," "," "))</f>
        <v/>
      </c>
      <c r="W837">
        <f>TRIM(SUBSTITUTE(INDEX('Loans'!$B:$B,ROW())&amp;""," "," "))</f>
        <v/>
      </c>
      <c r="X837">
        <f>TRIM(SUBSTITUTE(INDEX('Loans'!$C:$C,ROW())&amp;""," "," "))</f>
        <v/>
      </c>
      <c r="Y837">
        <f>IFERROR(--INDEX('Loans'!$D:$D,ROW()),0)</f>
        <v/>
      </c>
      <c r="Z837">
        <f>IFERROR(--INDEX('Loans'!$E:$E,ROW()),0)</f>
        <v/>
      </c>
      <c r="AA837">
        <f>IFERROR(--INDEX('Loans'!$F:$F,ROW()),0)</f>
        <v/>
      </c>
      <c r="AB837">
        <f>IFERROR(IF(--INDEX('Loans'!$G:$G,ROW())&gt;=1,--INDEX('Loans'!$G:$G,ROW())/100,--INDEX('Loans'!$G:$G,ROW())),0)</f>
        <v/>
      </c>
      <c r="AC837">
        <f>TRIM(SUBSTITUTE(INDEX('Loans'!$H:$H,ROW())&amp;""," "," "))</f>
        <v/>
      </c>
      <c r="AD837">
        <f>TRIM(SUBSTITUTE(INDEX('Loans'!$I:$I,ROW())&amp;""," "," "))</f>
        <v/>
      </c>
      <c r="AE837">
        <f>IFERROR(--INDEX('Loans'!$J:$J,ROW()),0)</f>
        <v/>
      </c>
      <c r="AF837">
        <f>TRIM(SUBSTITUTE(INDEX('Loans'!$K:$K,ROW())&amp;""," "," "))</f>
        <v/>
      </c>
      <c r="AG837">
        <f>IFERROR(--INDEX('Loans'!$L:$L,ROW()),0)</f>
        <v/>
      </c>
      <c r="AH837">
        <f>IF(ISNUMBER(INDEX('Loans'!$G:$G,ROW())),1,0)</f>
        <v/>
      </c>
    </row>
    <row r="838">
      <c r="A838">
        <f>TRIM(SUBSTITUTE(INDEX('Term investments'!$A:$A,ROW())&amp;""," "," "))</f>
        <v/>
      </c>
      <c r="B838">
        <f>TRIM(SUBSTITUTE(INDEX('Term investments'!$B:$B,ROW())&amp;""," "," "))</f>
        <v/>
      </c>
      <c r="C838">
        <f>TRIM(SUBSTITUTE(INDEX('Term investments'!$C:$C,ROW())&amp;""," "," "))</f>
        <v/>
      </c>
      <c r="D838">
        <f>IFERROR(--INDEX('Term investments'!$D:$D,ROW()),0)</f>
        <v/>
      </c>
      <c r="E838">
        <f>IFERROR(--INDEX('Term investments'!$E:$E,ROW()),0)</f>
        <v/>
      </c>
      <c r="F838">
        <f>IFERROR(--INDEX('Term investments'!$F:$F,ROW()),0)</f>
        <v/>
      </c>
      <c r="G838">
        <f>IFERROR(IF(--INDEX('Term investments'!$G:$G,ROW())&gt;=1,--INDEX('Term investments'!$G:$G,ROW())/100,--INDEX('Term investments'!$G:$G,ROW())),0)</f>
        <v/>
      </c>
      <c r="H838">
        <f>IFERROR(--INDEX('Term investments'!$H:$H,ROW()),0)</f>
        <v/>
      </c>
      <c r="I838">
        <f>IF(ISNUMBER(INDEX('Term investments'!$G:$G,ROW())),1,0)</f>
        <v/>
      </c>
      <c r="J838">
        <f>TRIM(SUBSTITUTE(INDEX('Call accounts and MMFs'!$A:$A,ROW())&amp;""," "," "))</f>
        <v/>
      </c>
      <c r="K838">
        <f>TRIM(SUBSTITUTE(INDEX('Call accounts and MMFs'!$B:$B,ROW())&amp;""," "," "))</f>
        <v/>
      </c>
      <c r="L838">
        <f>TRIM(SUBSTITUTE(INDEX('Call accounts and MMFs'!$C:$C,ROW())&amp;""," "," "))</f>
        <v/>
      </c>
      <c r="M838">
        <f>IFERROR(--INDEX('Call accounts and MMFs'!$D:$D,ROW()),0)</f>
        <v/>
      </c>
      <c r="N838">
        <f>IFERROR(IF(--INDEX('Call accounts and MMFs'!$E:$E,ROW())&gt;=1,--INDEX('Call accounts and MMFs'!$E:$E,ROW())/100,--INDEX('Call accounts and MMFs'!$E:$E,ROW())),0)</f>
        <v/>
      </c>
      <c r="O838">
        <f>IFERROR(--INDEX('Call accounts and MMFs'!$F:$F,ROW()),0)</f>
        <v/>
      </c>
      <c r="P838">
        <f>IF(ISNUMBER(INDEX('Call accounts and MMFs'!$E:$E,ROW())),1,0)</f>
        <v/>
      </c>
      <c r="Q838">
        <f>TRIM(SUBSTITUTE(INDEX('Pooled funds'!$B:$B,ROW())&amp;""," "," "))</f>
        <v/>
      </c>
      <c r="R838">
        <f>IFERROR(--INDEX('Pooled funds'!$C:$C,ROW()),0)</f>
        <v/>
      </c>
      <c r="S838">
        <f>IFERROR(--INDEX('Pooled funds'!$D:$D,ROW()),0)</f>
        <v/>
      </c>
      <c r="T838">
        <f>IFERROR(IF(--INDEX('Pooled funds'!$E:$E,ROW())&gt;=1,--INDEX('Pooled funds'!$E:$E,ROW())/100,--INDEX('Pooled funds'!$E:$E,ROW())),0)</f>
        <v/>
      </c>
      <c r="U838">
        <f>IF(ISNUMBER(INDEX('Pooled funds'!$E:$E,ROW())),1,0)</f>
        <v/>
      </c>
      <c r="V838">
        <f>TRIM(SUBSTITUTE(INDEX('Loans'!$A:$A,ROW())&amp;""," "," "))</f>
        <v/>
      </c>
      <c r="W838">
        <f>TRIM(SUBSTITUTE(INDEX('Loans'!$B:$B,ROW())&amp;""," "," "))</f>
        <v/>
      </c>
      <c r="X838">
        <f>TRIM(SUBSTITUTE(INDEX('Loans'!$C:$C,ROW())&amp;""," "," "))</f>
        <v/>
      </c>
      <c r="Y838">
        <f>IFERROR(--INDEX('Loans'!$D:$D,ROW()),0)</f>
        <v/>
      </c>
      <c r="Z838">
        <f>IFERROR(--INDEX('Loans'!$E:$E,ROW()),0)</f>
        <v/>
      </c>
      <c r="AA838">
        <f>IFERROR(--INDEX('Loans'!$F:$F,ROW()),0)</f>
        <v/>
      </c>
      <c r="AB838">
        <f>IFERROR(IF(--INDEX('Loans'!$G:$G,ROW())&gt;=1,--INDEX('Loans'!$G:$G,ROW())/100,--INDEX('Loans'!$G:$G,ROW())),0)</f>
        <v/>
      </c>
      <c r="AC838">
        <f>TRIM(SUBSTITUTE(INDEX('Loans'!$H:$H,ROW())&amp;""," "," "))</f>
        <v/>
      </c>
      <c r="AD838">
        <f>TRIM(SUBSTITUTE(INDEX('Loans'!$I:$I,ROW())&amp;""," "," "))</f>
        <v/>
      </c>
      <c r="AE838">
        <f>IFERROR(--INDEX('Loans'!$J:$J,ROW()),0)</f>
        <v/>
      </c>
      <c r="AF838">
        <f>TRIM(SUBSTITUTE(INDEX('Loans'!$K:$K,ROW())&amp;""," "," "))</f>
        <v/>
      </c>
      <c r="AG838">
        <f>IFERROR(--INDEX('Loans'!$L:$L,ROW()),0)</f>
        <v/>
      </c>
      <c r="AH838">
        <f>IF(ISNUMBER(INDEX('Loans'!$G:$G,ROW())),1,0)</f>
        <v/>
      </c>
    </row>
    <row r="839">
      <c r="A839">
        <f>TRIM(SUBSTITUTE(INDEX('Term investments'!$A:$A,ROW())&amp;""," "," "))</f>
        <v/>
      </c>
      <c r="B839">
        <f>TRIM(SUBSTITUTE(INDEX('Term investments'!$B:$B,ROW())&amp;""," "," "))</f>
        <v/>
      </c>
      <c r="C839">
        <f>TRIM(SUBSTITUTE(INDEX('Term investments'!$C:$C,ROW())&amp;""," "," "))</f>
        <v/>
      </c>
      <c r="D839">
        <f>IFERROR(--INDEX('Term investments'!$D:$D,ROW()),0)</f>
        <v/>
      </c>
      <c r="E839">
        <f>IFERROR(--INDEX('Term investments'!$E:$E,ROW()),0)</f>
        <v/>
      </c>
      <c r="F839">
        <f>IFERROR(--INDEX('Term investments'!$F:$F,ROW()),0)</f>
        <v/>
      </c>
      <c r="G839">
        <f>IFERROR(IF(--INDEX('Term investments'!$G:$G,ROW())&gt;=1,--INDEX('Term investments'!$G:$G,ROW())/100,--INDEX('Term investments'!$G:$G,ROW())),0)</f>
        <v/>
      </c>
      <c r="H839">
        <f>IFERROR(--INDEX('Term investments'!$H:$H,ROW()),0)</f>
        <v/>
      </c>
      <c r="I839">
        <f>IF(ISNUMBER(INDEX('Term investments'!$G:$G,ROW())),1,0)</f>
        <v/>
      </c>
      <c r="J839">
        <f>TRIM(SUBSTITUTE(INDEX('Call accounts and MMFs'!$A:$A,ROW())&amp;""," "," "))</f>
        <v/>
      </c>
      <c r="K839">
        <f>TRIM(SUBSTITUTE(INDEX('Call accounts and MMFs'!$B:$B,ROW())&amp;""," "," "))</f>
        <v/>
      </c>
      <c r="L839">
        <f>TRIM(SUBSTITUTE(INDEX('Call accounts and MMFs'!$C:$C,ROW())&amp;""," "," "))</f>
        <v/>
      </c>
      <c r="M839">
        <f>IFERROR(--INDEX('Call accounts and MMFs'!$D:$D,ROW()),0)</f>
        <v/>
      </c>
      <c r="N839">
        <f>IFERROR(IF(--INDEX('Call accounts and MMFs'!$E:$E,ROW())&gt;=1,--INDEX('Call accounts and MMFs'!$E:$E,ROW())/100,--INDEX('Call accounts and MMFs'!$E:$E,ROW())),0)</f>
        <v/>
      </c>
      <c r="O839">
        <f>IFERROR(--INDEX('Call accounts and MMFs'!$F:$F,ROW()),0)</f>
        <v/>
      </c>
      <c r="P839">
        <f>IF(ISNUMBER(INDEX('Call accounts and MMFs'!$E:$E,ROW())),1,0)</f>
        <v/>
      </c>
      <c r="Q839">
        <f>TRIM(SUBSTITUTE(INDEX('Pooled funds'!$B:$B,ROW())&amp;""," "," "))</f>
        <v/>
      </c>
      <c r="R839">
        <f>IFERROR(--INDEX('Pooled funds'!$C:$C,ROW()),0)</f>
        <v/>
      </c>
      <c r="S839">
        <f>IFERROR(--INDEX('Pooled funds'!$D:$D,ROW()),0)</f>
        <v/>
      </c>
      <c r="T839">
        <f>IFERROR(IF(--INDEX('Pooled funds'!$E:$E,ROW())&gt;=1,--INDEX('Pooled funds'!$E:$E,ROW())/100,--INDEX('Pooled funds'!$E:$E,ROW())),0)</f>
        <v/>
      </c>
      <c r="U839">
        <f>IF(ISNUMBER(INDEX('Pooled funds'!$E:$E,ROW())),1,0)</f>
        <v/>
      </c>
      <c r="V839">
        <f>TRIM(SUBSTITUTE(INDEX('Loans'!$A:$A,ROW())&amp;""," "," "))</f>
        <v/>
      </c>
      <c r="W839">
        <f>TRIM(SUBSTITUTE(INDEX('Loans'!$B:$B,ROW())&amp;""," "," "))</f>
        <v/>
      </c>
      <c r="X839">
        <f>TRIM(SUBSTITUTE(INDEX('Loans'!$C:$C,ROW())&amp;""," "," "))</f>
        <v/>
      </c>
      <c r="Y839">
        <f>IFERROR(--INDEX('Loans'!$D:$D,ROW()),0)</f>
        <v/>
      </c>
      <c r="Z839">
        <f>IFERROR(--INDEX('Loans'!$E:$E,ROW()),0)</f>
        <v/>
      </c>
      <c r="AA839">
        <f>IFERROR(--INDEX('Loans'!$F:$F,ROW()),0)</f>
        <v/>
      </c>
      <c r="AB839">
        <f>IFERROR(IF(--INDEX('Loans'!$G:$G,ROW())&gt;=1,--INDEX('Loans'!$G:$G,ROW())/100,--INDEX('Loans'!$G:$G,ROW())),0)</f>
        <v/>
      </c>
      <c r="AC839">
        <f>TRIM(SUBSTITUTE(INDEX('Loans'!$H:$H,ROW())&amp;""," "," "))</f>
        <v/>
      </c>
      <c r="AD839">
        <f>TRIM(SUBSTITUTE(INDEX('Loans'!$I:$I,ROW())&amp;""," "," "))</f>
        <v/>
      </c>
      <c r="AE839">
        <f>IFERROR(--INDEX('Loans'!$J:$J,ROW()),0)</f>
        <v/>
      </c>
      <c r="AF839">
        <f>TRIM(SUBSTITUTE(INDEX('Loans'!$K:$K,ROW())&amp;""," "," "))</f>
        <v/>
      </c>
      <c r="AG839">
        <f>IFERROR(--INDEX('Loans'!$L:$L,ROW()),0)</f>
        <v/>
      </c>
      <c r="AH839">
        <f>IF(ISNUMBER(INDEX('Loans'!$G:$G,ROW())),1,0)</f>
        <v/>
      </c>
    </row>
    <row r="840">
      <c r="A840">
        <f>TRIM(SUBSTITUTE(INDEX('Term investments'!$A:$A,ROW())&amp;""," "," "))</f>
        <v/>
      </c>
      <c r="B840">
        <f>TRIM(SUBSTITUTE(INDEX('Term investments'!$B:$B,ROW())&amp;""," "," "))</f>
        <v/>
      </c>
      <c r="C840">
        <f>TRIM(SUBSTITUTE(INDEX('Term investments'!$C:$C,ROW())&amp;""," "," "))</f>
        <v/>
      </c>
      <c r="D840">
        <f>IFERROR(--INDEX('Term investments'!$D:$D,ROW()),0)</f>
        <v/>
      </c>
      <c r="E840">
        <f>IFERROR(--INDEX('Term investments'!$E:$E,ROW()),0)</f>
        <v/>
      </c>
      <c r="F840">
        <f>IFERROR(--INDEX('Term investments'!$F:$F,ROW()),0)</f>
        <v/>
      </c>
      <c r="G840">
        <f>IFERROR(IF(--INDEX('Term investments'!$G:$G,ROW())&gt;=1,--INDEX('Term investments'!$G:$G,ROW())/100,--INDEX('Term investments'!$G:$G,ROW())),0)</f>
        <v/>
      </c>
      <c r="H840">
        <f>IFERROR(--INDEX('Term investments'!$H:$H,ROW()),0)</f>
        <v/>
      </c>
      <c r="I840">
        <f>IF(ISNUMBER(INDEX('Term investments'!$G:$G,ROW())),1,0)</f>
        <v/>
      </c>
      <c r="J840">
        <f>TRIM(SUBSTITUTE(INDEX('Call accounts and MMFs'!$A:$A,ROW())&amp;""," "," "))</f>
        <v/>
      </c>
      <c r="K840">
        <f>TRIM(SUBSTITUTE(INDEX('Call accounts and MMFs'!$B:$B,ROW())&amp;""," "," "))</f>
        <v/>
      </c>
      <c r="L840">
        <f>TRIM(SUBSTITUTE(INDEX('Call accounts and MMFs'!$C:$C,ROW())&amp;""," "," "))</f>
        <v/>
      </c>
      <c r="M840">
        <f>IFERROR(--INDEX('Call accounts and MMFs'!$D:$D,ROW()),0)</f>
        <v/>
      </c>
      <c r="N840">
        <f>IFERROR(IF(--INDEX('Call accounts and MMFs'!$E:$E,ROW())&gt;=1,--INDEX('Call accounts and MMFs'!$E:$E,ROW())/100,--INDEX('Call accounts and MMFs'!$E:$E,ROW())),0)</f>
        <v/>
      </c>
      <c r="O840">
        <f>IFERROR(--INDEX('Call accounts and MMFs'!$F:$F,ROW()),0)</f>
        <v/>
      </c>
      <c r="P840">
        <f>IF(ISNUMBER(INDEX('Call accounts and MMFs'!$E:$E,ROW())),1,0)</f>
        <v/>
      </c>
      <c r="Q840">
        <f>TRIM(SUBSTITUTE(INDEX('Pooled funds'!$B:$B,ROW())&amp;""," "," "))</f>
        <v/>
      </c>
      <c r="R840">
        <f>IFERROR(--INDEX('Pooled funds'!$C:$C,ROW()),0)</f>
        <v/>
      </c>
      <c r="S840">
        <f>IFERROR(--INDEX('Pooled funds'!$D:$D,ROW()),0)</f>
        <v/>
      </c>
      <c r="T840">
        <f>IFERROR(IF(--INDEX('Pooled funds'!$E:$E,ROW())&gt;=1,--INDEX('Pooled funds'!$E:$E,ROW())/100,--INDEX('Pooled funds'!$E:$E,ROW())),0)</f>
        <v/>
      </c>
      <c r="U840">
        <f>IF(ISNUMBER(INDEX('Pooled funds'!$E:$E,ROW())),1,0)</f>
        <v/>
      </c>
      <c r="V840">
        <f>TRIM(SUBSTITUTE(INDEX('Loans'!$A:$A,ROW())&amp;""," "," "))</f>
        <v/>
      </c>
      <c r="W840">
        <f>TRIM(SUBSTITUTE(INDEX('Loans'!$B:$B,ROW())&amp;""," "," "))</f>
        <v/>
      </c>
      <c r="X840">
        <f>TRIM(SUBSTITUTE(INDEX('Loans'!$C:$C,ROW())&amp;""," "," "))</f>
        <v/>
      </c>
      <c r="Y840">
        <f>IFERROR(--INDEX('Loans'!$D:$D,ROW()),0)</f>
        <v/>
      </c>
      <c r="Z840">
        <f>IFERROR(--INDEX('Loans'!$E:$E,ROW()),0)</f>
        <v/>
      </c>
      <c r="AA840">
        <f>IFERROR(--INDEX('Loans'!$F:$F,ROW()),0)</f>
        <v/>
      </c>
      <c r="AB840">
        <f>IFERROR(IF(--INDEX('Loans'!$G:$G,ROW())&gt;=1,--INDEX('Loans'!$G:$G,ROW())/100,--INDEX('Loans'!$G:$G,ROW())),0)</f>
        <v/>
      </c>
      <c r="AC840">
        <f>TRIM(SUBSTITUTE(INDEX('Loans'!$H:$H,ROW())&amp;""," "," "))</f>
        <v/>
      </c>
      <c r="AD840">
        <f>TRIM(SUBSTITUTE(INDEX('Loans'!$I:$I,ROW())&amp;""," "," "))</f>
        <v/>
      </c>
      <c r="AE840">
        <f>IFERROR(--INDEX('Loans'!$J:$J,ROW()),0)</f>
        <v/>
      </c>
      <c r="AF840">
        <f>TRIM(SUBSTITUTE(INDEX('Loans'!$K:$K,ROW())&amp;""," "," "))</f>
        <v/>
      </c>
      <c r="AG840">
        <f>IFERROR(--INDEX('Loans'!$L:$L,ROW()),0)</f>
        <v/>
      </c>
      <c r="AH840">
        <f>IF(ISNUMBER(INDEX('Loans'!$G:$G,ROW())),1,0)</f>
        <v/>
      </c>
    </row>
    <row r="841">
      <c r="A841">
        <f>TRIM(SUBSTITUTE(INDEX('Term investments'!$A:$A,ROW())&amp;""," "," "))</f>
        <v/>
      </c>
      <c r="B841">
        <f>TRIM(SUBSTITUTE(INDEX('Term investments'!$B:$B,ROW())&amp;""," "," "))</f>
        <v/>
      </c>
      <c r="C841">
        <f>TRIM(SUBSTITUTE(INDEX('Term investments'!$C:$C,ROW())&amp;""," "," "))</f>
        <v/>
      </c>
      <c r="D841">
        <f>IFERROR(--INDEX('Term investments'!$D:$D,ROW()),0)</f>
        <v/>
      </c>
      <c r="E841">
        <f>IFERROR(--INDEX('Term investments'!$E:$E,ROW()),0)</f>
        <v/>
      </c>
      <c r="F841">
        <f>IFERROR(--INDEX('Term investments'!$F:$F,ROW()),0)</f>
        <v/>
      </c>
      <c r="G841">
        <f>IFERROR(IF(--INDEX('Term investments'!$G:$G,ROW())&gt;=1,--INDEX('Term investments'!$G:$G,ROW())/100,--INDEX('Term investments'!$G:$G,ROW())),0)</f>
        <v/>
      </c>
      <c r="H841">
        <f>IFERROR(--INDEX('Term investments'!$H:$H,ROW()),0)</f>
        <v/>
      </c>
      <c r="I841">
        <f>IF(ISNUMBER(INDEX('Term investments'!$G:$G,ROW())),1,0)</f>
        <v/>
      </c>
      <c r="J841">
        <f>TRIM(SUBSTITUTE(INDEX('Call accounts and MMFs'!$A:$A,ROW())&amp;""," "," "))</f>
        <v/>
      </c>
      <c r="K841">
        <f>TRIM(SUBSTITUTE(INDEX('Call accounts and MMFs'!$B:$B,ROW())&amp;""," "," "))</f>
        <v/>
      </c>
      <c r="L841">
        <f>TRIM(SUBSTITUTE(INDEX('Call accounts and MMFs'!$C:$C,ROW())&amp;""," "," "))</f>
        <v/>
      </c>
      <c r="M841">
        <f>IFERROR(--INDEX('Call accounts and MMFs'!$D:$D,ROW()),0)</f>
        <v/>
      </c>
      <c r="N841">
        <f>IFERROR(IF(--INDEX('Call accounts and MMFs'!$E:$E,ROW())&gt;=1,--INDEX('Call accounts and MMFs'!$E:$E,ROW())/100,--INDEX('Call accounts and MMFs'!$E:$E,ROW())),0)</f>
        <v/>
      </c>
      <c r="O841">
        <f>IFERROR(--INDEX('Call accounts and MMFs'!$F:$F,ROW()),0)</f>
        <v/>
      </c>
      <c r="P841">
        <f>IF(ISNUMBER(INDEX('Call accounts and MMFs'!$E:$E,ROW())),1,0)</f>
        <v/>
      </c>
      <c r="Q841">
        <f>TRIM(SUBSTITUTE(INDEX('Pooled funds'!$B:$B,ROW())&amp;""," "," "))</f>
        <v/>
      </c>
      <c r="R841">
        <f>IFERROR(--INDEX('Pooled funds'!$C:$C,ROW()),0)</f>
        <v/>
      </c>
      <c r="S841">
        <f>IFERROR(--INDEX('Pooled funds'!$D:$D,ROW()),0)</f>
        <v/>
      </c>
      <c r="T841">
        <f>IFERROR(IF(--INDEX('Pooled funds'!$E:$E,ROW())&gt;=1,--INDEX('Pooled funds'!$E:$E,ROW())/100,--INDEX('Pooled funds'!$E:$E,ROW())),0)</f>
        <v/>
      </c>
      <c r="U841">
        <f>IF(ISNUMBER(INDEX('Pooled funds'!$E:$E,ROW())),1,0)</f>
        <v/>
      </c>
      <c r="V841">
        <f>TRIM(SUBSTITUTE(INDEX('Loans'!$A:$A,ROW())&amp;""," "," "))</f>
        <v/>
      </c>
      <c r="W841">
        <f>TRIM(SUBSTITUTE(INDEX('Loans'!$B:$B,ROW())&amp;""," "," "))</f>
        <v/>
      </c>
      <c r="X841">
        <f>TRIM(SUBSTITUTE(INDEX('Loans'!$C:$C,ROW())&amp;""," "," "))</f>
        <v/>
      </c>
      <c r="Y841">
        <f>IFERROR(--INDEX('Loans'!$D:$D,ROW()),0)</f>
        <v/>
      </c>
      <c r="Z841">
        <f>IFERROR(--INDEX('Loans'!$E:$E,ROW()),0)</f>
        <v/>
      </c>
      <c r="AA841">
        <f>IFERROR(--INDEX('Loans'!$F:$F,ROW()),0)</f>
        <v/>
      </c>
      <c r="AB841">
        <f>IFERROR(IF(--INDEX('Loans'!$G:$G,ROW())&gt;=1,--INDEX('Loans'!$G:$G,ROW())/100,--INDEX('Loans'!$G:$G,ROW())),0)</f>
        <v/>
      </c>
      <c r="AC841">
        <f>TRIM(SUBSTITUTE(INDEX('Loans'!$H:$H,ROW())&amp;""," "," "))</f>
        <v/>
      </c>
      <c r="AD841">
        <f>TRIM(SUBSTITUTE(INDEX('Loans'!$I:$I,ROW())&amp;""," "," "))</f>
        <v/>
      </c>
      <c r="AE841">
        <f>IFERROR(--INDEX('Loans'!$J:$J,ROW()),0)</f>
        <v/>
      </c>
      <c r="AF841">
        <f>TRIM(SUBSTITUTE(INDEX('Loans'!$K:$K,ROW())&amp;""," "," "))</f>
        <v/>
      </c>
      <c r="AG841">
        <f>IFERROR(--INDEX('Loans'!$L:$L,ROW()),0)</f>
        <v/>
      </c>
      <c r="AH841">
        <f>IF(ISNUMBER(INDEX('Loans'!$G:$G,ROW())),1,0)</f>
        <v/>
      </c>
    </row>
    <row r="842">
      <c r="A842">
        <f>TRIM(SUBSTITUTE(INDEX('Term investments'!$A:$A,ROW())&amp;""," "," "))</f>
        <v/>
      </c>
      <c r="B842">
        <f>TRIM(SUBSTITUTE(INDEX('Term investments'!$B:$B,ROW())&amp;""," "," "))</f>
        <v/>
      </c>
      <c r="C842">
        <f>TRIM(SUBSTITUTE(INDEX('Term investments'!$C:$C,ROW())&amp;""," "," "))</f>
        <v/>
      </c>
      <c r="D842">
        <f>IFERROR(--INDEX('Term investments'!$D:$D,ROW()),0)</f>
        <v/>
      </c>
      <c r="E842">
        <f>IFERROR(--INDEX('Term investments'!$E:$E,ROW()),0)</f>
        <v/>
      </c>
      <c r="F842">
        <f>IFERROR(--INDEX('Term investments'!$F:$F,ROW()),0)</f>
        <v/>
      </c>
      <c r="G842">
        <f>IFERROR(IF(--INDEX('Term investments'!$G:$G,ROW())&gt;=1,--INDEX('Term investments'!$G:$G,ROW())/100,--INDEX('Term investments'!$G:$G,ROW())),0)</f>
        <v/>
      </c>
      <c r="H842">
        <f>IFERROR(--INDEX('Term investments'!$H:$H,ROW()),0)</f>
        <v/>
      </c>
      <c r="I842">
        <f>IF(ISNUMBER(INDEX('Term investments'!$G:$G,ROW())),1,0)</f>
        <v/>
      </c>
      <c r="J842">
        <f>TRIM(SUBSTITUTE(INDEX('Call accounts and MMFs'!$A:$A,ROW())&amp;""," "," "))</f>
        <v/>
      </c>
      <c r="K842">
        <f>TRIM(SUBSTITUTE(INDEX('Call accounts and MMFs'!$B:$B,ROW())&amp;""," "," "))</f>
        <v/>
      </c>
      <c r="L842">
        <f>TRIM(SUBSTITUTE(INDEX('Call accounts and MMFs'!$C:$C,ROW())&amp;""," "," "))</f>
        <v/>
      </c>
      <c r="M842">
        <f>IFERROR(--INDEX('Call accounts and MMFs'!$D:$D,ROW()),0)</f>
        <v/>
      </c>
      <c r="N842">
        <f>IFERROR(IF(--INDEX('Call accounts and MMFs'!$E:$E,ROW())&gt;=1,--INDEX('Call accounts and MMFs'!$E:$E,ROW())/100,--INDEX('Call accounts and MMFs'!$E:$E,ROW())),0)</f>
        <v/>
      </c>
      <c r="O842">
        <f>IFERROR(--INDEX('Call accounts and MMFs'!$F:$F,ROW()),0)</f>
        <v/>
      </c>
      <c r="P842">
        <f>IF(ISNUMBER(INDEX('Call accounts and MMFs'!$E:$E,ROW())),1,0)</f>
        <v/>
      </c>
      <c r="Q842">
        <f>TRIM(SUBSTITUTE(INDEX('Pooled funds'!$B:$B,ROW())&amp;""," "," "))</f>
        <v/>
      </c>
      <c r="R842">
        <f>IFERROR(--INDEX('Pooled funds'!$C:$C,ROW()),0)</f>
        <v/>
      </c>
      <c r="S842">
        <f>IFERROR(--INDEX('Pooled funds'!$D:$D,ROW()),0)</f>
        <v/>
      </c>
      <c r="T842">
        <f>IFERROR(IF(--INDEX('Pooled funds'!$E:$E,ROW())&gt;=1,--INDEX('Pooled funds'!$E:$E,ROW())/100,--INDEX('Pooled funds'!$E:$E,ROW())),0)</f>
        <v/>
      </c>
      <c r="U842">
        <f>IF(ISNUMBER(INDEX('Pooled funds'!$E:$E,ROW())),1,0)</f>
        <v/>
      </c>
      <c r="V842">
        <f>TRIM(SUBSTITUTE(INDEX('Loans'!$A:$A,ROW())&amp;""," "," "))</f>
        <v/>
      </c>
      <c r="W842">
        <f>TRIM(SUBSTITUTE(INDEX('Loans'!$B:$B,ROW())&amp;""," "," "))</f>
        <v/>
      </c>
      <c r="X842">
        <f>TRIM(SUBSTITUTE(INDEX('Loans'!$C:$C,ROW())&amp;""," "," "))</f>
        <v/>
      </c>
      <c r="Y842">
        <f>IFERROR(--INDEX('Loans'!$D:$D,ROW()),0)</f>
        <v/>
      </c>
      <c r="Z842">
        <f>IFERROR(--INDEX('Loans'!$E:$E,ROW()),0)</f>
        <v/>
      </c>
      <c r="AA842">
        <f>IFERROR(--INDEX('Loans'!$F:$F,ROW()),0)</f>
        <v/>
      </c>
      <c r="AB842">
        <f>IFERROR(IF(--INDEX('Loans'!$G:$G,ROW())&gt;=1,--INDEX('Loans'!$G:$G,ROW())/100,--INDEX('Loans'!$G:$G,ROW())),0)</f>
        <v/>
      </c>
      <c r="AC842">
        <f>TRIM(SUBSTITUTE(INDEX('Loans'!$H:$H,ROW())&amp;""," "," "))</f>
        <v/>
      </c>
      <c r="AD842">
        <f>TRIM(SUBSTITUTE(INDEX('Loans'!$I:$I,ROW())&amp;""," "," "))</f>
        <v/>
      </c>
      <c r="AE842">
        <f>IFERROR(--INDEX('Loans'!$J:$J,ROW()),0)</f>
        <v/>
      </c>
      <c r="AF842">
        <f>TRIM(SUBSTITUTE(INDEX('Loans'!$K:$K,ROW())&amp;""," "," "))</f>
        <v/>
      </c>
      <c r="AG842">
        <f>IFERROR(--INDEX('Loans'!$L:$L,ROW()),0)</f>
        <v/>
      </c>
      <c r="AH842">
        <f>IF(ISNUMBER(INDEX('Loans'!$G:$G,ROW())),1,0)</f>
        <v/>
      </c>
    </row>
    <row r="843">
      <c r="A843">
        <f>TRIM(SUBSTITUTE(INDEX('Term investments'!$A:$A,ROW())&amp;""," "," "))</f>
        <v/>
      </c>
      <c r="B843">
        <f>TRIM(SUBSTITUTE(INDEX('Term investments'!$B:$B,ROW())&amp;""," "," "))</f>
        <v/>
      </c>
      <c r="C843">
        <f>TRIM(SUBSTITUTE(INDEX('Term investments'!$C:$C,ROW())&amp;""," "," "))</f>
        <v/>
      </c>
      <c r="D843">
        <f>IFERROR(--INDEX('Term investments'!$D:$D,ROW()),0)</f>
        <v/>
      </c>
      <c r="E843">
        <f>IFERROR(--INDEX('Term investments'!$E:$E,ROW()),0)</f>
        <v/>
      </c>
      <c r="F843">
        <f>IFERROR(--INDEX('Term investments'!$F:$F,ROW()),0)</f>
        <v/>
      </c>
      <c r="G843">
        <f>IFERROR(IF(--INDEX('Term investments'!$G:$G,ROW())&gt;=1,--INDEX('Term investments'!$G:$G,ROW())/100,--INDEX('Term investments'!$G:$G,ROW())),0)</f>
        <v/>
      </c>
      <c r="H843">
        <f>IFERROR(--INDEX('Term investments'!$H:$H,ROW()),0)</f>
        <v/>
      </c>
      <c r="I843">
        <f>IF(ISNUMBER(INDEX('Term investments'!$G:$G,ROW())),1,0)</f>
        <v/>
      </c>
      <c r="J843">
        <f>TRIM(SUBSTITUTE(INDEX('Call accounts and MMFs'!$A:$A,ROW())&amp;""," "," "))</f>
        <v/>
      </c>
      <c r="K843">
        <f>TRIM(SUBSTITUTE(INDEX('Call accounts and MMFs'!$B:$B,ROW())&amp;""," "," "))</f>
        <v/>
      </c>
      <c r="L843">
        <f>TRIM(SUBSTITUTE(INDEX('Call accounts and MMFs'!$C:$C,ROW())&amp;""," "," "))</f>
        <v/>
      </c>
      <c r="M843">
        <f>IFERROR(--INDEX('Call accounts and MMFs'!$D:$D,ROW()),0)</f>
        <v/>
      </c>
      <c r="N843">
        <f>IFERROR(IF(--INDEX('Call accounts and MMFs'!$E:$E,ROW())&gt;=1,--INDEX('Call accounts and MMFs'!$E:$E,ROW())/100,--INDEX('Call accounts and MMFs'!$E:$E,ROW())),0)</f>
        <v/>
      </c>
      <c r="O843">
        <f>IFERROR(--INDEX('Call accounts and MMFs'!$F:$F,ROW()),0)</f>
        <v/>
      </c>
      <c r="P843">
        <f>IF(ISNUMBER(INDEX('Call accounts and MMFs'!$E:$E,ROW())),1,0)</f>
        <v/>
      </c>
      <c r="Q843">
        <f>TRIM(SUBSTITUTE(INDEX('Pooled funds'!$B:$B,ROW())&amp;""," "," "))</f>
        <v/>
      </c>
      <c r="R843">
        <f>IFERROR(--INDEX('Pooled funds'!$C:$C,ROW()),0)</f>
        <v/>
      </c>
      <c r="S843">
        <f>IFERROR(--INDEX('Pooled funds'!$D:$D,ROW()),0)</f>
        <v/>
      </c>
      <c r="T843">
        <f>IFERROR(IF(--INDEX('Pooled funds'!$E:$E,ROW())&gt;=1,--INDEX('Pooled funds'!$E:$E,ROW())/100,--INDEX('Pooled funds'!$E:$E,ROW())),0)</f>
        <v/>
      </c>
      <c r="U843">
        <f>IF(ISNUMBER(INDEX('Pooled funds'!$E:$E,ROW())),1,0)</f>
        <v/>
      </c>
      <c r="V843">
        <f>TRIM(SUBSTITUTE(INDEX('Loans'!$A:$A,ROW())&amp;""," "," "))</f>
        <v/>
      </c>
      <c r="W843">
        <f>TRIM(SUBSTITUTE(INDEX('Loans'!$B:$B,ROW())&amp;""," "," "))</f>
        <v/>
      </c>
      <c r="X843">
        <f>TRIM(SUBSTITUTE(INDEX('Loans'!$C:$C,ROW())&amp;""," "," "))</f>
        <v/>
      </c>
      <c r="Y843">
        <f>IFERROR(--INDEX('Loans'!$D:$D,ROW()),0)</f>
        <v/>
      </c>
      <c r="Z843">
        <f>IFERROR(--INDEX('Loans'!$E:$E,ROW()),0)</f>
        <v/>
      </c>
      <c r="AA843">
        <f>IFERROR(--INDEX('Loans'!$F:$F,ROW()),0)</f>
        <v/>
      </c>
      <c r="AB843">
        <f>IFERROR(IF(--INDEX('Loans'!$G:$G,ROW())&gt;=1,--INDEX('Loans'!$G:$G,ROW())/100,--INDEX('Loans'!$G:$G,ROW())),0)</f>
        <v/>
      </c>
      <c r="AC843">
        <f>TRIM(SUBSTITUTE(INDEX('Loans'!$H:$H,ROW())&amp;""," "," "))</f>
        <v/>
      </c>
      <c r="AD843">
        <f>TRIM(SUBSTITUTE(INDEX('Loans'!$I:$I,ROW())&amp;""," "," "))</f>
        <v/>
      </c>
      <c r="AE843">
        <f>IFERROR(--INDEX('Loans'!$J:$J,ROW()),0)</f>
        <v/>
      </c>
      <c r="AF843">
        <f>TRIM(SUBSTITUTE(INDEX('Loans'!$K:$K,ROW())&amp;""," "," "))</f>
        <v/>
      </c>
      <c r="AG843">
        <f>IFERROR(--INDEX('Loans'!$L:$L,ROW()),0)</f>
        <v/>
      </c>
      <c r="AH843">
        <f>IF(ISNUMBER(INDEX('Loans'!$G:$G,ROW())),1,0)</f>
        <v/>
      </c>
    </row>
    <row r="844">
      <c r="A844">
        <f>TRIM(SUBSTITUTE(INDEX('Term investments'!$A:$A,ROW())&amp;""," "," "))</f>
        <v/>
      </c>
      <c r="B844">
        <f>TRIM(SUBSTITUTE(INDEX('Term investments'!$B:$B,ROW())&amp;""," "," "))</f>
        <v/>
      </c>
      <c r="C844">
        <f>TRIM(SUBSTITUTE(INDEX('Term investments'!$C:$C,ROW())&amp;""," "," "))</f>
        <v/>
      </c>
      <c r="D844">
        <f>IFERROR(--INDEX('Term investments'!$D:$D,ROW()),0)</f>
        <v/>
      </c>
      <c r="E844">
        <f>IFERROR(--INDEX('Term investments'!$E:$E,ROW()),0)</f>
        <v/>
      </c>
      <c r="F844">
        <f>IFERROR(--INDEX('Term investments'!$F:$F,ROW()),0)</f>
        <v/>
      </c>
      <c r="G844">
        <f>IFERROR(IF(--INDEX('Term investments'!$G:$G,ROW())&gt;=1,--INDEX('Term investments'!$G:$G,ROW())/100,--INDEX('Term investments'!$G:$G,ROW())),0)</f>
        <v/>
      </c>
      <c r="H844">
        <f>IFERROR(--INDEX('Term investments'!$H:$H,ROW()),0)</f>
        <v/>
      </c>
      <c r="I844">
        <f>IF(ISNUMBER(INDEX('Term investments'!$G:$G,ROW())),1,0)</f>
        <v/>
      </c>
      <c r="J844">
        <f>TRIM(SUBSTITUTE(INDEX('Call accounts and MMFs'!$A:$A,ROW())&amp;""," "," "))</f>
        <v/>
      </c>
      <c r="K844">
        <f>TRIM(SUBSTITUTE(INDEX('Call accounts and MMFs'!$B:$B,ROW())&amp;""," "," "))</f>
        <v/>
      </c>
      <c r="L844">
        <f>TRIM(SUBSTITUTE(INDEX('Call accounts and MMFs'!$C:$C,ROW())&amp;""," "," "))</f>
        <v/>
      </c>
      <c r="M844">
        <f>IFERROR(--INDEX('Call accounts and MMFs'!$D:$D,ROW()),0)</f>
        <v/>
      </c>
      <c r="N844">
        <f>IFERROR(IF(--INDEX('Call accounts and MMFs'!$E:$E,ROW())&gt;=1,--INDEX('Call accounts and MMFs'!$E:$E,ROW())/100,--INDEX('Call accounts and MMFs'!$E:$E,ROW())),0)</f>
        <v/>
      </c>
      <c r="O844">
        <f>IFERROR(--INDEX('Call accounts and MMFs'!$F:$F,ROW()),0)</f>
        <v/>
      </c>
      <c r="P844">
        <f>IF(ISNUMBER(INDEX('Call accounts and MMFs'!$E:$E,ROW())),1,0)</f>
        <v/>
      </c>
      <c r="Q844">
        <f>TRIM(SUBSTITUTE(INDEX('Pooled funds'!$B:$B,ROW())&amp;""," "," "))</f>
        <v/>
      </c>
      <c r="R844">
        <f>IFERROR(--INDEX('Pooled funds'!$C:$C,ROW()),0)</f>
        <v/>
      </c>
      <c r="S844">
        <f>IFERROR(--INDEX('Pooled funds'!$D:$D,ROW()),0)</f>
        <v/>
      </c>
      <c r="T844">
        <f>IFERROR(IF(--INDEX('Pooled funds'!$E:$E,ROW())&gt;=1,--INDEX('Pooled funds'!$E:$E,ROW())/100,--INDEX('Pooled funds'!$E:$E,ROW())),0)</f>
        <v/>
      </c>
      <c r="U844">
        <f>IF(ISNUMBER(INDEX('Pooled funds'!$E:$E,ROW())),1,0)</f>
        <v/>
      </c>
      <c r="V844">
        <f>TRIM(SUBSTITUTE(INDEX('Loans'!$A:$A,ROW())&amp;""," "," "))</f>
        <v/>
      </c>
      <c r="W844">
        <f>TRIM(SUBSTITUTE(INDEX('Loans'!$B:$B,ROW())&amp;""," "," "))</f>
        <v/>
      </c>
      <c r="X844">
        <f>TRIM(SUBSTITUTE(INDEX('Loans'!$C:$C,ROW())&amp;""," "," "))</f>
        <v/>
      </c>
      <c r="Y844">
        <f>IFERROR(--INDEX('Loans'!$D:$D,ROW()),0)</f>
        <v/>
      </c>
      <c r="Z844">
        <f>IFERROR(--INDEX('Loans'!$E:$E,ROW()),0)</f>
        <v/>
      </c>
      <c r="AA844">
        <f>IFERROR(--INDEX('Loans'!$F:$F,ROW()),0)</f>
        <v/>
      </c>
      <c r="AB844">
        <f>IFERROR(IF(--INDEX('Loans'!$G:$G,ROW())&gt;=1,--INDEX('Loans'!$G:$G,ROW())/100,--INDEX('Loans'!$G:$G,ROW())),0)</f>
        <v/>
      </c>
      <c r="AC844">
        <f>TRIM(SUBSTITUTE(INDEX('Loans'!$H:$H,ROW())&amp;""," "," "))</f>
        <v/>
      </c>
      <c r="AD844">
        <f>TRIM(SUBSTITUTE(INDEX('Loans'!$I:$I,ROW())&amp;""," "," "))</f>
        <v/>
      </c>
      <c r="AE844">
        <f>IFERROR(--INDEX('Loans'!$J:$J,ROW()),0)</f>
        <v/>
      </c>
      <c r="AF844">
        <f>TRIM(SUBSTITUTE(INDEX('Loans'!$K:$K,ROW())&amp;""," "," "))</f>
        <v/>
      </c>
      <c r="AG844">
        <f>IFERROR(--INDEX('Loans'!$L:$L,ROW()),0)</f>
        <v/>
      </c>
      <c r="AH844">
        <f>IF(ISNUMBER(INDEX('Loans'!$G:$G,ROW())),1,0)</f>
        <v/>
      </c>
    </row>
    <row r="845">
      <c r="A845">
        <f>TRIM(SUBSTITUTE(INDEX('Term investments'!$A:$A,ROW())&amp;""," "," "))</f>
        <v/>
      </c>
      <c r="B845">
        <f>TRIM(SUBSTITUTE(INDEX('Term investments'!$B:$B,ROW())&amp;""," "," "))</f>
        <v/>
      </c>
      <c r="C845">
        <f>TRIM(SUBSTITUTE(INDEX('Term investments'!$C:$C,ROW())&amp;""," "," "))</f>
        <v/>
      </c>
      <c r="D845">
        <f>IFERROR(--INDEX('Term investments'!$D:$D,ROW()),0)</f>
        <v/>
      </c>
      <c r="E845">
        <f>IFERROR(--INDEX('Term investments'!$E:$E,ROW()),0)</f>
        <v/>
      </c>
      <c r="F845">
        <f>IFERROR(--INDEX('Term investments'!$F:$F,ROW()),0)</f>
        <v/>
      </c>
      <c r="G845">
        <f>IFERROR(IF(--INDEX('Term investments'!$G:$G,ROW())&gt;=1,--INDEX('Term investments'!$G:$G,ROW())/100,--INDEX('Term investments'!$G:$G,ROW())),0)</f>
        <v/>
      </c>
      <c r="H845">
        <f>IFERROR(--INDEX('Term investments'!$H:$H,ROW()),0)</f>
        <v/>
      </c>
      <c r="I845">
        <f>IF(ISNUMBER(INDEX('Term investments'!$G:$G,ROW())),1,0)</f>
        <v/>
      </c>
      <c r="J845">
        <f>TRIM(SUBSTITUTE(INDEX('Call accounts and MMFs'!$A:$A,ROW())&amp;""," "," "))</f>
        <v/>
      </c>
      <c r="K845">
        <f>TRIM(SUBSTITUTE(INDEX('Call accounts and MMFs'!$B:$B,ROW())&amp;""," "," "))</f>
        <v/>
      </c>
      <c r="L845">
        <f>TRIM(SUBSTITUTE(INDEX('Call accounts and MMFs'!$C:$C,ROW())&amp;""," "," "))</f>
        <v/>
      </c>
      <c r="M845">
        <f>IFERROR(--INDEX('Call accounts and MMFs'!$D:$D,ROW()),0)</f>
        <v/>
      </c>
      <c r="N845">
        <f>IFERROR(IF(--INDEX('Call accounts and MMFs'!$E:$E,ROW())&gt;=1,--INDEX('Call accounts and MMFs'!$E:$E,ROW())/100,--INDEX('Call accounts and MMFs'!$E:$E,ROW())),0)</f>
        <v/>
      </c>
      <c r="O845">
        <f>IFERROR(--INDEX('Call accounts and MMFs'!$F:$F,ROW()),0)</f>
        <v/>
      </c>
      <c r="P845">
        <f>IF(ISNUMBER(INDEX('Call accounts and MMFs'!$E:$E,ROW())),1,0)</f>
        <v/>
      </c>
      <c r="Q845">
        <f>TRIM(SUBSTITUTE(INDEX('Pooled funds'!$B:$B,ROW())&amp;""," "," "))</f>
        <v/>
      </c>
      <c r="R845">
        <f>IFERROR(--INDEX('Pooled funds'!$C:$C,ROW()),0)</f>
        <v/>
      </c>
      <c r="S845">
        <f>IFERROR(--INDEX('Pooled funds'!$D:$D,ROW()),0)</f>
        <v/>
      </c>
      <c r="T845">
        <f>IFERROR(IF(--INDEX('Pooled funds'!$E:$E,ROW())&gt;=1,--INDEX('Pooled funds'!$E:$E,ROW())/100,--INDEX('Pooled funds'!$E:$E,ROW())),0)</f>
        <v/>
      </c>
      <c r="U845">
        <f>IF(ISNUMBER(INDEX('Pooled funds'!$E:$E,ROW())),1,0)</f>
        <v/>
      </c>
      <c r="V845">
        <f>TRIM(SUBSTITUTE(INDEX('Loans'!$A:$A,ROW())&amp;""," "," "))</f>
        <v/>
      </c>
      <c r="W845">
        <f>TRIM(SUBSTITUTE(INDEX('Loans'!$B:$B,ROW())&amp;""," "," "))</f>
        <v/>
      </c>
      <c r="X845">
        <f>TRIM(SUBSTITUTE(INDEX('Loans'!$C:$C,ROW())&amp;""," "," "))</f>
        <v/>
      </c>
      <c r="Y845">
        <f>IFERROR(--INDEX('Loans'!$D:$D,ROW()),0)</f>
        <v/>
      </c>
      <c r="Z845">
        <f>IFERROR(--INDEX('Loans'!$E:$E,ROW()),0)</f>
        <v/>
      </c>
      <c r="AA845">
        <f>IFERROR(--INDEX('Loans'!$F:$F,ROW()),0)</f>
        <v/>
      </c>
      <c r="AB845">
        <f>IFERROR(IF(--INDEX('Loans'!$G:$G,ROW())&gt;=1,--INDEX('Loans'!$G:$G,ROW())/100,--INDEX('Loans'!$G:$G,ROW())),0)</f>
        <v/>
      </c>
      <c r="AC845">
        <f>TRIM(SUBSTITUTE(INDEX('Loans'!$H:$H,ROW())&amp;""," "," "))</f>
        <v/>
      </c>
      <c r="AD845">
        <f>TRIM(SUBSTITUTE(INDEX('Loans'!$I:$I,ROW())&amp;""," "," "))</f>
        <v/>
      </c>
      <c r="AE845">
        <f>IFERROR(--INDEX('Loans'!$J:$J,ROW()),0)</f>
        <v/>
      </c>
      <c r="AF845">
        <f>TRIM(SUBSTITUTE(INDEX('Loans'!$K:$K,ROW())&amp;""," "," "))</f>
        <v/>
      </c>
      <c r="AG845">
        <f>IFERROR(--INDEX('Loans'!$L:$L,ROW()),0)</f>
        <v/>
      </c>
      <c r="AH845">
        <f>IF(ISNUMBER(INDEX('Loans'!$G:$G,ROW())),1,0)</f>
        <v/>
      </c>
    </row>
    <row r="846">
      <c r="A846">
        <f>TRIM(SUBSTITUTE(INDEX('Term investments'!$A:$A,ROW())&amp;""," "," "))</f>
        <v/>
      </c>
      <c r="B846">
        <f>TRIM(SUBSTITUTE(INDEX('Term investments'!$B:$B,ROW())&amp;""," "," "))</f>
        <v/>
      </c>
      <c r="C846">
        <f>TRIM(SUBSTITUTE(INDEX('Term investments'!$C:$C,ROW())&amp;""," "," "))</f>
        <v/>
      </c>
      <c r="D846">
        <f>IFERROR(--INDEX('Term investments'!$D:$D,ROW()),0)</f>
        <v/>
      </c>
      <c r="E846">
        <f>IFERROR(--INDEX('Term investments'!$E:$E,ROW()),0)</f>
        <v/>
      </c>
      <c r="F846">
        <f>IFERROR(--INDEX('Term investments'!$F:$F,ROW()),0)</f>
        <v/>
      </c>
      <c r="G846">
        <f>IFERROR(IF(--INDEX('Term investments'!$G:$G,ROW())&gt;=1,--INDEX('Term investments'!$G:$G,ROW())/100,--INDEX('Term investments'!$G:$G,ROW())),0)</f>
        <v/>
      </c>
      <c r="H846">
        <f>IFERROR(--INDEX('Term investments'!$H:$H,ROW()),0)</f>
        <v/>
      </c>
      <c r="I846">
        <f>IF(ISNUMBER(INDEX('Term investments'!$G:$G,ROW())),1,0)</f>
        <v/>
      </c>
      <c r="J846">
        <f>TRIM(SUBSTITUTE(INDEX('Call accounts and MMFs'!$A:$A,ROW())&amp;""," "," "))</f>
        <v/>
      </c>
      <c r="K846">
        <f>TRIM(SUBSTITUTE(INDEX('Call accounts and MMFs'!$B:$B,ROW())&amp;""," "," "))</f>
        <v/>
      </c>
      <c r="L846">
        <f>TRIM(SUBSTITUTE(INDEX('Call accounts and MMFs'!$C:$C,ROW())&amp;""," "," "))</f>
        <v/>
      </c>
      <c r="M846">
        <f>IFERROR(--INDEX('Call accounts and MMFs'!$D:$D,ROW()),0)</f>
        <v/>
      </c>
      <c r="N846">
        <f>IFERROR(IF(--INDEX('Call accounts and MMFs'!$E:$E,ROW())&gt;=1,--INDEX('Call accounts and MMFs'!$E:$E,ROW())/100,--INDEX('Call accounts and MMFs'!$E:$E,ROW())),0)</f>
        <v/>
      </c>
      <c r="O846">
        <f>IFERROR(--INDEX('Call accounts and MMFs'!$F:$F,ROW()),0)</f>
        <v/>
      </c>
      <c r="P846">
        <f>IF(ISNUMBER(INDEX('Call accounts and MMFs'!$E:$E,ROW())),1,0)</f>
        <v/>
      </c>
      <c r="Q846">
        <f>TRIM(SUBSTITUTE(INDEX('Pooled funds'!$B:$B,ROW())&amp;""," "," "))</f>
        <v/>
      </c>
      <c r="R846">
        <f>IFERROR(--INDEX('Pooled funds'!$C:$C,ROW()),0)</f>
        <v/>
      </c>
      <c r="S846">
        <f>IFERROR(--INDEX('Pooled funds'!$D:$D,ROW()),0)</f>
        <v/>
      </c>
      <c r="T846">
        <f>IFERROR(IF(--INDEX('Pooled funds'!$E:$E,ROW())&gt;=1,--INDEX('Pooled funds'!$E:$E,ROW())/100,--INDEX('Pooled funds'!$E:$E,ROW())),0)</f>
        <v/>
      </c>
      <c r="U846">
        <f>IF(ISNUMBER(INDEX('Pooled funds'!$E:$E,ROW())),1,0)</f>
        <v/>
      </c>
      <c r="V846">
        <f>TRIM(SUBSTITUTE(INDEX('Loans'!$A:$A,ROW())&amp;""," "," "))</f>
        <v/>
      </c>
      <c r="W846">
        <f>TRIM(SUBSTITUTE(INDEX('Loans'!$B:$B,ROW())&amp;""," "," "))</f>
        <v/>
      </c>
      <c r="X846">
        <f>TRIM(SUBSTITUTE(INDEX('Loans'!$C:$C,ROW())&amp;""," "," "))</f>
        <v/>
      </c>
      <c r="Y846">
        <f>IFERROR(--INDEX('Loans'!$D:$D,ROW()),0)</f>
        <v/>
      </c>
      <c r="Z846">
        <f>IFERROR(--INDEX('Loans'!$E:$E,ROW()),0)</f>
        <v/>
      </c>
      <c r="AA846">
        <f>IFERROR(--INDEX('Loans'!$F:$F,ROW()),0)</f>
        <v/>
      </c>
      <c r="AB846">
        <f>IFERROR(IF(--INDEX('Loans'!$G:$G,ROW())&gt;=1,--INDEX('Loans'!$G:$G,ROW())/100,--INDEX('Loans'!$G:$G,ROW())),0)</f>
        <v/>
      </c>
      <c r="AC846">
        <f>TRIM(SUBSTITUTE(INDEX('Loans'!$H:$H,ROW())&amp;""," "," "))</f>
        <v/>
      </c>
      <c r="AD846">
        <f>TRIM(SUBSTITUTE(INDEX('Loans'!$I:$I,ROW())&amp;""," "," "))</f>
        <v/>
      </c>
      <c r="AE846">
        <f>IFERROR(--INDEX('Loans'!$J:$J,ROW()),0)</f>
        <v/>
      </c>
      <c r="AF846">
        <f>TRIM(SUBSTITUTE(INDEX('Loans'!$K:$K,ROW())&amp;""," "," "))</f>
        <v/>
      </c>
      <c r="AG846">
        <f>IFERROR(--INDEX('Loans'!$L:$L,ROW()),0)</f>
        <v/>
      </c>
      <c r="AH846">
        <f>IF(ISNUMBER(INDEX('Loans'!$G:$G,ROW())),1,0)</f>
        <v/>
      </c>
    </row>
    <row r="847">
      <c r="A847">
        <f>TRIM(SUBSTITUTE(INDEX('Term investments'!$A:$A,ROW())&amp;""," "," "))</f>
        <v/>
      </c>
      <c r="B847">
        <f>TRIM(SUBSTITUTE(INDEX('Term investments'!$B:$B,ROW())&amp;""," "," "))</f>
        <v/>
      </c>
      <c r="C847">
        <f>TRIM(SUBSTITUTE(INDEX('Term investments'!$C:$C,ROW())&amp;""," "," "))</f>
        <v/>
      </c>
      <c r="D847">
        <f>IFERROR(--INDEX('Term investments'!$D:$D,ROW()),0)</f>
        <v/>
      </c>
      <c r="E847">
        <f>IFERROR(--INDEX('Term investments'!$E:$E,ROW()),0)</f>
        <v/>
      </c>
      <c r="F847">
        <f>IFERROR(--INDEX('Term investments'!$F:$F,ROW()),0)</f>
        <v/>
      </c>
      <c r="G847">
        <f>IFERROR(IF(--INDEX('Term investments'!$G:$G,ROW())&gt;=1,--INDEX('Term investments'!$G:$G,ROW())/100,--INDEX('Term investments'!$G:$G,ROW())),0)</f>
        <v/>
      </c>
      <c r="H847">
        <f>IFERROR(--INDEX('Term investments'!$H:$H,ROW()),0)</f>
        <v/>
      </c>
      <c r="I847">
        <f>IF(ISNUMBER(INDEX('Term investments'!$G:$G,ROW())),1,0)</f>
        <v/>
      </c>
      <c r="J847">
        <f>TRIM(SUBSTITUTE(INDEX('Call accounts and MMFs'!$A:$A,ROW())&amp;""," "," "))</f>
        <v/>
      </c>
      <c r="K847">
        <f>TRIM(SUBSTITUTE(INDEX('Call accounts and MMFs'!$B:$B,ROW())&amp;""," "," "))</f>
        <v/>
      </c>
      <c r="L847">
        <f>TRIM(SUBSTITUTE(INDEX('Call accounts and MMFs'!$C:$C,ROW())&amp;""," "," "))</f>
        <v/>
      </c>
      <c r="M847">
        <f>IFERROR(--INDEX('Call accounts and MMFs'!$D:$D,ROW()),0)</f>
        <v/>
      </c>
      <c r="N847">
        <f>IFERROR(IF(--INDEX('Call accounts and MMFs'!$E:$E,ROW())&gt;=1,--INDEX('Call accounts and MMFs'!$E:$E,ROW())/100,--INDEX('Call accounts and MMFs'!$E:$E,ROW())),0)</f>
        <v/>
      </c>
      <c r="O847">
        <f>IFERROR(--INDEX('Call accounts and MMFs'!$F:$F,ROW()),0)</f>
        <v/>
      </c>
      <c r="P847">
        <f>IF(ISNUMBER(INDEX('Call accounts and MMFs'!$E:$E,ROW())),1,0)</f>
        <v/>
      </c>
      <c r="Q847">
        <f>TRIM(SUBSTITUTE(INDEX('Pooled funds'!$B:$B,ROW())&amp;""," "," "))</f>
        <v/>
      </c>
      <c r="R847">
        <f>IFERROR(--INDEX('Pooled funds'!$C:$C,ROW()),0)</f>
        <v/>
      </c>
      <c r="S847">
        <f>IFERROR(--INDEX('Pooled funds'!$D:$D,ROW()),0)</f>
        <v/>
      </c>
      <c r="T847">
        <f>IFERROR(IF(--INDEX('Pooled funds'!$E:$E,ROW())&gt;=1,--INDEX('Pooled funds'!$E:$E,ROW())/100,--INDEX('Pooled funds'!$E:$E,ROW())),0)</f>
        <v/>
      </c>
      <c r="U847">
        <f>IF(ISNUMBER(INDEX('Pooled funds'!$E:$E,ROW())),1,0)</f>
        <v/>
      </c>
      <c r="V847">
        <f>TRIM(SUBSTITUTE(INDEX('Loans'!$A:$A,ROW())&amp;""," "," "))</f>
        <v/>
      </c>
      <c r="W847">
        <f>TRIM(SUBSTITUTE(INDEX('Loans'!$B:$B,ROW())&amp;""," "," "))</f>
        <v/>
      </c>
      <c r="X847">
        <f>TRIM(SUBSTITUTE(INDEX('Loans'!$C:$C,ROW())&amp;""," "," "))</f>
        <v/>
      </c>
      <c r="Y847">
        <f>IFERROR(--INDEX('Loans'!$D:$D,ROW()),0)</f>
        <v/>
      </c>
      <c r="Z847">
        <f>IFERROR(--INDEX('Loans'!$E:$E,ROW()),0)</f>
        <v/>
      </c>
      <c r="AA847">
        <f>IFERROR(--INDEX('Loans'!$F:$F,ROW()),0)</f>
        <v/>
      </c>
      <c r="AB847">
        <f>IFERROR(IF(--INDEX('Loans'!$G:$G,ROW())&gt;=1,--INDEX('Loans'!$G:$G,ROW())/100,--INDEX('Loans'!$G:$G,ROW())),0)</f>
        <v/>
      </c>
      <c r="AC847">
        <f>TRIM(SUBSTITUTE(INDEX('Loans'!$H:$H,ROW())&amp;""," "," "))</f>
        <v/>
      </c>
      <c r="AD847">
        <f>TRIM(SUBSTITUTE(INDEX('Loans'!$I:$I,ROW())&amp;""," "," "))</f>
        <v/>
      </c>
      <c r="AE847">
        <f>IFERROR(--INDEX('Loans'!$J:$J,ROW()),0)</f>
        <v/>
      </c>
      <c r="AF847">
        <f>TRIM(SUBSTITUTE(INDEX('Loans'!$K:$K,ROW())&amp;""," "," "))</f>
        <v/>
      </c>
      <c r="AG847">
        <f>IFERROR(--INDEX('Loans'!$L:$L,ROW()),0)</f>
        <v/>
      </c>
      <c r="AH847">
        <f>IF(ISNUMBER(INDEX('Loans'!$G:$G,ROW())),1,0)</f>
        <v/>
      </c>
    </row>
    <row r="848">
      <c r="A848">
        <f>TRIM(SUBSTITUTE(INDEX('Term investments'!$A:$A,ROW())&amp;""," "," "))</f>
        <v/>
      </c>
      <c r="B848">
        <f>TRIM(SUBSTITUTE(INDEX('Term investments'!$B:$B,ROW())&amp;""," "," "))</f>
        <v/>
      </c>
      <c r="C848">
        <f>TRIM(SUBSTITUTE(INDEX('Term investments'!$C:$C,ROW())&amp;""," "," "))</f>
        <v/>
      </c>
      <c r="D848">
        <f>IFERROR(--INDEX('Term investments'!$D:$D,ROW()),0)</f>
        <v/>
      </c>
      <c r="E848">
        <f>IFERROR(--INDEX('Term investments'!$E:$E,ROW()),0)</f>
        <v/>
      </c>
      <c r="F848">
        <f>IFERROR(--INDEX('Term investments'!$F:$F,ROW()),0)</f>
        <v/>
      </c>
      <c r="G848">
        <f>IFERROR(IF(--INDEX('Term investments'!$G:$G,ROW())&gt;=1,--INDEX('Term investments'!$G:$G,ROW())/100,--INDEX('Term investments'!$G:$G,ROW())),0)</f>
        <v/>
      </c>
      <c r="H848">
        <f>IFERROR(--INDEX('Term investments'!$H:$H,ROW()),0)</f>
        <v/>
      </c>
      <c r="I848">
        <f>IF(ISNUMBER(INDEX('Term investments'!$G:$G,ROW())),1,0)</f>
        <v/>
      </c>
      <c r="J848">
        <f>TRIM(SUBSTITUTE(INDEX('Call accounts and MMFs'!$A:$A,ROW())&amp;""," "," "))</f>
        <v/>
      </c>
      <c r="K848">
        <f>TRIM(SUBSTITUTE(INDEX('Call accounts and MMFs'!$B:$B,ROW())&amp;""," "," "))</f>
        <v/>
      </c>
      <c r="L848">
        <f>TRIM(SUBSTITUTE(INDEX('Call accounts and MMFs'!$C:$C,ROW())&amp;""," "," "))</f>
        <v/>
      </c>
      <c r="M848">
        <f>IFERROR(--INDEX('Call accounts and MMFs'!$D:$D,ROW()),0)</f>
        <v/>
      </c>
      <c r="N848">
        <f>IFERROR(IF(--INDEX('Call accounts and MMFs'!$E:$E,ROW())&gt;=1,--INDEX('Call accounts and MMFs'!$E:$E,ROW())/100,--INDEX('Call accounts and MMFs'!$E:$E,ROW())),0)</f>
        <v/>
      </c>
      <c r="O848">
        <f>IFERROR(--INDEX('Call accounts and MMFs'!$F:$F,ROW()),0)</f>
        <v/>
      </c>
      <c r="P848">
        <f>IF(ISNUMBER(INDEX('Call accounts and MMFs'!$E:$E,ROW())),1,0)</f>
        <v/>
      </c>
      <c r="Q848">
        <f>TRIM(SUBSTITUTE(INDEX('Pooled funds'!$B:$B,ROW())&amp;""," "," "))</f>
        <v/>
      </c>
      <c r="R848">
        <f>IFERROR(--INDEX('Pooled funds'!$C:$C,ROW()),0)</f>
        <v/>
      </c>
      <c r="S848">
        <f>IFERROR(--INDEX('Pooled funds'!$D:$D,ROW()),0)</f>
        <v/>
      </c>
      <c r="T848">
        <f>IFERROR(IF(--INDEX('Pooled funds'!$E:$E,ROW())&gt;=1,--INDEX('Pooled funds'!$E:$E,ROW())/100,--INDEX('Pooled funds'!$E:$E,ROW())),0)</f>
        <v/>
      </c>
      <c r="U848">
        <f>IF(ISNUMBER(INDEX('Pooled funds'!$E:$E,ROW())),1,0)</f>
        <v/>
      </c>
      <c r="V848">
        <f>TRIM(SUBSTITUTE(INDEX('Loans'!$A:$A,ROW())&amp;""," "," "))</f>
        <v/>
      </c>
      <c r="W848">
        <f>TRIM(SUBSTITUTE(INDEX('Loans'!$B:$B,ROW())&amp;""," "," "))</f>
        <v/>
      </c>
      <c r="X848">
        <f>TRIM(SUBSTITUTE(INDEX('Loans'!$C:$C,ROW())&amp;""," "," "))</f>
        <v/>
      </c>
      <c r="Y848">
        <f>IFERROR(--INDEX('Loans'!$D:$D,ROW()),0)</f>
        <v/>
      </c>
      <c r="Z848">
        <f>IFERROR(--INDEX('Loans'!$E:$E,ROW()),0)</f>
        <v/>
      </c>
      <c r="AA848">
        <f>IFERROR(--INDEX('Loans'!$F:$F,ROW()),0)</f>
        <v/>
      </c>
      <c r="AB848">
        <f>IFERROR(IF(--INDEX('Loans'!$G:$G,ROW())&gt;=1,--INDEX('Loans'!$G:$G,ROW())/100,--INDEX('Loans'!$G:$G,ROW())),0)</f>
        <v/>
      </c>
      <c r="AC848">
        <f>TRIM(SUBSTITUTE(INDEX('Loans'!$H:$H,ROW())&amp;""," "," "))</f>
        <v/>
      </c>
      <c r="AD848">
        <f>TRIM(SUBSTITUTE(INDEX('Loans'!$I:$I,ROW())&amp;""," "," "))</f>
        <v/>
      </c>
      <c r="AE848">
        <f>IFERROR(--INDEX('Loans'!$J:$J,ROW()),0)</f>
        <v/>
      </c>
      <c r="AF848">
        <f>TRIM(SUBSTITUTE(INDEX('Loans'!$K:$K,ROW())&amp;""," "," "))</f>
        <v/>
      </c>
      <c r="AG848">
        <f>IFERROR(--INDEX('Loans'!$L:$L,ROW()),0)</f>
        <v/>
      </c>
      <c r="AH848">
        <f>IF(ISNUMBER(INDEX('Loans'!$G:$G,ROW())),1,0)</f>
        <v/>
      </c>
    </row>
    <row r="849">
      <c r="A849">
        <f>TRIM(SUBSTITUTE(INDEX('Term investments'!$A:$A,ROW())&amp;""," "," "))</f>
        <v/>
      </c>
      <c r="B849">
        <f>TRIM(SUBSTITUTE(INDEX('Term investments'!$B:$B,ROW())&amp;""," "," "))</f>
        <v/>
      </c>
      <c r="C849">
        <f>TRIM(SUBSTITUTE(INDEX('Term investments'!$C:$C,ROW())&amp;""," "," "))</f>
        <v/>
      </c>
      <c r="D849">
        <f>IFERROR(--INDEX('Term investments'!$D:$D,ROW()),0)</f>
        <v/>
      </c>
      <c r="E849">
        <f>IFERROR(--INDEX('Term investments'!$E:$E,ROW()),0)</f>
        <v/>
      </c>
      <c r="F849">
        <f>IFERROR(--INDEX('Term investments'!$F:$F,ROW()),0)</f>
        <v/>
      </c>
      <c r="G849">
        <f>IFERROR(IF(--INDEX('Term investments'!$G:$G,ROW())&gt;=1,--INDEX('Term investments'!$G:$G,ROW())/100,--INDEX('Term investments'!$G:$G,ROW())),0)</f>
        <v/>
      </c>
      <c r="H849">
        <f>IFERROR(--INDEX('Term investments'!$H:$H,ROW()),0)</f>
        <v/>
      </c>
      <c r="I849">
        <f>IF(ISNUMBER(INDEX('Term investments'!$G:$G,ROW())),1,0)</f>
        <v/>
      </c>
      <c r="J849">
        <f>TRIM(SUBSTITUTE(INDEX('Call accounts and MMFs'!$A:$A,ROW())&amp;""," "," "))</f>
        <v/>
      </c>
      <c r="K849">
        <f>TRIM(SUBSTITUTE(INDEX('Call accounts and MMFs'!$B:$B,ROW())&amp;""," "," "))</f>
        <v/>
      </c>
      <c r="L849">
        <f>TRIM(SUBSTITUTE(INDEX('Call accounts and MMFs'!$C:$C,ROW())&amp;""," "," "))</f>
        <v/>
      </c>
      <c r="M849">
        <f>IFERROR(--INDEX('Call accounts and MMFs'!$D:$D,ROW()),0)</f>
        <v/>
      </c>
      <c r="N849">
        <f>IFERROR(IF(--INDEX('Call accounts and MMFs'!$E:$E,ROW())&gt;=1,--INDEX('Call accounts and MMFs'!$E:$E,ROW())/100,--INDEX('Call accounts and MMFs'!$E:$E,ROW())),0)</f>
        <v/>
      </c>
      <c r="O849">
        <f>IFERROR(--INDEX('Call accounts and MMFs'!$F:$F,ROW()),0)</f>
        <v/>
      </c>
      <c r="P849">
        <f>IF(ISNUMBER(INDEX('Call accounts and MMFs'!$E:$E,ROW())),1,0)</f>
        <v/>
      </c>
      <c r="Q849">
        <f>TRIM(SUBSTITUTE(INDEX('Pooled funds'!$B:$B,ROW())&amp;""," "," "))</f>
        <v/>
      </c>
      <c r="R849">
        <f>IFERROR(--INDEX('Pooled funds'!$C:$C,ROW()),0)</f>
        <v/>
      </c>
      <c r="S849">
        <f>IFERROR(--INDEX('Pooled funds'!$D:$D,ROW()),0)</f>
        <v/>
      </c>
      <c r="T849">
        <f>IFERROR(IF(--INDEX('Pooled funds'!$E:$E,ROW())&gt;=1,--INDEX('Pooled funds'!$E:$E,ROW())/100,--INDEX('Pooled funds'!$E:$E,ROW())),0)</f>
        <v/>
      </c>
      <c r="U849">
        <f>IF(ISNUMBER(INDEX('Pooled funds'!$E:$E,ROW())),1,0)</f>
        <v/>
      </c>
      <c r="V849">
        <f>TRIM(SUBSTITUTE(INDEX('Loans'!$A:$A,ROW())&amp;""," "," "))</f>
        <v/>
      </c>
      <c r="W849">
        <f>TRIM(SUBSTITUTE(INDEX('Loans'!$B:$B,ROW())&amp;""," "," "))</f>
        <v/>
      </c>
      <c r="X849">
        <f>TRIM(SUBSTITUTE(INDEX('Loans'!$C:$C,ROW())&amp;""," "," "))</f>
        <v/>
      </c>
      <c r="Y849">
        <f>IFERROR(--INDEX('Loans'!$D:$D,ROW()),0)</f>
        <v/>
      </c>
      <c r="Z849">
        <f>IFERROR(--INDEX('Loans'!$E:$E,ROW()),0)</f>
        <v/>
      </c>
      <c r="AA849">
        <f>IFERROR(--INDEX('Loans'!$F:$F,ROW()),0)</f>
        <v/>
      </c>
      <c r="AB849">
        <f>IFERROR(IF(--INDEX('Loans'!$G:$G,ROW())&gt;=1,--INDEX('Loans'!$G:$G,ROW())/100,--INDEX('Loans'!$G:$G,ROW())),0)</f>
        <v/>
      </c>
      <c r="AC849">
        <f>TRIM(SUBSTITUTE(INDEX('Loans'!$H:$H,ROW())&amp;""," "," "))</f>
        <v/>
      </c>
      <c r="AD849">
        <f>TRIM(SUBSTITUTE(INDEX('Loans'!$I:$I,ROW())&amp;""," "," "))</f>
        <v/>
      </c>
      <c r="AE849">
        <f>IFERROR(--INDEX('Loans'!$J:$J,ROW()),0)</f>
        <v/>
      </c>
      <c r="AF849">
        <f>TRIM(SUBSTITUTE(INDEX('Loans'!$K:$K,ROW())&amp;""," "," "))</f>
        <v/>
      </c>
      <c r="AG849">
        <f>IFERROR(--INDEX('Loans'!$L:$L,ROW()),0)</f>
        <v/>
      </c>
      <c r="AH849">
        <f>IF(ISNUMBER(INDEX('Loans'!$G:$G,ROW())),1,0)</f>
        <v/>
      </c>
    </row>
    <row r="850">
      <c r="A850">
        <f>TRIM(SUBSTITUTE(INDEX('Term investments'!$A:$A,ROW())&amp;""," "," "))</f>
        <v/>
      </c>
      <c r="B850">
        <f>TRIM(SUBSTITUTE(INDEX('Term investments'!$B:$B,ROW())&amp;""," "," "))</f>
        <v/>
      </c>
      <c r="C850">
        <f>TRIM(SUBSTITUTE(INDEX('Term investments'!$C:$C,ROW())&amp;""," "," "))</f>
        <v/>
      </c>
      <c r="D850">
        <f>IFERROR(--INDEX('Term investments'!$D:$D,ROW()),0)</f>
        <v/>
      </c>
      <c r="E850">
        <f>IFERROR(--INDEX('Term investments'!$E:$E,ROW()),0)</f>
        <v/>
      </c>
      <c r="F850">
        <f>IFERROR(--INDEX('Term investments'!$F:$F,ROW()),0)</f>
        <v/>
      </c>
      <c r="G850">
        <f>IFERROR(IF(--INDEX('Term investments'!$G:$G,ROW())&gt;=1,--INDEX('Term investments'!$G:$G,ROW())/100,--INDEX('Term investments'!$G:$G,ROW())),0)</f>
        <v/>
      </c>
      <c r="H850">
        <f>IFERROR(--INDEX('Term investments'!$H:$H,ROW()),0)</f>
        <v/>
      </c>
      <c r="I850">
        <f>IF(ISNUMBER(INDEX('Term investments'!$G:$G,ROW())),1,0)</f>
        <v/>
      </c>
      <c r="J850">
        <f>TRIM(SUBSTITUTE(INDEX('Call accounts and MMFs'!$A:$A,ROW())&amp;""," "," "))</f>
        <v/>
      </c>
      <c r="K850">
        <f>TRIM(SUBSTITUTE(INDEX('Call accounts and MMFs'!$B:$B,ROW())&amp;""," "," "))</f>
        <v/>
      </c>
      <c r="L850">
        <f>TRIM(SUBSTITUTE(INDEX('Call accounts and MMFs'!$C:$C,ROW())&amp;""," "," "))</f>
        <v/>
      </c>
      <c r="M850">
        <f>IFERROR(--INDEX('Call accounts and MMFs'!$D:$D,ROW()),0)</f>
        <v/>
      </c>
      <c r="N850">
        <f>IFERROR(IF(--INDEX('Call accounts and MMFs'!$E:$E,ROW())&gt;=1,--INDEX('Call accounts and MMFs'!$E:$E,ROW())/100,--INDEX('Call accounts and MMFs'!$E:$E,ROW())),0)</f>
        <v/>
      </c>
      <c r="O850">
        <f>IFERROR(--INDEX('Call accounts and MMFs'!$F:$F,ROW()),0)</f>
        <v/>
      </c>
      <c r="P850">
        <f>IF(ISNUMBER(INDEX('Call accounts and MMFs'!$E:$E,ROW())),1,0)</f>
        <v/>
      </c>
      <c r="Q850">
        <f>TRIM(SUBSTITUTE(INDEX('Pooled funds'!$B:$B,ROW())&amp;""," "," "))</f>
        <v/>
      </c>
      <c r="R850">
        <f>IFERROR(--INDEX('Pooled funds'!$C:$C,ROW()),0)</f>
        <v/>
      </c>
      <c r="S850">
        <f>IFERROR(--INDEX('Pooled funds'!$D:$D,ROW()),0)</f>
        <v/>
      </c>
      <c r="T850">
        <f>IFERROR(IF(--INDEX('Pooled funds'!$E:$E,ROW())&gt;=1,--INDEX('Pooled funds'!$E:$E,ROW())/100,--INDEX('Pooled funds'!$E:$E,ROW())),0)</f>
        <v/>
      </c>
      <c r="U850">
        <f>IF(ISNUMBER(INDEX('Pooled funds'!$E:$E,ROW())),1,0)</f>
        <v/>
      </c>
      <c r="V850">
        <f>TRIM(SUBSTITUTE(INDEX('Loans'!$A:$A,ROW())&amp;""," "," "))</f>
        <v/>
      </c>
      <c r="W850">
        <f>TRIM(SUBSTITUTE(INDEX('Loans'!$B:$B,ROW())&amp;""," "," "))</f>
        <v/>
      </c>
      <c r="X850">
        <f>TRIM(SUBSTITUTE(INDEX('Loans'!$C:$C,ROW())&amp;""," "," "))</f>
        <v/>
      </c>
      <c r="Y850">
        <f>IFERROR(--INDEX('Loans'!$D:$D,ROW()),0)</f>
        <v/>
      </c>
      <c r="Z850">
        <f>IFERROR(--INDEX('Loans'!$E:$E,ROW()),0)</f>
        <v/>
      </c>
      <c r="AA850">
        <f>IFERROR(--INDEX('Loans'!$F:$F,ROW()),0)</f>
        <v/>
      </c>
      <c r="AB850">
        <f>IFERROR(IF(--INDEX('Loans'!$G:$G,ROW())&gt;=1,--INDEX('Loans'!$G:$G,ROW())/100,--INDEX('Loans'!$G:$G,ROW())),0)</f>
        <v/>
      </c>
      <c r="AC850">
        <f>TRIM(SUBSTITUTE(INDEX('Loans'!$H:$H,ROW())&amp;""," "," "))</f>
        <v/>
      </c>
      <c r="AD850">
        <f>TRIM(SUBSTITUTE(INDEX('Loans'!$I:$I,ROW())&amp;""," "," "))</f>
        <v/>
      </c>
      <c r="AE850">
        <f>IFERROR(--INDEX('Loans'!$J:$J,ROW()),0)</f>
        <v/>
      </c>
      <c r="AF850">
        <f>TRIM(SUBSTITUTE(INDEX('Loans'!$K:$K,ROW())&amp;""," "," "))</f>
        <v/>
      </c>
      <c r="AG850">
        <f>IFERROR(--INDEX('Loans'!$L:$L,ROW()),0)</f>
        <v/>
      </c>
      <c r="AH850">
        <f>IF(ISNUMBER(INDEX('Loans'!$G:$G,ROW())),1,0)</f>
        <v/>
      </c>
    </row>
    <row r="851">
      <c r="A851">
        <f>TRIM(SUBSTITUTE(INDEX('Term investments'!$A:$A,ROW())&amp;""," "," "))</f>
        <v/>
      </c>
      <c r="B851">
        <f>TRIM(SUBSTITUTE(INDEX('Term investments'!$B:$B,ROW())&amp;""," "," "))</f>
        <v/>
      </c>
      <c r="C851">
        <f>TRIM(SUBSTITUTE(INDEX('Term investments'!$C:$C,ROW())&amp;""," "," "))</f>
        <v/>
      </c>
      <c r="D851">
        <f>IFERROR(--INDEX('Term investments'!$D:$D,ROW()),0)</f>
        <v/>
      </c>
      <c r="E851">
        <f>IFERROR(--INDEX('Term investments'!$E:$E,ROW()),0)</f>
        <v/>
      </c>
      <c r="F851">
        <f>IFERROR(--INDEX('Term investments'!$F:$F,ROW()),0)</f>
        <v/>
      </c>
      <c r="G851">
        <f>IFERROR(IF(--INDEX('Term investments'!$G:$G,ROW())&gt;=1,--INDEX('Term investments'!$G:$G,ROW())/100,--INDEX('Term investments'!$G:$G,ROW())),0)</f>
        <v/>
      </c>
      <c r="H851">
        <f>IFERROR(--INDEX('Term investments'!$H:$H,ROW()),0)</f>
        <v/>
      </c>
      <c r="I851">
        <f>IF(ISNUMBER(INDEX('Term investments'!$G:$G,ROW())),1,0)</f>
        <v/>
      </c>
      <c r="J851">
        <f>TRIM(SUBSTITUTE(INDEX('Call accounts and MMFs'!$A:$A,ROW())&amp;""," "," "))</f>
        <v/>
      </c>
      <c r="K851">
        <f>TRIM(SUBSTITUTE(INDEX('Call accounts and MMFs'!$B:$B,ROW())&amp;""," "," "))</f>
        <v/>
      </c>
      <c r="L851">
        <f>TRIM(SUBSTITUTE(INDEX('Call accounts and MMFs'!$C:$C,ROW())&amp;""," "," "))</f>
        <v/>
      </c>
      <c r="M851">
        <f>IFERROR(--INDEX('Call accounts and MMFs'!$D:$D,ROW()),0)</f>
        <v/>
      </c>
      <c r="N851">
        <f>IFERROR(IF(--INDEX('Call accounts and MMFs'!$E:$E,ROW())&gt;=1,--INDEX('Call accounts and MMFs'!$E:$E,ROW())/100,--INDEX('Call accounts and MMFs'!$E:$E,ROW())),0)</f>
        <v/>
      </c>
      <c r="O851">
        <f>IFERROR(--INDEX('Call accounts and MMFs'!$F:$F,ROW()),0)</f>
        <v/>
      </c>
      <c r="P851">
        <f>IF(ISNUMBER(INDEX('Call accounts and MMFs'!$E:$E,ROW())),1,0)</f>
        <v/>
      </c>
      <c r="Q851">
        <f>TRIM(SUBSTITUTE(INDEX('Pooled funds'!$B:$B,ROW())&amp;""," "," "))</f>
        <v/>
      </c>
      <c r="R851">
        <f>IFERROR(--INDEX('Pooled funds'!$C:$C,ROW()),0)</f>
        <v/>
      </c>
      <c r="S851">
        <f>IFERROR(--INDEX('Pooled funds'!$D:$D,ROW()),0)</f>
        <v/>
      </c>
      <c r="T851">
        <f>IFERROR(IF(--INDEX('Pooled funds'!$E:$E,ROW())&gt;=1,--INDEX('Pooled funds'!$E:$E,ROW())/100,--INDEX('Pooled funds'!$E:$E,ROW())),0)</f>
        <v/>
      </c>
      <c r="U851">
        <f>IF(ISNUMBER(INDEX('Pooled funds'!$E:$E,ROW())),1,0)</f>
        <v/>
      </c>
      <c r="V851">
        <f>TRIM(SUBSTITUTE(INDEX('Loans'!$A:$A,ROW())&amp;""," "," "))</f>
        <v/>
      </c>
      <c r="W851">
        <f>TRIM(SUBSTITUTE(INDEX('Loans'!$B:$B,ROW())&amp;""," "," "))</f>
        <v/>
      </c>
      <c r="X851">
        <f>TRIM(SUBSTITUTE(INDEX('Loans'!$C:$C,ROW())&amp;""," "," "))</f>
        <v/>
      </c>
      <c r="Y851">
        <f>IFERROR(--INDEX('Loans'!$D:$D,ROW()),0)</f>
        <v/>
      </c>
      <c r="Z851">
        <f>IFERROR(--INDEX('Loans'!$E:$E,ROW()),0)</f>
        <v/>
      </c>
      <c r="AA851">
        <f>IFERROR(--INDEX('Loans'!$F:$F,ROW()),0)</f>
        <v/>
      </c>
      <c r="AB851">
        <f>IFERROR(IF(--INDEX('Loans'!$G:$G,ROW())&gt;=1,--INDEX('Loans'!$G:$G,ROW())/100,--INDEX('Loans'!$G:$G,ROW())),0)</f>
        <v/>
      </c>
      <c r="AC851">
        <f>TRIM(SUBSTITUTE(INDEX('Loans'!$H:$H,ROW())&amp;""," "," "))</f>
        <v/>
      </c>
      <c r="AD851">
        <f>TRIM(SUBSTITUTE(INDEX('Loans'!$I:$I,ROW())&amp;""," "," "))</f>
        <v/>
      </c>
      <c r="AE851">
        <f>IFERROR(--INDEX('Loans'!$J:$J,ROW()),0)</f>
        <v/>
      </c>
      <c r="AF851">
        <f>TRIM(SUBSTITUTE(INDEX('Loans'!$K:$K,ROW())&amp;""," "," "))</f>
        <v/>
      </c>
      <c r="AG851">
        <f>IFERROR(--INDEX('Loans'!$L:$L,ROW()),0)</f>
        <v/>
      </c>
      <c r="AH851">
        <f>IF(ISNUMBER(INDEX('Loans'!$G:$G,ROW())),1,0)</f>
        <v/>
      </c>
    </row>
    <row r="852">
      <c r="A852">
        <f>TRIM(SUBSTITUTE(INDEX('Term investments'!$A:$A,ROW())&amp;""," "," "))</f>
        <v/>
      </c>
      <c r="B852">
        <f>TRIM(SUBSTITUTE(INDEX('Term investments'!$B:$B,ROW())&amp;""," "," "))</f>
        <v/>
      </c>
      <c r="C852">
        <f>TRIM(SUBSTITUTE(INDEX('Term investments'!$C:$C,ROW())&amp;""," "," "))</f>
        <v/>
      </c>
      <c r="D852">
        <f>IFERROR(--INDEX('Term investments'!$D:$D,ROW()),0)</f>
        <v/>
      </c>
      <c r="E852">
        <f>IFERROR(--INDEX('Term investments'!$E:$E,ROW()),0)</f>
        <v/>
      </c>
      <c r="F852">
        <f>IFERROR(--INDEX('Term investments'!$F:$F,ROW()),0)</f>
        <v/>
      </c>
      <c r="G852">
        <f>IFERROR(IF(--INDEX('Term investments'!$G:$G,ROW())&gt;=1,--INDEX('Term investments'!$G:$G,ROW())/100,--INDEX('Term investments'!$G:$G,ROW())),0)</f>
        <v/>
      </c>
      <c r="H852">
        <f>IFERROR(--INDEX('Term investments'!$H:$H,ROW()),0)</f>
        <v/>
      </c>
      <c r="I852">
        <f>IF(ISNUMBER(INDEX('Term investments'!$G:$G,ROW())),1,0)</f>
        <v/>
      </c>
      <c r="J852">
        <f>TRIM(SUBSTITUTE(INDEX('Call accounts and MMFs'!$A:$A,ROW())&amp;""," "," "))</f>
        <v/>
      </c>
      <c r="K852">
        <f>TRIM(SUBSTITUTE(INDEX('Call accounts and MMFs'!$B:$B,ROW())&amp;""," "," "))</f>
        <v/>
      </c>
      <c r="L852">
        <f>TRIM(SUBSTITUTE(INDEX('Call accounts and MMFs'!$C:$C,ROW())&amp;""," "," "))</f>
        <v/>
      </c>
      <c r="M852">
        <f>IFERROR(--INDEX('Call accounts and MMFs'!$D:$D,ROW()),0)</f>
        <v/>
      </c>
      <c r="N852">
        <f>IFERROR(IF(--INDEX('Call accounts and MMFs'!$E:$E,ROW())&gt;=1,--INDEX('Call accounts and MMFs'!$E:$E,ROW())/100,--INDEX('Call accounts and MMFs'!$E:$E,ROW())),0)</f>
        <v/>
      </c>
      <c r="O852">
        <f>IFERROR(--INDEX('Call accounts and MMFs'!$F:$F,ROW()),0)</f>
        <v/>
      </c>
      <c r="P852">
        <f>IF(ISNUMBER(INDEX('Call accounts and MMFs'!$E:$E,ROW())),1,0)</f>
        <v/>
      </c>
      <c r="Q852">
        <f>TRIM(SUBSTITUTE(INDEX('Pooled funds'!$B:$B,ROW())&amp;""," "," "))</f>
        <v/>
      </c>
      <c r="R852">
        <f>IFERROR(--INDEX('Pooled funds'!$C:$C,ROW()),0)</f>
        <v/>
      </c>
      <c r="S852">
        <f>IFERROR(--INDEX('Pooled funds'!$D:$D,ROW()),0)</f>
        <v/>
      </c>
      <c r="T852">
        <f>IFERROR(IF(--INDEX('Pooled funds'!$E:$E,ROW())&gt;=1,--INDEX('Pooled funds'!$E:$E,ROW())/100,--INDEX('Pooled funds'!$E:$E,ROW())),0)</f>
        <v/>
      </c>
      <c r="U852">
        <f>IF(ISNUMBER(INDEX('Pooled funds'!$E:$E,ROW())),1,0)</f>
        <v/>
      </c>
      <c r="V852">
        <f>TRIM(SUBSTITUTE(INDEX('Loans'!$A:$A,ROW())&amp;""," "," "))</f>
        <v/>
      </c>
      <c r="W852">
        <f>TRIM(SUBSTITUTE(INDEX('Loans'!$B:$B,ROW())&amp;""," "," "))</f>
        <v/>
      </c>
      <c r="X852">
        <f>TRIM(SUBSTITUTE(INDEX('Loans'!$C:$C,ROW())&amp;""," "," "))</f>
        <v/>
      </c>
      <c r="Y852">
        <f>IFERROR(--INDEX('Loans'!$D:$D,ROW()),0)</f>
        <v/>
      </c>
      <c r="Z852">
        <f>IFERROR(--INDEX('Loans'!$E:$E,ROW()),0)</f>
        <v/>
      </c>
      <c r="AA852">
        <f>IFERROR(--INDEX('Loans'!$F:$F,ROW()),0)</f>
        <v/>
      </c>
      <c r="AB852">
        <f>IFERROR(IF(--INDEX('Loans'!$G:$G,ROW())&gt;=1,--INDEX('Loans'!$G:$G,ROW())/100,--INDEX('Loans'!$G:$G,ROW())),0)</f>
        <v/>
      </c>
      <c r="AC852">
        <f>TRIM(SUBSTITUTE(INDEX('Loans'!$H:$H,ROW())&amp;""," "," "))</f>
        <v/>
      </c>
      <c r="AD852">
        <f>TRIM(SUBSTITUTE(INDEX('Loans'!$I:$I,ROW())&amp;""," "," "))</f>
        <v/>
      </c>
      <c r="AE852">
        <f>IFERROR(--INDEX('Loans'!$J:$J,ROW()),0)</f>
        <v/>
      </c>
      <c r="AF852">
        <f>TRIM(SUBSTITUTE(INDEX('Loans'!$K:$K,ROW())&amp;""," "," "))</f>
        <v/>
      </c>
      <c r="AG852">
        <f>IFERROR(--INDEX('Loans'!$L:$L,ROW()),0)</f>
        <v/>
      </c>
      <c r="AH852">
        <f>IF(ISNUMBER(INDEX('Loans'!$G:$G,ROW())),1,0)</f>
        <v/>
      </c>
    </row>
    <row r="853">
      <c r="A853">
        <f>TRIM(SUBSTITUTE(INDEX('Term investments'!$A:$A,ROW())&amp;""," "," "))</f>
        <v/>
      </c>
      <c r="B853">
        <f>TRIM(SUBSTITUTE(INDEX('Term investments'!$B:$B,ROW())&amp;""," "," "))</f>
        <v/>
      </c>
      <c r="C853">
        <f>TRIM(SUBSTITUTE(INDEX('Term investments'!$C:$C,ROW())&amp;""," "," "))</f>
        <v/>
      </c>
      <c r="D853">
        <f>IFERROR(--INDEX('Term investments'!$D:$D,ROW()),0)</f>
        <v/>
      </c>
      <c r="E853">
        <f>IFERROR(--INDEX('Term investments'!$E:$E,ROW()),0)</f>
        <v/>
      </c>
      <c r="F853">
        <f>IFERROR(--INDEX('Term investments'!$F:$F,ROW()),0)</f>
        <v/>
      </c>
      <c r="G853">
        <f>IFERROR(IF(--INDEX('Term investments'!$G:$G,ROW())&gt;=1,--INDEX('Term investments'!$G:$G,ROW())/100,--INDEX('Term investments'!$G:$G,ROW())),0)</f>
        <v/>
      </c>
      <c r="H853">
        <f>IFERROR(--INDEX('Term investments'!$H:$H,ROW()),0)</f>
        <v/>
      </c>
      <c r="I853">
        <f>IF(ISNUMBER(INDEX('Term investments'!$G:$G,ROW())),1,0)</f>
        <v/>
      </c>
      <c r="J853">
        <f>TRIM(SUBSTITUTE(INDEX('Call accounts and MMFs'!$A:$A,ROW())&amp;""," "," "))</f>
        <v/>
      </c>
      <c r="K853">
        <f>TRIM(SUBSTITUTE(INDEX('Call accounts and MMFs'!$B:$B,ROW())&amp;""," "," "))</f>
        <v/>
      </c>
      <c r="L853">
        <f>TRIM(SUBSTITUTE(INDEX('Call accounts and MMFs'!$C:$C,ROW())&amp;""," "," "))</f>
        <v/>
      </c>
      <c r="M853">
        <f>IFERROR(--INDEX('Call accounts and MMFs'!$D:$D,ROW()),0)</f>
        <v/>
      </c>
      <c r="N853">
        <f>IFERROR(IF(--INDEX('Call accounts and MMFs'!$E:$E,ROW())&gt;=1,--INDEX('Call accounts and MMFs'!$E:$E,ROW())/100,--INDEX('Call accounts and MMFs'!$E:$E,ROW())),0)</f>
        <v/>
      </c>
      <c r="O853">
        <f>IFERROR(--INDEX('Call accounts and MMFs'!$F:$F,ROW()),0)</f>
        <v/>
      </c>
      <c r="P853">
        <f>IF(ISNUMBER(INDEX('Call accounts and MMFs'!$E:$E,ROW())),1,0)</f>
        <v/>
      </c>
      <c r="Q853">
        <f>TRIM(SUBSTITUTE(INDEX('Pooled funds'!$B:$B,ROW())&amp;""," "," "))</f>
        <v/>
      </c>
      <c r="R853">
        <f>IFERROR(--INDEX('Pooled funds'!$C:$C,ROW()),0)</f>
        <v/>
      </c>
      <c r="S853">
        <f>IFERROR(--INDEX('Pooled funds'!$D:$D,ROW()),0)</f>
        <v/>
      </c>
      <c r="T853">
        <f>IFERROR(IF(--INDEX('Pooled funds'!$E:$E,ROW())&gt;=1,--INDEX('Pooled funds'!$E:$E,ROW())/100,--INDEX('Pooled funds'!$E:$E,ROW())),0)</f>
        <v/>
      </c>
      <c r="U853">
        <f>IF(ISNUMBER(INDEX('Pooled funds'!$E:$E,ROW())),1,0)</f>
        <v/>
      </c>
      <c r="V853">
        <f>TRIM(SUBSTITUTE(INDEX('Loans'!$A:$A,ROW())&amp;""," "," "))</f>
        <v/>
      </c>
      <c r="W853">
        <f>TRIM(SUBSTITUTE(INDEX('Loans'!$B:$B,ROW())&amp;""," "," "))</f>
        <v/>
      </c>
      <c r="X853">
        <f>TRIM(SUBSTITUTE(INDEX('Loans'!$C:$C,ROW())&amp;""," "," "))</f>
        <v/>
      </c>
      <c r="Y853">
        <f>IFERROR(--INDEX('Loans'!$D:$D,ROW()),0)</f>
        <v/>
      </c>
      <c r="Z853">
        <f>IFERROR(--INDEX('Loans'!$E:$E,ROW()),0)</f>
        <v/>
      </c>
      <c r="AA853">
        <f>IFERROR(--INDEX('Loans'!$F:$F,ROW()),0)</f>
        <v/>
      </c>
      <c r="AB853">
        <f>IFERROR(IF(--INDEX('Loans'!$G:$G,ROW())&gt;=1,--INDEX('Loans'!$G:$G,ROW())/100,--INDEX('Loans'!$G:$G,ROW())),0)</f>
        <v/>
      </c>
      <c r="AC853">
        <f>TRIM(SUBSTITUTE(INDEX('Loans'!$H:$H,ROW())&amp;""," "," "))</f>
        <v/>
      </c>
      <c r="AD853">
        <f>TRIM(SUBSTITUTE(INDEX('Loans'!$I:$I,ROW())&amp;""," "," "))</f>
        <v/>
      </c>
      <c r="AE853">
        <f>IFERROR(--INDEX('Loans'!$J:$J,ROW()),0)</f>
        <v/>
      </c>
      <c r="AF853">
        <f>TRIM(SUBSTITUTE(INDEX('Loans'!$K:$K,ROW())&amp;""," "," "))</f>
        <v/>
      </c>
      <c r="AG853">
        <f>IFERROR(--INDEX('Loans'!$L:$L,ROW()),0)</f>
        <v/>
      </c>
      <c r="AH853">
        <f>IF(ISNUMBER(INDEX('Loans'!$G:$G,ROW())),1,0)</f>
        <v/>
      </c>
    </row>
    <row r="854">
      <c r="A854">
        <f>TRIM(SUBSTITUTE(INDEX('Term investments'!$A:$A,ROW())&amp;""," "," "))</f>
        <v/>
      </c>
      <c r="B854">
        <f>TRIM(SUBSTITUTE(INDEX('Term investments'!$B:$B,ROW())&amp;""," "," "))</f>
        <v/>
      </c>
      <c r="C854">
        <f>TRIM(SUBSTITUTE(INDEX('Term investments'!$C:$C,ROW())&amp;""," "," "))</f>
        <v/>
      </c>
      <c r="D854">
        <f>IFERROR(--INDEX('Term investments'!$D:$D,ROW()),0)</f>
        <v/>
      </c>
      <c r="E854">
        <f>IFERROR(--INDEX('Term investments'!$E:$E,ROW()),0)</f>
        <v/>
      </c>
      <c r="F854">
        <f>IFERROR(--INDEX('Term investments'!$F:$F,ROW()),0)</f>
        <v/>
      </c>
      <c r="G854">
        <f>IFERROR(IF(--INDEX('Term investments'!$G:$G,ROW())&gt;=1,--INDEX('Term investments'!$G:$G,ROW())/100,--INDEX('Term investments'!$G:$G,ROW())),0)</f>
        <v/>
      </c>
      <c r="H854">
        <f>IFERROR(--INDEX('Term investments'!$H:$H,ROW()),0)</f>
        <v/>
      </c>
      <c r="I854">
        <f>IF(ISNUMBER(INDEX('Term investments'!$G:$G,ROW())),1,0)</f>
        <v/>
      </c>
      <c r="J854">
        <f>TRIM(SUBSTITUTE(INDEX('Call accounts and MMFs'!$A:$A,ROW())&amp;""," "," "))</f>
        <v/>
      </c>
      <c r="K854">
        <f>TRIM(SUBSTITUTE(INDEX('Call accounts and MMFs'!$B:$B,ROW())&amp;""," "," "))</f>
        <v/>
      </c>
      <c r="L854">
        <f>TRIM(SUBSTITUTE(INDEX('Call accounts and MMFs'!$C:$C,ROW())&amp;""," "," "))</f>
        <v/>
      </c>
      <c r="M854">
        <f>IFERROR(--INDEX('Call accounts and MMFs'!$D:$D,ROW()),0)</f>
        <v/>
      </c>
      <c r="N854">
        <f>IFERROR(IF(--INDEX('Call accounts and MMFs'!$E:$E,ROW())&gt;=1,--INDEX('Call accounts and MMFs'!$E:$E,ROW())/100,--INDEX('Call accounts and MMFs'!$E:$E,ROW())),0)</f>
        <v/>
      </c>
      <c r="O854">
        <f>IFERROR(--INDEX('Call accounts and MMFs'!$F:$F,ROW()),0)</f>
        <v/>
      </c>
      <c r="P854">
        <f>IF(ISNUMBER(INDEX('Call accounts and MMFs'!$E:$E,ROW())),1,0)</f>
        <v/>
      </c>
      <c r="Q854">
        <f>TRIM(SUBSTITUTE(INDEX('Pooled funds'!$B:$B,ROW())&amp;""," "," "))</f>
        <v/>
      </c>
      <c r="R854">
        <f>IFERROR(--INDEX('Pooled funds'!$C:$C,ROW()),0)</f>
        <v/>
      </c>
      <c r="S854">
        <f>IFERROR(--INDEX('Pooled funds'!$D:$D,ROW()),0)</f>
        <v/>
      </c>
      <c r="T854">
        <f>IFERROR(IF(--INDEX('Pooled funds'!$E:$E,ROW())&gt;=1,--INDEX('Pooled funds'!$E:$E,ROW())/100,--INDEX('Pooled funds'!$E:$E,ROW())),0)</f>
        <v/>
      </c>
      <c r="U854">
        <f>IF(ISNUMBER(INDEX('Pooled funds'!$E:$E,ROW())),1,0)</f>
        <v/>
      </c>
      <c r="V854">
        <f>TRIM(SUBSTITUTE(INDEX('Loans'!$A:$A,ROW())&amp;""," "," "))</f>
        <v/>
      </c>
      <c r="W854">
        <f>TRIM(SUBSTITUTE(INDEX('Loans'!$B:$B,ROW())&amp;""," "," "))</f>
        <v/>
      </c>
      <c r="X854">
        <f>TRIM(SUBSTITUTE(INDEX('Loans'!$C:$C,ROW())&amp;""," "," "))</f>
        <v/>
      </c>
      <c r="Y854">
        <f>IFERROR(--INDEX('Loans'!$D:$D,ROW()),0)</f>
        <v/>
      </c>
      <c r="Z854">
        <f>IFERROR(--INDEX('Loans'!$E:$E,ROW()),0)</f>
        <v/>
      </c>
      <c r="AA854">
        <f>IFERROR(--INDEX('Loans'!$F:$F,ROW()),0)</f>
        <v/>
      </c>
      <c r="AB854">
        <f>IFERROR(IF(--INDEX('Loans'!$G:$G,ROW())&gt;=1,--INDEX('Loans'!$G:$G,ROW())/100,--INDEX('Loans'!$G:$G,ROW())),0)</f>
        <v/>
      </c>
      <c r="AC854">
        <f>TRIM(SUBSTITUTE(INDEX('Loans'!$H:$H,ROW())&amp;""," "," "))</f>
        <v/>
      </c>
      <c r="AD854">
        <f>TRIM(SUBSTITUTE(INDEX('Loans'!$I:$I,ROW())&amp;""," "," "))</f>
        <v/>
      </c>
      <c r="AE854">
        <f>IFERROR(--INDEX('Loans'!$J:$J,ROW()),0)</f>
        <v/>
      </c>
      <c r="AF854">
        <f>TRIM(SUBSTITUTE(INDEX('Loans'!$K:$K,ROW())&amp;""," "," "))</f>
        <v/>
      </c>
      <c r="AG854">
        <f>IFERROR(--INDEX('Loans'!$L:$L,ROW()),0)</f>
        <v/>
      </c>
      <c r="AH854">
        <f>IF(ISNUMBER(INDEX('Loans'!$G:$G,ROW())),1,0)</f>
        <v/>
      </c>
    </row>
    <row r="855">
      <c r="A855">
        <f>TRIM(SUBSTITUTE(INDEX('Term investments'!$A:$A,ROW())&amp;""," "," "))</f>
        <v/>
      </c>
      <c r="B855">
        <f>TRIM(SUBSTITUTE(INDEX('Term investments'!$B:$B,ROW())&amp;""," "," "))</f>
        <v/>
      </c>
      <c r="C855">
        <f>TRIM(SUBSTITUTE(INDEX('Term investments'!$C:$C,ROW())&amp;""," "," "))</f>
        <v/>
      </c>
      <c r="D855">
        <f>IFERROR(--INDEX('Term investments'!$D:$D,ROW()),0)</f>
        <v/>
      </c>
      <c r="E855">
        <f>IFERROR(--INDEX('Term investments'!$E:$E,ROW()),0)</f>
        <v/>
      </c>
      <c r="F855">
        <f>IFERROR(--INDEX('Term investments'!$F:$F,ROW()),0)</f>
        <v/>
      </c>
      <c r="G855">
        <f>IFERROR(IF(--INDEX('Term investments'!$G:$G,ROW())&gt;=1,--INDEX('Term investments'!$G:$G,ROW())/100,--INDEX('Term investments'!$G:$G,ROW())),0)</f>
        <v/>
      </c>
      <c r="H855">
        <f>IFERROR(--INDEX('Term investments'!$H:$H,ROW()),0)</f>
        <v/>
      </c>
      <c r="I855">
        <f>IF(ISNUMBER(INDEX('Term investments'!$G:$G,ROW())),1,0)</f>
        <v/>
      </c>
      <c r="J855">
        <f>TRIM(SUBSTITUTE(INDEX('Call accounts and MMFs'!$A:$A,ROW())&amp;""," "," "))</f>
        <v/>
      </c>
      <c r="K855">
        <f>TRIM(SUBSTITUTE(INDEX('Call accounts and MMFs'!$B:$B,ROW())&amp;""," "," "))</f>
        <v/>
      </c>
      <c r="L855">
        <f>TRIM(SUBSTITUTE(INDEX('Call accounts and MMFs'!$C:$C,ROW())&amp;""," "," "))</f>
        <v/>
      </c>
      <c r="M855">
        <f>IFERROR(--INDEX('Call accounts and MMFs'!$D:$D,ROW()),0)</f>
        <v/>
      </c>
      <c r="N855">
        <f>IFERROR(IF(--INDEX('Call accounts and MMFs'!$E:$E,ROW())&gt;=1,--INDEX('Call accounts and MMFs'!$E:$E,ROW())/100,--INDEX('Call accounts and MMFs'!$E:$E,ROW())),0)</f>
        <v/>
      </c>
      <c r="O855">
        <f>IFERROR(--INDEX('Call accounts and MMFs'!$F:$F,ROW()),0)</f>
        <v/>
      </c>
      <c r="P855">
        <f>IF(ISNUMBER(INDEX('Call accounts and MMFs'!$E:$E,ROW())),1,0)</f>
        <v/>
      </c>
      <c r="Q855">
        <f>TRIM(SUBSTITUTE(INDEX('Pooled funds'!$B:$B,ROW())&amp;""," "," "))</f>
        <v/>
      </c>
      <c r="R855">
        <f>IFERROR(--INDEX('Pooled funds'!$C:$C,ROW()),0)</f>
        <v/>
      </c>
      <c r="S855">
        <f>IFERROR(--INDEX('Pooled funds'!$D:$D,ROW()),0)</f>
        <v/>
      </c>
      <c r="T855">
        <f>IFERROR(IF(--INDEX('Pooled funds'!$E:$E,ROW())&gt;=1,--INDEX('Pooled funds'!$E:$E,ROW())/100,--INDEX('Pooled funds'!$E:$E,ROW())),0)</f>
        <v/>
      </c>
      <c r="U855">
        <f>IF(ISNUMBER(INDEX('Pooled funds'!$E:$E,ROW())),1,0)</f>
        <v/>
      </c>
      <c r="V855">
        <f>TRIM(SUBSTITUTE(INDEX('Loans'!$A:$A,ROW())&amp;""," "," "))</f>
        <v/>
      </c>
      <c r="W855">
        <f>TRIM(SUBSTITUTE(INDEX('Loans'!$B:$B,ROW())&amp;""," "," "))</f>
        <v/>
      </c>
      <c r="X855">
        <f>TRIM(SUBSTITUTE(INDEX('Loans'!$C:$C,ROW())&amp;""," "," "))</f>
        <v/>
      </c>
      <c r="Y855">
        <f>IFERROR(--INDEX('Loans'!$D:$D,ROW()),0)</f>
        <v/>
      </c>
      <c r="Z855">
        <f>IFERROR(--INDEX('Loans'!$E:$E,ROW()),0)</f>
        <v/>
      </c>
      <c r="AA855">
        <f>IFERROR(--INDEX('Loans'!$F:$F,ROW()),0)</f>
        <v/>
      </c>
      <c r="AB855">
        <f>IFERROR(IF(--INDEX('Loans'!$G:$G,ROW())&gt;=1,--INDEX('Loans'!$G:$G,ROW())/100,--INDEX('Loans'!$G:$G,ROW())),0)</f>
        <v/>
      </c>
      <c r="AC855">
        <f>TRIM(SUBSTITUTE(INDEX('Loans'!$H:$H,ROW())&amp;""," "," "))</f>
        <v/>
      </c>
      <c r="AD855">
        <f>TRIM(SUBSTITUTE(INDEX('Loans'!$I:$I,ROW())&amp;""," "," "))</f>
        <v/>
      </c>
      <c r="AE855">
        <f>IFERROR(--INDEX('Loans'!$J:$J,ROW()),0)</f>
        <v/>
      </c>
      <c r="AF855">
        <f>TRIM(SUBSTITUTE(INDEX('Loans'!$K:$K,ROW())&amp;""," "," "))</f>
        <v/>
      </c>
      <c r="AG855">
        <f>IFERROR(--INDEX('Loans'!$L:$L,ROW()),0)</f>
        <v/>
      </c>
      <c r="AH855">
        <f>IF(ISNUMBER(INDEX('Loans'!$G:$G,ROW())),1,0)</f>
        <v/>
      </c>
    </row>
    <row r="856">
      <c r="A856">
        <f>TRIM(SUBSTITUTE(INDEX('Term investments'!$A:$A,ROW())&amp;""," "," "))</f>
        <v/>
      </c>
      <c r="B856">
        <f>TRIM(SUBSTITUTE(INDEX('Term investments'!$B:$B,ROW())&amp;""," "," "))</f>
        <v/>
      </c>
      <c r="C856">
        <f>TRIM(SUBSTITUTE(INDEX('Term investments'!$C:$C,ROW())&amp;""," "," "))</f>
        <v/>
      </c>
      <c r="D856">
        <f>IFERROR(--INDEX('Term investments'!$D:$D,ROW()),0)</f>
        <v/>
      </c>
      <c r="E856">
        <f>IFERROR(--INDEX('Term investments'!$E:$E,ROW()),0)</f>
        <v/>
      </c>
      <c r="F856">
        <f>IFERROR(--INDEX('Term investments'!$F:$F,ROW()),0)</f>
        <v/>
      </c>
      <c r="G856">
        <f>IFERROR(IF(--INDEX('Term investments'!$G:$G,ROW())&gt;=1,--INDEX('Term investments'!$G:$G,ROW())/100,--INDEX('Term investments'!$G:$G,ROW())),0)</f>
        <v/>
      </c>
      <c r="H856">
        <f>IFERROR(--INDEX('Term investments'!$H:$H,ROW()),0)</f>
        <v/>
      </c>
      <c r="I856">
        <f>IF(ISNUMBER(INDEX('Term investments'!$G:$G,ROW())),1,0)</f>
        <v/>
      </c>
      <c r="J856">
        <f>TRIM(SUBSTITUTE(INDEX('Call accounts and MMFs'!$A:$A,ROW())&amp;""," "," "))</f>
        <v/>
      </c>
      <c r="K856">
        <f>TRIM(SUBSTITUTE(INDEX('Call accounts and MMFs'!$B:$B,ROW())&amp;""," "," "))</f>
        <v/>
      </c>
      <c r="L856">
        <f>TRIM(SUBSTITUTE(INDEX('Call accounts and MMFs'!$C:$C,ROW())&amp;""," "," "))</f>
        <v/>
      </c>
      <c r="M856">
        <f>IFERROR(--INDEX('Call accounts and MMFs'!$D:$D,ROW()),0)</f>
        <v/>
      </c>
      <c r="N856">
        <f>IFERROR(IF(--INDEX('Call accounts and MMFs'!$E:$E,ROW())&gt;=1,--INDEX('Call accounts and MMFs'!$E:$E,ROW())/100,--INDEX('Call accounts and MMFs'!$E:$E,ROW())),0)</f>
        <v/>
      </c>
      <c r="O856">
        <f>IFERROR(--INDEX('Call accounts and MMFs'!$F:$F,ROW()),0)</f>
        <v/>
      </c>
      <c r="P856">
        <f>IF(ISNUMBER(INDEX('Call accounts and MMFs'!$E:$E,ROW())),1,0)</f>
        <v/>
      </c>
      <c r="Q856">
        <f>TRIM(SUBSTITUTE(INDEX('Pooled funds'!$B:$B,ROW())&amp;""," "," "))</f>
        <v/>
      </c>
      <c r="R856">
        <f>IFERROR(--INDEX('Pooled funds'!$C:$C,ROW()),0)</f>
        <v/>
      </c>
      <c r="S856">
        <f>IFERROR(--INDEX('Pooled funds'!$D:$D,ROW()),0)</f>
        <v/>
      </c>
      <c r="T856">
        <f>IFERROR(IF(--INDEX('Pooled funds'!$E:$E,ROW())&gt;=1,--INDEX('Pooled funds'!$E:$E,ROW())/100,--INDEX('Pooled funds'!$E:$E,ROW())),0)</f>
        <v/>
      </c>
      <c r="U856">
        <f>IF(ISNUMBER(INDEX('Pooled funds'!$E:$E,ROW())),1,0)</f>
        <v/>
      </c>
      <c r="V856">
        <f>TRIM(SUBSTITUTE(INDEX('Loans'!$A:$A,ROW())&amp;""," "," "))</f>
        <v/>
      </c>
      <c r="W856">
        <f>TRIM(SUBSTITUTE(INDEX('Loans'!$B:$B,ROW())&amp;""," "," "))</f>
        <v/>
      </c>
      <c r="X856">
        <f>TRIM(SUBSTITUTE(INDEX('Loans'!$C:$C,ROW())&amp;""," "," "))</f>
        <v/>
      </c>
      <c r="Y856">
        <f>IFERROR(--INDEX('Loans'!$D:$D,ROW()),0)</f>
        <v/>
      </c>
      <c r="Z856">
        <f>IFERROR(--INDEX('Loans'!$E:$E,ROW()),0)</f>
        <v/>
      </c>
      <c r="AA856">
        <f>IFERROR(--INDEX('Loans'!$F:$F,ROW()),0)</f>
        <v/>
      </c>
      <c r="AB856">
        <f>IFERROR(IF(--INDEX('Loans'!$G:$G,ROW())&gt;=1,--INDEX('Loans'!$G:$G,ROW())/100,--INDEX('Loans'!$G:$G,ROW())),0)</f>
        <v/>
      </c>
      <c r="AC856">
        <f>TRIM(SUBSTITUTE(INDEX('Loans'!$H:$H,ROW())&amp;""," "," "))</f>
        <v/>
      </c>
      <c r="AD856">
        <f>TRIM(SUBSTITUTE(INDEX('Loans'!$I:$I,ROW())&amp;""," "," "))</f>
        <v/>
      </c>
      <c r="AE856">
        <f>IFERROR(--INDEX('Loans'!$J:$J,ROW()),0)</f>
        <v/>
      </c>
      <c r="AF856">
        <f>TRIM(SUBSTITUTE(INDEX('Loans'!$K:$K,ROW())&amp;""," "," "))</f>
        <v/>
      </c>
      <c r="AG856">
        <f>IFERROR(--INDEX('Loans'!$L:$L,ROW()),0)</f>
        <v/>
      </c>
      <c r="AH856">
        <f>IF(ISNUMBER(INDEX('Loans'!$G:$G,ROW())),1,0)</f>
        <v/>
      </c>
    </row>
    <row r="857">
      <c r="A857">
        <f>TRIM(SUBSTITUTE(INDEX('Term investments'!$A:$A,ROW())&amp;""," "," "))</f>
        <v/>
      </c>
      <c r="B857">
        <f>TRIM(SUBSTITUTE(INDEX('Term investments'!$B:$B,ROW())&amp;""," "," "))</f>
        <v/>
      </c>
      <c r="C857">
        <f>TRIM(SUBSTITUTE(INDEX('Term investments'!$C:$C,ROW())&amp;""," "," "))</f>
        <v/>
      </c>
      <c r="D857">
        <f>IFERROR(--INDEX('Term investments'!$D:$D,ROW()),0)</f>
        <v/>
      </c>
      <c r="E857">
        <f>IFERROR(--INDEX('Term investments'!$E:$E,ROW()),0)</f>
        <v/>
      </c>
      <c r="F857">
        <f>IFERROR(--INDEX('Term investments'!$F:$F,ROW()),0)</f>
        <v/>
      </c>
      <c r="G857">
        <f>IFERROR(IF(--INDEX('Term investments'!$G:$G,ROW())&gt;=1,--INDEX('Term investments'!$G:$G,ROW())/100,--INDEX('Term investments'!$G:$G,ROW())),0)</f>
        <v/>
      </c>
      <c r="H857">
        <f>IFERROR(--INDEX('Term investments'!$H:$H,ROW()),0)</f>
        <v/>
      </c>
      <c r="I857">
        <f>IF(ISNUMBER(INDEX('Term investments'!$G:$G,ROW())),1,0)</f>
        <v/>
      </c>
      <c r="J857">
        <f>TRIM(SUBSTITUTE(INDEX('Call accounts and MMFs'!$A:$A,ROW())&amp;""," "," "))</f>
        <v/>
      </c>
      <c r="K857">
        <f>TRIM(SUBSTITUTE(INDEX('Call accounts and MMFs'!$B:$B,ROW())&amp;""," "," "))</f>
        <v/>
      </c>
      <c r="L857">
        <f>TRIM(SUBSTITUTE(INDEX('Call accounts and MMFs'!$C:$C,ROW())&amp;""," "," "))</f>
        <v/>
      </c>
      <c r="M857">
        <f>IFERROR(--INDEX('Call accounts and MMFs'!$D:$D,ROW()),0)</f>
        <v/>
      </c>
      <c r="N857">
        <f>IFERROR(IF(--INDEX('Call accounts and MMFs'!$E:$E,ROW())&gt;=1,--INDEX('Call accounts and MMFs'!$E:$E,ROW())/100,--INDEX('Call accounts and MMFs'!$E:$E,ROW())),0)</f>
        <v/>
      </c>
      <c r="O857">
        <f>IFERROR(--INDEX('Call accounts and MMFs'!$F:$F,ROW()),0)</f>
        <v/>
      </c>
      <c r="P857">
        <f>IF(ISNUMBER(INDEX('Call accounts and MMFs'!$E:$E,ROW())),1,0)</f>
        <v/>
      </c>
      <c r="Q857">
        <f>TRIM(SUBSTITUTE(INDEX('Pooled funds'!$B:$B,ROW())&amp;""," "," "))</f>
        <v/>
      </c>
      <c r="R857">
        <f>IFERROR(--INDEX('Pooled funds'!$C:$C,ROW()),0)</f>
        <v/>
      </c>
      <c r="S857">
        <f>IFERROR(--INDEX('Pooled funds'!$D:$D,ROW()),0)</f>
        <v/>
      </c>
      <c r="T857">
        <f>IFERROR(IF(--INDEX('Pooled funds'!$E:$E,ROW())&gt;=1,--INDEX('Pooled funds'!$E:$E,ROW())/100,--INDEX('Pooled funds'!$E:$E,ROW())),0)</f>
        <v/>
      </c>
      <c r="U857">
        <f>IF(ISNUMBER(INDEX('Pooled funds'!$E:$E,ROW())),1,0)</f>
        <v/>
      </c>
      <c r="V857">
        <f>TRIM(SUBSTITUTE(INDEX('Loans'!$A:$A,ROW())&amp;""," "," "))</f>
        <v/>
      </c>
      <c r="W857">
        <f>TRIM(SUBSTITUTE(INDEX('Loans'!$B:$B,ROW())&amp;""," "," "))</f>
        <v/>
      </c>
      <c r="X857">
        <f>TRIM(SUBSTITUTE(INDEX('Loans'!$C:$C,ROW())&amp;""," "," "))</f>
        <v/>
      </c>
      <c r="Y857">
        <f>IFERROR(--INDEX('Loans'!$D:$D,ROW()),0)</f>
        <v/>
      </c>
      <c r="Z857">
        <f>IFERROR(--INDEX('Loans'!$E:$E,ROW()),0)</f>
        <v/>
      </c>
      <c r="AA857">
        <f>IFERROR(--INDEX('Loans'!$F:$F,ROW()),0)</f>
        <v/>
      </c>
      <c r="AB857">
        <f>IFERROR(IF(--INDEX('Loans'!$G:$G,ROW())&gt;=1,--INDEX('Loans'!$G:$G,ROW())/100,--INDEX('Loans'!$G:$G,ROW())),0)</f>
        <v/>
      </c>
      <c r="AC857">
        <f>TRIM(SUBSTITUTE(INDEX('Loans'!$H:$H,ROW())&amp;""," "," "))</f>
        <v/>
      </c>
      <c r="AD857">
        <f>TRIM(SUBSTITUTE(INDEX('Loans'!$I:$I,ROW())&amp;""," "," "))</f>
        <v/>
      </c>
      <c r="AE857">
        <f>IFERROR(--INDEX('Loans'!$J:$J,ROW()),0)</f>
        <v/>
      </c>
      <c r="AF857">
        <f>TRIM(SUBSTITUTE(INDEX('Loans'!$K:$K,ROW())&amp;""," "," "))</f>
        <v/>
      </c>
      <c r="AG857">
        <f>IFERROR(--INDEX('Loans'!$L:$L,ROW()),0)</f>
        <v/>
      </c>
      <c r="AH857">
        <f>IF(ISNUMBER(INDEX('Loans'!$G:$G,ROW())),1,0)</f>
        <v/>
      </c>
    </row>
    <row r="858">
      <c r="A858">
        <f>TRIM(SUBSTITUTE(INDEX('Term investments'!$A:$A,ROW())&amp;""," "," "))</f>
        <v/>
      </c>
      <c r="B858">
        <f>TRIM(SUBSTITUTE(INDEX('Term investments'!$B:$B,ROW())&amp;""," "," "))</f>
        <v/>
      </c>
      <c r="C858">
        <f>TRIM(SUBSTITUTE(INDEX('Term investments'!$C:$C,ROW())&amp;""," "," "))</f>
        <v/>
      </c>
      <c r="D858">
        <f>IFERROR(--INDEX('Term investments'!$D:$D,ROW()),0)</f>
        <v/>
      </c>
      <c r="E858">
        <f>IFERROR(--INDEX('Term investments'!$E:$E,ROW()),0)</f>
        <v/>
      </c>
      <c r="F858">
        <f>IFERROR(--INDEX('Term investments'!$F:$F,ROW()),0)</f>
        <v/>
      </c>
      <c r="G858">
        <f>IFERROR(IF(--INDEX('Term investments'!$G:$G,ROW())&gt;=1,--INDEX('Term investments'!$G:$G,ROW())/100,--INDEX('Term investments'!$G:$G,ROW())),0)</f>
        <v/>
      </c>
      <c r="H858">
        <f>IFERROR(--INDEX('Term investments'!$H:$H,ROW()),0)</f>
        <v/>
      </c>
      <c r="I858">
        <f>IF(ISNUMBER(INDEX('Term investments'!$G:$G,ROW())),1,0)</f>
        <v/>
      </c>
      <c r="J858">
        <f>TRIM(SUBSTITUTE(INDEX('Call accounts and MMFs'!$A:$A,ROW())&amp;""," "," "))</f>
        <v/>
      </c>
      <c r="K858">
        <f>TRIM(SUBSTITUTE(INDEX('Call accounts and MMFs'!$B:$B,ROW())&amp;""," "," "))</f>
        <v/>
      </c>
      <c r="L858">
        <f>TRIM(SUBSTITUTE(INDEX('Call accounts and MMFs'!$C:$C,ROW())&amp;""," "," "))</f>
        <v/>
      </c>
      <c r="M858">
        <f>IFERROR(--INDEX('Call accounts and MMFs'!$D:$D,ROW()),0)</f>
        <v/>
      </c>
      <c r="N858">
        <f>IFERROR(IF(--INDEX('Call accounts and MMFs'!$E:$E,ROW())&gt;=1,--INDEX('Call accounts and MMFs'!$E:$E,ROW())/100,--INDEX('Call accounts and MMFs'!$E:$E,ROW())),0)</f>
        <v/>
      </c>
      <c r="O858">
        <f>IFERROR(--INDEX('Call accounts and MMFs'!$F:$F,ROW()),0)</f>
        <v/>
      </c>
      <c r="P858">
        <f>IF(ISNUMBER(INDEX('Call accounts and MMFs'!$E:$E,ROW())),1,0)</f>
        <v/>
      </c>
      <c r="Q858">
        <f>TRIM(SUBSTITUTE(INDEX('Pooled funds'!$B:$B,ROW())&amp;""," "," "))</f>
        <v/>
      </c>
      <c r="R858">
        <f>IFERROR(--INDEX('Pooled funds'!$C:$C,ROW()),0)</f>
        <v/>
      </c>
      <c r="S858">
        <f>IFERROR(--INDEX('Pooled funds'!$D:$D,ROW()),0)</f>
        <v/>
      </c>
      <c r="T858">
        <f>IFERROR(IF(--INDEX('Pooled funds'!$E:$E,ROW())&gt;=1,--INDEX('Pooled funds'!$E:$E,ROW())/100,--INDEX('Pooled funds'!$E:$E,ROW())),0)</f>
        <v/>
      </c>
      <c r="U858">
        <f>IF(ISNUMBER(INDEX('Pooled funds'!$E:$E,ROW())),1,0)</f>
        <v/>
      </c>
      <c r="V858">
        <f>TRIM(SUBSTITUTE(INDEX('Loans'!$A:$A,ROW())&amp;""," "," "))</f>
        <v/>
      </c>
      <c r="W858">
        <f>TRIM(SUBSTITUTE(INDEX('Loans'!$B:$B,ROW())&amp;""," "," "))</f>
        <v/>
      </c>
      <c r="X858">
        <f>TRIM(SUBSTITUTE(INDEX('Loans'!$C:$C,ROW())&amp;""," "," "))</f>
        <v/>
      </c>
      <c r="Y858">
        <f>IFERROR(--INDEX('Loans'!$D:$D,ROW()),0)</f>
        <v/>
      </c>
      <c r="Z858">
        <f>IFERROR(--INDEX('Loans'!$E:$E,ROW()),0)</f>
        <v/>
      </c>
      <c r="AA858">
        <f>IFERROR(--INDEX('Loans'!$F:$F,ROW()),0)</f>
        <v/>
      </c>
      <c r="AB858">
        <f>IFERROR(IF(--INDEX('Loans'!$G:$G,ROW())&gt;=1,--INDEX('Loans'!$G:$G,ROW())/100,--INDEX('Loans'!$G:$G,ROW())),0)</f>
        <v/>
      </c>
      <c r="AC858">
        <f>TRIM(SUBSTITUTE(INDEX('Loans'!$H:$H,ROW())&amp;""," "," "))</f>
        <v/>
      </c>
      <c r="AD858">
        <f>TRIM(SUBSTITUTE(INDEX('Loans'!$I:$I,ROW())&amp;""," "," "))</f>
        <v/>
      </c>
      <c r="AE858">
        <f>IFERROR(--INDEX('Loans'!$J:$J,ROW()),0)</f>
        <v/>
      </c>
      <c r="AF858">
        <f>TRIM(SUBSTITUTE(INDEX('Loans'!$K:$K,ROW())&amp;""," "," "))</f>
        <v/>
      </c>
      <c r="AG858">
        <f>IFERROR(--INDEX('Loans'!$L:$L,ROW()),0)</f>
        <v/>
      </c>
      <c r="AH858">
        <f>IF(ISNUMBER(INDEX('Loans'!$G:$G,ROW())),1,0)</f>
        <v/>
      </c>
    </row>
    <row r="859">
      <c r="A859">
        <f>TRIM(SUBSTITUTE(INDEX('Term investments'!$A:$A,ROW())&amp;""," "," "))</f>
        <v/>
      </c>
      <c r="B859">
        <f>TRIM(SUBSTITUTE(INDEX('Term investments'!$B:$B,ROW())&amp;""," "," "))</f>
        <v/>
      </c>
      <c r="C859">
        <f>TRIM(SUBSTITUTE(INDEX('Term investments'!$C:$C,ROW())&amp;""," "," "))</f>
        <v/>
      </c>
      <c r="D859">
        <f>IFERROR(--INDEX('Term investments'!$D:$D,ROW()),0)</f>
        <v/>
      </c>
      <c r="E859">
        <f>IFERROR(--INDEX('Term investments'!$E:$E,ROW()),0)</f>
        <v/>
      </c>
      <c r="F859">
        <f>IFERROR(--INDEX('Term investments'!$F:$F,ROW()),0)</f>
        <v/>
      </c>
      <c r="G859">
        <f>IFERROR(IF(--INDEX('Term investments'!$G:$G,ROW())&gt;=1,--INDEX('Term investments'!$G:$G,ROW())/100,--INDEX('Term investments'!$G:$G,ROW())),0)</f>
        <v/>
      </c>
      <c r="H859">
        <f>IFERROR(--INDEX('Term investments'!$H:$H,ROW()),0)</f>
        <v/>
      </c>
      <c r="I859">
        <f>IF(ISNUMBER(INDEX('Term investments'!$G:$G,ROW())),1,0)</f>
        <v/>
      </c>
      <c r="J859">
        <f>TRIM(SUBSTITUTE(INDEX('Call accounts and MMFs'!$A:$A,ROW())&amp;""," "," "))</f>
        <v/>
      </c>
      <c r="K859">
        <f>TRIM(SUBSTITUTE(INDEX('Call accounts and MMFs'!$B:$B,ROW())&amp;""," "," "))</f>
        <v/>
      </c>
      <c r="L859">
        <f>TRIM(SUBSTITUTE(INDEX('Call accounts and MMFs'!$C:$C,ROW())&amp;""," "," "))</f>
        <v/>
      </c>
      <c r="M859">
        <f>IFERROR(--INDEX('Call accounts and MMFs'!$D:$D,ROW()),0)</f>
        <v/>
      </c>
      <c r="N859">
        <f>IFERROR(IF(--INDEX('Call accounts and MMFs'!$E:$E,ROW())&gt;=1,--INDEX('Call accounts and MMFs'!$E:$E,ROW())/100,--INDEX('Call accounts and MMFs'!$E:$E,ROW())),0)</f>
        <v/>
      </c>
      <c r="O859">
        <f>IFERROR(--INDEX('Call accounts and MMFs'!$F:$F,ROW()),0)</f>
        <v/>
      </c>
      <c r="P859">
        <f>IF(ISNUMBER(INDEX('Call accounts and MMFs'!$E:$E,ROW())),1,0)</f>
        <v/>
      </c>
      <c r="Q859">
        <f>TRIM(SUBSTITUTE(INDEX('Pooled funds'!$B:$B,ROW())&amp;""," "," "))</f>
        <v/>
      </c>
      <c r="R859">
        <f>IFERROR(--INDEX('Pooled funds'!$C:$C,ROW()),0)</f>
        <v/>
      </c>
      <c r="S859">
        <f>IFERROR(--INDEX('Pooled funds'!$D:$D,ROW()),0)</f>
        <v/>
      </c>
      <c r="T859">
        <f>IFERROR(IF(--INDEX('Pooled funds'!$E:$E,ROW())&gt;=1,--INDEX('Pooled funds'!$E:$E,ROW())/100,--INDEX('Pooled funds'!$E:$E,ROW())),0)</f>
        <v/>
      </c>
      <c r="U859">
        <f>IF(ISNUMBER(INDEX('Pooled funds'!$E:$E,ROW())),1,0)</f>
        <v/>
      </c>
      <c r="V859">
        <f>TRIM(SUBSTITUTE(INDEX('Loans'!$A:$A,ROW())&amp;""," "," "))</f>
        <v/>
      </c>
      <c r="W859">
        <f>TRIM(SUBSTITUTE(INDEX('Loans'!$B:$B,ROW())&amp;""," "," "))</f>
        <v/>
      </c>
      <c r="X859">
        <f>TRIM(SUBSTITUTE(INDEX('Loans'!$C:$C,ROW())&amp;""," "," "))</f>
        <v/>
      </c>
      <c r="Y859">
        <f>IFERROR(--INDEX('Loans'!$D:$D,ROW()),0)</f>
        <v/>
      </c>
      <c r="Z859">
        <f>IFERROR(--INDEX('Loans'!$E:$E,ROW()),0)</f>
        <v/>
      </c>
      <c r="AA859">
        <f>IFERROR(--INDEX('Loans'!$F:$F,ROW()),0)</f>
        <v/>
      </c>
      <c r="AB859">
        <f>IFERROR(IF(--INDEX('Loans'!$G:$G,ROW())&gt;=1,--INDEX('Loans'!$G:$G,ROW())/100,--INDEX('Loans'!$G:$G,ROW())),0)</f>
        <v/>
      </c>
      <c r="AC859">
        <f>TRIM(SUBSTITUTE(INDEX('Loans'!$H:$H,ROW())&amp;""," "," "))</f>
        <v/>
      </c>
      <c r="AD859">
        <f>TRIM(SUBSTITUTE(INDEX('Loans'!$I:$I,ROW())&amp;""," "," "))</f>
        <v/>
      </c>
      <c r="AE859">
        <f>IFERROR(--INDEX('Loans'!$J:$J,ROW()),0)</f>
        <v/>
      </c>
      <c r="AF859">
        <f>TRIM(SUBSTITUTE(INDEX('Loans'!$K:$K,ROW())&amp;""," "," "))</f>
        <v/>
      </c>
      <c r="AG859">
        <f>IFERROR(--INDEX('Loans'!$L:$L,ROW()),0)</f>
        <v/>
      </c>
      <c r="AH859">
        <f>IF(ISNUMBER(INDEX('Loans'!$G:$G,ROW())),1,0)</f>
        <v/>
      </c>
    </row>
    <row r="860">
      <c r="A860">
        <f>TRIM(SUBSTITUTE(INDEX('Term investments'!$A:$A,ROW())&amp;""," "," "))</f>
        <v/>
      </c>
      <c r="B860">
        <f>TRIM(SUBSTITUTE(INDEX('Term investments'!$B:$B,ROW())&amp;""," "," "))</f>
        <v/>
      </c>
      <c r="C860">
        <f>TRIM(SUBSTITUTE(INDEX('Term investments'!$C:$C,ROW())&amp;""," "," "))</f>
        <v/>
      </c>
      <c r="D860">
        <f>IFERROR(--INDEX('Term investments'!$D:$D,ROW()),0)</f>
        <v/>
      </c>
      <c r="E860">
        <f>IFERROR(--INDEX('Term investments'!$E:$E,ROW()),0)</f>
        <v/>
      </c>
      <c r="F860">
        <f>IFERROR(--INDEX('Term investments'!$F:$F,ROW()),0)</f>
        <v/>
      </c>
      <c r="G860">
        <f>IFERROR(IF(--INDEX('Term investments'!$G:$G,ROW())&gt;=1,--INDEX('Term investments'!$G:$G,ROW())/100,--INDEX('Term investments'!$G:$G,ROW())),0)</f>
        <v/>
      </c>
      <c r="H860">
        <f>IFERROR(--INDEX('Term investments'!$H:$H,ROW()),0)</f>
        <v/>
      </c>
      <c r="I860">
        <f>IF(ISNUMBER(INDEX('Term investments'!$G:$G,ROW())),1,0)</f>
        <v/>
      </c>
      <c r="J860">
        <f>TRIM(SUBSTITUTE(INDEX('Call accounts and MMFs'!$A:$A,ROW())&amp;""," "," "))</f>
        <v/>
      </c>
      <c r="K860">
        <f>TRIM(SUBSTITUTE(INDEX('Call accounts and MMFs'!$B:$B,ROW())&amp;""," "," "))</f>
        <v/>
      </c>
      <c r="L860">
        <f>TRIM(SUBSTITUTE(INDEX('Call accounts and MMFs'!$C:$C,ROW())&amp;""," "," "))</f>
        <v/>
      </c>
      <c r="M860">
        <f>IFERROR(--INDEX('Call accounts and MMFs'!$D:$D,ROW()),0)</f>
        <v/>
      </c>
      <c r="N860">
        <f>IFERROR(IF(--INDEX('Call accounts and MMFs'!$E:$E,ROW())&gt;=1,--INDEX('Call accounts and MMFs'!$E:$E,ROW())/100,--INDEX('Call accounts and MMFs'!$E:$E,ROW())),0)</f>
        <v/>
      </c>
      <c r="O860">
        <f>IFERROR(--INDEX('Call accounts and MMFs'!$F:$F,ROW()),0)</f>
        <v/>
      </c>
      <c r="P860">
        <f>IF(ISNUMBER(INDEX('Call accounts and MMFs'!$E:$E,ROW())),1,0)</f>
        <v/>
      </c>
      <c r="Q860">
        <f>TRIM(SUBSTITUTE(INDEX('Pooled funds'!$B:$B,ROW())&amp;""," "," "))</f>
        <v/>
      </c>
      <c r="R860">
        <f>IFERROR(--INDEX('Pooled funds'!$C:$C,ROW()),0)</f>
        <v/>
      </c>
      <c r="S860">
        <f>IFERROR(--INDEX('Pooled funds'!$D:$D,ROW()),0)</f>
        <v/>
      </c>
      <c r="T860">
        <f>IFERROR(IF(--INDEX('Pooled funds'!$E:$E,ROW())&gt;=1,--INDEX('Pooled funds'!$E:$E,ROW())/100,--INDEX('Pooled funds'!$E:$E,ROW())),0)</f>
        <v/>
      </c>
      <c r="U860">
        <f>IF(ISNUMBER(INDEX('Pooled funds'!$E:$E,ROW())),1,0)</f>
        <v/>
      </c>
      <c r="V860">
        <f>TRIM(SUBSTITUTE(INDEX('Loans'!$A:$A,ROW())&amp;""," "," "))</f>
        <v/>
      </c>
      <c r="W860">
        <f>TRIM(SUBSTITUTE(INDEX('Loans'!$B:$B,ROW())&amp;""," "," "))</f>
        <v/>
      </c>
      <c r="X860">
        <f>TRIM(SUBSTITUTE(INDEX('Loans'!$C:$C,ROW())&amp;""," "," "))</f>
        <v/>
      </c>
      <c r="Y860">
        <f>IFERROR(--INDEX('Loans'!$D:$D,ROW()),0)</f>
        <v/>
      </c>
      <c r="Z860">
        <f>IFERROR(--INDEX('Loans'!$E:$E,ROW()),0)</f>
        <v/>
      </c>
      <c r="AA860">
        <f>IFERROR(--INDEX('Loans'!$F:$F,ROW()),0)</f>
        <v/>
      </c>
      <c r="AB860">
        <f>IFERROR(IF(--INDEX('Loans'!$G:$G,ROW())&gt;=1,--INDEX('Loans'!$G:$G,ROW())/100,--INDEX('Loans'!$G:$G,ROW())),0)</f>
        <v/>
      </c>
      <c r="AC860">
        <f>TRIM(SUBSTITUTE(INDEX('Loans'!$H:$H,ROW())&amp;""," "," "))</f>
        <v/>
      </c>
      <c r="AD860">
        <f>TRIM(SUBSTITUTE(INDEX('Loans'!$I:$I,ROW())&amp;""," "," "))</f>
        <v/>
      </c>
      <c r="AE860">
        <f>IFERROR(--INDEX('Loans'!$J:$J,ROW()),0)</f>
        <v/>
      </c>
      <c r="AF860">
        <f>TRIM(SUBSTITUTE(INDEX('Loans'!$K:$K,ROW())&amp;""," "," "))</f>
        <v/>
      </c>
      <c r="AG860">
        <f>IFERROR(--INDEX('Loans'!$L:$L,ROW()),0)</f>
        <v/>
      </c>
      <c r="AH860">
        <f>IF(ISNUMBER(INDEX('Loans'!$G:$G,ROW())),1,0)</f>
        <v/>
      </c>
    </row>
    <row r="861">
      <c r="A861">
        <f>TRIM(SUBSTITUTE(INDEX('Term investments'!$A:$A,ROW())&amp;""," "," "))</f>
        <v/>
      </c>
      <c r="B861">
        <f>TRIM(SUBSTITUTE(INDEX('Term investments'!$B:$B,ROW())&amp;""," "," "))</f>
        <v/>
      </c>
      <c r="C861">
        <f>TRIM(SUBSTITUTE(INDEX('Term investments'!$C:$C,ROW())&amp;""," "," "))</f>
        <v/>
      </c>
      <c r="D861">
        <f>IFERROR(--INDEX('Term investments'!$D:$D,ROW()),0)</f>
        <v/>
      </c>
      <c r="E861">
        <f>IFERROR(--INDEX('Term investments'!$E:$E,ROW()),0)</f>
        <v/>
      </c>
      <c r="F861">
        <f>IFERROR(--INDEX('Term investments'!$F:$F,ROW()),0)</f>
        <v/>
      </c>
      <c r="G861">
        <f>IFERROR(IF(--INDEX('Term investments'!$G:$G,ROW())&gt;=1,--INDEX('Term investments'!$G:$G,ROW())/100,--INDEX('Term investments'!$G:$G,ROW())),0)</f>
        <v/>
      </c>
      <c r="H861">
        <f>IFERROR(--INDEX('Term investments'!$H:$H,ROW()),0)</f>
        <v/>
      </c>
      <c r="I861">
        <f>IF(ISNUMBER(INDEX('Term investments'!$G:$G,ROW())),1,0)</f>
        <v/>
      </c>
      <c r="J861">
        <f>TRIM(SUBSTITUTE(INDEX('Call accounts and MMFs'!$A:$A,ROW())&amp;""," "," "))</f>
        <v/>
      </c>
      <c r="K861">
        <f>TRIM(SUBSTITUTE(INDEX('Call accounts and MMFs'!$B:$B,ROW())&amp;""," "," "))</f>
        <v/>
      </c>
      <c r="L861">
        <f>TRIM(SUBSTITUTE(INDEX('Call accounts and MMFs'!$C:$C,ROW())&amp;""," "," "))</f>
        <v/>
      </c>
      <c r="M861">
        <f>IFERROR(--INDEX('Call accounts and MMFs'!$D:$D,ROW()),0)</f>
        <v/>
      </c>
      <c r="N861">
        <f>IFERROR(IF(--INDEX('Call accounts and MMFs'!$E:$E,ROW())&gt;=1,--INDEX('Call accounts and MMFs'!$E:$E,ROW())/100,--INDEX('Call accounts and MMFs'!$E:$E,ROW())),0)</f>
        <v/>
      </c>
      <c r="O861">
        <f>IFERROR(--INDEX('Call accounts and MMFs'!$F:$F,ROW()),0)</f>
        <v/>
      </c>
      <c r="P861">
        <f>IF(ISNUMBER(INDEX('Call accounts and MMFs'!$E:$E,ROW())),1,0)</f>
        <v/>
      </c>
      <c r="Q861">
        <f>TRIM(SUBSTITUTE(INDEX('Pooled funds'!$B:$B,ROW())&amp;""," "," "))</f>
        <v/>
      </c>
      <c r="R861">
        <f>IFERROR(--INDEX('Pooled funds'!$C:$C,ROW()),0)</f>
        <v/>
      </c>
      <c r="S861">
        <f>IFERROR(--INDEX('Pooled funds'!$D:$D,ROW()),0)</f>
        <v/>
      </c>
      <c r="T861">
        <f>IFERROR(IF(--INDEX('Pooled funds'!$E:$E,ROW())&gt;=1,--INDEX('Pooled funds'!$E:$E,ROW())/100,--INDEX('Pooled funds'!$E:$E,ROW())),0)</f>
        <v/>
      </c>
      <c r="U861">
        <f>IF(ISNUMBER(INDEX('Pooled funds'!$E:$E,ROW())),1,0)</f>
        <v/>
      </c>
      <c r="V861">
        <f>TRIM(SUBSTITUTE(INDEX('Loans'!$A:$A,ROW())&amp;""," "," "))</f>
        <v/>
      </c>
      <c r="W861">
        <f>TRIM(SUBSTITUTE(INDEX('Loans'!$B:$B,ROW())&amp;""," "," "))</f>
        <v/>
      </c>
      <c r="X861">
        <f>TRIM(SUBSTITUTE(INDEX('Loans'!$C:$C,ROW())&amp;""," "," "))</f>
        <v/>
      </c>
      <c r="Y861">
        <f>IFERROR(--INDEX('Loans'!$D:$D,ROW()),0)</f>
        <v/>
      </c>
      <c r="Z861">
        <f>IFERROR(--INDEX('Loans'!$E:$E,ROW()),0)</f>
        <v/>
      </c>
      <c r="AA861">
        <f>IFERROR(--INDEX('Loans'!$F:$F,ROW()),0)</f>
        <v/>
      </c>
      <c r="AB861">
        <f>IFERROR(IF(--INDEX('Loans'!$G:$G,ROW())&gt;=1,--INDEX('Loans'!$G:$G,ROW())/100,--INDEX('Loans'!$G:$G,ROW())),0)</f>
        <v/>
      </c>
      <c r="AC861">
        <f>TRIM(SUBSTITUTE(INDEX('Loans'!$H:$H,ROW())&amp;""," "," "))</f>
        <v/>
      </c>
      <c r="AD861">
        <f>TRIM(SUBSTITUTE(INDEX('Loans'!$I:$I,ROW())&amp;""," "," "))</f>
        <v/>
      </c>
      <c r="AE861">
        <f>IFERROR(--INDEX('Loans'!$J:$J,ROW()),0)</f>
        <v/>
      </c>
      <c r="AF861">
        <f>TRIM(SUBSTITUTE(INDEX('Loans'!$K:$K,ROW())&amp;""," "," "))</f>
        <v/>
      </c>
      <c r="AG861">
        <f>IFERROR(--INDEX('Loans'!$L:$L,ROW()),0)</f>
        <v/>
      </c>
      <c r="AH861">
        <f>IF(ISNUMBER(INDEX('Loans'!$G:$G,ROW())),1,0)</f>
        <v/>
      </c>
    </row>
    <row r="862">
      <c r="A862">
        <f>TRIM(SUBSTITUTE(INDEX('Term investments'!$A:$A,ROW())&amp;""," "," "))</f>
        <v/>
      </c>
      <c r="B862">
        <f>TRIM(SUBSTITUTE(INDEX('Term investments'!$B:$B,ROW())&amp;""," "," "))</f>
        <v/>
      </c>
      <c r="C862">
        <f>TRIM(SUBSTITUTE(INDEX('Term investments'!$C:$C,ROW())&amp;""," "," "))</f>
        <v/>
      </c>
      <c r="D862">
        <f>IFERROR(--INDEX('Term investments'!$D:$D,ROW()),0)</f>
        <v/>
      </c>
      <c r="E862">
        <f>IFERROR(--INDEX('Term investments'!$E:$E,ROW()),0)</f>
        <v/>
      </c>
      <c r="F862">
        <f>IFERROR(--INDEX('Term investments'!$F:$F,ROW()),0)</f>
        <v/>
      </c>
      <c r="G862">
        <f>IFERROR(IF(--INDEX('Term investments'!$G:$G,ROW())&gt;=1,--INDEX('Term investments'!$G:$G,ROW())/100,--INDEX('Term investments'!$G:$G,ROW())),0)</f>
        <v/>
      </c>
      <c r="H862">
        <f>IFERROR(--INDEX('Term investments'!$H:$H,ROW()),0)</f>
        <v/>
      </c>
      <c r="I862">
        <f>IF(ISNUMBER(INDEX('Term investments'!$G:$G,ROW())),1,0)</f>
        <v/>
      </c>
      <c r="J862">
        <f>TRIM(SUBSTITUTE(INDEX('Call accounts and MMFs'!$A:$A,ROW())&amp;""," "," "))</f>
        <v/>
      </c>
      <c r="K862">
        <f>TRIM(SUBSTITUTE(INDEX('Call accounts and MMFs'!$B:$B,ROW())&amp;""," "," "))</f>
        <v/>
      </c>
      <c r="L862">
        <f>TRIM(SUBSTITUTE(INDEX('Call accounts and MMFs'!$C:$C,ROW())&amp;""," "," "))</f>
        <v/>
      </c>
      <c r="M862">
        <f>IFERROR(--INDEX('Call accounts and MMFs'!$D:$D,ROW()),0)</f>
        <v/>
      </c>
      <c r="N862">
        <f>IFERROR(IF(--INDEX('Call accounts and MMFs'!$E:$E,ROW())&gt;=1,--INDEX('Call accounts and MMFs'!$E:$E,ROW())/100,--INDEX('Call accounts and MMFs'!$E:$E,ROW())),0)</f>
        <v/>
      </c>
      <c r="O862">
        <f>IFERROR(--INDEX('Call accounts and MMFs'!$F:$F,ROW()),0)</f>
        <v/>
      </c>
      <c r="P862">
        <f>IF(ISNUMBER(INDEX('Call accounts and MMFs'!$E:$E,ROW())),1,0)</f>
        <v/>
      </c>
      <c r="Q862">
        <f>TRIM(SUBSTITUTE(INDEX('Pooled funds'!$B:$B,ROW())&amp;""," "," "))</f>
        <v/>
      </c>
      <c r="R862">
        <f>IFERROR(--INDEX('Pooled funds'!$C:$C,ROW()),0)</f>
        <v/>
      </c>
      <c r="S862">
        <f>IFERROR(--INDEX('Pooled funds'!$D:$D,ROW()),0)</f>
        <v/>
      </c>
      <c r="T862">
        <f>IFERROR(IF(--INDEX('Pooled funds'!$E:$E,ROW())&gt;=1,--INDEX('Pooled funds'!$E:$E,ROW())/100,--INDEX('Pooled funds'!$E:$E,ROW())),0)</f>
        <v/>
      </c>
      <c r="U862">
        <f>IF(ISNUMBER(INDEX('Pooled funds'!$E:$E,ROW())),1,0)</f>
        <v/>
      </c>
      <c r="V862">
        <f>TRIM(SUBSTITUTE(INDEX('Loans'!$A:$A,ROW())&amp;""," "," "))</f>
        <v/>
      </c>
      <c r="W862">
        <f>TRIM(SUBSTITUTE(INDEX('Loans'!$B:$B,ROW())&amp;""," "," "))</f>
        <v/>
      </c>
      <c r="X862">
        <f>TRIM(SUBSTITUTE(INDEX('Loans'!$C:$C,ROW())&amp;""," "," "))</f>
        <v/>
      </c>
      <c r="Y862">
        <f>IFERROR(--INDEX('Loans'!$D:$D,ROW()),0)</f>
        <v/>
      </c>
      <c r="Z862">
        <f>IFERROR(--INDEX('Loans'!$E:$E,ROW()),0)</f>
        <v/>
      </c>
      <c r="AA862">
        <f>IFERROR(--INDEX('Loans'!$F:$F,ROW()),0)</f>
        <v/>
      </c>
      <c r="AB862">
        <f>IFERROR(IF(--INDEX('Loans'!$G:$G,ROW())&gt;=1,--INDEX('Loans'!$G:$G,ROW())/100,--INDEX('Loans'!$G:$G,ROW())),0)</f>
        <v/>
      </c>
      <c r="AC862">
        <f>TRIM(SUBSTITUTE(INDEX('Loans'!$H:$H,ROW())&amp;""," "," "))</f>
        <v/>
      </c>
      <c r="AD862">
        <f>TRIM(SUBSTITUTE(INDEX('Loans'!$I:$I,ROW())&amp;""," "," "))</f>
        <v/>
      </c>
      <c r="AE862">
        <f>IFERROR(--INDEX('Loans'!$J:$J,ROW()),0)</f>
        <v/>
      </c>
      <c r="AF862">
        <f>TRIM(SUBSTITUTE(INDEX('Loans'!$K:$K,ROW())&amp;""," "," "))</f>
        <v/>
      </c>
      <c r="AG862">
        <f>IFERROR(--INDEX('Loans'!$L:$L,ROW()),0)</f>
        <v/>
      </c>
      <c r="AH862">
        <f>IF(ISNUMBER(INDEX('Loans'!$G:$G,ROW())),1,0)</f>
        <v/>
      </c>
    </row>
    <row r="863">
      <c r="A863">
        <f>TRIM(SUBSTITUTE(INDEX('Term investments'!$A:$A,ROW())&amp;""," "," "))</f>
        <v/>
      </c>
      <c r="B863">
        <f>TRIM(SUBSTITUTE(INDEX('Term investments'!$B:$B,ROW())&amp;""," "," "))</f>
        <v/>
      </c>
      <c r="C863">
        <f>TRIM(SUBSTITUTE(INDEX('Term investments'!$C:$C,ROW())&amp;""," "," "))</f>
        <v/>
      </c>
      <c r="D863">
        <f>IFERROR(--INDEX('Term investments'!$D:$D,ROW()),0)</f>
        <v/>
      </c>
      <c r="E863">
        <f>IFERROR(--INDEX('Term investments'!$E:$E,ROW()),0)</f>
        <v/>
      </c>
      <c r="F863">
        <f>IFERROR(--INDEX('Term investments'!$F:$F,ROW()),0)</f>
        <v/>
      </c>
      <c r="G863">
        <f>IFERROR(IF(--INDEX('Term investments'!$G:$G,ROW())&gt;=1,--INDEX('Term investments'!$G:$G,ROW())/100,--INDEX('Term investments'!$G:$G,ROW())),0)</f>
        <v/>
      </c>
      <c r="H863">
        <f>IFERROR(--INDEX('Term investments'!$H:$H,ROW()),0)</f>
        <v/>
      </c>
      <c r="I863">
        <f>IF(ISNUMBER(INDEX('Term investments'!$G:$G,ROW())),1,0)</f>
        <v/>
      </c>
      <c r="J863">
        <f>TRIM(SUBSTITUTE(INDEX('Call accounts and MMFs'!$A:$A,ROW())&amp;""," "," "))</f>
        <v/>
      </c>
      <c r="K863">
        <f>TRIM(SUBSTITUTE(INDEX('Call accounts and MMFs'!$B:$B,ROW())&amp;""," "," "))</f>
        <v/>
      </c>
      <c r="L863">
        <f>TRIM(SUBSTITUTE(INDEX('Call accounts and MMFs'!$C:$C,ROW())&amp;""," "," "))</f>
        <v/>
      </c>
      <c r="M863">
        <f>IFERROR(--INDEX('Call accounts and MMFs'!$D:$D,ROW()),0)</f>
        <v/>
      </c>
      <c r="N863">
        <f>IFERROR(IF(--INDEX('Call accounts and MMFs'!$E:$E,ROW())&gt;=1,--INDEX('Call accounts and MMFs'!$E:$E,ROW())/100,--INDEX('Call accounts and MMFs'!$E:$E,ROW())),0)</f>
        <v/>
      </c>
      <c r="O863">
        <f>IFERROR(--INDEX('Call accounts and MMFs'!$F:$F,ROW()),0)</f>
        <v/>
      </c>
      <c r="P863">
        <f>IF(ISNUMBER(INDEX('Call accounts and MMFs'!$E:$E,ROW())),1,0)</f>
        <v/>
      </c>
      <c r="Q863">
        <f>TRIM(SUBSTITUTE(INDEX('Pooled funds'!$B:$B,ROW())&amp;""," "," "))</f>
        <v/>
      </c>
      <c r="R863">
        <f>IFERROR(--INDEX('Pooled funds'!$C:$C,ROW()),0)</f>
        <v/>
      </c>
      <c r="S863">
        <f>IFERROR(--INDEX('Pooled funds'!$D:$D,ROW()),0)</f>
        <v/>
      </c>
      <c r="T863">
        <f>IFERROR(IF(--INDEX('Pooled funds'!$E:$E,ROW())&gt;=1,--INDEX('Pooled funds'!$E:$E,ROW())/100,--INDEX('Pooled funds'!$E:$E,ROW())),0)</f>
        <v/>
      </c>
      <c r="U863">
        <f>IF(ISNUMBER(INDEX('Pooled funds'!$E:$E,ROW())),1,0)</f>
        <v/>
      </c>
      <c r="V863">
        <f>TRIM(SUBSTITUTE(INDEX('Loans'!$A:$A,ROW())&amp;""," "," "))</f>
        <v/>
      </c>
      <c r="W863">
        <f>TRIM(SUBSTITUTE(INDEX('Loans'!$B:$B,ROW())&amp;""," "," "))</f>
        <v/>
      </c>
      <c r="X863">
        <f>TRIM(SUBSTITUTE(INDEX('Loans'!$C:$C,ROW())&amp;""," "," "))</f>
        <v/>
      </c>
      <c r="Y863">
        <f>IFERROR(--INDEX('Loans'!$D:$D,ROW()),0)</f>
        <v/>
      </c>
      <c r="Z863">
        <f>IFERROR(--INDEX('Loans'!$E:$E,ROW()),0)</f>
        <v/>
      </c>
      <c r="AA863">
        <f>IFERROR(--INDEX('Loans'!$F:$F,ROW()),0)</f>
        <v/>
      </c>
      <c r="AB863">
        <f>IFERROR(IF(--INDEX('Loans'!$G:$G,ROW())&gt;=1,--INDEX('Loans'!$G:$G,ROW())/100,--INDEX('Loans'!$G:$G,ROW())),0)</f>
        <v/>
      </c>
      <c r="AC863">
        <f>TRIM(SUBSTITUTE(INDEX('Loans'!$H:$H,ROW())&amp;""," "," "))</f>
        <v/>
      </c>
      <c r="AD863">
        <f>TRIM(SUBSTITUTE(INDEX('Loans'!$I:$I,ROW())&amp;""," "," "))</f>
        <v/>
      </c>
      <c r="AE863">
        <f>IFERROR(--INDEX('Loans'!$J:$J,ROW()),0)</f>
        <v/>
      </c>
      <c r="AF863">
        <f>TRIM(SUBSTITUTE(INDEX('Loans'!$K:$K,ROW())&amp;""," "," "))</f>
        <v/>
      </c>
      <c r="AG863">
        <f>IFERROR(--INDEX('Loans'!$L:$L,ROW()),0)</f>
        <v/>
      </c>
      <c r="AH863">
        <f>IF(ISNUMBER(INDEX('Loans'!$G:$G,ROW())),1,0)</f>
        <v/>
      </c>
    </row>
    <row r="864">
      <c r="A864">
        <f>TRIM(SUBSTITUTE(INDEX('Term investments'!$A:$A,ROW())&amp;""," "," "))</f>
        <v/>
      </c>
      <c r="B864">
        <f>TRIM(SUBSTITUTE(INDEX('Term investments'!$B:$B,ROW())&amp;""," "," "))</f>
        <v/>
      </c>
      <c r="C864">
        <f>TRIM(SUBSTITUTE(INDEX('Term investments'!$C:$C,ROW())&amp;""," "," "))</f>
        <v/>
      </c>
      <c r="D864">
        <f>IFERROR(--INDEX('Term investments'!$D:$D,ROW()),0)</f>
        <v/>
      </c>
      <c r="E864">
        <f>IFERROR(--INDEX('Term investments'!$E:$E,ROW()),0)</f>
        <v/>
      </c>
      <c r="F864">
        <f>IFERROR(--INDEX('Term investments'!$F:$F,ROW()),0)</f>
        <v/>
      </c>
      <c r="G864">
        <f>IFERROR(IF(--INDEX('Term investments'!$G:$G,ROW())&gt;=1,--INDEX('Term investments'!$G:$G,ROW())/100,--INDEX('Term investments'!$G:$G,ROW())),0)</f>
        <v/>
      </c>
      <c r="H864">
        <f>IFERROR(--INDEX('Term investments'!$H:$H,ROW()),0)</f>
        <v/>
      </c>
      <c r="I864">
        <f>IF(ISNUMBER(INDEX('Term investments'!$G:$G,ROW())),1,0)</f>
        <v/>
      </c>
      <c r="J864">
        <f>TRIM(SUBSTITUTE(INDEX('Call accounts and MMFs'!$A:$A,ROW())&amp;""," "," "))</f>
        <v/>
      </c>
      <c r="K864">
        <f>TRIM(SUBSTITUTE(INDEX('Call accounts and MMFs'!$B:$B,ROW())&amp;""," "," "))</f>
        <v/>
      </c>
      <c r="L864">
        <f>TRIM(SUBSTITUTE(INDEX('Call accounts and MMFs'!$C:$C,ROW())&amp;""," "," "))</f>
        <v/>
      </c>
      <c r="M864">
        <f>IFERROR(--INDEX('Call accounts and MMFs'!$D:$D,ROW()),0)</f>
        <v/>
      </c>
      <c r="N864">
        <f>IFERROR(IF(--INDEX('Call accounts and MMFs'!$E:$E,ROW())&gt;=1,--INDEX('Call accounts and MMFs'!$E:$E,ROW())/100,--INDEX('Call accounts and MMFs'!$E:$E,ROW())),0)</f>
        <v/>
      </c>
      <c r="O864">
        <f>IFERROR(--INDEX('Call accounts and MMFs'!$F:$F,ROW()),0)</f>
        <v/>
      </c>
      <c r="P864">
        <f>IF(ISNUMBER(INDEX('Call accounts and MMFs'!$E:$E,ROW())),1,0)</f>
        <v/>
      </c>
      <c r="Q864">
        <f>TRIM(SUBSTITUTE(INDEX('Pooled funds'!$B:$B,ROW())&amp;""," "," "))</f>
        <v/>
      </c>
      <c r="R864">
        <f>IFERROR(--INDEX('Pooled funds'!$C:$C,ROW()),0)</f>
        <v/>
      </c>
      <c r="S864">
        <f>IFERROR(--INDEX('Pooled funds'!$D:$D,ROW()),0)</f>
        <v/>
      </c>
      <c r="T864">
        <f>IFERROR(IF(--INDEX('Pooled funds'!$E:$E,ROW())&gt;=1,--INDEX('Pooled funds'!$E:$E,ROW())/100,--INDEX('Pooled funds'!$E:$E,ROW())),0)</f>
        <v/>
      </c>
      <c r="U864">
        <f>IF(ISNUMBER(INDEX('Pooled funds'!$E:$E,ROW())),1,0)</f>
        <v/>
      </c>
      <c r="V864">
        <f>TRIM(SUBSTITUTE(INDEX('Loans'!$A:$A,ROW())&amp;""," "," "))</f>
        <v/>
      </c>
      <c r="W864">
        <f>TRIM(SUBSTITUTE(INDEX('Loans'!$B:$B,ROW())&amp;""," "," "))</f>
        <v/>
      </c>
      <c r="X864">
        <f>TRIM(SUBSTITUTE(INDEX('Loans'!$C:$C,ROW())&amp;""," "," "))</f>
        <v/>
      </c>
      <c r="Y864">
        <f>IFERROR(--INDEX('Loans'!$D:$D,ROW()),0)</f>
        <v/>
      </c>
      <c r="Z864">
        <f>IFERROR(--INDEX('Loans'!$E:$E,ROW()),0)</f>
        <v/>
      </c>
      <c r="AA864">
        <f>IFERROR(--INDEX('Loans'!$F:$F,ROW()),0)</f>
        <v/>
      </c>
      <c r="AB864">
        <f>IFERROR(IF(--INDEX('Loans'!$G:$G,ROW())&gt;=1,--INDEX('Loans'!$G:$G,ROW())/100,--INDEX('Loans'!$G:$G,ROW())),0)</f>
        <v/>
      </c>
      <c r="AC864">
        <f>TRIM(SUBSTITUTE(INDEX('Loans'!$H:$H,ROW())&amp;""," "," "))</f>
        <v/>
      </c>
      <c r="AD864">
        <f>TRIM(SUBSTITUTE(INDEX('Loans'!$I:$I,ROW())&amp;""," "," "))</f>
        <v/>
      </c>
      <c r="AE864">
        <f>IFERROR(--INDEX('Loans'!$J:$J,ROW()),0)</f>
        <v/>
      </c>
      <c r="AF864">
        <f>TRIM(SUBSTITUTE(INDEX('Loans'!$K:$K,ROW())&amp;""," "," "))</f>
        <v/>
      </c>
      <c r="AG864">
        <f>IFERROR(--INDEX('Loans'!$L:$L,ROW()),0)</f>
        <v/>
      </c>
      <c r="AH864">
        <f>IF(ISNUMBER(INDEX('Loans'!$G:$G,ROW())),1,0)</f>
        <v/>
      </c>
    </row>
    <row r="865">
      <c r="A865">
        <f>TRIM(SUBSTITUTE(INDEX('Term investments'!$A:$A,ROW())&amp;""," "," "))</f>
        <v/>
      </c>
      <c r="B865">
        <f>TRIM(SUBSTITUTE(INDEX('Term investments'!$B:$B,ROW())&amp;""," "," "))</f>
        <v/>
      </c>
      <c r="C865">
        <f>TRIM(SUBSTITUTE(INDEX('Term investments'!$C:$C,ROW())&amp;""," "," "))</f>
        <v/>
      </c>
      <c r="D865">
        <f>IFERROR(--INDEX('Term investments'!$D:$D,ROW()),0)</f>
        <v/>
      </c>
      <c r="E865">
        <f>IFERROR(--INDEX('Term investments'!$E:$E,ROW()),0)</f>
        <v/>
      </c>
      <c r="F865">
        <f>IFERROR(--INDEX('Term investments'!$F:$F,ROW()),0)</f>
        <v/>
      </c>
      <c r="G865">
        <f>IFERROR(IF(--INDEX('Term investments'!$G:$G,ROW())&gt;=1,--INDEX('Term investments'!$G:$G,ROW())/100,--INDEX('Term investments'!$G:$G,ROW())),0)</f>
        <v/>
      </c>
      <c r="H865">
        <f>IFERROR(--INDEX('Term investments'!$H:$H,ROW()),0)</f>
        <v/>
      </c>
      <c r="I865">
        <f>IF(ISNUMBER(INDEX('Term investments'!$G:$G,ROW())),1,0)</f>
        <v/>
      </c>
      <c r="J865">
        <f>TRIM(SUBSTITUTE(INDEX('Call accounts and MMFs'!$A:$A,ROW())&amp;""," "," "))</f>
        <v/>
      </c>
      <c r="K865">
        <f>TRIM(SUBSTITUTE(INDEX('Call accounts and MMFs'!$B:$B,ROW())&amp;""," "," "))</f>
        <v/>
      </c>
      <c r="L865">
        <f>TRIM(SUBSTITUTE(INDEX('Call accounts and MMFs'!$C:$C,ROW())&amp;""," "," "))</f>
        <v/>
      </c>
      <c r="M865">
        <f>IFERROR(--INDEX('Call accounts and MMFs'!$D:$D,ROW()),0)</f>
        <v/>
      </c>
      <c r="N865">
        <f>IFERROR(IF(--INDEX('Call accounts and MMFs'!$E:$E,ROW())&gt;=1,--INDEX('Call accounts and MMFs'!$E:$E,ROW())/100,--INDEX('Call accounts and MMFs'!$E:$E,ROW())),0)</f>
        <v/>
      </c>
      <c r="O865">
        <f>IFERROR(--INDEX('Call accounts and MMFs'!$F:$F,ROW()),0)</f>
        <v/>
      </c>
      <c r="P865">
        <f>IF(ISNUMBER(INDEX('Call accounts and MMFs'!$E:$E,ROW())),1,0)</f>
        <v/>
      </c>
      <c r="Q865">
        <f>TRIM(SUBSTITUTE(INDEX('Pooled funds'!$B:$B,ROW())&amp;""," "," "))</f>
        <v/>
      </c>
      <c r="R865">
        <f>IFERROR(--INDEX('Pooled funds'!$C:$C,ROW()),0)</f>
        <v/>
      </c>
      <c r="S865">
        <f>IFERROR(--INDEX('Pooled funds'!$D:$D,ROW()),0)</f>
        <v/>
      </c>
      <c r="T865">
        <f>IFERROR(IF(--INDEX('Pooled funds'!$E:$E,ROW())&gt;=1,--INDEX('Pooled funds'!$E:$E,ROW())/100,--INDEX('Pooled funds'!$E:$E,ROW())),0)</f>
        <v/>
      </c>
      <c r="U865">
        <f>IF(ISNUMBER(INDEX('Pooled funds'!$E:$E,ROW())),1,0)</f>
        <v/>
      </c>
      <c r="V865">
        <f>TRIM(SUBSTITUTE(INDEX('Loans'!$A:$A,ROW())&amp;""," "," "))</f>
        <v/>
      </c>
      <c r="W865">
        <f>TRIM(SUBSTITUTE(INDEX('Loans'!$B:$B,ROW())&amp;""," "," "))</f>
        <v/>
      </c>
      <c r="X865">
        <f>TRIM(SUBSTITUTE(INDEX('Loans'!$C:$C,ROW())&amp;""," "," "))</f>
        <v/>
      </c>
      <c r="Y865">
        <f>IFERROR(--INDEX('Loans'!$D:$D,ROW()),0)</f>
        <v/>
      </c>
      <c r="Z865">
        <f>IFERROR(--INDEX('Loans'!$E:$E,ROW()),0)</f>
        <v/>
      </c>
      <c r="AA865">
        <f>IFERROR(--INDEX('Loans'!$F:$F,ROW()),0)</f>
        <v/>
      </c>
      <c r="AB865">
        <f>IFERROR(IF(--INDEX('Loans'!$G:$G,ROW())&gt;=1,--INDEX('Loans'!$G:$G,ROW())/100,--INDEX('Loans'!$G:$G,ROW())),0)</f>
        <v/>
      </c>
      <c r="AC865">
        <f>TRIM(SUBSTITUTE(INDEX('Loans'!$H:$H,ROW())&amp;""," "," "))</f>
        <v/>
      </c>
      <c r="AD865">
        <f>TRIM(SUBSTITUTE(INDEX('Loans'!$I:$I,ROW())&amp;""," "," "))</f>
        <v/>
      </c>
      <c r="AE865">
        <f>IFERROR(--INDEX('Loans'!$J:$J,ROW()),0)</f>
        <v/>
      </c>
      <c r="AF865">
        <f>TRIM(SUBSTITUTE(INDEX('Loans'!$K:$K,ROW())&amp;""," "," "))</f>
        <v/>
      </c>
      <c r="AG865">
        <f>IFERROR(--INDEX('Loans'!$L:$L,ROW()),0)</f>
        <v/>
      </c>
      <c r="AH865">
        <f>IF(ISNUMBER(INDEX('Loans'!$G:$G,ROW())),1,0)</f>
        <v/>
      </c>
    </row>
    <row r="866">
      <c r="A866">
        <f>TRIM(SUBSTITUTE(INDEX('Term investments'!$A:$A,ROW())&amp;""," "," "))</f>
        <v/>
      </c>
      <c r="B866">
        <f>TRIM(SUBSTITUTE(INDEX('Term investments'!$B:$B,ROW())&amp;""," "," "))</f>
        <v/>
      </c>
      <c r="C866">
        <f>TRIM(SUBSTITUTE(INDEX('Term investments'!$C:$C,ROW())&amp;""," "," "))</f>
        <v/>
      </c>
      <c r="D866">
        <f>IFERROR(--INDEX('Term investments'!$D:$D,ROW()),0)</f>
        <v/>
      </c>
      <c r="E866">
        <f>IFERROR(--INDEX('Term investments'!$E:$E,ROW()),0)</f>
        <v/>
      </c>
      <c r="F866">
        <f>IFERROR(--INDEX('Term investments'!$F:$F,ROW()),0)</f>
        <v/>
      </c>
      <c r="G866">
        <f>IFERROR(IF(--INDEX('Term investments'!$G:$G,ROW())&gt;=1,--INDEX('Term investments'!$G:$G,ROW())/100,--INDEX('Term investments'!$G:$G,ROW())),0)</f>
        <v/>
      </c>
      <c r="H866">
        <f>IFERROR(--INDEX('Term investments'!$H:$H,ROW()),0)</f>
        <v/>
      </c>
      <c r="I866">
        <f>IF(ISNUMBER(INDEX('Term investments'!$G:$G,ROW())),1,0)</f>
        <v/>
      </c>
      <c r="J866">
        <f>TRIM(SUBSTITUTE(INDEX('Call accounts and MMFs'!$A:$A,ROW())&amp;""," "," "))</f>
        <v/>
      </c>
      <c r="K866">
        <f>TRIM(SUBSTITUTE(INDEX('Call accounts and MMFs'!$B:$B,ROW())&amp;""," "," "))</f>
        <v/>
      </c>
      <c r="L866">
        <f>TRIM(SUBSTITUTE(INDEX('Call accounts and MMFs'!$C:$C,ROW())&amp;""," "," "))</f>
        <v/>
      </c>
      <c r="M866">
        <f>IFERROR(--INDEX('Call accounts and MMFs'!$D:$D,ROW()),0)</f>
        <v/>
      </c>
      <c r="N866">
        <f>IFERROR(IF(--INDEX('Call accounts and MMFs'!$E:$E,ROW())&gt;=1,--INDEX('Call accounts and MMFs'!$E:$E,ROW())/100,--INDEX('Call accounts and MMFs'!$E:$E,ROW())),0)</f>
        <v/>
      </c>
      <c r="O866">
        <f>IFERROR(--INDEX('Call accounts and MMFs'!$F:$F,ROW()),0)</f>
        <v/>
      </c>
      <c r="P866">
        <f>IF(ISNUMBER(INDEX('Call accounts and MMFs'!$E:$E,ROW())),1,0)</f>
        <v/>
      </c>
      <c r="Q866">
        <f>TRIM(SUBSTITUTE(INDEX('Pooled funds'!$B:$B,ROW())&amp;""," "," "))</f>
        <v/>
      </c>
      <c r="R866">
        <f>IFERROR(--INDEX('Pooled funds'!$C:$C,ROW()),0)</f>
        <v/>
      </c>
      <c r="S866">
        <f>IFERROR(--INDEX('Pooled funds'!$D:$D,ROW()),0)</f>
        <v/>
      </c>
      <c r="T866">
        <f>IFERROR(IF(--INDEX('Pooled funds'!$E:$E,ROW())&gt;=1,--INDEX('Pooled funds'!$E:$E,ROW())/100,--INDEX('Pooled funds'!$E:$E,ROW())),0)</f>
        <v/>
      </c>
      <c r="U866">
        <f>IF(ISNUMBER(INDEX('Pooled funds'!$E:$E,ROW())),1,0)</f>
        <v/>
      </c>
      <c r="V866">
        <f>TRIM(SUBSTITUTE(INDEX('Loans'!$A:$A,ROW())&amp;""," "," "))</f>
        <v/>
      </c>
      <c r="W866">
        <f>TRIM(SUBSTITUTE(INDEX('Loans'!$B:$B,ROW())&amp;""," "," "))</f>
        <v/>
      </c>
      <c r="X866">
        <f>TRIM(SUBSTITUTE(INDEX('Loans'!$C:$C,ROW())&amp;""," "," "))</f>
        <v/>
      </c>
      <c r="Y866">
        <f>IFERROR(--INDEX('Loans'!$D:$D,ROW()),0)</f>
        <v/>
      </c>
      <c r="Z866">
        <f>IFERROR(--INDEX('Loans'!$E:$E,ROW()),0)</f>
        <v/>
      </c>
      <c r="AA866">
        <f>IFERROR(--INDEX('Loans'!$F:$F,ROW()),0)</f>
        <v/>
      </c>
      <c r="AB866">
        <f>IFERROR(IF(--INDEX('Loans'!$G:$G,ROW())&gt;=1,--INDEX('Loans'!$G:$G,ROW())/100,--INDEX('Loans'!$G:$G,ROW())),0)</f>
        <v/>
      </c>
      <c r="AC866">
        <f>TRIM(SUBSTITUTE(INDEX('Loans'!$H:$H,ROW())&amp;""," "," "))</f>
        <v/>
      </c>
      <c r="AD866">
        <f>TRIM(SUBSTITUTE(INDEX('Loans'!$I:$I,ROW())&amp;""," "," "))</f>
        <v/>
      </c>
      <c r="AE866">
        <f>IFERROR(--INDEX('Loans'!$J:$J,ROW()),0)</f>
        <v/>
      </c>
      <c r="AF866">
        <f>TRIM(SUBSTITUTE(INDEX('Loans'!$K:$K,ROW())&amp;""," "," "))</f>
        <v/>
      </c>
      <c r="AG866">
        <f>IFERROR(--INDEX('Loans'!$L:$L,ROW()),0)</f>
        <v/>
      </c>
      <c r="AH866">
        <f>IF(ISNUMBER(INDEX('Loans'!$G:$G,ROW())),1,0)</f>
        <v/>
      </c>
    </row>
    <row r="867">
      <c r="A867">
        <f>TRIM(SUBSTITUTE(INDEX('Term investments'!$A:$A,ROW())&amp;""," "," "))</f>
        <v/>
      </c>
      <c r="B867">
        <f>TRIM(SUBSTITUTE(INDEX('Term investments'!$B:$B,ROW())&amp;""," "," "))</f>
        <v/>
      </c>
      <c r="C867">
        <f>TRIM(SUBSTITUTE(INDEX('Term investments'!$C:$C,ROW())&amp;""," "," "))</f>
        <v/>
      </c>
      <c r="D867">
        <f>IFERROR(--INDEX('Term investments'!$D:$D,ROW()),0)</f>
        <v/>
      </c>
      <c r="E867">
        <f>IFERROR(--INDEX('Term investments'!$E:$E,ROW()),0)</f>
        <v/>
      </c>
      <c r="F867">
        <f>IFERROR(--INDEX('Term investments'!$F:$F,ROW()),0)</f>
        <v/>
      </c>
      <c r="G867">
        <f>IFERROR(IF(--INDEX('Term investments'!$G:$G,ROW())&gt;=1,--INDEX('Term investments'!$G:$G,ROW())/100,--INDEX('Term investments'!$G:$G,ROW())),0)</f>
        <v/>
      </c>
      <c r="H867">
        <f>IFERROR(--INDEX('Term investments'!$H:$H,ROW()),0)</f>
        <v/>
      </c>
      <c r="I867">
        <f>IF(ISNUMBER(INDEX('Term investments'!$G:$G,ROW())),1,0)</f>
        <v/>
      </c>
      <c r="J867">
        <f>TRIM(SUBSTITUTE(INDEX('Call accounts and MMFs'!$A:$A,ROW())&amp;""," "," "))</f>
        <v/>
      </c>
      <c r="K867">
        <f>TRIM(SUBSTITUTE(INDEX('Call accounts and MMFs'!$B:$B,ROW())&amp;""," "," "))</f>
        <v/>
      </c>
      <c r="L867">
        <f>TRIM(SUBSTITUTE(INDEX('Call accounts and MMFs'!$C:$C,ROW())&amp;""," "," "))</f>
        <v/>
      </c>
      <c r="M867">
        <f>IFERROR(--INDEX('Call accounts and MMFs'!$D:$D,ROW()),0)</f>
        <v/>
      </c>
      <c r="N867">
        <f>IFERROR(IF(--INDEX('Call accounts and MMFs'!$E:$E,ROW())&gt;=1,--INDEX('Call accounts and MMFs'!$E:$E,ROW())/100,--INDEX('Call accounts and MMFs'!$E:$E,ROW())),0)</f>
        <v/>
      </c>
      <c r="O867">
        <f>IFERROR(--INDEX('Call accounts and MMFs'!$F:$F,ROW()),0)</f>
        <v/>
      </c>
      <c r="P867">
        <f>IF(ISNUMBER(INDEX('Call accounts and MMFs'!$E:$E,ROW())),1,0)</f>
        <v/>
      </c>
      <c r="Q867">
        <f>TRIM(SUBSTITUTE(INDEX('Pooled funds'!$B:$B,ROW())&amp;""," "," "))</f>
        <v/>
      </c>
      <c r="R867">
        <f>IFERROR(--INDEX('Pooled funds'!$C:$C,ROW()),0)</f>
        <v/>
      </c>
      <c r="S867">
        <f>IFERROR(--INDEX('Pooled funds'!$D:$D,ROW()),0)</f>
        <v/>
      </c>
      <c r="T867">
        <f>IFERROR(IF(--INDEX('Pooled funds'!$E:$E,ROW())&gt;=1,--INDEX('Pooled funds'!$E:$E,ROW())/100,--INDEX('Pooled funds'!$E:$E,ROW())),0)</f>
        <v/>
      </c>
      <c r="U867">
        <f>IF(ISNUMBER(INDEX('Pooled funds'!$E:$E,ROW())),1,0)</f>
        <v/>
      </c>
      <c r="V867">
        <f>TRIM(SUBSTITUTE(INDEX('Loans'!$A:$A,ROW())&amp;""," "," "))</f>
        <v/>
      </c>
      <c r="W867">
        <f>TRIM(SUBSTITUTE(INDEX('Loans'!$B:$B,ROW())&amp;""," "," "))</f>
        <v/>
      </c>
      <c r="X867">
        <f>TRIM(SUBSTITUTE(INDEX('Loans'!$C:$C,ROW())&amp;""," "," "))</f>
        <v/>
      </c>
      <c r="Y867">
        <f>IFERROR(--INDEX('Loans'!$D:$D,ROW()),0)</f>
        <v/>
      </c>
      <c r="Z867">
        <f>IFERROR(--INDEX('Loans'!$E:$E,ROW()),0)</f>
        <v/>
      </c>
      <c r="AA867">
        <f>IFERROR(--INDEX('Loans'!$F:$F,ROW()),0)</f>
        <v/>
      </c>
      <c r="AB867">
        <f>IFERROR(IF(--INDEX('Loans'!$G:$G,ROW())&gt;=1,--INDEX('Loans'!$G:$G,ROW())/100,--INDEX('Loans'!$G:$G,ROW())),0)</f>
        <v/>
      </c>
      <c r="AC867">
        <f>TRIM(SUBSTITUTE(INDEX('Loans'!$H:$H,ROW())&amp;""," "," "))</f>
        <v/>
      </c>
      <c r="AD867">
        <f>TRIM(SUBSTITUTE(INDEX('Loans'!$I:$I,ROW())&amp;""," "," "))</f>
        <v/>
      </c>
      <c r="AE867">
        <f>IFERROR(--INDEX('Loans'!$J:$J,ROW()),0)</f>
        <v/>
      </c>
      <c r="AF867">
        <f>TRIM(SUBSTITUTE(INDEX('Loans'!$K:$K,ROW())&amp;""," "," "))</f>
        <v/>
      </c>
      <c r="AG867">
        <f>IFERROR(--INDEX('Loans'!$L:$L,ROW()),0)</f>
        <v/>
      </c>
      <c r="AH867">
        <f>IF(ISNUMBER(INDEX('Loans'!$G:$G,ROW())),1,0)</f>
        <v/>
      </c>
    </row>
    <row r="868">
      <c r="A868">
        <f>TRIM(SUBSTITUTE(INDEX('Term investments'!$A:$A,ROW())&amp;""," "," "))</f>
        <v/>
      </c>
      <c r="B868">
        <f>TRIM(SUBSTITUTE(INDEX('Term investments'!$B:$B,ROW())&amp;""," "," "))</f>
        <v/>
      </c>
      <c r="C868">
        <f>TRIM(SUBSTITUTE(INDEX('Term investments'!$C:$C,ROW())&amp;""," "," "))</f>
        <v/>
      </c>
      <c r="D868">
        <f>IFERROR(--INDEX('Term investments'!$D:$D,ROW()),0)</f>
        <v/>
      </c>
      <c r="E868">
        <f>IFERROR(--INDEX('Term investments'!$E:$E,ROW()),0)</f>
        <v/>
      </c>
      <c r="F868">
        <f>IFERROR(--INDEX('Term investments'!$F:$F,ROW()),0)</f>
        <v/>
      </c>
      <c r="G868">
        <f>IFERROR(IF(--INDEX('Term investments'!$G:$G,ROW())&gt;=1,--INDEX('Term investments'!$G:$G,ROW())/100,--INDEX('Term investments'!$G:$G,ROW())),0)</f>
        <v/>
      </c>
      <c r="H868">
        <f>IFERROR(--INDEX('Term investments'!$H:$H,ROW()),0)</f>
        <v/>
      </c>
      <c r="I868">
        <f>IF(ISNUMBER(INDEX('Term investments'!$G:$G,ROW())),1,0)</f>
        <v/>
      </c>
      <c r="J868">
        <f>TRIM(SUBSTITUTE(INDEX('Call accounts and MMFs'!$A:$A,ROW())&amp;""," "," "))</f>
        <v/>
      </c>
      <c r="K868">
        <f>TRIM(SUBSTITUTE(INDEX('Call accounts and MMFs'!$B:$B,ROW())&amp;""," "," "))</f>
        <v/>
      </c>
      <c r="L868">
        <f>TRIM(SUBSTITUTE(INDEX('Call accounts and MMFs'!$C:$C,ROW())&amp;""," "," "))</f>
        <v/>
      </c>
      <c r="M868">
        <f>IFERROR(--INDEX('Call accounts and MMFs'!$D:$D,ROW()),0)</f>
        <v/>
      </c>
      <c r="N868">
        <f>IFERROR(IF(--INDEX('Call accounts and MMFs'!$E:$E,ROW())&gt;=1,--INDEX('Call accounts and MMFs'!$E:$E,ROW())/100,--INDEX('Call accounts and MMFs'!$E:$E,ROW())),0)</f>
        <v/>
      </c>
      <c r="O868">
        <f>IFERROR(--INDEX('Call accounts and MMFs'!$F:$F,ROW()),0)</f>
        <v/>
      </c>
      <c r="P868">
        <f>IF(ISNUMBER(INDEX('Call accounts and MMFs'!$E:$E,ROW())),1,0)</f>
        <v/>
      </c>
      <c r="Q868">
        <f>TRIM(SUBSTITUTE(INDEX('Pooled funds'!$B:$B,ROW())&amp;""," "," "))</f>
        <v/>
      </c>
      <c r="R868">
        <f>IFERROR(--INDEX('Pooled funds'!$C:$C,ROW()),0)</f>
        <v/>
      </c>
      <c r="S868">
        <f>IFERROR(--INDEX('Pooled funds'!$D:$D,ROW()),0)</f>
        <v/>
      </c>
      <c r="T868">
        <f>IFERROR(IF(--INDEX('Pooled funds'!$E:$E,ROW())&gt;=1,--INDEX('Pooled funds'!$E:$E,ROW())/100,--INDEX('Pooled funds'!$E:$E,ROW())),0)</f>
        <v/>
      </c>
      <c r="U868">
        <f>IF(ISNUMBER(INDEX('Pooled funds'!$E:$E,ROW())),1,0)</f>
        <v/>
      </c>
      <c r="V868">
        <f>TRIM(SUBSTITUTE(INDEX('Loans'!$A:$A,ROW())&amp;""," "," "))</f>
        <v/>
      </c>
      <c r="W868">
        <f>TRIM(SUBSTITUTE(INDEX('Loans'!$B:$B,ROW())&amp;""," "," "))</f>
        <v/>
      </c>
      <c r="X868">
        <f>TRIM(SUBSTITUTE(INDEX('Loans'!$C:$C,ROW())&amp;""," "," "))</f>
        <v/>
      </c>
      <c r="Y868">
        <f>IFERROR(--INDEX('Loans'!$D:$D,ROW()),0)</f>
        <v/>
      </c>
      <c r="Z868">
        <f>IFERROR(--INDEX('Loans'!$E:$E,ROW()),0)</f>
        <v/>
      </c>
      <c r="AA868">
        <f>IFERROR(--INDEX('Loans'!$F:$F,ROW()),0)</f>
        <v/>
      </c>
      <c r="AB868">
        <f>IFERROR(IF(--INDEX('Loans'!$G:$G,ROW())&gt;=1,--INDEX('Loans'!$G:$G,ROW())/100,--INDEX('Loans'!$G:$G,ROW())),0)</f>
        <v/>
      </c>
      <c r="AC868">
        <f>TRIM(SUBSTITUTE(INDEX('Loans'!$H:$H,ROW())&amp;""," "," "))</f>
        <v/>
      </c>
      <c r="AD868">
        <f>TRIM(SUBSTITUTE(INDEX('Loans'!$I:$I,ROW())&amp;""," "," "))</f>
        <v/>
      </c>
      <c r="AE868">
        <f>IFERROR(--INDEX('Loans'!$J:$J,ROW()),0)</f>
        <v/>
      </c>
      <c r="AF868">
        <f>TRIM(SUBSTITUTE(INDEX('Loans'!$K:$K,ROW())&amp;""," "," "))</f>
        <v/>
      </c>
      <c r="AG868">
        <f>IFERROR(--INDEX('Loans'!$L:$L,ROW()),0)</f>
        <v/>
      </c>
      <c r="AH868">
        <f>IF(ISNUMBER(INDEX('Loans'!$G:$G,ROW())),1,0)</f>
        <v/>
      </c>
    </row>
    <row r="869">
      <c r="A869">
        <f>TRIM(SUBSTITUTE(INDEX('Term investments'!$A:$A,ROW())&amp;""," "," "))</f>
        <v/>
      </c>
      <c r="B869">
        <f>TRIM(SUBSTITUTE(INDEX('Term investments'!$B:$B,ROW())&amp;""," "," "))</f>
        <v/>
      </c>
      <c r="C869">
        <f>TRIM(SUBSTITUTE(INDEX('Term investments'!$C:$C,ROW())&amp;""," "," "))</f>
        <v/>
      </c>
      <c r="D869">
        <f>IFERROR(--INDEX('Term investments'!$D:$D,ROW()),0)</f>
        <v/>
      </c>
      <c r="E869">
        <f>IFERROR(--INDEX('Term investments'!$E:$E,ROW()),0)</f>
        <v/>
      </c>
      <c r="F869">
        <f>IFERROR(--INDEX('Term investments'!$F:$F,ROW()),0)</f>
        <v/>
      </c>
      <c r="G869">
        <f>IFERROR(IF(--INDEX('Term investments'!$G:$G,ROW())&gt;=1,--INDEX('Term investments'!$G:$G,ROW())/100,--INDEX('Term investments'!$G:$G,ROW())),0)</f>
        <v/>
      </c>
      <c r="H869">
        <f>IFERROR(--INDEX('Term investments'!$H:$H,ROW()),0)</f>
        <v/>
      </c>
      <c r="I869">
        <f>IF(ISNUMBER(INDEX('Term investments'!$G:$G,ROW())),1,0)</f>
        <v/>
      </c>
      <c r="J869">
        <f>TRIM(SUBSTITUTE(INDEX('Call accounts and MMFs'!$A:$A,ROW())&amp;""," "," "))</f>
        <v/>
      </c>
      <c r="K869">
        <f>TRIM(SUBSTITUTE(INDEX('Call accounts and MMFs'!$B:$B,ROW())&amp;""," "," "))</f>
        <v/>
      </c>
      <c r="L869">
        <f>TRIM(SUBSTITUTE(INDEX('Call accounts and MMFs'!$C:$C,ROW())&amp;""," "," "))</f>
        <v/>
      </c>
      <c r="M869">
        <f>IFERROR(--INDEX('Call accounts and MMFs'!$D:$D,ROW()),0)</f>
        <v/>
      </c>
      <c r="N869">
        <f>IFERROR(IF(--INDEX('Call accounts and MMFs'!$E:$E,ROW())&gt;=1,--INDEX('Call accounts and MMFs'!$E:$E,ROW())/100,--INDEX('Call accounts and MMFs'!$E:$E,ROW())),0)</f>
        <v/>
      </c>
      <c r="O869">
        <f>IFERROR(--INDEX('Call accounts and MMFs'!$F:$F,ROW()),0)</f>
        <v/>
      </c>
      <c r="P869">
        <f>IF(ISNUMBER(INDEX('Call accounts and MMFs'!$E:$E,ROW())),1,0)</f>
        <v/>
      </c>
      <c r="Q869">
        <f>TRIM(SUBSTITUTE(INDEX('Pooled funds'!$B:$B,ROW())&amp;""," "," "))</f>
        <v/>
      </c>
      <c r="R869">
        <f>IFERROR(--INDEX('Pooled funds'!$C:$C,ROW()),0)</f>
        <v/>
      </c>
      <c r="S869">
        <f>IFERROR(--INDEX('Pooled funds'!$D:$D,ROW()),0)</f>
        <v/>
      </c>
      <c r="T869">
        <f>IFERROR(IF(--INDEX('Pooled funds'!$E:$E,ROW())&gt;=1,--INDEX('Pooled funds'!$E:$E,ROW())/100,--INDEX('Pooled funds'!$E:$E,ROW())),0)</f>
        <v/>
      </c>
      <c r="U869">
        <f>IF(ISNUMBER(INDEX('Pooled funds'!$E:$E,ROW())),1,0)</f>
        <v/>
      </c>
      <c r="V869">
        <f>TRIM(SUBSTITUTE(INDEX('Loans'!$A:$A,ROW())&amp;""," "," "))</f>
        <v/>
      </c>
      <c r="W869">
        <f>TRIM(SUBSTITUTE(INDEX('Loans'!$B:$B,ROW())&amp;""," "," "))</f>
        <v/>
      </c>
      <c r="X869">
        <f>TRIM(SUBSTITUTE(INDEX('Loans'!$C:$C,ROW())&amp;""," "," "))</f>
        <v/>
      </c>
      <c r="Y869">
        <f>IFERROR(--INDEX('Loans'!$D:$D,ROW()),0)</f>
        <v/>
      </c>
      <c r="Z869">
        <f>IFERROR(--INDEX('Loans'!$E:$E,ROW()),0)</f>
        <v/>
      </c>
      <c r="AA869">
        <f>IFERROR(--INDEX('Loans'!$F:$F,ROW()),0)</f>
        <v/>
      </c>
      <c r="AB869">
        <f>IFERROR(IF(--INDEX('Loans'!$G:$G,ROW())&gt;=1,--INDEX('Loans'!$G:$G,ROW())/100,--INDEX('Loans'!$G:$G,ROW())),0)</f>
        <v/>
      </c>
      <c r="AC869">
        <f>TRIM(SUBSTITUTE(INDEX('Loans'!$H:$H,ROW())&amp;""," "," "))</f>
        <v/>
      </c>
      <c r="AD869">
        <f>TRIM(SUBSTITUTE(INDEX('Loans'!$I:$I,ROW())&amp;""," "," "))</f>
        <v/>
      </c>
      <c r="AE869">
        <f>IFERROR(--INDEX('Loans'!$J:$J,ROW()),0)</f>
        <v/>
      </c>
      <c r="AF869">
        <f>TRIM(SUBSTITUTE(INDEX('Loans'!$K:$K,ROW())&amp;""," "," "))</f>
        <v/>
      </c>
      <c r="AG869">
        <f>IFERROR(--INDEX('Loans'!$L:$L,ROW()),0)</f>
        <v/>
      </c>
      <c r="AH869">
        <f>IF(ISNUMBER(INDEX('Loans'!$G:$G,ROW())),1,0)</f>
        <v/>
      </c>
    </row>
    <row r="870">
      <c r="A870">
        <f>TRIM(SUBSTITUTE(INDEX('Term investments'!$A:$A,ROW())&amp;""," "," "))</f>
        <v/>
      </c>
      <c r="B870">
        <f>TRIM(SUBSTITUTE(INDEX('Term investments'!$B:$B,ROW())&amp;""," "," "))</f>
        <v/>
      </c>
      <c r="C870">
        <f>TRIM(SUBSTITUTE(INDEX('Term investments'!$C:$C,ROW())&amp;""," "," "))</f>
        <v/>
      </c>
      <c r="D870">
        <f>IFERROR(--INDEX('Term investments'!$D:$D,ROW()),0)</f>
        <v/>
      </c>
      <c r="E870">
        <f>IFERROR(--INDEX('Term investments'!$E:$E,ROW()),0)</f>
        <v/>
      </c>
      <c r="F870">
        <f>IFERROR(--INDEX('Term investments'!$F:$F,ROW()),0)</f>
        <v/>
      </c>
      <c r="G870">
        <f>IFERROR(IF(--INDEX('Term investments'!$G:$G,ROW())&gt;=1,--INDEX('Term investments'!$G:$G,ROW())/100,--INDEX('Term investments'!$G:$G,ROW())),0)</f>
        <v/>
      </c>
      <c r="H870">
        <f>IFERROR(--INDEX('Term investments'!$H:$H,ROW()),0)</f>
        <v/>
      </c>
      <c r="I870">
        <f>IF(ISNUMBER(INDEX('Term investments'!$G:$G,ROW())),1,0)</f>
        <v/>
      </c>
      <c r="J870">
        <f>TRIM(SUBSTITUTE(INDEX('Call accounts and MMFs'!$A:$A,ROW())&amp;""," "," "))</f>
        <v/>
      </c>
      <c r="K870">
        <f>TRIM(SUBSTITUTE(INDEX('Call accounts and MMFs'!$B:$B,ROW())&amp;""," "," "))</f>
        <v/>
      </c>
      <c r="L870">
        <f>TRIM(SUBSTITUTE(INDEX('Call accounts and MMFs'!$C:$C,ROW())&amp;""," "," "))</f>
        <v/>
      </c>
      <c r="M870">
        <f>IFERROR(--INDEX('Call accounts and MMFs'!$D:$D,ROW()),0)</f>
        <v/>
      </c>
      <c r="N870">
        <f>IFERROR(IF(--INDEX('Call accounts and MMFs'!$E:$E,ROW())&gt;=1,--INDEX('Call accounts and MMFs'!$E:$E,ROW())/100,--INDEX('Call accounts and MMFs'!$E:$E,ROW())),0)</f>
        <v/>
      </c>
      <c r="O870">
        <f>IFERROR(--INDEX('Call accounts and MMFs'!$F:$F,ROW()),0)</f>
        <v/>
      </c>
      <c r="P870">
        <f>IF(ISNUMBER(INDEX('Call accounts and MMFs'!$E:$E,ROW())),1,0)</f>
        <v/>
      </c>
      <c r="Q870">
        <f>TRIM(SUBSTITUTE(INDEX('Pooled funds'!$B:$B,ROW())&amp;""," "," "))</f>
        <v/>
      </c>
      <c r="R870">
        <f>IFERROR(--INDEX('Pooled funds'!$C:$C,ROW()),0)</f>
        <v/>
      </c>
      <c r="S870">
        <f>IFERROR(--INDEX('Pooled funds'!$D:$D,ROW()),0)</f>
        <v/>
      </c>
      <c r="T870">
        <f>IFERROR(IF(--INDEX('Pooled funds'!$E:$E,ROW())&gt;=1,--INDEX('Pooled funds'!$E:$E,ROW())/100,--INDEX('Pooled funds'!$E:$E,ROW())),0)</f>
        <v/>
      </c>
      <c r="U870">
        <f>IF(ISNUMBER(INDEX('Pooled funds'!$E:$E,ROW())),1,0)</f>
        <v/>
      </c>
      <c r="V870">
        <f>TRIM(SUBSTITUTE(INDEX('Loans'!$A:$A,ROW())&amp;""," "," "))</f>
        <v/>
      </c>
      <c r="W870">
        <f>TRIM(SUBSTITUTE(INDEX('Loans'!$B:$B,ROW())&amp;""," "," "))</f>
        <v/>
      </c>
      <c r="X870">
        <f>TRIM(SUBSTITUTE(INDEX('Loans'!$C:$C,ROW())&amp;""," "," "))</f>
        <v/>
      </c>
      <c r="Y870">
        <f>IFERROR(--INDEX('Loans'!$D:$D,ROW()),0)</f>
        <v/>
      </c>
      <c r="Z870">
        <f>IFERROR(--INDEX('Loans'!$E:$E,ROW()),0)</f>
        <v/>
      </c>
      <c r="AA870">
        <f>IFERROR(--INDEX('Loans'!$F:$F,ROW()),0)</f>
        <v/>
      </c>
      <c r="AB870">
        <f>IFERROR(IF(--INDEX('Loans'!$G:$G,ROW())&gt;=1,--INDEX('Loans'!$G:$G,ROW())/100,--INDEX('Loans'!$G:$G,ROW())),0)</f>
        <v/>
      </c>
      <c r="AC870">
        <f>TRIM(SUBSTITUTE(INDEX('Loans'!$H:$H,ROW())&amp;""," "," "))</f>
        <v/>
      </c>
      <c r="AD870">
        <f>TRIM(SUBSTITUTE(INDEX('Loans'!$I:$I,ROW())&amp;""," "," "))</f>
        <v/>
      </c>
      <c r="AE870">
        <f>IFERROR(--INDEX('Loans'!$J:$J,ROW()),0)</f>
        <v/>
      </c>
      <c r="AF870">
        <f>TRIM(SUBSTITUTE(INDEX('Loans'!$K:$K,ROW())&amp;""," "," "))</f>
        <v/>
      </c>
      <c r="AG870">
        <f>IFERROR(--INDEX('Loans'!$L:$L,ROW()),0)</f>
        <v/>
      </c>
      <c r="AH870">
        <f>IF(ISNUMBER(INDEX('Loans'!$G:$G,ROW())),1,0)</f>
        <v/>
      </c>
    </row>
    <row r="871">
      <c r="A871">
        <f>TRIM(SUBSTITUTE(INDEX('Term investments'!$A:$A,ROW())&amp;""," "," "))</f>
        <v/>
      </c>
      <c r="B871">
        <f>TRIM(SUBSTITUTE(INDEX('Term investments'!$B:$B,ROW())&amp;""," "," "))</f>
        <v/>
      </c>
      <c r="C871">
        <f>TRIM(SUBSTITUTE(INDEX('Term investments'!$C:$C,ROW())&amp;""," "," "))</f>
        <v/>
      </c>
      <c r="D871">
        <f>IFERROR(--INDEX('Term investments'!$D:$D,ROW()),0)</f>
        <v/>
      </c>
      <c r="E871">
        <f>IFERROR(--INDEX('Term investments'!$E:$E,ROW()),0)</f>
        <v/>
      </c>
      <c r="F871">
        <f>IFERROR(--INDEX('Term investments'!$F:$F,ROW()),0)</f>
        <v/>
      </c>
      <c r="G871">
        <f>IFERROR(IF(--INDEX('Term investments'!$G:$G,ROW())&gt;=1,--INDEX('Term investments'!$G:$G,ROW())/100,--INDEX('Term investments'!$G:$G,ROW())),0)</f>
        <v/>
      </c>
      <c r="H871">
        <f>IFERROR(--INDEX('Term investments'!$H:$H,ROW()),0)</f>
        <v/>
      </c>
      <c r="I871">
        <f>IF(ISNUMBER(INDEX('Term investments'!$G:$G,ROW())),1,0)</f>
        <v/>
      </c>
      <c r="J871">
        <f>TRIM(SUBSTITUTE(INDEX('Call accounts and MMFs'!$A:$A,ROW())&amp;""," "," "))</f>
        <v/>
      </c>
      <c r="K871">
        <f>TRIM(SUBSTITUTE(INDEX('Call accounts and MMFs'!$B:$B,ROW())&amp;""," "," "))</f>
        <v/>
      </c>
      <c r="L871">
        <f>TRIM(SUBSTITUTE(INDEX('Call accounts and MMFs'!$C:$C,ROW())&amp;""," "," "))</f>
        <v/>
      </c>
      <c r="M871">
        <f>IFERROR(--INDEX('Call accounts and MMFs'!$D:$D,ROW()),0)</f>
        <v/>
      </c>
      <c r="N871">
        <f>IFERROR(IF(--INDEX('Call accounts and MMFs'!$E:$E,ROW())&gt;=1,--INDEX('Call accounts and MMFs'!$E:$E,ROW())/100,--INDEX('Call accounts and MMFs'!$E:$E,ROW())),0)</f>
        <v/>
      </c>
      <c r="O871">
        <f>IFERROR(--INDEX('Call accounts and MMFs'!$F:$F,ROW()),0)</f>
        <v/>
      </c>
      <c r="P871">
        <f>IF(ISNUMBER(INDEX('Call accounts and MMFs'!$E:$E,ROW())),1,0)</f>
        <v/>
      </c>
      <c r="Q871">
        <f>TRIM(SUBSTITUTE(INDEX('Pooled funds'!$B:$B,ROW())&amp;""," "," "))</f>
        <v/>
      </c>
      <c r="R871">
        <f>IFERROR(--INDEX('Pooled funds'!$C:$C,ROW()),0)</f>
        <v/>
      </c>
      <c r="S871">
        <f>IFERROR(--INDEX('Pooled funds'!$D:$D,ROW()),0)</f>
        <v/>
      </c>
      <c r="T871">
        <f>IFERROR(IF(--INDEX('Pooled funds'!$E:$E,ROW())&gt;=1,--INDEX('Pooled funds'!$E:$E,ROW())/100,--INDEX('Pooled funds'!$E:$E,ROW())),0)</f>
        <v/>
      </c>
      <c r="U871">
        <f>IF(ISNUMBER(INDEX('Pooled funds'!$E:$E,ROW())),1,0)</f>
        <v/>
      </c>
      <c r="V871">
        <f>TRIM(SUBSTITUTE(INDEX('Loans'!$A:$A,ROW())&amp;""," "," "))</f>
        <v/>
      </c>
      <c r="W871">
        <f>TRIM(SUBSTITUTE(INDEX('Loans'!$B:$B,ROW())&amp;""," "," "))</f>
        <v/>
      </c>
      <c r="X871">
        <f>TRIM(SUBSTITUTE(INDEX('Loans'!$C:$C,ROW())&amp;""," "," "))</f>
        <v/>
      </c>
      <c r="Y871">
        <f>IFERROR(--INDEX('Loans'!$D:$D,ROW()),0)</f>
        <v/>
      </c>
      <c r="Z871">
        <f>IFERROR(--INDEX('Loans'!$E:$E,ROW()),0)</f>
        <v/>
      </c>
      <c r="AA871">
        <f>IFERROR(--INDEX('Loans'!$F:$F,ROW()),0)</f>
        <v/>
      </c>
      <c r="AB871">
        <f>IFERROR(IF(--INDEX('Loans'!$G:$G,ROW())&gt;=1,--INDEX('Loans'!$G:$G,ROW())/100,--INDEX('Loans'!$G:$G,ROW())),0)</f>
        <v/>
      </c>
      <c r="AC871">
        <f>TRIM(SUBSTITUTE(INDEX('Loans'!$H:$H,ROW())&amp;""," "," "))</f>
        <v/>
      </c>
      <c r="AD871">
        <f>TRIM(SUBSTITUTE(INDEX('Loans'!$I:$I,ROW())&amp;""," "," "))</f>
        <v/>
      </c>
      <c r="AE871">
        <f>IFERROR(--INDEX('Loans'!$J:$J,ROW()),0)</f>
        <v/>
      </c>
      <c r="AF871">
        <f>TRIM(SUBSTITUTE(INDEX('Loans'!$K:$K,ROW())&amp;""," "," "))</f>
        <v/>
      </c>
      <c r="AG871">
        <f>IFERROR(--INDEX('Loans'!$L:$L,ROW()),0)</f>
        <v/>
      </c>
      <c r="AH871">
        <f>IF(ISNUMBER(INDEX('Loans'!$G:$G,ROW())),1,0)</f>
        <v/>
      </c>
    </row>
    <row r="872">
      <c r="A872">
        <f>TRIM(SUBSTITUTE(INDEX('Term investments'!$A:$A,ROW())&amp;""," "," "))</f>
        <v/>
      </c>
      <c r="B872">
        <f>TRIM(SUBSTITUTE(INDEX('Term investments'!$B:$B,ROW())&amp;""," "," "))</f>
        <v/>
      </c>
      <c r="C872">
        <f>TRIM(SUBSTITUTE(INDEX('Term investments'!$C:$C,ROW())&amp;""," "," "))</f>
        <v/>
      </c>
      <c r="D872">
        <f>IFERROR(--INDEX('Term investments'!$D:$D,ROW()),0)</f>
        <v/>
      </c>
      <c r="E872">
        <f>IFERROR(--INDEX('Term investments'!$E:$E,ROW()),0)</f>
        <v/>
      </c>
      <c r="F872">
        <f>IFERROR(--INDEX('Term investments'!$F:$F,ROW()),0)</f>
        <v/>
      </c>
      <c r="G872">
        <f>IFERROR(IF(--INDEX('Term investments'!$G:$G,ROW())&gt;=1,--INDEX('Term investments'!$G:$G,ROW())/100,--INDEX('Term investments'!$G:$G,ROW())),0)</f>
        <v/>
      </c>
      <c r="H872">
        <f>IFERROR(--INDEX('Term investments'!$H:$H,ROW()),0)</f>
        <v/>
      </c>
      <c r="I872">
        <f>IF(ISNUMBER(INDEX('Term investments'!$G:$G,ROW())),1,0)</f>
        <v/>
      </c>
      <c r="J872">
        <f>TRIM(SUBSTITUTE(INDEX('Call accounts and MMFs'!$A:$A,ROW())&amp;""," "," "))</f>
        <v/>
      </c>
      <c r="K872">
        <f>TRIM(SUBSTITUTE(INDEX('Call accounts and MMFs'!$B:$B,ROW())&amp;""," "," "))</f>
        <v/>
      </c>
      <c r="L872">
        <f>TRIM(SUBSTITUTE(INDEX('Call accounts and MMFs'!$C:$C,ROW())&amp;""," "," "))</f>
        <v/>
      </c>
      <c r="M872">
        <f>IFERROR(--INDEX('Call accounts and MMFs'!$D:$D,ROW()),0)</f>
        <v/>
      </c>
      <c r="N872">
        <f>IFERROR(IF(--INDEX('Call accounts and MMFs'!$E:$E,ROW())&gt;=1,--INDEX('Call accounts and MMFs'!$E:$E,ROW())/100,--INDEX('Call accounts and MMFs'!$E:$E,ROW())),0)</f>
        <v/>
      </c>
      <c r="O872">
        <f>IFERROR(--INDEX('Call accounts and MMFs'!$F:$F,ROW()),0)</f>
        <v/>
      </c>
      <c r="P872">
        <f>IF(ISNUMBER(INDEX('Call accounts and MMFs'!$E:$E,ROW())),1,0)</f>
        <v/>
      </c>
      <c r="Q872">
        <f>TRIM(SUBSTITUTE(INDEX('Pooled funds'!$B:$B,ROW())&amp;""," "," "))</f>
        <v/>
      </c>
      <c r="R872">
        <f>IFERROR(--INDEX('Pooled funds'!$C:$C,ROW()),0)</f>
        <v/>
      </c>
      <c r="S872">
        <f>IFERROR(--INDEX('Pooled funds'!$D:$D,ROW()),0)</f>
        <v/>
      </c>
      <c r="T872">
        <f>IFERROR(IF(--INDEX('Pooled funds'!$E:$E,ROW())&gt;=1,--INDEX('Pooled funds'!$E:$E,ROW())/100,--INDEX('Pooled funds'!$E:$E,ROW())),0)</f>
        <v/>
      </c>
      <c r="U872">
        <f>IF(ISNUMBER(INDEX('Pooled funds'!$E:$E,ROW())),1,0)</f>
        <v/>
      </c>
      <c r="V872">
        <f>TRIM(SUBSTITUTE(INDEX('Loans'!$A:$A,ROW())&amp;""," "," "))</f>
        <v/>
      </c>
      <c r="W872">
        <f>TRIM(SUBSTITUTE(INDEX('Loans'!$B:$B,ROW())&amp;""," "," "))</f>
        <v/>
      </c>
      <c r="X872">
        <f>TRIM(SUBSTITUTE(INDEX('Loans'!$C:$C,ROW())&amp;""," "," "))</f>
        <v/>
      </c>
      <c r="Y872">
        <f>IFERROR(--INDEX('Loans'!$D:$D,ROW()),0)</f>
        <v/>
      </c>
      <c r="Z872">
        <f>IFERROR(--INDEX('Loans'!$E:$E,ROW()),0)</f>
        <v/>
      </c>
      <c r="AA872">
        <f>IFERROR(--INDEX('Loans'!$F:$F,ROW()),0)</f>
        <v/>
      </c>
      <c r="AB872">
        <f>IFERROR(IF(--INDEX('Loans'!$G:$G,ROW())&gt;=1,--INDEX('Loans'!$G:$G,ROW())/100,--INDEX('Loans'!$G:$G,ROW())),0)</f>
        <v/>
      </c>
      <c r="AC872">
        <f>TRIM(SUBSTITUTE(INDEX('Loans'!$H:$H,ROW())&amp;""," "," "))</f>
        <v/>
      </c>
      <c r="AD872">
        <f>TRIM(SUBSTITUTE(INDEX('Loans'!$I:$I,ROW())&amp;""," "," "))</f>
        <v/>
      </c>
      <c r="AE872">
        <f>IFERROR(--INDEX('Loans'!$J:$J,ROW()),0)</f>
        <v/>
      </c>
      <c r="AF872">
        <f>TRIM(SUBSTITUTE(INDEX('Loans'!$K:$K,ROW())&amp;""," "," "))</f>
        <v/>
      </c>
      <c r="AG872">
        <f>IFERROR(--INDEX('Loans'!$L:$L,ROW()),0)</f>
        <v/>
      </c>
      <c r="AH872">
        <f>IF(ISNUMBER(INDEX('Loans'!$G:$G,ROW())),1,0)</f>
        <v/>
      </c>
    </row>
    <row r="873">
      <c r="A873">
        <f>TRIM(SUBSTITUTE(INDEX('Term investments'!$A:$A,ROW())&amp;""," "," "))</f>
        <v/>
      </c>
      <c r="B873">
        <f>TRIM(SUBSTITUTE(INDEX('Term investments'!$B:$B,ROW())&amp;""," "," "))</f>
        <v/>
      </c>
      <c r="C873">
        <f>TRIM(SUBSTITUTE(INDEX('Term investments'!$C:$C,ROW())&amp;""," "," "))</f>
        <v/>
      </c>
      <c r="D873">
        <f>IFERROR(--INDEX('Term investments'!$D:$D,ROW()),0)</f>
        <v/>
      </c>
      <c r="E873">
        <f>IFERROR(--INDEX('Term investments'!$E:$E,ROW()),0)</f>
        <v/>
      </c>
      <c r="F873">
        <f>IFERROR(--INDEX('Term investments'!$F:$F,ROW()),0)</f>
        <v/>
      </c>
      <c r="G873">
        <f>IFERROR(IF(--INDEX('Term investments'!$G:$G,ROW())&gt;=1,--INDEX('Term investments'!$G:$G,ROW())/100,--INDEX('Term investments'!$G:$G,ROW())),0)</f>
        <v/>
      </c>
      <c r="H873">
        <f>IFERROR(--INDEX('Term investments'!$H:$H,ROW()),0)</f>
        <v/>
      </c>
      <c r="I873">
        <f>IF(ISNUMBER(INDEX('Term investments'!$G:$G,ROW())),1,0)</f>
        <v/>
      </c>
      <c r="J873">
        <f>TRIM(SUBSTITUTE(INDEX('Call accounts and MMFs'!$A:$A,ROW())&amp;""," "," "))</f>
        <v/>
      </c>
      <c r="K873">
        <f>TRIM(SUBSTITUTE(INDEX('Call accounts and MMFs'!$B:$B,ROW())&amp;""," "," "))</f>
        <v/>
      </c>
      <c r="L873">
        <f>TRIM(SUBSTITUTE(INDEX('Call accounts and MMFs'!$C:$C,ROW())&amp;""," "," "))</f>
        <v/>
      </c>
      <c r="M873">
        <f>IFERROR(--INDEX('Call accounts and MMFs'!$D:$D,ROW()),0)</f>
        <v/>
      </c>
      <c r="N873">
        <f>IFERROR(IF(--INDEX('Call accounts and MMFs'!$E:$E,ROW())&gt;=1,--INDEX('Call accounts and MMFs'!$E:$E,ROW())/100,--INDEX('Call accounts and MMFs'!$E:$E,ROW())),0)</f>
        <v/>
      </c>
      <c r="O873">
        <f>IFERROR(--INDEX('Call accounts and MMFs'!$F:$F,ROW()),0)</f>
        <v/>
      </c>
      <c r="P873">
        <f>IF(ISNUMBER(INDEX('Call accounts and MMFs'!$E:$E,ROW())),1,0)</f>
        <v/>
      </c>
      <c r="Q873">
        <f>TRIM(SUBSTITUTE(INDEX('Pooled funds'!$B:$B,ROW())&amp;""," "," "))</f>
        <v/>
      </c>
      <c r="R873">
        <f>IFERROR(--INDEX('Pooled funds'!$C:$C,ROW()),0)</f>
        <v/>
      </c>
      <c r="S873">
        <f>IFERROR(--INDEX('Pooled funds'!$D:$D,ROW()),0)</f>
        <v/>
      </c>
      <c r="T873">
        <f>IFERROR(IF(--INDEX('Pooled funds'!$E:$E,ROW())&gt;=1,--INDEX('Pooled funds'!$E:$E,ROW())/100,--INDEX('Pooled funds'!$E:$E,ROW())),0)</f>
        <v/>
      </c>
      <c r="U873">
        <f>IF(ISNUMBER(INDEX('Pooled funds'!$E:$E,ROW())),1,0)</f>
        <v/>
      </c>
      <c r="V873">
        <f>TRIM(SUBSTITUTE(INDEX('Loans'!$A:$A,ROW())&amp;""," "," "))</f>
        <v/>
      </c>
      <c r="W873">
        <f>TRIM(SUBSTITUTE(INDEX('Loans'!$B:$B,ROW())&amp;""," "," "))</f>
        <v/>
      </c>
      <c r="X873">
        <f>TRIM(SUBSTITUTE(INDEX('Loans'!$C:$C,ROW())&amp;""," "," "))</f>
        <v/>
      </c>
      <c r="Y873">
        <f>IFERROR(--INDEX('Loans'!$D:$D,ROW()),0)</f>
        <v/>
      </c>
      <c r="Z873">
        <f>IFERROR(--INDEX('Loans'!$E:$E,ROW()),0)</f>
        <v/>
      </c>
      <c r="AA873">
        <f>IFERROR(--INDEX('Loans'!$F:$F,ROW()),0)</f>
        <v/>
      </c>
      <c r="AB873">
        <f>IFERROR(IF(--INDEX('Loans'!$G:$G,ROW())&gt;=1,--INDEX('Loans'!$G:$G,ROW())/100,--INDEX('Loans'!$G:$G,ROW())),0)</f>
        <v/>
      </c>
      <c r="AC873">
        <f>TRIM(SUBSTITUTE(INDEX('Loans'!$H:$H,ROW())&amp;""," "," "))</f>
        <v/>
      </c>
      <c r="AD873">
        <f>TRIM(SUBSTITUTE(INDEX('Loans'!$I:$I,ROW())&amp;""," "," "))</f>
        <v/>
      </c>
      <c r="AE873">
        <f>IFERROR(--INDEX('Loans'!$J:$J,ROW()),0)</f>
        <v/>
      </c>
      <c r="AF873">
        <f>TRIM(SUBSTITUTE(INDEX('Loans'!$K:$K,ROW())&amp;""," "," "))</f>
        <v/>
      </c>
      <c r="AG873">
        <f>IFERROR(--INDEX('Loans'!$L:$L,ROW()),0)</f>
        <v/>
      </c>
      <c r="AH873">
        <f>IF(ISNUMBER(INDEX('Loans'!$G:$G,ROW())),1,0)</f>
        <v/>
      </c>
    </row>
    <row r="874">
      <c r="A874">
        <f>TRIM(SUBSTITUTE(INDEX('Term investments'!$A:$A,ROW())&amp;""," "," "))</f>
        <v/>
      </c>
      <c r="B874">
        <f>TRIM(SUBSTITUTE(INDEX('Term investments'!$B:$B,ROW())&amp;""," "," "))</f>
        <v/>
      </c>
      <c r="C874">
        <f>TRIM(SUBSTITUTE(INDEX('Term investments'!$C:$C,ROW())&amp;""," "," "))</f>
        <v/>
      </c>
      <c r="D874">
        <f>IFERROR(--INDEX('Term investments'!$D:$D,ROW()),0)</f>
        <v/>
      </c>
      <c r="E874">
        <f>IFERROR(--INDEX('Term investments'!$E:$E,ROW()),0)</f>
        <v/>
      </c>
      <c r="F874">
        <f>IFERROR(--INDEX('Term investments'!$F:$F,ROW()),0)</f>
        <v/>
      </c>
      <c r="G874">
        <f>IFERROR(IF(--INDEX('Term investments'!$G:$G,ROW())&gt;=1,--INDEX('Term investments'!$G:$G,ROW())/100,--INDEX('Term investments'!$G:$G,ROW())),0)</f>
        <v/>
      </c>
      <c r="H874">
        <f>IFERROR(--INDEX('Term investments'!$H:$H,ROW()),0)</f>
        <v/>
      </c>
      <c r="I874">
        <f>IF(ISNUMBER(INDEX('Term investments'!$G:$G,ROW())),1,0)</f>
        <v/>
      </c>
      <c r="J874">
        <f>TRIM(SUBSTITUTE(INDEX('Call accounts and MMFs'!$A:$A,ROW())&amp;""," "," "))</f>
        <v/>
      </c>
      <c r="K874">
        <f>TRIM(SUBSTITUTE(INDEX('Call accounts and MMFs'!$B:$B,ROW())&amp;""," "," "))</f>
        <v/>
      </c>
      <c r="L874">
        <f>TRIM(SUBSTITUTE(INDEX('Call accounts and MMFs'!$C:$C,ROW())&amp;""," "," "))</f>
        <v/>
      </c>
      <c r="M874">
        <f>IFERROR(--INDEX('Call accounts and MMFs'!$D:$D,ROW()),0)</f>
        <v/>
      </c>
      <c r="N874">
        <f>IFERROR(IF(--INDEX('Call accounts and MMFs'!$E:$E,ROW())&gt;=1,--INDEX('Call accounts and MMFs'!$E:$E,ROW())/100,--INDEX('Call accounts and MMFs'!$E:$E,ROW())),0)</f>
        <v/>
      </c>
      <c r="O874">
        <f>IFERROR(--INDEX('Call accounts and MMFs'!$F:$F,ROW()),0)</f>
        <v/>
      </c>
      <c r="P874">
        <f>IF(ISNUMBER(INDEX('Call accounts and MMFs'!$E:$E,ROW())),1,0)</f>
        <v/>
      </c>
      <c r="Q874">
        <f>TRIM(SUBSTITUTE(INDEX('Pooled funds'!$B:$B,ROW())&amp;""," "," "))</f>
        <v/>
      </c>
      <c r="R874">
        <f>IFERROR(--INDEX('Pooled funds'!$C:$C,ROW()),0)</f>
        <v/>
      </c>
      <c r="S874">
        <f>IFERROR(--INDEX('Pooled funds'!$D:$D,ROW()),0)</f>
        <v/>
      </c>
      <c r="T874">
        <f>IFERROR(IF(--INDEX('Pooled funds'!$E:$E,ROW())&gt;=1,--INDEX('Pooled funds'!$E:$E,ROW())/100,--INDEX('Pooled funds'!$E:$E,ROW())),0)</f>
        <v/>
      </c>
      <c r="U874">
        <f>IF(ISNUMBER(INDEX('Pooled funds'!$E:$E,ROW())),1,0)</f>
        <v/>
      </c>
      <c r="V874">
        <f>TRIM(SUBSTITUTE(INDEX('Loans'!$A:$A,ROW())&amp;""," "," "))</f>
        <v/>
      </c>
      <c r="W874">
        <f>TRIM(SUBSTITUTE(INDEX('Loans'!$B:$B,ROW())&amp;""," "," "))</f>
        <v/>
      </c>
      <c r="X874">
        <f>TRIM(SUBSTITUTE(INDEX('Loans'!$C:$C,ROW())&amp;""," "," "))</f>
        <v/>
      </c>
      <c r="Y874">
        <f>IFERROR(--INDEX('Loans'!$D:$D,ROW()),0)</f>
        <v/>
      </c>
      <c r="Z874">
        <f>IFERROR(--INDEX('Loans'!$E:$E,ROW()),0)</f>
        <v/>
      </c>
      <c r="AA874">
        <f>IFERROR(--INDEX('Loans'!$F:$F,ROW()),0)</f>
        <v/>
      </c>
      <c r="AB874">
        <f>IFERROR(IF(--INDEX('Loans'!$G:$G,ROW())&gt;=1,--INDEX('Loans'!$G:$G,ROW())/100,--INDEX('Loans'!$G:$G,ROW())),0)</f>
        <v/>
      </c>
      <c r="AC874">
        <f>TRIM(SUBSTITUTE(INDEX('Loans'!$H:$H,ROW())&amp;""," "," "))</f>
        <v/>
      </c>
      <c r="AD874">
        <f>TRIM(SUBSTITUTE(INDEX('Loans'!$I:$I,ROW())&amp;""," "," "))</f>
        <v/>
      </c>
      <c r="AE874">
        <f>IFERROR(--INDEX('Loans'!$J:$J,ROW()),0)</f>
        <v/>
      </c>
      <c r="AF874">
        <f>TRIM(SUBSTITUTE(INDEX('Loans'!$K:$K,ROW())&amp;""," "," "))</f>
        <v/>
      </c>
      <c r="AG874">
        <f>IFERROR(--INDEX('Loans'!$L:$L,ROW()),0)</f>
        <v/>
      </c>
      <c r="AH874">
        <f>IF(ISNUMBER(INDEX('Loans'!$G:$G,ROW())),1,0)</f>
        <v/>
      </c>
    </row>
    <row r="875">
      <c r="A875">
        <f>TRIM(SUBSTITUTE(INDEX('Term investments'!$A:$A,ROW())&amp;""," "," "))</f>
        <v/>
      </c>
      <c r="B875">
        <f>TRIM(SUBSTITUTE(INDEX('Term investments'!$B:$B,ROW())&amp;""," "," "))</f>
        <v/>
      </c>
      <c r="C875">
        <f>TRIM(SUBSTITUTE(INDEX('Term investments'!$C:$C,ROW())&amp;""," "," "))</f>
        <v/>
      </c>
      <c r="D875">
        <f>IFERROR(--INDEX('Term investments'!$D:$D,ROW()),0)</f>
        <v/>
      </c>
      <c r="E875">
        <f>IFERROR(--INDEX('Term investments'!$E:$E,ROW()),0)</f>
        <v/>
      </c>
      <c r="F875">
        <f>IFERROR(--INDEX('Term investments'!$F:$F,ROW()),0)</f>
        <v/>
      </c>
      <c r="G875">
        <f>IFERROR(IF(--INDEX('Term investments'!$G:$G,ROW())&gt;=1,--INDEX('Term investments'!$G:$G,ROW())/100,--INDEX('Term investments'!$G:$G,ROW())),0)</f>
        <v/>
      </c>
      <c r="H875">
        <f>IFERROR(--INDEX('Term investments'!$H:$H,ROW()),0)</f>
        <v/>
      </c>
      <c r="I875">
        <f>IF(ISNUMBER(INDEX('Term investments'!$G:$G,ROW())),1,0)</f>
        <v/>
      </c>
      <c r="J875">
        <f>TRIM(SUBSTITUTE(INDEX('Call accounts and MMFs'!$A:$A,ROW())&amp;""," "," "))</f>
        <v/>
      </c>
      <c r="K875">
        <f>TRIM(SUBSTITUTE(INDEX('Call accounts and MMFs'!$B:$B,ROW())&amp;""," "," "))</f>
        <v/>
      </c>
      <c r="L875">
        <f>TRIM(SUBSTITUTE(INDEX('Call accounts and MMFs'!$C:$C,ROW())&amp;""," "," "))</f>
        <v/>
      </c>
      <c r="M875">
        <f>IFERROR(--INDEX('Call accounts and MMFs'!$D:$D,ROW()),0)</f>
        <v/>
      </c>
      <c r="N875">
        <f>IFERROR(IF(--INDEX('Call accounts and MMFs'!$E:$E,ROW())&gt;=1,--INDEX('Call accounts and MMFs'!$E:$E,ROW())/100,--INDEX('Call accounts and MMFs'!$E:$E,ROW())),0)</f>
        <v/>
      </c>
      <c r="O875">
        <f>IFERROR(--INDEX('Call accounts and MMFs'!$F:$F,ROW()),0)</f>
        <v/>
      </c>
      <c r="P875">
        <f>IF(ISNUMBER(INDEX('Call accounts and MMFs'!$E:$E,ROW())),1,0)</f>
        <v/>
      </c>
      <c r="Q875">
        <f>TRIM(SUBSTITUTE(INDEX('Pooled funds'!$B:$B,ROW())&amp;""," "," "))</f>
        <v/>
      </c>
      <c r="R875">
        <f>IFERROR(--INDEX('Pooled funds'!$C:$C,ROW()),0)</f>
        <v/>
      </c>
      <c r="S875">
        <f>IFERROR(--INDEX('Pooled funds'!$D:$D,ROW()),0)</f>
        <v/>
      </c>
      <c r="T875">
        <f>IFERROR(IF(--INDEX('Pooled funds'!$E:$E,ROW())&gt;=1,--INDEX('Pooled funds'!$E:$E,ROW())/100,--INDEX('Pooled funds'!$E:$E,ROW())),0)</f>
        <v/>
      </c>
      <c r="U875">
        <f>IF(ISNUMBER(INDEX('Pooled funds'!$E:$E,ROW())),1,0)</f>
        <v/>
      </c>
      <c r="V875">
        <f>TRIM(SUBSTITUTE(INDEX('Loans'!$A:$A,ROW())&amp;""," "," "))</f>
        <v/>
      </c>
      <c r="W875">
        <f>TRIM(SUBSTITUTE(INDEX('Loans'!$B:$B,ROW())&amp;""," "," "))</f>
        <v/>
      </c>
      <c r="X875">
        <f>TRIM(SUBSTITUTE(INDEX('Loans'!$C:$C,ROW())&amp;""," "," "))</f>
        <v/>
      </c>
      <c r="Y875">
        <f>IFERROR(--INDEX('Loans'!$D:$D,ROW()),0)</f>
        <v/>
      </c>
      <c r="Z875">
        <f>IFERROR(--INDEX('Loans'!$E:$E,ROW()),0)</f>
        <v/>
      </c>
      <c r="AA875">
        <f>IFERROR(--INDEX('Loans'!$F:$F,ROW()),0)</f>
        <v/>
      </c>
      <c r="AB875">
        <f>IFERROR(IF(--INDEX('Loans'!$G:$G,ROW())&gt;=1,--INDEX('Loans'!$G:$G,ROW())/100,--INDEX('Loans'!$G:$G,ROW())),0)</f>
        <v/>
      </c>
      <c r="AC875">
        <f>TRIM(SUBSTITUTE(INDEX('Loans'!$H:$H,ROW())&amp;""," "," "))</f>
        <v/>
      </c>
      <c r="AD875">
        <f>TRIM(SUBSTITUTE(INDEX('Loans'!$I:$I,ROW())&amp;""," "," "))</f>
        <v/>
      </c>
      <c r="AE875">
        <f>IFERROR(--INDEX('Loans'!$J:$J,ROW()),0)</f>
        <v/>
      </c>
      <c r="AF875">
        <f>TRIM(SUBSTITUTE(INDEX('Loans'!$K:$K,ROW())&amp;""," "," "))</f>
        <v/>
      </c>
      <c r="AG875">
        <f>IFERROR(--INDEX('Loans'!$L:$L,ROW()),0)</f>
        <v/>
      </c>
      <c r="AH875">
        <f>IF(ISNUMBER(INDEX('Loans'!$G:$G,ROW())),1,0)</f>
        <v/>
      </c>
    </row>
    <row r="876">
      <c r="A876">
        <f>TRIM(SUBSTITUTE(INDEX('Term investments'!$A:$A,ROW())&amp;""," "," "))</f>
        <v/>
      </c>
      <c r="B876">
        <f>TRIM(SUBSTITUTE(INDEX('Term investments'!$B:$B,ROW())&amp;""," "," "))</f>
        <v/>
      </c>
      <c r="C876">
        <f>TRIM(SUBSTITUTE(INDEX('Term investments'!$C:$C,ROW())&amp;""," "," "))</f>
        <v/>
      </c>
      <c r="D876">
        <f>IFERROR(--INDEX('Term investments'!$D:$D,ROW()),0)</f>
        <v/>
      </c>
      <c r="E876">
        <f>IFERROR(--INDEX('Term investments'!$E:$E,ROW()),0)</f>
        <v/>
      </c>
      <c r="F876">
        <f>IFERROR(--INDEX('Term investments'!$F:$F,ROW()),0)</f>
        <v/>
      </c>
      <c r="G876">
        <f>IFERROR(IF(--INDEX('Term investments'!$G:$G,ROW())&gt;=1,--INDEX('Term investments'!$G:$G,ROW())/100,--INDEX('Term investments'!$G:$G,ROW())),0)</f>
        <v/>
      </c>
      <c r="H876">
        <f>IFERROR(--INDEX('Term investments'!$H:$H,ROW()),0)</f>
        <v/>
      </c>
      <c r="I876">
        <f>IF(ISNUMBER(INDEX('Term investments'!$G:$G,ROW())),1,0)</f>
        <v/>
      </c>
      <c r="J876">
        <f>TRIM(SUBSTITUTE(INDEX('Call accounts and MMFs'!$A:$A,ROW())&amp;""," "," "))</f>
        <v/>
      </c>
      <c r="K876">
        <f>TRIM(SUBSTITUTE(INDEX('Call accounts and MMFs'!$B:$B,ROW())&amp;""," "," "))</f>
        <v/>
      </c>
      <c r="L876">
        <f>TRIM(SUBSTITUTE(INDEX('Call accounts and MMFs'!$C:$C,ROW())&amp;""," "," "))</f>
        <v/>
      </c>
      <c r="M876">
        <f>IFERROR(--INDEX('Call accounts and MMFs'!$D:$D,ROW()),0)</f>
        <v/>
      </c>
      <c r="N876">
        <f>IFERROR(IF(--INDEX('Call accounts and MMFs'!$E:$E,ROW())&gt;=1,--INDEX('Call accounts and MMFs'!$E:$E,ROW())/100,--INDEX('Call accounts and MMFs'!$E:$E,ROW())),0)</f>
        <v/>
      </c>
      <c r="O876">
        <f>IFERROR(--INDEX('Call accounts and MMFs'!$F:$F,ROW()),0)</f>
        <v/>
      </c>
      <c r="P876">
        <f>IF(ISNUMBER(INDEX('Call accounts and MMFs'!$E:$E,ROW())),1,0)</f>
        <v/>
      </c>
      <c r="Q876">
        <f>TRIM(SUBSTITUTE(INDEX('Pooled funds'!$B:$B,ROW())&amp;""," "," "))</f>
        <v/>
      </c>
      <c r="R876">
        <f>IFERROR(--INDEX('Pooled funds'!$C:$C,ROW()),0)</f>
        <v/>
      </c>
      <c r="S876">
        <f>IFERROR(--INDEX('Pooled funds'!$D:$D,ROW()),0)</f>
        <v/>
      </c>
      <c r="T876">
        <f>IFERROR(IF(--INDEX('Pooled funds'!$E:$E,ROW())&gt;=1,--INDEX('Pooled funds'!$E:$E,ROW())/100,--INDEX('Pooled funds'!$E:$E,ROW())),0)</f>
        <v/>
      </c>
      <c r="U876">
        <f>IF(ISNUMBER(INDEX('Pooled funds'!$E:$E,ROW())),1,0)</f>
        <v/>
      </c>
      <c r="V876">
        <f>TRIM(SUBSTITUTE(INDEX('Loans'!$A:$A,ROW())&amp;""," "," "))</f>
        <v/>
      </c>
      <c r="W876">
        <f>TRIM(SUBSTITUTE(INDEX('Loans'!$B:$B,ROW())&amp;""," "," "))</f>
        <v/>
      </c>
      <c r="X876">
        <f>TRIM(SUBSTITUTE(INDEX('Loans'!$C:$C,ROW())&amp;""," "," "))</f>
        <v/>
      </c>
      <c r="Y876">
        <f>IFERROR(--INDEX('Loans'!$D:$D,ROW()),0)</f>
        <v/>
      </c>
      <c r="Z876">
        <f>IFERROR(--INDEX('Loans'!$E:$E,ROW()),0)</f>
        <v/>
      </c>
      <c r="AA876">
        <f>IFERROR(--INDEX('Loans'!$F:$F,ROW()),0)</f>
        <v/>
      </c>
      <c r="AB876">
        <f>IFERROR(IF(--INDEX('Loans'!$G:$G,ROW())&gt;=1,--INDEX('Loans'!$G:$G,ROW())/100,--INDEX('Loans'!$G:$G,ROW())),0)</f>
        <v/>
      </c>
      <c r="AC876">
        <f>TRIM(SUBSTITUTE(INDEX('Loans'!$H:$H,ROW())&amp;""," "," "))</f>
        <v/>
      </c>
      <c r="AD876">
        <f>TRIM(SUBSTITUTE(INDEX('Loans'!$I:$I,ROW())&amp;""," "," "))</f>
        <v/>
      </c>
      <c r="AE876">
        <f>IFERROR(--INDEX('Loans'!$J:$J,ROW()),0)</f>
        <v/>
      </c>
      <c r="AF876">
        <f>TRIM(SUBSTITUTE(INDEX('Loans'!$K:$K,ROW())&amp;""," "," "))</f>
        <v/>
      </c>
      <c r="AG876">
        <f>IFERROR(--INDEX('Loans'!$L:$L,ROW()),0)</f>
        <v/>
      </c>
      <c r="AH876">
        <f>IF(ISNUMBER(INDEX('Loans'!$G:$G,ROW())),1,0)</f>
        <v/>
      </c>
    </row>
    <row r="877">
      <c r="A877">
        <f>TRIM(SUBSTITUTE(INDEX('Term investments'!$A:$A,ROW())&amp;""," "," "))</f>
        <v/>
      </c>
      <c r="B877">
        <f>TRIM(SUBSTITUTE(INDEX('Term investments'!$B:$B,ROW())&amp;""," "," "))</f>
        <v/>
      </c>
      <c r="C877">
        <f>TRIM(SUBSTITUTE(INDEX('Term investments'!$C:$C,ROW())&amp;""," "," "))</f>
        <v/>
      </c>
      <c r="D877">
        <f>IFERROR(--INDEX('Term investments'!$D:$D,ROW()),0)</f>
        <v/>
      </c>
      <c r="E877">
        <f>IFERROR(--INDEX('Term investments'!$E:$E,ROW()),0)</f>
        <v/>
      </c>
      <c r="F877">
        <f>IFERROR(--INDEX('Term investments'!$F:$F,ROW()),0)</f>
        <v/>
      </c>
      <c r="G877">
        <f>IFERROR(IF(--INDEX('Term investments'!$G:$G,ROW())&gt;=1,--INDEX('Term investments'!$G:$G,ROW())/100,--INDEX('Term investments'!$G:$G,ROW())),0)</f>
        <v/>
      </c>
      <c r="H877">
        <f>IFERROR(--INDEX('Term investments'!$H:$H,ROW()),0)</f>
        <v/>
      </c>
      <c r="I877">
        <f>IF(ISNUMBER(INDEX('Term investments'!$G:$G,ROW())),1,0)</f>
        <v/>
      </c>
      <c r="J877">
        <f>TRIM(SUBSTITUTE(INDEX('Call accounts and MMFs'!$A:$A,ROW())&amp;""," "," "))</f>
        <v/>
      </c>
      <c r="K877">
        <f>TRIM(SUBSTITUTE(INDEX('Call accounts and MMFs'!$B:$B,ROW())&amp;""," "," "))</f>
        <v/>
      </c>
      <c r="L877">
        <f>TRIM(SUBSTITUTE(INDEX('Call accounts and MMFs'!$C:$C,ROW())&amp;""," "," "))</f>
        <v/>
      </c>
      <c r="M877">
        <f>IFERROR(--INDEX('Call accounts and MMFs'!$D:$D,ROW()),0)</f>
        <v/>
      </c>
      <c r="N877">
        <f>IFERROR(IF(--INDEX('Call accounts and MMFs'!$E:$E,ROW())&gt;=1,--INDEX('Call accounts and MMFs'!$E:$E,ROW())/100,--INDEX('Call accounts and MMFs'!$E:$E,ROW())),0)</f>
        <v/>
      </c>
      <c r="O877">
        <f>IFERROR(--INDEX('Call accounts and MMFs'!$F:$F,ROW()),0)</f>
        <v/>
      </c>
      <c r="P877">
        <f>IF(ISNUMBER(INDEX('Call accounts and MMFs'!$E:$E,ROW())),1,0)</f>
        <v/>
      </c>
      <c r="Q877">
        <f>TRIM(SUBSTITUTE(INDEX('Pooled funds'!$B:$B,ROW())&amp;""," "," "))</f>
        <v/>
      </c>
      <c r="R877">
        <f>IFERROR(--INDEX('Pooled funds'!$C:$C,ROW()),0)</f>
        <v/>
      </c>
      <c r="S877">
        <f>IFERROR(--INDEX('Pooled funds'!$D:$D,ROW()),0)</f>
        <v/>
      </c>
      <c r="T877">
        <f>IFERROR(IF(--INDEX('Pooled funds'!$E:$E,ROW())&gt;=1,--INDEX('Pooled funds'!$E:$E,ROW())/100,--INDEX('Pooled funds'!$E:$E,ROW())),0)</f>
        <v/>
      </c>
      <c r="U877">
        <f>IF(ISNUMBER(INDEX('Pooled funds'!$E:$E,ROW())),1,0)</f>
        <v/>
      </c>
      <c r="V877">
        <f>TRIM(SUBSTITUTE(INDEX('Loans'!$A:$A,ROW())&amp;""," "," "))</f>
        <v/>
      </c>
      <c r="W877">
        <f>TRIM(SUBSTITUTE(INDEX('Loans'!$B:$B,ROW())&amp;""," "," "))</f>
        <v/>
      </c>
      <c r="X877">
        <f>TRIM(SUBSTITUTE(INDEX('Loans'!$C:$C,ROW())&amp;""," "," "))</f>
        <v/>
      </c>
      <c r="Y877">
        <f>IFERROR(--INDEX('Loans'!$D:$D,ROW()),0)</f>
        <v/>
      </c>
      <c r="Z877">
        <f>IFERROR(--INDEX('Loans'!$E:$E,ROW()),0)</f>
        <v/>
      </c>
      <c r="AA877">
        <f>IFERROR(--INDEX('Loans'!$F:$F,ROW()),0)</f>
        <v/>
      </c>
      <c r="AB877">
        <f>IFERROR(IF(--INDEX('Loans'!$G:$G,ROW())&gt;=1,--INDEX('Loans'!$G:$G,ROW())/100,--INDEX('Loans'!$G:$G,ROW())),0)</f>
        <v/>
      </c>
      <c r="AC877">
        <f>TRIM(SUBSTITUTE(INDEX('Loans'!$H:$H,ROW())&amp;""," "," "))</f>
        <v/>
      </c>
      <c r="AD877">
        <f>TRIM(SUBSTITUTE(INDEX('Loans'!$I:$I,ROW())&amp;""," "," "))</f>
        <v/>
      </c>
      <c r="AE877">
        <f>IFERROR(--INDEX('Loans'!$J:$J,ROW()),0)</f>
        <v/>
      </c>
      <c r="AF877">
        <f>TRIM(SUBSTITUTE(INDEX('Loans'!$K:$K,ROW())&amp;""," "," "))</f>
        <v/>
      </c>
      <c r="AG877">
        <f>IFERROR(--INDEX('Loans'!$L:$L,ROW()),0)</f>
        <v/>
      </c>
      <c r="AH877">
        <f>IF(ISNUMBER(INDEX('Loans'!$G:$G,ROW())),1,0)</f>
        <v/>
      </c>
    </row>
    <row r="878">
      <c r="A878">
        <f>TRIM(SUBSTITUTE(INDEX('Term investments'!$A:$A,ROW())&amp;""," "," "))</f>
        <v/>
      </c>
      <c r="B878">
        <f>TRIM(SUBSTITUTE(INDEX('Term investments'!$B:$B,ROW())&amp;""," "," "))</f>
        <v/>
      </c>
      <c r="C878">
        <f>TRIM(SUBSTITUTE(INDEX('Term investments'!$C:$C,ROW())&amp;""," "," "))</f>
        <v/>
      </c>
      <c r="D878">
        <f>IFERROR(--INDEX('Term investments'!$D:$D,ROW()),0)</f>
        <v/>
      </c>
      <c r="E878">
        <f>IFERROR(--INDEX('Term investments'!$E:$E,ROW()),0)</f>
        <v/>
      </c>
      <c r="F878">
        <f>IFERROR(--INDEX('Term investments'!$F:$F,ROW()),0)</f>
        <v/>
      </c>
      <c r="G878">
        <f>IFERROR(IF(--INDEX('Term investments'!$G:$G,ROW())&gt;=1,--INDEX('Term investments'!$G:$G,ROW())/100,--INDEX('Term investments'!$G:$G,ROW())),0)</f>
        <v/>
      </c>
      <c r="H878">
        <f>IFERROR(--INDEX('Term investments'!$H:$H,ROW()),0)</f>
        <v/>
      </c>
      <c r="I878">
        <f>IF(ISNUMBER(INDEX('Term investments'!$G:$G,ROW())),1,0)</f>
        <v/>
      </c>
      <c r="J878">
        <f>TRIM(SUBSTITUTE(INDEX('Call accounts and MMFs'!$A:$A,ROW())&amp;""," "," "))</f>
        <v/>
      </c>
      <c r="K878">
        <f>TRIM(SUBSTITUTE(INDEX('Call accounts and MMFs'!$B:$B,ROW())&amp;""," "," "))</f>
        <v/>
      </c>
      <c r="L878">
        <f>TRIM(SUBSTITUTE(INDEX('Call accounts and MMFs'!$C:$C,ROW())&amp;""," "," "))</f>
        <v/>
      </c>
      <c r="M878">
        <f>IFERROR(--INDEX('Call accounts and MMFs'!$D:$D,ROW()),0)</f>
        <v/>
      </c>
      <c r="N878">
        <f>IFERROR(IF(--INDEX('Call accounts and MMFs'!$E:$E,ROW())&gt;=1,--INDEX('Call accounts and MMFs'!$E:$E,ROW())/100,--INDEX('Call accounts and MMFs'!$E:$E,ROW())),0)</f>
        <v/>
      </c>
      <c r="O878">
        <f>IFERROR(--INDEX('Call accounts and MMFs'!$F:$F,ROW()),0)</f>
        <v/>
      </c>
      <c r="P878">
        <f>IF(ISNUMBER(INDEX('Call accounts and MMFs'!$E:$E,ROW())),1,0)</f>
        <v/>
      </c>
      <c r="Q878">
        <f>TRIM(SUBSTITUTE(INDEX('Pooled funds'!$B:$B,ROW())&amp;""," "," "))</f>
        <v/>
      </c>
      <c r="R878">
        <f>IFERROR(--INDEX('Pooled funds'!$C:$C,ROW()),0)</f>
        <v/>
      </c>
      <c r="S878">
        <f>IFERROR(--INDEX('Pooled funds'!$D:$D,ROW()),0)</f>
        <v/>
      </c>
      <c r="T878">
        <f>IFERROR(IF(--INDEX('Pooled funds'!$E:$E,ROW())&gt;=1,--INDEX('Pooled funds'!$E:$E,ROW())/100,--INDEX('Pooled funds'!$E:$E,ROW())),0)</f>
        <v/>
      </c>
      <c r="U878">
        <f>IF(ISNUMBER(INDEX('Pooled funds'!$E:$E,ROW())),1,0)</f>
        <v/>
      </c>
      <c r="V878">
        <f>TRIM(SUBSTITUTE(INDEX('Loans'!$A:$A,ROW())&amp;""," "," "))</f>
        <v/>
      </c>
      <c r="W878">
        <f>TRIM(SUBSTITUTE(INDEX('Loans'!$B:$B,ROW())&amp;""," "," "))</f>
        <v/>
      </c>
      <c r="X878">
        <f>TRIM(SUBSTITUTE(INDEX('Loans'!$C:$C,ROW())&amp;""," "," "))</f>
        <v/>
      </c>
      <c r="Y878">
        <f>IFERROR(--INDEX('Loans'!$D:$D,ROW()),0)</f>
        <v/>
      </c>
      <c r="Z878">
        <f>IFERROR(--INDEX('Loans'!$E:$E,ROW()),0)</f>
        <v/>
      </c>
      <c r="AA878">
        <f>IFERROR(--INDEX('Loans'!$F:$F,ROW()),0)</f>
        <v/>
      </c>
      <c r="AB878">
        <f>IFERROR(IF(--INDEX('Loans'!$G:$G,ROW())&gt;=1,--INDEX('Loans'!$G:$G,ROW())/100,--INDEX('Loans'!$G:$G,ROW())),0)</f>
        <v/>
      </c>
      <c r="AC878">
        <f>TRIM(SUBSTITUTE(INDEX('Loans'!$H:$H,ROW())&amp;""," "," "))</f>
        <v/>
      </c>
      <c r="AD878">
        <f>TRIM(SUBSTITUTE(INDEX('Loans'!$I:$I,ROW())&amp;""," "," "))</f>
        <v/>
      </c>
      <c r="AE878">
        <f>IFERROR(--INDEX('Loans'!$J:$J,ROW()),0)</f>
        <v/>
      </c>
      <c r="AF878">
        <f>TRIM(SUBSTITUTE(INDEX('Loans'!$K:$K,ROW())&amp;""," "," "))</f>
        <v/>
      </c>
      <c r="AG878">
        <f>IFERROR(--INDEX('Loans'!$L:$L,ROW()),0)</f>
        <v/>
      </c>
      <c r="AH878">
        <f>IF(ISNUMBER(INDEX('Loans'!$G:$G,ROW())),1,0)</f>
        <v/>
      </c>
    </row>
    <row r="879">
      <c r="A879">
        <f>TRIM(SUBSTITUTE(INDEX('Term investments'!$A:$A,ROW())&amp;""," "," "))</f>
        <v/>
      </c>
      <c r="B879">
        <f>TRIM(SUBSTITUTE(INDEX('Term investments'!$B:$B,ROW())&amp;""," "," "))</f>
        <v/>
      </c>
      <c r="C879">
        <f>TRIM(SUBSTITUTE(INDEX('Term investments'!$C:$C,ROW())&amp;""," "," "))</f>
        <v/>
      </c>
      <c r="D879">
        <f>IFERROR(--INDEX('Term investments'!$D:$D,ROW()),0)</f>
        <v/>
      </c>
      <c r="E879">
        <f>IFERROR(--INDEX('Term investments'!$E:$E,ROW()),0)</f>
        <v/>
      </c>
      <c r="F879">
        <f>IFERROR(--INDEX('Term investments'!$F:$F,ROW()),0)</f>
        <v/>
      </c>
      <c r="G879">
        <f>IFERROR(IF(--INDEX('Term investments'!$G:$G,ROW())&gt;=1,--INDEX('Term investments'!$G:$G,ROW())/100,--INDEX('Term investments'!$G:$G,ROW())),0)</f>
        <v/>
      </c>
      <c r="H879">
        <f>IFERROR(--INDEX('Term investments'!$H:$H,ROW()),0)</f>
        <v/>
      </c>
      <c r="I879">
        <f>IF(ISNUMBER(INDEX('Term investments'!$G:$G,ROW())),1,0)</f>
        <v/>
      </c>
      <c r="J879">
        <f>TRIM(SUBSTITUTE(INDEX('Call accounts and MMFs'!$A:$A,ROW())&amp;""," "," "))</f>
        <v/>
      </c>
      <c r="K879">
        <f>TRIM(SUBSTITUTE(INDEX('Call accounts and MMFs'!$B:$B,ROW())&amp;""," "," "))</f>
        <v/>
      </c>
      <c r="L879">
        <f>TRIM(SUBSTITUTE(INDEX('Call accounts and MMFs'!$C:$C,ROW())&amp;""," "," "))</f>
        <v/>
      </c>
      <c r="M879">
        <f>IFERROR(--INDEX('Call accounts and MMFs'!$D:$D,ROW()),0)</f>
        <v/>
      </c>
      <c r="N879">
        <f>IFERROR(IF(--INDEX('Call accounts and MMFs'!$E:$E,ROW())&gt;=1,--INDEX('Call accounts and MMFs'!$E:$E,ROW())/100,--INDEX('Call accounts and MMFs'!$E:$E,ROW())),0)</f>
        <v/>
      </c>
      <c r="O879">
        <f>IFERROR(--INDEX('Call accounts and MMFs'!$F:$F,ROW()),0)</f>
        <v/>
      </c>
      <c r="P879">
        <f>IF(ISNUMBER(INDEX('Call accounts and MMFs'!$E:$E,ROW())),1,0)</f>
        <v/>
      </c>
      <c r="Q879">
        <f>TRIM(SUBSTITUTE(INDEX('Pooled funds'!$B:$B,ROW())&amp;""," "," "))</f>
        <v/>
      </c>
      <c r="R879">
        <f>IFERROR(--INDEX('Pooled funds'!$C:$C,ROW()),0)</f>
        <v/>
      </c>
      <c r="S879">
        <f>IFERROR(--INDEX('Pooled funds'!$D:$D,ROW()),0)</f>
        <v/>
      </c>
      <c r="T879">
        <f>IFERROR(IF(--INDEX('Pooled funds'!$E:$E,ROW())&gt;=1,--INDEX('Pooled funds'!$E:$E,ROW())/100,--INDEX('Pooled funds'!$E:$E,ROW())),0)</f>
        <v/>
      </c>
      <c r="U879">
        <f>IF(ISNUMBER(INDEX('Pooled funds'!$E:$E,ROW())),1,0)</f>
        <v/>
      </c>
      <c r="V879">
        <f>TRIM(SUBSTITUTE(INDEX('Loans'!$A:$A,ROW())&amp;""," "," "))</f>
        <v/>
      </c>
      <c r="W879">
        <f>TRIM(SUBSTITUTE(INDEX('Loans'!$B:$B,ROW())&amp;""," "," "))</f>
        <v/>
      </c>
      <c r="X879">
        <f>TRIM(SUBSTITUTE(INDEX('Loans'!$C:$C,ROW())&amp;""," "," "))</f>
        <v/>
      </c>
      <c r="Y879">
        <f>IFERROR(--INDEX('Loans'!$D:$D,ROW()),0)</f>
        <v/>
      </c>
      <c r="Z879">
        <f>IFERROR(--INDEX('Loans'!$E:$E,ROW()),0)</f>
        <v/>
      </c>
      <c r="AA879">
        <f>IFERROR(--INDEX('Loans'!$F:$F,ROW()),0)</f>
        <v/>
      </c>
      <c r="AB879">
        <f>IFERROR(IF(--INDEX('Loans'!$G:$G,ROW())&gt;=1,--INDEX('Loans'!$G:$G,ROW())/100,--INDEX('Loans'!$G:$G,ROW())),0)</f>
        <v/>
      </c>
      <c r="AC879">
        <f>TRIM(SUBSTITUTE(INDEX('Loans'!$H:$H,ROW())&amp;""," "," "))</f>
        <v/>
      </c>
      <c r="AD879">
        <f>TRIM(SUBSTITUTE(INDEX('Loans'!$I:$I,ROW())&amp;""," "," "))</f>
        <v/>
      </c>
      <c r="AE879">
        <f>IFERROR(--INDEX('Loans'!$J:$J,ROW()),0)</f>
        <v/>
      </c>
      <c r="AF879">
        <f>TRIM(SUBSTITUTE(INDEX('Loans'!$K:$K,ROW())&amp;""," "," "))</f>
        <v/>
      </c>
      <c r="AG879">
        <f>IFERROR(--INDEX('Loans'!$L:$L,ROW()),0)</f>
        <v/>
      </c>
      <c r="AH879">
        <f>IF(ISNUMBER(INDEX('Loans'!$G:$G,ROW())),1,0)</f>
        <v/>
      </c>
    </row>
    <row r="880">
      <c r="A880">
        <f>TRIM(SUBSTITUTE(INDEX('Term investments'!$A:$A,ROW())&amp;""," "," "))</f>
        <v/>
      </c>
      <c r="B880">
        <f>TRIM(SUBSTITUTE(INDEX('Term investments'!$B:$B,ROW())&amp;""," "," "))</f>
        <v/>
      </c>
      <c r="C880">
        <f>TRIM(SUBSTITUTE(INDEX('Term investments'!$C:$C,ROW())&amp;""," "," "))</f>
        <v/>
      </c>
      <c r="D880">
        <f>IFERROR(--INDEX('Term investments'!$D:$D,ROW()),0)</f>
        <v/>
      </c>
      <c r="E880">
        <f>IFERROR(--INDEX('Term investments'!$E:$E,ROW()),0)</f>
        <v/>
      </c>
      <c r="F880">
        <f>IFERROR(--INDEX('Term investments'!$F:$F,ROW()),0)</f>
        <v/>
      </c>
      <c r="G880">
        <f>IFERROR(IF(--INDEX('Term investments'!$G:$G,ROW())&gt;=1,--INDEX('Term investments'!$G:$G,ROW())/100,--INDEX('Term investments'!$G:$G,ROW())),0)</f>
        <v/>
      </c>
      <c r="H880">
        <f>IFERROR(--INDEX('Term investments'!$H:$H,ROW()),0)</f>
        <v/>
      </c>
      <c r="I880">
        <f>IF(ISNUMBER(INDEX('Term investments'!$G:$G,ROW())),1,0)</f>
        <v/>
      </c>
      <c r="J880">
        <f>TRIM(SUBSTITUTE(INDEX('Call accounts and MMFs'!$A:$A,ROW())&amp;""," "," "))</f>
        <v/>
      </c>
      <c r="K880">
        <f>TRIM(SUBSTITUTE(INDEX('Call accounts and MMFs'!$B:$B,ROW())&amp;""," "," "))</f>
        <v/>
      </c>
      <c r="L880">
        <f>TRIM(SUBSTITUTE(INDEX('Call accounts and MMFs'!$C:$C,ROW())&amp;""," "," "))</f>
        <v/>
      </c>
      <c r="M880">
        <f>IFERROR(--INDEX('Call accounts and MMFs'!$D:$D,ROW()),0)</f>
        <v/>
      </c>
      <c r="N880">
        <f>IFERROR(IF(--INDEX('Call accounts and MMFs'!$E:$E,ROW())&gt;=1,--INDEX('Call accounts and MMFs'!$E:$E,ROW())/100,--INDEX('Call accounts and MMFs'!$E:$E,ROW())),0)</f>
        <v/>
      </c>
      <c r="O880">
        <f>IFERROR(--INDEX('Call accounts and MMFs'!$F:$F,ROW()),0)</f>
        <v/>
      </c>
      <c r="P880">
        <f>IF(ISNUMBER(INDEX('Call accounts and MMFs'!$E:$E,ROW())),1,0)</f>
        <v/>
      </c>
      <c r="Q880">
        <f>TRIM(SUBSTITUTE(INDEX('Pooled funds'!$B:$B,ROW())&amp;""," "," "))</f>
        <v/>
      </c>
      <c r="R880">
        <f>IFERROR(--INDEX('Pooled funds'!$C:$C,ROW()),0)</f>
        <v/>
      </c>
      <c r="S880">
        <f>IFERROR(--INDEX('Pooled funds'!$D:$D,ROW()),0)</f>
        <v/>
      </c>
      <c r="T880">
        <f>IFERROR(IF(--INDEX('Pooled funds'!$E:$E,ROW())&gt;=1,--INDEX('Pooled funds'!$E:$E,ROW())/100,--INDEX('Pooled funds'!$E:$E,ROW())),0)</f>
        <v/>
      </c>
      <c r="U880">
        <f>IF(ISNUMBER(INDEX('Pooled funds'!$E:$E,ROW())),1,0)</f>
        <v/>
      </c>
      <c r="V880">
        <f>TRIM(SUBSTITUTE(INDEX('Loans'!$A:$A,ROW())&amp;""," "," "))</f>
        <v/>
      </c>
      <c r="W880">
        <f>TRIM(SUBSTITUTE(INDEX('Loans'!$B:$B,ROW())&amp;""," "," "))</f>
        <v/>
      </c>
      <c r="X880">
        <f>TRIM(SUBSTITUTE(INDEX('Loans'!$C:$C,ROW())&amp;""," "," "))</f>
        <v/>
      </c>
      <c r="Y880">
        <f>IFERROR(--INDEX('Loans'!$D:$D,ROW()),0)</f>
        <v/>
      </c>
      <c r="Z880">
        <f>IFERROR(--INDEX('Loans'!$E:$E,ROW()),0)</f>
        <v/>
      </c>
      <c r="AA880">
        <f>IFERROR(--INDEX('Loans'!$F:$F,ROW()),0)</f>
        <v/>
      </c>
      <c r="AB880">
        <f>IFERROR(IF(--INDEX('Loans'!$G:$G,ROW())&gt;=1,--INDEX('Loans'!$G:$G,ROW())/100,--INDEX('Loans'!$G:$G,ROW())),0)</f>
        <v/>
      </c>
      <c r="AC880">
        <f>TRIM(SUBSTITUTE(INDEX('Loans'!$H:$H,ROW())&amp;""," "," "))</f>
        <v/>
      </c>
      <c r="AD880">
        <f>TRIM(SUBSTITUTE(INDEX('Loans'!$I:$I,ROW())&amp;""," "," "))</f>
        <v/>
      </c>
      <c r="AE880">
        <f>IFERROR(--INDEX('Loans'!$J:$J,ROW()),0)</f>
        <v/>
      </c>
      <c r="AF880">
        <f>TRIM(SUBSTITUTE(INDEX('Loans'!$K:$K,ROW())&amp;""," "," "))</f>
        <v/>
      </c>
      <c r="AG880">
        <f>IFERROR(--INDEX('Loans'!$L:$L,ROW()),0)</f>
        <v/>
      </c>
      <c r="AH880">
        <f>IF(ISNUMBER(INDEX('Loans'!$G:$G,ROW())),1,0)</f>
        <v/>
      </c>
    </row>
    <row r="881">
      <c r="A881">
        <f>TRIM(SUBSTITUTE(INDEX('Term investments'!$A:$A,ROW())&amp;""," "," "))</f>
        <v/>
      </c>
      <c r="B881">
        <f>TRIM(SUBSTITUTE(INDEX('Term investments'!$B:$B,ROW())&amp;""," "," "))</f>
        <v/>
      </c>
      <c r="C881">
        <f>TRIM(SUBSTITUTE(INDEX('Term investments'!$C:$C,ROW())&amp;""," "," "))</f>
        <v/>
      </c>
      <c r="D881">
        <f>IFERROR(--INDEX('Term investments'!$D:$D,ROW()),0)</f>
        <v/>
      </c>
      <c r="E881">
        <f>IFERROR(--INDEX('Term investments'!$E:$E,ROW()),0)</f>
        <v/>
      </c>
      <c r="F881">
        <f>IFERROR(--INDEX('Term investments'!$F:$F,ROW()),0)</f>
        <v/>
      </c>
      <c r="G881">
        <f>IFERROR(IF(--INDEX('Term investments'!$G:$G,ROW())&gt;=1,--INDEX('Term investments'!$G:$G,ROW())/100,--INDEX('Term investments'!$G:$G,ROW())),0)</f>
        <v/>
      </c>
      <c r="H881">
        <f>IFERROR(--INDEX('Term investments'!$H:$H,ROW()),0)</f>
        <v/>
      </c>
      <c r="I881">
        <f>IF(ISNUMBER(INDEX('Term investments'!$G:$G,ROW())),1,0)</f>
        <v/>
      </c>
      <c r="J881">
        <f>TRIM(SUBSTITUTE(INDEX('Call accounts and MMFs'!$A:$A,ROW())&amp;""," "," "))</f>
        <v/>
      </c>
      <c r="K881">
        <f>TRIM(SUBSTITUTE(INDEX('Call accounts and MMFs'!$B:$B,ROW())&amp;""," "," "))</f>
        <v/>
      </c>
      <c r="L881">
        <f>TRIM(SUBSTITUTE(INDEX('Call accounts and MMFs'!$C:$C,ROW())&amp;""," "," "))</f>
        <v/>
      </c>
      <c r="M881">
        <f>IFERROR(--INDEX('Call accounts and MMFs'!$D:$D,ROW()),0)</f>
        <v/>
      </c>
      <c r="N881">
        <f>IFERROR(IF(--INDEX('Call accounts and MMFs'!$E:$E,ROW())&gt;=1,--INDEX('Call accounts and MMFs'!$E:$E,ROW())/100,--INDEX('Call accounts and MMFs'!$E:$E,ROW())),0)</f>
        <v/>
      </c>
      <c r="O881">
        <f>IFERROR(--INDEX('Call accounts and MMFs'!$F:$F,ROW()),0)</f>
        <v/>
      </c>
      <c r="P881">
        <f>IF(ISNUMBER(INDEX('Call accounts and MMFs'!$E:$E,ROW())),1,0)</f>
        <v/>
      </c>
      <c r="Q881">
        <f>TRIM(SUBSTITUTE(INDEX('Pooled funds'!$B:$B,ROW())&amp;""," "," "))</f>
        <v/>
      </c>
      <c r="R881">
        <f>IFERROR(--INDEX('Pooled funds'!$C:$C,ROW()),0)</f>
        <v/>
      </c>
      <c r="S881">
        <f>IFERROR(--INDEX('Pooled funds'!$D:$D,ROW()),0)</f>
        <v/>
      </c>
      <c r="T881">
        <f>IFERROR(IF(--INDEX('Pooled funds'!$E:$E,ROW())&gt;=1,--INDEX('Pooled funds'!$E:$E,ROW())/100,--INDEX('Pooled funds'!$E:$E,ROW())),0)</f>
        <v/>
      </c>
      <c r="U881">
        <f>IF(ISNUMBER(INDEX('Pooled funds'!$E:$E,ROW())),1,0)</f>
        <v/>
      </c>
      <c r="V881">
        <f>TRIM(SUBSTITUTE(INDEX('Loans'!$A:$A,ROW())&amp;""," "," "))</f>
        <v/>
      </c>
      <c r="W881">
        <f>TRIM(SUBSTITUTE(INDEX('Loans'!$B:$B,ROW())&amp;""," "," "))</f>
        <v/>
      </c>
      <c r="X881">
        <f>TRIM(SUBSTITUTE(INDEX('Loans'!$C:$C,ROW())&amp;""," "," "))</f>
        <v/>
      </c>
      <c r="Y881">
        <f>IFERROR(--INDEX('Loans'!$D:$D,ROW()),0)</f>
        <v/>
      </c>
      <c r="Z881">
        <f>IFERROR(--INDEX('Loans'!$E:$E,ROW()),0)</f>
        <v/>
      </c>
      <c r="AA881">
        <f>IFERROR(--INDEX('Loans'!$F:$F,ROW()),0)</f>
        <v/>
      </c>
      <c r="AB881">
        <f>IFERROR(IF(--INDEX('Loans'!$G:$G,ROW())&gt;=1,--INDEX('Loans'!$G:$G,ROW())/100,--INDEX('Loans'!$G:$G,ROW())),0)</f>
        <v/>
      </c>
      <c r="AC881">
        <f>TRIM(SUBSTITUTE(INDEX('Loans'!$H:$H,ROW())&amp;""," "," "))</f>
        <v/>
      </c>
      <c r="AD881">
        <f>TRIM(SUBSTITUTE(INDEX('Loans'!$I:$I,ROW())&amp;""," "," "))</f>
        <v/>
      </c>
      <c r="AE881">
        <f>IFERROR(--INDEX('Loans'!$J:$J,ROW()),0)</f>
        <v/>
      </c>
      <c r="AF881">
        <f>TRIM(SUBSTITUTE(INDEX('Loans'!$K:$K,ROW())&amp;""," "," "))</f>
        <v/>
      </c>
      <c r="AG881">
        <f>IFERROR(--INDEX('Loans'!$L:$L,ROW()),0)</f>
        <v/>
      </c>
      <c r="AH881">
        <f>IF(ISNUMBER(INDEX('Loans'!$G:$G,ROW())),1,0)</f>
        <v/>
      </c>
    </row>
    <row r="882">
      <c r="A882">
        <f>TRIM(SUBSTITUTE(INDEX('Term investments'!$A:$A,ROW())&amp;""," "," "))</f>
        <v/>
      </c>
      <c r="B882">
        <f>TRIM(SUBSTITUTE(INDEX('Term investments'!$B:$B,ROW())&amp;""," "," "))</f>
        <v/>
      </c>
      <c r="C882">
        <f>TRIM(SUBSTITUTE(INDEX('Term investments'!$C:$C,ROW())&amp;""," "," "))</f>
        <v/>
      </c>
      <c r="D882">
        <f>IFERROR(--INDEX('Term investments'!$D:$D,ROW()),0)</f>
        <v/>
      </c>
      <c r="E882">
        <f>IFERROR(--INDEX('Term investments'!$E:$E,ROW()),0)</f>
        <v/>
      </c>
      <c r="F882">
        <f>IFERROR(--INDEX('Term investments'!$F:$F,ROW()),0)</f>
        <v/>
      </c>
      <c r="G882">
        <f>IFERROR(IF(--INDEX('Term investments'!$G:$G,ROW())&gt;=1,--INDEX('Term investments'!$G:$G,ROW())/100,--INDEX('Term investments'!$G:$G,ROW())),0)</f>
        <v/>
      </c>
      <c r="H882">
        <f>IFERROR(--INDEX('Term investments'!$H:$H,ROW()),0)</f>
        <v/>
      </c>
      <c r="I882">
        <f>IF(ISNUMBER(INDEX('Term investments'!$G:$G,ROW())),1,0)</f>
        <v/>
      </c>
      <c r="J882">
        <f>TRIM(SUBSTITUTE(INDEX('Call accounts and MMFs'!$A:$A,ROW())&amp;""," "," "))</f>
        <v/>
      </c>
      <c r="K882">
        <f>TRIM(SUBSTITUTE(INDEX('Call accounts and MMFs'!$B:$B,ROW())&amp;""," "," "))</f>
        <v/>
      </c>
      <c r="L882">
        <f>TRIM(SUBSTITUTE(INDEX('Call accounts and MMFs'!$C:$C,ROW())&amp;""," "," "))</f>
        <v/>
      </c>
      <c r="M882">
        <f>IFERROR(--INDEX('Call accounts and MMFs'!$D:$D,ROW()),0)</f>
        <v/>
      </c>
      <c r="N882">
        <f>IFERROR(IF(--INDEX('Call accounts and MMFs'!$E:$E,ROW())&gt;=1,--INDEX('Call accounts and MMFs'!$E:$E,ROW())/100,--INDEX('Call accounts and MMFs'!$E:$E,ROW())),0)</f>
        <v/>
      </c>
      <c r="O882">
        <f>IFERROR(--INDEX('Call accounts and MMFs'!$F:$F,ROW()),0)</f>
        <v/>
      </c>
      <c r="P882">
        <f>IF(ISNUMBER(INDEX('Call accounts and MMFs'!$E:$E,ROW())),1,0)</f>
        <v/>
      </c>
      <c r="Q882">
        <f>TRIM(SUBSTITUTE(INDEX('Pooled funds'!$B:$B,ROW())&amp;""," "," "))</f>
        <v/>
      </c>
      <c r="R882">
        <f>IFERROR(--INDEX('Pooled funds'!$C:$C,ROW()),0)</f>
        <v/>
      </c>
      <c r="S882">
        <f>IFERROR(--INDEX('Pooled funds'!$D:$D,ROW()),0)</f>
        <v/>
      </c>
      <c r="T882">
        <f>IFERROR(IF(--INDEX('Pooled funds'!$E:$E,ROW())&gt;=1,--INDEX('Pooled funds'!$E:$E,ROW())/100,--INDEX('Pooled funds'!$E:$E,ROW())),0)</f>
        <v/>
      </c>
      <c r="U882">
        <f>IF(ISNUMBER(INDEX('Pooled funds'!$E:$E,ROW())),1,0)</f>
        <v/>
      </c>
      <c r="V882">
        <f>TRIM(SUBSTITUTE(INDEX('Loans'!$A:$A,ROW())&amp;""," "," "))</f>
        <v/>
      </c>
      <c r="W882">
        <f>TRIM(SUBSTITUTE(INDEX('Loans'!$B:$B,ROW())&amp;""," "," "))</f>
        <v/>
      </c>
      <c r="X882">
        <f>TRIM(SUBSTITUTE(INDEX('Loans'!$C:$C,ROW())&amp;""," "," "))</f>
        <v/>
      </c>
      <c r="Y882">
        <f>IFERROR(--INDEX('Loans'!$D:$D,ROW()),0)</f>
        <v/>
      </c>
      <c r="Z882">
        <f>IFERROR(--INDEX('Loans'!$E:$E,ROW()),0)</f>
        <v/>
      </c>
      <c r="AA882">
        <f>IFERROR(--INDEX('Loans'!$F:$F,ROW()),0)</f>
        <v/>
      </c>
      <c r="AB882">
        <f>IFERROR(IF(--INDEX('Loans'!$G:$G,ROW())&gt;=1,--INDEX('Loans'!$G:$G,ROW())/100,--INDEX('Loans'!$G:$G,ROW())),0)</f>
        <v/>
      </c>
      <c r="AC882">
        <f>TRIM(SUBSTITUTE(INDEX('Loans'!$H:$H,ROW())&amp;""," "," "))</f>
        <v/>
      </c>
      <c r="AD882">
        <f>TRIM(SUBSTITUTE(INDEX('Loans'!$I:$I,ROW())&amp;""," "," "))</f>
        <v/>
      </c>
      <c r="AE882">
        <f>IFERROR(--INDEX('Loans'!$J:$J,ROW()),0)</f>
        <v/>
      </c>
      <c r="AF882">
        <f>TRIM(SUBSTITUTE(INDEX('Loans'!$K:$K,ROW())&amp;""," "," "))</f>
        <v/>
      </c>
      <c r="AG882">
        <f>IFERROR(--INDEX('Loans'!$L:$L,ROW()),0)</f>
        <v/>
      </c>
      <c r="AH882">
        <f>IF(ISNUMBER(INDEX('Loans'!$G:$G,ROW())),1,0)</f>
        <v/>
      </c>
    </row>
    <row r="883">
      <c r="A883">
        <f>TRIM(SUBSTITUTE(INDEX('Term investments'!$A:$A,ROW())&amp;""," "," "))</f>
        <v/>
      </c>
      <c r="B883">
        <f>TRIM(SUBSTITUTE(INDEX('Term investments'!$B:$B,ROW())&amp;""," "," "))</f>
        <v/>
      </c>
      <c r="C883">
        <f>TRIM(SUBSTITUTE(INDEX('Term investments'!$C:$C,ROW())&amp;""," "," "))</f>
        <v/>
      </c>
      <c r="D883">
        <f>IFERROR(--INDEX('Term investments'!$D:$D,ROW()),0)</f>
        <v/>
      </c>
      <c r="E883">
        <f>IFERROR(--INDEX('Term investments'!$E:$E,ROW()),0)</f>
        <v/>
      </c>
      <c r="F883">
        <f>IFERROR(--INDEX('Term investments'!$F:$F,ROW()),0)</f>
        <v/>
      </c>
      <c r="G883">
        <f>IFERROR(IF(--INDEX('Term investments'!$G:$G,ROW())&gt;=1,--INDEX('Term investments'!$G:$G,ROW())/100,--INDEX('Term investments'!$G:$G,ROW())),0)</f>
        <v/>
      </c>
      <c r="H883">
        <f>IFERROR(--INDEX('Term investments'!$H:$H,ROW()),0)</f>
        <v/>
      </c>
      <c r="I883">
        <f>IF(ISNUMBER(INDEX('Term investments'!$G:$G,ROW())),1,0)</f>
        <v/>
      </c>
      <c r="J883">
        <f>TRIM(SUBSTITUTE(INDEX('Call accounts and MMFs'!$A:$A,ROW())&amp;""," "," "))</f>
        <v/>
      </c>
      <c r="K883">
        <f>TRIM(SUBSTITUTE(INDEX('Call accounts and MMFs'!$B:$B,ROW())&amp;""," "," "))</f>
        <v/>
      </c>
      <c r="L883">
        <f>TRIM(SUBSTITUTE(INDEX('Call accounts and MMFs'!$C:$C,ROW())&amp;""," "," "))</f>
        <v/>
      </c>
      <c r="M883">
        <f>IFERROR(--INDEX('Call accounts and MMFs'!$D:$D,ROW()),0)</f>
        <v/>
      </c>
      <c r="N883">
        <f>IFERROR(IF(--INDEX('Call accounts and MMFs'!$E:$E,ROW())&gt;=1,--INDEX('Call accounts and MMFs'!$E:$E,ROW())/100,--INDEX('Call accounts and MMFs'!$E:$E,ROW())),0)</f>
        <v/>
      </c>
      <c r="O883">
        <f>IFERROR(--INDEX('Call accounts and MMFs'!$F:$F,ROW()),0)</f>
        <v/>
      </c>
      <c r="P883">
        <f>IF(ISNUMBER(INDEX('Call accounts and MMFs'!$E:$E,ROW())),1,0)</f>
        <v/>
      </c>
      <c r="Q883">
        <f>TRIM(SUBSTITUTE(INDEX('Pooled funds'!$B:$B,ROW())&amp;""," "," "))</f>
        <v/>
      </c>
      <c r="R883">
        <f>IFERROR(--INDEX('Pooled funds'!$C:$C,ROW()),0)</f>
        <v/>
      </c>
      <c r="S883">
        <f>IFERROR(--INDEX('Pooled funds'!$D:$D,ROW()),0)</f>
        <v/>
      </c>
      <c r="T883">
        <f>IFERROR(IF(--INDEX('Pooled funds'!$E:$E,ROW())&gt;=1,--INDEX('Pooled funds'!$E:$E,ROW())/100,--INDEX('Pooled funds'!$E:$E,ROW())),0)</f>
        <v/>
      </c>
      <c r="U883">
        <f>IF(ISNUMBER(INDEX('Pooled funds'!$E:$E,ROW())),1,0)</f>
        <v/>
      </c>
      <c r="V883">
        <f>TRIM(SUBSTITUTE(INDEX('Loans'!$A:$A,ROW())&amp;""," "," "))</f>
        <v/>
      </c>
      <c r="W883">
        <f>TRIM(SUBSTITUTE(INDEX('Loans'!$B:$B,ROW())&amp;""," "," "))</f>
        <v/>
      </c>
      <c r="X883">
        <f>TRIM(SUBSTITUTE(INDEX('Loans'!$C:$C,ROW())&amp;""," "," "))</f>
        <v/>
      </c>
      <c r="Y883">
        <f>IFERROR(--INDEX('Loans'!$D:$D,ROW()),0)</f>
        <v/>
      </c>
      <c r="Z883">
        <f>IFERROR(--INDEX('Loans'!$E:$E,ROW()),0)</f>
        <v/>
      </c>
      <c r="AA883">
        <f>IFERROR(--INDEX('Loans'!$F:$F,ROW()),0)</f>
        <v/>
      </c>
      <c r="AB883">
        <f>IFERROR(IF(--INDEX('Loans'!$G:$G,ROW())&gt;=1,--INDEX('Loans'!$G:$G,ROW())/100,--INDEX('Loans'!$G:$G,ROW())),0)</f>
        <v/>
      </c>
      <c r="AC883">
        <f>TRIM(SUBSTITUTE(INDEX('Loans'!$H:$H,ROW())&amp;""," "," "))</f>
        <v/>
      </c>
      <c r="AD883">
        <f>TRIM(SUBSTITUTE(INDEX('Loans'!$I:$I,ROW())&amp;""," "," "))</f>
        <v/>
      </c>
      <c r="AE883">
        <f>IFERROR(--INDEX('Loans'!$J:$J,ROW()),0)</f>
        <v/>
      </c>
      <c r="AF883">
        <f>TRIM(SUBSTITUTE(INDEX('Loans'!$K:$K,ROW())&amp;""," "," "))</f>
        <v/>
      </c>
      <c r="AG883">
        <f>IFERROR(--INDEX('Loans'!$L:$L,ROW()),0)</f>
        <v/>
      </c>
      <c r="AH883">
        <f>IF(ISNUMBER(INDEX('Loans'!$G:$G,ROW())),1,0)</f>
        <v/>
      </c>
    </row>
    <row r="884">
      <c r="A884">
        <f>TRIM(SUBSTITUTE(INDEX('Term investments'!$A:$A,ROW())&amp;""," "," "))</f>
        <v/>
      </c>
      <c r="B884">
        <f>TRIM(SUBSTITUTE(INDEX('Term investments'!$B:$B,ROW())&amp;""," "," "))</f>
        <v/>
      </c>
      <c r="C884">
        <f>TRIM(SUBSTITUTE(INDEX('Term investments'!$C:$C,ROW())&amp;""," "," "))</f>
        <v/>
      </c>
      <c r="D884">
        <f>IFERROR(--INDEX('Term investments'!$D:$D,ROW()),0)</f>
        <v/>
      </c>
      <c r="E884">
        <f>IFERROR(--INDEX('Term investments'!$E:$E,ROW()),0)</f>
        <v/>
      </c>
      <c r="F884">
        <f>IFERROR(--INDEX('Term investments'!$F:$F,ROW()),0)</f>
        <v/>
      </c>
      <c r="G884">
        <f>IFERROR(IF(--INDEX('Term investments'!$G:$G,ROW())&gt;=1,--INDEX('Term investments'!$G:$G,ROW())/100,--INDEX('Term investments'!$G:$G,ROW())),0)</f>
        <v/>
      </c>
      <c r="H884">
        <f>IFERROR(--INDEX('Term investments'!$H:$H,ROW()),0)</f>
        <v/>
      </c>
      <c r="I884">
        <f>IF(ISNUMBER(INDEX('Term investments'!$G:$G,ROW())),1,0)</f>
        <v/>
      </c>
      <c r="J884">
        <f>TRIM(SUBSTITUTE(INDEX('Call accounts and MMFs'!$A:$A,ROW())&amp;""," "," "))</f>
        <v/>
      </c>
      <c r="K884">
        <f>TRIM(SUBSTITUTE(INDEX('Call accounts and MMFs'!$B:$B,ROW())&amp;""," "," "))</f>
        <v/>
      </c>
      <c r="L884">
        <f>TRIM(SUBSTITUTE(INDEX('Call accounts and MMFs'!$C:$C,ROW())&amp;""," "," "))</f>
        <v/>
      </c>
      <c r="M884">
        <f>IFERROR(--INDEX('Call accounts and MMFs'!$D:$D,ROW()),0)</f>
        <v/>
      </c>
      <c r="N884">
        <f>IFERROR(IF(--INDEX('Call accounts and MMFs'!$E:$E,ROW())&gt;=1,--INDEX('Call accounts and MMFs'!$E:$E,ROW())/100,--INDEX('Call accounts and MMFs'!$E:$E,ROW())),0)</f>
        <v/>
      </c>
      <c r="O884">
        <f>IFERROR(--INDEX('Call accounts and MMFs'!$F:$F,ROW()),0)</f>
        <v/>
      </c>
      <c r="P884">
        <f>IF(ISNUMBER(INDEX('Call accounts and MMFs'!$E:$E,ROW())),1,0)</f>
        <v/>
      </c>
      <c r="Q884">
        <f>TRIM(SUBSTITUTE(INDEX('Pooled funds'!$B:$B,ROW())&amp;""," "," "))</f>
        <v/>
      </c>
      <c r="R884">
        <f>IFERROR(--INDEX('Pooled funds'!$C:$C,ROW()),0)</f>
        <v/>
      </c>
      <c r="S884">
        <f>IFERROR(--INDEX('Pooled funds'!$D:$D,ROW()),0)</f>
        <v/>
      </c>
      <c r="T884">
        <f>IFERROR(IF(--INDEX('Pooled funds'!$E:$E,ROW())&gt;=1,--INDEX('Pooled funds'!$E:$E,ROW())/100,--INDEX('Pooled funds'!$E:$E,ROW())),0)</f>
        <v/>
      </c>
      <c r="U884">
        <f>IF(ISNUMBER(INDEX('Pooled funds'!$E:$E,ROW())),1,0)</f>
        <v/>
      </c>
      <c r="V884">
        <f>TRIM(SUBSTITUTE(INDEX('Loans'!$A:$A,ROW())&amp;""," "," "))</f>
        <v/>
      </c>
      <c r="W884">
        <f>TRIM(SUBSTITUTE(INDEX('Loans'!$B:$B,ROW())&amp;""," "," "))</f>
        <v/>
      </c>
      <c r="X884">
        <f>TRIM(SUBSTITUTE(INDEX('Loans'!$C:$C,ROW())&amp;""," "," "))</f>
        <v/>
      </c>
      <c r="Y884">
        <f>IFERROR(--INDEX('Loans'!$D:$D,ROW()),0)</f>
        <v/>
      </c>
      <c r="Z884">
        <f>IFERROR(--INDEX('Loans'!$E:$E,ROW()),0)</f>
        <v/>
      </c>
      <c r="AA884">
        <f>IFERROR(--INDEX('Loans'!$F:$F,ROW()),0)</f>
        <v/>
      </c>
      <c r="AB884">
        <f>IFERROR(IF(--INDEX('Loans'!$G:$G,ROW())&gt;=1,--INDEX('Loans'!$G:$G,ROW())/100,--INDEX('Loans'!$G:$G,ROW())),0)</f>
        <v/>
      </c>
      <c r="AC884">
        <f>TRIM(SUBSTITUTE(INDEX('Loans'!$H:$H,ROW())&amp;""," "," "))</f>
        <v/>
      </c>
      <c r="AD884">
        <f>TRIM(SUBSTITUTE(INDEX('Loans'!$I:$I,ROW())&amp;""," "," "))</f>
        <v/>
      </c>
      <c r="AE884">
        <f>IFERROR(--INDEX('Loans'!$J:$J,ROW()),0)</f>
        <v/>
      </c>
      <c r="AF884">
        <f>TRIM(SUBSTITUTE(INDEX('Loans'!$K:$K,ROW())&amp;""," "," "))</f>
        <v/>
      </c>
      <c r="AG884">
        <f>IFERROR(--INDEX('Loans'!$L:$L,ROW()),0)</f>
        <v/>
      </c>
      <c r="AH884">
        <f>IF(ISNUMBER(INDEX('Loans'!$G:$G,ROW())),1,0)</f>
        <v/>
      </c>
    </row>
    <row r="885">
      <c r="A885">
        <f>TRIM(SUBSTITUTE(INDEX('Term investments'!$A:$A,ROW())&amp;""," "," "))</f>
        <v/>
      </c>
      <c r="B885">
        <f>TRIM(SUBSTITUTE(INDEX('Term investments'!$B:$B,ROW())&amp;""," "," "))</f>
        <v/>
      </c>
      <c r="C885">
        <f>TRIM(SUBSTITUTE(INDEX('Term investments'!$C:$C,ROW())&amp;""," "," "))</f>
        <v/>
      </c>
      <c r="D885">
        <f>IFERROR(--INDEX('Term investments'!$D:$D,ROW()),0)</f>
        <v/>
      </c>
      <c r="E885">
        <f>IFERROR(--INDEX('Term investments'!$E:$E,ROW()),0)</f>
        <v/>
      </c>
      <c r="F885">
        <f>IFERROR(--INDEX('Term investments'!$F:$F,ROW()),0)</f>
        <v/>
      </c>
      <c r="G885">
        <f>IFERROR(IF(--INDEX('Term investments'!$G:$G,ROW())&gt;=1,--INDEX('Term investments'!$G:$G,ROW())/100,--INDEX('Term investments'!$G:$G,ROW())),0)</f>
        <v/>
      </c>
      <c r="H885">
        <f>IFERROR(--INDEX('Term investments'!$H:$H,ROW()),0)</f>
        <v/>
      </c>
      <c r="I885">
        <f>IF(ISNUMBER(INDEX('Term investments'!$G:$G,ROW())),1,0)</f>
        <v/>
      </c>
      <c r="J885">
        <f>TRIM(SUBSTITUTE(INDEX('Call accounts and MMFs'!$A:$A,ROW())&amp;""," "," "))</f>
        <v/>
      </c>
      <c r="K885">
        <f>TRIM(SUBSTITUTE(INDEX('Call accounts and MMFs'!$B:$B,ROW())&amp;""," "," "))</f>
        <v/>
      </c>
      <c r="L885">
        <f>TRIM(SUBSTITUTE(INDEX('Call accounts and MMFs'!$C:$C,ROW())&amp;""," "," "))</f>
        <v/>
      </c>
      <c r="M885">
        <f>IFERROR(--INDEX('Call accounts and MMFs'!$D:$D,ROW()),0)</f>
        <v/>
      </c>
      <c r="N885">
        <f>IFERROR(IF(--INDEX('Call accounts and MMFs'!$E:$E,ROW())&gt;=1,--INDEX('Call accounts and MMFs'!$E:$E,ROW())/100,--INDEX('Call accounts and MMFs'!$E:$E,ROW())),0)</f>
        <v/>
      </c>
      <c r="O885">
        <f>IFERROR(--INDEX('Call accounts and MMFs'!$F:$F,ROW()),0)</f>
        <v/>
      </c>
      <c r="P885">
        <f>IF(ISNUMBER(INDEX('Call accounts and MMFs'!$E:$E,ROW())),1,0)</f>
        <v/>
      </c>
      <c r="Q885">
        <f>TRIM(SUBSTITUTE(INDEX('Pooled funds'!$B:$B,ROW())&amp;""," "," "))</f>
        <v/>
      </c>
      <c r="R885">
        <f>IFERROR(--INDEX('Pooled funds'!$C:$C,ROW()),0)</f>
        <v/>
      </c>
      <c r="S885">
        <f>IFERROR(--INDEX('Pooled funds'!$D:$D,ROW()),0)</f>
        <v/>
      </c>
      <c r="T885">
        <f>IFERROR(IF(--INDEX('Pooled funds'!$E:$E,ROW())&gt;=1,--INDEX('Pooled funds'!$E:$E,ROW())/100,--INDEX('Pooled funds'!$E:$E,ROW())),0)</f>
        <v/>
      </c>
      <c r="U885">
        <f>IF(ISNUMBER(INDEX('Pooled funds'!$E:$E,ROW())),1,0)</f>
        <v/>
      </c>
      <c r="V885">
        <f>TRIM(SUBSTITUTE(INDEX('Loans'!$A:$A,ROW())&amp;""," "," "))</f>
        <v/>
      </c>
      <c r="W885">
        <f>TRIM(SUBSTITUTE(INDEX('Loans'!$B:$B,ROW())&amp;""," "," "))</f>
        <v/>
      </c>
      <c r="X885">
        <f>TRIM(SUBSTITUTE(INDEX('Loans'!$C:$C,ROW())&amp;""," "," "))</f>
        <v/>
      </c>
      <c r="Y885">
        <f>IFERROR(--INDEX('Loans'!$D:$D,ROW()),0)</f>
        <v/>
      </c>
      <c r="Z885">
        <f>IFERROR(--INDEX('Loans'!$E:$E,ROW()),0)</f>
        <v/>
      </c>
      <c r="AA885">
        <f>IFERROR(--INDEX('Loans'!$F:$F,ROW()),0)</f>
        <v/>
      </c>
      <c r="AB885">
        <f>IFERROR(IF(--INDEX('Loans'!$G:$G,ROW())&gt;=1,--INDEX('Loans'!$G:$G,ROW())/100,--INDEX('Loans'!$G:$G,ROW())),0)</f>
        <v/>
      </c>
      <c r="AC885">
        <f>TRIM(SUBSTITUTE(INDEX('Loans'!$H:$H,ROW())&amp;""," "," "))</f>
        <v/>
      </c>
      <c r="AD885">
        <f>TRIM(SUBSTITUTE(INDEX('Loans'!$I:$I,ROW())&amp;""," "," "))</f>
        <v/>
      </c>
      <c r="AE885">
        <f>IFERROR(--INDEX('Loans'!$J:$J,ROW()),0)</f>
        <v/>
      </c>
      <c r="AF885">
        <f>TRIM(SUBSTITUTE(INDEX('Loans'!$K:$K,ROW())&amp;""," "," "))</f>
        <v/>
      </c>
      <c r="AG885">
        <f>IFERROR(--INDEX('Loans'!$L:$L,ROW()),0)</f>
        <v/>
      </c>
      <c r="AH885">
        <f>IF(ISNUMBER(INDEX('Loans'!$G:$G,ROW())),1,0)</f>
        <v/>
      </c>
    </row>
    <row r="886">
      <c r="A886">
        <f>TRIM(SUBSTITUTE(INDEX('Term investments'!$A:$A,ROW())&amp;""," "," "))</f>
        <v/>
      </c>
      <c r="B886">
        <f>TRIM(SUBSTITUTE(INDEX('Term investments'!$B:$B,ROW())&amp;""," "," "))</f>
        <v/>
      </c>
      <c r="C886">
        <f>TRIM(SUBSTITUTE(INDEX('Term investments'!$C:$C,ROW())&amp;""," "," "))</f>
        <v/>
      </c>
      <c r="D886">
        <f>IFERROR(--INDEX('Term investments'!$D:$D,ROW()),0)</f>
        <v/>
      </c>
      <c r="E886">
        <f>IFERROR(--INDEX('Term investments'!$E:$E,ROW()),0)</f>
        <v/>
      </c>
      <c r="F886">
        <f>IFERROR(--INDEX('Term investments'!$F:$F,ROW()),0)</f>
        <v/>
      </c>
      <c r="G886">
        <f>IFERROR(IF(--INDEX('Term investments'!$G:$G,ROW())&gt;=1,--INDEX('Term investments'!$G:$G,ROW())/100,--INDEX('Term investments'!$G:$G,ROW())),0)</f>
        <v/>
      </c>
      <c r="H886">
        <f>IFERROR(--INDEX('Term investments'!$H:$H,ROW()),0)</f>
        <v/>
      </c>
      <c r="I886">
        <f>IF(ISNUMBER(INDEX('Term investments'!$G:$G,ROW())),1,0)</f>
        <v/>
      </c>
      <c r="J886">
        <f>TRIM(SUBSTITUTE(INDEX('Call accounts and MMFs'!$A:$A,ROW())&amp;""," "," "))</f>
        <v/>
      </c>
      <c r="K886">
        <f>TRIM(SUBSTITUTE(INDEX('Call accounts and MMFs'!$B:$B,ROW())&amp;""," "," "))</f>
        <v/>
      </c>
      <c r="L886">
        <f>TRIM(SUBSTITUTE(INDEX('Call accounts and MMFs'!$C:$C,ROW())&amp;""," "," "))</f>
        <v/>
      </c>
      <c r="M886">
        <f>IFERROR(--INDEX('Call accounts and MMFs'!$D:$D,ROW()),0)</f>
        <v/>
      </c>
      <c r="N886">
        <f>IFERROR(IF(--INDEX('Call accounts and MMFs'!$E:$E,ROW())&gt;=1,--INDEX('Call accounts and MMFs'!$E:$E,ROW())/100,--INDEX('Call accounts and MMFs'!$E:$E,ROW())),0)</f>
        <v/>
      </c>
      <c r="O886">
        <f>IFERROR(--INDEX('Call accounts and MMFs'!$F:$F,ROW()),0)</f>
        <v/>
      </c>
      <c r="P886">
        <f>IF(ISNUMBER(INDEX('Call accounts and MMFs'!$E:$E,ROW())),1,0)</f>
        <v/>
      </c>
      <c r="Q886">
        <f>TRIM(SUBSTITUTE(INDEX('Pooled funds'!$B:$B,ROW())&amp;""," "," "))</f>
        <v/>
      </c>
      <c r="R886">
        <f>IFERROR(--INDEX('Pooled funds'!$C:$C,ROW()),0)</f>
        <v/>
      </c>
      <c r="S886">
        <f>IFERROR(--INDEX('Pooled funds'!$D:$D,ROW()),0)</f>
        <v/>
      </c>
      <c r="T886">
        <f>IFERROR(IF(--INDEX('Pooled funds'!$E:$E,ROW())&gt;=1,--INDEX('Pooled funds'!$E:$E,ROW())/100,--INDEX('Pooled funds'!$E:$E,ROW())),0)</f>
        <v/>
      </c>
      <c r="U886">
        <f>IF(ISNUMBER(INDEX('Pooled funds'!$E:$E,ROW())),1,0)</f>
        <v/>
      </c>
      <c r="V886">
        <f>TRIM(SUBSTITUTE(INDEX('Loans'!$A:$A,ROW())&amp;""," "," "))</f>
        <v/>
      </c>
      <c r="W886">
        <f>TRIM(SUBSTITUTE(INDEX('Loans'!$B:$B,ROW())&amp;""," "," "))</f>
        <v/>
      </c>
      <c r="X886">
        <f>TRIM(SUBSTITUTE(INDEX('Loans'!$C:$C,ROW())&amp;""," "," "))</f>
        <v/>
      </c>
      <c r="Y886">
        <f>IFERROR(--INDEX('Loans'!$D:$D,ROW()),0)</f>
        <v/>
      </c>
      <c r="Z886">
        <f>IFERROR(--INDEX('Loans'!$E:$E,ROW()),0)</f>
        <v/>
      </c>
      <c r="AA886">
        <f>IFERROR(--INDEX('Loans'!$F:$F,ROW()),0)</f>
        <v/>
      </c>
      <c r="AB886">
        <f>IFERROR(IF(--INDEX('Loans'!$G:$G,ROW())&gt;=1,--INDEX('Loans'!$G:$G,ROW())/100,--INDEX('Loans'!$G:$G,ROW())),0)</f>
        <v/>
      </c>
      <c r="AC886">
        <f>TRIM(SUBSTITUTE(INDEX('Loans'!$H:$H,ROW())&amp;""," "," "))</f>
        <v/>
      </c>
      <c r="AD886">
        <f>TRIM(SUBSTITUTE(INDEX('Loans'!$I:$I,ROW())&amp;""," "," "))</f>
        <v/>
      </c>
      <c r="AE886">
        <f>IFERROR(--INDEX('Loans'!$J:$J,ROW()),0)</f>
        <v/>
      </c>
      <c r="AF886">
        <f>TRIM(SUBSTITUTE(INDEX('Loans'!$K:$K,ROW())&amp;""," "," "))</f>
        <v/>
      </c>
      <c r="AG886">
        <f>IFERROR(--INDEX('Loans'!$L:$L,ROW()),0)</f>
        <v/>
      </c>
      <c r="AH886">
        <f>IF(ISNUMBER(INDEX('Loans'!$G:$G,ROW())),1,0)</f>
        <v/>
      </c>
    </row>
    <row r="887">
      <c r="A887">
        <f>TRIM(SUBSTITUTE(INDEX('Term investments'!$A:$A,ROW())&amp;""," "," "))</f>
        <v/>
      </c>
      <c r="B887">
        <f>TRIM(SUBSTITUTE(INDEX('Term investments'!$B:$B,ROW())&amp;""," "," "))</f>
        <v/>
      </c>
      <c r="C887">
        <f>TRIM(SUBSTITUTE(INDEX('Term investments'!$C:$C,ROW())&amp;""," "," "))</f>
        <v/>
      </c>
      <c r="D887">
        <f>IFERROR(--INDEX('Term investments'!$D:$D,ROW()),0)</f>
        <v/>
      </c>
      <c r="E887">
        <f>IFERROR(--INDEX('Term investments'!$E:$E,ROW()),0)</f>
        <v/>
      </c>
      <c r="F887">
        <f>IFERROR(--INDEX('Term investments'!$F:$F,ROW()),0)</f>
        <v/>
      </c>
      <c r="G887">
        <f>IFERROR(IF(--INDEX('Term investments'!$G:$G,ROW())&gt;=1,--INDEX('Term investments'!$G:$G,ROW())/100,--INDEX('Term investments'!$G:$G,ROW())),0)</f>
        <v/>
      </c>
      <c r="H887">
        <f>IFERROR(--INDEX('Term investments'!$H:$H,ROW()),0)</f>
        <v/>
      </c>
      <c r="I887">
        <f>IF(ISNUMBER(INDEX('Term investments'!$G:$G,ROW())),1,0)</f>
        <v/>
      </c>
      <c r="J887">
        <f>TRIM(SUBSTITUTE(INDEX('Call accounts and MMFs'!$A:$A,ROW())&amp;""," "," "))</f>
        <v/>
      </c>
      <c r="K887">
        <f>TRIM(SUBSTITUTE(INDEX('Call accounts and MMFs'!$B:$B,ROW())&amp;""," "," "))</f>
        <v/>
      </c>
      <c r="L887">
        <f>TRIM(SUBSTITUTE(INDEX('Call accounts and MMFs'!$C:$C,ROW())&amp;""," "," "))</f>
        <v/>
      </c>
      <c r="M887">
        <f>IFERROR(--INDEX('Call accounts and MMFs'!$D:$D,ROW()),0)</f>
        <v/>
      </c>
      <c r="N887">
        <f>IFERROR(IF(--INDEX('Call accounts and MMFs'!$E:$E,ROW())&gt;=1,--INDEX('Call accounts and MMFs'!$E:$E,ROW())/100,--INDEX('Call accounts and MMFs'!$E:$E,ROW())),0)</f>
        <v/>
      </c>
      <c r="O887">
        <f>IFERROR(--INDEX('Call accounts and MMFs'!$F:$F,ROW()),0)</f>
        <v/>
      </c>
      <c r="P887">
        <f>IF(ISNUMBER(INDEX('Call accounts and MMFs'!$E:$E,ROW())),1,0)</f>
        <v/>
      </c>
      <c r="Q887">
        <f>TRIM(SUBSTITUTE(INDEX('Pooled funds'!$B:$B,ROW())&amp;""," "," "))</f>
        <v/>
      </c>
      <c r="R887">
        <f>IFERROR(--INDEX('Pooled funds'!$C:$C,ROW()),0)</f>
        <v/>
      </c>
      <c r="S887">
        <f>IFERROR(--INDEX('Pooled funds'!$D:$D,ROW()),0)</f>
        <v/>
      </c>
      <c r="T887">
        <f>IFERROR(IF(--INDEX('Pooled funds'!$E:$E,ROW())&gt;=1,--INDEX('Pooled funds'!$E:$E,ROW())/100,--INDEX('Pooled funds'!$E:$E,ROW())),0)</f>
        <v/>
      </c>
      <c r="U887">
        <f>IF(ISNUMBER(INDEX('Pooled funds'!$E:$E,ROW())),1,0)</f>
        <v/>
      </c>
      <c r="V887">
        <f>TRIM(SUBSTITUTE(INDEX('Loans'!$A:$A,ROW())&amp;""," "," "))</f>
        <v/>
      </c>
      <c r="W887">
        <f>TRIM(SUBSTITUTE(INDEX('Loans'!$B:$B,ROW())&amp;""," "," "))</f>
        <v/>
      </c>
      <c r="X887">
        <f>TRIM(SUBSTITUTE(INDEX('Loans'!$C:$C,ROW())&amp;""," "," "))</f>
        <v/>
      </c>
      <c r="Y887">
        <f>IFERROR(--INDEX('Loans'!$D:$D,ROW()),0)</f>
        <v/>
      </c>
      <c r="Z887">
        <f>IFERROR(--INDEX('Loans'!$E:$E,ROW()),0)</f>
        <v/>
      </c>
      <c r="AA887">
        <f>IFERROR(--INDEX('Loans'!$F:$F,ROW()),0)</f>
        <v/>
      </c>
      <c r="AB887">
        <f>IFERROR(IF(--INDEX('Loans'!$G:$G,ROW())&gt;=1,--INDEX('Loans'!$G:$G,ROW())/100,--INDEX('Loans'!$G:$G,ROW())),0)</f>
        <v/>
      </c>
      <c r="AC887">
        <f>TRIM(SUBSTITUTE(INDEX('Loans'!$H:$H,ROW())&amp;""," "," "))</f>
        <v/>
      </c>
      <c r="AD887">
        <f>TRIM(SUBSTITUTE(INDEX('Loans'!$I:$I,ROW())&amp;""," "," "))</f>
        <v/>
      </c>
      <c r="AE887">
        <f>IFERROR(--INDEX('Loans'!$J:$J,ROW()),0)</f>
        <v/>
      </c>
      <c r="AF887">
        <f>TRIM(SUBSTITUTE(INDEX('Loans'!$K:$K,ROW())&amp;""," "," "))</f>
        <v/>
      </c>
      <c r="AG887">
        <f>IFERROR(--INDEX('Loans'!$L:$L,ROW()),0)</f>
        <v/>
      </c>
      <c r="AH887">
        <f>IF(ISNUMBER(INDEX('Loans'!$G:$G,ROW())),1,0)</f>
        <v/>
      </c>
    </row>
    <row r="888">
      <c r="A888">
        <f>TRIM(SUBSTITUTE(INDEX('Term investments'!$A:$A,ROW())&amp;""," "," "))</f>
        <v/>
      </c>
      <c r="B888">
        <f>TRIM(SUBSTITUTE(INDEX('Term investments'!$B:$B,ROW())&amp;""," "," "))</f>
        <v/>
      </c>
      <c r="C888">
        <f>TRIM(SUBSTITUTE(INDEX('Term investments'!$C:$C,ROW())&amp;""," "," "))</f>
        <v/>
      </c>
      <c r="D888">
        <f>IFERROR(--INDEX('Term investments'!$D:$D,ROW()),0)</f>
        <v/>
      </c>
      <c r="E888">
        <f>IFERROR(--INDEX('Term investments'!$E:$E,ROW()),0)</f>
        <v/>
      </c>
      <c r="F888">
        <f>IFERROR(--INDEX('Term investments'!$F:$F,ROW()),0)</f>
        <v/>
      </c>
      <c r="G888">
        <f>IFERROR(IF(--INDEX('Term investments'!$G:$G,ROW())&gt;=1,--INDEX('Term investments'!$G:$G,ROW())/100,--INDEX('Term investments'!$G:$G,ROW())),0)</f>
        <v/>
      </c>
      <c r="H888">
        <f>IFERROR(--INDEX('Term investments'!$H:$H,ROW()),0)</f>
        <v/>
      </c>
      <c r="I888">
        <f>IF(ISNUMBER(INDEX('Term investments'!$G:$G,ROW())),1,0)</f>
        <v/>
      </c>
      <c r="J888">
        <f>TRIM(SUBSTITUTE(INDEX('Call accounts and MMFs'!$A:$A,ROW())&amp;""," "," "))</f>
        <v/>
      </c>
      <c r="K888">
        <f>TRIM(SUBSTITUTE(INDEX('Call accounts and MMFs'!$B:$B,ROW())&amp;""," "," "))</f>
        <v/>
      </c>
      <c r="L888">
        <f>TRIM(SUBSTITUTE(INDEX('Call accounts and MMFs'!$C:$C,ROW())&amp;""," "," "))</f>
        <v/>
      </c>
      <c r="M888">
        <f>IFERROR(--INDEX('Call accounts and MMFs'!$D:$D,ROW()),0)</f>
        <v/>
      </c>
      <c r="N888">
        <f>IFERROR(IF(--INDEX('Call accounts and MMFs'!$E:$E,ROW())&gt;=1,--INDEX('Call accounts and MMFs'!$E:$E,ROW())/100,--INDEX('Call accounts and MMFs'!$E:$E,ROW())),0)</f>
        <v/>
      </c>
      <c r="O888">
        <f>IFERROR(--INDEX('Call accounts and MMFs'!$F:$F,ROW()),0)</f>
        <v/>
      </c>
      <c r="P888">
        <f>IF(ISNUMBER(INDEX('Call accounts and MMFs'!$E:$E,ROW())),1,0)</f>
        <v/>
      </c>
      <c r="Q888">
        <f>TRIM(SUBSTITUTE(INDEX('Pooled funds'!$B:$B,ROW())&amp;""," "," "))</f>
        <v/>
      </c>
      <c r="R888">
        <f>IFERROR(--INDEX('Pooled funds'!$C:$C,ROW()),0)</f>
        <v/>
      </c>
      <c r="S888">
        <f>IFERROR(--INDEX('Pooled funds'!$D:$D,ROW()),0)</f>
        <v/>
      </c>
      <c r="T888">
        <f>IFERROR(IF(--INDEX('Pooled funds'!$E:$E,ROW())&gt;=1,--INDEX('Pooled funds'!$E:$E,ROW())/100,--INDEX('Pooled funds'!$E:$E,ROW())),0)</f>
        <v/>
      </c>
      <c r="U888">
        <f>IF(ISNUMBER(INDEX('Pooled funds'!$E:$E,ROW())),1,0)</f>
        <v/>
      </c>
      <c r="V888">
        <f>TRIM(SUBSTITUTE(INDEX('Loans'!$A:$A,ROW())&amp;""," "," "))</f>
        <v/>
      </c>
      <c r="W888">
        <f>TRIM(SUBSTITUTE(INDEX('Loans'!$B:$B,ROW())&amp;""," "," "))</f>
        <v/>
      </c>
      <c r="X888">
        <f>TRIM(SUBSTITUTE(INDEX('Loans'!$C:$C,ROW())&amp;""," "," "))</f>
        <v/>
      </c>
      <c r="Y888">
        <f>IFERROR(--INDEX('Loans'!$D:$D,ROW()),0)</f>
        <v/>
      </c>
      <c r="Z888">
        <f>IFERROR(--INDEX('Loans'!$E:$E,ROW()),0)</f>
        <v/>
      </c>
      <c r="AA888">
        <f>IFERROR(--INDEX('Loans'!$F:$F,ROW()),0)</f>
        <v/>
      </c>
      <c r="AB888">
        <f>IFERROR(IF(--INDEX('Loans'!$G:$G,ROW())&gt;=1,--INDEX('Loans'!$G:$G,ROW())/100,--INDEX('Loans'!$G:$G,ROW())),0)</f>
        <v/>
      </c>
      <c r="AC888">
        <f>TRIM(SUBSTITUTE(INDEX('Loans'!$H:$H,ROW())&amp;""," "," "))</f>
        <v/>
      </c>
      <c r="AD888">
        <f>TRIM(SUBSTITUTE(INDEX('Loans'!$I:$I,ROW())&amp;""," "," "))</f>
        <v/>
      </c>
      <c r="AE888">
        <f>IFERROR(--INDEX('Loans'!$J:$J,ROW()),0)</f>
        <v/>
      </c>
      <c r="AF888">
        <f>TRIM(SUBSTITUTE(INDEX('Loans'!$K:$K,ROW())&amp;""," "," "))</f>
        <v/>
      </c>
      <c r="AG888">
        <f>IFERROR(--INDEX('Loans'!$L:$L,ROW()),0)</f>
        <v/>
      </c>
      <c r="AH888">
        <f>IF(ISNUMBER(INDEX('Loans'!$G:$G,ROW())),1,0)</f>
        <v/>
      </c>
    </row>
    <row r="889">
      <c r="A889">
        <f>TRIM(SUBSTITUTE(INDEX('Term investments'!$A:$A,ROW())&amp;""," "," "))</f>
        <v/>
      </c>
      <c r="B889">
        <f>TRIM(SUBSTITUTE(INDEX('Term investments'!$B:$B,ROW())&amp;""," "," "))</f>
        <v/>
      </c>
      <c r="C889">
        <f>TRIM(SUBSTITUTE(INDEX('Term investments'!$C:$C,ROW())&amp;""," "," "))</f>
        <v/>
      </c>
      <c r="D889">
        <f>IFERROR(--INDEX('Term investments'!$D:$D,ROW()),0)</f>
        <v/>
      </c>
      <c r="E889">
        <f>IFERROR(--INDEX('Term investments'!$E:$E,ROW()),0)</f>
        <v/>
      </c>
      <c r="F889">
        <f>IFERROR(--INDEX('Term investments'!$F:$F,ROW()),0)</f>
        <v/>
      </c>
      <c r="G889">
        <f>IFERROR(IF(--INDEX('Term investments'!$G:$G,ROW())&gt;=1,--INDEX('Term investments'!$G:$G,ROW())/100,--INDEX('Term investments'!$G:$G,ROW())),0)</f>
        <v/>
      </c>
      <c r="H889">
        <f>IFERROR(--INDEX('Term investments'!$H:$H,ROW()),0)</f>
        <v/>
      </c>
      <c r="I889">
        <f>IF(ISNUMBER(INDEX('Term investments'!$G:$G,ROW())),1,0)</f>
        <v/>
      </c>
      <c r="J889">
        <f>TRIM(SUBSTITUTE(INDEX('Call accounts and MMFs'!$A:$A,ROW())&amp;""," "," "))</f>
        <v/>
      </c>
      <c r="K889">
        <f>TRIM(SUBSTITUTE(INDEX('Call accounts and MMFs'!$B:$B,ROW())&amp;""," "," "))</f>
        <v/>
      </c>
      <c r="L889">
        <f>TRIM(SUBSTITUTE(INDEX('Call accounts and MMFs'!$C:$C,ROW())&amp;""," "," "))</f>
        <v/>
      </c>
      <c r="M889">
        <f>IFERROR(--INDEX('Call accounts and MMFs'!$D:$D,ROW()),0)</f>
        <v/>
      </c>
      <c r="N889">
        <f>IFERROR(IF(--INDEX('Call accounts and MMFs'!$E:$E,ROW())&gt;=1,--INDEX('Call accounts and MMFs'!$E:$E,ROW())/100,--INDEX('Call accounts and MMFs'!$E:$E,ROW())),0)</f>
        <v/>
      </c>
      <c r="O889">
        <f>IFERROR(--INDEX('Call accounts and MMFs'!$F:$F,ROW()),0)</f>
        <v/>
      </c>
      <c r="P889">
        <f>IF(ISNUMBER(INDEX('Call accounts and MMFs'!$E:$E,ROW())),1,0)</f>
        <v/>
      </c>
      <c r="Q889">
        <f>TRIM(SUBSTITUTE(INDEX('Pooled funds'!$B:$B,ROW())&amp;""," "," "))</f>
        <v/>
      </c>
      <c r="R889">
        <f>IFERROR(--INDEX('Pooled funds'!$C:$C,ROW()),0)</f>
        <v/>
      </c>
      <c r="S889">
        <f>IFERROR(--INDEX('Pooled funds'!$D:$D,ROW()),0)</f>
        <v/>
      </c>
      <c r="T889">
        <f>IFERROR(IF(--INDEX('Pooled funds'!$E:$E,ROW())&gt;=1,--INDEX('Pooled funds'!$E:$E,ROW())/100,--INDEX('Pooled funds'!$E:$E,ROW())),0)</f>
        <v/>
      </c>
      <c r="U889">
        <f>IF(ISNUMBER(INDEX('Pooled funds'!$E:$E,ROW())),1,0)</f>
        <v/>
      </c>
      <c r="V889">
        <f>TRIM(SUBSTITUTE(INDEX('Loans'!$A:$A,ROW())&amp;""," "," "))</f>
        <v/>
      </c>
      <c r="W889">
        <f>TRIM(SUBSTITUTE(INDEX('Loans'!$B:$B,ROW())&amp;""," "," "))</f>
        <v/>
      </c>
      <c r="X889">
        <f>TRIM(SUBSTITUTE(INDEX('Loans'!$C:$C,ROW())&amp;""," "," "))</f>
        <v/>
      </c>
      <c r="Y889">
        <f>IFERROR(--INDEX('Loans'!$D:$D,ROW()),0)</f>
        <v/>
      </c>
      <c r="Z889">
        <f>IFERROR(--INDEX('Loans'!$E:$E,ROW()),0)</f>
        <v/>
      </c>
      <c r="AA889">
        <f>IFERROR(--INDEX('Loans'!$F:$F,ROW()),0)</f>
        <v/>
      </c>
      <c r="AB889">
        <f>IFERROR(IF(--INDEX('Loans'!$G:$G,ROW())&gt;=1,--INDEX('Loans'!$G:$G,ROW())/100,--INDEX('Loans'!$G:$G,ROW())),0)</f>
        <v/>
      </c>
      <c r="AC889">
        <f>TRIM(SUBSTITUTE(INDEX('Loans'!$H:$H,ROW())&amp;""," "," "))</f>
        <v/>
      </c>
      <c r="AD889">
        <f>TRIM(SUBSTITUTE(INDEX('Loans'!$I:$I,ROW())&amp;""," "," "))</f>
        <v/>
      </c>
      <c r="AE889">
        <f>IFERROR(--INDEX('Loans'!$J:$J,ROW()),0)</f>
        <v/>
      </c>
      <c r="AF889">
        <f>TRIM(SUBSTITUTE(INDEX('Loans'!$K:$K,ROW())&amp;""," "," "))</f>
        <v/>
      </c>
      <c r="AG889">
        <f>IFERROR(--INDEX('Loans'!$L:$L,ROW()),0)</f>
        <v/>
      </c>
      <c r="AH889">
        <f>IF(ISNUMBER(INDEX('Loans'!$G:$G,ROW())),1,0)</f>
        <v/>
      </c>
    </row>
    <row r="890">
      <c r="A890">
        <f>TRIM(SUBSTITUTE(INDEX('Term investments'!$A:$A,ROW())&amp;""," "," "))</f>
        <v/>
      </c>
      <c r="B890">
        <f>TRIM(SUBSTITUTE(INDEX('Term investments'!$B:$B,ROW())&amp;""," "," "))</f>
        <v/>
      </c>
      <c r="C890">
        <f>TRIM(SUBSTITUTE(INDEX('Term investments'!$C:$C,ROW())&amp;""," "," "))</f>
        <v/>
      </c>
      <c r="D890">
        <f>IFERROR(--INDEX('Term investments'!$D:$D,ROW()),0)</f>
        <v/>
      </c>
      <c r="E890">
        <f>IFERROR(--INDEX('Term investments'!$E:$E,ROW()),0)</f>
        <v/>
      </c>
      <c r="F890">
        <f>IFERROR(--INDEX('Term investments'!$F:$F,ROW()),0)</f>
        <v/>
      </c>
      <c r="G890">
        <f>IFERROR(IF(--INDEX('Term investments'!$G:$G,ROW())&gt;=1,--INDEX('Term investments'!$G:$G,ROW())/100,--INDEX('Term investments'!$G:$G,ROW())),0)</f>
        <v/>
      </c>
      <c r="H890">
        <f>IFERROR(--INDEX('Term investments'!$H:$H,ROW()),0)</f>
        <v/>
      </c>
      <c r="I890">
        <f>IF(ISNUMBER(INDEX('Term investments'!$G:$G,ROW())),1,0)</f>
        <v/>
      </c>
      <c r="J890">
        <f>TRIM(SUBSTITUTE(INDEX('Call accounts and MMFs'!$A:$A,ROW())&amp;""," "," "))</f>
        <v/>
      </c>
      <c r="K890">
        <f>TRIM(SUBSTITUTE(INDEX('Call accounts and MMFs'!$B:$B,ROW())&amp;""," "," "))</f>
        <v/>
      </c>
      <c r="L890">
        <f>TRIM(SUBSTITUTE(INDEX('Call accounts and MMFs'!$C:$C,ROW())&amp;""," "," "))</f>
        <v/>
      </c>
      <c r="M890">
        <f>IFERROR(--INDEX('Call accounts and MMFs'!$D:$D,ROW()),0)</f>
        <v/>
      </c>
      <c r="N890">
        <f>IFERROR(IF(--INDEX('Call accounts and MMFs'!$E:$E,ROW())&gt;=1,--INDEX('Call accounts and MMFs'!$E:$E,ROW())/100,--INDEX('Call accounts and MMFs'!$E:$E,ROW())),0)</f>
        <v/>
      </c>
      <c r="O890">
        <f>IFERROR(--INDEX('Call accounts and MMFs'!$F:$F,ROW()),0)</f>
        <v/>
      </c>
      <c r="P890">
        <f>IF(ISNUMBER(INDEX('Call accounts and MMFs'!$E:$E,ROW())),1,0)</f>
        <v/>
      </c>
      <c r="Q890">
        <f>TRIM(SUBSTITUTE(INDEX('Pooled funds'!$B:$B,ROW())&amp;""," "," "))</f>
        <v/>
      </c>
      <c r="R890">
        <f>IFERROR(--INDEX('Pooled funds'!$C:$C,ROW()),0)</f>
        <v/>
      </c>
      <c r="S890">
        <f>IFERROR(--INDEX('Pooled funds'!$D:$D,ROW()),0)</f>
        <v/>
      </c>
      <c r="T890">
        <f>IFERROR(IF(--INDEX('Pooled funds'!$E:$E,ROW())&gt;=1,--INDEX('Pooled funds'!$E:$E,ROW())/100,--INDEX('Pooled funds'!$E:$E,ROW())),0)</f>
        <v/>
      </c>
      <c r="U890">
        <f>IF(ISNUMBER(INDEX('Pooled funds'!$E:$E,ROW())),1,0)</f>
        <v/>
      </c>
      <c r="V890">
        <f>TRIM(SUBSTITUTE(INDEX('Loans'!$A:$A,ROW())&amp;""," "," "))</f>
        <v/>
      </c>
      <c r="W890">
        <f>TRIM(SUBSTITUTE(INDEX('Loans'!$B:$B,ROW())&amp;""," "," "))</f>
        <v/>
      </c>
      <c r="X890">
        <f>TRIM(SUBSTITUTE(INDEX('Loans'!$C:$C,ROW())&amp;""," "," "))</f>
        <v/>
      </c>
      <c r="Y890">
        <f>IFERROR(--INDEX('Loans'!$D:$D,ROW()),0)</f>
        <v/>
      </c>
      <c r="Z890">
        <f>IFERROR(--INDEX('Loans'!$E:$E,ROW()),0)</f>
        <v/>
      </c>
      <c r="AA890">
        <f>IFERROR(--INDEX('Loans'!$F:$F,ROW()),0)</f>
        <v/>
      </c>
      <c r="AB890">
        <f>IFERROR(IF(--INDEX('Loans'!$G:$G,ROW())&gt;=1,--INDEX('Loans'!$G:$G,ROW())/100,--INDEX('Loans'!$G:$G,ROW())),0)</f>
        <v/>
      </c>
      <c r="AC890">
        <f>TRIM(SUBSTITUTE(INDEX('Loans'!$H:$H,ROW())&amp;""," "," "))</f>
        <v/>
      </c>
      <c r="AD890">
        <f>TRIM(SUBSTITUTE(INDEX('Loans'!$I:$I,ROW())&amp;""," "," "))</f>
        <v/>
      </c>
      <c r="AE890">
        <f>IFERROR(--INDEX('Loans'!$J:$J,ROW()),0)</f>
        <v/>
      </c>
      <c r="AF890">
        <f>TRIM(SUBSTITUTE(INDEX('Loans'!$K:$K,ROW())&amp;""," "," "))</f>
        <v/>
      </c>
      <c r="AG890">
        <f>IFERROR(--INDEX('Loans'!$L:$L,ROW()),0)</f>
        <v/>
      </c>
      <c r="AH890">
        <f>IF(ISNUMBER(INDEX('Loans'!$G:$G,ROW())),1,0)</f>
        <v/>
      </c>
    </row>
    <row r="891">
      <c r="A891">
        <f>TRIM(SUBSTITUTE(INDEX('Term investments'!$A:$A,ROW())&amp;""," "," "))</f>
        <v/>
      </c>
      <c r="B891">
        <f>TRIM(SUBSTITUTE(INDEX('Term investments'!$B:$B,ROW())&amp;""," "," "))</f>
        <v/>
      </c>
      <c r="C891">
        <f>TRIM(SUBSTITUTE(INDEX('Term investments'!$C:$C,ROW())&amp;""," "," "))</f>
        <v/>
      </c>
      <c r="D891">
        <f>IFERROR(--INDEX('Term investments'!$D:$D,ROW()),0)</f>
        <v/>
      </c>
      <c r="E891">
        <f>IFERROR(--INDEX('Term investments'!$E:$E,ROW()),0)</f>
        <v/>
      </c>
      <c r="F891">
        <f>IFERROR(--INDEX('Term investments'!$F:$F,ROW()),0)</f>
        <v/>
      </c>
      <c r="G891">
        <f>IFERROR(IF(--INDEX('Term investments'!$G:$G,ROW())&gt;=1,--INDEX('Term investments'!$G:$G,ROW())/100,--INDEX('Term investments'!$G:$G,ROW())),0)</f>
        <v/>
      </c>
      <c r="H891">
        <f>IFERROR(--INDEX('Term investments'!$H:$H,ROW()),0)</f>
        <v/>
      </c>
      <c r="I891">
        <f>IF(ISNUMBER(INDEX('Term investments'!$G:$G,ROW())),1,0)</f>
        <v/>
      </c>
      <c r="J891">
        <f>TRIM(SUBSTITUTE(INDEX('Call accounts and MMFs'!$A:$A,ROW())&amp;""," "," "))</f>
        <v/>
      </c>
      <c r="K891">
        <f>TRIM(SUBSTITUTE(INDEX('Call accounts and MMFs'!$B:$B,ROW())&amp;""," "," "))</f>
        <v/>
      </c>
      <c r="L891">
        <f>TRIM(SUBSTITUTE(INDEX('Call accounts and MMFs'!$C:$C,ROW())&amp;""," "," "))</f>
        <v/>
      </c>
      <c r="M891">
        <f>IFERROR(--INDEX('Call accounts and MMFs'!$D:$D,ROW()),0)</f>
        <v/>
      </c>
      <c r="N891">
        <f>IFERROR(IF(--INDEX('Call accounts and MMFs'!$E:$E,ROW())&gt;=1,--INDEX('Call accounts and MMFs'!$E:$E,ROW())/100,--INDEX('Call accounts and MMFs'!$E:$E,ROW())),0)</f>
        <v/>
      </c>
      <c r="O891">
        <f>IFERROR(--INDEX('Call accounts and MMFs'!$F:$F,ROW()),0)</f>
        <v/>
      </c>
      <c r="P891">
        <f>IF(ISNUMBER(INDEX('Call accounts and MMFs'!$E:$E,ROW())),1,0)</f>
        <v/>
      </c>
      <c r="Q891">
        <f>TRIM(SUBSTITUTE(INDEX('Pooled funds'!$B:$B,ROW())&amp;""," "," "))</f>
        <v/>
      </c>
      <c r="R891">
        <f>IFERROR(--INDEX('Pooled funds'!$C:$C,ROW()),0)</f>
        <v/>
      </c>
      <c r="S891">
        <f>IFERROR(--INDEX('Pooled funds'!$D:$D,ROW()),0)</f>
        <v/>
      </c>
      <c r="T891">
        <f>IFERROR(IF(--INDEX('Pooled funds'!$E:$E,ROW())&gt;=1,--INDEX('Pooled funds'!$E:$E,ROW())/100,--INDEX('Pooled funds'!$E:$E,ROW())),0)</f>
        <v/>
      </c>
      <c r="U891">
        <f>IF(ISNUMBER(INDEX('Pooled funds'!$E:$E,ROW())),1,0)</f>
        <v/>
      </c>
      <c r="V891">
        <f>TRIM(SUBSTITUTE(INDEX('Loans'!$A:$A,ROW())&amp;""," "," "))</f>
        <v/>
      </c>
      <c r="W891">
        <f>TRIM(SUBSTITUTE(INDEX('Loans'!$B:$B,ROW())&amp;""," "," "))</f>
        <v/>
      </c>
      <c r="X891">
        <f>TRIM(SUBSTITUTE(INDEX('Loans'!$C:$C,ROW())&amp;""," "," "))</f>
        <v/>
      </c>
      <c r="Y891">
        <f>IFERROR(--INDEX('Loans'!$D:$D,ROW()),0)</f>
        <v/>
      </c>
      <c r="Z891">
        <f>IFERROR(--INDEX('Loans'!$E:$E,ROW()),0)</f>
        <v/>
      </c>
      <c r="AA891">
        <f>IFERROR(--INDEX('Loans'!$F:$F,ROW()),0)</f>
        <v/>
      </c>
      <c r="AB891">
        <f>IFERROR(IF(--INDEX('Loans'!$G:$G,ROW())&gt;=1,--INDEX('Loans'!$G:$G,ROW())/100,--INDEX('Loans'!$G:$G,ROW())),0)</f>
        <v/>
      </c>
      <c r="AC891">
        <f>TRIM(SUBSTITUTE(INDEX('Loans'!$H:$H,ROW())&amp;""," "," "))</f>
        <v/>
      </c>
      <c r="AD891">
        <f>TRIM(SUBSTITUTE(INDEX('Loans'!$I:$I,ROW())&amp;""," "," "))</f>
        <v/>
      </c>
      <c r="AE891">
        <f>IFERROR(--INDEX('Loans'!$J:$J,ROW()),0)</f>
        <v/>
      </c>
      <c r="AF891">
        <f>TRIM(SUBSTITUTE(INDEX('Loans'!$K:$K,ROW())&amp;""," "," "))</f>
        <v/>
      </c>
      <c r="AG891">
        <f>IFERROR(--INDEX('Loans'!$L:$L,ROW()),0)</f>
        <v/>
      </c>
      <c r="AH891">
        <f>IF(ISNUMBER(INDEX('Loans'!$G:$G,ROW())),1,0)</f>
        <v/>
      </c>
    </row>
    <row r="892">
      <c r="A892">
        <f>TRIM(SUBSTITUTE(INDEX('Term investments'!$A:$A,ROW())&amp;""," "," "))</f>
        <v/>
      </c>
      <c r="B892">
        <f>TRIM(SUBSTITUTE(INDEX('Term investments'!$B:$B,ROW())&amp;""," "," "))</f>
        <v/>
      </c>
      <c r="C892">
        <f>TRIM(SUBSTITUTE(INDEX('Term investments'!$C:$C,ROW())&amp;""," "," "))</f>
        <v/>
      </c>
      <c r="D892">
        <f>IFERROR(--INDEX('Term investments'!$D:$D,ROW()),0)</f>
        <v/>
      </c>
      <c r="E892">
        <f>IFERROR(--INDEX('Term investments'!$E:$E,ROW()),0)</f>
        <v/>
      </c>
      <c r="F892">
        <f>IFERROR(--INDEX('Term investments'!$F:$F,ROW()),0)</f>
        <v/>
      </c>
      <c r="G892">
        <f>IFERROR(IF(--INDEX('Term investments'!$G:$G,ROW())&gt;=1,--INDEX('Term investments'!$G:$G,ROW())/100,--INDEX('Term investments'!$G:$G,ROW())),0)</f>
        <v/>
      </c>
      <c r="H892">
        <f>IFERROR(--INDEX('Term investments'!$H:$H,ROW()),0)</f>
        <v/>
      </c>
      <c r="I892">
        <f>IF(ISNUMBER(INDEX('Term investments'!$G:$G,ROW())),1,0)</f>
        <v/>
      </c>
      <c r="J892">
        <f>TRIM(SUBSTITUTE(INDEX('Call accounts and MMFs'!$A:$A,ROW())&amp;""," "," "))</f>
        <v/>
      </c>
      <c r="K892">
        <f>TRIM(SUBSTITUTE(INDEX('Call accounts and MMFs'!$B:$B,ROW())&amp;""," "," "))</f>
        <v/>
      </c>
      <c r="L892">
        <f>TRIM(SUBSTITUTE(INDEX('Call accounts and MMFs'!$C:$C,ROW())&amp;""," "," "))</f>
        <v/>
      </c>
      <c r="M892">
        <f>IFERROR(--INDEX('Call accounts and MMFs'!$D:$D,ROW()),0)</f>
        <v/>
      </c>
      <c r="N892">
        <f>IFERROR(IF(--INDEX('Call accounts and MMFs'!$E:$E,ROW())&gt;=1,--INDEX('Call accounts and MMFs'!$E:$E,ROW())/100,--INDEX('Call accounts and MMFs'!$E:$E,ROW())),0)</f>
        <v/>
      </c>
      <c r="O892">
        <f>IFERROR(--INDEX('Call accounts and MMFs'!$F:$F,ROW()),0)</f>
        <v/>
      </c>
      <c r="P892">
        <f>IF(ISNUMBER(INDEX('Call accounts and MMFs'!$E:$E,ROW())),1,0)</f>
        <v/>
      </c>
      <c r="Q892">
        <f>TRIM(SUBSTITUTE(INDEX('Pooled funds'!$B:$B,ROW())&amp;""," "," "))</f>
        <v/>
      </c>
      <c r="R892">
        <f>IFERROR(--INDEX('Pooled funds'!$C:$C,ROW()),0)</f>
        <v/>
      </c>
      <c r="S892">
        <f>IFERROR(--INDEX('Pooled funds'!$D:$D,ROW()),0)</f>
        <v/>
      </c>
      <c r="T892">
        <f>IFERROR(IF(--INDEX('Pooled funds'!$E:$E,ROW())&gt;=1,--INDEX('Pooled funds'!$E:$E,ROW())/100,--INDEX('Pooled funds'!$E:$E,ROW())),0)</f>
        <v/>
      </c>
      <c r="U892">
        <f>IF(ISNUMBER(INDEX('Pooled funds'!$E:$E,ROW())),1,0)</f>
        <v/>
      </c>
      <c r="V892">
        <f>TRIM(SUBSTITUTE(INDEX('Loans'!$A:$A,ROW())&amp;""," "," "))</f>
        <v/>
      </c>
      <c r="W892">
        <f>TRIM(SUBSTITUTE(INDEX('Loans'!$B:$B,ROW())&amp;""," "," "))</f>
        <v/>
      </c>
      <c r="X892">
        <f>TRIM(SUBSTITUTE(INDEX('Loans'!$C:$C,ROW())&amp;""," "," "))</f>
        <v/>
      </c>
      <c r="Y892">
        <f>IFERROR(--INDEX('Loans'!$D:$D,ROW()),0)</f>
        <v/>
      </c>
      <c r="Z892">
        <f>IFERROR(--INDEX('Loans'!$E:$E,ROW()),0)</f>
        <v/>
      </c>
      <c r="AA892">
        <f>IFERROR(--INDEX('Loans'!$F:$F,ROW()),0)</f>
        <v/>
      </c>
      <c r="AB892">
        <f>IFERROR(IF(--INDEX('Loans'!$G:$G,ROW())&gt;=1,--INDEX('Loans'!$G:$G,ROW())/100,--INDEX('Loans'!$G:$G,ROW())),0)</f>
        <v/>
      </c>
      <c r="AC892">
        <f>TRIM(SUBSTITUTE(INDEX('Loans'!$H:$H,ROW())&amp;""," "," "))</f>
        <v/>
      </c>
      <c r="AD892">
        <f>TRIM(SUBSTITUTE(INDEX('Loans'!$I:$I,ROW())&amp;""," "," "))</f>
        <v/>
      </c>
      <c r="AE892">
        <f>IFERROR(--INDEX('Loans'!$J:$J,ROW()),0)</f>
        <v/>
      </c>
      <c r="AF892">
        <f>TRIM(SUBSTITUTE(INDEX('Loans'!$K:$K,ROW())&amp;""," "," "))</f>
        <v/>
      </c>
      <c r="AG892">
        <f>IFERROR(--INDEX('Loans'!$L:$L,ROW()),0)</f>
        <v/>
      </c>
      <c r="AH892">
        <f>IF(ISNUMBER(INDEX('Loans'!$G:$G,ROW())),1,0)</f>
        <v/>
      </c>
    </row>
    <row r="893">
      <c r="A893">
        <f>TRIM(SUBSTITUTE(INDEX('Term investments'!$A:$A,ROW())&amp;""," "," "))</f>
        <v/>
      </c>
      <c r="B893">
        <f>TRIM(SUBSTITUTE(INDEX('Term investments'!$B:$B,ROW())&amp;""," "," "))</f>
        <v/>
      </c>
      <c r="C893">
        <f>TRIM(SUBSTITUTE(INDEX('Term investments'!$C:$C,ROW())&amp;""," "," "))</f>
        <v/>
      </c>
      <c r="D893">
        <f>IFERROR(--INDEX('Term investments'!$D:$D,ROW()),0)</f>
        <v/>
      </c>
      <c r="E893">
        <f>IFERROR(--INDEX('Term investments'!$E:$E,ROW()),0)</f>
        <v/>
      </c>
      <c r="F893">
        <f>IFERROR(--INDEX('Term investments'!$F:$F,ROW()),0)</f>
        <v/>
      </c>
      <c r="G893">
        <f>IFERROR(IF(--INDEX('Term investments'!$G:$G,ROW())&gt;=1,--INDEX('Term investments'!$G:$G,ROW())/100,--INDEX('Term investments'!$G:$G,ROW())),0)</f>
        <v/>
      </c>
      <c r="H893">
        <f>IFERROR(--INDEX('Term investments'!$H:$H,ROW()),0)</f>
        <v/>
      </c>
      <c r="I893">
        <f>IF(ISNUMBER(INDEX('Term investments'!$G:$G,ROW())),1,0)</f>
        <v/>
      </c>
      <c r="J893">
        <f>TRIM(SUBSTITUTE(INDEX('Call accounts and MMFs'!$A:$A,ROW())&amp;""," "," "))</f>
        <v/>
      </c>
      <c r="K893">
        <f>TRIM(SUBSTITUTE(INDEX('Call accounts and MMFs'!$B:$B,ROW())&amp;""," "," "))</f>
        <v/>
      </c>
      <c r="L893">
        <f>TRIM(SUBSTITUTE(INDEX('Call accounts and MMFs'!$C:$C,ROW())&amp;""," "," "))</f>
        <v/>
      </c>
      <c r="M893">
        <f>IFERROR(--INDEX('Call accounts and MMFs'!$D:$D,ROW()),0)</f>
        <v/>
      </c>
      <c r="N893">
        <f>IFERROR(IF(--INDEX('Call accounts and MMFs'!$E:$E,ROW())&gt;=1,--INDEX('Call accounts and MMFs'!$E:$E,ROW())/100,--INDEX('Call accounts and MMFs'!$E:$E,ROW())),0)</f>
        <v/>
      </c>
      <c r="O893">
        <f>IFERROR(--INDEX('Call accounts and MMFs'!$F:$F,ROW()),0)</f>
        <v/>
      </c>
      <c r="P893">
        <f>IF(ISNUMBER(INDEX('Call accounts and MMFs'!$E:$E,ROW())),1,0)</f>
        <v/>
      </c>
      <c r="Q893">
        <f>TRIM(SUBSTITUTE(INDEX('Pooled funds'!$B:$B,ROW())&amp;""," "," "))</f>
        <v/>
      </c>
      <c r="R893">
        <f>IFERROR(--INDEX('Pooled funds'!$C:$C,ROW()),0)</f>
        <v/>
      </c>
      <c r="S893">
        <f>IFERROR(--INDEX('Pooled funds'!$D:$D,ROW()),0)</f>
        <v/>
      </c>
      <c r="T893">
        <f>IFERROR(IF(--INDEX('Pooled funds'!$E:$E,ROW())&gt;=1,--INDEX('Pooled funds'!$E:$E,ROW())/100,--INDEX('Pooled funds'!$E:$E,ROW())),0)</f>
        <v/>
      </c>
      <c r="U893">
        <f>IF(ISNUMBER(INDEX('Pooled funds'!$E:$E,ROW())),1,0)</f>
        <v/>
      </c>
      <c r="V893">
        <f>TRIM(SUBSTITUTE(INDEX('Loans'!$A:$A,ROW())&amp;""," "," "))</f>
        <v/>
      </c>
      <c r="W893">
        <f>TRIM(SUBSTITUTE(INDEX('Loans'!$B:$B,ROW())&amp;""," "," "))</f>
        <v/>
      </c>
      <c r="X893">
        <f>TRIM(SUBSTITUTE(INDEX('Loans'!$C:$C,ROW())&amp;""," "," "))</f>
        <v/>
      </c>
      <c r="Y893">
        <f>IFERROR(--INDEX('Loans'!$D:$D,ROW()),0)</f>
        <v/>
      </c>
      <c r="Z893">
        <f>IFERROR(--INDEX('Loans'!$E:$E,ROW()),0)</f>
        <v/>
      </c>
      <c r="AA893">
        <f>IFERROR(--INDEX('Loans'!$F:$F,ROW()),0)</f>
        <v/>
      </c>
      <c r="AB893">
        <f>IFERROR(IF(--INDEX('Loans'!$G:$G,ROW())&gt;=1,--INDEX('Loans'!$G:$G,ROW())/100,--INDEX('Loans'!$G:$G,ROW())),0)</f>
        <v/>
      </c>
      <c r="AC893">
        <f>TRIM(SUBSTITUTE(INDEX('Loans'!$H:$H,ROW())&amp;""," "," "))</f>
        <v/>
      </c>
      <c r="AD893">
        <f>TRIM(SUBSTITUTE(INDEX('Loans'!$I:$I,ROW())&amp;""," "," "))</f>
        <v/>
      </c>
      <c r="AE893">
        <f>IFERROR(--INDEX('Loans'!$J:$J,ROW()),0)</f>
        <v/>
      </c>
      <c r="AF893">
        <f>TRIM(SUBSTITUTE(INDEX('Loans'!$K:$K,ROW())&amp;""," "," "))</f>
        <v/>
      </c>
      <c r="AG893">
        <f>IFERROR(--INDEX('Loans'!$L:$L,ROW()),0)</f>
        <v/>
      </c>
      <c r="AH893">
        <f>IF(ISNUMBER(INDEX('Loans'!$G:$G,ROW())),1,0)</f>
        <v/>
      </c>
    </row>
    <row r="894">
      <c r="A894">
        <f>TRIM(SUBSTITUTE(INDEX('Term investments'!$A:$A,ROW())&amp;""," "," "))</f>
        <v/>
      </c>
      <c r="B894">
        <f>TRIM(SUBSTITUTE(INDEX('Term investments'!$B:$B,ROW())&amp;""," "," "))</f>
        <v/>
      </c>
      <c r="C894">
        <f>TRIM(SUBSTITUTE(INDEX('Term investments'!$C:$C,ROW())&amp;""," "," "))</f>
        <v/>
      </c>
      <c r="D894">
        <f>IFERROR(--INDEX('Term investments'!$D:$D,ROW()),0)</f>
        <v/>
      </c>
      <c r="E894">
        <f>IFERROR(--INDEX('Term investments'!$E:$E,ROW()),0)</f>
        <v/>
      </c>
      <c r="F894">
        <f>IFERROR(--INDEX('Term investments'!$F:$F,ROW()),0)</f>
        <v/>
      </c>
      <c r="G894">
        <f>IFERROR(IF(--INDEX('Term investments'!$G:$G,ROW())&gt;=1,--INDEX('Term investments'!$G:$G,ROW())/100,--INDEX('Term investments'!$G:$G,ROW())),0)</f>
        <v/>
      </c>
      <c r="H894">
        <f>IFERROR(--INDEX('Term investments'!$H:$H,ROW()),0)</f>
        <v/>
      </c>
      <c r="I894">
        <f>IF(ISNUMBER(INDEX('Term investments'!$G:$G,ROW())),1,0)</f>
        <v/>
      </c>
      <c r="J894">
        <f>TRIM(SUBSTITUTE(INDEX('Call accounts and MMFs'!$A:$A,ROW())&amp;""," "," "))</f>
        <v/>
      </c>
      <c r="K894">
        <f>TRIM(SUBSTITUTE(INDEX('Call accounts and MMFs'!$B:$B,ROW())&amp;""," "," "))</f>
        <v/>
      </c>
      <c r="L894">
        <f>TRIM(SUBSTITUTE(INDEX('Call accounts and MMFs'!$C:$C,ROW())&amp;""," "," "))</f>
        <v/>
      </c>
      <c r="M894">
        <f>IFERROR(--INDEX('Call accounts and MMFs'!$D:$D,ROW()),0)</f>
        <v/>
      </c>
      <c r="N894">
        <f>IFERROR(IF(--INDEX('Call accounts and MMFs'!$E:$E,ROW())&gt;=1,--INDEX('Call accounts and MMFs'!$E:$E,ROW())/100,--INDEX('Call accounts and MMFs'!$E:$E,ROW())),0)</f>
        <v/>
      </c>
      <c r="O894">
        <f>IFERROR(--INDEX('Call accounts and MMFs'!$F:$F,ROW()),0)</f>
        <v/>
      </c>
      <c r="P894">
        <f>IF(ISNUMBER(INDEX('Call accounts and MMFs'!$E:$E,ROW())),1,0)</f>
        <v/>
      </c>
      <c r="Q894">
        <f>TRIM(SUBSTITUTE(INDEX('Pooled funds'!$B:$B,ROW())&amp;""," "," "))</f>
        <v/>
      </c>
      <c r="R894">
        <f>IFERROR(--INDEX('Pooled funds'!$C:$C,ROW()),0)</f>
        <v/>
      </c>
      <c r="S894">
        <f>IFERROR(--INDEX('Pooled funds'!$D:$D,ROW()),0)</f>
        <v/>
      </c>
      <c r="T894">
        <f>IFERROR(IF(--INDEX('Pooled funds'!$E:$E,ROW())&gt;=1,--INDEX('Pooled funds'!$E:$E,ROW())/100,--INDEX('Pooled funds'!$E:$E,ROW())),0)</f>
        <v/>
      </c>
      <c r="U894">
        <f>IF(ISNUMBER(INDEX('Pooled funds'!$E:$E,ROW())),1,0)</f>
        <v/>
      </c>
      <c r="V894">
        <f>TRIM(SUBSTITUTE(INDEX('Loans'!$A:$A,ROW())&amp;""," "," "))</f>
        <v/>
      </c>
      <c r="W894">
        <f>TRIM(SUBSTITUTE(INDEX('Loans'!$B:$B,ROW())&amp;""," "," "))</f>
        <v/>
      </c>
      <c r="X894">
        <f>TRIM(SUBSTITUTE(INDEX('Loans'!$C:$C,ROW())&amp;""," "," "))</f>
        <v/>
      </c>
      <c r="Y894">
        <f>IFERROR(--INDEX('Loans'!$D:$D,ROW()),0)</f>
        <v/>
      </c>
      <c r="Z894">
        <f>IFERROR(--INDEX('Loans'!$E:$E,ROW()),0)</f>
        <v/>
      </c>
      <c r="AA894">
        <f>IFERROR(--INDEX('Loans'!$F:$F,ROW()),0)</f>
        <v/>
      </c>
      <c r="AB894">
        <f>IFERROR(IF(--INDEX('Loans'!$G:$G,ROW())&gt;=1,--INDEX('Loans'!$G:$G,ROW())/100,--INDEX('Loans'!$G:$G,ROW())),0)</f>
        <v/>
      </c>
      <c r="AC894">
        <f>TRIM(SUBSTITUTE(INDEX('Loans'!$H:$H,ROW())&amp;""," "," "))</f>
        <v/>
      </c>
      <c r="AD894">
        <f>TRIM(SUBSTITUTE(INDEX('Loans'!$I:$I,ROW())&amp;""," "," "))</f>
        <v/>
      </c>
      <c r="AE894">
        <f>IFERROR(--INDEX('Loans'!$J:$J,ROW()),0)</f>
        <v/>
      </c>
      <c r="AF894">
        <f>TRIM(SUBSTITUTE(INDEX('Loans'!$K:$K,ROW())&amp;""," "," "))</f>
        <v/>
      </c>
      <c r="AG894">
        <f>IFERROR(--INDEX('Loans'!$L:$L,ROW()),0)</f>
        <v/>
      </c>
      <c r="AH894">
        <f>IF(ISNUMBER(INDEX('Loans'!$G:$G,ROW())),1,0)</f>
        <v/>
      </c>
    </row>
    <row r="895">
      <c r="A895">
        <f>TRIM(SUBSTITUTE(INDEX('Term investments'!$A:$A,ROW())&amp;""," "," "))</f>
        <v/>
      </c>
      <c r="B895">
        <f>TRIM(SUBSTITUTE(INDEX('Term investments'!$B:$B,ROW())&amp;""," "," "))</f>
        <v/>
      </c>
      <c r="C895">
        <f>TRIM(SUBSTITUTE(INDEX('Term investments'!$C:$C,ROW())&amp;""," "," "))</f>
        <v/>
      </c>
      <c r="D895">
        <f>IFERROR(--INDEX('Term investments'!$D:$D,ROW()),0)</f>
        <v/>
      </c>
      <c r="E895">
        <f>IFERROR(--INDEX('Term investments'!$E:$E,ROW()),0)</f>
        <v/>
      </c>
      <c r="F895">
        <f>IFERROR(--INDEX('Term investments'!$F:$F,ROW()),0)</f>
        <v/>
      </c>
      <c r="G895">
        <f>IFERROR(IF(--INDEX('Term investments'!$G:$G,ROW())&gt;=1,--INDEX('Term investments'!$G:$G,ROW())/100,--INDEX('Term investments'!$G:$G,ROW())),0)</f>
        <v/>
      </c>
      <c r="H895">
        <f>IFERROR(--INDEX('Term investments'!$H:$H,ROW()),0)</f>
        <v/>
      </c>
      <c r="I895">
        <f>IF(ISNUMBER(INDEX('Term investments'!$G:$G,ROW())),1,0)</f>
        <v/>
      </c>
      <c r="J895">
        <f>TRIM(SUBSTITUTE(INDEX('Call accounts and MMFs'!$A:$A,ROW())&amp;""," "," "))</f>
        <v/>
      </c>
      <c r="K895">
        <f>TRIM(SUBSTITUTE(INDEX('Call accounts and MMFs'!$B:$B,ROW())&amp;""," "," "))</f>
        <v/>
      </c>
      <c r="L895">
        <f>TRIM(SUBSTITUTE(INDEX('Call accounts and MMFs'!$C:$C,ROW())&amp;""," "," "))</f>
        <v/>
      </c>
      <c r="M895">
        <f>IFERROR(--INDEX('Call accounts and MMFs'!$D:$D,ROW()),0)</f>
        <v/>
      </c>
      <c r="N895">
        <f>IFERROR(IF(--INDEX('Call accounts and MMFs'!$E:$E,ROW())&gt;=1,--INDEX('Call accounts and MMFs'!$E:$E,ROW())/100,--INDEX('Call accounts and MMFs'!$E:$E,ROW())),0)</f>
        <v/>
      </c>
      <c r="O895">
        <f>IFERROR(--INDEX('Call accounts and MMFs'!$F:$F,ROW()),0)</f>
        <v/>
      </c>
      <c r="P895">
        <f>IF(ISNUMBER(INDEX('Call accounts and MMFs'!$E:$E,ROW())),1,0)</f>
        <v/>
      </c>
      <c r="Q895">
        <f>TRIM(SUBSTITUTE(INDEX('Pooled funds'!$B:$B,ROW())&amp;""," "," "))</f>
        <v/>
      </c>
      <c r="R895">
        <f>IFERROR(--INDEX('Pooled funds'!$C:$C,ROW()),0)</f>
        <v/>
      </c>
      <c r="S895">
        <f>IFERROR(--INDEX('Pooled funds'!$D:$D,ROW()),0)</f>
        <v/>
      </c>
      <c r="T895">
        <f>IFERROR(IF(--INDEX('Pooled funds'!$E:$E,ROW())&gt;=1,--INDEX('Pooled funds'!$E:$E,ROW())/100,--INDEX('Pooled funds'!$E:$E,ROW())),0)</f>
        <v/>
      </c>
      <c r="U895">
        <f>IF(ISNUMBER(INDEX('Pooled funds'!$E:$E,ROW())),1,0)</f>
        <v/>
      </c>
      <c r="V895">
        <f>TRIM(SUBSTITUTE(INDEX('Loans'!$A:$A,ROW())&amp;""," "," "))</f>
        <v/>
      </c>
      <c r="W895">
        <f>TRIM(SUBSTITUTE(INDEX('Loans'!$B:$B,ROW())&amp;""," "," "))</f>
        <v/>
      </c>
      <c r="X895">
        <f>TRIM(SUBSTITUTE(INDEX('Loans'!$C:$C,ROW())&amp;""," "," "))</f>
        <v/>
      </c>
      <c r="Y895">
        <f>IFERROR(--INDEX('Loans'!$D:$D,ROW()),0)</f>
        <v/>
      </c>
      <c r="Z895">
        <f>IFERROR(--INDEX('Loans'!$E:$E,ROW()),0)</f>
        <v/>
      </c>
      <c r="AA895">
        <f>IFERROR(--INDEX('Loans'!$F:$F,ROW()),0)</f>
        <v/>
      </c>
      <c r="AB895">
        <f>IFERROR(IF(--INDEX('Loans'!$G:$G,ROW())&gt;=1,--INDEX('Loans'!$G:$G,ROW())/100,--INDEX('Loans'!$G:$G,ROW())),0)</f>
        <v/>
      </c>
      <c r="AC895">
        <f>TRIM(SUBSTITUTE(INDEX('Loans'!$H:$H,ROW())&amp;""," "," "))</f>
        <v/>
      </c>
      <c r="AD895">
        <f>TRIM(SUBSTITUTE(INDEX('Loans'!$I:$I,ROW())&amp;""," "," "))</f>
        <v/>
      </c>
      <c r="AE895">
        <f>IFERROR(--INDEX('Loans'!$J:$J,ROW()),0)</f>
        <v/>
      </c>
      <c r="AF895">
        <f>TRIM(SUBSTITUTE(INDEX('Loans'!$K:$K,ROW())&amp;""," "," "))</f>
        <v/>
      </c>
      <c r="AG895">
        <f>IFERROR(--INDEX('Loans'!$L:$L,ROW()),0)</f>
        <v/>
      </c>
      <c r="AH895">
        <f>IF(ISNUMBER(INDEX('Loans'!$G:$G,ROW())),1,0)</f>
        <v/>
      </c>
    </row>
    <row r="896">
      <c r="A896">
        <f>TRIM(SUBSTITUTE(INDEX('Term investments'!$A:$A,ROW())&amp;""," "," "))</f>
        <v/>
      </c>
      <c r="B896">
        <f>TRIM(SUBSTITUTE(INDEX('Term investments'!$B:$B,ROW())&amp;""," "," "))</f>
        <v/>
      </c>
      <c r="C896">
        <f>TRIM(SUBSTITUTE(INDEX('Term investments'!$C:$C,ROW())&amp;""," "," "))</f>
        <v/>
      </c>
      <c r="D896">
        <f>IFERROR(--INDEX('Term investments'!$D:$D,ROW()),0)</f>
        <v/>
      </c>
      <c r="E896">
        <f>IFERROR(--INDEX('Term investments'!$E:$E,ROW()),0)</f>
        <v/>
      </c>
      <c r="F896">
        <f>IFERROR(--INDEX('Term investments'!$F:$F,ROW()),0)</f>
        <v/>
      </c>
      <c r="G896">
        <f>IFERROR(IF(--INDEX('Term investments'!$G:$G,ROW())&gt;=1,--INDEX('Term investments'!$G:$G,ROW())/100,--INDEX('Term investments'!$G:$G,ROW())),0)</f>
        <v/>
      </c>
      <c r="H896">
        <f>IFERROR(--INDEX('Term investments'!$H:$H,ROW()),0)</f>
        <v/>
      </c>
      <c r="I896">
        <f>IF(ISNUMBER(INDEX('Term investments'!$G:$G,ROW())),1,0)</f>
        <v/>
      </c>
      <c r="J896">
        <f>TRIM(SUBSTITUTE(INDEX('Call accounts and MMFs'!$A:$A,ROW())&amp;""," "," "))</f>
        <v/>
      </c>
      <c r="K896">
        <f>TRIM(SUBSTITUTE(INDEX('Call accounts and MMFs'!$B:$B,ROW())&amp;""," "," "))</f>
        <v/>
      </c>
      <c r="L896">
        <f>TRIM(SUBSTITUTE(INDEX('Call accounts and MMFs'!$C:$C,ROW())&amp;""," "," "))</f>
        <v/>
      </c>
      <c r="M896">
        <f>IFERROR(--INDEX('Call accounts and MMFs'!$D:$D,ROW()),0)</f>
        <v/>
      </c>
      <c r="N896">
        <f>IFERROR(IF(--INDEX('Call accounts and MMFs'!$E:$E,ROW())&gt;=1,--INDEX('Call accounts and MMFs'!$E:$E,ROW())/100,--INDEX('Call accounts and MMFs'!$E:$E,ROW())),0)</f>
        <v/>
      </c>
      <c r="O896">
        <f>IFERROR(--INDEX('Call accounts and MMFs'!$F:$F,ROW()),0)</f>
        <v/>
      </c>
      <c r="P896">
        <f>IF(ISNUMBER(INDEX('Call accounts and MMFs'!$E:$E,ROW())),1,0)</f>
        <v/>
      </c>
      <c r="Q896">
        <f>TRIM(SUBSTITUTE(INDEX('Pooled funds'!$B:$B,ROW())&amp;""," "," "))</f>
        <v/>
      </c>
      <c r="R896">
        <f>IFERROR(--INDEX('Pooled funds'!$C:$C,ROW()),0)</f>
        <v/>
      </c>
      <c r="S896">
        <f>IFERROR(--INDEX('Pooled funds'!$D:$D,ROW()),0)</f>
        <v/>
      </c>
      <c r="T896">
        <f>IFERROR(IF(--INDEX('Pooled funds'!$E:$E,ROW())&gt;=1,--INDEX('Pooled funds'!$E:$E,ROW())/100,--INDEX('Pooled funds'!$E:$E,ROW())),0)</f>
        <v/>
      </c>
      <c r="U896">
        <f>IF(ISNUMBER(INDEX('Pooled funds'!$E:$E,ROW())),1,0)</f>
        <v/>
      </c>
      <c r="V896">
        <f>TRIM(SUBSTITUTE(INDEX('Loans'!$A:$A,ROW())&amp;""," "," "))</f>
        <v/>
      </c>
      <c r="W896">
        <f>TRIM(SUBSTITUTE(INDEX('Loans'!$B:$B,ROW())&amp;""," "," "))</f>
        <v/>
      </c>
      <c r="X896">
        <f>TRIM(SUBSTITUTE(INDEX('Loans'!$C:$C,ROW())&amp;""," "," "))</f>
        <v/>
      </c>
      <c r="Y896">
        <f>IFERROR(--INDEX('Loans'!$D:$D,ROW()),0)</f>
        <v/>
      </c>
      <c r="Z896">
        <f>IFERROR(--INDEX('Loans'!$E:$E,ROW()),0)</f>
        <v/>
      </c>
      <c r="AA896">
        <f>IFERROR(--INDEX('Loans'!$F:$F,ROW()),0)</f>
        <v/>
      </c>
      <c r="AB896">
        <f>IFERROR(IF(--INDEX('Loans'!$G:$G,ROW())&gt;=1,--INDEX('Loans'!$G:$G,ROW())/100,--INDEX('Loans'!$G:$G,ROW())),0)</f>
        <v/>
      </c>
      <c r="AC896">
        <f>TRIM(SUBSTITUTE(INDEX('Loans'!$H:$H,ROW())&amp;""," "," "))</f>
        <v/>
      </c>
      <c r="AD896">
        <f>TRIM(SUBSTITUTE(INDEX('Loans'!$I:$I,ROW())&amp;""," "," "))</f>
        <v/>
      </c>
      <c r="AE896">
        <f>IFERROR(--INDEX('Loans'!$J:$J,ROW()),0)</f>
        <v/>
      </c>
      <c r="AF896">
        <f>TRIM(SUBSTITUTE(INDEX('Loans'!$K:$K,ROW())&amp;""," "," "))</f>
        <v/>
      </c>
      <c r="AG896">
        <f>IFERROR(--INDEX('Loans'!$L:$L,ROW()),0)</f>
        <v/>
      </c>
      <c r="AH896">
        <f>IF(ISNUMBER(INDEX('Loans'!$G:$G,ROW())),1,0)</f>
        <v/>
      </c>
    </row>
    <row r="897">
      <c r="A897">
        <f>TRIM(SUBSTITUTE(INDEX('Term investments'!$A:$A,ROW())&amp;""," "," "))</f>
        <v/>
      </c>
      <c r="B897">
        <f>TRIM(SUBSTITUTE(INDEX('Term investments'!$B:$B,ROW())&amp;""," "," "))</f>
        <v/>
      </c>
      <c r="C897">
        <f>TRIM(SUBSTITUTE(INDEX('Term investments'!$C:$C,ROW())&amp;""," "," "))</f>
        <v/>
      </c>
      <c r="D897">
        <f>IFERROR(--INDEX('Term investments'!$D:$D,ROW()),0)</f>
        <v/>
      </c>
      <c r="E897">
        <f>IFERROR(--INDEX('Term investments'!$E:$E,ROW()),0)</f>
        <v/>
      </c>
      <c r="F897">
        <f>IFERROR(--INDEX('Term investments'!$F:$F,ROW()),0)</f>
        <v/>
      </c>
      <c r="G897">
        <f>IFERROR(IF(--INDEX('Term investments'!$G:$G,ROW())&gt;=1,--INDEX('Term investments'!$G:$G,ROW())/100,--INDEX('Term investments'!$G:$G,ROW())),0)</f>
        <v/>
      </c>
      <c r="H897">
        <f>IFERROR(--INDEX('Term investments'!$H:$H,ROW()),0)</f>
        <v/>
      </c>
      <c r="I897">
        <f>IF(ISNUMBER(INDEX('Term investments'!$G:$G,ROW())),1,0)</f>
        <v/>
      </c>
      <c r="J897">
        <f>TRIM(SUBSTITUTE(INDEX('Call accounts and MMFs'!$A:$A,ROW())&amp;""," "," "))</f>
        <v/>
      </c>
      <c r="K897">
        <f>TRIM(SUBSTITUTE(INDEX('Call accounts and MMFs'!$B:$B,ROW())&amp;""," "," "))</f>
        <v/>
      </c>
      <c r="L897">
        <f>TRIM(SUBSTITUTE(INDEX('Call accounts and MMFs'!$C:$C,ROW())&amp;""," "," "))</f>
        <v/>
      </c>
      <c r="M897">
        <f>IFERROR(--INDEX('Call accounts and MMFs'!$D:$D,ROW()),0)</f>
        <v/>
      </c>
      <c r="N897">
        <f>IFERROR(IF(--INDEX('Call accounts and MMFs'!$E:$E,ROW())&gt;=1,--INDEX('Call accounts and MMFs'!$E:$E,ROW())/100,--INDEX('Call accounts and MMFs'!$E:$E,ROW())),0)</f>
        <v/>
      </c>
      <c r="O897">
        <f>IFERROR(--INDEX('Call accounts and MMFs'!$F:$F,ROW()),0)</f>
        <v/>
      </c>
      <c r="P897">
        <f>IF(ISNUMBER(INDEX('Call accounts and MMFs'!$E:$E,ROW())),1,0)</f>
        <v/>
      </c>
      <c r="Q897">
        <f>TRIM(SUBSTITUTE(INDEX('Pooled funds'!$B:$B,ROW())&amp;""," "," "))</f>
        <v/>
      </c>
      <c r="R897">
        <f>IFERROR(--INDEX('Pooled funds'!$C:$C,ROW()),0)</f>
        <v/>
      </c>
      <c r="S897">
        <f>IFERROR(--INDEX('Pooled funds'!$D:$D,ROW()),0)</f>
        <v/>
      </c>
      <c r="T897">
        <f>IFERROR(IF(--INDEX('Pooled funds'!$E:$E,ROW())&gt;=1,--INDEX('Pooled funds'!$E:$E,ROW())/100,--INDEX('Pooled funds'!$E:$E,ROW())),0)</f>
        <v/>
      </c>
      <c r="U897">
        <f>IF(ISNUMBER(INDEX('Pooled funds'!$E:$E,ROW())),1,0)</f>
        <v/>
      </c>
      <c r="V897">
        <f>TRIM(SUBSTITUTE(INDEX('Loans'!$A:$A,ROW())&amp;""," "," "))</f>
        <v/>
      </c>
      <c r="W897">
        <f>TRIM(SUBSTITUTE(INDEX('Loans'!$B:$B,ROW())&amp;""," "," "))</f>
        <v/>
      </c>
      <c r="X897">
        <f>TRIM(SUBSTITUTE(INDEX('Loans'!$C:$C,ROW())&amp;""," "," "))</f>
        <v/>
      </c>
      <c r="Y897">
        <f>IFERROR(--INDEX('Loans'!$D:$D,ROW()),0)</f>
        <v/>
      </c>
      <c r="Z897">
        <f>IFERROR(--INDEX('Loans'!$E:$E,ROW()),0)</f>
        <v/>
      </c>
      <c r="AA897">
        <f>IFERROR(--INDEX('Loans'!$F:$F,ROW()),0)</f>
        <v/>
      </c>
      <c r="AB897">
        <f>IFERROR(IF(--INDEX('Loans'!$G:$G,ROW())&gt;=1,--INDEX('Loans'!$G:$G,ROW())/100,--INDEX('Loans'!$G:$G,ROW())),0)</f>
        <v/>
      </c>
      <c r="AC897">
        <f>TRIM(SUBSTITUTE(INDEX('Loans'!$H:$H,ROW())&amp;""," "," "))</f>
        <v/>
      </c>
      <c r="AD897">
        <f>TRIM(SUBSTITUTE(INDEX('Loans'!$I:$I,ROW())&amp;""," "," "))</f>
        <v/>
      </c>
      <c r="AE897">
        <f>IFERROR(--INDEX('Loans'!$J:$J,ROW()),0)</f>
        <v/>
      </c>
      <c r="AF897">
        <f>TRIM(SUBSTITUTE(INDEX('Loans'!$K:$K,ROW())&amp;""," "," "))</f>
        <v/>
      </c>
      <c r="AG897">
        <f>IFERROR(--INDEX('Loans'!$L:$L,ROW()),0)</f>
        <v/>
      </c>
      <c r="AH897">
        <f>IF(ISNUMBER(INDEX('Loans'!$G:$G,ROW())),1,0)</f>
        <v/>
      </c>
    </row>
    <row r="898">
      <c r="A898">
        <f>TRIM(SUBSTITUTE(INDEX('Term investments'!$A:$A,ROW())&amp;""," "," "))</f>
        <v/>
      </c>
      <c r="B898">
        <f>TRIM(SUBSTITUTE(INDEX('Term investments'!$B:$B,ROW())&amp;""," "," "))</f>
        <v/>
      </c>
      <c r="C898">
        <f>TRIM(SUBSTITUTE(INDEX('Term investments'!$C:$C,ROW())&amp;""," "," "))</f>
        <v/>
      </c>
      <c r="D898">
        <f>IFERROR(--INDEX('Term investments'!$D:$D,ROW()),0)</f>
        <v/>
      </c>
      <c r="E898">
        <f>IFERROR(--INDEX('Term investments'!$E:$E,ROW()),0)</f>
        <v/>
      </c>
      <c r="F898">
        <f>IFERROR(--INDEX('Term investments'!$F:$F,ROW()),0)</f>
        <v/>
      </c>
      <c r="G898">
        <f>IFERROR(IF(--INDEX('Term investments'!$G:$G,ROW())&gt;=1,--INDEX('Term investments'!$G:$G,ROW())/100,--INDEX('Term investments'!$G:$G,ROW())),0)</f>
        <v/>
      </c>
      <c r="H898">
        <f>IFERROR(--INDEX('Term investments'!$H:$H,ROW()),0)</f>
        <v/>
      </c>
      <c r="I898">
        <f>IF(ISNUMBER(INDEX('Term investments'!$G:$G,ROW())),1,0)</f>
        <v/>
      </c>
      <c r="J898">
        <f>TRIM(SUBSTITUTE(INDEX('Call accounts and MMFs'!$A:$A,ROW())&amp;""," "," "))</f>
        <v/>
      </c>
      <c r="K898">
        <f>TRIM(SUBSTITUTE(INDEX('Call accounts and MMFs'!$B:$B,ROW())&amp;""," "," "))</f>
        <v/>
      </c>
      <c r="L898">
        <f>TRIM(SUBSTITUTE(INDEX('Call accounts and MMFs'!$C:$C,ROW())&amp;""," "," "))</f>
        <v/>
      </c>
      <c r="M898">
        <f>IFERROR(--INDEX('Call accounts and MMFs'!$D:$D,ROW()),0)</f>
        <v/>
      </c>
      <c r="N898">
        <f>IFERROR(IF(--INDEX('Call accounts and MMFs'!$E:$E,ROW())&gt;=1,--INDEX('Call accounts and MMFs'!$E:$E,ROW())/100,--INDEX('Call accounts and MMFs'!$E:$E,ROW())),0)</f>
        <v/>
      </c>
      <c r="O898">
        <f>IFERROR(--INDEX('Call accounts and MMFs'!$F:$F,ROW()),0)</f>
        <v/>
      </c>
      <c r="P898">
        <f>IF(ISNUMBER(INDEX('Call accounts and MMFs'!$E:$E,ROW())),1,0)</f>
        <v/>
      </c>
      <c r="Q898">
        <f>TRIM(SUBSTITUTE(INDEX('Pooled funds'!$B:$B,ROW())&amp;""," "," "))</f>
        <v/>
      </c>
      <c r="R898">
        <f>IFERROR(--INDEX('Pooled funds'!$C:$C,ROW()),0)</f>
        <v/>
      </c>
      <c r="S898">
        <f>IFERROR(--INDEX('Pooled funds'!$D:$D,ROW()),0)</f>
        <v/>
      </c>
      <c r="T898">
        <f>IFERROR(IF(--INDEX('Pooled funds'!$E:$E,ROW())&gt;=1,--INDEX('Pooled funds'!$E:$E,ROW())/100,--INDEX('Pooled funds'!$E:$E,ROW())),0)</f>
        <v/>
      </c>
      <c r="U898">
        <f>IF(ISNUMBER(INDEX('Pooled funds'!$E:$E,ROW())),1,0)</f>
        <v/>
      </c>
      <c r="V898">
        <f>TRIM(SUBSTITUTE(INDEX('Loans'!$A:$A,ROW())&amp;""," "," "))</f>
        <v/>
      </c>
      <c r="W898">
        <f>TRIM(SUBSTITUTE(INDEX('Loans'!$B:$B,ROW())&amp;""," "," "))</f>
        <v/>
      </c>
      <c r="X898">
        <f>TRIM(SUBSTITUTE(INDEX('Loans'!$C:$C,ROW())&amp;""," "," "))</f>
        <v/>
      </c>
      <c r="Y898">
        <f>IFERROR(--INDEX('Loans'!$D:$D,ROW()),0)</f>
        <v/>
      </c>
      <c r="Z898">
        <f>IFERROR(--INDEX('Loans'!$E:$E,ROW()),0)</f>
        <v/>
      </c>
      <c r="AA898">
        <f>IFERROR(--INDEX('Loans'!$F:$F,ROW()),0)</f>
        <v/>
      </c>
      <c r="AB898">
        <f>IFERROR(IF(--INDEX('Loans'!$G:$G,ROW())&gt;=1,--INDEX('Loans'!$G:$G,ROW())/100,--INDEX('Loans'!$G:$G,ROW())),0)</f>
        <v/>
      </c>
      <c r="AC898">
        <f>TRIM(SUBSTITUTE(INDEX('Loans'!$H:$H,ROW())&amp;""," "," "))</f>
        <v/>
      </c>
      <c r="AD898">
        <f>TRIM(SUBSTITUTE(INDEX('Loans'!$I:$I,ROW())&amp;""," "," "))</f>
        <v/>
      </c>
      <c r="AE898">
        <f>IFERROR(--INDEX('Loans'!$J:$J,ROW()),0)</f>
        <v/>
      </c>
      <c r="AF898">
        <f>TRIM(SUBSTITUTE(INDEX('Loans'!$K:$K,ROW())&amp;""," "," "))</f>
        <v/>
      </c>
      <c r="AG898">
        <f>IFERROR(--INDEX('Loans'!$L:$L,ROW()),0)</f>
        <v/>
      </c>
      <c r="AH898">
        <f>IF(ISNUMBER(INDEX('Loans'!$G:$G,ROW())),1,0)</f>
        <v/>
      </c>
    </row>
    <row r="899">
      <c r="A899">
        <f>TRIM(SUBSTITUTE(INDEX('Term investments'!$A:$A,ROW())&amp;""," "," "))</f>
        <v/>
      </c>
      <c r="B899">
        <f>TRIM(SUBSTITUTE(INDEX('Term investments'!$B:$B,ROW())&amp;""," "," "))</f>
        <v/>
      </c>
      <c r="C899">
        <f>TRIM(SUBSTITUTE(INDEX('Term investments'!$C:$C,ROW())&amp;""," "," "))</f>
        <v/>
      </c>
      <c r="D899">
        <f>IFERROR(--INDEX('Term investments'!$D:$D,ROW()),0)</f>
        <v/>
      </c>
      <c r="E899">
        <f>IFERROR(--INDEX('Term investments'!$E:$E,ROW()),0)</f>
        <v/>
      </c>
      <c r="F899">
        <f>IFERROR(--INDEX('Term investments'!$F:$F,ROW()),0)</f>
        <v/>
      </c>
      <c r="G899">
        <f>IFERROR(IF(--INDEX('Term investments'!$G:$G,ROW())&gt;=1,--INDEX('Term investments'!$G:$G,ROW())/100,--INDEX('Term investments'!$G:$G,ROW())),0)</f>
        <v/>
      </c>
      <c r="H899">
        <f>IFERROR(--INDEX('Term investments'!$H:$H,ROW()),0)</f>
        <v/>
      </c>
      <c r="I899">
        <f>IF(ISNUMBER(INDEX('Term investments'!$G:$G,ROW())),1,0)</f>
        <v/>
      </c>
      <c r="J899">
        <f>TRIM(SUBSTITUTE(INDEX('Call accounts and MMFs'!$A:$A,ROW())&amp;""," "," "))</f>
        <v/>
      </c>
      <c r="K899">
        <f>TRIM(SUBSTITUTE(INDEX('Call accounts and MMFs'!$B:$B,ROW())&amp;""," "," "))</f>
        <v/>
      </c>
      <c r="L899">
        <f>TRIM(SUBSTITUTE(INDEX('Call accounts and MMFs'!$C:$C,ROW())&amp;""," "," "))</f>
        <v/>
      </c>
      <c r="M899">
        <f>IFERROR(--INDEX('Call accounts and MMFs'!$D:$D,ROW()),0)</f>
        <v/>
      </c>
      <c r="N899">
        <f>IFERROR(IF(--INDEX('Call accounts and MMFs'!$E:$E,ROW())&gt;=1,--INDEX('Call accounts and MMFs'!$E:$E,ROW())/100,--INDEX('Call accounts and MMFs'!$E:$E,ROW())),0)</f>
        <v/>
      </c>
      <c r="O899">
        <f>IFERROR(--INDEX('Call accounts and MMFs'!$F:$F,ROW()),0)</f>
        <v/>
      </c>
      <c r="P899">
        <f>IF(ISNUMBER(INDEX('Call accounts and MMFs'!$E:$E,ROW())),1,0)</f>
        <v/>
      </c>
      <c r="Q899">
        <f>TRIM(SUBSTITUTE(INDEX('Pooled funds'!$B:$B,ROW())&amp;""," "," "))</f>
        <v/>
      </c>
      <c r="R899">
        <f>IFERROR(--INDEX('Pooled funds'!$C:$C,ROW()),0)</f>
        <v/>
      </c>
      <c r="S899">
        <f>IFERROR(--INDEX('Pooled funds'!$D:$D,ROW()),0)</f>
        <v/>
      </c>
      <c r="T899">
        <f>IFERROR(IF(--INDEX('Pooled funds'!$E:$E,ROW())&gt;=1,--INDEX('Pooled funds'!$E:$E,ROW())/100,--INDEX('Pooled funds'!$E:$E,ROW())),0)</f>
        <v/>
      </c>
      <c r="U899">
        <f>IF(ISNUMBER(INDEX('Pooled funds'!$E:$E,ROW())),1,0)</f>
        <v/>
      </c>
      <c r="V899">
        <f>TRIM(SUBSTITUTE(INDEX('Loans'!$A:$A,ROW())&amp;""," "," "))</f>
        <v/>
      </c>
      <c r="W899">
        <f>TRIM(SUBSTITUTE(INDEX('Loans'!$B:$B,ROW())&amp;""," "," "))</f>
        <v/>
      </c>
      <c r="X899">
        <f>TRIM(SUBSTITUTE(INDEX('Loans'!$C:$C,ROW())&amp;""," "," "))</f>
        <v/>
      </c>
      <c r="Y899">
        <f>IFERROR(--INDEX('Loans'!$D:$D,ROW()),0)</f>
        <v/>
      </c>
      <c r="Z899">
        <f>IFERROR(--INDEX('Loans'!$E:$E,ROW()),0)</f>
        <v/>
      </c>
      <c r="AA899">
        <f>IFERROR(--INDEX('Loans'!$F:$F,ROW()),0)</f>
        <v/>
      </c>
      <c r="AB899">
        <f>IFERROR(IF(--INDEX('Loans'!$G:$G,ROW())&gt;=1,--INDEX('Loans'!$G:$G,ROW())/100,--INDEX('Loans'!$G:$G,ROW())),0)</f>
        <v/>
      </c>
      <c r="AC899">
        <f>TRIM(SUBSTITUTE(INDEX('Loans'!$H:$H,ROW())&amp;""," "," "))</f>
        <v/>
      </c>
      <c r="AD899">
        <f>TRIM(SUBSTITUTE(INDEX('Loans'!$I:$I,ROW())&amp;""," "," "))</f>
        <v/>
      </c>
      <c r="AE899">
        <f>IFERROR(--INDEX('Loans'!$J:$J,ROW()),0)</f>
        <v/>
      </c>
      <c r="AF899">
        <f>TRIM(SUBSTITUTE(INDEX('Loans'!$K:$K,ROW())&amp;""," "," "))</f>
        <v/>
      </c>
      <c r="AG899">
        <f>IFERROR(--INDEX('Loans'!$L:$L,ROW()),0)</f>
        <v/>
      </c>
      <c r="AH899">
        <f>IF(ISNUMBER(INDEX('Loans'!$G:$G,ROW())),1,0)</f>
        <v/>
      </c>
    </row>
    <row r="900">
      <c r="A900">
        <f>TRIM(SUBSTITUTE(INDEX('Term investments'!$A:$A,ROW())&amp;""," "," "))</f>
        <v/>
      </c>
      <c r="B900">
        <f>TRIM(SUBSTITUTE(INDEX('Term investments'!$B:$B,ROW())&amp;""," "," "))</f>
        <v/>
      </c>
      <c r="C900">
        <f>TRIM(SUBSTITUTE(INDEX('Term investments'!$C:$C,ROW())&amp;""," "," "))</f>
        <v/>
      </c>
      <c r="D900">
        <f>IFERROR(--INDEX('Term investments'!$D:$D,ROW()),0)</f>
        <v/>
      </c>
      <c r="E900">
        <f>IFERROR(--INDEX('Term investments'!$E:$E,ROW()),0)</f>
        <v/>
      </c>
      <c r="F900">
        <f>IFERROR(--INDEX('Term investments'!$F:$F,ROW()),0)</f>
        <v/>
      </c>
      <c r="G900">
        <f>IFERROR(IF(--INDEX('Term investments'!$G:$G,ROW())&gt;=1,--INDEX('Term investments'!$G:$G,ROW())/100,--INDEX('Term investments'!$G:$G,ROW())),0)</f>
        <v/>
      </c>
      <c r="H900">
        <f>IFERROR(--INDEX('Term investments'!$H:$H,ROW()),0)</f>
        <v/>
      </c>
      <c r="I900">
        <f>IF(ISNUMBER(INDEX('Term investments'!$G:$G,ROW())),1,0)</f>
        <v/>
      </c>
      <c r="J900">
        <f>TRIM(SUBSTITUTE(INDEX('Call accounts and MMFs'!$A:$A,ROW())&amp;""," "," "))</f>
        <v/>
      </c>
      <c r="K900">
        <f>TRIM(SUBSTITUTE(INDEX('Call accounts and MMFs'!$B:$B,ROW())&amp;""," "," "))</f>
        <v/>
      </c>
      <c r="L900">
        <f>TRIM(SUBSTITUTE(INDEX('Call accounts and MMFs'!$C:$C,ROW())&amp;""," "," "))</f>
        <v/>
      </c>
      <c r="M900">
        <f>IFERROR(--INDEX('Call accounts and MMFs'!$D:$D,ROW()),0)</f>
        <v/>
      </c>
      <c r="N900">
        <f>IFERROR(IF(--INDEX('Call accounts and MMFs'!$E:$E,ROW())&gt;=1,--INDEX('Call accounts and MMFs'!$E:$E,ROW())/100,--INDEX('Call accounts and MMFs'!$E:$E,ROW())),0)</f>
        <v/>
      </c>
      <c r="O900">
        <f>IFERROR(--INDEX('Call accounts and MMFs'!$F:$F,ROW()),0)</f>
        <v/>
      </c>
      <c r="P900">
        <f>IF(ISNUMBER(INDEX('Call accounts and MMFs'!$E:$E,ROW())),1,0)</f>
        <v/>
      </c>
      <c r="Q900">
        <f>TRIM(SUBSTITUTE(INDEX('Pooled funds'!$B:$B,ROW())&amp;""," "," "))</f>
        <v/>
      </c>
      <c r="R900">
        <f>IFERROR(--INDEX('Pooled funds'!$C:$C,ROW()),0)</f>
        <v/>
      </c>
      <c r="S900">
        <f>IFERROR(--INDEX('Pooled funds'!$D:$D,ROW()),0)</f>
        <v/>
      </c>
      <c r="T900">
        <f>IFERROR(IF(--INDEX('Pooled funds'!$E:$E,ROW())&gt;=1,--INDEX('Pooled funds'!$E:$E,ROW())/100,--INDEX('Pooled funds'!$E:$E,ROW())),0)</f>
        <v/>
      </c>
      <c r="U900">
        <f>IF(ISNUMBER(INDEX('Pooled funds'!$E:$E,ROW())),1,0)</f>
        <v/>
      </c>
      <c r="V900">
        <f>TRIM(SUBSTITUTE(INDEX('Loans'!$A:$A,ROW())&amp;""," "," "))</f>
        <v/>
      </c>
      <c r="W900">
        <f>TRIM(SUBSTITUTE(INDEX('Loans'!$B:$B,ROW())&amp;""," "," "))</f>
        <v/>
      </c>
      <c r="X900">
        <f>TRIM(SUBSTITUTE(INDEX('Loans'!$C:$C,ROW())&amp;""," "," "))</f>
        <v/>
      </c>
      <c r="Y900">
        <f>IFERROR(--INDEX('Loans'!$D:$D,ROW()),0)</f>
        <v/>
      </c>
      <c r="Z900">
        <f>IFERROR(--INDEX('Loans'!$E:$E,ROW()),0)</f>
        <v/>
      </c>
      <c r="AA900">
        <f>IFERROR(--INDEX('Loans'!$F:$F,ROW()),0)</f>
        <v/>
      </c>
      <c r="AB900">
        <f>IFERROR(IF(--INDEX('Loans'!$G:$G,ROW())&gt;=1,--INDEX('Loans'!$G:$G,ROW())/100,--INDEX('Loans'!$G:$G,ROW())),0)</f>
        <v/>
      </c>
      <c r="AC900">
        <f>TRIM(SUBSTITUTE(INDEX('Loans'!$H:$H,ROW())&amp;""," "," "))</f>
        <v/>
      </c>
      <c r="AD900">
        <f>TRIM(SUBSTITUTE(INDEX('Loans'!$I:$I,ROW())&amp;""," "," "))</f>
        <v/>
      </c>
      <c r="AE900">
        <f>IFERROR(--INDEX('Loans'!$J:$J,ROW()),0)</f>
        <v/>
      </c>
      <c r="AF900">
        <f>TRIM(SUBSTITUTE(INDEX('Loans'!$K:$K,ROW())&amp;""," "," "))</f>
        <v/>
      </c>
      <c r="AG900">
        <f>IFERROR(--INDEX('Loans'!$L:$L,ROW()),0)</f>
        <v/>
      </c>
      <c r="AH900">
        <f>IF(ISNUMBER(INDEX('Loans'!$G:$G,ROW())),1,0)</f>
        <v/>
      </c>
    </row>
    <row r="901">
      <c r="A901">
        <f>TRIM(SUBSTITUTE(INDEX('Term investments'!$A:$A,ROW())&amp;""," "," "))</f>
        <v/>
      </c>
      <c r="B901">
        <f>TRIM(SUBSTITUTE(INDEX('Term investments'!$B:$B,ROW())&amp;""," "," "))</f>
        <v/>
      </c>
      <c r="C901">
        <f>TRIM(SUBSTITUTE(INDEX('Term investments'!$C:$C,ROW())&amp;""," "," "))</f>
        <v/>
      </c>
      <c r="D901">
        <f>IFERROR(--INDEX('Term investments'!$D:$D,ROW()),0)</f>
        <v/>
      </c>
      <c r="E901">
        <f>IFERROR(--INDEX('Term investments'!$E:$E,ROW()),0)</f>
        <v/>
      </c>
      <c r="F901">
        <f>IFERROR(--INDEX('Term investments'!$F:$F,ROW()),0)</f>
        <v/>
      </c>
      <c r="G901">
        <f>IFERROR(IF(--INDEX('Term investments'!$G:$G,ROW())&gt;=1,--INDEX('Term investments'!$G:$G,ROW())/100,--INDEX('Term investments'!$G:$G,ROW())),0)</f>
        <v/>
      </c>
      <c r="H901">
        <f>IFERROR(--INDEX('Term investments'!$H:$H,ROW()),0)</f>
        <v/>
      </c>
      <c r="I901">
        <f>IF(ISNUMBER(INDEX('Term investments'!$G:$G,ROW())),1,0)</f>
        <v/>
      </c>
      <c r="J901">
        <f>TRIM(SUBSTITUTE(INDEX('Call accounts and MMFs'!$A:$A,ROW())&amp;""," "," "))</f>
        <v/>
      </c>
      <c r="K901">
        <f>TRIM(SUBSTITUTE(INDEX('Call accounts and MMFs'!$B:$B,ROW())&amp;""," "," "))</f>
        <v/>
      </c>
      <c r="L901">
        <f>TRIM(SUBSTITUTE(INDEX('Call accounts and MMFs'!$C:$C,ROW())&amp;""," "," "))</f>
        <v/>
      </c>
      <c r="M901">
        <f>IFERROR(--INDEX('Call accounts and MMFs'!$D:$D,ROW()),0)</f>
        <v/>
      </c>
      <c r="N901">
        <f>IFERROR(IF(--INDEX('Call accounts and MMFs'!$E:$E,ROW())&gt;=1,--INDEX('Call accounts and MMFs'!$E:$E,ROW())/100,--INDEX('Call accounts and MMFs'!$E:$E,ROW())),0)</f>
        <v/>
      </c>
      <c r="O901">
        <f>IFERROR(--INDEX('Call accounts and MMFs'!$F:$F,ROW()),0)</f>
        <v/>
      </c>
      <c r="P901">
        <f>IF(ISNUMBER(INDEX('Call accounts and MMFs'!$E:$E,ROW())),1,0)</f>
        <v/>
      </c>
      <c r="Q901">
        <f>TRIM(SUBSTITUTE(INDEX('Pooled funds'!$B:$B,ROW())&amp;""," "," "))</f>
        <v/>
      </c>
      <c r="R901">
        <f>IFERROR(--INDEX('Pooled funds'!$C:$C,ROW()),0)</f>
        <v/>
      </c>
      <c r="S901">
        <f>IFERROR(--INDEX('Pooled funds'!$D:$D,ROW()),0)</f>
        <v/>
      </c>
      <c r="T901">
        <f>IFERROR(IF(--INDEX('Pooled funds'!$E:$E,ROW())&gt;=1,--INDEX('Pooled funds'!$E:$E,ROW())/100,--INDEX('Pooled funds'!$E:$E,ROW())),0)</f>
        <v/>
      </c>
      <c r="U901">
        <f>IF(ISNUMBER(INDEX('Pooled funds'!$E:$E,ROW())),1,0)</f>
        <v/>
      </c>
      <c r="V901">
        <f>TRIM(SUBSTITUTE(INDEX('Loans'!$A:$A,ROW())&amp;""," "," "))</f>
        <v/>
      </c>
      <c r="W901">
        <f>TRIM(SUBSTITUTE(INDEX('Loans'!$B:$B,ROW())&amp;""," "," "))</f>
        <v/>
      </c>
      <c r="X901">
        <f>TRIM(SUBSTITUTE(INDEX('Loans'!$C:$C,ROW())&amp;""," "," "))</f>
        <v/>
      </c>
      <c r="Y901">
        <f>IFERROR(--INDEX('Loans'!$D:$D,ROW()),0)</f>
        <v/>
      </c>
      <c r="Z901">
        <f>IFERROR(--INDEX('Loans'!$E:$E,ROW()),0)</f>
        <v/>
      </c>
      <c r="AA901">
        <f>IFERROR(--INDEX('Loans'!$F:$F,ROW()),0)</f>
        <v/>
      </c>
      <c r="AB901">
        <f>IFERROR(IF(--INDEX('Loans'!$G:$G,ROW())&gt;=1,--INDEX('Loans'!$G:$G,ROW())/100,--INDEX('Loans'!$G:$G,ROW())),0)</f>
        <v/>
      </c>
      <c r="AC901">
        <f>TRIM(SUBSTITUTE(INDEX('Loans'!$H:$H,ROW())&amp;""," "," "))</f>
        <v/>
      </c>
      <c r="AD901">
        <f>TRIM(SUBSTITUTE(INDEX('Loans'!$I:$I,ROW())&amp;""," "," "))</f>
        <v/>
      </c>
      <c r="AE901">
        <f>IFERROR(--INDEX('Loans'!$J:$J,ROW()),0)</f>
        <v/>
      </c>
      <c r="AF901">
        <f>TRIM(SUBSTITUTE(INDEX('Loans'!$K:$K,ROW())&amp;""," "," "))</f>
        <v/>
      </c>
      <c r="AG901">
        <f>IFERROR(--INDEX('Loans'!$L:$L,ROW()),0)</f>
        <v/>
      </c>
      <c r="AH901">
        <f>IF(ISNUMBER(INDEX('Loans'!$G:$G,ROW())),1,0)</f>
        <v/>
      </c>
    </row>
    <row r="902">
      <c r="A902">
        <f>TRIM(SUBSTITUTE(INDEX('Term investments'!$A:$A,ROW())&amp;""," "," "))</f>
        <v/>
      </c>
      <c r="B902">
        <f>TRIM(SUBSTITUTE(INDEX('Term investments'!$B:$B,ROW())&amp;""," "," "))</f>
        <v/>
      </c>
      <c r="C902">
        <f>TRIM(SUBSTITUTE(INDEX('Term investments'!$C:$C,ROW())&amp;""," "," "))</f>
        <v/>
      </c>
      <c r="D902">
        <f>IFERROR(--INDEX('Term investments'!$D:$D,ROW()),0)</f>
        <v/>
      </c>
      <c r="E902">
        <f>IFERROR(--INDEX('Term investments'!$E:$E,ROW()),0)</f>
        <v/>
      </c>
      <c r="F902">
        <f>IFERROR(--INDEX('Term investments'!$F:$F,ROW()),0)</f>
        <v/>
      </c>
      <c r="G902">
        <f>IFERROR(IF(--INDEX('Term investments'!$G:$G,ROW())&gt;=1,--INDEX('Term investments'!$G:$G,ROW())/100,--INDEX('Term investments'!$G:$G,ROW())),0)</f>
        <v/>
      </c>
      <c r="H902">
        <f>IFERROR(--INDEX('Term investments'!$H:$H,ROW()),0)</f>
        <v/>
      </c>
      <c r="I902">
        <f>IF(ISNUMBER(INDEX('Term investments'!$G:$G,ROW())),1,0)</f>
        <v/>
      </c>
      <c r="J902">
        <f>TRIM(SUBSTITUTE(INDEX('Call accounts and MMFs'!$A:$A,ROW())&amp;""," "," "))</f>
        <v/>
      </c>
      <c r="K902">
        <f>TRIM(SUBSTITUTE(INDEX('Call accounts and MMFs'!$B:$B,ROW())&amp;""," "," "))</f>
        <v/>
      </c>
      <c r="L902">
        <f>TRIM(SUBSTITUTE(INDEX('Call accounts and MMFs'!$C:$C,ROW())&amp;""," "," "))</f>
        <v/>
      </c>
      <c r="M902">
        <f>IFERROR(--INDEX('Call accounts and MMFs'!$D:$D,ROW()),0)</f>
        <v/>
      </c>
      <c r="N902">
        <f>IFERROR(IF(--INDEX('Call accounts and MMFs'!$E:$E,ROW())&gt;=1,--INDEX('Call accounts and MMFs'!$E:$E,ROW())/100,--INDEX('Call accounts and MMFs'!$E:$E,ROW())),0)</f>
        <v/>
      </c>
      <c r="O902">
        <f>IFERROR(--INDEX('Call accounts and MMFs'!$F:$F,ROW()),0)</f>
        <v/>
      </c>
      <c r="P902">
        <f>IF(ISNUMBER(INDEX('Call accounts and MMFs'!$E:$E,ROW())),1,0)</f>
        <v/>
      </c>
      <c r="Q902">
        <f>TRIM(SUBSTITUTE(INDEX('Pooled funds'!$B:$B,ROW())&amp;""," "," "))</f>
        <v/>
      </c>
      <c r="R902">
        <f>IFERROR(--INDEX('Pooled funds'!$C:$C,ROW()),0)</f>
        <v/>
      </c>
      <c r="S902">
        <f>IFERROR(--INDEX('Pooled funds'!$D:$D,ROW()),0)</f>
        <v/>
      </c>
      <c r="T902">
        <f>IFERROR(IF(--INDEX('Pooled funds'!$E:$E,ROW())&gt;=1,--INDEX('Pooled funds'!$E:$E,ROW())/100,--INDEX('Pooled funds'!$E:$E,ROW())),0)</f>
        <v/>
      </c>
      <c r="U902">
        <f>IF(ISNUMBER(INDEX('Pooled funds'!$E:$E,ROW())),1,0)</f>
        <v/>
      </c>
      <c r="V902">
        <f>TRIM(SUBSTITUTE(INDEX('Loans'!$A:$A,ROW())&amp;""," "," "))</f>
        <v/>
      </c>
      <c r="W902">
        <f>TRIM(SUBSTITUTE(INDEX('Loans'!$B:$B,ROW())&amp;""," "," "))</f>
        <v/>
      </c>
      <c r="X902">
        <f>TRIM(SUBSTITUTE(INDEX('Loans'!$C:$C,ROW())&amp;""," "," "))</f>
        <v/>
      </c>
      <c r="Y902">
        <f>IFERROR(--INDEX('Loans'!$D:$D,ROW()),0)</f>
        <v/>
      </c>
      <c r="Z902">
        <f>IFERROR(--INDEX('Loans'!$E:$E,ROW()),0)</f>
        <v/>
      </c>
      <c r="AA902">
        <f>IFERROR(--INDEX('Loans'!$F:$F,ROW()),0)</f>
        <v/>
      </c>
      <c r="AB902">
        <f>IFERROR(IF(--INDEX('Loans'!$G:$G,ROW())&gt;=1,--INDEX('Loans'!$G:$G,ROW())/100,--INDEX('Loans'!$G:$G,ROW())),0)</f>
        <v/>
      </c>
      <c r="AC902">
        <f>TRIM(SUBSTITUTE(INDEX('Loans'!$H:$H,ROW())&amp;""," "," "))</f>
        <v/>
      </c>
      <c r="AD902">
        <f>TRIM(SUBSTITUTE(INDEX('Loans'!$I:$I,ROW())&amp;""," "," "))</f>
        <v/>
      </c>
      <c r="AE902">
        <f>IFERROR(--INDEX('Loans'!$J:$J,ROW()),0)</f>
        <v/>
      </c>
      <c r="AF902">
        <f>TRIM(SUBSTITUTE(INDEX('Loans'!$K:$K,ROW())&amp;""," "," "))</f>
        <v/>
      </c>
      <c r="AG902">
        <f>IFERROR(--INDEX('Loans'!$L:$L,ROW()),0)</f>
        <v/>
      </c>
      <c r="AH902">
        <f>IF(ISNUMBER(INDEX('Loans'!$G:$G,ROW())),1,0)</f>
        <v/>
      </c>
    </row>
    <row r="903">
      <c r="A903">
        <f>TRIM(SUBSTITUTE(INDEX('Term investments'!$A:$A,ROW())&amp;""," "," "))</f>
        <v/>
      </c>
      <c r="B903">
        <f>TRIM(SUBSTITUTE(INDEX('Term investments'!$B:$B,ROW())&amp;""," "," "))</f>
        <v/>
      </c>
      <c r="C903">
        <f>TRIM(SUBSTITUTE(INDEX('Term investments'!$C:$C,ROW())&amp;""," "," "))</f>
        <v/>
      </c>
      <c r="D903">
        <f>IFERROR(--INDEX('Term investments'!$D:$D,ROW()),0)</f>
        <v/>
      </c>
      <c r="E903">
        <f>IFERROR(--INDEX('Term investments'!$E:$E,ROW()),0)</f>
        <v/>
      </c>
      <c r="F903">
        <f>IFERROR(--INDEX('Term investments'!$F:$F,ROW()),0)</f>
        <v/>
      </c>
      <c r="G903">
        <f>IFERROR(IF(--INDEX('Term investments'!$G:$G,ROW())&gt;=1,--INDEX('Term investments'!$G:$G,ROW())/100,--INDEX('Term investments'!$G:$G,ROW())),0)</f>
        <v/>
      </c>
      <c r="H903">
        <f>IFERROR(--INDEX('Term investments'!$H:$H,ROW()),0)</f>
        <v/>
      </c>
      <c r="I903">
        <f>IF(ISNUMBER(INDEX('Term investments'!$G:$G,ROW())),1,0)</f>
        <v/>
      </c>
      <c r="J903">
        <f>TRIM(SUBSTITUTE(INDEX('Call accounts and MMFs'!$A:$A,ROW())&amp;""," "," "))</f>
        <v/>
      </c>
      <c r="K903">
        <f>TRIM(SUBSTITUTE(INDEX('Call accounts and MMFs'!$B:$B,ROW())&amp;""," "," "))</f>
        <v/>
      </c>
      <c r="L903">
        <f>TRIM(SUBSTITUTE(INDEX('Call accounts and MMFs'!$C:$C,ROW())&amp;""," "," "))</f>
        <v/>
      </c>
      <c r="M903">
        <f>IFERROR(--INDEX('Call accounts and MMFs'!$D:$D,ROW()),0)</f>
        <v/>
      </c>
      <c r="N903">
        <f>IFERROR(IF(--INDEX('Call accounts and MMFs'!$E:$E,ROW())&gt;=1,--INDEX('Call accounts and MMFs'!$E:$E,ROW())/100,--INDEX('Call accounts and MMFs'!$E:$E,ROW())),0)</f>
        <v/>
      </c>
      <c r="O903">
        <f>IFERROR(--INDEX('Call accounts and MMFs'!$F:$F,ROW()),0)</f>
        <v/>
      </c>
      <c r="P903">
        <f>IF(ISNUMBER(INDEX('Call accounts and MMFs'!$E:$E,ROW())),1,0)</f>
        <v/>
      </c>
      <c r="Q903">
        <f>TRIM(SUBSTITUTE(INDEX('Pooled funds'!$B:$B,ROW())&amp;""," "," "))</f>
        <v/>
      </c>
      <c r="R903">
        <f>IFERROR(--INDEX('Pooled funds'!$C:$C,ROW()),0)</f>
        <v/>
      </c>
      <c r="S903">
        <f>IFERROR(--INDEX('Pooled funds'!$D:$D,ROW()),0)</f>
        <v/>
      </c>
      <c r="T903">
        <f>IFERROR(IF(--INDEX('Pooled funds'!$E:$E,ROW())&gt;=1,--INDEX('Pooled funds'!$E:$E,ROW())/100,--INDEX('Pooled funds'!$E:$E,ROW())),0)</f>
        <v/>
      </c>
      <c r="U903">
        <f>IF(ISNUMBER(INDEX('Pooled funds'!$E:$E,ROW())),1,0)</f>
        <v/>
      </c>
      <c r="V903">
        <f>TRIM(SUBSTITUTE(INDEX('Loans'!$A:$A,ROW())&amp;""," "," "))</f>
        <v/>
      </c>
      <c r="W903">
        <f>TRIM(SUBSTITUTE(INDEX('Loans'!$B:$B,ROW())&amp;""," "," "))</f>
        <v/>
      </c>
      <c r="X903">
        <f>TRIM(SUBSTITUTE(INDEX('Loans'!$C:$C,ROW())&amp;""," "," "))</f>
        <v/>
      </c>
      <c r="Y903">
        <f>IFERROR(--INDEX('Loans'!$D:$D,ROW()),0)</f>
        <v/>
      </c>
      <c r="Z903">
        <f>IFERROR(--INDEX('Loans'!$E:$E,ROW()),0)</f>
        <v/>
      </c>
      <c r="AA903">
        <f>IFERROR(--INDEX('Loans'!$F:$F,ROW()),0)</f>
        <v/>
      </c>
      <c r="AB903">
        <f>IFERROR(IF(--INDEX('Loans'!$G:$G,ROW())&gt;=1,--INDEX('Loans'!$G:$G,ROW())/100,--INDEX('Loans'!$G:$G,ROW())),0)</f>
        <v/>
      </c>
      <c r="AC903">
        <f>TRIM(SUBSTITUTE(INDEX('Loans'!$H:$H,ROW())&amp;""," "," "))</f>
        <v/>
      </c>
      <c r="AD903">
        <f>TRIM(SUBSTITUTE(INDEX('Loans'!$I:$I,ROW())&amp;""," "," "))</f>
        <v/>
      </c>
      <c r="AE903">
        <f>IFERROR(--INDEX('Loans'!$J:$J,ROW()),0)</f>
        <v/>
      </c>
      <c r="AF903">
        <f>TRIM(SUBSTITUTE(INDEX('Loans'!$K:$K,ROW())&amp;""," "," "))</f>
        <v/>
      </c>
      <c r="AG903">
        <f>IFERROR(--INDEX('Loans'!$L:$L,ROW()),0)</f>
        <v/>
      </c>
      <c r="AH903">
        <f>IF(ISNUMBER(INDEX('Loans'!$G:$G,ROW())),1,0)</f>
        <v/>
      </c>
    </row>
    <row r="904">
      <c r="A904">
        <f>TRIM(SUBSTITUTE(INDEX('Term investments'!$A:$A,ROW())&amp;""," "," "))</f>
        <v/>
      </c>
      <c r="B904">
        <f>TRIM(SUBSTITUTE(INDEX('Term investments'!$B:$B,ROW())&amp;""," "," "))</f>
        <v/>
      </c>
      <c r="C904">
        <f>TRIM(SUBSTITUTE(INDEX('Term investments'!$C:$C,ROW())&amp;""," "," "))</f>
        <v/>
      </c>
      <c r="D904">
        <f>IFERROR(--INDEX('Term investments'!$D:$D,ROW()),0)</f>
        <v/>
      </c>
      <c r="E904">
        <f>IFERROR(--INDEX('Term investments'!$E:$E,ROW()),0)</f>
        <v/>
      </c>
      <c r="F904">
        <f>IFERROR(--INDEX('Term investments'!$F:$F,ROW()),0)</f>
        <v/>
      </c>
      <c r="G904">
        <f>IFERROR(IF(--INDEX('Term investments'!$G:$G,ROW())&gt;=1,--INDEX('Term investments'!$G:$G,ROW())/100,--INDEX('Term investments'!$G:$G,ROW())),0)</f>
        <v/>
      </c>
      <c r="H904">
        <f>IFERROR(--INDEX('Term investments'!$H:$H,ROW()),0)</f>
        <v/>
      </c>
      <c r="I904">
        <f>IF(ISNUMBER(INDEX('Term investments'!$G:$G,ROW())),1,0)</f>
        <v/>
      </c>
      <c r="J904">
        <f>TRIM(SUBSTITUTE(INDEX('Call accounts and MMFs'!$A:$A,ROW())&amp;""," "," "))</f>
        <v/>
      </c>
      <c r="K904">
        <f>TRIM(SUBSTITUTE(INDEX('Call accounts and MMFs'!$B:$B,ROW())&amp;""," "," "))</f>
        <v/>
      </c>
      <c r="L904">
        <f>TRIM(SUBSTITUTE(INDEX('Call accounts and MMFs'!$C:$C,ROW())&amp;""," "," "))</f>
        <v/>
      </c>
      <c r="M904">
        <f>IFERROR(--INDEX('Call accounts and MMFs'!$D:$D,ROW()),0)</f>
        <v/>
      </c>
      <c r="N904">
        <f>IFERROR(IF(--INDEX('Call accounts and MMFs'!$E:$E,ROW())&gt;=1,--INDEX('Call accounts and MMFs'!$E:$E,ROW())/100,--INDEX('Call accounts and MMFs'!$E:$E,ROW())),0)</f>
        <v/>
      </c>
      <c r="O904">
        <f>IFERROR(--INDEX('Call accounts and MMFs'!$F:$F,ROW()),0)</f>
        <v/>
      </c>
      <c r="P904">
        <f>IF(ISNUMBER(INDEX('Call accounts and MMFs'!$E:$E,ROW())),1,0)</f>
        <v/>
      </c>
      <c r="Q904">
        <f>TRIM(SUBSTITUTE(INDEX('Pooled funds'!$B:$B,ROW())&amp;""," "," "))</f>
        <v/>
      </c>
      <c r="R904">
        <f>IFERROR(--INDEX('Pooled funds'!$C:$C,ROW()),0)</f>
        <v/>
      </c>
      <c r="S904">
        <f>IFERROR(--INDEX('Pooled funds'!$D:$D,ROW()),0)</f>
        <v/>
      </c>
      <c r="T904">
        <f>IFERROR(IF(--INDEX('Pooled funds'!$E:$E,ROW())&gt;=1,--INDEX('Pooled funds'!$E:$E,ROW())/100,--INDEX('Pooled funds'!$E:$E,ROW())),0)</f>
        <v/>
      </c>
      <c r="U904">
        <f>IF(ISNUMBER(INDEX('Pooled funds'!$E:$E,ROW())),1,0)</f>
        <v/>
      </c>
      <c r="V904">
        <f>TRIM(SUBSTITUTE(INDEX('Loans'!$A:$A,ROW())&amp;""," "," "))</f>
        <v/>
      </c>
      <c r="W904">
        <f>TRIM(SUBSTITUTE(INDEX('Loans'!$B:$B,ROW())&amp;""," "," "))</f>
        <v/>
      </c>
      <c r="X904">
        <f>TRIM(SUBSTITUTE(INDEX('Loans'!$C:$C,ROW())&amp;""," "," "))</f>
        <v/>
      </c>
      <c r="Y904">
        <f>IFERROR(--INDEX('Loans'!$D:$D,ROW()),0)</f>
        <v/>
      </c>
      <c r="Z904">
        <f>IFERROR(--INDEX('Loans'!$E:$E,ROW()),0)</f>
        <v/>
      </c>
      <c r="AA904">
        <f>IFERROR(--INDEX('Loans'!$F:$F,ROW()),0)</f>
        <v/>
      </c>
      <c r="AB904">
        <f>IFERROR(IF(--INDEX('Loans'!$G:$G,ROW())&gt;=1,--INDEX('Loans'!$G:$G,ROW())/100,--INDEX('Loans'!$G:$G,ROW())),0)</f>
        <v/>
      </c>
      <c r="AC904">
        <f>TRIM(SUBSTITUTE(INDEX('Loans'!$H:$H,ROW())&amp;""," "," "))</f>
        <v/>
      </c>
      <c r="AD904">
        <f>TRIM(SUBSTITUTE(INDEX('Loans'!$I:$I,ROW())&amp;""," "," "))</f>
        <v/>
      </c>
      <c r="AE904">
        <f>IFERROR(--INDEX('Loans'!$J:$J,ROW()),0)</f>
        <v/>
      </c>
      <c r="AF904">
        <f>TRIM(SUBSTITUTE(INDEX('Loans'!$K:$K,ROW())&amp;""," "," "))</f>
        <v/>
      </c>
      <c r="AG904">
        <f>IFERROR(--INDEX('Loans'!$L:$L,ROW()),0)</f>
        <v/>
      </c>
      <c r="AH904">
        <f>IF(ISNUMBER(INDEX('Loans'!$G:$G,ROW())),1,0)</f>
        <v/>
      </c>
    </row>
    <row r="905">
      <c r="A905">
        <f>TRIM(SUBSTITUTE(INDEX('Term investments'!$A:$A,ROW())&amp;""," "," "))</f>
        <v/>
      </c>
      <c r="B905">
        <f>TRIM(SUBSTITUTE(INDEX('Term investments'!$B:$B,ROW())&amp;""," "," "))</f>
        <v/>
      </c>
      <c r="C905">
        <f>TRIM(SUBSTITUTE(INDEX('Term investments'!$C:$C,ROW())&amp;""," "," "))</f>
        <v/>
      </c>
      <c r="D905">
        <f>IFERROR(--INDEX('Term investments'!$D:$D,ROW()),0)</f>
        <v/>
      </c>
      <c r="E905">
        <f>IFERROR(--INDEX('Term investments'!$E:$E,ROW()),0)</f>
        <v/>
      </c>
      <c r="F905">
        <f>IFERROR(--INDEX('Term investments'!$F:$F,ROW()),0)</f>
        <v/>
      </c>
      <c r="G905">
        <f>IFERROR(IF(--INDEX('Term investments'!$G:$G,ROW())&gt;=1,--INDEX('Term investments'!$G:$G,ROW())/100,--INDEX('Term investments'!$G:$G,ROW())),0)</f>
        <v/>
      </c>
      <c r="H905">
        <f>IFERROR(--INDEX('Term investments'!$H:$H,ROW()),0)</f>
        <v/>
      </c>
      <c r="I905">
        <f>IF(ISNUMBER(INDEX('Term investments'!$G:$G,ROW())),1,0)</f>
        <v/>
      </c>
      <c r="J905">
        <f>TRIM(SUBSTITUTE(INDEX('Call accounts and MMFs'!$A:$A,ROW())&amp;""," "," "))</f>
        <v/>
      </c>
      <c r="K905">
        <f>TRIM(SUBSTITUTE(INDEX('Call accounts and MMFs'!$B:$B,ROW())&amp;""," "," "))</f>
        <v/>
      </c>
      <c r="L905">
        <f>TRIM(SUBSTITUTE(INDEX('Call accounts and MMFs'!$C:$C,ROW())&amp;""," "," "))</f>
        <v/>
      </c>
      <c r="M905">
        <f>IFERROR(--INDEX('Call accounts and MMFs'!$D:$D,ROW()),0)</f>
        <v/>
      </c>
      <c r="N905">
        <f>IFERROR(IF(--INDEX('Call accounts and MMFs'!$E:$E,ROW())&gt;=1,--INDEX('Call accounts and MMFs'!$E:$E,ROW())/100,--INDEX('Call accounts and MMFs'!$E:$E,ROW())),0)</f>
        <v/>
      </c>
      <c r="O905">
        <f>IFERROR(--INDEX('Call accounts and MMFs'!$F:$F,ROW()),0)</f>
        <v/>
      </c>
      <c r="P905">
        <f>IF(ISNUMBER(INDEX('Call accounts and MMFs'!$E:$E,ROW())),1,0)</f>
        <v/>
      </c>
      <c r="Q905">
        <f>TRIM(SUBSTITUTE(INDEX('Pooled funds'!$B:$B,ROW())&amp;""," "," "))</f>
        <v/>
      </c>
      <c r="R905">
        <f>IFERROR(--INDEX('Pooled funds'!$C:$C,ROW()),0)</f>
        <v/>
      </c>
      <c r="S905">
        <f>IFERROR(--INDEX('Pooled funds'!$D:$D,ROW()),0)</f>
        <v/>
      </c>
      <c r="T905">
        <f>IFERROR(IF(--INDEX('Pooled funds'!$E:$E,ROW())&gt;=1,--INDEX('Pooled funds'!$E:$E,ROW())/100,--INDEX('Pooled funds'!$E:$E,ROW())),0)</f>
        <v/>
      </c>
      <c r="U905">
        <f>IF(ISNUMBER(INDEX('Pooled funds'!$E:$E,ROW())),1,0)</f>
        <v/>
      </c>
      <c r="V905">
        <f>TRIM(SUBSTITUTE(INDEX('Loans'!$A:$A,ROW())&amp;""," "," "))</f>
        <v/>
      </c>
      <c r="W905">
        <f>TRIM(SUBSTITUTE(INDEX('Loans'!$B:$B,ROW())&amp;""," "," "))</f>
        <v/>
      </c>
      <c r="X905">
        <f>TRIM(SUBSTITUTE(INDEX('Loans'!$C:$C,ROW())&amp;""," "," "))</f>
        <v/>
      </c>
      <c r="Y905">
        <f>IFERROR(--INDEX('Loans'!$D:$D,ROW()),0)</f>
        <v/>
      </c>
      <c r="Z905">
        <f>IFERROR(--INDEX('Loans'!$E:$E,ROW()),0)</f>
        <v/>
      </c>
      <c r="AA905">
        <f>IFERROR(--INDEX('Loans'!$F:$F,ROW()),0)</f>
        <v/>
      </c>
      <c r="AB905">
        <f>IFERROR(IF(--INDEX('Loans'!$G:$G,ROW())&gt;=1,--INDEX('Loans'!$G:$G,ROW())/100,--INDEX('Loans'!$G:$G,ROW())),0)</f>
        <v/>
      </c>
      <c r="AC905">
        <f>TRIM(SUBSTITUTE(INDEX('Loans'!$H:$H,ROW())&amp;""," "," "))</f>
        <v/>
      </c>
      <c r="AD905">
        <f>TRIM(SUBSTITUTE(INDEX('Loans'!$I:$I,ROW())&amp;""," "," "))</f>
        <v/>
      </c>
      <c r="AE905">
        <f>IFERROR(--INDEX('Loans'!$J:$J,ROW()),0)</f>
        <v/>
      </c>
      <c r="AF905">
        <f>TRIM(SUBSTITUTE(INDEX('Loans'!$K:$K,ROW())&amp;""," "," "))</f>
        <v/>
      </c>
      <c r="AG905">
        <f>IFERROR(--INDEX('Loans'!$L:$L,ROW()),0)</f>
        <v/>
      </c>
      <c r="AH905">
        <f>IF(ISNUMBER(INDEX('Loans'!$G:$G,ROW())),1,0)</f>
        <v/>
      </c>
    </row>
    <row r="906">
      <c r="A906">
        <f>TRIM(SUBSTITUTE(INDEX('Term investments'!$A:$A,ROW())&amp;""," "," "))</f>
        <v/>
      </c>
      <c r="B906">
        <f>TRIM(SUBSTITUTE(INDEX('Term investments'!$B:$B,ROW())&amp;""," "," "))</f>
        <v/>
      </c>
      <c r="C906">
        <f>TRIM(SUBSTITUTE(INDEX('Term investments'!$C:$C,ROW())&amp;""," "," "))</f>
        <v/>
      </c>
      <c r="D906">
        <f>IFERROR(--INDEX('Term investments'!$D:$D,ROW()),0)</f>
        <v/>
      </c>
      <c r="E906">
        <f>IFERROR(--INDEX('Term investments'!$E:$E,ROW()),0)</f>
        <v/>
      </c>
      <c r="F906">
        <f>IFERROR(--INDEX('Term investments'!$F:$F,ROW()),0)</f>
        <v/>
      </c>
      <c r="G906">
        <f>IFERROR(IF(--INDEX('Term investments'!$G:$G,ROW())&gt;=1,--INDEX('Term investments'!$G:$G,ROW())/100,--INDEX('Term investments'!$G:$G,ROW())),0)</f>
        <v/>
      </c>
      <c r="H906">
        <f>IFERROR(--INDEX('Term investments'!$H:$H,ROW()),0)</f>
        <v/>
      </c>
      <c r="I906">
        <f>IF(ISNUMBER(INDEX('Term investments'!$G:$G,ROW())),1,0)</f>
        <v/>
      </c>
      <c r="J906">
        <f>TRIM(SUBSTITUTE(INDEX('Call accounts and MMFs'!$A:$A,ROW())&amp;""," "," "))</f>
        <v/>
      </c>
      <c r="K906">
        <f>TRIM(SUBSTITUTE(INDEX('Call accounts and MMFs'!$B:$B,ROW())&amp;""," "," "))</f>
        <v/>
      </c>
      <c r="L906">
        <f>TRIM(SUBSTITUTE(INDEX('Call accounts and MMFs'!$C:$C,ROW())&amp;""," "," "))</f>
        <v/>
      </c>
      <c r="M906">
        <f>IFERROR(--INDEX('Call accounts and MMFs'!$D:$D,ROW()),0)</f>
        <v/>
      </c>
      <c r="N906">
        <f>IFERROR(IF(--INDEX('Call accounts and MMFs'!$E:$E,ROW())&gt;=1,--INDEX('Call accounts and MMFs'!$E:$E,ROW())/100,--INDEX('Call accounts and MMFs'!$E:$E,ROW())),0)</f>
        <v/>
      </c>
      <c r="O906">
        <f>IFERROR(--INDEX('Call accounts and MMFs'!$F:$F,ROW()),0)</f>
        <v/>
      </c>
      <c r="P906">
        <f>IF(ISNUMBER(INDEX('Call accounts and MMFs'!$E:$E,ROW())),1,0)</f>
        <v/>
      </c>
      <c r="Q906">
        <f>TRIM(SUBSTITUTE(INDEX('Pooled funds'!$B:$B,ROW())&amp;""," "," "))</f>
        <v/>
      </c>
      <c r="R906">
        <f>IFERROR(--INDEX('Pooled funds'!$C:$C,ROW()),0)</f>
        <v/>
      </c>
      <c r="S906">
        <f>IFERROR(--INDEX('Pooled funds'!$D:$D,ROW()),0)</f>
        <v/>
      </c>
      <c r="T906">
        <f>IFERROR(IF(--INDEX('Pooled funds'!$E:$E,ROW())&gt;=1,--INDEX('Pooled funds'!$E:$E,ROW())/100,--INDEX('Pooled funds'!$E:$E,ROW())),0)</f>
        <v/>
      </c>
      <c r="U906">
        <f>IF(ISNUMBER(INDEX('Pooled funds'!$E:$E,ROW())),1,0)</f>
        <v/>
      </c>
      <c r="V906">
        <f>TRIM(SUBSTITUTE(INDEX('Loans'!$A:$A,ROW())&amp;""," "," "))</f>
        <v/>
      </c>
      <c r="W906">
        <f>TRIM(SUBSTITUTE(INDEX('Loans'!$B:$B,ROW())&amp;""," "," "))</f>
        <v/>
      </c>
      <c r="X906">
        <f>TRIM(SUBSTITUTE(INDEX('Loans'!$C:$C,ROW())&amp;""," "," "))</f>
        <v/>
      </c>
      <c r="Y906">
        <f>IFERROR(--INDEX('Loans'!$D:$D,ROW()),0)</f>
        <v/>
      </c>
      <c r="Z906">
        <f>IFERROR(--INDEX('Loans'!$E:$E,ROW()),0)</f>
        <v/>
      </c>
      <c r="AA906">
        <f>IFERROR(--INDEX('Loans'!$F:$F,ROW()),0)</f>
        <v/>
      </c>
      <c r="AB906">
        <f>IFERROR(IF(--INDEX('Loans'!$G:$G,ROW())&gt;=1,--INDEX('Loans'!$G:$G,ROW())/100,--INDEX('Loans'!$G:$G,ROW())),0)</f>
        <v/>
      </c>
      <c r="AC906">
        <f>TRIM(SUBSTITUTE(INDEX('Loans'!$H:$H,ROW())&amp;""," "," "))</f>
        <v/>
      </c>
      <c r="AD906">
        <f>TRIM(SUBSTITUTE(INDEX('Loans'!$I:$I,ROW())&amp;""," "," "))</f>
        <v/>
      </c>
      <c r="AE906">
        <f>IFERROR(--INDEX('Loans'!$J:$J,ROW()),0)</f>
        <v/>
      </c>
      <c r="AF906">
        <f>TRIM(SUBSTITUTE(INDEX('Loans'!$K:$K,ROW())&amp;""," "," "))</f>
        <v/>
      </c>
      <c r="AG906">
        <f>IFERROR(--INDEX('Loans'!$L:$L,ROW()),0)</f>
        <v/>
      </c>
      <c r="AH906">
        <f>IF(ISNUMBER(INDEX('Loans'!$G:$G,ROW())),1,0)</f>
        <v/>
      </c>
    </row>
    <row r="907">
      <c r="A907">
        <f>TRIM(SUBSTITUTE(INDEX('Term investments'!$A:$A,ROW())&amp;""," "," "))</f>
        <v/>
      </c>
      <c r="B907">
        <f>TRIM(SUBSTITUTE(INDEX('Term investments'!$B:$B,ROW())&amp;""," "," "))</f>
        <v/>
      </c>
      <c r="C907">
        <f>TRIM(SUBSTITUTE(INDEX('Term investments'!$C:$C,ROW())&amp;""," "," "))</f>
        <v/>
      </c>
      <c r="D907">
        <f>IFERROR(--INDEX('Term investments'!$D:$D,ROW()),0)</f>
        <v/>
      </c>
      <c r="E907">
        <f>IFERROR(--INDEX('Term investments'!$E:$E,ROW()),0)</f>
        <v/>
      </c>
      <c r="F907">
        <f>IFERROR(--INDEX('Term investments'!$F:$F,ROW()),0)</f>
        <v/>
      </c>
      <c r="G907">
        <f>IFERROR(IF(--INDEX('Term investments'!$G:$G,ROW())&gt;=1,--INDEX('Term investments'!$G:$G,ROW())/100,--INDEX('Term investments'!$G:$G,ROW())),0)</f>
        <v/>
      </c>
      <c r="H907">
        <f>IFERROR(--INDEX('Term investments'!$H:$H,ROW()),0)</f>
        <v/>
      </c>
      <c r="I907">
        <f>IF(ISNUMBER(INDEX('Term investments'!$G:$G,ROW())),1,0)</f>
        <v/>
      </c>
      <c r="J907">
        <f>TRIM(SUBSTITUTE(INDEX('Call accounts and MMFs'!$A:$A,ROW())&amp;""," "," "))</f>
        <v/>
      </c>
      <c r="K907">
        <f>TRIM(SUBSTITUTE(INDEX('Call accounts and MMFs'!$B:$B,ROW())&amp;""," "," "))</f>
        <v/>
      </c>
      <c r="L907">
        <f>TRIM(SUBSTITUTE(INDEX('Call accounts and MMFs'!$C:$C,ROW())&amp;""," "," "))</f>
        <v/>
      </c>
      <c r="M907">
        <f>IFERROR(--INDEX('Call accounts and MMFs'!$D:$D,ROW()),0)</f>
        <v/>
      </c>
      <c r="N907">
        <f>IFERROR(IF(--INDEX('Call accounts and MMFs'!$E:$E,ROW())&gt;=1,--INDEX('Call accounts and MMFs'!$E:$E,ROW())/100,--INDEX('Call accounts and MMFs'!$E:$E,ROW())),0)</f>
        <v/>
      </c>
      <c r="O907">
        <f>IFERROR(--INDEX('Call accounts and MMFs'!$F:$F,ROW()),0)</f>
        <v/>
      </c>
      <c r="P907">
        <f>IF(ISNUMBER(INDEX('Call accounts and MMFs'!$E:$E,ROW())),1,0)</f>
        <v/>
      </c>
      <c r="Q907">
        <f>TRIM(SUBSTITUTE(INDEX('Pooled funds'!$B:$B,ROW())&amp;""," "," "))</f>
        <v/>
      </c>
      <c r="R907">
        <f>IFERROR(--INDEX('Pooled funds'!$C:$C,ROW()),0)</f>
        <v/>
      </c>
      <c r="S907">
        <f>IFERROR(--INDEX('Pooled funds'!$D:$D,ROW()),0)</f>
        <v/>
      </c>
      <c r="T907">
        <f>IFERROR(IF(--INDEX('Pooled funds'!$E:$E,ROW())&gt;=1,--INDEX('Pooled funds'!$E:$E,ROW())/100,--INDEX('Pooled funds'!$E:$E,ROW())),0)</f>
        <v/>
      </c>
      <c r="U907">
        <f>IF(ISNUMBER(INDEX('Pooled funds'!$E:$E,ROW())),1,0)</f>
        <v/>
      </c>
      <c r="V907">
        <f>TRIM(SUBSTITUTE(INDEX('Loans'!$A:$A,ROW())&amp;""," "," "))</f>
        <v/>
      </c>
      <c r="W907">
        <f>TRIM(SUBSTITUTE(INDEX('Loans'!$B:$B,ROW())&amp;""," "," "))</f>
        <v/>
      </c>
      <c r="X907">
        <f>TRIM(SUBSTITUTE(INDEX('Loans'!$C:$C,ROW())&amp;""," "," "))</f>
        <v/>
      </c>
      <c r="Y907">
        <f>IFERROR(--INDEX('Loans'!$D:$D,ROW()),0)</f>
        <v/>
      </c>
      <c r="Z907">
        <f>IFERROR(--INDEX('Loans'!$E:$E,ROW()),0)</f>
        <v/>
      </c>
      <c r="AA907">
        <f>IFERROR(--INDEX('Loans'!$F:$F,ROW()),0)</f>
        <v/>
      </c>
      <c r="AB907">
        <f>IFERROR(IF(--INDEX('Loans'!$G:$G,ROW())&gt;=1,--INDEX('Loans'!$G:$G,ROW())/100,--INDEX('Loans'!$G:$G,ROW())),0)</f>
        <v/>
      </c>
      <c r="AC907">
        <f>TRIM(SUBSTITUTE(INDEX('Loans'!$H:$H,ROW())&amp;""," "," "))</f>
        <v/>
      </c>
      <c r="AD907">
        <f>TRIM(SUBSTITUTE(INDEX('Loans'!$I:$I,ROW())&amp;""," "," "))</f>
        <v/>
      </c>
      <c r="AE907">
        <f>IFERROR(--INDEX('Loans'!$J:$J,ROW()),0)</f>
        <v/>
      </c>
      <c r="AF907">
        <f>TRIM(SUBSTITUTE(INDEX('Loans'!$K:$K,ROW())&amp;""," "," "))</f>
        <v/>
      </c>
      <c r="AG907">
        <f>IFERROR(--INDEX('Loans'!$L:$L,ROW()),0)</f>
        <v/>
      </c>
      <c r="AH907">
        <f>IF(ISNUMBER(INDEX('Loans'!$G:$G,ROW())),1,0)</f>
        <v/>
      </c>
    </row>
    <row r="908">
      <c r="A908">
        <f>TRIM(SUBSTITUTE(INDEX('Term investments'!$A:$A,ROW())&amp;""," "," "))</f>
        <v/>
      </c>
      <c r="B908">
        <f>TRIM(SUBSTITUTE(INDEX('Term investments'!$B:$B,ROW())&amp;""," "," "))</f>
        <v/>
      </c>
      <c r="C908">
        <f>TRIM(SUBSTITUTE(INDEX('Term investments'!$C:$C,ROW())&amp;""," "," "))</f>
        <v/>
      </c>
      <c r="D908">
        <f>IFERROR(--INDEX('Term investments'!$D:$D,ROW()),0)</f>
        <v/>
      </c>
      <c r="E908">
        <f>IFERROR(--INDEX('Term investments'!$E:$E,ROW()),0)</f>
        <v/>
      </c>
      <c r="F908">
        <f>IFERROR(--INDEX('Term investments'!$F:$F,ROW()),0)</f>
        <v/>
      </c>
      <c r="G908">
        <f>IFERROR(IF(--INDEX('Term investments'!$G:$G,ROW())&gt;=1,--INDEX('Term investments'!$G:$G,ROW())/100,--INDEX('Term investments'!$G:$G,ROW())),0)</f>
        <v/>
      </c>
      <c r="H908">
        <f>IFERROR(--INDEX('Term investments'!$H:$H,ROW()),0)</f>
        <v/>
      </c>
      <c r="I908">
        <f>IF(ISNUMBER(INDEX('Term investments'!$G:$G,ROW())),1,0)</f>
        <v/>
      </c>
      <c r="J908">
        <f>TRIM(SUBSTITUTE(INDEX('Call accounts and MMFs'!$A:$A,ROW())&amp;""," "," "))</f>
        <v/>
      </c>
      <c r="K908">
        <f>TRIM(SUBSTITUTE(INDEX('Call accounts and MMFs'!$B:$B,ROW())&amp;""," "," "))</f>
        <v/>
      </c>
      <c r="L908">
        <f>TRIM(SUBSTITUTE(INDEX('Call accounts and MMFs'!$C:$C,ROW())&amp;""," "," "))</f>
        <v/>
      </c>
      <c r="M908">
        <f>IFERROR(--INDEX('Call accounts and MMFs'!$D:$D,ROW()),0)</f>
        <v/>
      </c>
      <c r="N908">
        <f>IFERROR(IF(--INDEX('Call accounts and MMFs'!$E:$E,ROW())&gt;=1,--INDEX('Call accounts and MMFs'!$E:$E,ROW())/100,--INDEX('Call accounts and MMFs'!$E:$E,ROW())),0)</f>
        <v/>
      </c>
      <c r="O908">
        <f>IFERROR(--INDEX('Call accounts and MMFs'!$F:$F,ROW()),0)</f>
        <v/>
      </c>
      <c r="P908">
        <f>IF(ISNUMBER(INDEX('Call accounts and MMFs'!$E:$E,ROW())),1,0)</f>
        <v/>
      </c>
      <c r="Q908">
        <f>TRIM(SUBSTITUTE(INDEX('Pooled funds'!$B:$B,ROW())&amp;""," "," "))</f>
        <v/>
      </c>
      <c r="R908">
        <f>IFERROR(--INDEX('Pooled funds'!$C:$C,ROW()),0)</f>
        <v/>
      </c>
      <c r="S908">
        <f>IFERROR(--INDEX('Pooled funds'!$D:$D,ROW()),0)</f>
        <v/>
      </c>
      <c r="T908">
        <f>IFERROR(IF(--INDEX('Pooled funds'!$E:$E,ROW())&gt;=1,--INDEX('Pooled funds'!$E:$E,ROW())/100,--INDEX('Pooled funds'!$E:$E,ROW())),0)</f>
        <v/>
      </c>
      <c r="U908">
        <f>IF(ISNUMBER(INDEX('Pooled funds'!$E:$E,ROW())),1,0)</f>
        <v/>
      </c>
      <c r="V908">
        <f>TRIM(SUBSTITUTE(INDEX('Loans'!$A:$A,ROW())&amp;""," "," "))</f>
        <v/>
      </c>
      <c r="W908">
        <f>TRIM(SUBSTITUTE(INDEX('Loans'!$B:$B,ROW())&amp;""," "," "))</f>
        <v/>
      </c>
      <c r="X908">
        <f>TRIM(SUBSTITUTE(INDEX('Loans'!$C:$C,ROW())&amp;""," "," "))</f>
        <v/>
      </c>
      <c r="Y908">
        <f>IFERROR(--INDEX('Loans'!$D:$D,ROW()),0)</f>
        <v/>
      </c>
      <c r="Z908">
        <f>IFERROR(--INDEX('Loans'!$E:$E,ROW()),0)</f>
        <v/>
      </c>
      <c r="AA908">
        <f>IFERROR(--INDEX('Loans'!$F:$F,ROW()),0)</f>
        <v/>
      </c>
      <c r="AB908">
        <f>IFERROR(IF(--INDEX('Loans'!$G:$G,ROW())&gt;=1,--INDEX('Loans'!$G:$G,ROW())/100,--INDEX('Loans'!$G:$G,ROW())),0)</f>
        <v/>
      </c>
      <c r="AC908">
        <f>TRIM(SUBSTITUTE(INDEX('Loans'!$H:$H,ROW())&amp;""," "," "))</f>
        <v/>
      </c>
      <c r="AD908">
        <f>TRIM(SUBSTITUTE(INDEX('Loans'!$I:$I,ROW())&amp;""," "," "))</f>
        <v/>
      </c>
      <c r="AE908">
        <f>IFERROR(--INDEX('Loans'!$J:$J,ROW()),0)</f>
        <v/>
      </c>
      <c r="AF908">
        <f>TRIM(SUBSTITUTE(INDEX('Loans'!$K:$K,ROW())&amp;""," "," "))</f>
        <v/>
      </c>
      <c r="AG908">
        <f>IFERROR(--INDEX('Loans'!$L:$L,ROW()),0)</f>
        <v/>
      </c>
      <c r="AH908">
        <f>IF(ISNUMBER(INDEX('Loans'!$G:$G,ROW())),1,0)</f>
        <v/>
      </c>
    </row>
    <row r="909">
      <c r="A909">
        <f>TRIM(SUBSTITUTE(INDEX('Term investments'!$A:$A,ROW())&amp;""," "," "))</f>
        <v/>
      </c>
      <c r="B909">
        <f>TRIM(SUBSTITUTE(INDEX('Term investments'!$B:$B,ROW())&amp;""," "," "))</f>
        <v/>
      </c>
      <c r="C909">
        <f>TRIM(SUBSTITUTE(INDEX('Term investments'!$C:$C,ROW())&amp;""," "," "))</f>
        <v/>
      </c>
      <c r="D909">
        <f>IFERROR(--INDEX('Term investments'!$D:$D,ROW()),0)</f>
        <v/>
      </c>
      <c r="E909">
        <f>IFERROR(--INDEX('Term investments'!$E:$E,ROW()),0)</f>
        <v/>
      </c>
      <c r="F909">
        <f>IFERROR(--INDEX('Term investments'!$F:$F,ROW()),0)</f>
        <v/>
      </c>
      <c r="G909">
        <f>IFERROR(IF(--INDEX('Term investments'!$G:$G,ROW())&gt;=1,--INDEX('Term investments'!$G:$G,ROW())/100,--INDEX('Term investments'!$G:$G,ROW())),0)</f>
        <v/>
      </c>
      <c r="H909">
        <f>IFERROR(--INDEX('Term investments'!$H:$H,ROW()),0)</f>
        <v/>
      </c>
      <c r="I909">
        <f>IF(ISNUMBER(INDEX('Term investments'!$G:$G,ROW())),1,0)</f>
        <v/>
      </c>
      <c r="J909">
        <f>TRIM(SUBSTITUTE(INDEX('Call accounts and MMFs'!$A:$A,ROW())&amp;""," "," "))</f>
        <v/>
      </c>
      <c r="K909">
        <f>TRIM(SUBSTITUTE(INDEX('Call accounts and MMFs'!$B:$B,ROW())&amp;""," "," "))</f>
        <v/>
      </c>
      <c r="L909">
        <f>TRIM(SUBSTITUTE(INDEX('Call accounts and MMFs'!$C:$C,ROW())&amp;""," "," "))</f>
        <v/>
      </c>
      <c r="M909">
        <f>IFERROR(--INDEX('Call accounts and MMFs'!$D:$D,ROW()),0)</f>
        <v/>
      </c>
      <c r="N909">
        <f>IFERROR(IF(--INDEX('Call accounts and MMFs'!$E:$E,ROW())&gt;=1,--INDEX('Call accounts and MMFs'!$E:$E,ROW())/100,--INDEX('Call accounts and MMFs'!$E:$E,ROW())),0)</f>
        <v/>
      </c>
      <c r="O909">
        <f>IFERROR(--INDEX('Call accounts and MMFs'!$F:$F,ROW()),0)</f>
        <v/>
      </c>
      <c r="P909">
        <f>IF(ISNUMBER(INDEX('Call accounts and MMFs'!$E:$E,ROW())),1,0)</f>
        <v/>
      </c>
      <c r="Q909">
        <f>TRIM(SUBSTITUTE(INDEX('Pooled funds'!$B:$B,ROW())&amp;""," "," "))</f>
        <v/>
      </c>
      <c r="R909">
        <f>IFERROR(--INDEX('Pooled funds'!$C:$C,ROW()),0)</f>
        <v/>
      </c>
      <c r="S909">
        <f>IFERROR(--INDEX('Pooled funds'!$D:$D,ROW()),0)</f>
        <v/>
      </c>
      <c r="T909">
        <f>IFERROR(IF(--INDEX('Pooled funds'!$E:$E,ROW())&gt;=1,--INDEX('Pooled funds'!$E:$E,ROW())/100,--INDEX('Pooled funds'!$E:$E,ROW())),0)</f>
        <v/>
      </c>
      <c r="U909">
        <f>IF(ISNUMBER(INDEX('Pooled funds'!$E:$E,ROW())),1,0)</f>
        <v/>
      </c>
      <c r="V909">
        <f>TRIM(SUBSTITUTE(INDEX('Loans'!$A:$A,ROW())&amp;""," "," "))</f>
        <v/>
      </c>
      <c r="W909">
        <f>TRIM(SUBSTITUTE(INDEX('Loans'!$B:$B,ROW())&amp;""," "," "))</f>
        <v/>
      </c>
      <c r="X909">
        <f>TRIM(SUBSTITUTE(INDEX('Loans'!$C:$C,ROW())&amp;""," "," "))</f>
        <v/>
      </c>
      <c r="Y909">
        <f>IFERROR(--INDEX('Loans'!$D:$D,ROW()),0)</f>
        <v/>
      </c>
      <c r="Z909">
        <f>IFERROR(--INDEX('Loans'!$E:$E,ROW()),0)</f>
        <v/>
      </c>
      <c r="AA909">
        <f>IFERROR(--INDEX('Loans'!$F:$F,ROW()),0)</f>
        <v/>
      </c>
      <c r="AB909">
        <f>IFERROR(IF(--INDEX('Loans'!$G:$G,ROW())&gt;=1,--INDEX('Loans'!$G:$G,ROW())/100,--INDEX('Loans'!$G:$G,ROW())),0)</f>
        <v/>
      </c>
      <c r="AC909">
        <f>TRIM(SUBSTITUTE(INDEX('Loans'!$H:$H,ROW())&amp;""," "," "))</f>
        <v/>
      </c>
      <c r="AD909">
        <f>TRIM(SUBSTITUTE(INDEX('Loans'!$I:$I,ROW())&amp;""," "," "))</f>
        <v/>
      </c>
      <c r="AE909">
        <f>IFERROR(--INDEX('Loans'!$J:$J,ROW()),0)</f>
        <v/>
      </c>
      <c r="AF909">
        <f>TRIM(SUBSTITUTE(INDEX('Loans'!$K:$K,ROW())&amp;""," "," "))</f>
        <v/>
      </c>
      <c r="AG909">
        <f>IFERROR(--INDEX('Loans'!$L:$L,ROW()),0)</f>
        <v/>
      </c>
      <c r="AH909">
        <f>IF(ISNUMBER(INDEX('Loans'!$G:$G,ROW())),1,0)</f>
        <v/>
      </c>
    </row>
    <row r="910">
      <c r="A910">
        <f>TRIM(SUBSTITUTE(INDEX('Term investments'!$A:$A,ROW())&amp;""," "," "))</f>
        <v/>
      </c>
      <c r="B910">
        <f>TRIM(SUBSTITUTE(INDEX('Term investments'!$B:$B,ROW())&amp;""," "," "))</f>
        <v/>
      </c>
      <c r="C910">
        <f>TRIM(SUBSTITUTE(INDEX('Term investments'!$C:$C,ROW())&amp;""," "," "))</f>
        <v/>
      </c>
      <c r="D910">
        <f>IFERROR(--INDEX('Term investments'!$D:$D,ROW()),0)</f>
        <v/>
      </c>
      <c r="E910">
        <f>IFERROR(--INDEX('Term investments'!$E:$E,ROW()),0)</f>
        <v/>
      </c>
      <c r="F910">
        <f>IFERROR(--INDEX('Term investments'!$F:$F,ROW()),0)</f>
        <v/>
      </c>
      <c r="G910">
        <f>IFERROR(IF(--INDEX('Term investments'!$G:$G,ROW())&gt;=1,--INDEX('Term investments'!$G:$G,ROW())/100,--INDEX('Term investments'!$G:$G,ROW())),0)</f>
        <v/>
      </c>
      <c r="H910">
        <f>IFERROR(--INDEX('Term investments'!$H:$H,ROW()),0)</f>
        <v/>
      </c>
      <c r="I910">
        <f>IF(ISNUMBER(INDEX('Term investments'!$G:$G,ROW())),1,0)</f>
        <v/>
      </c>
      <c r="J910">
        <f>TRIM(SUBSTITUTE(INDEX('Call accounts and MMFs'!$A:$A,ROW())&amp;""," "," "))</f>
        <v/>
      </c>
      <c r="K910">
        <f>TRIM(SUBSTITUTE(INDEX('Call accounts and MMFs'!$B:$B,ROW())&amp;""," "," "))</f>
        <v/>
      </c>
      <c r="L910">
        <f>TRIM(SUBSTITUTE(INDEX('Call accounts and MMFs'!$C:$C,ROW())&amp;""," "," "))</f>
        <v/>
      </c>
      <c r="M910">
        <f>IFERROR(--INDEX('Call accounts and MMFs'!$D:$D,ROW()),0)</f>
        <v/>
      </c>
      <c r="N910">
        <f>IFERROR(IF(--INDEX('Call accounts and MMFs'!$E:$E,ROW())&gt;=1,--INDEX('Call accounts and MMFs'!$E:$E,ROW())/100,--INDEX('Call accounts and MMFs'!$E:$E,ROW())),0)</f>
        <v/>
      </c>
      <c r="O910">
        <f>IFERROR(--INDEX('Call accounts and MMFs'!$F:$F,ROW()),0)</f>
        <v/>
      </c>
      <c r="P910">
        <f>IF(ISNUMBER(INDEX('Call accounts and MMFs'!$E:$E,ROW())),1,0)</f>
        <v/>
      </c>
      <c r="Q910">
        <f>TRIM(SUBSTITUTE(INDEX('Pooled funds'!$B:$B,ROW())&amp;""," "," "))</f>
        <v/>
      </c>
      <c r="R910">
        <f>IFERROR(--INDEX('Pooled funds'!$C:$C,ROW()),0)</f>
        <v/>
      </c>
      <c r="S910">
        <f>IFERROR(--INDEX('Pooled funds'!$D:$D,ROW()),0)</f>
        <v/>
      </c>
      <c r="T910">
        <f>IFERROR(IF(--INDEX('Pooled funds'!$E:$E,ROW())&gt;=1,--INDEX('Pooled funds'!$E:$E,ROW())/100,--INDEX('Pooled funds'!$E:$E,ROW())),0)</f>
        <v/>
      </c>
      <c r="U910">
        <f>IF(ISNUMBER(INDEX('Pooled funds'!$E:$E,ROW())),1,0)</f>
        <v/>
      </c>
      <c r="V910">
        <f>TRIM(SUBSTITUTE(INDEX('Loans'!$A:$A,ROW())&amp;""," "," "))</f>
        <v/>
      </c>
      <c r="W910">
        <f>TRIM(SUBSTITUTE(INDEX('Loans'!$B:$B,ROW())&amp;""," "," "))</f>
        <v/>
      </c>
      <c r="X910">
        <f>TRIM(SUBSTITUTE(INDEX('Loans'!$C:$C,ROW())&amp;""," "," "))</f>
        <v/>
      </c>
      <c r="Y910">
        <f>IFERROR(--INDEX('Loans'!$D:$D,ROW()),0)</f>
        <v/>
      </c>
      <c r="Z910">
        <f>IFERROR(--INDEX('Loans'!$E:$E,ROW()),0)</f>
        <v/>
      </c>
      <c r="AA910">
        <f>IFERROR(--INDEX('Loans'!$F:$F,ROW()),0)</f>
        <v/>
      </c>
      <c r="AB910">
        <f>IFERROR(IF(--INDEX('Loans'!$G:$G,ROW())&gt;=1,--INDEX('Loans'!$G:$G,ROW())/100,--INDEX('Loans'!$G:$G,ROW())),0)</f>
        <v/>
      </c>
      <c r="AC910">
        <f>TRIM(SUBSTITUTE(INDEX('Loans'!$H:$H,ROW())&amp;""," "," "))</f>
        <v/>
      </c>
      <c r="AD910">
        <f>TRIM(SUBSTITUTE(INDEX('Loans'!$I:$I,ROW())&amp;""," "," "))</f>
        <v/>
      </c>
      <c r="AE910">
        <f>IFERROR(--INDEX('Loans'!$J:$J,ROW()),0)</f>
        <v/>
      </c>
      <c r="AF910">
        <f>TRIM(SUBSTITUTE(INDEX('Loans'!$K:$K,ROW())&amp;""," "," "))</f>
        <v/>
      </c>
      <c r="AG910">
        <f>IFERROR(--INDEX('Loans'!$L:$L,ROW()),0)</f>
        <v/>
      </c>
      <c r="AH910">
        <f>IF(ISNUMBER(INDEX('Loans'!$G:$G,ROW())),1,0)</f>
        <v/>
      </c>
    </row>
    <row r="911">
      <c r="A911">
        <f>TRIM(SUBSTITUTE(INDEX('Term investments'!$A:$A,ROW())&amp;""," "," "))</f>
        <v/>
      </c>
      <c r="B911">
        <f>TRIM(SUBSTITUTE(INDEX('Term investments'!$B:$B,ROW())&amp;""," "," "))</f>
        <v/>
      </c>
      <c r="C911">
        <f>TRIM(SUBSTITUTE(INDEX('Term investments'!$C:$C,ROW())&amp;""," "," "))</f>
        <v/>
      </c>
      <c r="D911">
        <f>IFERROR(--INDEX('Term investments'!$D:$D,ROW()),0)</f>
        <v/>
      </c>
      <c r="E911">
        <f>IFERROR(--INDEX('Term investments'!$E:$E,ROW()),0)</f>
        <v/>
      </c>
      <c r="F911">
        <f>IFERROR(--INDEX('Term investments'!$F:$F,ROW()),0)</f>
        <v/>
      </c>
      <c r="G911">
        <f>IFERROR(IF(--INDEX('Term investments'!$G:$G,ROW())&gt;=1,--INDEX('Term investments'!$G:$G,ROW())/100,--INDEX('Term investments'!$G:$G,ROW())),0)</f>
        <v/>
      </c>
      <c r="H911">
        <f>IFERROR(--INDEX('Term investments'!$H:$H,ROW()),0)</f>
        <v/>
      </c>
      <c r="I911">
        <f>IF(ISNUMBER(INDEX('Term investments'!$G:$G,ROW())),1,0)</f>
        <v/>
      </c>
      <c r="J911">
        <f>TRIM(SUBSTITUTE(INDEX('Call accounts and MMFs'!$A:$A,ROW())&amp;""," "," "))</f>
        <v/>
      </c>
      <c r="K911">
        <f>TRIM(SUBSTITUTE(INDEX('Call accounts and MMFs'!$B:$B,ROW())&amp;""," "," "))</f>
        <v/>
      </c>
      <c r="L911">
        <f>TRIM(SUBSTITUTE(INDEX('Call accounts and MMFs'!$C:$C,ROW())&amp;""," "," "))</f>
        <v/>
      </c>
      <c r="M911">
        <f>IFERROR(--INDEX('Call accounts and MMFs'!$D:$D,ROW()),0)</f>
        <v/>
      </c>
      <c r="N911">
        <f>IFERROR(IF(--INDEX('Call accounts and MMFs'!$E:$E,ROW())&gt;=1,--INDEX('Call accounts and MMFs'!$E:$E,ROW())/100,--INDEX('Call accounts and MMFs'!$E:$E,ROW())),0)</f>
        <v/>
      </c>
      <c r="O911">
        <f>IFERROR(--INDEX('Call accounts and MMFs'!$F:$F,ROW()),0)</f>
        <v/>
      </c>
      <c r="P911">
        <f>IF(ISNUMBER(INDEX('Call accounts and MMFs'!$E:$E,ROW())),1,0)</f>
        <v/>
      </c>
      <c r="Q911">
        <f>TRIM(SUBSTITUTE(INDEX('Pooled funds'!$B:$B,ROW())&amp;""," "," "))</f>
        <v/>
      </c>
      <c r="R911">
        <f>IFERROR(--INDEX('Pooled funds'!$C:$C,ROW()),0)</f>
        <v/>
      </c>
      <c r="S911">
        <f>IFERROR(--INDEX('Pooled funds'!$D:$D,ROW()),0)</f>
        <v/>
      </c>
      <c r="T911">
        <f>IFERROR(IF(--INDEX('Pooled funds'!$E:$E,ROW())&gt;=1,--INDEX('Pooled funds'!$E:$E,ROW())/100,--INDEX('Pooled funds'!$E:$E,ROW())),0)</f>
        <v/>
      </c>
      <c r="U911">
        <f>IF(ISNUMBER(INDEX('Pooled funds'!$E:$E,ROW())),1,0)</f>
        <v/>
      </c>
      <c r="V911">
        <f>TRIM(SUBSTITUTE(INDEX('Loans'!$A:$A,ROW())&amp;""," "," "))</f>
        <v/>
      </c>
      <c r="W911">
        <f>TRIM(SUBSTITUTE(INDEX('Loans'!$B:$B,ROW())&amp;""," "," "))</f>
        <v/>
      </c>
      <c r="X911">
        <f>TRIM(SUBSTITUTE(INDEX('Loans'!$C:$C,ROW())&amp;""," "," "))</f>
        <v/>
      </c>
      <c r="Y911">
        <f>IFERROR(--INDEX('Loans'!$D:$D,ROW()),0)</f>
        <v/>
      </c>
      <c r="Z911">
        <f>IFERROR(--INDEX('Loans'!$E:$E,ROW()),0)</f>
        <v/>
      </c>
      <c r="AA911">
        <f>IFERROR(--INDEX('Loans'!$F:$F,ROW()),0)</f>
        <v/>
      </c>
      <c r="AB911">
        <f>IFERROR(IF(--INDEX('Loans'!$G:$G,ROW())&gt;=1,--INDEX('Loans'!$G:$G,ROW())/100,--INDEX('Loans'!$G:$G,ROW())),0)</f>
        <v/>
      </c>
      <c r="AC911">
        <f>TRIM(SUBSTITUTE(INDEX('Loans'!$H:$H,ROW())&amp;""," "," "))</f>
        <v/>
      </c>
      <c r="AD911">
        <f>TRIM(SUBSTITUTE(INDEX('Loans'!$I:$I,ROW())&amp;""," "," "))</f>
        <v/>
      </c>
      <c r="AE911">
        <f>IFERROR(--INDEX('Loans'!$J:$J,ROW()),0)</f>
        <v/>
      </c>
      <c r="AF911">
        <f>TRIM(SUBSTITUTE(INDEX('Loans'!$K:$K,ROW())&amp;""," "," "))</f>
        <v/>
      </c>
      <c r="AG911">
        <f>IFERROR(--INDEX('Loans'!$L:$L,ROW()),0)</f>
        <v/>
      </c>
      <c r="AH911">
        <f>IF(ISNUMBER(INDEX('Loans'!$G:$G,ROW())),1,0)</f>
        <v/>
      </c>
    </row>
    <row r="912">
      <c r="A912">
        <f>TRIM(SUBSTITUTE(INDEX('Term investments'!$A:$A,ROW())&amp;""," "," "))</f>
        <v/>
      </c>
      <c r="B912">
        <f>TRIM(SUBSTITUTE(INDEX('Term investments'!$B:$B,ROW())&amp;""," "," "))</f>
        <v/>
      </c>
      <c r="C912">
        <f>TRIM(SUBSTITUTE(INDEX('Term investments'!$C:$C,ROW())&amp;""," "," "))</f>
        <v/>
      </c>
      <c r="D912">
        <f>IFERROR(--INDEX('Term investments'!$D:$D,ROW()),0)</f>
        <v/>
      </c>
      <c r="E912">
        <f>IFERROR(--INDEX('Term investments'!$E:$E,ROW()),0)</f>
        <v/>
      </c>
      <c r="F912">
        <f>IFERROR(--INDEX('Term investments'!$F:$F,ROW()),0)</f>
        <v/>
      </c>
      <c r="G912">
        <f>IFERROR(IF(--INDEX('Term investments'!$G:$G,ROW())&gt;=1,--INDEX('Term investments'!$G:$G,ROW())/100,--INDEX('Term investments'!$G:$G,ROW())),0)</f>
        <v/>
      </c>
      <c r="H912">
        <f>IFERROR(--INDEX('Term investments'!$H:$H,ROW()),0)</f>
        <v/>
      </c>
      <c r="I912">
        <f>IF(ISNUMBER(INDEX('Term investments'!$G:$G,ROW())),1,0)</f>
        <v/>
      </c>
      <c r="J912">
        <f>TRIM(SUBSTITUTE(INDEX('Call accounts and MMFs'!$A:$A,ROW())&amp;""," "," "))</f>
        <v/>
      </c>
      <c r="K912">
        <f>TRIM(SUBSTITUTE(INDEX('Call accounts and MMFs'!$B:$B,ROW())&amp;""," "," "))</f>
        <v/>
      </c>
      <c r="L912">
        <f>TRIM(SUBSTITUTE(INDEX('Call accounts and MMFs'!$C:$C,ROW())&amp;""," "," "))</f>
        <v/>
      </c>
      <c r="M912">
        <f>IFERROR(--INDEX('Call accounts and MMFs'!$D:$D,ROW()),0)</f>
        <v/>
      </c>
      <c r="N912">
        <f>IFERROR(IF(--INDEX('Call accounts and MMFs'!$E:$E,ROW())&gt;=1,--INDEX('Call accounts and MMFs'!$E:$E,ROW())/100,--INDEX('Call accounts and MMFs'!$E:$E,ROW())),0)</f>
        <v/>
      </c>
      <c r="O912">
        <f>IFERROR(--INDEX('Call accounts and MMFs'!$F:$F,ROW()),0)</f>
        <v/>
      </c>
      <c r="P912">
        <f>IF(ISNUMBER(INDEX('Call accounts and MMFs'!$E:$E,ROW())),1,0)</f>
        <v/>
      </c>
      <c r="Q912">
        <f>TRIM(SUBSTITUTE(INDEX('Pooled funds'!$B:$B,ROW())&amp;""," "," "))</f>
        <v/>
      </c>
      <c r="R912">
        <f>IFERROR(--INDEX('Pooled funds'!$C:$C,ROW()),0)</f>
        <v/>
      </c>
      <c r="S912">
        <f>IFERROR(--INDEX('Pooled funds'!$D:$D,ROW()),0)</f>
        <v/>
      </c>
      <c r="T912">
        <f>IFERROR(IF(--INDEX('Pooled funds'!$E:$E,ROW())&gt;=1,--INDEX('Pooled funds'!$E:$E,ROW())/100,--INDEX('Pooled funds'!$E:$E,ROW())),0)</f>
        <v/>
      </c>
      <c r="U912">
        <f>IF(ISNUMBER(INDEX('Pooled funds'!$E:$E,ROW())),1,0)</f>
        <v/>
      </c>
      <c r="V912">
        <f>TRIM(SUBSTITUTE(INDEX('Loans'!$A:$A,ROW())&amp;""," "," "))</f>
        <v/>
      </c>
      <c r="W912">
        <f>TRIM(SUBSTITUTE(INDEX('Loans'!$B:$B,ROW())&amp;""," "," "))</f>
        <v/>
      </c>
      <c r="X912">
        <f>TRIM(SUBSTITUTE(INDEX('Loans'!$C:$C,ROW())&amp;""," "," "))</f>
        <v/>
      </c>
      <c r="Y912">
        <f>IFERROR(--INDEX('Loans'!$D:$D,ROW()),0)</f>
        <v/>
      </c>
      <c r="Z912">
        <f>IFERROR(--INDEX('Loans'!$E:$E,ROW()),0)</f>
        <v/>
      </c>
      <c r="AA912">
        <f>IFERROR(--INDEX('Loans'!$F:$F,ROW()),0)</f>
        <v/>
      </c>
      <c r="AB912">
        <f>IFERROR(IF(--INDEX('Loans'!$G:$G,ROW())&gt;=1,--INDEX('Loans'!$G:$G,ROW())/100,--INDEX('Loans'!$G:$G,ROW())),0)</f>
        <v/>
      </c>
      <c r="AC912">
        <f>TRIM(SUBSTITUTE(INDEX('Loans'!$H:$H,ROW())&amp;""," "," "))</f>
        <v/>
      </c>
      <c r="AD912">
        <f>TRIM(SUBSTITUTE(INDEX('Loans'!$I:$I,ROW())&amp;""," "," "))</f>
        <v/>
      </c>
      <c r="AE912">
        <f>IFERROR(--INDEX('Loans'!$J:$J,ROW()),0)</f>
        <v/>
      </c>
      <c r="AF912">
        <f>TRIM(SUBSTITUTE(INDEX('Loans'!$K:$K,ROW())&amp;""," "," "))</f>
        <v/>
      </c>
      <c r="AG912">
        <f>IFERROR(--INDEX('Loans'!$L:$L,ROW()),0)</f>
        <v/>
      </c>
      <c r="AH912">
        <f>IF(ISNUMBER(INDEX('Loans'!$G:$G,ROW())),1,0)</f>
        <v/>
      </c>
    </row>
    <row r="913">
      <c r="A913">
        <f>TRIM(SUBSTITUTE(INDEX('Term investments'!$A:$A,ROW())&amp;""," "," "))</f>
        <v/>
      </c>
      <c r="B913">
        <f>TRIM(SUBSTITUTE(INDEX('Term investments'!$B:$B,ROW())&amp;""," "," "))</f>
        <v/>
      </c>
      <c r="C913">
        <f>TRIM(SUBSTITUTE(INDEX('Term investments'!$C:$C,ROW())&amp;""," "," "))</f>
        <v/>
      </c>
      <c r="D913">
        <f>IFERROR(--INDEX('Term investments'!$D:$D,ROW()),0)</f>
        <v/>
      </c>
      <c r="E913">
        <f>IFERROR(--INDEX('Term investments'!$E:$E,ROW()),0)</f>
        <v/>
      </c>
      <c r="F913">
        <f>IFERROR(--INDEX('Term investments'!$F:$F,ROW()),0)</f>
        <v/>
      </c>
      <c r="G913">
        <f>IFERROR(IF(--INDEX('Term investments'!$G:$G,ROW())&gt;=1,--INDEX('Term investments'!$G:$G,ROW())/100,--INDEX('Term investments'!$G:$G,ROW())),0)</f>
        <v/>
      </c>
      <c r="H913">
        <f>IFERROR(--INDEX('Term investments'!$H:$H,ROW()),0)</f>
        <v/>
      </c>
      <c r="I913">
        <f>IF(ISNUMBER(INDEX('Term investments'!$G:$G,ROW())),1,0)</f>
        <v/>
      </c>
      <c r="J913">
        <f>TRIM(SUBSTITUTE(INDEX('Call accounts and MMFs'!$A:$A,ROW())&amp;""," "," "))</f>
        <v/>
      </c>
      <c r="K913">
        <f>TRIM(SUBSTITUTE(INDEX('Call accounts and MMFs'!$B:$B,ROW())&amp;""," "," "))</f>
        <v/>
      </c>
      <c r="L913">
        <f>TRIM(SUBSTITUTE(INDEX('Call accounts and MMFs'!$C:$C,ROW())&amp;""," "," "))</f>
        <v/>
      </c>
      <c r="M913">
        <f>IFERROR(--INDEX('Call accounts and MMFs'!$D:$D,ROW()),0)</f>
        <v/>
      </c>
      <c r="N913">
        <f>IFERROR(IF(--INDEX('Call accounts and MMFs'!$E:$E,ROW())&gt;=1,--INDEX('Call accounts and MMFs'!$E:$E,ROW())/100,--INDEX('Call accounts and MMFs'!$E:$E,ROW())),0)</f>
        <v/>
      </c>
      <c r="O913">
        <f>IFERROR(--INDEX('Call accounts and MMFs'!$F:$F,ROW()),0)</f>
        <v/>
      </c>
      <c r="P913">
        <f>IF(ISNUMBER(INDEX('Call accounts and MMFs'!$E:$E,ROW())),1,0)</f>
        <v/>
      </c>
      <c r="Q913">
        <f>TRIM(SUBSTITUTE(INDEX('Pooled funds'!$B:$B,ROW())&amp;""," "," "))</f>
        <v/>
      </c>
      <c r="R913">
        <f>IFERROR(--INDEX('Pooled funds'!$C:$C,ROW()),0)</f>
        <v/>
      </c>
      <c r="S913">
        <f>IFERROR(--INDEX('Pooled funds'!$D:$D,ROW()),0)</f>
        <v/>
      </c>
      <c r="T913">
        <f>IFERROR(IF(--INDEX('Pooled funds'!$E:$E,ROW())&gt;=1,--INDEX('Pooled funds'!$E:$E,ROW())/100,--INDEX('Pooled funds'!$E:$E,ROW())),0)</f>
        <v/>
      </c>
      <c r="U913">
        <f>IF(ISNUMBER(INDEX('Pooled funds'!$E:$E,ROW())),1,0)</f>
        <v/>
      </c>
      <c r="V913">
        <f>TRIM(SUBSTITUTE(INDEX('Loans'!$A:$A,ROW())&amp;""," "," "))</f>
        <v/>
      </c>
      <c r="W913">
        <f>TRIM(SUBSTITUTE(INDEX('Loans'!$B:$B,ROW())&amp;""," "," "))</f>
        <v/>
      </c>
      <c r="X913">
        <f>TRIM(SUBSTITUTE(INDEX('Loans'!$C:$C,ROW())&amp;""," "," "))</f>
        <v/>
      </c>
      <c r="Y913">
        <f>IFERROR(--INDEX('Loans'!$D:$D,ROW()),0)</f>
        <v/>
      </c>
      <c r="Z913">
        <f>IFERROR(--INDEX('Loans'!$E:$E,ROW()),0)</f>
        <v/>
      </c>
      <c r="AA913">
        <f>IFERROR(--INDEX('Loans'!$F:$F,ROW()),0)</f>
        <v/>
      </c>
      <c r="AB913">
        <f>IFERROR(IF(--INDEX('Loans'!$G:$G,ROW())&gt;=1,--INDEX('Loans'!$G:$G,ROW())/100,--INDEX('Loans'!$G:$G,ROW())),0)</f>
        <v/>
      </c>
      <c r="AC913">
        <f>TRIM(SUBSTITUTE(INDEX('Loans'!$H:$H,ROW())&amp;""," "," "))</f>
        <v/>
      </c>
      <c r="AD913">
        <f>TRIM(SUBSTITUTE(INDEX('Loans'!$I:$I,ROW())&amp;""," "," "))</f>
        <v/>
      </c>
      <c r="AE913">
        <f>IFERROR(--INDEX('Loans'!$J:$J,ROW()),0)</f>
        <v/>
      </c>
      <c r="AF913">
        <f>TRIM(SUBSTITUTE(INDEX('Loans'!$K:$K,ROW())&amp;""," "," "))</f>
        <v/>
      </c>
      <c r="AG913">
        <f>IFERROR(--INDEX('Loans'!$L:$L,ROW()),0)</f>
        <v/>
      </c>
      <c r="AH913">
        <f>IF(ISNUMBER(INDEX('Loans'!$G:$G,ROW())),1,0)</f>
        <v/>
      </c>
    </row>
    <row r="914">
      <c r="A914">
        <f>TRIM(SUBSTITUTE(INDEX('Term investments'!$A:$A,ROW())&amp;""," "," "))</f>
        <v/>
      </c>
      <c r="B914">
        <f>TRIM(SUBSTITUTE(INDEX('Term investments'!$B:$B,ROW())&amp;""," "," "))</f>
        <v/>
      </c>
      <c r="C914">
        <f>TRIM(SUBSTITUTE(INDEX('Term investments'!$C:$C,ROW())&amp;""," "," "))</f>
        <v/>
      </c>
      <c r="D914">
        <f>IFERROR(--INDEX('Term investments'!$D:$D,ROW()),0)</f>
        <v/>
      </c>
      <c r="E914">
        <f>IFERROR(--INDEX('Term investments'!$E:$E,ROW()),0)</f>
        <v/>
      </c>
      <c r="F914">
        <f>IFERROR(--INDEX('Term investments'!$F:$F,ROW()),0)</f>
        <v/>
      </c>
      <c r="G914">
        <f>IFERROR(IF(--INDEX('Term investments'!$G:$G,ROW())&gt;=1,--INDEX('Term investments'!$G:$G,ROW())/100,--INDEX('Term investments'!$G:$G,ROW())),0)</f>
        <v/>
      </c>
      <c r="H914">
        <f>IFERROR(--INDEX('Term investments'!$H:$H,ROW()),0)</f>
        <v/>
      </c>
      <c r="I914">
        <f>IF(ISNUMBER(INDEX('Term investments'!$G:$G,ROW())),1,0)</f>
        <v/>
      </c>
      <c r="J914">
        <f>TRIM(SUBSTITUTE(INDEX('Call accounts and MMFs'!$A:$A,ROW())&amp;""," "," "))</f>
        <v/>
      </c>
      <c r="K914">
        <f>TRIM(SUBSTITUTE(INDEX('Call accounts and MMFs'!$B:$B,ROW())&amp;""," "," "))</f>
        <v/>
      </c>
      <c r="L914">
        <f>TRIM(SUBSTITUTE(INDEX('Call accounts and MMFs'!$C:$C,ROW())&amp;""," "," "))</f>
        <v/>
      </c>
      <c r="M914">
        <f>IFERROR(--INDEX('Call accounts and MMFs'!$D:$D,ROW()),0)</f>
        <v/>
      </c>
      <c r="N914">
        <f>IFERROR(IF(--INDEX('Call accounts and MMFs'!$E:$E,ROW())&gt;=1,--INDEX('Call accounts and MMFs'!$E:$E,ROW())/100,--INDEX('Call accounts and MMFs'!$E:$E,ROW())),0)</f>
        <v/>
      </c>
      <c r="O914">
        <f>IFERROR(--INDEX('Call accounts and MMFs'!$F:$F,ROW()),0)</f>
        <v/>
      </c>
      <c r="P914">
        <f>IF(ISNUMBER(INDEX('Call accounts and MMFs'!$E:$E,ROW())),1,0)</f>
        <v/>
      </c>
      <c r="Q914">
        <f>TRIM(SUBSTITUTE(INDEX('Pooled funds'!$B:$B,ROW())&amp;""," "," "))</f>
        <v/>
      </c>
      <c r="R914">
        <f>IFERROR(--INDEX('Pooled funds'!$C:$C,ROW()),0)</f>
        <v/>
      </c>
      <c r="S914">
        <f>IFERROR(--INDEX('Pooled funds'!$D:$D,ROW()),0)</f>
        <v/>
      </c>
      <c r="T914">
        <f>IFERROR(IF(--INDEX('Pooled funds'!$E:$E,ROW())&gt;=1,--INDEX('Pooled funds'!$E:$E,ROW())/100,--INDEX('Pooled funds'!$E:$E,ROW())),0)</f>
        <v/>
      </c>
      <c r="U914">
        <f>IF(ISNUMBER(INDEX('Pooled funds'!$E:$E,ROW())),1,0)</f>
        <v/>
      </c>
      <c r="V914">
        <f>TRIM(SUBSTITUTE(INDEX('Loans'!$A:$A,ROW())&amp;""," "," "))</f>
        <v/>
      </c>
      <c r="W914">
        <f>TRIM(SUBSTITUTE(INDEX('Loans'!$B:$B,ROW())&amp;""," "," "))</f>
        <v/>
      </c>
      <c r="X914">
        <f>TRIM(SUBSTITUTE(INDEX('Loans'!$C:$C,ROW())&amp;""," "," "))</f>
        <v/>
      </c>
      <c r="Y914">
        <f>IFERROR(--INDEX('Loans'!$D:$D,ROW()),0)</f>
        <v/>
      </c>
      <c r="Z914">
        <f>IFERROR(--INDEX('Loans'!$E:$E,ROW()),0)</f>
        <v/>
      </c>
      <c r="AA914">
        <f>IFERROR(--INDEX('Loans'!$F:$F,ROW()),0)</f>
        <v/>
      </c>
      <c r="AB914">
        <f>IFERROR(IF(--INDEX('Loans'!$G:$G,ROW())&gt;=1,--INDEX('Loans'!$G:$G,ROW())/100,--INDEX('Loans'!$G:$G,ROW())),0)</f>
        <v/>
      </c>
      <c r="AC914">
        <f>TRIM(SUBSTITUTE(INDEX('Loans'!$H:$H,ROW())&amp;""," "," "))</f>
        <v/>
      </c>
      <c r="AD914">
        <f>TRIM(SUBSTITUTE(INDEX('Loans'!$I:$I,ROW())&amp;""," "," "))</f>
        <v/>
      </c>
      <c r="AE914">
        <f>IFERROR(--INDEX('Loans'!$J:$J,ROW()),0)</f>
        <v/>
      </c>
      <c r="AF914">
        <f>TRIM(SUBSTITUTE(INDEX('Loans'!$K:$K,ROW())&amp;""," "," "))</f>
        <v/>
      </c>
      <c r="AG914">
        <f>IFERROR(--INDEX('Loans'!$L:$L,ROW()),0)</f>
        <v/>
      </c>
      <c r="AH914">
        <f>IF(ISNUMBER(INDEX('Loans'!$G:$G,ROW())),1,0)</f>
        <v/>
      </c>
    </row>
    <row r="915">
      <c r="A915">
        <f>TRIM(SUBSTITUTE(INDEX('Term investments'!$A:$A,ROW())&amp;""," "," "))</f>
        <v/>
      </c>
      <c r="B915">
        <f>TRIM(SUBSTITUTE(INDEX('Term investments'!$B:$B,ROW())&amp;""," "," "))</f>
        <v/>
      </c>
      <c r="C915">
        <f>TRIM(SUBSTITUTE(INDEX('Term investments'!$C:$C,ROW())&amp;""," "," "))</f>
        <v/>
      </c>
      <c r="D915">
        <f>IFERROR(--INDEX('Term investments'!$D:$D,ROW()),0)</f>
        <v/>
      </c>
      <c r="E915">
        <f>IFERROR(--INDEX('Term investments'!$E:$E,ROW()),0)</f>
        <v/>
      </c>
      <c r="F915">
        <f>IFERROR(--INDEX('Term investments'!$F:$F,ROW()),0)</f>
        <v/>
      </c>
      <c r="G915">
        <f>IFERROR(IF(--INDEX('Term investments'!$G:$G,ROW())&gt;=1,--INDEX('Term investments'!$G:$G,ROW())/100,--INDEX('Term investments'!$G:$G,ROW())),0)</f>
        <v/>
      </c>
      <c r="H915">
        <f>IFERROR(--INDEX('Term investments'!$H:$H,ROW()),0)</f>
        <v/>
      </c>
      <c r="I915">
        <f>IF(ISNUMBER(INDEX('Term investments'!$G:$G,ROW())),1,0)</f>
        <v/>
      </c>
      <c r="J915">
        <f>TRIM(SUBSTITUTE(INDEX('Call accounts and MMFs'!$A:$A,ROW())&amp;""," "," "))</f>
        <v/>
      </c>
      <c r="K915">
        <f>TRIM(SUBSTITUTE(INDEX('Call accounts and MMFs'!$B:$B,ROW())&amp;""," "," "))</f>
        <v/>
      </c>
      <c r="L915">
        <f>TRIM(SUBSTITUTE(INDEX('Call accounts and MMFs'!$C:$C,ROW())&amp;""," "," "))</f>
        <v/>
      </c>
      <c r="M915">
        <f>IFERROR(--INDEX('Call accounts and MMFs'!$D:$D,ROW()),0)</f>
        <v/>
      </c>
      <c r="N915">
        <f>IFERROR(IF(--INDEX('Call accounts and MMFs'!$E:$E,ROW())&gt;=1,--INDEX('Call accounts and MMFs'!$E:$E,ROW())/100,--INDEX('Call accounts and MMFs'!$E:$E,ROW())),0)</f>
        <v/>
      </c>
      <c r="O915">
        <f>IFERROR(--INDEX('Call accounts and MMFs'!$F:$F,ROW()),0)</f>
        <v/>
      </c>
      <c r="P915">
        <f>IF(ISNUMBER(INDEX('Call accounts and MMFs'!$E:$E,ROW())),1,0)</f>
        <v/>
      </c>
      <c r="Q915">
        <f>TRIM(SUBSTITUTE(INDEX('Pooled funds'!$B:$B,ROW())&amp;""," "," "))</f>
        <v/>
      </c>
      <c r="R915">
        <f>IFERROR(--INDEX('Pooled funds'!$C:$C,ROW()),0)</f>
        <v/>
      </c>
      <c r="S915">
        <f>IFERROR(--INDEX('Pooled funds'!$D:$D,ROW()),0)</f>
        <v/>
      </c>
      <c r="T915">
        <f>IFERROR(IF(--INDEX('Pooled funds'!$E:$E,ROW())&gt;=1,--INDEX('Pooled funds'!$E:$E,ROW())/100,--INDEX('Pooled funds'!$E:$E,ROW())),0)</f>
        <v/>
      </c>
      <c r="U915">
        <f>IF(ISNUMBER(INDEX('Pooled funds'!$E:$E,ROW())),1,0)</f>
        <v/>
      </c>
      <c r="V915">
        <f>TRIM(SUBSTITUTE(INDEX('Loans'!$A:$A,ROW())&amp;""," "," "))</f>
        <v/>
      </c>
      <c r="W915">
        <f>TRIM(SUBSTITUTE(INDEX('Loans'!$B:$B,ROW())&amp;""," "," "))</f>
        <v/>
      </c>
      <c r="X915">
        <f>TRIM(SUBSTITUTE(INDEX('Loans'!$C:$C,ROW())&amp;""," "," "))</f>
        <v/>
      </c>
      <c r="Y915">
        <f>IFERROR(--INDEX('Loans'!$D:$D,ROW()),0)</f>
        <v/>
      </c>
      <c r="Z915">
        <f>IFERROR(--INDEX('Loans'!$E:$E,ROW()),0)</f>
        <v/>
      </c>
      <c r="AA915">
        <f>IFERROR(--INDEX('Loans'!$F:$F,ROW()),0)</f>
        <v/>
      </c>
      <c r="AB915">
        <f>IFERROR(IF(--INDEX('Loans'!$G:$G,ROW())&gt;=1,--INDEX('Loans'!$G:$G,ROW())/100,--INDEX('Loans'!$G:$G,ROW())),0)</f>
        <v/>
      </c>
      <c r="AC915">
        <f>TRIM(SUBSTITUTE(INDEX('Loans'!$H:$H,ROW())&amp;""," "," "))</f>
        <v/>
      </c>
      <c r="AD915">
        <f>TRIM(SUBSTITUTE(INDEX('Loans'!$I:$I,ROW())&amp;""," "," "))</f>
        <v/>
      </c>
      <c r="AE915">
        <f>IFERROR(--INDEX('Loans'!$J:$J,ROW()),0)</f>
        <v/>
      </c>
      <c r="AF915">
        <f>TRIM(SUBSTITUTE(INDEX('Loans'!$K:$K,ROW())&amp;""," "," "))</f>
        <v/>
      </c>
      <c r="AG915">
        <f>IFERROR(--INDEX('Loans'!$L:$L,ROW()),0)</f>
        <v/>
      </c>
      <c r="AH915">
        <f>IF(ISNUMBER(INDEX('Loans'!$G:$G,ROW())),1,0)</f>
        <v/>
      </c>
    </row>
    <row r="916">
      <c r="A916">
        <f>TRIM(SUBSTITUTE(INDEX('Term investments'!$A:$A,ROW())&amp;""," "," "))</f>
        <v/>
      </c>
      <c r="B916">
        <f>TRIM(SUBSTITUTE(INDEX('Term investments'!$B:$B,ROW())&amp;""," "," "))</f>
        <v/>
      </c>
      <c r="C916">
        <f>TRIM(SUBSTITUTE(INDEX('Term investments'!$C:$C,ROW())&amp;""," "," "))</f>
        <v/>
      </c>
      <c r="D916">
        <f>IFERROR(--INDEX('Term investments'!$D:$D,ROW()),0)</f>
        <v/>
      </c>
      <c r="E916">
        <f>IFERROR(--INDEX('Term investments'!$E:$E,ROW()),0)</f>
        <v/>
      </c>
      <c r="F916">
        <f>IFERROR(--INDEX('Term investments'!$F:$F,ROW()),0)</f>
        <v/>
      </c>
      <c r="G916">
        <f>IFERROR(IF(--INDEX('Term investments'!$G:$G,ROW())&gt;=1,--INDEX('Term investments'!$G:$G,ROW())/100,--INDEX('Term investments'!$G:$G,ROW())),0)</f>
        <v/>
      </c>
      <c r="H916">
        <f>IFERROR(--INDEX('Term investments'!$H:$H,ROW()),0)</f>
        <v/>
      </c>
      <c r="I916">
        <f>IF(ISNUMBER(INDEX('Term investments'!$G:$G,ROW())),1,0)</f>
        <v/>
      </c>
      <c r="J916">
        <f>TRIM(SUBSTITUTE(INDEX('Call accounts and MMFs'!$A:$A,ROW())&amp;""," "," "))</f>
        <v/>
      </c>
      <c r="K916">
        <f>TRIM(SUBSTITUTE(INDEX('Call accounts and MMFs'!$B:$B,ROW())&amp;""," "," "))</f>
        <v/>
      </c>
      <c r="L916">
        <f>TRIM(SUBSTITUTE(INDEX('Call accounts and MMFs'!$C:$C,ROW())&amp;""," "," "))</f>
        <v/>
      </c>
      <c r="M916">
        <f>IFERROR(--INDEX('Call accounts and MMFs'!$D:$D,ROW()),0)</f>
        <v/>
      </c>
      <c r="N916">
        <f>IFERROR(IF(--INDEX('Call accounts and MMFs'!$E:$E,ROW())&gt;=1,--INDEX('Call accounts and MMFs'!$E:$E,ROW())/100,--INDEX('Call accounts and MMFs'!$E:$E,ROW())),0)</f>
        <v/>
      </c>
      <c r="O916">
        <f>IFERROR(--INDEX('Call accounts and MMFs'!$F:$F,ROW()),0)</f>
        <v/>
      </c>
      <c r="P916">
        <f>IF(ISNUMBER(INDEX('Call accounts and MMFs'!$E:$E,ROW())),1,0)</f>
        <v/>
      </c>
      <c r="Q916">
        <f>TRIM(SUBSTITUTE(INDEX('Pooled funds'!$B:$B,ROW())&amp;""," "," "))</f>
        <v/>
      </c>
      <c r="R916">
        <f>IFERROR(--INDEX('Pooled funds'!$C:$C,ROW()),0)</f>
        <v/>
      </c>
      <c r="S916">
        <f>IFERROR(--INDEX('Pooled funds'!$D:$D,ROW()),0)</f>
        <v/>
      </c>
      <c r="T916">
        <f>IFERROR(IF(--INDEX('Pooled funds'!$E:$E,ROW())&gt;=1,--INDEX('Pooled funds'!$E:$E,ROW())/100,--INDEX('Pooled funds'!$E:$E,ROW())),0)</f>
        <v/>
      </c>
      <c r="U916">
        <f>IF(ISNUMBER(INDEX('Pooled funds'!$E:$E,ROW())),1,0)</f>
        <v/>
      </c>
      <c r="V916">
        <f>TRIM(SUBSTITUTE(INDEX('Loans'!$A:$A,ROW())&amp;""," "," "))</f>
        <v/>
      </c>
      <c r="W916">
        <f>TRIM(SUBSTITUTE(INDEX('Loans'!$B:$B,ROW())&amp;""," "," "))</f>
        <v/>
      </c>
      <c r="X916">
        <f>TRIM(SUBSTITUTE(INDEX('Loans'!$C:$C,ROW())&amp;""," "," "))</f>
        <v/>
      </c>
      <c r="Y916">
        <f>IFERROR(--INDEX('Loans'!$D:$D,ROW()),0)</f>
        <v/>
      </c>
      <c r="Z916">
        <f>IFERROR(--INDEX('Loans'!$E:$E,ROW()),0)</f>
        <v/>
      </c>
      <c r="AA916">
        <f>IFERROR(--INDEX('Loans'!$F:$F,ROW()),0)</f>
        <v/>
      </c>
      <c r="AB916">
        <f>IFERROR(IF(--INDEX('Loans'!$G:$G,ROW())&gt;=1,--INDEX('Loans'!$G:$G,ROW())/100,--INDEX('Loans'!$G:$G,ROW())),0)</f>
        <v/>
      </c>
      <c r="AC916">
        <f>TRIM(SUBSTITUTE(INDEX('Loans'!$H:$H,ROW())&amp;""," "," "))</f>
        <v/>
      </c>
      <c r="AD916">
        <f>TRIM(SUBSTITUTE(INDEX('Loans'!$I:$I,ROW())&amp;""," "," "))</f>
        <v/>
      </c>
      <c r="AE916">
        <f>IFERROR(--INDEX('Loans'!$J:$J,ROW()),0)</f>
        <v/>
      </c>
      <c r="AF916">
        <f>TRIM(SUBSTITUTE(INDEX('Loans'!$K:$K,ROW())&amp;""," "," "))</f>
        <v/>
      </c>
      <c r="AG916">
        <f>IFERROR(--INDEX('Loans'!$L:$L,ROW()),0)</f>
        <v/>
      </c>
      <c r="AH916">
        <f>IF(ISNUMBER(INDEX('Loans'!$G:$G,ROW())),1,0)</f>
        <v/>
      </c>
    </row>
    <row r="917">
      <c r="A917">
        <f>TRIM(SUBSTITUTE(INDEX('Term investments'!$A:$A,ROW())&amp;""," "," "))</f>
        <v/>
      </c>
      <c r="B917">
        <f>TRIM(SUBSTITUTE(INDEX('Term investments'!$B:$B,ROW())&amp;""," "," "))</f>
        <v/>
      </c>
      <c r="C917">
        <f>TRIM(SUBSTITUTE(INDEX('Term investments'!$C:$C,ROW())&amp;""," "," "))</f>
        <v/>
      </c>
      <c r="D917">
        <f>IFERROR(--INDEX('Term investments'!$D:$D,ROW()),0)</f>
        <v/>
      </c>
      <c r="E917">
        <f>IFERROR(--INDEX('Term investments'!$E:$E,ROW()),0)</f>
        <v/>
      </c>
      <c r="F917">
        <f>IFERROR(--INDEX('Term investments'!$F:$F,ROW()),0)</f>
        <v/>
      </c>
      <c r="G917">
        <f>IFERROR(IF(--INDEX('Term investments'!$G:$G,ROW())&gt;=1,--INDEX('Term investments'!$G:$G,ROW())/100,--INDEX('Term investments'!$G:$G,ROW())),0)</f>
        <v/>
      </c>
      <c r="H917">
        <f>IFERROR(--INDEX('Term investments'!$H:$H,ROW()),0)</f>
        <v/>
      </c>
      <c r="I917">
        <f>IF(ISNUMBER(INDEX('Term investments'!$G:$G,ROW())),1,0)</f>
        <v/>
      </c>
      <c r="J917">
        <f>TRIM(SUBSTITUTE(INDEX('Call accounts and MMFs'!$A:$A,ROW())&amp;""," "," "))</f>
        <v/>
      </c>
      <c r="K917">
        <f>TRIM(SUBSTITUTE(INDEX('Call accounts and MMFs'!$B:$B,ROW())&amp;""," "," "))</f>
        <v/>
      </c>
      <c r="L917">
        <f>TRIM(SUBSTITUTE(INDEX('Call accounts and MMFs'!$C:$C,ROW())&amp;""," "," "))</f>
        <v/>
      </c>
      <c r="M917">
        <f>IFERROR(--INDEX('Call accounts and MMFs'!$D:$D,ROW()),0)</f>
        <v/>
      </c>
      <c r="N917">
        <f>IFERROR(IF(--INDEX('Call accounts and MMFs'!$E:$E,ROW())&gt;=1,--INDEX('Call accounts and MMFs'!$E:$E,ROW())/100,--INDEX('Call accounts and MMFs'!$E:$E,ROW())),0)</f>
        <v/>
      </c>
      <c r="O917">
        <f>IFERROR(--INDEX('Call accounts and MMFs'!$F:$F,ROW()),0)</f>
        <v/>
      </c>
      <c r="P917">
        <f>IF(ISNUMBER(INDEX('Call accounts and MMFs'!$E:$E,ROW())),1,0)</f>
        <v/>
      </c>
      <c r="Q917">
        <f>TRIM(SUBSTITUTE(INDEX('Pooled funds'!$B:$B,ROW())&amp;""," "," "))</f>
        <v/>
      </c>
      <c r="R917">
        <f>IFERROR(--INDEX('Pooled funds'!$C:$C,ROW()),0)</f>
        <v/>
      </c>
      <c r="S917">
        <f>IFERROR(--INDEX('Pooled funds'!$D:$D,ROW()),0)</f>
        <v/>
      </c>
      <c r="T917">
        <f>IFERROR(IF(--INDEX('Pooled funds'!$E:$E,ROW())&gt;=1,--INDEX('Pooled funds'!$E:$E,ROW())/100,--INDEX('Pooled funds'!$E:$E,ROW())),0)</f>
        <v/>
      </c>
      <c r="U917">
        <f>IF(ISNUMBER(INDEX('Pooled funds'!$E:$E,ROW())),1,0)</f>
        <v/>
      </c>
      <c r="V917">
        <f>TRIM(SUBSTITUTE(INDEX('Loans'!$A:$A,ROW())&amp;""," "," "))</f>
        <v/>
      </c>
      <c r="W917">
        <f>TRIM(SUBSTITUTE(INDEX('Loans'!$B:$B,ROW())&amp;""," "," "))</f>
        <v/>
      </c>
      <c r="X917">
        <f>TRIM(SUBSTITUTE(INDEX('Loans'!$C:$C,ROW())&amp;""," "," "))</f>
        <v/>
      </c>
      <c r="Y917">
        <f>IFERROR(--INDEX('Loans'!$D:$D,ROW()),0)</f>
        <v/>
      </c>
      <c r="Z917">
        <f>IFERROR(--INDEX('Loans'!$E:$E,ROW()),0)</f>
        <v/>
      </c>
      <c r="AA917">
        <f>IFERROR(--INDEX('Loans'!$F:$F,ROW()),0)</f>
        <v/>
      </c>
      <c r="AB917">
        <f>IFERROR(IF(--INDEX('Loans'!$G:$G,ROW())&gt;=1,--INDEX('Loans'!$G:$G,ROW())/100,--INDEX('Loans'!$G:$G,ROW())),0)</f>
        <v/>
      </c>
      <c r="AC917">
        <f>TRIM(SUBSTITUTE(INDEX('Loans'!$H:$H,ROW())&amp;""," "," "))</f>
        <v/>
      </c>
      <c r="AD917">
        <f>TRIM(SUBSTITUTE(INDEX('Loans'!$I:$I,ROW())&amp;""," "," "))</f>
        <v/>
      </c>
      <c r="AE917">
        <f>IFERROR(--INDEX('Loans'!$J:$J,ROW()),0)</f>
        <v/>
      </c>
      <c r="AF917">
        <f>TRIM(SUBSTITUTE(INDEX('Loans'!$K:$K,ROW())&amp;""," "," "))</f>
        <v/>
      </c>
      <c r="AG917">
        <f>IFERROR(--INDEX('Loans'!$L:$L,ROW()),0)</f>
        <v/>
      </c>
      <c r="AH917">
        <f>IF(ISNUMBER(INDEX('Loans'!$G:$G,ROW())),1,0)</f>
        <v/>
      </c>
    </row>
    <row r="918">
      <c r="A918">
        <f>TRIM(SUBSTITUTE(INDEX('Term investments'!$A:$A,ROW())&amp;""," "," "))</f>
        <v/>
      </c>
      <c r="B918">
        <f>TRIM(SUBSTITUTE(INDEX('Term investments'!$B:$B,ROW())&amp;""," "," "))</f>
        <v/>
      </c>
      <c r="C918">
        <f>TRIM(SUBSTITUTE(INDEX('Term investments'!$C:$C,ROW())&amp;""," "," "))</f>
        <v/>
      </c>
      <c r="D918">
        <f>IFERROR(--INDEX('Term investments'!$D:$D,ROW()),0)</f>
        <v/>
      </c>
      <c r="E918">
        <f>IFERROR(--INDEX('Term investments'!$E:$E,ROW()),0)</f>
        <v/>
      </c>
      <c r="F918">
        <f>IFERROR(--INDEX('Term investments'!$F:$F,ROW()),0)</f>
        <v/>
      </c>
      <c r="G918">
        <f>IFERROR(IF(--INDEX('Term investments'!$G:$G,ROW())&gt;=1,--INDEX('Term investments'!$G:$G,ROW())/100,--INDEX('Term investments'!$G:$G,ROW())),0)</f>
        <v/>
      </c>
      <c r="H918">
        <f>IFERROR(--INDEX('Term investments'!$H:$H,ROW()),0)</f>
        <v/>
      </c>
      <c r="I918">
        <f>IF(ISNUMBER(INDEX('Term investments'!$G:$G,ROW())),1,0)</f>
        <v/>
      </c>
      <c r="J918">
        <f>TRIM(SUBSTITUTE(INDEX('Call accounts and MMFs'!$A:$A,ROW())&amp;""," "," "))</f>
        <v/>
      </c>
      <c r="K918">
        <f>TRIM(SUBSTITUTE(INDEX('Call accounts and MMFs'!$B:$B,ROW())&amp;""," "," "))</f>
        <v/>
      </c>
      <c r="L918">
        <f>TRIM(SUBSTITUTE(INDEX('Call accounts and MMFs'!$C:$C,ROW())&amp;""," "," "))</f>
        <v/>
      </c>
      <c r="M918">
        <f>IFERROR(--INDEX('Call accounts and MMFs'!$D:$D,ROW()),0)</f>
        <v/>
      </c>
      <c r="N918">
        <f>IFERROR(IF(--INDEX('Call accounts and MMFs'!$E:$E,ROW())&gt;=1,--INDEX('Call accounts and MMFs'!$E:$E,ROW())/100,--INDEX('Call accounts and MMFs'!$E:$E,ROW())),0)</f>
        <v/>
      </c>
      <c r="O918">
        <f>IFERROR(--INDEX('Call accounts and MMFs'!$F:$F,ROW()),0)</f>
        <v/>
      </c>
      <c r="P918">
        <f>IF(ISNUMBER(INDEX('Call accounts and MMFs'!$E:$E,ROW())),1,0)</f>
        <v/>
      </c>
      <c r="Q918">
        <f>TRIM(SUBSTITUTE(INDEX('Pooled funds'!$B:$B,ROW())&amp;""," "," "))</f>
        <v/>
      </c>
      <c r="R918">
        <f>IFERROR(--INDEX('Pooled funds'!$C:$C,ROW()),0)</f>
        <v/>
      </c>
      <c r="S918">
        <f>IFERROR(--INDEX('Pooled funds'!$D:$D,ROW()),0)</f>
        <v/>
      </c>
      <c r="T918">
        <f>IFERROR(IF(--INDEX('Pooled funds'!$E:$E,ROW())&gt;=1,--INDEX('Pooled funds'!$E:$E,ROW())/100,--INDEX('Pooled funds'!$E:$E,ROW())),0)</f>
        <v/>
      </c>
      <c r="U918">
        <f>IF(ISNUMBER(INDEX('Pooled funds'!$E:$E,ROW())),1,0)</f>
        <v/>
      </c>
      <c r="V918">
        <f>TRIM(SUBSTITUTE(INDEX('Loans'!$A:$A,ROW())&amp;""," "," "))</f>
        <v/>
      </c>
      <c r="W918">
        <f>TRIM(SUBSTITUTE(INDEX('Loans'!$B:$B,ROW())&amp;""," "," "))</f>
        <v/>
      </c>
      <c r="X918">
        <f>TRIM(SUBSTITUTE(INDEX('Loans'!$C:$C,ROW())&amp;""," "," "))</f>
        <v/>
      </c>
      <c r="Y918">
        <f>IFERROR(--INDEX('Loans'!$D:$D,ROW()),0)</f>
        <v/>
      </c>
      <c r="Z918">
        <f>IFERROR(--INDEX('Loans'!$E:$E,ROW()),0)</f>
        <v/>
      </c>
      <c r="AA918">
        <f>IFERROR(--INDEX('Loans'!$F:$F,ROW()),0)</f>
        <v/>
      </c>
      <c r="AB918">
        <f>IFERROR(IF(--INDEX('Loans'!$G:$G,ROW())&gt;=1,--INDEX('Loans'!$G:$G,ROW())/100,--INDEX('Loans'!$G:$G,ROW())),0)</f>
        <v/>
      </c>
      <c r="AC918">
        <f>TRIM(SUBSTITUTE(INDEX('Loans'!$H:$H,ROW())&amp;""," "," "))</f>
        <v/>
      </c>
      <c r="AD918">
        <f>TRIM(SUBSTITUTE(INDEX('Loans'!$I:$I,ROW())&amp;""," "," "))</f>
        <v/>
      </c>
      <c r="AE918">
        <f>IFERROR(--INDEX('Loans'!$J:$J,ROW()),0)</f>
        <v/>
      </c>
      <c r="AF918">
        <f>TRIM(SUBSTITUTE(INDEX('Loans'!$K:$K,ROW())&amp;""," "," "))</f>
        <v/>
      </c>
      <c r="AG918">
        <f>IFERROR(--INDEX('Loans'!$L:$L,ROW()),0)</f>
        <v/>
      </c>
      <c r="AH918">
        <f>IF(ISNUMBER(INDEX('Loans'!$G:$G,ROW())),1,0)</f>
        <v/>
      </c>
    </row>
    <row r="919">
      <c r="A919">
        <f>TRIM(SUBSTITUTE(INDEX('Term investments'!$A:$A,ROW())&amp;""," "," "))</f>
        <v/>
      </c>
      <c r="B919">
        <f>TRIM(SUBSTITUTE(INDEX('Term investments'!$B:$B,ROW())&amp;""," "," "))</f>
        <v/>
      </c>
      <c r="C919">
        <f>TRIM(SUBSTITUTE(INDEX('Term investments'!$C:$C,ROW())&amp;""," "," "))</f>
        <v/>
      </c>
      <c r="D919">
        <f>IFERROR(--INDEX('Term investments'!$D:$D,ROW()),0)</f>
        <v/>
      </c>
      <c r="E919">
        <f>IFERROR(--INDEX('Term investments'!$E:$E,ROW()),0)</f>
        <v/>
      </c>
      <c r="F919">
        <f>IFERROR(--INDEX('Term investments'!$F:$F,ROW()),0)</f>
        <v/>
      </c>
      <c r="G919">
        <f>IFERROR(IF(--INDEX('Term investments'!$G:$G,ROW())&gt;=1,--INDEX('Term investments'!$G:$G,ROW())/100,--INDEX('Term investments'!$G:$G,ROW())),0)</f>
        <v/>
      </c>
      <c r="H919">
        <f>IFERROR(--INDEX('Term investments'!$H:$H,ROW()),0)</f>
        <v/>
      </c>
      <c r="I919">
        <f>IF(ISNUMBER(INDEX('Term investments'!$G:$G,ROW())),1,0)</f>
        <v/>
      </c>
      <c r="J919">
        <f>TRIM(SUBSTITUTE(INDEX('Call accounts and MMFs'!$A:$A,ROW())&amp;""," "," "))</f>
        <v/>
      </c>
      <c r="K919">
        <f>TRIM(SUBSTITUTE(INDEX('Call accounts and MMFs'!$B:$B,ROW())&amp;""," "," "))</f>
        <v/>
      </c>
      <c r="L919">
        <f>TRIM(SUBSTITUTE(INDEX('Call accounts and MMFs'!$C:$C,ROW())&amp;""," "," "))</f>
        <v/>
      </c>
      <c r="M919">
        <f>IFERROR(--INDEX('Call accounts and MMFs'!$D:$D,ROW()),0)</f>
        <v/>
      </c>
      <c r="N919">
        <f>IFERROR(IF(--INDEX('Call accounts and MMFs'!$E:$E,ROW())&gt;=1,--INDEX('Call accounts and MMFs'!$E:$E,ROW())/100,--INDEX('Call accounts and MMFs'!$E:$E,ROW())),0)</f>
        <v/>
      </c>
      <c r="O919">
        <f>IFERROR(--INDEX('Call accounts and MMFs'!$F:$F,ROW()),0)</f>
        <v/>
      </c>
      <c r="P919">
        <f>IF(ISNUMBER(INDEX('Call accounts and MMFs'!$E:$E,ROW())),1,0)</f>
        <v/>
      </c>
      <c r="Q919">
        <f>TRIM(SUBSTITUTE(INDEX('Pooled funds'!$B:$B,ROW())&amp;""," "," "))</f>
        <v/>
      </c>
      <c r="R919">
        <f>IFERROR(--INDEX('Pooled funds'!$C:$C,ROW()),0)</f>
        <v/>
      </c>
      <c r="S919">
        <f>IFERROR(--INDEX('Pooled funds'!$D:$D,ROW()),0)</f>
        <v/>
      </c>
      <c r="T919">
        <f>IFERROR(IF(--INDEX('Pooled funds'!$E:$E,ROW())&gt;=1,--INDEX('Pooled funds'!$E:$E,ROW())/100,--INDEX('Pooled funds'!$E:$E,ROW())),0)</f>
        <v/>
      </c>
      <c r="U919">
        <f>IF(ISNUMBER(INDEX('Pooled funds'!$E:$E,ROW())),1,0)</f>
        <v/>
      </c>
      <c r="V919">
        <f>TRIM(SUBSTITUTE(INDEX('Loans'!$A:$A,ROW())&amp;""," "," "))</f>
        <v/>
      </c>
      <c r="W919">
        <f>TRIM(SUBSTITUTE(INDEX('Loans'!$B:$B,ROW())&amp;""," "," "))</f>
        <v/>
      </c>
      <c r="X919">
        <f>TRIM(SUBSTITUTE(INDEX('Loans'!$C:$C,ROW())&amp;""," "," "))</f>
        <v/>
      </c>
      <c r="Y919">
        <f>IFERROR(--INDEX('Loans'!$D:$D,ROW()),0)</f>
        <v/>
      </c>
      <c r="Z919">
        <f>IFERROR(--INDEX('Loans'!$E:$E,ROW()),0)</f>
        <v/>
      </c>
      <c r="AA919">
        <f>IFERROR(--INDEX('Loans'!$F:$F,ROW()),0)</f>
        <v/>
      </c>
      <c r="AB919">
        <f>IFERROR(IF(--INDEX('Loans'!$G:$G,ROW())&gt;=1,--INDEX('Loans'!$G:$G,ROW())/100,--INDEX('Loans'!$G:$G,ROW())),0)</f>
        <v/>
      </c>
      <c r="AC919">
        <f>TRIM(SUBSTITUTE(INDEX('Loans'!$H:$H,ROW())&amp;""," "," "))</f>
        <v/>
      </c>
      <c r="AD919">
        <f>TRIM(SUBSTITUTE(INDEX('Loans'!$I:$I,ROW())&amp;""," "," "))</f>
        <v/>
      </c>
      <c r="AE919">
        <f>IFERROR(--INDEX('Loans'!$J:$J,ROW()),0)</f>
        <v/>
      </c>
      <c r="AF919">
        <f>TRIM(SUBSTITUTE(INDEX('Loans'!$K:$K,ROW())&amp;""," "," "))</f>
        <v/>
      </c>
      <c r="AG919">
        <f>IFERROR(--INDEX('Loans'!$L:$L,ROW()),0)</f>
        <v/>
      </c>
      <c r="AH919">
        <f>IF(ISNUMBER(INDEX('Loans'!$G:$G,ROW())),1,0)</f>
        <v/>
      </c>
    </row>
    <row r="920">
      <c r="A920">
        <f>TRIM(SUBSTITUTE(INDEX('Term investments'!$A:$A,ROW())&amp;""," "," "))</f>
        <v/>
      </c>
      <c r="B920">
        <f>TRIM(SUBSTITUTE(INDEX('Term investments'!$B:$B,ROW())&amp;""," "," "))</f>
        <v/>
      </c>
      <c r="C920">
        <f>TRIM(SUBSTITUTE(INDEX('Term investments'!$C:$C,ROW())&amp;""," "," "))</f>
        <v/>
      </c>
      <c r="D920">
        <f>IFERROR(--INDEX('Term investments'!$D:$D,ROW()),0)</f>
        <v/>
      </c>
      <c r="E920">
        <f>IFERROR(--INDEX('Term investments'!$E:$E,ROW()),0)</f>
        <v/>
      </c>
      <c r="F920">
        <f>IFERROR(--INDEX('Term investments'!$F:$F,ROW()),0)</f>
        <v/>
      </c>
      <c r="G920">
        <f>IFERROR(IF(--INDEX('Term investments'!$G:$G,ROW())&gt;=1,--INDEX('Term investments'!$G:$G,ROW())/100,--INDEX('Term investments'!$G:$G,ROW())),0)</f>
        <v/>
      </c>
      <c r="H920">
        <f>IFERROR(--INDEX('Term investments'!$H:$H,ROW()),0)</f>
        <v/>
      </c>
      <c r="I920">
        <f>IF(ISNUMBER(INDEX('Term investments'!$G:$G,ROW())),1,0)</f>
        <v/>
      </c>
      <c r="J920">
        <f>TRIM(SUBSTITUTE(INDEX('Call accounts and MMFs'!$A:$A,ROW())&amp;""," "," "))</f>
        <v/>
      </c>
      <c r="K920">
        <f>TRIM(SUBSTITUTE(INDEX('Call accounts and MMFs'!$B:$B,ROW())&amp;""," "," "))</f>
        <v/>
      </c>
      <c r="L920">
        <f>TRIM(SUBSTITUTE(INDEX('Call accounts and MMFs'!$C:$C,ROW())&amp;""," "," "))</f>
        <v/>
      </c>
      <c r="M920">
        <f>IFERROR(--INDEX('Call accounts and MMFs'!$D:$D,ROW()),0)</f>
        <v/>
      </c>
      <c r="N920">
        <f>IFERROR(IF(--INDEX('Call accounts and MMFs'!$E:$E,ROW())&gt;=1,--INDEX('Call accounts and MMFs'!$E:$E,ROW())/100,--INDEX('Call accounts and MMFs'!$E:$E,ROW())),0)</f>
        <v/>
      </c>
      <c r="O920">
        <f>IFERROR(--INDEX('Call accounts and MMFs'!$F:$F,ROW()),0)</f>
        <v/>
      </c>
      <c r="P920">
        <f>IF(ISNUMBER(INDEX('Call accounts and MMFs'!$E:$E,ROW())),1,0)</f>
        <v/>
      </c>
      <c r="Q920">
        <f>TRIM(SUBSTITUTE(INDEX('Pooled funds'!$B:$B,ROW())&amp;""," "," "))</f>
        <v/>
      </c>
      <c r="R920">
        <f>IFERROR(--INDEX('Pooled funds'!$C:$C,ROW()),0)</f>
        <v/>
      </c>
      <c r="S920">
        <f>IFERROR(--INDEX('Pooled funds'!$D:$D,ROW()),0)</f>
        <v/>
      </c>
      <c r="T920">
        <f>IFERROR(IF(--INDEX('Pooled funds'!$E:$E,ROW())&gt;=1,--INDEX('Pooled funds'!$E:$E,ROW())/100,--INDEX('Pooled funds'!$E:$E,ROW())),0)</f>
        <v/>
      </c>
      <c r="U920">
        <f>IF(ISNUMBER(INDEX('Pooled funds'!$E:$E,ROW())),1,0)</f>
        <v/>
      </c>
      <c r="V920">
        <f>TRIM(SUBSTITUTE(INDEX('Loans'!$A:$A,ROW())&amp;""," "," "))</f>
        <v/>
      </c>
      <c r="W920">
        <f>TRIM(SUBSTITUTE(INDEX('Loans'!$B:$B,ROW())&amp;""," "," "))</f>
        <v/>
      </c>
      <c r="X920">
        <f>TRIM(SUBSTITUTE(INDEX('Loans'!$C:$C,ROW())&amp;""," "," "))</f>
        <v/>
      </c>
      <c r="Y920">
        <f>IFERROR(--INDEX('Loans'!$D:$D,ROW()),0)</f>
        <v/>
      </c>
      <c r="Z920">
        <f>IFERROR(--INDEX('Loans'!$E:$E,ROW()),0)</f>
        <v/>
      </c>
      <c r="AA920">
        <f>IFERROR(--INDEX('Loans'!$F:$F,ROW()),0)</f>
        <v/>
      </c>
      <c r="AB920">
        <f>IFERROR(IF(--INDEX('Loans'!$G:$G,ROW())&gt;=1,--INDEX('Loans'!$G:$G,ROW())/100,--INDEX('Loans'!$G:$G,ROW())),0)</f>
        <v/>
      </c>
      <c r="AC920">
        <f>TRIM(SUBSTITUTE(INDEX('Loans'!$H:$H,ROW())&amp;""," "," "))</f>
        <v/>
      </c>
      <c r="AD920">
        <f>TRIM(SUBSTITUTE(INDEX('Loans'!$I:$I,ROW())&amp;""," "," "))</f>
        <v/>
      </c>
      <c r="AE920">
        <f>IFERROR(--INDEX('Loans'!$J:$J,ROW()),0)</f>
        <v/>
      </c>
      <c r="AF920">
        <f>TRIM(SUBSTITUTE(INDEX('Loans'!$K:$K,ROW())&amp;""," "," "))</f>
        <v/>
      </c>
      <c r="AG920">
        <f>IFERROR(--INDEX('Loans'!$L:$L,ROW()),0)</f>
        <v/>
      </c>
      <c r="AH920">
        <f>IF(ISNUMBER(INDEX('Loans'!$G:$G,ROW())),1,0)</f>
        <v/>
      </c>
    </row>
    <row r="921">
      <c r="A921">
        <f>TRIM(SUBSTITUTE(INDEX('Term investments'!$A:$A,ROW())&amp;""," "," "))</f>
        <v/>
      </c>
      <c r="B921">
        <f>TRIM(SUBSTITUTE(INDEX('Term investments'!$B:$B,ROW())&amp;""," "," "))</f>
        <v/>
      </c>
      <c r="C921">
        <f>TRIM(SUBSTITUTE(INDEX('Term investments'!$C:$C,ROW())&amp;""," "," "))</f>
        <v/>
      </c>
      <c r="D921">
        <f>IFERROR(--INDEX('Term investments'!$D:$D,ROW()),0)</f>
        <v/>
      </c>
      <c r="E921">
        <f>IFERROR(--INDEX('Term investments'!$E:$E,ROW()),0)</f>
        <v/>
      </c>
      <c r="F921">
        <f>IFERROR(--INDEX('Term investments'!$F:$F,ROW()),0)</f>
        <v/>
      </c>
      <c r="G921">
        <f>IFERROR(IF(--INDEX('Term investments'!$G:$G,ROW())&gt;=1,--INDEX('Term investments'!$G:$G,ROW())/100,--INDEX('Term investments'!$G:$G,ROW())),0)</f>
        <v/>
      </c>
      <c r="H921">
        <f>IFERROR(--INDEX('Term investments'!$H:$H,ROW()),0)</f>
        <v/>
      </c>
      <c r="I921">
        <f>IF(ISNUMBER(INDEX('Term investments'!$G:$G,ROW())),1,0)</f>
        <v/>
      </c>
      <c r="J921">
        <f>TRIM(SUBSTITUTE(INDEX('Call accounts and MMFs'!$A:$A,ROW())&amp;""," "," "))</f>
        <v/>
      </c>
      <c r="K921">
        <f>TRIM(SUBSTITUTE(INDEX('Call accounts and MMFs'!$B:$B,ROW())&amp;""," "," "))</f>
        <v/>
      </c>
      <c r="L921">
        <f>TRIM(SUBSTITUTE(INDEX('Call accounts and MMFs'!$C:$C,ROW())&amp;""," "," "))</f>
        <v/>
      </c>
      <c r="M921">
        <f>IFERROR(--INDEX('Call accounts and MMFs'!$D:$D,ROW()),0)</f>
        <v/>
      </c>
      <c r="N921">
        <f>IFERROR(IF(--INDEX('Call accounts and MMFs'!$E:$E,ROW())&gt;=1,--INDEX('Call accounts and MMFs'!$E:$E,ROW())/100,--INDEX('Call accounts and MMFs'!$E:$E,ROW())),0)</f>
        <v/>
      </c>
      <c r="O921">
        <f>IFERROR(--INDEX('Call accounts and MMFs'!$F:$F,ROW()),0)</f>
        <v/>
      </c>
      <c r="P921">
        <f>IF(ISNUMBER(INDEX('Call accounts and MMFs'!$E:$E,ROW())),1,0)</f>
        <v/>
      </c>
      <c r="Q921">
        <f>TRIM(SUBSTITUTE(INDEX('Pooled funds'!$B:$B,ROW())&amp;""," "," "))</f>
        <v/>
      </c>
      <c r="R921">
        <f>IFERROR(--INDEX('Pooled funds'!$C:$C,ROW()),0)</f>
        <v/>
      </c>
      <c r="S921">
        <f>IFERROR(--INDEX('Pooled funds'!$D:$D,ROW()),0)</f>
        <v/>
      </c>
      <c r="T921">
        <f>IFERROR(IF(--INDEX('Pooled funds'!$E:$E,ROW())&gt;=1,--INDEX('Pooled funds'!$E:$E,ROW())/100,--INDEX('Pooled funds'!$E:$E,ROW())),0)</f>
        <v/>
      </c>
      <c r="U921">
        <f>IF(ISNUMBER(INDEX('Pooled funds'!$E:$E,ROW())),1,0)</f>
        <v/>
      </c>
      <c r="V921">
        <f>TRIM(SUBSTITUTE(INDEX('Loans'!$A:$A,ROW())&amp;""," "," "))</f>
        <v/>
      </c>
      <c r="W921">
        <f>TRIM(SUBSTITUTE(INDEX('Loans'!$B:$B,ROW())&amp;""," "," "))</f>
        <v/>
      </c>
      <c r="X921">
        <f>TRIM(SUBSTITUTE(INDEX('Loans'!$C:$C,ROW())&amp;""," "," "))</f>
        <v/>
      </c>
      <c r="Y921">
        <f>IFERROR(--INDEX('Loans'!$D:$D,ROW()),0)</f>
        <v/>
      </c>
      <c r="Z921">
        <f>IFERROR(--INDEX('Loans'!$E:$E,ROW()),0)</f>
        <v/>
      </c>
      <c r="AA921">
        <f>IFERROR(--INDEX('Loans'!$F:$F,ROW()),0)</f>
        <v/>
      </c>
      <c r="AB921">
        <f>IFERROR(IF(--INDEX('Loans'!$G:$G,ROW())&gt;=1,--INDEX('Loans'!$G:$G,ROW())/100,--INDEX('Loans'!$G:$G,ROW())),0)</f>
        <v/>
      </c>
      <c r="AC921">
        <f>TRIM(SUBSTITUTE(INDEX('Loans'!$H:$H,ROW())&amp;""," "," "))</f>
        <v/>
      </c>
      <c r="AD921">
        <f>TRIM(SUBSTITUTE(INDEX('Loans'!$I:$I,ROW())&amp;""," "," "))</f>
        <v/>
      </c>
      <c r="AE921">
        <f>IFERROR(--INDEX('Loans'!$J:$J,ROW()),0)</f>
        <v/>
      </c>
      <c r="AF921">
        <f>TRIM(SUBSTITUTE(INDEX('Loans'!$K:$K,ROW())&amp;""," "," "))</f>
        <v/>
      </c>
      <c r="AG921">
        <f>IFERROR(--INDEX('Loans'!$L:$L,ROW()),0)</f>
        <v/>
      </c>
      <c r="AH921">
        <f>IF(ISNUMBER(INDEX('Loans'!$G:$G,ROW())),1,0)</f>
        <v/>
      </c>
    </row>
    <row r="922">
      <c r="A922">
        <f>TRIM(SUBSTITUTE(INDEX('Term investments'!$A:$A,ROW())&amp;""," "," "))</f>
        <v/>
      </c>
      <c r="B922">
        <f>TRIM(SUBSTITUTE(INDEX('Term investments'!$B:$B,ROW())&amp;""," "," "))</f>
        <v/>
      </c>
      <c r="C922">
        <f>TRIM(SUBSTITUTE(INDEX('Term investments'!$C:$C,ROW())&amp;""," "," "))</f>
        <v/>
      </c>
      <c r="D922">
        <f>IFERROR(--INDEX('Term investments'!$D:$D,ROW()),0)</f>
        <v/>
      </c>
      <c r="E922">
        <f>IFERROR(--INDEX('Term investments'!$E:$E,ROW()),0)</f>
        <v/>
      </c>
      <c r="F922">
        <f>IFERROR(--INDEX('Term investments'!$F:$F,ROW()),0)</f>
        <v/>
      </c>
      <c r="G922">
        <f>IFERROR(IF(--INDEX('Term investments'!$G:$G,ROW())&gt;=1,--INDEX('Term investments'!$G:$G,ROW())/100,--INDEX('Term investments'!$G:$G,ROW())),0)</f>
        <v/>
      </c>
      <c r="H922">
        <f>IFERROR(--INDEX('Term investments'!$H:$H,ROW()),0)</f>
        <v/>
      </c>
      <c r="I922">
        <f>IF(ISNUMBER(INDEX('Term investments'!$G:$G,ROW())),1,0)</f>
        <v/>
      </c>
      <c r="J922">
        <f>TRIM(SUBSTITUTE(INDEX('Call accounts and MMFs'!$A:$A,ROW())&amp;""," "," "))</f>
        <v/>
      </c>
      <c r="K922">
        <f>TRIM(SUBSTITUTE(INDEX('Call accounts and MMFs'!$B:$B,ROW())&amp;""," "," "))</f>
        <v/>
      </c>
      <c r="L922">
        <f>TRIM(SUBSTITUTE(INDEX('Call accounts and MMFs'!$C:$C,ROW())&amp;""," "," "))</f>
        <v/>
      </c>
      <c r="M922">
        <f>IFERROR(--INDEX('Call accounts and MMFs'!$D:$D,ROW()),0)</f>
        <v/>
      </c>
      <c r="N922">
        <f>IFERROR(IF(--INDEX('Call accounts and MMFs'!$E:$E,ROW())&gt;=1,--INDEX('Call accounts and MMFs'!$E:$E,ROW())/100,--INDEX('Call accounts and MMFs'!$E:$E,ROW())),0)</f>
        <v/>
      </c>
      <c r="O922">
        <f>IFERROR(--INDEX('Call accounts and MMFs'!$F:$F,ROW()),0)</f>
        <v/>
      </c>
      <c r="P922">
        <f>IF(ISNUMBER(INDEX('Call accounts and MMFs'!$E:$E,ROW())),1,0)</f>
        <v/>
      </c>
      <c r="Q922">
        <f>TRIM(SUBSTITUTE(INDEX('Pooled funds'!$B:$B,ROW())&amp;""," "," "))</f>
        <v/>
      </c>
      <c r="R922">
        <f>IFERROR(--INDEX('Pooled funds'!$C:$C,ROW()),0)</f>
        <v/>
      </c>
      <c r="S922">
        <f>IFERROR(--INDEX('Pooled funds'!$D:$D,ROW()),0)</f>
        <v/>
      </c>
      <c r="T922">
        <f>IFERROR(IF(--INDEX('Pooled funds'!$E:$E,ROW())&gt;=1,--INDEX('Pooled funds'!$E:$E,ROW())/100,--INDEX('Pooled funds'!$E:$E,ROW())),0)</f>
        <v/>
      </c>
      <c r="U922">
        <f>IF(ISNUMBER(INDEX('Pooled funds'!$E:$E,ROW())),1,0)</f>
        <v/>
      </c>
      <c r="V922">
        <f>TRIM(SUBSTITUTE(INDEX('Loans'!$A:$A,ROW())&amp;""," "," "))</f>
        <v/>
      </c>
      <c r="W922">
        <f>TRIM(SUBSTITUTE(INDEX('Loans'!$B:$B,ROW())&amp;""," "," "))</f>
        <v/>
      </c>
      <c r="X922">
        <f>TRIM(SUBSTITUTE(INDEX('Loans'!$C:$C,ROW())&amp;""," "," "))</f>
        <v/>
      </c>
      <c r="Y922">
        <f>IFERROR(--INDEX('Loans'!$D:$D,ROW()),0)</f>
        <v/>
      </c>
      <c r="Z922">
        <f>IFERROR(--INDEX('Loans'!$E:$E,ROW()),0)</f>
        <v/>
      </c>
      <c r="AA922">
        <f>IFERROR(--INDEX('Loans'!$F:$F,ROW()),0)</f>
        <v/>
      </c>
      <c r="AB922">
        <f>IFERROR(IF(--INDEX('Loans'!$G:$G,ROW())&gt;=1,--INDEX('Loans'!$G:$G,ROW())/100,--INDEX('Loans'!$G:$G,ROW())),0)</f>
        <v/>
      </c>
      <c r="AC922">
        <f>TRIM(SUBSTITUTE(INDEX('Loans'!$H:$H,ROW())&amp;""," "," "))</f>
        <v/>
      </c>
      <c r="AD922">
        <f>TRIM(SUBSTITUTE(INDEX('Loans'!$I:$I,ROW())&amp;""," "," "))</f>
        <v/>
      </c>
      <c r="AE922">
        <f>IFERROR(--INDEX('Loans'!$J:$J,ROW()),0)</f>
        <v/>
      </c>
      <c r="AF922">
        <f>TRIM(SUBSTITUTE(INDEX('Loans'!$K:$K,ROW())&amp;""," "," "))</f>
        <v/>
      </c>
      <c r="AG922">
        <f>IFERROR(--INDEX('Loans'!$L:$L,ROW()),0)</f>
        <v/>
      </c>
      <c r="AH922">
        <f>IF(ISNUMBER(INDEX('Loans'!$G:$G,ROW())),1,0)</f>
        <v/>
      </c>
    </row>
    <row r="923">
      <c r="A923">
        <f>TRIM(SUBSTITUTE(INDEX('Term investments'!$A:$A,ROW())&amp;""," "," "))</f>
        <v/>
      </c>
      <c r="B923">
        <f>TRIM(SUBSTITUTE(INDEX('Term investments'!$B:$B,ROW())&amp;""," "," "))</f>
        <v/>
      </c>
      <c r="C923">
        <f>TRIM(SUBSTITUTE(INDEX('Term investments'!$C:$C,ROW())&amp;""," "," "))</f>
        <v/>
      </c>
      <c r="D923">
        <f>IFERROR(--INDEX('Term investments'!$D:$D,ROW()),0)</f>
        <v/>
      </c>
      <c r="E923">
        <f>IFERROR(--INDEX('Term investments'!$E:$E,ROW()),0)</f>
        <v/>
      </c>
      <c r="F923">
        <f>IFERROR(--INDEX('Term investments'!$F:$F,ROW()),0)</f>
        <v/>
      </c>
      <c r="G923">
        <f>IFERROR(IF(--INDEX('Term investments'!$G:$G,ROW())&gt;=1,--INDEX('Term investments'!$G:$G,ROW())/100,--INDEX('Term investments'!$G:$G,ROW())),0)</f>
        <v/>
      </c>
      <c r="H923">
        <f>IFERROR(--INDEX('Term investments'!$H:$H,ROW()),0)</f>
        <v/>
      </c>
      <c r="I923">
        <f>IF(ISNUMBER(INDEX('Term investments'!$G:$G,ROW())),1,0)</f>
        <v/>
      </c>
      <c r="J923">
        <f>TRIM(SUBSTITUTE(INDEX('Call accounts and MMFs'!$A:$A,ROW())&amp;""," "," "))</f>
        <v/>
      </c>
      <c r="K923">
        <f>TRIM(SUBSTITUTE(INDEX('Call accounts and MMFs'!$B:$B,ROW())&amp;""," "," "))</f>
        <v/>
      </c>
      <c r="L923">
        <f>TRIM(SUBSTITUTE(INDEX('Call accounts and MMFs'!$C:$C,ROW())&amp;""," "," "))</f>
        <v/>
      </c>
      <c r="M923">
        <f>IFERROR(--INDEX('Call accounts and MMFs'!$D:$D,ROW()),0)</f>
        <v/>
      </c>
      <c r="N923">
        <f>IFERROR(IF(--INDEX('Call accounts and MMFs'!$E:$E,ROW())&gt;=1,--INDEX('Call accounts and MMFs'!$E:$E,ROW())/100,--INDEX('Call accounts and MMFs'!$E:$E,ROW())),0)</f>
        <v/>
      </c>
      <c r="O923">
        <f>IFERROR(--INDEX('Call accounts and MMFs'!$F:$F,ROW()),0)</f>
        <v/>
      </c>
      <c r="P923">
        <f>IF(ISNUMBER(INDEX('Call accounts and MMFs'!$E:$E,ROW())),1,0)</f>
        <v/>
      </c>
      <c r="Q923">
        <f>TRIM(SUBSTITUTE(INDEX('Pooled funds'!$B:$B,ROW())&amp;""," "," "))</f>
        <v/>
      </c>
      <c r="R923">
        <f>IFERROR(--INDEX('Pooled funds'!$C:$C,ROW()),0)</f>
        <v/>
      </c>
      <c r="S923">
        <f>IFERROR(--INDEX('Pooled funds'!$D:$D,ROW()),0)</f>
        <v/>
      </c>
      <c r="T923">
        <f>IFERROR(IF(--INDEX('Pooled funds'!$E:$E,ROW())&gt;=1,--INDEX('Pooled funds'!$E:$E,ROW())/100,--INDEX('Pooled funds'!$E:$E,ROW())),0)</f>
        <v/>
      </c>
      <c r="U923">
        <f>IF(ISNUMBER(INDEX('Pooled funds'!$E:$E,ROW())),1,0)</f>
        <v/>
      </c>
      <c r="V923">
        <f>TRIM(SUBSTITUTE(INDEX('Loans'!$A:$A,ROW())&amp;""," "," "))</f>
        <v/>
      </c>
      <c r="W923">
        <f>TRIM(SUBSTITUTE(INDEX('Loans'!$B:$B,ROW())&amp;""," "," "))</f>
        <v/>
      </c>
      <c r="X923">
        <f>TRIM(SUBSTITUTE(INDEX('Loans'!$C:$C,ROW())&amp;""," "," "))</f>
        <v/>
      </c>
      <c r="Y923">
        <f>IFERROR(--INDEX('Loans'!$D:$D,ROW()),0)</f>
        <v/>
      </c>
      <c r="Z923">
        <f>IFERROR(--INDEX('Loans'!$E:$E,ROW()),0)</f>
        <v/>
      </c>
      <c r="AA923">
        <f>IFERROR(--INDEX('Loans'!$F:$F,ROW()),0)</f>
        <v/>
      </c>
      <c r="AB923">
        <f>IFERROR(IF(--INDEX('Loans'!$G:$G,ROW())&gt;=1,--INDEX('Loans'!$G:$G,ROW())/100,--INDEX('Loans'!$G:$G,ROW())),0)</f>
        <v/>
      </c>
      <c r="AC923">
        <f>TRIM(SUBSTITUTE(INDEX('Loans'!$H:$H,ROW())&amp;""," "," "))</f>
        <v/>
      </c>
      <c r="AD923">
        <f>TRIM(SUBSTITUTE(INDEX('Loans'!$I:$I,ROW())&amp;""," "," "))</f>
        <v/>
      </c>
      <c r="AE923">
        <f>IFERROR(--INDEX('Loans'!$J:$J,ROW()),0)</f>
        <v/>
      </c>
      <c r="AF923">
        <f>TRIM(SUBSTITUTE(INDEX('Loans'!$K:$K,ROW())&amp;""," "," "))</f>
        <v/>
      </c>
      <c r="AG923">
        <f>IFERROR(--INDEX('Loans'!$L:$L,ROW()),0)</f>
        <v/>
      </c>
      <c r="AH923">
        <f>IF(ISNUMBER(INDEX('Loans'!$G:$G,ROW())),1,0)</f>
        <v/>
      </c>
    </row>
    <row r="924">
      <c r="A924">
        <f>TRIM(SUBSTITUTE(INDEX('Term investments'!$A:$A,ROW())&amp;""," "," "))</f>
        <v/>
      </c>
      <c r="B924">
        <f>TRIM(SUBSTITUTE(INDEX('Term investments'!$B:$B,ROW())&amp;""," "," "))</f>
        <v/>
      </c>
      <c r="C924">
        <f>TRIM(SUBSTITUTE(INDEX('Term investments'!$C:$C,ROW())&amp;""," "," "))</f>
        <v/>
      </c>
      <c r="D924">
        <f>IFERROR(--INDEX('Term investments'!$D:$D,ROW()),0)</f>
        <v/>
      </c>
      <c r="E924">
        <f>IFERROR(--INDEX('Term investments'!$E:$E,ROW()),0)</f>
        <v/>
      </c>
      <c r="F924">
        <f>IFERROR(--INDEX('Term investments'!$F:$F,ROW()),0)</f>
        <v/>
      </c>
      <c r="G924">
        <f>IFERROR(IF(--INDEX('Term investments'!$G:$G,ROW())&gt;=1,--INDEX('Term investments'!$G:$G,ROW())/100,--INDEX('Term investments'!$G:$G,ROW())),0)</f>
        <v/>
      </c>
      <c r="H924">
        <f>IFERROR(--INDEX('Term investments'!$H:$H,ROW()),0)</f>
        <v/>
      </c>
      <c r="I924">
        <f>IF(ISNUMBER(INDEX('Term investments'!$G:$G,ROW())),1,0)</f>
        <v/>
      </c>
      <c r="J924">
        <f>TRIM(SUBSTITUTE(INDEX('Call accounts and MMFs'!$A:$A,ROW())&amp;""," "," "))</f>
        <v/>
      </c>
      <c r="K924">
        <f>TRIM(SUBSTITUTE(INDEX('Call accounts and MMFs'!$B:$B,ROW())&amp;""," "," "))</f>
        <v/>
      </c>
      <c r="L924">
        <f>TRIM(SUBSTITUTE(INDEX('Call accounts and MMFs'!$C:$C,ROW())&amp;""," "," "))</f>
        <v/>
      </c>
      <c r="M924">
        <f>IFERROR(--INDEX('Call accounts and MMFs'!$D:$D,ROW()),0)</f>
        <v/>
      </c>
      <c r="N924">
        <f>IFERROR(IF(--INDEX('Call accounts and MMFs'!$E:$E,ROW())&gt;=1,--INDEX('Call accounts and MMFs'!$E:$E,ROW())/100,--INDEX('Call accounts and MMFs'!$E:$E,ROW())),0)</f>
        <v/>
      </c>
      <c r="O924">
        <f>IFERROR(--INDEX('Call accounts and MMFs'!$F:$F,ROW()),0)</f>
        <v/>
      </c>
      <c r="P924">
        <f>IF(ISNUMBER(INDEX('Call accounts and MMFs'!$E:$E,ROW())),1,0)</f>
        <v/>
      </c>
      <c r="Q924">
        <f>TRIM(SUBSTITUTE(INDEX('Pooled funds'!$B:$B,ROW())&amp;""," "," "))</f>
        <v/>
      </c>
      <c r="R924">
        <f>IFERROR(--INDEX('Pooled funds'!$C:$C,ROW()),0)</f>
        <v/>
      </c>
      <c r="S924">
        <f>IFERROR(--INDEX('Pooled funds'!$D:$D,ROW()),0)</f>
        <v/>
      </c>
      <c r="T924">
        <f>IFERROR(IF(--INDEX('Pooled funds'!$E:$E,ROW())&gt;=1,--INDEX('Pooled funds'!$E:$E,ROW())/100,--INDEX('Pooled funds'!$E:$E,ROW())),0)</f>
        <v/>
      </c>
      <c r="U924">
        <f>IF(ISNUMBER(INDEX('Pooled funds'!$E:$E,ROW())),1,0)</f>
        <v/>
      </c>
      <c r="V924">
        <f>TRIM(SUBSTITUTE(INDEX('Loans'!$A:$A,ROW())&amp;""," "," "))</f>
        <v/>
      </c>
      <c r="W924">
        <f>TRIM(SUBSTITUTE(INDEX('Loans'!$B:$B,ROW())&amp;""," "," "))</f>
        <v/>
      </c>
      <c r="X924">
        <f>TRIM(SUBSTITUTE(INDEX('Loans'!$C:$C,ROW())&amp;""," "," "))</f>
        <v/>
      </c>
      <c r="Y924">
        <f>IFERROR(--INDEX('Loans'!$D:$D,ROW()),0)</f>
        <v/>
      </c>
      <c r="Z924">
        <f>IFERROR(--INDEX('Loans'!$E:$E,ROW()),0)</f>
        <v/>
      </c>
      <c r="AA924">
        <f>IFERROR(--INDEX('Loans'!$F:$F,ROW()),0)</f>
        <v/>
      </c>
      <c r="AB924">
        <f>IFERROR(IF(--INDEX('Loans'!$G:$G,ROW())&gt;=1,--INDEX('Loans'!$G:$G,ROW())/100,--INDEX('Loans'!$G:$G,ROW())),0)</f>
        <v/>
      </c>
      <c r="AC924">
        <f>TRIM(SUBSTITUTE(INDEX('Loans'!$H:$H,ROW())&amp;""," "," "))</f>
        <v/>
      </c>
      <c r="AD924">
        <f>TRIM(SUBSTITUTE(INDEX('Loans'!$I:$I,ROW())&amp;""," "," "))</f>
        <v/>
      </c>
      <c r="AE924">
        <f>IFERROR(--INDEX('Loans'!$J:$J,ROW()),0)</f>
        <v/>
      </c>
      <c r="AF924">
        <f>TRIM(SUBSTITUTE(INDEX('Loans'!$K:$K,ROW())&amp;""," "," "))</f>
        <v/>
      </c>
      <c r="AG924">
        <f>IFERROR(--INDEX('Loans'!$L:$L,ROW()),0)</f>
        <v/>
      </c>
      <c r="AH924">
        <f>IF(ISNUMBER(INDEX('Loans'!$G:$G,ROW())),1,0)</f>
        <v/>
      </c>
    </row>
    <row r="925">
      <c r="A925">
        <f>TRIM(SUBSTITUTE(INDEX('Term investments'!$A:$A,ROW())&amp;""," "," "))</f>
        <v/>
      </c>
      <c r="B925">
        <f>TRIM(SUBSTITUTE(INDEX('Term investments'!$B:$B,ROW())&amp;""," "," "))</f>
        <v/>
      </c>
      <c r="C925">
        <f>TRIM(SUBSTITUTE(INDEX('Term investments'!$C:$C,ROW())&amp;""," "," "))</f>
        <v/>
      </c>
      <c r="D925">
        <f>IFERROR(--INDEX('Term investments'!$D:$D,ROW()),0)</f>
        <v/>
      </c>
      <c r="E925">
        <f>IFERROR(--INDEX('Term investments'!$E:$E,ROW()),0)</f>
        <v/>
      </c>
      <c r="F925">
        <f>IFERROR(--INDEX('Term investments'!$F:$F,ROW()),0)</f>
        <v/>
      </c>
      <c r="G925">
        <f>IFERROR(IF(--INDEX('Term investments'!$G:$G,ROW())&gt;=1,--INDEX('Term investments'!$G:$G,ROW())/100,--INDEX('Term investments'!$G:$G,ROW())),0)</f>
        <v/>
      </c>
      <c r="H925">
        <f>IFERROR(--INDEX('Term investments'!$H:$H,ROW()),0)</f>
        <v/>
      </c>
      <c r="I925">
        <f>IF(ISNUMBER(INDEX('Term investments'!$G:$G,ROW())),1,0)</f>
        <v/>
      </c>
      <c r="J925">
        <f>TRIM(SUBSTITUTE(INDEX('Call accounts and MMFs'!$A:$A,ROW())&amp;""," "," "))</f>
        <v/>
      </c>
      <c r="K925">
        <f>TRIM(SUBSTITUTE(INDEX('Call accounts and MMFs'!$B:$B,ROW())&amp;""," "," "))</f>
        <v/>
      </c>
      <c r="L925">
        <f>TRIM(SUBSTITUTE(INDEX('Call accounts and MMFs'!$C:$C,ROW())&amp;""," "," "))</f>
        <v/>
      </c>
      <c r="M925">
        <f>IFERROR(--INDEX('Call accounts and MMFs'!$D:$D,ROW()),0)</f>
        <v/>
      </c>
      <c r="N925">
        <f>IFERROR(IF(--INDEX('Call accounts and MMFs'!$E:$E,ROW())&gt;=1,--INDEX('Call accounts and MMFs'!$E:$E,ROW())/100,--INDEX('Call accounts and MMFs'!$E:$E,ROW())),0)</f>
        <v/>
      </c>
      <c r="O925">
        <f>IFERROR(--INDEX('Call accounts and MMFs'!$F:$F,ROW()),0)</f>
        <v/>
      </c>
      <c r="P925">
        <f>IF(ISNUMBER(INDEX('Call accounts and MMFs'!$E:$E,ROW())),1,0)</f>
        <v/>
      </c>
      <c r="Q925">
        <f>TRIM(SUBSTITUTE(INDEX('Pooled funds'!$B:$B,ROW())&amp;""," "," "))</f>
        <v/>
      </c>
      <c r="R925">
        <f>IFERROR(--INDEX('Pooled funds'!$C:$C,ROW()),0)</f>
        <v/>
      </c>
      <c r="S925">
        <f>IFERROR(--INDEX('Pooled funds'!$D:$D,ROW()),0)</f>
        <v/>
      </c>
      <c r="T925">
        <f>IFERROR(IF(--INDEX('Pooled funds'!$E:$E,ROW())&gt;=1,--INDEX('Pooled funds'!$E:$E,ROW())/100,--INDEX('Pooled funds'!$E:$E,ROW())),0)</f>
        <v/>
      </c>
      <c r="U925">
        <f>IF(ISNUMBER(INDEX('Pooled funds'!$E:$E,ROW())),1,0)</f>
        <v/>
      </c>
      <c r="V925">
        <f>TRIM(SUBSTITUTE(INDEX('Loans'!$A:$A,ROW())&amp;""," "," "))</f>
        <v/>
      </c>
      <c r="W925">
        <f>TRIM(SUBSTITUTE(INDEX('Loans'!$B:$B,ROW())&amp;""," "," "))</f>
        <v/>
      </c>
      <c r="X925">
        <f>TRIM(SUBSTITUTE(INDEX('Loans'!$C:$C,ROW())&amp;""," "," "))</f>
        <v/>
      </c>
      <c r="Y925">
        <f>IFERROR(--INDEX('Loans'!$D:$D,ROW()),0)</f>
        <v/>
      </c>
      <c r="Z925">
        <f>IFERROR(--INDEX('Loans'!$E:$E,ROW()),0)</f>
        <v/>
      </c>
      <c r="AA925">
        <f>IFERROR(--INDEX('Loans'!$F:$F,ROW()),0)</f>
        <v/>
      </c>
      <c r="AB925">
        <f>IFERROR(IF(--INDEX('Loans'!$G:$G,ROW())&gt;=1,--INDEX('Loans'!$G:$G,ROW())/100,--INDEX('Loans'!$G:$G,ROW())),0)</f>
        <v/>
      </c>
      <c r="AC925">
        <f>TRIM(SUBSTITUTE(INDEX('Loans'!$H:$H,ROW())&amp;""," "," "))</f>
        <v/>
      </c>
      <c r="AD925">
        <f>TRIM(SUBSTITUTE(INDEX('Loans'!$I:$I,ROW())&amp;""," "," "))</f>
        <v/>
      </c>
      <c r="AE925">
        <f>IFERROR(--INDEX('Loans'!$J:$J,ROW()),0)</f>
        <v/>
      </c>
      <c r="AF925">
        <f>TRIM(SUBSTITUTE(INDEX('Loans'!$K:$K,ROW())&amp;""," "," "))</f>
        <v/>
      </c>
      <c r="AG925">
        <f>IFERROR(--INDEX('Loans'!$L:$L,ROW()),0)</f>
        <v/>
      </c>
      <c r="AH925">
        <f>IF(ISNUMBER(INDEX('Loans'!$G:$G,ROW())),1,0)</f>
        <v/>
      </c>
    </row>
    <row r="926">
      <c r="A926">
        <f>TRIM(SUBSTITUTE(INDEX('Term investments'!$A:$A,ROW())&amp;""," "," "))</f>
        <v/>
      </c>
      <c r="B926">
        <f>TRIM(SUBSTITUTE(INDEX('Term investments'!$B:$B,ROW())&amp;""," "," "))</f>
        <v/>
      </c>
      <c r="C926">
        <f>TRIM(SUBSTITUTE(INDEX('Term investments'!$C:$C,ROW())&amp;""," "," "))</f>
        <v/>
      </c>
      <c r="D926">
        <f>IFERROR(--INDEX('Term investments'!$D:$D,ROW()),0)</f>
        <v/>
      </c>
      <c r="E926">
        <f>IFERROR(--INDEX('Term investments'!$E:$E,ROW()),0)</f>
        <v/>
      </c>
      <c r="F926">
        <f>IFERROR(--INDEX('Term investments'!$F:$F,ROW()),0)</f>
        <v/>
      </c>
      <c r="G926">
        <f>IFERROR(IF(--INDEX('Term investments'!$G:$G,ROW())&gt;=1,--INDEX('Term investments'!$G:$G,ROW())/100,--INDEX('Term investments'!$G:$G,ROW())),0)</f>
        <v/>
      </c>
      <c r="H926">
        <f>IFERROR(--INDEX('Term investments'!$H:$H,ROW()),0)</f>
        <v/>
      </c>
      <c r="I926">
        <f>IF(ISNUMBER(INDEX('Term investments'!$G:$G,ROW())),1,0)</f>
        <v/>
      </c>
      <c r="J926">
        <f>TRIM(SUBSTITUTE(INDEX('Call accounts and MMFs'!$A:$A,ROW())&amp;""," "," "))</f>
        <v/>
      </c>
      <c r="K926">
        <f>TRIM(SUBSTITUTE(INDEX('Call accounts and MMFs'!$B:$B,ROW())&amp;""," "," "))</f>
        <v/>
      </c>
      <c r="L926">
        <f>TRIM(SUBSTITUTE(INDEX('Call accounts and MMFs'!$C:$C,ROW())&amp;""," "," "))</f>
        <v/>
      </c>
      <c r="M926">
        <f>IFERROR(--INDEX('Call accounts and MMFs'!$D:$D,ROW()),0)</f>
        <v/>
      </c>
      <c r="N926">
        <f>IFERROR(IF(--INDEX('Call accounts and MMFs'!$E:$E,ROW())&gt;=1,--INDEX('Call accounts and MMFs'!$E:$E,ROW())/100,--INDEX('Call accounts and MMFs'!$E:$E,ROW())),0)</f>
        <v/>
      </c>
      <c r="O926">
        <f>IFERROR(--INDEX('Call accounts and MMFs'!$F:$F,ROW()),0)</f>
        <v/>
      </c>
      <c r="P926">
        <f>IF(ISNUMBER(INDEX('Call accounts and MMFs'!$E:$E,ROW())),1,0)</f>
        <v/>
      </c>
      <c r="Q926">
        <f>TRIM(SUBSTITUTE(INDEX('Pooled funds'!$B:$B,ROW())&amp;""," "," "))</f>
        <v/>
      </c>
      <c r="R926">
        <f>IFERROR(--INDEX('Pooled funds'!$C:$C,ROW()),0)</f>
        <v/>
      </c>
      <c r="S926">
        <f>IFERROR(--INDEX('Pooled funds'!$D:$D,ROW()),0)</f>
        <v/>
      </c>
      <c r="T926">
        <f>IFERROR(IF(--INDEX('Pooled funds'!$E:$E,ROW())&gt;=1,--INDEX('Pooled funds'!$E:$E,ROW())/100,--INDEX('Pooled funds'!$E:$E,ROW())),0)</f>
        <v/>
      </c>
      <c r="U926">
        <f>IF(ISNUMBER(INDEX('Pooled funds'!$E:$E,ROW())),1,0)</f>
        <v/>
      </c>
      <c r="V926">
        <f>TRIM(SUBSTITUTE(INDEX('Loans'!$A:$A,ROW())&amp;""," "," "))</f>
        <v/>
      </c>
      <c r="W926">
        <f>TRIM(SUBSTITUTE(INDEX('Loans'!$B:$B,ROW())&amp;""," "," "))</f>
        <v/>
      </c>
      <c r="X926">
        <f>TRIM(SUBSTITUTE(INDEX('Loans'!$C:$C,ROW())&amp;""," "," "))</f>
        <v/>
      </c>
      <c r="Y926">
        <f>IFERROR(--INDEX('Loans'!$D:$D,ROW()),0)</f>
        <v/>
      </c>
      <c r="Z926">
        <f>IFERROR(--INDEX('Loans'!$E:$E,ROW()),0)</f>
        <v/>
      </c>
      <c r="AA926">
        <f>IFERROR(--INDEX('Loans'!$F:$F,ROW()),0)</f>
        <v/>
      </c>
      <c r="AB926">
        <f>IFERROR(IF(--INDEX('Loans'!$G:$G,ROW())&gt;=1,--INDEX('Loans'!$G:$G,ROW())/100,--INDEX('Loans'!$G:$G,ROW())),0)</f>
        <v/>
      </c>
      <c r="AC926">
        <f>TRIM(SUBSTITUTE(INDEX('Loans'!$H:$H,ROW())&amp;""," "," "))</f>
        <v/>
      </c>
      <c r="AD926">
        <f>TRIM(SUBSTITUTE(INDEX('Loans'!$I:$I,ROW())&amp;""," "," "))</f>
        <v/>
      </c>
      <c r="AE926">
        <f>IFERROR(--INDEX('Loans'!$J:$J,ROW()),0)</f>
        <v/>
      </c>
      <c r="AF926">
        <f>TRIM(SUBSTITUTE(INDEX('Loans'!$K:$K,ROW())&amp;""," "," "))</f>
        <v/>
      </c>
      <c r="AG926">
        <f>IFERROR(--INDEX('Loans'!$L:$L,ROW()),0)</f>
        <v/>
      </c>
      <c r="AH926">
        <f>IF(ISNUMBER(INDEX('Loans'!$G:$G,ROW())),1,0)</f>
        <v/>
      </c>
    </row>
    <row r="927">
      <c r="A927">
        <f>TRIM(SUBSTITUTE(INDEX('Term investments'!$A:$A,ROW())&amp;""," "," "))</f>
        <v/>
      </c>
      <c r="B927">
        <f>TRIM(SUBSTITUTE(INDEX('Term investments'!$B:$B,ROW())&amp;""," "," "))</f>
        <v/>
      </c>
      <c r="C927">
        <f>TRIM(SUBSTITUTE(INDEX('Term investments'!$C:$C,ROW())&amp;""," "," "))</f>
        <v/>
      </c>
      <c r="D927">
        <f>IFERROR(--INDEX('Term investments'!$D:$D,ROW()),0)</f>
        <v/>
      </c>
      <c r="E927">
        <f>IFERROR(--INDEX('Term investments'!$E:$E,ROW()),0)</f>
        <v/>
      </c>
      <c r="F927">
        <f>IFERROR(--INDEX('Term investments'!$F:$F,ROW()),0)</f>
        <v/>
      </c>
      <c r="G927">
        <f>IFERROR(IF(--INDEX('Term investments'!$G:$G,ROW())&gt;=1,--INDEX('Term investments'!$G:$G,ROW())/100,--INDEX('Term investments'!$G:$G,ROW())),0)</f>
        <v/>
      </c>
      <c r="H927">
        <f>IFERROR(--INDEX('Term investments'!$H:$H,ROW()),0)</f>
        <v/>
      </c>
      <c r="I927">
        <f>IF(ISNUMBER(INDEX('Term investments'!$G:$G,ROW())),1,0)</f>
        <v/>
      </c>
      <c r="J927">
        <f>TRIM(SUBSTITUTE(INDEX('Call accounts and MMFs'!$A:$A,ROW())&amp;""," "," "))</f>
        <v/>
      </c>
      <c r="K927">
        <f>TRIM(SUBSTITUTE(INDEX('Call accounts and MMFs'!$B:$B,ROW())&amp;""," "," "))</f>
        <v/>
      </c>
      <c r="L927">
        <f>TRIM(SUBSTITUTE(INDEX('Call accounts and MMFs'!$C:$C,ROW())&amp;""," "," "))</f>
        <v/>
      </c>
      <c r="M927">
        <f>IFERROR(--INDEX('Call accounts and MMFs'!$D:$D,ROW()),0)</f>
        <v/>
      </c>
      <c r="N927">
        <f>IFERROR(IF(--INDEX('Call accounts and MMFs'!$E:$E,ROW())&gt;=1,--INDEX('Call accounts and MMFs'!$E:$E,ROW())/100,--INDEX('Call accounts and MMFs'!$E:$E,ROW())),0)</f>
        <v/>
      </c>
      <c r="O927">
        <f>IFERROR(--INDEX('Call accounts and MMFs'!$F:$F,ROW()),0)</f>
        <v/>
      </c>
      <c r="P927">
        <f>IF(ISNUMBER(INDEX('Call accounts and MMFs'!$E:$E,ROW())),1,0)</f>
        <v/>
      </c>
      <c r="Q927">
        <f>TRIM(SUBSTITUTE(INDEX('Pooled funds'!$B:$B,ROW())&amp;""," "," "))</f>
        <v/>
      </c>
      <c r="R927">
        <f>IFERROR(--INDEX('Pooled funds'!$C:$C,ROW()),0)</f>
        <v/>
      </c>
      <c r="S927">
        <f>IFERROR(--INDEX('Pooled funds'!$D:$D,ROW()),0)</f>
        <v/>
      </c>
      <c r="T927">
        <f>IFERROR(IF(--INDEX('Pooled funds'!$E:$E,ROW())&gt;=1,--INDEX('Pooled funds'!$E:$E,ROW())/100,--INDEX('Pooled funds'!$E:$E,ROW())),0)</f>
        <v/>
      </c>
      <c r="U927">
        <f>IF(ISNUMBER(INDEX('Pooled funds'!$E:$E,ROW())),1,0)</f>
        <v/>
      </c>
      <c r="V927">
        <f>TRIM(SUBSTITUTE(INDEX('Loans'!$A:$A,ROW())&amp;""," "," "))</f>
        <v/>
      </c>
      <c r="W927">
        <f>TRIM(SUBSTITUTE(INDEX('Loans'!$B:$B,ROW())&amp;""," "," "))</f>
        <v/>
      </c>
      <c r="X927">
        <f>TRIM(SUBSTITUTE(INDEX('Loans'!$C:$C,ROW())&amp;""," "," "))</f>
        <v/>
      </c>
      <c r="Y927">
        <f>IFERROR(--INDEX('Loans'!$D:$D,ROW()),0)</f>
        <v/>
      </c>
      <c r="Z927">
        <f>IFERROR(--INDEX('Loans'!$E:$E,ROW()),0)</f>
        <v/>
      </c>
      <c r="AA927">
        <f>IFERROR(--INDEX('Loans'!$F:$F,ROW()),0)</f>
        <v/>
      </c>
      <c r="AB927">
        <f>IFERROR(IF(--INDEX('Loans'!$G:$G,ROW())&gt;=1,--INDEX('Loans'!$G:$G,ROW())/100,--INDEX('Loans'!$G:$G,ROW())),0)</f>
        <v/>
      </c>
      <c r="AC927">
        <f>TRIM(SUBSTITUTE(INDEX('Loans'!$H:$H,ROW())&amp;""," "," "))</f>
        <v/>
      </c>
      <c r="AD927">
        <f>TRIM(SUBSTITUTE(INDEX('Loans'!$I:$I,ROW())&amp;""," "," "))</f>
        <v/>
      </c>
      <c r="AE927">
        <f>IFERROR(--INDEX('Loans'!$J:$J,ROW()),0)</f>
        <v/>
      </c>
      <c r="AF927">
        <f>TRIM(SUBSTITUTE(INDEX('Loans'!$K:$K,ROW())&amp;""," "," "))</f>
        <v/>
      </c>
      <c r="AG927">
        <f>IFERROR(--INDEX('Loans'!$L:$L,ROW()),0)</f>
        <v/>
      </c>
      <c r="AH927">
        <f>IF(ISNUMBER(INDEX('Loans'!$G:$G,ROW())),1,0)</f>
        <v/>
      </c>
    </row>
    <row r="928">
      <c r="A928">
        <f>TRIM(SUBSTITUTE(INDEX('Term investments'!$A:$A,ROW())&amp;""," "," "))</f>
        <v/>
      </c>
      <c r="B928">
        <f>TRIM(SUBSTITUTE(INDEX('Term investments'!$B:$B,ROW())&amp;""," "," "))</f>
        <v/>
      </c>
      <c r="C928">
        <f>TRIM(SUBSTITUTE(INDEX('Term investments'!$C:$C,ROW())&amp;""," "," "))</f>
        <v/>
      </c>
      <c r="D928">
        <f>IFERROR(--INDEX('Term investments'!$D:$D,ROW()),0)</f>
        <v/>
      </c>
      <c r="E928">
        <f>IFERROR(--INDEX('Term investments'!$E:$E,ROW()),0)</f>
        <v/>
      </c>
      <c r="F928">
        <f>IFERROR(--INDEX('Term investments'!$F:$F,ROW()),0)</f>
        <v/>
      </c>
      <c r="G928">
        <f>IFERROR(IF(--INDEX('Term investments'!$G:$G,ROW())&gt;=1,--INDEX('Term investments'!$G:$G,ROW())/100,--INDEX('Term investments'!$G:$G,ROW())),0)</f>
        <v/>
      </c>
      <c r="H928">
        <f>IFERROR(--INDEX('Term investments'!$H:$H,ROW()),0)</f>
        <v/>
      </c>
      <c r="I928">
        <f>IF(ISNUMBER(INDEX('Term investments'!$G:$G,ROW())),1,0)</f>
        <v/>
      </c>
      <c r="J928">
        <f>TRIM(SUBSTITUTE(INDEX('Call accounts and MMFs'!$A:$A,ROW())&amp;""," "," "))</f>
        <v/>
      </c>
      <c r="K928">
        <f>TRIM(SUBSTITUTE(INDEX('Call accounts and MMFs'!$B:$B,ROW())&amp;""," "," "))</f>
        <v/>
      </c>
      <c r="L928">
        <f>TRIM(SUBSTITUTE(INDEX('Call accounts and MMFs'!$C:$C,ROW())&amp;""," "," "))</f>
        <v/>
      </c>
      <c r="M928">
        <f>IFERROR(--INDEX('Call accounts and MMFs'!$D:$D,ROW()),0)</f>
        <v/>
      </c>
      <c r="N928">
        <f>IFERROR(IF(--INDEX('Call accounts and MMFs'!$E:$E,ROW())&gt;=1,--INDEX('Call accounts and MMFs'!$E:$E,ROW())/100,--INDEX('Call accounts and MMFs'!$E:$E,ROW())),0)</f>
        <v/>
      </c>
      <c r="O928">
        <f>IFERROR(--INDEX('Call accounts and MMFs'!$F:$F,ROW()),0)</f>
        <v/>
      </c>
      <c r="P928">
        <f>IF(ISNUMBER(INDEX('Call accounts and MMFs'!$E:$E,ROW())),1,0)</f>
        <v/>
      </c>
      <c r="Q928">
        <f>TRIM(SUBSTITUTE(INDEX('Pooled funds'!$B:$B,ROW())&amp;""," "," "))</f>
        <v/>
      </c>
      <c r="R928">
        <f>IFERROR(--INDEX('Pooled funds'!$C:$C,ROW()),0)</f>
        <v/>
      </c>
      <c r="S928">
        <f>IFERROR(--INDEX('Pooled funds'!$D:$D,ROW()),0)</f>
        <v/>
      </c>
      <c r="T928">
        <f>IFERROR(IF(--INDEX('Pooled funds'!$E:$E,ROW())&gt;=1,--INDEX('Pooled funds'!$E:$E,ROW())/100,--INDEX('Pooled funds'!$E:$E,ROW())),0)</f>
        <v/>
      </c>
      <c r="U928">
        <f>IF(ISNUMBER(INDEX('Pooled funds'!$E:$E,ROW())),1,0)</f>
        <v/>
      </c>
      <c r="V928">
        <f>TRIM(SUBSTITUTE(INDEX('Loans'!$A:$A,ROW())&amp;""," "," "))</f>
        <v/>
      </c>
      <c r="W928">
        <f>TRIM(SUBSTITUTE(INDEX('Loans'!$B:$B,ROW())&amp;""," "," "))</f>
        <v/>
      </c>
      <c r="X928">
        <f>TRIM(SUBSTITUTE(INDEX('Loans'!$C:$C,ROW())&amp;""," "," "))</f>
        <v/>
      </c>
      <c r="Y928">
        <f>IFERROR(--INDEX('Loans'!$D:$D,ROW()),0)</f>
        <v/>
      </c>
      <c r="Z928">
        <f>IFERROR(--INDEX('Loans'!$E:$E,ROW()),0)</f>
        <v/>
      </c>
      <c r="AA928">
        <f>IFERROR(--INDEX('Loans'!$F:$F,ROW()),0)</f>
        <v/>
      </c>
      <c r="AB928">
        <f>IFERROR(IF(--INDEX('Loans'!$G:$G,ROW())&gt;=1,--INDEX('Loans'!$G:$G,ROW())/100,--INDEX('Loans'!$G:$G,ROW())),0)</f>
        <v/>
      </c>
      <c r="AC928">
        <f>TRIM(SUBSTITUTE(INDEX('Loans'!$H:$H,ROW())&amp;""," "," "))</f>
        <v/>
      </c>
      <c r="AD928">
        <f>TRIM(SUBSTITUTE(INDEX('Loans'!$I:$I,ROW())&amp;""," "," "))</f>
        <v/>
      </c>
      <c r="AE928">
        <f>IFERROR(--INDEX('Loans'!$J:$J,ROW()),0)</f>
        <v/>
      </c>
      <c r="AF928">
        <f>TRIM(SUBSTITUTE(INDEX('Loans'!$K:$K,ROW())&amp;""," "," "))</f>
        <v/>
      </c>
      <c r="AG928">
        <f>IFERROR(--INDEX('Loans'!$L:$L,ROW()),0)</f>
        <v/>
      </c>
      <c r="AH928">
        <f>IF(ISNUMBER(INDEX('Loans'!$G:$G,ROW())),1,0)</f>
        <v/>
      </c>
    </row>
    <row r="929">
      <c r="A929">
        <f>TRIM(SUBSTITUTE(INDEX('Term investments'!$A:$A,ROW())&amp;""," "," "))</f>
        <v/>
      </c>
      <c r="B929">
        <f>TRIM(SUBSTITUTE(INDEX('Term investments'!$B:$B,ROW())&amp;""," "," "))</f>
        <v/>
      </c>
      <c r="C929">
        <f>TRIM(SUBSTITUTE(INDEX('Term investments'!$C:$C,ROW())&amp;""," "," "))</f>
        <v/>
      </c>
      <c r="D929">
        <f>IFERROR(--INDEX('Term investments'!$D:$D,ROW()),0)</f>
        <v/>
      </c>
      <c r="E929">
        <f>IFERROR(--INDEX('Term investments'!$E:$E,ROW()),0)</f>
        <v/>
      </c>
      <c r="F929">
        <f>IFERROR(--INDEX('Term investments'!$F:$F,ROW()),0)</f>
        <v/>
      </c>
      <c r="G929">
        <f>IFERROR(IF(--INDEX('Term investments'!$G:$G,ROW())&gt;=1,--INDEX('Term investments'!$G:$G,ROW())/100,--INDEX('Term investments'!$G:$G,ROW())),0)</f>
        <v/>
      </c>
      <c r="H929">
        <f>IFERROR(--INDEX('Term investments'!$H:$H,ROW()),0)</f>
        <v/>
      </c>
      <c r="I929">
        <f>IF(ISNUMBER(INDEX('Term investments'!$G:$G,ROW())),1,0)</f>
        <v/>
      </c>
      <c r="J929">
        <f>TRIM(SUBSTITUTE(INDEX('Call accounts and MMFs'!$A:$A,ROW())&amp;""," "," "))</f>
        <v/>
      </c>
      <c r="K929">
        <f>TRIM(SUBSTITUTE(INDEX('Call accounts and MMFs'!$B:$B,ROW())&amp;""," "," "))</f>
        <v/>
      </c>
      <c r="L929">
        <f>TRIM(SUBSTITUTE(INDEX('Call accounts and MMFs'!$C:$C,ROW())&amp;""," "," "))</f>
        <v/>
      </c>
      <c r="M929">
        <f>IFERROR(--INDEX('Call accounts and MMFs'!$D:$D,ROW()),0)</f>
        <v/>
      </c>
      <c r="N929">
        <f>IFERROR(IF(--INDEX('Call accounts and MMFs'!$E:$E,ROW())&gt;=1,--INDEX('Call accounts and MMFs'!$E:$E,ROW())/100,--INDEX('Call accounts and MMFs'!$E:$E,ROW())),0)</f>
        <v/>
      </c>
      <c r="O929">
        <f>IFERROR(--INDEX('Call accounts and MMFs'!$F:$F,ROW()),0)</f>
        <v/>
      </c>
      <c r="P929">
        <f>IF(ISNUMBER(INDEX('Call accounts and MMFs'!$E:$E,ROW())),1,0)</f>
        <v/>
      </c>
      <c r="Q929">
        <f>TRIM(SUBSTITUTE(INDEX('Pooled funds'!$B:$B,ROW())&amp;""," "," "))</f>
        <v/>
      </c>
      <c r="R929">
        <f>IFERROR(--INDEX('Pooled funds'!$C:$C,ROW()),0)</f>
        <v/>
      </c>
      <c r="S929">
        <f>IFERROR(--INDEX('Pooled funds'!$D:$D,ROW()),0)</f>
        <v/>
      </c>
      <c r="T929">
        <f>IFERROR(IF(--INDEX('Pooled funds'!$E:$E,ROW())&gt;=1,--INDEX('Pooled funds'!$E:$E,ROW())/100,--INDEX('Pooled funds'!$E:$E,ROW())),0)</f>
        <v/>
      </c>
      <c r="U929">
        <f>IF(ISNUMBER(INDEX('Pooled funds'!$E:$E,ROW())),1,0)</f>
        <v/>
      </c>
      <c r="V929">
        <f>TRIM(SUBSTITUTE(INDEX('Loans'!$A:$A,ROW())&amp;""," "," "))</f>
        <v/>
      </c>
      <c r="W929">
        <f>TRIM(SUBSTITUTE(INDEX('Loans'!$B:$B,ROW())&amp;""," "," "))</f>
        <v/>
      </c>
      <c r="X929">
        <f>TRIM(SUBSTITUTE(INDEX('Loans'!$C:$C,ROW())&amp;""," "," "))</f>
        <v/>
      </c>
      <c r="Y929">
        <f>IFERROR(--INDEX('Loans'!$D:$D,ROW()),0)</f>
        <v/>
      </c>
      <c r="Z929">
        <f>IFERROR(--INDEX('Loans'!$E:$E,ROW()),0)</f>
        <v/>
      </c>
      <c r="AA929">
        <f>IFERROR(--INDEX('Loans'!$F:$F,ROW()),0)</f>
        <v/>
      </c>
      <c r="AB929">
        <f>IFERROR(IF(--INDEX('Loans'!$G:$G,ROW())&gt;=1,--INDEX('Loans'!$G:$G,ROW())/100,--INDEX('Loans'!$G:$G,ROW())),0)</f>
        <v/>
      </c>
      <c r="AC929">
        <f>TRIM(SUBSTITUTE(INDEX('Loans'!$H:$H,ROW())&amp;""," "," "))</f>
        <v/>
      </c>
      <c r="AD929">
        <f>TRIM(SUBSTITUTE(INDEX('Loans'!$I:$I,ROW())&amp;""," "," "))</f>
        <v/>
      </c>
      <c r="AE929">
        <f>IFERROR(--INDEX('Loans'!$J:$J,ROW()),0)</f>
        <v/>
      </c>
      <c r="AF929">
        <f>TRIM(SUBSTITUTE(INDEX('Loans'!$K:$K,ROW())&amp;""," "," "))</f>
        <v/>
      </c>
      <c r="AG929">
        <f>IFERROR(--INDEX('Loans'!$L:$L,ROW()),0)</f>
        <v/>
      </c>
      <c r="AH929">
        <f>IF(ISNUMBER(INDEX('Loans'!$G:$G,ROW())),1,0)</f>
        <v/>
      </c>
    </row>
    <row r="930">
      <c r="A930">
        <f>TRIM(SUBSTITUTE(INDEX('Term investments'!$A:$A,ROW())&amp;""," "," "))</f>
        <v/>
      </c>
      <c r="B930">
        <f>TRIM(SUBSTITUTE(INDEX('Term investments'!$B:$B,ROW())&amp;""," "," "))</f>
        <v/>
      </c>
      <c r="C930">
        <f>TRIM(SUBSTITUTE(INDEX('Term investments'!$C:$C,ROW())&amp;""," "," "))</f>
        <v/>
      </c>
      <c r="D930">
        <f>IFERROR(--INDEX('Term investments'!$D:$D,ROW()),0)</f>
        <v/>
      </c>
      <c r="E930">
        <f>IFERROR(--INDEX('Term investments'!$E:$E,ROW()),0)</f>
        <v/>
      </c>
      <c r="F930">
        <f>IFERROR(--INDEX('Term investments'!$F:$F,ROW()),0)</f>
        <v/>
      </c>
      <c r="G930">
        <f>IFERROR(IF(--INDEX('Term investments'!$G:$G,ROW())&gt;=1,--INDEX('Term investments'!$G:$G,ROW())/100,--INDEX('Term investments'!$G:$G,ROW())),0)</f>
        <v/>
      </c>
      <c r="H930">
        <f>IFERROR(--INDEX('Term investments'!$H:$H,ROW()),0)</f>
        <v/>
      </c>
      <c r="I930">
        <f>IF(ISNUMBER(INDEX('Term investments'!$G:$G,ROW())),1,0)</f>
        <v/>
      </c>
      <c r="J930">
        <f>TRIM(SUBSTITUTE(INDEX('Call accounts and MMFs'!$A:$A,ROW())&amp;""," "," "))</f>
        <v/>
      </c>
      <c r="K930">
        <f>TRIM(SUBSTITUTE(INDEX('Call accounts and MMFs'!$B:$B,ROW())&amp;""," "," "))</f>
        <v/>
      </c>
      <c r="L930">
        <f>TRIM(SUBSTITUTE(INDEX('Call accounts and MMFs'!$C:$C,ROW())&amp;""," "," "))</f>
        <v/>
      </c>
      <c r="M930">
        <f>IFERROR(--INDEX('Call accounts and MMFs'!$D:$D,ROW()),0)</f>
        <v/>
      </c>
      <c r="N930">
        <f>IFERROR(IF(--INDEX('Call accounts and MMFs'!$E:$E,ROW())&gt;=1,--INDEX('Call accounts and MMFs'!$E:$E,ROW())/100,--INDEX('Call accounts and MMFs'!$E:$E,ROW())),0)</f>
        <v/>
      </c>
      <c r="O930">
        <f>IFERROR(--INDEX('Call accounts and MMFs'!$F:$F,ROW()),0)</f>
        <v/>
      </c>
      <c r="P930">
        <f>IF(ISNUMBER(INDEX('Call accounts and MMFs'!$E:$E,ROW())),1,0)</f>
        <v/>
      </c>
      <c r="Q930">
        <f>TRIM(SUBSTITUTE(INDEX('Pooled funds'!$B:$B,ROW())&amp;""," "," "))</f>
        <v/>
      </c>
      <c r="R930">
        <f>IFERROR(--INDEX('Pooled funds'!$C:$C,ROW()),0)</f>
        <v/>
      </c>
      <c r="S930">
        <f>IFERROR(--INDEX('Pooled funds'!$D:$D,ROW()),0)</f>
        <v/>
      </c>
      <c r="T930">
        <f>IFERROR(IF(--INDEX('Pooled funds'!$E:$E,ROW())&gt;=1,--INDEX('Pooled funds'!$E:$E,ROW())/100,--INDEX('Pooled funds'!$E:$E,ROW())),0)</f>
        <v/>
      </c>
      <c r="U930">
        <f>IF(ISNUMBER(INDEX('Pooled funds'!$E:$E,ROW())),1,0)</f>
        <v/>
      </c>
      <c r="V930">
        <f>TRIM(SUBSTITUTE(INDEX('Loans'!$A:$A,ROW())&amp;""," "," "))</f>
        <v/>
      </c>
      <c r="W930">
        <f>TRIM(SUBSTITUTE(INDEX('Loans'!$B:$B,ROW())&amp;""," "," "))</f>
        <v/>
      </c>
      <c r="X930">
        <f>TRIM(SUBSTITUTE(INDEX('Loans'!$C:$C,ROW())&amp;""," "," "))</f>
        <v/>
      </c>
      <c r="Y930">
        <f>IFERROR(--INDEX('Loans'!$D:$D,ROW()),0)</f>
        <v/>
      </c>
      <c r="Z930">
        <f>IFERROR(--INDEX('Loans'!$E:$E,ROW()),0)</f>
        <v/>
      </c>
      <c r="AA930">
        <f>IFERROR(--INDEX('Loans'!$F:$F,ROW()),0)</f>
        <v/>
      </c>
      <c r="AB930">
        <f>IFERROR(IF(--INDEX('Loans'!$G:$G,ROW())&gt;=1,--INDEX('Loans'!$G:$G,ROW())/100,--INDEX('Loans'!$G:$G,ROW())),0)</f>
        <v/>
      </c>
      <c r="AC930">
        <f>TRIM(SUBSTITUTE(INDEX('Loans'!$H:$H,ROW())&amp;""," "," "))</f>
        <v/>
      </c>
      <c r="AD930">
        <f>TRIM(SUBSTITUTE(INDEX('Loans'!$I:$I,ROW())&amp;""," "," "))</f>
        <v/>
      </c>
      <c r="AE930">
        <f>IFERROR(--INDEX('Loans'!$J:$J,ROW()),0)</f>
        <v/>
      </c>
      <c r="AF930">
        <f>TRIM(SUBSTITUTE(INDEX('Loans'!$K:$K,ROW())&amp;""," "," "))</f>
        <v/>
      </c>
      <c r="AG930">
        <f>IFERROR(--INDEX('Loans'!$L:$L,ROW()),0)</f>
        <v/>
      </c>
      <c r="AH930">
        <f>IF(ISNUMBER(INDEX('Loans'!$G:$G,ROW())),1,0)</f>
        <v/>
      </c>
    </row>
    <row r="931">
      <c r="A931">
        <f>TRIM(SUBSTITUTE(INDEX('Term investments'!$A:$A,ROW())&amp;""," "," "))</f>
        <v/>
      </c>
      <c r="B931">
        <f>TRIM(SUBSTITUTE(INDEX('Term investments'!$B:$B,ROW())&amp;""," "," "))</f>
        <v/>
      </c>
      <c r="C931">
        <f>TRIM(SUBSTITUTE(INDEX('Term investments'!$C:$C,ROW())&amp;""," "," "))</f>
        <v/>
      </c>
      <c r="D931">
        <f>IFERROR(--INDEX('Term investments'!$D:$D,ROW()),0)</f>
        <v/>
      </c>
      <c r="E931">
        <f>IFERROR(--INDEX('Term investments'!$E:$E,ROW()),0)</f>
        <v/>
      </c>
      <c r="F931">
        <f>IFERROR(--INDEX('Term investments'!$F:$F,ROW()),0)</f>
        <v/>
      </c>
      <c r="G931">
        <f>IFERROR(IF(--INDEX('Term investments'!$G:$G,ROW())&gt;=1,--INDEX('Term investments'!$G:$G,ROW())/100,--INDEX('Term investments'!$G:$G,ROW())),0)</f>
        <v/>
      </c>
      <c r="H931">
        <f>IFERROR(--INDEX('Term investments'!$H:$H,ROW()),0)</f>
        <v/>
      </c>
      <c r="I931">
        <f>IF(ISNUMBER(INDEX('Term investments'!$G:$G,ROW())),1,0)</f>
        <v/>
      </c>
      <c r="J931">
        <f>TRIM(SUBSTITUTE(INDEX('Call accounts and MMFs'!$A:$A,ROW())&amp;""," "," "))</f>
        <v/>
      </c>
      <c r="K931">
        <f>TRIM(SUBSTITUTE(INDEX('Call accounts and MMFs'!$B:$B,ROW())&amp;""," "," "))</f>
        <v/>
      </c>
      <c r="L931">
        <f>TRIM(SUBSTITUTE(INDEX('Call accounts and MMFs'!$C:$C,ROW())&amp;""," "," "))</f>
        <v/>
      </c>
      <c r="M931">
        <f>IFERROR(--INDEX('Call accounts and MMFs'!$D:$D,ROW()),0)</f>
        <v/>
      </c>
      <c r="N931">
        <f>IFERROR(IF(--INDEX('Call accounts and MMFs'!$E:$E,ROW())&gt;=1,--INDEX('Call accounts and MMFs'!$E:$E,ROW())/100,--INDEX('Call accounts and MMFs'!$E:$E,ROW())),0)</f>
        <v/>
      </c>
      <c r="O931">
        <f>IFERROR(--INDEX('Call accounts and MMFs'!$F:$F,ROW()),0)</f>
        <v/>
      </c>
      <c r="P931">
        <f>IF(ISNUMBER(INDEX('Call accounts and MMFs'!$E:$E,ROW())),1,0)</f>
        <v/>
      </c>
      <c r="Q931">
        <f>TRIM(SUBSTITUTE(INDEX('Pooled funds'!$B:$B,ROW())&amp;""," "," "))</f>
        <v/>
      </c>
      <c r="R931">
        <f>IFERROR(--INDEX('Pooled funds'!$C:$C,ROW()),0)</f>
        <v/>
      </c>
      <c r="S931">
        <f>IFERROR(--INDEX('Pooled funds'!$D:$D,ROW()),0)</f>
        <v/>
      </c>
      <c r="T931">
        <f>IFERROR(IF(--INDEX('Pooled funds'!$E:$E,ROW())&gt;=1,--INDEX('Pooled funds'!$E:$E,ROW())/100,--INDEX('Pooled funds'!$E:$E,ROW())),0)</f>
        <v/>
      </c>
      <c r="U931">
        <f>IF(ISNUMBER(INDEX('Pooled funds'!$E:$E,ROW())),1,0)</f>
        <v/>
      </c>
      <c r="V931">
        <f>TRIM(SUBSTITUTE(INDEX('Loans'!$A:$A,ROW())&amp;""," "," "))</f>
        <v/>
      </c>
      <c r="W931">
        <f>TRIM(SUBSTITUTE(INDEX('Loans'!$B:$B,ROW())&amp;""," "," "))</f>
        <v/>
      </c>
      <c r="X931">
        <f>TRIM(SUBSTITUTE(INDEX('Loans'!$C:$C,ROW())&amp;""," "," "))</f>
        <v/>
      </c>
      <c r="Y931">
        <f>IFERROR(--INDEX('Loans'!$D:$D,ROW()),0)</f>
        <v/>
      </c>
      <c r="Z931">
        <f>IFERROR(--INDEX('Loans'!$E:$E,ROW()),0)</f>
        <v/>
      </c>
      <c r="AA931">
        <f>IFERROR(--INDEX('Loans'!$F:$F,ROW()),0)</f>
        <v/>
      </c>
      <c r="AB931">
        <f>IFERROR(IF(--INDEX('Loans'!$G:$G,ROW())&gt;=1,--INDEX('Loans'!$G:$G,ROW())/100,--INDEX('Loans'!$G:$G,ROW())),0)</f>
        <v/>
      </c>
      <c r="AC931">
        <f>TRIM(SUBSTITUTE(INDEX('Loans'!$H:$H,ROW())&amp;""," "," "))</f>
        <v/>
      </c>
      <c r="AD931">
        <f>TRIM(SUBSTITUTE(INDEX('Loans'!$I:$I,ROW())&amp;""," "," "))</f>
        <v/>
      </c>
      <c r="AE931">
        <f>IFERROR(--INDEX('Loans'!$J:$J,ROW()),0)</f>
        <v/>
      </c>
      <c r="AF931">
        <f>TRIM(SUBSTITUTE(INDEX('Loans'!$K:$K,ROW())&amp;""," "," "))</f>
        <v/>
      </c>
      <c r="AG931">
        <f>IFERROR(--INDEX('Loans'!$L:$L,ROW()),0)</f>
        <v/>
      </c>
      <c r="AH931">
        <f>IF(ISNUMBER(INDEX('Loans'!$G:$G,ROW())),1,0)</f>
        <v/>
      </c>
    </row>
    <row r="932">
      <c r="A932">
        <f>TRIM(SUBSTITUTE(INDEX('Term investments'!$A:$A,ROW())&amp;""," "," "))</f>
        <v/>
      </c>
      <c r="B932">
        <f>TRIM(SUBSTITUTE(INDEX('Term investments'!$B:$B,ROW())&amp;""," "," "))</f>
        <v/>
      </c>
      <c r="C932">
        <f>TRIM(SUBSTITUTE(INDEX('Term investments'!$C:$C,ROW())&amp;""," "," "))</f>
        <v/>
      </c>
      <c r="D932">
        <f>IFERROR(--INDEX('Term investments'!$D:$D,ROW()),0)</f>
        <v/>
      </c>
      <c r="E932">
        <f>IFERROR(--INDEX('Term investments'!$E:$E,ROW()),0)</f>
        <v/>
      </c>
      <c r="F932">
        <f>IFERROR(--INDEX('Term investments'!$F:$F,ROW()),0)</f>
        <v/>
      </c>
      <c r="G932">
        <f>IFERROR(IF(--INDEX('Term investments'!$G:$G,ROW())&gt;=1,--INDEX('Term investments'!$G:$G,ROW())/100,--INDEX('Term investments'!$G:$G,ROW())),0)</f>
        <v/>
      </c>
      <c r="H932">
        <f>IFERROR(--INDEX('Term investments'!$H:$H,ROW()),0)</f>
        <v/>
      </c>
      <c r="I932">
        <f>IF(ISNUMBER(INDEX('Term investments'!$G:$G,ROW())),1,0)</f>
        <v/>
      </c>
      <c r="J932">
        <f>TRIM(SUBSTITUTE(INDEX('Call accounts and MMFs'!$A:$A,ROW())&amp;""," "," "))</f>
        <v/>
      </c>
      <c r="K932">
        <f>TRIM(SUBSTITUTE(INDEX('Call accounts and MMFs'!$B:$B,ROW())&amp;""," "," "))</f>
        <v/>
      </c>
      <c r="L932">
        <f>TRIM(SUBSTITUTE(INDEX('Call accounts and MMFs'!$C:$C,ROW())&amp;""," "," "))</f>
        <v/>
      </c>
      <c r="M932">
        <f>IFERROR(--INDEX('Call accounts and MMFs'!$D:$D,ROW()),0)</f>
        <v/>
      </c>
      <c r="N932">
        <f>IFERROR(IF(--INDEX('Call accounts and MMFs'!$E:$E,ROW())&gt;=1,--INDEX('Call accounts and MMFs'!$E:$E,ROW())/100,--INDEX('Call accounts and MMFs'!$E:$E,ROW())),0)</f>
        <v/>
      </c>
      <c r="O932">
        <f>IFERROR(--INDEX('Call accounts and MMFs'!$F:$F,ROW()),0)</f>
        <v/>
      </c>
      <c r="P932">
        <f>IF(ISNUMBER(INDEX('Call accounts and MMFs'!$E:$E,ROW())),1,0)</f>
        <v/>
      </c>
      <c r="Q932">
        <f>TRIM(SUBSTITUTE(INDEX('Pooled funds'!$B:$B,ROW())&amp;""," "," "))</f>
        <v/>
      </c>
      <c r="R932">
        <f>IFERROR(--INDEX('Pooled funds'!$C:$C,ROW()),0)</f>
        <v/>
      </c>
      <c r="S932">
        <f>IFERROR(--INDEX('Pooled funds'!$D:$D,ROW()),0)</f>
        <v/>
      </c>
      <c r="T932">
        <f>IFERROR(IF(--INDEX('Pooled funds'!$E:$E,ROW())&gt;=1,--INDEX('Pooled funds'!$E:$E,ROW())/100,--INDEX('Pooled funds'!$E:$E,ROW())),0)</f>
        <v/>
      </c>
      <c r="U932">
        <f>IF(ISNUMBER(INDEX('Pooled funds'!$E:$E,ROW())),1,0)</f>
        <v/>
      </c>
      <c r="V932">
        <f>TRIM(SUBSTITUTE(INDEX('Loans'!$A:$A,ROW())&amp;""," "," "))</f>
        <v/>
      </c>
      <c r="W932">
        <f>TRIM(SUBSTITUTE(INDEX('Loans'!$B:$B,ROW())&amp;""," "," "))</f>
        <v/>
      </c>
      <c r="X932">
        <f>TRIM(SUBSTITUTE(INDEX('Loans'!$C:$C,ROW())&amp;""," "," "))</f>
        <v/>
      </c>
      <c r="Y932">
        <f>IFERROR(--INDEX('Loans'!$D:$D,ROW()),0)</f>
        <v/>
      </c>
      <c r="Z932">
        <f>IFERROR(--INDEX('Loans'!$E:$E,ROW()),0)</f>
        <v/>
      </c>
      <c r="AA932">
        <f>IFERROR(--INDEX('Loans'!$F:$F,ROW()),0)</f>
        <v/>
      </c>
      <c r="AB932">
        <f>IFERROR(IF(--INDEX('Loans'!$G:$G,ROW())&gt;=1,--INDEX('Loans'!$G:$G,ROW())/100,--INDEX('Loans'!$G:$G,ROW())),0)</f>
        <v/>
      </c>
      <c r="AC932">
        <f>TRIM(SUBSTITUTE(INDEX('Loans'!$H:$H,ROW())&amp;""," "," "))</f>
        <v/>
      </c>
      <c r="AD932">
        <f>TRIM(SUBSTITUTE(INDEX('Loans'!$I:$I,ROW())&amp;""," "," "))</f>
        <v/>
      </c>
      <c r="AE932">
        <f>IFERROR(--INDEX('Loans'!$J:$J,ROW()),0)</f>
        <v/>
      </c>
      <c r="AF932">
        <f>TRIM(SUBSTITUTE(INDEX('Loans'!$K:$K,ROW())&amp;""," "," "))</f>
        <v/>
      </c>
      <c r="AG932">
        <f>IFERROR(--INDEX('Loans'!$L:$L,ROW()),0)</f>
        <v/>
      </c>
      <c r="AH932">
        <f>IF(ISNUMBER(INDEX('Loans'!$G:$G,ROW())),1,0)</f>
        <v/>
      </c>
    </row>
    <row r="933">
      <c r="A933">
        <f>TRIM(SUBSTITUTE(INDEX('Term investments'!$A:$A,ROW())&amp;""," "," "))</f>
        <v/>
      </c>
      <c r="B933">
        <f>TRIM(SUBSTITUTE(INDEX('Term investments'!$B:$B,ROW())&amp;""," "," "))</f>
        <v/>
      </c>
      <c r="C933">
        <f>TRIM(SUBSTITUTE(INDEX('Term investments'!$C:$C,ROW())&amp;""," "," "))</f>
        <v/>
      </c>
      <c r="D933">
        <f>IFERROR(--INDEX('Term investments'!$D:$D,ROW()),0)</f>
        <v/>
      </c>
      <c r="E933">
        <f>IFERROR(--INDEX('Term investments'!$E:$E,ROW()),0)</f>
        <v/>
      </c>
      <c r="F933">
        <f>IFERROR(--INDEX('Term investments'!$F:$F,ROW()),0)</f>
        <v/>
      </c>
      <c r="G933">
        <f>IFERROR(IF(--INDEX('Term investments'!$G:$G,ROW())&gt;=1,--INDEX('Term investments'!$G:$G,ROW())/100,--INDEX('Term investments'!$G:$G,ROW())),0)</f>
        <v/>
      </c>
      <c r="H933">
        <f>IFERROR(--INDEX('Term investments'!$H:$H,ROW()),0)</f>
        <v/>
      </c>
      <c r="I933">
        <f>IF(ISNUMBER(INDEX('Term investments'!$G:$G,ROW())),1,0)</f>
        <v/>
      </c>
      <c r="J933">
        <f>TRIM(SUBSTITUTE(INDEX('Call accounts and MMFs'!$A:$A,ROW())&amp;""," "," "))</f>
        <v/>
      </c>
      <c r="K933">
        <f>TRIM(SUBSTITUTE(INDEX('Call accounts and MMFs'!$B:$B,ROW())&amp;""," "," "))</f>
        <v/>
      </c>
      <c r="L933">
        <f>TRIM(SUBSTITUTE(INDEX('Call accounts and MMFs'!$C:$C,ROW())&amp;""," "," "))</f>
        <v/>
      </c>
      <c r="M933">
        <f>IFERROR(--INDEX('Call accounts and MMFs'!$D:$D,ROW()),0)</f>
        <v/>
      </c>
      <c r="N933">
        <f>IFERROR(IF(--INDEX('Call accounts and MMFs'!$E:$E,ROW())&gt;=1,--INDEX('Call accounts and MMFs'!$E:$E,ROW())/100,--INDEX('Call accounts and MMFs'!$E:$E,ROW())),0)</f>
        <v/>
      </c>
      <c r="O933">
        <f>IFERROR(--INDEX('Call accounts and MMFs'!$F:$F,ROW()),0)</f>
        <v/>
      </c>
      <c r="P933">
        <f>IF(ISNUMBER(INDEX('Call accounts and MMFs'!$E:$E,ROW())),1,0)</f>
        <v/>
      </c>
      <c r="Q933">
        <f>TRIM(SUBSTITUTE(INDEX('Pooled funds'!$B:$B,ROW())&amp;""," "," "))</f>
        <v/>
      </c>
      <c r="R933">
        <f>IFERROR(--INDEX('Pooled funds'!$C:$C,ROW()),0)</f>
        <v/>
      </c>
      <c r="S933">
        <f>IFERROR(--INDEX('Pooled funds'!$D:$D,ROW()),0)</f>
        <v/>
      </c>
      <c r="T933">
        <f>IFERROR(IF(--INDEX('Pooled funds'!$E:$E,ROW())&gt;=1,--INDEX('Pooled funds'!$E:$E,ROW())/100,--INDEX('Pooled funds'!$E:$E,ROW())),0)</f>
        <v/>
      </c>
      <c r="U933">
        <f>IF(ISNUMBER(INDEX('Pooled funds'!$E:$E,ROW())),1,0)</f>
        <v/>
      </c>
      <c r="V933">
        <f>TRIM(SUBSTITUTE(INDEX('Loans'!$A:$A,ROW())&amp;""," "," "))</f>
        <v/>
      </c>
      <c r="W933">
        <f>TRIM(SUBSTITUTE(INDEX('Loans'!$B:$B,ROW())&amp;""," "," "))</f>
        <v/>
      </c>
      <c r="X933">
        <f>TRIM(SUBSTITUTE(INDEX('Loans'!$C:$C,ROW())&amp;""," "," "))</f>
        <v/>
      </c>
      <c r="Y933">
        <f>IFERROR(--INDEX('Loans'!$D:$D,ROW()),0)</f>
        <v/>
      </c>
      <c r="Z933">
        <f>IFERROR(--INDEX('Loans'!$E:$E,ROW()),0)</f>
        <v/>
      </c>
      <c r="AA933">
        <f>IFERROR(--INDEX('Loans'!$F:$F,ROW()),0)</f>
        <v/>
      </c>
      <c r="AB933">
        <f>IFERROR(IF(--INDEX('Loans'!$G:$G,ROW())&gt;=1,--INDEX('Loans'!$G:$G,ROW())/100,--INDEX('Loans'!$G:$G,ROW())),0)</f>
        <v/>
      </c>
      <c r="AC933">
        <f>TRIM(SUBSTITUTE(INDEX('Loans'!$H:$H,ROW())&amp;""," "," "))</f>
        <v/>
      </c>
      <c r="AD933">
        <f>TRIM(SUBSTITUTE(INDEX('Loans'!$I:$I,ROW())&amp;""," "," "))</f>
        <v/>
      </c>
      <c r="AE933">
        <f>IFERROR(--INDEX('Loans'!$J:$J,ROW()),0)</f>
        <v/>
      </c>
      <c r="AF933">
        <f>TRIM(SUBSTITUTE(INDEX('Loans'!$K:$K,ROW())&amp;""," "," "))</f>
        <v/>
      </c>
      <c r="AG933">
        <f>IFERROR(--INDEX('Loans'!$L:$L,ROW()),0)</f>
        <v/>
      </c>
      <c r="AH933">
        <f>IF(ISNUMBER(INDEX('Loans'!$G:$G,ROW())),1,0)</f>
        <v/>
      </c>
    </row>
    <row r="934">
      <c r="A934">
        <f>TRIM(SUBSTITUTE(INDEX('Term investments'!$A:$A,ROW())&amp;""," "," "))</f>
        <v/>
      </c>
      <c r="B934">
        <f>TRIM(SUBSTITUTE(INDEX('Term investments'!$B:$B,ROW())&amp;""," "," "))</f>
        <v/>
      </c>
      <c r="C934">
        <f>TRIM(SUBSTITUTE(INDEX('Term investments'!$C:$C,ROW())&amp;""," "," "))</f>
        <v/>
      </c>
      <c r="D934">
        <f>IFERROR(--INDEX('Term investments'!$D:$D,ROW()),0)</f>
        <v/>
      </c>
      <c r="E934">
        <f>IFERROR(--INDEX('Term investments'!$E:$E,ROW()),0)</f>
        <v/>
      </c>
      <c r="F934">
        <f>IFERROR(--INDEX('Term investments'!$F:$F,ROW()),0)</f>
        <v/>
      </c>
      <c r="G934">
        <f>IFERROR(IF(--INDEX('Term investments'!$G:$G,ROW())&gt;=1,--INDEX('Term investments'!$G:$G,ROW())/100,--INDEX('Term investments'!$G:$G,ROW())),0)</f>
        <v/>
      </c>
      <c r="H934">
        <f>IFERROR(--INDEX('Term investments'!$H:$H,ROW()),0)</f>
        <v/>
      </c>
      <c r="I934">
        <f>IF(ISNUMBER(INDEX('Term investments'!$G:$G,ROW())),1,0)</f>
        <v/>
      </c>
      <c r="J934">
        <f>TRIM(SUBSTITUTE(INDEX('Call accounts and MMFs'!$A:$A,ROW())&amp;""," "," "))</f>
        <v/>
      </c>
      <c r="K934">
        <f>TRIM(SUBSTITUTE(INDEX('Call accounts and MMFs'!$B:$B,ROW())&amp;""," "," "))</f>
        <v/>
      </c>
      <c r="L934">
        <f>TRIM(SUBSTITUTE(INDEX('Call accounts and MMFs'!$C:$C,ROW())&amp;""," "," "))</f>
        <v/>
      </c>
      <c r="M934">
        <f>IFERROR(--INDEX('Call accounts and MMFs'!$D:$D,ROW()),0)</f>
        <v/>
      </c>
      <c r="N934">
        <f>IFERROR(IF(--INDEX('Call accounts and MMFs'!$E:$E,ROW())&gt;=1,--INDEX('Call accounts and MMFs'!$E:$E,ROW())/100,--INDEX('Call accounts and MMFs'!$E:$E,ROW())),0)</f>
        <v/>
      </c>
      <c r="O934">
        <f>IFERROR(--INDEX('Call accounts and MMFs'!$F:$F,ROW()),0)</f>
        <v/>
      </c>
      <c r="P934">
        <f>IF(ISNUMBER(INDEX('Call accounts and MMFs'!$E:$E,ROW())),1,0)</f>
        <v/>
      </c>
      <c r="Q934">
        <f>TRIM(SUBSTITUTE(INDEX('Pooled funds'!$B:$B,ROW())&amp;""," "," "))</f>
        <v/>
      </c>
      <c r="R934">
        <f>IFERROR(--INDEX('Pooled funds'!$C:$C,ROW()),0)</f>
        <v/>
      </c>
      <c r="S934">
        <f>IFERROR(--INDEX('Pooled funds'!$D:$D,ROW()),0)</f>
        <v/>
      </c>
      <c r="T934">
        <f>IFERROR(IF(--INDEX('Pooled funds'!$E:$E,ROW())&gt;=1,--INDEX('Pooled funds'!$E:$E,ROW())/100,--INDEX('Pooled funds'!$E:$E,ROW())),0)</f>
        <v/>
      </c>
      <c r="U934">
        <f>IF(ISNUMBER(INDEX('Pooled funds'!$E:$E,ROW())),1,0)</f>
        <v/>
      </c>
      <c r="V934">
        <f>TRIM(SUBSTITUTE(INDEX('Loans'!$A:$A,ROW())&amp;""," "," "))</f>
        <v/>
      </c>
      <c r="W934">
        <f>TRIM(SUBSTITUTE(INDEX('Loans'!$B:$B,ROW())&amp;""," "," "))</f>
        <v/>
      </c>
      <c r="X934">
        <f>TRIM(SUBSTITUTE(INDEX('Loans'!$C:$C,ROW())&amp;""," "," "))</f>
        <v/>
      </c>
      <c r="Y934">
        <f>IFERROR(--INDEX('Loans'!$D:$D,ROW()),0)</f>
        <v/>
      </c>
      <c r="Z934">
        <f>IFERROR(--INDEX('Loans'!$E:$E,ROW()),0)</f>
        <v/>
      </c>
      <c r="AA934">
        <f>IFERROR(--INDEX('Loans'!$F:$F,ROW()),0)</f>
        <v/>
      </c>
      <c r="AB934">
        <f>IFERROR(IF(--INDEX('Loans'!$G:$G,ROW())&gt;=1,--INDEX('Loans'!$G:$G,ROW())/100,--INDEX('Loans'!$G:$G,ROW())),0)</f>
        <v/>
      </c>
      <c r="AC934">
        <f>TRIM(SUBSTITUTE(INDEX('Loans'!$H:$H,ROW())&amp;""," "," "))</f>
        <v/>
      </c>
      <c r="AD934">
        <f>TRIM(SUBSTITUTE(INDEX('Loans'!$I:$I,ROW())&amp;""," "," "))</f>
        <v/>
      </c>
      <c r="AE934">
        <f>IFERROR(--INDEX('Loans'!$J:$J,ROW()),0)</f>
        <v/>
      </c>
      <c r="AF934">
        <f>TRIM(SUBSTITUTE(INDEX('Loans'!$K:$K,ROW())&amp;""," "," "))</f>
        <v/>
      </c>
      <c r="AG934">
        <f>IFERROR(--INDEX('Loans'!$L:$L,ROW()),0)</f>
        <v/>
      </c>
      <c r="AH934">
        <f>IF(ISNUMBER(INDEX('Loans'!$G:$G,ROW())),1,0)</f>
        <v/>
      </c>
    </row>
    <row r="935">
      <c r="A935">
        <f>TRIM(SUBSTITUTE(INDEX('Term investments'!$A:$A,ROW())&amp;""," "," "))</f>
        <v/>
      </c>
      <c r="B935">
        <f>TRIM(SUBSTITUTE(INDEX('Term investments'!$B:$B,ROW())&amp;""," "," "))</f>
        <v/>
      </c>
      <c r="C935">
        <f>TRIM(SUBSTITUTE(INDEX('Term investments'!$C:$C,ROW())&amp;""," "," "))</f>
        <v/>
      </c>
      <c r="D935">
        <f>IFERROR(--INDEX('Term investments'!$D:$D,ROW()),0)</f>
        <v/>
      </c>
      <c r="E935">
        <f>IFERROR(--INDEX('Term investments'!$E:$E,ROW()),0)</f>
        <v/>
      </c>
      <c r="F935">
        <f>IFERROR(--INDEX('Term investments'!$F:$F,ROW()),0)</f>
        <v/>
      </c>
      <c r="G935">
        <f>IFERROR(IF(--INDEX('Term investments'!$G:$G,ROW())&gt;=1,--INDEX('Term investments'!$G:$G,ROW())/100,--INDEX('Term investments'!$G:$G,ROW())),0)</f>
        <v/>
      </c>
      <c r="H935">
        <f>IFERROR(--INDEX('Term investments'!$H:$H,ROW()),0)</f>
        <v/>
      </c>
      <c r="I935">
        <f>IF(ISNUMBER(INDEX('Term investments'!$G:$G,ROW())),1,0)</f>
        <v/>
      </c>
      <c r="J935">
        <f>TRIM(SUBSTITUTE(INDEX('Call accounts and MMFs'!$A:$A,ROW())&amp;""," "," "))</f>
        <v/>
      </c>
      <c r="K935">
        <f>TRIM(SUBSTITUTE(INDEX('Call accounts and MMFs'!$B:$B,ROW())&amp;""," "," "))</f>
        <v/>
      </c>
      <c r="L935">
        <f>TRIM(SUBSTITUTE(INDEX('Call accounts and MMFs'!$C:$C,ROW())&amp;""," "," "))</f>
        <v/>
      </c>
      <c r="M935">
        <f>IFERROR(--INDEX('Call accounts and MMFs'!$D:$D,ROW()),0)</f>
        <v/>
      </c>
      <c r="N935">
        <f>IFERROR(IF(--INDEX('Call accounts and MMFs'!$E:$E,ROW())&gt;=1,--INDEX('Call accounts and MMFs'!$E:$E,ROW())/100,--INDEX('Call accounts and MMFs'!$E:$E,ROW())),0)</f>
        <v/>
      </c>
      <c r="O935">
        <f>IFERROR(--INDEX('Call accounts and MMFs'!$F:$F,ROW()),0)</f>
        <v/>
      </c>
      <c r="P935">
        <f>IF(ISNUMBER(INDEX('Call accounts and MMFs'!$E:$E,ROW())),1,0)</f>
        <v/>
      </c>
      <c r="Q935">
        <f>TRIM(SUBSTITUTE(INDEX('Pooled funds'!$B:$B,ROW())&amp;""," "," "))</f>
        <v/>
      </c>
      <c r="R935">
        <f>IFERROR(--INDEX('Pooled funds'!$C:$C,ROW()),0)</f>
        <v/>
      </c>
      <c r="S935">
        <f>IFERROR(--INDEX('Pooled funds'!$D:$D,ROW()),0)</f>
        <v/>
      </c>
      <c r="T935">
        <f>IFERROR(IF(--INDEX('Pooled funds'!$E:$E,ROW())&gt;=1,--INDEX('Pooled funds'!$E:$E,ROW())/100,--INDEX('Pooled funds'!$E:$E,ROW())),0)</f>
        <v/>
      </c>
      <c r="U935">
        <f>IF(ISNUMBER(INDEX('Pooled funds'!$E:$E,ROW())),1,0)</f>
        <v/>
      </c>
      <c r="V935">
        <f>TRIM(SUBSTITUTE(INDEX('Loans'!$A:$A,ROW())&amp;""," "," "))</f>
        <v/>
      </c>
      <c r="W935">
        <f>TRIM(SUBSTITUTE(INDEX('Loans'!$B:$B,ROW())&amp;""," "," "))</f>
        <v/>
      </c>
      <c r="X935">
        <f>TRIM(SUBSTITUTE(INDEX('Loans'!$C:$C,ROW())&amp;""," "," "))</f>
        <v/>
      </c>
      <c r="Y935">
        <f>IFERROR(--INDEX('Loans'!$D:$D,ROW()),0)</f>
        <v/>
      </c>
      <c r="Z935">
        <f>IFERROR(--INDEX('Loans'!$E:$E,ROW()),0)</f>
        <v/>
      </c>
      <c r="AA935">
        <f>IFERROR(--INDEX('Loans'!$F:$F,ROW()),0)</f>
        <v/>
      </c>
      <c r="AB935">
        <f>IFERROR(IF(--INDEX('Loans'!$G:$G,ROW())&gt;=1,--INDEX('Loans'!$G:$G,ROW())/100,--INDEX('Loans'!$G:$G,ROW())),0)</f>
        <v/>
      </c>
      <c r="AC935">
        <f>TRIM(SUBSTITUTE(INDEX('Loans'!$H:$H,ROW())&amp;""," "," "))</f>
        <v/>
      </c>
      <c r="AD935">
        <f>TRIM(SUBSTITUTE(INDEX('Loans'!$I:$I,ROW())&amp;""," "," "))</f>
        <v/>
      </c>
      <c r="AE935">
        <f>IFERROR(--INDEX('Loans'!$J:$J,ROW()),0)</f>
        <v/>
      </c>
      <c r="AF935">
        <f>TRIM(SUBSTITUTE(INDEX('Loans'!$K:$K,ROW())&amp;""," "," "))</f>
        <v/>
      </c>
      <c r="AG935">
        <f>IFERROR(--INDEX('Loans'!$L:$L,ROW()),0)</f>
        <v/>
      </c>
      <c r="AH935">
        <f>IF(ISNUMBER(INDEX('Loans'!$G:$G,ROW())),1,0)</f>
        <v/>
      </c>
    </row>
    <row r="936">
      <c r="A936">
        <f>TRIM(SUBSTITUTE(INDEX('Term investments'!$A:$A,ROW())&amp;""," "," "))</f>
        <v/>
      </c>
      <c r="B936">
        <f>TRIM(SUBSTITUTE(INDEX('Term investments'!$B:$B,ROW())&amp;""," "," "))</f>
        <v/>
      </c>
      <c r="C936">
        <f>TRIM(SUBSTITUTE(INDEX('Term investments'!$C:$C,ROW())&amp;""," "," "))</f>
        <v/>
      </c>
      <c r="D936">
        <f>IFERROR(--INDEX('Term investments'!$D:$D,ROW()),0)</f>
        <v/>
      </c>
      <c r="E936">
        <f>IFERROR(--INDEX('Term investments'!$E:$E,ROW()),0)</f>
        <v/>
      </c>
      <c r="F936">
        <f>IFERROR(--INDEX('Term investments'!$F:$F,ROW()),0)</f>
        <v/>
      </c>
      <c r="G936">
        <f>IFERROR(IF(--INDEX('Term investments'!$G:$G,ROW())&gt;=1,--INDEX('Term investments'!$G:$G,ROW())/100,--INDEX('Term investments'!$G:$G,ROW())),0)</f>
        <v/>
      </c>
      <c r="H936">
        <f>IFERROR(--INDEX('Term investments'!$H:$H,ROW()),0)</f>
        <v/>
      </c>
      <c r="I936">
        <f>IF(ISNUMBER(INDEX('Term investments'!$G:$G,ROW())),1,0)</f>
        <v/>
      </c>
      <c r="J936">
        <f>TRIM(SUBSTITUTE(INDEX('Call accounts and MMFs'!$A:$A,ROW())&amp;""," "," "))</f>
        <v/>
      </c>
      <c r="K936">
        <f>TRIM(SUBSTITUTE(INDEX('Call accounts and MMFs'!$B:$B,ROW())&amp;""," "," "))</f>
        <v/>
      </c>
      <c r="L936">
        <f>TRIM(SUBSTITUTE(INDEX('Call accounts and MMFs'!$C:$C,ROW())&amp;""," "," "))</f>
        <v/>
      </c>
      <c r="M936">
        <f>IFERROR(--INDEX('Call accounts and MMFs'!$D:$D,ROW()),0)</f>
        <v/>
      </c>
      <c r="N936">
        <f>IFERROR(IF(--INDEX('Call accounts and MMFs'!$E:$E,ROW())&gt;=1,--INDEX('Call accounts and MMFs'!$E:$E,ROW())/100,--INDEX('Call accounts and MMFs'!$E:$E,ROW())),0)</f>
        <v/>
      </c>
      <c r="O936">
        <f>IFERROR(--INDEX('Call accounts and MMFs'!$F:$F,ROW()),0)</f>
        <v/>
      </c>
      <c r="P936">
        <f>IF(ISNUMBER(INDEX('Call accounts and MMFs'!$E:$E,ROW())),1,0)</f>
        <v/>
      </c>
      <c r="Q936">
        <f>TRIM(SUBSTITUTE(INDEX('Pooled funds'!$B:$B,ROW())&amp;""," "," "))</f>
        <v/>
      </c>
      <c r="R936">
        <f>IFERROR(--INDEX('Pooled funds'!$C:$C,ROW()),0)</f>
        <v/>
      </c>
      <c r="S936">
        <f>IFERROR(--INDEX('Pooled funds'!$D:$D,ROW()),0)</f>
        <v/>
      </c>
      <c r="T936">
        <f>IFERROR(IF(--INDEX('Pooled funds'!$E:$E,ROW())&gt;=1,--INDEX('Pooled funds'!$E:$E,ROW())/100,--INDEX('Pooled funds'!$E:$E,ROW())),0)</f>
        <v/>
      </c>
      <c r="U936">
        <f>IF(ISNUMBER(INDEX('Pooled funds'!$E:$E,ROW())),1,0)</f>
        <v/>
      </c>
      <c r="V936">
        <f>TRIM(SUBSTITUTE(INDEX('Loans'!$A:$A,ROW())&amp;""," "," "))</f>
        <v/>
      </c>
      <c r="W936">
        <f>TRIM(SUBSTITUTE(INDEX('Loans'!$B:$B,ROW())&amp;""," "," "))</f>
        <v/>
      </c>
      <c r="X936">
        <f>TRIM(SUBSTITUTE(INDEX('Loans'!$C:$C,ROW())&amp;""," "," "))</f>
        <v/>
      </c>
      <c r="Y936">
        <f>IFERROR(--INDEX('Loans'!$D:$D,ROW()),0)</f>
        <v/>
      </c>
      <c r="Z936">
        <f>IFERROR(--INDEX('Loans'!$E:$E,ROW()),0)</f>
        <v/>
      </c>
      <c r="AA936">
        <f>IFERROR(--INDEX('Loans'!$F:$F,ROW()),0)</f>
        <v/>
      </c>
      <c r="AB936">
        <f>IFERROR(IF(--INDEX('Loans'!$G:$G,ROW())&gt;=1,--INDEX('Loans'!$G:$G,ROW())/100,--INDEX('Loans'!$G:$G,ROW())),0)</f>
        <v/>
      </c>
      <c r="AC936">
        <f>TRIM(SUBSTITUTE(INDEX('Loans'!$H:$H,ROW())&amp;""," "," "))</f>
        <v/>
      </c>
      <c r="AD936">
        <f>TRIM(SUBSTITUTE(INDEX('Loans'!$I:$I,ROW())&amp;""," "," "))</f>
        <v/>
      </c>
      <c r="AE936">
        <f>IFERROR(--INDEX('Loans'!$J:$J,ROW()),0)</f>
        <v/>
      </c>
      <c r="AF936">
        <f>TRIM(SUBSTITUTE(INDEX('Loans'!$K:$K,ROW())&amp;""," "," "))</f>
        <v/>
      </c>
      <c r="AG936">
        <f>IFERROR(--INDEX('Loans'!$L:$L,ROW()),0)</f>
        <v/>
      </c>
      <c r="AH936">
        <f>IF(ISNUMBER(INDEX('Loans'!$G:$G,ROW())),1,0)</f>
        <v/>
      </c>
    </row>
    <row r="937">
      <c r="A937">
        <f>TRIM(SUBSTITUTE(INDEX('Term investments'!$A:$A,ROW())&amp;""," "," "))</f>
        <v/>
      </c>
      <c r="B937">
        <f>TRIM(SUBSTITUTE(INDEX('Term investments'!$B:$B,ROW())&amp;""," "," "))</f>
        <v/>
      </c>
      <c r="C937">
        <f>TRIM(SUBSTITUTE(INDEX('Term investments'!$C:$C,ROW())&amp;""," "," "))</f>
        <v/>
      </c>
      <c r="D937">
        <f>IFERROR(--INDEX('Term investments'!$D:$D,ROW()),0)</f>
        <v/>
      </c>
      <c r="E937">
        <f>IFERROR(--INDEX('Term investments'!$E:$E,ROW()),0)</f>
        <v/>
      </c>
      <c r="F937">
        <f>IFERROR(--INDEX('Term investments'!$F:$F,ROW()),0)</f>
        <v/>
      </c>
      <c r="G937">
        <f>IFERROR(IF(--INDEX('Term investments'!$G:$G,ROW())&gt;=1,--INDEX('Term investments'!$G:$G,ROW())/100,--INDEX('Term investments'!$G:$G,ROW())),0)</f>
        <v/>
      </c>
      <c r="H937">
        <f>IFERROR(--INDEX('Term investments'!$H:$H,ROW()),0)</f>
        <v/>
      </c>
      <c r="I937">
        <f>IF(ISNUMBER(INDEX('Term investments'!$G:$G,ROW())),1,0)</f>
        <v/>
      </c>
      <c r="J937">
        <f>TRIM(SUBSTITUTE(INDEX('Call accounts and MMFs'!$A:$A,ROW())&amp;""," "," "))</f>
        <v/>
      </c>
      <c r="K937">
        <f>TRIM(SUBSTITUTE(INDEX('Call accounts and MMFs'!$B:$B,ROW())&amp;""," "," "))</f>
        <v/>
      </c>
      <c r="L937">
        <f>TRIM(SUBSTITUTE(INDEX('Call accounts and MMFs'!$C:$C,ROW())&amp;""," "," "))</f>
        <v/>
      </c>
      <c r="M937">
        <f>IFERROR(--INDEX('Call accounts and MMFs'!$D:$D,ROW()),0)</f>
        <v/>
      </c>
      <c r="N937">
        <f>IFERROR(IF(--INDEX('Call accounts and MMFs'!$E:$E,ROW())&gt;=1,--INDEX('Call accounts and MMFs'!$E:$E,ROW())/100,--INDEX('Call accounts and MMFs'!$E:$E,ROW())),0)</f>
        <v/>
      </c>
      <c r="O937">
        <f>IFERROR(--INDEX('Call accounts and MMFs'!$F:$F,ROW()),0)</f>
        <v/>
      </c>
      <c r="P937">
        <f>IF(ISNUMBER(INDEX('Call accounts and MMFs'!$E:$E,ROW())),1,0)</f>
        <v/>
      </c>
      <c r="Q937">
        <f>TRIM(SUBSTITUTE(INDEX('Pooled funds'!$B:$B,ROW())&amp;""," "," "))</f>
        <v/>
      </c>
      <c r="R937">
        <f>IFERROR(--INDEX('Pooled funds'!$C:$C,ROW()),0)</f>
        <v/>
      </c>
      <c r="S937">
        <f>IFERROR(--INDEX('Pooled funds'!$D:$D,ROW()),0)</f>
        <v/>
      </c>
      <c r="T937">
        <f>IFERROR(IF(--INDEX('Pooled funds'!$E:$E,ROW())&gt;=1,--INDEX('Pooled funds'!$E:$E,ROW())/100,--INDEX('Pooled funds'!$E:$E,ROW())),0)</f>
        <v/>
      </c>
      <c r="U937">
        <f>IF(ISNUMBER(INDEX('Pooled funds'!$E:$E,ROW())),1,0)</f>
        <v/>
      </c>
      <c r="V937">
        <f>TRIM(SUBSTITUTE(INDEX('Loans'!$A:$A,ROW())&amp;""," "," "))</f>
        <v/>
      </c>
      <c r="W937">
        <f>TRIM(SUBSTITUTE(INDEX('Loans'!$B:$B,ROW())&amp;""," "," "))</f>
        <v/>
      </c>
      <c r="X937">
        <f>TRIM(SUBSTITUTE(INDEX('Loans'!$C:$C,ROW())&amp;""," "," "))</f>
        <v/>
      </c>
      <c r="Y937">
        <f>IFERROR(--INDEX('Loans'!$D:$D,ROW()),0)</f>
        <v/>
      </c>
      <c r="Z937">
        <f>IFERROR(--INDEX('Loans'!$E:$E,ROW()),0)</f>
        <v/>
      </c>
      <c r="AA937">
        <f>IFERROR(--INDEX('Loans'!$F:$F,ROW()),0)</f>
        <v/>
      </c>
      <c r="AB937">
        <f>IFERROR(IF(--INDEX('Loans'!$G:$G,ROW())&gt;=1,--INDEX('Loans'!$G:$G,ROW())/100,--INDEX('Loans'!$G:$G,ROW())),0)</f>
        <v/>
      </c>
      <c r="AC937">
        <f>TRIM(SUBSTITUTE(INDEX('Loans'!$H:$H,ROW())&amp;""," "," "))</f>
        <v/>
      </c>
      <c r="AD937">
        <f>TRIM(SUBSTITUTE(INDEX('Loans'!$I:$I,ROW())&amp;""," "," "))</f>
        <v/>
      </c>
      <c r="AE937">
        <f>IFERROR(--INDEX('Loans'!$J:$J,ROW()),0)</f>
        <v/>
      </c>
      <c r="AF937">
        <f>TRIM(SUBSTITUTE(INDEX('Loans'!$K:$K,ROW())&amp;""," "," "))</f>
        <v/>
      </c>
      <c r="AG937">
        <f>IFERROR(--INDEX('Loans'!$L:$L,ROW()),0)</f>
        <v/>
      </c>
      <c r="AH937">
        <f>IF(ISNUMBER(INDEX('Loans'!$G:$G,ROW())),1,0)</f>
        <v/>
      </c>
    </row>
    <row r="938">
      <c r="A938">
        <f>TRIM(SUBSTITUTE(INDEX('Term investments'!$A:$A,ROW())&amp;""," "," "))</f>
        <v/>
      </c>
      <c r="B938">
        <f>TRIM(SUBSTITUTE(INDEX('Term investments'!$B:$B,ROW())&amp;""," "," "))</f>
        <v/>
      </c>
      <c r="C938">
        <f>TRIM(SUBSTITUTE(INDEX('Term investments'!$C:$C,ROW())&amp;""," "," "))</f>
        <v/>
      </c>
      <c r="D938">
        <f>IFERROR(--INDEX('Term investments'!$D:$D,ROW()),0)</f>
        <v/>
      </c>
      <c r="E938">
        <f>IFERROR(--INDEX('Term investments'!$E:$E,ROW()),0)</f>
        <v/>
      </c>
      <c r="F938">
        <f>IFERROR(--INDEX('Term investments'!$F:$F,ROW()),0)</f>
        <v/>
      </c>
      <c r="G938">
        <f>IFERROR(IF(--INDEX('Term investments'!$G:$G,ROW())&gt;=1,--INDEX('Term investments'!$G:$G,ROW())/100,--INDEX('Term investments'!$G:$G,ROW())),0)</f>
        <v/>
      </c>
      <c r="H938">
        <f>IFERROR(--INDEX('Term investments'!$H:$H,ROW()),0)</f>
        <v/>
      </c>
      <c r="I938">
        <f>IF(ISNUMBER(INDEX('Term investments'!$G:$G,ROW())),1,0)</f>
        <v/>
      </c>
      <c r="J938">
        <f>TRIM(SUBSTITUTE(INDEX('Call accounts and MMFs'!$A:$A,ROW())&amp;""," "," "))</f>
        <v/>
      </c>
      <c r="K938">
        <f>TRIM(SUBSTITUTE(INDEX('Call accounts and MMFs'!$B:$B,ROW())&amp;""," "," "))</f>
        <v/>
      </c>
      <c r="L938">
        <f>TRIM(SUBSTITUTE(INDEX('Call accounts and MMFs'!$C:$C,ROW())&amp;""," "," "))</f>
        <v/>
      </c>
      <c r="M938">
        <f>IFERROR(--INDEX('Call accounts and MMFs'!$D:$D,ROW()),0)</f>
        <v/>
      </c>
      <c r="N938">
        <f>IFERROR(IF(--INDEX('Call accounts and MMFs'!$E:$E,ROW())&gt;=1,--INDEX('Call accounts and MMFs'!$E:$E,ROW())/100,--INDEX('Call accounts and MMFs'!$E:$E,ROW())),0)</f>
        <v/>
      </c>
      <c r="O938">
        <f>IFERROR(--INDEX('Call accounts and MMFs'!$F:$F,ROW()),0)</f>
        <v/>
      </c>
      <c r="P938">
        <f>IF(ISNUMBER(INDEX('Call accounts and MMFs'!$E:$E,ROW())),1,0)</f>
        <v/>
      </c>
      <c r="Q938">
        <f>TRIM(SUBSTITUTE(INDEX('Pooled funds'!$B:$B,ROW())&amp;""," "," "))</f>
        <v/>
      </c>
      <c r="R938">
        <f>IFERROR(--INDEX('Pooled funds'!$C:$C,ROW()),0)</f>
        <v/>
      </c>
      <c r="S938">
        <f>IFERROR(--INDEX('Pooled funds'!$D:$D,ROW()),0)</f>
        <v/>
      </c>
      <c r="T938">
        <f>IFERROR(IF(--INDEX('Pooled funds'!$E:$E,ROW())&gt;=1,--INDEX('Pooled funds'!$E:$E,ROW())/100,--INDEX('Pooled funds'!$E:$E,ROW())),0)</f>
        <v/>
      </c>
      <c r="U938">
        <f>IF(ISNUMBER(INDEX('Pooled funds'!$E:$E,ROW())),1,0)</f>
        <v/>
      </c>
      <c r="V938">
        <f>TRIM(SUBSTITUTE(INDEX('Loans'!$A:$A,ROW())&amp;""," "," "))</f>
        <v/>
      </c>
      <c r="W938">
        <f>TRIM(SUBSTITUTE(INDEX('Loans'!$B:$B,ROW())&amp;""," "," "))</f>
        <v/>
      </c>
      <c r="X938">
        <f>TRIM(SUBSTITUTE(INDEX('Loans'!$C:$C,ROW())&amp;""," "," "))</f>
        <v/>
      </c>
      <c r="Y938">
        <f>IFERROR(--INDEX('Loans'!$D:$D,ROW()),0)</f>
        <v/>
      </c>
      <c r="Z938">
        <f>IFERROR(--INDEX('Loans'!$E:$E,ROW()),0)</f>
        <v/>
      </c>
      <c r="AA938">
        <f>IFERROR(--INDEX('Loans'!$F:$F,ROW()),0)</f>
        <v/>
      </c>
      <c r="AB938">
        <f>IFERROR(IF(--INDEX('Loans'!$G:$G,ROW())&gt;=1,--INDEX('Loans'!$G:$G,ROW())/100,--INDEX('Loans'!$G:$G,ROW())),0)</f>
        <v/>
      </c>
      <c r="AC938">
        <f>TRIM(SUBSTITUTE(INDEX('Loans'!$H:$H,ROW())&amp;""," "," "))</f>
        <v/>
      </c>
      <c r="AD938">
        <f>TRIM(SUBSTITUTE(INDEX('Loans'!$I:$I,ROW())&amp;""," "," "))</f>
        <v/>
      </c>
      <c r="AE938">
        <f>IFERROR(--INDEX('Loans'!$J:$J,ROW()),0)</f>
        <v/>
      </c>
      <c r="AF938">
        <f>TRIM(SUBSTITUTE(INDEX('Loans'!$K:$K,ROW())&amp;""," "," "))</f>
        <v/>
      </c>
      <c r="AG938">
        <f>IFERROR(--INDEX('Loans'!$L:$L,ROW()),0)</f>
        <v/>
      </c>
      <c r="AH938">
        <f>IF(ISNUMBER(INDEX('Loans'!$G:$G,ROW())),1,0)</f>
        <v/>
      </c>
    </row>
    <row r="939">
      <c r="A939">
        <f>TRIM(SUBSTITUTE(INDEX('Term investments'!$A:$A,ROW())&amp;""," "," "))</f>
        <v/>
      </c>
      <c r="B939">
        <f>TRIM(SUBSTITUTE(INDEX('Term investments'!$B:$B,ROW())&amp;""," "," "))</f>
        <v/>
      </c>
      <c r="C939">
        <f>TRIM(SUBSTITUTE(INDEX('Term investments'!$C:$C,ROW())&amp;""," "," "))</f>
        <v/>
      </c>
      <c r="D939">
        <f>IFERROR(--INDEX('Term investments'!$D:$D,ROW()),0)</f>
        <v/>
      </c>
      <c r="E939">
        <f>IFERROR(--INDEX('Term investments'!$E:$E,ROW()),0)</f>
        <v/>
      </c>
      <c r="F939">
        <f>IFERROR(--INDEX('Term investments'!$F:$F,ROW()),0)</f>
        <v/>
      </c>
      <c r="G939">
        <f>IFERROR(IF(--INDEX('Term investments'!$G:$G,ROW())&gt;=1,--INDEX('Term investments'!$G:$G,ROW())/100,--INDEX('Term investments'!$G:$G,ROW())),0)</f>
        <v/>
      </c>
      <c r="H939">
        <f>IFERROR(--INDEX('Term investments'!$H:$H,ROW()),0)</f>
        <v/>
      </c>
      <c r="I939">
        <f>IF(ISNUMBER(INDEX('Term investments'!$G:$G,ROW())),1,0)</f>
        <v/>
      </c>
      <c r="J939">
        <f>TRIM(SUBSTITUTE(INDEX('Call accounts and MMFs'!$A:$A,ROW())&amp;""," "," "))</f>
        <v/>
      </c>
      <c r="K939">
        <f>TRIM(SUBSTITUTE(INDEX('Call accounts and MMFs'!$B:$B,ROW())&amp;""," "," "))</f>
        <v/>
      </c>
      <c r="L939">
        <f>TRIM(SUBSTITUTE(INDEX('Call accounts and MMFs'!$C:$C,ROW())&amp;""," "," "))</f>
        <v/>
      </c>
      <c r="M939">
        <f>IFERROR(--INDEX('Call accounts and MMFs'!$D:$D,ROW()),0)</f>
        <v/>
      </c>
      <c r="N939">
        <f>IFERROR(IF(--INDEX('Call accounts and MMFs'!$E:$E,ROW())&gt;=1,--INDEX('Call accounts and MMFs'!$E:$E,ROW())/100,--INDEX('Call accounts and MMFs'!$E:$E,ROW())),0)</f>
        <v/>
      </c>
      <c r="O939">
        <f>IFERROR(--INDEX('Call accounts and MMFs'!$F:$F,ROW()),0)</f>
        <v/>
      </c>
      <c r="P939">
        <f>IF(ISNUMBER(INDEX('Call accounts and MMFs'!$E:$E,ROW())),1,0)</f>
        <v/>
      </c>
      <c r="Q939">
        <f>TRIM(SUBSTITUTE(INDEX('Pooled funds'!$B:$B,ROW())&amp;""," "," "))</f>
        <v/>
      </c>
      <c r="R939">
        <f>IFERROR(--INDEX('Pooled funds'!$C:$C,ROW()),0)</f>
        <v/>
      </c>
      <c r="S939">
        <f>IFERROR(--INDEX('Pooled funds'!$D:$D,ROW()),0)</f>
        <v/>
      </c>
      <c r="T939">
        <f>IFERROR(IF(--INDEX('Pooled funds'!$E:$E,ROW())&gt;=1,--INDEX('Pooled funds'!$E:$E,ROW())/100,--INDEX('Pooled funds'!$E:$E,ROW())),0)</f>
        <v/>
      </c>
      <c r="U939">
        <f>IF(ISNUMBER(INDEX('Pooled funds'!$E:$E,ROW())),1,0)</f>
        <v/>
      </c>
      <c r="V939">
        <f>TRIM(SUBSTITUTE(INDEX('Loans'!$A:$A,ROW())&amp;""," "," "))</f>
        <v/>
      </c>
      <c r="W939">
        <f>TRIM(SUBSTITUTE(INDEX('Loans'!$B:$B,ROW())&amp;""," "," "))</f>
        <v/>
      </c>
      <c r="X939">
        <f>TRIM(SUBSTITUTE(INDEX('Loans'!$C:$C,ROW())&amp;""," "," "))</f>
        <v/>
      </c>
      <c r="Y939">
        <f>IFERROR(--INDEX('Loans'!$D:$D,ROW()),0)</f>
        <v/>
      </c>
      <c r="Z939">
        <f>IFERROR(--INDEX('Loans'!$E:$E,ROW()),0)</f>
        <v/>
      </c>
      <c r="AA939">
        <f>IFERROR(--INDEX('Loans'!$F:$F,ROW()),0)</f>
        <v/>
      </c>
      <c r="AB939">
        <f>IFERROR(IF(--INDEX('Loans'!$G:$G,ROW())&gt;=1,--INDEX('Loans'!$G:$G,ROW())/100,--INDEX('Loans'!$G:$G,ROW())),0)</f>
        <v/>
      </c>
      <c r="AC939">
        <f>TRIM(SUBSTITUTE(INDEX('Loans'!$H:$H,ROW())&amp;""," "," "))</f>
        <v/>
      </c>
      <c r="AD939">
        <f>TRIM(SUBSTITUTE(INDEX('Loans'!$I:$I,ROW())&amp;""," "," "))</f>
        <v/>
      </c>
      <c r="AE939">
        <f>IFERROR(--INDEX('Loans'!$J:$J,ROW()),0)</f>
        <v/>
      </c>
      <c r="AF939">
        <f>TRIM(SUBSTITUTE(INDEX('Loans'!$K:$K,ROW())&amp;""," "," "))</f>
        <v/>
      </c>
      <c r="AG939">
        <f>IFERROR(--INDEX('Loans'!$L:$L,ROW()),0)</f>
        <v/>
      </c>
      <c r="AH939">
        <f>IF(ISNUMBER(INDEX('Loans'!$G:$G,ROW())),1,0)</f>
        <v/>
      </c>
    </row>
    <row r="940">
      <c r="A940">
        <f>TRIM(SUBSTITUTE(INDEX('Term investments'!$A:$A,ROW())&amp;""," "," "))</f>
        <v/>
      </c>
      <c r="B940">
        <f>TRIM(SUBSTITUTE(INDEX('Term investments'!$B:$B,ROW())&amp;""," "," "))</f>
        <v/>
      </c>
      <c r="C940">
        <f>TRIM(SUBSTITUTE(INDEX('Term investments'!$C:$C,ROW())&amp;""," "," "))</f>
        <v/>
      </c>
      <c r="D940">
        <f>IFERROR(--INDEX('Term investments'!$D:$D,ROW()),0)</f>
        <v/>
      </c>
      <c r="E940">
        <f>IFERROR(--INDEX('Term investments'!$E:$E,ROW()),0)</f>
        <v/>
      </c>
      <c r="F940">
        <f>IFERROR(--INDEX('Term investments'!$F:$F,ROW()),0)</f>
        <v/>
      </c>
      <c r="G940">
        <f>IFERROR(IF(--INDEX('Term investments'!$G:$G,ROW())&gt;=1,--INDEX('Term investments'!$G:$G,ROW())/100,--INDEX('Term investments'!$G:$G,ROW())),0)</f>
        <v/>
      </c>
      <c r="H940">
        <f>IFERROR(--INDEX('Term investments'!$H:$H,ROW()),0)</f>
        <v/>
      </c>
      <c r="I940">
        <f>IF(ISNUMBER(INDEX('Term investments'!$G:$G,ROW())),1,0)</f>
        <v/>
      </c>
      <c r="J940">
        <f>TRIM(SUBSTITUTE(INDEX('Call accounts and MMFs'!$A:$A,ROW())&amp;""," "," "))</f>
        <v/>
      </c>
      <c r="K940">
        <f>TRIM(SUBSTITUTE(INDEX('Call accounts and MMFs'!$B:$B,ROW())&amp;""," "," "))</f>
        <v/>
      </c>
      <c r="L940">
        <f>TRIM(SUBSTITUTE(INDEX('Call accounts and MMFs'!$C:$C,ROW())&amp;""," "," "))</f>
        <v/>
      </c>
      <c r="M940">
        <f>IFERROR(--INDEX('Call accounts and MMFs'!$D:$D,ROW()),0)</f>
        <v/>
      </c>
      <c r="N940">
        <f>IFERROR(IF(--INDEX('Call accounts and MMFs'!$E:$E,ROW())&gt;=1,--INDEX('Call accounts and MMFs'!$E:$E,ROW())/100,--INDEX('Call accounts and MMFs'!$E:$E,ROW())),0)</f>
        <v/>
      </c>
      <c r="O940">
        <f>IFERROR(--INDEX('Call accounts and MMFs'!$F:$F,ROW()),0)</f>
        <v/>
      </c>
      <c r="P940">
        <f>IF(ISNUMBER(INDEX('Call accounts and MMFs'!$E:$E,ROW())),1,0)</f>
        <v/>
      </c>
      <c r="Q940">
        <f>TRIM(SUBSTITUTE(INDEX('Pooled funds'!$B:$B,ROW())&amp;""," "," "))</f>
        <v/>
      </c>
      <c r="R940">
        <f>IFERROR(--INDEX('Pooled funds'!$C:$C,ROW()),0)</f>
        <v/>
      </c>
      <c r="S940">
        <f>IFERROR(--INDEX('Pooled funds'!$D:$D,ROW()),0)</f>
        <v/>
      </c>
      <c r="T940">
        <f>IFERROR(IF(--INDEX('Pooled funds'!$E:$E,ROW())&gt;=1,--INDEX('Pooled funds'!$E:$E,ROW())/100,--INDEX('Pooled funds'!$E:$E,ROW())),0)</f>
        <v/>
      </c>
      <c r="U940">
        <f>IF(ISNUMBER(INDEX('Pooled funds'!$E:$E,ROW())),1,0)</f>
        <v/>
      </c>
      <c r="V940">
        <f>TRIM(SUBSTITUTE(INDEX('Loans'!$A:$A,ROW())&amp;""," "," "))</f>
        <v/>
      </c>
      <c r="W940">
        <f>TRIM(SUBSTITUTE(INDEX('Loans'!$B:$B,ROW())&amp;""," "," "))</f>
        <v/>
      </c>
      <c r="X940">
        <f>TRIM(SUBSTITUTE(INDEX('Loans'!$C:$C,ROW())&amp;""," "," "))</f>
        <v/>
      </c>
      <c r="Y940">
        <f>IFERROR(--INDEX('Loans'!$D:$D,ROW()),0)</f>
        <v/>
      </c>
      <c r="Z940">
        <f>IFERROR(--INDEX('Loans'!$E:$E,ROW()),0)</f>
        <v/>
      </c>
      <c r="AA940">
        <f>IFERROR(--INDEX('Loans'!$F:$F,ROW()),0)</f>
        <v/>
      </c>
      <c r="AB940">
        <f>IFERROR(IF(--INDEX('Loans'!$G:$G,ROW())&gt;=1,--INDEX('Loans'!$G:$G,ROW())/100,--INDEX('Loans'!$G:$G,ROW())),0)</f>
        <v/>
      </c>
      <c r="AC940">
        <f>TRIM(SUBSTITUTE(INDEX('Loans'!$H:$H,ROW())&amp;""," "," "))</f>
        <v/>
      </c>
      <c r="AD940">
        <f>TRIM(SUBSTITUTE(INDEX('Loans'!$I:$I,ROW())&amp;""," "," "))</f>
        <v/>
      </c>
      <c r="AE940">
        <f>IFERROR(--INDEX('Loans'!$J:$J,ROW()),0)</f>
        <v/>
      </c>
      <c r="AF940">
        <f>TRIM(SUBSTITUTE(INDEX('Loans'!$K:$K,ROW())&amp;""," "," "))</f>
        <v/>
      </c>
      <c r="AG940">
        <f>IFERROR(--INDEX('Loans'!$L:$L,ROW()),0)</f>
        <v/>
      </c>
      <c r="AH940">
        <f>IF(ISNUMBER(INDEX('Loans'!$G:$G,ROW())),1,0)</f>
        <v/>
      </c>
    </row>
    <row r="941">
      <c r="A941">
        <f>TRIM(SUBSTITUTE(INDEX('Term investments'!$A:$A,ROW())&amp;""," "," "))</f>
        <v/>
      </c>
      <c r="B941">
        <f>TRIM(SUBSTITUTE(INDEX('Term investments'!$B:$B,ROW())&amp;""," "," "))</f>
        <v/>
      </c>
      <c r="C941">
        <f>TRIM(SUBSTITUTE(INDEX('Term investments'!$C:$C,ROW())&amp;""," "," "))</f>
        <v/>
      </c>
      <c r="D941">
        <f>IFERROR(--INDEX('Term investments'!$D:$D,ROW()),0)</f>
        <v/>
      </c>
      <c r="E941">
        <f>IFERROR(--INDEX('Term investments'!$E:$E,ROW()),0)</f>
        <v/>
      </c>
      <c r="F941">
        <f>IFERROR(--INDEX('Term investments'!$F:$F,ROW()),0)</f>
        <v/>
      </c>
      <c r="G941">
        <f>IFERROR(IF(--INDEX('Term investments'!$G:$G,ROW())&gt;=1,--INDEX('Term investments'!$G:$G,ROW())/100,--INDEX('Term investments'!$G:$G,ROW())),0)</f>
        <v/>
      </c>
      <c r="H941">
        <f>IFERROR(--INDEX('Term investments'!$H:$H,ROW()),0)</f>
        <v/>
      </c>
      <c r="I941">
        <f>IF(ISNUMBER(INDEX('Term investments'!$G:$G,ROW())),1,0)</f>
        <v/>
      </c>
      <c r="J941">
        <f>TRIM(SUBSTITUTE(INDEX('Call accounts and MMFs'!$A:$A,ROW())&amp;""," "," "))</f>
        <v/>
      </c>
      <c r="K941">
        <f>TRIM(SUBSTITUTE(INDEX('Call accounts and MMFs'!$B:$B,ROW())&amp;""," "," "))</f>
        <v/>
      </c>
      <c r="L941">
        <f>TRIM(SUBSTITUTE(INDEX('Call accounts and MMFs'!$C:$C,ROW())&amp;""," "," "))</f>
        <v/>
      </c>
      <c r="M941">
        <f>IFERROR(--INDEX('Call accounts and MMFs'!$D:$D,ROW()),0)</f>
        <v/>
      </c>
      <c r="N941">
        <f>IFERROR(IF(--INDEX('Call accounts and MMFs'!$E:$E,ROW())&gt;=1,--INDEX('Call accounts and MMFs'!$E:$E,ROW())/100,--INDEX('Call accounts and MMFs'!$E:$E,ROW())),0)</f>
        <v/>
      </c>
      <c r="O941">
        <f>IFERROR(--INDEX('Call accounts and MMFs'!$F:$F,ROW()),0)</f>
        <v/>
      </c>
      <c r="P941">
        <f>IF(ISNUMBER(INDEX('Call accounts and MMFs'!$E:$E,ROW())),1,0)</f>
        <v/>
      </c>
      <c r="Q941">
        <f>TRIM(SUBSTITUTE(INDEX('Pooled funds'!$B:$B,ROW())&amp;""," "," "))</f>
        <v/>
      </c>
      <c r="R941">
        <f>IFERROR(--INDEX('Pooled funds'!$C:$C,ROW()),0)</f>
        <v/>
      </c>
      <c r="S941">
        <f>IFERROR(--INDEX('Pooled funds'!$D:$D,ROW()),0)</f>
        <v/>
      </c>
      <c r="T941">
        <f>IFERROR(IF(--INDEX('Pooled funds'!$E:$E,ROW())&gt;=1,--INDEX('Pooled funds'!$E:$E,ROW())/100,--INDEX('Pooled funds'!$E:$E,ROW())),0)</f>
        <v/>
      </c>
      <c r="U941">
        <f>IF(ISNUMBER(INDEX('Pooled funds'!$E:$E,ROW())),1,0)</f>
        <v/>
      </c>
      <c r="V941">
        <f>TRIM(SUBSTITUTE(INDEX('Loans'!$A:$A,ROW())&amp;""," "," "))</f>
        <v/>
      </c>
      <c r="W941">
        <f>TRIM(SUBSTITUTE(INDEX('Loans'!$B:$B,ROW())&amp;""," "," "))</f>
        <v/>
      </c>
      <c r="X941">
        <f>TRIM(SUBSTITUTE(INDEX('Loans'!$C:$C,ROW())&amp;""," "," "))</f>
        <v/>
      </c>
      <c r="Y941">
        <f>IFERROR(--INDEX('Loans'!$D:$D,ROW()),0)</f>
        <v/>
      </c>
      <c r="Z941">
        <f>IFERROR(--INDEX('Loans'!$E:$E,ROW()),0)</f>
        <v/>
      </c>
      <c r="AA941">
        <f>IFERROR(--INDEX('Loans'!$F:$F,ROW()),0)</f>
        <v/>
      </c>
      <c r="AB941">
        <f>IFERROR(IF(--INDEX('Loans'!$G:$G,ROW())&gt;=1,--INDEX('Loans'!$G:$G,ROW())/100,--INDEX('Loans'!$G:$G,ROW())),0)</f>
        <v/>
      </c>
      <c r="AC941">
        <f>TRIM(SUBSTITUTE(INDEX('Loans'!$H:$H,ROW())&amp;""," "," "))</f>
        <v/>
      </c>
      <c r="AD941">
        <f>TRIM(SUBSTITUTE(INDEX('Loans'!$I:$I,ROW())&amp;""," "," "))</f>
        <v/>
      </c>
      <c r="AE941">
        <f>IFERROR(--INDEX('Loans'!$J:$J,ROW()),0)</f>
        <v/>
      </c>
      <c r="AF941">
        <f>TRIM(SUBSTITUTE(INDEX('Loans'!$K:$K,ROW())&amp;""," "," "))</f>
        <v/>
      </c>
      <c r="AG941">
        <f>IFERROR(--INDEX('Loans'!$L:$L,ROW()),0)</f>
        <v/>
      </c>
      <c r="AH941">
        <f>IF(ISNUMBER(INDEX('Loans'!$G:$G,ROW())),1,0)</f>
        <v/>
      </c>
    </row>
    <row r="942">
      <c r="A942">
        <f>TRIM(SUBSTITUTE(INDEX('Term investments'!$A:$A,ROW())&amp;""," "," "))</f>
        <v/>
      </c>
      <c r="B942">
        <f>TRIM(SUBSTITUTE(INDEX('Term investments'!$B:$B,ROW())&amp;""," "," "))</f>
        <v/>
      </c>
      <c r="C942">
        <f>TRIM(SUBSTITUTE(INDEX('Term investments'!$C:$C,ROW())&amp;""," "," "))</f>
        <v/>
      </c>
      <c r="D942">
        <f>IFERROR(--INDEX('Term investments'!$D:$D,ROW()),0)</f>
        <v/>
      </c>
      <c r="E942">
        <f>IFERROR(--INDEX('Term investments'!$E:$E,ROW()),0)</f>
        <v/>
      </c>
      <c r="F942">
        <f>IFERROR(--INDEX('Term investments'!$F:$F,ROW()),0)</f>
        <v/>
      </c>
      <c r="G942">
        <f>IFERROR(IF(--INDEX('Term investments'!$G:$G,ROW())&gt;=1,--INDEX('Term investments'!$G:$G,ROW())/100,--INDEX('Term investments'!$G:$G,ROW())),0)</f>
        <v/>
      </c>
      <c r="H942">
        <f>IFERROR(--INDEX('Term investments'!$H:$H,ROW()),0)</f>
        <v/>
      </c>
      <c r="I942">
        <f>IF(ISNUMBER(INDEX('Term investments'!$G:$G,ROW())),1,0)</f>
        <v/>
      </c>
      <c r="J942">
        <f>TRIM(SUBSTITUTE(INDEX('Call accounts and MMFs'!$A:$A,ROW())&amp;""," "," "))</f>
        <v/>
      </c>
      <c r="K942">
        <f>TRIM(SUBSTITUTE(INDEX('Call accounts and MMFs'!$B:$B,ROW())&amp;""," "," "))</f>
        <v/>
      </c>
      <c r="L942">
        <f>TRIM(SUBSTITUTE(INDEX('Call accounts and MMFs'!$C:$C,ROW())&amp;""," "," "))</f>
        <v/>
      </c>
      <c r="M942">
        <f>IFERROR(--INDEX('Call accounts and MMFs'!$D:$D,ROW()),0)</f>
        <v/>
      </c>
      <c r="N942">
        <f>IFERROR(IF(--INDEX('Call accounts and MMFs'!$E:$E,ROW())&gt;=1,--INDEX('Call accounts and MMFs'!$E:$E,ROW())/100,--INDEX('Call accounts and MMFs'!$E:$E,ROW())),0)</f>
        <v/>
      </c>
      <c r="O942">
        <f>IFERROR(--INDEX('Call accounts and MMFs'!$F:$F,ROW()),0)</f>
        <v/>
      </c>
      <c r="P942">
        <f>IF(ISNUMBER(INDEX('Call accounts and MMFs'!$E:$E,ROW())),1,0)</f>
        <v/>
      </c>
      <c r="Q942">
        <f>TRIM(SUBSTITUTE(INDEX('Pooled funds'!$B:$B,ROW())&amp;""," "," "))</f>
        <v/>
      </c>
      <c r="R942">
        <f>IFERROR(--INDEX('Pooled funds'!$C:$C,ROW()),0)</f>
        <v/>
      </c>
      <c r="S942">
        <f>IFERROR(--INDEX('Pooled funds'!$D:$D,ROW()),0)</f>
        <v/>
      </c>
      <c r="T942">
        <f>IFERROR(IF(--INDEX('Pooled funds'!$E:$E,ROW())&gt;=1,--INDEX('Pooled funds'!$E:$E,ROW())/100,--INDEX('Pooled funds'!$E:$E,ROW())),0)</f>
        <v/>
      </c>
      <c r="U942">
        <f>IF(ISNUMBER(INDEX('Pooled funds'!$E:$E,ROW())),1,0)</f>
        <v/>
      </c>
      <c r="V942">
        <f>TRIM(SUBSTITUTE(INDEX('Loans'!$A:$A,ROW())&amp;""," "," "))</f>
        <v/>
      </c>
      <c r="W942">
        <f>TRIM(SUBSTITUTE(INDEX('Loans'!$B:$B,ROW())&amp;""," "," "))</f>
        <v/>
      </c>
      <c r="X942">
        <f>TRIM(SUBSTITUTE(INDEX('Loans'!$C:$C,ROW())&amp;""," "," "))</f>
        <v/>
      </c>
      <c r="Y942">
        <f>IFERROR(--INDEX('Loans'!$D:$D,ROW()),0)</f>
        <v/>
      </c>
      <c r="Z942">
        <f>IFERROR(--INDEX('Loans'!$E:$E,ROW()),0)</f>
        <v/>
      </c>
      <c r="AA942">
        <f>IFERROR(--INDEX('Loans'!$F:$F,ROW()),0)</f>
        <v/>
      </c>
      <c r="AB942">
        <f>IFERROR(IF(--INDEX('Loans'!$G:$G,ROW())&gt;=1,--INDEX('Loans'!$G:$G,ROW())/100,--INDEX('Loans'!$G:$G,ROW())),0)</f>
        <v/>
      </c>
      <c r="AC942">
        <f>TRIM(SUBSTITUTE(INDEX('Loans'!$H:$H,ROW())&amp;""," "," "))</f>
        <v/>
      </c>
      <c r="AD942">
        <f>TRIM(SUBSTITUTE(INDEX('Loans'!$I:$I,ROW())&amp;""," "," "))</f>
        <v/>
      </c>
      <c r="AE942">
        <f>IFERROR(--INDEX('Loans'!$J:$J,ROW()),0)</f>
        <v/>
      </c>
      <c r="AF942">
        <f>TRIM(SUBSTITUTE(INDEX('Loans'!$K:$K,ROW())&amp;""," "," "))</f>
        <v/>
      </c>
      <c r="AG942">
        <f>IFERROR(--INDEX('Loans'!$L:$L,ROW()),0)</f>
        <v/>
      </c>
      <c r="AH942">
        <f>IF(ISNUMBER(INDEX('Loans'!$G:$G,ROW())),1,0)</f>
        <v/>
      </c>
    </row>
    <row r="943">
      <c r="A943">
        <f>TRIM(SUBSTITUTE(INDEX('Term investments'!$A:$A,ROW())&amp;""," "," "))</f>
        <v/>
      </c>
      <c r="B943">
        <f>TRIM(SUBSTITUTE(INDEX('Term investments'!$B:$B,ROW())&amp;""," "," "))</f>
        <v/>
      </c>
      <c r="C943">
        <f>TRIM(SUBSTITUTE(INDEX('Term investments'!$C:$C,ROW())&amp;""," "," "))</f>
        <v/>
      </c>
      <c r="D943">
        <f>IFERROR(--INDEX('Term investments'!$D:$D,ROW()),0)</f>
        <v/>
      </c>
      <c r="E943">
        <f>IFERROR(--INDEX('Term investments'!$E:$E,ROW()),0)</f>
        <v/>
      </c>
      <c r="F943">
        <f>IFERROR(--INDEX('Term investments'!$F:$F,ROW()),0)</f>
        <v/>
      </c>
      <c r="G943">
        <f>IFERROR(IF(--INDEX('Term investments'!$G:$G,ROW())&gt;=1,--INDEX('Term investments'!$G:$G,ROW())/100,--INDEX('Term investments'!$G:$G,ROW())),0)</f>
        <v/>
      </c>
      <c r="H943">
        <f>IFERROR(--INDEX('Term investments'!$H:$H,ROW()),0)</f>
        <v/>
      </c>
      <c r="I943">
        <f>IF(ISNUMBER(INDEX('Term investments'!$G:$G,ROW())),1,0)</f>
        <v/>
      </c>
      <c r="J943">
        <f>TRIM(SUBSTITUTE(INDEX('Call accounts and MMFs'!$A:$A,ROW())&amp;""," "," "))</f>
        <v/>
      </c>
      <c r="K943">
        <f>TRIM(SUBSTITUTE(INDEX('Call accounts and MMFs'!$B:$B,ROW())&amp;""," "," "))</f>
        <v/>
      </c>
      <c r="L943">
        <f>TRIM(SUBSTITUTE(INDEX('Call accounts and MMFs'!$C:$C,ROW())&amp;""," "," "))</f>
        <v/>
      </c>
      <c r="M943">
        <f>IFERROR(--INDEX('Call accounts and MMFs'!$D:$D,ROW()),0)</f>
        <v/>
      </c>
      <c r="N943">
        <f>IFERROR(IF(--INDEX('Call accounts and MMFs'!$E:$E,ROW())&gt;=1,--INDEX('Call accounts and MMFs'!$E:$E,ROW())/100,--INDEX('Call accounts and MMFs'!$E:$E,ROW())),0)</f>
        <v/>
      </c>
      <c r="O943">
        <f>IFERROR(--INDEX('Call accounts and MMFs'!$F:$F,ROW()),0)</f>
        <v/>
      </c>
      <c r="P943">
        <f>IF(ISNUMBER(INDEX('Call accounts and MMFs'!$E:$E,ROW())),1,0)</f>
        <v/>
      </c>
      <c r="Q943">
        <f>TRIM(SUBSTITUTE(INDEX('Pooled funds'!$B:$B,ROW())&amp;""," "," "))</f>
        <v/>
      </c>
      <c r="R943">
        <f>IFERROR(--INDEX('Pooled funds'!$C:$C,ROW()),0)</f>
        <v/>
      </c>
      <c r="S943">
        <f>IFERROR(--INDEX('Pooled funds'!$D:$D,ROW()),0)</f>
        <v/>
      </c>
      <c r="T943">
        <f>IFERROR(IF(--INDEX('Pooled funds'!$E:$E,ROW())&gt;=1,--INDEX('Pooled funds'!$E:$E,ROW())/100,--INDEX('Pooled funds'!$E:$E,ROW())),0)</f>
        <v/>
      </c>
      <c r="U943">
        <f>IF(ISNUMBER(INDEX('Pooled funds'!$E:$E,ROW())),1,0)</f>
        <v/>
      </c>
      <c r="V943">
        <f>TRIM(SUBSTITUTE(INDEX('Loans'!$A:$A,ROW())&amp;""," "," "))</f>
        <v/>
      </c>
      <c r="W943">
        <f>TRIM(SUBSTITUTE(INDEX('Loans'!$B:$B,ROW())&amp;""," "," "))</f>
        <v/>
      </c>
      <c r="X943">
        <f>TRIM(SUBSTITUTE(INDEX('Loans'!$C:$C,ROW())&amp;""," "," "))</f>
        <v/>
      </c>
      <c r="Y943">
        <f>IFERROR(--INDEX('Loans'!$D:$D,ROW()),0)</f>
        <v/>
      </c>
      <c r="Z943">
        <f>IFERROR(--INDEX('Loans'!$E:$E,ROW()),0)</f>
        <v/>
      </c>
      <c r="AA943">
        <f>IFERROR(--INDEX('Loans'!$F:$F,ROW()),0)</f>
        <v/>
      </c>
      <c r="AB943">
        <f>IFERROR(IF(--INDEX('Loans'!$G:$G,ROW())&gt;=1,--INDEX('Loans'!$G:$G,ROW())/100,--INDEX('Loans'!$G:$G,ROW())),0)</f>
        <v/>
      </c>
      <c r="AC943">
        <f>TRIM(SUBSTITUTE(INDEX('Loans'!$H:$H,ROW())&amp;""," "," "))</f>
        <v/>
      </c>
      <c r="AD943">
        <f>TRIM(SUBSTITUTE(INDEX('Loans'!$I:$I,ROW())&amp;""," "," "))</f>
        <v/>
      </c>
      <c r="AE943">
        <f>IFERROR(--INDEX('Loans'!$J:$J,ROW()),0)</f>
        <v/>
      </c>
      <c r="AF943">
        <f>TRIM(SUBSTITUTE(INDEX('Loans'!$K:$K,ROW())&amp;""," "," "))</f>
        <v/>
      </c>
      <c r="AG943">
        <f>IFERROR(--INDEX('Loans'!$L:$L,ROW()),0)</f>
        <v/>
      </c>
      <c r="AH943">
        <f>IF(ISNUMBER(INDEX('Loans'!$G:$G,ROW())),1,0)</f>
        <v/>
      </c>
    </row>
    <row r="944">
      <c r="A944">
        <f>TRIM(SUBSTITUTE(INDEX('Term investments'!$A:$A,ROW())&amp;""," "," "))</f>
        <v/>
      </c>
      <c r="B944">
        <f>TRIM(SUBSTITUTE(INDEX('Term investments'!$B:$B,ROW())&amp;""," "," "))</f>
        <v/>
      </c>
      <c r="C944">
        <f>TRIM(SUBSTITUTE(INDEX('Term investments'!$C:$C,ROW())&amp;""," "," "))</f>
        <v/>
      </c>
      <c r="D944">
        <f>IFERROR(--INDEX('Term investments'!$D:$D,ROW()),0)</f>
        <v/>
      </c>
      <c r="E944">
        <f>IFERROR(--INDEX('Term investments'!$E:$E,ROW()),0)</f>
        <v/>
      </c>
      <c r="F944">
        <f>IFERROR(--INDEX('Term investments'!$F:$F,ROW()),0)</f>
        <v/>
      </c>
      <c r="G944">
        <f>IFERROR(IF(--INDEX('Term investments'!$G:$G,ROW())&gt;=1,--INDEX('Term investments'!$G:$G,ROW())/100,--INDEX('Term investments'!$G:$G,ROW())),0)</f>
        <v/>
      </c>
      <c r="H944">
        <f>IFERROR(--INDEX('Term investments'!$H:$H,ROW()),0)</f>
        <v/>
      </c>
      <c r="I944">
        <f>IF(ISNUMBER(INDEX('Term investments'!$G:$G,ROW())),1,0)</f>
        <v/>
      </c>
      <c r="J944">
        <f>TRIM(SUBSTITUTE(INDEX('Call accounts and MMFs'!$A:$A,ROW())&amp;""," "," "))</f>
        <v/>
      </c>
      <c r="K944">
        <f>TRIM(SUBSTITUTE(INDEX('Call accounts and MMFs'!$B:$B,ROW())&amp;""," "," "))</f>
        <v/>
      </c>
      <c r="L944">
        <f>TRIM(SUBSTITUTE(INDEX('Call accounts and MMFs'!$C:$C,ROW())&amp;""," "," "))</f>
        <v/>
      </c>
      <c r="M944">
        <f>IFERROR(--INDEX('Call accounts and MMFs'!$D:$D,ROW()),0)</f>
        <v/>
      </c>
      <c r="N944">
        <f>IFERROR(IF(--INDEX('Call accounts and MMFs'!$E:$E,ROW())&gt;=1,--INDEX('Call accounts and MMFs'!$E:$E,ROW())/100,--INDEX('Call accounts and MMFs'!$E:$E,ROW())),0)</f>
        <v/>
      </c>
      <c r="O944">
        <f>IFERROR(--INDEX('Call accounts and MMFs'!$F:$F,ROW()),0)</f>
        <v/>
      </c>
      <c r="P944">
        <f>IF(ISNUMBER(INDEX('Call accounts and MMFs'!$E:$E,ROW())),1,0)</f>
        <v/>
      </c>
      <c r="Q944">
        <f>TRIM(SUBSTITUTE(INDEX('Pooled funds'!$B:$B,ROW())&amp;""," "," "))</f>
        <v/>
      </c>
      <c r="R944">
        <f>IFERROR(--INDEX('Pooled funds'!$C:$C,ROW()),0)</f>
        <v/>
      </c>
      <c r="S944">
        <f>IFERROR(--INDEX('Pooled funds'!$D:$D,ROW()),0)</f>
        <v/>
      </c>
      <c r="T944">
        <f>IFERROR(IF(--INDEX('Pooled funds'!$E:$E,ROW())&gt;=1,--INDEX('Pooled funds'!$E:$E,ROW())/100,--INDEX('Pooled funds'!$E:$E,ROW())),0)</f>
        <v/>
      </c>
      <c r="U944">
        <f>IF(ISNUMBER(INDEX('Pooled funds'!$E:$E,ROW())),1,0)</f>
        <v/>
      </c>
      <c r="V944">
        <f>TRIM(SUBSTITUTE(INDEX('Loans'!$A:$A,ROW())&amp;""," "," "))</f>
        <v/>
      </c>
      <c r="W944">
        <f>TRIM(SUBSTITUTE(INDEX('Loans'!$B:$B,ROW())&amp;""," "," "))</f>
        <v/>
      </c>
      <c r="X944">
        <f>TRIM(SUBSTITUTE(INDEX('Loans'!$C:$C,ROW())&amp;""," "," "))</f>
        <v/>
      </c>
      <c r="Y944">
        <f>IFERROR(--INDEX('Loans'!$D:$D,ROW()),0)</f>
        <v/>
      </c>
      <c r="Z944">
        <f>IFERROR(--INDEX('Loans'!$E:$E,ROW()),0)</f>
        <v/>
      </c>
      <c r="AA944">
        <f>IFERROR(--INDEX('Loans'!$F:$F,ROW()),0)</f>
        <v/>
      </c>
      <c r="AB944">
        <f>IFERROR(IF(--INDEX('Loans'!$G:$G,ROW())&gt;=1,--INDEX('Loans'!$G:$G,ROW())/100,--INDEX('Loans'!$G:$G,ROW())),0)</f>
        <v/>
      </c>
      <c r="AC944">
        <f>TRIM(SUBSTITUTE(INDEX('Loans'!$H:$H,ROW())&amp;""," "," "))</f>
        <v/>
      </c>
      <c r="AD944">
        <f>TRIM(SUBSTITUTE(INDEX('Loans'!$I:$I,ROW())&amp;""," "," "))</f>
        <v/>
      </c>
      <c r="AE944">
        <f>IFERROR(--INDEX('Loans'!$J:$J,ROW()),0)</f>
        <v/>
      </c>
      <c r="AF944">
        <f>TRIM(SUBSTITUTE(INDEX('Loans'!$K:$K,ROW())&amp;""," "," "))</f>
        <v/>
      </c>
      <c r="AG944">
        <f>IFERROR(--INDEX('Loans'!$L:$L,ROW()),0)</f>
        <v/>
      </c>
      <c r="AH944">
        <f>IF(ISNUMBER(INDEX('Loans'!$G:$G,ROW())),1,0)</f>
        <v/>
      </c>
    </row>
    <row r="945">
      <c r="A945">
        <f>TRIM(SUBSTITUTE(INDEX('Term investments'!$A:$A,ROW())&amp;""," "," "))</f>
        <v/>
      </c>
      <c r="B945">
        <f>TRIM(SUBSTITUTE(INDEX('Term investments'!$B:$B,ROW())&amp;""," "," "))</f>
        <v/>
      </c>
      <c r="C945">
        <f>TRIM(SUBSTITUTE(INDEX('Term investments'!$C:$C,ROW())&amp;""," "," "))</f>
        <v/>
      </c>
      <c r="D945">
        <f>IFERROR(--INDEX('Term investments'!$D:$D,ROW()),0)</f>
        <v/>
      </c>
      <c r="E945">
        <f>IFERROR(--INDEX('Term investments'!$E:$E,ROW()),0)</f>
        <v/>
      </c>
      <c r="F945">
        <f>IFERROR(--INDEX('Term investments'!$F:$F,ROW()),0)</f>
        <v/>
      </c>
      <c r="G945">
        <f>IFERROR(IF(--INDEX('Term investments'!$G:$G,ROW())&gt;=1,--INDEX('Term investments'!$G:$G,ROW())/100,--INDEX('Term investments'!$G:$G,ROW())),0)</f>
        <v/>
      </c>
      <c r="H945">
        <f>IFERROR(--INDEX('Term investments'!$H:$H,ROW()),0)</f>
        <v/>
      </c>
      <c r="I945">
        <f>IF(ISNUMBER(INDEX('Term investments'!$G:$G,ROW())),1,0)</f>
        <v/>
      </c>
      <c r="J945">
        <f>TRIM(SUBSTITUTE(INDEX('Call accounts and MMFs'!$A:$A,ROW())&amp;""," "," "))</f>
        <v/>
      </c>
      <c r="K945">
        <f>TRIM(SUBSTITUTE(INDEX('Call accounts and MMFs'!$B:$B,ROW())&amp;""," "," "))</f>
        <v/>
      </c>
      <c r="L945">
        <f>TRIM(SUBSTITUTE(INDEX('Call accounts and MMFs'!$C:$C,ROW())&amp;""," "," "))</f>
        <v/>
      </c>
      <c r="M945">
        <f>IFERROR(--INDEX('Call accounts and MMFs'!$D:$D,ROW()),0)</f>
        <v/>
      </c>
      <c r="N945">
        <f>IFERROR(IF(--INDEX('Call accounts and MMFs'!$E:$E,ROW())&gt;=1,--INDEX('Call accounts and MMFs'!$E:$E,ROW())/100,--INDEX('Call accounts and MMFs'!$E:$E,ROW())),0)</f>
        <v/>
      </c>
      <c r="O945">
        <f>IFERROR(--INDEX('Call accounts and MMFs'!$F:$F,ROW()),0)</f>
        <v/>
      </c>
      <c r="P945">
        <f>IF(ISNUMBER(INDEX('Call accounts and MMFs'!$E:$E,ROW())),1,0)</f>
        <v/>
      </c>
      <c r="Q945">
        <f>TRIM(SUBSTITUTE(INDEX('Pooled funds'!$B:$B,ROW())&amp;""," "," "))</f>
        <v/>
      </c>
      <c r="R945">
        <f>IFERROR(--INDEX('Pooled funds'!$C:$C,ROW()),0)</f>
        <v/>
      </c>
      <c r="S945">
        <f>IFERROR(--INDEX('Pooled funds'!$D:$D,ROW()),0)</f>
        <v/>
      </c>
      <c r="T945">
        <f>IFERROR(IF(--INDEX('Pooled funds'!$E:$E,ROW())&gt;=1,--INDEX('Pooled funds'!$E:$E,ROW())/100,--INDEX('Pooled funds'!$E:$E,ROW())),0)</f>
        <v/>
      </c>
      <c r="U945">
        <f>IF(ISNUMBER(INDEX('Pooled funds'!$E:$E,ROW())),1,0)</f>
        <v/>
      </c>
      <c r="V945">
        <f>TRIM(SUBSTITUTE(INDEX('Loans'!$A:$A,ROW())&amp;""," "," "))</f>
        <v/>
      </c>
      <c r="W945">
        <f>TRIM(SUBSTITUTE(INDEX('Loans'!$B:$B,ROW())&amp;""," "," "))</f>
        <v/>
      </c>
      <c r="X945">
        <f>TRIM(SUBSTITUTE(INDEX('Loans'!$C:$C,ROW())&amp;""," "," "))</f>
        <v/>
      </c>
      <c r="Y945">
        <f>IFERROR(--INDEX('Loans'!$D:$D,ROW()),0)</f>
        <v/>
      </c>
      <c r="Z945">
        <f>IFERROR(--INDEX('Loans'!$E:$E,ROW()),0)</f>
        <v/>
      </c>
      <c r="AA945">
        <f>IFERROR(--INDEX('Loans'!$F:$F,ROW()),0)</f>
        <v/>
      </c>
      <c r="AB945">
        <f>IFERROR(IF(--INDEX('Loans'!$G:$G,ROW())&gt;=1,--INDEX('Loans'!$G:$G,ROW())/100,--INDEX('Loans'!$G:$G,ROW())),0)</f>
        <v/>
      </c>
      <c r="AC945">
        <f>TRIM(SUBSTITUTE(INDEX('Loans'!$H:$H,ROW())&amp;""," "," "))</f>
        <v/>
      </c>
      <c r="AD945">
        <f>TRIM(SUBSTITUTE(INDEX('Loans'!$I:$I,ROW())&amp;""," "," "))</f>
        <v/>
      </c>
      <c r="AE945">
        <f>IFERROR(--INDEX('Loans'!$J:$J,ROW()),0)</f>
        <v/>
      </c>
      <c r="AF945">
        <f>TRIM(SUBSTITUTE(INDEX('Loans'!$K:$K,ROW())&amp;""," "," "))</f>
        <v/>
      </c>
      <c r="AG945">
        <f>IFERROR(--INDEX('Loans'!$L:$L,ROW()),0)</f>
        <v/>
      </c>
      <c r="AH945">
        <f>IF(ISNUMBER(INDEX('Loans'!$G:$G,ROW())),1,0)</f>
        <v/>
      </c>
    </row>
    <row r="946">
      <c r="A946">
        <f>TRIM(SUBSTITUTE(INDEX('Term investments'!$A:$A,ROW())&amp;""," "," "))</f>
        <v/>
      </c>
      <c r="B946">
        <f>TRIM(SUBSTITUTE(INDEX('Term investments'!$B:$B,ROW())&amp;""," "," "))</f>
        <v/>
      </c>
      <c r="C946">
        <f>TRIM(SUBSTITUTE(INDEX('Term investments'!$C:$C,ROW())&amp;""," "," "))</f>
        <v/>
      </c>
      <c r="D946">
        <f>IFERROR(--INDEX('Term investments'!$D:$D,ROW()),0)</f>
        <v/>
      </c>
      <c r="E946">
        <f>IFERROR(--INDEX('Term investments'!$E:$E,ROW()),0)</f>
        <v/>
      </c>
      <c r="F946">
        <f>IFERROR(--INDEX('Term investments'!$F:$F,ROW()),0)</f>
        <v/>
      </c>
      <c r="G946">
        <f>IFERROR(IF(--INDEX('Term investments'!$G:$G,ROW())&gt;=1,--INDEX('Term investments'!$G:$G,ROW())/100,--INDEX('Term investments'!$G:$G,ROW())),0)</f>
        <v/>
      </c>
      <c r="H946">
        <f>IFERROR(--INDEX('Term investments'!$H:$H,ROW()),0)</f>
        <v/>
      </c>
      <c r="I946">
        <f>IF(ISNUMBER(INDEX('Term investments'!$G:$G,ROW())),1,0)</f>
        <v/>
      </c>
      <c r="J946">
        <f>TRIM(SUBSTITUTE(INDEX('Call accounts and MMFs'!$A:$A,ROW())&amp;""," "," "))</f>
        <v/>
      </c>
      <c r="K946">
        <f>TRIM(SUBSTITUTE(INDEX('Call accounts and MMFs'!$B:$B,ROW())&amp;""," "," "))</f>
        <v/>
      </c>
      <c r="L946">
        <f>TRIM(SUBSTITUTE(INDEX('Call accounts and MMFs'!$C:$C,ROW())&amp;""," "," "))</f>
        <v/>
      </c>
      <c r="M946">
        <f>IFERROR(--INDEX('Call accounts and MMFs'!$D:$D,ROW()),0)</f>
        <v/>
      </c>
      <c r="N946">
        <f>IFERROR(IF(--INDEX('Call accounts and MMFs'!$E:$E,ROW())&gt;=1,--INDEX('Call accounts and MMFs'!$E:$E,ROW())/100,--INDEX('Call accounts and MMFs'!$E:$E,ROW())),0)</f>
        <v/>
      </c>
      <c r="O946">
        <f>IFERROR(--INDEX('Call accounts and MMFs'!$F:$F,ROW()),0)</f>
        <v/>
      </c>
      <c r="P946">
        <f>IF(ISNUMBER(INDEX('Call accounts and MMFs'!$E:$E,ROW())),1,0)</f>
        <v/>
      </c>
      <c r="Q946">
        <f>TRIM(SUBSTITUTE(INDEX('Pooled funds'!$B:$B,ROW())&amp;""," "," "))</f>
        <v/>
      </c>
      <c r="R946">
        <f>IFERROR(--INDEX('Pooled funds'!$C:$C,ROW()),0)</f>
        <v/>
      </c>
      <c r="S946">
        <f>IFERROR(--INDEX('Pooled funds'!$D:$D,ROW()),0)</f>
        <v/>
      </c>
      <c r="T946">
        <f>IFERROR(IF(--INDEX('Pooled funds'!$E:$E,ROW())&gt;=1,--INDEX('Pooled funds'!$E:$E,ROW())/100,--INDEX('Pooled funds'!$E:$E,ROW())),0)</f>
        <v/>
      </c>
      <c r="U946">
        <f>IF(ISNUMBER(INDEX('Pooled funds'!$E:$E,ROW())),1,0)</f>
        <v/>
      </c>
      <c r="V946">
        <f>TRIM(SUBSTITUTE(INDEX('Loans'!$A:$A,ROW())&amp;""," "," "))</f>
        <v/>
      </c>
      <c r="W946">
        <f>TRIM(SUBSTITUTE(INDEX('Loans'!$B:$B,ROW())&amp;""," "," "))</f>
        <v/>
      </c>
      <c r="X946">
        <f>TRIM(SUBSTITUTE(INDEX('Loans'!$C:$C,ROW())&amp;""," "," "))</f>
        <v/>
      </c>
      <c r="Y946">
        <f>IFERROR(--INDEX('Loans'!$D:$D,ROW()),0)</f>
        <v/>
      </c>
      <c r="Z946">
        <f>IFERROR(--INDEX('Loans'!$E:$E,ROW()),0)</f>
        <v/>
      </c>
      <c r="AA946">
        <f>IFERROR(--INDEX('Loans'!$F:$F,ROW()),0)</f>
        <v/>
      </c>
      <c r="AB946">
        <f>IFERROR(IF(--INDEX('Loans'!$G:$G,ROW())&gt;=1,--INDEX('Loans'!$G:$G,ROW())/100,--INDEX('Loans'!$G:$G,ROW())),0)</f>
        <v/>
      </c>
      <c r="AC946">
        <f>TRIM(SUBSTITUTE(INDEX('Loans'!$H:$H,ROW())&amp;""," "," "))</f>
        <v/>
      </c>
      <c r="AD946">
        <f>TRIM(SUBSTITUTE(INDEX('Loans'!$I:$I,ROW())&amp;""," "," "))</f>
        <v/>
      </c>
      <c r="AE946">
        <f>IFERROR(--INDEX('Loans'!$J:$J,ROW()),0)</f>
        <v/>
      </c>
      <c r="AF946">
        <f>TRIM(SUBSTITUTE(INDEX('Loans'!$K:$K,ROW())&amp;""," "," "))</f>
        <v/>
      </c>
      <c r="AG946">
        <f>IFERROR(--INDEX('Loans'!$L:$L,ROW()),0)</f>
        <v/>
      </c>
      <c r="AH946">
        <f>IF(ISNUMBER(INDEX('Loans'!$G:$G,ROW())),1,0)</f>
        <v/>
      </c>
    </row>
    <row r="947">
      <c r="A947">
        <f>TRIM(SUBSTITUTE(INDEX('Term investments'!$A:$A,ROW())&amp;""," "," "))</f>
        <v/>
      </c>
      <c r="B947">
        <f>TRIM(SUBSTITUTE(INDEX('Term investments'!$B:$B,ROW())&amp;""," "," "))</f>
        <v/>
      </c>
      <c r="C947">
        <f>TRIM(SUBSTITUTE(INDEX('Term investments'!$C:$C,ROW())&amp;""," "," "))</f>
        <v/>
      </c>
      <c r="D947">
        <f>IFERROR(--INDEX('Term investments'!$D:$D,ROW()),0)</f>
        <v/>
      </c>
      <c r="E947">
        <f>IFERROR(--INDEX('Term investments'!$E:$E,ROW()),0)</f>
        <v/>
      </c>
      <c r="F947">
        <f>IFERROR(--INDEX('Term investments'!$F:$F,ROW()),0)</f>
        <v/>
      </c>
      <c r="G947">
        <f>IFERROR(IF(--INDEX('Term investments'!$G:$G,ROW())&gt;=1,--INDEX('Term investments'!$G:$G,ROW())/100,--INDEX('Term investments'!$G:$G,ROW())),0)</f>
        <v/>
      </c>
      <c r="H947">
        <f>IFERROR(--INDEX('Term investments'!$H:$H,ROW()),0)</f>
        <v/>
      </c>
      <c r="I947">
        <f>IF(ISNUMBER(INDEX('Term investments'!$G:$G,ROW())),1,0)</f>
        <v/>
      </c>
      <c r="J947">
        <f>TRIM(SUBSTITUTE(INDEX('Call accounts and MMFs'!$A:$A,ROW())&amp;""," "," "))</f>
        <v/>
      </c>
      <c r="K947">
        <f>TRIM(SUBSTITUTE(INDEX('Call accounts and MMFs'!$B:$B,ROW())&amp;""," "," "))</f>
        <v/>
      </c>
      <c r="L947">
        <f>TRIM(SUBSTITUTE(INDEX('Call accounts and MMFs'!$C:$C,ROW())&amp;""," "," "))</f>
        <v/>
      </c>
      <c r="M947">
        <f>IFERROR(--INDEX('Call accounts and MMFs'!$D:$D,ROW()),0)</f>
        <v/>
      </c>
      <c r="N947">
        <f>IFERROR(IF(--INDEX('Call accounts and MMFs'!$E:$E,ROW())&gt;=1,--INDEX('Call accounts and MMFs'!$E:$E,ROW())/100,--INDEX('Call accounts and MMFs'!$E:$E,ROW())),0)</f>
        <v/>
      </c>
      <c r="O947">
        <f>IFERROR(--INDEX('Call accounts and MMFs'!$F:$F,ROW()),0)</f>
        <v/>
      </c>
      <c r="P947">
        <f>IF(ISNUMBER(INDEX('Call accounts and MMFs'!$E:$E,ROW())),1,0)</f>
        <v/>
      </c>
      <c r="Q947">
        <f>TRIM(SUBSTITUTE(INDEX('Pooled funds'!$B:$B,ROW())&amp;""," "," "))</f>
        <v/>
      </c>
      <c r="R947">
        <f>IFERROR(--INDEX('Pooled funds'!$C:$C,ROW()),0)</f>
        <v/>
      </c>
      <c r="S947">
        <f>IFERROR(--INDEX('Pooled funds'!$D:$D,ROW()),0)</f>
        <v/>
      </c>
      <c r="T947">
        <f>IFERROR(IF(--INDEX('Pooled funds'!$E:$E,ROW())&gt;=1,--INDEX('Pooled funds'!$E:$E,ROW())/100,--INDEX('Pooled funds'!$E:$E,ROW())),0)</f>
        <v/>
      </c>
      <c r="U947">
        <f>IF(ISNUMBER(INDEX('Pooled funds'!$E:$E,ROW())),1,0)</f>
        <v/>
      </c>
      <c r="V947">
        <f>TRIM(SUBSTITUTE(INDEX('Loans'!$A:$A,ROW())&amp;""," "," "))</f>
        <v/>
      </c>
      <c r="W947">
        <f>TRIM(SUBSTITUTE(INDEX('Loans'!$B:$B,ROW())&amp;""," "," "))</f>
        <v/>
      </c>
      <c r="X947">
        <f>TRIM(SUBSTITUTE(INDEX('Loans'!$C:$C,ROW())&amp;""," "," "))</f>
        <v/>
      </c>
      <c r="Y947">
        <f>IFERROR(--INDEX('Loans'!$D:$D,ROW()),0)</f>
        <v/>
      </c>
      <c r="Z947">
        <f>IFERROR(--INDEX('Loans'!$E:$E,ROW()),0)</f>
        <v/>
      </c>
      <c r="AA947">
        <f>IFERROR(--INDEX('Loans'!$F:$F,ROW()),0)</f>
        <v/>
      </c>
      <c r="AB947">
        <f>IFERROR(IF(--INDEX('Loans'!$G:$G,ROW())&gt;=1,--INDEX('Loans'!$G:$G,ROW())/100,--INDEX('Loans'!$G:$G,ROW())),0)</f>
        <v/>
      </c>
      <c r="AC947">
        <f>TRIM(SUBSTITUTE(INDEX('Loans'!$H:$H,ROW())&amp;""," "," "))</f>
        <v/>
      </c>
      <c r="AD947">
        <f>TRIM(SUBSTITUTE(INDEX('Loans'!$I:$I,ROW())&amp;""," "," "))</f>
        <v/>
      </c>
      <c r="AE947">
        <f>IFERROR(--INDEX('Loans'!$J:$J,ROW()),0)</f>
        <v/>
      </c>
      <c r="AF947">
        <f>TRIM(SUBSTITUTE(INDEX('Loans'!$K:$K,ROW())&amp;""," "," "))</f>
        <v/>
      </c>
      <c r="AG947">
        <f>IFERROR(--INDEX('Loans'!$L:$L,ROW()),0)</f>
        <v/>
      </c>
      <c r="AH947">
        <f>IF(ISNUMBER(INDEX('Loans'!$G:$G,ROW())),1,0)</f>
        <v/>
      </c>
    </row>
    <row r="948">
      <c r="A948">
        <f>TRIM(SUBSTITUTE(INDEX('Term investments'!$A:$A,ROW())&amp;""," "," "))</f>
        <v/>
      </c>
      <c r="B948">
        <f>TRIM(SUBSTITUTE(INDEX('Term investments'!$B:$B,ROW())&amp;""," "," "))</f>
        <v/>
      </c>
      <c r="C948">
        <f>TRIM(SUBSTITUTE(INDEX('Term investments'!$C:$C,ROW())&amp;""," "," "))</f>
        <v/>
      </c>
      <c r="D948">
        <f>IFERROR(--INDEX('Term investments'!$D:$D,ROW()),0)</f>
        <v/>
      </c>
      <c r="E948">
        <f>IFERROR(--INDEX('Term investments'!$E:$E,ROW()),0)</f>
        <v/>
      </c>
      <c r="F948">
        <f>IFERROR(--INDEX('Term investments'!$F:$F,ROW()),0)</f>
        <v/>
      </c>
      <c r="G948">
        <f>IFERROR(IF(--INDEX('Term investments'!$G:$G,ROW())&gt;=1,--INDEX('Term investments'!$G:$G,ROW())/100,--INDEX('Term investments'!$G:$G,ROW())),0)</f>
        <v/>
      </c>
      <c r="H948">
        <f>IFERROR(--INDEX('Term investments'!$H:$H,ROW()),0)</f>
        <v/>
      </c>
      <c r="I948">
        <f>IF(ISNUMBER(INDEX('Term investments'!$G:$G,ROW())),1,0)</f>
        <v/>
      </c>
      <c r="J948">
        <f>TRIM(SUBSTITUTE(INDEX('Call accounts and MMFs'!$A:$A,ROW())&amp;""," "," "))</f>
        <v/>
      </c>
      <c r="K948">
        <f>TRIM(SUBSTITUTE(INDEX('Call accounts and MMFs'!$B:$B,ROW())&amp;""," "," "))</f>
        <v/>
      </c>
      <c r="L948">
        <f>TRIM(SUBSTITUTE(INDEX('Call accounts and MMFs'!$C:$C,ROW())&amp;""," "," "))</f>
        <v/>
      </c>
      <c r="M948">
        <f>IFERROR(--INDEX('Call accounts and MMFs'!$D:$D,ROW()),0)</f>
        <v/>
      </c>
      <c r="N948">
        <f>IFERROR(IF(--INDEX('Call accounts and MMFs'!$E:$E,ROW())&gt;=1,--INDEX('Call accounts and MMFs'!$E:$E,ROW())/100,--INDEX('Call accounts and MMFs'!$E:$E,ROW())),0)</f>
        <v/>
      </c>
      <c r="O948">
        <f>IFERROR(--INDEX('Call accounts and MMFs'!$F:$F,ROW()),0)</f>
        <v/>
      </c>
      <c r="P948">
        <f>IF(ISNUMBER(INDEX('Call accounts and MMFs'!$E:$E,ROW())),1,0)</f>
        <v/>
      </c>
      <c r="Q948">
        <f>TRIM(SUBSTITUTE(INDEX('Pooled funds'!$B:$B,ROW())&amp;""," "," "))</f>
        <v/>
      </c>
      <c r="R948">
        <f>IFERROR(--INDEX('Pooled funds'!$C:$C,ROW()),0)</f>
        <v/>
      </c>
      <c r="S948">
        <f>IFERROR(--INDEX('Pooled funds'!$D:$D,ROW()),0)</f>
        <v/>
      </c>
      <c r="T948">
        <f>IFERROR(IF(--INDEX('Pooled funds'!$E:$E,ROW())&gt;=1,--INDEX('Pooled funds'!$E:$E,ROW())/100,--INDEX('Pooled funds'!$E:$E,ROW())),0)</f>
        <v/>
      </c>
      <c r="U948">
        <f>IF(ISNUMBER(INDEX('Pooled funds'!$E:$E,ROW())),1,0)</f>
        <v/>
      </c>
      <c r="V948">
        <f>TRIM(SUBSTITUTE(INDEX('Loans'!$A:$A,ROW())&amp;""," "," "))</f>
        <v/>
      </c>
      <c r="W948">
        <f>TRIM(SUBSTITUTE(INDEX('Loans'!$B:$B,ROW())&amp;""," "," "))</f>
        <v/>
      </c>
      <c r="X948">
        <f>TRIM(SUBSTITUTE(INDEX('Loans'!$C:$C,ROW())&amp;""," "," "))</f>
        <v/>
      </c>
      <c r="Y948">
        <f>IFERROR(--INDEX('Loans'!$D:$D,ROW()),0)</f>
        <v/>
      </c>
      <c r="Z948">
        <f>IFERROR(--INDEX('Loans'!$E:$E,ROW()),0)</f>
        <v/>
      </c>
      <c r="AA948">
        <f>IFERROR(--INDEX('Loans'!$F:$F,ROW()),0)</f>
        <v/>
      </c>
      <c r="AB948">
        <f>IFERROR(IF(--INDEX('Loans'!$G:$G,ROW())&gt;=1,--INDEX('Loans'!$G:$G,ROW())/100,--INDEX('Loans'!$G:$G,ROW())),0)</f>
        <v/>
      </c>
      <c r="AC948">
        <f>TRIM(SUBSTITUTE(INDEX('Loans'!$H:$H,ROW())&amp;""," "," "))</f>
        <v/>
      </c>
      <c r="AD948">
        <f>TRIM(SUBSTITUTE(INDEX('Loans'!$I:$I,ROW())&amp;""," "," "))</f>
        <v/>
      </c>
      <c r="AE948">
        <f>IFERROR(--INDEX('Loans'!$J:$J,ROW()),0)</f>
        <v/>
      </c>
      <c r="AF948">
        <f>TRIM(SUBSTITUTE(INDEX('Loans'!$K:$K,ROW())&amp;""," "," "))</f>
        <v/>
      </c>
      <c r="AG948">
        <f>IFERROR(--INDEX('Loans'!$L:$L,ROW()),0)</f>
        <v/>
      </c>
      <c r="AH948">
        <f>IF(ISNUMBER(INDEX('Loans'!$G:$G,ROW())),1,0)</f>
        <v/>
      </c>
    </row>
    <row r="949">
      <c r="A949">
        <f>TRIM(SUBSTITUTE(INDEX('Term investments'!$A:$A,ROW())&amp;""," "," "))</f>
        <v/>
      </c>
      <c r="B949">
        <f>TRIM(SUBSTITUTE(INDEX('Term investments'!$B:$B,ROW())&amp;""," "," "))</f>
        <v/>
      </c>
      <c r="C949">
        <f>TRIM(SUBSTITUTE(INDEX('Term investments'!$C:$C,ROW())&amp;""," "," "))</f>
        <v/>
      </c>
      <c r="D949">
        <f>IFERROR(--INDEX('Term investments'!$D:$D,ROW()),0)</f>
        <v/>
      </c>
      <c r="E949">
        <f>IFERROR(--INDEX('Term investments'!$E:$E,ROW()),0)</f>
        <v/>
      </c>
      <c r="F949">
        <f>IFERROR(--INDEX('Term investments'!$F:$F,ROW()),0)</f>
        <v/>
      </c>
      <c r="G949">
        <f>IFERROR(IF(--INDEX('Term investments'!$G:$G,ROW())&gt;=1,--INDEX('Term investments'!$G:$G,ROW())/100,--INDEX('Term investments'!$G:$G,ROW())),0)</f>
        <v/>
      </c>
      <c r="H949">
        <f>IFERROR(--INDEX('Term investments'!$H:$H,ROW()),0)</f>
        <v/>
      </c>
      <c r="I949">
        <f>IF(ISNUMBER(INDEX('Term investments'!$G:$G,ROW())),1,0)</f>
        <v/>
      </c>
      <c r="J949">
        <f>TRIM(SUBSTITUTE(INDEX('Call accounts and MMFs'!$A:$A,ROW())&amp;""," "," "))</f>
        <v/>
      </c>
      <c r="K949">
        <f>TRIM(SUBSTITUTE(INDEX('Call accounts and MMFs'!$B:$B,ROW())&amp;""," "," "))</f>
        <v/>
      </c>
      <c r="L949">
        <f>TRIM(SUBSTITUTE(INDEX('Call accounts and MMFs'!$C:$C,ROW())&amp;""," "," "))</f>
        <v/>
      </c>
      <c r="M949">
        <f>IFERROR(--INDEX('Call accounts and MMFs'!$D:$D,ROW()),0)</f>
        <v/>
      </c>
      <c r="N949">
        <f>IFERROR(IF(--INDEX('Call accounts and MMFs'!$E:$E,ROW())&gt;=1,--INDEX('Call accounts and MMFs'!$E:$E,ROW())/100,--INDEX('Call accounts and MMFs'!$E:$E,ROW())),0)</f>
        <v/>
      </c>
      <c r="O949">
        <f>IFERROR(--INDEX('Call accounts and MMFs'!$F:$F,ROW()),0)</f>
        <v/>
      </c>
      <c r="P949">
        <f>IF(ISNUMBER(INDEX('Call accounts and MMFs'!$E:$E,ROW())),1,0)</f>
        <v/>
      </c>
      <c r="Q949">
        <f>TRIM(SUBSTITUTE(INDEX('Pooled funds'!$B:$B,ROW())&amp;""," "," "))</f>
        <v/>
      </c>
      <c r="R949">
        <f>IFERROR(--INDEX('Pooled funds'!$C:$C,ROW()),0)</f>
        <v/>
      </c>
      <c r="S949">
        <f>IFERROR(--INDEX('Pooled funds'!$D:$D,ROW()),0)</f>
        <v/>
      </c>
      <c r="T949">
        <f>IFERROR(IF(--INDEX('Pooled funds'!$E:$E,ROW())&gt;=1,--INDEX('Pooled funds'!$E:$E,ROW())/100,--INDEX('Pooled funds'!$E:$E,ROW())),0)</f>
        <v/>
      </c>
      <c r="U949">
        <f>IF(ISNUMBER(INDEX('Pooled funds'!$E:$E,ROW())),1,0)</f>
        <v/>
      </c>
      <c r="V949">
        <f>TRIM(SUBSTITUTE(INDEX('Loans'!$A:$A,ROW())&amp;""," "," "))</f>
        <v/>
      </c>
      <c r="W949">
        <f>TRIM(SUBSTITUTE(INDEX('Loans'!$B:$B,ROW())&amp;""," "," "))</f>
        <v/>
      </c>
      <c r="X949">
        <f>TRIM(SUBSTITUTE(INDEX('Loans'!$C:$C,ROW())&amp;""," "," "))</f>
        <v/>
      </c>
      <c r="Y949">
        <f>IFERROR(--INDEX('Loans'!$D:$D,ROW()),0)</f>
        <v/>
      </c>
      <c r="Z949">
        <f>IFERROR(--INDEX('Loans'!$E:$E,ROW()),0)</f>
        <v/>
      </c>
      <c r="AA949">
        <f>IFERROR(--INDEX('Loans'!$F:$F,ROW()),0)</f>
        <v/>
      </c>
      <c r="AB949">
        <f>IFERROR(IF(--INDEX('Loans'!$G:$G,ROW())&gt;=1,--INDEX('Loans'!$G:$G,ROW())/100,--INDEX('Loans'!$G:$G,ROW())),0)</f>
        <v/>
      </c>
      <c r="AC949">
        <f>TRIM(SUBSTITUTE(INDEX('Loans'!$H:$H,ROW())&amp;""," "," "))</f>
        <v/>
      </c>
      <c r="AD949">
        <f>TRIM(SUBSTITUTE(INDEX('Loans'!$I:$I,ROW())&amp;""," "," "))</f>
        <v/>
      </c>
      <c r="AE949">
        <f>IFERROR(--INDEX('Loans'!$J:$J,ROW()),0)</f>
        <v/>
      </c>
      <c r="AF949">
        <f>TRIM(SUBSTITUTE(INDEX('Loans'!$K:$K,ROW())&amp;""," "," "))</f>
        <v/>
      </c>
      <c r="AG949">
        <f>IFERROR(--INDEX('Loans'!$L:$L,ROW()),0)</f>
        <v/>
      </c>
      <c r="AH949">
        <f>IF(ISNUMBER(INDEX('Loans'!$G:$G,ROW())),1,0)</f>
        <v/>
      </c>
    </row>
    <row r="950">
      <c r="A950">
        <f>TRIM(SUBSTITUTE(INDEX('Term investments'!$A:$A,ROW())&amp;""," "," "))</f>
        <v/>
      </c>
      <c r="B950">
        <f>TRIM(SUBSTITUTE(INDEX('Term investments'!$B:$B,ROW())&amp;""," "," "))</f>
        <v/>
      </c>
      <c r="C950">
        <f>TRIM(SUBSTITUTE(INDEX('Term investments'!$C:$C,ROW())&amp;""," "," "))</f>
        <v/>
      </c>
      <c r="D950">
        <f>IFERROR(--INDEX('Term investments'!$D:$D,ROW()),0)</f>
        <v/>
      </c>
      <c r="E950">
        <f>IFERROR(--INDEX('Term investments'!$E:$E,ROW()),0)</f>
        <v/>
      </c>
      <c r="F950">
        <f>IFERROR(--INDEX('Term investments'!$F:$F,ROW()),0)</f>
        <v/>
      </c>
      <c r="G950">
        <f>IFERROR(IF(--INDEX('Term investments'!$G:$G,ROW())&gt;=1,--INDEX('Term investments'!$G:$G,ROW())/100,--INDEX('Term investments'!$G:$G,ROW())),0)</f>
        <v/>
      </c>
      <c r="H950">
        <f>IFERROR(--INDEX('Term investments'!$H:$H,ROW()),0)</f>
        <v/>
      </c>
      <c r="I950">
        <f>IF(ISNUMBER(INDEX('Term investments'!$G:$G,ROW())),1,0)</f>
        <v/>
      </c>
      <c r="J950">
        <f>TRIM(SUBSTITUTE(INDEX('Call accounts and MMFs'!$A:$A,ROW())&amp;""," "," "))</f>
        <v/>
      </c>
      <c r="K950">
        <f>TRIM(SUBSTITUTE(INDEX('Call accounts and MMFs'!$B:$B,ROW())&amp;""," "," "))</f>
        <v/>
      </c>
      <c r="L950">
        <f>TRIM(SUBSTITUTE(INDEX('Call accounts and MMFs'!$C:$C,ROW())&amp;""," "," "))</f>
        <v/>
      </c>
      <c r="M950">
        <f>IFERROR(--INDEX('Call accounts and MMFs'!$D:$D,ROW()),0)</f>
        <v/>
      </c>
      <c r="N950">
        <f>IFERROR(IF(--INDEX('Call accounts and MMFs'!$E:$E,ROW())&gt;=1,--INDEX('Call accounts and MMFs'!$E:$E,ROW())/100,--INDEX('Call accounts and MMFs'!$E:$E,ROW())),0)</f>
        <v/>
      </c>
      <c r="O950">
        <f>IFERROR(--INDEX('Call accounts and MMFs'!$F:$F,ROW()),0)</f>
        <v/>
      </c>
      <c r="P950">
        <f>IF(ISNUMBER(INDEX('Call accounts and MMFs'!$E:$E,ROW())),1,0)</f>
        <v/>
      </c>
      <c r="Q950">
        <f>TRIM(SUBSTITUTE(INDEX('Pooled funds'!$B:$B,ROW())&amp;""," "," "))</f>
        <v/>
      </c>
      <c r="R950">
        <f>IFERROR(--INDEX('Pooled funds'!$C:$C,ROW()),0)</f>
        <v/>
      </c>
      <c r="S950">
        <f>IFERROR(--INDEX('Pooled funds'!$D:$D,ROW()),0)</f>
        <v/>
      </c>
      <c r="T950">
        <f>IFERROR(IF(--INDEX('Pooled funds'!$E:$E,ROW())&gt;=1,--INDEX('Pooled funds'!$E:$E,ROW())/100,--INDEX('Pooled funds'!$E:$E,ROW())),0)</f>
        <v/>
      </c>
      <c r="U950">
        <f>IF(ISNUMBER(INDEX('Pooled funds'!$E:$E,ROW())),1,0)</f>
        <v/>
      </c>
      <c r="V950">
        <f>TRIM(SUBSTITUTE(INDEX('Loans'!$A:$A,ROW())&amp;""," "," "))</f>
        <v/>
      </c>
      <c r="W950">
        <f>TRIM(SUBSTITUTE(INDEX('Loans'!$B:$B,ROW())&amp;""," "," "))</f>
        <v/>
      </c>
      <c r="X950">
        <f>TRIM(SUBSTITUTE(INDEX('Loans'!$C:$C,ROW())&amp;""," "," "))</f>
        <v/>
      </c>
      <c r="Y950">
        <f>IFERROR(--INDEX('Loans'!$D:$D,ROW()),0)</f>
        <v/>
      </c>
      <c r="Z950">
        <f>IFERROR(--INDEX('Loans'!$E:$E,ROW()),0)</f>
        <v/>
      </c>
      <c r="AA950">
        <f>IFERROR(--INDEX('Loans'!$F:$F,ROW()),0)</f>
        <v/>
      </c>
      <c r="AB950">
        <f>IFERROR(IF(--INDEX('Loans'!$G:$G,ROW())&gt;=1,--INDEX('Loans'!$G:$G,ROW())/100,--INDEX('Loans'!$G:$G,ROW())),0)</f>
        <v/>
      </c>
      <c r="AC950">
        <f>TRIM(SUBSTITUTE(INDEX('Loans'!$H:$H,ROW())&amp;""," "," "))</f>
        <v/>
      </c>
      <c r="AD950">
        <f>TRIM(SUBSTITUTE(INDEX('Loans'!$I:$I,ROW())&amp;""," "," "))</f>
        <v/>
      </c>
      <c r="AE950">
        <f>IFERROR(--INDEX('Loans'!$J:$J,ROW()),0)</f>
        <v/>
      </c>
      <c r="AF950">
        <f>TRIM(SUBSTITUTE(INDEX('Loans'!$K:$K,ROW())&amp;""," "," "))</f>
        <v/>
      </c>
      <c r="AG950">
        <f>IFERROR(--INDEX('Loans'!$L:$L,ROW()),0)</f>
        <v/>
      </c>
      <c r="AH950">
        <f>IF(ISNUMBER(INDEX('Loans'!$G:$G,ROW())),1,0)</f>
        <v/>
      </c>
    </row>
    <row r="951">
      <c r="A951">
        <f>TRIM(SUBSTITUTE(INDEX('Term investments'!$A:$A,ROW())&amp;""," "," "))</f>
        <v/>
      </c>
      <c r="B951">
        <f>TRIM(SUBSTITUTE(INDEX('Term investments'!$B:$B,ROW())&amp;""," "," "))</f>
        <v/>
      </c>
      <c r="C951">
        <f>TRIM(SUBSTITUTE(INDEX('Term investments'!$C:$C,ROW())&amp;""," "," "))</f>
        <v/>
      </c>
      <c r="D951">
        <f>IFERROR(--INDEX('Term investments'!$D:$D,ROW()),0)</f>
        <v/>
      </c>
      <c r="E951">
        <f>IFERROR(--INDEX('Term investments'!$E:$E,ROW()),0)</f>
        <v/>
      </c>
      <c r="F951">
        <f>IFERROR(--INDEX('Term investments'!$F:$F,ROW()),0)</f>
        <v/>
      </c>
      <c r="G951">
        <f>IFERROR(IF(--INDEX('Term investments'!$G:$G,ROW())&gt;=1,--INDEX('Term investments'!$G:$G,ROW())/100,--INDEX('Term investments'!$G:$G,ROW())),0)</f>
        <v/>
      </c>
      <c r="H951">
        <f>IFERROR(--INDEX('Term investments'!$H:$H,ROW()),0)</f>
        <v/>
      </c>
      <c r="I951">
        <f>IF(ISNUMBER(INDEX('Term investments'!$G:$G,ROW())),1,0)</f>
        <v/>
      </c>
      <c r="J951">
        <f>TRIM(SUBSTITUTE(INDEX('Call accounts and MMFs'!$A:$A,ROW())&amp;""," "," "))</f>
        <v/>
      </c>
      <c r="K951">
        <f>TRIM(SUBSTITUTE(INDEX('Call accounts and MMFs'!$B:$B,ROW())&amp;""," "," "))</f>
        <v/>
      </c>
      <c r="L951">
        <f>TRIM(SUBSTITUTE(INDEX('Call accounts and MMFs'!$C:$C,ROW())&amp;""," "," "))</f>
        <v/>
      </c>
      <c r="M951">
        <f>IFERROR(--INDEX('Call accounts and MMFs'!$D:$D,ROW()),0)</f>
        <v/>
      </c>
      <c r="N951">
        <f>IFERROR(IF(--INDEX('Call accounts and MMFs'!$E:$E,ROW())&gt;=1,--INDEX('Call accounts and MMFs'!$E:$E,ROW())/100,--INDEX('Call accounts and MMFs'!$E:$E,ROW())),0)</f>
        <v/>
      </c>
      <c r="O951">
        <f>IFERROR(--INDEX('Call accounts and MMFs'!$F:$F,ROW()),0)</f>
        <v/>
      </c>
      <c r="P951">
        <f>IF(ISNUMBER(INDEX('Call accounts and MMFs'!$E:$E,ROW())),1,0)</f>
        <v/>
      </c>
      <c r="Q951">
        <f>TRIM(SUBSTITUTE(INDEX('Pooled funds'!$B:$B,ROW())&amp;""," "," "))</f>
        <v/>
      </c>
      <c r="R951">
        <f>IFERROR(--INDEX('Pooled funds'!$C:$C,ROW()),0)</f>
        <v/>
      </c>
      <c r="S951">
        <f>IFERROR(--INDEX('Pooled funds'!$D:$D,ROW()),0)</f>
        <v/>
      </c>
      <c r="T951">
        <f>IFERROR(IF(--INDEX('Pooled funds'!$E:$E,ROW())&gt;=1,--INDEX('Pooled funds'!$E:$E,ROW())/100,--INDEX('Pooled funds'!$E:$E,ROW())),0)</f>
        <v/>
      </c>
      <c r="U951">
        <f>IF(ISNUMBER(INDEX('Pooled funds'!$E:$E,ROW())),1,0)</f>
        <v/>
      </c>
      <c r="V951">
        <f>TRIM(SUBSTITUTE(INDEX('Loans'!$A:$A,ROW())&amp;""," "," "))</f>
        <v/>
      </c>
      <c r="W951">
        <f>TRIM(SUBSTITUTE(INDEX('Loans'!$B:$B,ROW())&amp;""," "," "))</f>
        <v/>
      </c>
      <c r="X951">
        <f>TRIM(SUBSTITUTE(INDEX('Loans'!$C:$C,ROW())&amp;""," "," "))</f>
        <v/>
      </c>
      <c r="Y951">
        <f>IFERROR(--INDEX('Loans'!$D:$D,ROW()),0)</f>
        <v/>
      </c>
      <c r="Z951">
        <f>IFERROR(--INDEX('Loans'!$E:$E,ROW()),0)</f>
        <v/>
      </c>
      <c r="AA951">
        <f>IFERROR(--INDEX('Loans'!$F:$F,ROW()),0)</f>
        <v/>
      </c>
      <c r="AB951">
        <f>IFERROR(IF(--INDEX('Loans'!$G:$G,ROW())&gt;=1,--INDEX('Loans'!$G:$G,ROW())/100,--INDEX('Loans'!$G:$G,ROW())),0)</f>
        <v/>
      </c>
      <c r="AC951">
        <f>TRIM(SUBSTITUTE(INDEX('Loans'!$H:$H,ROW())&amp;""," "," "))</f>
        <v/>
      </c>
      <c r="AD951">
        <f>TRIM(SUBSTITUTE(INDEX('Loans'!$I:$I,ROW())&amp;""," "," "))</f>
        <v/>
      </c>
      <c r="AE951">
        <f>IFERROR(--INDEX('Loans'!$J:$J,ROW()),0)</f>
        <v/>
      </c>
      <c r="AF951">
        <f>TRIM(SUBSTITUTE(INDEX('Loans'!$K:$K,ROW())&amp;""," "," "))</f>
        <v/>
      </c>
      <c r="AG951">
        <f>IFERROR(--INDEX('Loans'!$L:$L,ROW()),0)</f>
        <v/>
      </c>
      <c r="AH951">
        <f>IF(ISNUMBER(INDEX('Loans'!$G:$G,ROW())),1,0)</f>
        <v/>
      </c>
    </row>
    <row r="952">
      <c r="A952">
        <f>TRIM(SUBSTITUTE(INDEX('Term investments'!$A:$A,ROW())&amp;""," "," "))</f>
        <v/>
      </c>
      <c r="B952">
        <f>TRIM(SUBSTITUTE(INDEX('Term investments'!$B:$B,ROW())&amp;""," "," "))</f>
        <v/>
      </c>
      <c r="C952">
        <f>TRIM(SUBSTITUTE(INDEX('Term investments'!$C:$C,ROW())&amp;""," "," "))</f>
        <v/>
      </c>
      <c r="D952">
        <f>IFERROR(--INDEX('Term investments'!$D:$D,ROW()),0)</f>
        <v/>
      </c>
      <c r="E952">
        <f>IFERROR(--INDEX('Term investments'!$E:$E,ROW()),0)</f>
        <v/>
      </c>
      <c r="F952">
        <f>IFERROR(--INDEX('Term investments'!$F:$F,ROW()),0)</f>
        <v/>
      </c>
      <c r="G952">
        <f>IFERROR(IF(--INDEX('Term investments'!$G:$G,ROW())&gt;=1,--INDEX('Term investments'!$G:$G,ROW())/100,--INDEX('Term investments'!$G:$G,ROW())),0)</f>
        <v/>
      </c>
      <c r="H952">
        <f>IFERROR(--INDEX('Term investments'!$H:$H,ROW()),0)</f>
        <v/>
      </c>
      <c r="I952">
        <f>IF(ISNUMBER(INDEX('Term investments'!$G:$G,ROW())),1,0)</f>
        <v/>
      </c>
      <c r="J952">
        <f>TRIM(SUBSTITUTE(INDEX('Call accounts and MMFs'!$A:$A,ROW())&amp;""," "," "))</f>
        <v/>
      </c>
      <c r="K952">
        <f>TRIM(SUBSTITUTE(INDEX('Call accounts and MMFs'!$B:$B,ROW())&amp;""," "," "))</f>
        <v/>
      </c>
      <c r="L952">
        <f>TRIM(SUBSTITUTE(INDEX('Call accounts and MMFs'!$C:$C,ROW())&amp;""," "," "))</f>
        <v/>
      </c>
      <c r="M952">
        <f>IFERROR(--INDEX('Call accounts and MMFs'!$D:$D,ROW()),0)</f>
        <v/>
      </c>
      <c r="N952">
        <f>IFERROR(IF(--INDEX('Call accounts and MMFs'!$E:$E,ROW())&gt;=1,--INDEX('Call accounts and MMFs'!$E:$E,ROW())/100,--INDEX('Call accounts and MMFs'!$E:$E,ROW())),0)</f>
        <v/>
      </c>
      <c r="O952">
        <f>IFERROR(--INDEX('Call accounts and MMFs'!$F:$F,ROW()),0)</f>
        <v/>
      </c>
      <c r="P952">
        <f>IF(ISNUMBER(INDEX('Call accounts and MMFs'!$E:$E,ROW())),1,0)</f>
        <v/>
      </c>
      <c r="Q952">
        <f>TRIM(SUBSTITUTE(INDEX('Pooled funds'!$B:$B,ROW())&amp;""," "," "))</f>
        <v/>
      </c>
      <c r="R952">
        <f>IFERROR(--INDEX('Pooled funds'!$C:$C,ROW()),0)</f>
        <v/>
      </c>
      <c r="S952">
        <f>IFERROR(--INDEX('Pooled funds'!$D:$D,ROW()),0)</f>
        <v/>
      </c>
      <c r="T952">
        <f>IFERROR(IF(--INDEX('Pooled funds'!$E:$E,ROW())&gt;=1,--INDEX('Pooled funds'!$E:$E,ROW())/100,--INDEX('Pooled funds'!$E:$E,ROW())),0)</f>
        <v/>
      </c>
      <c r="U952">
        <f>IF(ISNUMBER(INDEX('Pooled funds'!$E:$E,ROW())),1,0)</f>
        <v/>
      </c>
      <c r="V952">
        <f>TRIM(SUBSTITUTE(INDEX('Loans'!$A:$A,ROW())&amp;""," "," "))</f>
        <v/>
      </c>
      <c r="W952">
        <f>TRIM(SUBSTITUTE(INDEX('Loans'!$B:$B,ROW())&amp;""," "," "))</f>
        <v/>
      </c>
      <c r="X952">
        <f>TRIM(SUBSTITUTE(INDEX('Loans'!$C:$C,ROW())&amp;""," "," "))</f>
        <v/>
      </c>
      <c r="Y952">
        <f>IFERROR(--INDEX('Loans'!$D:$D,ROW()),0)</f>
        <v/>
      </c>
      <c r="Z952">
        <f>IFERROR(--INDEX('Loans'!$E:$E,ROW()),0)</f>
        <v/>
      </c>
      <c r="AA952">
        <f>IFERROR(--INDEX('Loans'!$F:$F,ROW()),0)</f>
        <v/>
      </c>
      <c r="AB952">
        <f>IFERROR(IF(--INDEX('Loans'!$G:$G,ROW())&gt;=1,--INDEX('Loans'!$G:$G,ROW())/100,--INDEX('Loans'!$G:$G,ROW())),0)</f>
        <v/>
      </c>
      <c r="AC952">
        <f>TRIM(SUBSTITUTE(INDEX('Loans'!$H:$H,ROW())&amp;""," "," "))</f>
        <v/>
      </c>
      <c r="AD952">
        <f>TRIM(SUBSTITUTE(INDEX('Loans'!$I:$I,ROW())&amp;""," "," "))</f>
        <v/>
      </c>
      <c r="AE952">
        <f>IFERROR(--INDEX('Loans'!$J:$J,ROW()),0)</f>
        <v/>
      </c>
      <c r="AF952">
        <f>TRIM(SUBSTITUTE(INDEX('Loans'!$K:$K,ROW())&amp;""," "," "))</f>
        <v/>
      </c>
      <c r="AG952">
        <f>IFERROR(--INDEX('Loans'!$L:$L,ROW()),0)</f>
        <v/>
      </c>
      <c r="AH952">
        <f>IF(ISNUMBER(INDEX('Loans'!$G:$G,ROW())),1,0)</f>
        <v/>
      </c>
    </row>
    <row r="953">
      <c r="A953">
        <f>TRIM(SUBSTITUTE(INDEX('Term investments'!$A:$A,ROW())&amp;""," "," "))</f>
        <v/>
      </c>
      <c r="B953">
        <f>TRIM(SUBSTITUTE(INDEX('Term investments'!$B:$B,ROW())&amp;""," "," "))</f>
        <v/>
      </c>
      <c r="C953">
        <f>TRIM(SUBSTITUTE(INDEX('Term investments'!$C:$C,ROW())&amp;""," "," "))</f>
        <v/>
      </c>
      <c r="D953">
        <f>IFERROR(--INDEX('Term investments'!$D:$D,ROW()),0)</f>
        <v/>
      </c>
      <c r="E953">
        <f>IFERROR(--INDEX('Term investments'!$E:$E,ROW()),0)</f>
        <v/>
      </c>
      <c r="F953">
        <f>IFERROR(--INDEX('Term investments'!$F:$F,ROW()),0)</f>
        <v/>
      </c>
      <c r="G953">
        <f>IFERROR(IF(--INDEX('Term investments'!$G:$G,ROW())&gt;=1,--INDEX('Term investments'!$G:$G,ROW())/100,--INDEX('Term investments'!$G:$G,ROW())),0)</f>
        <v/>
      </c>
      <c r="H953">
        <f>IFERROR(--INDEX('Term investments'!$H:$H,ROW()),0)</f>
        <v/>
      </c>
      <c r="I953">
        <f>IF(ISNUMBER(INDEX('Term investments'!$G:$G,ROW())),1,0)</f>
        <v/>
      </c>
      <c r="J953">
        <f>TRIM(SUBSTITUTE(INDEX('Call accounts and MMFs'!$A:$A,ROW())&amp;""," "," "))</f>
        <v/>
      </c>
      <c r="K953">
        <f>TRIM(SUBSTITUTE(INDEX('Call accounts and MMFs'!$B:$B,ROW())&amp;""," "," "))</f>
        <v/>
      </c>
      <c r="L953">
        <f>TRIM(SUBSTITUTE(INDEX('Call accounts and MMFs'!$C:$C,ROW())&amp;""," "," "))</f>
        <v/>
      </c>
      <c r="M953">
        <f>IFERROR(--INDEX('Call accounts and MMFs'!$D:$D,ROW()),0)</f>
        <v/>
      </c>
      <c r="N953">
        <f>IFERROR(IF(--INDEX('Call accounts and MMFs'!$E:$E,ROW())&gt;=1,--INDEX('Call accounts and MMFs'!$E:$E,ROW())/100,--INDEX('Call accounts and MMFs'!$E:$E,ROW())),0)</f>
        <v/>
      </c>
      <c r="O953">
        <f>IFERROR(--INDEX('Call accounts and MMFs'!$F:$F,ROW()),0)</f>
        <v/>
      </c>
      <c r="P953">
        <f>IF(ISNUMBER(INDEX('Call accounts and MMFs'!$E:$E,ROW())),1,0)</f>
        <v/>
      </c>
      <c r="Q953">
        <f>TRIM(SUBSTITUTE(INDEX('Pooled funds'!$B:$B,ROW())&amp;""," "," "))</f>
        <v/>
      </c>
      <c r="R953">
        <f>IFERROR(--INDEX('Pooled funds'!$C:$C,ROW()),0)</f>
        <v/>
      </c>
      <c r="S953">
        <f>IFERROR(--INDEX('Pooled funds'!$D:$D,ROW()),0)</f>
        <v/>
      </c>
      <c r="T953">
        <f>IFERROR(IF(--INDEX('Pooled funds'!$E:$E,ROW())&gt;=1,--INDEX('Pooled funds'!$E:$E,ROW())/100,--INDEX('Pooled funds'!$E:$E,ROW())),0)</f>
        <v/>
      </c>
      <c r="U953">
        <f>IF(ISNUMBER(INDEX('Pooled funds'!$E:$E,ROW())),1,0)</f>
        <v/>
      </c>
      <c r="V953">
        <f>TRIM(SUBSTITUTE(INDEX('Loans'!$A:$A,ROW())&amp;""," "," "))</f>
        <v/>
      </c>
      <c r="W953">
        <f>TRIM(SUBSTITUTE(INDEX('Loans'!$B:$B,ROW())&amp;""," "," "))</f>
        <v/>
      </c>
      <c r="X953">
        <f>TRIM(SUBSTITUTE(INDEX('Loans'!$C:$C,ROW())&amp;""," "," "))</f>
        <v/>
      </c>
      <c r="Y953">
        <f>IFERROR(--INDEX('Loans'!$D:$D,ROW()),0)</f>
        <v/>
      </c>
      <c r="Z953">
        <f>IFERROR(--INDEX('Loans'!$E:$E,ROW()),0)</f>
        <v/>
      </c>
      <c r="AA953">
        <f>IFERROR(--INDEX('Loans'!$F:$F,ROW()),0)</f>
        <v/>
      </c>
      <c r="AB953">
        <f>IFERROR(IF(--INDEX('Loans'!$G:$G,ROW())&gt;=1,--INDEX('Loans'!$G:$G,ROW())/100,--INDEX('Loans'!$G:$G,ROW())),0)</f>
        <v/>
      </c>
      <c r="AC953">
        <f>TRIM(SUBSTITUTE(INDEX('Loans'!$H:$H,ROW())&amp;""," "," "))</f>
        <v/>
      </c>
      <c r="AD953">
        <f>TRIM(SUBSTITUTE(INDEX('Loans'!$I:$I,ROW())&amp;""," "," "))</f>
        <v/>
      </c>
      <c r="AE953">
        <f>IFERROR(--INDEX('Loans'!$J:$J,ROW()),0)</f>
        <v/>
      </c>
      <c r="AF953">
        <f>TRIM(SUBSTITUTE(INDEX('Loans'!$K:$K,ROW())&amp;""," "," "))</f>
        <v/>
      </c>
      <c r="AG953">
        <f>IFERROR(--INDEX('Loans'!$L:$L,ROW()),0)</f>
        <v/>
      </c>
      <c r="AH953">
        <f>IF(ISNUMBER(INDEX('Loans'!$G:$G,ROW())),1,0)</f>
        <v/>
      </c>
    </row>
    <row r="954">
      <c r="A954">
        <f>TRIM(SUBSTITUTE(INDEX('Term investments'!$A:$A,ROW())&amp;""," "," "))</f>
        <v/>
      </c>
      <c r="B954">
        <f>TRIM(SUBSTITUTE(INDEX('Term investments'!$B:$B,ROW())&amp;""," "," "))</f>
        <v/>
      </c>
      <c r="C954">
        <f>TRIM(SUBSTITUTE(INDEX('Term investments'!$C:$C,ROW())&amp;""," "," "))</f>
        <v/>
      </c>
      <c r="D954">
        <f>IFERROR(--INDEX('Term investments'!$D:$D,ROW()),0)</f>
        <v/>
      </c>
      <c r="E954">
        <f>IFERROR(--INDEX('Term investments'!$E:$E,ROW()),0)</f>
        <v/>
      </c>
      <c r="F954">
        <f>IFERROR(--INDEX('Term investments'!$F:$F,ROW()),0)</f>
        <v/>
      </c>
      <c r="G954">
        <f>IFERROR(IF(--INDEX('Term investments'!$G:$G,ROW())&gt;=1,--INDEX('Term investments'!$G:$G,ROW())/100,--INDEX('Term investments'!$G:$G,ROW())),0)</f>
        <v/>
      </c>
      <c r="H954">
        <f>IFERROR(--INDEX('Term investments'!$H:$H,ROW()),0)</f>
        <v/>
      </c>
      <c r="I954">
        <f>IF(ISNUMBER(INDEX('Term investments'!$G:$G,ROW())),1,0)</f>
        <v/>
      </c>
      <c r="J954">
        <f>TRIM(SUBSTITUTE(INDEX('Call accounts and MMFs'!$A:$A,ROW())&amp;""," "," "))</f>
        <v/>
      </c>
      <c r="K954">
        <f>TRIM(SUBSTITUTE(INDEX('Call accounts and MMFs'!$B:$B,ROW())&amp;""," "," "))</f>
        <v/>
      </c>
      <c r="L954">
        <f>TRIM(SUBSTITUTE(INDEX('Call accounts and MMFs'!$C:$C,ROW())&amp;""," "," "))</f>
        <v/>
      </c>
      <c r="M954">
        <f>IFERROR(--INDEX('Call accounts and MMFs'!$D:$D,ROW()),0)</f>
        <v/>
      </c>
      <c r="N954">
        <f>IFERROR(IF(--INDEX('Call accounts and MMFs'!$E:$E,ROW())&gt;=1,--INDEX('Call accounts and MMFs'!$E:$E,ROW())/100,--INDEX('Call accounts and MMFs'!$E:$E,ROW())),0)</f>
        <v/>
      </c>
      <c r="O954">
        <f>IFERROR(--INDEX('Call accounts and MMFs'!$F:$F,ROW()),0)</f>
        <v/>
      </c>
      <c r="P954">
        <f>IF(ISNUMBER(INDEX('Call accounts and MMFs'!$E:$E,ROW())),1,0)</f>
        <v/>
      </c>
      <c r="Q954">
        <f>TRIM(SUBSTITUTE(INDEX('Pooled funds'!$B:$B,ROW())&amp;""," "," "))</f>
        <v/>
      </c>
      <c r="R954">
        <f>IFERROR(--INDEX('Pooled funds'!$C:$C,ROW()),0)</f>
        <v/>
      </c>
      <c r="S954">
        <f>IFERROR(--INDEX('Pooled funds'!$D:$D,ROW()),0)</f>
        <v/>
      </c>
      <c r="T954">
        <f>IFERROR(IF(--INDEX('Pooled funds'!$E:$E,ROW())&gt;=1,--INDEX('Pooled funds'!$E:$E,ROW())/100,--INDEX('Pooled funds'!$E:$E,ROW())),0)</f>
        <v/>
      </c>
      <c r="U954">
        <f>IF(ISNUMBER(INDEX('Pooled funds'!$E:$E,ROW())),1,0)</f>
        <v/>
      </c>
      <c r="V954">
        <f>TRIM(SUBSTITUTE(INDEX('Loans'!$A:$A,ROW())&amp;""," "," "))</f>
        <v/>
      </c>
      <c r="W954">
        <f>TRIM(SUBSTITUTE(INDEX('Loans'!$B:$B,ROW())&amp;""," "," "))</f>
        <v/>
      </c>
      <c r="X954">
        <f>TRIM(SUBSTITUTE(INDEX('Loans'!$C:$C,ROW())&amp;""," "," "))</f>
        <v/>
      </c>
      <c r="Y954">
        <f>IFERROR(--INDEX('Loans'!$D:$D,ROW()),0)</f>
        <v/>
      </c>
      <c r="Z954">
        <f>IFERROR(--INDEX('Loans'!$E:$E,ROW()),0)</f>
        <v/>
      </c>
      <c r="AA954">
        <f>IFERROR(--INDEX('Loans'!$F:$F,ROW()),0)</f>
        <v/>
      </c>
      <c r="AB954">
        <f>IFERROR(IF(--INDEX('Loans'!$G:$G,ROW())&gt;=1,--INDEX('Loans'!$G:$G,ROW())/100,--INDEX('Loans'!$G:$G,ROW())),0)</f>
        <v/>
      </c>
      <c r="AC954">
        <f>TRIM(SUBSTITUTE(INDEX('Loans'!$H:$H,ROW())&amp;""," "," "))</f>
        <v/>
      </c>
      <c r="AD954">
        <f>TRIM(SUBSTITUTE(INDEX('Loans'!$I:$I,ROW())&amp;""," "," "))</f>
        <v/>
      </c>
      <c r="AE954">
        <f>IFERROR(--INDEX('Loans'!$J:$J,ROW()),0)</f>
        <v/>
      </c>
      <c r="AF954">
        <f>TRIM(SUBSTITUTE(INDEX('Loans'!$K:$K,ROW())&amp;""," "," "))</f>
        <v/>
      </c>
      <c r="AG954">
        <f>IFERROR(--INDEX('Loans'!$L:$L,ROW()),0)</f>
        <v/>
      </c>
      <c r="AH954">
        <f>IF(ISNUMBER(INDEX('Loans'!$G:$G,ROW())),1,0)</f>
        <v/>
      </c>
    </row>
    <row r="955">
      <c r="A955">
        <f>TRIM(SUBSTITUTE(INDEX('Term investments'!$A:$A,ROW())&amp;""," "," "))</f>
        <v/>
      </c>
      <c r="B955">
        <f>TRIM(SUBSTITUTE(INDEX('Term investments'!$B:$B,ROW())&amp;""," "," "))</f>
        <v/>
      </c>
      <c r="C955">
        <f>TRIM(SUBSTITUTE(INDEX('Term investments'!$C:$C,ROW())&amp;""," "," "))</f>
        <v/>
      </c>
      <c r="D955">
        <f>IFERROR(--INDEX('Term investments'!$D:$D,ROW()),0)</f>
        <v/>
      </c>
      <c r="E955">
        <f>IFERROR(--INDEX('Term investments'!$E:$E,ROW()),0)</f>
        <v/>
      </c>
      <c r="F955">
        <f>IFERROR(--INDEX('Term investments'!$F:$F,ROW()),0)</f>
        <v/>
      </c>
      <c r="G955">
        <f>IFERROR(IF(--INDEX('Term investments'!$G:$G,ROW())&gt;=1,--INDEX('Term investments'!$G:$G,ROW())/100,--INDEX('Term investments'!$G:$G,ROW())),0)</f>
        <v/>
      </c>
      <c r="H955">
        <f>IFERROR(--INDEX('Term investments'!$H:$H,ROW()),0)</f>
        <v/>
      </c>
      <c r="I955">
        <f>IF(ISNUMBER(INDEX('Term investments'!$G:$G,ROW())),1,0)</f>
        <v/>
      </c>
      <c r="J955">
        <f>TRIM(SUBSTITUTE(INDEX('Call accounts and MMFs'!$A:$A,ROW())&amp;""," "," "))</f>
        <v/>
      </c>
      <c r="K955">
        <f>TRIM(SUBSTITUTE(INDEX('Call accounts and MMFs'!$B:$B,ROW())&amp;""," "," "))</f>
        <v/>
      </c>
      <c r="L955">
        <f>TRIM(SUBSTITUTE(INDEX('Call accounts and MMFs'!$C:$C,ROW())&amp;""," "," "))</f>
        <v/>
      </c>
      <c r="M955">
        <f>IFERROR(--INDEX('Call accounts and MMFs'!$D:$D,ROW()),0)</f>
        <v/>
      </c>
      <c r="N955">
        <f>IFERROR(IF(--INDEX('Call accounts and MMFs'!$E:$E,ROW())&gt;=1,--INDEX('Call accounts and MMFs'!$E:$E,ROW())/100,--INDEX('Call accounts and MMFs'!$E:$E,ROW())),0)</f>
        <v/>
      </c>
      <c r="O955">
        <f>IFERROR(--INDEX('Call accounts and MMFs'!$F:$F,ROW()),0)</f>
        <v/>
      </c>
      <c r="P955">
        <f>IF(ISNUMBER(INDEX('Call accounts and MMFs'!$E:$E,ROW())),1,0)</f>
        <v/>
      </c>
      <c r="Q955">
        <f>TRIM(SUBSTITUTE(INDEX('Pooled funds'!$B:$B,ROW())&amp;""," "," "))</f>
        <v/>
      </c>
      <c r="R955">
        <f>IFERROR(--INDEX('Pooled funds'!$C:$C,ROW()),0)</f>
        <v/>
      </c>
      <c r="S955">
        <f>IFERROR(--INDEX('Pooled funds'!$D:$D,ROW()),0)</f>
        <v/>
      </c>
      <c r="T955">
        <f>IFERROR(IF(--INDEX('Pooled funds'!$E:$E,ROW())&gt;=1,--INDEX('Pooled funds'!$E:$E,ROW())/100,--INDEX('Pooled funds'!$E:$E,ROW())),0)</f>
        <v/>
      </c>
      <c r="U955">
        <f>IF(ISNUMBER(INDEX('Pooled funds'!$E:$E,ROW())),1,0)</f>
        <v/>
      </c>
      <c r="V955">
        <f>TRIM(SUBSTITUTE(INDEX('Loans'!$A:$A,ROW())&amp;""," "," "))</f>
        <v/>
      </c>
      <c r="W955">
        <f>TRIM(SUBSTITUTE(INDEX('Loans'!$B:$B,ROW())&amp;""," "," "))</f>
        <v/>
      </c>
      <c r="X955">
        <f>TRIM(SUBSTITUTE(INDEX('Loans'!$C:$C,ROW())&amp;""," "," "))</f>
        <v/>
      </c>
      <c r="Y955">
        <f>IFERROR(--INDEX('Loans'!$D:$D,ROW()),0)</f>
        <v/>
      </c>
      <c r="Z955">
        <f>IFERROR(--INDEX('Loans'!$E:$E,ROW()),0)</f>
        <v/>
      </c>
      <c r="AA955">
        <f>IFERROR(--INDEX('Loans'!$F:$F,ROW()),0)</f>
        <v/>
      </c>
      <c r="AB955">
        <f>IFERROR(IF(--INDEX('Loans'!$G:$G,ROW())&gt;=1,--INDEX('Loans'!$G:$G,ROW())/100,--INDEX('Loans'!$G:$G,ROW())),0)</f>
        <v/>
      </c>
      <c r="AC955">
        <f>TRIM(SUBSTITUTE(INDEX('Loans'!$H:$H,ROW())&amp;""," "," "))</f>
        <v/>
      </c>
      <c r="AD955">
        <f>TRIM(SUBSTITUTE(INDEX('Loans'!$I:$I,ROW())&amp;""," "," "))</f>
        <v/>
      </c>
      <c r="AE955">
        <f>IFERROR(--INDEX('Loans'!$J:$J,ROW()),0)</f>
        <v/>
      </c>
      <c r="AF955">
        <f>TRIM(SUBSTITUTE(INDEX('Loans'!$K:$K,ROW())&amp;""," "," "))</f>
        <v/>
      </c>
      <c r="AG955">
        <f>IFERROR(--INDEX('Loans'!$L:$L,ROW()),0)</f>
        <v/>
      </c>
      <c r="AH955">
        <f>IF(ISNUMBER(INDEX('Loans'!$G:$G,ROW())),1,0)</f>
        <v/>
      </c>
    </row>
    <row r="956">
      <c r="A956">
        <f>TRIM(SUBSTITUTE(INDEX('Term investments'!$A:$A,ROW())&amp;""," "," "))</f>
        <v/>
      </c>
      <c r="B956">
        <f>TRIM(SUBSTITUTE(INDEX('Term investments'!$B:$B,ROW())&amp;""," "," "))</f>
        <v/>
      </c>
      <c r="C956">
        <f>TRIM(SUBSTITUTE(INDEX('Term investments'!$C:$C,ROW())&amp;""," "," "))</f>
        <v/>
      </c>
      <c r="D956">
        <f>IFERROR(--INDEX('Term investments'!$D:$D,ROW()),0)</f>
        <v/>
      </c>
      <c r="E956">
        <f>IFERROR(--INDEX('Term investments'!$E:$E,ROW()),0)</f>
        <v/>
      </c>
      <c r="F956">
        <f>IFERROR(--INDEX('Term investments'!$F:$F,ROW()),0)</f>
        <v/>
      </c>
      <c r="G956">
        <f>IFERROR(IF(--INDEX('Term investments'!$G:$G,ROW())&gt;=1,--INDEX('Term investments'!$G:$G,ROW())/100,--INDEX('Term investments'!$G:$G,ROW())),0)</f>
        <v/>
      </c>
      <c r="H956">
        <f>IFERROR(--INDEX('Term investments'!$H:$H,ROW()),0)</f>
        <v/>
      </c>
      <c r="I956">
        <f>IF(ISNUMBER(INDEX('Term investments'!$G:$G,ROW())),1,0)</f>
        <v/>
      </c>
      <c r="J956">
        <f>TRIM(SUBSTITUTE(INDEX('Call accounts and MMFs'!$A:$A,ROW())&amp;""," "," "))</f>
        <v/>
      </c>
      <c r="K956">
        <f>TRIM(SUBSTITUTE(INDEX('Call accounts and MMFs'!$B:$B,ROW())&amp;""," "," "))</f>
        <v/>
      </c>
      <c r="L956">
        <f>TRIM(SUBSTITUTE(INDEX('Call accounts and MMFs'!$C:$C,ROW())&amp;""," "," "))</f>
        <v/>
      </c>
      <c r="M956">
        <f>IFERROR(--INDEX('Call accounts and MMFs'!$D:$D,ROW()),0)</f>
        <v/>
      </c>
      <c r="N956">
        <f>IFERROR(IF(--INDEX('Call accounts and MMFs'!$E:$E,ROW())&gt;=1,--INDEX('Call accounts and MMFs'!$E:$E,ROW())/100,--INDEX('Call accounts and MMFs'!$E:$E,ROW())),0)</f>
        <v/>
      </c>
      <c r="O956">
        <f>IFERROR(--INDEX('Call accounts and MMFs'!$F:$F,ROW()),0)</f>
        <v/>
      </c>
      <c r="P956">
        <f>IF(ISNUMBER(INDEX('Call accounts and MMFs'!$E:$E,ROW())),1,0)</f>
        <v/>
      </c>
      <c r="Q956">
        <f>TRIM(SUBSTITUTE(INDEX('Pooled funds'!$B:$B,ROW())&amp;""," "," "))</f>
        <v/>
      </c>
      <c r="R956">
        <f>IFERROR(--INDEX('Pooled funds'!$C:$C,ROW()),0)</f>
        <v/>
      </c>
      <c r="S956">
        <f>IFERROR(--INDEX('Pooled funds'!$D:$D,ROW()),0)</f>
        <v/>
      </c>
      <c r="T956">
        <f>IFERROR(IF(--INDEX('Pooled funds'!$E:$E,ROW())&gt;=1,--INDEX('Pooled funds'!$E:$E,ROW())/100,--INDEX('Pooled funds'!$E:$E,ROW())),0)</f>
        <v/>
      </c>
      <c r="U956">
        <f>IF(ISNUMBER(INDEX('Pooled funds'!$E:$E,ROW())),1,0)</f>
        <v/>
      </c>
      <c r="V956">
        <f>TRIM(SUBSTITUTE(INDEX('Loans'!$A:$A,ROW())&amp;""," "," "))</f>
        <v/>
      </c>
      <c r="W956">
        <f>TRIM(SUBSTITUTE(INDEX('Loans'!$B:$B,ROW())&amp;""," "," "))</f>
        <v/>
      </c>
      <c r="X956">
        <f>TRIM(SUBSTITUTE(INDEX('Loans'!$C:$C,ROW())&amp;""," "," "))</f>
        <v/>
      </c>
      <c r="Y956">
        <f>IFERROR(--INDEX('Loans'!$D:$D,ROW()),0)</f>
        <v/>
      </c>
      <c r="Z956">
        <f>IFERROR(--INDEX('Loans'!$E:$E,ROW()),0)</f>
        <v/>
      </c>
      <c r="AA956">
        <f>IFERROR(--INDEX('Loans'!$F:$F,ROW()),0)</f>
        <v/>
      </c>
      <c r="AB956">
        <f>IFERROR(IF(--INDEX('Loans'!$G:$G,ROW())&gt;=1,--INDEX('Loans'!$G:$G,ROW())/100,--INDEX('Loans'!$G:$G,ROW())),0)</f>
        <v/>
      </c>
      <c r="AC956">
        <f>TRIM(SUBSTITUTE(INDEX('Loans'!$H:$H,ROW())&amp;""," "," "))</f>
        <v/>
      </c>
      <c r="AD956">
        <f>TRIM(SUBSTITUTE(INDEX('Loans'!$I:$I,ROW())&amp;""," "," "))</f>
        <v/>
      </c>
      <c r="AE956">
        <f>IFERROR(--INDEX('Loans'!$J:$J,ROW()),0)</f>
        <v/>
      </c>
      <c r="AF956">
        <f>TRIM(SUBSTITUTE(INDEX('Loans'!$K:$K,ROW())&amp;""," "," "))</f>
        <v/>
      </c>
      <c r="AG956">
        <f>IFERROR(--INDEX('Loans'!$L:$L,ROW()),0)</f>
        <v/>
      </c>
      <c r="AH956">
        <f>IF(ISNUMBER(INDEX('Loans'!$G:$G,ROW())),1,0)</f>
        <v/>
      </c>
    </row>
    <row r="957">
      <c r="A957">
        <f>TRIM(SUBSTITUTE(INDEX('Term investments'!$A:$A,ROW())&amp;""," "," "))</f>
        <v/>
      </c>
      <c r="B957">
        <f>TRIM(SUBSTITUTE(INDEX('Term investments'!$B:$B,ROW())&amp;""," "," "))</f>
        <v/>
      </c>
      <c r="C957">
        <f>TRIM(SUBSTITUTE(INDEX('Term investments'!$C:$C,ROW())&amp;""," "," "))</f>
        <v/>
      </c>
      <c r="D957">
        <f>IFERROR(--INDEX('Term investments'!$D:$D,ROW()),0)</f>
        <v/>
      </c>
      <c r="E957">
        <f>IFERROR(--INDEX('Term investments'!$E:$E,ROW()),0)</f>
        <v/>
      </c>
      <c r="F957">
        <f>IFERROR(--INDEX('Term investments'!$F:$F,ROW()),0)</f>
        <v/>
      </c>
      <c r="G957">
        <f>IFERROR(IF(--INDEX('Term investments'!$G:$G,ROW())&gt;=1,--INDEX('Term investments'!$G:$G,ROW())/100,--INDEX('Term investments'!$G:$G,ROW())),0)</f>
        <v/>
      </c>
      <c r="H957">
        <f>IFERROR(--INDEX('Term investments'!$H:$H,ROW()),0)</f>
        <v/>
      </c>
      <c r="I957">
        <f>IF(ISNUMBER(INDEX('Term investments'!$G:$G,ROW())),1,0)</f>
        <v/>
      </c>
      <c r="J957">
        <f>TRIM(SUBSTITUTE(INDEX('Call accounts and MMFs'!$A:$A,ROW())&amp;""," "," "))</f>
        <v/>
      </c>
      <c r="K957">
        <f>TRIM(SUBSTITUTE(INDEX('Call accounts and MMFs'!$B:$B,ROW())&amp;""," "," "))</f>
        <v/>
      </c>
      <c r="L957">
        <f>TRIM(SUBSTITUTE(INDEX('Call accounts and MMFs'!$C:$C,ROW())&amp;""," "," "))</f>
        <v/>
      </c>
      <c r="M957">
        <f>IFERROR(--INDEX('Call accounts and MMFs'!$D:$D,ROW()),0)</f>
        <v/>
      </c>
      <c r="N957">
        <f>IFERROR(IF(--INDEX('Call accounts and MMFs'!$E:$E,ROW())&gt;=1,--INDEX('Call accounts and MMFs'!$E:$E,ROW())/100,--INDEX('Call accounts and MMFs'!$E:$E,ROW())),0)</f>
        <v/>
      </c>
      <c r="O957">
        <f>IFERROR(--INDEX('Call accounts and MMFs'!$F:$F,ROW()),0)</f>
        <v/>
      </c>
      <c r="P957">
        <f>IF(ISNUMBER(INDEX('Call accounts and MMFs'!$E:$E,ROW())),1,0)</f>
        <v/>
      </c>
      <c r="Q957">
        <f>TRIM(SUBSTITUTE(INDEX('Pooled funds'!$B:$B,ROW())&amp;""," "," "))</f>
        <v/>
      </c>
      <c r="R957">
        <f>IFERROR(--INDEX('Pooled funds'!$C:$C,ROW()),0)</f>
        <v/>
      </c>
      <c r="S957">
        <f>IFERROR(--INDEX('Pooled funds'!$D:$D,ROW()),0)</f>
        <v/>
      </c>
      <c r="T957">
        <f>IFERROR(IF(--INDEX('Pooled funds'!$E:$E,ROW())&gt;=1,--INDEX('Pooled funds'!$E:$E,ROW())/100,--INDEX('Pooled funds'!$E:$E,ROW())),0)</f>
        <v/>
      </c>
      <c r="U957">
        <f>IF(ISNUMBER(INDEX('Pooled funds'!$E:$E,ROW())),1,0)</f>
        <v/>
      </c>
      <c r="V957">
        <f>TRIM(SUBSTITUTE(INDEX('Loans'!$A:$A,ROW())&amp;""," "," "))</f>
        <v/>
      </c>
      <c r="W957">
        <f>TRIM(SUBSTITUTE(INDEX('Loans'!$B:$B,ROW())&amp;""," "," "))</f>
        <v/>
      </c>
      <c r="X957">
        <f>TRIM(SUBSTITUTE(INDEX('Loans'!$C:$C,ROW())&amp;""," "," "))</f>
        <v/>
      </c>
      <c r="Y957">
        <f>IFERROR(--INDEX('Loans'!$D:$D,ROW()),0)</f>
        <v/>
      </c>
      <c r="Z957">
        <f>IFERROR(--INDEX('Loans'!$E:$E,ROW()),0)</f>
        <v/>
      </c>
      <c r="AA957">
        <f>IFERROR(--INDEX('Loans'!$F:$F,ROW()),0)</f>
        <v/>
      </c>
      <c r="AB957">
        <f>IFERROR(IF(--INDEX('Loans'!$G:$G,ROW())&gt;=1,--INDEX('Loans'!$G:$G,ROW())/100,--INDEX('Loans'!$G:$G,ROW())),0)</f>
        <v/>
      </c>
      <c r="AC957">
        <f>TRIM(SUBSTITUTE(INDEX('Loans'!$H:$H,ROW())&amp;""," "," "))</f>
        <v/>
      </c>
      <c r="AD957">
        <f>TRIM(SUBSTITUTE(INDEX('Loans'!$I:$I,ROW())&amp;""," "," "))</f>
        <v/>
      </c>
      <c r="AE957">
        <f>IFERROR(--INDEX('Loans'!$J:$J,ROW()),0)</f>
        <v/>
      </c>
      <c r="AF957">
        <f>TRIM(SUBSTITUTE(INDEX('Loans'!$K:$K,ROW())&amp;""," "," "))</f>
        <v/>
      </c>
      <c r="AG957">
        <f>IFERROR(--INDEX('Loans'!$L:$L,ROW()),0)</f>
        <v/>
      </c>
      <c r="AH957">
        <f>IF(ISNUMBER(INDEX('Loans'!$G:$G,ROW())),1,0)</f>
        <v/>
      </c>
    </row>
    <row r="958">
      <c r="A958">
        <f>TRIM(SUBSTITUTE(INDEX('Term investments'!$A:$A,ROW())&amp;""," "," "))</f>
        <v/>
      </c>
      <c r="B958">
        <f>TRIM(SUBSTITUTE(INDEX('Term investments'!$B:$B,ROW())&amp;""," "," "))</f>
        <v/>
      </c>
      <c r="C958">
        <f>TRIM(SUBSTITUTE(INDEX('Term investments'!$C:$C,ROW())&amp;""," "," "))</f>
        <v/>
      </c>
      <c r="D958">
        <f>IFERROR(--INDEX('Term investments'!$D:$D,ROW()),0)</f>
        <v/>
      </c>
      <c r="E958">
        <f>IFERROR(--INDEX('Term investments'!$E:$E,ROW()),0)</f>
        <v/>
      </c>
      <c r="F958">
        <f>IFERROR(--INDEX('Term investments'!$F:$F,ROW()),0)</f>
        <v/>
      </c>
      <c r="G958">
        <f>IFERROR(IF(--INDEX('Term investments'!$G:$G,ROW())&gt;=1,--INDEX('Term investments'!$G:$G,ROW())/100,--INDEX('Term investments'!$G:$G,ROW())),0)</f>
        <v/>
      </c>
      <c r="H958">
        <f>IFERROR(--INDEX('Term investments'!$H:$H,ROW()),0)</f>
        <v/>
      </c>
      <c r="I958">
        <f>IF(ISNUMBER(INDEX('Term investments'!$G:$G,ROW())),1,0)</f>
        <v/>
      </c>
      <c r="J958">
        <f>TRIM(SUBSTITUTE(INDEX('Call accounts and MMFs'!$A:$A,ROW())&amp;""," "," "))</f>
        <v/>
      </c>
      <c r="K958">
        <f>TRIM(SUBSTITUTE(INDEX('Call accounts and MMFs'!$B:$B,ROW())&amp;""," "," "))</f>
        <v/>
      </c>
      <c r="L958">
        <f>TRIM(SUBSTITUTE(INDEX('Call accounts and MMFs'!$C:$C,ROW())&amp;""," "," "))</f>
        <v/>
      </c>
      <c r="M958">
        <f>IFERROR(--INDEX('Call accounts and MMFs'!$D:$D,ROW()),0)</f>
        <v/>
      </c>
      <c r="N958">
        <f>IFERROR(IF(--INDEX('Call accounts and MMFs'!$E:$E,ROW())&gt;=1,--INDEX('Call accounts and MMFs'!$E:$E,ROW())/100,--INDEX('Call accounts and MMFs'!$E:$E,ROW())),0)</f>
        <v/>
      </c>
      <c r="O958">
        <f>IFERROR(--INDEX('Call accounts and MMFs'!$F:$F,ROW()),0)</f>
        <v/>
      </c>
      <c r="P958">
        <f>IF(ISNUMBER(INDEX('Call accounts and MMFs'!$E:$E,ROW())),1,0)</f>
        <v/>
      </c>
      <c r="Q958">
        <f>TRIM(SUBSTITUTE(INDEX('Pooled funds'!$B:$B,ROW())&amp;""," "," "))</f>
        <v/>
      </c>
      <c r="R958">
        <f>IFERROR(--INDEX('Pooled funds'!$C:$C,ROW()),0)</f>
        <v/>
      </c>
      <c r="S958">
        <f>IFERROR(--INDEX('Pooled funds'!$D:$D,ROW()),0)</f>
        <v/>
      </c>
      <c r="T958">
        <f>IFERROR(IF(--INDEX('Pooled funds'!$E:$E,ROW())&gt;=1,--INDEX('Pooled funds'!$E:$E,ROW())/100,--INDEX('Pooled funds'!$E:$E,ROW())),0)</f>
        <v/>
      </c>
      <c r="U958">
        <f>IF(ISNUMBER(INDEX('Pooled funds'!$E:$E,ROW())),1,0)</f>
        <v/>
      </c>
      <c r="V958">
        <f>TRIM(SUBSTITUTE(INDEX('Loans'!$A:$A,ROW())&amp;""," "," "))</f>
        <v/>
      </c>
      <c r="W958">
        <f>TRIM(SUBSTITUTE(INDEX('Loans'!$B:$B,ROW())&amp;""," "," "))</f>
        <v/>
      </c>
      <c r="X958">
        <f>TRIM(SUBSTITUTE(INDEX('Loans'!$C:$C,ROW())&amp;""," "," "))</f>
        <v/>
      </c>
      <c r="Y958">
        <f>IFERROR(--INDEX('Loans'!$D:$D,ROW()),0)</f>
        <v/>
      </c>
      <c r="Z958">
        <f>IFERROR(--INDEX('Loans'!$E:$E,ROW()),0)</f>
        <v/>
      </c>
      <c r="AA958">
        <f>IFERROR(--INDEX('Loans'!$F:$F,ROW()),0)</f>
        <v/>
      </c>
      <c r="AB958">
        <f>IFERROR(IF(--INDEX('Loans'!$G:$G,ROW())&gt;=1,--INDEX('Loans'!$G:$G,ROW())/100,--INDEX('Loans'!$G:$G,ROW())),0)</f>
        <v/>
      </c>
      <c r="AC958">
        <f>TRIM(SUBSTITUTE(INDEX('Loans'!$H:$H,ROW())&amp;""," "," "))</f>
        <v/>
      </c>
      <c r="AD958">
        <f>TRIM(SUBSTITUTE(INDEX('Loans'!$I:$I,ROW())&amp;""," "," "))</f>
        <v/>
      </c>
      <c r="AE958">
        <f>IFERROR(--INDEX('Loans'!$J:$J,ROW()),0)</f>
        <v/>
      </c>
      <c r="AF958">
        <f>TRIM(SUBSTITUTE(INDEX('Loans'!$K:$K,ROW())&amp;""," "," "))</f>
        <v/>
      </c>
      <c r="AG958">
        <f>IFERROR(--INDEX('Loans'!$L:$L,ROW()),0)</f>
        <v/>
      </c>
      <c r="AH958">
        <f>IF(ISNUMBER(INDEX('Loans'!$G:$G,ROW())),1,0)</f>
        <v/>
      </c>
    </row>
    <row r="959">
      <c r="A959">
        <f>TRIM(SUBSTITUTE(INDEX('Term investments'!$A:$A,ROW())&amp;""," "," "))</f>
        <v/>
      </c>
      <c r="B959">
        <f>TRIM(SUBSTITUTE(INDEX('Term investments'!$B:$B,ROW())&amp;""," "," "))</f>
        <v/>
      </c>
      <c r="C959">
        <f>TRIM(SUBSTITUTE(INDEX('Term investments'!$C:$C,ROW())&amp;""," "," "))</f>
        <v/>
      </c>
      <c r="D959">
        <f>IFERROR(--INDEX('Term investments'!$D:$D,ROW()),0)</f>
        <v/>
      </c>
      <c r="E959">
        <f>IFERROR(--INDEX('Term investments'!$E:$E,ROW()),0)</f>
        <v/>
      </c>
      <c r="F959">
        <f>IFERROR(--INDEX('Term investments'!$F:$F,ROW()),0)</f>
        <v/>
      </c>
      <c r="G959">
        <f>IFERROR(IF(--INDEX('Term investments'!$G:$G,ROW())&gt;=1,--INDEX('Term investments'!$G:$G,ROW())/100,--INDEX('Term investments'!$G:$G,ROW())),0)</f>
        <v/>
      </c>
      <c r="H959">
        <f>IFERROR(--INDEX('Term investments'!$H:$H,ROW()),0)</f>
        <v/>
      </c>
      <c r="I959">
        <f>IF(ISNUMBER(INDEX('Term investments'!$G:$G,ROW())),1,0)</f>
        <v/>
      </c>
      <c r="J959">
        <f>TRIM(SUBSTITUTE(INDEX('Call accounts and MMFs'!$A:$A,ROW())&amp;""," "," "))</f>
        <v/>
      </c>
      <c r="K959">
        <f>TRIM(SUBSTITUTE(INDEX('Call accounts and MMFs'!$B:$B,ROW())&amp;""," "," "))</f>
        <v/>
      </c>
      <c r="L959">
        <f>TRIM(SUBSTITUTE(INDEX('Call accounts and MMFs'!$C:$C,ROW())&amp;""," "," "))</f>
        <v/>
      </c>
      <c r="M959">
        <f>IFERROR(--INDEX('Call accounts and MMFs'!$D:$D,ROW()),0)</f>
        <v/>
      </c>
      <c r="N959">
        <f>IFERROR(IF(--INDEX('Call accounts and MMFs'!$E:$E,ROW())&gt;=1,--INDEX('Call accounts and MMFs'!$E:$E,ROW())/100,--INDEX('Call accounts and MMFs'!$E:$E,ROW())),0)</f>
        <v/>
      </c>
      <c r="O959">
        <f>IFERROR(--INDEX('Call accounts and MMFs'!$F:$F,ROW()),0)</f>
        <v/>
      </c>
      <c r="P959">
        <f>IF(ISNUMBER(INDEX('Call accounts and MMFs'!$E:$E,ROW())),1,0)</f>
        <v/>
      </c>
      <c r="Q959">
        <f>TRIM(SUBSTITUTE(INDEX('Pooled funds'!$B:$B,ROW())&amp;""," "," "))</f>
        <v/>
      </c>
      <c r="R959">
        <f>IFERROR(--INDEX('Pooled funds'!$C:$C,ROW()),0)</f>
        <v/>
      </c>
      <c r="S959">
        <f>IFERROR(--INDEX('Pooled funds'!$D:$D,ROW()),0)</f>
        <v/>
      </c>
      <c r="T959">
        <f>IFERROR(IF(--INDEX('Pooled funds'!$E:$E,ROW())&gt;=1,--INDEX('Pooled funds'!$E:$E,ROW())/100,--INDEX('Pooled funds'!$E:$E,ROW())),0)</f>
        <v/>
      </c>
      <c r="U959">
        <f>IF(ISNUMBER(INDEX('Pooled funds'!$E:$E,ROW())),1,0)</f>
        <v/>
      </c>
      <c r="V959">
        <f>TRIM(SUBSTITUTE(INDEX('Loans'!$A:$A,ROW())&amp;""," "," "))</f>
        <v/>
      </c>
      <c r="W959">
        <f>TRIM(SUBSTITUTE(INDEX('Loans'!$B:$B,ROW())&amp;""," "," "))</f>
        <v/>
      </c>
      <c r="X959">
        <f>TRIM(SUBSTITUTE(INDEX('Loans'!$C:$C,ROW())&amp;""," "," "))</f>
        <v/>
      </c>
      <c r="Y959">
        <f>IFERROR(--INDEX('Loans'!$D:$D,ROW()),0)</f>
        <v/>
      </c>
      <c r="Z959">
        <f>IFERROR(--INDEX('Loans'!$E:$E,ROW()),0)</f>
        <v/>
      </c>
      <c r="AA959">
        <f>IFERROR(--INDEX('Loans'!$F:$F,ROW()),0)</f>
        <v/>
      </c>
      <c r="AB959">
        <f>IFERROR(IF(--INDEX('Loans'!$G:$G,ROW())&gt;=1,--INDEX('Loans'!$G:$G,ROW())/100,--INDEX('Loans'!$G:$G,ROW())),0)</f>
        <v/>
      </c>
      <c r="AC959">
        <f>TRIM(SUBSTITUTE(INDEX('Loans'!$H:$H,ROW())&amp;""," "," "))</f>
        <v/>
      </c>
      <c r="AD959">
        <f>TRIM(SUBSTITUTE(INDEX('Loans'!$I:$I,ROW())&amp;""," "," "))</f>
        <v/>
      </c>
      <c r="AE959">
        <f>IFERROR(--INDEX('Loans'!$J:$J,ROW()),0)</f>
        <v/>
      </c>
      <c r="AF959">
        <f>TRIM(SUBSTITUTE(INDEX('Loans'!$K:$K,ROW())&amp;""," "," "))</f>
        <v/>
      </c>
      <c r="AG959">
        <f>IFERROR(--INDEX('Loans'!$L:$L,ROW()),0)</f>
        <v/>
      </c>
      <c r="AH959">
        <f>IF(ISNUMBER(INDEX('Loans'!$G:$G,ROW())),1,0)</f>
        <v/>
      </c>
    </row>
    <row r="960">
      <c r="A960">
        <f>TRIM(SUBSTITUTE(INDEX('Term investments'!$A:$A,ROW())&amp;""," "," "))</f>
        <v/>
      </c>
      <c r="B960">
        <f>TRIM(SUBSTITUTE(INDEX('Term investments'!$B:$B,ROW())&amp;""," "," "))</f>
        <v/>
      </c>
      <c r="C960">
        <f>TRIM(SUBSTITUTE(INDEX('Term investments'!$C:$C,ROW())&amp;""," "," "))</f>
        <v/>
      </c>
      <c r="D960">
        <f>IFERROR(--INDEX('Term investments'!$D:$D,ROW()),0)</f>
        <v/>
      </c>
      <c r="E960">
        <f>IFERROR(--INDEX('Term investments'!$E:$E,ROW()),0)</f>
        <v/>
      </c>
      <c r="F960">
        <f>IFERROR(--INDEX('Term investments'!$F:$F,ROW()),0)</f>
        <v/>
      </c>
      <c r="G960">
        <f>IFERROR(IF(--INDEX('Term investments'!$G:$G,ROW())&gt;=1,--INDEX('Term investments'!$G:$G,ROW())/100,--INDEX('Term investments'!$G:$G,ROW())),0)</f>
        <v/>
      </c>
      <c r="H960">
        <f>IFERROR(--INDEX('Term investments'!$H:$H,ROW()),0)</f>
        <v/>
      </c>
      <c r="I960">
        <f>IF(ISNUMBER(INDEX('Term investments'!$G:$G,ROW())),1,0)</f>
        <v/>
      </c>
      <c r="J960">
        <f>TRIM(SUBSTITUTE(INDEX('Call accounts and MMFs'!$A:$A,ROW())&amp;""," "," "))</f>
        <v/>
      </c>
      <c r="K960">
        <f>TRIM(SUBSTITUTE(INDEX('Call accounts and MMFs'!$B:$B,ROW())&amp;""," "," "))</f>
        <v/>
      </c>
      <c r="L960">
        <f>TRIM(SUBSTITUTE(INDEX('Call accounts and MMFs'!$C:$C,ROW())&amp;""," "," "))</f>
        <v/>
      </c>
      <c r="M960">
        <f>IFERROR(--INDEX('Call accounts and MMFs'!$D:$D,ROW()),0)</f>
        <v/>
      </c>
      <c r="N960">
        <f>IFERROR(IF(--INDEX('Call accounts and MMFs'!$E:$E,ROW())&gt;=1,--INDEX('Call accounts and MMFs'!$E:$E,ROW())/100,--INDEX('Call accounts and MMFs'!$E:$E,ROW())),0)</f>
        <v/>
      </c>
      <c r="O960">
        <f>IFERROR(--INDEX('Call accounts and MMFs'!$F:$F,ROW()),0)</f>
        <v/>
      </c>
      <c r="P960">
        <f>IF(ISNUMBER(INDEX('Call accounts and MMFs'!$E:$E,ROW())),1,0)</f>
        <v/>
      </c>
      <c r="Q960">
        <f>TRIM(SUBSTITUTE(INDEX('Pooled funds'!$B:$B,ROW())&amp;""," "," "))</f>
        <v/>
      </c>
      <c r="R960">
        <f>IFERROR(--INDEX('Pooled funds'!$C:$C,ROW()),0)</f>
        <v/>
      </c>
      <c r="S960">
        <f>IFERROR(--INDEX('Pooled funds'!$D:$D,ROW()),0)</f>
        <v/>
      </c>
      <c r="T960">
        <f>IFERROR(IF(--INDEX('Pooled funds'!$E:$E,ROW())&gt;=1,--INDEX('Pooled funds'!$E:$E,ROW())/100,--INDEX('Pooled funds'!$E:$E,ROW())),0)</f>
        <v/>
      </c>
      <c r="U960">
        <f>IF(ISNUMBER(INDEX('Pooled funds'!$E:$E,ROW())),1,0)</f>
        <v/>
      </c>
      <c r="V960">
        <f>TRIM(SUBSTITUTE(INDEX('Loans'!$A:$A,ROW())&amp;""," "," "))</f>
        <v/>
      </c>
      <c r="W960">
        <f>TRIM(SUBSTITUTE(INDEX('Loans'!$B:$B,ROW())&amp;""," "," "))</f>
        <v/>
      </c>
      <c r="X960">
        <f>TRIM(SUBSTITUTE(INDEX('Loans'!$C:$C,ROW())&amp;""," "," "))</f>
        <v/>
      </c>
      <c r="Y960">
        <f>IFERROR(--INDEX('Loans'!$D:$D,ROW()),0)</f>
        <v/>
      </c>
      <c r="Z960">
        <f>IFERROR(--INDEX('Loans'!$E:$E,ROW()),0)</f>
        <v/>
      </c>
      <c r="AA960">
        <f>IFERROR(--INDEX('Loans'!$F:$F,ROW()),0)</f>
        <v/>
      </c>
      <c r="AB960">
        <f>IFERROR(IF(--INDEX('Loans'!$G:$G,ROW())&gt;=1,--INDEX('Loans'!$G:$G,ROW())/100,--INDEX('Loans'!$G:$G,ROW())),0)</f>
        <v/>
      </c>
      <c r="AC960">
        <f>TRIM(SUBSTITUTE(INDEX('Loans'!$H:$H,ROW())&amp;""," "," "))</f>
        <v/>
      </c>
      <c r="AD960">
        <f>TRIM(SUBSTITUTE(INDEX('Loans'!$I:$I,ROW())&amp;""," "," "))</f>
        <v/>
      </c>
      <c r="AE960">
        <f>IFERROR(--INDEX('Loans'!$J:$J,ROW()),0)</f>
        <v/>
      </c>
      <c r="AF960">
        <f>TRIM(SUBSTITUTE(INDEX('Loans'!$K:$K,ROW())&amp;""," "," "))</f>
        <v/>
      </c>
      <c r="AG960">
        <f>IFERROR(--INDEX('Loans'!$L:$L,ROW()),0)</f>
        <v/>
      </c>
      <c r="AH960">
        <f>IF(ISNUMBER(INDEX('Loans'!$G:$G,ROW())),1,0)</f>
        <v/>
      </c>
    </row>
    <row r="961">
      <c r="A961">
        <f>TRIM(SUBSTITUTE(INDEX('Term investments'!$A:$A,ROW())&amp;""," "," "))</f>
        <v/>
      </c>
      <c r="B961">
        <f>TRIM(SUBSTITUTE(INDEX('Term investments'!$B:$B,ROW())&amp;""," "," "))</f>
        <v/>
      </c>
      <c r="C961">
        <f>TRIM(SUBSTITUTE(INDEX('Term investments'!$C:$C,ROW())&amp;""," "," "))</f>
        <v/>
      </c>
      <c r="D961">
        <f>IFERROR(--INDEX('Term investments'!$D:$D,ROW()),0)</f>
        <v/>
      </c>
      <c r="E961">
        <f>IFERROR(--INDEX('Term investments'!$E:$E,ROW()),0)</f>
        <v/>
      </c>
      <c r="F961">
        <f>IFERROR(--INDEX('Term investments'!$F:$F,ROW()),0)</f>
        <v/>
      </c>
      <c r="G961">
        <f>IFERROR(IF(--INDEX('Term investments'!$G:$G,ROW())&gt;=1,--INDEX('Term investments'!$G:$G,ROW())/100,--INDEX('Term investments'!$G:$G,ROW())),0)</f>
        <v/>
      </c>
      <c r="H961">
        <f>IFERROR(--INDEX('Term investments'!$H:$H,ROW()),0)</f>
        <v/>
      </c>
      <c r="I961">
        <f>IF(ISNUMBER(INDEX('Term investments'!$G:$G,ROW())),1,0)</f>
        <v/>
      </c>
      <c r="J961">
        <f>TRIM(SUBSTITUTE(INDEX('Call accounts and MMFs'!$A:$A,ROW())&amp;""," "," "))</f>
        <v/>
      </c>
      <c r="K961">
        <f>TRIM(SUBSTITUTE(INDEX('Call accounts and MMFs'!$B:$B,ROW())&amp;""," "," "))</f>
        <v/>
      </c>
      <c r="L961">
        <f>TRIM(SUBSTITUTE(INDEX('Call accounts and MMFs'!$C:$C,ROW())&amp;""," "," "))</f>
        <v/>
      </c>
      <c r="M961">
        <f>IFERROR(--INDEX('Call accounts and MMFs'!$D:$D,ROW()),0)</f>
        <v/>
      </c>
      <c r="N961">
        <f>IFERROR(IF(--INDEX('Call accounts and MMFs'!$E:$E,ROW())&gt;=1,--INDEX('Call accounts and MMFs'!$E:$E,ROW())/100,--INDEX('Call accounts and MMFs'!$E:$E,ROW())),0)</f>
        <v/>
      </c>
      <c r="O961">
        <f>IFERROR(--INDEX('Call accounts and MMFs'!$F:$F,ROW()),0)</f>
        <v/>
      </c>
      <c r="P961">
        <f>IF(ISNUMBER(INDEX('Call accounts and MMFs'!$E:$E,ROW())),1,0)</f>
        <v/>
      </c>
      <c r="Q961">
        <f>TRIM(SUBSTITUTE(INDEX('Pooled funds'!$B:$B,ROW())&amp;""," "," "))</f>
        <v/>
      </c>
      <c r="R961">
        <f>IFERROR(--INDEX('Pooled funds'!$C:$C,ROW()),0)</f>
        <v/>
      </c>
      <c r="S961">
        <f>IFERROR(--INDEX('Pooled funds'!$D:$D,ROW()),0)</f>
        <v/>
      </c>
      <c r="T961">
        <f>IFERROR(IF(--INDEX('Pooled funds'!$E:$E,ROW())&gt;=1,--INDEX('Pooled funds'!$E:$E,ROW())/100,--INDEX('Pooled funds'!$E:$E,ROW())),0)</f>
        <v/>
      </c>
      <c r="U961">
        <f>IF(ISNUMBER(INDEX('Pooled funds'!$E:$E,ROW())),1,0)</f>
        <v/>
      </c>
      <c r="V961">
        <f>TRIM(SUBSTITUTE(INDEX('Loans'!$A:$A,ROW())&amp;""," "," "))</f>
        <v/>
      </c>
      <c r="W961">
        <f>TRIM(SUBSTITUTE(INDEX('Loans'!$B:$B,ROW())&amp;""," "," "))</f>
        <v/>
      </c>
      <c r="X961">
        <f>TRIM(SUBSTITUTE(INDEX('Loans'!$C:$C,ROW())&amp;""," "," "))</f>
        <v/>
      </c>
      <c r="Y961">
        <f>IFERROR(--INDEX('Loans'!$D:$D,ROW()),0)</f>
        <v/>
      </c>
      <c r="Z961">
        <f>IFERROR(--INDEX('Loans'!$E:$E,ROW()),0)</f>
        <v/>
      </c>
      <c r="AA961">
        <f>IFERROR(--INDEX('Loans'!$F:$F,ROW()),0)</f>
        <v/>
      </c>
      <c r="AB961">
        <f>IFERROR(IF(--INDEX('Loans'!$G:$G,ROW())&gt;=1,--INDEX('Loans'!$G:$G,ROW())/100,--INDEX('Loans'!$G:$G,ROW())),0)</f>
        <v/>
      </c>
      <c r="AC961">
        <f>TRIM(SUBSTITUTE(INDEX('Loans'!$H:$H,ROW())&amp;""," "," "))</f>
        <v/>
      </c>
      <c r="AD961">
        <f>TRIM(SUBSTITUTE(INDEX('Loans'!$I:$I,ROW())&amp;""," "," "))</f>
        <v/>
      </c>
      <c r="AE961">
        <f>IFERROR(--INDEX('Loans'!$J:$J,ROW()),0)</f>
        <v/>
      </c>
      <c r="AF961">
        <f>TRIM(SUBSTITUTE(INDEX('Loans'!$K:$K,ROW())&amp;""," "," "))</f>
        <v/>
      </c>
      <c r="AG961">
        <f>IFERROR(--INDEX('Loans'!$L:$L,ROW()),0)</f>
        <v/>
      </c>
      <c r="AH961">
        <f>IF(ISNUMBER(INDEX('Loans'!$G:$G,ROW())),1,0)</f>
        <v/>
      </c>
    </row>
    <row r="962">
      <c r="A962">
        <f>TRIM(SUBSTITUTE(INDEX('Term investments'!$A:$A,ROW())&amp;""," "," "))</f>
        <v/>
      </c>
      <c r="B962">
        <f>TRIM(SUBSTITUTE(INDEX('Term investments'!$B:$B,ROW())&amp;""," "," "))</f>
        <v/>
      </c>
      <c r="C962">
        <f>TRIM(SUBSTITUTE(INDEX('Term investments'!$C:$C,ROW())&amp;""," "," "))</f>
        <v/>
      </c>
      <c r="D962">
        <f>IFERROR(--INDEX('Term investments'!$D:$D,ROW()),0)</f>
        <v/>
      </c>
      <c r="E962">
        <f>IFERROR(--INDEX('Term investments'!$E:$E,ROW()),0)</f>
        <v/>
      </c>
      <c r="F962">
        <f>IFERROR(--INDEX('Term investments'!$F:$F,ROW()),0)</f>
        <v/>
      </c>
      <c r="G962">
        <f>IFERROR(IF(--INDEX('Term investments'!$G:$G,ROW())&gt;=1,--INDEX('Term investments'!$G:$G,ROW())/100,--INDEX('Term investments'!$G:$G,ROW())),0)</f>
        <v/>
      </c>
      <c r="H962">
        <f>IFERROR(--INDEX('Term investments'!$H:$H,ROW()),0)</f>
        <v/>
      </c>
      <c r="I962">
        <f>IF(ISNUMBER(INDEX('Term investments'!$G:$G,ROW())),1,0)</f>
        <v/>
      </c>
      <c r="J962">
        <f>TRIM(SUBSTITUTE(INDEX('Call accounts and MMFs'!$A:$A,ROW())&amp;""," "," "))</f>
        <v/>
      </c>
      <c r="K962">
        <f>TRIM(SUBSTITUTE(INDEX('Call accounts and MMFs'!$B:$B,ROW())&amp;""," "," "))</f>
        <v/>
      </c>
      <c r="L962">
        <f>TRIM(SUBSTITUTE(INDEX('Call accounts and MMFs'!$C:$C,ROW())&amp;""," "," "))</f>
        <v/>
      </c>
      <c r="M962">
        <f>IFERROR(--INDEX('Call accounts and MMFs'!$D:$D,ROW()),0)</f>
        <v/>
      </c>
      <c r="N962">
        <f>IFERROR(IF(--INDEX('Call accounts and MMFs'!$E:$E,ROW())&gt;=1,--INDEX('Call accounts and MMFs'!$E:$E,ROW())/100,--INDEX('Call accounts and MMFs'!$E:$E,ROW())),0)</f>
        <v/>
      </c>
      <c r="O962">
        <f>IFERROR(--INDEX('Call accounts and MMFs'!$F:$F,ROW()),0)</f>
        <v/>
      </c>
      <c r="P962">
        <f>IF(ISNUMBER(INDEX('Call accounts and MMFs'!$E:$E,ROW())),1,0)</f>
        <v/>
      </c>
      <c r="Q962">
        <f>TRIM(SUBSTITUTE(INDEX('Pooled funds'!$B:$B,ROW())&amp;""," "," "))</f>
        <v/>
      </c>
      <c r="R962">
        <f>IFERROR(--INDEX('Pooled funds'!$C:$C,ROW()),0)</f>
        <v/>
      </c>
      <c r="S962">
        <f>IFERROR(--INDEX('Pooled funds'!$D:$D,ROW()),0)</f>
        <v/>
      </c>
      <c r="T962">
        <f>IFERROR(IF(--INDEX('Pooled funds'!$E:$E,ROW())&gt;=1,--INDEX('Pooled funds'!$E:$E,ROW())/100,--INDEX('Pooled funds'!$E:$E,ROW())),0)</f>
        <v/>
      </c>
      <c r="U962">
        <f>IF(ISNUMBER(INDEX('Pooled funds'!$E:$E,ROW())),1,0)</f>
        <v/>
      </c>
      <c r="V962">
        <f>TRIM(SUBSTITUTE(INDEX('Loans'!$A:$A,ROW())&amp;""," "," "))</f>
        <v/>
      </c>
      <c r="W962">
        <f>TRIM(SUBSTITUTE(INDEX('Loans'!$B:$B,ROW())&amp;""," "," "))</f>
        <v/>
      </c>
      <c r="X962">
        <f>TRIM(SUBSTITUTE(INDEX('Loans'!$C:$C,ROW())&amp;""," "," "))</f>
        <v/>
      </c>
      <c r="Y962">
        <f>IFERROR(--INDEX('Loans'!$D:$D,ROW()),0)</f>
        <v/>
      </c>
      <c r="Z962">
        <f>IFERROR(--INDEX('Loans'!$E:$E,ROW()),0)</f>
        <v/>
      </c>
      <c r="AA962">
        <f>IFERROR(--INDEX('Loans'!$F:$F,ROW()),0)</f>
        <v/>
      </c>
      <c r="AB962">
        <f>IFERROR(IF(--INDEX('Loans'!$G:$G,ROW())&gt;=1,--INDEX('Loans'!$G:$G,ROW())/100,--INDEX('Loans'!$G:$G,ROW())),0)</f>
        <v/>
      </c>
      <c r="AC962">
        <f>TRIM(SUBSTITUTE(INDEX('Loans'!$H:$H,ROW())&amp;""," "," "))</f>
        <v/>
      </c>
      <c r="AD962">
        <f>TRIM(SUBSTITUTE(INDEX('Loans'!$I:$I,ROW())&amp;""," "," "))</f>
        <v/>
      </c>
      <c r="AE962">
        <f>IFERROR(--INDEX('Loans'!$J:$J,ROW()),0)</f>
        <v/>
      </c>
      <c r="AF962">
        <f>TRIM(SUBSTITUTE(INDEX('Loans'!$K:$K,ROW())&amp;""," "," "))</f>
        <v/>
      </c>
      <c r="AG962">
        <f>IFERROR(--INDEX('Loans'!$L:$L,ROW()),0)</f>
        <v/>
      </c>
      <c r="AH962">
        <f>IF(ISNUMBER(INDEX('Loans'!$G:$G,ROW())),1,0)</f>
        <v/>
      </c>
    </row>
    <row r="963">
      <c r="A963">
        <f>TRIM(SUBSTITUTE(INDEX('Term investments'!$A:$A,ROW())&amp;""," "," "))</f>
        <v/>
      </c>
      <c r="B963">
        <f>TRIM(SUBSTITUTE(INDEX('Term investments'!$B:$B,ROW())&amp;""," "," "))</f>
        <v/>
      </c>
      <c r="C963">
        <f>TRIM(SUBSTITUTE(INDEX('Term investments'!$C:$C,ROW())&amp;""," "," "))</f>
        <v/>
      </c>
      <c r="D963">
        <f>IFERROR(--INDEX('Term investments'!$D:$D,ROW()),0)</f>
        <v/>
      </c>
      <c r="E963">
        <f>IFERROR(--INDEX('Term investments'!$E:$E,ROW()),0)</f>
        <v/>
      </c>
      <c r="F963">
        <f>IFERROR(--INDEX('Term investments'!$F:$F,ROW()),0)</f>
        <v/>
      </c>
      <c r="G963">
        <f>IFERROR(IF(--INDEX('Term investments'!$G:$G,ROW())&gt;=1,--INDEX('Term investments'!$G:$G,ROW())/100,--INDEX('Term investments'!$G:$G,ROW())),0)</f>
        <v/>
      </c>
      <c r="H963">
        <f>IFERROR(--INDEX('Term investments'!$H:$H,ROW()),0)</f>
        <v/>
      </c>
      <c r="I963">
        <f>IF(ISNUMBER(INDEX('Term investments'!$G:$G,ROW())),1,0)</f>
        <v/>
      </c>
      <c r="J963">
        <f>TRIM(SUBSTITUTE(INDEX('Call accounts and MMFs'!$A:$A,ROW())&amp;""," "," "))</f>
        <v/>
      </c>
      <c r="K963">
        <f>TRIM(SUBSTITUTE(INDEX('Call accounts and MMFs'!$B:$B,ROW())&amp;""," "," "))</f>
        <v/>
      </c>
      <c r="L963">
        <f>TRIM(SUBSTITUTE(INDEX('Call accounts and MMFs'!$C:$C,ROW())&amp;""," "," "))</f>
        <v/>
      </c>
      <c r="M963">
        <f>IFERROR(--INDEX('Call accounts and MMFs'!$D:$D,ROW()),0)</f>
        <v/>
      </c>
      <c r="N963">
        <f>IFERROR(IF(--INDEX('Call accounts and MMFs'!$E:$E,ROW())&gt;=1,--INDEX('Call accounts and MMFs'!$E:$E,ROW())/100,--INDEX('Call accounts and MMFs'!$E:$E,ROW())),0)</f>
        <v/>
      </c>
      <c r="O963">
        <f>IFERROR(--INDEX('Call accounts and MMFs'!$F:$F,ROW()),0)</f>
        <v/>
      </c>
      <c r="P963">
        <f>IF(ISNUMBER(INDEX('Call accounts and MMFs'!$E:$E,ROW())),1,0)</f>
        <v/>
      </c>
      <c r="Q963">
        <f>TRIM(SUBSTITUTE(INDEX('Pooled funds'!$B:$B,ROW())&amp;""," "," "))</f>
        <v/>
      </c>
      <c r="R963">
        <f>IFERROR(--INDEX('Pooled funds'!$C:$C,ROW()),0)</f>
        <v/>
      </c>
      <c r="S963">
        <f>IFERROR(--INDEX('Pooled funds'!$D:$D,ROW()),0)</f>
        <v/>
      </c>
      <c r="T963">
        <f>IFERROR(IF(--INDEX('Pooled funds'!$E:$E,ROW())&gt;=1,--INDEX('Pooled funds'!$E:$E,ROW())/100,--INDEX('Pooled funds'!$E:$E,ROW())),0)</f>
        <v/>
      </c>
      <c r="U963">
        <f>IF(ISNUMBER(INDEX('Pooled funds'!$E:$E,ROW())),1,0)</f>
        <v/>
      </c>
      <c r="V963">
        <f>TRIM(SUBSTITUTE(INDEX('Loans'!$A:$A,ROW())&amp;""," "," "))</f>
        <v/>
      </c>
      <c r="W963">
        <f>TRIM(SUBSTITUTE(INDEX('Loans'!$B:$B,ROW())&amp;""," "," "))</f>
        <v/>
      </c>
      <c r="X963">
        <f>TRIM(SUBSTITUTE(INDEX('Loans'!$C:$C,ROW())&amp;""," "," "))</f>
        <v/>
      </c>
      <c r="Y963">
        <f>IFERROR(--INDEX('Loans'!$D:$D,ROW()),0)</f>
        <v/>
      </c>
      <c r="Z963">
        <f>IFERROR(--INDEX('Loans'!$E:$E,ROW()),0)</f>
        <v/>
      </c>
      <c r="AA963">
        <f>IFERROR(--INDEX('Loans'!$F:$F,ROW()),0)</f>
        <v/>
      </c>
      <c r="AB963">
        <f>IFERROR(IF(--INDEX('Loans'!$G:$G,ROW())&gt;=1,--INDEX('Loans'!$G:$G,ROW())/100,--INDEX('Loans'!$G:$G,ROW())),0)</f>
        <v/>
      </c>
      <c r="AC963">
        <f>TRIM(SUBSTITUTE(INDEX('Loans'!$H:$H,ROW())&amp;""," "," "))</f>
        <v/>
      </c>
      <c r="AD963">
        <f>TRIM(SUBSTITUTE(INDEX('Loans'!$I:$I,ROW())&amp;""," "," "))</f>
        <v/>
      </c>
      <c r="AE963">
        <f>IFERROR(--INDEX('Loans'!$J:$J,ROW()),0)</f>
        <v/>
      </c>
      <c r="AF963">
        <f>TRIM(SUBSTITUTE(INDEX('Loans'!$K:$K,ROW())&amp;""," "," "))</f>
        <v/>
      </c>
      <c r="AG963">
        <f>IFERROR(--INDEX('Loans'!$L:$L,ROW()),0)</f>
        <v/>
      </c>
      <c r="AH963">
        <f>IF(ISNUMBER(INDEX('Loans'!$G:$G,ROW())),1,0)</f>
        <v/>
      </c>
    </row>
    <row r="964">
      <c r="A964">
        <f>TRIM(SUBSTITUTE(INDEX('Term investments'!$A:$A,ROW())&amp;""," "," "))</f>
        <v/>
      </c>
      <c r="B964">
        <f>TRIM(SUBSTITUTE(INDEX('Term investments'!$B:$B,ROW())&amp;""," "," "))</f>
        <v/>
      </c>
      <c r="C964">
        <f>TRIM(SUBSTITUTE(INDEX('Term investments'!$C:$C,ROW())&amp;""," "," "))</f>
        <v/>
      </c>
      <c r="D964">
        <f>IFERROR(--INDEX('Term investments'!$D:$D,ROW()),0)</f>
        <v/>
      </c>
      <c r="E964">
        <f>IFERROR(--INDEX('Term investments'!$E:$E,ROW()),0)</f>
        <v/>
      </c>
      <c r="F964">
        <f>IFERROR(--INDEX('Term investments'!$F:$F,ROW()),0)</f>
        <v/>
      </c>
      <c r="G964">
        <f>IFERROR(IF(--INDEX('Term investments'!$G:$G,ROW())&gt;=1,--INDEX('Term investments'!$G:$G,ROW())/100,--INDEX('Term investments'!$G:$G,ROW())),0)</f>
        <v/>
      </c>
      <c r="H964">
        <f>IFERROR(--INDEX('Term investments'!$H:$H,ROW()),0)</f>
        <v/>
      </c>
      <c r="I964">
        <f>IF(ISNUMBER(INDEX('Term investments'!$G:$G,ROW())),1,0)</f>
        <v/>
      </c>
      <c r="J964">
        <f>TRIM(SUBSTITUTE(INDEX('Call accounts and MMFs'!$A:$A,ROW())&amp;""," "," "))</f>
        <v/>
      </c>
      <c r="K964">
        <f>TRIM(SUBSTITUTE(INDEX('Call accounts and MMFs'!$B:$B,ROW())&amp;""," "," "))</f>
        <v/>
      </c>
      <c r="L964">
        <f>TRIM(SUBSTITUTE(INDEX('Call accounts and MMFs'!$C:$C,ROW())&amp;""," "," "))</f>
        <v/>
      </c>
      <c r="M964">
        <f>IFERROR(--INDEX('Call accounts and MMFs'!$D:$D,ROW()),0)</f>
        <v/>
      </c>
      <c r="N964">
        <f>IFERROR(IF(--INDEX('Call accounts and MMFs'!$E:$E,ROW())&gt;=1,--INDEX('Call accounts and MMFs'!$E:$E,ROW())/100,--INDEX('Call accounts and MMFs'!$E:$E,ROW())),0)</f>
        <v/>
      </c>
      <c r="O964">
        <f>IFERROR(--INDEX('Call accounts and MMFs'!$F:$F,ROW()),0)</f>
        <v/>
      </c>
      <c r="P964">
        <f>IF(ISNUMBER(INDEX('Call accounts and MMFs'!$E:$E,ROW())),1,0)</f>
        <v/>
      </c>
      <c r="Q964">
        <f>TRIM(SUBSTITUTE(INDEX('Pooled funds'!$B:$B,ROW())&amp;""," "," "))</f>
        <v/>
      </c>
      <c r="R964">
        <f>IFERROR(--INDEX('Pooled funds'!$C:$C,ROW()),0)</f>
        <v/>
      </c>
      <c r="S964">
        <f>IFERROR(--INDEX('Pooled funds'!$D:$D,ROW()),0)</f>
        <v/>
      </c>
      <c r="T964">
        <f>IFERROR(IF(--INDEX('Pooled funds'!$E:$E,ROW())&gt;=1,--INDEX('Pooled funds'!$E:$E,ROW())/100,--INDEX('Pooled funds'!$E:$E,ROW())),0)</f>
        <v/>
      </c>
      <c r="U964">
        <f>IF(ISNUMBER(INDEX('Pooled funds'!$E:$E,ROW())),1,0)</f>
        <v/>
      </c>
      <c r="V964">
        <f>TRIM(SUBSTITUTE(INDEX('Loans'!$A:$A,ROW())&amp;""," "," "))</f>
        <v/>
      </c>
      <c r="W964">
        <f>TRIM(SUBSTITUTE(INDEX('Loans'!$B:$B,ROW())&amp;""," "," "))</f>
        <v/>
      </c>
      <c r="X964">
        <f>TRIM(SUBSTITUTE(INDEX('Loans'!$C:$C,ROW())&amp;""," "," "))</f>
        <v/>
      </c>
      <c r="Y964">
        <f>IFERROR(--INDEX('Loans'!$D:$D,ROW()),0)</f>
        <v/>
      </c>
      <c r="Z964">
        <f>IFERROR(--INDEX('Loans'!$E:$E,ROW()),0)</f>
        <v/>
      </c>
      <c r="AA964">
        <f>IFERROR(--INDEX('Loans'!$F:$F,ROW()),0)</f>
        <v/>
      </c>
      <c r="AB964">
        <f>IFERROR(IF(--INDEX('Loans'!$G:$G,ROW())&gt;=1,--INDEX('Loans'!$G:$G,ROW())/100,--INDEX('Loans'!$G:$G,ROW())),0)</f>
        <v/>
      </c>
      <c r="AC964">
        <f>TRIM(SUBSTITUTE(INDEX('Loans'!$H:$H,ROW())&amp;""," "," "))</f>
        <v/>
      </c>
      <c r="AD964">
        <f>TRIM(SUBSTITUTE(INDEX('Loans'!$I:$I,ROW())&amp;""," "," "))</f>
        <v/>
      </c>
      <c r="AE964">
        <f>IFERROR(--INDEX('Loans'!$J:$J,ROW()),0)</f>
        <v/>
      </c>
      <c r="AF964">
        <f>TRIM(SUBSTITUTE(INDEX('Loans'!$K:$K,ROW())&amp;""," "," "))</f>
        <v/>
      </c>
      <c r="AG964">
        <f>IFERROR(--INDEX('Loans'!$L:$L,ROW()),0)</f>
        <v/>
      </c>
      <c r="AH964">
        <f>IF(ISNUMBER(INDEX('Loans'!$G:$G,ROW())),1,0)</f>
        <v/>
      </c>
    </row>
    <row r="965">
      <c r="A965">
        <f>TRIM(SUBSTITUTE(INDEX('Term investments'!$A:$A,ROW())&amp;""," "," "))</f>
        <v/>
      </c>
      <c r="B965">
        <f>TRIM(SUBSTITUTE(INDEX('Term investments'!$B:$B,ROW())&amp;""," "," "))</f>
        <v/>
      </c>
      <c r="C965">
        <f>TRIM(SUBSTITUTE(INDEX('Term investments'!$C:$C,ROW())&amp;""," "," "))</f>
        <v/>
      </c>
      <c r="D965">
        <f>IFERROR(--INDEX('Term investments'!$D:$D,ROW()),0)</f>
        <v/>
      </c>
      <c r="E965">
        <f>IFERROR(--INDEX('Term investments'!$E:$E,ROW()),0)</f>
        <v/>
      </c>
      <c r="F965">
        <f>IFERROR(--INDEX('Term investments'!$F:$F,ROW()),0)</f>
        <v/>
      </c>
      <c r="G965">
        <f>IFERROR(IF(--INDEX('Term investments'!$G:$G,ROW())&gt;=1,--INDEX('Term investments'!$G:$G,ROW())/100,--INDEX('Term investments'!$G:$G,ROW())),0)</f>
        <v/>
      </c>
      <c r="H965">
        <f>IFERROR(--INDEX('Term investments'!$H:$H,ROW()),0)</f>
        <v/>
      </c>
      <c r="I965">
        <f>IF(ISNUMBER(INDEX('Term investments'!$G:$G,ROW())),1,0)</f>
        <v/>
      </c>
      <c r="J965">
        <f>TRIM(SUBSTITUTE(INDEX('Call accounts and MMFs'!$A:$A,ROW())&amp;""," "," "))</f>
        <v/>
      </c>
      <c r="K965">
        <f>TRIM(SUBSTITUTE(INDEX('Call accounts and MMFs'!$B:$B,ROW())&amp;""," "," "))</f>
        <v/>
      </c>
      <c r="L965">
        <f>TRIM(SUBSTITUTE(INDEX('Call accounts and MMFs'!$C:$C,ROW())&amp;""," "," "))</f>
        <v/>
      </c>
      <c r="M965">
        <f>IFERROR(--INDEX('Call accounts and MMFs'!$D:$D,ROW()),0)</f>
        <v/>
      </c>
      <c r="N965">
        <f>IFERROR(IF(--INDEX('Call accounts and MMFs'!$E:$E,ROW())&gt;=1,--INDEX('Call accounts and MMFs'!$E:$E,ROW())/100,--INDEX('Call accounts and MMFs'!$E:$E,ROW())),0)</f>
        <v/>
      </c>
      <c r="O965">
        <f>IFERROR(--INDEX('Call accounts and MMFs'!$F:$F,ROW()),0)</f>
        <v/>
      </c>
      <c r="P965">
        <f>IF(ISNUMBER(INDEX('Call accounts and MMFs'!$E:$E,ROW())),1,0)</f>
        <v/>
      </c>
      <c r="Q965">
        <f>TRIM(SUBSTITUTE(INDEX('Pooled funds'!$B:$B,ROW())&amp;""," "," "))</f>
        <v/>
      </c>
      <c r="R965">
        <f>IFERROR(--INDEX('Pooled funds'!$C:$C,ROW()),0)</f>
        <v/>
      </c>
      <c r="S965">
        <f>IFERROR(--INDEX('Pooled funds'!$D:$D,ROW()),0)</f>
        <v/>
      </c>
      <c r="T965">
        <f>IFERROR(IF(--INDEX('Pooled funds'!$E:$E,ROW())&gt;=1,--INDEX('Pooled funds'!$E:$E,ROW())/100,--INDEX('Pooled funds'!$E:$E,ROW())),0)</f>
        <v/>
      </c>
      <c r="U965">
        <f>IF(ISNUMBER(INDEX('Pooled funds'!$E:$E,ROW())),1,0)</f>
        <v/>
      </c>
      <c r="V965">
        <f>TRIM(SUBSTITUTE(INDEX('Loans'!$A:$A,ROW())&amp;""," "," "))</f>
        <v/>
      </c>
      <c r="W965">
        <f>TRIM(SUBSTITUTE(INDEX('Loans'!$B:$B,ROW())&amp;""," "," "))</f>
        <v/>
      </c>
      <c r="X965">
        <f>TRIM(SUBSTITUTE(INDEX('Loans'!$C:$C,ROW())&amp;""," "," "))</f>
        <v/>
      </c>
      <c r="Y965">
        <f>IFERROR(--INDEX('Loans'!$D:$D,ROW()),0)</f>
        <v/>
      </c>
      <c r="Z965">
        <f>IFERROR(--INDEX('Loans'!$E:$E,ROW()),0)</f>
        <v/>
      </c>
      <c r="AA965">
        <f>IFERROR(--INDEX('Loans'!$F:$F,ROW()),0)</f>
        <v/>
      </c>
      <c r="AB965">
        <f>IFERROR(IF(--INDEX('Loans'!$G:$G,ROW())&gt;=1,--INDEX('Loans'!$G:$G,ROW())/100,--INDEX('Loans'!$G:$G,ROW())),0)</f>
        <v/>
      </c>
      <c r="AC965">
        <f>TRIM(SUBSTITUTE(INDEX('Loans'!$H:$H,ROW())&amp;""," "," "))</f>
        <v/>
      </c>
      <c r="AD965">
        <f>TRIM(SUBSTITUTE(INDEX('Loans'!$I:$I,ROW())&amp;""," "," "))</f>
        <v/>
      </c>
      <c r="AE965">
        <f>IFERROR(--INDEX('Loans'!$J:$J,ROW()),0)</f>
        <v/>
      </c>
      <c r="AF965">
        <f>TRIM(SUBSTITUTE(INDEX('Loans'!$K:$K,ROW())&amp;""," "," "))</f>
        <v/>
      </c>
      <c r="AG965">
        <f>IFERROR(--INDEX('Loans'!$L:$L,ROW()),0)</f>
        <v/>
      </c>
      <c r="AH965">
        <f>IF(ISNUMBER(INDEX('Loans'!$G:$G,ROW())),1,0)</f>
        <v/>
      </c>
    </row>
    <row r="966">
      <c r="A966">
        <f>TRIM(SUBSTITUTE(INDEX('Term investments'!$A:$A,ROW())&amp;""," "," "))</f>
        <v/>
      </c>
      <c r="B966">
        <f>TRIM(SUBSTITUTE(INDEX('Term investments'!$B:$B,ROW())&amp;""," "," "))</f>
        <v/>
      </c>
      <c r="C966">
        <f>TRIM(SUBSTITUTE(INDEX('Term investments'!$C:$C,ROW())&amp;""," "," "))</f>
        <v/>
      </c>
      <c r="D966">
        <f>IFERROR(--INDEX('Term investments'!$D:$D,ROW()),0)</f>
        <v/>
      </c>
      <c r="E966">
        <f>IFERROR(--INDEX('Term investments'!$E:$E,ROW()),0)</f>
        <v/>
      </c>
      <c r="F966">
        <f>IFERROR(--INDEX('Term investments'!$F:$F,ROW()),0)</f>
        <v/>
      </c>
      <c r="G966">
        <f>IFERROR(IF(--INDEX('Term investments'!$G:$G,ROW())&gt;=1,--INDEX('Term investments'!$G:$G,ROW())/100,--INDEX('Term investments'!$G:$G,ROW())),0)</f>
        <v/>
      </c>
      <c r="H966">
        <f>IFERROR(--INDEX('Term investments'!$H:$H,ROW()),0)</f>
        <v/>
      </c>
      <c r="I966">
        <f>IF(ISNUMBER(INDEX('Term investments'!$G:$G,ROW())),1,0)</f>
        <v/>
      </c>
      <c r="J966">
        <f>TRIM(SUBSTITUTE(INDEX('Call accounts and MMFs'!$A:$A,ROW())&amp;""," "," "))</f>
        <v/>
      </c>
      <c r="K966">
        <f>TRIM(SUBSTITUTE(INDEX('Call accounts and MMFs'!$B:$B,ROW())&amp;""," "," "))</f>
        <v/>
      </c>
      <c r="L966">
        <f>TRIM(SUBSTITUTE(INDEX('Call accounts and MMFs'!$C:$C,ROW())&amp;""," "," "))</f>
        <v/>
      </c>
      <c r="M966">
        <f>IFERROR(--INDEX('Call accounts and MMFs'!$D:$D,ROW()),0)</f>
        <v/>
      </c>
      <c r="N966">
        <f>IFERROR(IF(--INDEX('Call accounts and MMFs'!$E:$E,ROW())&gt;=1,--INDEX('Call accounts and MMFs'!$E:$E,ROW())/100,--INDEX('Call accounts and MMFs'!$E:$E,ROW())),0)</f>
        <v/>
      </c>
      <c r="O966">
        <f>IFERROR(--INDEX('Call accounts and MMFs'!$F:$F,ROW()),0)</f>
        <v/>
      </c>
      <c r="P966">
        <f>IF(ISNUMBER(INDEX('Call accounts and MMFs'!$E:$E,ROW())),1,0)</f>
        <v/>
      </c>
      <c r="Q966">
        <f>TRIM(SUBSTITUTE(INDEX('Pooled funds'!$B:$B,ROW())&amp;""," "," "))</f>
        <v/>
      </c>
      <c r="R966">
        <f>IFERROR(--INDEX('Pooled funds'!$C:$C,ROW()),0)</f>
        <v/>
      </c>
      <c r="S966">
        <f>IFERROR(--INDEX('Pooled funds'!$D:$D,ROW()),0)</f>
        <v/>
      </c>
      <c r="T966">
        <f>IFERROR(IF(--INDEX('Pooled funds'!$E:$E,ROW())&gt;=1,--INDEX('Pooled funds'!$E:$E,ROW())/100,--INDEX('Pooled funds'!$E:$E,ROW())),0)</f>
        <v/>
      </c>
      <c r="U966">
        <f>IF(ISNUMBER(INDEX('Pooled funds'!$E:$E,ROW())),1,0)</f>
        <v/>
      </c>
      <c r="V966">
        <f>TRIM(SUBSTITUTE(INDEX('Loans'!$A:$A,ROW())&amp;""," "," "))</f>
        <v/>
      </c>
      <c r="W966">
        <f>TRIM(SUBSTITUTE(INDEX('Loans'!$B:$B,ROW())&amp;""," "," "))</f>
        <v/>
      </c>
      <c r="X966">
        <f>TRIM(SUBSTITUTE(INDEX('Loans'!$C:$C,ROW())&amp;""," "," "))</f>
        <v/>
      </c>
      <c r="Y966">
        <f>IFERROR(--INDEX('Loans'!$D:$D,ROW()),0)</f>
        <v/>
      </c>
      <c r="Z966">
        <f>IFERROR(--INDEX('Loans'!$E:$E,ROW()),0)</f>
        <v/>
      </c>
      <c r="AA966">
        <f>IFERROR(--INDEX('Loans'!$F:$F,ROW()),0)</f>
        <v/>
      </c>
      <c r="AB966">
        <f>IFERROR(IF(--INDEX('Loans'!$G:$G,ROW())&gt;=1,--INDEX('Loans'!$G:$G,ROW())/100,--INDEX('Loans'!$G:$G,ROW())),0)</f>
        <v/>
      </c>
      <c r="AC966">
        <f>TRIM(SUBSTITUTE(INDEX('Loans'!$H:$H,ROW())&amp;""," "," "))</f>
        <v/>
      </c>
      <c r="AD966">
        <f>TRIM(SUBSTITUTE(INDEX('Loans'!$I:$I,ROW())&amp;""," "," "))</f>
        <v/>
      </c>
      <c r="AE966">
        <f>IFERROR(--INDEX('Loans'!$J:$J,ROW()),0)</f>
        <v/>
      </c>
      <c r="AF966">
        <f>TRIM(SUBSTITUTE(INDEX('Loans'!$K:$K,ROW())&amp;""," "," "))</f>
        <v/>
      </c>
      <c r="AG966">
        <f>IFERROR(--INDEX('Loans'!$L:$L,ROW()),0)</f>
        <v/>
      </c>
      <c r="AH966">
        <f>IF(ISNUMBER(INDEX('Loans'!$G:$G,ROW())),1,0)</f>
        <v/>
      </c>
    </row>
    <row r="967">
      <c r="A967">
        <f>TRIM(SUBSTITUTE(INDEX('Term investments'!$A:$A,ROW())&amp;""," "," "))</f>
        <v/>
      </c>
      <c r="B967">
        <f>TRIM(SUBSTITUTE(INDEX('Term investments'!$B:$B,ROW())&amp;""," "," "))</f>
        <v/>
      </c>
      <c r="C967">
        <f>TRIM(SUBSTITUTE(INDEX('Term investments'!$C:$C,ROW())&amp;""," "," "))</f>
        <v/>
      </c>
      <c r="D967">
        <f>IFERROR(--INDEX('Term investments'!$D:$D,ROW()),0)</f>
        <v/>
      </c>
      <c r="E967">
        <f>IFERROR(--INDEX('Term investments'!$E:$E,ROW()),0)</f>
        <v/>
      </c>
      <c r="F967">
        <f>IFERROR(--INDEX('Term investments'!$F:$F,ROW()),0)</f>
        <v/>
      </c>
      <c r="G967">
        <f>IFERROR(IF(--INDEX('Term investments'!$G:$G,ROW())&gt;=1,--INDEX('Term investments'!$G:$G,ROW())/100,--INDEX('Term investments'!$G:$G,ROW())),0)</f>
        <v/>
      </c>
      <c r="H967">
        <f>IFERROR(--INDEX('Term investments'!$H:$H,ROW()),0)</f>
        <v/>
      </c>
      <c r="I967">
        <f>IF(ISNUMBER(INDEX('Term investments'!$G:$G,ROW())),1,0)</f>
        <v/>
      </c>
      <c r="J967">
        <f>TRIM(SUBSTITUTE(INDEX('Call accounts and MMFs'!$A:$A,ROW())&amp;""," "," "))</f>
        <v/>
      </c>
      <c r="K967">
        <f>TRIM(SUBSTITUTE(INDEX('Call accounts and MMFs'!$B:$B,ROW())&amp;""," "," "))</f>
        <v/>
      </c>
      <c r="L967">
        <f>TRIM(SUBSTITUTE(INDEX('Call accounts and MMFs'!$C:$C,ROW())&amp;""," "," "))</f>
        <v/>
      </c>
      <c r="M967">
        <f>IFERROR(--INDEX('Call accounts and MMFs'!$D:$D,ROW()),0)</f>
        <v/>
      </c>
      <c r="N967">
        <f>IFERROR(IF(--INDEX('Call accounts and MMFs'!$E:$E,ROW())&gt;=1,--INDEX('Call accounts and MMFs'!$E:$E,ROW())/100,--INDEX('Call accounts and MMFs'!$E:$E,ROW())),0)</f>
        <v/>
      </c>
      <c r="O967">
        <f>IFERROR(--INDEX('Call accounts and MMFs'!$F:$F,ROW()),0)</f>
        <v/>
      </c>
      <c r="P967">
        <f>IF(ISNUMBER(INDEX('Call accounts and MMFs'!$E:$E,ROW())),1,0)</f>
        <v/>
      </c>
      <c r="Q967">
        <f>TRIM(SUBSTITUTE(INDEX('Pooled funds'!$B:$B,ROW())&amp;""," "," "))</f>
        <v/>
      </c>
      <c r="R967">
        <f>IFERROR(--INDEX('Pooled funds'!$C:$C,ROW()),0)</f>
        <v/>
      </c>
      <c r="S967">
        <f>IFERROR(--INDEX('Pooled funds'!$D:$D,ROW()),0)</f>
        <v/>
      </c>
      <c r="T967">
        <f>IFERROR(IF(--INDEX('Pooled funds'!$E:$E,ROW())&gt;=1,--INDEX('Pooled funds'!$E:$E,ROW())/100,--INDEX('Pooled funds'!$E:$E,ROW())),0)</f>
        <v/>
      </c>
      <c r="U967">
        <f>IF(ISNUMBER(INDEX('Pooled funds'!$E:$E,ROW())),1,0)</f>
        <v/>
      </c>
      <c r="V967">
        <f>TRIM(SUBSTITUTE(INDEX('Loans'!$A:$A,ROW())&amp;""," "," "))</f>
        <v/>
      </c>
      <c r="W967">
        <f>TRIM(SUBSTITUTE(INDEX('Loans'!$B:$B,ROW())&amp;""," "," "))</f>
        <v/>
      </c>
      <c r="X967">
        <f>TRIM(SUBSTITUTE(INDEX('Loans'!$C:$C,ROW())&amp;""," "," "))</f>
        <v/>
      </c>
      <c r="Y967">
        <f>IFERROR(--INDEX('Loans'!$D:$D,ROW()),0)</f>
        <v/>
      </c>
      <c r="Z967">
        <f>IFERROR(--INDEX('Loans'!$E:$E,ROW()),0)</f>
        <v/>
      </c>
      <c r="AA967">
        <f>IFERROR(--INDEX('Loans'!$F:$F,ROW()),0)</f>
        <v/>
      </c>
      <c r="AB967">
        <f>IFERROR(IF(--INDEX('Loans'!$G:$G,ROW())&gt;=1,--INDEX('Loans'!$G:$G,ROW())/100,--INDEX('Loans'!$G:$G,ROW())),0)</f>
        <v/>
      </c>
      <c r="AC967">
        <f>TRIM(SUBSTITUTE(INDEX('Loans'!$H:$H,ROW())&amp;""," "," "))</f>
        <v/>
      </c>
      <c r="AD967">
        <f>TRIM(SUBSTITUTE(INDEX('Loans'!$I:$I,ROW())&amp;""," "," "))</f>
        <v/>
      </c>
      <c r="AE967">
        <f>IFERROR(--INDEX('Loans'!$J:$J,ROW()),0)</f>
        <v/>
      </c>
      <c r="AF967">
        <f>TRIM(SUBSTITUTE(INDEX('Loans'!$K:$K,ROW())&amp;""," "," "))</f>
        <v/>
      </c>
      <c r="AG967">
        <f>IFERROR(--INDEX('Loans'!$L:$L,ROW()),0)</f>
        <v/>
      </c>
      <c r="AH967">
        <f>IF(ISNUMBER(INDEX('Loans'!$G:$G,ROW())),1,0)</f>
        <v/>
      </c>
    </row>
    <row r="968">
      <c r="A968">
        <f>TRIM(SUBSTITUTE(INDEX('Term investments'!$A:$A,ROW())&amp;""," "," "))</f>
        <v/>
      </c>
      <c r="B968">
        <f>TRIM(SUBSTITUTE(INDEX('Term investments'!$B:$B,ROW())&amp;""," "," "))</f>
        <v/>
      </c>
      <c r="C968">
        <f>TRIM(SUBSTITUTE(INDEX('Term investments'!$C:$C,ROW())&amp;""," "," "))</f>
        <v/>
      </c>
      <c r="D968">
        <f>IFERROR(--INDEX('Term investments'!$D:$D,ROW()),0)</f>
        <v/>
      </c>
      <c r="E968">
        <f>IFERROR(--INDEX('Term investments'!$E:$E,ROW()),0)</f>
        <v/>
      </c>
      <c r="F968">
        <f>IFERROR(--INDEX('Term investments'!$F:$F,ROW()),0)</f>
        <v/>
      </c>
      <c r="G968">
        <f>IFERROR(IF(--INDEX('Term investments'!$G:$G,ROW())&gt;=1,--INDEX('Term investments'!$G:$G,ROW())/100,--INDEX('Term investments'!$G:$G,ROW())),0)</f>
        <v/>
      </c>
      <c r="H968">
        <f>IFERROR(--INDEX('Term investments'!$H:$H,ROW()),0)</f>
        <v/>
      </c>
      <c r="I968">
        <f>IF(ISNUMBER(INDEX('Term investments'!$G:$G,ROW())),1,0)</f>
        <v/>
      </c>
      <c r="J968">
        <f>TRIM(SUBSTITUTE(INDEX('Call accounts and MMFs'!$A:$A,ROW())&amp;""," "," "))</f>
        <v/>
      </c>
      <c r="K968">
        <f>TRIM(SUBSTITUTE(INDEX('Call accounts and MMFs'!$B:$B,ROW())&amp;""," "," "))</f>
        <v/>
      </c>
      <c r="L968">
        <f>TRIM(SUBSTITUTE(INDEX('Call accounts and MMFs'!$C:$C,ROW())&amp;""," "," "))</f>
        <v/>
      </c>
      <c r="M968">
        <f>IFERROR(--INDEX('Call accounts and MMFs'!$D:$D,ROW()),0)</f>
        <v/>
      </c>
      <c r="N968">
        <f>IFERROR(IF(--INDEX('Call accounts and MMFs'!$E:$E,ROW())&gt;=1,--INDEX('Call accounts and MMFs'!$E:$E,ROW())/100,--INDEX('Call accounts and MMFs'!$E:$E,ROW())),0)</f>
        <v/>
      </c>
      <c r="O968">
        <f>IFERROR(--INDEX('Call accounts and MMFs'!$F:$F,ROW()),0)</f>
        <v/>
      </c>
      <c r="P968">
        <f>IF(ISNUMBER(INDEX('Call accounts and MMFs'!$E:$E,ROW())),1,0)</f>
        <v/>
      </c>
      <c r="Q968">
        <f>TRIM(SUBSTITUTE(INDEX('Pooled funds'!$B:$B,ROW())&amp;""," "," "))</f>
        <v/>
      </c>
      <c r="R968">
        <f>IFERROR(--INDEX('Pooled funds'!$C:$C,ROW()),0)</f>
        <v/>
      </c>
      <c r="S968">
        <f>IFERROR(--INDEX('Pooled funds'!$D:$D,ROW()),0)</f>
        <v/>
      </c>
      <c r="T968">
        <f>IFERROR(IF(--INDEX('Pooled funds'!$E:$E,ROW())&gt;=1,--INDEX('Pooled funds'!$E:$E,ROW())/100,--INDEX('Pooled funds'!$E:$E,ROW())),0)</f>
        <v/>
      </c>
      <c r="U968">
        <f>IF(ISNUMBER(INDEX('Pooled funds'!$E:$E,ROW())),1,0)</f>
        <v/>
      </c>
      <c r="V968">
        <f>TRIM(SUBSTITUTE(INDEX('Loans'!$A:$A,ROW())&amp;""," "," "))</f>
        <v/>
      </c>
      <c r="W968">
        <f>TRIM(SUBSTITUTE(INDEX('Loans'!$B:$B,ROW())&amp;""," "," "))</f>
        <v/>
      </c>
      <c r="X968">
        <f>TRIM(SUBSTITUTE(INDEX('Loans'!$C:$C,ROW())&amp;""," "," "))</f>
        <v/>
      </c>
      <c r="Y968">
        <f>IFERROR(--INDEX('Loans'!$D:$D,ROW()),0)</f>
        <v/>
      </c>
      <c r="Z968">
        <f>IFERROR(--INDEX('Loans'!$E:$E,ROW()),0)</f>
        <v/>
      </c>
      <c r="AA968">
        <f>IFERROR(--INDEX('Loans'!$F:$F,ROW()),0)</f>
        <v/>
      </c>
      <c r="AB968">
        <f>IFERROR(IF(--INDEX('Loans'!$G:$G,ROW())&gt;=1,--INDEX('Loans'!$G:$G,ROW())/100,--INDEX('Loans'!$G:$G,ROW())),0)</f>
        <v/>
      </c>
      <c r="AC968">
        <f>TRIM(SUBSTITUTE(INDEX('Loans'!$H:$H,ROW())&amp;""," "," "))</f>
        <v/>
      </c>
      <c r="AD968">
        <f>TRIM(SUBSTITUTE(INDEX('Loans'!$I:$I,ROW())&amp;""," "," "))</f>
        <v/>
      </c>
      <c r="AE968">
        <f>IFERROR(--INDEX('Loans'!$J:$J,ROW()),0)</f>
        <v/>
      </c>
      <c r="AF968">
        <f>TRIM(SUBSTITUTE(INDEX('Loans'!$K:$K,ROW())&amp;""," "," "))</f>
        <v/>
      </c>
      <c r="AG968">
        <f>IFERROR(--INDEX('Loans'!$L:$L,ROW()),0)</f>
        <v/>
      </c>
      <c r="AH968">
        <f>IF(ISNUMBER(INDEX('Loans'!$G:$G,ROW())),1,0)</f>
        <v/>
      </c>
    </row>
    <row r="969">
      <c r="A969">
        <f>TRIM(SUBSTITUTE(INDEX('Term investments'!$A:$A,ROW())&amp;""," "," "))</f>
        <v/>
      </c>
      <c r="B969">
        <f>TRIM(SUBSTITUTE(INDEX('Term investments'!$B:$B,ROW())&amp;""," "," "))</f>
        <v/>
      </c>
      <c r="C969">
        <f>TRIM(SUBSTITUTE(INDEX('Term investments'!$C:$C,ROW())&amp;""," "," "))</f>
        <v/>
      </c>
      <c r="D969">
        <f>IFERROR(--INDEX('Term investments'!$D:$D,ROW()),0)</f>
        <v/>
      </c>
      <c r="E969">
        <f>IFERROR(--INDEX('Term investments'!$E:$E,ROW()),0)</f>
        <v/>
      </c>
      <c r="F969">
        <f>IFERROR(--INDEX('Term investments'!$F:$F,ROW()),0)</f>
        <v/>
      </c>
      <c r="G969">
        <f>IFERROR(IF(--INDEX('Term investments'!$G:$G,ROW())&gt;=1,--INDEX('Term investments'!$G:$G,ROW())/100,--INDEX('Term investments'!$G:$G,ROW())),0)</f>
        <v/>
      </c>
      <c r="H969">
        <f>IFERROR(--INDEX('Term investments'!$H:$H,ROW()),0)</f>
        <v/>
      </c>
      <c r="I969">
        <f>IF(ISNUMBER(INDEX('Term investments'!$G:$G,ROW())),1,0)</f>
        <v/>
      </c>
      <c r="J969">
        <f>TRIM(SUBSTITUTE(INDEX('Call accounts and MMFs'!$A:$A,ROW())&amp;""," "," "))</f>
        <v/>
      </c>
      <c r="K969">
        <f>TRIM(SUBSTITUTE(INDEX('Call accounts and MMFs'!$B:$B,ROW())&amp;""," "," "))</f>
        <v/>
      </c>
      <c r="L969">
        <f>TRIM(SUBSTITUTE(INDEX('Call accounts and MMFs'!$C:$C,ROW())&amp;""," "," "))</f>
        <v/>
      </c>
      <c r="M969">
        <f>IFERROR(--INDEX('Call accounts and MMFs'!$D:$D,ROW()),0)</f>
        <v/>
      </c>
      <c r="N969">
        <f>IFERROR(IF(--INDEX('Call accounts and MMFs'!$E:$E,ROW())&gt;=1,--INDEX('Call accounts and MMFs'!$E:$E,ROW())/100,--INDEX('Call accounts and MMFs'!$E:$E,ROW())),0)</f>
        <v/>
      </c>
      <c r="O969">
        <f>IFERROR(--INDEX('Call accounts and MMFs'!$F:$F,ROW()),0)</f>
        <v/>
      </c>
      <c r="P969">
        <f>IF(ISNUMBER(INDEX('Call accounts and MMFs'!$E:$E,ROW())),1,0)</f>
        <v/>
      </c>
      <c r="Q969">
        <f>TRIM(SUBSTITUTE(INDEX('Pooled funds'!$B:$B,ROW())&amp;""," "," "))</f>
        <v/>
      </c>
      <c r="R969">
        <f>IFERROR(--INDEX('Pooled funds'!$C:$C,ROW()),0)</f>
        <v/>
      </c>
      <c r="S969">
        <f>IFERROR(--INDEX('Pooled funds'!$D:$D,ROW()),0)</f>
        <v/>
      </c>
      <c r="T969">
        <f>IFERROR(IF(--INDEX('Pooled funds'!$E:$E,ROW())&gt;=1,--INDEX('Pooled funds'!$E:$E,ROW())/100,--INDEX('Pooled funds'!$E:$E,ROW())),0)</f>
        <v/>
      </c>
      <c r="U969">
        <f>IF(ISNUMBER(INDEX('Pooled funds'!$E:$E,ROW())),1,0)</f>
        <v/>
      </c>
      <c r="V969">
        <f>TRIM(SUBSTITUTE(INDEX('Loans'!$A:$A,ROW())&amp;""," "," "))</f>
        <v/>
      </c>
      <c r="W969">
        <f>TRIM(SUBSTITUTE(INDEX('Loans'!$B:$B,ROW())&amp;""," "," "))</f>
        <v/>
      </c>
      <c r="X969">
        <f>TRIM(SUBSTITUTE(INDEX('Loans'!$C:$C,ROW())&amp;""," "," "))</f>
        <v/>
      </c>
      <c r="Y969">
        <f>IFERROR(--INDEX('Loans'!$D:$D,ROW()),0)</f>
        <v/>
      </c>
      <c r="Z969">
        <f>IFERROR(--INDEX('Loans'!$E:$E,ROW()),0)</f>
        <v/>
      </c>
      <c r="AA969">
        <f>IFERROR(--INDEX('Loans'!$F:$F,ROW()),0)</f>
        <v/>
      </c>
      <c r="AB969">
        <f>IFERROR(IF(--INDEX('Loans'!$G:$G,ROW())&gt;=1,--INDEX('Loans'!$G:$G,ROW())/100,--INDEX('Loans'!$G:$G,ROW())),0)</f>
        <v/>
      </c>
      <c r="AC969">
        <f>TRIM(SUBSTITUTE(INDEX('Loans'!$H:$H,ROW())&amp;""," "," "))</f>
        <v/>
      </c>
      <c r="AD969">
        <f>TRIM(SUBSTITUTE(INDEX('Loans'!$I:$I,ROW())&amp;""," "," "))</f>
        <v/>
      </c>
      <c r="AE969">
        <f>IFERROR(--INDEX('Loans'!$J:$J,ROW()),0)</f>
        <v/>
      </c>
      <c r="AF969">
        <f>TRIM(SUBSTITUTE(INDEX('Loans'!$K:$K,ROW())&amp;""," "," "))</f>
        <v/>
      </c>
      <c r="AG969">
        <f>IFERROR(--INDEX('Loans'!$L:$L,ROW()),0)</f>
        <v/>
      </c>
      <c r="AH969">
        <f>IF(ISNUMBER(INDEX('Loans'!$G:$G,ROW())),1,0)</f>
        <v/>
      </c>
    </row>
    <row r="970">
      <c r="A970">
        <f>TRIM(SUBSTITUTE(INDEX('Term investments'!$A:$A,ROW())&amp;""," "," "))</f>
        <v/>
      </c>
      <c r="B970">
        <f>TRIM(SUBSTITUTE(INDEX('Term investments'!$B:$B,ROW())&amp;""," "," "))</f>
        <v/>
      </c>
      <c r="C970">
        <f>TRIM(SUBSTITUTE(INDEX('Term investments'!$C:$C,ROW())&amp;""," "," "))</f>
        <v/>
      </c>
      <c r="D970">
        <f>IFERROR(--INDEX('Term investments'!$D:$D,ROW()),0)</f>
        <v/>
      </c>
      <c r="E970">
        <f>IFERROR(--INDEX('Term investments'!$E:$E,ROW()),0)</f>
        <v/>
      </c>
      <c r="F970">
        <f>IFERROR(--INDEX('Term investments'!$F:$F,ROW()),0)</f>
        <v/>
      </c>
      <c r="G970">
        <f>IFERROR(IF(--INDEX('Term investments'!$G:$G,ROW())&gt;=1,--INDEX('Term investments'!$G:$G,ROW())/100,--INDEX('Term investments'!$G:$G,ROW())),0)</f>
        <v/>
      </c>
      <c r="H970">
        <f>IFERROR(--INDEX('Term investments'!$H:$H,ROW()),0)</f>
        <v/>
      </c>
      <c r="I970">
        <f>IF(ISNUMBER(INDEX('Term investments'!$G:$G,ROW())),1,0)</f>
        <v/>
      </c>
      <c r="J970">
        <f>TRIM(SUBSTITUTE(INDEX('Call accounts and MMFs'!$A:$A,ROW())&amp;""," "," "))</f>
        <v/>
      </c>
      <c r="K970">
        <f>TRIM(SUBSTITUTE(INDEX('Call accounts and MMFs'!$B:$B,ROW())&amp;""," "," "))</f>
        <v/>
      </c>
      <c r="L970">
        <f>TRIM(SUBSTITUTE(INDEX('Call accounts and MMFs'!$C:$C,ROW())&amp;""," "," "))</f>
        <v/>
      </c>
      <c r="M970">
        <f>IFERROR(--INDEX('Call accounts and MMFs'!$D:$D,ROW()),0)</f>
        <v/>
      </c>
      <c r="N970">
        <f>IFERROR(IF(--INDEX('Call accounts and MMFs'!$E:$E,ROW())&gt;=1,--INDEX('Call accounts and MMFs'!$E:$E,ROW())/100,--INDEX('Call accounts and MMFs'!$E:$E,ROW())),0)</f>
        <v/>
      </c>
      <c r="O970">
        <f>IFERROR(--INDEX('Call accounts and MMFs'!$F:$F,ROW()),0)</f>
        <v/>
      </c>
      <c r="P970">
        <f>IF(ISNUMBER(INDEX('Call accounts and MMFs'!$E:$E,ROW())),1,0)</f>
        <v/>
      </c>
      <c r="Q970">
        <f>TRIM(SUBSTITUTE(INDEX('Pooled funds'!$B:$B,ROW())&amp;""," "," "))</f>
        <v/>
      </c>
      <c r="R970">
        <f>IFERROR(--INDEX('Pooled funds'!$C:$C,ROW()),0)</f>
        <v/>
      </c>
      <c r="S970">
        <f>IFERROR(--INDEX('Pooled funds'!$D:$D,ROW()),0)</f>
        <v/>
      </c>
      <c r="T970">
        <f>IFERROR(IF(--INDEX('Pooled funds'!$E:$E,ROW())&gt;=1,--INDEX('Pooled funds'!$E:$E,ROW())/100,--INDEX('Pooled funds'!$E:$E,ROW())),0)</f>
        <v/>
      </c>
      <c r="U970">
        <f>IF(ISNUMBER(INDEX('Pooled funds'!$E:$E,ROW())),1,0)</f>
        <v/>
      </c>
      <c r="V970">
        <f>TRIM(SUBSTITUTE(INDEX('Loans'!$A:$A,ROW())&amp;""," "," "))</f>
        <v/>
      </c>
      <c r="W970">
        <f>TRIM(SUBSTITUTE(INDEX('Loans'!$B:$B,ROW())&amp;""," "," "))</f>
        <v/>
      </c>
      <c r="X970">
        <f>TRIM(SUBSTITUTE(INDEX('Loans'!$C:$C,ROW())&amp;""," "," "))</f>
        <v/>
      </c>
      <c r="Y970">
        <f>IFERROR(--INDEX('Loans'!$D:$D,ROW()),0)</f>
        <v/>
      </c>
      <c r="Z970">
        <f>IFERROR(--INDEX('Loans'!$E:$E,ROW()),0)</f>
        <v/>
      </c>
      <c r="AA970">
        <f>IFERROR(--INDEX('Loans'!$F:$F,ROW()),0)</f>
        <v/>
      </c>
      <c r="AB970">
        <f>IFERROR(IF(--INDEX('Loans'!$G:$G,ROW())&gt;=1,--INDEX('Loans'!$G:$G,ROW())/100,--INDEX('Loans'!$G:$G,ROW())),0)</f>
        <v/>
      </c>
      <c r="AC970">
        <f>TRIM(SUBSTITUTE(INDEX('Loans'!$H:$H,ROW())&amp;""," "," "))</f>
        <v/>
      </c>
      <c r="AD970">
        <f>TRIM(SUBSTITUTE(INDEX('Loans'!$I:$I,ROW())&amp;""," "," "))</f>
        <v/>
      </c>
      <c r="AE970">
        <f>IFERROR(--INDEX('Loans'!$J:$J,ROW()),0)</f>
        <v/>
      </c>
      <c r="AF970">
        <f>TRIM(SUBSTITUTE(INDEX('Loans'!$K:$K,ROW())&amp;""," "," "))</f>
        <v/>
      </c>
      <c r="AG970">
        <f>IFERROR(--INDEX('Loans'!$L:$L,ROW()),0)</f>
        <v/>
      </c>
      <c r="AH970">
        <f>IF(ISNUMBER(INDEX('Loans'!$G:$G,ROW())),1,0)</f>
        <v/>
      </c>
    </row>
    <row r="971">
      <c r="A971">
        <f>TRIM(SUBSTITUTE(INDEX('Term investments'!$A:$A,ROW())&amp;""," "," "))</f>
        <v/>
      </c>
      <c r="B971">
        <f>TRIM(SUBSTITUTE(INDEX('Term investments'!$B:$B,ROW())&amp;""," "," "))</f>
        <v/>
      </c>
      <c r="C971">
        <f>TRIM(SUBSTITUTE(INDEX('Term investments'!$C:$C,ROW())&amp;""," "," "))</f>
        <v/>
      </c>
      <c r="D971">
        <f>IFERROR(--INDEX('Term investments'!$D:$D,ROW()),0)</f>
        <v/>
      </c>
      <c r="E971">
        <f>IFERROR(--INDEX('Term investments'!$E:$E,ROW()),0)</f>
        <v/>
      </c>
      <c r="F971">
        <f>IFERROR(--INDEX('Term investments'!$F:$F,ROW()),0)</f>
        <v/>
      </c>
      <c r="G971">
        <f>IFERROR(IF(--INDEX('Term investments'!$G:$G,ROW())&gt;=1,--INDEX('Term investments'!$G:$G,ROW())/100,--INDEX('Term investments'!$G:$G,ROW())),0)</f>
        <v/>
      </c>
      <c r="H971">
        <f>IFERROR(--INDEX('Term investments'!$H:$H,ROW()),0)</f>
        <v/>
      </c>
      <c r="I971">
        <f>IF(ISNUMBER(INDEX('Term investments'!$G:$G,ROW())),1,0)</f>
        <v/>
      </c>
      <c r="J971">
        <f>TRIM(SUBSTITUTE(INDEX('Call accounts and MMFs'!$A:$A,ROW())&amp;""," "," "))</f>
        <v/>
      </c>
      <c r="K971">
        <f>TRIM(SUBSTITUTE(INDEX('Call accounts and MMFs'!$B:$B,ROW())&amp;""," "," "))</f>
        <v/>
      </c>
      <c r="L971">
        <f>TRIM(SUBSTITUTE(INDEX('Call accounts and MMFs'!$C:$C,ROW())&amp;""," "," "))</f>
        <v/>
      </c>
      <c r="M971">
        <f>IFERROR(--INDEX('Call accounts and MMFs'!$D:$D,ROW()),0)</f>
        <v/>
      </c>
      <c r="N971">
        <f>IFERROR(IF(--INDEX('Call accounts and MMFs'!$E:$E,ROW())&gt;=1,--INDEX('Call accounts and MMFs'!$E:$E,ROW())/100,--INDEX('Call accounts and MMFs'!$E:$E,ROW())),0)</f>
        <v/>
      </c>
      <c r="O971">
        <f>IFERROR(--INDEX('Call accounts and MMFs'!$F:$F,ROW()),0)</f>
        <v/>
      </c>
      <c r="P971">
        <f>IF(ISNUMBER(INDEX('Call accounts and MMFs'!$E:$E,ROW())),1,0)</f>
        <v/>
      </c>
      <c r="Q971">
        <f>TRIM(SUBSTITUTE(INDEX('Pooled funds'!$B:$B,ROW())&amp;""," "," "))</f>
        <v/>
      </c>
      <c r="R971">
        <f>IFERROR(--INDEX('Pooled funds'!$C:$C,ROW()),0)</f>
        <v/>
      </c>
      <c r="S971">
        <f>IFERROR(--INDEX('Pooled funds'!$D:$D,ROW()),0)</f>
        <v/>
      </c>
      <c r="T971">
        <f>IFERROR(IF(--INDEX('Pooled funds'!$E:$E,ROW())&gt;=1,--INDEX('Pooled funds'!$E:$E,ROW())/100,--INDEX('Pooled funds'!$E:$E,ROW())),0)</f>
        <v/>
      </c>
      <c r="U971">
        <f>IF(ISNUMBER(INDEX('Pooled funds'!$E:$E,ROW())),1,0)</f>
        <v/>
      </c>
      <c r="V971">
        <f>TRIM(SUBSTITUTE(INDEX('Loans'!$A:$A,ROW())&amp;""," "," "))</f>
        <v/>
      </c>
      <c r="W971">
        <f>TRIM(SUBSTITUTE(INDEX('Loans'!$B:$B,ROW())&amp;""," "," "))</f>
        <v/>
      </c>
      <c r="X971">
        <f>TRIM(SUBSTITUTE(INDEX('Loans'!$C:$C,ROW())&amp;""," "," "))</f>
        <v/>
      </c>
      <c r="Y971">
        <f>IFERROR(--INDEX('Loans'!$D:$D,ROW()),0)</f>
        <v/>
      </c>
      <c r="Z971">
        <f>IFERROR(--INDEX('Loans'!$E:$E,ROW()),0)</f>
        <v/>
      </c>
      <c r="AA971">
        <f>IFERROR(--INDEX('Loans'!$F:$F,ROW()),0)</f>
        <v/>
      </c>
      <c r="AB971">
        <f>IFERROR(IF(--INDEX('Loans'!$G:$G,ROW())&gt;=1,--INDEX('Loans'!$G:$G,ROW())/100,--INDEX('Loans'!$G:$G,ROW())),0)</f>
        <v/>
      </c>
      <c r="AC971">
        <f>TRIM(SUBSTITUTE(INDEX('Loans'!$H:$H,ROW())&amp;""," "," "))</f>
        <v/>
      </c>
      <c r="AD971">
        <f>TRIM(SUBSTITUTE(INDEX('Loans'!$I:$I,ROW())&amp;""," "," "))</f>
        <v/>
      </c>
      <c r="AE971">
        <f>IFERROR(--INDEX('Loans'!$J:$J,ROW()),0)</f>
        <v/>
      </c>
      <c r="AF971">
        <f>TRIM(SUBSTITUTE(INDEX('Loans'!$K:$K,ROW())&amp;""," "," "))</f>
        <v/>
      </c>
      <c r="AG971">
        <f>IFERROR(--INDEX('Loans'!$L:$L,ROW()),0)</f>
        <v/>
      </c>
      <c r="AH971">
        <f>IF(ISNUMBER(INDEX('Loans'!$G:$G,ROW())),1,0)</f>
        <v/>
      </c>
    </row>
    <row r="972">
      <c r="A972">
        <f>TRIM(SUBSTITUTE(INDEX('Term investments'!$A:$A,ROW())&amp;""," "," "))</f>
        <v/>
      </c>
      <c r="B972">
        <f>TRIM(SUBSTITUTE(INDEX('Term investments'!$B:$B,ROW())&amp;""," "," "))</f>
        <v/>
      </c>
      <c r="C972">
        <f>TRIM(SUBSTITUTE(INDEX('Term investments'!$C:$C,ROW())&amp;""," "," "))</f>
        <v/>
      </c>
      <c r="D972">
        <f>IFERROR(--INDEX('Term investments'!$D:$D,ROW()),0)</f>
        <v/>
      </c>
      <c r="E972">
        <f>IFERROR(--INDEX('Term investments'!$E:$E,ROW()),0)</f>
        <v/>
      </c>
      <c r="F972">
        <f>IFERROR(--INDEX('Term investments'!$F:$F,ROW()),0)</f>
        <v/>
      </c>
      <c r="G972">
        <f>IFERROR(IF(--INDEX('Term investments'!$G:$G,ROW())&gt;=1,--INDEX('Term investments'!$G:$G,ROW())/100,--INDEX('Term investments'!$G:$G,ROW())),0)</f>
        <v/>
      </c>
      <c r="H972">
        <f>IFERROR(--INDEX('Term investments'!$H:$H,ROW()),0)</f>
        <v/>
      </c>
      <c r="I972">
        <f>IF(ISNUMBER(INDEX('Term investments'!$G:$G,ROW())),1,0)</f>
        <v/>
      </c>
      <c r="J972">
        <f>TRIM(SUBSTITUTE(INDEX('Call accounts and MMFs'!$A:$A,ROW())&amp;""," "," "))</f>
        <v/>
      </c>
      <c r="K972">
        <f>TRIM(SUBSTITUTE(INDEX('Call accounts and MMFs'!$B:$B,ROW())&amp;""," "," "))</f>
        <v/>
      </c>
      <c r="L972">
        <f>TRIM(SUBSTITUTE(INDEX('Call accounts and MMFs'!$C:$C,ROW())&amp;""," "," "))</f>
        <v/>
      </c>
      <c r="M972">
        <f>IFERROR(--INDEX('Call accounts and MMFs'!$D:$D,ROW()),0)</f>
        <v/>
      </c>
      <c r="N972">
        <f>IFERROR(IF(--INDEX('Call accounts and MMFs'!$E:$E,ROW())&gt;=1,--INDEX('Call accounts and MMFs'!$E:$E,ROW())/100,--INDEX('Call accounts and MMFs'!$E:$E,ROW())),0)</f>
        <v/>
      </c>
      <c r="O972">
        <f>IFERROR(--INDEX('Call accounts and MMFs'!$F:$F,ROW()),0)</f>
        <v/>
      </c>
      <c r="P972">
        <f>IF(ISNUMBER(INDEX('Call accounts and MMFs'!$E:$E,ROW())),1,0)</f>
        <v/>
      </c>
      <c r="Q972">
        <f>TRIM(SUBSTITUTE(INDEX('Pooled funds'!$B:$B,ROW())&amp;""," "," "))</f>
        <v/>
      </c>
      <c r="R972">
        <f>IFERROR(--INDEX('Pooled funds'!$C:$C,ROW()),0)</f>
        <v/>
      </c>
      <c r="S972">
        <f>IFERROR(--INDEX('Pooled funds'!$D:$D,ROW()),0)</f>
        <v/>
      </c>
      <c r="T972">
        <f>IFERROR(IF(--INDEX('Pooled funds'!$E:$E,ROW())&gt;=1,--INDEX('Pooled funds'!$E:$E,ROW())/100,--INDEX('Pooled funds'!$E:$E,ROW())),0)</f>
        <v/>
      </c>
      <c r="U972">
        <f>IF(ISNUMBER(INDEX('Pooled funds'!$E:$E,ROW())),1,0)</f>
        <v/>
      </c>
      <c r="V972">
        <f>TRIM(SUBSTITUTE(INDEX('Loans'!$A:$A,ROW())&amp;""," "," "))</f>
        <v/>
      </c>
      <c r="W972">
        <f>TRIM(SUBSTITUTE(INDEX('Loans'!$B:$B,ROW())&amp;""," "," "))</f>
        <v/>
      </c>
      <c r="X972">
        <f>TRIM(SUBSTITUTE(INDEX('Loans'!$C:$C,ROW())&amp;""," "," "))</f>
        <v/>
      </c>
      <c r="Y972">
        <f>IFERROR(--INDEX('Loans'!$D:$D,ROW()),0)</f>
        <v/>
      </c>
      <c r="Z972">
        <f>IFERROR(--INDEX('Loans'!$E:$E,ROW()),0)</f>
        <v/>
      </c>
      <c r="AA972">
        <f>IFERROR(--INDEX('Loans'!$F:$F,ROW()),0)</f>
        <v/>
      </c>
      <c r="AB972">
        <f>IFERROR(IF(--INDEX('Loans'!$G:$G,ROW())&gt;=1,--INDEX('Loans'!$G:$G,ROW())/100,--INDEX('Loans'!$G:$G,ROW())),0)</f>
        <v/>
      </c>
      <c r="AC972">
        <f>TRIM(SUBSTITUTE(INDEX('Loans'!$H:$H,ROW())&amp;""," "," "))</f>
        <v/>
      </c>
      <c r="AD972">
        <f>TRIM(SUBSTITUTE(INDEX('Loans'!$I:$I,ROW())&amp;""," "," "))</f>
        <v/>
      </c>
      <c r="AE972">
        <f>IFERROR(--INDEX('Loans'!$J:$J,ROW()),0)</f>
        <v/>
      </c>
      <c r="AF972">
        <f>TRIM(SUBSTITUTE(INDEX('Loans'!$K:$K,ROW())&amp;""," "," "))</f>
        <v/>
      </c>
      <c r="AG972">
        <f>IFERROR(--INDEX('Loans'!$L:$L,ROW()),0)</f>
        <v/>
      </c>
      <c r="AH972">
        <f>IF(ISNUMBER(INDEX('Loans'!$G:$G,ROW())),1,0)</f>
        <v/>
      </c>
    </row>
    <row r="973">
      <c r="A973">
        <f>TRIM(SUBSTITUTE(INDEX('Term investments'!$A:$A,ROW())&amp;""," "," "))</f>
        <v/>
      </c>
      <c r="B973">
        <f>TRIM(SUBSTITUTE(INDEX('Term investments'!$B:$B,ROW())&amp;""," "," "))</f>
        <v/>
      </c>
      <c r="C973">
        <f>TRIM(SUBSTITUTE(INDEX('Term investments'!$C:$C,ROW())&amp;""," "," "))</f>
        <v/>
      </c>
      <c r="D973">
        <f>IFERROR(--INDEX('Term investments'!$D:$D,ROW()),0)</f>
        <v/>
      </c>
      <c r="E973">
        <f>IFERROR(--INDEX('Term investments'!$E:$E,ROW()),0)</f>
        <v/>
      </c>
      <c r="F973">
        <f>IFERROR(--INDEX('Term investments'!$F:$F,ROW()),0)</f>
        <v/>
      </c>
      <c r="G973">
        <f>IFERROR(IF(--INDEX('Term investments'!$G:$G,ROW())&gt;=1,--INDEX('Term investments'!$G:$G,ROW())/100,--INDEX('Term investments'!$G:$G,ROW())),0)</f>
        <v/>
      </c>
      <c r="H973">
        <f>IFERROR(--INDEX('Term investments'!$H:$H,ROW()),0)</f>
        <v/>
      </c>
      <c r="I973">
        <f>IF(ISNUMBER(INDEX('Term investments'!$G:$G,ROW())),1,0)</f>
        <v/>
      </c>
      <c r="J973">
        <f>TRIM(SUBSTITUTE(INDEX('Call accounts and MMFs'!$A:$A,ROW())&amp;""," "," "))</f>
        <v/>
      </c>
      <c r="K973">
        <f>TRIM(SUBSTITUTE(INDEX('Call accounts and MMFs'!$B:$B,ROW())&amp;""," "," "))</f>
        <v/>
      </c>
      <c r="L973">
        <f>TRIM(SUBSTITUTE(INDEX('Call accounts and MMFs'!$C:$C,ROW())&amp;""," "," "))</f>
        <v/>
      </c>
      <c r="M973">
        <f>IFERROR(--INDEX('Call accounts and MMFs'!$D:$D,ROW()),0)</f>
        <v/>
      </c>
      <c r="N973">
        <f>IFERROR(IF(--INDEX('Call accounts and MMFs'!$E:$E,ROW())&gt;=1,--INDEX('Call accounts and MMFs'!$E:$E,ROW())/100,--INDEX('Call accounts and MMFs'!$E:$E,ROW())),0)</f>
        <v/>
      </c>
      <c r="O973">
        <f>IFERROR(--INDEX('Call accounts and MMFs'!$F:$F,ROW()),0)</f>
        <v/>
      </c>
      <c r="P973">
        <f>IF(ISNUMBER(INDEX('Call accounts and MMFs'!$E:$E,ROW())),1,0)</f>
        <v/>
      </c>
      <c r="Q973">
        <f>TRIM(SUBSTITUTE(INDEX('Pooled funds'!$B:$B,ROW())&amp;""," "," "))</f>
        <v/>
      </c>
      <c r="R973">
        <f>IFERROR(--INDEX('Pooled funds'!$C:$C,ROW()),0)</f>
        <v/>
      </c>
      <c r="S973">
        <f>IFERROR(--INDEX('Pooled funds'!$D:$D,ROW()),0)</f>
        <v/>
      </c>
      <c r="T973">
        <f>IFERROR(IF(--INDEX('Pooled funds'!$E:$E,ROW())&gt;=1,--INDEX('Pooled funds'!$E:$E,ROW())/100,--INDEX('Pooled funds'!$E:$E,ROW())),0)</f>
        <v/>
      </c>
      <c r="U973">
        <f>IF(ISNUMBER(INDEX('Pooled funds'!$E:$E,ROW())),1,0)</f>
        <v/>
      </c>
      <c r="V973">
        <f>TRIM(SUBSTITUTE(INDEX('Loans'!$A:$A,ROW())&amp;""," "," "))</f>
        <v/>
      </c>
      <c r="W973">
        <f>TRIM(SUBSTITUTE(INDEX('Loans'!$B:$B,ROW())&amp;""," "," "))</f>
        <v/>
      </c>
      <c r="X973">
        <f>TRIM(SUBSTITUTE(INDEX('Loans'!$C:$C,ROW())&amp;""," "," "))</f>
        <v/>
      </c>
      <c r="Y973">
        <f>IFERROR(--INDEX('Loans'!$D:$D,ROW()),0)</f>
        <v/>
      </c>
      <c r="Z973">
        <f>IFERROR(--INDEX('Loans'!$E:$E,ROW()),0)</f>
        <v/>
      </c>
      <c r="AA973">
        <f>IFERROR(--INDEX('Loans'!$F:$F,ROW()),0)</f>
        <v/>
      </c>
      <c r="AB973">
        <f>IFERROR(IF(--INDEX('Loans'!$G:$G,ROW())&gt;=1,--INDEX('Loans'!$G:$G,ROW())/100,--INDEX('Loans'!$G:$G,ROW())),0)</f>
        <v/>
      </c>
      <c r="AC973">
        <f>TRIM(SUBSTITUTE(INDEX('Loans'!$H:$H,ROW())&amp;""," "," "))</f>
        <v/>
      </c>
      <c r="AD973">
        <f>TRIM(SUBSTITUTE(INDEX('Loans'!$I:$I,ROW())&amp;""," "," "))</f>
        <v/>
      </c>
      <c r="AE973">
        <f>IFERROR(--INDEX('Loans'!$J:$J,ROW()),0)</f>
        <v/>
      </c>
      <c r="AF973">
        <f>TRIM(SUBSTITUTE(INDEX('Loans'!$K:$K,ROW())&amp;""," "," "))</f>
        <v/>
      </c>
      <c r="AG973">
        <f>IFERROR(--INDEX('Loans'!$L:$L,ROW()),0)</f>
        <v/>
      </c>
      <c r="AH973">
        <f>IF(ISNUMBER(INDEX('Loans'!$G:$G,ROW())),1,0)</f>
        <v/>
      </c>
    </row>
    <row r="974">
      <c r="A974">
        <f>TRIM(SUBSTITUTE(INDEX('Term investments'!$A:$A,ROW())&amp;""," "," "))</f>
        <v/>
      </c>
      <c r="B974">
        <f>TRIM(SUBSTITUTE(INDEX('Term investments'!$B:$B,ROW())&amp;""," "," "))</f>
        <v/>
      </c>
      <c r="C974">
        <f>TRIM(SUBSTITUTE(INDEX('Term investments'!$C:$C,ROW())&amp;""," "," "))</f>
        <v/>
      </c>
      <c r="D974">
        <f>IFERROR(--INDEX('Term investments'!$D:$D,ROW()),0)</f>
        <v/>
      </c>
      <c r="E974">
        <f>IFERROR(--INDEX('Term investments'!$E:$E,ROW()),0)</f>
        <v/>
      </c>
      <c r="F974">
        <f>IFERROR(--INDEX('Term investments'!$F:$F,ROW()),0)</f>
        <v/>
      </c>
      <c r="G974">
        <f>IFERROR(IF(--INDEX('Term investments'!$G:$G,ROW())&gt;=1,--INDEX('Term investments'!$G:$G,ROW())/100,--INDEX('Term investments'!$G:$G,ROW())),0)</f>
        <v/>
      </c>
      <c r="H974">
        <f>IFERROR(--INDEX('Term investments'!$H:$H,ROW()),0)</f>
        <v/>
      </c>
      <c r="I974">
        <f>IF(ISNUMBER(INDEX('Term investments'!$G:$G,ROW())),1,0)</f>
        <v/>
      </c>
      <c r="J974">
        <f>TRIM(SUBSTITUTE(INDEX('Call accounts and MMFs'!$A:$A,ROW())&amp;""," "," "))</f>
        <v/>
      </c>
      <c r="K974">
        <f>TRIM(SUBSTITUTE(INDEX('Call accounts and MMFs'!$B:$B,ROW())&amp;""," "," "))</f>
        <v/>
      </c>
      <c r="L974">
        <f>TRIM(SUBSTITUTE(INDEX('Call accounts and MMFs'!$C:$C,ROW())&amp;""," "," "))</f>
        <v/>
      </c>
      <c r="M974">
        <f>IFERROR(--INDEX('Call accounts and MMFs'!$D:$D,ROW()),0)</f>
        <v/>
      </c>
      <c r="N974">
        <f>IFERROR(IF(--INDEX('Call accounts and MMFs'!$E:$E,ROW())&gt;=1,--INDEX('Call accounts and MMFs'!$E:$E,ROW())/100,--INDEX('Call accounts and MMFs'!$E:$E,ROW())),0)</f>
        <v/>
      </c>
      <c r="O974">
        <f>IFERROR(--INDEX('Call accounts and MMFs'!$F:$F,ROW()),0)</f>
        <v/>
      </c>
      <c r="P974">
        <f>IF(ISNUMBER(INDEX('Call accounts and MMFs'!$E:$E,ROW())),1,0)</f>
        <v/>
      </c>
      <c r="Q974">
        <f>TRIM(SUBSTITUTE(INDEX('Pooled funds'!$B:$B,ROW())&amp;""," "," "))</f>
        <v/>
      </c>
      <c r="R974">
        <f>IFERROR(--INDEX('Pooled funds'!$C:$C,ROW()),0)</f>
        <v/>
      </c>
      <c r="S974">
        <f>IFERROR(--INDEX('Pooled funds'!$D:$D,ROW()),0)</f>
        <v/>
      </c>
      <c r="T974">
        <f>IFERROR(IF(--INDEX('Pooled funds'!$E:$E,ROW())&gt;=1,--INDEX('Pooled funds'!$E:$E,ROW())/100,--INDEX('Pooled funds'!$E:$E,ROW())),0)</f>
        <v/>
      </c>
      <c r="U974">
        <f>IF(ISNUMBER(INDEX('Pooled funds'!$E:$E,ROW())),1,0)</f>
        <v/>
      </c>
      <c r="V974">
        <f>TRIM(SUBSTITUTE(INDEX('Loans'!$A:$A,ROW())&amp;""," "," "))</f>
        <v/>
      </c>
      <c r="W974">
        <f>TRIM(SUBSTITUTE(INDEX('Loans'!$B:$B,ROW())&amp;""," "," "))</f>
        <v/>
      </c>
      <c r="X974">
        <f>TRIM(SUBSTITUTE(INDEX('Loans'!$C:$C,ROW())&amp;""," "," "))</f>
        <v/>
      </c>
      <c r="Y974">
        <f>IFERROR(--INDEX('Loans'!$D:$D,ROW()),0)</f>
        <v/>
      </c>
      <c r="Z974">
        <f>IFERROR(--INDEX('Loans'!$E:$E,ROW()),0)</f>
        <v/>
      </c>
      <c r="AA974">
        <f>IFERROR(--INDEX('Loans'!$F:$F,ROW()),0)</f>
        <v/>
      </c>
      <c r="AB974">
        <f>IFERROR(IF(--INDEX('Loans'!$G:$G,ROW())&gt;=1,--INDEX('Loans'!$G:$G,ROW())/100,--INDEX('Loans'!$G:$G,ROW())),0)</f>
        <v/>
      </c>
      <c r="AC974">
        <f>TRIM(SUBSTITUTE(INDEX('Loans'!$H:$H,ROW())&amp;""," "," "))</f>
        <v/>
      </c>
      <c r="AD974">
        <f>TRIM(SUBSTITUTE(INDEX('Loans'!$I:$I,ROW())&amp;""," "," "))</f>
        <v/>
      </c>
      <c r="AE974">
        <f>IFERROR(--INDEX('Loans'!$J:$J,ROW()),0)</f>
        <v/>
      </c>
      <c r="AF974">
        <f>TRIM(SUBSTITUTE(INDEX('Loans'!$K:$K,ROW())&amp;""," "," "))</f>
        <v/>
      </c>
      <c r="AG974">
        <f>IFERROR(--INDEX('Loans'!$L:$L,ROW()),0)</f>
        <v/>
      </c>
      <c r="AH974">
        <f>IF(ISNUMBER(INDEX('Loans'!$G:$G,ROW())),1,0)</f>
        <v/>
      </c>
    </row>
    <row r="975">
      <c r="A975">
        <f>TRIM(SUBSTITUTE(INDEX('Term investments'!$A:$A,ROW())&amp;""," "," "))</f>
        <v/>
      </c>
      <c r="B975">
        <f>TRIM(SUBSTITUTE(INDEX('Term investments'!$B:$B,ROW())&amp;""," "," "))</f>
        <v/>
      </c>
      <c r="C975">
        <f>TRIM(SUBSTITUTE(INDEX('Term investments'!$C:$C,ROW())&amp;""," "," "))</f>
        <v/>
      </c>
      <c r="D975">
        <f>IFERROR(--INDEX('Term investments'!$D:$D,ROW()),0)</f>
        <v/>
      </c>
      <c r="E975">
        <f>IFERROR(--INDEX('Term investments'!$E:$E,ROW()),0)</f>
        <v/>
      </c>
      <c r="F975">
        <f>IFERROR(--INDEX('Term investments'!$F:$F,ROW()),0)</f>
        <v/>
      </c>
      <c r="G975">
        <f>IFERROR(IF(--INDEX('Term investments'!$G:$G,ROW())&gt;=1,--INDEX('Term investments'!$G:$G,ROW())/100,--INDEX('Term investments'!$G:$G,ROW())),0)</f>
        <v/>
      </c>
      <c r="H975">
        <f>IFERROR(--INDEX('Term investments'!$H:$H,ROW()),0)</f>
        <v/>
      </c>
      <c r="I975">
        <f>IF(ISNUMBER(INDEX('Term investments'!$G:$G,ROW())),1,0)</f>
        <v/>
      </c>
      <c r="J975">
        <f>TRIM(SUBSTITUTE(INDEX('Call accounts and MMFs'!$A:$A,ROW())&amp;""," "," "))</f>
        <v/>
      </c>
      <c r="K975">
        <f>TRIM(SUBSTITUTE(INDEX('Call accounts and MMFs'!$B:$B,ROW())&amp;""," "," "))</f>
        <v/>
      </c>
      <c r="L975">
        <f>TRIM(SUBSTITUTE(INDEX('Call accounts and MMFs'!$C:$C,ROW())&amp;""," "," "))</f>
        <v/>
      </c>
      <c r="M975">
        <f>IFERROR(--INDEX('Call accounts and MMFs'!$D:$D,ROW()),0)</f>
        <v/>
      </c>
      <c r="N975">
        <f>IFERROR(IF(--INDEX('Call accounts and MMFs'!$E:$E,ROW())&gt;=1,--INDEX('Call accounts and MMFs'!$E:$E,ROW())/100,--INDEX('Call accounts and MMFs'!$E:$E,ROW())),0)</f>
        <v/>
      </c>
      <c r="O975">
        <f>IFERROR(--INDEX('Call accounts and MMFs'!$F:$F,ROW()),0)</f>
        <v/>
      </c>
      <c r="P975">
        <f>IF(ISNUMBER(INDEX('Call accounts and MMFs'!$E:$E,ROW())),1,0)</f>
        <v/>
      </c>
      <c r="Q975">
        <f>TRIM(SUBSTITUTE(INDEX('Pooled funds'!$B:$B,ROW())&amp;""," "," "))</f>
        <v/>
      </c>
      <c r="R975">
        <f>IFERROR(--INDEX('Pooled funds'!$C:$C,ROW()),0)</f>
        <v/>
      </c>
      <c r="S975">
        <f>IFERROR(--INDEX('Pooled funds'!$D:$D,ROW()),0)</f>
        <v/>
      </c>
      <c r="T975">
        <f>IFERROR(IF(--INDEX('Pooled funds'!$E:$E,ROW())&gt;=1,--INDEX('Pooled funds'!$E:$E,ROW())/100,--INDEX('Pooled funds'!$E:$E,ROW())),0)</f>
        <v/>
      </c>
      <c r="U975">
        <f>IF(ISNUMBER(INDEX('Pooled funds'!$E:$E,ROW())),1,0)</f>
        <v/>
      </c>
      <c r="V975">
        <f>TRIM(SUBSTITUTE(INDEX('Loans'!$A:$A,ROW())&amp;""," "," "))</f>
        <v/>
      </c>
      <c r="W975">
        <f>TRIM(SUBSTITUTE(INDEX('Loans'!$B:$B,ROW())&amp;""," "," "))</f>
        <v/>
      </c>
      <c r="X975">
        <f>TRIM(SUBSTITUTE(INDEX('Loans'!$C:$C,ROW())&amp;""," "," "))</f>
        <v/>
      </c>
      <c r="Y975">
        <f>IFERROR(--INDEX('Loans'!$D:$D,ROW()),0)</f>
        <v/>
      </c>
      <c r="Z975">
        <f>IFERROR(--INDEX('Loans'!$E:$E,ROW()),0)</f>
        <v/>
      </c>
      <c r="AA975">
        <f>IFERROR(--INDEX('Loans'!$F:$F,ROW()),0)</f>
        <v/>
      </c>
      <c r="AB975">
        <f>IFERROR(IF(--INDEX('Loans'!$G:$G,ROW())&gt;=1,--INDEX('Loans'!$G:$G,ROW())/100,--INDEX('Loans'!$G:$G,ROW())),0)</f>
        <v/>
      </c>
      <c r="AC975">
        <f>TRIM(SUBSTITUTE(INDEX('Loans'!$H:$H,ROW())&amp;""," "," "))</f>
        <v/>
      </c>
      <c r="AD975">
        <f>TRIM(SUBSTITUTE(INDEX('Loans'!$I:$I,ROW())&amp;""," "," "))</f>
        <v/>
      </c>
      <c r="AE975">
        <f>IFERROR(--INDEX('Loans'!$J:$J,ROW()),0)</f>
        <v/>
      </c>
      <c r="AF975">
        <f>TRIM(SUBSTITUTE(INDEX('Loans'!$K:$K,ROW())&amp;""," "," "))</f>
        <v/>
      </c>
      <c r="AG975">
        <f>IFERROR(--INDEX('Loans'!$L:$L,ROW()),0)</f>
        <v/>
      </c>
      <c r="AH975">
        <f>IF(ISNUMBER(INDEX('Loans'!$G:$G,ROW())),1,0)</f>
        <v/>
      </c>
    </row>
    <row r="976">
      <c r="A976">
        <f>TRIM(SUBSTITUTE(INDEX('Term investments'!$A:$A,ROW())&amp;""," "," "))</f>
        <v/>
      </c>
      <c r="B976">
        <f>TRIM(SUBSTITUTE(INDEX('Term investments'!$B:$B,ROW())&amp;""," "," "))</f>
        <v/>
      </c>
      <c r="C976">
        <f>TRIM(SUBSTITUTE(INDEX('Term investments'!$C:$C,ROW())&amp;""," "," "))</f>
        <v/>
      </c>
      <c r="D976">
        <f>IFERROR(--INDEX('Term investments'!$D:$D,ROW()),0)</f>
        <v/>
      </c>
      <c r="E976">
        <f>IFERROR(--INDEX('Term investments'!$E:$E,ROW()),0)</f>
        <v/>
      </c>
      <c r="F976">
        <f>IFERROR(--INDEX('Term investments'!$F:$F,ROW()),0)</f>
        <v/>
      </c>
      <c r="G976">
        <f>IFERROR(IF(--INDEX('Term investments'!$G:$G,ROW())&gt;=1,--INDEX('Term investments'!$G:$G,ROW())/100,--INDEX('Term investments'!$G:$G,ROW())),0)</f>
        <v/>
      </c>
      <c r="H976">
        <f>IFERROR(--INDEX('Term investments'!$H:$H,ROW()),0)</f>
        <v/>
      </c>
      <c r="I976">
        <f>IF(ISNUMBER(INDEX('Term investments'!$G:$G,ROW())),1,0)</f>
        <v/>
      </c>
      <c r="J976">
        <f>TRIM(SUBSTITUTE(INDEX('Call accounts and MMFs'!$A:$A,ROW())&amp;""," "," "))</f>
        <v/>
      </c>
      <c r="K976">
        <f>TRIM(SUBSTITUTE(INDEX('Call accounts and MMFs'!$B:$B,ROW())&amp;""," "," "))</f>
        <v/>
      </c>
      <c r="L976">
        <f>TRIM(SUBSTITUTE(INDEX('Call accounts and MMFs'!$C:$C,ROW())&amp;""," "," "))</f>
        <v/>
      </c>
      <c r="M976">
        <f>IFERROR(--INDEX('Call accounts and MMFs'!$D:$D,ROW()),0)</f>
        <v/>
      </c>
      <c r="N976">
        <f>IFERROR(IF(--INDEX('Call accounts and MMFs'!$E:$E,ROW())&gt;=1,--INDEX('Call accounts and MMFs'!$E:$E,ROW())/100,--INDEX('Call accounts and MMFs'!$E:$E,ROW())),0)</f>
        <v/>
      </c>
      <c r="O976">
        <f>IFERROR(--INDEX('Call accounts and MMFs'!$F:$F,ROW()),0)</f>
        <v/>
      </c>
      <c r="P976">
        <f>IF(ISNUMBER(INDEX('Call accounts and MMFs'!$E:$E,ROW())),1,0)</f>
        <v/>
      </c>
      <c r="Q976">
        <f>TRIM(SUBSTITUTE(INDEX('Pooled funds'!$B:$B,ROW())&amp;""," "," "))</f>
        <v/>
      </c>
      <c r="R976">
        <f>IFERROR(--INDEX('Pooled funds'!$C:$C,ROW()),0)</f>
        <v/>
      </c>
      <c r="S976">
        <f>IFERROR(--INDEX('Pooled funds'!$D:$D,ROW()),0)</f>
        <v/>
      </c>
      <c r="T976">
        <f>IFERROR(IF(--INDEX('Pooled funds'!$E:$E,ROW())&gt;=1,--INDEX('Pooled funds'!$E:$E,ROW())/100,--INDEX('Pooled funds'!$E:$E,ROW())),0)</f>
        <v/>
      </c>
      <c r="U976">
        <f>IF(ISNUMBER(INDEX('Pooled funds'!$E:$E,ROW())),1,0)</f>
        <v/>
      </c>
      <c r="V976">
        <f>TRIM(SUBSTITUTE(INDEX('Loans'!$A:$A,ROW())&amp;""," "," "))</f>
        <v/>
      </c>
      <c r="W976">
        <f>TRIM(SUBSTITUTE(INDEX('Loans'!$B:$B,ROW())&amp;""," "," "))</f>
        <v/>
      </c>
      <c r="X976">
        <f>TRIM(SUBSTITUTE(INDEX('Loans'!$C:$C,ROW())&amp;""," "," "))</f>
        <v/>
      </c>
      <c r="Y976">
        <f>IFERROR(--INDEX('Loans'!$D:$D,ROW()),0)</f>
        <v/>
      </c>
      <c r="Z976">
        <f>IFERROR(--INDEX('Loans'!$E:$E,ROW()),0)</f>
        <v/>
      </c>
      <c r="AA976">
        <f>IFERROR(--INDEX('Loans'!$F:$F,ROW()),0)</f>
        <v/>
      </c>
      <c r="AB976">
        <f>IFERROR(IF(--INDEX('Loans'!$G:$G,ROW())&gt;=1,--INDEX('Loans'!$G:$G,ROW())/100,--INDEX('Loans'!$G:$G,ROW())),0)</f>
        <v/>
      </c>
      <c r="AC976">
        <f>TRIM(SUBSTITUTE(INDEX('Loans'!$H:$H,ROW())&amp;""," "," "))</f>
        <v/>
      </c>
      <c r="AD976">
        <f>TRIM(SUBSTITUTE(INDEX('Loans'!$I:$I,ROW())&amp;""," "," "))</f>
        <v/>
      </c>
      <c r="AE976">
        <f>IFERROR(--INDEX('Loans'!$J:$J,ROW()),0)</f>
        <v/>
      </c>
      <c r="AF976">
        <f>TRIM(SUBSTITUTE(INDEX('Loans'!$K:$K,ROW())&amp;""," "," "))</f>
        <v/>
      </c>
      <c r="AG976">
        <f>IFERROR(--INDEX('Loans'!$L:$L,ROW()),0)</f>
        <v/>
      </c>
      <c r="AH976">
        <f>IF(ISNUMBER(INDEX('Loans'!$G:$G,ROW())),1,0)</f>
        <v/>
      </c>
    </row>
    <row r="977">
      <c r="A977">
        <f>TRIM(SUBSTITUTE(INDEX('Term investments'!$A:$A,ROW())&amp;""," "," "))</f>
        <v/>
      </c>
      <c r="B977">
        <f>TRIM(SUBSTITUTE(INDEX('Term investments'!$B:$B,ROW())&amp;""," "," "))</f>
        <v/>
      </c>
      <c r="C977">
        <f>TRIM(SUBSTITUTE(INDEX('Term investments'!$C:$C,ROW())&amp;""," "," "))</f>
        <v/>
      </c>
      <c r="D977">
        <f>IFERROR(--INDEX('Term investments'!$D:$D,ROW()),0)</f>
        <v/>
      </c>
      <c r="E977">
        <f>IFERROR(--INDEX('Term investments'!$E:$E,ROW()),0)</f>
        <v/>
      </c>
      <c r="F977">
        <f>IFERROR(--INDEX('Term investments'!$F:$F,ROW()),0)</f>
        <v/>
      </c>
      <c r="G977">
        <f>IFERROR(IF(--INDEX('Term investments'!$G:$G,ROW())&gt;=1,--INDEX('Term investments'!$G:$G,ROW())/100,--INDEX('Term investments'!$G:$G,ROW())),0)</f>
        <v/>
      </c>
      <c r="H977">
        <f>IFERROR(--INDEX('Term investments'!$H:$H,ROW()),0)</f>
        <v/>
      </c>
      <c r="I977">
        <f>IF(ISNUMBER(INDEX('Term investments'!$G:$G,ROW())),1,0)</f>
        <v/>
      </c>
      <c r="J977">
        <f>TRIM(SUBSTITUTE(INDEX('Call accounts and MMFs'!$A:$A,ROW())&amp;""," "," "))</f>
        <v/>
      </c>
      <c r="K977">
        <f>TRIM(SUBSTITUTE(INDEX('Call accounts and MMFs'!$B:$B,ROW())&amp;""," "," "))</f>
        <v/>
      </c>
      <c r="L977">
        <f>TRIM(SUBSTITUTE(INDEX('Call accounts and MMFs'!$C:$C,ROW())&amp;""," "," "))</f>
        <v/>
      </c>
      <c r="M977">
        <f>IFERROR(--INDEX('Call accounts and MMFs'!$D:$D,ROW()),0)</f>
        <v/>
      </c>
      <c r="N977">
        <f>IFERROR(IF(--INDEX('Call accounts and MMFs'!$E:$E,ROW())&gt;=1,--INDEX('Call accounts and MMFs'!$E:$E,ROW())/100,--INDEX('Call accounts and MMFs'!$E:$E,ROW())),0)</f>
        <v/>
      </c>
      <c r="O977">
        <f>IFERROR(--INDEX('Call accounts and MMFs'!$F:$F,ROW()),0)</f>
        <v/>
      </c>
      <c r="P977">
        <f>IF(ISNUMBER(INDEX('Call accounts and MMFs'!$E:$E,ROW())),1,0)</f>
        <v/>
      </c>
      <c r="Q977">
        <f>TRIM(SUBSTITUTE(INDEX('Pooled funds'!$B:$B,ROW())&amp;""," "," "))</f>
        <v/>
      </c>
      <c r="R977">
        <f>IFERROR(--INDEX('Pooled funds'!$C:$C,ROW()),0)</f>
        <v/>
      </c>
      <c r="S977">
        <f>IFERROR(--INDEX('Pooled funds'!$D:$D,ROW()),0)</f>
        <v/>
      </c>
      <c r="T977">
        <f>IFERROR(IF(--INDEX('Pooled funds'!$E:$E,ROW())&gt;=1,--INDEX('Pooled funds'!$E:$E,ROW())/100,--INDEX('Pooled funds'!$E:$E,ROW())),0)</f>
        <v/>
      </c>
      <c r="U977">
        <f>IF(ISNUMBER(INDEX('Pooled funds'!$E:$E,ROW())),1,0)</f>
        <v/>
      </c>
      <c r="V977">
        <f>TRIM(SUBSTITUTE(INDEX('Loans'!$A:$A,ROW())&amp;""," "," "))</f>
        <v/>
      </c>
      <c r="W977">
        <f>TRIM(SUBSTITUTE(INDEX('Loans'!$B:$B,ROW())&amp;""," "," "))</f>
        <v/>
      </c>
      <c r="X977">
        <f>TRIM(SUBSTITUTE(INDEX('Loans'!$C:$C,ROW())&amp;""," "," "))</f>
        <v/>
      </c>
      <c r="Y977">
        <f>IFERROR(--INDEX('Loans'!$D:$D,ROW()),0)</f>
        <v/>
      </c>
      <c r="Z977">
        <f>IFERROR(--INDEX('Loans'!$E:$E,ROW()),0)</f>
        <v/>
      </c>
      <c r="AA977">
        <f>IFERROR(--INDEX('Loans'!$F:$F,ROW()),0)</f>
        <v/>
      </c>
      <c r="AB977">
        <f>IFERROR(IF(--INDEX('Loans'!$G:$G,ROW())&gt;=1,--INDEX('Loans'!$G:$G,ROW())/100,--INDEX('Loans'!$G:$G,ROW())),0)</f>
        <v/>
      </c>
      <c r="AC977">
        <f>TRIM(SUBSTITUTE(INDEX('Loans'!$H:$H,ROW())&amp;""," "," "))</f>
        <v/>
      </c>
      <c r="AD977">
        <f>TRIM(SUBSTITUTE(INDEX('Loans'!$I:$I,ROW())&amp;""," "," "))</f>
        <v/>
      </c>
      <c r="AE977">
        <f>IFERROR(--INDEX('Loans'!$J:$J,ROW()),0)</f>
        <v/>
      </c>
      <c r="AF977">
        <f>TRIM(SUBSTITUTE(INDEX('Loans'!$K:$K,ROW())&amp;""," "," "))</f>
        <v/>
      </c>
      <c r="AG977">
        <f>IFERROR(--INDEX('Loans'!$L:$L,ROW()),0)</f>
        <v/>
      </c>
      <c r="AH977">
        <f>IF(ISNUMBER(INDEX('Loans'!$G:$G,ROW())),1,0)</f>
        <v/>
      </c>
    </row>
    <row r="978">
      <c r="A978">
        <f>TRIM(SUBSTITUTE(INDEX('Term investments'!$A:$A,ROW())&amp;""," "," "))</f>
        <v/>
      </c>
      <c r="B978">
        <f>TRIM(SUBSTITUTE(INDEX('Term investments'!$B:$B,ROW())&amp;""," "," "))</f>
        <v/>
      </c>
      <c r="C978">
        <f>TRIM(SUBSTITUTE(INDEX('Term investments'!$C:$C,ROW())&amp;""," "," "))</f>
        <v/>
      </c>
      <c r="D978">
        <f>IFERROR(--INDEX('Term investments'!$D:$D,ROW()),0)</f>
        <v/>
      </c>
      <c r="E978">
        <f>IFERROR(--INDEX('Term investments'!$E:$E,ROW()),0)</f>
        <v/>
      </c>
      <c r="F978">
        <f>IFERROR(--INDEX('Term investments'!$F:$F,ROW()),0)</f>
        <v/>
      </c>
      <c r="G978">
        <f>IFERROR(IF(--INDEX('Term investments'!$G:$G,ROW())&gt;=1,--INDEX('Term investments'!$G:$G,ROW())/100,--INDEX('Term investments'!$G:$G,ROW())),0)</f>
        <v/>
      </c>
      <c r="H978">
        <f>IFERROR(--INDEX('Term investments'!$H:$H,ROW()),0)</f>
        <v/>
      </c>
      <c r="I978">
        <f>IF(ISNUMBER(INDEX('Term investments'!$G:$G,ROW())),1,0)</f>
        <v/>
      </c>
      <c r="J978">
        <f>TRIM(SUBSTITUTE(INDEX('Call accounts and MMFs'!$A:$A,ROW())&amp;""," "," "))</f>
        <v/>
      </c>
      <c r="K978">
        <f>TRIM(SUBSTITUTE(INDEX('Call accounts and MMFs'!$B:$B,ROW())&amp;""," "," "))</f>
        <v/>
      </c>
      <c r="L978">
        <f>TRIM(SUBSTITUTE(INDEX('Call accounts and MMFs'!$C:$C,ROW())&amp;""," "," "))</f>
        <v/>
      </c>
      <c r="M978">
        <f>IFERROR(--INDEX('Call accounts and MMFs'!$D:$D,ROW()),0)</f>
        <v/>
      </c>
      <c r="N978">
        <f>IFERROR(IF(--INDEX('Call accounts and MMFs'!$E:$E,ROW())&gt;=1,--INDEX('Call accounts and MMFs'!$E:$E,ROW())/100,--INDEX('Call accounts and MMFs'!$E:$E,ROW())),0)</f>
        <v/>
      </c>
      <c r="O978">
        <f>IFERROR(--INDEX('Call accounts and MMFs'!$F:$F,ROW()),0)</f>
        <v/>
      </c>
      <c r="P978">
        <f>IF(ISNUMBER(INDEX('Call accounts and MMFs'!$E:$E,ROW())),1,0)</f>
        <v/>
      </c>
      <c r="Q978">
        <f>TRIM(SUBSTITUTE(INDEX('Pooled funds'!$B:$B,ROW())&amp;""," "," "))</f>
        <v/>
      </c>
      <c r="R978">
        <f>IFERROR(--INDEX('Pooled funds'!$C:$C,ROW()),0)</f>
        <v/>
      </c>
      <c r="S978">
        <f>IFERROR(--INDEX('Pooled funds'!$D:$D,ROW()),0)</f>
        <v/>
      </c>
      <c r="T978">
        <f>IFERROR(IF(--INDEX('Pooled funds'!$E:$E,ROW())&gt;=1,--INDEX('Pooled funds'!$E:$E,ROW())/100,--INDEX('Pooled funds'!$E:$E,ROW())),0)</f>
        <v/>
      </c>
      <c r="U978">
        <f>IF(ISNUMBER(INDEX('Pooled funds'!$E:$E,ROW())),1,0)</f>
        <v/>
      </c>
      <c r="V978">
        <f>TRIM(SUBSTITUTE(INDEX('Loans'!$A:$A,ROW())&amp;""," "," "))</f>
        <v/>
      </c>
      <c r="W978">
        <f>TRIM(SUBSTITUTE(INDEX('Loans'!$B:$B,ROW())&amp;""," "," "))</f>
        <v/>
      </c>
      <c r="X978">
        <f>TRIM(SUBSTITUTE(INDEX('Loans'!$C:$C,ROW())&amp;""," "," "))</f>
        <v/>
      </c>
      <c r="Y978">
        <f>IFERROR(--INDEX('Loans'!$D:$D,ROW()),0)</f>
        <v/>
      </c>
      <c r="Z978">
        <f>IFERROR(--INDEX('Loans'!$E:$E,ROW()),0)</f>
        <v/>
      </c>
      <c r="AA978">
        <f>IFERROR(--INDEX('Loans'!$F:$F,ROW()),0)</f>
        <v/>
      </c>
      <c r="AB978">
        <f>IFERROR(IF(--INDEX('Loans'!$G:$G,ROW())&gt;=1,--INDEX('Loans'!$G:$G,ROW())/100,--INDEX('Loans'!$G:$G,ROW())),0)</f>
        <v/>
      </c>
      <c r="AC978">
        <f>TRIM(SUBSTITUTE(INDEX('Loans'!$H:$H,ROW())&amp;""," "," "))</f>
        <v/>
      </c>
      <c r="AD978">
        <f>TRIM(SUBSTITUTE(INDEX('Loans'!$I:$I,ROW())&amp;""," "," "))</f>
        <v/>
      </c>
      <c r="AE978">
        <f>IFERROR(--INDEX('Loans'!$J:$J,ROW()),0)</f>
        <v/>
      </c>
      <c r="AF978">
        <f>TRIM(SUBSTITUTE(INDEX('Loans'!$K:$K,ROW())&amp;""," "," "))</f>
        <v/>
      </c>
      <c r="AG978">
        <f>IFERROR(--INDEX('Loans'!$L:$L,ROW()),0)</f>
        <v/>
      </c>
      <c r="AH978">
        <f>IF(ISNUMBER(INDEX('Loans'!$G:$G,ROW())),1,0)</f>
        <v/>
      </c>
    </row>
    <row r="979">
      <c r="A979">
        <f>TRIM(SUBSTITUTE(INDEX('Term investments'!$A:$A,ROW())&amp;""," "," "))</f>
        <v/>
      </c>
      <c r="B979">
        <f>TRIM(SUBSTITUTE(INDEX('Term investments'!$B:$B,ROW())&amp;""," "," "))</f>
        <v/>
      </c>
      <c r="C979">
        <f>TRIM(SUBSTITUTE(INDEX('Term investments'!$C:$C,ROW())&amp;""," "," "))</f>
        <v/>
      </c>
      <c r="D979">
        <f>IFERROR(--INDEX('Term investments'!$D:$D,ROW()),0)</f>
        <v/>
      </c>
      <c r="E979">
        <f>IFERROR(--INDEX('Term investments'!$E:$E,ROW()),0)</f>
        <v/>
      </c>
      <c r="F979">
        <f>IFERROR(--INDEX('Term investments'!$F:$F,ROW()),0)</f>
        <v/>
      </c>
      <c r="G979">
        <f>IFERROR(IF(--INDEX('Term investments'!$G:$G,ROW())&gt;=1,--INDEX('Term investments'!$G:$G,ROW())/100,--INDEX('Term investments'!$G:$G,ROW())),0)</f>
        <v/>
      </c>
      <c r="H979">
        <f>IFERROR(--INDEX('Term investments'!$H:$H,ROW()),0)</f>
        <v/>
      </c>
      <c r="I979">
        <f>IF(ISNUMBER(INDEX('Term investments'!$G:$G,ROW())),1,0)</f>
        <v/>
      </c>
      <c r="J979">
        <f>TRIM(SUBSTITUTE(INDEX('Call accounts and MMFs'!$A:$A,ROW())&amp;""," "," "))</f>
        <v/>
      </c>
      <c r="K979">
        <f>TRIM(SUBSTITUTE(INDEX('Call accounts and MMFs'!$B:$B,ROW())&amp;""," "," "))</f>
        <v/>
      </c>
      <c r="L979">
        <f>TRIM(SUBSTITUTE(INDEX('Call accounts and MMFs'!$C:$C,ROW())&amp;""," "," "))</f>
        <v/>
      </c>
      <c r="M979">
        <f>IFERROR(--INDEX('Call accounts and MMFs'!$D:$D,ROW()),0)</f>
        <v/>
      </c>
      <c r="N979">
        <f>IFERROR(IF(--INDEX('Call accounts and MMFs'!$E:$E,ROW())&gt;=1,--INDEX('Call accounts and MMFs'!$E:$E,ROW())/100,--INDEX('Call accounts and MMFs'!$E:$E,ROW())),0)</f>
        <v/>
      </c>
      <c r="O979">
        <f>IFERROR(--INDEX('Call accounts and MMFs'!$F:$F,ROW()),0)</f>
        <v/>
      </c>
      <c r="P979">
        <f>IF(ISNUMBER(INDEX('Call accounts and MMFs'!$E:$E,ROW())),1,0)</f>
        <v/>
      </c>
      <c r="Q979">
        <f>TRIM(SUBSTITUTE(INDEX('Pooled funds'!$B:$B,ROW())&amp;""," "," "))</f>
        <v/>
      </c>
      <c r="R979">
        <f>IFERROR(--INDEX('Pooled funds'!$C:$C,ROW()),0)</f>
        <v/>
      </c>
      <c r="S979">
        <f>IFERROR(--INDEX('Pooled funds'!$D:$D,ROW()),0)</f>
        <v/>
      </c>
      <c r="T979">
        <f>IFERROR(IF(--INDEX('Pooled funds'!$E:$E,ROW())&gt;=1,--INDEX('Pooled funds'!$E:$E,ROW())/100,--INDEX('Pooled funds'!$E:$E,ROW())),0)</f>
        <v/>
      </c>
      <c r="U979">
        <f>IF(ISNUMBER(INDEX('Pooled funds'!$E:$E,ROW())),1,0)</f>
        <v/>
      </c>
      <c r="V979">
        <f>TRIM(SUBSTITUTE(INDEX('Loans'!$A:$A,ROW())&amp;""," "," "))</f>
        <v/>
      </c>
      <c r="W979">
        <f>TRIM(SUBSTITUTE(INDEX('Loans'!$B:$B,ROW())&amp;""," "," "))</f>
        <v/>
      </c>
      <c r="X979">
        <f>TRIM(SUBSTITUTE(INDEX('Loans'!$C:$C,ROW())&amp;""," "," "))</f>
        <v/>
      </c>
      <c r="Y979">
        <f>IFERROR(--INDEX('Loans'!$D:$D,ROW()),0)</f>
        <v/>
      </c>
      <c r="Z979">
        <f>IFERROR(--INDEX('Loans'!$E:$E,ROW()),0)</f>
        <v/>
      </c>
      <c r="AA979">
        <f>IFERROR(--INDEX('Loans'!$F:$F,ROW()),0)</f>
        <v/>
      </c>
      <c r="AB979">
        <f>IFERROR(IF(--INDEX('Loans'!$G:$G,ROW())&gt;=1,--INDEX('Loans'!$G:$G,ROW())/100,--INDEX('Loans'!$G:$G,ROW())),0)</f>
        <v/>
      </c>
      <c r="AC979">
        <f>TRIM(SUBSTITUTE(INDEX('Loans'!$H:$H,ROW())&amp;""," "," "))</f>
        <v/>
      </c>
      <c r="AD979">
        <f>TRIM(SUBSTITUTE(INDEX('Loans'!$I:$I,ROW())&amp;""," "," "))</f>
        <v/>
      </c>
      <c r="AE979">
        <f>IFERROR(--INDEX('Loans'!$J:$J,ROW()),0)</f>
        <v/>
      </c>
      <c r="AF979">
        <f>TRIM(SUBSTITUTE(INDEX('Loans'!$K:$K,ROW())&amp;""," "," "))</f>
        <v/>
      </c>
      <c r="AG979">
        <f>IFERROR(--INDEX('Loans'!$L:$L,ROW()),0)</f>
        <v/>
      </c>
      <c r="AH979">
        <f>IF(ISNUMBER(INDEX('Loans'!$G:$G,ROW())),1,0)</f>
        <v/>
      </c>
    </row>
    <row r="980">
      <c r="A980">
        <f>TRIM(SUBSTITUTE(INDEX('Term investments'!$A:$A,ROW())&amp;""," "," "))</f>
        <v/>
      </c>
      <c r="B980">
        <f>TRIM(SUBSTITUTE(INDEX('Term investments'!$B:$B,ROW())&amp;""," "," "))</f>
        <v/>
      </c>
      <c r="C980">
        <f>TRIM(SUBSTITUTE(INDEX('Term investments'!$C:$C,ROW())&amp;""," "," "))</f>
        <v/>
      </c>
      <c r="D980">
        <f>IFERROR(--INDEX('Term investments'!$D:$D,ROW()),0)</f>
        <v/>
      </c>
      <c r="E980">
        <f>IFERROR(--INDEX('Term investments'!$E:$E,ROW()),0)</f>
        <v/>
      </c>
      <c r="F980">
        <f>IFERROR(--INDEX('Term investments'!$F:$F,ROW()),0)</f>
        <v/>
      </c>
      <c r="G980">
        <f>IFERROR(IF(--INDEX('Term investments'!$G:$G,ROW())&gt;=1,--INDEX('Term investments'!$G:$G,ROW())/100,--INDEX('Term investments'!$G:$G,ROW())),0)</f>
        <v/>
      </c>
      <c r="H980">
        <f>IFERROR(--INDEX('Term investments'!$H:$H,ROW()),0)</f>
        <v/>
      </c>
      <c r="I980">
        <f>IF(ISNUMBER(INDEX('Term investments'!$G:$G,ROW())),1,0)</f>
        <v/>
      </c>
      <c r="J980">
        <f>TRIM(SUBSTITUTE(INDEX('Call accounts and MMFs'!$A:$A,ROW())&amp;""," "," "))</f>
        <v/>
      </c>
      <c r="K980">
        <f>TRIM(SUBSTITUTE(INDEX('Call accounts and MMFs'!$B:$B,ROW())&amp;""," "," "))</f>
        <v/>
      </c>
      <c r="L980">
        <f>TRIM(SUBSTITUTE(INDEX('Call accounts and MMFs'!$C:$C,ROW())&amp;""," "," "))</f>
        <v/>
      </c>
      <c r="M980">
        <f>IFERROR(--INDEX('Call accounts and MMFs'!$D:$D,ROW()),0)</f>
        <v/>
      </c>
      <c r="N980">
        <f>IFERROR(IF(--INDEX('Call accounts and MMFs'!$E:$E,ROW())&gt;=1,--INDEX('Call accounts and MMFs'!$E:$E,ROW())/100,--INDEX('Call accounts and MMFs'!$E:$E,ROW())),0)</f>
        <v/>
      </c>
      <c r="O980">
        <f>IFERROR(--INDEX('Call accounts and MMFs'!$F:$F,ROW()),0)</f>
        <v/>
      </c>
      <c r="P980">
        <f>IF(ISNUMBER(INDEX('Call accounts and MMFs'!$E:$E,ROW())),1,0)</f>
        <v/>
      </c>
      <c r="Q980">
        <f>TRIM(SUBSTITUTE(INDEX('Pooled funds'!$B:$B,ROW())&amp;""," "," "))</f>
        <v/>
      </c>
      <c r="R980">
        <f>IFERROR(--INDEX('Pooled funds'!$C:$C,ROW()),0)</f>
        <v/>
      </c>
      <c r="S980">
        <f>IFERROR(--INDEX('Pooled funds'!$D:$D,ROW()),0)</f>
        <v/>
      </c>
      <c r="T980">
        <f>IFERROR(IF(--INDEX('Pooled funds'!$E:$E,ROW())&gt;=1,--INDEX('Pooled funds'!$E:$E,ROW())/100,--INDEX('Pooled funds'!$E:$E,ROW())),0)</f>
        <v/>
      </c>
      <c r="U980">
        <f>IF(ISNUMBER(INDEX('Pooled funds'!$E:$E,ROW())),1,0)</f>
        <v/>
      </c>
      <c r="V980">
        <f>TRIM(SUBSTITUTE(INDEX('Loans'!$A:$A,ROW())&amp;""," "," "))</f>
        <v/>
      </c>
      <c r="W980">
        <f>TRIM(SUBSTITUTE(INDEX('Loans'!$B:$B,ROW())&amp;""," "," "))</f>
        <v/>
      </c>
      <c r="X980">
        <f>TRIM(SUBSTITUTE(INDEX('Loans'!$C:$C,ROW())&amp;""," "," "))</f>
        <v/>
      </c>
      <c r="Y980">
        <f>IFERROR(--INDEX('Loans'!$D:$D,ROW()),0)</f>
        <v/>
      </c>
      <c r="Z980">
        <f>IFERROR(--INDEX('Loans'!$E:$E,ROW()),0)</f>
        <v/>
      </c>
      <c r="AA980">
        <f>IFERROR(--INDEX('Loans'!$F:$F,ROW()),0)</f>
        <v/>
      </c>
      <c r="AB980">
        <f>IFERROR(IF(--INDEX('Loans'!$G:$G,ROW())&gt;=1,--INDEX('Loans'!$G:$G,ROW())/100,--INDEX('Loans'!$G:$G,ROW())),0)</f>
        <v/>
      </c>
      <c r="AC980">
        <f>TRIM(SUBSTITUTE(INDEX('Loans'!$H:$H,ROW())&amp;""," "," "))</f>
        <v/>
      </c>
      <c r="AD980">
        <f>TRIM(SUBSTITUTE(INDEX('Loans'!$I:$I,ROW())&amp;""," "," "))</f>
        <v/>
      </c>
      <c r="AE980">
        <f>IFERROR(--INDEX('Loans'!$J:$J,ROW()),0)</f>
        <v/>
      </c>
      <c r="AF980">
        <f>TRIM(SUBSTITUTE(INDEX('Loans'!$K:$K,ROW())&amp;""," "," "))</f>
        <v/>
      </c>
      <c r="AG980">
        <f>IFERROR(--INDEX('Loans'!$L:$L,ROW()),0)</f>
        <v/>
      </c>
      <c r="AH980">
        <f>IF(ISNUMBER(INDEX('Loans'!$G:$G,ROW())),1,0)</f>
        <v/>
      </c>
    </row>
    <row r="981">
      <c r="A981">
        <f>TRIM(SUBSTITUTE(INDEX('Term investments'!$A:$A,ROW())&amp;""," "," "))</f>
        <v/>
      </c>
      <c r="B981">
        <f>TRIM(SUBSTITUTE(INDEX('Term investments'!$B:$B,ROW())&amp;""," "," "))</f>
        <v/>
      </c>
      <c r="C981">
        <f>TRIM(SUBSTITUTE(INDEX('Term investments'!$C:$C,ROW())&amp;""," "," "))</f>
        <v/>
      </c>
      <c r="D981">
        <f>IFERROR(--INDEX('Term investments'!$D:$D,ROW()),0)</f>
        <v/>
      </c>
      <c r="E981">
        <f>IFERROR(--INDEX('Term investments'!$E:$E,ROW()),0)</f>
        <v/>
      </c>
      <c r="F981">
        <f>IFERROR(--INDEX('Term investments'!$F:$F,ROW()),0)</f>
        <v/>
      </c>
      <c r="G981">
        <f>IFERROR(IF(--INDEX('Term investments'!$G:$G,ROW())&gt;=1,--INDEX('Term investments'!$G:$G,ROW())/100,--INDEX('Term investments'!$G:$G,ROW())),0)</f>
        <v/>
      </c>
      <c r="H981">
        <f>IFERROR(--INDEX('Term investments'!$H:$H,ROW()),0)</f>
        <v/>
      </c>
      <c r="I981">
        <f>IF(ISNUMBER(INDEX('Term investments'!$G:$G,ROW())),1,0)</f>
        <v/>
      </c>
      <c r="J981">
        <f>TRIM(SUBSTITUTE(INDEX('Call accounts and MMFs'!$A:$A,ROW())&amp;""," "," "))</f>
        <v/>
      </c>
      <c r="K981">
        <f>TRIM(SUBSTITUTE(INDEX('Call accounts and MMFs'!$B:$B,ROW())&amp;""," "," "))</f>
        <v/>
      </c>
      <c r="L981">
        <f>TRIM(SUBSTITUTE(INDEX('Call accounts and MMFs'!$C:$C,ROW())&amp;""," "," "))</f>
        <v/>
      </c>
      <c r="M981">
        <f>IFERROR(--INDEX('Call accounts and MMFs'!$D:$D,ROW()),0)</f>
        <v/>
      </c>
      <c r="N981">
        <f>IFERROR(IF(--INDEX('Call accounts and MMFs'!$E:$E,ROW())&gt;=1,--INDEX('Call accounts and MMFs'!$E:$E,ROW())/100,--INDEX('Call accounts and MMFs'!$E:$E,ROW())),0)</f>
        <v/>
      </c>
      <c r="O981">
        <f>IFERROR(--INDEX('Call accounts and MMFs'!$F:$F,ROW()),0)</f>
        <v/>
      </c>
      <c r="P981">
        <f>IF(ISNUMBER(INDEX('Call accounts and MMFs'!$E:$E,ROW())),1,0)</f>
        <v/>
      </c>
      <c r="Q981">
        <f>TRIM(SUBSTITUTE(INDEX('Pooled funds'!$B:$B,ROW())&amp;""," "," "))</f>
        <v/>
      </c>
      <c r="R981">
        <f>IFERROR(--INDEX('Pooled funds'!$C:$C,ROW()),0)</f>
        <v/>
      </c>
      <c r="S981">
        <f>IFERROR(--INDEX('Pooled funds'!$D:$D,ROW()),0)</f>
        <v/>
      </c>
      <c r="T981">
        <f>IFERROR(IF(--INDEX('Pooled funds'!$E:$E,ROW())&gt;=1,--INDEX('Pooled funds'!$E:$E,ROW())/100,--INDEX('Pooled funds'!$E:$E,ROW())),0)</f>
        <v/>
      </c>
      <c r="U981">
        <f>IF(ISNUMBER(INDEX('Pooled funds'!$E:$E,ROW())),1,0)</f>
        <v/>
      </c>
      <c r="V981">
        <f>TRIM(SUBSTITUTE(INDEX('Loans'!$A:$A,ROW())&amp;""," "," "))</f>
        <v/>
      </c>
      <c r="W981">
        <f>TRIM(SUBSTITUTE(INDEX('Loans'!$B:$B,ROW())&amp;""," "," "))</f>
        <v/>
      </c>
      <c r="X981">
        <f>TRIM(SUBSTITUTE(INDEX('Loans'!$C:$C,ROW())&amp;""," "," "))</f>
        <v/>
      </c>
      <c r="Y981">
        <f>IFERROR(--INDEX('Loans'!$D:$D,ROW()),0)</f>
        <v/>
      </c>
      <c r="Z981">
        <f>IFERROR(--INDEX('Loans'!$E:$E,ROW()),0)</f>
        <v/>
      </c>
      <c r="AA981">
        <f>IFERROR(--INDEX('Loans'!$F:$F,ROW()),0)</f>
        <v/>
      </c>
      <c r="AB981">
        <f>IFERROR(IF(--INDEX('Loans'!$G:$G,ROW())&gt;=1,--INDEX('Loans'!$G:$G,ROW())/100,--INDEX('Loans'!$G:$G,ROW())),0)</f>
        <v/>
      </c>
      <c r="AC981">
        <f>TRIM(SUBSTITUTE(INDEX('Loans'!$H:$H,ROW())&amp;""," "," "))</f>
        <v/>
      </c>
      <c r="AD981">
        <f>TRIM(SUBSTITUTE(INDEX('Loans'!$I:$I,ROW())&amp;""," "," "))</f>
        <v/>
      </c>
      <c r="AE981">
        <f>IFERROR(--INDEX('Loans'!$J:$J,ROW()),0)</f>
        <v/>
      </c>
      <c r="AF981">
        <f>TRIM(SUBSTITUTE(INDEX('Loans'!$K:$K,ROW())&amp;""," "," "))</f>
        <v/>
      </c>
      <c r="AG981">
        <f>IFERROR(--INDEX('Loans'!$L:$L,ROW()),0)</f>
        <v/>
      </c>
      <c r="AH981">
        <f>IF(ISNUMBER(INDEX('Loans'!$G:$G,ROW())),1,0)</f>
        <v/>
      </c>
    </row>
    <row r="982">
      <c r="A982">
        <f>TRIM(SUBSTITUTE(INDEX('Term investments'!$A:$A,ROW())&amp;""," "," "))</f>
        <v/>
      </c>
      <c r="B982">
        <f>TRIM(SUBSTITUTE(INDEX('Term investments'!$B:$B,ROW())&amp;""," "," "))</f>
        <v/>
      </c>
      <c r="C982">
        <f>TRIM(SUBSTITUTE(INDEX('Term investments'!$C:$C,ROW())&amp;""," "," "))</f>
        <v/>
      </c>
      <c r="D982">
        <f>IFERROR(--INDEX('Term investments'!$D:$D,ROW()),0)</f>
        <v/>
      </c>
      <c r="E982">
        <f>IFERROR(--INDEX('Term investments'!$E:$E,ROW()),0)</f>
        <v/>
      </c>
      <c r="F982">
        <f>IFERROR(--INDEX('Term investments'!$F:$F,ROW()),0)</f>
        <v/>
      </c>
      <c r="G982">
        <f>IFERROR(IF(--INDEX('Term investments'!$G:$G,ROW())&gt;=1,--INDEX('Term investments'!$G:$G,ROW())/100,--INDEX('Term investments'!$G:$G,ROW())),0)</f>
        <v/>
      </c>
      <c r="H982">
        <f>IFERROR(--INDEX('Term investments'!$H:$H,ROW()),0)</f>
        <v/>
      </c>
      <c r="I982">
        <f>IF(ISNUMBER(INDEX('Term investments'!$G:$G,ROW())),1,0)</f>
        <v/>
      </c>
      <c r="J982">
        <f>TRIM(SUBSTITUTE(INDEX('Call accounts and MMFs'!$A:$A,ROW())&amp;""," "," "))</f>
        <v/>
      </c>
      <c r="K982">
        <f>TRIM(SUBSTITUTE(INDEX('Call accounts and MMFs'!$B:$B,ROW())&amp;""," "," "))</f>
        <v/>
      </c>
      <c r="L982">
        <f>TRIM(SUBSTITUTE(INDEX('Call accounts and MMFs'!$C:$C,ROW())&amp;""," "," "))</f>
        <v/>
      </c>
      <c r="M982">
        <f>IFERROR(--INDEX('Call accounts and MMFs'!$D:$D,ROW()),0)</f>
        <v/>
      </c>
      <c r="N982">
        <f>IFERROR(IF(--INDEX('Call accounts and MMFs'!$E:$E,ROW())&gt;=1,--INDEX('Call accounts and MMFs'!$E:$E,ROW())/100,--INDEX('Call accounts and MMFs'!$E:$E,ROW())),0)</f>
        <v/>
      </c>
      <c r="O982">
        <f>IFERROR(--INDEX('Call accounts and MMFs'!$F:$F,ROW()),0)</f>
        <v/>
      </c>
      <c r="P982">
        <f>IF(ISNUMBER(INDEX('Call accounts and MMFs'!$E:$E,ROW())),1,0)</f>
        <v/>
      </c>
      <c r="Q982">
        <f>TRIM(SUBSTITUTE(INDEX('Pooled funds'!$B:$B,ROW())&amp;""," "," "))</f>
        <v/>
      </c>
      <c r="R982">
        <f>IFERROR(--INDEX('Pooled funds'!$C:$C,ROW()),0)</f>
        <v/>
      </c>
      <c r="S982">
        <f>IFERROR(--INDEX('Pooled funds'!$D:$D,ROW()),0)</f>
        <v/>
      </c>
      <c r="T982">
        <f>IFERROR(IF(--INDEX('Pooled funds'!$E:$E,ROW())&gt;=1,--INDEX('Pooled funds'!$E:$E,ROW())/100,--INDEX('Pooled funds'!$E:$E,ROW())),0)</f>
        <v/>
      </c>
      <c r="U982">
        <f>IF(ISNUMBER(INDEX('Pooled funds'!$E:$E,ROW())),1,0)</f>
        <v/>
      </c>
      <c r="V982">
        <f>TRIM(SUBSTITUTE(INDEX('Loans'!$A:$A,ROW())&amp;""," "," "))</f>
        <v/>
      </c>
      <c r="W982">
        <f>TRIM(SUBSTITUTE(INDEX('Loans'!$B:$B,ROW())&amp;""," "," "))</f>
        <v/>
      </c>
      <c r="X982">
        <f>TRIM(SUBSTITUTE(INDEX('Loans'!$C:$C,ROW())&amp;""," "," "))</f>
        <v/>
      </c>
      <c r="Y982">
        <f>IFERROR(--INDEX('Loans'!$D:$D,ROW()),0)</f>
        <v/>
      </c>
      <c r="Z982">
        <f>IFERROR(--INDEX('Loans'!$E:$E,ROW()),0)</f>
        <v/>
      </c>
      <c r="AA982">
        <f>IFERROR(--INDEX('Loans'!$F:$F,ROW()),0)</f>
        <v/>
      </c>
      <c r="AB982">
        <f>IFERROR(IF(--INDEX('Loans'!$G:$G,ROW())&gt;=1,--INDEX('Loans'!$G:$G,ROW())/100,--INDEX('Loans'!$G:$G,ROW())),0)</f>
        <v/>
      </c>
      <c r="AC982">
        <f>TRIM(SUBSTITUTE(INDEX('Loans'!$H:$H,ROW())&amp;""," "," "))</f>
        <v/>
      </c>
      <c r="AD982">
        <f>TRIM(SUBSTITUTE(INDEX('Loans'!$I:$I,ROW())&amp;""," "," "))</f>
        <v/>
      </c>
      <c r="AE982">
        <f>IFERROR(--INDEX('Loans'!$J:$J,ROW()),0)</f>
        <v/>
      </c>
      <c r="AF982">
        <f>TRIM(SUBSTITUTE(INDEX('Loans'!$K:$K,ROW())&amp;""," "," "))</f>
        <v/>
      </c>
      <c r="AG982">
        <f>IFERROR(--INDEX('Loans'!$L:$L,ROW()),0)</f>
        <v/>
      </c>
      <c r="AH982">
        <f>IF(ISNUMBER(INDEX('Loans'!$G:$G,ROW())),1,0)</f>
        <v/>
      </c>
    </row>
    <row r="983">
      <c r="A983">
        <f>TRIM(SUBSTITUTE(INDEX('Term investments'!$A:$A,ROW())&amp;""," "," "))</f>
        <v/>
      </c>
      <c r="B983">
        <f>TRIM(SUBSTITUTE(INDEX('Term investments'!$B:$B,ROW())&amp;""," "," "))</f>
        <v/>
      </c>
      <c r="C983">
        <f>TRIM(SUBSTITUTE(INDEX('Term investments'!$C:$C,ROW())&amp;""," "," "))</f>
        <v/>
      </c>
      <c r="D983">
        <f>IFERROR(--INDEX('Term investments'!$D:$D,ROW()),0)</f>
        <v/>
      </c>
      <c r="E983">
        <f>IFERROR(--INDEX('Term investments'!$E:$E,ROW()),0)</f>
        <v/>
      </c>
      <c r="F983">
        <f>IFERROR(--INDEX('Term investments'!$F:$F,ROW()),0)</f>
        <v/>
      </c>
      <c r="G983">
        <f>IFERROR(IF(--INDEX('Term investments'!$G:$G,ROW())&gt;=1,--INDEX('Term investments'!$G:$G,ROW())/100,--INDEX('Term investments'!$G:$G,ROW())),0)</f>
        <v/>
      </c>
      <c r="H983">
        <f>IFERROR(--INDEX('Term investments'!$H:$H,ROW()),0)</f>
        <v/>
      </c>
      <c r="I983">
        <f>IF(ISNUMBER(INDEX('Term investments'!$G:$G,ROW())),1,0)</f>
        <v/>
      </c>
      <c r="J983">
        <f>TRIM(SUBSTITUTE(INDEX('Call accounts and MMFs'!$A:$A,ROW())&amp;""," "," "))</f>
        <v/>
      </c>
      <c r="K983">
        <f>TRIM(SUBSTITUTE(INDEX('Call accounts and MMFs'!$B:$B,ROW())&amp;""," "," "))</f>
        <v/>
      </c>
      <c r="L983">
        <f>TRIM(SUBSTITUTE(INDEX('Call accounts and MMFs'!$C:$C,ROW())&amp;""," "," "))</f>
        <v/>
      </c>
      <c r="M983">
        <f>IFERROR(--INDEX('Call accounts and MMFs'!$D:$D,ROW()),0)</f>
        <v/>
      </c>
      <c r="N983">
        <f>IFERROR(IF(--INDEX('Call accounts and MMFs'!$E:$E,ROW())&gt;=1,--INDEX('Call accounts and MMFs'!$E:$E,ROW())/100,--INDEX('Call accounts and MMFs'!$E:$E,ROW())),0)</f>
        <v/>
      </c>
      <c r="O983">
        <f>IFERROR(--INDEX('Call accounts and MMFs'!$F:$F,ROW()),0)</f>
        <v/>
      </c>
      <c r="P983">
        <f>IF(ISNUMBER(INDEX('Call accounts and MMFs'!$E:$E,ROW())),1,0)</f>
        <v/>
      </c>
      <c r="Q983">
        <f>TRIM(SUBSTITUTE(INDEX('Pooled funds'!$B:$B,ROW())&amp;""," "," "))</f>
        <v/>
      </c>
      <c r="R983">
        <f>IFERROR(--INDEX('Pooled funds'!$C:$C,ROW()),0)</f>
        <v/>
      </c>
      <c r="S983">
        <f>IFERROR(--INDEX('Pooled funds'!$D:$D,ROW()),0)</f>
        <v/>
      </c>
      <c r="T983">
        <f>IFERROR(IF(--INDEX('Pooled funds'!$E:$E,ROW())&gt;=1,--INDEX('Pooled funds'!$E:$E,ROW())/100,--INDEX('Pooled funds'!$E:$E,ROW())),0)</f>
        <v/>
      </c>
      <c r="U983">
        <f>IF(ISNUMBER(INDEX('Pooled funds'!$E:$E,ROW())),1,0)</f>
        <v/>
      </c>
      <c r="V983">
        <f>TRIM(SUBSTITUTE(INDEX('Loans'!$A:$A,ROW())&amp;""," "," "))</f>
        <v/>
      </c>
      <c r="W983">
        <f>TRIM(SUBSTITUTE(INDEX('Loans'!$B:$B,ROW())&amp;""," "," "))</f>
        <v/>
      </c>
      <c r="X983">
        <f>TRIM(SUBSTITUTE(INDEX('Loans'!$C:$C,ROW())&amp;""," "," "))</f>
        <v/>
      </c>
      <c r="Y983">
        <f>IFERROR(--INDEX('Loans'!$D:$D,ROW()),0)</f>
        <v/>
      </c>
      <c r="Z983">
        <f>IFERROR(--INDEX('Loans'!$E:$E,ROW()),0)</f>
        <v/>
      </c>
      <c r="AA983">
        <f>IFERROR(--INDEX('Loans'!$F:$F,ROW()),0)</f>
        <v/>
      </c>
      <c r="AB983">
        <f>IFERROR(IF(--INDEX('Loans'!$G:$G,ROW())&gt;=1,--INDEX('Loans'!$G:$G,ROW())/100,--INDEX('Loans'!$G:$G,ROW())),0)</f>
        <v/>
      </c>
      <c r="AC983">
        <f>TRIM(SUBSTITUTE(INDEX('Loans'!$H:$H,ROW())&amp;""," "," "))</f>
        <v/>
      </c>
      <c r="AD983">
        <f>TRIM(SUBSTITUTE(INDEX('Loans'!$I:$I,ROW())&amp;""," "," "))</f>
        <v/>
      </c>
      <c r="AE983">
        <f>IFERROR(--INDEX('Loans'!$J:$J,ROW()),0)</f>
        <v/>
      </c>
      <c r="AF983">
        <f>TRIM(SUBSTITUTE(INDEX('Loans'!$K:$K,ROW())&amp;""," "," "))</f>
        <v/>
      </c>
      <c r="AG983">
        <f>IFERROR(--INDEX('Loans'!$L:$L,ROW()),0)</f>
        <v/>
      </c>
      <c r="AH983">
        <f>IF(ISNUMBER(INDEX('Loans'!$G:$G,ROW())),1,0)</f>
        <v/>
      </c>
    </row>
    <row r="984">
      <c r="A984">
        <f>TRIM(SUBSTITUTE(INDEX('Term investments'!$A:$A,ROW())&amp;""," "," "))</f>
        <v/>
      </c>
      <c r="B984">
        <f>TRIM(SUBSTITUTE(INDEX('Term investments'!$B:$B,ROW())&amp;""," "," "))</f>
        <v/>
      </c>
      <c r="C984">
        <f>TRIM(SUBSTITUTE(INDEX('Term investments'!$C:$C,ROW())&amp;""," "," "))</f>
        <v/>
      </c>
      <c r="D984">
        <f>IFERROR(--INDEX('Term investments'!$D:$D,ROW()),0)</f>
        <v/>
      </c>
      <c r="E984">
        <f>IFERROR(--INDEX('Term investments'!$E:$E,ROW()),0)</f>
        <v/>
      </c>
      <c r="F984">
        <f>IFERROR(--INDEX('Term investments'!$F:$F,ROW()),0)</f>
        <v/>
      </c>
      <c r="G984">
        <f>IFERROR(IF(--INDEX('Term investments'!$G:$G,ROW())&gt;=1,--INDEX('Term investments'!$G:$G,ROW())/100,--INDEX('Term investments'!$G:$G,ROW())),0)</f>
        <v/>
      </c>
      <c r="H984">
        <f>IFERROR(--INDEX('Term investments'!$H:$H,ROW()),0)</f>
        <v/>
      </c>
      <c r="I984">
        <f>IF(ISNUMBER(INDEX('Term investments'!$G:$G,ROW())),1,0)</f>
        <v/>
      </c>
      <c r="J984">
        <f>TRIM(SUBSTITUTE(INDEX('Call accounts and MMFs'!$A:$A,ROW())&amp;""," "," "))</f>
        <v/>
      </c>
      <c r="K984">
        <f>TRIM(SUBSTITUTE(INDEX('Call accounts and MMFs'!$B:$B,ROW())&amp;""," "," "))</f>
        <v/>
      </c>
      <c r="L984">
        <f>TRIM(SUBSTITUTE(INDEX('Call accounts and MMFs'!$C:$C,ROW())&amp;""," "," "))</f>
        <v/>
      </c>
      <c r="M984">
        <f>IFERROR(--INDEX('Call accounts and MMFs'!$D:$D,ROW()),0)</f>
        <v/>
      </c>
      <c r="N984">
        <f>IFERROR(IF(--INDEX('Call accounts and MMFs'!$E:$E,ROW())&gt;=1,--INDEX('Call accounts and MMFs'!$E:$E,ROW())/100,--INDEX('Call accounts and MMFs'!$E:$E,ROW())),0)</f>
        <v/>
      </c>
      <c r="O984">
        <f>IFERROR(--INDEX('Call accounts and MMFs'!$F:$F,ROW()),0)</f>
        <v/>
      </c>
      <c r="P984">
        <f>IF(ISNUMBER(INDEX('Call accounts and MMFs'!$E:$E,ROW())),1,0)</f>
        <v/>
      </c>
      <c r="Q984">
        <f>TRIM(SUBSTITUTE(INDEX('Pooled funds'!$B:$B,ROW())&amp;""," "," "))</f>
        <v/>
      </c>
      <c r="R984">
        <f>IFERROR(--INDEX('Pooled funds'!$C:$C,ROW()),0)</f>
        <v/>
      </c>
      <c r="S984">
        <f>IFERROR(--INDEX('Pooled funds'!$D:$D,ROW()),0)</f>
        <v/>
      </c>
      <c r="T984">
        <f>IFERROR(IF(--INDEX('Pooled funds'!$E:$E,ROW())&gt;=1,--INDEX('Pooled funds'!$E:$E,ROW())/100,--INDEX('Pooled funds'!$E:$E,ROW())),0)</f>
        <v/>
      </c>
      <c r="U984">
        <f>IF(ISNUMBER(INDEX('Pooled funds'!$E:$E,ROW())),1,0)</f>
        <v/>
      </c>
      <c r="V984">
        <f>TRIM(SUBSTITUTE(INDEX('Loans'!$A:$A,ROW())&amp;""," "," "))</f>
        <v/>
      </c>
      <c r="W984">
        <f>TRIM(SUBSTITUTE(INDEX('Loans'!$B:$B,ROW())&amp;""," "," "))</f>
        <v/>
      </c>
      <c r="X984">
        <f>TRIM(SUBSTITUTE(INDEX('Loans'!$C:$C,ROW())&amp;""," "," "))</f>
        <v/>
      </c>
      <c r="Y984">
        <f>IFERROR(--INDEX('Loans'!$D:$D,ROW()),0)</f>
        <v/>
      </c>
      <c r="Z984">
        <f>IFERROR(--INDEX('Loans'!$E:$E,ROW()),0)</f>
        <v/>
      </c>
      <c r="AA984">
        <f>IFERROR(--INDEX('Loans'!$F:$F,ROW()),0)</f>
        <v/>
      </c>
      <c r="AB984">
        <f>IFERROR(IF(--INDEX('Loans'!$G:$G,ROW())&gt;=1,--INDEX('Loans'!$G:$G,ROW())/100,--INDEX('Loans'!$G:$G,ROW())),0)</f>
        <v/>
      </c>
      <c r="AC984">
        <f>TRIM(SUBSTITUTE(INDEX('Loans'!$H:$H,ROW())&amp;""," "," "))</f>
        <v/>
      </c>
      <c r="AD984">
        <f>TRIM(SUBSTITUTE(INDEX('Loans'!$I:$I,ROW())&amp;""," "," "))</f>
        <v/>
      </c>
      <c r="AE984">
        <f>IFERROR(--INDEX('Loans'!$J:$J,ROW()),0)</f>
        <v/>
      </c>
      <c r="AF984">
        <f>TRIM(SUBSTITUTE(INDEX('Loans'!$K:$K,ROW())&amp;""," "," "))</f>
        <v/>
      </c>
      <c r="AG984">
        <f>IFERROR(--INDEX('Loans'!$L:$L,ROW()),0)</f>
        <v/>
      </c>
      <c r="AH984">
        <f>IF(ISNUMBER(INDEX('Loans'!$G:$G,ROW())),1,0)</f>
        <v/>
      </c>
    </row>
    <row r="985">
      <c r="A985">
        <f>TRIM(SUBSTITUTE(INDEX('Term investments'!$A:$A,ROW())&amp;""," "," "))</f>
        <v/>
      </c>
      <c r="B985">
        <f>TRIM(SUBSTITUTE(INDEX('Term investments'!$B:$B,ROW())&amp;""," "," "))</f>
        <v/>
      </c>
      <c r="C985">
        <f>TRIM(SUBSTITUTE(INDEX('Term investments'!$C:$C,ROW())&amp;""," "," "))</f>
        <v/>
      </c>
      <c r="D985">
        <f>IFERROR(--INDEX('Term investments'!$D:$D,ROW()),0)</f>
        <v/>
      </c>
      <c r="E985">
        <f>IFERROR(--INDEX('Term investments'!$E:$E,ROW()),0)</f>
        <v/>
      </c>
      <c r="F985">
        <f>IFERROR(--INDEX('Term investments'!$F:$F,ROW()),0)</f>
        <v/>
      </c>
      <c r="G985">
        <f>IFERROR(IF(--INDEX('Term investments'!$G:$G,ROW())&gt;=1,--INDEX('Term investments'!$G:$G,ROW())/100,--INDEX('Term investments'!$G:$G,ROW())),0)</f>
        <v/>
      </c>
      <c r="H985">
        <f>IFERROR(--INDEX('Term investments'!$H:$H,ROW()),0)</f>
        <v/>
      </c>
      <c r="I985">
        <f>IF(ISNUMBER(INDEX('Term investments'!$G:$G,ROW())),1,0)</f>
        <v/>
      </c>
      <c r="J985">
        <f>TRIM(SUBSTITUTE(INDEX('Call accounts and MMFs'!$A:$A,ROW())&amp;""," "," "))</f>
        <v/>
      </c>
      <c r="K985">
        <f>TRIM(SUBSTITUTE(INDEX('Call accounts and MMFs'!$B:$B,ROW())&amp;""," "," "))</f>
        <v/>
      </c>
      <c r="L985">
        <f>TRIM(SUBSTITUTE(INDEX('Call accounts and MMFs'!$C:$C,ROW())&amp;""," "," "))</f>
        <v/>
      </c>
      <c r="M985">
        <f>IFERROR(--INDEX('Call accounts and MMFs'!$D:$D,ROW()),0)</f>
        <v/>
      </c>
      <c r="N985">
        <f>IFERROR(IF(--INDEX('Call accounts and MMFs'!$E:$E,ROW())&gt;=1,--INDEX('Call accounts and MMFs'!$E:$E,ROW())/100,--INDEX('Call accounts and MMFs'!$E:$E,ROW())),0)</f>
        <v/>
      </c>
      <c r="O985">
        <f>IFERROR(--INDEX('Call accounts and MMFs'!$F:$F,ROW()),0)</f>
        <v/>
      </c>
      <c r="P985">
        <f>IF(ISNUMBER(INDEX('Call accounts and MMFs'!$E:$E,ROW())),1,0)</f>
        <v/>
      </c>
      <c r="Q985">
        <f>TRIM(SUBSTITUTE(INDEX('Pooled funds'!$B:$B,ROW())&amp;""," "," "))</f>
        <v/>
      </c>
      <c r="R985">
        <f>IFERROR(--INDEX('Pooled funds'!$C:$C,ROW()),0)</f>
        <v/>
      </c>
      <c r="S985">
        <f>IFERROR(--INDEX('Pooled funds'!$D:$D,ROW()),0)</f>
        <v/>
      </c>
      <c r="T985">
        <f>IFERROR(IF(--INDEX('Pooled funds'!$E:$E,ROW())&gt;=1,--INDEX('Pooled funds'!$E:$E,ROW())/100,--INDEX('Pooled funds'!$E:$E,ROW())),0)</f>
        <v/>
      </c>
      <c r="U985">
        <f>IF(ISNUMBER(INDEX('Pooled funds'!$E:$E,ROW())),1,0)</f>
        <v/>
      </c>
      <c r="V985">
        <f>TRIM(SUBSTITUTE(INDEX('Loans'!$A:$A,ROW())&amp;""," "," "))</f>
        <v/>
      </c>
      <c r="W985">
        <f>TRIM(SUBSTITUTE(INDEX('Loans'!$B:$B,ROW())&amp;""," "," "))</f>
        <v/>
      </c>
      <c r="X985">
        <f>TRIM(SUBSTITUTE(INDEX('Loans'!$C:$C,ROW())&amp;""," "," "))</f>
        <v/>
      </c>
      <c r="Y985">
        <f>IFERROR(--INDEX('Loans'!$D:$D,ROW()),0)</f>
        <v/>
      </c>
      <c r="Z985">
        <f>IFERROR(--INDEX('Loans'!$E:$E,ROW()),0)</f>
        <v/>
      </c>
      <c r="AA985">
        <f>IFERROR(--INDEX('Loans'!$F:$F,ROW()),0)</f>
        <v/>
      </c>
      <c r="AB985">
        <f>IFERROR(IF(--INDEX('Loans'!$G:$G,ROW())&gt;=1,--INDEX('Loans'!$G:$G,ROW())/100,--INDEX('Loans'!$G:$G,ROW())),0)</f>
        <v/>
      </c>
      <c r="AC985">
        <f>TRIM(SUBSTITUTE(INDEX('Loans'!$H:$H,ROW())&amp;""," "," "))</f>
        <v/>
      </c>
      <c r="AD985">
        <f>TRIM(SUBSTITUTE(INDEX('Loans'!$I:$I,ROW())&amp;""," "," "))</f>
        <v/>
      </c>
      <c r="AE985">
        <f>IFERROR(--INDEX('Loans'!$J:$J,ROW()),0)</f>
        <v/>
      </c>
      <c r="AF985">
        <f>TRIM(SUBSTITUTE(INDEX('Loans'!$K:$K,ROW())&amp;""," "," "))</f>
        <v/>
      </c>
      <c r="AG985">
        <f>IFERROR(--INDEX('Loans'!$L:$L,ROW()),0)</f>
        <v/>
      </c>
      <c r="AH985">
        <f>IF(ISNUMBER(INDEX('Loans'!$G:$G,ROW())),1,0)</f>
        <v/>
      </c>
    </row>
    <row r="986">
      <c r="A986">
        <f>TRIM(SUBSTITUTE(INDEX('Term investments'!$A:$A,ROW())&amp;""," "," "))</f>
        <v/>
      </c>
      <c r="B986">
        <f>TRIM(SUBSTITUTE(INDEX('Term investments'!$B:$B,ROW())&amp;""," "," "))</f>
        <v/>
      </c>
      <c r="C986">
        <f>TRIM(SUBSTITUTE(INDEX('Term investments'!$C:$C,ROW())&amp;""," "," "))</f>
        <v/>
      </c>
      <c r="D986">
        <f>IFERROR(--INDEX('Term investments'!$D:$D,ROW()),0)</f>
        <v/>
      </c>
      <c r="E986">
        <f>IFERROR(--INDEX('Term investments'!$E:$E,ROW()),0)</f>
        <v/>
      </c>
      <c r="F986">
        <f>IFERROR(--INDEX('Term investments'!$F:$F,ROW()),0)</f>
        <v/>
      </c>
      <c r="G986">
        <f>IFERROR(IF(--INDEX('Term investments'!$G:$G,ROW())&gt;=1,--INDEX('Term investments'!$G:$G,ROW())/100,--INDEX('Term investments'!$G:$G,ROW())),0)</f>
        <v/>
      </c>
      <c r="H986">
        <f>IFERROR(--INDEX('Term investments'!$H:$H,ROW()),0)</f>
        <v/>
      </c>
      <c r="I986">
        <f>IF(ISNUMBER(INDEX('Term investments'!$G:$G,ROW())),1,0)</f>
        <v/>
      </c>
      <c r="J986">
        <f>TRIM(SUBSTITUTE(INDEX('Call accounts and MMFs'!$A:$A,ROW())&amp;""," "," "))</f>
        <v/>
      </c>
      <c r="K986">
        <f>TRIM(SUBSTITUTE(INDEX('Call accounts and MMFs'!$B:$B,ROW())&amp;""," "," "))</f>
        <v/>
      </c>
      <c r="L986">
        <f>TRIM(SUBSTITUTE(INDEX('Call accounts and MMFs'!$C:$C,ROW())&amp;""," "," "))</f>
        <v/>
      </c>
      <c r="M986">
        <f>IFERROR(--INDEX('Call accounts and MMFs'!$D:$D,ROW()),0)</f>
        <v/>
      </c>
      <c r="N986">
        <f>IFERROR(IF(--INDEX('Call accounts and MMFs'!$E:$E,ROW())&gt;=1,--INDEX('Call accounts and MMFs'!$E:$E,ROW())/100,--INDEX('Call accounts and MMFs'!$E:$E,ROW())),0)</f>
        <v/>
      </c>
      <c r="O986">
        <f>IFERROR(--INDEX('Call accounts and MMFs'!$F:$F,ROW()),0)</f>
        <v/>
      </c>
      <c r="P986">
        <f>IF(ISNUMBER(INDEX('Call accounts and MMFs'!$E:$E,ROW())),1,0)</f>
        <v/>
      </c>
      <c r="Q986">
        <f>TRIM(SUBSTITUTE(INDEX('Pooled funds'!$B:$B,ROW())&amp;""," "," "))</f>
        <v/>
      </c>
      <c r="R986">
        <f>IFERROR(--INDEX('Pooled funds'!$C:$C,ROW()),0)</f>
        <v/>
      </c>
      <c r="S986">
        <f>IFERROR(--INDEX('Pooled funds'!$D:$D,ROW()),0)</f>
        <v/>
      </c>
      <c r="T986">
        <f>IFERROR(IF(--INDEX('Pooled funds'!$E:$E,ROW())&gt;=1,--INDEX('Pooled funds'!$E:$E,ROW())/100,--INDEX('Pooled funds'!$E:$E,ROW())),0)</f>
        <v/>
      </c>
      <c r="U986">
        <f>IF(ISNUMBER(INDEX('Pooled funds'!$E:$E,ROW())),1,0)</f>
        <v/>
      </c>
      <c r="V986">
        <f>TRIM(SUBSTITUTE(INDEX('Loans'!$A:$A,ROW())&amp;""," "," "))</f>
        <v/>
      </c>
      <c r="W986">
        <f>TRIM(SUBSTITUTE(INDEX('Loans'!$B:$B,ROW())&amp;""," "," "))</f>
        <v/>
      </c>
      <c r="X986">
        <f>TRIM(SUBSTITUTE(INDEX('Loans'!$C:$C,ROW())&amp;""," "," "))</f>
        <v/>
      </c>
      <c r="Y986">
        <f>IFERROR(--INDEX('Loans'!$D:$D,ROW()),0)</f>
        <v/>
      </c>
      <c r="Z986">
        <f>IFERROR(--INDEX('Loans'!$E:$E,ROW()),0)</f>
        <v/>
      </c>
      <c r="AA986">
        <f>IFERROR(--INDEX('Loans'!$F:$F,ROW()),0)</f>
        <v/>
      </c>
      <c r="AB986">
        <f>IFERROR(IF(--INDEX('Loans'!$G:$G,ROW())&gt;=1,--INDEX('Loans'!$G:$G,ROW())/100,--INDEX('Loans'!$G:$G,ROW())),0)</f>
        <v/>
      </c>
      <c r="AC986">
        <f>TRIM(SUBSTITUTE(INDEX('Loans'!$H:$H,ROW())&amp;""," "," "))</f>
        <v/>
      </c>
      <c r="AD986">
        <f>TRIM(SUBSTITUTE(INDEX('Loans'!$I:$I,ROW())&amp;""," "," "))</f>
        <v/>
      </c>
      <c r="AE986">
        <f>IFERROR(--INDEX('Loans'!$J:$J,ROW()),0)</f>
        <v/>
      </c>
      <c r="AF986">
        <f>TRIM(SUBSTITUTE(INDEX('Loans'!$K:$K,ROW())&amp;""," "," "))</f>
        <v/>
      </c>
      <c r="AG986">
        <f>IFERROR(--INDEX('Loans'!$L:$L,ROW()),0)</f>
        <v/>
      </c>
      <c r="AH986">
        <f>IF(ISNUMBER(INDEX('Loans'!$G:$G,ROW())),1,0)</f>
        <v/>
      </c>
    </row>
    <row r="987">
      <c r="A987">
        <f>TRIM(SUBSTITUTE(INDEX('Term investments'!$A:$A,ROW())&amp;""," "," "))</f>
        <v/>
      </c>
      <c r="B987">
        <f>TRIM(SUBSTITUTE(INDEX('Term investments'!$B:$B,ROW())&amp;""," "," "))</f>
        <v/>
      </c>
      <c r="C987">
        <f>TRIM(SUBSTITUTE(INDEX('Term investments'!$C:$C,ROW())&amp;""," "," "))</f>
        <v/>
      </c>
      <c r="D987">
        <f>IFERROR(--INDEX('Term investments'!$D:$D,ROW()),0)</f>
        <v/>
      </c>
      <c r="E987">
        <f>IFERROR(--INDEX('Term investments'!$E:$E,ROW()),0)</f>
        <v/>
      </c>
      <c r="F987">
        <f>IFERROR(--INDEX('Term investments'!$F:$F,ROW()),0)</f>
        <v/>
      </c>
      <c r="G987">
        <f>IFERROR(IF(--INDEX('Term investments'!$G:$G,ROW())&gt;=1,--INDEX('Term investments'!$G:$G,ROW())/100,--INDEX('Term investments'!$G:$G,ROW())),0)</f>
        <v/>
      </c>
      <c r="H987">
        <f>IFERROR(--INDEX('Term investments'!$H:$H,ROW()),0)</f>
        <v/>
      </c>
      <c r="I987">
        <f>IF(ISNUMBER(INDEX('Term investments'!$G:$G,ROW())),1,0)</f>
        <v/>
      </c>
      <c r="J987">
        <f>TRIM(SUBSTITUTE(INDEX('Call accounts and MMFs'!$A:$A,ROW())&amp;""," "," "))</f>
        <v/>
      </c>
      <c r="K987">
        <f>TRIM(SUBSTITUTE(INDEX('Call accounts and MMFs'!$B:$B,ROW())&amp;""," "," "))</f>
        <v/>
      </c>
      <c r="L987">
        <f>TRIM(SUBSTITUTE(INDEX('Call accounts and MMFs'!$C:$C,ROW())&amp;""," "," "))</f>
        <v/>
      </c>
      <c r="M987">
        <f>IFERROR(--INDEX('Call accounts and MMFs'!$D:$D,ROW()),0)</f>
        <v/>
      </c>
      <c r="N987">
        <f>IFERROR(IF(--INDEX('Call accounts and MMFs'!$E:$E,ROW())&gt;=1,--INDEX('Call accounts and MMFs'!$E:$E,ROW())/100,--INDEX('Call accounts and MMFs'!$E:$E,ROW())),0)</f>
        <v/>
      </c>
      <c r="O987">
        <f>IFERROR(--INDEX('Call accounts and MMFs'!$F:$F,ROW()),0)</f>
        <v/>
      </c>
      <c r="P987">
        <f>IF(ISNUMBER(INDEX('Call accounts and MMFs'!$E:$E,ROW())),1,0)</f>
        <v/>
      </c>
      <c r="Q987">
        <f>TRIM(SUBSTITUTE(INDEX('Pooled funds'!$B:$B,ROW())&amp;""," "," "))</f>
        <v/>
      </c>
      <c r="R987">
        <f>IFERROR(--INDEX('Pooled funds'!$C:$C,ROW()),0)</f>
        <v/>
      </c>
      <c r="S987">
        <f>IFERROR(--INDEX('Pooled funds'!$D:$D,ROW()),0)</f>
        <v/>
      </c>
      <c r="T987">
        <f>IFERROR(IF(--INDEX('Pooled funds'!$E:$E,ROW())&gt;=1,--INDEX('Pooled funds'!$E:$E,ROW())/100,--INDEX('Pooled funds'!$E:$E,ROW())),0)</f>
        <v/>
      </c>
      <c r="U987">
        <f>IF(ISNUMBER(INDEX('Pooled funds'!$E:$E,ROW())),1,0)</f>
        <v/>
      </c>
      <c r="V987">
        <f>TRIM(SUBSTITUTE(INDEX('Loans'!$A:$A,ROW())&amp;""," "," "))</f>
        <v/>
      </c>
      <c r="W987">
        <f>TRIM(SUBSTITUTE(INDEX('Loans'!$B:$B,ROW())&amp;""," "," "))</f>
        <v/>
      </c>
      <c r="X987">
        <f>TRIM(SUBSTITUTE(INDEX('Loans'!$C:$C,ROW())&amp;""," "," "))</f>
        <v/>
      </c>
      <c r="Y987">
        <f>IFERROR(--INDEX('Loans'!$D:$D,ROW()),0)</f>
        <v/>
      </c>
      <c r="Z987">
        <f>IFERROR(--INDEX('Loans'!$E:$E,ROW()),0)</f>
        <v/>
      </c>
      <c r="AA987">
        <f>IFERROR(--INDEX('Loans'!$F:$F,ROW()),0)</f>
        <v/>
      </c>
      <c r="AB987">
        <f>IFERROR(IF(--INDEX('Loans'!$G:$G,ROW())&gt;=1,--INDEX('Loans'!$G:$G,ROW())/100,--INDEX('Loans'!$G:$G,ROW())),0)</f>
        <v/>
      </c>
      <c r="AC987">
        <f>TRIM(SUBSTITUTE(INDEX('Loans'!$H:$H,ROW())&amp;""," "," "))</f>
        <v/>
      </c>
      <c r="AD987">
        <f>TRIM(SUBSTITUTE(INDEX('Loans'!$I:$I,ROW())&amp;""," "," "))</f>
        <v/>
      </c>
      <c r="AE987">
        <f>IFERROR(--INDEX('Loans'!$J:$J,ROW()),0)</f>
        <v/>
      </c>
      <c r="AF987">
        <f>TRIM(SUBSTITUTE(INDEX('Loans'!$K:$K,ROW())&amp;""," "," "))</f>
        <v/>
      </c>
      <c r="AG987">
        <f>IFERROR(--INDEX('Loans'!$L:$L,ROW()),0)</f>
        <v/>
      </c>
      <c r="AH987">
        <f>IF(ISNUMBER(INDEX('Loans'!$G:$G,ROW())),1,0)</f>
        <v/>
      </c>
    </row>
    <row r="988">
      <c r="A988">
        <f>TRIM(SUBSTITUTE(INDEX('Term investments'!$A:$A,ROW())&amp;""," "," "))</f>
        <v/>
      </c>
      <c r="B988">
        <f>TRIM(SUBSTITUTE(INDEX('Term investments'!$B:$B,ROW())&amp;""," "," "))</f>
        <v/>
      </c>
      <c r="C988">
        <f>TRIM(SUBSTITUTE(INDEX('Term investments'!$C:$C,ROW())&amp;""," "," "))</f>
        <v/>
      </c>
      <c r="D988">
        <f>IFERROR(--INDEX('Term investments'!$D:$D,ROW()),0)</f>
        <v/>
      </c>
      <c r="E988">
        <f>IFERROR(--INDEX('Term investments'!$E:$E,ROW()),0)</f>
        <v/>
      </c>
      <c r="F988">
        <f>IFERROR(--INDEX('Term investments'!$F:$F,ROW()),0)</f>
        <v/>
      </c>
      <c r="G988">
        <f>IFERROR(IF(--INDEX('Term investments'!$G:$G,ROW())&gt;=1,--INDEX('Term investments'!$G:$G,ROW())/100,--INDEX('Term investments'!$G:$G,ROW())),0)</f>
        <v/>
      </c>
      <c r="H988">
        <f>IFERROR(--INDEX('Term investments'!$H:$H,ROW()),0)</f>
        <v/>
      </c>
      <c r="I988">
        <f>IF(ISNUMBER(INDEX('Term investments'!$G:$G,ROW())),1,0)</f>
        <v/>
      </c>
      <c r="J988">
        <f>TRIM(SUBSTITUTE(INDEX('Call accounts and MMFs'!$A:$A,ROW())&amp;""," "," "))</f>
        <v/>
      </c>
      <c r="K988">
        <f>TRIM(SUBSTITUTE(INDEX('Call accounts and MMFs'!$B:$B,ROW())&amp;""," "," "))</f>
        <v/>
      </c>
      <c r="L988">
        <f>TRIM(SUBSTITUTE(INDEX('Call accounts and MMFs'!$C:$C,ROW())&amp;""," "," "))</f>
        <v/>
      </c>
      <c r="M988">
        <f>IFERROR(--INDEX('Call accounts and MMFs'!$D:$D,ROW()),0)</f>
        <v/>
      </c>
      <c r="N988">
        <f>IFERROR(IF(--INDEX('Call accounts and MMFs'!$E:$E,ROW())&gt;=1,--INDEX('Call accounts and MMFs'!$E:$E,ROW())/100,--INDEX('Call accounts and MMFs'!$E:$E,ROW())),0)</f>
        <v/>
      </c>
      <c r="O988">
        <f>IFERROR(--INDEX('Call accounts and MMFs'!$F:$F,ROW()),0)</f>
        <v/>
      </c>
      <c r="P988">
        <f>IF(ISNUMBER(INDEX('Call accounts and MMFs'!$E:$E,ROW())),1,0)</f>
        <v/>
      </c>
      <c r="Q988">
        <f>TRIM(SUBSTITUTE(INDEX('Pooled funds'!$B:$B,ROW())&amp;""," "," "))</f>
        <v/>
      </c>
      <c r="R988">
        <f>IFERROR(--INDEX('Pooled funds'!$C:$C,ROW()),0)</f>
        <v/>
      </c>
      <c r="S988">
        <f>IFERROR(--INDEX('Pooled funds'!$D:$D,ROW()),0)</f>
        <v/>
      </c>
      <c r="T988">
        <f>IFERROR(IF(--INDEX('Pooled funds'!$E:$E,ROW())&gt;=1,--INDEX('Pooled funds'!$E:$E,ROW())/100,--INDEX('Pooled funds'!$E:$E,ROW())),0)</f>
        <v/>
      </c>
      <c r="U988">
        <f>IF(ISNUMBER(INDEX('Pooled funds'!$E:$E,ROW())),1,0)</f>
        <v/>
      </c>
      <c r="V988">
        <f>TRIM(SUBSTITUTE(INDEX('Loans'!$A:$A,ROW())&amp;""," "," "))</f>
        <v/>
      </c>
      <c r="W988">
        <f>TRIM(SUBSTITUTE(INDEX('Loans'!$B:$B,ROW())&amp;""," "," "))</f>
        <v/>
      </c>
      <c r="X988">
        <f>TRIM(SUBSTITUTE(INDEX('Loans'!$C:$C,ROW())&amp;""," "," "))</f>
        <v/>
      </c>
      <c r="Y988">
        <f>IFERROR(--INDEX('Loans'!$D:$D,ROW()),0)</f>
        <v/>
      </c>
      <c r="Z988">
        <f>IFERROR(--INDEX('Loans'!$E:$E,ROW()),0)</f>
        <v/>
      </c>
      <c r="AA988">
        <f>IFERROR(--INDEX('Loans'!$F:$F,ROW()),0)</f>
        <v/>
      </c>
      <c r="AB988">
        <f>IFERROR(IF(--INDEX('Loans'!$G:$G,ROW())&gt;=1,--INDEX('Loans'!$G:$G,ROW())/100,--INDEX('Loans'!$G:$G,ROW())),0)</f>
        <v/>
      </c>
      <c r="AC988">
        <f>TRIM(SUBSTITUTE(INDEX('Loans'!$H:$H,ROW())&amp;""," "," "))</f>
        <v/>
      </c>
      <c r="AD988">
        <f>TRIM(SUBSTITUTE(INDEX('Loans'!$I:$I,ROW())&amp;""," "," "))</f>
        <v/>
      </c>
      <c r="AE988">
        <f>IFERROR(--INDEX('Loans'!$J:$J,ROW()),0)</f>
        <v/>
      </c>
      <c r="AF988">
        <f>TRIM(SUBSTITUTE(INDEX('Loans'!$K:$K,ROW())&amp;""," "," "))</f>
        <v/>
      </c>
      <c r="AG988">
        <f>IFERROR(--INDEX('Loans'!$L:$L,ROW()),0)</f>
        <v/>
      </c>
      <c r="AH988">
        <f>IF(ISNUMBER(INDEX('Loans'!$G:$G,ROW())),1,0)</f>
        <v/>
      </c>
    </row>
    <row r="989">
      <c r="A989">
        <f>TRIM(SUBSTITUTE(INDEX('Term investments'!$A:$A,ROW())&amp;""," "," "))</f>
        <v/>
      </c>
      <c r="B989">
        <f>TRIM(SUBSTITUTE(INDEX('Term investments'!$B:$B,ROW())&amp;""," "," "))</f>
        <v/>
      </c>
      <c r="C989">
        <f>TRIM(SUBSTITUTE(INDEX('Term investments'!$C:$C,ROW())&amp;""," "," "))</f>
        <v/>
      </c>
      <c r="D989">
        <f>IFERROR(--INDEX('Term investments'!$D:$D,ROW()),0)</f>
        <v/>
      </c>
      <c r="E989">
        <f>IFERROR(--INDEX('Term investments'!$E:$E,ROW()),0)</f>
        <v/>
      </c>
      <c r="F989">
        <f>IFERROR(--INDEX('Term investments'!$F:$F,ROW()),0)</f>
        <v/>
      </c>
      <c r="G989">
        <f>IFERROR(IF(--INDEX('Term investments'!$G:$G,ROW())&gt;=1,--INDEX('Term investments'!$G:$G,ROW())/100,--INDEX('Term investments'!$G:$G,ROW())),0)</f>
        <v/>
      </c>
      <c r="H989">
        <f>IFERROR(--INDEX('Term investments'!$H:$H,ROW()),0)</f>
        <v/>
      </c>
      <c r="I989">
        <f>IF(ISNUMBER(INDEX('Term investments'!$G:$G,ROW())),1,0)</f>
        <v/>
      </c>
      <c r="J989">
        <f>TRIM(SUBSTITUTE(INDEX('Call accounts and MMFs'!$A:$A,ROW())&amp;""," "," "))</f>
        <v/>
      </c>
      <c r="K989">
        <f>TRIM(SUBSTITUTE(INDEX('Call accounts and MMFs'!$B:$B,ROW())&amp;""," "," "))</f>
        <v/>
      </c>
      <c r="L989">
        <f>TRIM(SUBSTITUTE(INDEX('Call accounts and MMFs'!$C:$C,ROW())&amp;""," "," "))</f>
        <v/>
      </c>
      <c r="M989">
        <f>IFERROR(--INDEX('Call accounts and MMFs'!$D:$D,ROW()),0)</f>
        <v/>
      </c>
      <c r="N989">
        <f>IFERROR(IF(--INDEX('Call accounts and MMFs'!$E:$E,ROW())&gt;=1,--INDEX('Call accounts and MMFs'!$E:$E,ROW())/100,--INDEX('Call accounts and MMFs'!$E:$E,ROW())),0)</f>
        <v/>
      </c>
      <c r="O989">
        <f>IFERROR(--INDEX('Call accounts and MMFs'!$F:$F,ROW()),0)</f>
        <v/>
      </c>
      <c r="P989">
        <f>IF(ISNUMBER(INDEX('Call accounts and MMFs'!$E:$E,ROW())),1,0)</f>
        <v/>
      </c>
      <c r="Q989">
        <f>TRIM(SUBSTITUTE(INDEX('Pooled funds'!$B:$B,ROW())&amp;""," "," "))</f>
        <v/>
      </c>
      <c r="R989">
        <f>IFERROR(--INDEX('Pooled funds'!$C:$C,ROW()),0)</f>
        <v/>
      </c>
      <c r="S989">
        <f>IFERROR(--INDEX('Pooled funds'!$D:$D,ROW()),0)</f>
        <v/>
      </c>
      <c r="T989">
        <f>IFERROR(IF(--INDEX('Pooled funds'!$E:$E,ROW())&gt;=1,--INDEX('Pooled funds'!$E:$E,ROW())/100,--INDEX('Pooled funds'!$E:$E,ROW())),0)</f>
        <v/>
      </c>
      <c r="U989">
        <f>IF(ISNUMBER(INDEX('Pooled funds'!$E:$E,ROW())),1,0)</f>
        <v/>
      </c>
      <c r="V989">
        <f>TRIM(SUBSTITUTE(INDEX('Loans'!$A:$A,ROW())&amp;""," "," "))</f>
        <v/>
      </c>
      <c r="W989">
        <f>TRIM(SUBSTITUTE(INDEX('Loans'!$B:$B,ROW())&amp;""," "," "))</f>
        <v/>
      </c>
      <c r="X989">
        <f>TRIM(SUBSTITUTE(INDEX('Loans'!$C:$C,ROW())&amp;""," "," "))</f>
        <v/>
      </c>
      <c r="Y989">
        <f>IFERROR(--INDEX('Loans'!$D:$D,ROW()),0)</f>
        <v/>
      </c>
      <c r="Z989">
        <f>IFERROR(--INDEX('Loans'!$E:$E,ROW()),0)</f>
        <v/>
      </c>
      <c r="AA989">
        <f>IFERROR(--INDEX('Loans'!$F:$F,ROW()),0)</f>
        <v/>
      </c>
      <c r="AB989">
        <f>IFERROR(IF(--INDEX('Loans'!$G:$G,ROW())&gt;=1,--INDEX('Loans'!$G:$G,ROW())/100,--INDEX('Loans'!$G:$G,ROW())),0)</f>
        <v/>
      </c>
      <c r="AC989">
        <f>TRIM(SUBSTITUTE(INDEX('Loans'!$H:$H,ROW())&amp;""," "," "))</f>
        <v/>
      </c>
      <c r="AD989">
        <f>TRIM(SUBSTITUTE(INDEX('Loans'!$I:$I,ROW())&amp;""," "," "))</f>
        <v/>
      </c>
      <c r="AE989">
        <f>IFERROR(--INDEX('Loans'!$J:$J,ROW()),0)</f>
        <v/>
      </c>
      <c r="AF989">
        <f>TRIM(SUBSTITUTE(INDEX('Loans'!$K:$K,ROW())&amp;""," "," "))</f>
        <v/>
      </c>
      <c r="AG989">
        <f>IFERROR(--INDEX('Loans'!$L:$L,ROW()),0)</f>
        <v/>
      </c>
      <c r="AH989">
        <f>IF(ISNUMBER(INDEX('Loans'!$G:$G,ROW())),1,0)</f>
        <v/>
      </c>
    </row>
    <row r="990">
      <c r="A990">
        <f>TRIM(SUBSTITUTE(INDEX('Term investments'!$A:$A,ROW())&amp;""," "," "))</f>
        <v/>
      </c>
      <c r="B990">
        <f>TRIM(SUBSTITUTE(INDEX('Term investments'!$B:$B,ROW())&amp;""," "," "))</f>
        <v/>
      </c>
      <c r="C990">
        <f>TRIM(SUBSTITUTE(INDEX('Term investments'!$C:$C,ROW())&amp;""," "," "))</f>
        <v/>
      </c>
      <c r="D990">
        <f>IFERROR(--INDEX('Term investments'!$D:$D,ROW()),0)</f>
        <v/>
      </c>
      <c r="E990">
        <f>IFERROR(--INDEX('Term investments'!$E:$E,ROW()),0)</f>
        <v/>
      </c>
      <c r="F990">
        <f>IFERROR(--INDEX('Term investments'!$F:$F,ROW()),0)</f>
        <v/>
      </c>
      <c r="G990">
        <f>IFERROR(IF(--INDEX('Term investments'!$G:$G,ROW())&gt;=1,--INDEX('Term investments'!$G:$G,ROW())/100,--INDEX('Term investments'!$G:$G,ROW())),0)</f>
        <v/>
      </c>
      <c r="H990">
        <f>IFERROR(--INDEX('Term investments'!$H:$H,ROW()),0)</f>
        <v/>
      </c>
      <c r="I990">
        <f>IF(ISNUMBER(INDEX('Term investments'!$G:$G,ROW())),1,0)</f>
        <v/>
      </c>
      <c r="J990">
        <f>TRIM(SUBSTITUTE(INDEX('Call accounts and MMFs'!$A:$A,ROW())&amp;""," "," "))</f>
        <v/>
      </c>
      <c r="K990">
        <f>TRIM(SUBSTITUTE(INDEX('Call accounts and MMFs'!$B:$B,ROW())&amp;""," "," "))</f>
        <v/>
      </c>
      <c r="L990">
        <f>TRIM(SUBSTITUTE(INDEX('Call accounts and MMFs'!$C:$C,ROW())&amp;""," "," "))</f>
        <v/>
      </c>
      <c r="M990">
        <f>IFERROR(--INDEX('Call accounts and MMFs'!$D:$D,ROW()),0)</f>
        <v/>
      </c>
      <c r="N990">
        <f>IFERROR(IF(--INDEX('Call accounts and MMFs'!$E:$E,ROW())&gt;=1,--INDEX('Call accounts and MMFs'!$E:$E,ROW())/100,--INDEX('Call accounts and MMFs'!$E:$E,ROW())),0)</f>
        <v/>
      </c>
      <c r="O990">
        <f>IFERROR(--INDEX('Call accounts and MMFs'!$F:$F,ROW()),0)</f>
        <v/>
      </c>
      <c r="P990">
        <f>IF(ISNUMBER(INDEX('Call accounts and MMFs'!$E:$E,ROW())),1,0)</f>
        <v/>
      </c>
      <c r="Q990">
        <f>TRIM(SUBSTITUTE(INDEX('Pooled funds'!$B:$B,ROW())&amp;""," "," "))</f>
        <v/>
      </c>
      <c r="R990">
        <f>IFERROR(--INDEX('Pooled funds'!$C:$C,ROW()),0)</f>
        <v/>
      </c>
      <c r="S990">
        <f>IFERROR(--INDEX('Pooled funds'!$D:$D,ROW()),0)</f>
        <v/>
      </c>
      <c r="T990">
        <f>IFERROR(IF(--INDEX('Pooled funds'!$E:$E,ROW())&gt;=1,--INDEX('Pooled funds'!$E:$E,ROW())/100,--INDEX('Pooled funds'!$E:$E,ROW())),0)</f>
        <v/>
      </c>
      <c r="U990">
        <f>IF(ISNUMBER(INDEX('Pooled funds'!$E:$E,ROW())),1,0)</f>
        <v/>
      </c>
      <c r="V990">
        <f>TRIM(SUBSTITUTE(INDEX('Loans'!$A:$A,ROW())&amp;""," "," "))</f>
        <v/>
      </c>
      <c r="W990">
        <f>TRIM(SUBSTITUTE(INDEX('Loans'!$B:$B,ROW())&amp;""," "," "))</f>
        <v/>
      </c>
      <c r="X990">
        <f>TRIM(SUBSTITUTE(INDEX('Loans'!$C:$C,ROW())&amp;""," "," "))</f>
        <v/>
      </c>
      <c r="Y990">
        <f>IFERROR(--INDEX('Loans'!$D:$D,ROW()),0)</f>
        <v/>
      </c>
      <c r="Z990">
        <f>IFERROR(--INDEX('Loans'!$E:$E,ROW()),0)</f>
        <v/>
      </c>
      <c r="AA990">
        <f>IFERROR(--INDEX('Loans'!$F:$F,ROW()),0)</f>
        <v/>
      </c>
      <c r="AB990">
        <f>IFERROR(IF(--INDEX('Loans'!$G:$G,ROW())&gt;=1,--INDEX('Loans'!$G:$G,ROW())/100,--INDEX('Loans'!$G:$G,ROW())),0)</f>
        <v/>
      </c>
      <c r="AC990">
        <f>TRIM(SUBSTITUTE(INDEX('Loans'!$H:$H,ROW())&amp;""," "," "))</f>
        <v/>
      </c>
      <c r="AD990">
        <f>TRIM(SUBSTITUTE(INDEX('Loans'!$I:$I,ROW())&amp;""," "," "))</f>
        <v/>
      </c>
      <c r="AE990">
        <f>IFERROR(--INDEX('Loans'!$J:$J,ROW()),0)</f>
        <v/>
      </c>
      <c r="AF990">
        <f>TRIM(SUBSTITUTE(INDEX('Loans'!$K:$K,ROW())&amp;""," "," "))</f>
        <v/>
      </c>
      <c r="AG990">
        <f>IFERROR(--INDEX('Loans'!$L:$L,ROW()),0)</f>
        <v/>
      </c>
      <c r="AH990">
        <f>IF(ISNUMBER(INDEX('Loans'!$G:$G,ROW())),1,0)</f>
        <v/>
      </c>
    </row>
    <row r="991">
      <c r="A991">
        <f>TRIM(SUBSTITUTE(INDEX('Term investments'!$A:$A,ROW())&amp;""," "," "))</f>
        <v/>
      </c>
      <c r="B991">
        <f>TRIM(SUBSTITUTE(INDEX('Term investments'!$B:$B,ROW())&amp;""," "," "))</f>
        <v/>
      </c>
      <c r="C991">
        <f>TRIM(SUBSTITUTE(INDEX('Term investments'!$C:$C,ROW())&amp;""," "," "))</f>
        <v/>
      </c>
      <c r="D991">
        <f>IFERROR(--INDEX('Term investments'!$D:$D,ROW()),0)</f>
        <v/>
      </c>
      <c r="E991">
        <f>IFERROR(--INDEX('Term investments'!$E:$E,ROW()),0)</f>
        <v/>
      </c>
      <c r="F991">
        <f>IFERROR(--INDEX('Term investments'!$F:$F,ROW()),0)</f>
        <v/>
      </c>
      <c r="G991">
        <f>IFERROR(IF(--INDEX('Term investments'!$G:$G,ROW())&gt;=1,--INDEX('Term investments'!$G:$G,ROW())/100,--INDEX('Term investments'!$G:$G,ROW())),0)</f>
        <v/>
      </c>
      <c r="H991">
        <f>IFERROR(--INDEX('Term investments'!$H:$H,ROW()),0)</f>
        <v/>
      </c>
      <c r="I991">
        <f>IF(ISNUMBER(INDEX('Term investments'!$G:$G,ROW())),1,0)</f>
        <v/>
      </c>
      <c r="J991">
        <f>TRIM(SUBSTITUTE(INDEX('Call accounts and MMFs'!$A:$A,ROW())&amp;""," "," "))</f>
        <v/>
      </c>
      <c r="K991">
        <f>TRIM(SUBSTITUTE(INDEX('Call accounts and MMFs'!$B:$B,ROW())&amp;""," "," "))</f>
        <v/>
      </c>
      <c r="L991">
        <f>TRIM(SUBSTITUTE(INDEX('Call accounts and MMFs'!$C:$C,ROW())&amp;""," "," "))</f>
        <v/>
      </c>
      <c r="M991">
        <f>IFERROR(--INDEX('Call accounts and MMFs'!$D:$D,ROW()),0)</f>
        <v/>
      </c>
      <c r="N991">
        <f>IFERROR(IF(--INDEX('Call accounts and MMFs'!$E:$E,ROW())&gt;=1,--INDEX('Call accounts and MMFs'!$E:$E,ROW())/100,--INDEX('Call accounts and MMFs'!$E:$E,ROW())),0)</f>
        <v/>
      </c>
      <c r="O991">
        <f>IFERROR(--INDEX('Call accounts and MMFs'!$F:$F,ROW()),0)</f>
        <v/>
      </c>
      <c r="P991">
        <f>IF(ISNUMBER(INDEX('Call accounts and MMFs'!$E:$E,ROW())),1,0)</f>
        <v/>
      </c>
      <c r="Q991">
        <f>TRIM(SUBSTITUTE(INDEX('Pooled funds'!$B:$B,ROW())&amp;""," "," "))</f>
        <v/>
      </c>
      <c r="R991">
        <f>IFERROR(--INDEX('Pooled funds'!$C:$C,ROW()),0)</f>
        <v/>
      </c>
      <c r="S991">
        <f>IFERROR(--INDEX('Pooled funds'!$D:$D,ROW()),0)</f>
        <v/>
      </c>
      <c r="T991">
        <f>IFERROR(IF(--INDEX('Pooled funds'!$E:$E,ROW())&gt;=1,--INDEX('Pooled funds'!$E:$E,ROW())/100,--INDEX('Pooled funds'!$E:$E,ROW())),0)</f>
        <v/>
      </c>
      <c r="U991">
        <f>IF(ISNUMBER(INDEX('Pooled funds'!$E:$E,ROW())),1,0)</f>
        <v/>
      </c>
      <c r="V991">
        <f>TRIM(SUBSTITUTE(INDEX('Loans'!$A:$A,ROW())&amp;""," "," "))</f>
        <v/>
      </c>
      <c r="W991">
        <f>TRIM(SUBSTITUTE(INDEX('Loans'!$B:$B,ROW())&amp;""," "," "))</f>
        <v/>
      </c>
      <c r="X991">
        <f>TRIM(SUBSTITUTE(INDEX('Loans'!$C:$C,ROW())&amp;""," "," "))</f>
        <v/>
      </c>
      <c r="Y991">
        <f>IFERROR(--INDEX('Loans'!$D:$D,ROW()),0)</f>
        <v/>
      </c>
      <c r="Z991">
        <f>IFERROR(--INDEX('Loans'!$E:$E,ROW()),0)</f>
        <v/>
      </c>
      <c r="AA991">
        <f>IFERROR(--INDEX('Loans'!$F:$F,ROW()),0)</f>
        <v/>
      </c>
      <c r="AB991">
        <f>IFERROR(IF(--INDEX('Loans'!$G:$G,ROW())&gt;=1,--INDEX('Loans'!$G:$G,ROW())/100,--INDEX('Loans'!$G:$G,ROW())),0)</f>
        <v/>
      </c>
      <c r="AC991">
        <f>TRIM(SUBSTITUTE(INDEX('Loans'!$H:$H,ROW())&amp;""," "," "))</f>
        <v/>
      </c>
      <c r="AD991">
        <f>TRIM(SUBSTITUTE(INDEX('Loans'!$I:$I,ROW())&amp;""," "," "))</f>
        <v/>
      </c>
      <c r="AE991">
        <f>IFERROR(--INDEX('Loans'!$J:$J,ROW()),0)</f>
        <v/>
      </c>
      <c r="AF991">
        <f>TRIM(SUBSTITUTE(INDEX('Loans'!$K:$K,ROW())&amp;""," "," "))</f>
        <v/>
      </c>
      <c r="AG991">
        <f>IFERROR(--INDEX('Loans'!$L:$L,ROW()),0)</f>
        <v/>
      </c>
      <c r="AH991">
        <f>IF(ISNUMBER(INDEX('Loans'!$G:$G,ROW())),1,0)</f>
        <v/>
      </c>
    </row>
    <row r="992">
      <c r="A992">
        <f>TRIM(SUBSTITUTE(INDEX('Term investments'!$A:$A,ROW())&amp;""," "," "))</f>
        <v/>
      </c>
      <c r="B992">
        <f>TRIM(SUBSTITUTE(INDEX('Term investments'!$B:$B,ROW())&amp;""," "," "))</f>
        <v/>
      </c>
      <c r="C992">
        <f>TRIM(SUBSTITUTE(INDEX('Term investments'!$C:$C,ROW())&amp;""," "," "))</f>
        <v/>
      </c>
      <c r="D992">
        <f>IFERROR(--INDEX('Term investments'!$D:$D,ROW()),0)</f>
        <v/>
      </c>
      <c r="E992">
        <f>IFERROR(--INDEX('Term investments'!$E:$E,ROW()),0)</f>
        <v/>
      </c>
      <c r="F992">
        <f>IFERROR(--INDEX('Term investments'!$F:$F,ROW()),0)</f>
        <v/>
      </c>
      <c r="G992">
        <f>IFERROR(IF(--INDEX('Term investments'!$G:$G,ROW())&gt;=1,--INDEX('Term investments'!$G:$G,ROW())/100,--INDEX('Term investments'!$G:$G,ROW())),0)</f>
        <v/>
      </c>
      <c r="H992">
        <f>IFERROR(--INDEX('Term investments'!$H:$H,ROW()),0)</f>
        <v/>
      </c>
      <c r="I992">
        <f>IF(ISNUMBER(INDEX('Term investments'!$G:$G,ROW())),1,0)</f>
        <v/>
      </c>
      <c r="J992">
        <f>TRIM(SUBSTITUTE(INDEX('Call accounts and MMFs'!$A:$A,ROW())&amp;""," "," "))</f>
        <v/>
      </c>
      <c r="K992">
        <f>TRIM(SUBSTITUTE(INDEX('Call accounts and MMFs'!$B:$B,ROW())&amp;""," "," "))</f>
        <v/>
      </c>
      <c r="L992">
        <f>TRIM(SUBSTITUTE(INDEX('Call accounts and MMFs'!$C:$C,ROW())&amp;""," "," "))</f>
        <v/>
      </c>
      <c r="M992">
        <f>IFERROR(--INDEX('Call accounts and MMFs'!$D:$D,ROW()),0)</f>
        <v/>
      </c>
      <c r="N992">
        <f>IFERROR(IF(--INDEX('Call accounts and MMFs'!$E:$E,ROW())&gt;=1,--INDEX('Call accounts and MMFs'!$E:$E,ROW())/100,--INDEX('Call accounts and MMFs'!$E:$E,ROW())),0)</f>
        <v/>
      </c>
      <c r="O992">
        <f>IFERROR(--INDEX('Call accounts and MMFs'!$F:$F,ROW()),0)</f>
        <v/>
      </c>
      <c r="P992">
        <f>IF(ISNUMBER(INDEX('Call accounts and MMFs'!$E:$E,ROW())),1,0)</f>
        <v/>
      </c>
      <c r="Q992">
        <f>TRIM(SUBSTITUTE(INDEX('Pooled funds'!$B:$B,ROW())&amp;""," "," "))</f>
        <v/>
      </c>
      <c r="R992">
        <f>IFERROR(--INDEX('Pooled funds'!$C:$C,ROW()),0)</f>
        <v/>
      </c>
      <c r="S992">
        <f>IFERROR(--INDEX('Pooled funds'!$D:$D,ROW()),0)</f>
        <v/>
      </c>
      <c r="T992">
        <f>IFERROR(IF(--INDEX('Pooled funds'!$E:$E,ROW())&gt;=1,--INDEX('Pooled funds'!$E:$E,ROW())/100,--INDEX('Pooled funds'!$E:$E,ROW())),0)</f>
        <v/>
      </c>
      <c r="U992">
        <f>IF(ISNUMBER(INDEX('Pooled funds'!$E:$E,ROW())),1,0)</f>
        <v/>
      </c>
      <c r="V992">
        <f>TRIM(SUBSTITUTE(INDEX('Loans'!$A:$A,ROW())&amp;""," "," "))</f>
        <v/>
      </c>
      <c r="W992">
        <f>TRIM(SUBSTITUTE(INDEX('Loans'!$B:$B,ROW())&amp;""," "," "))</f>
        <v/>
      </c>
      <c r="X992">
        <f>TRIM(SUBSTITUTE(INDEX('Loans'!$C:$C,ROW())&amp;""," "," "))</f>
        <v/>
      </c>
      <c r="Y992">
        <f>IFERROR(--INDEX('Loans'!$D:$D,ROW()),0)</f>
        <v/>
      </c>
      <c r="Z992">
        <f>IFERROR(--INDEX('Loans'!$E:$E,ROW()),0)</f>
        <v/>
      </c>
      <c r="AA992">
        <f>IFERROR(--INDEX('Loans'!$F:$F,ROW()),0)</f>
        <v/>
      </c>
      <c r="AB992">
        <f>IFERROR(IF(--INDEX('Loans'!$G:$G,ROW())&gt;=1,--INDEX('Loans'!$G:$G,ROW())/100,--INDEX('Loans'!$G:$G,ROW())),0)</f>
        <v/>
      </c>
      <c r="AC992">
        <f>TRIM(SUBSTITUTE(INDEX('Loans'!$H:$H,ROW())&amp;""," "," "))</f>
        <v/>
      </c>
      <c r="AD992">
        <f>TRIM(SUBSTITUTE(INDEX('Loans'!$I:$I,ROW())&amp;""," "," "))</f>
        <v/>
      </c>
      <c r="AE992">
        <f>IFERROR(--INDEX('Loans'!$J:$J,ROW()),0)</f>
        <v/>
      </c>
      <c r="AF992">
        <f>TRIM(SUBSTITUTE(INDEX('Loans'!$K:$K,ROW())&amp;""," "," "))</f>
        <v/>
      </c>
      <c r="AG992">
        <f>IFERROR(--INDEX('Loans'!$L:$L,ROW()),0)</f>
        <v/>
      </c>
      <c r="AH992">
        <f>IF(ISNUMBER(INDEX('Loans'!$G:$G,ROW())),1,0)</f>
        <v/>
      </c>
    </row>
    <row r="993">
      <c r="A993">
        <f>TRIM(SUBSTITUTE(INDEX('Term investments'!$A:$A,ROW())&amp;""," "," "))</f>
        <v/>
      </c>
      <c r="B993">
        <f>TRIM(SUBSTITUTE(INDEX('Term investments'!$B:$B,ROW())&amp;""," "," "))</f>
        <v/>
      </c>
      <c r="C993">
        <f>TRIM(SUBSTITUTE(INDEX('Term investments'!$C:$C,ROW())&amp;""," "," "))</f>
        <v/>
      </c>
      <c r="D993">
        <f>IFERROR(--INDEX('Term investments'!$D:$D,ROW()),0)</f>
        <v/>
      </c>
      <c r="E993">
        <f>IFERROR(--INDEX('Term investments'!$E:$E,ROW()),0)</f>
        <v/>
      </c>
      <c r="F993">
        <f>IFERROR(--INDEX('Term investments'!$F:$F,ROW()),0)</f>
        <v/>
      </c>
      <c r="G993">
        <f>IFERROR(IF(--INDEX('Term investments'!$G:$G,ROW())&gt;=1,--INDEX('Term investments'!$G:$G,ROW())/100,--INDEX('Term investments'!$G:$G,ROW())),0)</f>
        <v/>
      </c>
      <c r="H993">
        <f>IFERROR(--INDEX('Term investments'!$H:$H,ROW()),0)</f>
        <v/>
      </c>
      <c r="I993">
        <f>IF(ISNUMBER(INDEX('Term investments'!$G:$G,ROW())),1,0)</f>
        <v/>
      </c>
      <c r="J993">
        <f>TRIM(SUBSTITUTE(INDEX('Call accounts and MMFs'!$A:$A,ROW())&amp;""," "," "))</f>
        <v/>
      </c>
      <c r="K993">
        <f>TRIM(SUBSTITUTE(INDEX('Call accounts and MMFs'!$B:$B,ROW())&amp;""," "," "))</f>
        <v/>
      </c>
      <c r="L993">
        <f>TRIM(SUBSTITUTE(INDEX('Call accounts and MMFs'!$C:$C,ROW())&amp;""," "," "))</f>
        <v/>
      </c>
      <c r="M993">
        <f>IFERROR(--INDEX('Call accounts and MMFs'!$D:$D,ROW()),0)</f>
        <v/>
      </c>
      <c r="N993">
        <f>IFERROR(IF(--INDEX('Call accounts and MMFs'!$E:$E,ROW())&gt;=1,--INDEX('Call accounts and MMFs'!$E:$E,ROW())/100,--INDEX('Call accounts and MMFs'!$E:$E,ROW())),0)</f>
        <v/>
      </c>
      <c r="O993">
        <f>IFERROR(--INDEX('Call accounts and MMFs'!$F:$F,ROW()),0)</f>
        <v/>
      </c>
      <c r="P993">
        <f>IF(ISNUMBER(INDEX('Call accounts and MMFs'!$E:$E,ROW())),1,0)</f>
        <v/>
      </c>
      <c r="Q993">
        <f>TRIM(SUBSTITUTE(INDEX('Pooled funds'!$B:$B,ROW())&amp;""," "," "))</f>
        <v/>
      </c>
      <c r="R993">
        <f>IFERROR(--INDEX('Pooled funds'!$C:$C,ROW()),0)</f>
        <v/>
      </c>
      <c r="S993">
        <f>IFERROR(--INDEX('Pooled funds'!$D:$D,ROW()),0)</f>
        <v/>
      </c>
      <c r="T993">
        <f>IFERROR(IF(--INDEX('Pooled funds'!$E:$E,ROW())&gt;=1,--INDEX('Pooled funds'!$E:$E,ROW())/100,--INDEX('Pooled funds'!$E:$E,ROW())),0)</f>
        <v/>
      </c>
      <c r="U993">
        <f>IF(ISNUMBER(INDEX('Pooled funds'!$E:$E,ROW())),1,0)</f>
        <v/>
      </c>
      <c r="V993">
        <f>TRIM(SUBSTITUTE(INDEX('Loans'!$A:$A,ROW())&amp;""," "," "))</f>
        <v/>
      </c>
      <c r="W993">
        <f>TRIM(SUBSTITUTE(INDEX('Loans'!$B:$B,ROW())&amp;""," "," "))</f>
        <v/>
      </c>
      <c r="X993">
        <f>TRIM(SUBSTITUTE(INDEX('Loans'!$C:$C,ROW())&amp;""," "," "))</f>
        <v/>
      </c>
      <c r="Y993">
        <f>IFERROR(--INDEX('Loans'!$D:$D,ROW()),0)</f>
        <v/>
      </c>
      <c r="Z993">
        <f>IFERROR(--INDEX('Loans'!$E:$E,ROW()),0)</f>
        <v/>
      </c>
      <c r="AA993">
        <f>IFERROR(--INDEX('Loans'!$F:$F,ROW()),0)</f>
        <v/>
      </c>
      <c r="AB993">
        <f>IFERROR(IF(--INDEX('Loans'!$G:$G,ROW())&gt;=1,--INDEX('Loans'!$G:$G,ROW())/100,--INDEX('Loans'!$G:$G,ROW())),0)</f>
        <v/>
      </c>
      <c r="AC993">
        <f>TRIM(SUBSTITUTE(INDEX('Loans'!$H:$H,ROW())&amp;""," "," "))</f>
        <v/>
      </c>
      <c r="AD993">
        <f>TRIM(SUBSTITUTE(INDEX('Loans'!$I:$I,ROW())&amp;""," "," "))</f>
        <v/>
      </c>
      <c r="AE993">
        <f>IFERROR(--INDEX('Loans'!$J:$J,ROW()),0)</f>
        <v/>
      </c>
      <c r="AF993">
        <f>TRIM(SUBSTITUTE(INDEX('Loans'!$K:$K,ROW())&amp;""," "," "))</f>
        <v/>
      </c>
      <c r="AG993">
        <f>IFERROR(--INDEX('Loans'!$L:$L,ROW()),0)</f>
        <v/>
      </c>
      <c r="AH993">
        <f>IF(ISNUMBER(INDEX('Loans'!$G:$G,ROW())),1,0)</f>
        <v/>
      </c>
    </row>
    <row r="994">
      <c r="A994">
        <f>TRIM(SUBSTITUTE(INDEX('Term investments'!$A:$A,ROW())&amp;""," "," "))</f>
        <v/>
      </c>
      <c r="B994">
        <f>TRIM(SUBSTITUTE(INDEX('Term investments'!$B:$B,ROW())&amp;""," "," "))</f>
        <v/>
      </c>
      <c r="C994">
        <f>TRIM(SUBSTITUTE(INDEX('Term investments'!$C:$C,ROW())&amp;""," "," "))</f>
        <v/>
      </c>
      <c r="D994">
        <f>IFERROR(--INDEX('Term investments'!$D:$D,ROW()),0)</f>
        <v/>
      </c>
      <c r="E994">
        <f>IFERROR(--INDEX('Term investments'!$E:$E,ROW()),0)</f>
        <v/>
      </c>
      <c r="F994">
        <f>IFERROR(--INDEX('Term investments'!$F:$F,ROW()),0)</f>
        <v/>
      </c>
      <c r="G994">
        <f>IFERROR(IF(--INDEX('Term investments'!$G:$G,ROW())&gt;=1,--INDEX('Term investments'!$G:$G,ROW())/100,--INDEX('Term investments'!$G:$G,ROW())),0)</f>
        <v/>
      </c>
      <c r="H994">
        <f>IFERROR(--INDEX('Term investments'!$H:$H,ROW()),0)</f>
        <v/>
      </c>
      <c r="I994">
        <f>IF(ISNUMBER(INDEX('Term investments'!$G:$G,ROW())),1,0)</f>
        <v/>
      </c>
      <c r="J994">
        <f>TRIM(SUBSTITUTE(INDEX('Call accounts and MMFs'!$A:$A,ROW())&amp;""," "," "))</f>
        <v/>
      </c>
      <c r="K994">
        <f>TRIM(SUBSTITUTE(INDEX('Call accounts and MMFs'!$B:$B,ROW())&amp;""," "," "))</f>
        <v/>
      </c>
      <c r="L994">
        <f>TRIM(SUBSTITUTE(INDEX('Call accounts and MMFs'!$C:$C,ROW())&amp;""," "," "))</f>
        <v/>
      </c>
      <c r="M994">
        <f>IFERROR(--INDEX('Call accounts and MMFs'!$D:$D,ROW()),0)</f>
        <v/>
      </c>
      <c r="N994">
        <f>IFERROR(IF(--INDEX('Call accounts and MMFs'!$E:$E,ROW())&gt;=1,--INDEX('Call accounts and MMFs'!$E:$E,ROW())/100,--INDEX('Call accounts and MMFs'!$E:$E,ROW())),0)</f>
        <v/>
      </c>
      <c r="O994">
        <f>IFERROR(--INDEX('Call accounts and MMFs'!$F:$F,ROW()),0)</f>
        <v/>
      </c>
      <c r="P994">
        <f>IF(ISNUMBER(INDEX('Call accounts and MMFs'!$E:$E,ROW())),1,0)</f>
        <v/>
      </c>
      <c r="Q994">
        <f>TRIM(SUBSTITUTE(INDEX('Pooled funds'!$B:$B,ROW())&amp;""," "," "))</f>
        <v/>
      </c>
      <c r="R994">
        <f>IFERROR(--INDEX('Pooled funds'!$C:$C,ROW()),0)</f>
        <v/>
      </c>
      <c r="S994">
        <f>IFERROR(--INDEX('Pooled funds'!$D:$D,ROW()),0)</f>
        <v/>
      </c>
      <c r="T994">
        <f>IFERROR(IF(--INDEX('Pooled funds'!$E:$E,ROW())&gt;=1,--INDEX('Pooled funds'!$E:$E,ROW())/100,--INDEX('Pooled funds'!$E:$E,ROW())),0)</f>
        <v/>
      </c>
      <c r="U994">
        <f>IF(ISNUMBER(INDEX('Pooled funds'!$E:$E,ROW())),1,0)</f>
        <v/>
      </c>
      <c r="V994">
        <f>TRIM(SUBSTITUTE(INDEX('Loans'!$A:$A,ROW())&amp;""," "," "))</f>
        <v/>
      </c>
      <c r="W994">
        <f>TRIM(SUBSTITUTE(INDEX('Loans'!$B:$B,ROW())&amp;""," "," "))</f>
        <v/>
      </c>
      <c r="X994">
        <f>TRIM(SUBSTITUTE(INDEX('Loans'!$C:$C,ROW())&amp;""," "," "))</f>
        <v/>
      </c>
      <c r="Y994">
        <f>IFERROR(--INDEX('Loans'!$D:$D,ROW()),0)</f>
        <v/>
      </c>
      <c r="Z994">
        <f>IFERROR(--INDEX('Loans'!$E:$E,ROW()),0)</f>
        <v/>
      </c>
      <c r="AA994">
        <f>IFERROR(--INDEX('Loans'!$F:$F,ROW()),0)</f>
        <v/>
      </c>
      <c r="AB994">
        <f>IFERROR(IF(--INDEX('Loans'!$G:$G,ROW())&gt;=1,--INDEX('Loans'!$G:$G,ROW())/100,--INDEX('Loans'!$G:$G,ROW())),0)</f>
        <v/>
      </c>
      <c r="AC994">
        <f>TRIM(SUBSTITUTE(INDEX('Loans'!$H:$H,ROW())&amp;""," "," "))</f>
        <v/>
      </c>
      <c r="AD994">
        <f>TRIM(SUBSTITUTE(INDEX('Loans'!$I:$I,ROW())&amp;""," "," "))</f>
        <v/>
      </c>
      <c r="AE994">
        <f>IFERROR(--INDEX('Loans'!$J:$J,ROW()),0)</f>
        <v/>
      </c>
      <c r="AF994">
        <f>TRIM(SUBSTITUTE(INDEX('Loans'!$K:$K,ROW())&amp;""," "," "))</f>
        <v/>
      </c>
      <c r="AG994">
        <f>IFERROR(--INDEX('Loans'!$L:$L,ROW()),0)</f>
        <v/>
      </c>
      <c r="AH994">
        <f>IF(ISNUMBER(INDEX('Loans'!$G:$G,ROW())),1,0)</f>
        <v/>
      </c>
    </row>
    <row r="995">
      <c r="A995">
        <f>TRIM(SUBSTITUTE(INDEX('Term investments'!$A:$A,ROW())&amp;""," "," "))</f>
        <v/>
      </c>
      <c r="B995">
        <f>TRIM(SUBSTITUTE(INDEX('Term investments'!$B:$B,ROW())&amp;""," "," "))</f>
        <v/>
      </c>
      <c r="C995">
        <f>TRIM(SUBSTITUTE(INDEX('Term investments'!$C:$C,ROW())&amp;""," "," "))</f>
        <v/>
      </c>
      <c r="D995">
        <f>IFERROR(--INDEX('Term investments'!$D:$D,ROW()),0)</f>
        <v/>
      </c>
      <c r="E995">
        <f>IFERROR(--INDEX('Term investments'!$E:$E,ROW()),0)</f>
        <v/>
      </c>
      <c r="F995">
        <f>IFERROR(--INDEX('Term investments'!$F:$F,ROW()),0)</f>
        <v/>
      </c>
      <c r="G995">
        <f>IFERROR(IF(--INDEX('Term investments'!$G:$G,ROW())&gt;=1,--INDEX('Term investments'!$G:$G,ROW())/100,--INDEX('Term investments'!$G:$G,ROW())),0)</f>
        <v/>
      </c>
      <c r="H995">
        <f>IFERROR(--INDEX('Term investments'!$H:$H,ROW()),0)</f>
        <v/>
      </c>
      <c r="I995">
        <f>IF(ISNUMBER(INDEX('Term investments'!$G:$G,ROW())),1,0)</f>
        <v/>
      </c>
      <c r="J995">
        <f>TRIM(SUBSTITUTE(INDEX('Call accounts and MMFs'!$A:$A,ROW())&amp;""," "," "))</f>
        <v/>
      </c>
      <c r="K995">
        <f>TRIM(SUBSTITUTE(INDEX('Call accounts and MMFs'!$B:$B,ROW())&amp;""," "," "))</f>
        <v/>
      </c>
      <c r="L995">
        <f>TRIM(SUBSTITUTE(INDEX('Call accounts and MMFs'!$C:$C,ROW())&amp;""," "," "))</f>
        <v/>
      </c>
      <c r="M995">
        <f>IFERROR(--INDEX('Call accounts and MMFs'!$D:$D,ROW()),0)</f>
        <v/>
      </c>
      <c r="N995">
        <f>IFERROR(IF(--INDEX('Call accounts and MMFs'!$E:$E,ROW())&gt;=1,--INDEX('Call accounts and MMFs'!$E:$E,ROW())/100,--INDEX('Call accounts and MMFs'!$E:$E,ROW())),0)</f>
        <v/>
      </c>
      <c r="O995">
        <f>IFERROR(--INDEX('Call accounts and MMFs'!$F:$F,ROW()),0)</f>
        <v/>
      </c>
      <c r="P995">
        <f>IF(ISNUMBER(INDEX('Call accounts and MMFs'!$E:$E,ROW())),1,0)</f>
        <v/>
      </c>
      <c r="Q995">
        <f>TRIM(SUBSTITUTE(INDEX('Pooled funds'!$B:$B,ROW())&amp;""," "," "))</f>
        <v/>
      </c>
      <c r="R995">
        <f>IFERROR(--INDEX('Pooled funds'!$C:$C,ROW()),0)</f>
        <v/>
      </c>
      <c r="S995">
        <f>IFERROR(--INDEX('Pooled funds'!$D:$D,ROW()),0)</f>
        <v/>
      </c>
      <c r="T995">
        <f>IFERROR(IF(--INDEX('Pooled funds'!$E:$E,ROW())&gt;=1,--INDEX('Pooled funds'!$E:$E,ROW())/100,--INDEX('Pooled funds'!$E:$E,ROW())),0)</f>
        <v/>
      </c>
      <c r="U995">
        <f>IF(ISNUMBER(INDEX('Pooled funds'!$E:$E,ROW())),1,0)</f>
        <v/>
      </c>
      <c r="V995">
        <f>TRIM(SUBSTITUTE(INDEX('Loans'!$A:$A,ROW())&amp;""," "," "))</f>
        <v/>
      </c>
      <c r="W995">
        <f>TRIM(SUBSTITUTE(INDEX('Loans'!$B:$B,ROW())&amp;""," "," "))</f>
        <v/>
      </c>
      <c r="X995">
        <f>TRIM(SUBSTITUTE(INDEX('Loans'!$C:$C,ROW())&amp;""," "," "))</f>
        <v/>
      </c>
      <c r="Y995">
        <f>IFERROR(--INDEX('Loans'!$D:$D,ROW()),0)</f>
        <v/>
      </c>
      <c r="Z995">
        <f>IFERROR(--INDEX('Loans'!$E:$E,ROW()),0)</f>
        <v/>
      </c>
      <c r="AA995">
        <f>IFERROR(--INDEX('Loans'!$F:$F,ROW()),0)</f>
        <v/>
      </c>
      <c r="AB995">
        <f>IFERROR(IF(--INDEX('Loans'!$G:$G,ROW())&gt;=1,--INDEX('Loans'!$G:$G,ROW())/100,--INDEX('Loans'!$G:$G,ROW())),0)</f>
        <v/>
      </c>
      <c r="AC995">
        <f>TRIM(SUBSTITUTE(INDEX('Loans'!$H:$H,ROW())&amp;""," "," "))</f>
        <v/>
      </c>
      <c r="AD995">
        <f>TRIM(SUBSTITUTE(INDEX('Loans'!$I:$I,ROW())&amp;""," "," "))</f>
        <v/>
      </c>
      <c r="AE995">
        <f>IFERROR(--INDEX('Loans'!$J:$J,ROW()),0)</f>
        <v/>
      </c>
      <c r="AF995">
        <f>TRIM(SUBSTITUTE(INDEX('Loans'!$K:$K,ROW())&amp;""," "," "))</f>
        <v/>
      </c>
      <c r="AG995">
        <f>IFERROR(--INDEX('Loans'!$L:$L,ROW()),0)</f>
        <v/>
      </c>
      <c r="AH995">
        <f>IF(ISNUMBER(INDEX('Loans'!$G:$G,ROW())),1,0)</f>
        <v/>
      </c>
    </row>
    <row r="996">
      <c r="A996">
        <f>TRIM(SUBSTITUTE(INDEX('Term investments'!$A:$A,ROW())&amp;""," "," "))</f>
        <v/>
      </c>
      <c r="B996">
        <f>TRIM(SUBSTITUTE(INDEX('Term investments'!$B:$B,ROW())&amp;""," "," "))</f>
        <v/>
      </c>
      <c r="C996">
        <f>TRIM(SUBSTITUTE(INDEX('Term investments'!$C:$C,ROW())&amp;""," "," "))</f>
        <v/>
      </c>
      <c r="D996">
        <f>IFERROR(--INDEX('Term investments'!$D:$D,ROW()),0)</f>
        <v/>
      </c>
      <c r="E996">
        <f>IFERROR(--INDEX('Term investments'!$E:$E,ROW()),0)</f>
        <v/>
      </c>
      <c r="F996">
        <f>IFERROR(--INDEX('Term investments'!$F:$F,ROW()),0)</f>
        <v/>
      </c>
      <c r="G996">
        <f>IFERROR(IF(--INDEX('Term investments'!$G:$G,ROW())&gt;=1,--INDEX('Term investments'!$G:$G,ROW())/100,--INDEX('Term investments'!$G:$G,ROW())),0)</f>
        <v/>
      </c>
      <c r="H996">
        <f>IFERROR(--INDEX('Term investments'!$H:$H,ROW()),0)</f>
        <v/>
      </c>
      <c r="I996">
        <f>IF(ISNUMBER(INDEX('Term investments'!$G:$G,ROW())),1,0)</f>
        <v/>
      </c>
      <c r="J996">
        <f>TRIM(SUBSTITUTE(INDEX('Call accounts and MMFs'!$A:$A,ROW())&amp;""," "," "))</f>
        <v/>
      </c>
      <c r="K996">
        <f>TRIM(SUBSTITUTE(INDEX('Call accounts and MMFs'!$B:$B,ROW())&amp;""," "," "))</f>
        <v/>
      </c>
      <c r="L996">
        <f>TRIM(SUBSTITUTE(INDEX('Call accounts and MMFs'!$C:$C,ROW())&amp;""," "," "))</f>
        <v/>
      </c>
      <c r="M996">
        <f>IFERROR(--INDEX('Call accounts and MMFs'!$D:$D,ROW()),0)</f>
        <v/>
      </c>
      <c r="N996">
        <f>IFERROR(IF(--INDEX('Call accounts and MMFs'!$E:$E,ROW())&gt;=1,--INDEX('Call accounts and MMFs'!$E:$E,ROW())/100,--INDEX('Call accounts and MMFs'!$E:$E,ROW())),0)</f>
        <v/>
      </c>
      <c r="O996">
        <f>IFERROR(--INDEX('Call accounts and MMFs'!$F:$F,ROW()),0)</f>
        <v/>
      </c>
      <c r="P996">
        <f>IF(ISNUMBER(INDEX('Call accounts and MMFs'!$E:$E,ROW())),1,0)</f>
        <v/>
      </c>
      <c r="Q996">
        <f>TRIM(SUBSTITUTE(INDEX('Pooled funds'!$B:$B,ROW())&amp;""," "," "))</f>
        <v/>
      </c>
      <c r="R996">
        <f>IFERROR(--INDEX('Pooled funds'!$C:$C,ROW()),0)</f>
        <v/>
      </c>
      <c r="S996">
        <f>IFERROR(--INDEX('Pooled funds'!$D:$D,ROW()),0)</f>
        <v/>
      </c>
      <c r="T996">
        <f>IFERROR(IF(--INDEX('Pooled funds'!$E:$E,ROW())&gt;=1,--INDEX('Pooled funds'!$E:$E,ROW())/100,--INDEX('Pooled funds'!$E:$E,ROW())),0)</f>
        <v/>
      </c>
      <c r="U996">
        <f>IF(ISNUMBER(INDEX('Pooled funds'!$E:$E,ROW())),1,0)</f>
        <v/>
      </c>
      <c r="V996">
        <f>TRIM(SUBSTITUTE(INDEX('Loans'!$A:$A,ROW())&amp;""," "," "))</f>
        <v/>
      </c>
      <c r="W996">
        <f>TRIM(SUBSTITUTE(INDEX('Loans'!$B:$B,ROW())&amp;""," "," "))</f>
        <v/>
      </c>
      <c r="X996">
        <f>TRIM(SUBSTITUTE(INDEX('Loans'!$C:$C,ROW())&amp;""," "," "))</f>
        <v/>
      </c>
      <c r="Y996">
        <f>IFERROR(--INDEX('Loans'!$D:$D,ROW()),0)</f>
        <v/>
      </c>
      <c r="Z996">
        <f>IFERROR(--INDEX('Loans'!$E:$E,ROW()),0)</f>
        <v/>
      </c>
      <c r="AA996">
        <f>IFERROR(--INDEX('Loans'!$F:$F,ROW()),0)</f>
        <v/>
      </c>
      <c r="AB996">
        <f>IFERROR(IF(--INDEX('Loans'!$G:$G,ROW())&gt;=1,--INDEX('Loans'!$G:$G,ROW())/100,--INDEX('Loans'!$G:$G,ROW())),0)</f>
        <v/>
      </c>
      <c r="AC996">
        <f>TRIM(SUBSTITUTE(INDEX('Loans'!$H:$H,ROW())&amp;""," "," "))</f>
        <v/>
      </c>
      <c r="AD996">
        <f>TRIM(SUBSTITUTE(INDEX('Loans'!$I:$I,ROW())&amp;""," "," "))</f>
        <v/>
      </c>
      <c r="AE996">
        <f>IFERROR(--INDEX('Loans'!$J:$J,ROW()),0)</f>
        <v/>
      </c>
      <c r="AF996">
        <f>TRIM(SUBSTITUTE(INDEX('Loans'!$K:$K,ROW())&amp;""," "," "))</f>
        <v/>
      </c>
      <c r="AG996">
        <f>IFERROR(--INDEX('Loans'!$L:$L,ROW()),0)</f>
        <v/>
      </c>
      <c r="AH996">
        <f>IF(ISNUMBER(INDEX('Loans'!$G:$G,ROW())),1,0)</f>
        <v/>
      </c>
    </row>
    <row r="997">
      <c r="A997">
        <f>TRIM(SUBSTITUTE(INDEX('Term investments'!$A:$A,ROW())&amp;""," "," "))</f>
        <v/>
      </c>
      <c r="B997">
        <f>TRIM(SUBSTITUTE(INDEX('Term investments'!$B:$B,ROW())&amp;""," "," "))</f>
        <v/>
      </c>
      <c r="C997">
        <f>TRIM(SUBSTITUTE(INDEX('Term investments'!$C:$C,ROW())&amp;""," "," "))</f>
        <v/>
      </c>
      <c r="D997">
        <f>IFERROR(--INDEX('Term investments'!$D:$D,ROW()),0)</f>
        <v/>
      </c>
      <c r="E997">
        <f>IFERROR(--INDEX('Term investments'!$E:$E,ROW()),0)</f>
        <v/>
      </c>
      <c r="F997">
        <f>IFERROR(--INDEX('Term investments'!$F:$F,ROW()),0)</f>
        <v/>
      </c>
      <c r="G997">
        <f>IFERROR(IF(--INDEX('Term investments'!$G:$G,ROW())&gt;=1,--INDEX('Term investments'!$G:$G,ROW())/100,--INDEX('Term investments'!$G:$G,ROW())),0)</f>
        <v/>
      </c>
      <c r="H997">
        <f>IFERROR(--INDEX('Term investments'!$H:$H,ROW()),0)</f>
        <v/>
      </c>
      <c r="I997">
        <f>IF(ISNUMBER(INDEX('Term investments'!$G:$G,ROW())),1,0)</f>
        <v/>
      </c>
      <c r="J997">
        <f>TRIM(SUBSTITUTE(INDEX('Call accounts and MMFs'!$A:$A,ROW())&amp;""," "," "))</f>
        <v/>
      </c>
      <c r="K997">
        <f>TRIM(SUBSTITUTE(INDEX('Call accounts and MMFs'!$B:$B,ROW())&amp;""," "," "))</f>
        <v/>
      </c>
      <c r="L997">
        <f>TRIM(SUBSTITUTE(INDEX('Call accounts and MMFs'!$C:$C,ROW())&amp;""," "," "))</f>
        <v/>
      </c>
      <c r="M997">
        <f>IFERROR(--INDEX('Call accounts and MMFs'!$D:$D,ROW()),0)</f>
        <v/>
      </c>
      <c r="N997">
        <f>IFERROR(IF(--INDEX('Call accounts and MMFs'!$E:$E,ROW())&gt;=1,--INDEX('Call accounts and MMFs'!$E:$E,ROW())/100,--INDEX('Call accounts and MMFs'!$E:$E,ROW())),0)</f>
        <v/>
      </c>
      <c r="O997">
        <f>IFERROR(--INDEX('Call accounts and MMFs'!$F:$F,ROW()),0)</f>
        <v/>
      </c>
      <c r="P997">
        <f>IF(ISNUMBER(INDEX('Call accounts and MMFs'!$E:$E,ROW())),1,0)</f>
        <v/>
      </c>
      <c r="Q997">
        <f>TRIM(SUBSTITUTE(INDEX('Pooled funds'!$B:$B,ROW())&amp;""," "," "))</f>
        <v/>
      </c>
      <c r="R997">
        <f>IFERROR(--INDEX('Pooled funds'!$C:$C,ROW()),0)</f>
        <v/>
      </c>
      <c r="S997">
        <f>IFERROR(--INDEX('Pooled funds'!$D:$D,ROW()),0)</f>
        <v/>
      </c>
      <c r="T997">
        <f>IFERROR(IF(--INDEX('Pooled funds'!$E:$E,ROW())&gt;=1,--INDEX('Pooled funds'!$E:$E,ROW())/100,--INDEX('Pooled funds'!$E:$E,ROW())),0)</f>
        <v/>
      </c>
      <c r="U997">
        <f>IF(ISNUMBER(INDEX('Pooled funds'!$E:$E,ROW())),1,0)</f>
        <v/>
      </c>
      <c r="V997">
        <f>TRIM(SUBSTITUTE(INDEX('Loans'!$A:$A,ROW())&amp;""," "," "))</f>
        <v/>
      </c>
      <c r="W997">
        <f>TRIM(SUBSTITUTE(INDEX('Loans'!$B:$B,ROW())&amp;""," "," "))</f>
        <v/>
      </c>
      <c r="X997">
        <f>TRIM(SUBSTITUTE(INDEX('Loans'!$C:$C,ROW())&amp;""," "," "))</f>
        <v/>
      </c>
      <c r="Y997">
        <f>IFERROR(--INDEX('Loans'!$D:$D,ROW()),0)</f>
        <v/>
      </c>
      <c r="Z997">
        <f>IFERROR(--INDEX('Loans'!$E:$E,ROW()),0)</f>
        <v/>
      </c>
      <c r="AA997">
        <f>IFERROR(--INDEX('Loans'!$F:$F,ROW()),0)</f>
        <v/>
      </c>
      <c r="AB997">
        <f>IFERROR(IF(--INDEX('Loans'!$G:$G,ROW())&gt;=1,--INDEX('Loans'!$G:$G,ROW())/100,--INDEX('Loans'!$G:$G,ROW())),0)</f>
        <v/>
      </c>
      <c r="AC997">
        <f>TRIM(SUBSTITUTE(INDEX('Loans'!$H:$H,ROW())&amp;""," "," "))</f>
        <v/>
      </c>
      <c r="AD997">
        <f>TRIM(SUBSTITUTE(INDEX('Loans'!$I:$I,ROW())&amp;""," "," "))</f>
        <v/>
      </c>
      <c r="AE997">
        <f>IFERROR(--INDEX('Loans'!$J:$J,ROW()),0)</f>
        <v/>
      </c>
      <c r="AF997">
        <f>TRIM(SUBSTITUTE(INDEX('Loans'!$K:$K,ROW())&amp;""," "," "))</f>
        <v/>
      </c>
      <c r="AG997">
        <f>IFERROR(--INDEX('Loans'!$L:$L,ROW()),0)</f>
        <v/>
      </c>
      <c r="AH997">
        <f>IF(ISNUMBER(INDEX('Loans'!$G:$G,ROW())),1,0)</f>
        <v/>
      </c>
    </row>
    <row r="998">
      <c r="A998">
        <f>TRIM(SUBSTITUTE(INDEX('Term investments'!$A:$A,ROW())&amp;""," "," "))</f>
        <v/>
      </c>
      <c r="B998">
        <f>TRIM(SUBSTITUTE(INDEX('Term investments'!$B:$B,ROW())&amp;""," "," "))</f>
        <v/>
      </c>
      <c r="C998">
        <f>TRIM(SUBSTITUTE(INDEX('Term investments'!$C:$C,ROW())&amp;""," "," "))</f>
        <v/>
      </c>
      <c r="D998">
        <f>IFERROR(--INDEX('Term investments'!$D:$D,ROW()),0)</f>
        <v/>
      </c>
      <c r="E998">
        <f>IFERROR(--INDEX('Term investments'!$E:$E,ROW()),0)</f>
        <v/>
      </c>
      <c r="F998">
        <f>IFERROR(--INDEX('Term investments'!$F:$F,ROW()),0)</f>
        <v/>
      </c>
      <c r="G998">
        <f>IFERROR(IF(--INDEX('Term investments'!$G:$G,ROW())&gt;=1,--INDEX('Term investments'!$G:$G,ROW())/100,--INDEX('Term investments'!$G:$G,ROW())),0)</f>
        <v/>
      </c>
      <c r="H998">
        <f>IFERROR(--INDEX('Term investments'!$H:$H,ROW()),0)</f>
        <v/>
      </c>
      <c r="I998">
        <f>IF(ISNUMBER(INDEX('Term investments'!$G:$G,ROW())),1,0)</f>
        <v/>
      </c>
      <c r="J998">
        <f>TRIM(SUBSTITUTE(INDEX('Call accounts and MMFs'!$A:$A,ROW())&amp;""," "," "))</f>
        <v/>
      </c>
      <c r="K998">
        <f>TRIM(SUBSTITUTE(INDEX('Call accounts and MMFs'!$B:$B,ROW())&amp;""," "," "))</f>
        <v/>
      </c>
      <c r="L998">
        <f>TRIM(SUBSTITUTE(INDEX('Call accounts and MMFs'!$C:$C,ROW())&amp;""," "," "))</f>
        <v/>
      </c>
      <c r="M998">
        <f>IFERROR(--INDEX('Call accounts and MMFs'!$D:$D,ROW()),0)</f>
        <v/>
      </c>
      <c r="N998">
        <f>IFERROR(IF(--INDEX('Call accounts and MMFs'!$E:$E,ROW())&gt;=1,--INDEX('Call accounts and MMFs'!$E:$E,ROW())/100,--INDEX('Call accounts and MMFs'!$E:$E,ROW())),0)</f>
        <v/>
      </c>
      <c r="O998">
        <f>IFERROR(--INDEX('Call accounts and MMFs'!$F:$F,ROW()),0)</f>
        <v/>
      </c>
      <c r="P998">
        <f>IF(ISNUMBER(INDEX('Call accounts and MMFs'!$E:$E,ROW())),1,0)</f>
        <v/>
      </c>
      <c r="Q998">
        <f>TRIM(SUBSTITUTE(INDEX('Pooled funds'!$B:$B,ROW())&amp;""," "," "))</f>
        <v/>
      </c>
      <c r="R998">
        <f>IFERROR(--INDEX('Pooled funds'!$C:$C,ROW()),0)</f>
        <v/>
      </c>
      <c r="S998">
        <f>IFERROR(--INDEX('Pooled funds'!$D:$D,ROW()),0)</f>
        <v/>
      </c>
      <c r="T998">
        <f>IFERROR(IF(--INDEX('Pooled funds'!$E:$E,ROW())&gt;=1,--INDEX('Pooled funds'!$E:$E,ROW())/100,--INDEX('Pooled funds'!$E:$E,ROW())),0)</f>
        <v/>
      </c>
      <c r="U998">
        <f>IF(ISNUMBER(INDEX('Pooled funds'!$E:$E,ROW())),1,0)</f>
        <v/>
      </c>
      <c r="V998">
        <f>TRIM(SUBSTITUTE(INDEX('Loans'!$A:$A,ROW())&amp;""," "," "))</f>
        <v/>
      </c>
      <c r="W998">
        <f>TRIM(SUBSTITUTE(INDEX('Loans'!$B:$B,ROW())&amp;""," "," "))</f>
        <v/>
      </c>
      <c r="X998">
        <f>TRIM(SUBSTITUTE(INDEX('Loans'!$C:$C,ROW())&amp;""," "," "))</f>
        <v/>
      </c>
      <c r="Y998">
        <f>IFERROR(--INDEX('Loans'!$D:$D,ROW()),0)</f>
        <v/>
      </c>
      <c r="Z998">
        <f>IFERROR(--INDEX('Loans'!$E:$E,ROW()),0)</f>
        <v/>
      </c>
      <c r="AA998">
        <f>IFERROR(--INDEX('Loans'!$F:$F,ROW()),0)</f>
        <v/>
      </c>
      <c r="AB998">
        <f>IFERROR(IF(--INDEX('Loans'!$G:$G,ROW())&gt;=1,--INDEX('Loans'!$G:$G,ROW())/100,--INDEX('Loans'!$G:$G,ROW())),0)</f>
        <v/>
      </c>
      <c r="AC998">
        <f>TRIM(SUBSTITUTE(INDEX('Loans'!$H:$H,ROW())&amp;""," "," "))</f>
        <v/>
      </c>
      <c r="AD998">
        <f>TRIM(SUBSTITUTE(INDEX('Loans'!$I:$I,ROW())&amp;""," "," "))</f>
        <v/>
      </c>
      <c r="AE998">
        <f>IFERROR(--INDEX('Loans'!$J:$J,ROW()),0)</f>
        <v/>
      </c>
      <c r="AF998">
        <f>TRIM(SUBSTITUTE(INDEX('Loans'!$K:$K,ROW())&amp;""," "," "))</f>
        <v/>
      </c>
      <c r="AG998">
        <f>IFERROR(--INDEX('Loans'!$L:$L,ROW()),0)</f>
        <v/>
      </c>
      <c r="AH998">
        <f>IF(ISNUMBER(INDEX('Loans'!$G:$G,ROW())),1,0)</f>
        <v/>
      </c>
    </row>
    <row r="999">
      <c r="A999">
        <f>TRIM(SUBSTITUTE(INDEX('Term investments'!$A:$A,ROW())&amp;""," "," "))</f>
        <v/>
      </c>
      <c r="B999">
        <f>TRIM(SUBSTITUTE(INDEX('Term investments'!$B:$B,ROW())&amp;""," "," "))</f>
        <v/>
      </c>
      <c r="C999">
        <f>TRIM(SUBSTITUTE(INDEX('Term investments'!$C:$C,ROW())&amp;""," "," "))</f>
        <v/>
      </c>
      <c r="D999">
        <f>IFERROR(--INDEX('Term investments'!$D:$D,ROW()),0)</f>
        <v/>
      </c>
      <c r="E999">
        <f>IFERROR(--INDEX('Term investments'!$E:$E,ROW()),0)</f>
        <v/>
      </c>
      <c r="F999">
        <f>IFERROR(--INDEX('Term investments'!$F:$F,ROW()),0)</f>
        <v/>
      </c>
      <c r="G999">
        <f>IFERROR(IF(--INDEX('Term investments'!$G:$G,ROW())&gt;=1,--INDEX('Term investments'!$G:$G,ROW())/100,--INDEX('Term investments'!$G:$G,ROW())),0)</f>
        <v/>
      </c>
      <c r="H999">
        <f>IFERROR(--INDEX('Term investments'!$H:$H,ROW()),0)</f>
        <v/>
      </c>
      <c r="I999">
        <f>IF(ISNUMBER(INDEX('Term investments'!$G:$G,ROW())),1,0)</f>
        <v/>
      </c>
      <c r="J999">
        <f>TRIM(SUBSTITUTE(INDEX('Call accounts and MMFs'!$A:$A,ROW())&amp;""," "," "))</f>
        <v/>
      </c>
      <c r="K999">
        <f>TRIM(SUBSTITUTE(INDEX('Call accounts and MMFs'!$B:$B,ROW())&amp;""," "," "))</f>
        <v/>
      </c>
      <c r="L999">
        <f>TRIM(SUBSTITUTE(INDEX('Call accounts and MMFs'!$C:$C,ROW())&amp;""," "," "))</f>
        <v/>
      </c>
      <c r="M999">
        <f>IFERROR(--INDEX('Call accounts and MMFs'!$D:$D,ROW()),0)</f>
        <v/>
      </c>
      <c r="N999">
        <f>IFERROR(IF(--INDEX('Call accounts and MMFs'!$E:$E,ROW())&gt;=1,--INDEX('Call accounts and MMFs'!$E:$E,ROW())/100,--INDEX('Call accounts and MMFs'!$E:$E,ROW())),0)</f>
        <v/>
      </c>
      <c r="O999">
        <f>IFERROR(--INDEX('Call accounts and MMFs'!$F:$F,ROW()),0)</f>
        <v/>
      </c>
      <c r="P999">
        <f>IF(ISNUMBER(INDEX('Call accounts and MMFs'!$E:$E,ROW())),1,0)</f>
        <v/>
      </c>
      <c r="Q999">
        <f>TRIM(SUBSTITUTE(INDEX('Pooled funds'!$B:$B,ROW())&amp;""," "," "))</f>
        <v/>
      </c>
      <c r="R999">
        <f>IFERROR(--INDEX('Pooled funds'!$C:$C,ROW()),0)</f>
        <v/>
      </c>
      <c r="S999">
        <f>IFERROR(--INDEX('Pooled funds'!$D:$D,ROW()),0)</f>
        <v/>
      </c>
      <c r="T999">
        <f>IFERROR(IF(--INDEX('Pooled funds'!$E:$E,ROW())&gt;=1,--INDEX('Pooled funds'!$E:$E,ROW())/100,--INDEX('Pooled funds'!$E:$E,ROW())),0)</f>
        <v/>
      </c>
      <c r="U999">
        <f>IF(ISNUMBER(INDEX('Pooled funds'!$E:$E,ROW())),1,0)</f>
        <v/>
      </c>
      <c r="V999">
        <f>TRIM(SUBSTITUTE(INDEX('Loans'!$A:$A,ROW())&amp;""," "," "))</f>
        <v/>
      </c>
      <c r="W999">
        <f>TRIM(SUBSTITUTE(INDEX('Loans'!$B:$B,ROW())&amp;""," "," "))</f>
        <v/>
      </c>
      <c r="X999">
        <f>TRIM(SUBSTITUTE(INDEX('Loans'!$C:$C,ROW())&amp;""," "," "))</f>
        <v/>
      </c>
      <c r="Y999">
        <f>IFERROR(--INDEX('Loans'!$D:$D,ROW()),0)</f>
        <v/>
      </c>
      <c r="Z999">
        <f>IFERROR(--INDEX('Loans'!$E:$E,ROW()),0)</f>
        <v/>
      </c>
      <c r="AA999">
        <f>IFERROR(--INDEX('Loans'!$F:$F,ROW()),0)</f>
        <v/>
      </c>
      <c r="AB999">
        <f>IFERROR(IF(--INDEX('Loans'!$G:$G,ROW())&gt;=1,--INDEX('Loans'!$G:$G,ROW())/100,--INDEX('Loans'!$G:$G,ROW())),0)</f>
        <v/>
      </c>
      <c r="AC999">
        <f>TRIM(SUBSTITUTE(INDEX('Loans'!$H:$H,ROW())&amp;""," "," "))</f>
        <v/>
      </c>
      <c r="AD999">
        <f>TRIM(SUBSTITUTE(INDEX('Loans'!$I:$I,ROW())&amp;""," "," "))</f>
        <v/>
      </c>
      <c r="AE999">
        <f>IFERROR(--INDEX('Loans'!$J:$J,ROW()),0)</f>
        <v/>
      </c>
      <c r="AF999">
        <f>TRIM(SUBSTITUTE(INDEX('Loans'!$K:$K,ROW())&amp;""," "," "))</f>
        <v/>
      </c>
      <c r="AG999">
        <f>IFERROR(--INDEX('Loans'!$L:$L,ROW()),0)</f>
        <v/>
      </c>
      <c r="AH999">
        <f>IF(ISNUMBER(INDEX('Loans'!$G:$G,ROW())),1,0)</f>
        <v/>
      </c>
    </row>
    <row r="1000">
      <c r="A1000">
        <f>TRIM(SUBSTITUTE(INDEX('Term investments'!$A:$A,ROW())&amp;""," "," "))</f>
        <v/>
      </c>
      <c r="B1000">
        <f>TRIM(SUBSTITUTE(INDEX('Term investments'!$B:$B,ROW())&amp;""," "," "))</f>
        <v/>
      </c>
      <c r="C1000">
        <f>TRIM(SUBSTITUTE(INDEX('Term investments'!$C:$C,ROW())&amp;""," "," "))</f>
        <v/>
      </c>
      <c r="D1000">
        <f>IFERROR(--INDEX('Term investments'!$D:$D,ROW()),0)</f>
        <v/>
      </c>
      <c r="E1000">
        <f>IFERROR(--INDEX('Term investments'!$E:$E,ROW()),0)</f>
        <v/>
      </c>
      <c r="F1000">
        <f>IFERROR(--INDEX('Term investments'!$F:$F,ROW()),0)</f>
        <v/>
      </c>
      <c r="G1000">
        <f>IFERROR(IF(--INDEX('Term investments'!$G:$G,ROW())&gt;=1,--INDEX('Term investments'!$G:$G,ROW())/100,--INDEX('Term investments'!$G:$G,ROW())),0)</f>
        <v/>
      </c>
      <c r="H1000">
        <f>IFERROR(--INDEX('Term investments'!$H:$H,ROW()),0)</f>
        <v/>
      </c>
      <c r="I1000">
        <f>IF(ISNUMBER(INDEX('Term investments'!$G:$G,ROW())),1,0)</f>
        <v/>
      </c>
      <c r="J1000">
        <f>TRIM(SUBSTITUTE(INDEX('Call accounts and MMFs'!$A:$A,ROW())&amp;""," "," "))</f>
        <v/>
      </c>
      <c r="K1000">
        <f>TRIM(SUBSTITUTE(INDEX('Call accounts and MMFs'!$B:$B,ROW())&amp;""," "," "))</f>
        <v/>
      </c>
      <c r="L1000">
        <f>TRIM(SUBSTITUTE(INDEX('Call accounts and MMFs'!$C:$C,ROW())&amp;""," "," "))</f>
        <v/>
      </c>
      <c r="M1000">
        <f>IFERROR(--INDEX('Call accounts and MMFs'!$D:$D,ROW()),0)</f>
        <v/>
      </c>
      <c r="N1000">
        <f>IFERROR(IF(--INDEX('Call accounts and MMFs'!$E:$E,ROW())&gt;=1,--INDEX('Call accounts and MMFs'!$E:$E,ROW())/100,--INDEX('Call accounts and MMFs'!$E:$E,ROW())),0)</f>
        <v/>
      </c>
      <c r="O1000">
        <f>IFERROR(--INDEX('Call accounts and MMFs'!$F:$F,ROW()),0)</f>
        <v/>
      </c>
      <c r="P1000">
        <f>IF(ISNUMBER(INDEX('Call accounts and MMFs'!$E:$E,ROW())),1,0)</f>
        <v/>
      </c>
      <c r="Q1000">
        <f>TRIM(SUBSTITUTE(INDEX('Pooled funds'!$B:$B,ROW())&amp;""," "," "))</f>
        <v/>
      </c>
      <c r="R1000">
        <f>IFERROR(--INDEX('Pooled funds'!$C:$C,ROW()),0)</f>
        <v/>
      </c>
      <c r="S1000">
        <f>IFERROR(--INDEX('Pooled funds'!$D:$D,ROW()),0)</f>
        <v/>
      </c>
      <c r="T1000">
        <f>IFERROR(IF(--INDEX('Pooled funds'!$E:$E,ROW())&gt;=1,--INDEX('Pooled funds'!$E:$E,ROW())/100,--INDEX('Pooled funds'!$E:$E,ROW())),0)</f>
        <v/>
      </c>
      <c r="U1000">
        <f>IF(ISNUMBER(INDEX('Pooled funds'!$E:$E,ROW())),1,0)</f>
        <v/>
      </c>
      <c r="V1000">
        <f>TRIM(SUBSTITUTE(INDEX('Loans'!$A:$A,ROW())&amp;""," "," "))</f>
        <v/>
      </c>
      <c r="W1000">
        <f>TRIM(SUBSTITUTE(INDEX('Loans'!$B:$B,ROW())&amp;""," "," "))</f>
        <v/>
      </c>
      <c r="X1000">
        <f>TRIM(SUBSTITUTE(INDEX('Loans'!$C:$C,ROW())&amp;""," "," "))</f>
        <v/>
      </c>
      <c r="Y1000">
        <f>IFERROR(--INDEX('Loans'!$D:$D,ROW()),0)</f>
        <v/>
      </c>
      <c r="Z1000">
        <f>IFERROR(--INDEX('Loans'!$E:$E,ROW()),0)</f>
        <v/>
      </c>
      <c r="AA1000">
        <f>IFERROR(--INDEX('Loans'!$F:$F,ROW()),0)</f>
        <v/>
      </c>
      <c r="AB1000">
        <f>IFERROR(IF(--INDEX('Loans'!$G:$G,ROW())&gt;=1,--INDEX('Loans'!$G:$G,ROW())/100,--INDEX('Loans'!$G:$G,ROW())),0)</f>
        <v/>
      </c>
      <c r="AC1000">
        <f>TRIM(SUBSTITUTE(INDEX('Loans'!$H:$H,ROW())&amp;""," "," "))</f>
        <v/>
      </c>
      <c r="AD1000">
        <f>TRIM(SUBSTITUTE(INDEX('Loans'!$I:$I,ROW())&amp;""," "," "))</f>
        <v/>
      </c>
      <c r="AE1000">
        <f>IFERROR(--INDEX('Loans'!$J:$J,ROW()),0)</f>
        <v/>
      </c>
      <c r="AF1000">
        <f>TRIM(SUBSTITUTE(INDEX('Loans'!$K:$K,ROW())&amp;""," "," "))</f>
        <v/>
      </c>
      <c r="AG1000">
        <f>IFERROR(--INDEX('Loans'!$L:$L,ROW()),0)</f>
        <v/>
      </c>
      <c r="AH1000">
        <f>IF(ISNUMBER(INDEX('Loans'!$G:$G,ROW())),1,0)</f>
        <v/>
      </c>
    </row>
    <row r="1001">
      <c r="A1001">
        <f>TRIM(SUBSTITUTE(INDEX('Term investments'!$A:$A,ROW())&amp;""," "," "))</f>
        <v/>
      </c>
      <c r="B1001">
        <f>TRIM(SUBSTITUTE(INDEX('Term investments'!$B:$B,ROW())&amp;""," "," "))</f>
        <v/>
      </c>
      <c r="C1001">
        <f>TRIM(SUBSTITUTE(INDEX('Term investments'!$C:$C,ROW())&amp;""," "," "))</f>
        <v/>
      </c>
      <c r="D1001">
        <f>IFERROR(--INDEX('Term investments'!$D:$D,ROW()),0)</f>
        <v/>
      </c>
      <c r="E1001">
        <f>IFERROR(--INDEX('Term investments'!$E:$E,ROW()),0)</f>
        <v/>
      </c>
      <c r="F1001">
        <f>IFERROR(--INDEX('Term investments'!$F:$F,ROW()),0)</f>
        <v/>
      </c>
      <c r="G1001">
        <f>IFERROR(IF(--INDEX('Term investments'!$G:$G,ROW())&gt;=1,--INDEX('Term investments'!$G:$G,ROW())/100,--INDEX('Term investments'!$G:$G,ROW())),0)</f>
        <v/>
      </c>
      <c r="H1001">
        <f>IFERROR(--INDEX('Term investments'!$H:$H,ROW()),0)</f>
        <v/>
      </c>
      <c r="I1001">
        <f>IF(ISNUMBER(INDEX('Term investments'!$G:$G,ROW())),1,0)</f>
        <v/>
      </c>
      <c r="J1001">
        <f>TRIM(SUBSTITUTE(INDEX('Call accounts and MMFs'!$A:$A,ROW())&amp;""," "," "))</f>
        <v/>
      </c>
      <c r="K1001">
        <f>TRIM(SUBSTITUTE(INDEX('Call accounts and MMFs'!$B:$B,ROW())&amp;""," "," "))</f>
        <v/>
      </c>
      <c r="L1001">
        <f>TRIM(SUBSTITUTE(INDEX('Call accounts and MMFs'!$C:$C,ROW())&amp;""," "," "))</f>
        <v/>
      </c>
      <c r="M1001">
        <f>IFERROR(--INDEX('Call accounts and MMFs'!$D:$D,ROW()),0)</f>
        <v/>
      </c>
      <c r="N1001">
        <f>IFERROR(IF(--INDEX('Call accounts and MMFs'!$E:$E,ROW())&gt;=1,--INDEX('Call accounts and MMFs'!$E:$E,ROW())/100,--INDEX('Call accounts and MMFs'!$E:$E,ROW())),0)</f>
        <v/>
      </c>
      <c r="O1001">
        <f>IFERROR(--INDEX('Call accounts and MMFs'!$F:$F,ROW()),0)</f>
        <v/>
      </c>
      <c r="P1001">
        <f>IF(ISNUMBER(INDEX('Call accounts and MMFs'!$E:$E,ROW())),1,0)</f>
        <v/>
      </c>
      <c r="Q1001">
        <f>TRIM(SUBSTITUTE(INDEX('Pooled funds'!$B:$B,ROW())&amp;""," "," "))</f>
        <v/>
      </c>
      <c r="R1001">
        <f>IFERROR(--INDEX('Pooled funds'!$C:$C,ROW()),0)</f>
        <v/>
      </c>
      <c r="S1001">
        <f>IFERROR(--INDEX('Pooled funds'!$D:$D,ROW()),0)</f>
        <v/>
      </c>
      <c r="T1001">
        <f>IFERROR(IF(--INDEX('Pooled funds'!$E:$E,ROW())&gt;=1,--INDEX('Pooled funds'!$E:$E,ROW())/100,--INDEX('Pooled funds'!$E:$E,ROW())),0)</f>
        <v/>
      </c>
      <c r="U1001">
        <f>IF(ISNUMBER(INDEX('Pooled funds'!$E:$E,ROW())),1,0)</f>
        <v/>
      </c>
    </row>
    <row r="1002">
      <c r="A1002">
        <f>TRIM(SUBSTITUTE(INDEX('Term investments'!$A:$A,ROW())&amp;""," "," "))</f>
        <v/>
      </c>
      <c r="B1002">
        <f>TRIM(SUBSTITUTE(INDEX('Term investments'!$B:$B,ROW())&amp;""," "," "))</f>
        <v/>
      </c>
      <c r="C1002">
        <f>TRIM(SUBSTITUTE(INDEX('Term investments'!$C:$C,ROW())&amp;""," "," "))</f>
        <v/>
      </c>
      <c r="D1002">
        <f>IFERROR(--INDEX('Term investments'!$D:$D,ROW()),0)</f>
        <v/>
      </c>
      <c r="E1002">
        <f>IFERROR(--INDEX('Term investments'!$E:$E,ROW()),0)</f>
        <v/>
      </c>
      <c r="F1002">
        <f>IFERROR(--INDEX('Term investments'!$F:$F,ROW()),0)</f>
        <v/>
      </c>
      <c r="G1002">
        <f>IFERROR(IF(--INDEX('Term investments'!$G:$G,ROW())&gt;=1,--INDEX('Term investments'!$G:$G,ROW())/100,--INDEX('Term investments'!$G:$G,ROW())),0)</f>
        <v/>
      </c>
      <c r="H1002">
        <f>IFERROR(--INDEX('Term investments'!$H:$H,ROW()),0)</f>
        <v/>
      </c>
      <c r="I1002">
        <f>IF(ISNUMBER(INDEX('Term investments'!$G:$G,ROW())),1,0)</f>
        <v/>
      </c>
      <c r="J1002">
        <f>TRIM(SUBSTITUTE(INDEX('Call accounts and MMFs'!$A:$A,ROW())&amp;""," "," "))</f>
        <v/>
      </c>
      <c r="K1002">
        <f>TRIM(SUBSTITUTE(INDEX('Call accounts and MMFs'!$B:$B,ROW())&amp;""," "," "))</f>
        <v/>
      </c>
      <c r="L1002">
        <f>TRIM(SUBSTITUTE(INDEX('Call accounts and MMFs'!$C:$C,ROW())&amp;""," "," "))</f>
        <v/>
      </c>
      <c r="M1002">
        <f>IFERROR(--INDEX('Call accounts and MMFs'!$D:$D,ROW()),0)</f>
        <v/>
      </c>
      <c r="N1002">
        <f>IFERROR(IF(--INDEX('Call accounts and MMFs'!$E:$E,ROW())&gt;=1,--INDEX('Call accounts and MMFs'!$E:$E,ROW())/100,--INDEX('Call accounts and MMFs'!$E:$E,ROW())),0)</f>
        <v/>
      </c>
      <c r="O1002">
        <f>IFERROR(--INDEX('Call accounts and MMFs'!$F:$F,ROW()),0)</f>
        <v/>
      </c>
      <c r="P1002">
        <f>IF(ISNUMBER(INDEX('Call accounts and MMFs'!$E:$E,ROW())),1,0)</f>
        <v/>
      </c>
      <c r="Q1002">
        <f>TRIM(SUBSTITUTE(INDEX('Pooled funds'!$B:$B,ROW())&amp;""," "," "))</f>
        <v/>
      </c>
      <c r="R1002">
        <f>IFERROR(--INDEX('Pooled funds'!$C:$C,ROW()),0)</f>
        <v/>
      </c>
      <c r="S1002">
        <f>IFERROR(--INDEX('Pooled funds'!$D:$D,ROW()),0)</f>
        <v/>
      </c>
      <c r="T1002">
        <f>IFERROR(IF(--INDEX('Pooled funds'!$E:$E,ROW())&gt;=1,--INDEX('Pooled funds'!$E:$E,ROW())/100,--INDEX('Pooled funds'!$E:$E,ROW())),0)</f>
        <v/>
      </c>
      <c r="U1002">
        <f>IF(ISNUMBER(INDEX('Pooled funds'!$E:$E,ROW())),1,0)</f>
        <v/>
      </c>
    </row>
    <row r="1003">
      <c r="A1003">
        <f>TRIM(SUBSTITUTE(INDEX('Term investments'!$A:$A,ROW())&amp;""," "," "))</f>
        <v/>
      </c>
      <c r="B1003">
        <f>TRIM(SUBSTITUTE(INDEX('Term investments'!$B:$B,ROW())&amp;""," "," "))</f>
        <v/>
      </c>
      <c r="C1003">
        <f>TRIM(SUBSTITUTE(INDEX('Term investments'!$C:$C,ROW())&amp;""," "," "))</f>
        <v/>
      </c>
      <c r="D1003">
        <f>IFERROR(--INDEX('Term investments'!$D:$D,ROW()),0)</f>
        <v/>
      </c>
      <c r="E1003">
        <f>IFERROR(--INDEX('Term investments'!$E:$E,ROW()),0)</f>
        <v/>
      </c>
      <c r="F1003">
        <f>IFERROR(--INDEX('Term investments'!$F:$F,ROW()),0)</f>
        <v/>
      </c>
      <c r="G1003">
        <f>IFERROR(IF(--INDEX('Term investments'!$G:$G,ROW())&gt;=1,--INDEX('Term investments'!$G:$G,ROW())/100,--INDEX('Term investments'!$G:$G,ROW())),0)</f>
        <v/>
      </c>
      <c r="H1003">
        <f>IFERROR(--INDEX('Term investments'!$H:$H,ROW()),0)</f>
        <v/>
      </c>
      <c r="I1003">
        <f>IF(ISNUMBER(INDEX('Term investments'!$G:$G,ROW())),1,0)</f>
        <v/>
      </c>
      <c r="J1003">
        <f>TRIM(SUBSTITUTE(INDEX('Call accounts and MMFs'!$A:$A,ROW())&amp;""," "," "))</f>
        <v/>
      </c>
      <c r="K1003">
        <f>TRIM(SUBSTITUTE(INDEX('Call accounts and MMFs'!$B:$B,ROW())&amp;""," "," "))</f>
        <v/>
      </c>
      <c r="L1003">
        <f>TRIM(SUBSTITUTE(INDEX('Call accounts and MMFs'!$C:$C,ROW())&amp;""," "," "))</f>
        <v/>
      </c>
      <c r="M1003">
        <f>IFERROR(--INDEX('Call accounts and MMFs'!$D:$D,ROW()),0)</f>
        <v/>
      </c>
      <c r="N1003">
        <f>IFERROR(IF(--INDEX('Call accounts and MMFs'!$E:$E,ROW())&gt;=1,--INDEX('Call accounts and MMFs'!$E:$E,ROW())/100,--INDEX('Call accounts and MMFs'!$E:$E,ROW())),0)</f>
        <v/>
      </c>
      <c r="O1003">
        <f>IFERROR(--INDEX('Call accounts and MMFs'!$F:$F,ROW()),0)</f>
        <v/>
      </c>
      <c r="P1003">
        <f>IF(ISNUMBER(INDEX('Call accounts and MMFs'!$E:$E,ROW())),1,0)</f>
        <v/>
      </c>
      <c r="Q1003">
        <f>TRIM(SUBSTITUTE(INDEX('Pooled funds'!$B:$B,ROW())&amp;""," "," "))</f>
        <v/>
      </c>
      <c r="R1003">
        <f>IFERROR(--INDEX('Pooled funds'!$C:$C,ROW()),0)</f>
        <v/>
      </c>
      <c r="S1003">
        <f>IFERROR(--INDEX('Pooled funds'!$D:$D,ROW()),0)</f>
        <v/>
      </c>
      <c r="T1003">
        <f>IFERROR(IF(--INDEX('Pooled funds'!$E:$E,ROW())&gt;=1,--INDEX('Pooled funds'!$E:$E,ROW())/100,--INDEX('Pooled funds'!$E:$E,ROW())),0)</f>
        <v/>
      </c>
      <c r="U1003">
        <f>IF(ISNUMBER(INDEX('Pooled funds'!$E:$E,ROW())),1,0)</f>
        <v/>
      </c>
    </row>
    <row r="1004">
      <c r="A1004">
        <f>TRIM(SUBSTITUTE(INDEX('Term investments'!$A:$A,ROW())&amp;""," "," "))</f>
        <v/>
      </c>
      <c r="B1004">
        <f>TRIM(SUBSTITUTE(INDEX('Term investments'!$B:$B,ROW())&amp;""," "," "))</f>
        <v/>
      </c>
      <c r="C1004">
        <f>TRIM(SUBSTITUTE(INDEX('Term investments'!$C:$C,ROW())&amp;""," "," "))</f>
        <v/>
      </c>
      <c r="D1004">
        <f>IFERROR(--INDEX('Term investments'!$D:$D,ROW()),0)</f>
        <v/>
      </c>
      <c r="E1004">
        <f>IFERROR(--INDEX('Term investments'!$E:$E,ROW()),0)</f>
        <v/>
      </c>
      <c r="F1004">
        <f>IFERROR(--INDEX('Term investments'!$F:$F,ROW()),0)</f>
        <v/>
      </c>
      <c r="G1004">
        <f>IFERROR(IF(--INDEX('Term investments'!$G:$G,ROW())&gt;=1,--INDEX('Term investments'!$G:$G,ROW())/100,--INDEX('Term investments'!$G:$G,ROW())),0)</f>
        <v/>
      </c>
      <c r="H1004">
        <f>IFERROR(--INDEX('Term investments'!$H:$H,ROW()),0)</f>
        <v/>
      </c>
      <c r="I1004">
        <f>IF(ISNUMBER(INDEX('Term investments'!$G:$G,ROW())),1,0)</f>
        <v/>
      </c>
      <c r="J1004">
        <f>TRIM(SUBSTITUTE(INDEX('Call accounts and MMFs'!$A:$A,ROW())&amp;""," "," "))</f>
        <v/>
      </c>
      <c r="K1004">
        <f>TRIM(SUBSTITUTE(INDEX('Call accounts and MMFs'!$B:$B,ROW())&amp;""," "," "))</f>
        <v/>
      </c>
      <c r="L1004">
        <f>TRIM(SUBSTITUTE(INDEX('Call accounts and MMFs'!$C:$C,ROW())&amp;""," "," "))</f>
        <v/>
      </c>
      <c r="M1004">
        <f>IFERROR(--INDEX('Call accounts and MMFs'!$D:$D,ROW()),0)</f>
        <v/>
      </c>
      <c r="N1004">
        <f>IFERROR(IF(--INDEX('Call accounts and MMFs'!$E:$E,ROW())&gt;=1,--INDEX('Call accounts and MMFs'!$E:$E,ROW())/100,--INDEX('Call accounts and MMFs'!$E:$E,ROW())),0)</f>
        <v/>
      </c>
      <c r="O1004">
        <f>IFERROR(--INDEX('Call accounts and MMFs'!$F:$F,ROW()),0)</f>
        <v/>
      </c>
      <c r="P1004">
        <f>IF(ISNUMBER(INDEX('Call accounts and MMFs'!$E:$E,ROW())),1,0)</f>
        <v/>
      </c>
      <c r="Q1004">
        <f>TRIM(SUBSTITUTE(INDEX('Pooled funds'!$B:$B,ROW())&amp;""," "," "))</f>
        <v/>
      </c>
      <c r="R1004">
        <f>IFERROR(--INDEX('Pooled funds'!$C:$C,ROW()),0)</f>
        <v/>
      </c>
      <c r="S1004">
        <f>IFERROR(--INDEX('Pooled funds'!$D:$D,ROW()),0)</f>
        <v/>
      </c>
      <c r="T1004">
        <f>IFERROR(IF(--INDEX('Pooled funds'!$E:$E,ROW())&gt;=1,--INDEX('Pooled funds'!$E:$E,ROW())/100,--INDEX('Pooled funds'!$E:$E,ROW())),0)</f>
        <v/>
      </c>
      <c r="U1004">
        <f>IF(ISNUMBER(INDEX('Pooled funds'!$E:$E,ROW())),1,0)</f>
        <v/>
      </c>
    </row>
    <row r="1005">
      <c r="A1005">
        <f>TRIM(SUBSTITUTE(INDEX('Term investments'!$A:$A,ROW())&amp;""," "," "))</f>
        <v/>
      </c>
      <c r="B1005">
        <f>TRIM(SUBSTITUTE(INDEX('Term investments'!$B:$B,ROW())&amp;""," "," "))</f>
        <v/>
      </c>
      <c r="C1005">
        <f>TRIM(SUBSTITUTE(INDEX('Term investments'!$C:$C,ROW())&amp;""," "," "))</f>
        <v/>
      </c>
      <c r="D1005">
        <f>IFERROR(--INDEX('Term investments'!$D:$D,ROW()),0)</f>
        <v/>
      </c>
      <c r="E1005">
        <f>IFERROR(--INDEX('Term investments'!$E:$E,ROW()),0)</f>
        <v/>
      </c>
      <c r="F1005">
        <f>IFERROR(--INDEX('Term investments'!$F:$F,ROW()),0)</f>
        <v/>
      </c>
      <c r="G1005">
        <f>IFERROR(IF(--INDEX('Term investments'!$G:$G,ROW())&gt;=1,--INDEX('Term investments'!$G:$G,ROW())/100,--INDEX('Term investments'!$G:$G,ROW())),0)</f>
        <v/>
      </c>
      <c r="H1005">
        <f>IFERROR(--INDEX('Term investments'!$H:$H,ROW()),0)</f>
        <v/>
      </c>
      <c r="I1005">
        <f>IF(ISNUMBER(INDEX('Term investments'!$G:$G,ROW())),1,0)</f>
        <v/>
      </c>
      <c r="J1005">
        <f>TRIM(SUBSTITUTE(INDEX('Call accounts and MMFs'!$A:$A,ROW())&amp;""," "," "))</f>
        <v/>
      </c>
      <c r="K1005">
        <f>TRIM(SUBSTITUTE(INDEX('Call accounts and MMFs'!$B:$B,ROW())&amp;""," "," "))</f>
        <v/>
      </c>
      <c r="L1005">
        <f>TRIM(SUBSTITUTE(INDEX('Call accounts and MMFs'!$C:$C,ROW())&amp;""," "," "))</f>
        <v/>
      </c>
      <c r="M1005">
        <f>IFERROR(--INDEX('Call accounts and MMFs'!$D:$D,ROW()),0)</f>
        <v/>
      </c>
      <c r="N1005">
        <f>IFERROR(IF(--INDEX('Call accounts and MMFs'!$E:$E,ROW())&gt;=1,--INDEX('Call accounts and MMFs'!$E:$E,ROW())/100,--INDEX('Call accounts and MMFs'!$E:$E,ROW())),0)</f>
        <v/>
      </c>
      <c r="O1005">
        <f>IFERROR(--INDEX('Call accounts and MMFs'!$F:$F,ROW()),0)</f>
        <v/>
      </c>
      <c r="P1005">
        <f>IF(ISNUMBER(INDEX('Call accounts and MMFs'!$E:$E,ROW())),1,0)</f>
        <v/>
      </c>
      <c r="Q1005">
        <f>TRIM(SUBSTITUTE(INDEX('Pooled funds'!$B:$B,ROW())&amp;""," "," "))</f>
        <v/>
      </c>
      <c r="R1005">
        <f>IFERROR(--INDEX('Pooled funds'!$C:$C,ROW()),0)</f>
        <v/>
      </c>
      <c r="S1005">
        <f>IFERROR(--INDEX('Pooled funds'!$D:$D,ROW()),0)</f>
        <v/>
      </c>
      <c r="T1005">
        <f>IFERROR(IF(--INDEX('Pooled funds'!$E:$E,ROW())&gt;=1,--INDEX('Pooled funds'!$E:$E,ROW())/100,--INDEX('Pooled funds'!$E:$E,ROW())),0)</f>
        <v/>
      </c>
      <c r="U1005">
        <f>IF(ISNUMBER(INDEX('Pooled funds'!$E:$E,ROW())),1,0)</f>
        <v/>
      </c>
    </row>
    <row r="1006">
      <c r="A1006">
        <f>TRIM(SUBSTITUTE(INDEX('Term investments'!$A:$A,ROW())&amp;""," "," "))</f>
        <v/>
      </c>
      <c r="B1006">
        <f>TRIM(SUBSTITUTE(INDEX('Term investments'!$B:$B,ROW())&amp;""," "," "))</f>
        <v/>
      </c>
      <c r="C1006">
        <f>TRIM(SUBSTITUTE(INDEX('Term investments'!$C:$C,ROW())&amp;""," "," "))</f>
        <v/>
      </c>
      <c r="D1006">
        <f>IFERROR(--INDEX('Term investments'!$D:$D,ROW()),0)</f>
        <v/>
      </c>
      <c r="E1006">
        <f>IFERROR(--INDEX('Term investments'!$E:$E,ROW()),0)</f>
        <v/>
      </c>
      <c r="F1006">
        <f>IFERROR(--INDEX('Term investments'!$F:$F,ROW()),0)</f>
        <v/>
      </c>
      <c r="G1006">
        <f>IFERROR(IF(--INDEX('Term investments'!$G:$G,ROW())&gt;=1,--INDEX('Term investments'!$G:$G,ROW())/100,--INDEX('Term investments'!$G:$G,ROW())),0)</f>
        <v/>
      </c>
      <c r="H1006">
        <f>IFERROR(--INDEX('Term investments'!$H:$H,ROW()),0)</f>
        <v/>
      </c>
      <c r="I1006">
        <f>IF(ISNUMBER(INDEX('Term investments'!$G:$G,ROW())),1,0)</f>
        <v/>
      </c>
      <c r="J1006">
        <f>TRIM(SUBSTITUTE(INDEX('Call accounts and MMFs'!$A:$A,ROW())&amp;""," "," "))</f>
        <v/>
      </c>
      <c r="K1006">
        <f>TRIM(SUBSTITUTE(INDEX('Call accounts and MMFs'!$B:$B,ROW())&amp;""," "," "))</f>
        <v/>
      </c>
      <c r="L1006">
        <f>TRIM(SUBSTITUTE(INDEX('Call accounts and MMFs'!$C:$C,ROW())&amp;""," "," "))</f>
        <v/>
      </c>
      <c r="M1006">
        <f>IFERROR(--INDEX('Call accounts and MMFs'!$D:$D,ROW()),0)</f>
        <v/>
      </c>
      <c r="N1006">
        <f>IFERROR(IF(--INDEX('Call accounts and MMFs'!$E:$E,ROW())&gt;=1,--INDEX('Call accounts and MMFs'!$E:$E,ROW())/100,--INDEX('Call accounts and MMFs'!$E:$E,ROW())),0)</f>
        <v/>
      </c>
      <c r="O1006">
        <f>IFERROR(--INDEX('Call accounts and MMFs'!$F:$F,ROW()),0)</f>
        <v/>
      </c>
      <c r="P1006">
        <f>IF(ISNUMBER(INDEX('Call accounts and MMFs'!$E:$E,ROW())),1,0)</f>
        <v/>
      </c>
      <c r="Q1006">
        <f>TRIM(SUBSTITUTE(INDEX('Pooled funds'!$B:$B,ROW())&amp;""," "," "))</f>
        <v/>
      </c>
      <c r="R1006">
        <f>IFERROR(--INDEX('Pooled funds'!$C:$C,ROW()),0)</f>
        <v/>
      </c>
      <c r="S1006">
        <f>IFERROR(--INDEX('Pooled funds'!$D:$D,ROW()),0)</f>
        <v/>
      </c>
      <c r="T1006">
        <f>IFERROR(IF(--INDEX('Pooled funds'!$E:$E,ROW())&gt;=1,--INDEX('Pooled funds'!$E:$E,ROW())/100,--INDEX('Pooled funds'!$E:$E,ROW())),0)</f>
        <v/>
      </c>
      <c r="U1006">
        <f>IF(ISNUMBER(INDEX('Pooled funds'!$E:$E,ROW())),1,0)</f>
        <v/>
      </c>
    </row>
    <row r="1007">
      <c r="A1007">
        <f>TRIM(SUBSTITUTE(INDEX('Term investments'!$A:$A,ROW())&amp;""," "," "))</f>
        <v/>
      </c>
      <c r="B1007">
        <f>TRIM(SUBSTITUTE(INDEX('Term investments'!$B:$B,ROW())&amp;""," "," "))</f>
        <v/>
      </c>
      <c r="C1007">
        <f>TRIM(SUBSTITUTE(INDEX('Term investments'!$C:$C,ROW())&amp;""," "," "))</f>
        <v/>
      </c>
      <c r="D1007">
        <f>IFERROR(--INDEX('Term investments'!$D:$D,ROW()),0)</f>
        <v/>
      </c>
      <c r="E1007">
        <f>IFERROR(--INDEX('Term investments'!$E:$E,ROW()),0)</f>
        <v/>
      </c>
      <c r="F1007">
        <f>IFERROR(--INDEX('Term investments'!$F:$F,ROW()),0)</f>
        <v/>
      </c>
      <c r="G1007">
        <f>IFERROR(IF(--INDEX('Term investments'!$G:$G,ROW())&gt;=1,--INDEX('Term investments'!$G:$G,ROW())/100,--INDEX('Term investments'!$G:$G,ROW())),0)</f>
        <v/>
      </c>
      <c r="H1007">
        <f>IFERROR(--INDEX('Term investments'!$H:$H,ROW()),0)</f>
        <v/>
      </c>
      <c r="I1007">
        <f>IF(ISNUMBER(INDEX('Term investments'!$G:$G,ROW())),1,0)</f>
        <v/>
      </c>
      <c r="J1007">
        <f>TRIM(SUBSTITUTE(INDEX('Call accounts and MMFs'!$A:$A,ROW())&amp;""," "," "))</f>
        <v/>
      </c>
      <c r="K1007">
        <f>TRIM(SUBSTITUTE(INDEX('Call accounts and MMFs'!$B:$B,ROW())&amp;""," "," "))</f>
        <v/>
      </c>
      <c r="L1007">
        <f>TRIM(SUBSTITUTE(INDEX('Call accounts and MMFs'!$C:$C,ROW())&amp;""," "," "))</f>
        <v/>
      </c>
      <c r="M1007">
        <f>IFERROR(--INDEX('Call accounts and MMFs'!$D:$D,ROW()),0)</f>
        <v/>
      </c>
      <c r="N1007">
        <f>IFERROR(IF(--INDEX('Call accounts and MMFs'!$E:$E,ROW())&gt;=1,--INDEX('Call accounts and MMFs'!$E:$E,ROW())/100,--INDEX('Call accounts and MMFs'!$E:$E,ROW())),0)</f>
        <v/>
      </c>
      <c r="O1007">
        <f>IFERROR(--INDEX('Call accounts and MMFs'!$F:$F,ROW()),0)</f>
        <v/>
      </c>
      <c r="P1007">
        <f>IF(ISNUMBER(INDEX('Call accounts and MMFs'!$E:$E,ROW())),1,0)</f>
        <v/>
      </c>
      <c r="Q1007">
        <f>TRIM(SUBSTITUTE(INDEX('Pooled funds'!$B:$B,ROW())&amp;""," "," "))</f>
        <v/>
      </c>
      <c r="R1007">
        <f>IFERROR(--INDEX('Pooled funds'!$C:$C,ROW()),0)</f>
        <v/>
      </c>
      <c r="S1007">
        <f>IFERROR(--INDEX('Pooled funds'!$D:$D,ROW()),0)</f>
        <v/>
      </c>
      <c r="T1007">
        <f>IFERROR(IF(--INDEX('Pooled funds'!$E:$E,ROW())&gt;=1,--INDEX('Pooled funds'!$E:$E,ROW())/100,--INDEX('Pooled funds'!$E:$E,ROW())),0)</f>
        <v/>
      </c>
      <c r="U1007">
        <f>IF(ISNUMBER(INDEX('Pooled funds'!$E:$E,ROW())),1,0)</f>
        <v/>
      </c>
    </row>
    <row r="1008">
      <c r="A1008">
        <f>TRIM(SUBSTITUTE(INDEX('Term investments'!$A:$A,ROW())&amp;""," "," "))</f>
        <v/>
      </c>
      <c r="B1008">
        <f>TRIM(SUBSTITUTE(INDEX('Term investments'!$B:$B,ROW())&amp;""," "," "))</f>
        <v/>
      </c>
      <c r="C1008">
        <f>TRIM(SUBSTITUTE(INDEX('Term investments'!$C:$C,ROW())&amp;""," "," "))</f>
        <v/>
      </c>
      <c r="D1008">
        <f>IFERROR(--INDEX('Term investments'!$D:$D,ROW()),0)</f>
        <v/>
      </c>
      <c r="E1008">
        <f>IFERROR(--INDEX('Term investments'!$E:$E,ROW()),0)</f>
        <v/>
      </c>
      <c r="F1008">
        <f>IFERROR(--INDEX('Term investments'!$F:$F,ROW()),0)</f>
        <v/>
      </c>
      <c r="G1008">
        <f>IFERROR(IF(--INDEX('Term investments'!$G:$G,ROW())&gt;=1,--INDEX('Term investments'!$G:$G,ROW())/100,--INDEX('Term investments'!$G:$G,ROW())),0)</f>
        <v/>
      </c>
      <c r="H1008">
        <f>IFERROR(--INDEX('Term investments'!$H:$H,ROW()),0)</f>
        <v/>
      </c>
      <c r="I1008">
        <f>IF(ISNUMBER(INDEX('Term investments'!$G:$G,ROW())),1,0)</f>
        <v/>
      </c>
      <c r="J1008">
        <f>TRIM(SUBSTITUTE(INDEX('Call accounts and MMFs'!$A:$A,ROW())&amp;""," "," "))</f>
        <v/>
      </c>
      <c r="K1008">
        <f>TRIM(SUBSTITUTE(INDEX('Call accounts and MMFs'!$B:$B,ROW())&amp;""," "," "))</f>
        <v/>
      </c>
      <c r="L1008">
        <f>TRIM(SUBSTITUTE(INDEX('Call accounts and MMFs'!$C:$C,ROW())&amp;""," "," "))</f>
        <v/>
      </c>
      <c r="M1008">
        <f>IFERROR(--INDEX('Call accounts and MMFs'!$D:$D,ROW()),0)</f>
        <v/>
      </c>
      <c r="N1008">
        <f>IFERROR(IF(--INDEX('Call accounts and MMFs'!$E:$E,ROW())&gt;=1,--INDEX('Call accounts and MMFs'!$E:$E,ROW())/100,--INDEX('Call accounts and MMFs'!$E:$E,ROW())),0)</f>
        <v/>
      </c>
      <c r="O1008">
        <f>IFERROR(--INDEX('Call accounts and MMFs'!$F:$F,ROW()),0)</f>
        <v/>
      </c>
      <c r="P1008">
        <f>IF(ISNUMBER(INDEX('Call accounts and MMFs'!$E:$E,ROW())),1,0)</f>
        <v/>
      </c>
      <c r="Q1008">
        <f>TRIM(SUBSTITUTE(INDEX('Pooled funds'!$B:$B,ROW())&amp;""," "," "))</f>
        <v/>
      </c>
      <c r="R1008">
        <f>IFERROR(--INDEX('Pooled funds'!$C:$C,ROW()),0)</f>
        <v/>
      </c>
      <c r="S1008">
        <f>IFERROR(--INDEX('Pooled funds'!$D:$D,ROW()),0)</f>
        <v/>
      </c>
      <c r="T1008">
        <f>IFERROR(IF(--INDEX('Pooled funds'!$E:$E,ROW())&gt;=1,--INDEX('Pooled funds'!$E:$E,ROW())/100,--INDEX('Pooled funds'!$E:$E,ROW())),0)</f>
        <v/>
      </c>
      <c r="U1008">
        <f>IF(ISNUMBER(INDEX('Pooled funds'!$E:$E,ROW())),1,0)</f>
        <v/>
      </c>
    </row>
    <row r="1009">
      <c r="A1009">
        <f>TRIM(SUBSTITUTE(INDEX('Term investments'!$A:$A,ROW())&amp;""," "," "))</f>
        <v/>
      </c>
      <c r="B1009">
        <f>TRIM(SUBSTITUTE(INDEX('Term investments'!$B:$B,ROW())&amp;""," "," "))</f>
        <v/>
      </c>
      <c r="C1009">
        <f>TRIM(SUBSTITUTE(INDEX('Term investments'!$C:$C,ROW())&amp;""," "," "))</f>
        <v/>
      </c>
      <c r="D1009">
        <f>IFERROR(--INDEX('Term investments'!$D:$D,ROW()),0)</f>
        <v/>
      </c>
      <c r="E1009">
        <f>IFERROR(--INDEX('Term investments'!$E:$E,ROW()),0)</f>
        <v/>
      </c>
      <c r="F1009">
        <f>IFERROR(--INDEX('Term investments'!$F:$F,ROW()),0)</f>
        <v/>
      </c>
      <c r="G1009">
        <f>IFERROR(IF(--INDEX('Term investments'!$G:$G,ROW())&gt;=1,--INDEX('Term investments'!$G:$G,ROW())/100,--INDEX('Term investments'!$G:$G,ROW())),0)</f>
        <v/>
      </c>
      <c r="H1009">
        <f>IFERROR(--INDEX('Term investments'!$H:$H,ROW()),0)</f>
        <v/>
      </c>
      <c r="I1009">
        <f>IF(ISNUMBER(INDEX('Term investments'!$G:$G,ROW())),1,0)</f>
        <v/>
      </c>
      <c r="J1009">
        <f>TRIM(SUBSTITUTE(INDEX('Call accounts and MMFs'!$A:$A,ROW())&amp;""," "," "))</f>
        <v/>
      </c>
      <c r="K1009">
        <f>TRIM(SUBSTITUTE(INDEX('Call accounts and MMFs'!$B:$B,ROW())&amp;""," "," "))</f>
        <v/>
      </c>
      <c r="L1009">
        <f>TRIM(SUBSTITUTE(INDEX('Call accounts and MMFs'!$C:$C,ROW())&amp;""," "," "))</f>
        <v/>
      </c>
      <c r="M1009">
        <f>IFERROR(--INDEX('Call accounts and MMFs'!$D:$D,ROW()),0)</f>
        <v/>
      </c>
      <c r="N1009">
        <f>IFERROR(IF(--INDEX('Call accounts and MMFs'!$E:$E,ROW())&gt;=1,--INDEX('Call accounts and MMFs'!$E:$E,ROW())/100,--INDEX('Call accounts and MMFs'!$E:$E,ROW())),0)</f>
        <v/>
      </c>
      <c r="O1009">
        <f>IFERROR(--INDEX('Call accounts and MMFs'!$F:$F,ROW()),0)</f>
        <v/>
      </c>
      <c r="P1009">
        <f>IF(ISNUMBER(INDEX('Call accounts and MMFs'!$E:$E,ROW())),1,0)</f>
        <v/>
      </c>
      <c r="Q1009">
        <f>TRIM(SUBSTITUTE(INDEX('Pooled funds'!$B:$B,ROW())&amp;""," "," "))</f>
        <v/>
      </c>
      <c r="R1009">
        <f>IFERROR(--INDEX('Pooled funds'!$C:$C,ROW()),0)</f>
        <v/>
      </c>
      <c r="S1009">
        <f>IFERROR(--INDEX('Pooled funds'!$D:$D,ROW()),0)</f>
        <v/>
      </c>
      <c r="T1009">
        <f>IFERROR(IF(--INDEX('Pooled funds'!$E:$E,ROW())&gt;=1,--INDEX('Pooled funds'!$E:$E,ROW())/100,--INDEX('Pooled funds'!$E:$E,ROW())),0)</f>
        <v/>
      </c>
      <c r="U1009">
        <f>IF(ISNUMBER(INDEX('Pooled funds'!$E:$E,ROW())),1,0)</f>
        <v/>
      </c>
    </row>
    <row r="1010">
      <c r="A1010">
        <f>TRIM(SUBSTITUTE(INDEX('Term investments'!$A:$A,ROW())&amp;""," "," "))</f>
        <v/>
      </c>
      <c r="B1010">
        <f>TRIM(SUBSTITUTE(INDEX('Term investments'!$B:$B,ROW())&amp;""," "," "))</f>
        <v/>
      </c>
      <c r="C1010">
        <f>TRIM(SUBSTITUTE(INDEX('Term investments'!$C:$C,ROW())&amp;""," "," "))</f>
        <v/>
      </c>
      <c r="D1010">
        <f>IFERROR(--INDEX('Term investments'!$D:$D,ROW()),0)</f>
        <v/>
      </c>
      <c r="E1010">
        <f>IFERROR(--INDEX('Term investments'!$E:$E,ROW()),0)</f>
        <v/>
      </c>
      <c r="F1010">
        <f>IFERROR(--INDEX('Term investments'!$F:$F,ROW()),0)</f>
        <v/>
      </c>
      <c r="G1010">
        <f>IFERROR(IF(--INDEX('Term investments'!$G:$G,ROW())&gt;=1,--INDEX('Term investments'!$G:$G,ROW())/100,--INDEX('Term investments'!$G:$G,ROW())),0)</f>
        <v/>
      </c>
      <c r="H1010">
        <f>IFERROR(--INDEX('Term investments'!$H:$H,ROW()),0)</f>
        <v/>
      </c>
      <c r="I1010">
        <f>IF(ISNUMBER(INDEX('Term investments'!$G:$G,ROW())),1,0)</f>
        <v/>
      </c>
      <c r="J1010">
        <f>TRIM(SUBSTITUTE(INDEX('Call accounts and MMFs'!$A:$A,ROW())&amp;""," "," "))</f>
        <v/>
      </c>
      <c r="K1010">
        <f>TRIM(SUBSTITUTE(INDEX('Call accounts and MMFs'!$B:$B,ROW())&amp;""," "," "))</f>
        <v/>
      </c>
      <c r="L1010">
        <f>TRIM(SUBSTITUTE(INDEX('Call accounts and MMFs'!$C:$C,ROW())&amp;""," "," "))</f>
        <v/>
      </c>
      <c r="M1010">
        <f>IFERROR(--INDEX('Call accounts and MMFs'!$D:$D,ROW()),0)</f>
        <v/>
      </c>
      <c r="N1010">
        <f>IFERROR(IF(--INDEX('Call accounts and MMFs'!$E:$E,ROW())&gt;=1,--INDEX('Call accounts and MMFs'!$E:$E,ROW())/100,--INDEX('Call accounts and MMFs'!$E:$E,ROW())),0)</f>
        <v/>
      </c>
      <c r="O1010">
        <f>IFERROR(--INDEX('Call accounts and MMFs'!$F:$F,ROW()),0)</f>
        <v/>
      </c>
      <c r="P1010">
        <f>IF(ISNUMBER(INDEX('Call accounts and MMFs'!$E:$E,ROW())),1,0)</f>
        <v/>
      </c>
      <c r="Q1010">
        <f>TRIM(SUBSTITUTE(INDEX('Pooled funds'!$B:$B,ROW())&amp;""," "," "))</f>
        <v/>
      </c>
      <c r="R1010">
        <f>IFERROR(--INDEX('Pooled funds'!$C:$C,ROW()),0)</f>
        <v/>
      </c>
      <c r="S1010">
        <f>IFERROR(--INDEX('Pooled funds'!$D:$D,ROW()),0)</f>
        <v/>
      </c>
      <c r="T1010">
        <f>IFERROR(IF(--INDEX('Pooled funds'!$E:$E,ROW())&gt;=1,--INDEX('Pooled funds'!$E:$E,ROW())/100,--INDEX('Pooled funds'!$E:$E,ROW())),0)</f>
        <v/>
      </c>
      <c r="U1010">
        <f>IF(ISNUMBER(INDEX('Pooled funds'!$E:$E,ROW())),1,0)</f>
        <v/>
      </c>
    </row>
    <row r="1011">
      <c r="A1011">
        <f>TRIM(SUBSTITUTE(INDEX('Term investments'!$A:$A,ROW())&amp;""," "," "))</f>
        <v/>
      </c>
      <c r="B1011">
        <f>TRIM(SUBSTITUTE(INDEX('Term investments'!$B:$B,ROW())&amp;""," "," "))</f>
        <v/>
      </c>
      <c r="C1011">
        <f>TRIM(SUBSTITUTE(INDEX('Term investments'!$C:$C,ROW())&amp;""," "," "))</f>
        <v/>
      </c>
      <c r="D1011">
        <f>IFERROR(--INDEX('Term investments'!$D:$D,ROW()),0)</f>
        <v/>
      </c>
      <c r="E1011">
        <f>IFERROR(--INDEX('Term investments'!$E:$E,ROW()),0)</f>
        <v/>
      </c>
      <c r="F1011">
        <f>IFERROR(--INDEX('Term investments'!$F:$F,ROW()),0)</f>
        <v/>
      </c>
      <c r="G1011">
        <f>IFERROR(IF(--INDEX('Term investments'!$G:$G,ROW())&gt;=1,--INDEX('Term investments'!$G:$G,ROW())/100,--INDEX('Term investments'!$G:$G,ROW())),0)</f>
        <v/>
      </c>
      <c r="H1011">
        <f>IFERROR(--INDEX('Term investments'!$H:$H,ROW()),0)</f>
        <v/>
      </c>
      <c r="I1011">
        <f>IF(ISNUMBER(INDEX('Term investments'!$G:$G,ROW())),1,0)</f>
        <v/>
      </c>
      <c r="J1011">
        <f>TRIM(SUBSTITUTE(INDEX('Call accounts and MMFs'!$A:$A,ROW())&amp;""," "," "))</f>
        <v/>
      </c>
      <c r="K1011">
        <f>TRIM(SUBSTITUTE(INDEX('Call accounts and MMFs'!$B:$B,ROW())&amp;""," "," "))</f>
        <v/>
      </c>
      <c r="L1011">
        <f>TRIM(SUBSTITUTE(INDEX('Call accounts and MMFs'!$C:$C,ROW())&amp;""," "," "))</f>
        <v/>
      </c>
      <c r="M1011">
        <f>IFERROR(--INDEX('Call accounts and MMFs'!$D:$D,ROW()),0)</f>
        <v/>
      </c>
      <c r="N1011">
        <f>IFERROR(IF(--INDEX('Call accounts and MMFs'!$E:$E,ROW())&gt;=1,--INDEX('Call accounts and MMFs'!$E:$E,ROW())/100,--INDEX('Call accounts and MMFs'!$E:$E,ROW())),0)</f>
        <v/>
      </c>
      <c r="O1011">
        <f>IFERROR(--INDEX('Call accounts and MMFs'!$F:$F,ROW()),0)</f>
        <v/>
      </c>
      <c r="P1011">
        <f>IF(ISNUMBER(INDEX('Call accounts and MMFs'!$E:$E,ROW())),1,0)</f>
        <v/>
      </c>
      <c r="Q1011">
        <f>TRIM(SUBSTITUTE(INDEX('Pooled funds'!$B:$B,ROW())&amp;""," "," "))</f>
        <v/>
      </c>
      <c r="R1011">
        <f>IFERROR(--INDEX('Pooled funds'!$C:$C,ROW()),0)</f>
        <v/>
      </c>
      <c r="S1011">
        <f>IFERROR(--INDEX('Pooled funds'!$D:$D,ROW()),0)</f>
        <v/>
      </c>
      <c r="T1011">
        <f>IFERROR(IF(--INDEX('Pooled funds'!$E:$E,ROW())&gt;=1,--INDEX('Pooled funds'!$E:$E,ROW())/100,--INDEX('Pooled funds'!$E:$E,ROW())),0)</f>
        <v/>
      </c>
      <c r="U1011">
        <f>IF(ISNUMBER(INDEX('Pooled funds'!$E:$E,ROW())),1,0)</f>
        <v/>
      </c>
    </row>
    <row r="1012">
      <c r="A1012">
        <f>TRIM(SUBSTITUTE(INDEX('Term investments'!$A:$A,ROW())&amp;""," "," "))</f>
        <v/>
      </c>
      <c r="B1012">
        <f>TRIM(SUBSTITUTE(INDEX('Term investments'!$B:$B,ROW())&amp;""," "," "))</f>
        <v/>
      </c>
      <c r="C1012">
        <f>TRIM(SUBSTITUTE(INDEX('Term investments'!$C:$C,ROW())&amp;""," "," "))</f>
        <v/>
      </c>
      <c r="D1012">
        <f>IFERROR(--INDEX('Term investments'!$D:$D,ROW()),0)</f>
        <v/>
      </c>
      <c r="E1012">
        <f>IFERROR(--INDEX('Term investments'!$E:$E,ROW()),0)</f>
        <v/>
      </c>
      <c r="F1012">
        <f>IFERROR(--INDEX('Term investments'!$F:$F,ROW()),0)</f>
        <v/>
      </c>
      <c r="G1012">
        <f>IFERROR(IF(--INDEX('Term investments'!$G:$G,ROW())&gt;=1,--INDEX('Term investments'!$G:$G,ROW())/100,--INDEX('Term investments'!$G:$G,ROW())),0)</f>
        <v/>
      </c>
      <c r="H1012">
        <f>IFERROR(--INDEX('Term investments'!$H:$H,ROW()),0)</f>
        <v/>
      </c>
      <c r="I1012">
        <f>IF(ISNUMBER(INDEX('Term investments'!$G:$G,ROW())),1,0)</f>
        <v/>
      </c>
      <c r="J1012">
        <f>TRIM(SUBSTITUTE(INDEX('Call accounts and MMFs'!$A:$A,ROW())&amp;""," "," "))</f>
        <v/>
      </c>
      <c r="K1012">
        <f>TRIM(SUBSTITUTE(INDEX('Call accounts and MMFs'!$B:$B,ROW())&amp;""," "," "))</f>
        <v/>
      </c>
      <c r="L1012">
        <f>TRIM(SUBSTITUTE(INDEX('Call accounts and MMFs'!$C:$C,ROW())&amp;""," "," "))</f>
        <v/>
      </c>
      <c r="M1012">
        <f>IFERROR(--INDEX('Call accounts and MMFs'!$D:$D,ROW()),0)</f>
        <v/>
      </c>
      <c r="N1012">
        <f>IFERROR(IF(--INDEX('Call accounts and MMFs'!$E:$E,ROW())&gt;=1,--INDEX('Call accounts and MMFs'!$E:$E,ROW())/100,--INDEX('Call accounts and MMFs'!$E:$E,ROW())),0)</f>
        <v/>
      </c>
      <c r="O1012">
        <f>IFERROR(--INDEX('Call accounts and MMFs'!$F:$F,ROW()),0)</f>
        <v/>
      </c>
      <c r="P1012">
        <f>IF(ISNUMBER(INDEX('Call accounts and MMFs'!$E:$E,ROW())),1,0)</f>
        <v/>
      </c>
      <c r="Q1012">
        <f>TRIM(SUBSTITUTE(INDEX('Pooled funds'!$B:$B,ROW())&amp;""," "," "))</f>
        <v/>
      </c>
      <c r="R1012">
        <f>IFERROR(--INDEX('Pooled funds'!$C:$C,ROW()),0)</f>
        <v/>
      </c>
      <c r="S1012">
        <f>IFERROR(--INDEX('Pooled funds'!$D:$D,ROW()),0)</f>
        <v/>
      </c>
      <c r="T1012">
        <f>IFERROR(IF(--INDEX('Pooled funds'!$E:$E,ROW())&gt;=1,--INDEX('Pooled funds'!$E:$E,ROW())/100,--INDEX('Pooled funds'!$E:$E,ROW())),0)</f>
        <v/>
      </c>
      <c r="U1012">
        <f>IF(ISNUMBER(INDEX('Pooled funds'!$E:$E,ROW())),1,0)</f>
        <v/>
      </c>
    </row>
    <row r="1013">
      <c r="A1013">
        <f>TRIM(SUBSTITUTE(INDEX('Term investments'!$A:$A,ROW())&amp;""," "," "))</f>
        <v/>
      </c>
      <c r="B1013">
        <f>TRIM(SUBSTITUTE(INDEX('Term investments'!$B:$B,ROW())&amp;""," "," "))</f>
        <v/>
      </c>
      <c r="C1013">
        <f>TRIM(SUBSTITUTE(INDEX('Term investments'!$C:$C,ROW())&amp;""," "," "))</f>
        <v/>
      </c>
      <c r="D1013">
        <f>IFERROR(--INDEX('Term investments'!$D:$D,ROW()),0)</f>
        <v/>
      </c>
      <c r="E1013">
        <f>IFERROR(--INDEX('Term investments'!$E:$E,ROW()),0)</f>
        <v/>
      </c>
      <c r="F1013">
        <f>IFERROR(--INDEX('Term investments'!$F:$F,ROW()),0)</f>
        <v/>
      </c>
      <c r="G1013">
        <f>IFERROR(IF(--INDEX('Term investments'!$G:$G,ROW())&gt;=1,--INDEX('Term investments'!$G:$G,ROW())/100,--INDEX('Term investments'!$G:$G,ROW())),0)</f>
        <v/>
      </c>
      <c r="H1013">
        <f>IFERROR(--INDEX('Term investments'!$H:$H,ROW()),0)</f>
        <v/>
      </c>
      <c r="I1013">
        <f>IF(ISNUMBER(INDEX('Term investments'!$G:$G,ROW())),1,0)</f>
        <v/>
      </c>
      <c r="J1013">
        <f>TRIM(SUBSTITUTE(INDEX('Call accounts and MMFs'!$A:$A,ROW())&amp;""," "," "))</f>
        <v/>
      </c>
      <c r="K1013">
        <f>TRIM(SUBSTITUTE(INDEX('Call accounts and MMFs'!$B:$B,ROW())&amp;""," "," "))</f>
        <v/>
      </c>
      <c r="L1013">
        <f>TRIM(SUBSTITUTE(INDEX('Call accounts and MMFs'!$C:$C,ROW())&amp;""," "," "))</f>
        <v/>
      </c>
      <c r="M1013">
        <f>IFERROR(--INDEX('Call accounts and MMFs'!$D:$D,ROW()),0)</f>
        <v/>
      </c>
      <c r="N1013">
        <f>IFERROR(IF(--INDEX('Call accounts and MMFs'!$E:$E,ROW())&gt;=1,--INDEX('Call accounts and MMFs'!$E:$E,ROW())/100,--INDEX('Call accounts and MMFs'!$E:$E,ROW())),0)</f>
        <v/>
      </c>
      <c r="O1013">
        <f>IFERROR(--INDEX('Call accounts and MMFs'!$F:$F,ROW()),0)</f>
        <v/>
      </c>
      <c r="P1013">
        <f>IF(ISNUMBER(INDEX('Call accounts and MMFs'!$E:$E,ROW())),1,0)</f>
        <v/>
      </c>
      <c r="Q1013">
        <f>TRIM(SUBSTITUTE(INDEX('Pooled funds'!$B:$B,ROW())&amp;""," "," "))</f>
        <v/>
      </c>
      <c r="R1013">
        <f>IFERROR(--INDEX('Pooled funds'!$C:$C,ROW()),0)</f>
        <v/>
      </c>
      <c r="S1013">
        <f>IFERROR(--INDEX('Pooled funds'!$D:$D,ROW()),0)</f>
        <v/>
      </c>
      <c r="T1013">
        <f>IFERROR(IF(--INDEX('Pooled funds'!$E:$E,ROW())&gt;=1,--INDEX('Pooled funds'!$E:$E,ROW())/100,--INDEX('Pooled funds'!$E:$E,ROW())),0)</f>
        <v/>
      </c>
      <c r="U1013">
        <f>IF(ISNUMBER(INDEX('Pooled funds'!$E:$E,ROW())),1,0)</f>
        <v/>
      </c>
    </row>
    <row r="1014">
      <c r="A1014">
        <f>TRIM(SUBSTITUTE(INDEX('Term investments'!$A:$A,ROW())&amp;""," "," "))</f>
        <v/>
      </c>
      <c r="B1014">
        <f>TRIM(SUBSTITUTE(INDEX('Term investments'!$B:$B,ROW())&amp;""," "," "))</f>
        <v/>
      </c>
      <c r="C1014">
        <f>TRIM(SUBSTITUTE(INDEX('Term investments'!$C:$C,ROW())&amp;""," "," "))</f>
        <v/>
      </c>
      <c r="D1014">
        <f>IFERROR(--INDEX('Term investments'!$D:$D,ROW()),0)</f>
        <v/>
      </c>
      <c r="E1014">
        <f>IFERROR(--INDEX('Term investments'!$E:$E,ROW()),0)</f>
        <v/>
      </c>
      <c r="F1014">
        <f>IFERROR(--INDEX('Term investments'!$F:$F,ROW()),0)</f>
        <v/>
      </c>
      <c r="G1014">
        <f>IFERROR(IF(--INDEX('Term investments'!$G:$G,ROW())&gt;=1,--INDEX('Term investments'!$G:$G,ROW())/100,--INDEX('Term investments'!$G:$G,ROW())),0)</f>
        <v/>
      </c>
      <c r="H1014">
        <f>IFERROR(--INDEX('Term investments'!$H:$H,ROW()),0)</f>
        <v/>
      </c>
      <c r="I1014">
        <f>IF(ISNUMBER(INDEX('Term investments'!$G:$G,ROW())),1,0)</f>
        <v/>
      </c>
      <c r="J1014">
        <f>TRIM(SUBSTITUTE(INDEX('Call accounts and MMFs'!$A:$A,ROW())&amp;""," "," "))</f>
        <v/>
      </c>
      <c r="K1014">
        <f>TRIM(SUBSTITUTE(INDEX('Call accounts and MMFs'!$B:$B,ROW())&amp;""," "," "))</f>
        <v/>
      </c>
      <c r="L1014">
        <f>TRIM(SUBSTITUTE(INDEX('Call accounts and MMFs'!$C:$C,ROW())&amp;""," "," "))</f>
        <v/>
      </c>
      <c r="M1014">
        <f>IFERROR(--INDEX('Call accounts and MMFs'!$D:$D,ROW()),0)</f>
        <v/>
      </c>
      <c r="N1014">
        <f>IFERROR(IF(--INDEX('Call accounts and MMFs'!$E:$E,ROW())&gt;=1,--INDEX('Call accounts and MMFs'!$E:$E,ROW())/100,--INDEX('Call accounts and MMFs'!$E:$E,ROW())),0)</f>
        <v/>
      </c>
      <c r="O1014">
        <f>IFERROR(--INDEX('Call accounts and MMFs'!$F:$F,ROW()),0)</f>
        <v/>
      </c>
      <c r="P1014">
        <f>IF(ISNUMBER(INDEX('Call accounts and MMFs'!$E:$E,ROW())),1,0)</f>
        <v/>
      </c>
      <c r="Q1014">
        <f>TRIM(SUBSTITUTE(INDEX('Pooled funds'!$B:$B,ROW())&amp;""," "," "))</f>
        <v/>
      </c>
      <c r="R1014">
        <f>IFERROR(--INDEX('Pooled funds'!$C:$C,ROW()),0)</f>
        <v/>
      </c>
      <c r="S1014">
        <f>IFERROR(--INDEX('Pooled funds'!$D:$D,ROW()),0)</f>
        <v/>
      </c>
      <c r="T1014">
        <f>IFERROR(IF(--INDEX('Pooled funds'!$E:$E,ROW())&gt;=1,--INDEX('Pooled funds'!$E:$E,ROW())/100,--INDEX('Pooled funds'!$E:$E,ROW())),0)</f>
        <v/>
      </c>
      <c r="U1014">
        <f>IF(ISNUMBER(INDEX('Pooled funds'!$E:$E,ROW())),1,0)</f>
        <v/>
      </c>
    </row>
    <row r="1015">
      <c r="A1015">
        <f>TRIM(SUBSTITUTE(INDEX('Term investments'!$A:$A,ROW())&amp;""," "," "))</f>
        <v/>
      </c>
      <c r="B1015">
        <f>TRIM(SUBSTITUTE(INDEX('Term investments'!$B:$B,ROW())&amp;""," "," "))</f>
        <v/>
      </c>
      <c r="C1015">
        <f>TRIM(SUBSTITUTE(INDEX('Term investments'!$C:$C,ROW())&amp;""," "," "))</f>
        <v/>
      </c>
      <c r="D1015">
        <f>IFERROR(--INDEX('Term investments'!$D:$D,ROW()),0)</f>
        <v/>
      </c>
      <c r="E1015">
        <f>IFERROR(--INDEX('Term investments'!$E:$E,ROW()),0)</f>
        <v/>
      </c>
      <c r="F1015">
        <f>IFERROR(--INDEX('Term investments'!$F:$F,ROW()),0)</f>
        <v/>
      </c>
      <c r="G1015">
        <f>IFERROR(IF(--INDEX('Term investments'!$G:$G,ROW())&gt;=1,--INDEX('Term investments'!$G:$G,ROW())/100,--INDEX('Term investments'!$G:$G,ROW())),0)</f>
        <v/>
      </c>
      <c r="H1015">
        <f>IFERROR(--INDEX('Term investments'!$H:$H,ROW()),0)</f>
        <v/>
      </c>
      <c r="I1015">
        <f>IF(ISNUMBER(INDEX('Term investments'!$G:$G,ROW())),1,0)</f>
        <v/>
      </c>
      <c r="J1015">
        <f>TRIM(SUBSTITUTE(INDEX('Call accounts and MMFs'!$A:$A,ROW())&amp;""," "," "))</f>
        <v/>
      </c>
      <c r="K1015">
        <f>TRIM(SUBSTITUTE(INDEX('Call accounts and MMFs'!$B:$B,ROW())&amp;""," "," "))</f>
        <v/>
      </c>
      <c r="L1015">
        <f>TRIM(SUBSTITUTE(INDEX('Call accounts and MMFs'!$C:$C,ROW())&amp;""," "," "))</f>
        <v/>
      </c>
      <c r="M1015">
        <f>IFERROR(--INDEX('Call accounts and MMFs'!$D:$D,ROW()),0)</f>
        <v/>
      </c>
      <c r="N1015">
        <f>IFERROR(IF(--INDEX('Call accounts and MMFs'!$E:$E,ROW())&gt;=1,--INDEX('Call accounts and MMFs'!$E:$E,ROW())/100,--INDEX('Call accounts and MMFs'!$E:$E,ROW())),0)</f>
        <v/>
      </c>
      <c r="O1015">
        <f>IFERROR(--INDEX('Call accounts and MMFs'!$F:$F,ROW()),0)</f>
        <v/>
      </c>
      <c r="P1015">
        <f>IF(ISNUMBER(INDEX('Call accounts and MMFs'!$E:$E,ROW())),1,0)</f>
        <v/>
      </c>
      <c r="Q1015">
        <f>TRIM(SUBSTITUTE(INDEX('Pooled funds'!$B:$B,ROW())&amp;""," "," "))</f>
        <v/>
      </c>
      <c r="R1015">
        <f>IFERROR(--INDEX('Pooled funds'!$C:$C,ROW()),0)</f>
        <v/>
      </c>
      <c r="S1015">
        <f>IFERROR(--INDEX('Pooled funds'!$D:$D,ROW()),0)</f>
        <v/>
      </c>
      <c r="T1015">
        <f>IFERROR(IF(--INDEX('Pooled funds'!$E:$E,ROW())&gt;=1,--INDEX('Pooled funds'!$E:$E,ROW())/100,--INDEX('Pooled funds'!$E:$E,ROW())),0)</f>
        <v/>
      </c>
      <c r="U1015">
        <f>IF(ISNUMBER(INDEX('Pooled funds'!$E:$E,ROW())),1,0)</f>
        <v/>
      </c>
    </row>
    <row r="1016">
      <c r="A1016">
        <f>TRIM(SUBSTITUTE(INDEX('Term investments'!$A:$A,ROW())&amp;""," "," "))</f>
        <v/>
      </c>
      <c r="B1016">
        <f>TRIM(SUBSTITUTE(INDEX('Term investments'!$B:$B,ROW())&amp;""," "," "))</f>
        <v/>
      </c>
      <c r="C1016">
        <f>TRIM(SUBSTITUTE(INDEX('Term investments'!$C:$C,ROW())&amp;""," "," "))</f>
        <v/>
      </c>
      <c r="D1016">
        <f>IFERROR(--INDEX('Term investments'!$D:$D,ROW()),0)</f>
        <v/>
      </c>
      <c r="E1016">
        <f>IFERROR(--INDEX('Term investments'!$E:$E,ROW()),0)</f>
        <v/>
      </c>
      <c r="F1016">
        <f>IFERROR(--INDEX('Term investments'!$F:$F,ROW()),0)</f>
        <v/>
      </c>
      <c r="G1016">
        <f>IFERROR(IF(--INDEX('Term investments'!$G:$G,ROW())&gt;=1,--INDEX('Term investments'!$G:$G,ROW())/100,--INDEX('Term investments'!$G:$G,ROW())),0)</f>
        <v/>
      </c>
      <c r="H1016">
        <f>IFERROR(--INDEX('Term investments'!$H:$H,ROW()),0)</f>
        <v/>
      </c>
      <c r="I1016">
        <f>IF(ISNUMBER(INDEX('Term investments'!$G:$G,ROW())),1,0)</f>
        <v/>
      </c>
      <c r="J1016">
        <f>TRIM(SUBSTITUTE(INDEX('Call accounts and MMFs'!$A:$A,ROW())&amp;""," "," "))</f>
        <v/>
      </c>
      <c r="K1016">
        <f>TRIM(SUBSTITUTE(INDEX('Call accounts and MMFs'!$B:$B,ROW())&amp;""," "," "))</f>
        <v/>
      </c>
      <c r="L1016">
        <f>TRIM(SUBSTITUTE(INDEX('Call accounts and MMFs'!$C:$C,ROW())&amp;""," "," "))</f>
        <v/>
      </c>
      <c r="M1016">
        <f>IFERROR(--INDEX('Call accounts and MMFs'!$D:$D,ROW()),0)</f>
        <v/>
      </c>
      <c r="N1016">
        <f>IFERROR(IF(--INDEX('Call accounts and MMFs'!$E:$E,ROW())&gt;=1,--INDEX('Call accounts and MMFs'!$E:$E,ROW())/100,--INDEX('Call accounts and MMFs'!$E:$E,ROW())),0)</f>
        <v/>
      </c>
      <c r="O1016">
        <f>IFERROR(--INDEX('Call accounts and MMFs'!$F:$F,ROW()),0)</f>
        <v/>
      </c>
      <c r="P1016">
        <f>IF(ISNUMBER(INDEX('Call accounts and MMFs'!$E:$E,ROW())),1,0)</f>
        <v/>
      </c>
      <c r="Q1016">
        <f>TRIM(SUBSTITUTE(INDEX('Pooled funds'!$B:$B,ROW())&amp;""," "," "))</f>
        <v/>
      </c>
      <c r="R1016">
        <f>IFERROR(--INDEX('Pooled funds'!$C:$C,ROW()),0)</f>
        <v/>
      </c>
      <c r="S1016">
        <f>IFERROR(--INDEX('Pooled funds'!$D:$D,ROW()),0)</f>
        <v/>
      </c>
      <c r="T1016">
        <f>IFERROR(IF(--INDEX('Pooled funds'!$E:$E,ROW())&gt;=1,--INDEX('Pooled funds'!$E:$E,ROW())/100,--INDEX('Pooled funds'!$E:$E,ROW())),0)</f>
        <v/>
      </c>
      <c r="U1016">
        <f>IF(ISNUMBER(INDEX('Pooled funds'!$E:$E,ROW())),1,0)</f>
        <v/>
      </c>
    </row>
    <row r="1017">
      <c r="A1017">
        <f>TRIM(SUBSTITUTE(INDEX('Term investments'!$A:$A,ROW())&amp;""," "," "))</f>
        <v/>
      </c>
      <c r="B1017">
        <f>TRIM(SUBSTITUTE(INDEX('Term investments'!$B:$B,ROW())&amp;""," "," "))</f>
        <v/>
      </c>
      <c r="C1017">
        <f>TRIM(SUBSTITUTE(INDEX('Term investments'!$C:$C,ROW())&amp;""," "," "))</f>
        <v/>
      </c>
      <c r="D1017">
        <f>IFERROR(--INDEX('Term investments'!$D:$D,ROW()),0)</f>
        <v/>
      </c>
      <c r="E1017">
        <f>IFERROR(--INDEX('Term investments'!$E:$E,ROW()),0)</f>
        <v/>
      </c>
      <c r="F1017">
        <f>IFERROR(--INDEX('Term investments'!$F:$F,ROW()),0)</f>
        <v/>
      </c>
      <c r="G1017">
        <f>IFERROR(IF(--INDEX('Term investments'!$G:$G,ROW())&gt;=1,--INDEX('Term investments'!$G:$G,ROW())/100,--INDEX('Term investments'!$G:$G,ROW())),0)</f>
        <v/>
      </c>
      <c r="H1017">
        <f>IFERROR(--INDEX('Term investments'!$H:$H,ROW()),0)</f>
        <v/>
      </c>
      <c r="I1017">
        <f>IF(ISNUMBER(INDEX('Term investments'!$G:$G,ROW())),1,0)</f>
        <v/>
      </c>
      <c r="J1017">
        <f>TRIM(SUBSTITUTE(INDEX('Call accounts and MMFs'!$A:$A,ROW())&amp;""," "," "))</f>
        <v/>
      </c>
      <c r="K1017">
        <f>TRIM(SUBSTITUTE(INDEX('Call accounts and MMFs'!$B:$B,ROW())&amp;""," "," "))</f>
        <v/>
      </c>
      <c r="L1017">
        <f>TRIM(SUBSTITUTE(INDEX('Call accounts and MMFs'!$C:$C,ROW())&amp;""," "," "))</f>
        <v/>
      </c>
      <c r="M1017">
        <f>IFERROR(--INDEX('Call accounts and MMFs'!$D:$D,ROW()),0)</f>
        <v/>
      </c>
      <c r="N1017">
        <f>IFERROR(IF(--INDEX('Call accounts and MMFs'!$E:$E,ROW())&gt;=1,--INDEX('Call accounts and MMFs'!$E:$E,ROW())/100,--INDEX('Call accounts and MMFs'!$E:$E,ROW())),0)</f>
        <v/>
      </c>
      <c r="O1017">
        <f>IFERROR(--INDEX('Call accounts and MMFs'!$F:$F,ROW()),0)</f>
        <v/>
      </c>
      <c r="P1017">
        <f>IF(ISNUMBER(INDEX('Call accounts and MMFs'!$E:$E,ROW())),1,0)</f>
        <v/>
      </c>
      <c r="Q1017">
        <f>TRIM(SUBSTITUTE(INDEX('Pooled funds'!$B:$B,ROW())&amp;""," "," "))</f>
        <v/>
      </c>
      <c r="R1017">
        <f>IFERROR(--INDEX('Pooled funds'!$C:$C,ROW()),0)</f>
        <v/>
      </c>
      <c r="S1017">
        <f>IFERROR(--INDEX('Pooled funds'!$D:$D,ROW()),0)</f>
        <v/>
      </c>
      <c r="T1017">
        <f>IFERROR(IF(--INDEX('Pooled funds'!$E:$E,ROW())&gt;=1,--INDEX('Pooled funds'!$E:$E,ROW())/100,--INDEX('Pooled funds'!$E:$E,ROW())),0)</f>
        <v/>
      </c>
      <c r="U1017">
        <f>IF(ISNUMBER(INDEX('Pooled funds'!$E:$E,ROW())),1,0)</f>
        <v/>
      </c>
    </row>
    <row r="1018">
      <c r="A1018">
        <f>TRIM(SUBSTITUTE(INDEX('Term investments'!$A:$A,ROW())&amp;""," "," "))</f>
        <v/>
      </c>
      <c r="B1018">
        <f>TRIM(SUBSTITUTE(INDEX('Term investments'!$B:$B,ROW())&amp;""," "," "))</f>
        <v/>
      </c>
      <c r="C1018">
        <f>TRIM(SUBSTITUTE(INDEX('Term investments'!$C:$C,ROW())&amp;""," "," "))</f>
        <v/>
      </c>
      <c r="D1018">
        <f>IFERROR(--INDEX('Term investments'!$D:$D,ROW()),0)</f>
        <v/>
      </c>
      <c r="E1018">
        <f>IFERROR(--INDEX('Term investments'!$E:$E,ROW()),0)</f>
        <v/>
      </c>
      <c r="F1018">
        <f>IFERROR(--INDEX('Term investments'!$F:$F,ROW()),0)</f>
        <v/>
      </c>
      <c r="G1018">
        <f>IFERROR(IF(--INDEX('Term investments'!$G:$G,ROW())&gt;=1,--INDEX('Term investments'!$G:$G,ROW())/100,--INDEX('Term investments'!$G:$G,ROW())),0)</f>
        <v/>
      </c>
      <c r="H1018">
        <f>IFERROR(--INDEX('Term investments'!$H:$H,ROW()),0)</f>
        <v/>
      </c>
      <c r="I1018">
        <f>IF(ISNUMBER(INDEX('Term investments'!$G:$G,ROW())),1,0)</f>
        <v/>
      </c>
      <c r="J1018">
        <f>TRIM(SUBSTITUTE(INDEX('Call accounts and MMFs'!$A:$A,ROW())&amp;""," "," "))</f>
        <v/>
      </c>
      <c r="K1018">
        <f>TRIM(SUBSTITUTE(INDEX('Call accounts and MMFs'!$B:$B,ROW())&amp;""," "," "))</f>
        <v/>
      </c>
      <c r="L1018">
        <f>TRIM(SUBSTITUTE(INDEX('Call accounts and MMFs'!$C:$C,ROW())&amp;""," "," "))</f>
        <v/>
      </c>
      <c r="M1018">
        <f>IFERROR(--INDEX('Call accounts and MMFs'!$D:$D,ROW()),0)</f>
        <v/>
      </c>
      <c r="N1018">
        <f>IFERROR(IF(--INDEX('Call accounts and MMFs'!$E:$E,ROW())&gt;=1,--INDEX('Call accounts and MMFs'!$E:$E,ROW())/100,--INDEX('Call accounts and MMFs'!$E:$E,ROW())),0)</f>
        <v/>
      </c>
      <c r="O1018">
        <f>IFERROR(--INDEX('Call accounts and MMFs'!$F:$F,ROW()),0)</f>
        <v/>
      </c>
      <c r="P1018">
        <f>IF(ISNUMBER(INDEX('Call accounts and MMFs'!$E:$E,ROW())),1,0)</f>
        <v/>
      </c>
      <c r="Q1018">
        <f>TRIM(SUBSTITUTE(INDEX('Pooled funds'!$B:$B,ROW())&amp;""," "," "))</f>
        <v/>
      </c>
      <c r="R1018">
        <f>IFERROR(--INDEX('Pooled funds'!$C:$C,ROW()),0)</f>
        <v/>
      </c>
      <c r="S1018">
        <f>IFERROR(--INDEX('Pooled funds'!$D:$D,ROW()),0)</f>
        <v/>
      </c>
      <c r="T1018">
        <f>IFERROR(IF(--INDEX('Pooled funds'!$E:$E,ROW())&gt;=1,--INDEX('Pooled funds'!$E:$E,ROW())/100,--INDEX('Pooled funds'!$E:$E,ROW())),0)</f>
        <v/>
      </c>
      <c r="U1018">
        <f>IF(ISNUMBER(INDEX('Pooled funds'!$E:$E,ROW())),1,0)</f>
        <v/>
      </c>
    </row>
    <row r="1019">
      <c r="A1019">
        <f>TRIM(SUBSTITUTE(INDEX('Term investments'!$A:$A,ROW())&amp;""," "," "))</f>
        <v/>
      </c>
      <c r="B1019">
        <f>TRIM(SUBSTITUTE(INDEX('Term investments'!$B:$B,ROW())&amp;""," "," "))</f>
        <v/>
      </c>
      <c r="C1019">
        <f>TRIM(SUBSTITUTE(INDEX('Term investments'!$C:$C,ROW())&amp;""," "," "))</f>
        <v/>
      </c>
      <c r="D1019">
        <f>IFERROR(--INDEX('Term investments'!$D:$D,ROW()),0)</f>
        <v/>
      </c>
      <c r="E1019">
        <f>IFERROR(--INDEX('Term investments'!$E:$E,ROW()),0)</f>
        <v/>
      </c>
      <c r="F1019">
        <f>IFERROR(--INDEX('Term investments'!$F:$F,ROW()),0)</f>
        <v/>
      </c>
      <c r="G1019">
        <f>IFERROR(IF(--INDEX('Term investments'!$G:$G,ROW())&gt;=1,--INDEX('Term investments'!$G:$G,ROW())/100,--INDEX('Term investments'!$G:$G,ROW())),0)</f>
        <v/>
      </c>
      <c r="H1019">
        <f>IFERROR(--INDEX('Term investments'!$H:$H,ROW()),0)</f>
        <v/>
      </c>
      <c r="I1019">
        <f>IF(ISNUMBER(INDEX('Term investments'!$G:$G,ROW())),1,0)</f>
        <v/>
      </c>
      <c r="J1019">
        <f>TRIM(SUBSTITUTE(INDEX('Call accounts and MMFs'!$A:$A,ROW())&amp;""," "," "))</f>
        <v/>
      </c>
      <c r="K1019">
        <f>TRIM(SUBSTITUTE(INDEX('Call accounts and MMFs'!$B:$B,ROW())&amp;""," "," "))</f>
        <v/>
      </c>
      <c r="L1019">
        <f>TRIM(SUBSTITUTE(INDEX('Call accounts and MMFs'!$C:$C,ROW())&amp;""," "," "))</f>
        <v/>
      </c>
      <c r="M1019">
        <f>IFERROR(--INDEX('Call accounts and MMFs'!$D:$D,ROW()),0)</f>
        <v/>
      </c>
      <c r="N1019">
        <f>IFERROR(IF(--INDEX('Call accounts and MMFs'!$E:$E,ROW())&gt;=1,--INDEX('Call accounts and MMFs'!$E:$E,ROW())/100,--INDEX('Call accounts and MMFs'!$E:$E,ROW())),0)</f>
        <v/>
      </c>
      <c r="O1019">
        <f>IFERROR(--INDEX('Call accounts and MMFs'!$F:$F,ROW()),0)</f>
        <v/>
      </c>
      <c r="P1019">
        <f>IF(ISNUMBER(INDEX('Call accounts and MMFs'!$E:$E,ROW())),1,0)</f>
        <v/>
      </c>
      <c r="Q1019">
        <f>TRIM(SUBSTITUTE(INDEX('Pooled funds'!$B:$B,ROW())&amp;""," "," "))</f>
        <v/>
      </c>
      <c r="R1019">
        <f>IFERROR(--INDEX('Pooled funds'!$C:$C,ROW()),0)</f>
        <v/>
      </c>
      <c r="S1019">
        <f>IFERROR(--INDEX('Pooled funds'!$D:$D,ROW()),0)</f>
        <v/>
      </c>
      <c r="T1019">
        <f>IFERROR(IF(--INDEX('Pooled funds'!$E:$E,ROW())&gt;=1,--INDEX('Pooled funds'!$E:$E,ROW())/100,--INDEX('Pooled funds'!$E:$E,ROW())),0)</f>
        <v/>
      </c>
      <c r="U1019">
        <f>IF(ISNUMBER(INDEX('Pooled funds'!$E:$E,ROW())),1,0)</f>
        <v/>
      </c>
    </row>
    <row r="1020">
      <c r="A1020">
        <f>TRIM(SUBSTITUTE(INDEX('Term investments'!$A:$A,ROW())&amp;""," "," "))</f>
        <v/>
      </c>
      <c r="B1020">
        <f>TRIM(SUBSTITUTE(INDEX('Term investments'!$B:$B,ROW())&amp;""," "," "))</f>
        <v/>
      </c>
      <c r="C1020">
        <f>TRIM(SUBSTITUTE(INDEX('Term investments'!$C:$C,ROW())&amp;""," "," "))</f>
        <v/>
      </c>
      <c r="D1020">
        <f>IFERROR(--INDEX('Term investments'!$D:$D,ROW()),0)</f>
        <v/>
      </c>
      <c r="E1020">
        <f>IFERROR(--INDEX('Term investments'!$E:$E,ROW()),0)</f>
        <v/>
      </c>
      <c r="F1020">
        <f>IFERROR(--INDEX('Term investments'!$F:$F,ROW()),0)</f>
        <v/>
      </c>
      <c r="G1020">
        <f>IFERROR(IF(--INDEX('Term investments'!$G:$G,ROW())&gt;=1,--INDEX('Term investments'!$G:$G,ROW())/100,--INDEX('Term investments'!$G:$G,ROW())),0)</f>
        <v/>
      </c>
      <c r="H1020">
        <f>IFERROR(--INDEX('Term investments'!$H:$H,ROW()),0)</f>
        <v/>
      </c>
      <c r="I1020">
        <f>IF(ISNUMBER(INDEX('Term investments'!$G:$G,ROW())),1,0)</f>
        <v/>
      </c>
      <c r="J1020">
        <f>TRIM(SUBSTITUTE(INDEX('Call accounts and MMFs'!$A:$A,ROW())&amp;""," "," "))</f>
        <v/>
      </c>
      <c r="K1020">
        <f>TRIM(SUBSTITUTE(INDEX('Call accounts and MMFs'!$B:$B,ROW())&amp;""," "," "))</f>
        <v/>
      </c>
      <c r="L1020">
        <f>TRIM(SUBSTITUTE(INDEX('Call accounts and MMFs'!$C:$C,ROW())&amp;""," "," "))</f>
        <v/>
      </c>
      <c r="M1020">
        <f>IFERROR(--INDEX('Call accounts and MMFs'!$D:$D,ROW()),0)</f>
        <v/>
      </c>
      <c r="N1020">
        <f>IFERROR(IF(--INDEX('Call accounts and MMFs'!$E:$E,ROW())&gt;=1,--INDEX('Call accounts and MMFs'!$E:$E,ROW())/100,--INDEX('Call accounts and MMFs'!$E:$E,ROW())),0)</f>
        <v/>
      </c>
      <c r="O1020">
        <f>IFERROR(--INDEX('Call accounts and MMFs'!$F:$F,ROW()),0)</f>
        <v/>
      </c>
      <c r="P1020">
        <f>IF(ISNUMBER(INDEX('Call accounts and MMFs'!$E:$E,ROW())),1,0)</f>
        <v/>
      </c>
      <c r="Q1020">
        <f>TRIM(SUBSTITUTE(INDEX('Pooled funds'!$B:$B,ROW())&amp;""," "," "))</f>
        <v/>
      </c>
      <c r="R1020">
        <f>IFERROR(--INDEX('Pooled funds'!$C:$C,ROW()),0)</f>
        <v/>
      </c>
      <c r="S1020">
        <f>IFERROR(--INDEX('Pooled funds'!$D:$D,ROW()),0)</f>
        <v/>
      </c>
      <c r="T1020">
        <f>IFERROR(IF(--INDEX('Pooled funds'!$E:$E,ROW())&gt;=1,--INDEX('Pooled funds'!$E:$E,ROW())/100,--INDEX('Pooled funds'!$E:$E,ROW())),0)</f>
        <v/>
      </c>
      <c r="U1020">
        <f>IF(ISNUMBER(INDEX('Pooled funds'!$E:$E,ROW())),1,0)</f>
        <v/>
      </c>
    </row>
    <row r="1021">
      <c r="A1021">
        <f>TRIM(SUBSTITUTE(INDEX('Term investments'!$A:$A,ROW())&amp;""," "," "))</f>
        <v/>
      </c>
      <c r="B1021">
        <f>TRIM(SUBSTITUTE(INDEX('Term investments'!$B:$B,ROW())&amp;""," "," "))</f>
        <v/>
      </c>
      <c r="C1021">
        <f>TRIM(SUBSTITUTE(INDEX('Term investments'!$C:$C,ROW())&amp;""," "," "))</f>
        <v/>
      </c>
      <c r="D1021">
        <f>IFERROR(--INDEX('Term investments'!$D:$D,ROW()),0)</f>
        <v/>
      </c>
      <c r="E1021">
        <f>IFERROR(--INDEX('Term investments'!$E:$E,ROW()),0)</f>
        <v/>
      </c>
      <c r="F1021">
        <f>IFERROR(--INDEX('Term investments'!$F:$F,ROW()),0)</f>
        <v/>
      </c>
      <c r="G1021">
        <f>IFERROR(IF(--INDEX('Term investments'!$G:$G,ROW())&gt;=1,--INDEX('Term investments'!$G:$G,ROW())/100,--INDEX('Term investments'!$G:$G,ROW())),0)</f>
        <v/>
      </c>
      <c r="H1021">
        <f>IFERROR(--INDEX('Term investments'!$H:$H,ROW()),0)</f>
        <v/>
      </c>
      <c r="I1021">
        <f>IF(ISNUMBER(INDEX('Term investments'!$G:$G,ROW())),1,0)</f>
        <v/>
      </c>
      <c r="J1021">
        <f>TRIM(SUBSTITUTE(INDEX('Call accounts and MMFs'!$A:$A,ROW())&amp;""," "," "))</f>
        <v/>
      </c>
      <c r="K1021">
        <f>TRIM(SUBSTITUTE(INDEX('Call accounts and MMFs'!$B:$B,ROW())&amp;""," "," "))</f>
        <v/>
      </c>
      <c r="L1021">
        <f>TRIM(SUBSTITUTE(INDEX('Call accounts and MMFs'!$C:$C,ROW())&amp;""," "," "))</f>
        <v/>
      </c>
      <c r="M1021">
        <f>IFERROR(--INDEX('Call accounts and MMFs'!$D:$D,ROW()),0)</f>
        <v/>
      </c>
      <c r="N1021">
        <f>IFERROR(IF(--INDEX('Call accounts and MMFs'!$E:$E,ROW())&gt;=1,--INDEX('Call accounts and MMFs'!$E:$E,ROW())/100,--INDEX('Call accounts and MMFs'!$E:$E,ROW())),0)</f>
        <v/>
      </c>
      <c r="O1021">
        <f>IFERROR(--INDEX('Call accounts and MMFs'!$F:$F,ROW()),0)</f>
        <v/>
      </c>
      <c r="P1021">
        <f>IF(ISNUMBER(INDEX('Call accounts and MMFs'!$E:$E,ROW())),1,0)</f>
        <v/>
      </c>
      <c r="Q1021">
        <f>TRIM(SUBSTITUTE(INDEX('Pooled funds'!$B:$B,ROW())&amp;""," "," "))</f>
        <v/>
      </c>
      <c r="R1021">
        <f>IFERROR(--INDEX('Pooled funds'!$C:$C,ROW()),0)</f>
        <v/>
      </c>
      <c r="S1021">
        <f>IFERROR(--INDEX('Pooled funds'!$D:$D,ROW()),0)</f>
        <v/>
      </c>
      <c r="T1021">
        <f>IFERROR(IF(--INDEX('Pooled funds'!$E:$E,ROW())&gt;=1,--INDEX('Pooled funds'!$E:$E,ROW())/100,--INDEX('Pooled funds'!$E:$E,ROW())),0)</f>
        <v/>
      </c>
      <c r="U1021">
        <f>IF(ISNUMBER(INDEX('Pooled funds'!$E:$E,ROW())),1,0)</f>
        <v/>
      </c>
    </row>
    <row r="1022">
      <c r="A1022">
        <f>TRIM(SUBSTITUTE(INDEX('Term investments'!$A:$A,ROW())&amp;""," "," "))</f>
        <v/>
      </c>
      <c r="B1022">
        <f>TRIM(SUBSTITUTE(INDEX('Term investments'!$B:$B,ROW())&amp;""," "," "))</f>
        <v/>
      </c>
      <c r="C1022">
        <f>TRIM(SUBSTITUTE(INDEX('Term investments'!$C:$C,ROW())&amp;""," "," "))</f>
        <v/>
      </c>
      <c r="D1022">
        <f>IFERROR(--INDEX('Term investments'!$D:$D,ROW()),0)</f>
        <v/>
      </c>
      <c r="E1022">
        <f>IFERROR(--INDEX('Term investments'!$E:$E,ROW()),0)</f>
        <v/>
      </c>
      <c r="F1022">
        <f>IFERROR(--INDEX('Term investments'!$F:$F,ROW()),0)</f>
        <v/>
      </c>
      <c r="G1022">
        <f>IFERROR(IF(--INDEX('Term investments'!$G:$G,ROW())&gt;=1,--INDEX('Term investments'!$G:$G,ROW())/100,--INDEX('Term investments'!$G:$G,ROW())),0)</f>
        <v/>
      </c>
      <c r="H1022">
        <f>IFERROR(--INDEX('Term investments'!$H:$H,ROW()),0)</f>
        <v/>
      </c>
      <c r="I1022">
        <f>IF(ISNUMBER(INDEX('Term investments'!$G:$G,ROW())),1,0)</f>
        <v/>
      </c>
      <c r="J1022">
        <f>TRIM(SUBSTITUTE(INDEX('Call accounts and MMFs'!$A:$A,ROW())&amp;""," "," "))</f>
        <v/>
      </c>
      <c r="K1022">
        <f>TRIM(SUBSTITUTE(INDEX('Call accounts and MMFs'!$B:$B,ROW())&amp;""," "," "))</f>
        <v/>
      </c>
      <c r="L1022">
        <f>TRIM(SUBSTITUTE(INDEX('Call accounts and MMFs'!$C:$C,ROW())&amp;""," "," "))</f>
        <v/>
      </c>
      <c r="M1022">
        <f>IFERROR(--INDEX('Call accounts and MMFs'!$D:$D,ROW()),0)</f>
        <v/>
      </c>
      <c r="N1022">
        <f>IFERROR(IF(--INDEX('Call accounts and MMFs'!$E:$E,ROW())&gt;=1,--INDEX('Call accounts and MMFs'!$E:$E,ROW())/100,--INDEX('Call accounts and MMFs'!$E:$E,ROW())),0)</f>
        <v/>
      </c>
      <c r="O1022">
        <f>IFERROR(--INDEX('Call accounts and MMFs'!$F:$F,ROW()),0)</f>
        <v/>
      </c>
      <c r="P1022">
        <f>IF(ISNUMBER(INDEX('Call accounts and MMFs'!$E:$E,ROW())),1,0)</f>
        <v/>
      </c>
      <c r="Q1022">
        <f>TRIM(SUBSTITUTE(INDEX('Pooled funds'!$B:$B,ROW())&amp;""," "," "))</f>
        <v/>
      </c>
      <c r="R1022">
        <f>IFERROR(--INDEX('Pooled funds'!$C:$C,ROW()),0)</f>
        <v/>
      </c>
      <c r="S1022">
        <f>IFERROR(--INDEX('Pooled funds'!$D:$D,ROW()),0)</f>
        <v/>
      </c>
      <c r="T1022">
        <f>IFERROR(IF(--INDEX('Pooled funds'!$E:$E,ROW())&gt;=1,--INDEX('Pooled funds'!$E:$E,ROW())/100,--INDEX('Pooled funds'!$E:$E,ROW())),0)</f>
        <v/>
      </c>
      <c r="U1022">
        <f>IF(ISNUMBER(INDEX('Pooled funds'!$E:$E,ROW())),1,0)</f>
        <v/>
      </c>
    </row>
    <row r="1023">
      <c r="A1023">
        <f>TRIM(SUBSTITUTE(INDEX('Term investments'!$A:$A,ROW())&amp;""," "," "))</f>
        <v/>
      </c>
      <c r="B1023">
        <f>TRIM(SUBSTITUTE(INDEX('Term investments'!$B:$B,ROW())&amp;""," "," "))</f>
        <v/>
      </c>
      <c r="C1023">
        <f>TRIM(SUBSTITUTE(INDEX('Term investments'!$C:$C,ROW())&amp;""," "," "))</f>
        <v/>
      </c>
      <c r="D1023">
        <f>IFERROR(--INDEX('Term investments'!$D:$D,ROW()),0)</f>
        <v/>
      </c>
      <c r="E1023">
        <f>IFERROR(--INDEX('Term investments'!$E:$E,ROW()),0)</f>
        <v/>
      </c>
      <c r="F1023">
        <f>IFERROR(--INDEX('Term investments'!$F:$F,ROW()),0)</f>
        <v/>
      </c>
      <c r="G1023">
        <f>IFERROR(IF(--INDEX('Term investments'!$G:$G,ROW())&gt;=1,--INDEX('Term investments'!$G:$G,ROW())/100,--INDEX('Term investments'!$G:$G,ROW())),0)</f>
        <v/>
      </c>
      <c r="H1023">
        <f>IFERROR(--INDEX('Term investments'!$H:$H,ROW()),0)</f>
        <v/>
      </c>
      <c r="I1023">
        <f>IF(ISNUMBER(INDEX('Term investments'!$G:$G,ROW())),1,0)</f>
        <v/>
      </c>
      <c r="J1023">
        <f>TRIM(SUBSTITUTE(INDEX('Call accounts and MMFs'!$A:$A,ROW())&amp;""," "," "))</f>
        <v/>
      </c>
      <c r="K1023">
        <f>TRIM(SUBSTITUTE(INDEX('Call accounts and MMFs'!$B:$B,ROW())&amp;""," "," "))</f>
        <v/>
      </c>
      <c r="L1023">
        <f>TRIM(SUBSTITUTE(INDEX('Call accounts and MMFs'!$C:$C,ROW())&amp;""," "," "))</f>
        <v/>
      </c>
      <c r="M1023">
        <f>IFERROR(--INDEX('Call accounts and MMFs'!$D:$D,ROW()),0)</f>
        <v/>
      </c>
      <c r="N1023">
        <f>IFERROR(IF(--INDEX('Call accounts and MMFs'!$E:$E,ROW())&gt;=1,--INDEX('Call accounts and MMFs'!$E:$E,ROW())/100,--INDEX('Call accounts and MMFs'!$E:$E,ROW())),0)</f>
        <v/>
      </c>
      <c r="O1023">
        <f>IFERROR(--INDEX('Call accounts and MMFs'!$F:$F,ROW()),0)</f>
        <v/>
      </c>
      <c r="P1023">
        <f>IF(ISNUMBER(INDEX('Call accounts and MMFs'!$E:$E,ROW())),1,0)</f>
        <v/>
      </c>
      <c r="Q1023">
        <f>TRIM(SUBSTITUTE(INDEX('Pooled funds'!$B:$B,ROW())&amp;""," "," "))</f>
        <v/>
      </c>
      <c r="R1023">
        <f>IFERROR(--INDEX('Pooled funds'!$C:$C,ROW()),0)</f>
        <v/>
      </c>
      <c r="S1023">
        <f>IFERROR(--INDEX('Pooled funds'!$D:$D,ROW()),0)</f>
        <v/>
      </c>
      <c r="T1023">
        <f>IFERROR(IF(--INDEX('Pooled funds'!$E:$E,ROW())&gt;=1,--INDEX('Pooled funds'!$E:$E,ROW())/100,--INDEX('Pooled funds'!$E:$E,ROW())),0)</f>
        <v/>
      </c>
      <c r="U1023">
        <f>IF(ISNUMBER(INDEX('Pooled funds'!$E:$E,ROW())),1,0)</f>
        <v/>
      </c>
    </row>
    <row r="1024">
      <c r="A1024">
        <f>TRIM(SUBSTITUTE(INDEX('Term investments'!$A:$A,ROW())&amp;""," "," "))</f>
        <v/>
      </c>
      <c r="B1024">
        <f>TRIM(SUBSTITUTE(INDEX('Term investments'!$B:$B,ROW())&amp;""," "," "))</f>
        <v/>
      </c>
      <c r="C1024">
        <f>TRIM(SUBSTITUTE(INDEX('Term investments'!$C:$C,ROW())&amp;""," "," "))</f>
        <v/>
      </c>
      <c r="D1024">
        <f>IFERROR(--INDEX('Term investments'!$D:$D,ROW()),0)</f>
        <v/>
      </c>
      <c r="E1024">
        <f>IFERROR(--INDEX('Term investments'!$E:$E,ROW()),0)</f>
        <v/>
      </c>
      <c r="F1024">
        <f>IFERROR(--INDEX('Term investments'!$F:$F,ROW()),0)</f>
        <v/>
      </c>
      <c r="G1024">
        <f>IFERROR(IF(--INDEX('Term investments'!$G:$G,ROW())&gt;=1,--INDEX('Term investments'!$G:$G,ROW())/100,--INDEX('Term investments'!$G:$G,ROW())),0)</f>
        <v/>
      </c>
      <c r="H1024">
        <f>IFERROR(--INDEX('Term investments'!$H:$H,ROW()),0)</f>
        <v/>
      </c>
      <c r="I1024">
        <f>IF(ISNUMBER(INDEX('Term investments'!$G:$G,ROW())),1,0)</f>
        <v/>
      </c>
      <c r="J1024">
        <f>TRIM(SUBSTITUTE(INDEX('Call accounts and MMFs'!$A:$A,ROW())&amp;""," "," "))</f>
        <v/>
      </c>
      <c r="K1024">
        <f>TRIM(SUBSTITUTE(INDEX('Call accounts and MMFs'!$B:$B,ROW())&amp;""," "," "))</f>
        <v/>
      </c>
      <c r="L1024">
        <f>TRIM(SUBSTITUTE(INDEX('Call accounts and MMFs'!$C:$C,ROW())&amp;""," "," "))</f>
        <v/>
      </c>
      <c r="M1024">
        <f>IFERROR(--INDEX('Call accounts and MMFs'!$D:$D,ROW()),0)</f>
        <v/>
      </c>
      <c r="N1024">
        <f>IFERROR(IF(--INDEX('Call accounts and MMFs'!$E:$E,ROW())&gt;=1,--INDEX('Call accounts and MMFs'!$E:$E,ROW())/100,--INDEX('Call accounts and MMFs'!$E:$E,ROW())),0)</f>
        <v/>
      </c>
      <c r="O1024">
        <f>IFERROR(--INDEX('Call accounts and MMFs'!$F:$F,ROW()),0)</f>
        <v/>
      </c>
      <c r="P1024">
        <f>IF(ISNUMBER(INDEX('Call accounts and MMFs'!$E:$E,ROW())),1,0)</f>
        <v/>
      </c>
      <c r="Q1024">
        <f>TRIM(SUBSTITUTE(INDEX('Pooled funds'!$B:$B,ROW())&amp;""," "," "))</f>
        <v/>
      </c>
      <c r="R1024">
        <f>IFERROR(--INDEX('Pooled funds'!$C:$C,ROW()),0)</f>
        <v/>
      </c>
      <c r="S1024">
        <f>IFERROR(--INDEX('Pooled funds'!$D:$D,ROW()),0)</f>
        <v/>
      </c>
      <c r="T1024">
        <f>IFERROR(IF(--INDEX('Pooled funds'!$E:$E,ROW())&gt;=1,--INDEX('Pooled funds'!$E:$E,ROW())/100,--INDEX('Pooled funds'!$E:$E,ROW())),0)</f>
        <v/>
      </c>
      <c r="U1024">
        <f>IF(ISNUMBER(INDEX('Pooled funds'!$E:$E,ROW())),1,0)</f>
        <v/>
      </c>
    </row>
    <row r="1025">
      <c r="A1025">
        <f>TRIM(SUBSTITUTE(INDEX('Term investments'!$A:$A,ROW())&amp;""," "," "))</f>
        <v/>
      </c>
      <c r="B1025">
        <f>TRIM(SUBSTITUTE(INDEX('Term investments'!$B:$B,ROW())&amp;""," "," "))</f>
        <v/>
      </c>
      <c r="C1025">
        <f>TRIM(SUBSTITUTE(INDEX('Term investments'!$C:$C,ROW())&amp;""," "," "))</f>
        <v/>
      </c>
      <c r="D1025">
        <f>IFERROR(--INDEX('Term investments'!$D:$D,ROW()),0)</f>
        <v/>
      </c>
      <c r="E1025">
        <f>IFERROR(--INDEX('Term investments'!$E:$E,ROW()),0)</f>
        <v/>
      </c>
      <c r="F1025">
        <f>IFERROR(--INDEX('Term investments'!$F:$F,ROW()),0)</f>
        <v/>
      </c>
      <c r="G1025">
        <f>IFERROR(IF(--INDEX('Term investments'!$G:$G,ROW())&gt;=1,--INDEX('Term investments'!$G:$G,ROW())/100,--INDEX('Term investments'!$G:$G,ROW())),0)</f>
        <v/>
      </c>
      <c r="H1025">
        <f>IFERROR(--INDEX('Term investments'!$H:$H,ROW()),0)</f>
        <v/>
      </c>
      <c r="I1025">
        <f>IF(ISNUMBER(INDEX('Term investments'!$G:$G,ROW())),1,0)</f>
        <v/>
      </c>
      <c r="J1025">
        <f>TRIM(SUBSTITUTE(INDEX('Call accounts and MMFs'!$A:$A,ROW())&amp;""," "," "))</f>
        <v/>
      </c>
      <c r="K1025">
        <f>TRIM(SUBSTITUTE(INDEX('Call accounts and MMFs'!$B:$B,ROW())&amp;""," "," "))</f>
        <v/>
      </c>
      <c r="L1025">
        <f>TRIM(SUBSTITUTE(INDEX('Call accounts and MMFs'!$C:$C,ROW())&amp;""," "," "))</f>
        <v/>
      </c>
      <c r="M1025">
        <f>IFERROR(--INDEX('Call accounts and MMFs'!$D:$D,ROW()),0)</f>
        <v/>
      </c>
      <c r="N1025">
        <f>IFERROR(IF(--INDEX('Call accounts and MMFs'!$E:$E,ROW())&gt;=1,--INDEX('Call accounts and MMFs'!$E:$E,ROW())/100,--INDEX('Call accounts and MMFs'!$E:$E,ROW())),0)</f>
        <v/>
      </c>
      <c r="O1025">
        <f>IFERROR(--INDEX('Call accounts and MMFs'!$F:$F,ROW()),0)</f>
        <v/>
      </c>
      <c r="P1025">
        <f>IF(ISNUMBER(INDEX('Call accounts and MMFs'!$E:$E,ROW())),1,0)</f>
        <v/>
      </c>
      <c r="Q1025">
        <f>TRIM(SUBSTITUTE(INDEX('Pooled funds'!$B:$B,ROW())&amp;""," "," "))</f>
        <v/>
      </c>
      <c r="R1025">
        <f>IFERROR(--INDEX('Pooled funds'!$C:$C,ROW()),0)</f>
        <v/>
      </c>
      <c r="S1025">
        <f>IFERROR(--INDEX('Pooled funds'!$D:$D,ROW()),0)</f>
        <v/>
      </c>
      <c r="T1025">
        <f>IFERROR(IF(--INDEX('Pooled funds'!$E:$E,ROW())&gt;=1,--INDEX('Pooled funds'!$E:$E,ROW())/100,--INDEX('Pooled funds'!$E:$E,ROW())),0)</f>
        <v/>
      </c>
      <c r="U1025">
        <f>IF(ISNUMBER(INDEX('Pooled funds'!$E:$E,ROW())),1,0)</f>
        <v/>
      </c>
    </row>
    <row r="1026">
      <c r="A1026">
        <f>TRIM(SUBSTITUTE(INDEX('Term investments'!$A:$A,ROW())&amp;""," "," "))</f>
        <v/>
      </c>
      <c r="B1026">
        <f>TRIM(SUBSTITUTE(INDEX('Term investments'!$B:$B,ROW())&amp;""," "," "))</f>
        <v/>
      </c>
      <c r="C1026">
        <f>TRIM(SUBSTITUTE(INDEX('Term investments'!$C:$C,ROW())&amp;""," "," "))</f>
        <v/>
      </c>
      <c r="D1026">
        <f>IFERROR(--INDEX('Term investments'!$D:$D,ROW()),0)</f>
        <v/>
      </c>
      <c r="E1026">
        <f>IFERROR(--INDEX('Term investments'!$E:$E,ROW()),0)</f>
        <v/>
      </c>
      <c r="F1026">
        <f>IFERROR(--INDEX('Term investments'!$F:$F,ROW()),0)</f>
        <v/>
      </c>
      <c r="G1026">
        <f>IFERROR(IF(--INDEX('Term investments'!$G:$G,ROW())&gt;=1,--INDEX('Term investments'!$G:$G,ROW())/100,--INDEX('Term investments'!$G:$G,ROW())),0)</f>
        <v/>
      </c>
      <c r="H1026">
        <f>IFERROR(--INDEX('Term investments'!$H:$H,ROW()),0)</f>
        <v/>
      </c>
      <c r="I1026">
        <f>IF(ISNUMBER(INDEX('Term investments'!$G:$G,ROW())),1,0)</f>
        <v/>
      </c>
      <c r="J1026">
        <f>TRIM(SUBSTITUTE(INDEX('Call accounts and MMFs'!$A:$A,ROW())&amp;""," "," "))</f>
        <v/>
      </c>
      <c r="K1026">
        <f>TRIM(SUBSTITUTE(INDEX('Call accounts and MMFs'!$B:$B,ROW())&amp;""," "," "))</f>
        <v/>
      </c>
      <c r="L1026">
        <f>TRIM(SUBSTITUTE(INDEX('Call accounts and MMFs'!$C:$C,ROW())&amp;""," "," "))</f>
        <v/>
      </c>
      <c r="M1026">
        <f>IFERROR(--INDEX('Call accounts and MMFs'!$D:$D,ROW()),0)</f>
        <v/>
      </c>
      <c r="N1026">
        <f>IFERROR(IF(--INDEX('Call accounts and MMFs'!$E:$E,ROW())&gt;=1,--INDEX('Call accounts and MMFs'!$E:$E,ROW())/100,--INDEX('Call accounts and MMFs'!$E:$E,ROW())),0)</f>
        <v/>
      </c>
      <c r="O1026">
        <f>IFERROR(--INDEX('Call accounts and MMFs'!$F:$F,ROW()),0)</f>
        <v/>
      </c>
      <c r="P1026">
        <f>IF(ISNUMBER(INDEX('Call accounts and MMFs'!$E:$E,ROW())),1,0)</f>
        <v/>
      </c>
      <c r="Q1026">
        <f>TRIM(SUBSTITUTE(INDEX('Pooled funds'!$B:$B,ROW())&amp;""," "," "))</f>
        <v/>
      </c>
      <c r="R1026">
        <f>IFERROR(--INDEX('Pooled funds'!$C:$C,ROW()),0)</f>
        <v/>
      </c>
      <c r="S1026">
        <f>IFERROR(--INDEX('Pooled funds'!$D:$D,ROW()),0)</f>
        <v/>
      </c>
      <c r="T1026">
        <f>IFERROR(IF(--INDEX('Pooled funds'!$E:$E,ROW())&gt;=1,--INDEX('Pooled funds'!$E:$E,ROW())/100,--INDEX('Pooled funds'!$E:$E,ROW())),0)</f>
        <v/>
      </c>
      <c r="U1026">
        <f>IF(ISNUMBER(INDEX('Pooled funds'!$E:$E,ROW())),1,0)</f>
        <v/>
      </c>
    </row>
    <row r="1027">
      <c r="A1027">
        <f>TRIM(SUBSTITUTE(INDEX('Term investments'!$A:$A,ROW())&amp;""," "," "))</f>
        <v/>
      </c>
      <c r="B1027">
        <f>TRIM(SUBSTITUTE(INDEX('Term investments'!$B:$B,ROW())&amp;""," "," "))</f>
        <v/>
      </c>
      <c r="C1027">
        <f>TRIM(SUBSTITUTE(INDEX('Term investments'!$C:$C,ROW())&amp;""," "," "))</f>
        <v/>
      </c>
      <c r="D1027">
        <f>IFERROR(--INDEX('Term investments'!$D:$D,ROW()),0)</f>
        <v/>
      </c>
      <c r="E1027">
        <f>IFERROR(--INDEX('Term investments'!$E:$E,ROW()),0)</f>
        <v/>
      </c>
      <c r="F1027">
        <f>IFERROR(--INDEX('Term investments'!$F:$F,ROW()),0)</f>
        <v/>
      </c>
      <c r="G1027">
        <f>IFERROR(IF(--INDEX('Term investments'!$G:$G,ROW())&gt;=1,--INDEX('Term investments'!$G:$G,ROW())/100,--INDEX('Term investments'!$G:$G,ROW())),0)</f>
        <v/>
      </c>
      <c r="H1027">
        <f>IFERROR(--INDEX('Term investments'!$H:$H,ROW()),0)</f>
        <v/>
      </c>
      <c r="I1027">
        <f>IF(ISNUMBER(INDEX('Term investments'!$G:$G,ROW())),1,0)</f>
        <v/>
      </c>
      <c r="J1027">
        <f>TRIM(SUBSTITUTE(INDEX('Call accounts and MMFs'!$A:$A,ROW())&amp;""," "," "))</f>
        <v/>
      </c>
      <c r="K1027">
        <f>TRIM(SUBSTITUTE(INDEX('Call accounts and MMFs'!$B:$B,ROW())&amp;""," "," "))</f>
        <v/>
      </c>
      <c r="L1027">
        <f>TRIM(SUBSTITUTE(INDEX('Call accounts and MMFs'!$C:$C,ROW())&amp;""," "," "))</f>
        <v/>
      </c>
      <c r="M1027">
        <f>IFERROR(--INDEX('Call accounts and MMFs'!$D:$D,ROW()),0)</f>
        <v/>
      </c>
      <c r="N1027">
        <f>IFERROR(IF(--INDEX('Call accounts and MMFs'!$E:$E,ROW())&gt;=1,--INDEX('Call accounts and MMFs'!$E:$E,ROW())/100,--INDEX('Call accounts and MMFs'!$E:$E,ROW())),0)</f>
        <v/>
      </c>
      <c r="O1027">
        <f>IFERROR(--INDEX('Call accounts and MMFs'!$F:$F,ROW()),0)</f>
        <v/>
      </c>
      <c r="P1027">
        <f>IF(ISNUMBER(INDEX('Call accounts and MMFs'!$E:$E,ROW())),1,0)</f>
        <v/>
      </c>
      <c r="Q1027">
        <f>TRIM(SUBSTITUTE(INDEX('Pooled funds'!$B:$B,ROW())&amp;""," "," "))</f>
        <v/>
      </c>
      <c r="R1027">
        <f>IFERROR(--INDEX('Pooled funds'!$C:$C,ROW()),0)</f>
        <v/>
      </c>
      <c r="S1027">
        <f>IFERROR(--INDEX('Pooled funds'!$D:$D,ROW()),0)</f>
        <v/>
      </c>
      <c r="T1027">
        <f>IFERROR(IF(--INDEX('Pooled funds'!$E:$E,ROW())&gt;=1,--INDEX('Pooled funds'!$E:$E,ROW())/100,--INDEX('Pooled funds'!$E:$E,ROW())),0)</f>
        <v/>
      </c>
      <c r="U1027">
        <f>IF(ISNUMBER(INDEX('Pooled funds'!$E:$E,ROW())),1,0)</f>
        <v/>
      </c>
    </row>
    <row r="1028">
      <c r="A1028">
        <f>TRIM(SUBSTITUTE(INDEX('Term investments'!$A:$A,ROW())&amp;""," "," "))</f>
        <v/>
      </c>
      <c r="B1028">
        <f>TRIM(SUBSTITUTE(INDEX('Term investments'!$B:$B,ROW())&amp;""," "," "))</f>
        <v/>
      </c>
      <c r="C1028">
        <f>TRIM(SUBSTITUTE(INDEX('Term investments'!$C:$C,ROW())&amp;""," "," "))</f>
        <v/>
      </c>
      <c r="D1028">
        <f>IFERROR(--INDEX('Term investments'!$D:$D,ROW()),0)</f>
        <v/>
      </c>
      <c r="E1028">
        <f>IFERROR(--INDEX('Term investments'!$E:$E,ROW()),0)</f>
        <v/>
      </c>
      <c r="F1028">
        <f>IFERROR(--INDEX('Term investments'!$F:$F,ROW()),0)</f>
        <v/>
      </c>
      <c r="G1028">
        <f>IFERROR(IF(--INDEX('Term investments'!$G:$G,ROW())&gt;=1,--INDEX('Term investments'!$G:$G,ROW())/100,--INDEX('Term investments'!$G:$G,ROW())),0)</f>
        <v/>
      </c>
      <c r="H1028">
        <f>IFERROR(--INDEX('Term investments'!$H:$H,ROW()),0)</f>
        <v/>
      </c>
      <c r="I1028">
        <f>IF(ISNUMBER(INDEX('Term investments'!$G:$G,ROW())),1,0)</f>
        <v/>
      </c>
      <c r="J1028">
        <f>TRIM(SUBSTITUTE(INDEX('Call accounts and MMFs'!$A:$A,ROW())&amp;""," "," "))</f>
        <v/>
      </c>
      <c r="K1028">
        <f>TRIM(SUBSTITUTE(INDEX('Call accounts and MMFs'!$B:$B,ROW())&amp;""," "," "))</f>
        <v/>
      </c>
      <c r="L1028">
        <f>TRIM(SUBSTITUTE(INDEX('Call accounts and MMFs'!$C:$C,ROW())&amp;""," "," "))</f>
        <v/>
      </c>
      <c r="M1028">
        <f>IFERROR(--INDEX('Call accounts and MMFs'!$D:$D,ROW()),0)</f>
        <v/>
      </c>
      <c r="N1028">
        <f>IFERROR(IF(--INDEX('Call accounts and MMFs'!$E:$E,ROW())&gt;=1,--INDEX('Call accounts and MMFs'!$E:$E,ROW())/100,--INDEX('Call accounts and MMFs'!$E:$E,ROW())),0)</f>
        <v/>
      </c>
      <c r="O1028">
        <f>IFERROR(--INDEX('Call accounts and MMFs'!$F:$F,ROW()),0)</f>
        <v/>
      </c>
      <c r="P1028">
        <f>IF(ISNUMBER(INDEX('Call accounts and MMFs'!$E:$E,ROW())),1,0)</f>
        <v/>
      </c>
      <c r="Q1028">
        <f>TRIM(SUBSTITUTE(INDEX('Pooled funds'!$B:$B,ROW())&amp;""," "," "))</f>
        <v/>
      </c>
      <c r="R1028">
        <f>IFERROR(--INDEX('Pooled funds'!$C:$C,ROW()),0)</f>
        <v/>
      </c>
      <c r="S1028">
        <f>IFERROR(--INDEX('Pooled funds'!$D:$D,ROW()),0)</f>
        <v/>
      </c>
      <c r="T1028">
        <f>IFERROR(IF(--INDEX('Pooled funds'!$E:$E,ROW())&gt;=1,--INDEX('Pooled funds'!$E:$E,ROW())/100,--INDEX('Pooled funds'!$E:$E,ROW())),0)</f>
        <v/>
      </c>
      <c r="U1028">
        <f>IF(ISNUMBER(INDEX('Pooled funds'!$E:$E,ROW())),1,0)</f>
        <v/>
      </c>
    </row>
    <row r="1029">
      <c r="A1029">
        <f>TRIM(SUBSTITUTE(INDEX('Term investments'!$A:$A,ROW())&amp;""," "," "))</f>
        <v/>
      </c>
      <c r="B1029">
        <f>TRIM(SUBSTITUTE(INDEX('Term investments'!$B:$B,ROW())&amp;""," "," "))</f>
        <v/>
      </c>
      <c r="C1029">
        <f>TRIM(SUBSTITUTE(INDEX('Term investments'!$C:$C,ROW())&amp;""," "," "))</f>
        <v/>
      </c>
      <c r="D1029">
        <f>IFERROR(--INDEX('Term investments'!$D:$D,ROW()),0)</f>
        <v/>
      </c>
      <c r="E1029">
        <f>IFERROR(--INDEX('Term investments'!$E:$E,ROW()),0)</f>
        <v/>
      </c>
      <c r="F1029">
        <f>IFERROR(--INDEX('Term investments'!$F:$F,ROW()),0)</f>
        <v/>
      </c>
      <c r="G1029">
        <f>IFERROR(IF(--INDEX('Term investments'!$G:$G,ROW())&gt;=1,--INDEX('Term investments'!$G:$G,ROW())/100,--INDEX('Term investments'!$G:$G,ROW())),0)</f>
        <v/>
      </c>
      <c r="H1029">
        <f>IFERROR(--INDEX('Term investments'!$H:$H,ROW()),0)</f>
        <v/>
      </c>
      <c r="I1029">
        <f>IF(ISNUMBER(INDEX('Term investments'!$G:$G,ROW())),1,0)</f>
        <v/>
      </c>
      <c r="J1029">
        <f>TRIM(SUBSTITUTE(INDEX('Call accounts and MMFs'!$A:$A,ROW())&amp;""," "," "))</f>
        <v/>
      </c>
      <c r="K1029">
        <f>TRIM(SUBSTITUTE(INDEX('Call accounts and MMFs'!$B:$B,ROW())&amp;""," "," "))</f>
        <v/>
      </c>
      <c r="L1029">
        <f>TRIM(SUBSTITUTE(INDEX('Call accounts and MMFs'!$C:$C,ROW())&amp;""," "," "))</f>
        <v/>
      </c>
      <c r="M1029">
        <f>IFERROR(--INDEX('Call accounts and MMFs'!$D:$D,ROW()),0)</f>
        <v/>
      </c>
      <c r="N1029">
        <f>IFERROR(IF(--INDEX('Call accounts and MMFs'!$E:$E,ROW())&gt;=1,--INDEX('Call accounts and MMFs'!$E:$E,ROW())/100,--INDEX('Call accounts and MMFs'!$E:$E,ROW())),0)</f>
        <v/>
      </c>
      <c r="O1029">
        <f>IFERROR(--INDEX('Call accounts and MMFs'!$F:$F,ROW()),0)</f>
        <v/>
      </c>
      <c r="P1029">
        <f>IF(ISNUMBER(INDEX('Call accounts and MMFs'!$E:$E,ROW())),1,0)</f>
        <v/>
      </c>
      <c r="Q1029">
        <f>TRIM(SUBSTITUTE(INDEX('Pooled funds'!$B:$B,ROW())&amp;""," "," "))</f>
        <v/>
      </c>
      <c r="R1029">
        <f>IFERROR(--INDEX('Pooled funds'!$C:$C,ROW()),0)</f>
        <v/>
      </c>
      <c r="S1029">
        <f>IFERROR(--INDEX('Pooled funds'!$D:$D,ROW()),0)</f>
        <v/>
      </c>
      <c r="T1029">
        <f>IFERROR(IF(--INDEX('Pooled funds'!$E:$E,ROW())&gt;=1,--INDEX('Pooled funds'!$E:$E,ROW())/100,--INDEX('Pooled funds'!$E:$E,ROW())),0)</f>
        <v/>
      </c>
      <c r="U1029">
        <f>IF(ISNUMBER(INDEX('Pooled funds'!$E:$E,ROW())),1,0)</f>
        <v/>
      </c>
    </row>
    <row r="1030">
      <c r="A1030">
        <f>TRIM(SUBSTITUTE(INDEX('Term investments'!$A:$A,ROW())&amp;""," "," "))</f>
        <v/>
      </c>
      <c r="B1030">
        <f>TRIM(SUBSTITUTE(INDEX('Term investments'!$B:$B,ROW())&amp;""," "," "))</f>
        <v/>
      </c>
      <c r="C1030">
        <f>TRIM(SUBSTITUTE(INDEX('Term investments'!$C:$C,ROW())&amp;""," "," "))</f>
        <v/>
      </c>
      <c r="D1030">
        <f>IFERROR(--INDEX('Term investments'!$D:$D,ROW()),0)</f>
        <v/>
      </c>
      <c r="E1030">
        <f>IFERROR(--INDEX('Term investments'!$E:$E,ROW()),0)</f>
        <v/>
      </c>
      <c r="F1030">
        <f>IFERROR(--INDEX('Term investments'!$F:$F,ROW()),0)</f>
        <v/>
      </c>
      <c r="G1030">
        <f>IFERROR(IF(--INDEX('Term investments'!$G:$G,ROW())&gt;=1,--INDEX('Term investments'!$G:$G,ROW())/100,--INDEX('Term investments'!$G:$G,ROW())),0)</f>
        <v/>
      </c>
      <c r="H1030">
        <f>IFERROR(--INDEX('Term investments'!$H:$H,ROW()),0)</f>
        <v/>
      </c>
      <c r="I1030">
        <f>IF(ISNUMBER(INDEX('Term investments'!$G:$G,ROW())),1,0)</f>
        <v/>
      </c>
      <c r="J1030">
        <f>TRIM(SUBSTITUTE(INDEX('Call accounts and MMFs'!$A:$A,ROW())&amp;""," "," "))</f>
        <v/>
      </c>
      <c r="K1030">
        <f>TRIM(SUBSTITUTE(INDEX('Call accounts and MMFs'!$B:$B,ROW())&amp;""," "," "))</f>
        <v/>
      </c>
      <c r="L1030">
        <f>TRIM(SUBSTITUTE(INDEX('Call accounts and MMFs'!$C:$C,ROW())&amp;""," "," "))</f>
        <v/>
      </c>
      <c r="M1030">
        <f>IFERROR(--INDEX('Call accounts and MMFs'!$D:$D,ROW()),0)</f>
        <v/>
      </c>
      <c r="N1030">
        <f>IFERROR(IF(--INDEX('Call accounts and MMFs'!$E:$E,ROW())&gt;=1,--INDEX('Call accounts and MMFs'!$E:$E,ROW())/100,--INDEX('Call accounts and MMFs'!$E:$E,ROW())),0)</f>
        <v/>
      </c>
      <c r="O1030">
        <f>IFERROR(--INDEX('Call accounts and MMFs'!$F:$F,ROW()),0)</f>
        <v/>
      </c>
      <c r="P1030">
        <f>IF(ISNUMBER(INDEX('Call accounts and MMFs'!$E:$E,ROW())),1,0)</f>
        <v/>
      </c>
      <c r="Q1030">
        <f>TRIM(SUBSTITUTE(INDEX('Pooled funds'!$B:$B,ROW())&amp;""," "," "))</f>
        <v/>
      </c>
      <c r="R1030">
        <f>IFERROR(--INDEX('Pooled funds'!$C:$C,ROW()),0)</f>
        <v/>
      </c>
      <c r="S1030">
        <f>IFERROR(--INDEX('Pooled funds'!$D:$D,ROW()),0)</f>
        <v/>
      </c>
      <c r="T1030">
        <f>IFERROR(IF(--INDEX('Pooled funds'!$E:$E,ROW())&gt;=1,--INDEX('Pooled funds'!$E:$E,ROW())/100,--INDEX('Pooled funds'!$E:$E,ROW())),0)</f>
        <v/>
      </c>
      <c r="U1030">
        <f>IF(ISNUMBER(INDEX('Pooled funds'!$E:$E,ROW())),1,0)</f>
        <v/>
      </c>
    </row>
    <row r="1031">
      <c r="A1031">
        <f>TRIM(SUBSTITUTE(INDEX('Term investments'!$A:$A,ROW())&amp;""," "," "))</f>
        <v/>
      </c>
      <c r="B1031">
        <f>TRIM(SUBSTITUTE(INDEX('Term investments'!$B:$B,ROW())&amp;""," "," "))</f>
        <v/>
      </c>
      <c r="C1031">
        <f>TRIM(SUBSTITUTE(INDEX('Term investments'!$C:$C,ROW())&amp;""," "," "))</f>
        <v/>
      </c>
      <c r="D1031">
        <f>IFERROR(--INDEX('Term investments'!$D:$D,ROW()),0)</f>
        <v/>
      </c>
      <c r="E1031">
        <f>IFERROR(--INDEX('Term investments'!$E:$E,ROW()),0)</f>
        <v/>
      </c>
      <c r="F1031">
        <f>IFERROR(--INDEX('Term investments'!$F:$F,ROW()),0)</f>
        <v/>
      </c>
      <c r="G1031">
        <f>IFERROR(IF(--INDEX('Term investments'!$G:$G,ROW())&gt;=1,--INDEX('Term investments'!$G:$G,ROW())/100,--INDEX('Term investments'!$G:$G,ROW())),0)</f>
        <v/>
      </c>
      <c r="H1031">
        <f>IFERROR(--INDEX('Term investments'!$H:$H,ROW()),0)</f>
        <v/>
      </c>
      <c r="I1031">
        <f>IF(ISNUMBER(INDEX('Term investments'!$G:$G,ROW())),1,0)</f>
        <v/>
      </c>
      <c r="J1031">
        <f>TRIM(SUBSTITUTE(INDEX('Call accounts and MMFs'!$A:$A,ROW())&amp;""," "," "))</f>
        <v/>
      </c>
      <c r="K1031">
        <f>TRIM(SUBSTITUTE(INDEX('Call accounts and MMFs'!$B:$B,ROW())&amp;""," "," "))</f>
        <v/>
      </c>
      <c r="L1031">
        <f>TRIM(SUBSTITUTE(INDEX('Call accounts and MMFs'!$C:$C,ROW())&amp;""," "," "))</f>
        <v/>
      </c>
      <c r="M1031">
        <f>IFERROR(--INDEX('Call accounts and MMFs'!$D:$D,ROW()),0)</f>
        <v/>
      </c>
      <c r="N1031">
        <f>IFERROR(IF(--INDEX('Call accounts and MMFs'!$E:$E,ROW())&gt;=1,--INDEX('Call accounts and MMFs'!$E:$E,ROW())/100,--INDEX('Call accounts and MMFs'!$E:$E,ROW())),0)</f>
        <v/>
      </c>
      <c r="O1031">
        <f>IFERROR(--INDEX('Call accounts and MMFs'!$F:$F,ROW()),0)</f>
        <v/>
      </c>
      <c r="P1031">
        <f>IF(ISNUMBER(INDEX('Call accounts and MMFs'!$E:$E,ROW())),1,0)</f>
        <v/>
      </c>
      <c r="Q1031">
        <f>TRIM(SUBSTITUTE(INDEX('Pooled funds'!$B:$B,ROW())&amp;""," "," "))</f>
        <v/>
      </c>
      <c r="R1031">
        <f>IFERROR(--INDEX('Pooled funds'!$C:$C,ROW()),0)</f>
        <v/>
      </c>
      <c r="S1031">
        <f>IFERROR(--INDEX('Pooled funds'!$D:$D,ROW()),0)</f>
        <v/>
      </c>
      <c r="T1031">
        <f>IFERROR(IF(--INDEX('Pooled funds'!$E:$E,ROW())&gt;=1,--INDEX('Pooled funds'!$E:$E,ROW())/100,--INDEX('Pooled funds'!$E:$E,ROW())),0)</f>
        <v/>
      </c>
      <c r="U1031">
        <f>IF(ISNUMBER(INDEX('Pooled funds'!$E:$E,ROW())),1,0)</f>
        <v/>
      </c>
    </row>
    <row r="1032">
      <c r="A1032">
        <f>TRIM(SUBSTITUTE(INDEX('Term investments'!$A:$A,ROW())&amp;""," "," "))</f>
        <v/>
      </c>
      <c r="B1032">
        <f>TRIM(SUBSTITUTE(INDEX('Term investments'!$B:$B,ROW())&amp;""," "," "))</f>
        <v/>
      </c>
      <c r="C1032">
        <f>TRIM(SUBSTITUTE(INDEX('Term investments'!$C:$C,ROW())&amp;""," "," "))</f>
        <v/>
      </c>
      <c r="D1032">
        <f>IFERROR(--INDEX('Term investments'!$D:$D,ROW()),0)</f>
        <v/>
      </c>
      <c r="E1032">
        <f>IFERROR(--INDEX('Term investments'!$E:$E,ROW()),0)</f>
        <v/>
      </c>
      <c r="F1032">
        <f>IFERROR(--INDEX('Term investments'!$F:$F,ROW()),0)</f>
        <v/>
      </c>
      <c r="G1032">
        <f>IFERROR(IF(--INDEX('Term investments'!$G:$G,ROW())&gt;=1,--INDEX('Term investments'!$G:$G,ROW())/100,--INDEX('Term investments'!$G:$G,ROW())),0)</f>
        <v/>
      </c>
      <c r="H1032">
        <f>IFERROR(--INDEX('Term investments'!$H:$H,ROW()),0)</f>
        <v/>
      </c>
      <c r="I1032">
        <f>IF(ISNUMBER(INDEX('Term investments'!$G:$G,ROW())),1,0)</f>
        <v/>
      </c>
      <c r="J1032">
        <f>TRIM(SUBSTITUTE(INDEX('Call accounts and MMFs'!$A:$A,ROW())&amp;""," "," "))</f>
        <v/>
      </c>
      <c r="K1032">
        <f>TRIM(SUBSTITUTE(INDEX('Call accounts and MMFs'!$B:$B,ROW())&amp;""," "," "))</f>
        <v/>
      </c>
      <c r="L1032">
        <f>TRIM(SUBSTITUTE(INDEX('Call accounts and MMFs'!$C:$C,ROW())&amp;""," "," "))</f>
        <v/>
      </c>
      <c r="M1032">
        <f>IFERROR(--INDEX('Call accounts and MMFs'!$D:$D,ROW()),0)</f>
        <v/>
      </c>
      <c r="N1032">
        <f>IFERROR(IF(--INDEX('Call accounts and MMFs'!$E:$E,ROW())&gt;=1,--INDEX('Call accounts and MMFs'!$E:$E,ROW())/100,--INDEX('Call accounts and MMFs'!$E:$E,ROW())),0)</f>
        <v/>
      </c>
      <c r="O1032">
        <f>IFERROR(--INDEX('Call accounts and MMFs'!$F:$F,ROW()),0)</f>
        <v/>
      </c>
      <c r="P1032">
        <f>IF(ISNUMBER(INDEX('Call accounts and MMFs'!$E:$E,ROW())),1,0)</f>
        <v/>
      </c>
      <c r="Q1032">
        <f>TRIM(SUBSTITUTE(INDEX('Pooled funds'!$B:$B,ROW())&amp;""," "," "))</f>
        <v/>
      </c>
      <c r="R1032">
        <f>IFERROR(--INDEX('Pooled funds'!$C:$C,ROW()),0)</f>
        <v/>
      </c>
      <c r="S1032">
        <f>IFERROR(--INDEX('Pooled funds'!$D:$D,ROW()),0)</f>
        <v/>
      </c>
      <c r="T1032">
        <f>IFERROR(IF(--INDEX('Pooled funds'!$E:$E,ROW())&gt;=1,--INDEX('Pooled funds'!$E:$E,ROW())/100,--INDEX('Pooled funds'!$E:$E,ROW())),0)</f>
        <v/>
      </c>
      <c r="U1032">
        <f>IF(ISNUMBER(INDEX('Pooled funds'!$E:$E,ROW())),1,0)</f>
        <v/>
      </c>
    </row>
    <row r="1033">
      <c r="A1033">
        <f>TRIM(SUBSTITUTE(INDEX('Term investments'!$A:$A,ROW())&amp;""," "," "))</f>
        <v/>
      </c>
      <c r="B1033">
        <f>TRIM(SUBSTITUTE(INDEX('Term investments'!$B:$B,ROW())&amp;""," "," "))</f>
        <v/>
      </c>
      <c r="C1033">
        <f>TRIM(SUBSTITUTE(INDEX('Term investments'!$C:$C,ROW())&amp;""," "," "))</f>
        <v/>
      </c>
      <c r="D1033">
        <f>IFERROR(--INDEX('Term investments'!$D:$D,ROW()),0)</f>
        <v/>
      </c>
      <c r="E1033">
        <f>IFERROR(--INDEX('Term investments'!$E:$E,ROW()),0)</f>
        <v/>
      </c>
      <c r="F1033">
        <f>IFERROR(--INDEX('Term investments'!$F:$F,ROW()),0)</f>
        <v/>
      </c>
      <c r="G1033">
        <f>IFERROR(IF(--INDEX('Term investments'!$G:$G,ROW())&gt;=1,--INDEX('Term investments'!$G:$G,ROW())/100,--INDEX('Term investments'!$G:$G,ROW())),0)</f>
        <v/>
      </c>
      <c r="H1033">
        <f>IFERROR(--INDEX('Term investments'!$H:$H,ROW()),0)</f>
        <v/>
      </c>
      <c r="I1033">
        <f>IF(ISNUMBER(INDEX('Term investments'!$G:$G,ROW())),1,0)</f>
        <v/>
      </c>
      <c r="J1033">
        <f>TRIM(SUBSTITUTE(INDEX('Call accounts and MMFs'!$A:$A,ROW())&amp;""," "," "))</f>
        <v/>
      </c>
      <c r="K1033">
        <f>TRIM(SUBSTITUTE(INDEX('Call accounts and MMFs'!$B:$B,ROW())&amp;""," "," "))</f>
        <v/>
      </c>
      <c r="L1033">
        <f>TRIM(SUBSTITUTE(INDEX('Call accounts and MMFs'!$C:$C,ROW())&amp;""," "," "))</f>
        <v/>
      </c>
      <c r="M1033">
        <f>IFERROR(--INDEX('Call accounts and MMFs'!$D:$D,ROW()),0)</f>
        <v/>
      </c>
      <c r="N1033">
        <f>IFERROR(IF(--INDEX('Call accounts and MMFs'!$E:$E,ROW())&gt;=1,--INDEX('Call accounts and MMFs'!$E:$E,ROW())/100,--INDEX('Call accounts and MMFs'!$E:$E,ROW())),0)</f>
        <v/>
      </c>
      <c r="O1033">
        <f>IFERROR(--INDEX('Call accounts and MMFs'!$F:$F,ROW()),0)</f>
        <v/>
      </c>
      <c r="P1033">
        <f>IF(ISNUMBER(INDEX('Call accounts and MMFs'!$E:$E,ROW())),1,0)</f>
        <v/>
      </c>
      <c r="Q1033">
        <f>TRIM(SUBSTITUTE(INDEX('Pooled funds'!$B:$B,ROW())&amp;""," "," "))</f>
        <v/>
      </c>
      <c r="R1033">
        <f>IFERROR(--INDEX('Pooled funds'!$C:$C,ROW()),0)</f>
        <v/>
      </c>
      <c r="S1033">
        <f>IFERROR(--INDEX('Pooled funds'!$D:$D,ROW()),0)</f>
        <v/>
      </c>
      <c r="T1033">
        <f>IFERROR(IF(--INDEX('Pooled funds'!$E:$E,ROW())&gt;=1,--INDEX('Pooled funds'!$E:$E,ROW())/100,--INDEX('Pooled funds'!$E:$E,ROW())),0)</f>
        <v/>
      </c>
      <c r="U1033">
        <f>IF(ISNUMBER(INDEX('Pooled funds'!$E:$E,ROW())),1,0)</f>
        <v/>
      </c>
    </row>
    <row r="1034">
      <c r="A1034">
        <f>TRIM(SUBSTITUTE(INDEX('Term investments'!$A:$A,ROW())&amp;""," "," "))</f>
        <v/>
      </c>
      <c r="B1034">
        <f>TRIM(SUBSTITUTE(INDEX('Term investments'!$B:$B,ROW())&amp;""," "," "))</f>
        <v/>
      </c>
      <c r="C1034">
        <f>TRIM(SUBSTITUTE(INDEX('Term investments'!$C:$C,ROW())&amp;""," "," "))</f>
        <v/>
      </c>
      <c r="D1034">
        <f>IFERROR(--INDEX('Term investments'!$D:$D,ROW()),0)</f>
        <v/>
      </c>
      <c r="E1034">
        <f>IFERROR(--INDEX('Term investments'!$E:$E,ROW()),0)</f>
        <v/>
      </c>
      <c r="F1034">
        <f>IFERROR(--INDEX('Term investments'!$F:$F,ROW()),0)</f>
        <v/>
      </c>
      <c r="G1034">
        <f>IFERROR(IF(--INDEX('Term investments'!$G:$G,ROW())&gt;=1,--INDEX('Term investments'!$G:$G,ROW())/100,--INDEX('Term investments'!$G:$G,ROW())),0)</f>
        <v/>
      </c>
      <c r="H1034">
        <f>IFERROR(--INDEX('Term investments'!$H:$H,ROW()),0)</f>
        <v/>
      </c>
      <c r="I1034">
        <f>IF(ISNUMBER(INDEX('Term investments'!$G:$G,ROW())),1,0)</f>
        <v/>
      </c>
      <c r="J1034">
        <f>TRIM(SUBSTITUTE(INDEX('Call accounts and MMFs'!$A:$A,ROW())&amp;""," "," "))</f>
        <v/>
      </c>
      <c r="K1034">
        <f>TRIM(SUBSTITUTE(INDEX('Call accounts and MMFs'!$B:$B,ROW())&amp;""," "," "))</f>
        <v/>
      </c>
      <c r="L1034">
        <f>TRIM(SUBSTITUTE(INDEX('Call accounts and MMFs'!$C:$C,ROW())&amp;""," "," "))</f>
        <v/>
      </c>
      <c r="M1034">
        <f>IFERROR(--INDEX('Call accounts and MMFs'!$D:$D,ROW()),0)</f>
        <v/>
      </c>
      <c r="N1034">
        <f>IFERROR(IF(--INDEX('Call accounts and MMFs'!$E:$E,ROW())&gt;=1,--INDEX('Call accounts and MMFs'!$E:$E,ROW())/100,--INDEX('Call accounts and MMFs'!$E:$E,ROW())),0)</f>
        <v/>
      </c>
      <c r="O1034">
        <f>IFERROR(--INDEX('Call accounts and MMFs'!$F:$F,ROW()),0)</f>
        <v/>
      </c>
      <c r="P1034">
        <f>IF(ISNUMBER(INDEX('Call accounts and MMFs'!$E:$E,ROW())),1,0)</f>
        <v/>
      </c>
      <c r="Q1034">
        <f>TRIM(SUBSTITUTE(INDEX('Pooled funds'!$B:$B,ROW())&amp;""," "," "))</f>
        <v/>
      </c>
      <c r="R1034">
        <f>IFERROR(--INDEX('Pooled funds'!$C:$C,ROW()),0)</f>
        <v/>
      </c>
      <c r="S1034">
        <f>IFERROR(--INDEX('Pooled funds'!$D:$D,ROW()),0)</f>
        <v/>
      </c>
      <c r="T1034">
        <f>IFERROR(IF(--INDEX('Pooled funds'!$E:$E,ROW())&gt;=1,--INDEX('Pooled funds'!$E:$E,ROW())/100,--INDEX('Pooled funds'!$E:$E,ROW())),0)</f>
        <v/>
      </c>
      <c r="U1034">
        <f>IF(ISNUMBER(INDEX('Pooled funds'!$E:$E,ROW())),1,0)</f>
        <v/>
      </c>
    </row>
    <row r="1035">
      <c r="A1035">
        <f>TRIM(SUBSTITUTE(INDEX('Term investments'!$A:$A,ROW())&amp;""," "," "))</f>
        <v/>
      </c>
      <c r="B1035">
        <f>TRIM(SUBSTITUTE(INDEX('Term investments'!$B:$B,ROW())&amp;""," "," "))</f>
        <v/>
      </c>
      <c r="C1035">
        <f>TRIM(SUBSTITUTE(INDEX('Term investments'!$C:$C,ROW())&amp;""," "," "))</f>
        <v/>
      </c>
      <c r="D1035">
        <f>IFERROR(--INDEX('Term investments'!$D:$D,ROW()),0)</f>
        <v/>
      </c>
      <c r="E1035">
        <f>IFERROR(--INDEX('Term investments'!$E:$E,ROW()),0)</f>
        <v/>
      </c>
      <c r="F1035">
        <f>IFERROR(--INDEX('Term investments'!$F:$F,ROW()),0)</f>
        <v/>
      </c>
      <c r="G1035">
        <f>IFERROR(IF(--INDEX('Term investments'!$G:$G,ROW())&gt;=1,--INDEX('Term investments'!$G:$G,ROW())/100,--INDEX('Term investments'!$G:$G,ROW())),0)</f>
        <v/>
      </c>
      <c r="H1035">
        <f>IFERROR(--INDEX('Term investments'!$H:$H,ROW()),0)</f>
        <v/>
      </c>
      <c r="I1035">
        <f>IF(ISNUMBER(INDEX('Term investments'!$G:$G,ROW())),1,0)</f>
        <v/>
      </c>
      <c r="J1035">
        <f>TRIM(SUBSTITUTE(INDEX('Call accounts and MMFs'!$A:$A,ROW())&amp;""," "," "))</f>
        <v/>
      </c>
      <c r="K1035">
        <f>TRIM(SUBSTITUTE(INDEX('Call accounts and MMFs'!$B:$B,ROW())&amp;""," "," "))</f>
        <v/>
      </c>
      <c r="L1035">
        <f>TRIM(SUBSTITUTE(INDEX('Call accounts and MMFs'!$C:$C,ROW())&amp;""," "," "))</f>
        <v/>
      </c>
      <c r="M1035">
        <f>IFERROR(--INDEX('Call accounts and MMFs'!$D:$D,ROW()),0)</f>
        <v/>
      </c>
      <c r="N1035">
        <f>IFERROR(IF(--INDEX('Call accounts and MMFs'!$E:$E,ROW())&gt;=1,--INDEX('Call accounts and MMFs'!$E:$E,ROW())/100,--INDEX('Call accounts and MMFs'!$E:$E,ROW())),0)</f>
        <v/>
      </c>
      <c r="O1035">
        <f>IFERROR(--INDEX('Call accounts and MMFs'!$F:$F,ROW()),0)</f>
        <v/>
      </c>
      <c r="P1035">
        <f>IF(ISNUMBER(INDEX('Call accounts and MMFs'!$E:$E,ROW())),1,0)</f>
        <v/>
      </c>
      <c r="Q1035">
        <f>TRIM(SUBSTITUTE(INDEX('Pooled funds'!$B:$B,ROW())&amp;""," "," "))</f>
        <v/>
      </c>
      <c r="R1035">
        <f>IFERROR(--INDEX('Pooled funds'!$C:$C,ROW()),0)</f>
        <v/>
      </c>
      <c r="S1035">
        <f>IFERROR(--INDEX('Pooled funds'!$D:$D,ROW()),0)</f>
        <v/>
      </c>
      <c r="T1035">
        <f>IFERROR(IF(--INDEX('Pooled funds'!$E:$E,ROW())&gt;=1,--INDEX('Pooled funds'!$E:$E,ROW())/100,--INDEX('Pooled funds'!$E:$E,ROW())),0)</f>
        <v/>
      </c>
      <c r="U1035">
        <f>IF(ISNUMBER(INDEX('Pooled funds'!$E:$E,ROW())),1,0)</f>
        <v/>
      </c>
    </row>
    <row r="1036">
      <c r="A1036">
        <f>TRIM(SUBSTITUTE(INDEX('Term investments'!$A:$A,ROW())&amp;""," "," "))</f>
        <v/>
      </c>
      <c r="B1036">
        <f>TRIM(SUBSTITUTE(INDEX('Term investments'!$B:$B,ROW())&amp;""," "," "))</f>
        <v/>
      </c>
      <c r="C1036">
        <f>TRIM(SUBSTITUTE(INDEX('Term investments'!$C:$C,ROW())&amp;""," "," "))</f>
        <v/>
      </c>
      <c r="D1036">
        <f>IFERROR(--INDEX('Term investments'!$D:$D,ROW()),0)</f>
        <v/>
      </c>
      <c r="E1036">
        <f>IFERROR(--INDEX('Term investments'!$E:$E,ROW()),0)</f>
        <v/>
      </c>
      <c r="F1036">
        <f>IFERROR(--INDEX('Term investments'!$F:$F,ROW()),0)</f>
        <v/>
      </c>
      <c r="G1036">
        <f>IFERROR(IF(--INDEX('Term investments'!$G:$G,ROW())&gt;=1,--INDEX('Term investments'!$G:$G,ROW())/100,--INDEX('Term investments'!$G:$G,ROW())),0)</f>
        <v/>
      </c>
      <c r="H1036">
        <f>IFERROR(--INDEX('Term investments'!$H:$H,ROW()),0)</f>
        <v/>
      </c>
      <c r="I1036">
        <f>IF(ISNUMBER(INDEX('Term investments'!$G:$G,ROW())),1,0)</f>
        <v/>
      </c>
      <c r="J1036">
        <f>TRIM(SUBSTITUTE(INDEX('Call accounts and MMFs'!$A:$A,ROW())&amp;""," "," "))</f>
        <v/>
      </c>
      <c r="K1036">
        <f>TRIM(SUBSTITUTE(INDEX('Call accounts and MMFs'!$B:$B,ROW())&amp;""," "," "))</f>
        <v/>
      </c>
      <c r="L1036">
        <f>TRIM(SUBSTITUTE(INDEX('Call accounts and MMFs'!$C:$C,ROW())&amp;""," "," "))</f>
        <v/>
      </c>
      <c r="M1036">
        <f>IFERROR(--INDEX('Call accounts and MMFs'!$D:$D,ROW()),0)</f>
        <v/>
      </c>
      <c r="N1036">
        <f>IFERROR(IF(--INDEX('Call accounts and MMFs'!$E:$E,ROW())&gt;=1,--INDEX('Call accounts and MMFs'!$E:$E,ROW())/100,--INDEX('Call accounts and MMFs'!$E:$E,ROW())),0)</f>
        <v/>
      </c>
      <c r="O1036">
        <f>IFERROR(--INDEX('Call accounts and MMFs'!$F:$F,ROW()),0)</f>
        <v/>
      </c>
      <c r="P1036">
        <f>IF(ISNUMBER(INDEX('Call accounts and MMFs'!$E:$E,ROW())),1,0)</f>
        <v/>
      </c>
      <c r="Q1036">
        <f>TRIM(SUBSTITUTE(INDEX('Pooled funds'!$B:$B,ROW())&amp;""," "," "))</f>
        <v/>
      </c>
      <c r="R1036">
        <f>IFERROR(--INDEX('Pooled funds'!$C:$C,ROW()),0)</f>
        <v/>
      </c>
      <c r="S1036">
        <f>IFERROR(--INDEX('Pooled funds'!$D:$D,ROW()),0)</f>
        <v/>
      </c>
      <c r="T1036">
        <f>IFERROR(IF(--INDEX('Pooled funds'!$E:$E,ROW())&gt;=1,--INDEX('Pooled funds'!$E:$E,ROW())/100,--INDEX('Pooled funds'!$E:$E,ROW())),0)</f>
        <v/>
      </c>
      <c r="U1036">
        <f>IF(ISNUMBER(INDEX('Pooled funds'!$E:$E,ROW())),1,0)</f>
        <v/>
      </c>
    </row>
    <row r="1037">
      <c r="A1037">
        <f>TRIM(SUBSTITUTE(INDEX('Term investments'!$A:$A,ROW())&amp;""," "," "))</f>
        <v/>
      </c>
      <c r="B1037">
        <f>TRIM(SUBSTITUTE(INDEX('Term investments'!$B:$B,ROW())&amp;""," "," "))</f>
        <v/>
      </c>
      <c r="C1037">
        <f>TRIM(SUBSTITUTE(INDEX('Term investments'!$C:$C,ROW())&amp;""," "," "))</f>
        <v/>
      </c>
      <c r="D1037">
        <f>IFERROR(--INDEX('Term investments'!$D:$D,ROW()),0)</f>
        <v/>
      </c>
      <c r="E1037">
        <f>IFERROR(--INDEX('Term investments'!$E:$E,ROW()),0)</f>
        <v/>
      </c>
      <c r="F1037">
        <f>IFERROR(--INDEX('Term investments'!$F:$F,ROW()),0)</f>
        <v/>
      </c>
      <c r="G1037">
        <f>IFERROR(IF(--INDEX('Term investments'!$G:$G,ROW())&gt;=1,--INDEX('Term investments'!$G:$G,ROW())/100,--INDEX('Term investments'!$G:$G,ROW())),0)</f>
        <v/>
      </c>
      <c r="H1037">
        <f>IFERROR(--INDEX('Term investments'!$H:$H,ROW()),0)</f>
        <v/>
      </c>
      <c r="I1037">
        <f>IF(ISNUMBER(INDEX('Term investments'!$G:$G,ROW())),1,0)</f>
        <v/>
      </c>
      <c r="J1037">
        <f>TRIM(SUBSTITUTE(INDEX('Call accounts and MMFs'!$A:$A,ROW())&amp;""," "," "))</f>
        <v/>
      </c>
      <c r="K1037">
        <f>TRIM(SUBSTITUTE(INDEX('Call accounts and MMFs'!$B:$B,ROW())&amp;""," "," "))</f>
        <v/>
      </c>
      <c r="L1037">
        <f>TRIM(SUBSTITUTE(INDEX('Call accounts and MMFs'!$C:$C,ROW())&amp;""," "," "))</f>
        <v/>
      </c>
      <c r="M1037">
        <f>IFERROR(--INDEX('Call accounts and MMFs'!$D:$D,ROW()),0)</f>
        <v/>
      </c>
      <c r="N1037">
        <f>IFERROR(IF(--INDEX('Call accounts and MMFs'!$E:$E,ROW())&gt;=1,--INDEX('Call accounts and MMFs'!$E:$E,ROW())/100,--INDEX('Call accounts and MMFs'!$E:$E,ROW())),0)</f>
        <v/>
      </c>
      <c r="O1037">
        <f>IFERROR(--INDEX('Call accounts and MMFs'!$F:$F,ROW()),0)</f>
        <v/>
      </c>
      <c r="P1037">
        <f>IF(ISNUMBER(INDEX('Call accounts and MMFs'!$E:$E,ROW())),1,0)</f>
        <v/>
      </c>
      <c r="Q1037">
        <f>TRIM(SUBSTITUTE(INDEX('Pooled funds'!$B:$B,ROW())&amp;""," "," "))</f>
        <v/>
      </c>
      <c r="R1037">
        <f>IFERROR(--INDEX('Pooled funds'!$C:$C,ROW()),0)</f>
        <v/>
      </c>
      <c r="S1037">
        <f>IFERROR(--INDEX('Pooled funds'!$D:$D,ROW()),0)</f>
        <v/>
      </c>
      <c r="T1037">
        <f>IFERROR(IF(--INDEX('Pooled funds'!$E:$E,ROW())&gt;=1,--INDEX('Pooled funds'!$E:$E,ROW())/100,--INDEX('Pooled funds'!$E:$E,ROW())),0)</f>
        <v/>
      </c>
      <c r="U1037">
        <f>IF(ISNUMBER(INDEX('Pooled funds'!$E:$E,ROW())),1,0)</f>
        <v/>
      </c>
    </row>
    <row r="1038">
      <c r="A1038">
        <f>TRIM(SUBSTITUTE(INDEX('Term investments'!$A:$A,ROW())&amp;""," "," "))</f>
        <v/>
      </c>
      <c r="B1038">
        <f>TRIM(SUBSTITUTE(INDEX('Term investments'!$B:$B,ROW())&amp;""," "," "))</f>
        <v/>
      </c>
      <c r="C1038">
        <f>TRIM(SUBSTITUTE(INDEX('Term investments'!$C:$C,ROW())&amp;""," "," "))</f>
        <v/>
      </c>
      <c r="D1038">
        <f>IFERROR(--INDEX('Term investments'!$D:$D,ROW()),0)</f>
        <v/>
      </c>
      <c r="E1038">
        <f>IFERROR(--INDEX('Term investments'!$E:$E,ROW()),0)</f>
        <v/>
      </c>
      <c r="F1038">
        <f>IFERROR(--INDEX('Term investments'!$F:$F,ROW()),0)</f>
        <v/>
      </c>
      <c r="G1038">
        <f>IFERROR(IF(--INDEX('Term investments'!$G:$G,ROW())&gt;=1,--INDEX('Term investments'!$G:$G,ROW())/100,--INDEX('Term investments'!$G:$G,ROW())),0)</f>
        <v/>
      </c>
      <c r="H1038">
        <f>IFERROR(--INDEX('Term investments'!$H:$H,ROW()),0)</f>
        <v/>
      </c>
      <c r="I1038">
        <f>IF(ISNUMBER(INDEX('Term investments'!$G:$G,ROW())),1,0)</f>
        <v/>
      </c>
      <c r="J1038">
        <f>TRIM(SUBSTITUTE(INDEX('Call accounts and MMFs'!$A:$A,ROW())&amp;""," "," "))</f>
        <v/>
      </c>
      <c r="K1038">
        <f>TRIM(SUBSTITUTE(INDEX('Call accounts and MMFs'!$B:$B,ROW())&amp;""," "," "))</f>
        <v/>
      </c>
      <c r="L1038">
        <f>TRIM(SUBSTITUTE(INDEX('Call accounts and MMFs'!$C:$C,ROW())&amp;""," "," "))</f>
        <v/>
      </c>
      <c r="M1038">
        <f>IFERROR(--INDEX('Call accounts and MMFs'!$D:$D,ROW()),0)</f>
        <v/>
      </c>
      <c r="N1038">
        <f>IFERROR(IF(--INDEX('Call accounts and MMFs'!$E:$E,ROW())&gt;=1,--INDEX('Call accounts and MMFs'!$E:$E,ROW())/100,--INDEX('Call accounts and MMFs'!$E:$E,ROW())),0)</f>
        <v/>
      </c>
      <c r="O1038">
        <f>IFERROR(--INDEX('Call accounts and MMFs'!$F:$F,ROW()),0)</f>
        <v/>
      </c>
      <c r="P1038">
        <f>IF(ISNUMBER(INDEX('Call accounts and MMFs'!$E:$E,ROW())),1,0)</f>
        <v/>
      </c>
      <c r="Q1038">
        <f>TRIM(SUBSTITUTE(INDEX('Pooled funds'!$B:$B,ROW())&amp;""," "," "))</f>
        <v/>
      </c>
      <c r="R1038">
        <f>IFERROR(--INDEX('Pooled funds'!$C:$C,ROW()),0)</f>
        <v/>
      </c>
      <c r="S1038">
        <f>IFERROR(--INDEX('Pooled funds'!$D:$D,ROW()),0)</f>
        <v/>
      </c>
      <c r="T1038">
        <f>IFERROR(IF(--INDEX('Pooled funds'!$E:$E,ROW())&gt;=1,--INDEX('Pooled funds'!$E:$E,ROW())/100,--INDEX('Pooled funds'!$E:$E,ROW())),0)</f>
        <v/>
      </c>
      <c r="U1038">
        <f>IF(ISNUMBER(INDEX('Pooled funds'!$E:$E,ROW())),1,0)</f>
        <v/>
      </c>
    </row>
    <row r="1039">
      <c r="A1039">
        <f>TRIM(SUBSTITUTE(INDEX('Term investments'!$A:$A,ROW())&amp;""," "," "))</f>
        <v/>
      </c>
      <c r="B1039">
        <f>TRIM(SUBSTITUTE(INDEX('Term investments'!$B:$B,ROW())&amp;""," "," "))</f>
        <v/>
      </c>
      <c r="C1039">
        <f>TRIM(SUBSTITUTE(INDEX('Term investments'!$C:$C,ROW())&amp;""," "," "))</f>
        <v/>
      </c>
      <c r="D1039">
        <f>IFERROR(--INDEX('Term investments'!$D:$D,ROW()),0)</f>
        <v/>
      </c>
      <c r="E1039">
        <f>IFERROR(--INDEX('Term investments'!$E:$E,ROW()),0)</f>
        <v/>
      </c>
      <c r="F1039">
        <f>IFERROR(--INDEX('Term investments'!$F:$F,ROW()),0)</f>
        <v/>
      </c>
      <c r="G1039">
        <f>IFERROR(IF(--INDEX('Term investments'!$G:$G,ROW())&gt;=1,--INDEX('Term investments'!$G:$G,ROW())/100,--INDEX('Term investments'!$G:$G,ROW())),0)</f>
        <v/>
      </c>
      <c r="H1039">
        <f>IFERROR(--INDEX('Term investments'!$H:$H,ROW()),0)</f>
        <v/>
      </c>
      <c r="I1039">
        <f>IF(ISNUMBER(INDEX('Term investments'!$G:$G,ROW())),1,0)</f>
        <v/>
      </c>
      <c r="J1039">
        <f>TRIM(SUBSTITUTE(INDEX('Call accounts and MMFs'!$A:$A,ROW())&amp;""," "," "))</f>
        <v/>
      </c>
      <c r="K1039">
        <f>TRIM(SUBSTITUTE(INDEX('Call accounts and MMFs'!$B:$B,ROW())&amp;""," "," "))</f>
        <v/>
      </c>
      <c r="L1039">
        <f>TRIM(SUBSTITUTE(INDEX('Call accounts and MMFs'!$C:$C,ROW())&amp;""," "," "))</f>
        <v/>
      </c>
      <c r="M1039">
        <f>IFERROR(--INDEX('Call accounts and MMFs'!$D:$D,ROW()),0)</f>
        <v/>
      </c>
      <c r="N1039">
        <f>IFERROR(IF(--INDEX('Call accounts and MMFs'!$E:$E,ROW())&gt;=1,--INDEX('Call accounts and MMFs'!$E:$E,ROW())/100,--INDEX('Call accounts and MMFs'!$E:$E,ROW())),0)</f>
        <v/>
      </c>
      <c r="O1039">
        <f>IFERROR(--INDEX('Call accounts and MMFs'!$F:$F,ROW()),0)</f>
        <v/>
      </c>
      <c r="P1039">
        <f>IF(ISNUMBER(INDEX('Call accounts and MMFs'!$E:$E,ROW())),1,0)</f>
        <v/>
      </c>
      <c r="Q1039">
        <f>TRIM(SUBSTITUTE(INDEX('Pooled funds'!$B:$B,ROW())&amp;""," "," "))</f>
        <v/>
      </c>
      <c r="R1039">
        <f>IFERROR(--INDEX('Pooled funds'!$C:$C,ROW()),0)</f>
        <v/>
      </c>
      <c r="S1039">
        <f>IFERROR(--INDEX('Pooled funds'!$D:$D,ROW()),0)</f>
        <v/>
      </c>
      <c r="T1039">
        <f>IFERROR(IF(--INDEX('Pooled funds'!$E:$E,ROW())&gt;=1,--INDEX('Pooled funds'!$E:$E,ROW())/100,--INDEX('Pooled funds'!$E:$E,ROW())),0)</f>
        <v/>
      </c>
      <c r="U1039">
        <f>IF(ISNUMBER(INDEX('Pooled funds'!$E:$E,ROW())),1,0)</f>
        <v/>
      </c>
    </row>
    <row r="1040">
      <c r="A1040">
        <f>TRIM(SUBSTITUTE(INDEX('Term investments'!$A:$A,ROW())&amp;""," "," "))</f>
        <v/>
      </c>
      <c r="B1040">
        <f>TRIM(SUBSTITUTE(INDEX('Term investments'!$B:$B,ROW())&amp;""," "," "))</f>
        <v/>
      </c>
      <c r="C1040">
        <f>TRIM(SUBSTITUTE(INDEX('Term investments'!$C:$C,ROW())&amp;""," "," "))</f>
        <v/>
      </c>
      <c r="D1040">
        <f>IFERROR(--INDEX('Term investments'!$D:$D,ROW()),0)</f>
        <v/>
      </c>
      <c r="E1040">
        <f>IFERROR(--INDEX('Term investments'!$E:$E,ROW()),0)</f>
        <v/>
      </c>
      <c r="F1040">
        <f>IFERROR(--INDEX('Term investments'!$F:$F,ROW()),0)</f>
        <v/>
      </c>
      <c r="G1040">
        <f>IFERROR(IF(--INDEX('Term investments'!$G:$G,ROW())&gt;=1,--INDEX('Term investments'!$G:$G,ROW())/100,--INDEX('Term investments'!$G:$G,ROW())),0)</f>
        <v/>
      </c>
      <c r="H1040">
        <f>IFERROR(--INDEX('Term investments'!$H:$H,ROW()),0)</f>
        <v/>
      </c>
      <c r="I1040">
        <f>IF(ISNUMBER(INDEX('Term investments'!$G:$G,ROW())),1,0)</f>
        <v/>
      </c>
      <c r="J1040">
        <f>TRIM(SUBSTITUTE(INDEX('Call accounts and MMFs'!$A:$A,ROW())&amp;""," "," "))</f>
        <v/>
      </c>
      <c r="K1040">
        <f>TRIM(SUBSTITUTE(INDEX('Call accounts and MMFs'!$B:$B,ROW())&amp;""," "," "))</f>
        <v/>
      </c>
      <c r="L1040">
        <f>TRIM(SUBSTITUTE(INDEX('Call accounts and MMFs'!$C:$C,ROW())&amp;""," "," "))</f>
        <v/>
      </c>
      <c r="M1040">
        <f>IFERROR(--INDEX('Call accounts and MMFs'!$D:$D,ROW()),0)</f>
        <v/>
      </c>
      <c r="N1040">
        <f>IFERROR(IF(--INDEX('Call accounts and MMFs'!$E:$E,ROW())&gt;=1,--INDEX('Call accounts and MMFs'!$E:$E,ROW())/100,--INDEX('Call accounts and MMFs'!$E:$E,ROW())),0)</f>
        <v/>
      </c>
      <c r="O1040">
        <f>IFERROR(--INDEX('Call accounts and MMFs'!$F:$F,ROW()),0)</f>
        <v/>
      </c>
      <c r="P1040">
        <f>IF(ISNUMBER(INDEX('Call accounts and MMFs'!$E:$E,ROW())),1,0)</f>
        <v/>
      </c>
      <c r="Q1040">
        <f>TRIM(SUBSTITUTE(INDEX('Pooled funds'!$B:$B,ROW())&amp;""," "," "))</f>
        <v/>
      </c>
      <c r="R1040">
        <f>IFERROR(--INDEX('Pooled funds'!$C:$C,ROW()),0)</f>
        <v/>
      </c>
      <c r="S1040">
        <f>IFERROR(--INDEX('Pooled funds'!$D:$D,ROW()),0)</f>
        <v/>
      </c>
      <c r="T1040">
        <f>IFERROR(IF(--INDEX('Pooled funds'!$E:$E,ROW())&gt;=1,--INDEX('Pooled funds'!$E:$E,ROW())/100,--INDEX('Pooled funds'!$E:$E,ROW())),0)</f>
        <v/>
      </c>
      <c r="U1040">
        <f>IF(ISNUMBER(INDEX('Pooled funds'!$E:$E,ROW())),1,0)</f>
        <v/>
      </c>
    </row>
    <row r="1041">
      <c r="A1041">
        <f>TRIM(SUBSTITUTE(INDEX('Term investments'!$A:$A,ROW())&amp;""," "," "))</f>
        <v/>
      </c>
      <c r="B1041">
        <f>TRIM(SUBSTITUTE(INDEX('Term investments'!$B:$B,ROW())&amp;""," "," "))</f>
        <v/>
      </c>
      <c r="C1041">
        <f>TRIM(SUBSTITUTE(INDEX('Term investments'!$C:$C,ROW())&amp;""," "," "))</f>
        <v/>
      </c>
      <c r="D1041">
        <f>IFERROR(--INDEX('Term investments'!$D:$D,ROW()),0)</f>
        <v/>
      </c>
      <c r="E1041">
        <f>IFERROR(--INDEX('Term investments'!$E:$E,ROW()),0)</f>
        <v/>
      </c>
      <c r="F1041">
        <f>IFERROR(--INDEX('Term investments'!$F:$F,ROW()),0)</f>
        <v/>
      </c>
      <c r="G1041">
        <f>IFERROR(IF(--INDEX('Term investments'!$G:$G,ROW())&gt;=1,--INDEX('Term investments'!$G:$G,ROW())/100,--INDEX('Term investments'!$G:$G,ROW())),0)</f>
        <v/>
      </c>
      <c r="H1041">
        <f>IFERROR(--INDEX('Term investments'!$H:$H,ROW()),0)</f>
        <v/>
      </c>
      <c r="I1041">
        <f>IF(ISNUMBER(INDEX('Term investments'!$G:$G,ROW())),1,0)</f>
        <v/>
      </c>
      <c r="J1041">
        <f>TRIM(SUBSTITUTE(INDEX('Call accounts and MMFs'!$A:$A,ROW())&amp;""," "," "))</f>
        <v/>
      </c>
      <c r="K1041">
        <f>TRIM(SUBSTITUTE(INDEX('Call accounts and MMFs'!$B:$B,ROW())&amp;""," "," "))</f>
        <v/>
      </c>
      <c r="L1041">
        <f>TRIM(SUBSTITUTE(INDEX('Call accounts and MMFs'!$C:$C,ROW())&amp;""," "," "))</f>
        <v/>
      </c>
      <c r="M1041">
        <f>IFERROR(--INDEX('Call accounts and MMFs'!$D:$D,ROW()),0)</f>
        <v/>
      </c>
      <c r="N1041">
        <f>IFERROR(IF(--INDEX('Call accounts and MMFs'!$E:$E,ROW())&gt;=1,--INDEX('Call accounts and MMFs'!$E:$E,ROW())/100,--INDEX('Call accounts and MMFs'!$E:$E,ROW())),0)</f>
        <v/>
      </c>
      <c r="O1041">
        <f>IFERROR(--INDEX('Call accounts and MMFs'!$F:$F,ROW()),0)</f>
        <v/>
      </c>
      <c r="P1041">
        <f>IF(ISNUMBER(INDEX('Call accounts and MMFs'!$E:$E,ROW())),1,0)</f>
        <v/>
      </c>
      <c r="Q1041">
        <f>TRIM(SUBSTITUTE(INDEX('Pooled funds'!$B:$B,ROW())&amp;""," "," "))</f>
        <v/>
      </c>
      <c r="R1041">
        <f>IFERROR(--INDEX('Pooled funds'!$C:$C,ROW()),0)</f>
        <v/>
      </c>
      <c r="S1041">
        <f>IFERROR(--INDEX('Pooled funds'!$D:$D,ROW()),0)</f>
        <v/>
      </c>
      <c r="T1041">
        <f>IFERROR(IF(--INDEX('Pooled funds'!$E:$E,ROW())&gt;=1,--INDEX('Pooled funds'!$E:$E,ROW())/100,--INDEX('Pooled funds'!$E:$E,ROW())),0)</f>
        <v/>
      </c>
      <c r="U1041">
        <f>IF(ISNUMBER(INDEX('Pooled funds'!$E:$E,ROW())),1,0)</f>
        <v/>
      </c>
    </row>
    <row r="1042">
      <c r="A1042">
        <f>TRIM(SUBSTITUTE(INDEX('Term investments'!$A:$A,ROW())&amp;""," "," "))</f>
        <v/>
      </c>
      <c r="B1042">
        <f>TRIM(SUBSTITUTE(INDEX('Term investments'!$B:$B,ROW())&amp;""," "," "))</f>
        <v/>
      </c>
      <c r="C1042">
        <f>TRIM(SUBSTITUTE(INDEX('Term investments'!$C:$C,ROW())&amp;""," "," "))</f>
        <v/>
      </c>
      <c r="D1042">
        <f>IFERROR(--INDEX('Term investments'!$D:$D,ROW()),0)</f>
        <v/>
      </c>
      <c r="E1042">
        <f>IFERROR(--INDEX('Term investments'!$E:$E,ROW()),0)</f>
        <v/>
      </c>
      <c r="F1042">
        <f>IFERROR(--INDEX('Term investments'!$F:$F,ROW()),0)</f>
        <v/>
      </c>
      <c r="G1042">
        <f>IFERROR(IF(--INDEX('Term investments'!$G:$G,ROW())&gt;=1,--INDEX('Term investments'!$G:$G,ROW())/100,--INDEX('Term investments'!$G:$G,ROW())),0)</f>
        <v/>
      </c>
      <c r="H1042">
        <f>IFERROR(--INDEX('Term investments'!$H:$H,ROW()),0)</f>
        <v/>
      </c>
      <c r="I1042">
        <f>IF(ISNUMBER(INDEX('Term investments'!$G:$G,ROW())),1,0)</f>
        <v/>
      </c>
      <c r="J1042">
        <f>TRIM(SUBSTITUTE(INDEX('Call accounts and MMFs'!$A:$A,ROW())&amp;""," "," "))</f>
        <v/>
      </c>
      <c r="K1042">
        <f>TRIM(SUBSTITUTE(INDEX('Call accounts and MMFs'!$B:$B,ROW())&amp;""," "," "))</f>
        <v/>
      </c>
      <c r="L1042">
        <f>TRIM(SUBSTITUTE(INDEX('Call accounts and MMFs'!$C:$C,ROW())&amp;""," "," "))</f>
        <v/>
      </c>
      <c r="M1042">
        <f>IFERROR(--INDEX('Call accounts and MMFs'!$D:$D,ROW()),0)</f>
        <v/>
      </c>
      <c r="N1042">
        <f>IFERROR(IF(--INDEX('Call accounts and MMFs'!$E:$E,ROW())&gt;=1,--INDEX('Call accounts and MMFs'!$E:$E,ROW())/100,--INDEX('Call accounts and MMFs'!$E:$E,ROW())),0)</f>
        <v/>
      </c>
      <c r="O1042">
        <f>IFERROR(--INDEX('Call accounts and MMFs'!$F:$F,ROW()),0)</f>
        <v/>
      </c>
      <c r="P1042">
        <f>IF(ISNUMBER(INDEX('Call accounts and MMFs'!$E:$E,ROW())),1,0)</f>
        <v/>
      </c>
      <c r="Q1042">
        <f>TRIM(SUBSTITUTE(INDEX('Pooled funds'!$B:$B,ROW())&amp;""," "," "))</f>
        <v/>
      </c>
      <c r="R1042">
        <f>IFERROR(--INDEX('Pooled funds'!$C:$C,ROW()),0)</f>
        <v/>
      </c>
      <c r="S1042">
        <f>IFERROR(--INDEX('Pooled funds'!$D:$D,ROW()),0)</f>
        <v/>
      </c>
      <c r="T1042">
        <f>IFERROR(IF(--INDEX('Pooled funds'!$E:$E,ROW())&gt;=1,--INDEX('Pooled funds'!$E:$E,ROW())/100,--INDEX('Pooled funds'!$E:$E,ROW())),0)</f>
        <v/>
      </c>
      <c r="U1042">
        <f>IF(ISNUMBER(INDEX('Pooled funds'!$E:$E,ROW())),1,0)</f>
        <v/>
      </c>
    </row>
    <row r="1043">
      <c r="A1043">
        <f>TRIM(SUBSTITUTE(INDEX('Term investments'!$A:$A,ROW())&amp;""," "," "))</f>
        <v/>
      </c>
      <c r="B1043">
        <f>TRIM(SUBSTITUTE(INDEX('Term investments'!$B:$B,ROW())&amp;""," "," "))</f>
        <v/>
      </c>
      <c r="C1043">
        <f>TRIM(SUBSTITUTE(INDEX('Term investments'!$C:$C,ROW())&amp;""," "," "))</f>
        <v/>
      </c>
      <c r="D1043">
        <f>IFERROR(--INDEX('Term investments'!$D:$D,ROW()),0)</f>
        <v/>
      </c>
      <c r="E1043">
        <f>IFERROR(--INDEX('Term investments'!$E:$E,ROW()),0)</f>
        <v/>
      </c>
      <c r="F1043">
        <f>IFERROR(--INDEX('Term investments'!$F:$F,ROW()),0)</f>
        <v/>
      </c>
      <c r="G1043">
        <f>IFERROR(IF(--INDEX('Term investments'!$G:$G,ROW())&gt;=1,--INDEX('Term investments'!$G:$G,ROW())/100,--INDEX('Term investments'!$G:$G,ROW())),0)</f>
        <v/>
      </c>
      <c r="H1043">
        <f>IFERROR(--INDEX('Term investments'!$H:$H,ROW()),0)</f>
        <v/>
      </c>
      <c r="I1043">
        <f>IF(ISNUMBER(INDEX('Term investments'!$G:$G,ROW())),1,0)</f>
        <v/>
      </c>
      <c r="J1043">
        <f>TRIM(SUBSTITUTE(INDEX('Call accounts and MMFs'!$A:$A,ROW())&amp;""," "," "))</f>
        <v/>
      </c>
      <c r="K1043">
        <f>TRIM(SUBSTITUTE(INDEX('Call accounts and MMFs'!$B:$B,ROW())&amp;""," "," "))</f>
        <v/>
      </c>
      <c r="L1043">
        <f>TRIM(SUBSTITUTE(INDEX('Call accounts and MMFs'!$C:$C,ROW())&amp;""," "," "))</f>
        <v/>
      </c>
      <c r="M1043">
        <f>IFERROR(--INDEX('Call accounts and MMFs'!$D:$D,ROW()),0)</f>
        <v/>
      </c>
      <c r="N1043">
        <f>IFERROR(IF(--INDEX('Call accounts and MMFs'!$E:$E,ROW())&gt;=1,--INDEX('Call accounts and MMFs'!$E:$E,ROW())/100,--INDEX('Call accounts and MMFs'!$E:$E,ROW())),0)</f>
        <v/>
      </c>
      <c r="O1043">
        <f>IFERROR(--INDEX('Call accounts and MMFs'!$F:$F,ROW()),0)</f>
        <v/>
      </c>
      <c r="P1043">
        <f>IF(ISNUMBER(INDEX('Call accounts and MMFs'!$E:$E,ROW())),1,0)</f>
        <v/>
      </c>
      <c r="Q1043">
        <f>TRIM(SUBSTITUTE(INDEX('Pooled funds'!$B:$B,ROW())&amp;""," "," "))</f>
        <v/>
      </c>
      <c r="R1043">
        <f>IFERROR(--INDEX('Pooled funds'!$C:$C,ROW()),0)</f>
        <v/>
      </c>
      <c r="S1043">
        <f>IFERROR(--INDEX('Pooled funds'!$D:$D,ROW()),0)</f>
        <v/>
      </c>
      <c r="T1043">
        <f>IFERROR(IF(--INDEX('Pooled funds'!$E:$E,ROW())&gt;=1,--INDEX('Pooled funds'!$E:$E,ROW())/100,--INDEX('Pooled funds'!$E:$E,ROW())),0)</f>
        <v/>
      </c>
      <c r="U1043">
        <f>IF(ISNUMBER(INDEX('Pooled funds'!$E:$E,ROW())),1,0)</f>
        <v/>
      </c>
    </row>
    <row r="1044">
      <c r="A1044">
        <f>TRIM(SUBSTITUTE(INDEX('Term investments'!$A:$A,ROW())&amp;""," "," "))</f>
        <v/>
      </c>
      <c r="B1044">
        <f>TRIM(SUBSTITUTE(INDEX('Term investments'!$B:$B,ROW())&amp;""," "," "))</f>
        <v/>
      </c>
      <c r="C1044">
        <f>TRIM(SUBSTITUTE(INDEX('Term investments'!$C:$C,ROW())&amp;""," "," "))</f>
        <v/>
      </c>
      <c r="D1044">
        <f>IFERROR(--INDEX('Term investments'!$D:$D,ROW()),0)</f>
        <v/>
      </c>
      <c r="E1044">
        <f>IFERROR(--INDEX('Term investments'!$E:$E,ROW()),0)</f>
        <v/>
      </c>
      <c r="F1044">
        <f>IFERROR(--INDEX('Term investments'!$F:$F,ROW()),0)</f>
        <v/>
      </c>
      <c r="G1044">
        <f>IFERROR(IF(--INDEX('Term investments'!$G:$G,ROW())&gt;=1,--INDEX('Term investments'!$G:$G,ROW())/100,--INDEX('Term investments'!$G:$G,ROW())),0)</f>
        <v/>
      </c>
      <c r="H1044">
        <f>IFERROR(--INDEX('Term investments'!$H:$H,ROW()),0)</f>
        <v/>
      </c>
      <c r="I1044">
        <f>IF(ISNUMBER(INDEX('Term investments'!$G:$G,ROW())),1,0)</f>
        <v/>
      </c>
      <c r="J1044">
        <f>TRIM(SUBSTITUTE(INDEX('Call accounts and MMFs'!$A:$A,ROW())&amp;""," "," "))</f>
        <v/>
      </c>
      <c r="K1044">
        <f>TRIM(SUBSTITUTE(INDEX('Call accounts and MMFs'!$B:$B,ROW())&amp;""," "," "))</f>
        <v/>
      </c>
      <c r="L1044">
        <f>TRIM(SUBSTITUTE(INDEX('Call accounts and MMFs'!$C:$C,ROW())&amp;""," "," "))</f>
        <v/>
      </c>
      <c r="M1044">
        <f>IFERROR(--INDEX('Call accounts and MMFs'!$D:$D,ROW()),0)</f>
        <v/>
      </c>
      <c r="N1044">
        <f>IFERROR(IF(--INDEX('Call accounts and MMFs'!$E:$E,ROW())&gt;=1,--INDEX('Call accounts and MMFs'!$E:$E,ROW())/100,--INDEX('Call accounts and MMFs'!$E:$E,ROW())),0)</f>
        <v/>
      </c>
      <c r="O1044">
        <f>IFERROR(--INDEX('Call accounts and MMFs'!$F:$F,ROW()),0)</f>
        <v/>
      </c>
      <c r="P1044">
        <f>IF(ISNUMBER(INDEX('Call accounts and MMFs'!$E:$E,ROW())),1,0)</f>
        <v/>
      </c>
      <c r="Q1044">
        <f>TRIM(SUBSTITUTE(INDEX('Pooled funds'!$B:$B,ROW())&amp;""," "," "))</f>
        <v/>
      </c>
      <c r="R1044">
        <f>IFERROR(--INDEX('Pooled funds'!$C:$C,ROW()),0)</f>
        <v/>
      </c>
      <c r="S1044">
        <f>IFERROR(--INDEX('Pooled funds'!$D:$D,ROW()),0)</f>
        <v/>
      </c>
      <c r="T1044">
        <f>IFERROR(IF(--INDEX('Pooled funds'!$E:$E,ROW())&gt;=1,--INDEX('Pooled funds'!$E:$E,ROW())/100,--INDEX('Pooled funds'!$E:$E,ROW())),0)</f>
        <v/>
      </c>
      <c r="U1044">
        <f>IF(ISNUMBER(INDEX('Pooled funds'!$E:$E,ROW())),1,0)</f>
        <v/>
      </c>
    </row>
    <row r="1045">
      <c r="A1045">
        <f>TRIM(SUBSTITUTE(INDEX('Term investments'!$A:$A,ROW())&amp;""," "," "))</f>
        <v/>
      </c>
      <c r="B1045">
        <f>TRIM(SUBSTITUTE(INDEX('Term investments'!$B:$B,ROW())&amp;""," "," "))</f>
        <v/>
      </c>
      <c r="C1045">
        <f>TRIM(SUBSTITUTE(INDEX('Term investments'!$C:$C,ROW())&amp;""," "," "))</f>
        <v/>
      </c>
      <c r="D1045">
        <f>IFERROR(--INDEX('Term investments'!$D:$D,ROW()),0)</f>
        <v/>
      </c>
      <c r="E1045">
        <f>IFERROR(--INDEX('Term investments'!$E:$E,ROW()),0)</f>
        <v/>
      </c>
      <c r="F1045">
        <f>IFERROR(--INDEX('Term investments'!$F:$F,ROW()),0)</f>
        <v/>
      </c>
      <c r="G1045">
        <f>IFERROR(IF(--INDEX('Term investments'!$G:$G,ROW())&gt;=1,--INDEX('Term investments'!$G:$G,ROW())/100,--INDEX('Term investments'!$G:$G,ROW())),0)</f>
        <v/>
      </c>
      <c r="H1045">
        <f>IFERROR(--INDEX('Term investments'!$H:$H,ROW()),0)</f>
        <v/>
      </c>
      <c r="I1045">
        <f>IF(ISNUMBER(INDEX('Term investments'!$G:$G,ROW())),1,0)</f>
        <v/>
      </c>
      <c r="J1045">
        <f>TRIM(SUBSTITUTE(INDEX('Call accounts and MMFs'!$A:$A,ROW())&amp;""," "," "))</f>
        <v/>
      </c>
      <c r="K1045">
        <f>TRIM(SUBSTITUTE(INDEX('Call accounts and MMFs'!$B:$B,ROW())&amp;""," "," "))</f>
        <v/>
      </c>
      <c r="L1045">
        <f>TRIM(SUBSTITUTE(INDEX('Call accounts and MMFs'!$C:$C,ROW())&amp;""," "," "))</f>
        <v/>
      </c>
      <c r="M1045">
        <f>IFERROR(--INDEX('Call accounts and MMFs'!$D:$D,ROW()),0)</f>
        <v/>
      </c>
      <c r="N1045">
        <f>IFERROR(IF(--INDEX('Call accounts and MMFs'!$E:$E,ROW())&gt;=1,--INDEX('Call accounts and MMFs'!$E:$E,ROW())/100,--INDEX('Call accounts and MMFs'!$E:$E,ROW())),0)</f>
        <v/>
      </c>
      <c r="O1045">
        <f>IFERROR(--INDEX('Call accounts and MMFs'!$F:$F,ROW()),0)</f>
        <v/>
      </c>
      <c r="P1045">
        <f>IF(ISNUMBER(INDEX('Call accounts and MMFs'!$E:$E,ROW())),1,0)</f>
        <v/>
      </c>
      <c r="Q1045">
        <f>TRIM(SUBSTITUTE(INDEX('Pooled funds'!$B:$B,ROW())&amp;""," "," "))</f>
        <v/>
      </c>
      <c r="R1045">
        <f>IFERROR(--INDEX('Pooled funds'!$C:$C,ROW()),0)</f>
        <v/>
      </c>
      <c r="S1045">
        <f>IFERROR(--INDEX('Pooled funds'!$D:$D,ROW()),0)</f>
        <v/>
      </c>
      <c r="T1045">
        <f>IFERROR(IF(--INDEX('Pooled funds'!$E:$E,ROW())&gt;=1,--INDEX('Pooled funds'!$E:$E,ROW())/100,--INDEX('Pooled funds'!$E:$E,ROW())),0)</f>
        <v/>
      </c>
      <c r="U1045">
        <f>IF(ISNUMBER(INDEX('Pooled funds'!$E:$E,ROW())),1,0)</f>
        <v/>
      </c>
    </row>
    <row r="1046">
      <c r="A1046">
        <f>TRIM(SUBSTITUTE(INDEX('Term investments'!$A:$A,ROW())&amp;""," "," "))</f>
        <v/>
      </c>
      <c r="B1046">
        <f>TRIM(SUBSTITUTE(INDEX('Term investments'!$B:$B,ROW())&amp;""," "," "))</f>
        <v/>
      </c>
      <c r="C1046">
        <f>TRIM(SUBSTITUTE(INDEX('Term investments'!$C:$C,ROW())&amp;""," "," "))</f>
        <v/>
      </c>
      <c r="D1046">
        <f>IFERROR(--INDEX('Term investments'!$D:$D,ROW()),0)</f>
        <v/>
      </c>
      <c r="E1046">
        <f>IFERROR(--INDEX('Term investments'!$E:$E,ROW()),0)</f>
        <v/>
      </c>
      <c r="F1046">
        <f>IFERROR(--INDEX('Term investments'!$F:$F,ROW()),0)</f>
        <v/>
      </c>
      <c r="G1046">
        <f>IFERROR(IF(--INDEX('Term investments'!$G:$G,ROW())&gt;=1,--INDEX('Term investments'!$G:$G,ROW())/100,--INDEX('Term investments'!$G:$G,ROW())),0)</f>
        <v/>
      </c>
      <c r="H1046">
        <f>IFERROR(--INDEX('Term investments'!$H:$H,ROW()),0)</f>
        <v/>
      </c>
      <c r="I1046">
        <f>IF(ISNUMBER(INDEX('Term investments'!$G:$G,ROW())),1,0)</f>
        <v/>
      </c>
      <c r="J1046">
        <f>TRIM(SUBSTITUTE(INDEX('Call accounts and MMFs'!$A:$A,ROW())&amp;""," "," "))</f>
        <v/>
      </c>
      <c r="K1046">
        <f>TRIM(SUBSTITUTE(INDEX('Call accounts and MMFs'!$B:$B,ROW())&amp;""," "," "))</f>
        <v/>
      </c>
      <c r="L1046">
        <f>TRIM(SUBSTITUTE(INDEX('Call accounts and MMFs'!$C:$C,ROW())&amp;""," "," "))</f>
        <v/>
      </c>
      <c r="M1046">
        <f>IFERROR(--INDEX('Call accounts and MMFs'!$D:$D,ROW()),0)</f>
        <v/>
      </c>
      <c r="N1046">
        <f>IFERROR(IF(--INDEX('Call accounts and MMFs'!$E:$E,ROW())&gt;=1,--INDEX('Call accounts and MMFs'!$E:$E,ROW())/100,--INDEX('Call accounts and MMFs'!$E:$E,ROW())),0)</f>
        <v/>
      </c>
      <c r="O1046">
        <f>IFERROR(--INDEX('Call accounts and MMFs'!$F:$F,ROW()),0)</f>
        <v/>
      </c>
      <c r="P1046">
        <f>IF(ISNUMBER(INDEX('Call accounts and MMFs'!$E:$E,ROW())),1,0)</f>
        <v/>
      </c>
      <c r="Q1046">
        <f>TRIM(SUBSTITUTE(INDEX('Pooled funds'!$B:$B,ROW())&amp;""," "," "))</f>
        <v/>
      </c>
      <c r="R1046">
        <f>IFERROR(--INDEX('Pooled funds'!$C:$C,ROW()),0)</f>
        <v/>
      </c>
      <c r="S1046">
        <f>IFERROR(--INDEX('Pooled funds'!$D:$D,ROW()),0)</f>
        <v/>
      </c>
      <c r="T1046">
        <f>IFERROR(IF(--INDEX('Pooled funds'!$E:$E,ROW())&gt;=1,--INDEX('Pooled funds'!$E:$E,ROW())/100,--INDEX('Pooled funds'!$E:$E,ROW())),0)</f>
        <v/>
      </c>
      <c r="U1046">
        <f>IF(ISNUMBER(INDEX('Pooled funds'!$E:$E,ROW())),1,0)</f>
        <v/>
      </c>
    </row>
    <row r="1047">
      <c r="A1047">
        <f>TRIM(SUBSTITUTE(INDEX('Term investments'!$A:$A,ROW())&amp;""," "," "))</f>
        <v/>
      </c>
      <c r="B1047">
        <f>TRIM(SUBSTITUTE(INDEX('Term investments'!$B:$B,ROW())&amp;""," "," "))</f>
        <v/>
      </c>
      <c r="C1047">
        <f>TRIM(SUBSTITUTE(INDEX('Term investments'!$C:$C,ROW())&amp;""," "," "))</f>
        <v/>
      </c>
      <c r="D1047">
        <f>IFERROR(--INDEX('Term investments'!$D:$D,ROW()),0)</f>
        <v/>
      </c>
      <c r="E1047">
        <f>IFERROR(--INDEX('Term investments'!$E:$E,ROW()),0)</f>
        <v/>
      </c>
      <c r="F1047">
        <f>IFERROR(--INDEX('Term investments'!$F:$F,ROW()),0)</f>
        <v/>
      </c>
      <c r="G1047">
        <f>IFERROR(IF(--INDEX('Term investments'!$G:$G,ROW())&gt;=1,--INDEX('Term investments'!$G:$G,ROW())/100,--INDEX('Term investments'!$G:$G,ROW())),0)</f>
        <v/>
      </c>
      <c r="H1047">
        <f>IFERROR(--INDEX('Term investments'!$H:$H,ROW()),0)</f>
        <v/>
      </c>
      <c r="I1047">
        <f>IF(ISNUMBER(INDEX('Term investments'!$G:$G,ROW())),1,0)</f>
        <v/>
      </c>
      <c r="J1047">
        <f>TRIM(SUBSTITUTE(INDEX('Call accounts and MMFs'!$A:$A,ROW())&amp;""," "," "))</f>
        <v/>
      </c>
      <c r="K1047">
        <f>TRIM(SUBSTITUTE(INDEX('Call accounts and MMFs'!$B:$B,ROW())&amp;""," "," "))</f>
        <v/>
      </c>
      <c r="L1047">
        <f>TRIM(SUBSTITUTE(INDEX('Call accounts and MMFs'!$C:$C,ROW())&amp;""," "," "))</f>
        <v/>
      </c>
      <c r="M1047">
        <f>IFERROR(--INDEX('Call accounts and MMFs'!$D:$D,ROW()),0)</f>
        <v/>
      </c>
      <c r="N1047">
        <f>IFERROR(IF(--INDEX('Call accounts and MMFs'!$E:$E,ROW())&gt;=1,--INDEX('Call accounts and MMFs'!$E:$E,ROW())/100,--INDEX('Call accounts and MMFs'!$E:$E,ROW())),0)</f>
        <v/>
      </c>
      <c r="O1047">
        <f>IFERROR(--INDEX('Call accounts and MMFs'!$F:$F,ROW()),0)</f>
        <v/>
      </c>
      <c r="P1047">
        <f>IF(ISNUMBER(INDEX('Call accounts and MMFs'!$E:$E,ROW())),1,0)</f>
        <v/>
      </c>
      <c r="Q1047">
        <f>TRIM(SUBSTITUTE(INDEX('Pooled funds'!$B:$B,ROW())&amp;""," "," "))</f>
        <v/>
      </c>
      <c r="R1047">
        <f>IFERROR(--INDEX('Pooled funds'!$C:$C,ROW()),0)</f>
        <v/>
      </c>
      <c r="S1047">
        <f>IFERROR(--INDEX('Pooled funds'!$D:$D,ROW()),0)</f>
        <v/>
      </c>
      <c r="T1047">
        <f>IFERROR(IF(--INDEX('Pooled funds'!$E:$E,ROW())&gt;=1,--INDEX('Pooled funds'!$E:$E,ROW())/100,--INDEX('Pooled funds'!$E:$E,ROW())),0)</f>
        <v/>
      </c>
      <c r="U1047">
        <f>IF(ISNUMBER(INDEX('Pooled funds'!$E:$E,ROW())),1,0)</f>
        <v/>
      </c>
    </row>
    <row r="1048">
      <c r="A1048">
        <f>TRIM(SUBSTITUTE(INDEX('Term investments'!$A:$A,ROW())&amp;""," "," "))</f>
        <v/>
      </c>
      <c r="B1048">
        <f>TRIM(SUBSTITUTE(INDEX('Term investments'!$B:$B,ROW())&amp;""," "," "))</f>
        <v/>
      </c>
      <c r="C1048">
        <f>TRIM(SUBSTITUTE(INDEX('Term investments'!$C:$C,ROW())&amp;""," "," "))</f>
        <v/>
      </c>
      <c r="D1048">
        <f>IFERROR(--INDEX('Term investments'!$D:$D,ROW()),0)</f>
        <v/>
      </c>
      <c r="E1048">
        <f>IFERROR(--INDEX('Term investments'!$E:$E,ROW()),0)</f>
        <v/>
      </c>
      <c r="F1048">
        <f>IFERROR(--INDEX('Term investments'!$F:$F,ROW()),0)</f>
        <v/>
      </c>
      <c r="G1048">
        <f>IFERROR(IF(--INDEX('Term investments'!$G:$G,ROW())&gt;=1,--INDEX('Term investments'!$G:$G,ROW())/100,--INDEX('Term investments'!$G:$G,ROW())),0)</f>
        <v/>
      </c>
      <c r="H1048">
        <f>IFERROR(--INDEX('Term investments'!$H:$H,ROW()),0)</f>
        <v/>
      </c>
      <c r="I1048">
        <f>IF(ISNUMBER(INDEX('Term investments'!$G:$G,ROW())),1,0)</f>
        <v/>
      </c>
      <c r="J1048">
        <f>TRIM(SUBSTITUTE(INDEX('Call accounts and MMFs'!$A:$A,ROW())&amp;""," "," "))</f>
        <v/>
      </c>
      <c r="K1048">
        <f>TRIM(SUBSTITUTE(INDEX('Call accounts and MMFs'!$B:$B,ROW())&amp;""," "," "))</f>
        <v/>
      </c>
      <c r="L1048">
        <f>TRIM(SUBSTITUTE(INDEX('Call accounts and MMFs'!$C:$C,ROW())&amp;""," "," "))</f>
        <v/>
      </c>
      <c r="M1048">
        <f>IFERROR(--INDEX('Call accounts and MMFs'!$D:$D,ROW()),0)</f>
        <v/>
      </c>
      <c r="N1048">
        <f>IFERROR(IF(--INDEX('Call accounts and MMFs'!$E:$E,ROW())&gt;=1,--INDEX('Call accounts and MMFs'!$E:$E,ROW())/100,--INDEX('Call accounts and MMFs'!$E:$E,ROW())),0)</f>
        <v/>
      </c>
      <c r="O1048">
        <f>IFERROR(--INDEX('Call accounts and MMFs'!$F:$F,ROW()),0)</f>
        <v/>
      </c>
      <c r="P1048">
        <f>IF(ISNUMBER(INDEX('Call accounts and MMFs'!$E:$E,ROW())),1,0)</f>
        <v/>
      </c>
      <c r="Q1048">
        <f>TRIM(SUBSTITUTE(INDEX('Pooled funds'!$B:$B,ROW())&amp;""," "," "))</f>
        <v/>
      </c>
      <c r="R1048">
        <f>IFERROR(--INDEX('Pooled funds'!$C:$C,ROW()),0)</f>
        <v/>
      </c>
      <c r="S1048">
        <f>IFERROR(--INDEX('Pooled funds'!$D:$D,ROW()),0)</f>
        <v/>
      </c>
      <c r="T1048">
        <f>IFERROR(IF(--INDEX('Pooled funds'!$E:$E,ROW())&gt;=1,--INDEX('Pooled funds'!$E:$E,ROW())/100,--INDEX('Pooled funds'!$E:$E,ROW())),0)</f>
        <v/>
      </c>
      <c r="U1048">
        <f>IF(ISNUMBER(INDEX('Pooled funds'!$E:$E,ROW())),1,0)</f>
        <v/>
      </c>
    </row>
    <row r="1049">
      <c r="A1049">
        <f>TRIM(SUBSTITUTE(INDEX('Term investments'!$A:$A,ROW())&amp;""," "," "))</f>
        <v/>
      </c>
      <c r="B1049">
        <f>TRIM(SUBSTITUTE(INDEX('Term investments'!$B:$B,ROW())&amp;""," "," "))</f>
        <v/>
      </c>
      <c r="C1049">
        <f>TRIM(SUBSTITUTE(INDEX('Term investments'!$C:$C,ROW())&amp;""," "," "))</f>
        <v/>
      </c>
      <c r="D1049">
        <f>IFERROR(--INDEX('Term investments'!$D:$D,ROW()),0)</f>
        <v/>
      </c>
      <c r="E1049">
        <f>IFERROR(--INDEX('Term investments'!$E:$E,ROW()),0)</f>
        <v/>
      </c>
      <c r="F1049">
        <f>IFERROR(--INDEX('Term investments'!$F:$F,ROW()),0)</f>
        <v/>
      </c>
      <c r="G1049">
        <f>IFERROR(IF(--INDEX('Term investments'!$G:$G,ROW())&gt;=1,--INDEX('Term investments'!$G:$G,ROW())/100,--INDEX('Term investments'!$G:$G,ROW())),0)</f>
        <v/>
      </c>
      <c r="H1049">
        <f>IFERROR(--INDEX('Term investments'!$H:$H,ROW()),0)</f>
        <v/>
      </c>
      <c r="I1049">
        <f>IF(ISNUMBER(INDEX('Term investments'!$G:$G,ROW())),1,0)</f>
        <v/>
      </c>
      <c r="J1049">
        <f>TRIM(SUBSTITUTE(INDEX('Call accounts and MMFs'!$A:$A,ROW())&amp;""," "," "))</f>
        <v/>
      </c>
      <c r="K1049">
        <f>TRIM(SUBSTITUTE(INDEX('Call accounts and MMFs'!$B:$B,ROW())&amp;""," "," "))</f>
        <v/>
      </c>
      <c r="L1049">
        <f>TRIM(SUBSTITUTE(INDEX('Call accounts and MMFs'!$C:$C,ROW())&amp;""," "," "))</f>
        <v/>
      </c>
      <c r="M1049">
        <f>IFERROR(--INDEX('Call accounts and MMFs'!$D:$D,ROW()),0)</f>
        <v/>
      </c>
      <c r="N1049">
        <f>IFERROR(IF(--INDEX('Call accounts and MMFs'!$E:$E,ROW())&gt;=1,--INDEX('Call accounts and MMFs'!$E:$E,ROW())/100,--INDEX('Call accounts and MMFs'!$E:$E,ROW())),0)</f>
        <v/>
      </c>
      <c r="O1049">
        <f>IFERROR(--INDEX('Call accounts and MMFs'!$F:$F,ROW()),0)</f>
        <v/>
      </c>
      <c r="P1049">
        <f>IF(ISNUMBER(INDEX('Call accounts and MMFs'!$E:$E,ROW())),1,0)</f>
        <v/>
      </c>
      <c r="Q1049">
        <f>TRIM(SUBSTITUTE(INDEX('Pooled funds'!$B:$B,ROW())&amp;""," "," "))</f>
        <v/>
      </c>
      <c r="R1049">
        <f>IFERROR(--INDEX('Pooled funds'!$C:$C,ROW()),0)</f>
        <v/>
      </c>
      <c r="S1049">
        <f>IFERROR(--INDEX('Pooled funds'!$D:$D,ROW()),0)</f>
        <v/>
      </c>
      <c r="T1049">
        <f>IFERROR(IF(--INDEX('Pooled funds'!$E:$E,ROW())&gt;=1,--INDEX('Pooled funds'!$E:$E,ROW())/100,--INDEX('Pooled funds'!$E:$E,ROW())),0)</f>
        <v/>
      </c>
      <c r="U1049">
        <f>IF(ISNUMBER(INDEX('Pooled funds'!$E:$E,ROW())),1,0)</f>
        <v/>
      </c>
    </row>
    <row r="1050">
      <c r="A1050">
        <f>TRIM(SUBSTITUTE(INDEX('Term investments'!$A:$A,ROW())&amp;""," "," "))</f>
        <v/>
      </c>
      <c r="B1050">
        <f>TRIM(SUBSTITUTE(INDEX('Term investments'!$B:$B,ROW())&amp;""," "," "))</f>
        <v/>
      </c>
      <c r="C1050">
        <f>TRIM(SUBSTITUTE(INDEX('Term investments'!$C:$C,ROW())&amp;""," "," "))</f>
        <v/>
      </c>
      <c r="D1050">
        <f>IFERROR(--INDEX('Term investments'!$D:$D,ROW()),0)</f>
        <v/>
      </c>
      <c r="E1050">
        <f>IFERROR(--INDEX('Term investments'!$E:$E,ROW()),0)</f>
        <v/>
      </c>
      <c r="F1050">
        <f>IFERROR(--INDEX('Term investments'!$F:$F,ROW()),0)</f>
        <v/>
      </c>
      <c r="G1050">
        <f>IFERROR(IF(--INDEX('Term investments'!$G:$G,ROW())&gt;=1,--INDEX('Term investments'!$G:$G,ROW())/100,--INDEX('Term investments'!$G:$G,ROW())),0)</f>
        <v/>
      </c>
      <c r="H1050">
        <f>IFERROR(--INDEX('Term investments'!$H:$H,ROW()),0)</f>
        <v/>
      </c>
      <c r="I1050">
        <f>IF(ISNUMBER(INDEX('Term investments'!$G:$G,ROW())),1,0)</f>
        <v/>
      </c>
      <c r="J1050">
        <f>TRIM(SUBSTITUTE(INDEX('Call accounts and MMFs'!$A:$A,ROW())&amp;""," "," "))</f>
        <v/>
      </c>
      <c r="K1050">
        <f>TRIM(SUBSTITUTE(INDEX('Call accounts and MMFs'!$B:$B,ROW())&amp;""," "," "))</f>
        <v/>
      </c>
      <c r="L1050">
        <f>TRIM(SUBSTITUTE(INDEX('Call accounts and MMFs'!$C:$C,ROW())&amp;""," "," "))</f>
        <v/>
      </c>
      <c r="M1050">
        <f>IFERROR(--INDEX('Call accounts and MMFs'!$D:$D,ROW()),0)</f>
        <v/>
      </c>
      <c r="N1050">
        <f>IFERROR(IF(--INDEX('Call accounts and MMFs'!$E:$E,ROW())&gt;=1,--INDEX('Call accounts and MMFs'!$E:$E,ROW())/100,--INDEX('Call accounts and MMFs'!$E:$E,ROW())),0)</f>
        <v/>
      </c>
      <c r="O1050">
        <f>IFERROR(--INDEX('Call accounts and MMFs'!$F:$F,ROW()),0)</f>
        <v/>
      </c>
      <c r="P1050">
        <f>IF(ISNUMBER(INDEX('Call accounts and MMFs'!$E:$E,ROW())),1,0)</f>
        <v/>
      </c>
      <c r="Q1050">
        <f>TRIM(SUBSTITUTE(INDEX('Pooled funds'!$B:$B,ROW())&amp;""," "," "))</f>
        <v/>
      </c>
      <c r="R1050">
        <f>IFERROR(--INDEX('Pooled funds'!$C:$C,ROW()),0)</f>
        <v/>
      </c>
      <c r="S1050">
        <f>IFERROR(--INDEX('Pooled funds'!$D:$D,ROW()),0)</f>
        <v/>
      </c>
      <c r="T1050">
        <f>IFERROR(IF(--INDEX('Pooled funds'!$E:$E,ROW())&gt;=1,--INDEX('Pooled funds'!$E:$E,ROW())/100,--INDEX('Pooled funds'!$E:$E,ROW())),0)</f>
        <v/>
      </c>
      <c r="U1050">
        <f>IF(ISNUMBER(INDEX('Pooled funds'!$E:$E,ROW())),1,0)</f>
        <v/>
      </c>
    </row>
    <row r="1051">
      <c r="A1051">
        <f>TRIM(SUBSTITUTE(INDEX('Term investments'!$A:$A,ROW())&amp;""," "," "))</f>
        <v/>
      </c>
      <c r="B1051">
        <f>TRIM(SUBSTITUTE(INDEX('Term investments'!$B:$B,ROW())&amp;""," "," "))</f>
        <v/>
      </c>
      <c r="C1051">
        <f>TRIM(SUBSTITUTE(INDEX('Term investments'!$C:$C,ROW())&amp;""," "," "))</f>
        <v/>
      </c>
      <c r="D1051">
        <f>IFERROR(--INDEX('Term investments'!$D:$D,ROW()),0)</f>
        <v/>
      </c>
      <c r="E1051">
        <f>IFERROR(--INDEX('Term investments'!$E:$E,ROW()),0)</f>
        <v/>
      </c>
      <c r="F1051">
        <f>IFERROR(--INDEX('Term investments'!$F:$F,ROW()),0)</f>
        <v/>
      </c>
      <c r="G1051">
        <f>IFERROR(IF(--INDEX('Term investments'!$G:$G,ROW())&gt;=1,--INDEX('Term investments'!$G:$G,ROW())/100,--INDEX('Term investments'!$G:$G,ROW())),0)</f>
        <v/>
      </c>
      <c r="H1051">
        <f>IFERROR(--INDEX('Term investments'!$H:$H,ROW()),0)</f>
        <v/>
      </c>
      <c r="I1051">
        <f>IF(ISNUMBER(INDEX('Term investments'!$G:$G,ROW())),1,0)</f>
        <v/>
      </c>
      <c r="J1051">
        <f>TRIM(SUBSTITUTE(INDEX('Call accounts and MMFs'!$A:$A,ROW())&amp;""," "," "))</f>
        <v/>
      </c>
      <c r="K1051">
        <f>TRIM(SUBSTITUTE(INDEX('Call accounts and MMFs'!$B:$B,ROW())&amp;""," "," "))</f>
        <v/>
      </c>
      <c r="L1051">
        <f>TRIM(SUBSTITUTE(INDEX('Call accounts and MMFs'!$C:$C,ROW())&amp;""," "," "))</f>
        <v/>
      </c>
      <c r="M1051">
        <f>IFERROR(--INDEX('Call accounts and MMFs'!$D:$D,ROW()),0)</f>
        <v/>
      </c>
      <c r="N1051">
        <f>IFERROR(IF(--INDEX('Call accounts and MMFs'!$E:$E,ROW())&gt;=1,--INDEX('Call accounts and MMFs'!$E:$E,ROW())/100,--INDEX('Call accounts and MMFs'!$E:$E,ROW())),0)</f>
        <v/>
      </c>
      <c r="O1051">
        <f>IFERROR(--INDEX('Call accounts and MMFs'!$F:$F,ROW()),0)</f>
        <v/>
      </c>
      <c r="P1051">
        <f>IF(ISNUMBER(INDEX('Call accounts and MMFs'!$E:$E,ROW())),1,0)</f>
        <v/>
      </c>
      <c r="Q1051">
        <f>TRIM(SUBSTITUTE(INDEX('Pooled funds'!$B:$B,ROW())&amp;""," "," "))</f>
        <v/>
      </c>
      <c r="R1051">
        <f>IFERROR(--INDEX('Pooled funds'!$C:$C,ROW()),0)</f>
        <v/>
      </c>
      <c r="S1051">
        <f>IFERROR(--INDEX('Pooled funds'!$D:$D,ROW()),0)</f>
        <v/>
      </c>
      <c r="T1051">
        <f>IFERROR(IF(--INDEX('Pooled funds'!$E:$E,ROW())&gt;=1,--INDEX('Pooled funds'!$E:$E,ROW())/100,--INDEX('Pooled funds'!$E:$E,ROW())),0)</f>
        <v/>
      </c>
      <c r="U1051">
        <f>IF(ISNUMBER(INDEX('Pooled funds'!$E:$E,ROW())),1,0)</f>
        <v/>
      </c>
    </row>
    <row r="1052">
      <c r="A1052">
        <f>TRIM(SUBSTITUTE(INDEX('Term investments'!$A:$A,ROW())&amp;""," "," "))</f>
        <v/>
      </c>
      <c r="B1052">
        <f>TRIM(SUBSTITUTE(INDEX('Term investments'!$B:$B,ROW())&amp;""," "," "))</f>
        <v/>
      </c>
      <c r="C1052">
        <f>TRIM(SUBSTITUTE(INDEX('Term investments'!$C:$C,ROW())&amp;""," "," "))</f>
        <v/>
      </c>
      <c r="D1052">
        <f>IFERROR(--INDEX('Term investments'!$D:$D,ROW()),0)</f>
        <v/>
      </c>
      <c r="E1052">
        <f>IFERROR(--INDEX('Term investments'!$E:$E,ROW()),0)</f>
        <v/>
      </c>
      <c r="F1052">
        <f>IFERROR(--INDEX('Term investments'!$F:$F,ROW()),0)</f>
        <v/>
      </c>
      <c r="G1052">
        <f>IFERROR(IF(--INDEX('Term investments'!$G:$G,ROW())&gt;=1,--INDEX('Term investments'!$G:$G,ROW())/100,--INDEX('Term investments'!$G:$G,ROW())),0)</f>
        <v/>
      </c>
      <c r="H1052">
        <f>IFERROR(--INDEX('Term investments'!$H:$H,ROW()),0)</f>
        <v/>
      </c>
      <c r="I1052">
        <f>IF(ISNUMBER(INDEX('Term investments'!$G:$G,ROW())),1,0)</f>
        <v/>
      </c>
      <c r="J1052">
        <f>TRIM(SUBSTITUTE(INDEX('Call accounts and MMFs'!$A:$A,ROW())&amp;""," "," "))</f>
        <v/>
      </c>
      <c r="K1052">
        <f>TRIM(SUBSTITUTE(INDEX('Call accounts and MMFs'!$B:$B,ROW())&amp;""," "," "))</f>
        <v/>
      </c>
      <c r="L1052">
        <f>TRIM(SUBSTITUTE(INDEX('Call accounts and MMFs'!$C:$C,ROW())&amp;""," "," "))</f>
        <v/>
      </c>
      <c r="M1052">
        <f>IFERROR(--INDEX('Call accounts and MMFs'!$D:$D,ROW()),0)</f>
        <v/>
      </c>
      <c r="N1052">
        <f>IFERROR(IF(--INDEX('Call accounts and MMFs'!$E:$E,ROW())&gt;=1,--INDEX('Call accounts and MMFs'!$E:$E,ROW())/100,--INDEX('Call accounts and MMFs'!$E:$E,ROW())),0)</f>
        <v/>
      </c>
      <c r="O1052">
        <f>IFERROR(--INDEX('Call accounts and MMFs'!$F:$F,ROW()),0)</f>
        <v/>
      </c>
      <c r="P1052">
        <f>IF(ISNUMBER(INDEX('Call accounts and MMFs'!$E:$E,ROW())),1,0)</f>
        <v/>
      </c>
      <c r="Q1052">
        <f>TRIM(SUBSTITUTE(INDEX('Pooled funds'!$B:$B,ROW())&amp;""," "," "))</f>
        <v/>
      </c>
      <c r="R1052">
        <f>IFERROR(--INDEX('Pooled funds'!$C:$C,ROW()),0)</f>
        <v/>
      </c>
      <c r="S1052">
        <f>IFERROR(--INDEX('Pooled funds'!$D:$D,ROW()),0)</f>
        <v/>
      </c>
      <c r="T1052">
        <f>IFERROR(IF(--INDEX('Pooled funds'!$E:$E,ROW())&gt;=1,--INDEX('Pooled funds'!$E:$E,ROW())/100,--INDEX('Pooled funds'!$E:$E,ROW())),0)</f>
        <v/>
      </c>
      <c r="U1052">
        <f>IF(ISNUMBER(INDEX('Pooled funds'!$E:$E,ROW())),1,0)</f>
        <v/>
      </c>
    </row>
    <row r="1053">
      <c r="A1053">
        <f>TRIM(SUBSTITUTE(INDEX('Term investments'!$A:$A,ROW())&amp;""," "," "))</f>
        <v/>
      </c>
      <c r="B1053">
        <f>TRIM(SUBSTITUTE(INDEX('Term investments'!$B:$B,ROW())&amp;""," "," "))</f>
        <v/>
      </c>
      <c r="C1053">
        <f>TRIM(SUBSTITUTE(INDEX('Term investments'!$C:$C,ROW())&amp;""," "," "))</f>
        <v/>
      </c>
      <c r="D1053">
        <f>IFERROR(--INDEX('Term investments'!$D:$D,ROW()),0)</f>
        <v/>
      </c>
      <c r="E1053">
        <f>IFERROR(--INDEX('Term investments'!$E:$E,ROW()),0)</f>
        <v/>
      </c>
      <c r="F1053">
        <f>IFERROR(--INDEX('Term investments'!$F:$F,ROW()),0)</f>
        <v/>
      </c>
      <c r="G1053">
        <f>IFERROR(IF(--INDEX('Term investments'!$G:$G,ROW())&gt;=1,--INDEX('Term investments'!$G:$G,ROW())/100,--INDEX('Term investments'!$G:$G,ROW())),0)</f>
        <v/>
      </c>
      <c r="H1053">
        <f>IFERROR(--INDEX('Term investments'!$H:$H,ROW()),0)</f>
        <v/>
      </c>
      <c r="I1053">
        <f>IF(ISNUMBER(INDEX('Term investments'!$G:$G,ROW())),1,0)</f>
        <v/>
      </c>
      <c r="J1053">
        <f>TRIM(SUBSTITUTE(INDEX('Call accounts and MMFs'!$A:$A,ROW())&amp;""," "," "))</f>
        <v/>
      </c>
      <c r="K1053">
        <f>TRIM(SUBSTITUTE(INDEX('Call accounts and MMFs'!$B:$B,ROW())&amp;""," "," "))</f>
        <v/>
      </c>
      <c r="L1053">
        <f>TRIM(SUBSTITUTE(INDEX('Call accounts and MMFs'!$C:$C,ROW())&amp;""," "," "))</f>
        <v/>
      </c>
      <c r="M1053">
        <f>IFERROR(--INDEX('Call accounts and MMFs'!$D:$D,ROW()),0)</f>
        <v/>
      </c>
      <c r="N1053">
        <f>IFERROR(IF(--INDEX('Call accounts and MMFs'!$E:$E,ROW())&gt;=1,--INDEX('Call accounts and MMFs'!$E:$E,ROW())/100,--INDEX('Call accounts and MMFs'!$E:$E,ROW())),0)</f>
        <v/>
      </c>
      <c r="O1053">
        <f>IFERROR(--INDEX('Call accounts and MMFs'!$F:$F,ROW()),0)</f>
        <v/>
      </c>
      <c r="P1053">
        <f>IF(ISNUMBER(INDEX('Call accounts and MMFs'!$E:$E,ROW())),1,0)</f>
        <v/>
      </c>
      <c r="Q1053">
        <f>TRIM(SUBSTITUTE(INDEX('Pooled funds'!$B:$B,ROW())&amp;""," "," "))</f>
        <v/>
      </c>
      <c r="R1053">
        <f>IFERROR(--INDEX('Pooled funds'!$C:$C,ROW()),0)</f>
        <v/>
      </c>
      <c r="S1053">
        <f>IFERROR(--INDEX('Pooled funds'!$D:$D,ROW()),0)</f>
        <v/>
      </c>
      <c r="T1053">
        <f>IFERROR(IF(--INDEX('Pooled funds'!$E:$E,ROW())&gt;=1,--INDEX('Pooled funds'!$E:$E,ROW())/100,--INDEX('Pooled funds'!$E:$E,ROW())),0)</f>
        <v/>
      </c>
      <c r="U1053">
        <f>IF(ISNUMBER(INDEX('Pooled funds'!$E:$E,ROW())),1,0)</f>
        <v/>
      </c>
    </row>
    <row r="1054">
      <c r="A1054">
        <f>TRIM(SUBSTITUTE(INDEX('Term investments'!$A:$A,ROW())&amp;""," "," "))</f>
        <v/>
      </c>
      <c r="B1054">
        <f>TRIM(SUBSTITUTE(INDEX('Term investments'!$B:$B,ROW())&amp;""," "," "))</f>
        <v/>
      </c>
      <c r="C1054">
        <f>TRIM(SUBSTITUTE(INDEX('Term investments'!$C:$C,ROW())&amp;""," "," "))</f>
        <v/>
      </c>
      <c r="D1054">
        <f>IFERROR(--INDEX('Term investments'!$D:$D,ROW()),0)</f>
        <v/>
      </c>
      <c r="E1054">
        <f>IFERROR(--INDEX('Term investments'!$E:$E,ROW()),0)</f>
        <v/>
      </c>
      <c r="F1054">
        <f>IFERROR(--INDEX('Term investments'!$F:$F,ROW()),0)</f>
        <v/>
      </c>
      <c r="G1054">
        <f>IFERROR(IF(--INDEX('Term investments'!$G:$G,ROW())&gt;=1,--INDEX('Term investments'!$G:$G,ROW())/100,--INDEX('Term investments'!$G:$G,ROW())),0)</f>
        <v/>
      </c>
      <c r="H1054">
        <f>IFERROR(--INDEX('Term investments'!$H:$H,ROW()),0)</f>
        <v/>
      </c>
      <c r="I1054">
        <f>IF(ISNUMBER(INDEX('Term investments'!$G:$G,ROW())),1,0)</f>
        <v/>
      </c>
      <c r="J1054">
        <f>TRIM(SUBSTITUTE(INDEX('Call accounts and MMFs'!$A:$A,ROW())&amp;""," "," "))</f>
        <v/>
      </c>
      <c r="K1054">
        <f>TRIM(SUBSTITUTE(INDEX('Call accounts and MMFs'!$B:$B,ROW())&amp;""," "," "))</f>
        <v/>
      </c>
      <c r="L1054">
        <f>TRIM(SUBSTITUTE(INDEX('Call accounts and MMFs'!$C:$C,ROW())&amp;""," "," "))</f>
        <v/>
      </c>
      <c r="M1054">
        <f>IFERROR(--INDEX('Call accounts and MMFs'!$D:$D,ROW()),0)</f>
        <v/>
      </c>
      <c r="N1054">
        <f>IFERROR(IF(--INDEX('Call accounts and MMFs'!$E:$E,ROW())&gt;=1,--INDEX('Call accounts and MMFs'!$E:$E,ROW())/100,--INDEX('Call accounts and MMFs'!$E:$E,ROW())),0)</f>
        <v/>
      </c>
      <c r="O1054">
        <f>IFERROR(--INDEX('Call accounts and MMFs'!$F:$F,ROW()),0)</f>
        <v/>
      </c>
      <c r="P1054">
        <f>IF(ISNUMBER(INDEX('Call accounts and MMFs'!$E:$E,ROW())),1,0)</f>
        <v/>
      </c>
      <c r="Q1054">
        <f>TRIM(SUBSTITUTE(INDEX('Pooled funds'!$B:$B,ROW())&amp;""," "," "))</f>
        <v/>
      </c>
      <c r="R1054">
        <f>IFERROR(--INDEX('Pooled funds'!$C:$C,ROW()),0)</f>
        <v/>
      </c>
      <c r="S1054">
        <f>IFERROR(--INDEX('Pooled funds'!$D:$D,ROW()),0)</f>
        <v/>
      </c>
      <c r="T1054">
        <f>IFERROR(IF(--INDEX('Pooled funds'!$E:$E,ROW())&gt;=1,--INDEX('Pooled funds'!$E:$E,ROW())/100,--INDEX('Pooled funds'!$E:$E,ROW())),0)</f>
        <v/>
      </c>
      <c r="U1054">
        <f>IF(ISNUMBER(INDEX('Pooled funds'!$E:$E,ROW())),1,0)</f>
        <v/>
      </c>
    </row>
    <row r="1055">
      <c r="A1055">
        <f>TRIM(SUBSTITUTE(INDEX('Term investments'!$A:$A,ROW())&amp;""," "," "))</f>
        <v/>
      </c>
      <c r="B1055">
        <f>TRIM(SUBSTITUTE(INDEX('Term investments'!$B:$B,ROW())&amp;""," "," "))</f>
        <v/>
      </c>
      <c r="C1055">
        <f>TRIM(SUBSTITUTE(INDEX('Term investments'!$C:$C,ROW())&amp;""," "," "))</f>
        <v/>
      </c>
      <c r="D1055">
        <f>IFERROR(--INDEX('Term investments'!$D:$D,ROW()),0)</f>
        <v/>
      </c>
      <c r="E1055">
        <f>IFERROR(--INDEX('Term investments'!$E:$E,ROW()),0)</f>
        <v/>
      </c>
      <c r="F1055">
        <f>IFERROR(--INDEX('Term investments'!$F:$F,ROW()),0)</f>
        <v/>
      </c>
      <c r="G1055">
        <f>IFERROR(IF(--INDEX('Term investments'!$G:$G,ROW())&gt;=1,--INDEX('Term investments'!$G:$G,ROW())/100,--INDEX('Term investments'!$G:$G,ROW())),0)</f>
        <v/>
      </c>
      <c r="H1055">
        <f>IFERROR(--INDEX('Term investments'!$H:$H,ROW()),0)</f>
        <v/>
      </c>
      <c r="I1055">
        <f>IF(ISNUMBER(INDEX('Term investments'!$G:$G,ROW())),1,0)</f>
        <v/>
      </c>
      <c r="J1055">
        <f>TRIM(SUBSTITUTE(INDEX('Call accounts and MMFs'!$A:$A,ROW())&amp;""," "," "))</f>
        <v/>
      </c>
      <c r="K1055">
        <f>TRIM(SUBSTITUTE(INDEX('Call accounts and MMFs'!$B:$B,ROW())&amp;""," "," "))</f>
        <v/>
      </c>
      <c r="L1055">
        <f>TRIM(SUBSTITUTE(INDEX('Call accounts and MMFs'!$C:$C,ROW())&amp;""," "," "))</f>
        <v/>
      </c>
      <c r="M1055">
        <f>IFERROR(--INDEX('Call accounts and MMFs'!$D:$D,ROW()),0)</f>
        <v/>
      </c>
      <c r="N1055">
        <f>IFERROR(IF(--INDEX('Call accounts and MMFs'!$E:$E,ROW())&gt;=1,--INDEX('Call accounts and MMFs'!$E:$E,ROW())/100,--INDEX('Call accounts and MMFs'!$E:$E,ROW())),0)</f>
        <v/>
      </c>
      <c r="O1055">
        <f>IFERROR(--INDEX('Call accounts and MMFs'!$F:$F,ROW()),0)</f>
        <v/>
      </c>
      <c r="P1055">
        <f>IF(ISNUMBER(INDEX('Call accounts and MMFs'!$E:$E,ROW())),1,0)</f>
        <v/>
      </c>
      <c r="Q1055">
        <f>TRIM(SUBSTITUTE(INDEX('Pooled funds'!$B:$B,ROW())&amp;""," "," "))</f>
        <v/>
      </c>
      <c r="R1055">
        <f>IFERROR(--INDEX('Pooled funds'!$C:$C,ROW()),0)</f>
        <v/>
      </c>
      <c r="S1055">
        <f>IFERROR(--INDEX('Pooled funds'!$D:$D,ROW()),0)</f>
        <v/>
      </c>
      <c r="T1055">
        <f>IFERROR(IF(--INDEX('Pooled funds'!$E:$E,ROW())&gt;=1,--INDEX('Pooled funds'!$E:$E,ROW())/100,--INDEX('Pooled funds'!$E:$E,ROW())),0)</f>
        <v/>
      </c>
      <c r="U1055">
        <f>IF(ISNUMBER(INDEX('Pooled funds'!$E:$E,ROW())),1,0)</f>
        <v/>
      </c>
    </row>
    <row r="1056">
      <c r="A1056">
        <f>TRIM(SUBSTITUTE(INDEX('Term investments'!$A:$A,ROW())&amp;""," "," "))</f>
        <v/>
      </c>
      <c r="B1056">
        <f>TRIM(SUBSTITUTE(INDEX('Term investments'!$B:$B,ROW())&amp;""," "," "))</f>
        <v/>
      </c>
      <c r="C1056">
        <f>TRIM(SUBSTITUTE(INDEX('Term investments'!$C:$C,ROW())&amp;""," "," "))</f>
        <v/>
      </c>
      <c r="D1056">
        <f>IFERROR(--INDEX('Term investments'!$D:$D,ROW()),0)</f>
        <v/>
      </c>
      <c r="E1056">
        <f>IFERROR(--INDEX('Term investments'!$E:$E,ROW()),0)</f>
        <v/>
      </c>
      <c r="F1056">
        <f>IFERROR(--INDEX('Term investments'!$F:$F,ROW()),0)</f>
        <v/>
      </c>
      <c r="G1056">
        <f>IFERROR(IF(--INDEX('Term investments'!$G:$G,ROW())&gt;=1,--INDEX('Term investments'!$G:$G,ROW())/100,--INDEX('Term investments'!$G:$G,ROW())),0)</f>
        <v/>
      </c>
      <c r="H1056">
        <f>IFERROR(--INDEX('Term investments'!$H:$H,ROW()),0)</f>
        <v/>
      </c>
      <c r="I1056">
        <f>IF(ISNUMBER(INDEX('Term investments'!$G:$G,ROW())),1,0)</f>
        <v/>
      </c>
      <c r="J1056">
        <f>TRIM(SUBSTITUTE(INDEX('Call accounts and MMFs'!$A:$A,ROW())&amp;""," "," "))</f>
        <v/>
      </c>
      <c r="K1056">
        <f>TRIM(SUBSTITUTE(INDEX('Call accounts and MMFs'!$B:$B,ROW())&amp;""," "," "))</f>
        <v/>
      </c>
      <c r="L1056">
        <f>TRIM(SUBSTITUTE(INDEX('Call accounts and MMFs'!$C:$C,ROW())&amp;""," "," "))</f>
        <v/>
      </c>
      <c r="M1056">
        <f>IFERROR(--INDEX('Call accounts and MMFs'!$D:$D,ROW()),0)</f>
        <v/>
      </c>
      <c r="N1056">
        <f>IFERROR(IF(--INDEX('Call accounts and MMFs'!$E:$E,ROW())&gt;=1,--INDEX('Call accounts and MMFs'!$E:$E,ROW())/100,--INDEX('Call accounts and MMFs'!$E:$E,ROW())),0)</f>
        <v/>
      </c>
      <c r="O1056">
        <f>IFERROR(--INDEX('Call accounts and MMFs'!$F:$F,ROW()),0)</f>
        <v/>
      </c>
      <c r="P1056">
        <f>IF(ISNUMBER(INDEX('Call accounts and MMFs'!$E:$E,ROW())),1,0)</f>
        <v/>
      </c>
      <c r="Q1056">
        <f>TRIM(SUBSTITUTE(INDEX('Pooled funds'!$B:$B,ROW())&amp;""," "," "))</f>
        <v/>
      </c>
      <c r="R1056">
        <f>IFERROR(--INDEX('Pooled funds'!$C:$C,ROW()),0)</f>
        <v/>
      </c>
      <c r="S1056">
        <f>IFERROR(--INDEX('Pooled funds'!$D:$D,ROW()),0)</f>
        <v/>
      </c>
      <c r="T1056">
        <f>IFERROR(IF(--INDEX('Pooled funds'!$E:$E,ROW())&gt;=1,--INDEX('Pooled funds'!$E:$E,ROW())/100,--INDEX('Pooled funds'!$E:$E,ROW())),0)</f>
        <v/>
      </c>
      <c r="U1056">
        <f>IF(ISNUMBER(INDEX('Pooled funds'!$E:$E,ROW())),1,0)</f>
        <v/>
      </c>
    </row>
    <row r="1057">
      <c r="A1057">
        <f>TRIM(SUBSTITUTE(INDEX('Term investments'!$A:$A,ROW())&amp;""," "," "))</f>
        <v/>
      </c>
      <c r="B1057">
        <f>TRIM(SUBSTITUTE(INDEX('Term investments'!$B:$B,ROW())&amp;""," "," "))</f>
        <v/>
      </c>
      <c r="C1057">
        <f>TRIM(SUBSTITUTE(INDEX('Term investments'!$C:$C,ROW())&amp;""," "," "))</f>
        <v/>
      </c>
      <c r="D1057">
        <f>IFERROR(--INDEX('Term investments'!$D:$D,ROW()),0)</f>
        <v/>
      </c>
      <c r="E1057">
        <f>IFERROR(--INDEX('Term investments'!$E:$E,ROW()),0)</f>
        <v/>
      </c>
      <c r="F1057">
        <f>IFERROR(--INDEX('Term investments'!$F:$F,ROW()),0)</f>
        <v/>
      </c>
      <c r="G1057">
        <f>IFERROR(IF(--INDEX('Term investments'!$G:$G,ROW())&gt;=1,--INDEX('Term investments'!$G:$G,ROW())/100,--INDEX('Term investments'!$G:$G,ROW())),0)</f>
        <v/>
      </c>
      <c r="H1057">
        <f>IFERROR(--INDEX('Term investments'!$H:$H,ROW()),0)</f>
        <v/>
      </c>
      <c r="I1057">
        <f>IF(ISNUMBER(INDEX('Term investments'!$G:$G,ROW())),1,0)</f>
        <v/>
      </c>
      <c r="J1057">
        <f>TRIM(SUBSTITUTE(INDEX('Call accounts and MMFs'!$A:$A,ROW())&amp;""," "," "))</f>
        <v/>
      </c>
      <c r="K1057">
        <f>TRIM(SUBSTITUTE(INDEX('Call accounts and MMFs'!$B:$B,ROW())&amp;""," "," "))</f>
        <v/>
      </c>
      <c r="L1057">
        <f>TRIM(SUBSTITUTE(INDEX('Call accounts and MMFs'!$C:$C,ROW())&amp;""," "," "))</f>
        <v/>
      </c>
      <c r="M1057">
        <f>IFERROR(--INDEX('Call accounts and MMFs'!$D:$D,ROW()),0)</f>
        <v/>
      </c>
      <c r="N1057">
        <f>IFERROR(IF(--INDEX('Call accounts and MMFs'!$E:$E,ROW())&gt;=1,--INDEX('Call accounts and MMFs'!$E:$E,ROW())/100,--INDEX('Call accounts and MMFs'!$E:$E,ROW())),0)</f>
        <v/>
      </c>
      <c r="O1057">
        <f>IFERROR(--INDEX('Call accounts and MMFs'!$F:$F,ROW()),0)</f>
        <v/>
      </c>
      <c r="P1057">
        <f>IF(ISNUMBER(INDEX('Call accounts and MMFs'!$E:$E,ROW())),1,0)</f>
        <v/>
      </c>
      <c r="Q1057">
        <f>TRIM(SUBSTITUTE(INDEX('Pooled funds'!$B:$B,ROW())&amp;""," "," "))</f>
        <v/>
      </c>
      <c r="R1057">
        <f>IFERROR(--INDEX('Pooled funds'!$C:$C,ROW()),0)</f>
        <v/>
      </c>
      <c r="S1057">
        <f>IFERROR(--INDEX('Pooled funds'!$D:$D,ROW()),0)</f>
        <v/>
      </c>
      <c r="T1057">
        <f>IFERROR(IF(--INDEX('Pooled funds'!$E:$E,ROW())&gt;=1,--INDEX('Pooled funds'!$E:$E,ROW())/100,--INDEX('Pooled funds'!$E:$E,ROW())),0)</f>
        <v/>
      </c>
      <c r="U1057">
        <f>IF(ISNUMBER(INDEX('Pooled funds'!$E:$E,ROW())),1,0)</f>
        <v/>
      </c>
    </row>
    <row r="1058">
      <c r="A1058">
        <f>TRIM(SUBSTITUTE(INDEX('Term investments'!$A:$A,ROW())&amp;""," "," "))</f>
        <v/>
      </c>
      <c r="B1058">
        <f>TRIM(SUBSTITUTE(INDEX('Term investments'!$B:$B,ROW())&amp;""," "," "))</f>
        <v/>
      </c>
      <c r="C1058">
        <f>TRIM(SUBSTITUTE(INDEX('Term investments'!$C:$C,ROW())&amp;""," "," "))</f>
        <v/>
      </c>
      <c r="D1058">
        <f>IFERROR(--INDEX('Term investments'!$D:$D,ROW()),0)</f>
        <v/>
      </c>
      <c r="E1058">
        <f>IFERROR(--INDEX('Term investments'!$E:$E,ROW()),0)</f>
        <v/>
      </c>
      <c r="F1058">
        <f>IFERROR(--INDEX('Term investments'!$F:$F,ROW()),0)</f>
        <v/>
      </c>
      <c r="G1058">
        <f>IFERROR(IF(--INDEX('Term investments'!$G:$G,ROW())&gt;=1,--INDEX('Term investments'!$G:$G,ROW())/100,--INDEX('Term investments'!$G:$G,ROW())),0)</f>
        <v/>
      </c>
      <c r="H1058">
        <f>IFERROR(--INDEX('Term investments'!$H:$H,ROW()),0)</f>
        <v/>
      </c>
      <c r="I1058">
        <f>IF(ISNUMBER(INDEX('Term investments'!$G:$G,ROW())),1,0)</f>
        <v/>
      </c>
      <c r="J1058">
        <f>TRIM(SUBSTITUTE(INDEX('Call accounts and MMFs'!$A:$A,ROW())&amp;""," "," "))</f>
        <v/>
      </c>
      <c r="K1058">
        <f>TRIM(SUBSTITUTE(INDEX('Call accounts and MMFs'!$B:$B,ROW())&amp;""," "," "))</f>
        <v/>
      </c>
      <c r="L1058">
        <f>TRIM(SUBSTITUTE(INDEX('Call accounts and MMFs'!$C:$C,ROW())&amp;""," "," "))</f>
        <v/>
      </c>
      <c r="M1058">
        <f>IFERROR(--INDEX('Call accounts and MMFs'!$D:$D,ROW()),0)</f>
        <v/>
      </c>
      <c r="N1058">
        <f>IFERROR(IF(--INDEX('Call accounts and MMFs'!$E:$E,ROW())&gt;=1,--INDEX('Call accounts and MMFs'!$E:$E,ROW())/100,--INDEX('Call accounts and MMFs'!$E:$E,ROW())),0)</f>
        <v/>
      </c>
      <c r="O1058">
        <f>IFERROR(--INDEX('Call accounts and MMFs'!$F:$F,ROW()),0)</f>
        <v/>
      </c>
      <c r="P1058">
        <f>IF(ISNUMBER(INDEX('Call accounts and MMFs'!$E:$E,ROW())),1,0)</f>
        <v/>
      </c>
      <c r="Q1058">
        <f>TRIM(SUBSTITUTE(INDEX('Pooled funds'!$B:$B,ROW())&amp;""," "," "))</f>
        <v/>
      </c>
      <c r="R1058">
        <f>IFERROR(--INDEX('Pooled funds'!$C:$C,ROW()),0)</f>
        <v/>
      </c>
      <c r="S1058">
        <f>IFERROR(--INDEX('Pooled funds'!$D:$D,ROW()),0)</f>
        <v/>
      </c>
      <c r="T1058">
        <f>IFERROR(IF(--INDEX('Pooled funds'!$E:$E,ROW())&gt;=1,--INDEX('Pooled funds'!$E:$E,ROW())/100,--INDEX('Pooled funds'!$E:$E,ROW())),0)</f>
        <v/>
      </c>
      <c r="U1058">
        <f>IF(ISNUMBER(INDEX('Pooled funds'!$E:$E,ROW())),1,0)</f>
        <v/>
      </c>
    </row>
    <row r="1059">
      <c r="A1059">
        <f>TRIM(SUBSTITUTE(INDEX('Term investments'!$A:$A,ROW())&amp;""," "," "))</f>
        <v/>
      </c>
      <c r="B1059">
        <f>TRIM(SUBSTITUTE(INDEX('Term investments'!$B:$B,ROW())&amp;""," "," "))</f>
        <v/>
      </c>
      <c r="C1059">
        <f>TRIM(SUBSTITUTE(INDEX('Term investments'!$C:$C,ROW())&amp;""," "," "))</f>
        <v/>
      </c>
      <c r="D1059">
        <f>IFERROR(--INDEX('Term investments'!$D:$D,ROW()),0)</f>
        <v/>
      </c>
      <c r="E1059">
        <f>IFERROR(--INDEX('Term investments'!$E:$E,ROW()),0)</f>
        <v/>
      </c>
      <c r="F1059">
        <f>IFERROR(--INDEX('Term investments'!$F:$F,ROW()),0)</f>
        <v/>
      </c>
      <c r="G1059">
        <f>IFERROR(IF(--INDEX('Term investments'!$G:$G,ROW())&gt;=1,--INDEX('Term investments'!$G:$G,ROW())/100,--INDEX('Term investments'!$G:$G,ROW())),0)</f>
        <v/>
      </c>
      <c r="H1059">
        <f>IFERROR(--INDEX('Term investments'!$H:$H,ROW()),0)</f>
        <v/>
      </c>
      <c r="I1059">
        <f>IF(ISNUMBER(INDEX('Term investments'!$G:$G,ROW())),1,0)</f>
        <v/>
      </c>
      <c r="J1059">
        <f>TRIM(SUBSTITUTE(INDEX('Call accounts and MMFs'!$A:$A,ROW())&amp;""," "," "))</f>
        <v/>
      </c>
      <c r="K1059">
        <f>TRIM(SUBSTITUTE(INDEX('Call accounts and MMFs'!$B:$B,ROW())&amp;""," "," "))</f>
        <v/>
      </c>
      <c r="L1059">
        <f>TRIM(SUBSTITUTE(INDEX('Call accounts and MMFs'!$C:$C,ROW())&amp;""," "," "))</f>
        <v/>
      </c>
      <c r="M1059">
        <f>IFERROR(--INDEX('Call accounts and MMFs'!$D:$D,ROW()),0)</f>
        <v/>
      </c>
      <c r="N1059">
        <f>IFERROR(IF(--INDEX('Call accounts and MMFs'!$E:$E,ROW())&gt;=1,--INDEX('Call accounts and MMFs'!$E:$E,ROW())/100,--INDEX('Call accounts and MMFs'!$E:$E,ROW())),0)</f>
        <v/>
      </c>
      <c r="O1059">
        <f>IFERROR(--INDEX('Call accounts and MMFs'!$F:$F,ROW()),0)</f>
        <v/>
      </c>
      <c r="P1059">
        <f>IF(ISNUMBER(INDEX('Call accounts and MMFs'!$E:$E,ROW())),1,0)</f>
        <v/>
      </c>
      <c r="Q1059">
        <f>TRIM(SUBSTITUTE(INDEX('Pooled funds'!$B:$B,ROW())&amp;""," "," "))</f>
        <v/>
      </c>
      <c r="R1059">
        <f>IFERROR(--INDEX('Pooled funds'!$C:$C,ROW()),0)</f>
        <v/>
      </c>
      <c r="S1059">
        <f>IFERROR(--INDEX('Pooled funds'!$D:$D,ROW()),0)</f>
        <v/>
      </c>
      <c r="T1059">
        <f>IFERROR(IF(--INDEX('Pooled funds'!$E:$E,ROW())&gt;=1,--INDEX('Pooled funds'!$E:$E,ROW())/100,--INDEX('Pooled funds'!$E:$E,ROW())),0)</f>
        <v/>
      </c>
      <c r="U1059">
        <f>IF(ISNUMBER(INDEX('Pooled funds'!$E:$E,ROW())),1,0)</f>
        <v/>
      </c>
    </row>
    <row r="1060">
      <c r="A1060">
        <f>TRIM(SUBSTITUTE(INDEX('Term investments'!$A:$A,ROW())&amp;""," "," "))</f>
        <v/>
      </c>
      <c r="B1060">
        <f>TRIM(SUBSTITUTE(INDEX('Term investments'!$B:$B,ROW())&amp;""," "," "))</f>
        <v/>
      </c>
      <c r="C1060">
        <f>TRIM(SUBSTITUTE(INDEX('Term investments'!$C:$C,ROW())&amp;""," "," "))</f>
        <v/>
      </c>
      <c r="D1060">
        <f>IFERROR(--INDEX('Term investments'!$D:$D,ROW()),0)</f>
        <v/>
      </c>
      <c r="E1060">
        <f>IFERROR(--INDEX('Term investments'!$E:$E,ROW()),0)</f>
        <v/>
      </c>
      <c r="F1060">
        <f>IFERROR(--INDEX('Term investments'!$F:$F,ROW()),0)</f>
        <v/>
      </c>
      <c r="G1060">
        <f>IFERROR(IF(--INDEX('Term investments'!$G:$G,ROW())&gt;=1,--INDEX('Term investments'!$G:$G,ROW())/100,--INDEX('Term investments'!$G:$G,ROW())),0)</f>
        <v/>
      </c>
      <c r="H1060">
        <f>IFERROR(--INDEX('Term investments'!$H:$H,ROW()),0)</f>
        <v/>
      </c>
      <c r="I1060">
        <f>IF(ISNUMBER(INDEX('Term investments'!$G:$G,ROW())),1,0)</f>
        <v/>
      </c>
      <c r="J1060">
        <f>TRIM(SUBSTITUTE(INDEX('Call accounts and MMFs'!$A:$A,ROW())&amp;""," "," "))</f>
        <v/>
      </c>
      <c r="K1060">
        <f>TRIM(SUBSTITUTE(INDEX('Call accounts and MMFs'!$B:$B,ROW())&amp;""," "," "))</f>
        <v/>
      </c>
      <c r="L1060">
        <f>TRIM(SUBSTITUTE(INDEX('Call accounts and MMFs'!$C:$C,ROW())&amp;""," "," "))</f>
        <v/>
      </c>
      <c r="M1060">
        <f>IFERROR(--INDEX('Call accounts and MMFs'!$D:$D,ROW()),0)</f>
        <v/>
      </c>
      <c r="N1060">
        <f>IFERROR(IF(--INDEX('Call accounts and MMFs'!$E:$E,ROW())&gt;=1,--INDEX('Call accounts and MMFs'!$E:$E,ROW())/100,--INDEX('Call accounts and MMFs'!$E:$E,ROW())),0)</f>
        <v/>
      </c>
      <c r="O1060">
        <f>IFERROR(--INDEX('Call accounts and MMFs'!$F:$F,ROW()),0)</f>
        <v/>
      </c>
      <c r="P1060">
        <f>IF(ISNUMBER(INDEX('Call accounts and MMFs'!$E:$E,ROW())),1,0)</f>
        <v/>
      </c>
      <c r="Q1060">
        <f>TRIM(SUBSTITUTE(INDEX('Pooled funds'!$B:$B,ROW())&amp;""," "," "))</f>
        <v/>
      </c>
      <c r="R1060">
        <f>IFERROR(--INDEX('Pooled funds'!$C:$C,ROW()),0)</f>
        <v/>
      </c>
      <c r="S1060">
        <f>IFERROR(--INDEX('Pooled funds'!$D:$D,ROW()),0)</f>
        <v/>
      </c>
      <c r="T1060">
        <f>IFERROR(IF(--INDEX('Pooled funds'!$E:$E,ROW())&gt;=1,--INDEX('Pooled funds'!$E:$E,ROW())/100,--INDEX('Pooled funds'!$E:$E,ROW())),0)</f>
        <v/>
      </c>
      <c r="U1060">
        <f>IF(ISNUMBER(INDEX('Pooled funds'!$E:$E,ROW())),1,0)</f>
        <v/>
      </c>
    </row>
    <row r="1061">
      <c r="A1061">
        <f>TRIM(SUBSTITUTE(INDEX('Term investments'!$A:$A,ROW())&amp;""," "," "))</f>
        <v/>
      </c>
      <c r="B1061">
        <f>TRIM(SUBSTITUTE(INDEX('Term investments'!$B:$B,ROW())&amp;""," "," "))</f>
        <v/>
      </c>
      <c r="C1061">
        <f>TRIM(SUBSTITUTE(INDEX('Term investments'!$C:$C,ROW())&amp;""," "," "))</f>
        <v/>
      </c>
      <c r="D1061">
        <f>IFERROR(--INDEX('Term investments'!$D:$D,ROW()),0)</f>
        <v/>
      </c>
      <c r="E1061">
        <f>IFERROR(--INDEX('Term investments'!$E:$E,ROW()),0)</f>
        <v/>
      </c>
      <c r="F1061">
        <f>IFERROR(--INDEX('Term investments'!$F:$F,ROW()),0)</f>
        <v/>
      </c>
      <c r="G1061">
        <f>IFERROR(IF(--INDEX('Term investments'!$G:$G,ROW())&gt;=1,--INDEX('Term investments'!$G:$G,ROW())/100,--INDEX('Term investments'!$G:$G,ROW())),0)</f>
        <v/>
      </c>
      <c r="H1061">
        <f>IFERROR(--INDEX('Term investments'!$H:$H,ROW()),0)</f>
        <v/>
      </c>
      <c r="I1061">
        <f>IF(ISNUMBER(INDEX('Term investments'!$G:$G,ROW())),1,0)</f>
        <v/>
      </c>
      <c r="J1061">
        <f>TRIM(SUBSTITUTE(INDEX('Call accounts and MMFs'!$A:$A,ROW())&amp;""," "," "))</f>
        <v/>
      </c>
      <c r="K1061">
        <f>TRIM(SUBSTITUTE(INDEX('Call accounts and MMFs'!$B:$B,ROW())&amp;""," "," "))</f>
        <v/>
      </c>
      <c r="L1061">
        <f>TRIM(SUBSTITUTE(INDEX('Call accounts and MMFs'!$C:$C,ROW())&amp;""," "," "))</f>
        <v/>
      </c>
      <c r="M1061">
        <f>IFERROR(--INDEX('Call accounts and MMFs'!$D:$D,ROW()),0)</f>
        <v/>
      </c>
      <c r="N1061">
        <f>IFERROR(IF(--INDEX('Call accounts and MMFs'!$E:$E,ROW())&gt;=1,--INDEX('Call accounts and MMFs'!$E:$E,ROW())/100,--INDEX('Call accounts and MMFs'!$E:$E,ROW())),0)</f>
        <v/>
      </c>
      <c r="O1061">
        <f>IFERROR(--INDEX('Call accounts and MMFs'!$F:$F,ROW()),0)</f>
        <v/>
      </c>
      <c r="P1061">
        <f>IF(ISNUMBER(INDEX('Call accounts and MMFs'!$E:$E,ROW())),1,0)</f>
        <v/>
      </c>
      <c r="Q1061">
        <f>TRIM(SUBSTITUTE(INDEX('Pooled funds'!$B:$B,ROW())&amp;""," "," "))</f>
        <v/>
      </c>
      <c r="R1061">
        <f>IFERROR(--INDEX('Pooled funds'!$C:$C,ROW()),0)</f>
        <v/>
      </c>
      <c r="S1061">
        <f>IFERROR(--INDEX('Pooled funds'!$D:$D,ROW()),0)</f>
        <v/>
      </c>
      <c r="T1061">
        <f>IFERROR(IF(--INDEX('Pooled funds'!$E:$E,ROW())&gt;=1,--INDEX('Pooled funds'!$E:$E,ROW())/100,--INDEX('Pooled funds'!$E:$E,ROW())),0)</f>
        <v/>
      </c>
      <c r="U1061">
        <f>IF(ISNUMBER(INDEX('Pooled funds'!$E:$E,ROW())),1,0)</f>
        <v/>
      </c>
    </row>
    <row r="1062">
      <c r="A1062">
        <f>TRIM(SUBSTITUTE(INDEX('Term investments'!$A:$A,ROW())&amp;""," "," "))</f>
        <v/>
      </c>
      <c r="B1062">
        <f>TRIM(SUBSTITUTE(INDEX('Term investments'!$B:$B,ROW())&amp;""," "," "))</f>
        <v/>
      </c>
      <c r="C1062">
        <f>TRIM(SUBSTITUTE(INDEX('Term investments'!$C:$C,ROW())&amp;""," "," "))</f>
        <v/>
      </c>
      <c r="D1062">
        <f>IFERROR(--INDEX('Term investments'!$D:$D,ROW()),0)</f>
        <v/>
      </c>
      <c r="E1062">
        <f>IFERROR(--INDEX('Term investments'!$E:$E,ROW()),0)</f>
        <v/>
      </c>
      <c r="F1062">
        <f>IFERROR(--INDEX('Term investments'!$F:$F,ROW()),0)</f>
        <v/>
      </c>
      <c r="G1062">
        <f>IFERROR(IF(--INDEX('Term investments'!$G:$G,ROW())&gt;=1,--INDEX('Term investments'!$G:$G,ROW())/100,--INDEX('Term investments'!$G:$G,ROW())),0)</f>
        <v/>
      </c>
      <c r="H1062">
        <f>IFERROR(--INDEX('Term investments'!$H:$H,ROW()),0)</f>
        <v/>
      </c>
      <c r="I1062">
        <f>IF(ISNUMBER(INDEX('Term investments'!$G:$G,ROW())),1,0)</f>
        <v/>
      </c>
      <c r="J1062">
        <f>TRIM(SUBSTITUTE(INDEX('Call accounts and MMFs'!$A:$A,ROW())&amp;""," "," "))</f>
        <v/>
      </c>
      <c r="K1062">
        <f>TRIM(SUBSTITUTE(INDEX('Call accounts and MMFs'!$B:$B,ROW())&amp;""," "," "))</f>
        <v/>
      </c>
      <c r="L1062">
        <f>TRIM(SUBSTITUTE(INDEX('Call accounts and MMFs'!$C:$C,ROW())&amp;""," "," "))</f>
        <v/>
      </c>
      <c r="M1062">
        <f>IFERROR(--INDEX('Call accounts and MMFs'!$D:$D,ROW()),0)</f>
        <v/>
      </c>
      <c r="N1062">
        <f>IFERROR(IF(--INDEX('Call accounts and MMFs'!$E:$E,ROW())&gt;=1,--INDEX('Call accounts and MMFs'!$E:$E,ROW())/100,--INDEX('Call accounts and MMFs'!$E:$E,ROW())),0)</f>
        <v/>
      </c>
      <c r="O1062">
        <f>IFERROR(--INDEX('Call accounts and MMFs'!$F:$F,ROW()),0)</f>
        <v/>
      </c>
      <c r="P1062">
        <f>IF(ISNUMBER(INDEX('Call accounts and MMFs'!$E:$E,ROW())),1,0)</f>
        <v/>
      </c>
      <c r="Q1062">
        <f>TRIM(SUBSTITUTE(INDEX('Pooled funds'!$B:$B,ROW())&amp;""," "," "))</f>
        <v/>
      </c>
      <c r="R1062">
        <f>IFERROR(--INDEX('Pooled funds'!$C:$C,ROW()),0)</f>
        <v/>
      </c>
      <c r="S1062">
        <f>IFERROR(--INDEX('Pooled funds'!$D:$D,ROW()),0)</f>
        <v/>
      </c>
      <c r="T1062">
        <f>IFERROR(IF(--INDEX('Pooled funds'!$E:$E,ROW())&gt;=1,--INDEX('Pooled funds'!$E:$E,ROW())/100,--INDEX('Pooled funds'!$E:$E,ROW())),0)</f>
        <v/>
      </c>
      <c r="U1062">
        <f>IF(ISNUMBER(INDEX('Pooled funds'!$E:$E,ROW())),1,0)</f>
        <v/>
      </c>
    </row>
    <row r="1063">
      <c r="A1063">
        <f>TRIM(SUBSTITUTE(INDEX('Term investments'!$A:$A,ROW())&amp;""," "," "))</f>
        <v/>
      </c>
      <c r="B1063">
        <f>TRIM(SUBSTITUTE(INDEX('Term investments'!$B:$B,ROW())&amp;""," "," "))</f>
        <v/>
      </c>
      <c r="C1063">
        <f>TRIM(SUBSTITUTE(INDEX('Term investments'!$C:$C,ROW())&amp;""," "," "))</f>
        <v/>
      </c>
      <c r="D1063">
        <f>IFERROR(--INDEX('Term investments'!$D:$D,ROW()),0)</f>
        <v/>
      </c>
      <c r="E1063">
        <f>IFERROR(--INDEX('Term investments'!$E:$E,ROW()),0)</f>
        <v/>
      </c>
      <c r="F1063">
        <f>IFERROR(--INDEX('Term investments'!$F:$F,ROW()),0)</f>
        <v/>
      </c>
      <c r="G1063">
        <f>IFERROR(IF(--INDEX('Term investments'!$G:$G,ROW())&gt;=1,--INDEX('Term investments'!$G:$G,ROW())/100,--INDEX('Term investments'!$G:$G,ROW())),0)</f>
        <v/>
      </c>
      <c r="H1063">
        <f>IFERROR(--INDEX('Term investments'!$H:$H,ROW()),0)</f>
        <v/>
      </c>
      <c r="I1063">
        <f>IF(ISNUMBER(INDEX('Term investments'!$G:$G,ROW())),1,0)</f>
        <v/>
      </c>
      <c r="J1063">
        <f>TRIM(SUBSTITUTE(INDEX('Call accounts and MMFs'!$A:$A,ROW())&amp;""," "," "))</f>
        <v/>
      </c>
      <c r="K1063">
        <f>TRIM(SUBSTITUTE(INDEX('Call accounts and MMFs'!$B:$B,ROW())&amp;""," "," "))</f>
        <v/>
      </c>
      <c r="L1063">
        <f>TRIM(SUBSTITUTE(INDEX('Call accounts and MMFs'!$C:$C,ROW())&amp;""," "," "))</f>
        <v/>
      </c>
      <c r="M1063">
        <f>IFERROR(--INDEX('Call accounts and MMFs'!$D:$D,ROW()),0)</f>
        <v/>
      </c>
      <c r="N1063">
        <f>IFERROR(IF(--INDEX('Call accounts and MMFs'!$E:$E,ROW())&gt;=1,--INDEX('Call accounts and MMFs'!$E:$E,ROW())/100,--INDEX('Call accounts and MMFs'!$E:$E,ROW())),0)</f>
        <v/>
      </c>
      <c r="O1063">
        <f>IFERROR(--INDEX('Call accounts and MMFs'!$F:$F,ROW()),0)</f>
        <v/>
      </c>
      <c r="P1063">
        <f>IF(ISNUMBER(INDEX('Call accounts and MMFs'!$E:$E,ROW())),1,0)</f>
        <v/>
      </c>
      <c r="Q1063">
        <f>TRIM(SUBSTITUTE(INDEX('Pooled funds'!$B:$B,ROW())&amp;""," "," "))</f>
        <v/>
      </c>
      <c r="R1063">
        <f>IFERROR(--INDEX('Pooled funds'!$C:$C,ROW()),0)</f>
        <v/>
      </c>
      <c r="S1063">
        <f>IFERROR(--INDEX('Pooled funds'!$D:$D,ROW()),0)</f>
        <v/>
      </c>
      <c r="T1063">
        <f>IFERROR(IF(--INDEX('Pooled funds'!$E:$E,ROW())&gt;=1,--INDEX('Pooled funds'!$E:$E,ROW())/100,--INDEX('Pooled funds'!$E:$E,ROW())),0)</f>
        <v/>
      </c>
      <c r="U1063">
        <f>IF(ISNUMBER(INDEX('Pooled funds'!$E:$E,ROW())),1,0)</f>
        <v/>
      </c>
    </row>
    <row r="1064">
      <c r="A1064">
        <f>TRIM(SUBSTITUTE(INDEX('Term investments'!$A:$A,ROW())&amp;""," "," "))</f>
        <v/>
      </c>
      <c r="B1064">
        <f>TRIM(SUBSTITUTE(INDEX('Term investments'!$B:$B,ROW())&amp;""," "," "))</f>
        <v/>
      </c>
      <c r="C1064">
        <f>TRIM(SUBSTITUTE(INDEX('Term investments'!$C:$C,ROW())&amp;""," "," "))</f>
        <v/>
      </c>
      <c r="D1064">
        <f>IFERROR(--INDEX('Term investments'!$D:$D,ROW()),0)</f>
        <v/>
      </c>
      <c r="E1064">
        <f>IFERROR(--INDEX('Term investments'!$E:$E,ROW()),0)</f>
        <v/>
      </c>
      <c r="F1064">
        <f>IFERROR(--INDEX('Term investments'!$F:$F,ROW()),0)</f>
        <v/>
      </c>
      <c r="G1064">
        <f>IFERROR(IF(--INDEX('Term investments'!$G:$G,ROW())&gt;=1,--INDEX('Term investments'!$G:$G,ROW())/100,--INDEX('Term investments'!$G:$G,ROW())),0)</f>
        <v/>
      </c>
      <c r="H1064">
        <f>IFERROR(--INDEX('Term investments'!$H:$H,ROW()),0)</f>
        <v/>
      </c>
      <c r="I1064">
        <f>IF(ISNUMBER(INDEX('Term investments'!$G:$G,ROW())),1,0)</f>
        <v/>
      </c>
      <c r="J1064">
        <f>TRIM(SUBSTITUTE(INDEX('Call accounts and MMFs'!$A:$A,ROW())&amp;""," "," "))</f>
        <v/>
      </c>
      <c r="K1064">
        <f>TRIM(SUBSTITUTE(INDEX('Call accounts and MMFs'!$B:$B,ROW())&amp;""," "," "))</f>
        <v/>
      </c>
      <c r="L1064">
        <f>TRIM(SUBSTITUTE(INDEX('Call accounts and MMFs'!$C:$C,ROW())&amp;""," "," "))</f>
        <v/>
      </c>
      <c r="M1064">
        <f>IFERROR(--INDEX('Call accounts and MMFs'!$D:$D,ROW()),0)</f>
        <v/>
      </c>
      <c r="N1064">
        <f>IFERROR(IF(--INDEX('Call accounts and MMFs'!$E:$E,ROW())&gt;=1,--INDEX('Call accounts and MMFs'!$E:$E,ROW())/100,--INDEX('Call accounts and MMFs'!$E:$E,ROW())),0)</f>
        <v/>
      </c>
      <c r="O1064">
        <f>IFERROR(--INDEX('Call accounts and MMFs'!$F:$F,ROW()),0)</f>
        <v/>
      </c>
      <c r="P1064">
        <f>IF(ISNUMBER(INDEX('Call accounts and MMFs'!$E:$E,ROW())),1,0)</f>
        <v/>
      </c>
      <c r="Q1064">
        <f>TRIM(SUBSTITUTE(INDEX('Pooled funds'!$B:$B,ROW())&amp;""," "," "))</f>
        <v/>
      </c>
      <c r="R1064">
        <f>IFERROR(--INDEX('Pooled funds'!$C:$C,ROW()),0)</f>
        <v/>
      </c>
      <c r="S1064">
        <f>IFERROR(--INDEX('Pooled funds'!$D:$D,ROW()),0)</f>
        <v/>
      </c>
      <c r="T1064">
        <f>IFERROR(IF(--INDEX('Pooled funds'!$E:$E,ROW())&gt;=1,--INDEX('Pooled funds'!$E:$E,ROW())/100,--INDEX('Pooled funds'!$E:$E,ROW())),0)</f>
        <v/>
      </c>
      <c r="U1064">
        <f>IF(ISNUMBER(INDEX('Pooled funds'!$E:$E,ROW())),1,0)</f>
        <v/>
      </c>
    </row>
    <row r="1065">
      <c r="A1065">
        <f>TRIM(SUBSTITUTE(INDEX('Term investments'!$A:$A,ROW())&amp;""," "," "))</f>
        <v/>
      </c>
      <c r="B1065">
        <f>TRIM(SUBSTITUTE(INDEX('Term investments'!$B:$B,ROW())&amp;""," "," "))</f>
        <v/>
      </c>
      <c r="C1065">
        <f>TRIM(SUBSTITUTE(INDEX('Term investments'!$C:$C,ROW())&amp;""," "," "))</f>
        <v/>
      </c>
      <c r="D1065">
        <f>IFERROR(--INDEX('Term investments'!$D:$D,ROW()),0)</f>
        <v/>
      </c>
      <c r="E1065">
        <f>IFERROR(--INDEX('Term investments'!$E:$E,ROW()),0)</f>
        <v/>
      </c>
      <c r="F1065">
        <f>IFERROR(--INDEX('Term investments'!$F:$F,ROW()),0)</f>
        <v/>
      </c>
      <c r="G1065">
        <f>IFERROR(IF(--INDEX('Term investments'!$G:$G,ROW())&gt;=1,--INDEX('Term investments'!$G:$G,ROW())/100,--INDEX('Term investments'!$G:$G,ROW())),0)</f>
        <v/>
      </c>
      <c r="H1065">
        <f>IFERROR(--INDEX('Term investments'!$H:$H,ROW()),0)</f>
        <v/>
      </c>
      <c r="I1065">
        <f>IF(ISNUMBER(INDEX('Term investments'!$G:$G,ROW())),1,0)</f>
        <v/>
      </c>
      <c r="J1065">
        <f>TRIM(SUBSTITUTE(INDEX('Call accounts and MMFs'!$A:$A,ROW())&amp;""," "," "))</f>
        <v/>
      </c>
      <c r="K1065">
        <f>TRIM(SUBSTITUTE(INDEX('Call accounts and MMFs'!$B:$B,ROW())&amp;""," "," "))</f>
        <v/>
      </c>
      <c r="L1065">
        <f>TRIM(SUBSTITUTE(INDEX('Call accounts and MMFs'!$C:$C,ROW())&amp;""," "," "))</f>
        <v/>
      </c>
      <c r="M1065">
        <f>IFERROR(--INDEX('Call accounts and MMFs'!$D:$D,ROW()),0)</f>
        <v/>
      </c>
      <c r="N1065">
        <f>IFERROR(IF(--INDEX('Call accounts and MMFs'!$E:$E,ROW())&gt;=1,--INDEX('Call accounts and MMFs'!$E:$E,ROW())/100,--INDEX('Call accounts and MMFs'!$E:$E,ROW())),0)</f>
        <v/>
      </c>
      <c r="O1065">
        <f>IFERROR(--INDEX('Call accounts and MMFs'!$F:$F,ROW()),0)</f>
        <v/>
      </c>
      <c r="P1065">
        <f>IF(ISNUMBER(INDEX('Call accounts and MMFs'!$E:$E,ROW())),1,0)</f>
        <v/>
      </c>
      <c r="Q1065">
        <f>TRIM(SUBSTITUTE(INDEX('Pooled funds'!$B:$B,ROW())&amp;""," "," "))</f>
        <v/>
      </c>
      <c r="R1065">
        <f>IFERROR(--INDEX('Pooled funds'!$C:$C,ROW()),0)</f>
        <v/>
      </c>
      <c r="S1065">
        <f>IFERROR(--INDEX('Pooled funds'!$D:$D,ROW()),0)</f>
        <v/>
      </c>
      <c r="T1065">
        <f>IFERROR(IF(--INDEX('Pooled funds'!$E:$E,ROW())&gt;=1,--INDEX('Pooled funds'!$E:$E,ROW())/100,--INDEX('Pooled funds'!$E:$E,ROW())),0)</f>
        <v/>
      </c>
      <c r="U1065">
        <f>IF(ISNUMBER(INDEX('Pooled funds'!$E:$E,ROW())),1,0)</f>
        <v/>
      </c>
    </row>
    <row r="1066">
      <c r="A1066">
        <f>TRIM(SUBSTITUTE(INDEX('Term investments'!$A:$A,ROW())&amp;""," "," "))</f>
        <v/>
      </c>
      <c r="B1066">
        <f>TRIM(SUBSTITUTE(INDEX('Term investments'!$B:$B,ROW())&amp;""," "," "))</f>
        <v/>
      </c>
      <c r="C1066">
        <f>TRIM(SUBSTITUTE(INDEX('Term investments'!$C:$C,ROW())&amp;""," "," "))</f>
        <v/>
      </c>
      <c r="D1066">
        <f>IFERROR(--INDEX('Term investments'!$D:$D,ROW()),0)</f>
        <v/>
      </c>
      <c r="E1066">
        <f>IFERROR(--INDEX('Term investments'!$E:$E,ROW()),0)</f>
        <v/>
      </c>
      <c r="F1066">
        <f>IFERROR(--INDEX('Term investments'!$F:$F,ROW()),0)</f>
        <v/>
      </c>
      <c r="G1066">
        <f>IFERROR(IF(--INDEX('Term investments'!$G:$G,ROW())&gt;=1,--INDEX('Term investments'!$G:$G,ROW())/100,--INDEX('Term investments'!$G:$G,ROW())),0)</f>
        <v/>
      </c>
      <c r="H1066">
        <f>IFERROR(--INDEX('Term investments'!$H:$H,ROW()),0)</f>
        <v/>
      </c>
      <c r="I1066">
        <f>IF(ISNUMBER(INDEX('Term investments'!$G:$G,ROW())),1,0)</f>
        <v/>
      </c>
      <c r="J1066">
        <f>TRIM(SUBSTITUTE(INDEX('Call accounts and MMFs'!$A:$A,ROW())&amp;""," "," "))</f>
        <v/>
      </c>
      <c r="K1066">
        <f>TRIM(SUBSTITUTE(INDEX('Call accounts and MMFs'!$B:$B,ROW())&amp;""," "," "))</f>
        <v/>
      </c>
      <c r="L1066">
        <f>TRIM(SUBSTITUTE(INDEX('Call accounts and MMFs'!$C:$C,ROW())&amp;""," "," "))</f>
        <v/>
      </c>
      <c r="M1066">
        <f>IFERROR(--INDEX('Call accounts and MMFs'!$D:$D,ROW()),0)</f>
        <v/>
      </c>
      <c r="N1066">
        <f>IFERROR(IF(--INDEX('Call accounts and MMFs'!$E:$E,ROW())&gt;=1,--INDEX('Call accounts and MMFs'!$E:$E,ROW())/100,--INDEX('Call accounts and MMFs'!$E:$E,ROW())),0)</f>
        <v/>
      </c>
      <c r="O1066">
        <f>IFERROR(--INDEX('Call accounts and MMFs'!$F:$F,ROW()),0)</f>
        <v/>
      </c>
      <c r="P1066">
        <f>IF(ISNUMBER(INDEX('Call accounts and MMFs'!$E:$E,ROW())),1,0)</f>
        <v/>
      </c>
      <c r="Q1066">
        <f>TRIM(SUBSTITUTE(INDEX('Pooled funds'!$B:$B,ROW())&amp;""," "," "))</f>
        <v/>
      </c>
      <c r="R1066">
        <f>IFERROR(--INDEX('Pooled funds'!$C:$C,ROW()),0)</f>
        <v/>
      </c>
      <c r="S1066">
        <f>IFERROR(--INDEX('Pooled funds'!$D:$D,ROW()),0)</f>
        <v/>
      </c>
      <c r="T1066">
        <f>IFERROR(IF(--INDEX('Pooled funds'!$E:$E,ROW())&gt;=1,--INDEX('Pooled funds'!$E:$E,ROW())/100,--INDEX('Pooled funds'!$E:$E,ROW())),0)</f>
        <v/>
      </c>
      <c r="U1066">
        <f>IF(ISNUMBER(INDEX('Pooled funds'!$E:$E,ROW())),1,0)</f>
        <v/>
      </c>
    </row>
    <row r="1067">
      <c r="A1067">
        <f>TRIM(SUBSTITUTE(INDEX('Term investments'!$A:$A,ROW())&amp;""," "," "))</f>
        <v/>
      </c>
      <c r="B1067">
        <f>TRIM(SUBSTITUTE(INDEX('Term investments'!$B:$B,ROW())&amp;""," "," "))</f>
        <v/>
      </c>
      <c r="C1067">
        <f>TRIM(SUBSTITUTE(INDEX('Term investments'!$C:$C,ROW())&amp;""," "," "))</f>
        <v/>
      </c>
      <c r="D1067">
        <f>IFERROR(--INDEX('Term investments'!$D:$D,ROW()),0)</f>
        <v/>
      </c>
      <c r="E1067">
        <f>IFERROR(--INDEX('Term investments'!$E:$E,ROW()),0)</f>
        <v/>
      </c>
      <c r="F1067">
        <f>IFERROR(--INDEX('Term investments'!$F:$F,ROW()),0)</f>
        <v/>
      </c>
      <c r="G1067">
        <f>IFERROR(IF(--INDEX('Term investments'!$G:$G,ROW())&gt;=1,--INDEX('Term investments'!$G:$G,ROW())/100,--INDEX('Term investments'!$G:$G,ROW())),0)</f>
        <v/>
      </c>
      <c r="H1067">
        <f>IFERROR(--INDEX('Term investments'!$H:$H,ROW()),0)</f>
        <v/>
      </c>
      <c r="I1067">
        <f>IF(ISNUMBER(INDEX('Term investments'!$G:$G,ROW())),1,0)</f>
        <v/>
      </c>
      <c r="J1067">
        <f>TRIM(SUBSTITUTE(INDEX('Call accounts and MMFs'!$A:$A,ROW())&amp;""," "," "))</f>
        <v/>
      </c>
      <c r="K1067">
        <f>TRIM(SUBSTITUTE(INDEX('Call accounts and MMFs'!$B:$B,ROW())&amp;""," "," "))</f>
        <v/>
      </c>
      <c r="L1067">
        <f>TRIM(SUBSTITUTE(INDEX('Call accounts and MMFs'!$C:$C,ROW())&amp;""," "," "))</f>
        <v/>
      </c>
      <c r="M1067">
        <f>IFERROR(--INDEX('Call accounts and MMFs'!$D:$D,ROW()),0)</f>
        <v/>
      </c>
      <c r="N1067">
        <f>IFERROR(IF(--INDEX('Call accounts and MMFs'!$E:$E,ROW())&gt;=1,--INDEX('Call accounts and MMFs'!$E:$E,ROW())/100,--INDEX('Call accounts and MMFs'!$E:$E,ROW())),0)</f>
        <v/>
      </c>
      <c r="O1067">
        <f>IFERROR(--INDEX('Call accounts and MMFs'!$F:$F,ROW()),0)</f>
        <v/>
      </c>
      <c r="P1067">
        <f>IF(ISNUMBER(INDEX('Call accounts and MMFs'!$E:$E,ROW())),1,0)</f>
        <v/>
      </c>
      <c r="Q1067">
        <f>TRIM(SUBSTITUTE(INDEX('Pooled funds'!$B:$B,ROW())&amp;""," "," "))</f>
        <v/>
      </c>
      <c r="R1067">
        <f>IFERROR(--INDEX('Pooled funds'!$C:$C,ROW()),0)</f>
        <v/>
      </c>
      <c r="S1067">
        <f>IFERROR(--INDEX('Pooled funds'!$D:$D,ROW()),0)</f>
        <v/>
      </c>
      <c r="T1067">
        <f>IFERROR(IF(--INDEX('Pooled funds'!$E:$E,ROW())&gt;=1,--INDEX('Pooled funds'!$E:$E,ROW())/100,--INDEX('Pooled funds'!$E:$E,ROW())),0)</f>
        <v/>
      </c>
      <c r="U1067">
        <f>IF(ISNUMBER(INDEX('Pooled funds'!$E:$E,ROW())),1,0)</f>
        <v/>
      </c>
    </row>
    <row r="1068">
      <c r="A1068">
        <f>TRIM(SUBSTITUTE(INDEX('Term investments'!$A:$A,ROW())&amp;""," "," "))</f>
        <v/>
      </c>
      <c r="B1068">
        <f>TRIM(SUBSTITUTE(INDEX('Term investments'!$B:$B,ROW())&amp;""," "," "))</f>
        <v/>
      </c>
      <c r="C1068">
        <f>TRIM(SUBSTITUTE(INDEX('Term investments'!$C:$C,ROW())&amp;""," "," "))</f>
        <v/>
      </c>
      <c r="D1068">
        <f>IFERROR(--INDEX('Term investments'!$D:$D,ROW()),0)</f>
        <v/>
      </c>
      <c r="E1068">
        <f>IFERROR(--INDEX('Term investments'!$E:$E,ROW()),0)</f>
        <v/>
      </c>
      <c r="F1068">
        <f>IFERROR(--INDEX('Term investments'!$F:$F,ROW()),0)</f>
        <v/>
      </c>
      <c r="G1068">
        <f>IFERROR(IF(--INDEX('Term investments'!$G:$G,ROW())&gt;=1,--INDEX('Term investments'!$G:$G,ROW())/100,--INDEX('Term investments'!$G:$G,ROW())),0)</f>
        <v/>
      </c>
      <c r="H1068">
        <f>IFERROR(--INDEX('Term investments'!$H:$H,ROW()),0)</f>
        <v/>
      </c>
      <c r="I1068">
        <f>IF(ISNUMBER(INDEX('Term investments'!$G:$G,ROW())),1,0)</f>
        <v/>
      </c>
      <c r="J1068">
        <f>TRIM(SUBSTITUTE(INDEX('Call accounts and MMFs'!$A:$A,ROW())&amp;""," "," "))</f>
        <v/>
      </c>
      <c r="K1068">
        <f>TRIM(SUBSTITUTE(INDEX('Call accounts and MMFs'!$B:$B,ROW())&amp;""," "," "))</f>
        <v/>
      </c>
      <c r="L1068">
        <f>TRIM(SUBSTITUTE(INDEX('Call accounts and MMFs'!$C:$C,ROW())&amp;""," "," "))</f>
        <v/>
      </c>
      <c r="M1068">
        <f>IFERROR(--INDEX('Call accounts and MMFs'!$D:$D,ROW()),0)</f>
        <v/>
      </c>
      <c r="N1068">
        <f>IFERROR(IF(--INDEX('Call accounts and MMFs'!$E:$E,ROW())&gt;=1,--INDEX('Call accounts and MMFs'!$E:$E,ROW())/100,--INDEX('Call accounts and MMFs'!$E:$E,ROW())),0)</f>
        <v/>
      </c>
      <c r="O1068">
        <f>IFERROR(--INDEX('Call accounts and MMFs'!$F:$F,ROW()),0)</f>
        <v/>
      </c>
      <c r="P1068">
        <f>IF(ISNUMBER(INDEX('Call accounts and MMFs'!$E:$E,ROW())),1,0)</f>
        <v/>
      </c>
      <c r="Q1068">
        <f>TRIM(SUBSTITUTE(INDEX('Pooled funds'!$B:$B,ROW())&amp;""," "," "))</f>
        <v/>
      </c>
      <c r="R1068">
        <f>IFERROR(--INDEX('Pooled funds'!$C:$C,ROW()),0)</f>
        <v/>
      </c>
      <c r="S1068">
        <f>IFERROR(--INDEX('Pooled funds'!$D:$D,ROW()),0)</f>
        <v/>
      </c>
      <c r="T1068">
        <f>IFERROR(IF(--INDEX('Pooled funds'!$E:$E,ROW())&gt;=1,--INDEX('Pooled funds'!$E:$E,ROW())/100,--INDEX('Pooled funds'!$E:$E,ROW())),0)</f>
        <v/>
      </c>
      <c r="U1068">
        <f>IF(ISNUMBER(INDEX('Pooled funds'!$E:$E,ROW())),1,0)</f>
        <v/>
      </c>
    </row>
    <row r="1069">
      <c r="A1069">
        <f>TRIM(SUBSTITUTE(INDEX('Term investments'!$A:$A,ROW())&amp;""," "," "))</f>
        <v/>
      </c>
      <c r="B1069">
        <f>TRIM(SUBSTITUTE(INDEX('Term investments'!$B:$B,ROW())&amp;""," "," "))</f>
        <v/>
      </c>
      <c r="C1069">
        <f>TRIM(SUBSTITUTE(INDEX('Term investments'!$C:$C,ROW())&amp;""," "," "))</f>
        <v/>
      </c>
      <c r="D1069">
        <f>IFERROR(--INDEX('Term investments'!$D:$D,ROW()),0)</f>
        <v/>
      </c>
      <c r="E1069">
        <f>IFERROR(--INDEX('Term investments'!$E:$E,ROW()),0)</f>
        <v/>
      </c>
      <c r="F1069">
        <f>IFERROR(--INDEX('Term investments'!$F:$F,ROW()),0)</f>
        <v/>
      </c>
      <c r="G1069">
        <f>IFERROR(IF(--INDEX('Term investments'!$G:$G,ROW())&gt;=1,--INDEX('Term investments'!$G:$G,ROW())/100,--INDEX('Term investments'!$G:$G,ROW())),0)</f>
        <v/>
      </c>
      <c r="H1069">
        <f>IFERROR(--INDEX('Term investments'!$H:$H,ROW()),0)</f>
        <v/>
      </c>
      <c r="I1069">
        <f>IF(ISNUMBER(INDEX('Term investments'!$G:$G,ROW())),1,0)</f>
        <v/>
      </c>
      <c r="J1069">
        <f>TRIM(SUBSTITUTE(INDEX('Call accounts and MMFs'!$A:$A,ROW())&amp;""," "," "))</f>
        <v/>
      </c>
      <c r="K1069">
        <f>TRIM(SUBSTITUTE(INDEX('Call accounts and MMFs'!$B:$B,ROW())&amp;""," "," "))</f>
        <v/>
      </c>
      <c r="L1069">
        <f>TRIM(SUBSTITUTE(INDEX('Call accounts and MMFs'!$C:$C,ROW())&amp;""," "," "))</f>
        <v/>
      </c>
      <c r="M1069">
        <f>IFERROR(--INDEX('Call accounts and MMFs'!$D:$D,ROW()),0)</f>
        <v/>
      </c>
      <c r="N1069">
        <f>IFERROR(IF(--INDEX('Call accounts and MMFs'!$E:$E,ROW())&gt;=1,--INDEX('Call accounts and MMFs'!$E:$E,ROW())/100,--INDEX('Call accounts and MMFs'!$E:$E,ROW())),0)</f>
        <v/>
      </c>
      <c r="O1069">
        <f>IFERROR(--INDEX('Call accounts and MMFs'!$F:$F,ROW()),0)</f>
        <v/>
      </c>
      <c r="P1069">
        <f>IF(ISNUMBER(INDEX('Call accounts and MMFs'!$E:$E,ROW())),1,0)</f>
        <v/>
      </c>
      <c r="Q1069">
        <f>TRIM(SUBSTITUTE(INDEX('Pooled funds'!$B:$B,ROW())&amp;""," "," "))</f>
        <v/>
      </c>
      <c r="R1069">
        <f>IFERROR(--INDEX('Pooled funds'!$C:$C,ROW()),0)</f>
        <v/>
      </c>
      <c r="S1069">
        <f>IFERROR(--INDEX('Pooled funds'!$D:$D,ROW()),0)</f>
        <v/>
      </c>
      <c r="T1069">
        <f>IFERROR(IF(--INDEX('Pooled funds'!$E:$E,ROW())&gt;=1,--INDEX('Pooled funds'!$E:$E,ROW())/100,--INDEX('Pooled funds'!$E:$E,ROW())),0)</f>
        <v/>
      </c>
      <c r="U1069">
        <f>IF(ISNUMBER(INDEX('Pooled funds'!$E:$E,ROW())),1,0)</f>
        <v/>
      </c>
    </row>
    <row r="1070">
      <c r="A1070">
        <f>TRIM(SUBSTITUTE(INDEX('Term investments'!$A:$A,ROW())&amp;""," "," "))</f>
        <v/>
      </c>
      <c r="B1070">
        <f>TRIM(SUBSTITUTE(INDEX('Term investments'!$B:$B,ROW())&amp;""," "," "))</f>
        <v/>
      </c>
      <c r="C1070">
        <f>TRIM(SUBSTITUTE(INDEX('Term investments'!$C:$C,ROW())&amp;""," "," "))</f>
        <v/>
      </c>
      <c r="D1070">
        <f>IFERROR(--INDEX('Term investments'!$D:$D,ROW()),0)</f>
        <v/>
      </c>
      <c r="E1070">
        <f>IFERROR(--INDEX('Term investments'!$E:$E,ROW()),0)</f>
        <v/>
      </c>
      <c r="F1070">
        <f>IFERROR(--INDEX('Term investments'!$F:$F,ROW()),0)</f>
        <v/>
      </c>
      <c r="G1070">
        <f>IFERROR(IF(--INDEX('Term investments'!$G:$G,ROW())&gt;=1,--INDEX('Term investments'!$G:$G,ROW())/100,--INDEX('Term investments'!$G:$G,ROW())),0)</f>
        <v/>
      </c>
      <c r="H1070">
        <f>IFERROR(--INDEX('Term investments'!$H:$H,ROW()),0)</f>
        <v/>
      </c>
      <c r="I1070">
        <f>IF(ISNUMBER(INDEX('Term investments'!$G:$G,ROW())),1,0)</f>
        <v/>
      </c>
      <c r="J1070">
        <f>TRIM(SUBSTITUTE(INDEX('Call accounts and MMFs'!$A:$A,ROW())&amp;""," "," "))</f>
        <v/>
      </c>
      <c r="K1070">
        <f>TRIM(SUBSTITUTE(INDEX('Call accounts and MMFs'!$B:$B,ROW())&amp;""," "," "))</f>
        <v/>
      </c>
      <c r="L1070">
        <f>TRIM(SUBSTITUTE(INDEX('Call accounts and MMFs'!$C:$C,ROW())&amp;""," "," "))</f>
        <v/>
      </c>
      <c r="M1070">
        <f>IFERROR(--INDEX('Call accounts and MMFs'!$D:$D,ROW()),0)</f>
        <v/>
      </c>
      <c r="N1070">
        <f>IFERROR(IF(--INDEX('Call accounts and MMFs'!$E:$E,ROW())&gt;=1,--INDEX('Call accounts and MMFs'!$E:$E,ROW())/100,--INDEX('Call accounts and MMFs'!$E:$E,ROW())),0)</f>
        <v/>
      </c>
      <c r="O1070">
        <f>IFERROR(--INDEX('Call accounts and MMFs'!$F:$F,ROW()),0)</f>
        <v/>
      </c>
      <c r="P1070">
        <f>IF(ISNUMBER(INDEX('Call accounts and MMFs'!$E:$E,ROW())),1,0)</f>
        <v/>
      </c>
      <c r="Q1070">
        <f>TRIM(SUBSTITUTE(INDEX('Pooled funds'!$B:$B,ROW())&amp;""," "," "))</f>
        <v/>
      </c>
      <c r="R1070">
        <f>IFERROR(--INDEX('Pooled funds'!$C:$C,ROW()),0)</f>
        <v/>
      </c>
      <c r="S1070">
        <f>IFERROR(--INDEX('Pooled funds'!$D:$D,ROW()),0)</f>
        <v/>
      </c>
      <c r="T1070">
        <f>IFERROR(IF(--INDEX('Pooled funds'!$E:$E,ROW())&gt;=1,--INDEX('Pooled funds'!$E:$E,ROW())/100,--INDEX('Pooled funds'!$E:$E,ROW())),0)</f>
        <v/>
      </c>
      <c r="U1070">
        <f>IF(ISNUMBER(INDEX('Pooled funds'!$E:$E,ROW())),1,0)</f>
        <v/>
      </c>
    </row>
    <row r="1071">
      <c r="A1071">
        <f>TRIM(SUBSTITUTE(INDEX('Term investments'!$A:$A,ROW())&amp;""," "," "))</f>
        <v/>
      </c>
      <c r="B1071">
        <f>TRIM(SUBSTITUTE(INDEX('Term investments'!$B:$B,ROW())&amp;""," "," "))</f>
        <v/>
      </c>
      <c r="C1071">
        <f>TRIM(SUBSTITUTE(INDEX('Term investments'!$C:$C,ROW())&amp;""," "," "))</f>
        <v/>
      </c>
      <c r="D1071">
        <f>IFERROR(--INDEX('Term investments'!$D:$D,ROW()),0)</f>
        <v/>
      </c>
      <c r="E1071">
        <f>IFERROR(--INDEX('Term investments'!$E:$E,ROW()),0)</f>
        <v/>
      </c>
      <c r="F1071">
        <f>IFERROR(--INDEX('Term investments'!$F:$F,ROW()),0)</f>
        <v/>
      </c>
      <c r="G1071">
        <f>IFERROR(IF(--INDEX('Term investments'!$G:$G,ROW())&gt;=1,--INDEX('Term investments'!$G:$G,ROW())/100,--INDEX('Term investments'!$G:$G,ROW())),0)</f>
        <v/>
      </c>
      <c r="H1071">
        <f>IFERROR(--INDEX('Term investments'!$H:$H,ROW()),0)</f>
        <v/>
      </c>
      <c r="I1071">
        <f>IF(ISNUMBER(INDEX('Term investments'!$G:$G,ROW())),1,0)</f>
        <v/>
      </c>
      <c r="J1071">
        <f>TRIM(SUBSTITUTE(INDEX('Call accounts and MMFs'!$A:$A,ROW())&amp;""," "," "))</f>
        <v/>
      </c>
      <c r="K1071">
        <f>TRIM(SUBSTITUTE(INDEX('Call accounts and MMFs'!$B:$B,ROW())&amp;""," "," "))</f>
        <v/>
      </c>
      <c r="L1071">
        <f>TRIM(SUBSTITUTE(INDEX('Call accounts and MMFs'!$C:$C,ROW())&amp;""," "," "))</f>
        <v/>
      </c>
      <c r="M1071">
        <f>IFERROR(--INDEX('Call accounts and MMFs'!$D:$D,ROW()),0)</f>
        <v/>
      </c>
      <c r="N1071">
        <f>IFERROR(IF(--INDEX('Call accounts and MMFs'!$E:$E,ROW())&gt;=1,--INDEX('Call accounts and MMFs'!$E:$E,ROW())/100,--INDEX('Call accounts and MMFs'!$E:$E,ROW())),0)</f>
        <v/>
      </c>
      <c r="O1071">
        <f>IFERROR(--INDEX('Call accounts and MMFs'!$F:$F,ROW()),0)</f>
        <v/>
      </c>
      <c r="P1071">
        <f>IF(ISNUMBER(INDEX('Call accounts and MMFs'!$E:$E,ROW())),1,0)</f>
        <v/>
      </c>
      <c r="Q1071">
        <f>TRIM(SUBSTITUTE(INDEX('Pooled funds'!$B:$B,ROW())&amp;""," "," "))</f>
        <v/>
      </c>
      <c r="R1071">
        <f>IFERROR(--INDEX('Pooled funds'!$C:$C,ROW()),0)</f>
        <v/>
      </c>
      <c r="S1071">
        <f>IFERROR(--INDEX('Pooled funds'!$D:$D,ROW()),0)</f>
        <v/>
      </c>
      <c r="T1071">
        <f>IFERROR(IF(--INDEX('Pooled funds'!$E:$E,ROW())&gt;=1,--INDEX('Pooled funds'!$E:$E,ROW())/100,--INDEX('Pooled funds'!$E:$E,ROW())),0)</f>
        <v/>
      </c>
      <c r="U1071">
        <f>IF(ISNUMBER(INDEX('Pooled funds'!$E:$E,ROW())),1,0)</f>
        <v/>
      </c>
    </row>
    <row r="1072">
      <c r="A1072">
        <f>TRIM(SUBSTITUTE(INDEX('Term investments'!$A:$A,ROW())&amp;""," "," "))</f>
        <v/>
      </c>
      <c r="B1072">
        <f>TRIM(SUBSTITUTE(INDEX('Term investments'!$B:$B,ROW())&amp;""," "," "))</f>
        <v/>
      </c>
      <c r="C1072">
        <f>TRIM(SUBSTITUTE(INDEX('Term investments'!$C:$C,ROW())&amp;""," "," "))</f>
        <v/>
      </c>
      <c r="D1072">
        <f>IFERROR(--INDEX('Term investments'!$D:$D,ROW()),0)</f>
        <v/>
      </c>
      <c r="E1072">
        <f>IFERROR(--INDEX('Term investments'!$E:$E,ROW()),0)</f>
        <v/>
      </c>
      <c r="F1072">
        <f>IFERROR(--INDEX('Term investments'!$F:$F,ROW()),0)</f>
        <v/>
      </c>
      <c r="G1072">
        <f>IFERROR(IF(--INDEX('Term investments'!$G:$G,ROW())&gt;=1,--INDEX('Term investments'!$G:$G,ROW())/100,--INDEX('Term investments'!$G:$G,ROW())),0)</f>
        <v/>
      </c>
      <c r="H1072">
        <f>IFERROR(--INDEX('Term investments'!$H:$H,ROW()),0)</f>
        <v/>
      </c>
      <c r="I1072">
        <f>IF(ISNUMBER(INDEX('Term investments'!$G:$G,ROW())),1,0)</f>
        <v/>
      </c>
      <c r="J1072">
        <f>TRIM(SUBSTITUTE(INDEX('Call accounts and MMFs'!$A:$A,ROW())&amp;""," "," "))</f>
        <v/>
      </c>
      <c r="K1072">
        <f>TRIM(SUBSTITUTE(INDEX('Call accounts and MMFs'!$B:$B,ROW())&amp;""," "," "))</f>
        <v/>
      </c>
      <c r="L1072">
        <f>TRIM(SUBSTITUTE(INDEX('Call accounts and MMFs'!$C:$C,ROW())&amp;""," "," "))</f>
        <v/>
      </c>
      <c r="M1072">
        <f>IFERROR(--INDEX('Call accounts and MMFs'!$D:$D,ROW()),0)</f>
        <v/>
      </c>
      <c r="N1072">
        <f>IFERROR(IF(--INDEX('Call accounts and MMFs'!$E:$E,ROW())&gt;=1,--INDEX('Call accounts and MMFs'!$E:$E,ROW())/100,--INDEX('Call accounts and MMFs'!$E:$E,ROW())),0)</f>
        <v/>
      </c>
      <c r="O1072">
        <f>IFERROR(--INDEX('Call accounts and MMFs'!$F:$F,ROW()),0)</f>
        <v/>
      </c>
      <c r="P1072">
        <f>IF(ISNUMBER(INDEX('Call accounts and MMFs'!$E:$E,ROW())),1,0)</f>
        <v/>
      </c>
      <c r="Q1072">
        <f>TRIM(SUBSTITUTE(INDEX('Pooled funds'!$B:$B,ROW())&amp;""," "," "))</f>
        <v/>
      </c>
      <c r="R1072">
        <f>IFERROR(--INDEX('Pooled funds'!$C:$C,ROW()),0)</f>
        <v/>
      </c>
      <c r="S1072">
        <f>IFERROR(--INDEX('Pooled funds'!$D:$D,ROW()),0)</f>
        <v/>
      </c>
      <c r="T1072">
        <f>IFERROR(IF(--INDEX('Pooled funds'!$E:$E,ROW())&gt;=1,--INDEX('Pooled funds'!$E:$E,ROW())/100,--INDEX('Pooled funds'!$E:$E,ROW())),0)</f>
        <v/>
      </c>
      <c r="U1072">
        <f>IF(ISNUMBER(INDEX('Pooled funds'!$E:$E,ROW())),1,0)</f>
        <v/>
      </c>
    </row>
    <row r="1073">
      <c r="A1073">
        <f>TRIM(SUBSTITUTE(INDEX('Term investments'!$A:$A,ROW())&amp;""," "," "))</f>
        <v/>
      </c>
      <c r="B1073">
        <f>TRIM(SUBSTITUTE(INDEX('Term investments'!$B:$B,ROW())&amp;""," "," "))</f>
        <v/>
      </c>
      <c r="C1073">
        <f>TRIM(SUBSTITUTE(INDEX('Term investments'!$C:$C,ROW())&amp;""," "," "))</f>
        <v/>
      </c>
      <c r="D1073">
        <f>IFERROR(--INDEX('Term investments'!$D:$D,ROW()),0)</f>
        <v/>
      </c>
      <c r="E1073">
        <f>IFERROR(--INDEX('Term investments'!$E:$E,ROW()),0)</f>
        <v/>
      </c>
      <c r="F1073">
        <f>IFERROR(--INDEX('Term investments'!$F:$F,ROW()),0)</f>
        <v/>
      </c>
      <c r="G1073">
        <f>IFERROR(IF(--INDEX('Term investments'!$G:$G,ROW())&gt;=1,--INDEX('Term investments'!$G:$G,ROW())/100,--INDEX('Term investments'!$G:$G,ROW())),0)</f>
        <v/>
      </c>
      <c r="H1073">
        <f>IFERROR(--INDEX('Term investments'!$H:$H,ROW()),0)</f>
        <v/>
      </c>
      <c r="I1073">
        <f>IF(ISNUMBER(INDEX('Term investments'!$G:$G,ROW())),1,0)</f>
        <v/>
      </c>
      <c r="J1073">
        <f>TRIM(SUBSTITUTE(INDEX('Call accounts and MMFs'!$A:$A,ROW())&amp;""," "," "))</f>
        <v/>
      </c>
      <c r="K1073">
        <f>TRIM(SUBSTITUTE(INDEX('Call accounts and MMFs'!$B:$B,ROW())&amp;""," "," "))</f>
        <v/>
      </c>
      <c r="L1073">
        <f>TRIM(SUBSTITUTE(INDEX('Call accounts and MMFs'!$C:$C,ROW())&amp;""," "," "))</f>
        <v/>
      </c>
      <c r="M1073">
        <f>IFERROR(--INDEX('Call accounts and MMFs'!$D:$D,ROW()),0)</f>
        <v/>
      </c>
      <c r="N1073">
        <f>IFERROR(IF(--INDEX('Call accounts and MMFs'!$E:$E,ROW())&gt;=1,--INDEX('Call accounts and MMFs'!$E:$E,ROW())/100,--INDEX('Call accounts and MMFs'!$E:$E,ROW())),0)</f>
        <v/>
      </c>
      <c r="O1073">
        <f>IFERROR(--INDEX('Call accounts and MMFs'!$F:$F,ROW()),0)</f>
        <v/>
      </c>
      <c r="P1073">
        <f>IF(ISNUMBER(INDEX('Call accounts and MMFs'!$E:$E,ROW())),1,0)</f>
        <v/>
      </c>
      <c r="Q1073">
        <f>TRIM(SUBSTITUTE(INDEX('Pooled funds'!$B:$B,ROW())&amp;""," "," "))</f>
        <v/>
      </c>
      <c r="R1073">
        <f>IFERROR(--INDEX('Pooled funds'!$C:$C,ROW()),0)</f>
        <v/>
      </c>
      <c r="S1073">
        <f>IFERROR(--INDEX('Pooled funds'!$D:$D,ROW()),0)</f>
        <v/>
      </c>
      <c r="T1073">
        <f>IFERROR(IF(--INDEX('Pooled funds'!$E:$E,ROW())&gt;=1,--INDEX('Pooled funds'!$E:$E,ROW())/100,--INDEX('Pooled funds'!$E:$E,ROW())),0)</f>
        <v/>
      </c>
      <c r="U1073">
        <f>IF(ISNUMBER(INDEX('Pooled funds'!$E:$E,ROW())),1,0)</f>
        <v/>
      </c>
    </row>
    <row r="1074">
      <c r="A1074">
        <f>TRIM(SUBSTITUTE(INDEX('Term investments'!$A:$A,ROW())&amp;""," "," "))</f>
        <v/>
      </c>
      <c r="B1074">
        <f>TRIM(SUBSTITUTE(INDEX('Term investments'!$B:$B,ROW())&amp;""," "," "))</f>
        <v/>
      </c>
      <c r="C1074">
        <f>TRIM(SUBSTITUTE(INDEX('Term investments'!$C:$C,ROW())&amp;""," "," "))</f>
        <v/>
      </c>
      <c r="D1074">
        <f>IFERROR(--INDEX('Term investments'!$D:$D,ROW()),0)</f>
        <v/>
      </c>
      <c r="E1074">
        <f>IFERROR(--INDEX('Term investments'!$E:$E,ROW()),0)</f>
        <v/>
      </c>
      <c r="F1074">
        <f>IFERROR(--INDEX('Term investments'!$F:$F,ROW()),0)</f>
        <v/>
      </c>
      <c r="G1074">
        <f>IFERROR(IF(--INDEX('Term investments'!$G:$G,ROW())&gt;=1,--INDEX('Term investments'!$G:$G,ROW())/100,--INDEX('Term investments'!$G:$G,ROW())),0)</f>
        <v/>
      </c>
      <c r="H1074">
        <f>IFERROR(--INDEX('Term investments'!$H:$H,ROW()),0)</f>
        <v/>
      </c>
      <c r="I1074">
        <f>IF(ISNUMBER(INDEX('Term investments'!$G:$G,ROW())),1,0)</f>
        <v/>
      </c>
      <c r="J1074">
        <f>TRIM(SUBSTITUTE(INDEX('Call accounts and MMFs'!$A:$A,ROW())&amp;""," "," "))</f>
        <v/>
      </c>
      <c r="K1074">
        <f>TRIM(SUBSTITUTE(INDEX('Call accounts and MMFs'!$B:$B,ROW())&amp;""," "," "))</f>
        <v/>
      </c>
      <c r="L1074">
        <f>TRIM(SUBSTITUTE(INDEX('Call accounts and MMFs'!$C:$C,ROW())&amp;""," "," "))</f>
        <v/>
      </c>
      <c r="M1074">
        <f>IFERROR(--INDEX('Call accounts and MMFs'!$D:$D,ROW()),0)</f>
        <v/>
      </c>
      <c r="N1074">
        <f>IFERROR(IF(--INDEX('Call accounts and MMFs'!$E:$E,ROW())&gt;=1,--INDEX('Call accounts and MMFs'!$E:$E,ROW())/100,--INDEX('Call accounts and MMFs'!$E:$E,ROW())),0)</f>
        <v/>
      </c>
      <c r="O1074">
        <f>IFERROR(--INDEX('Call accounts and MMFs'!$F:$F,ROW()),0)</f>
        <v/>
      </c>
      <c r="P1074">
        <f>IF(ISNUMBER(INDEX('Call accounts and MMFs'!$E:$E,ROW())),1,0)</f>
        <v/>
      </c>
      <c r="Q1074">
        <f>TRIM(SUBSTITUTE(INDEX('Pooled funds'!$B:$B,ROW())&amp;""," "," "))</f>
        <v/>
      </c>
      <c r="R1074">
        <f>IFERROR(--INDEX('Pooled funds'!$C:$C,ROW()),0)</f>
        <v/>
      </c>
      <c r="S1074">
        <f>IFERROR(--INDEX('Pooled funds'!$D:$D,ROW()),0)</f>
        <v/>
      </c>
      <c r="T1074">
        <f>IFERROR(IF(--INDEX('Pooled funds'!$E:$E,ROW())&gt;=1,--INDEX('Pooled funds'!$E:$E,ROW())/100,--INDEX('Pooled funds'!$E:$E,ROW())),0)</f>
        <v/>
      </c>
      <c r="U1074">
        <f>IF(ISNUMBER(INDEX('Pooled funds'!$E:$E,ROW())),1,0)</f>
        <v/>
      </c>
    </row>
    <row r="1075">
      <c r="A1075">
        <f>TRIM(SUBSTITUTE(INDEX('Term investments'!$A:$A,ROW())&amp;""," "," "))</f>
        <v/>
      </c>
      <c r="B1075">
        <f>TRIM(SUBSTITUTE(INDEX('Term investments'!$B:$B,ROW())&amp;""," "," "))</f>
        <v/>
      </c>
      <c r="C1075">
        <f>TRIM(SUBSTITUTE(INDEX('Term investments'!$C:$C,ROW())&amp;""," "," "))</f>
        <v/>
      </c>
      <c r="D1075">
        <f>IFERROR(--INDEX('Term investments'!$D:$D,ROW()),0)</f>
        <v/>
      </c>
      <c r="E1075">
        <f>IFERROR(--INDEX('Term investments'!$E:$E,ROW()),0)</f>
        <v/>
      </c>
      <c r="F1075">
        <f>IFERROR(--INDEX('Term investments'!$F:$F,ROW()),0)</f>
        <v/>
      </c>
      <c r="G1075">
        <f>IFERROR(IF(--INDEX('Term investments'!$G:$G,ROW())&gt;=1,--INDEX('Term investments'!$G:$G,ROW())/100,--INDEX('Term investments'!$G:$G,ROW())),0)</f>
        <v/>
      </c>
      <c r="H1075">
        <f>IFERROR(--INDEX('Term investments'!$H:$H,ROW()),0)</f>
        <v/>
      </c>
      <c r="I1075">
        <f>IF(ISNUMBER(INDEX('Term investments'!$G:$G,ROW())),1,0)</f>
        <v/>
      </c>
      <c r="J1075">
        <f>TRIM(SUBSTITUTE(INDEX('Call accounts and MMFs'!$A:$A,ROW())&amp;""," "," "))</f>
        <v/>
      </c>
      <c r="K1075">
        <f>TRIM(SUBSTITUTE(INDEX('Call accounts and MMFs'!$B:$B,ROW())&amp;""," "," "))</f>
        <v/>
      </c>
      <c r="L1075">
        <f>TRIM(SUBSTITUTE(INDEX('Call accounts and MMFs'!$C:$C,ROW())&amp;""," "," "))</f>
        <v/>
      </c>
      <c r="M1075">
        <f>IFERROR(--INDEX('Call accounts and MMFs'!$D:$D,ROW()),0)</f>
        <v/>
      </c>
      <c r="N1075">
        <f>IFERROR(IF(--INDEX('Call accounts and MMFs'!$E:$E,ROW())&gt;=1,--INDEX('Call accounts and MMFs'!$E:$E,ROW())/100,--INDEX('Call accounts and MMFs'!$E:$E,ROW())),0)</f>
        <v/>
      </c>
      <c r="O1075">
        <f>IFERROR(--INDEX('Call accounts and MMFs'!$F:$F,ROW()),0)</f>
        <v/>
      </c>
      <c r="P1075">
        <f>IF(ISNUMBER(INDEX('Call accounts and MMFs'!$E:$E,ROW())),1,0)</f>
        <v/>
      </c>
      <c r="Q1075">
        <f>TRIM(SUBSTITUTE(INDEX('Pooled funds'!$B:$B,ROW())&amp;""," "," "))</f>
        <v/>
      </c>
      <c r="R1075">
        <f>IFERROR(--INDEX('Pooled funds'!$C:$C,ROW()),0)</f>
        <v/>
      </c>
      <c r="S1075">
        <f>IFERROR(--INDEX('Pooled funds'!$D:$D,ROW()),0)</f>
        <v/>
      </c>
      <c r="T1075">
        <f>IFERROR(IF(--INDEX('Pooled funds'!$E:$E,ROW())&gt;=1,--INDEX('Pooled funds'!$E:$E,ROW())/100,--INDEX('Pooled funds'!$E:$E,ROW())),0)</f>
        <v/>
      </c>
      <c r="U1075">
        <f>IF(ISNUMBER(INDEX('Pooled funds'!$E:$E,ROW())),1,0)</f>
        <v/>
      </c>
    </row>
    <row r="1076">
      <c r="A1076">
        <f>TRIM(SUBSTITUTE(INDEX('Term investments'!$A:$A,ROW())&amp;""," "," "))</f>
        <v/>
      </c>
      <c r="B1076">
        <f>TRIM(SUBSTITUTE(INDEX('Term investments'!$B:$B,ROW())&amp;""," "," "))</f>
        <v/>
      </c>
      <c r="C1076">
        <f>TRIM(SUBSTITUTE(INDEX('Term investments'!$C:$C,ROW())&amp;""," "," "))</f>
        <v/>
      </c>
      <c r="D1076">
        <f>IFERROR(--INDEX('Term investments'!$D:$D,ROW()),0)</f>
        <v/>
      </c>
      <c r="E1076">
        <f>IFERROR(--INDEX('Term investments'!$E:$E,ROW()),0)</f>
        <v/>
      </c>
      <c r="F1076">
        <f>IFERROR(--INDEX('Term investments'!$F:$F,ROW()),0)</f>
        <v/>
      </c>
      <c r="G1076">
        <f>IFERROR(IF(--INDEX('Term investments'!$G:$G,ROW())&gt;=1,--INDEX('Term investments'!$G:$G,ROW())/100,--INDEX('Term investments'!$G:$G,ROW())),0)</f>
        <v/>
      </c>
      <c r="H1076">
        <f>IFERROR(--INDEX('Term investments'!$H:$H,ROW()),0)</f>
        <v/>
      </c>
      <c r="I1076">
        <f>IF(ISNUMBER(INDEX('Term investments'!$G:$G,ROW())),1,0)</f>
        <v/>
      </c>
      <c r="J1076">
        <f>TRIM(SUBSTITUTE(INDEX('Call accounts and MMFs'!$A:$A,ROW())&amp;""," "," "))</f>
        <v/>
      </c>
      <c r="K1076">
        <f>TRIM(SUBSTITUTE(INDEX('Call accounts and MMFs'!$B:$B,ROW())&amp;""," "," "))</f>
        <v/>
      </c>
      <c r="L1076">
        <f>TRIM(SUBSTITUTE(INDEX('Call accounts and MMFs'!$C:$C,ROW())&amp;""," "," "))</f>
        <v/>
      </c>
      <c r="M1076">
        <f>IFERROR(--INDEX('Call accounts and MMFs'!$D:$D,ROW()),0)</f>
        <v/>
      </c>
      <c r="N1076">
        <f>IFERROR(IF(--INDEX('Call accounts and MMFs'!$E:$E,ROW())&gt;=1,--INDEX('Call accounts and MMFs'!$E:$E,ROW())/100,--INDEX('Call accounts and MMFs'!$E:$E,ROW())),0)</f>
        <v/>
      </c>
      <c r="O1076">
        <f>IFERROR(--INDEX('Call accounts and MMFs'!$F:$F,ROW()),0)</f>
        <v/>
      </c>
      <c r="P1076">
        <f>IF(ISNUMBER(INDEX('Call accounts and MMFs'!$E:$E,ROW())),1,0)</f>
        <v/>
      </c>
      <c r="Q1076">
        <f>TRIM(SUBSTITUTE(INDEX('Pooled funds'!$B:$B,ROW())&amp;""," "," "))</f>
        <v/>
      </c>
      <c r="R1076">
        <f>IFERROR(--INDEX('Pooled funds'!$C:$C,ROW()),0)</f>
        <v/>
      </c>
      <c r="S1076">
        <f>IFERROR(--INDEX('Pooled funds'!$D:$D,ROW()),0)</f>
        <v/>
      </c>
      <c r="T1076">
        <f>IFERROR(IF(--INDEX('Pooled funds'!$E:$E,ROW())&gt;=1,--INDEX('Pooled funds'!$E:$E,ROW())/100,--INDEX('Pooled funds'!$E:$E,ROW())),0)</f>
        <v/>
      </c>
      <c r="U1076">
        <f>IF(ISNUMBER(INDEX('Pooled funds'!$E:$E,ROW())),1,0)</f>
        <v/>
      </c>
    </row>
    <row r="1077">
      <c r="A1077">
        <f>TRIM(SUBSTITUTE(INDEX('Term investments'!$A:$A,ROW())&amp;""," "," "))</f>
        <v/>
      </c>
      <c r="B1077">
        <f>TRIM(SUBSTITUTE(INDEX('Term investments'!$B:$B,ROW())&amp;""," "," "))</f>
        <v/>
      </c>
      <c r="C1077">
        <f>TRIM(SUBSTITUTE(INDEX('Term investments'!$C:$C,ROW())&amp;""," "," "))</f>
        <v/>
      </c>
      <c r="D1077">
        <f>IFERROR(--INDEX('Term investments'!$D:$D,ROW()),0)</f>
        <v/>
      </c>
      <c r="E1077">
        <f>IFERROR(--INDEX('Term investments'!$E:$E,ROW()),0)</f>
        <v/>
      </c>
      <c r="F1077">
        <f>IFERROR(--INDEX('Term investments'!$F:$F,ROW()),0)</f>
        <v/>
      </c>
      <c r="G1077">
        <f>IFERROR(IF(--INDEX('Term investments'!$G:$G,ROW())&gt;=1,--INDEX('Term investments'!$G:$G,ROW())/100,--INDEX('Term investments'!$G:$G,ROW())),0)</f>
        <v/>
      </c>
      <c r="H1077">
        <f>IFERROR(--INDEX('Term investments'!$H:$H,ROW()),0)</f>
        <v/>
      </c>
      <c r="I1077">
        <f>IF(ISNUMBER(INDEX('Term investments'!$G:$G,ROW())),1,0)</f>
        <v/>
      </c>
      <c r="J1077">
        <f>TRIM(SUBSTITUTE(INDEX('Call accounts and MMFs'!$A:$A,ROW())&amp;""," "," "))</f>
        <v/>
      </c>
      <c r="K1077">
        <f>TRIM(SUBSTITUTE(INDEX('Call accounts and MMFs'!$B:$B,ROW())&amp;""," "," "))</f>
        <v/>
      </c>
      <c r="L1077">
        <f>TRIM(SUBSTITUTE(INDEX('Call accounts and MMFs'!$C:$C,ROW())&amp;""," "," "))</f>
        <v/>
      </c>
      <c r="M1077">
        <f>IFERROR(--INDEX('Call accounts and MMFs'!$D:$D,ROW()),0)</f>
        <v/>
      </c>
      <c r="N1077">
        <f>IFERROR(IF(--INDEX('Call accounts and MMFs'!$E:$E,ROW())&gt;=1,--INDEX('Call accounts and MMFs'!$E:$E,ROW())/100,--INDEX('Call accounts and MMFs'!$E:$E,ROW())),0)</f>
        <v/>
      </c>
      <c r="O1077">
        <f>IFERROR(--INDEX('Call accounts and MMFs'!$F:$F,ROW()),0)</f>
        <v/>
      </c>
      <c r="P1077">
        <f>IF(ISNUMBER(INDEX('Call accounts and MMFs'!$E:$E,ROW())),1,0)</f>
        <v/>
      </c>
      <c r="Q1077">
        <f>TRIM(SUBSTITUTE(INDEX('Pooled funds'!$B:$B,ROW())&amp;""," "," "))</f>
        <v/>
      </c>
      <c r="R1077">
        <f>IFERROR(--INDEX('Pooled funds'!$C:$C,ROW()),0)</f>
        <v/>
      </c>
      <c r="S1077">
        <f>IFERROR(--INDEX('Pooled funds'!$D:$D,ROW()),0)</f>
        <v/>
      </c>
      <c r="T1077">
        <f>IFERROR(IF(--INDEX('Pooled funds'!$E:$E,ROW())&gt;=1,--INDEX('Pooled funds'!$E:$E,ROW())/100,--INDEX('Pooled funds'!$E:$E,ROW())),0)</f>
        <v/>
      </c>
      <c r="U1077">
        <f>IF(ISNUMBER(INDEX('Pooled funds'!$E:$E,ROW())),1,0)</f>
        <v/>
      </c>
    </row>
    <row r="1078">
      <c r="A1078">
        <f>TRIM(SUBSTITUTE(INDEX('Term investments'!$A:$A,ROW())&amp;""," "," "))</f>
        <v/>
      </c>
      <c r="B1078">
        <f>TRIM(SUBSTITUTE(INDEX('Term investments'!$B:$B,ROW())&amp;""," "," "))</f>
        <v/>
      </c>
      <c r="C1078">
        <f>TRIM(SUBSTITUTE(INDEX('Term investments'!$C:$C,ROW())&amp;""," "," "))</f>
        <v/>
      </c>
      <c r="D1078">
        <f>IFERROR(--INDEX('Term investments'!$D:$D,ROW()),0)</f>
        <v/>
      </c>
      <c r="E1078">
        <f>IFERROR(--INDEX('Term investments'!$E:$E,ROW()),0)</f>
        <v/>
      </c>
      <c r="F1078">
        <f>IFERROR(--INDEX('Term investments'!$F:$F,ROW()),0)</f>
        <v/>
      </c>
      <c r="G1078">
        <f>IFERROR(IF(--INDEX('Term investments'!$G:$G,ROW())&gt;=1,--INDEX('Term investments'!$G:$G,ROW())/100,--INDEX('Term investments'!$G:$G,ROW())),0)</f>
        <v/>
      </c>
      <c r="H1078">
        <f>IFERROR(--INDEX('Term investments'!$H:$H,ROW()),0)</f>
        <v/>
      </c>
      <c r="I1078">
        <f>IF(ISNUMBER(INDEX('Term investments'!$G:$G,ROW())),1,0)</f>
        <v/>
      </c>
      <c r="J1078">
        <f>TRIM(SUBSTITUTE(INDEX('Call accounts and MMFs'!$A:$A,ROW())&amp;""," "," "))</f>
        <v/>
      </c>
      <c r="K1078">
        <f>TRIM(SUBSTITUTE(INDEX('Call accounts and MMFs'!$B:$B,ROW())&amp;""," "," "))</f>
        <v/>
      </c>
      <c r="L1078">
        <f>TRIM(SUBSTITUTE(INDEX('Call accounts and MMFs'!$C:$C,ROW())&amp;""," "," "))</f>
        <v/>
      </c>
      <c r="M1078">
        <f>IFERROR(--INDEX('Call accounts and MMFs'!$D:$D,ROW()),0)</f>
        <v/>
      </c>
      <c r="N1078">
        <f>IFERROR(IF(--INDEX('Call accounts and MMFs'!$E:$E,ROW())&gt;=1,--INDEX('Call accounts and MMFs'!$E:$E,ROW())/100,--INDEX('Call accounts and MMFs'!$E:$E,ROW())),0)</f>
        <v/>
      </c>
      <c r="O1078">
        <f>IFERROR(--INDEX('Call accounts and MMFs'!$F:$F,ROW()),0)</f>
        <v/>
      </c>
      <c r="P1078">
        <f>IF(ISNUMBER(INDEX('Call accounts and MMFs'!$E:$E,ROW())),1,0)</f>
        <v/>
      </c>
      <c r="Q1078">
        <f>TRIM(SUBSTITUTE(INDEX('Pooled funds'!$B:$B,ROW())&amp;""," "," "))</f>
        <v/>
      </c>
      <c r="R1078">
        <f>IFERROR(--INDEX('Pooled funds'!$C:$C,ROW()),0)</f>
        <v/>
      </c>
      <c r="S1078">
        <f>IFERROR(--INDEX('Pooled funds'!$D:$D,ROW()),0)</f>
        <v/>
      </c>
      <c r="T1078">
        <f>IFERROR(IF(--INDEX('Pooled funds'!$E:$E,ROW())&gt;=1,--INDEX('Pooled funds'!$E:$E,ROW())/100,--INDEX('Pooled funds'!$E:$E,ROW())),0)</f>
        <v/>
      </c>
      <c r="U1078">
        <f>IF(ISNUMBER(INDEX('Pooled funds'!$E:$E,ROW())),1,0)</f>
        <v/>
      </c>
    </row>
    <row r="1079">
      <c r="A1079">
        <f>TRIM(SUBSTITUTE(INDEX('Term investments'!$A:$A,ROW())&amp;""," "," "))</f>
        <v/>
      </c>
      <c r="B1079">
        <f>TRIM(SUBSTITUTE(INDEX('Term investments'!$B:$B,ROW())&amp;""," "," "))</f>
        <v/>
      </c>
      <c r="C1079">
        <f>TRIM(SUBSTITUTE(INDEX('Term investments'!$C:$C,ROW())&amp;""," "," "))</f>
        <v/>
      </c>
      <c r="D1079">
        <f>IFERROR(--INDEX('Term investments'!$D:$D,ROW()),0)</f>
        <v/>
      </c>
      <c r="E1079">
        <f>IFERROR(--INDEX('Term investments'!$E:$E,ROW()),0)</f>
        <v/>
      </c>
      <c r="F1079">
        <f>IFERROR(--INDEX('Term investments'!$F:$F,ROW()),0)</f>
        <v/>
      </c>
      <c r="G1079">
        <f>IFERROR(IF(--INDEX('Term investments'!$G:$G,ROW())&gt;=1,--INDEX('Term investments'!$G:$G,ROW())/100,--INDEX('Term investments'!$G:$G,ROW())),0)</f>
        <v/>
      </c>
      <c r="H1079">
        <f>IFERROR(--INDEX('Term investments'!$H:$H,ROW()),0)</f>
        <v/>
      </c>
      <c r="I1079">
        <f>IF(ISNUMBER(INDEX('Term investments'!$G:$G,ROW())),1,0)</f>
        <v/>
      </c>
      <c r="J1079">
        <f>TRIM(SUBSTITUTE(INDEX('Call accounts and MMFs'!$A:$A,ROW())&amp;""," "," "))</f>
        <v/>
      </c>
      <c r="K1079">
        <f>TRIM(SUBSTITUTE(INDEX('Call accounts and MMFs'!$B:$B,ROW())&amp;""," "," "))</f>
        <v/>
      </c>
      <c r="L1079">
        <f>TRIM(SUBSTITUTE(INDEX('Call accounts and MMFs'!$C:$C,ROW())&amp;""," "," "))</f>
        <v/>
      </c>
      <c r="M1079">
        <f>IFERROR(--INDEX('Call accounts and MMFs'!$D:$D,ROW()),0)</f>
        <v/>
      </c>
      <c r="N1079">
        <f>IFERROR(IF(--INDEX('Call accounts and MMFs'!$E:$E,ROW())&gt;=1,--INDEX('Call accounts and MMFs'!$E:$E,ROW())/100,--INDEX('Call accounts and MMFs'!$E:$E,ROW())),0)</f>
        <v/>
      </c>
      <c r="O1079">
        <f>IFERROR(--INDEX('Call accounts and MMFs'!$F:$F,ROW()),0)</f>
        <v/>
      </c>
      <c r="P1079">
        <f>IF(ISNUMBER(INDEX('Call accounts and MMFs'!$E:$E,ROW())),1,0)</f>
        <v/>
      </c>
      <c r="Q1079">
        <f>TRIM(SUBSTITUTE(INDEX('Pooled funds'!$B:$B,ROW())&amp;""," "," "))</f>
        <v/>
      </c>
      <c r="R1079">
        <f>IFERROR(--INDEX('Pooled funds'!$C:$C,ROW()),0)</f>
        <v/>
      </c>
      <c r="S1079">
        <f>IFERROR(--INDEX('Pooled funds'!$D:$D,ROW()),0)</f>
        <v/>
      </c>
      <c r="T1079">
        <f>IFERROR(IF(--INDEX('Pooled funds'!$E:$E,ROW())&gt;=1,--INDEX('Pooled funds'!$E:$E,ROW())/100,--INDEX('Pooled funds'!$E:$E,ROW())),0)</f>
        <v/>
      </c>
      <c r="U1079">
        <f>IF(ISNUMBER(INDEX('Pooled funds'!$E:$E,ROW())),1,0)</f>
        <v/>
      </c>
    </row>
    <row r="1080">
      <c r="A1080">
        <f>TRIM(SUBSTITUTE(INDEX('Term investments'!$A:$A,ROW())&amp;""," "," "))</f>
        <v/>
      </c>
      <c r="B1080">
        <f>TRIM(SUBSTITUTE(INDEX('Term investments'!$B:$B,ROW())&amp;""," "," "))</f>
        <v/>
      </c>
      <c r="C1080">
        <f>TRIM(SUBSTITUTE(INDEX('Term investments'!$C:$C,ROW())&amp;""," "," "))</f>
        <v/>
      </c>
      <c r="D1080">
        <f>IFERROR(--INDEX('Term investments'!$D:$D,ROW()),0)</f>
        <v/>
      </c>
      <c r="E1080">
        <f>IFERROR(--INDEX('Term investments'!$E:$E,ROW()),0)</f>
        <v/>
      </c>
      <c r="F1080">
        <f>IFERROR(--INDEX('Term investments'!$F:$F,ROW()),0)</f>
        <v/>
      </c>
      <c r="G1080">
        <f>IFERROR(IF(--INDEX('Term investments'!$G:$G,ROW())&gt;=1,--INDEX('Term investments'!$G:$G,ROW())/100,--INDEX('Term investments'!$G:$G,ROW())),0)</f>
        <v/>
      </c>
      <c r="H1080">
        <f>IFERROR(--INDEX('Term investments'!$H:$H,ROW()),0)</f>
        <v/>
      </c>
      <c r="I1080">
        <f>IF(ISNUMBER(INDEX('Term investments'!$G:$G,ROW())),1,0)</f>
        <v/>
      </c>
      <c r="J1080">
        <f>TRIM(SUBSTITUTE(INDEX('Call accounts and MMFs'!$A:$A,ROW())&amp;""," "," "))</f>
        <v/>
      </c>
      <c r="K1080">
        <f>TRIM(SUBSTITUTE(INDEX('Call accounts and MMFs'!$B:$B,ROW())&amp;""," "," "))</f>
        <v/>
      </c>
      <c r="L1080">
        <f>TRIM(SUBSTITUTE(INDEX('Call accounts and MMFs'!$C:$C,ROW())&amp;""," "," "))</f>
        <v/>
      </c>
      <c r="M1080">
        <f>IFERROR(--INDEX('Call accounts and MMFs'!$D:$D,ROW()),0)</f>
        <v/>
      </c>
      <c r="N1080">
        <f>IFERROR(IF(--INDEX('Call accounts and MMFs'!$E:$E,ROW())&gt;=1,--INDEX('Call accounts and MMFs'!$E:$E,ROW())/100,--INDEX('Call accounts and MMFs'!$E:$E,ROW())),0)</f>
        <v/>
      </c>
      <c r="O1080">
        <f>IFERROR(--INDEX('Call accounts and MMFs'!$F:$F,ROW()),0)</f>
        <v/>
      </c>
      <c r="P1080">
        <f>IF(ISNUMBER(INDEX('Call accounts and MMFs'!$E:$E,ROW())),1,0)</f>
        <v/>
      </c>
      <c r="Q1080">
        <f>TRIM(SUBSTITUTE(INDEX('Pooled funds'!$B:$B,ROW())&amp;""," "," "))</f>
        <v/>
      </c>
      <c r="R1080">
        <f>IFERROR(--INDEX('Pooled funds'!$C:$C,ROW()),0)</f>
        <v/>
      </c>
      <c r="S1080">
        <f>IFERROR(--INDEX('Pooled funds'!$D:$D,ROW()),0)</f>
        <v/>
      </c>
      <c r="T1080">
        <f>IFERROR(IF(--INDEX('Pooled funds'!$E:$E,ROW())&gt;=1,--INDEX('Pooled funds'!$E:$E,ROW())/100,--INDEX('Pooled funds'!$E:$E,ROW())),0)</f>
        <v/>
      </c>
      <c r="U1080">
        <f>IF(ISNUMBER(INDEX('Pooled funds'!$E:$E,ROW())),1,0)</f>
        <v/>
      </c>
    </row>
    <row r="1081">
      <c r="A1081">
        <f>TRIM(SUBSTITUTE(INDEX('Term investments'!$A:$A,ROW())&amp;""," "," "))</f>
        <v/>
      </c>
      <c r="B1081">
        <f>TRIM(SUBSTITUTE(INDEX('Term investments'!$B:$B,ROW())&amp;""," "," "))</f>
        <v/>
      </c>
      <c r="C1081">
        <f>TRIM(SUBSTITUTE(INDEX('Term investments'!$C:$C,ROW())&amp;""," "," "))</f>
        <v/>
      </c>
      <c r="D1081">
        <f>IFERROR(--INDEX('Term investments'!$D:$D,ROW()),0)</f>
        <v/>
      </c>
      <c r="E1081">
        <f>IFERROR(--INDEX('Term investments'!$E:$E,ROW()),0)</f>
        <v/>
      </c>
      <c r="F1081">
        <f>IFERROR(--INDEX('Term investments'!$F:$F,ROW()),0)</f>
        <v/>
      </c>
      <c r="G1081">
        <f>IFERROR(IF(--INDEX('Term investments'!$G:$G,ROW())&gt;=1,--INDEX('Term investments'!$G:$G,ROW())/100,--INDEX('Term investments'!$G:$G,ROW())),0)</f>
        <v/>
      </c>
      <c r="H1081">
        <f>IFERROR(--INDEX('Term investments'!$H:$H,ROW()),0)</f>
        <v/>
      </c>
      <c r="I1081">
        <f>IF(ISNUMBER(INDEX('Term investments'!$G:$G,ROW())),1,0)</f>
        <v/>
      </c>
      <c r="J1081">
        <f>TRIM(SUBSTITUTE(INDEX('Call accounts and MMFs'!$A:$A,ROW())&amp;""," "," "))</f>
        <v/>
      </c>
      <c r="K1081">
        <f>TRIM(SUBSTITUTE(INDEX('Call accounts and MMFs'!$B:$B,ROW())&amp;""," "," "))</f>
        <v/>
      </c>
      <c r="L1081">
        <f>TRIM(SUBSTITUTE(INDEX('Call accounts and MMFs'!$C:$C,ROW())&amp;""," "," "))</f>
        <v/>
      </c>
      <c r="M1081">
        <f>IFERROR(--INDEX('Call accounts and MMFs'!$D:$D,ROW()),0)</f>
        <v/>
      </c>
      <c r="N1081">
        <f>IFERROR(IF(--INDEX('Call accounts and MMFs'!$E:$E,ROW())&gt;=1,--INDEX('Call accounts and MMFs'!$E:$E,ROW())/100,--INDEX('Call accounts and MMFs'!$E:$E,ROW())),0)</f>
        <v/>
      </c>
      <c r="O1081">
        <f>IFERROR(--INDEX('Call accounts and MMFs'!$F:$F,ROW()),0)</f>
        <v/>
      </c>
      <c r="P1081">
        <f>IF(ISNUMBER(INDEX('Call accounts and MMFs'!$E:$E,ROW())),1,0)</f>
        <v/>
      </c>
      <c r="Q1081">
        <f>TRIM(SUBSTITUTE(INDEX('Pooled funds'!$B:$B,ROW())&amp;""," "," "))</f>
        <v/>
      </c>
      <c r="R1081">
        <f>IFERROR(--INDEX('Pooled funds'!$C:$C,ROW()),0)</f>
        <v/>
      </c>
      <c r="S1081">
        <f>IFERROR(--INDEX('Pooled funds'!$D:$D,ROW()),0)</f>
        <v/>
      </c>
      <c r="T1081">
        <f>IFERROR(IF(--INDEX('Pooled funds'!$E:$E,ROW())&gt;=1,--INDEX('Pooled funds'!$E:$E,ROW())/100,--INDEX('Pooled funds'!$E:$E,ROW())),0)</f>
        <v/>
      </c>
      <c r="U1081">
        <f>IF(ISNUMBER(INDEX('Pooled funds'!$E:$E,ROW())),1,0)</f>
        <v/>
      </c>
    </row>
    <row r="1082">
      <c r="A1082">
        <f>TRIM(SUBSTITUTE(INDEX('Term investments'!$A:$A,ROW())&amp;""," "," "))</f>
        <v/>
      </c>
      <c r="B1082">
        <f>TRIM(SUBSTITUTE(INDEX('Term investments'!$B:$B,ROW())&amp;""," "," "))</f>
        <v/>
      </c>
      <c r="C1082">
        <f>TRIM(SUBSTITUTE(INDEX('Term investments'!$C:$C,ROW())&amp;""," "," "))</f>
        <v/>
      </c>
      <c r="D1082">
        <f>IFERROR(--INDEX('Term investments'!$D:$D,ROW()),0)</f>
        <v/>
      </c>
      <c r="E1082">
        <f>IFERROR(--INDEX('Term investments'!$E:$E,ROW()),0)</f>
        <v/>
      </c>
      <c r="F1082">
        <f>IFERROR(--INDEX('Term investments'!$F:$F,ROW()),0)</f>
        <v/>
      </c>
      <c r="G1082">
        <f>IFERROR(IF(--INDEX('Term investments'!$G:$G,ROW())&gt;=1,--INDEX('Term investments'!$G:$G,ROW())/100,--INDEX('Term investments'!$G:$G,ROW())),0)</f>
        <v/>
      </c>
      <c r="H1082">
        <f>IFERROR(--INDEX('Term investments'!$H:$H,ROW()),0)</f>
        <v/>
      </c>
      <c r="I1082">
        <f>IF(ISNUMBER(INDEX('Term investments'!$G:$G,ROW())),1,0)</f>
        <v/>
      </c>
      <c r="J1082">
        <f>TRIM(SUBSTITUTE(INDEX('Call accounts and MMFs'!$A:$A,ROW())&amp;""," "," "))</f>
        <v/>
      </c>
      <c r="K1082">
        <f>TRIM(SUBSTITUTE(INDEX('Call accounts and MMFs'!$B:$B,ROW())&amp;""," "," "))</f>
        <v/>
      </c>
      <c r="L1082">
        <f>TRIM(SUBSTITUTE(INDEX('Call accounts and MMFs'!$C:$C,ROW())&amp;""," "," "))</f>
        <v/>
      </c>
      <c r="M1082">
        <f>IFERROR(--INDEX('Call accounts and MMFs'!$D:$D,ROW()),0)</f>
        <v/>
      </c>
      <c r="N1082">
        <f>IFERROR(IF(--INDEX('Call accounts and MMFs'!$E:$E,ROW())&gt;=1,--INDEX('Call accounts and MMFs'!$E:$E,ROW())/100,--INDEX('Call accounts and MMFs'!$E:$E,ROW())),0)</f>
        <v/>
      </c>
      <c r="O1082">
        <f>IFERROR(--INDEX('Call accounts and MMFs'!$F:$F,ROW()),0)</f>
        <v/>
      </c>
      <c r="P1082">
        <f>IF(ISNUMBER(INDEX('Call accounts and MMFs'!$E:$E,ROW())),1,0)</f>
        <v/>
      </c>
      <c r="Q1082">
        <f>TRIM(SUBSTITUTE(INDEX('Pooled funds'!$B:$B,ROW())&amp;""," "," "))</f>
        <v/>
      </c>
      <c r="R1082">
        <f>IFERROR(--INDEX('Pooled funds'!$C:$C,ROW()),0)</f>
        <v/>
      </c>
      <c r="S1082">
        <f>IFERROR(--INDEX('Pooled funds'!$D:$D,ROW()),0)</f>
        <v/>
      </c>
      <c r="T1082">
        <f>IFERROR(IF(--INDEX('Pooled funds'!$E:$E,ROW())&gt;=1,--INDEX('Pooled funds'!$E:$E,ROW())/100,--INDEX('Pooled funds'!$E:$E,ROW())),0)</f>
        <v/>
      </c>
      <c r="U1082">
        <f>IF(ISNUMBER(INDEX('Pooled funds'!$E:$E,ROW())),1,0)</f>
        <v/>
      </c>
    </row>
    <row r="1083">
      <c r="A1083">
        <f>TRIM(SUBSTITUTE(INDEX('Term investments'!$A:$A,ROW())&amp;""," "," "))</f>
        <v/>
      </c>
      <c r="B1083">
        <f>TRIM(SUBSTITUTE(INDEX('Term investments'!$B:$B,ROW())&amp;""," "," "))</f>
        <v/>
      </c>
      <c r="C1083">
        <f>TRIM(SUBSTITUTE(INDEX('Term investments'!$C:$C,ROW())&amp;""," "," "))</f>
        <v/>
      </c>
      <c r="D1083">
        <f>IFERROR(--INDEX('Term investments'!$D:$D,ROW()),0)</f>
        <v/>
      </c>
      <c r="E1083">
        <f>IFERROR(--INDEX('Term investments'!$E:$E,ROW()),0)</f>
        <v/>
      </c>
      <c r="F1083">
        <f>IFERROR(--INDEX('Term investments'!$F:$F,ROW()),0)</f>
        <v/>
      </c>
      <c r="G1083">
        <f>IFERROR(IF(--INDEX('Term investments'!$G:$G,ROW())&gt;=1,--INDEX('Term investments'!$G:$G,ROW())/100,--INDEX('Term investments'!$G:$G,ROW())),0)</f>
        <v/>
      </c>
      <c r="H1083">
        <f>IFERROR(--INDEX('Term investments'!$H:$H,ROW()),0)</f>
        <v/>
      </c>
      <c r="I1083">
        <f>IF(ISNUMBER(INDEX('Term investments'!$G:$G,ROW())),1,0)</f>
        <v/>
      </c>
      <c r="J1083">
        <f>TRIM(SUBSTITUTE(INDEX('Call accounts and MMFs'!$A:$A,ROW())&amp;""," "," "))</f>
        <v/>
      </c>
      <c r="K1083">
        <f>TRIM(SUBSTITUTE(INDEX('Call accounts and MMFs'!$B:$B,ROW())&amp;""," "," "))</f>
        <v/>
      </c>
      <c r="L1083">
        <f>TRIM(SUBSTITUTE(INDEX('Call accounts and MMFs'!$C:$C,ROW())&amp;""," "," "))</f>
        <v/>
      </c>
      <c r="M1083">
        <f>IFERROR(--INDEX('Call accounts and MMFs'!$D:$D,ROW()),0)</f>
        <v/>
      </c>
      <c r="N1083">
        <f>IFERROR(IF(--INDEX('Call accounts and MMFs'!$E:$E,ROW())&gt;=1,--INDEX('Call accounts and MMFs'!$E:$E,ROW())/100,--INDEX('Call accounts and MMFs'!$E:$E,ROW())),0)</f>
        <v/>
      </c>
      <c r="O1083">
        <f>IFERROR(--INDEX('Call accounts and MMFs'!$F:$F,ROW()),0)</f>
        <v/>
      </c>
      <c r="P1083">
        <f>IF(ISNUMBER(INDEX('Call accounts and MMFs'!$E:$E,ROW())),1,0)</f>
        <v/>
      </c>
      <c r="Q1083">
        <f>TRIM(SUBSTITUTE(INDEX('Pooled funds'!$B:$B,ROW())&amp;""," "," "))</f>
        <v/>
      </c>
      <c r="R1083">
        <f>IFERROR(--INDEX('Pooled funds'!$C:$C,ROW()),0)</f>
        <v/>
      </c>
      <c r="S1083">
        <f>IFERROR(--INDEX('Pooled funds'!$D:$D,ROW()),0)</f>
        <v/>
      </c>
      <c r="T1083">
        <f>IFERROR(IF(--INDEX('Pooled funds'!$E:$E,ROW())&gt;=1,--INDEX('Pooled funds'!$E:$E,ROW())/100,--INDEX('Pooled funds'!$E:$E,ROW())),0)</f>
        <v/>
      </c>
      <c r="U1083">
        <f>IF(ISNUMBER(INDEX('Pooled funds'!$E:$E,ROW())),1,0)</f>
        <v/>
      </c>
    </row>
    <row r="1084">
      <c r="A1084">
        <f>TRIM(SUBSTITUTE(INDEX('Term investments'!$A:$A,ROW())&amp;""," "," "))</f>
        <v/>
      </c>
      <c r="B1084">
        <f>TRIM(SUBSTITUTE(INDEX('Term investments'!$B:$B,ROW())&amp;""," "," "))</f>
        <v/>
      </c>
      <c r="C1084">
        <f>TRIM(SUBSTITUTE(INDEX('Term investments'!$C:$C,ROW())&amp;""," "," "))</f>
        <v/>
      </c>
      <c r="D1084">
        <f>IFERROR(--INDEX('Term investments'!$D:$D,ROW()),0)</f>
        <v/>
      </c>
      <c r="E1084">
        <f>IFERROR(--INDEX('Term investments'!$E:$E,ROW()),0)</f>
        <v/>
      </c>
      <c r="F1084">
        <f>IFERROR(--INDEX('Term investments'!$F:$F,ROW()),0)</f>
        <v/>
      </c>
      <c r="G1084">
        <f>IFERROR(IF(--INDEX('Term investments'!$G:$G,ROW())&gt;=1,--INDEX('Term investments'!$G:$G,ROW())/100,--INDEX('Term investments'!$G:$G,ROW())),0)</f>
        <v/>
      </c>
      <c r="H1084">
        <f>IFERROR(--INDEX('Term investments'!$H:$H,ROW()),0)</f>
        <v/>
      </c>
      <c r="I1084">
        <f>IF(ISNUMBER(INDEX('Term investments'!$G:$G,ROW())),1,0)</f>
        <v/>
      </c>
      <c r="J1084">
        <f>TRIM(SUBSTITUTE(INDEX('Call accounts and MMFs'!$A:$A,ROW())&amp;""," "," "))</f>
        <v/>
      </c>
      <c r="K1084">
        <f>TRIM(SUBSTITUTE(INDEX('Call accounts and MMFs'!$B:$B,ROW())&amp;""," "," "))</f>
        <v/>
      </c>
      <c r="L1084">
        <f>TRIM(SUBSTITUTE(INDEX('Call accounts and MMFs'!$C:$C,ROW())&amp;""," "," "))</f>
        <v/>
      </c>
      <c r="M1084">
        <f>IFERROR(--INDEX('Call accounts and MMFs'!$D:$D,ROW()),0)</f>
        <v/>
      </c>
      <c r="N1084">
        <f>IFERROR(IF(--INDEX('Call accounts and MMFs'!$E:$E,ROW())&gt;=1,--INDEX('Call accounts and MMFs'!$E:$E,ROW())/100,--INDEX('Call accounts and MMFs'!$E:$E,ROW())),0)</f>
        <v/>
      </c>
      <c r="O1084">
        <f>IFERROR(--INDEX('Call accounts and MMFs'!$F:$F,ROW()),0)</f>
        <v/>
      </c>
      <c r="P1084">
        <f>IF(ISNUMBER(INDEX('Call accounts and MMFs'!$E:$E,ROW())),1,0)</f>
        <v/>
      </c>
      <c r="Q1084">
        <f>TRIM(SUBSTITUTE(INDEX('Pooled funds'!$B:$B,ROW())&amp;""," "," "))</f>
        <v/>
      </c>
      <c r="R1084">
        <f>IFERROR(--INDEX('Pooled funds'!$C:$C,ROW()),0)</f>
        <v/>
      </c>
      <c r="S1084">
        <f>IFERROR(--INDEX('Pooled funds'!$D:$D,ROW()),0)</f>
        <v/>
      </c>
      <c r="T1084">
        <f>IFERROR(IF(--INDEX('Pooled funds'!$E:$E,ROW())&gt;=1,--INDEX('Pooled funds'!$E:$E,ROW())/100,--INDEX('Pooled funds'!$E:$E,ROW())),0)</f>
        <v/>
      </c>
      <c r="U1084">
        <f>IF(ISNUMBER(INDEX('Pooled funds'!$E:$E,ROW())),1,0)</f>
        <v/>
      </c>
    </row>
    <row r="1085">
      <c r="A1085">
        <f>TRIM(SUBSTITUTE(INDEX('Term investments'!$A:$A,ROW())&amp;""," "," "))</f>
        <v/>
      </c>
      <c r="B1085">
        <f>TRIM(SUBSTITUTE(INDEX('Term investments'!$B:$B,ROW())&amp;""," "," "))</f>
        <v/>
      </c>
      <c r="C1085">
        <f>TRIM(SUBSTITUTE(INDEX('Term investments'!$C:$C,ROW())&amp;""," "," "))</f>
        <v/>
      </c>
      <c r="D1085">
        <f>IFERROR(--INDEX('Term investments'!$D:$D,ROW()),0)</f>
        <v/>
      </c>
      <c r="E1085">
        <f>IFERROR(--INDEX('Term investments'!$E:$E,ROW()),0)</f>
        <v/>
      </c>
      <c r="F1085">
        <f>IFERROR(--INDEX('Term investments'!$F:$F,ROW()),0)</f>
        <v/>
      </c>
      <c r="G1085">
        <f>IFERROR(IF(--INDEX('Term investments'!$G:$G,ROW())&gt;=1,--INDEX('Term investments'!$G:$G,ROW())/100,--INDEX('Term investments'!$G:$G,ROW())),0)</f>
        <v/>
      </c>
      <c r="H1085">
        <f>IFERROR(--INDEX('Term investments'!$H:$H,ROW()),0)</f>
        <v/>
      </c>
      <c r="I1085">
        <f>IF(ISNUMBER(INDEX('Term investments'!$G:$G,ROW())),1,0)</f>
        <v/>
      </c>
      <c r="J1085">
        <f>TRIM(SUBSTITUTE(INDEX('Call accounts and MMFs'!$A:$A,ROW())&amp;""," "," "))</f>
        <v/>
      </c>
      <c r="K1085">
        <f>TRIM(SUBSTITUTE(INDEX('Call accounts and MMFs'!$B:$B,ROW())&amp;""," "," "))</f>
        <v/>
      </c>
      <c r="L1085">
        <f>TRIM(SUBSTITUTE(INDEX('Call accounts and MMFs'!$C:$C,ROW())&amp;""," "," "))</f>
        <v/>
      </c>
      <c r="M1085">
        <f>IFERROR(--INDEX('Call accounts and MMFs'!$D:$D,ROW()),0)</f>
        <v/>
      </c>
      <c r="N1085">
        <f>IFERROR(IF(--INDEX('Call accounts and MMFs'!$E:$E,ROW())&gt;=1,--INDEX('Call accounts and MMFs'!$E:$E,ROW())/100,--INDEX('Call accounts and MMFs'!$E:$E,ROW())),0)</f>
        <v/>
      </c>
      <c r="O1085">
        <f>IFERROR(--INDEX('Call accounts and MMFs'!$F:$F,ROW()),0)</f>
        <v/>
      </c>
      <c r="P1085">
        <f>IF(ISNUMBER(INDEX('Call accounts and MMFs'!$E:$E,ROW())),1,0)</f>
        <v/>
      </c>
      <c r="Q1085">
        <f>TRIM(SUBSTITUTE(INDEX('Pooled funds'!$B:$B,ROW())&amp;""," "," "))</f>
        <v/>
      </c>
      <c r="R1085">
        <f>IFERROR(--INDEX('Pooled funds'!$C:$C,ROW()),0)</f>
        <v/>
      </c>
      <c r="S1085">
        <f>IFERROR(--INDEX('Pooled funds'!$D:$D,ROW()),0)</f>
        <v/>
      </c>
      <c r="T1085">
        <f>IFERROR(IF(--INDEX('Pooled funds'!$E:$E,ROW())&gt;=1,--INDEX('Pooled funds'!$E:$E,ROW())/100,--INDEX('Pooled funds'!$E:$E,ROW())),0)</f>
        <v/>
      </c>
      <c r="U1085">
        <f>IF(ISNUMBER(INDEX('Pooled funds'!$E:$E,ROW())),1,0)</f>
        <v/>
      </c>
    </row>
    <row r="1086">
      <c r="A1086">
        <f>TRIM(SUBSTITUTE(INDEX('Term investments'!$A:$A,ROW())&amp;""," "," "))</f>
        <v/>
      </c>
      <c r="B1086">
        <f>TRIM(SUBSTITUTE(INDEX('Term investments'!$B:$B,ROW())&amp;""," "," "))</f>
        <v/>
      </c>
      <c r="C1086">
        <f>TRIM(SUBSTITUTE(INDEX('Term investments'!$C:$C,ROW())&amp;""," "," "))</f>
        <v/>
      </c>
      <c r="D1086">
        <f>IFERROR(--INDEX('Term investments'!$D:$D,ROW()),0)</f>
        <v/>
      </c>
      <c r="E1086">
        <f>IFERROR(--INDEX('Term investments'!$E:$E,ROW()),0)</f>
        <v/>
      </c>
      <c r="F1086">
        <f>IFERROR(--INDEX('Term investments'!$F:$F,ROW()),0)</f>
        <v/>
      </c>
      <c r="G1086">
        <f>IFERROR(IF(--INDEX('Term investments'!$G:$G,ROW())&gt;=1,--INDEX('Term investments'!$G:$G,ROW())/100,--INDEX('Term investments'!$G:$G,ROW())),0)</f>
        <v/>
      </c>
      <c r="H1086">
        <f>IFERROR(--INDEX('Term investments'!$H:$H,ROW()),0)</f>
        <v/>
      </c>
      <c r="I1086">
        <f>IF(ISNUMBER(INDEX('Term investments'!$G:$G,ROW())),1,0)</f>
        <v/>
      </c>
      <c r="J1086">
        <f>TRIM(SUBSTITUTE(INDEX('Call accounts and MMFs'!$A:$A,ROW())&amp;""," "," "))</f>
        <v/>
      </c>
      <c r="K1086">
        <f>TRIM(SUBSTITUTE(INDEX('Call accounts and MMFs'!$B:$B,ROW())&amp;""," "," "))</f>
        <v/>
      </c>
      <c r="L1086">
        <f>TRIM(SUBSTITUTE(INDEX('Call accounts and MMFs'!$C:$C,ROW())&amp;""," "," "))</f>
        <v/>
      </c>
      <c r="M1086">
        <f>IFERROR(--INDEX('Call accounts and MMFs'!$D:$D,ROW()),0)</f>
        <v/>
      </c>
      <c r="N1086">
        <f>IFERROR(IF(--INDEX('Call accounts and MMFs'!$E:$E,ROW())&gt;=1,--INDEX('Call accounts and MMFs'!$E:$E,ROW())/100,--INDEX('Call accounts and MMFs'!$E:$E,ROW())),0)</f>
        <v/>
      </c>
      <c r="O1086">
        <f>IFERROR(--INDEX('Call accounts and MMFs'!$F:$F,ROW()),0)</f>
        <v/>
      </c>
      <c r="P1086">
        <f>IF(ISNUMBER(INDEX('Call accounts and MMFs'!$E:$E,ROW())),1,0)</f>
        <v/>
      </c>
      <c r="Q1086">
        <f>TRIM(SUBSTITUTE(INDEX('Pooled funds'!$B:$B,ROW())&amp;""," "," "))</f>
        <v/>
      </c>
      <c r="R1086">
        <f>IFERROR(--INDEX('Pooled funds'!$C:$C,ROW()),0)</f>
        <v/>
      </c>
      <c r="S1086">
        <f>IFERROR(--INDEX('Pooled funds'!$D:$D,ROW()),0)</f>
        <v/>
      </c>
      <c r="T1086">
        <f>IFERROR(IF(--INDEX('Pooled funds'!$E:$E,ROW())&gt;=1,--INDEX('Pooled funds'!$E:$E,ROW())/100,--INDEX('Pooled funds'!$E:$E,ROW())),0)</f>
        <v/>
      </c>
      <c r="U1086">
        <f>IF(ISNUMBER(INDEX('Pooled funds'!$E:$E,ROW())),1,0)</f>
        <v/>
      </c>
    </row>
    <row r="1087">
      <c r="A1087">
        <f>TRIM(SUBSTITUTE(INDEX('Term investments'!$A:$A,ROW())&amp;""," "," "))</f>
        <v/>
      </c>
      <c r="B1087">
        <f>TRIM(SUBSTITUTE(INDEX('Term investments'!$B:$B,ROW())&amp;""," "," "))</f>
        <v/>
      </c>
      <c r="C1087">
        <f>TRIM(SUBSTITUTE(INDEX('Term investments'!$C:$C,ROW())&amp;""," "," "))</f>
        <v/>
      </c>
      <c r="D1087">
        <f>IFERROR(--INDEX('Term investments'!$D:$D,ROW()),0)</f>
        <v/>
      </c>
      <c r="E1087">
        <f>IFERROR(--INDEX('Term investments'!$E:$E,ROW()),0)</f>
        <v/>
      </c>
      <c r="F1087">
        <f>IFERROR(--INDEX('Term investments'!$F:$F,ROW()),0)</f>
        <v/>
      </c>
      <c r="G1087">
        <f>IFERROR(IF(--INDEX('Term investments'!$G:$G,ROW())&gt;=1,--INDEX('Term investments'!$G:$G,ROW())/100,--INDEX('Term investments'!$G:$G,ROW())),0)</f>
        <v/>
      </c>
      <c r="H1087">
        <f>IFERROR(--INDEX('Term investments'!$H:$H,ROW()),0)</f>
        <v/>
      </c>
      <c r="I1087">
        <f>IF(ISNUMBER(INDEX('Term investments'!$G:$G,ROW())),1,0)</f>
        <v/>
      </c>
      <c r="J1087">
        <f>TRIM(SUBSTITUTE(INDEX('Call accounts and MMFs'!$A:$A,ROW())&amp;""," "," "))</f>
        <v/>
      </c>
      <c r="K1087">
        <f>TRIM(SUBSTITUTE(INDEX('Call accounts and MMFs'!$B:$B,ROW())&amp;""," "," "))</f>
        <v/>
      </c>
      <c r="L1087">
        <f>TRIM(SUBSTITUTE(INDEX('Call accounts and MMFs'!$C:$C,ROW())&amp;""," "," "))</f>
        <v/>
      </c>
      <c r="M1087">
        <f>IFERROR(--INDEX('Call accounts and MMFs'!$D:$D,ROW()),0)</f>
        <v/>
      </c>
      <c r="N1087">
        <f>IFERROR(IF(--INDEX('Call accounts and MMFs'!$E:$E,ROW())&gt;=1,--INDEX('Call accounts and MMFs'!$E:$E,ROW())/100,--INDEX('Call accounts and MMFs'!$E:$E,ROW())),0)</f>
        <v/>
      </c>
      <c r="O1087">
        <f>IFERROR(--INDEX('Call accounts and MMFs'!$F:$F,ROW()),0)</f>
        <v/>
      </c>
      <c r="P1087">
        <f>IF(ISNUMBER(INDEX('Call accounts and MMFs'!$E:$E,ROW())),1,0)</f>
        <v/>
      </c>
      <c r="Q1087">
        <f>TRIM(SUBSTITUTE(INDEX('Pooled funds'!$B:$B,ROW())&amp;""," "," "))</f>
        <v/>
      </c>
      <c r="R1087">
        <f>IFERROR(--INDEX('Pooled funds'!$C:$C,ROW()),0)</f>
        <v/>
      </c>
      <c r="S1087">
        <f>IFERROR(--INDEX('Pooled funds'!$D:$D,ROW()),0)</f>
        <v/>
      </c>
      <c r="T1087">
        <f>IFERROR(IF(--INDEX('Pooled funds'!$E:$E,ROW())&gt;=1,--INDEX('Pooled funds'!$E:$E,ROW())/100,--INDEX('Pooled funds'!$E:$E,ROW())),0)</f>
        <v/>
      </c>
      <c r="U1087">
        <f>IF(ISNUMBER(INDEX('Pooled funds'!$E:$E,ROW())),1,0)</f>
        <v/>
      </c>
    </row>
    <row r="1088">
      <c r="A1088">
        <f>TRIM(SUBSTITUTE(INDEX('Term investments'!$A:$A,ROW())&amp;""," "," "))</f>
        <v/>
      </c>
      <c r="B1088">
        <f>TRIM(SUBSTITUTE(INDEX('Term investments'!$B:$B,ROW())&amp;""," "," "))</f>
        <v/>
      </c>
      <c r="C1088">
        <f>TRIM(SUBSTITUTE(INDEX('Term investments'!$C:$C,ROW())&amp;""," "," "))</f>
        <v/>
      </c>
      <c r="D1088">
        <f>IFERROR(--INDEX('Term investments'!$D:$D,ROW()),0)</f>
        <v/>
      </c>
      <c r="E1088">
        <f>IFERROR(--INDEX('Term investments'!$E:$E,ROW()),0)</f>
        <v/>
      </c>
      <c r="F1088">
        <f>IFERROR(--INDEX('Term investments'!$F:$F,ROW()),0)</f>
        <v/>
      </c>
      <c r="G1088">
        <f>IFERROR(IF(--INDEX('Term investments'!$G:$G,ROW())&gt;=1,--INDEX('Term investments'!$G:$G,ROW())/100,--INDEX('Term investments'!$G:$G,ROW())),0)</f>
        <v/>
      </c>
      <c r="H1088">
        <f>IFERROR(--INDEX('Term investments'!$H:$H,ROW()),0)</f>
        <v/>
      </c>
      <c r="I1088">
        <f>IF(ISNUMBER(INDEX('Term investments'!$G:$G,ROW())),1,0)</f>
        <v/>
      </c>
      <c r="J1088">
        <f>TRIM(SUBSTITUTE(INDEX('Call accounts and MMFs'!$A:$A,ROW())&amp;""," "," "))</f>
        <v/>
      </c>
      <c r="K1088">
        <f>TRIM(SUBSTITUTE(INDEX('Call accounts and MMFs'!$B:$B,ROW())&amp;""," "," "))</f>
        <v/>
      </c>
      <c r="L1088">
        <f>TRIM(SUBSTITUTE(INDEX('Call accounts and MMFs'!$C:$C,ROW())&amp;""," "," "))</f>
        <v/>
      </c>
      <c r="M1088">
        <f>IFERROR(--INDEX('Call accounts and MMFs'!$D:$D,ROW()),0)</f>
        <v/>
      </c>
      <c r="N1088">
        <f>IFERROR(IF(--INDEX('Call accounts and MMFs'!$E:$E,ROW())&gt;=1,--INDEX('Call accounts and MMFs'!$E:$E,ROW())/100,--INDEX('Call accounts and MMFs'!$E:$E,ROW())),0)</f>
        <v/>
      </c>
      <c r="O1088">
        <f>IFERROR(--INDEX('Call accounts and MMFs'!$F:$F,ROW()),0)</f>
        <v/>
      </c>
      <c r="P1088">
        <f>IF(ISNUMBER(INDEX('Call accounts and MMFs'!$E:$E,ROW())),1,0)</f>
        <v/>
      </c>
      <c r="Q1088">
        <f>TRIM(SUBSTITUTE(INDEX('Pooled funds'!$B:$B,ROW())&amp;""," "," "))</f>
        <v/>
      </c>
      <c r="R1088">
        <f>IFERROR(--INDEX('Pooled funds'!$C:$C,ROW()),0)</f>
        <v/>
      </c>
      <c r="S1088">
        <f>IFERROR(--INDEX('Pooled funds'!$D:$D,ROW()),0)</f>
        <v/>
      </c>
      <c r="T1088">
        <f>IFERROR(IF(--INDEX('Pooled funds'!$E:$E,ROW())&gt;=1,--INDEX('Pooled funds'!$E:$E,ROW())/100,--INDEX('Pooled funds'!$E:$E,ROW())),0)</f>
        <v/>
      </c>
      <c r="U1088">
        <f>IF(ISNUMBER(INDEX('Pooled funds'!$E:$E,ROW())),1,0)</f>
        <v/>
      </c>
    </row>
    <row r="1089">
      <c r="A1089">
        <f>TRIM(SUBSTITUTE(INDEX('Term investments'!$A:$A,ROW())&amp;""," "," "))</f>
        <v/>
      </c>
      <c r="B1089">
        <f>TRIM(SUBSTITUTE(INDEX('Term investments'!$B:$B,ROW())&amp;""," "," "))</f>
        <v/>
      </c>
      <c r="C1089">
        <f>TRIM(SUBSTITUTE(INDEX('Term investments'!$C:$C,ROW())&amp;""," "," "))</f>
        <v/>
      </c>
      <c r="D1089">
        <f>IFERROR(--INDEX('Term investments'!$D:$D,ROW()),0)</f>
        <v/>
      </c>
      <c r="E1089">
        <f>IFERROR(--INDEX('Term investments'!$E:$E,ROW()),0)</f>
        <v/>
      </c>
      <c r="F1089">
        <f>IFERROR(--INDEX('Term investments'!$F:$F,ROW()),0)</f>
        <v/>
      </c>
      <c r="G1089">
        <f>IFERROR(IF(--INDEX('Term investments'!$G:$G,ROW())&gt;=1,--INDEX('Term investments'!$G:$G,ROW())/100,--INDEX('Term investments'!$G:$G,ROW())),0)</f>
        <v/>
      </c>
      <c r="H1089">
        <f>IFERROR(--INDEX('Term investments'!$H:$H,ROW()),0)</f>
        <v/>
      </c>
      <c r="I1089">
        <f>IF(ISNUMBER(INDEX('Term investments'!$G:$G,ROW())),1,0)</f>
        <v/>
      </c>
      <c r="J1089">
        <f>TRIM(SUBSTITUTE(INDEX('Call accounts and MMFs'!$A:$A,ROW())&amp;""," "," "))</f>
        <v/>
      </c>
      <c r="K1089">
        <f>TRIM(SUBSTITUTE(INDEX('Call accounts and MMFs'!$B:$B,ROW())&amp;""," "," "))</f>
        <v/>
      </c>
      <c r="L1089">
        <f>TRIM(SUBSTITUTE(INDEX('Call accounts and MMFs'!$C:$C,ROW())&amp;""," "," "))</f>
        <v/>
      </c>
      <c r="M1089">
        <f>IFERROR(--INDEX('Call accounts and MMFs'!$D:$D,ROW()),0)</f>
        <v/>
      </c>
      <c r="N1089">
        <f>IFERROR(IF(--INDEX('Call accounts and MMFs'!$E:$E,ROW())&gt;=1,--INDEX('Call accounts and MMFs'!$E:$E,ROW())/100,--INDEX('Call accounts and MMFs'!$E:$E,ROW())),0)</f>
        <v/>
      </c>
      <c r="O1089">
        <f>IFERROR(--INDEX('Call accounts and MMFs'!$F:$F,ROW()),0)</f>
        <v/>
      </c>
      <c r="P1089">
        <f>IF(ISNUMBER(INDEX('Call accounts and MMFs'!$E:$E,ROW())),1,0)</f>
        <v/>
      </c>
      <c r="Q1089">
        <f>TRIM(SUBSTITUTE(INDEX('Pooled funds'!$B:$B,ROW())&amp;""," "," "))</f>
        <v/>
      </c>
      <c r="R1089">
        <f>IFERROR(--INDEX('Pooled funds'!$C:$C,ROW()),0)</f>
        <v/>
      </c>
      <c r="S1089">
        <f>IFERROR(--INDEX('Pooled funds'!$D:$D,ROW()),0)</f>
        <v/>
      </c>
      <c r="T1089">
        <f>IFERROR(IF(--INDEX('Pooled funds'!$E:$E,ROW())&gt;=1,--INDEX('Pooled funds'!$E:$E,ROW())/100,--INDEX('Pooled funds'!$E:$E,ROW())),0)</f>
        <v/>
      </c>
      <c r="U1089">
        <f>IF(ISNUMBER(INDEX('Pooled funds'!$E:$E,ROW())),1,0)</f>
        <v/>
      </c>
    </row>
    <row r="1090">
      <c r="A1090">
        <f>TRIM(SUBSTITUTE(INDEX('Term investments'!$A:$A,ROW())&amp;""," "," "))</f>
        <v/>
      </c>
      <c r="B1090">
        <f>TRIM(SUBSTITUTE(INDEX('Term investments'!$B:$B,ROW())&amp;""," "," "))</f>
        <v/>
      </c>
      <c r="C1090">
        <f>TRIM(SUBSTITUTE(INDEX('Term investments'!$C:$C,ROW())&amp;""," "," "))</f>
        <v/>
      </c>
      <c r="D1090">
        <f>IFERROR(--INDEX('Term investments'!$D:$D,ROW()),0)</f>
        <v/>
      </c>
      <c r="E1090">
        <f>IFERROR(--INDEX('Term investments'!$E:$E,ROW()),0)</f>
        <v/>
      </c>
      <c r="F1090">
        <f>IFERROR(--INDEX('Term investments'!$F:$F,ROW()),0)</f>
        <v/>
      </c>
      <c r="G1090">
        <f>IFERROR(IF(--INDEX('Term investments'!$G:$G,ROW())&gt;=1,--INDEX('Term investments'!$G:$G,ROW())/100,--INDEX('Term investments'!$G:$G,ROW())),0)</f>
        <v/>
      </c>
      <c r="H1090">
        <f>IFERROR(--INDEX('Term investments'!$H:$H,ROW()),0)</f>
        <v/>
      </c>
      <c r="I1090">
        <f>IF(ISNUMBER(INDEX('Term investments'!$G:$G,ROW())),1,0)</f>
        <v/>
      </c>
      <c r="J1090">
        <f>TRIM(SUBSTITUTE(INDEX('Call accounts and MMFs'!$A:$A,ROW())&amp;""," "," "))</f>
        <v/>
      </c>
      <c r="K1090">
        <f>TRIM(SUBSTITUTE(INDEX('Call accounts and MMFs'!$B:$B,ROW())&amp;""," "," "))</f>
        <v/>
      </c>
      <c r="L1090">
        <f>TRIM(SUBSTITUTE(INDEX('Call accounts and MMFs'!$C:$C,ROW())&amp;""," "," "))</f>
        <v/>
      </c>
      <c r="M1090">
        <f>IFERROR(--INDEX('Call accounts and MMFs'!$D:$D,ROW()),0)</f>
        <v/>
      </c>
      <c r="N1090">
        <f>IFERROR(IF(--INDEX('Call accounts and MMFs'!$E:$E,ROW())&gt;=1,--INDEX('Call accounts and MMFs'!$E:$E,ROW())/100,--INDEX('Call accounts and MMFs'!$E:$E,ROW())),0)</f>
        <v/>
      </c>
      <c r="O1090">
        <f>IFERROR(--INDEX('Call accounts and MMFs'!$F:$F,ROW()),0)</f>
        <v/>
      </c>
      <c r="P1090">
        <f>IF(ISNUMBER(INDEX('Call accounts and MMFs'!$E:$E,ROW())),1,0)</f>
        <v/>
      </c>
      <c r="Q1090">
        <f>TRIM(SUBSTITUTE(INDEX('Pooled funds'!$B:$B,ROW())&amp;""," "," "))</f>
        <v/>
      </c>
      <c r="R1090">
        <f>IFERROR(--INDEX('Pooled funds'!$C:$C,ROW()),0)</f>
        <v/>
      </c>
      <c r="S1090">
        <f>IFERROR(--INDEX('Pooled funds'!$D:$D,ROW()),0)</f>
        <v/>
      </c>
      <c r="T1090">
        <f>IFERROR(IF(--INDEX('Pooled funds'!$E:$E,ROW())&gt;=1,--INDEX('Pooled funds'!$E:$E,ROW())/100,--INDEX('Pooled funds'!$E:$E,ROW())),0)</f>
        <v/>
      </c>
      <c r="U1090">
        <f>IF(ISNUMBER(INDEX('Pooled funds'!$E:$E,ROW())),1,0)</f>
        <v/>
      </c>
    </row>
    <row r="1091">
      <c r="A1091">
        <f>TRIM(SUBSTITUTE(INDEX('Term investments'!$A:$A,ROW())&amp;""," "," "))</f>
        <v/>
      </c>
      <c r="B1091">
        <f>TRIM(SUBSTITUTE(INDEX('Term investments'!$B:$B,ROW())&amp;""," "," "))</f>
        <v/>
      </c>
      <c r="C1091">
        <f>TRIM(SUBSTITUTE(INDEX('Term investments'!$C:$C,ROW())&amp;""," "," "))</f>
        <v/>
      </c>
      <c r="D1091">
        <f>IFERROR(--INDEX('Term investments'!$D:$D,ROW()),0)</f>
        <v/>
      </c>
      <c r="E1091">
        <f>IFERROR(--INDEX('Term investments'!$E:$E,ROW()),0)</f>
        <v/>
      </c>
      <c r="F1091">
        <f>IFERROR(--INDEX('Term investments'!$F:$F,ROW()),0)</f>
        <v/>
      </c>
      <c r="G1091">
        <f>IFERROR(IF(--INDEX('Term investments'!$G:$G,ROW())&gt;=1,--INDEX('Term investments'!$G:$G,ROW())/100,--INDEX('Term investments'!$G:$G,ROW())),0)</f>
        <v/>
      </c>
      <c r="H1091">
        <f>IFERROR(--INDEX('Term investments'!$H:$H,ROW()),0)</f>
        <v/>
      </c>
      <c r="I1091">
        <f>IF(ISNUMBER(INDEX('Term investments'!$G:$G,ROW())),1,0)</f>
        <v/>
      </c>
      <c r="J1091">
        <f>TRIM(SUBSTITUTE(INDEX('Call accounts and MMFs'!$A:$A,ROW())&amp;""," "," "))</f>
        <v/>
      </c>
      <c r="K1091">
        <f>TRIM(SUBSTITUTE(INDEX('Call accounts and MMFs'!$B:$B,ROW())&amp;""," "," "))</f>
        <v/>
      </c>
      <c r="L1091">
        <f>TRIM(SUBSTITUTE(INDEX('Call accounts and MMFs'!$C:$C,ROW())&amp;""," "," "))</f>
        <v/>
      </c>
      <c r="M1091">
        <f>IFERROR(--INDEX('Call accounts and MMFs'!$D:$D,ROW()),0)</f>
        <v/>
      </c>
      <c r="N1091">
        <f>IFERROR(IF(--INDEX('Call accounts and MMFs'!$E:$E,ROW())&gt;=1,--INDEX('Call accounts and MMFs'!$E:$E,ROW())/100,--INDEX('Call accounts and MMFs'!$E:$E,ROW())),0)</f>
        <v/>
      </c>
      <c r="O1091">
        <f>IFERROR(--INDEX('Call accounts and MMFs'!$F:$F,ROW()),0)</f>
        <v/>
      </c>
      <c r="P1091">
        <f>IF(ISNUMBER(INDEX('Call accounts and MMFs'!$E:$E,ROW())),1,0)</f>
        <v/>
      </c>
      <c r="Q1091">
        <f>TRIM(SUBSTITUTE(INDEX('Pooled funds'!$B:$B,ROW())&amp;""," "," "))</f>
        <v/>
      </c>
      <c r="R1091">
        <f>IFERROR(--INDEX('Pooled funds'!$C:$C,ROW()),0)</f>
        <v/>
      </c>
      <c r="S1091">
        <f>IFERROR(--INDEX('Pooled funds'!$D:$D,ROW()),0)</f>
        <v/>
      </c>
      <c r="T1091">
        <f>IFERROR(IF(--INDEX('Pooled funds'!$E:$E,ROW())&gt;=1,--INDEX('Pooled funds'!$E:$E,ROW())/100,--INDEX('Pooled funds'!$E:$E,ROW())),0)</f>
        <v/>
      </c>
      <c r="U1091">
        <f>IF(ISNUMBER(INDEX('Pooled funds'!$E:$E,ROW())),1,0)</f>
        <v/>
      </c>
    </row>
    <row r="1092">
      <c r="A1092">
        <f>TRIM(SUBSTITUTE(INDEX('Term investments'!$A:$A,ROW())&amp;""," "," "))</f>
        <v/>
      </c>
      <c r="B1092">
        <f>TRIM(SUBSTITUTE(INDEX('Term investments'!$B:$B,ROW())&amp;""," "," "))</f>
        <v/>
      </c>
      <c r="C1092">
        <f>TRIM(SUBSTITUTE(INDEX('Term investments'!$C:$C,ROW())&amp;""," "," "))</f>
        <v/>
      </c>
      <c r="D1092">
        <f>IFERROR(--INDEX('Term investments'!$D:$D,ROW()),0)</f>
        <v/>
      </c>
      <c r="E1092">
        <f>IFERROR(--INDEX('Term investments'!$E:$E,ROW()),0)</f>
        <v/>
      </c>
      <c r="F1092">
        <f>IFERROR(--INDEX('Term investments'!$F:$F,ROW()),0)</f>
        <v/>
      </c>
      <c r="G1092">
        <f>IFERROR(IF(--INDEX('Term investments'!$G:$G,ROW())&gt;=1,--INDEX('Term investments'!$G:$G,ROW())/100,--INDEX('Term investments'!$G:$G,ROW())),0)</f>
        <v/>
      </c>
      <c r="H1092">
        <f>IFERROR(--INDEX('Term investments'!$H:$H,ROW()),0)</f>
        <v/>
      </c>
      <c r="I1092">
        <f>IF(ISNUMBER(INDEX('Term investments'!$G:$G,ROW())),1,0)</f>
        <v/>
      </c>
      <c r="J1092">
        <f>TRIM(SUBSTITUTE(INDEX('Call accounts and MMFs'!$A:$A,ROW())&amp;""," "," "))</f>
        <v/>
      </c>
      <c r="K1092">
        <f>TRIM(SUBSTITUTE(INDEX('Call accounts and MMFs'!$B:$B,ROW())&amp;""," "," "))</f>
        <v/>
      </c>
      <c r="L1092">
        <f>TRIM(SUBSTITUTE(INDEX('Call accounts and MMFs'!$C:$C,ROW())&amp;""," "," "))</f>
        <v/>
      </c>
      <c r="M1092">
        <f>IFERROR(--INDEX('Call accounts and MMFs'!$D:$D,ROW()),0)</f>
        <v/>
      </c>
      <c r="N1092">
        <f>IFERROR(IF(--INDEX('Call accounts and MMFs'!$E:$E,ROW())&gt;=1,--INDEX('Call accounts and MMFs'!$E:$E,ROW())/100,--INDEX('Call accounts and MMFs'!$E:$E,ROW())),0)</f>
        <v/>
      </c>
      <c r="O1092">
        <f>IFERROR(--INDEX('Call accounts and MMFs'!$F:$F,ROW()),0)</f>
        <v/>
      </c>
      <c r="P1092">
        <f>IF(ISNUMBER(INDEX('Call accounts and MMFs'!$E:$E,ROW())),1,0)</f>
        <v/>
      </c>
      <c r="Q1092">
        <f>TRIM(SUBSTITUTE(INDEX('Pooled funds'!$B:$B,ROW())&amp;""," "," "))</f>
        <v/>
      </c>
      <c r="R1092">
        <f>IFERROR(--INDEX('Pooled funds'!$C:$C,ROW()),0)</f>
        <v/>
      </c>
      <c r="S1092">
        <f>IFERROR(--INDEX('Pooled funds'!$D:$D,ROW()),0)</f>
        <v/>
      </c>
      <c r="T1092">
        <f>IFERROR(IF(--INDEX('Pooled funds'!$E:$E,ROW())&gt;=1,--INDEX('Pooled funds'!$E:$E,ROW())/100,--INDEX('Pooled funds'!$E:$E,ROW())),0)</f>
        <v/>
      </c>
      <c r="U1092">
        <f>IF(ISNUMBER(INDEX('Pooled funds'!$E:$E,ROW())),1,0)</f>
        <v/>
      </c>
    </row>
    <row r="1093">
      <c r="A1093">
        <f>TRIM(SUBSTITUTE(INDEX('Term investments'!$A:$A,ROW())&amp;""," "," "))</f>
        <v/>
      </c>
      <c r="B1093">
        <f>TRIM(SUBSTITUTE(INDEX('Term investments'!$B:$B,ROW())&amp;""," "," "))</f>
        <v/>
      </c>
      <c r="C1093">
        <f>TRIM(SUBSTITUTE(INDEX('Term investments'!$C:$C,ROW())&amp;""," "," "))</f>
        <v/>
      </c>
      <c r="D1093">
        <f>IFERROR(--INDEX('Term investments'!$D:$D,ROW()),0)</f>
        <v/>
      </c>
      <c r="E1093">
        <f>IFERROR(--INDEX('Term investments'!$E:$E,ROW()),0)</f>
        <v/>
      </c>
      <c r="F1093">
        <f>IFERROR(--INDEX('Term investments'!$F:$F,ROW()),0)</f>
        <v/>
      </c>
      <c r="G1093">
        <f>IFERROR(IF(--INDEX('Term investments'!$G:$G,ROW())&gt;=1,--INDEX('Term investments'!$G:$G,ROW())/100,--INDEX('Term investments'!$G:$G,ROW())),0)</f>
        <v/>
      </c>
      <c r="H1093">
        <f>IFERROR(--INDEX('Term investments'!$H:$H,ROW()),0)</f>
        <v/>
      </c>
      <c r="I1093">
        <f>IF(ISNUMBER(INDEX('Term investments'!$G:$G,ROW())),1,0)</f>
        <v/>
      </c>
      <c r="J1093">
        <f>TRIM(SUBSTITUTE(INDEX('Call accounts and MMFs'!$A:$A,ROW())&amp;""," "," "))</f>
        <v/>
      </c>
      <c r="K1093">
        <f>TRIM(SUBSTITUTE(INDEX('Call accounts and MMFs'!$B:$B,ROW())&amp;""," "," "))</f>
        <v/>
      </c>
      <c r="L1093">
        <f>TRIM(SUBSTITUTE(INDEX('Call accounts and MMFs'!$C:$C,ROW())&amp;""," "," "))</f>
        <v/>
      </c>
      <c r="M1093">
        <f>IFERROR(--INDEX('Call accounts and MMFs'!$D:$D,ROW()),0)</f>
        <v/>
      </c>
      <c r="N1093">
        <f>IFERROR(IF(--INDEX('Call accounts and MMFs'!$E:$E,ROW())&gt;=1,--INDEX('Call accounts and MMFs'!$E:$E,ROW())/100,--INDEX('Call accounts and MMFs'!$E:$E,ROW())),0)</f>
        <v/>
      </c>
      <c r="O1093">
        <f>IFERROR(--INDEX('Call accounts and MMFs'!$F:$F,ROW()),0)</f>
        <v/>
      </c>
      <c r="P1093">
        <f>IF(ISNUMBER(INDEX('Call accounts and MMFs'!$E:$E,ROW())),1,0)</f>
        <v/>
      </c>
      <c r="Q1093">
        <f>TRIM(SUBSTITUTE(INDEX('Pooled funds'!$B:$B,ROW())&amp;""," "," "))</f>
        <v/>
      </c>
      <c r="R1093">
        <f>IFERROR(--INDEX('Pooled funds'!$C:$C,ROW()),0)</f>
        <v/>
      </c>
      <c r="S1093">
        <f>IFERROR(--INDEX('Pooled funds'!$D:$D,ROW()),0)</f>
        <v/>
      </c>
      <c r="T1093">
        <f>IFERROR(IF(--INDEX('Pooled funds'!$E:$E,ROW())&gt;=1,--INDEX('Pooled funds'!$E:$E,ROW())/100,--INDEX('Pooled funds'!$E:$E,ROW())),0)</f>
        <v/>
      </c>
      <c r="U1093">
        <f>IF(ISNUMBER(INDEX('Pooled funds'!$E:$E,ROW())),1,0)</f>
        <v/>
      </c>
    </row>
    <row r="1094">
      <c r="A1094">
        <f>TRIM(SUBSTITUTE(INDEX('Term investments'!$A:$A,ROW())&amp;""," "," "))</f>
        <v/>
      </c>
      <c r="B1094">
        <f>TRIM(SUBSTITUTE(INDEX('Term investments'!$B:$B,ROW())&amp;""," "," "))</f>
        <v/>
      </c>
      <c r="C1094">
        <f>TRIM(SUBSTITUTE(INDEX('Term investments'!$C:$C,ROW())&amp;""," "," "))</f>
        <v/>
      </c>
      <c r="D1094">
        <f>IFERROR(--INDEX('Term investments'!$D:$D,ROW()),0)</f>
        <v/>
      </c>
      <c r="E1094">
        <f>IFERROR(--INDEX('Term investments'!$E:$E,ROW()),0)</f>
        <v/>
      </c>
      <c r="F1094">
        <f>IFERROR(--INDEX('Term investments'!$F:$F,ROW()),0)</f>
        <v/>
      </c>
      <c r="G1094">
        <f>IFERROR(IF(--INDEX('Term investments'!$G:$G,ROW())&gt;=1,--INDEX('Term investments'!$G:$G,ROW())/100,--INDEX('Term investments'!$G:$G,ROW())),0)</f>
        <v/>
      </c>
      <c r="H1094">
        <f>IFERROR(--INDEX('Term investments'!$H:$H,ROW()),0)</f>
        <v/>
      </c>
      <c r="I1094">
        <f>IF(ISNUMBER(INDEX('Term investments'!$G:$G,ROW())),1,0)</f>
        <v/>
      </c>
      <c r="J1094">
        <f>TRIM(SUBSTITUTE(INDEX('Call accounts and MMFs'!$A:$A,ROW())&amp;""," "," "))</f>
        <v/>
      </c>
      <c r="K1094">
        <f>TRIM(SUBSTITUTE(INDEX('Call accounts and MMFs'!$B:$B,ROW())&amp;""," "," "))</f>
        <v/>
      </c>
      <c r="L1094">
        <f>TRIM(SUBSTITUTE(INDEX('Call accounts and MMFs'!$C:$C,ROW())&amp;""," "," "))</f>
        <v/>
      </c>
      <c r="M1094">
        <f>IFERROR(--INDEX('Call accounts and MMFs'!$D:$D,ROW()),0)</f>
        <v/>
      </c>
      <c r="N1094">
        <f>IFERROR(IF(--INDEX('Call accounts and MMFs'!$E:$E,ROW())&gt;=1,--INDEX('Call accounts and MMFs'!$E:$E,ROW())/100,--INDEX('Call accounts and MMFs'!$E:$E,ROW())),0)</f>
        <v/>
      </c>
      <c r="O1094">
        <f>IFERROR(--INDEX('Call accounts and MMFs'!$F:$F,ROW()),0)</f>
        <v/>
      </c>
      <c r="P1094">
        <f>IF(ISNUMBER(INDEX('Call accounts and MMFs'!$E:$E,ROW())),1,0)</f>
        <v/>
      </c>
      <c r="Q1094">
        <f>TRIM(SUBSTITUTE(INDEX('Pooled funds'!$B:$B,ROW())&amp;""," "," "))</f>
        <v/>
      </c>
      <c r="R1094">
        <f>IFERROR(--INDEX('Pooled funds'!$C:$C,ROW()),0)</f>
        <v/>
      </c>
      <c r="S1094">
        <f>IFERROR(--INDEX('Pooled funds'!$D:$D,ROW()),0)</f>
        <v/>
      </c>
      <c r="T1094">
        <f>IFERROR(IF(--INDEX('Pooled funds'!$E:$E,ROW())&gt;=1,--INDEX('Pooled funds'!$E:$E,ROW())/100,--INDEX('Pooled funds'!$E:$E,ROW())),0)</f>
        <v/>
      </c>
      <c r="U1094">
        <f>IF(ISNUMBER(INDEX('Pooled funds'!$E:$E,ROW())),1,0)</f>
        <v/>
      </c>
    </row>
    <row r="1095">
      <c r="A1095">
        <f>TRIM(SUBSTITUTE(INDEX('Term investments'!$A:$A,ROW())&amp;""," "," "))</f>
        <v/>
      </c>
      <c r="B1095">
        <f>TRIM(SUBSTITUTE(INDEX('Term investments'!$B:$B,ROW())&amp;""," "," "))</f>
        <v/>
      </c>
      <c r="C1095">
        <f>TRIM(SUBSTITUTE(INDEX('Term investments'!$C:$C,ROW())&amp;""," "," "))</f>
        <v/>
      </c>
      <c r="D1095">
        <f>IFERROR(--INDEX('Term investments'!$D:$D,ROW()),0)</f>
        <v/>
      </c>
      <c r="E1095">
        <f>IFERROR(--INDEX('Term investments'!$E:$E,ROW()),0)</f>
        <v/>
      </c>
      <c r="F1095">
        <f>IFERROR(--INDEX('Term investments'!$F:$F,ROW()),0)</f>
        <v/>
      </c>
      <c r="G1095">
        <f>IFERROR(IF(--INDEX('Term investments'!$G:$G,ROW())&gt;=1,--INDEX('Term investments'!$G:$G,ROW())/100,--INDEX('Term investments'!$G:$G,ROW())),0)</f>
        <v/>
      </c>
      <c r="H1095">
        <f>IFERROR(--INDEX('Term investments'!$H:$H,ROW()),0)</f>
        <v/>
      </c>
      <c r="I1095">
        <f>IF(ISNUMBER(INDEX('Term investments'!$G:$G,ROW())),1,0)</f>
        <v/>
      </c>
      <c r="J1095">
        <f>TRIM(SUBSTITUTE(INDEX('Call accounts and MMFs'!$A:$A,ROW())&amp;""," "," "))</f>
        <v/>
      </c>
      <c r="K1095">
        <f>TRIM(SUBSTITUTE(INDEX('Call accounts and MMFs'!$B:$B,ROW())&amp;""," "," "))</f>
        <v/>
      </c>
      <c r="L1095">
        <f>TRIM(SUBSTITUTE(INDEX('Call accounts and MMFs'!$C:$C,ROW())&amp;""," "," "))</f>
        <v/>
      </c>
      <c r="M1095">
        <f>IFERROR(--INDEX('Call accounts and MMFs'!$D:$D,ROW()),0)</f>
        <v/>
      </c>
      <c r="N1095">
        <f>IFERROR(IF(--INDEX('Call accounts and MMFs'!$E:$E,ROW())&gt;=1,--INDEX('Call accounts and MMFs'!$E:$E,ROW())/100,--INDEX('Call accounts and MMFs'!$E:$E,ROW())),0)</f>
        <v/>
      </c>
      <c r="O1095">
        <f>IFERROR(--INDEX('Call accounts and MMFs'!$F:$F,ROW()),0)</f>
        <v/>
      </c>
      <c r="P1095">
        <f>IF(ISNUMBER(INDEX('Call accounts and MMFs'!$E:$E,ROW())),1,0)</f>
        <v/>
      </c>
      <c r="Q1095">
        <f>TRIM(SUBSTITUTE(INDEX('Pooled funds'!$B:$B,ROW())&amp;""," "," "))</f>
        <v/>
      </c>
      <c r="R1095">
        <f>IFERROR(--INDEX('Pooled funds'!$C:$C,ROW()),0)</f>
        <v/>
      </c>
      <c r="S1095">
        <f>IFERROR(--INDEX('Pooled funds'!$D:$D,ROW()),0)</f>
        <v/>
      </c>
      <c r="T1095">
        <f>IFERROR(IF(--INDEX('Pooled funds'!$E:$E,ROW())&gt;=1,--INDEX('Pooled funds'!$E:$E,ROW())/100,--INDEX('Pooled funds'!$E:$E,ROW())),0)</f>
        <v/>
      </c>
      <c r="U1095">
        <f>IF(ISNUMBER(INDEX('Pooled funds'!$E:$E,ROW())),1,0)</f>
        <v/>
      </c>
    </row>
    <row r="1096">
      <c r="A1096">
        <f>TRIM(SUBSTITUTE(INDEX('Term investments'!$A:$A,ROW())&amp;""," "," "))</f>
        <v/>
      </c>
      <c r="B1096">
        <f>TRIM(SUBSTITUTE(INDEX('Term investments'!$B:$B,ROW())&amp;""," "," "))</f>
        <v/>
      </c>
      <c r="C1096">
        <f>TRIM(SUBSTITUTE(INDEX('Term investments'!$C:$C,ROW())&amp;""," "," "))</f>
        <v/>
      </c>
      <c r="D1096">
        <f>IFERROR(--INDEX('Term investments'!$D:$D,ROW()),0)</f>
        <v/>
      </c>
      <c r="E1096">
        <f>IFERROR(--INDEX('Term investments'!$E:$E,ROW()),0)</f>
        <v/>
      </c>
      <c r="F1096">
        <f>IFERROR(--INDEX('Term investments'!$F:$F,ROW()),0)</f>
        <v/>
      </c>
      <c r="G1096">
        <f>IFERROR(IF(--INDEX('Term investments'!$G:$G,ROW())&gt;=1,--INDEX('Term investments'!$G:$G,ROW())/100,--INDEX('Term investments'!$G:$G,ROW())),0)</f>
        <v/>
      </c>
      <c r="H1096">
        <f>IFERROR(--INDEX('Term investments'!$H:$H,ROW()),0)</f>
        <v/>
      </c>
      <c r="I1096">
        <f>IF(ISNUMBER(INDEX('Term investments'!$G:$G,ROW())),1,0)</f>
        <v/>
      </c>
      <c r="J1096">
        <f>TRIM(SUBSTITUTE(INDEX('Call accounts and MMFs'!$A:$A,ROW())&amp;""," "," "))</f>
        <v/>
      </c>
      <c r="K1096">
        <f>TRIM(SUBSTITUTE(INDEX('Call accounts and MMFs'!$B:$B,ROW())&amp;""," "," "))</f>
        <v/>
      </c>
      <c r="L1096">
        <f>TRIM(SUBSTITUTE(INDEX('Call accounts and MMFs'!$C:$C,ROW())&amp;""," "," "))</f>
        <v/>
      </c>
      <c r="M1096">
        <f>IFERROR(--INDEX('Call accounts and MMFs'!$D:$D,ROW()),0)</f>
        <v/>
      </c>
      <c r="N1096">
        <f>IFERROR(IF(--INDEX('Call accounts and MMFs'!$E:$E,ROW())&gt;=1,--INDEX('Call accounts and MMFs'!$E:$E,ROW())/100,--INDEX('Call accounts and MMFs'!$E:$E,ROW())),0)</f>
        <v/>
      </c>
      <c r="O1096">
        <f>IFERROR(--INDEX('Call accounts and MMFs'!$F:$F,ROW()),0)</f>
        <v/>
      </c>
      <c r="P1096">
        <f>IF(ISNUMBER(INDEX('Call accounts and MMFs'!$E:$E,ROW())),1,0)</f>
        <v/>
      </c>
      <c r="Q1096">
        <f>TRIM(SUBSTITUTE(INDEX('Pooled funds'!$B:$B,ROW())&amp;""," "," "))</f>
        <v/>
      </c>
      <c r="R1096">
        <f>IFERROR(--INDEX('Pooled funds'!$C:$C,ROW()),0)</f>
        <v/>
      </c>
      <c r="S1096">
        <f>IFERROR(--INDEX('Pooled funds'!$D:$D,ROW()),0)</f>
        <v/>
      </c>
      <c r="T1096">
        <f>IFERROR(IF(--INDEX('Pooled funds'!$E:$E,ROW())&gt;=1,--INDEX('Pooled funds'!$E:$E,ROW())/100,--INDEX('Pooled funds'!$E:$E,ROW())),0)</f>
        <v/>
      </c>
      <c r="U1096">
        <f>IF(ISNUMBER(INDEX('Pooled funds'!$E:$E,ROW())),1,0)</f>
        <v/>
      </c>
    </row>
    <row r="1097">
      <c r="A1097">
        <f>TRIM(SUBSTITUTE(INDEX('Term investments'!$A:$A,ROW())&amp;""," "," "))</f>
        <v/>
      </c>
      <c r="B1097">
        <f>TRIM(SUBSTITUTE(INDEX('Term investments'!$B:$B,ROW())&amp;""," "," "))</f>
        <v/>
      </c>
      <c r="C1097">
        <f>TRIM(SUBSTITUTE(INDEX('Term investments'!$C:$C,ROW())&amp;""," "," "))</f>
        <v/>
      </c>
      <c r="D1097">
        <f>IFERROR(--INDEX('Term investments'!$D:$D,ROW()),0)</f>
        <v/>
      </c>
      <c r="E1097">
        <f>IFERROR(--INDEX('Term investments'!$E:$E,ROW()),0)</f>
        <v/>
      </c>
      <c r="F1097">
        <f>IFERROR(--INDEX('Term investments'!$F:$F,ROW()),0)</f>
        <v/>
      </c>
      <c r="G1097">
        <f>IFERROR(IF(--INDEX('Term investments'!$G:$G,ROW())&gt;=1,--INDEX('Term investments'!$G:$G,ROW())/100,--INDEX('Term investments'!$G:$G,ROW())),0)</f>
        <v/>
      </c>
      <c r="H1097">
        <f>IFERROR(--INDEX('Term investments'!$H:$H,ROW()),0)</f>
        <v/>
      </c>
      <c r="I1097">
        <f>IF(ISNUMBER(INDEX('Term investments'!$G:$G,ROW())),1,0)</f>
        <v/>
      </c>
      <c r="J1097">
        <f>TRIM(SUBSTITUTE(INDEX('Call accounts and MMFs'!$A:$A,ROW())&amp;""," "," "))</f>
        <v/>
      </c>
      <c r="K1097">
        <f>TRIM(SUBSTITUTE(INDEX('Call accounts and MMFs'!$B:$B,ROW())&amp;""," "," "))</f>
        <v/>
      </c>
      <c r="L1097">
        <f>TRIM(SUBSTITUTE(INDEX('Call accounts and MMFs'!$C:$C,ROW())&amp;""," "," "))</f>
        <v/>
      </c>
      <c r="M1097">
        <f>IFERROR(--INDEX('Call accounts and MMFs'!$D:$D,ROW()),0)</f>
        <v/>
      </c>
      <c r="N1097">
        <f>IFERROR(IF(--INDEX('Call accounts and MMFs'!$E:$E,ROW())&gt;=1,--INDEX('Call accounts and MMFs'!$E:$E,ROW())/100,--INDEX('Call accounts and MMFs'!$E:$E,ROW())),0)</f>
        <v/>
      </c>
      <c r="O1097">
        <f>IFERROR(--INDEX('Call accounts and MMFs'!$F:$F,ROW()),0)</f>
        <v/>
      </c>
      <c r="P1097">
        <f>IF(ISNUMBER(INDEX('Call accounts and MMFs'!$E:$E,ROW())),1,0)</f>
        <v/>
      </c>
      <c r="Q1097">
        <f>TRIM(SUBSTITUTE(INDEX('Pooled funds'!$B:$B,ROW())&amp;""," "," "))</f>
        <v/>
      </c>
      <c r="R1097">
        <f>IFERROR(--INDEX('Pooled funds'!$C:$C,ROW()),0)</f>
        <v/>
      </c>
      <c r="S1097">
        <f>IFERROR(--INDEX('Pooled funds'!$D:$D,ROW()),0)</f>
        <v/>
      </c>
      <c r="T1097">
        <f>IFERROR(IF(--INDEX('Pooled funds'!$E:$E,ROW())&gt;=1,--INDEX('Pooled funds'!$E:$E,ROW())/100,--INDEX('Pooled funds'!$E:$E,ROW())),0)</f>
        <v/>
      </c>
      <c r="U1097">
        <f>IF(ISNUMBER(INDEX('Pooled funds'!$E:$E,ROW())),1,0)</f>
        <v/>
      </c>
    </row>
    <row r="1098">
      <c r="A1098">
        <f>TRIM(SUBSTITUTE(INDEX('Term investments'!$A:$A,ROW())&amp;""," "," "))</f>
        <v/>
      </c>
      <c r="B1098">
        <f>TRIM(SUBSTITUTE(INDEX('Term investments'!$B:$B,ROW())&amp;""," "," "))</f>
        <v/>
      </c>
      <c r="C1098">
        <f>TRIM(SUBSTITUTE(INDEX('Term investments'!$C:$C,ROW())&amp;""," "," "))</f>
        <v/>
      </c>
      <c r="D1098">
        <f>IFERROR(--INDEX('Term investments'!$D:$D,ROW()),0)</f>
        <v/>
      </c>
      <c r="E1098">
        <f>IFERROR(--INDEX('Term investments'!$E:$E,ROW()),0)</f>
        <v/>
      </c>
      <c r="F1098">
        <f>IFERROR(--INDEX('Term investments'!$F:$F,ROW()),0)</f>
        <v/>
      </c>
      <c r="G1098">
        <f>IFERROR(IF(--INDEX('Term investments'!$G:$G,ROW())&gt;=1,--INDEX('Term investments'!$G:$G,ROW())/100,--INDEX('Term investments'!$G:$G,ROW())),0)</f>
        <v/>
      </c>
      <c r="H1098">
        <f>IFERROR(--INDEX('Term investments'!$H:$H,ROW()),0)</f>
        <v/>
      </c>
      <c r="I1098">
        <f>IF(ISNUMBER(INDEX('Term investments'!$G:$G,ROW())),1,0)</f>
        <v/>
      </c>
      <c r="J1098">
        <f>TRIM(SUBSTITUTE(INDEX('Call accounts and MMFs'!$A:$A,ROW())&amp;""," "," "))</f>
        <v/>
      </c>
      <c r="K1098">
        <f>TRIM(SUBSTITUTE(INDEX('Call accounts and MMFs'!$B:$B,ROW())&amp;""," "," "))</f>
        <v/>
      </c>
      <c r="L1098">
        <f>TRIM(SUBSTITUTE(INDEX('Call accounts and MMFs'!$C:$C,ROW())&amp;""," "," "))</f>
        <v/>
      </c>
      <c r="M1098">
        <f>IFERROR(--INDEX('Call accounts and MMFs'!$D:$D,ROW()),0)</f>
        <v/>
      </c>
      <c r="N1098">
        <f>IFERROR(IF(--INDEX('Call accounts and MMFs'!$E:$E,ROW())&gt;=1,--INDEX('Call accounts and MMFs'!$E:$E,ROW())/100,--INDEX('Call accounts and MMFs'!$E:$E,ROW())),0)</f>
        <v/>
      </c>
      <c r="O1098">
        <f>IFERROR(--INDEX('Call accounts and MMFs'!$F:$F,ROW()),0)</f>
        <v/>
      </c>
      <c r="P1098">
        <f>IF(ISNUMBER(INDEX('Call accounts and MMFs'!$E:$E,ROW())),1,0)</f>
        <v/>
      </c>
      <c r="Q1098">
        <f>TRIM(SUBSTITUTE(INDEX('Pooled funds'!$B:$B,ROW())&amp;""," "," "))</f>
        <v/>
      </c>
      <c r="R1098">
        <f>IFERROR(--INDEX('Pooled funds'!$C:$C,ROW()),0)</f>
        <v/>
      </c>
      <c r="S1098">
        <f>IFERROR(--INDEX('Pooled funds'!$D:$D,ROW()),0)</f>
        <v/>
      </c>
      <c r="T1098">
        <f>IFERROR(IF(--INDEX('Pooled funds'!$E:$E,ROW())&gt;=1,--INDEX('Pooled funds'!$E:$E,ROW())/100,--INDEX('Pooled funds'!$E:$E,ROW())),0)</f>
        <v/>
      </c>
      <c r="U1098">
        <f>IF(ISNUMBER(INDEX('Pooled funds'!$E:$E,ROW())),1,0)</f>
        <v/>
      </c>
    </row>
    <row r="1099">
      <c r="A1099">
        <f>TRIM(SUBSTITUTE(INDEX('Term investments'!$A:$A,ROW())&amp;""," "," "))</f>
        <v/>
      </c>
      <c r="B1099">
        <f>TRIM(SUBSTITUTE(INDEX('Term investments'!$B:$B,ROW())&amp;""," "," "))</f>
        <v/>
      </c>
      <c r="C1099">
        <f>TRIM(SUBSTITUTE(INDEX('Term investments'!$C:$C,ROW())&amp;""," "," "))</f>
        <v/>
      </c>
      <c r="D1099">
        <f>IFERROR(--INDEX('Term investments'!$D:$D,ROW()),0)</f>
        <v/>
      </c>
      <c r="E1099">
        <f>IFERROR(--INDEX('Term investments'!$E:$E,ROW()),0)</f>
        <v/>
      </c>
      <c r="F1099">
        <f>IFERROR(--INDEX('Term investments'!$F:$F,ROW()),0)</f>
        <v/>
      </c>
      <c r="G1099">
        <f>IFERROR(IF(--INDEX('Term investments'!$G:$G,ROW())&gt;=1,--INDEX('Term investments'!$G:$G,ROW())/100,--INDEX('Term investments'!$G:$G,ROW())),0)</f>
        <v/>
      </c>
      <c r="H1099">
        <f>IFERROR(--INDEX('Term investments'!$H:$H,ROW()),0)</f>
        <v/>
      </c>
      <c r="I1099">
        <f>IF(ISNUMBER(INDEX('Term investments'!$G:$G,ROW())),1,0)</f>
        <v/>
      </c>
      <c r="J1099">
        <f>TRIM(SUBSTITUTE(INDEX('Call accounts and MMFs'!$A:$A,ROW())&amp;""," "," "))</f>
        <v/>
      </c>
      <c r="K1099">
        <f>TRIM(SUBSTITUTE(INDEX('Call accounts and MMFs'!$B:$B,ROW())&amp;""," "," "))</f>
        <v/>
      </c>
      <c r="L1099">
        <f>TRIM(SUBSTITUTE(INDEX('Call accounts and MMFs'!$C:$C,ROW())&amp;""," "," "))</f>
        <v/>
      </c>
      <c r="M1099">
        <f>IFERROR(--INDEX('Call accounts and MMFs'!$D:$D,ROW()),0)</f>
        <v/>
      </c>
      <c r="N1099">
        <f>IFERROR(IF(--INDEX('Call accounts and MMFs'!$E:$E,ROW())&gt;=1,--INDEX('Call accounts and MMFs'!$E:$E,ROW())/100,--INDEX('Call accounts and MMFs'!$E:$E,ROW())),0)</f>
        <v/>
      </c>
      <c r="O1099">
        <f>IFERROR(--INDEX('Call accounts and MMFs'!$F:$F,ROW()),0)</f>
        <v/>
      </c>
      <c r="P1099">
        <f>IF(ISNUMBER(INDEX('Call accounts and MMFs'!$E:$E,ROW())),1,0)</f>
        <v/>
      </c>
      <c r="Q1099">
        <f>TRIM(SUBSTITUTE(INDEX('Pooled funds'!$B:$B,ROW())&amp;""," "," "))</f>
        <v/>
      </c>
      <c r="R1099">
        <f>IFERROR(--INDEX('Pooled funds'!$C:$C,ROW()),0)</f>
        <v/>
      </c>
      <c r="S1099">
        <f>IFERROR(--INDEX('Pooled funds'!$D:$D,ROW()),0)</f>
        <v/>
      </c>
      <c r="T1099">
        <f>IFERROR(IF(--INDEX('Pooled funds'!$E:$E,ROW())&gt;=1,--INDEX('Pooled funds'!$E:$E,ROW())/100,--INDEX('Pooled funds'!$E:$E,ROW())),0)</f>
        <v/>
      </c>
      <c r="U1099">
        <f>IF(ISNUMBER(INDEX('Pooled funds'!$E:$E,ROW())),1,0)</f>
        <v/>
      </c>
    </row>
    <row r="1100">
      <c r="A1100">
        <f>TRIM(SUBSTITUTE(INDEX('Term investments'!$A:$A,ROW())&amp;""," "," "))</f>
        <v/>
      </c>
      <c r="B1100">
        <f>TRIM(SUBSTITUTE(INDEX('Term investments'!$B:$B,ROW())&amp;""," "," "))</f>
        <v/>
      </c>
      <c r="C1100">
        <f>TRIM(SUBSTITUTE(INDEX('Term investments'!$C:$C,ROW())&amp;""," "," "))</f>
        <v/>
      </c>
      <c r="D1100">
        <f>IFERROR(--INDEX('Term investments'!$D:$D,ROW()),0)</f>
        <v/>
      </c>
      <c r="E1100">
        <f>IFERROR(--INDEX('Term investments'!$E:$E,ROW()),0)</f>
        <v/>
      </c>
      <c r="F1100">
        <f>IFERROR(--INDEX('Term investments'!$F:$F,ROW()),0)</f>
        <v/>
      </c>
      <c r="G1100">
        <f>IFERROR(IF(--INDEX('Term investments'!$G:$G,ROW())&gt;=1,--INDEX('Term investments'!$G:$G,ROW())/100,--INDEX('Term investments'!$G:$G,ROW())),0)</f>
        <v/>
      </c>
      <c r="H1100">
        <f>IFERROR(--INDEX('Term investments'!$H:$H,ROW()),0)</f>
        <v/>
      </c>
      <c r="I1100">
        <f>IF(ISNUMBER(INDEX('Term investments'!$G:$G,ROW())),1,0)</f>
        <v/>
      </c>
      <c r="J1100">
        <f>TRIM(SUBSTITUTE(INDEX('Call accounts and MMFs'!$A:$A,ROW())&amp;""," "," "))</f>
        <v/>
      </c>
      <c r="K1100">
        <f>TRIM(SUBSTITUTE(INDEX('Call accounts and MMFs'!$B:$B,ROW())&amp;""," "," "))</f>
        <v/>
      </c>
      <c r="L1100">
        <f>TRIM(SUBSTITUTE(INDEX('Call accounts and MMFs'!$C:$C,ROW())&amp;""," "," "))</f>
        <v/>
      </c>
      <c r="M1100">
        <f>IFERROR(--INDEX('Call accounts and MMFs'!$D:$D,ROW()),0)</f>
        <v/>
      </c>
      <c r="N1100">
        <f>IFERROR(IF(--INDEX('Call accounts and MMFs'!$E:$E,ROW())&gt;=1,--INDEX('Call accounts and MMFs'!$E:$E,ROW())/100,--INDEX('Call accounts and MMFs'!$E:$E,ROW())),0)</f>
        <v/>
      </c>
      <c r="O1100">
        <f>IFERROR(--INDEX('Call accounts and MMFs'!$F:$F,ROW()),0)</f>
        <v/>
      </c>
      <c r="P1100">
        <f>IF(ISNUMBER(INDEX('Call accounts and MMFs'!$E:$E,ROW())),1,0)</f>
        <v/>
      </c>
      <c r="Q1100">
        <f>TRIM(SUBSTITUTE(INDEX('Pooled funds'!$B:$B,ROW())&amp;""," "," "))</f>
        <v/>
      </c>
      <c r="R1100">
        <f>IFERROR(--INDEX('Pooled funds'!$C:$C,ROW()),0)</f>
        <v/>
      </c>
      <c r="S1100">
        <f>IFERROR(--INDEX('Pooled funds'!$D:$D,ROW()),0)</f>
        <v/>
      </c>
      <c r="T1100">
        <f>IFERROR(IF(--INDEX('Pooled funds'!$E:$E,ROW())&gt;=1,--INDEX('Pooled funds'!$E:$E,ROW())/100,--INDEX('Pooled funds'!$E:$E,ROW())),0)</f>
        <v/>
      </c>
      <c r="U1100">
        <f>IF(ISNUMBER(INDEX('Pooled funds'!$E:$E,ROW())),1,0)</f>
        <v/>
      </c>
    </row>
    <row r="1101">
      <c r="A1101">
        <f>TRIM(SUBSTITUTE(INDEX('Term investments'!$A:$A,ROW())&amp;""," "," "))</f>
        <v/>
      </c>
      <c r="B1101">
        <f>TRIM(SUBSTITUTE(INDEX('Term investments'!$B:$B,ROW())&amp;""," "," "))</f>
        <v/>
      </c>
      <c r="C1101">
        <f>TRIM(SUBSTITUTE(INDEX('Term investments'!$C:$C,ROW())&amp;""," "," "))</f>
        <v/>
      </c>
      <c r="D1101">
        <f>IFERROR(--INDEX('Term investments'!$D:$D,ROW()),0)</f>
        <v/>
      </c>
      <c r="E1101">
        <f>IFERROR(--INDEX('Term investments'!$E:$E,ROW()),0)</f>
        <v/>
      </c>
      <c r="F1101">
        <f>IFERROR(--INDEX('Term investments'!$F:$F,ROW()),0)</f>
        <v/>
      </c>
      <c r="G1101">
        <f>IFERROR(IF(--INDEX('Term investments'!$G:$G,ROW())&gt;=1,--INDEX('Term investments'!$G:$G,ROW())/100,--INDEX('Term investments'!$G:$G,ROW())),0)</f>
        <v/>
      </c>
      <c r="H1101">
        <f>IFERROR(--INDEX('Term investments'!$H:$H,ROW()),0)</f>
        <v/>
      </c>
      <c r="I1101">
        <f>IF(ISNUMBER(INDEX('Term investments'!$G:$G,ROW())),1,0)</f>
        <v/>
      </c>
      <c r="J1101">
        <f>TRIM(SUBSTITUTE(INDEX('Call accounts and MMFs'!$A:$A,ROW())&amp;""," "," "))</f>
        <v/>
      </c>
      <c r="K1101">
        <f>TRIM(SUBSTITUTE(INDEX('Call accounts and MMFs'!$B:$B,ROW())&amp;""," "," "))</f>
        <v/>
      </c>
      <c r="L1101">
        <f>TRIM(SUBSTITUTE(INDEX('Call accounts and MMFs'!$C:$C,ROW())&amp;""," "," "))</f>
        <v/>
      </c>
      <c r="M1101">
        <f>IFERROR(--INDEX('Call accounts and MMFs'!$D:$D,ROW()),0)</f>
        <v/>
      </c>
      <c r="N1101">
        <f>IFERROR(IF(--INDEX('Call accounts and MMFs'!$E:$E,ROW())&gt;=1,--INDEX('Call accounts and MMFs'!$E:$E,ROW())/100,--INDEX('Call accounts and MMFs'!$E:$E,ROW())),0)</f>
        <v/>
      </c>
      <c r="O1101">
        <f>IFERROR(--INDEX('Call accounts and MMFs'!$F:$F,ROW()),0)</f>
        <v/>
      </c>
      <c r="P1101">
        <f>IF(ISNUMBER(INDEX('Call accounts and MMFs'!$E:$E,ROW())),1,0)</f>
        <v/>
      </c>
      <c r="Q1101">
        <f>TRIM(SUBSTITUTE(INDEX('Pooled funds'!$B:$B,ROW())&amp;""," "," "))</f>
        <v/>
      </c>
      <c r="R1101">
        <f>IFERROR(--INDEX('Pooled funds'!$C:$C,ROW()),0)</f>
        <v/>
      </c>
      <c r="S1101">
        <f>IFERROR(--INDEX('Pooled funds'!$D:$D,ROW()),0)</f>
        <v/>
      </c>
      <c r="T1101">
        <f>IFERROR(IF(--INDEX('Pooled funds'!$E:$E,ROW())&gt;=1,--INDEX('Pooled funds'!$E:$E,ROW())/100,--INDEX('Pooled funds'!$E:$E,ROW())),0)</f>
        <v/>
      </c>
      <c r="U1101">
        <f>IF(ISNUMBER(INDEX('Pooled funds'!$E:$E,ROW())),1,0)</f>
        <v/>
      </c>
    </row>
    <row r="1102">
      <c r="A1102">
        <f>TRIM(SUBSTITUTE(INDEX('Term investments'!$A:$A,ROW())&amp;""," "," "))</f>
        <v/>
      </c>
      <c r="B1102">
        <f>TRIM(SUBSTITUTE(INDEX('Term investments'!$B:$B,ROW())&amp;""," "," "))</f>
        <v/>
      </c>
      <c r="C1102">
        <f>TRIM(SUBSTITUTE(INDEX('Term investments'!$C:$C,ROW())&amp;""," "," "))</f>
        <v/>
      </c>
      <c r="D1102">
        <f>IFERROR(--INDEX('Term investments'!$D:$D,ROW()),0)</f>
        <v/>
      </c>
      <c r="E1102">
        <f>IFERROR(--INDEX('Term investments'!$E:$E,ROW()),0)</f>
        <v/>
      </c>
      <c r="F1102">
        <f>IFERROR(--INDEX('Term investments'!$F:$F,ROW()),0)</f>
        <v/>
      </c>
      <c r="G1102">
        <f>IFERROR(IF(--INDEX('Term investments'!$G:$G,ROW())&gt;=1,--INDEX('Term investments'!$G:$G,ROW())/100,--INDEX('Term investments'!$G:$G,ROW())),0)</f>
        <v/>
      </c>
      <c r="H1102">
        <f>IFERROR(--INDEX('Term investments'!$H:$H,ROW()),0)</f>
        <v/>
      </c>
      <c r="I1102">
        <f>IF(ISNUMBER(INDEX('Term investments'!$G:$G,ROW())),1,0)</f>
        <v/>
      </c>
      <c r="J1102">
        <f>TRIM(SUBSTITUTE(INDEX('Call accounts and MMFs'!$A:$A,ROW())&amp;""," "," "))</f>
        <v/>
      </c>
      <c r="K1102">
        <f>TRIM(SUBSTITUTE(INDEX('Call accounts and MMFs'!$B:$B,ROW())&amp;""," "," "))</f>
        <v/>
      </c>
      <c r="L1102">
        <f>TRIM(SUBSTITUTE(INDEX('Call accounts and MMFs'!$C:$C,ROW())&amp;""," "," "))</f>
        <v/>
      </c>
      <c r="M1102">
        <f>IFERROR(--INDEX('Call accounts and MMFs'!$D:$D,ROW()),0)</f>
        <v/>
      </c>
      <c r="N1102">
        <f>IFERROR(IF(--INDEX('Call accounts and MMFs'!$E:$E,ROW())&gt;=1,--INDEX('Call accounts and MMFs'!$E:$E,ROW())/100,--INDEX('Call accounts and MMFs'!$E:$E,ROW())),0)</f>
        <v/>
      </c>
      <c r="O1102">
        <f>IFERROR(--INDEX('Call accounts and MMFs'!$F:$F,ROW()),0)</f>
        <v/>
      </c>
      <c r="P1102">
        <f>IF(ISNUMBER(INDEX('Call accounts and MMFs'!$E:$E,ROW())),1,0)</f>
        <v/>
      </c>
      <c r="Q1102">
        <f>TRIM(SUBSTITUTE(INDEX('Pooled funds'!$B:$B,ROW())&amp;""," "," "))</f>
        <v/>
      </c>
      <c r="R1102">
        <f>IFERROR(--INDEX('Pooled funds'!$C:$C,ROW()),0)</f>
        <v/>
      </c>
      <c r="S1102">
        <f>IFERROR(--INDEX('Pooled funds'!$D:$D,ROW()),0)</f>
        <v/>
      </c>
      <c r="T1102">
        <f>IFERROR(IF(--INDEX('Pooled funds'!$E:$E,ROW())&gt;=1,--INDEX('Pooled funds'!$E:$E,ROW())/100,--INDEX('Pooled funds'!$E:$E,ROW())),0)</f>
        <v/>
      </c>
      <c r="U1102">
        <f>IF(ISNUMBER(INDEX('Pooled funds'!$E:$E,ROW())),1,0)</f>
        <v/>
      </c>
    </row>
    <row r="1103">
      <c r="A1103">
        <f>TRIM(SUBSTITUTE(INDEX('Term investments'!$A:$A,ROW())&amp;""," "," "))</f>
        <v/>
      </c>
      <c r="B1103">
        <f>TRIM(SUBSTITUTE(INDEX('Term investments'!$B:$B,ROW())&amp;""," "," "))</f>
        <v/>
      </c>
      <c r="C1103">
        <f>TRIM(SUBSTITUTE(INDEX('Term investments'!$C:$C,ROW())&amp;""," "," "))</f>
        <v/>
      </c>
      <c r="D1103">
        <f>IFERROR(--INDEX('Term investments'!$D:$D,ROW()),0)</f>
        <v/>
      </c>
      <c r="E1103">
        <f>IFERROR(--INDEX('Term investments'!$E:$E,ROW()),0)</f>
        <v/>
      </c>
      <c r="F1103">
        <f>IFERROR(--INDEX('Term investments'!$F:$F,ROW()),0)</f>
        <v/>
      </c>
      <c r="G1103">
        <f>IFERROR(IF(--INDEX('Term investments'!$G:$G,ROW())&gt;=1,--INDEX('Term investments'!$G:$G,ROW())/100,--INDEX('Term investments'!$G:$G,ROW())),0)</f>
        <v/>
      </c>
      <c r="H1103">
        <f>IFERROR(--INDEX('Term investments'!$H:$H,ROW()),0)</f>
        <v/>
      </c>
      <c r="I1103">
        <f>IF(ISNUMBER(INDEX('Term investments'!$G:$G,ROW())),1,0)</f>
        <v/>
      </c>
      <c r="J1103">
        <f>TRIM(SUBSTITUTE(INDEX('Call accounts and MMFs'!$A:$A,ROW())&amp;""," "," "))</f>
        <v/>
      </c>
      <c r="K1103">
        <f>TRIM(SUBSTITUTE(INDEX('Call accounts and MMFs'!$B:$B,ROW())&amp;""," "," "))</f>
        <v/>
      </c>
      <c r="L1103">
        <f>TRIM(SUBSTITUTE(INDEX('Call accounts and MMFs'!$C:$C,ROW())&amp;""," "," "))</f>
        <v/>
      </c>
      <c r="M1103">
        <f>IFERROR(--INDEX('Call accounts and MMFs'!$D:$D,ROW()),0)</f>
        <v/>
      </c>
      <c r="N1103">
        <f>IFERROR(IF(--INDEX('Call accounts and MMFs'!$E:$E,ROW())&gt;=1,--INDEX('Call accounts and MMFs'!$E:$E,ROW())/100,--INDEX('Call accounts and MMFs'!$E:$E,ROW())),0)</f>
        <v/>
      </c>
      <c r="O1103">
        <f>IFERROR(--INDEX('Call accounts and MMFs'!$F:$F,ROW()),0)</f>
        <v/>
      </c>
      <c r="P1103">
        <f>IF(ISNUMBER(INDEX('Call accounts and MMFs'!$E:$E,ROW())),1,0)</f>
        <v/>
      </c>
      <c r="Q1103">
        <f>TRIM(SUBSTITUTE(INDEX('Pooled funds'!$B:$B,ROW())&amp;""," "," "))</f>
        <v/>
      </c>
      <c r="R1103">
        <f>IFERROR(--INDEX('Pooled funds'!$C:$C,ROW()),0)</f>
        <v/>
      </c>
      <c r="S1103">
        <f>IFERROR(--INDEX('Pooled funds'!$D:$D,ROW()),0)</f>
        <v/>
      </c>
      <c r="T1103">
        <f>IFERROR(IF(--INDEX('Pooled funds'!$E:$E,ROW())&gt;=1,--INDEX('Pooled funds'!$E:$E,ROW())/100,--INDEX('Pooled funds'!$E:$E,ROW())),0)</f>
        <v/>
      </c>
      <c r="U1103">
        <f>IF(ISNUMBER(INDEX('Pooled funds'!$E:$E,ROW())),1,0)</f>
        <v/>
      </c>
    </row>
    <row r="1104">
      <c r="A1104">
        <f>TRIM(SUBSTITUTE(INDEX('Term investments'!$A:$A,ROW())&amp;""," "," "))</f>
        <v/>
      </c>
      <c r="B1104">
        <f>TRIM(SUBSTITUTE(INDEX('Term investments'!$B:$B,ROW())&amp;""," "," "))</f>
        <v/>
      </c>
      <c r="C1104">
        <f>TRIM(SUBSTITUTE(INDEX('Term investments'!$C:$C,ROW())&amp;""," "," "))</f>
        <v/>
      </c>
      <c r="D1104">
        <f>IFERROR(--INDEX('Term investments'!$D:$D,ROW()),0)</f>
        <v/>
      </c>
      <c r="E1104">
        <f>IFERROR(--INDEX('Term investments'!$E:$E,ROW()),0)</f>
        <v/>
      </c>
      <c r="F1104">
        <f>IFERROR(--INDEX('Term investments'!$F:$F,ROW()),0)</f>
        <v/>
      </c>
      <c r="G1104">
        <f>IFERROR(IF(--INDEX('Term investments'!$G:$G,ROW())&gt;=1,--INDEX('Term investments'!$G:$G,ROW())/100,--INDEX('Term investments'!$G:$G,ROW())),0)</f>
        <v/>
      </c>
      <c r="H1104">
        <f>IFERROR(--INDEX('Term investments'!$H:$H,ROW()),0)</f>
        <v/>
      </c>
      <c r="I1104">
        <f>IF(ISNUMBER(INDEX('Term investments'!$G:$G,ROW())),1,0)</f>
        <v/>
      </c>
      <c r="J1104">
        <f>TRIM(SUBSTITUTE(INDEX('Call accounts and MMFs'!$A:$A,ROW())&amp;""," "," "))</f>
        <v/>
      </c>
      <c r="K1104">
        <f>TRIM(SUBSTITUTE(INDEX('Call accounts and MMFs'!$B:$B,ROW())&amp;""," "," "))</f>
        <v/>
      </c>
      <c r="L1104">
        <f>TRIM(SUBSTITUTE(INDEX('Call accounts and MMFs'!$C:$C,ROW())&amp;""," "," "))</f>
        <v/>
      </c>
      <c r="M1104">
        <f>IFERROR(--INDEX('Call accounts and MMFs'!$D:$D,ROW()),0)</f>
        <v/>
      </c>
      <c r="N1104">
        <f>IFERROR(IF(--INDEX('Call accounts and MMFs'!$E:$E,ROW())&gt;=1,--INDEX('Call accounts and MMFs'!$E:$E,ROW())/100,--INDEX('Call accounts and MMFs'!$E:$E,ROW())),0)</f>
        <v/>
      </c>
      <c r="O1104">
        <f>IFERROR(--INDEX('Call accounts and MMFs'!$F:$F,ROW()),0)</f>
        <v/>
      </c>
      <c r="P1104">
        <f>IF(ISNUMBER(INDEX('Call accounts and MMFs'!$E:$E,ROW())),1,0)</f>
        <v/>
      </c>
      <c r="Q1104">
        <f>TRIM(SUBSTITUTE(INDEX('Pooled funds'!$B:$B,ROW())&amp;""," "," "))</f>
        <v/>
      </c>
      <c r="R1104">
        <f>IFERROR(--INDEX('Pooled funds'!$C:$C,ROW()),0)</f>
        <v/>
      </c>
      <c r="S1104">
        <f>IFERROR(--INDEX('Pooled funds'!$D:$D,ROW()),0)</f>
        <v/>
      </c>
      <c r="T1104">
        <f>IFERROR(IF(--INDEX('Pooled funds'!$E:$E,ROW())&gt;=1,--INDEX('Pooled funds'!$E:$E,ROW())/100,--INDEX('Pooled funds'!$E:$E,ROW())),0)</f>
        <v/>
      </c>
      <c r="U1104">
        <f>IF(ISNUMBER(INDEX('Pooled funds'!$E:$E,ROW())),1,0)</f>
        <v/>
      </c>
    </row>
    <row r="1105">
      <c r="A1105">
        <f>TRIM(SUBSTITUTE(INDEX('Term investments'!$A:$A,ROW())&amp;""," "," "))</f>
        <v/>
      </c>
      <c r="B1105">
        <f>TRIM(SUBSTITUTE(INDEX('Term investments'!$B:$B,ROW())&amp;""," "," "))</f>
        <v/>
      </c>
      <c r="C1105">
        <f>TRIM(SUBSTITUTE(INDEX('Term investments'!$C:$C,ROW())&amp;""," "," "))</f>
        <v/>
      </c>
      <c r="D1105">
        <f>IFERROR(--INDEX('Term investments'!$D:$D,ROW()),0)</f>
        <v/>
      </c>
      <c r="E1105">
        <f>IFERROR(--INDEX('Term investments'!$E:$E,ROW()),0)</f>
        <v/>
      </c>
      <c r="F1105">
        <f>IFERROR(--INDEX('Term investments'!$F:$F,ROW()),0)</f>
        <v/>
      </c>
      <c r="G1105">
        <f>IFERROR(IF(--INDEX('Term investments'!$G:$G,ROW())&gt;=1,--INDEX('Term investments'!$G:$G,ROW())/100,--INDEX('Term investments'!$G:$G,ROW())),0)</f>
        <v/>
      </c>
      <c r="H1105">
        <f>IFERROR(--INDEX('Term investments'!$H:$H,ROW()),0)</f>
        <v/>
      </c>
      <c r="I1105">
        <f>IF(ISNUMBER(INDEX('Term investments'!$G:$G,ROW())),1,0)</f>
        <v/>
      </c>
      <c r="J1105">
        <f>TRIM(SUBSTITUTE(INDEX('Call accounts and MMFs'!$A:$A,ROW())&amp;""," "," "))</f>
        <v/>
      </c>
      <c r="K1105">
        <f>TRIM(SUBSTITUTE(INDEX('Call accounts and MMFs'!$B:$B,ROW())&amp;""," "," "))</f>
        <v/>
      </c>
      <c r="L1105">
        <f>TRIM(SUBSTITUTE(INDEX('Call accounts and MMFs'!$C:$C,ROW())&amp;""," "," "))</f>
        <v/>
      </c>
      <c r="M1105">
        <f>IFERROR(--INDEX('Call accounts and MMFs'!$D:$D,ROW()),0)</f>
        <v/>
      </c>
      <c r="N1105">
        <f>IFERROR(IF(--INDEX('Call accounts and MMFs'!$E:$E,ROW())&gt;=1,--INDEX('Call accounts and MMFs'!$E:$E,ROW())/100,--INDEX('Call accounts and MMFs'!$E:$E,ROW())),0)</f>
        <v/>
      </c>
      <c r="O1105">
        <f>IFERROR(--INDEX('Call accounts and MMFs'!$F:$F,ROW()),0)</f>
        <v/>
      </c>
      <c r="P1105">
        <f>IF(ISNUMBER(INDEX('Call accounts and MMFs'!$E:$E,ROW())),1,0)</f>
        <v/>
      </c>
      <c r="Q1105">
        <f>TRIM(SUBSTITUTE(INDEX('Pooled funds'!$B:$B,ROW())&amp;""," "," "))</f>
        <v/>
      </c>
      <c r="R1105">
        <f>IFERROR(--INDEX('Pooled funds'!$C:$C,ROW()),0)</f>
        <v/>
      </c>
      <c r="S1105">
        <f>IFERROR(--INDEX('Pooled funds'!$D:$D,ROW()),0)</f>
        <v/>
      </c>
      <c r="T1105">
        <f>IFERROR(IF(--INDEX('Pooled funds'!$E:$E,ROW())&gt;=1,--INDEX('Pooled funds'!$E:$E,ROW())/100,--INDEX('Pooled funds'!$E:$E,ROW())),0)</f>
        <v/>
      </c>
      <c r="U1105">
        <f>IF(ISNUMBER(INDEX('Pooled funds'!$E:$E,ROW())),1,0)</f>
        <v/>
      </c>
    </row>
    <row r="1106">
      <c r="A1106">
        <f>TRIM(SUBSTITUTE(INDEX('Term investments'!$A:$A,ROW())&amp;""," "," "))</f>
        <v/>
      </c>
      <c r="B1106">
        <f>TRIM(SUBSTITUTE(INDEX('Term investments'!$B:$B,ROW())&amp;""," "," "))</f>
        <v/>
      </c>
      <c r="C1106">
        <f>TRIM(SUBSTITUTE(INDEX('Term investments'!$C:$C,ROW())&amp;""," "," "))</f>
        <v/>
      </c>
      <c r="D1106">
        <f>IFERROR(--INDEX('Term investments'!$D:$D,ROW()),0)</f>
        <v/>
      </c>
      <c r="E1106">
        <f>IFERROR(--INDEX('Term investments'!$E:$E,ROW()),0)</f>
        <v/>
      </c>
      <c r="F1106">
        <f>IFERROR(--INDEX('Term investments'!$F:$F,ROW()),0)</f>
        <v/>
      </c>
      <c r="G1106">
        <f>IFERROR(IF(--INDEX('Term investments'!$G:$G,ROW())&gt;=1,--INDEX('Term investments'!$G:$G,ROW())/100,--INDEX('Term investments'!$G:$G,ROW())),0)</f>
        <v/>
      </c>
      <c r="H1106">
        <f>IFERROR(--INDEX('Term investments'!$H:$H,ROW()),0)</f>
        <v/>
      </c>
      <c r="I1106">
        <f>IF(ISNUMBER(INDEX('Term investments'!$G:$G,ROW())),1,0)</f>
        <v/>
      </c>
      <c r="J1106">
        <f>TRIM(SUBSTITUTE(INDEX('Call accounts and MMFs'!$A:$A,ROW())&amp;""," "," "))</f>
        <v/>
      </c>
      <c r="K1106">
        <f>TRIM(SUBSTITUTE(INDEX('Call accounts and MMFs'!$B:$B,ROW())&amp;""," "," "))</f>
        <v/>
      </c>
      <c r="L1106">
        <f>TRIM(SUBSTITUTE(INDEX('Call accounts and MMFs'!$C:$C,ROW())&amp;""," "," "))</f>
        <v/>
      </c>
      <c r="M1106">
        <f>IFERROR(--INDEX('Call accounts and MMFs'!$D:$D,ROW()),0)</f>
        <v/>
      </c>
      <c r="N1106">
        <f>IFERROR(IF(--INDEX('Call accounts and MMFs'!$E:$E,ROW())&gt;=1,--INDEX('Call accounts and MMFs'!$E:$E,ROW())/100,--INDEX('Call accounts and MMFs'!$E:$E,ROW())),0)</f>
        <v/>
      </c>
      <c r="O1106">
        <f>IFERROR(--INDEX('Call accounts and MMFs'!$F:$F,ROW()),0)</f>
        <v/>
      </c>
      <c r="P1106">
        <f>IF(ISNUMBER(INDEX('Call accounts and MMFs'!$E:$E,ROW())),1,0)</f>
        <v/>
      </c>
      <c r="Q1106">
        <f>TRIM(SUBSTITUTE(INDEX('Pooled funds'!$B:$B,ROW())&amp;""," "," "))</f>
        <v/>
      </c>
      <c r="R1106">
        <f>IFERROR(--INDEX('Pooled funds'!$C:$C,ROW()),0)</f>
        <v/>
      </c>
      <c r="S1106">
        <f>IFERROR(--INDEX('Pooled funds'!$D:$D,ROW()),0)</f>
        <v/>
      </c>
      <c r="T1106">
        <f>IFERROR(IF(--INDEX('Pooled funds'!$E:$E,ROW())&gt;=1,--INDEX('Pooled funds'!$E:$E,ROW())/100,--INDEX('Pooled funds'!$E:$E,ROW())),0)</f>
        <v/>
      </c>
      <c r="U1106">
        <f>IF(ISNUMBER(INDEX('Pooled funds'!$E:$E,ROW())),1,0)</f>
        <v/>
      </c>
    </row>
    <row r="1107">
      <c r="A1107">
        <f>TRIM(SUBSTITUTE(INDEX('Term investments'!$A:$A,ROW())&amp;""," "," "))</f>
        <v/>
      </c>
      <c r="B1107">
        <f>TRIM(SUBSTITUTE(INDEX('Term investments'!$B:$B,ROW())&amp;""," "," "))</f>
        <v/>
      </c>
      <c r="C1107">
        <f>TRIM(SUBSTITUTE(INDEX('Term investments'!$C:$C,ROW())&amp;""," "," "))</f>
        <v/>
      </c>
      <c r="D1107">
        <f>IFERROR(--INDEX('Term investments'!$D:$D,ROW()),0)</f>
        <v/>
      </c>
      <c r="E1107">
        <f>IFERROR(--INDEX('Term investments'!$E:$E,ROW()),0)</f>
        <v/>
      </c>
      <c r="F1107">
        <f>IFERROR(--INDEX('Term investments'!$F:$F,ROW()),0)</f>
        <v/>
      </c>
      <c r="G1107">
        <f>IFERROR(IF(--INDEX('Term investments'!$G:$G,ROW())&gt;=1,--INDEX('Term investments'!$G:$G,ROW())/100,--INDEX('Term investments'!$G:$G,ROW())),0)</f>
        <v/>
      </c>
      <c r="H1107">
        <f>IFERROR(--INDEX('Term investments'!$H:$H,ROW()),0)</f>
        <v/>
      </c>
      <c r="I1107">
        <f>IF(ISNUMBER(INDEX('Term investments'!$G:$G,ROW())),1,0)</f>
        <v/>
      </c>
      <c r="J1107">
        <f>TRIM(SUBSTITUTE(INDEX('Call accounts and MMFs'!$A:$A,ROW())&amp;""," "," "))</f>
        <v/>
      </c>
      <c r="K1107">
        <f>TRIM(SUBSTITUTE(INDEX('Call accounts and MMFs'!$B:$B,ROW())&amp;""," "," "))</f>
        <v/>
      </c>
      <c r="L1107">
        <f>TRIM(SUBSTITUTE(INDEX('Call accounts and MMFs'!$C:$C,ROW())&amp;""," "," "))</f>
        <v/>
      </c>
      <c r="M1107">
        <f>IFERROR(--INDEX('Call accounts and MMFs'!$D:$D,ROW()),0)</f>
        <v/>
      </c>
      <c r="N1107">
        <f>IFERROR(IF(--INDEX('Call accounts and MMFs'!$E:$E,ROW())&gt;=1,--INDEX('Call accounts and MMFs'!$E:$E,ROW())/100,--INDEX('Call accounts and MMFs'!$E:$E,ROW())),0)</f>
        <v/>
      </c>
      <c r="O1107">
        <f>IFERROR(--INDEX('Call accounts and MMFs'!$F:$F,ROW()),0)</f>
        <v/>
      </c>
      <c r="P1107">
        <f>IF(ISNUMBER(INDEX('Call accounts and MMFs'!$E:$E,ROW())),1,0)</f>
        <v/>
      </c>
      <c r="Q1107">
        <f>TRIM(SUBSTITUTE(INDEX('Pooled funds'!$B:$B,ROW())&amp;""," "," "))</f>
        <v/>
      </c>
      <c r="R1107">
        <f>IFERROR(--INDEX('Pooled funds'!$C:$C,ROW()),0)</f>
        <v/>
      </c>
      <c r="S1107">
        <f>IFERROR(--INDEX('Pooled funds'!$D:$D,ROW()),0)</f>
        <v/>
      </c>
      <c r="T1107">
        <f>IFERROR(IF(--INDEX('Pooled funds'!$E:$E,ROW())&gt;=1,--INDEX('Pooled funds'!$E:$E,ROW())/100,--INDEX('Pooled funds'!$E:$E,ROW())),0)</f>
        <v/>
      </c>
      <c r="U1107">
        <f>IF(ISNUMBER(INDEX('Pooled funds'!$E:$E,ROW())),1,0)</f>
        <v/>
      </c>
    </row>
    <row r="1108">
      <c r="A1108">
        <f>TRIM(SUBSTITUTE(INDEX('Term investments'!$A:$A,ROW())&amp;""," "," "))</f>
        <v/>
      </c>
      <c r="B1108">
        <f>TRIM(SUBSTITUTE(INDEX('Term investments'!$B:$B,ROW())&amp;""," "," "))</f>
        <v/>
      </c>
      <c r="C1108">
        <f>TRIM(SUBSTITUTE(INDEX('Term investments'!$C:$C,ROW())&amp;""," "," "))</f>
        <v/>
      </c>
      <c r="D1108">
        <f>IFERROR(--INDEX('Term investments'!$D:$D,ROW()),0)</f>
        <v/>
      </c>
      <c r="E1108">
        <f>IFERROR(--INDEX('Term investments'!$E:$E,ROW()),0)</f>
        <v/>
      </c>
      <c r="F1108">
        <f>IFERROR(--INDEX('Term investments'!$F:$F,ROW()),0)</f>
        <v/>
      </c>
      <c r="G1108">
        <f>IFERROR(IF(--INDEX('Term investments'!$G:$G,ROW())&gt;=1,--INDEX('Term investments'!$G:$G,ROW())/100,--INDEX('Term investments'!$G:$G,ROW())),0)</f>
        <v/>
      </c>
      <c r="H1108">
        <f>IFERROR(--INDEX('Term investments'!$H:$H,ROW()),0)</f>
        <v/>
      </c>
      <c r="I1108">
        <f>IF(ISNUMBER(INDEX('Term investments'!$G:$G,ROW())),1,0)</f>
        <v/>
      </c>
      <c r="J1108">
        <f>TRIM(SUBSTITUTE(INDEX('Call accounts and MMFs'!$A:$A,ROW())&amp;""," "," "))</f>
        <v/>
      </c>
      <c r="K1108">
        <f>TRIM(SUBSTITUTE(INDEX('Call accounts and MMFs'!$B:$B,ROW())&amp;""," "," "))</f>
        <v/>
      </c>
      <c r="L1108">
        <f>TRIM(SUBSTITUTE(INDEX('Call accounts and MMFs'!$C:$C,ROW())&amp;""," "," "))</f>
        <v/>
      </c>
      <c r="M1108">
        <f>IFERROR(--INDEX('Call accounts and MMFs'!$D:$D,ROW()),0)</f>
        <v/>
      </c>
      <c r="N1108">
        <f>IFERROR(IF(--INDEX('Call accounts and MMFs'!$E:$E,ROW())&gt;=1,--INDEX('Call accounts and MMFs'!$E:$E,ROW())/100,--INDEX('Call accounts and MMFs'!$E:$E,ROW())),0)</f>
        <v/>
      </c>
      <c r="O1108">
        <f>IFERROR(--INDEX('Call accounts and MMFs'!$F:$F,ROW()),0)</f>
        <v/>
      </c>
      <c r="P1108">
        <f>IF(ISNUMBER(INDEX('Call accounts and MMFs'!$E:$E,ROW())),1,0)</f>
        <v/>
      </c>
      <c r="Q1108">
        <f>TRIM(SUBSTITUTE(INDEX('Pooled funds'!$B:$B,ROW())&amp;""," "," "))</f>
        <v/>
      </c>
      <c r="R1108">
        <f>IFERROR(--INDEX('Pooled funds'!$C:$C,ROW()),0)</f>
        <v/>
      </c>
      <c r="S1108">
        <f>IFERROR(--INDEX('Pooled funds'!$D:$D,ROW()),0)</f>
        <v/>
      </c>
      <c r="T1108">
        <f>IFERROR(IF(--INDEX('Pooled funds'!$E:$E,ROW())&gt;=1,--INDEX('Pooled funds'!$E:$E,ROW())/100,--INDEX('Pooled funds'!$E:$E,ROW())),0)</f>
        <v/>
      </c>
      <c r="U1108">
        <f>IF(ISNUMBER(INDEX('Pooled funds'!$E:$E,ROW())),1,0)</f>
        <v/>
      </c>
    </row>
    <row r="1109">
      <c r="A1109">
        <f>TRIM(SUBSTITUTE(INDEX('Term investments'!$A:$A,ROW())&amp;""," "," "))</f>
        <v/>
      </c>
      <c r="B1109">
        <f>TRIM(SUBSTITUTE(INDEX('Term investments'!$B:$B,ROW())&amp;""," "," "))</f>
        <v/>
      </c>
      <c r="C1109">
        <f>TRIM(SUBSTITUTE(INDEX('Term investments'!$C:$C,ROW())&amp;""," "," "))</f>
        <v/>
      </c>
      <c r="D1109">
        <f>IFERROR(--INDEX('Term investments'!$D:$D,ROW()),0)</f>
        <v/>
      </c>
      <c r="E1109">
        <f>IFERROR(--INDEX('Term investments'!$E:$E,ROW()),0)</f>
        <v/>
      </c>
      <c r="F1109">
        <f>IFERROR(--INDEX('Term investments'!$F:$F,ROW()),0)</f>
        <v/>
      </c>
      <c r="G1109">
        <f>IFERROR(IF(--INDEX('Term investments'!$G:$G,ROW())&gt;=1,--INDEX('Term investments'!$G:$G,ROW())/100,--INDEX('Term investments'!$G:$G,ROW())),0)</f>
        <v/>
      </c>
      <c r="H1109">
        <f>IFERROR(--INDEX('Term investments'!$H:$H,ROW()),0)</f>
        <v/>
      </c>
      <c r="I1109">
        <f>IF(ISNUMBER(INDEX('Term investments'!$G:$G,ROW())),1,0)</f>
        <v/>
      </c>
      <c r="J1109">
        <f>TRIM(SUBSTITUTE(INDEX('Call accounts and MMFs'!$A:$A,ROW())&amp;""," "," "))</f>
        <v/>
      </c>
      <c r="K1109">
        <f>TRIM(SUBSTITUTE(INDEX('Call accounts and MMFs'!$B:$B,ROW())&amp;""," "," "))</f>
        <v/>
      </c>
      <c r="L1109">
        <f>TRIM(SUBSTITUTE(INDEX('Call accounts and MMFs'!$C:$C,ROW())&amp;""," "," "))</f>
        <v/>
      </c>
      <c r="M1109">
        <f>IFERROR(--INDEX('Call accounts and MMFs'!$D:$D,ROW()),0)</f>
        <v/>
      </c>
      <c r="N1109">
        <f>IFERROR(IF(--INDEX('Call accounts and MMFs'!$E:$E,ROW())&gt;=1,--INDEX('Call accounts and MMFs'!$E:$E,ROW())/100,--INDEX('Call accounts and MMFs'!$E:$E,ROW())),0)</f>
        <v/>
      </c>
      <c r="O1109">
        <f>IFERROR(--INDEX('Call accounts and MMFs'!$F:$F,ROW()),0)</f>
        <v/>
      </c>
      <c r="P1109">
        <f>IF(ISNUMBER(INDEX('Call accounts and MMFs'!$E:$E,ROW())),1,0)</f>
        <v/>
      </c>
      <c r="Q1109">
        <f>TRIM(SUBSTITUTE(INDEX('Pooled funds'!$B:$B,ROW())&amp;""," "," "))</f>
        <v/>
      </c>
      <c r="R1109">
        <f>IFERROR(--INDEX('Pooled funds'!$C:$C,ROW()),0)</f>
        <v/>
      </c>
      <c r="S1109">
        <f>IFERROR(--INDEX('Pooled funds'!$D:$D,ROW()),0)</f>
        <v/>
      </c>
      <c r="T1109">
        <f>IFERROR(IF(--INDEX('Pooled funds'!$E:$E,ROW())&gt;=1,--INDEX('Pooled funds'!$E:$E,ROW())/100,--INDEX('Pooled funds'!$E:$E,ROW())),0)</f>
        <v/>
      </c>
      <c r="U1109">
        <f>IF(ISNUMBER(INDEX('Pooled funds'!$E:$E,ROW())),1,0)</f>
        <v/>
      </c>
    </row>
    <row r="1110">
      <c r="A1110">
        <f>TRIM(SUBSTITUTE(INDEX('Term investments'!$A:$A,ROW())&amp;""," "," "))</f>
        <v/>
      </c>
      <c r="B1110">
        <f>TRIM(SUBSTITUTE(INDEX('Term investments'!$B:$B,ROW())&amp;""," "," "))</f>
        <v/>
      </c>
      <c r="C1110">
        <f>TRIM(SUBSTITUTE(INDEX('Term investments'!$C:$C,ROW())&amp;""," "," "))</f>
        <v/>
      </c>
      <c r="D1110">
        <f>IFERROR(--INDEX('Term investments'!$D:$D,ROW()),0)</f>
        <v/>
      </c>
      <c r="E1110">
        <f>IFERROR(--INDEX('Term investments'!$E:$E,ROW()),0)</f>
        <v/>
      </c>
      <c r="F1110">
        <f>IFERROR(--INDEX('Term investments'!$F:$F,ROW()),0)</f>
        <v/>
      </c>
      <c r="G1110">
        <f>IFERROR(IF(--INDEX('Term investments'!$G:$G,ROW())&gt;=1,--INDEX('Term investments'!$G:$G,ROW())/100,--INDEX('Term investments'!$G:$G,ROW())),0)</f>
        <v/>
      </c>
      <c r="H1110">
        <f>IFERROR(--INDEX('Term investments'!$H:$H,ROW()),0)</f>
        <v/>
      </c>
      <c r="I1110">
        <f>IF(ISNUMBER(INDEX('Term investments'!$G:$G,ROW())),1,0)</f>
        <v/>
      </c>
      <c r="J1110">
        <f>TRIM(SUBSTITUTE(INDEX('Call accounts and MMFs'!$A:$A,ROW())&amp;""," "," "))</f>
        <v/>
      </c>
      <c r="K1110">
        <f>TRIM(SUBSTITUTE(INDEX('Call accounts and MMFs'!$B:$B,ROW())&amp;""," "," "))</f>
        <v/>
      </c>
      <c r="L1110">
        <f>TRIM(SUBSTITUTE(INDEX('Call accounts and MMFs'!$C:$C,ROW())&amp;""," "," "))</f>
        <v/>
      </c>
      <c r="M1110">
        <f>IFERROR(--INDEX('Call accounts and MMFs'!$D:$D,ROW()),0)</f>
        <v/>
      </c>
      <c r="N1110">
        <f>IFERROR(IF(--INDEX('Call accounts and MMFs'!$E:$E,ROW())&gt;=1,--INDEX('Call accounts and MMFs'!$E:$E,ROW())/100,--INDEX('Call accounts and MMFs'!$E:$E,ROW())),0)</f>
        <v/>
      </c>
      <c r="O1110">
        <f>IFERROR(--INDEX('Call accounts and MMFs'!$F:$F,ROW()),0)</f>
        <v/>
      </c>
      <c r="P1110">
        <f>IF(ISNUMBER(INDEX('Call accounts and MMFs'!$E:$E,ROW())),1,0)</f>
        <v/>
      </c>
      <c r="Q1110">
        <f>TRIM(SUBSTITUTE(INDEX('Pooled funds'!$B:$B,ROW())&amp;""," "," "))</f>
        <v/>
      </c>
      <c r="R1110">
        <f>IFERROR(--INDEX('Pooled funds'!$C:$C,ROW()),0)</f>
        <v/>
      </c>
      <c r="S1110">
        <f>IFERROR(--INDEX('Pooled funds'!$D:$D,ROW()),0)</f>
        <v/>
      </c>
      <c r="T1110">
        <f>IFERROR(IF(--INDEX('Pooled funds'!$E:$E,ROW())&gt;=1,--INDEX('Pooled funds'!$E:$E,ROW())/100,--INDEX('Pooled funds'!$E:$E,ROW())),0)</f>
        <v/>
      </c>
      <c r="U1110">
        <f>IF(ISNUMBER(INDEX('Pooled funds'!$E:$E,ROW())),1,0)</f>
        <v/>
      </c>
    </row>
    <row r="1111">
      <c r="A1111">
        <f>TRIM(SUBSTITUTE(INDEX('Term investments'!$A:$A,ROW())&amp;""," "," "))</f>
        <v/>
      </c>
      <c r="B1111">
        <f>TRIM(SUBSTITUTE(INDEX('Term investments'!$B:$B,ROW())&amp;""," "," "))</f>
        <v/>
      </c>
      <c r="C1111">
        <f>TRIM(SUBSTITUTE(INDEX('Term investments'!$C:$C,ROW())&amp;""," "," "))</f>
        <v/>
      </c>
      <c r="D1111">
        <f>IFERROR(--INDEX('Term investments'!$D:$D,ROW()),0)</f>
        <v/>
      </c>
      <c r="E1111">
        <f>IFERROR(--INDEX('Term investments'!$E:$E,ROW()),0)</f>
        <v/>
      </c>
      <c r="F1111">
        <f>IFERROR(--INDEX('Term investments'!$F:$F,ROW()),0)</f>
        <v/>
      </c>
      <c r="G1111">
        <f>IFERROR(IF(--INDEX('Term investments'!$G:$G,ROW())&gt;=1,--INDEX('Term investments'!$G:$G,ROW())/100,--INDEX('Term investments'!$G:$G,ROW())),0)</f>
        <v/>
      </c>
      <c r="H1111">
        <f>IFERROR(--INDEX('Term investments'!$H:$H,ROW()),0)</f>
        <v/>
      </c>
      <c r="I1111">
        <f>IF(ISNUMBER(INDEX('Term investments'!$G:$G,ROW())),1,0)</f>
        <v/>
      </c>
      <c r="J1111">
        <f>TRIM(SUBSTITUTE(INDEX('Call accounts and MMFs'!$A:$A,ROW())&amp;""," "," "))</f>
        <v/>
      </c>
      <c r="K1111">
        <f>TRIM(SUBSTITUTE(INDEX('Call accounts and MMFs'!$B:$B,ROW())&amp;""," "," "))</f>
        <v/>
      </c>
      <c r="L1111">
        <f>TRIM(SUBSTITUTE(INDEX('Call accounts and MMFs'!$C:$C,ROW())&amp;""," "," "))</f>
        <v/>
      </c>
      <c r="M1111">
        <f>IFERROR(--INDEX('Call accounts and MMFs'!$D:$D,ROW()),0)</f>
        <v/>
      </c>
      <c r="N1111">
        <f>IFERROR(IF(--INDEX('Call accounts and MMFs'!$E:$E,ROW())&gt;=1,--INDEX('Call accounts and MMFs'!$E:$E,ROW())/100,--INDEX('Call accounts and MMFs'!$E:$E,ROW())),0)</f>
        <v/>
      </c>
      <c r="O1111">
        <f>IFERROR(--INDEX('Call accounts and MMFs'!$F:$F,ROW()),0)</f>
        <v/>
      </c>
      <c r="P1111">
        <f>IF(ISNUMBER(INDEX('Call accounts and MMFs'!$E:$E,ROW())),1,0)</f>
        <v/>
      </c>
      <c r="Q1111">
        <f>TRIM(SUBSTITUTE(INDEX('Pooled funds'!$B:$B,ROW())&amp;""," "," "))</f>
        <v/>
      </c>
      <c r="R1111">
        <f>IFERROR(--INDEX('Pooled funds'!$C:$C,ROW()),0)</f>
        <v/>
      </c>
      <c r="S1111">
        <f>IFERROR(--INDEX('Pooled funds'!$D:$D,ROW()),0)</f>
        <v/>
      </c>
      <c r="T1111">
        <f>IFERROR(IF(--INDEX('Pooled funds'!$E:$E,ROW())&gt;=1,--INDEX('Pooled funds'!$E:$E,ROW())/100,--INDEX('Pooled funds'!$E:$E,ROW())),0)</f>
        <v/>
      </c>
      <c r="U1111">
        <f>IF(ISNUMBER(INDEX('Pooled funds'!$E:$E,ROW())),1,0)</f>
        <v/>
      </c>
    </row>
    <row r="1112">
      <c r="A1112">
        <f>TRIM(SUBSTITUTE(INDEX('Term investments'!$A:$A,ROW())&amp;""," "," "))</f>
        <v/>
      </c>
      <c r="B1112">
        <f>TRIM(SUBSTITUTE(INDEX('Term investments'!$B:$B,ROW())&amp;""," "," "))</f>
        <v/>
      </c>
      <c r="C1112">
        <f>TRIM(SUBSTITUTE(INDEX('Term investments'!$C:$C,ROW())&amp;""," "," "))</f>
        <v/>
      </c>
      <c r="D1112">
        <f>IFERROR(--INDEX('Term investments'!$D:$D,ROW()),0)</f>
        <v/>
      </c>
      <c r="E1112">
        <f>IFERROR(--INDEX('Term investments'!$E:$E,ROW()),0)</f>
        <v/>
      </c>
      <c r="F1112">
        <f>IFERROR(--INDEX('Term investments'!$F:$F,ROW()),0)</f>
        <v/>
      </c>
      <c r="G1112">
        <f>IFERROR(IF(--INDEX('Term investments'!$G:$G,ROW())&gt;=1,--INDEX('Term investments'!$G:$G,ROW())/100,--INDEX('Term investments'!$G:$G,ROW())),0)</f>
        <v/>
      </c>
      <c r="H1112">
        <f>IFERROR(--INDEX('Term investments'!$H:$H,ROW()),0)</f>
        <v/>
      </c>
      <c r="I1112">
        <f>IF(ISNUMBER(INDEX('Term investments'!$G:$G,ROW())),1,0)</f>
        <v/>
      </c>
      <c r="J1112">
        <f>TRIM(SUBSTITUTE(INDEX('Call accounts and MMFs'!$A:$A,ROW())&amp;""," "," "))</f>
        <v/>
      </c>
      <c r="K1112">
        <f>TRIM(SUBSTITUTE(INDEX('Call accounts and MMFs'!$B:$B,ROW())&amp;""," "," "))</f>
        <v/>
      </c>
      <c r="L1112">
        <f>TRIM(SUBSTITUTE(INDEX('Call accounts and MMFs'!$C:$C,ROW())&amp;""," "," "))</f>
        <v/>
      </c>
      <c r="M1112">
        <f>IFERROR(--INDEX('Call accounts and MMFs'!$D:$D,ROW()),0)</f>
        <v/>
      </c>
      <c r="N1112">
        <f>IFERROR(IF(--INDEX('Call accounts and MMFs'!$E:$E,ROW())&gt;=1,--INDEX('Call accounts and MMFs'!$E:$E,ROW())/100,--INDEX('Call accounts and MMFs'!$E:$E,ROW())),0)</f>
        <v/>
      </c>
      <c r="O1112">
        <f>IFERROR(--INDEX('Call accounts and MMFs'!$F:$F,ROW()),0)</f>
        <v/>
      </c>
      <c r="P1112">
        <f>IF(ISNUMBER(INDEX('Call accounts and MMFs'!$E:$E,ROW())),1,0)</f>
        <v/>
      </c>
      <c r="Q1112">
        <f>TRIM(SUBSTITUTE(INDEX('Pooled funds'!$B:$B,ROW())&amp;""," "," "))</f>
        <v/>
      </c>
      <c r="R1112">
        <f>IFERROR(--INDEX('Pooled funds'!$C:$C,ROW()),0)</f>
        <v/>
      </c>
      <c r="S1112">
        <f>IFERROR(--INDEX('Pooled funds'!$D:$D,ROW()),0)</f>
        <v/>
      </c>
      <c r="T1112">
        <f>IFERROR(IF(--INDEX('Pooled funds'!$E:$E,ROW())&gt;=1,--INDEX('Pooled funds'!$E:$E,ROW())/100,--INDEX('Pooled funds'!$E:$E,ROW())),0)</f>
        <v/>
      </c>
      <c r="U1112">
        <f>IF(ISNUMBER(INDEX('Pooled funds'!$E:$E,ROW())),1,0)</f>
        <v/>
      </c>
    </row>
    <row r="1113">
      <c r="A1113">
        <f>TRIM(SUBSTITUTE(INDEX('Term investments'!$A:$A,ROW())&amp;""," "," "))</f>
        <v/>
      </c>
      <c r="B1113">
        <f>TRIM(SUBSTITUTE(INDEX('Term investments'!$B:$B,ROW())&amp;""," "," "))</f>
        <v/>
      </c>
      <c r="C1113">
        <f>TRIM(SUBSTITUTE(INDEX('Term investments'!$C:$C,ROW())&amp;""," "," "))</f>
        <v/>
      </c>
      <c r="D1113">
        <f>IFERROR(--INDEX('Term investments'!$D:$D,ROW()),0)</f>
        <v/>
      </c>
      <c r="E1113">
        <f>IFERROR(--INDEX('Term investments'!$E:$E,ROW()),0)</f>
        <v/>
      </c>
      <c r="F1113">
        <f>IFERROR(--INDEX('Term investments'!$F:$F,ROW()),0)</f>
        <v/>
      </c>
      <c r="G1113">
        <f>IFERROR(IF(--INDEX('Term investments'!$G:$G,ROW())&gt;=1,--INDEX('Term investments'!$G:$G,ROW())/100,--INDEX('Term investments'!$G:$G,ROW())),0)</f>
        <v/>
      </c>
      <c r="H1113">
        <f>IFERROR(--INDEX('Term investments'!$H:$H,ROW()),0)</f>
        <v/>
      </c>
      <c r="I1113">
        <f>IF(ISNUMBER(INDEX('Term investments'!$G:$G,ROW())),1,0)</f>
        <v/>
      </c>
      <c r="J1113">
        <f>TRIM(SUBSTITUTE(INDEX('Call accounts and MMFs'!$A:$A,ROW())&amp;""," "," "))</f>
        <v/>
      </c>
      <c r="K1113">
        <f>TRIM(SUBSTITUTE(INDEX('Call accounts and MMFs'!$B:$B,ROW())&amp;""," "," "))</f>
        <v/>
      </c>
      <c r="L1113">
        <f>TRIM(SUBSTITUTE(INDEX('Call accounts and MMFs'!$C:$C,ROW())&amp;""," "," "))</f>
        <v/>
      </c>
      <c r="M1113">
        <f>IFERROR(--INDEX('Call accounts and MMFs'!$D:$D,ROW()),0)</f>
        <v/>
      </c>
      <c r="N1113">
        <f>IFERROR(IF(--INDEX('Call accounts and MMFs'!$E:$E,ROW())&gt;=1,--INDEX('Call accounts and MMFs'!$E:$E,ROW())/100,--INDEX('Call accounts and MMFs'!$E:$E,ROW())),0)</f>
        <v/>
      </c>
      <c r="O1113">
        <f>IFERROR(--INDEX('Call accounts and MMFs'!$F:$F,ROW()),0)</f>
        <v/>
      </c>
      <c r="P1113">
        <f>IF(ISNUMBER(INDEX('Call accounts and MMFs'!$E:$E,ROW())),1,0)</f>
        <v/>
      </c>
      <c r="Q1113">
        <f>TRIM(SUBSTITUTE(INDEX('Pooled funds'!$B:$B,ROW())&amp;""," "," "))</f>
        <v/>
      </c>
      <c r="R1113">
        <f>IFERROR(--INDEX('Pooled funds'!$C:$C,ROW()),0)</f>
        <v/>
      </c>
      <c r="S1113">
        <f>IFERROR(--INDEX('Pooled funds'!$D:$D,ROW()),0)</f>
        <v/>
      </c>
      <c r="T1113">
        <f>IFERROR(IF(--INDEX('Pooled funds'!$E:$E,ROW())&gt;=1,--INDEX('Pooled funds'!$E:$E,ROW())/100,--INDEX('Pooled funds'!$E:$E,ROW())),0)</f>
        <v/>
      </c>
      <c r="U1113">
        <f>IF(ISNUMBER(INDEX('Pooled funds'!$E:$E,ROW())),1,0)</f>
        <v/>
      </c>
    </row>
    <row r="1114">
      <c r="A1114">
        <f>TRIM(SUBSTITUTE(INDEX('Term investments'!$A:$A,ROW())&amp;""," "," "))</f>
        <v/>
      </c>
      <c r="B1114">
        <f>TRIM(SUBSTITUTE(INDEX('Term investments'!$B:$B,ROW())&amp;""," "," "))</f>
        <v/>
      </c>
      <c r="C1114">
        <f>TRIM(SUBSTITUTE(INDEX('Term investments'!$C:$C,ROW())&amp;""," "," "))</f>
        <v/>
      </c>
      <c r="D1114">
        <f>IFERROR(--INDEX('Term investments'!$D:$D,ROW()),0)</f>
        <v/>
      </c>
      <c r="E1114">
        <f>IFERROR(--INDEX('Term investments'!$E:$E,ROW()),0)</f>
        <v/>
      </c>
      <c r="F1114">
        <f>IFERROR(--INDEX('Term investments'!$F:$F,ROW()),0)</f>
        <v/>
      </c>
      <c r="G1114">
        <f>IFERROR(IF(--INDEX('Term investments'!$G:$G,ROW())&gt;=1,--INDEX('Term investments'!$G:$G,ROW())/100,--INDEX('Term investments'!$G:$G,ROW())),0)</f>
        <v/>
      </c>
      <c r="H1114">
        <f>IFERROR(--INDEX('Term investments'!$H:$H,ROW()),0)</f>
        <v/>
      </c>
      <c r="I1114">
        <f>IF(ISNUMBER(INDEX('Term investments'!$G:$G,ROW())),1,0)</f>
        <v/>
      </c>
      <c r="J1114">
        <f>TRIM(SUBSTITUTE(INDEX('Call accounts and MMFs'!$A:$A,ROW())&amp;""," "," "))</f>
        <v/>
      </c>
      <c r="K1114">
        <f>TRIM(SUBSTITUTE(INDEX('Call accounts and MMFs'!$B:$B,ROW())&amp;""," "," "))</f>
        <v/>
      </c>
      <c r="L1114">
        <f>TRIM(SUBSTITUTE(INDEX('Call accounts and MMFs'!$C:$C,ROW())&amp;""," "," "))</f>
        <v/>
      </c>
      <c r="M1114">
        <f>IFERROR(--INDEX('Call accounts and MMFs'!$D:$D,ROW()),0)</f>
        <v/>
      </c>
      <c r="N1114">
        <f>IFERROR(IF(--INDEX('Call accounts and MMFs'!$E:$E,ROW())&gt;=1,--INDEX('Call accounts and MMFs'!$E:$E,ROW())/100,--INDEX('Call accounts and MMFs'!$E:$E,ROW())),0)</f>
        <v/>
      </c>
      <c r="O1114">
        <f>IFERROR(--INDEX('Call accounts and MMFs'!$F:$F,ROW()),0)</f>
        <v/>
      </c>
      <c r="P1114">
        <f>IF(ISNUMBER(INDEX('Call accounts and MMFs'!$E:$E,ROW())),1,0)</f>
        <v/>
      </c>
      <c r="Q1114">
        <f>TRIM(SUBSTITUTE(INDEX('Pooled funds'!$B:$B,ROW())&amp;""," "," "))</f>
        <v/>
      </c>
      <c r="R1114">
        <f>IFERROR(--INDEX('Pooled funds'!$C:$C,ROW()),0)</f>
        <v/>
      </c>
      <c r="S1114">
        <f>IFERROR(--INDEX('Pooled funds'!$D:$D,ROW()),0)</f>
        <v/>
      </c>
      <c r="T1114">
        <f>IFERROR(IF(--INDEX('Pooled funds'!$E:$E,ROW())&gt;=1,--INDEX('Pooled funds'!$E:$E,ROW())/100,--INDEX('Pooled funds'!$E:$E,ROW())),0)</f>
        <v/>
      </c>
      <c r="U1114">
        <f>IF(ISNUMBER(INDEX('Pooled funds'!$E:$E,ROW())),1,0)</f>
        <v/>
      </c>
    </row>
    <row r="1115">
      <c r="A1115">
        <f>TRIM(SUBSTITUTE(INDEX('Term investments'!$A:$A,ROW())&amp;""," "," "))</f>
        <v/>
      </c>
      <c r="B1115">
        <f>TRIM(SUBSTITUTE(INDEX('Term investments'!$B:$B,ROW())&amp;""," "," "))</f>
        <v/>
      </c>
      <c r="C1115">
        <f>TRIM(SUBSTITUTE(INDEX('Term investments'!$C:$C,ROW())&amp;""," "," "))</f>
        <v/>
      </c>
      <c r="D1115">
        <f>IFERROR(--INDEX('Term investments'!$D:$D,ROW()),0)</f>
        <v/>
      </c>
      <c r="E1115">
        <f>IFERROR(--INDEX('Term investments'!$E:$E,ROW()),0)</f>
        <v/>
      </c>
      <c r="F1115">
        <f>IFERROR(--INDEX('Term investments'!$F:$F,ROW()),0)</f>
        <v/>
      </c>
      <c r="G1115">
        <f>IFERROR(IF(--INDEX('Term investments'!$G:$G,ROW())&gt;=1,--INDEX('Term investments'!$G:$G,ROW())/100,--INDEX('Term investments'!$G:$G,ROW())),0)</f>
        <v/>
      </c>
      <c r="H1115">
        <f>IFERROR(--INDEX('Term investments'!$H:$H,ROW()),0)</f>
        <v/>
      </c>
      <c r="I1115">
        <f>IF(ISNUMBER(INDEX('Term investments'!$G:$G,ROW())),1,0)</f>
        <v/>
      </c>
      <c r="J1115">
        <f>TRIM(SUBSTITUTE(INDEX('Call accounts and MMFs'!$A:$A,ROW())&amp;""," "," "))</f>
        <v/>
      </c>
      <c r="K1115">
        <f>TRIM(SUBSTITUTE(INDEX('Call accounts and MMFs'!$B:$B,ROW())&amp;""," "," "))</f>
        <v/>
      </c>
      <c r="L1115">
        <f>TRIM(SUBSTITUTE(INDEX('Call accounts and MMFs'!$C:$C,ROW())&amp;""," "," "))</f>
        <v/>
      </c>
      <c r="M1115">
        <f>IFERROR(--INDEX('Call accounts and MMFs'!$D:$D,ROW()),0)</f>
        <v/>
      </c>
      <c r="N1115">
        <f>IFERROR(IF(--INDEX('Call accounts and MMFs'!$E:$E,ROW())&gt;=1,--INDEX('Call accounts and MMFs'!$E:$E,ROW())/100,--INDEX('Call accounts and MMFs'!$E:$E,ROW())),0)</f>
        <v/>
      </c>
      <c r="O1115">
        <f>IFERROR(--INDEX('Call accounts and MMFs'!$F:$F,ROW()),0)</f>
        <v/>
      </c>
      <c r="P1115">
        <f>IF(ISNUMBER(INDEX('Call accounts and MMFs'!$E:$E,ROW())),1,0)</f>
        <v/>
      </c>
      <c r="Q1115">
        <f>TRIM(SUBSTITUTE(INDEX('Pooled funds'!$B:$B,ROW())&amp;""," "," "))</f>
        <v/>
      </c>
      <c r="R1115">
        <f>IFERROR(--INDEX('Pooled funds'!$C:$C,ROW()),0)</f>
        <v/>
      </c>
      <c r="S1115">
        <f>IFERROR(--INDEX('Pooled funds'!$D:$D,ROW()),0)</f>
        <v/>
      </c>
      <c r="T1115">
        <f>IFERROR(IF(--INDEX('Pooled funds'!$E:$E,ROW())&gt;=1,--INDEX('Pooled funds'!$E:$E,ROW())/100,--INDEX('Pooled funds'!$E:$E,ROW())),0)</f>
        <v/>
      </c>
      <c r="U1115">
        <f>IF(ISNUMBER(INDEX('Pooled funds'!$E:$E,ROW())),1,0)</f>
        <v/>
      </c>
    </row>
    <row r="1116">
      <c r="A1116">
        <f>TRIM(SUBSTITUTE(INDEX('Term investments'!$A:$A,ROW())&amp;""," "," "))</f>
        <v/>
      </c>
      <c r="B1116">
        <f>TRIM(SUBSTITUTE(INDEX('Term investments'!$B:$B,ROW())&amp;""," "," "))</f>
        <v/>
      </c>
      <c r="C1116">
        <f>TRIM(SUBSTITUTE(INDEX('Term investments'!$C:$C,ROW())&amp;""," "," "))</f>
        <v/>
      </c>
      <c r="D1116">
        <f>IFERROR(--INDEX('Term investments'!$D:$D,ROW()),0)</f>
        <v/>
      </c>
      <c r="E1116">
        <f>IFERROR(--INDEX('Term investments'!$E:$E,ROW()),0)</f>
        <v/>
      </c>
      <c r="F1116">
        <f>IFERROR(--INDEX('Term investments'!$F:$F,ROW()),0)</f>
        <v/>
      </c>
      <c r="G1116">
        <f>IFERROR(IF(--INDEX('Term investments'!$G:$G,ROW())&gt;=1,--INDEX('Term investments'!$G:$G,ROW())/100,--INDEX('Term investments'!$G:$G,ROW())),0)</f>
        <v/>
      </c>
      <c r="H1116">
        <f>IFERROR(--INDEX('Term investments'!$H:$H,ROW()),0)</f>
        <v/>
      </c>
      <c r="I1116">
        <f>IF(ISNUMBER(INDEX('Term investments'!$G:$G,ROW())),1,0)</f>
        <v/>
      </c>
      <c r="J1116">
        <f>TRIM(SUBSTITUTE(INDEX('Call accounts and MMFs'!$A:$A,ROW())&amp;""," "," "))</f>
        <v/>
      </c>
      <c r="K1116">
        <f>TRIM(SUBSTITUTE(INDEX('Call accounts and MMFs'!$B:$B,ROW())&amp;""," "," "))</f>
        <v/>
      </c>
      <c r="L1116">
        <f>TRIM(SUBSTITUTE(INDEX('Call accounts and MMFs'!$C:$C,ROW())&amp;""," "," "))</f>
        <v/>
      </c>
      <c r="M1116">
        <f>IFERROR(--INDEX('Call accounts and MMFs'!$D:$D,ROW()),0)</f>
        <v/>
      </c>
      <c r="N1116">
        <f>IFERROR(IF(--INDEX('Call accounts and MMFs'!$E:$E,ROW())&gt;=1,--INDEX('Call accounts and MMFs'!$E:$E,ROW())/100,--INDEX('Call accounts and MMFs'!$E:$E,ROW())),0)</f>
        <v/>
      </c>
      <c r="O1116">
        <f>IFERROR(--INDEX('Call accounts and MMFs'!$F:$F,ROW()),0)</f>
        <v/>
      </c>
      <c r="P1116">
        <f>IF(ISNUMBER(INDEX('Call accounts and MMFs'!$E:$E,ROW())),1,0)</f>
        <v/>
      </c>
      <c r="Q1116">
        <f>TRIM(SUBSTITUTE(INDEX('Pooled funds'!$B:$B,ROW())&amp;""," "," "))</f>
        <v/>
      </c>
      <c r="R1116">
        <f>IFERROR(--INDEX('Pooled funds'!$C:$C,ROW()),0)</f>
        <v/>
      </c>
      <c r="S1116">
        <f>IFERROR(--INDEX('Pooled funds'!$D:$D,ROW()),0)</f>
        <v/>
      </c>
      <c r="T1116">
        <f>IFERROR(IF(--INDEX('Pooled funds'!$E:$E,ROW())&gt;=1,--INDEX('Pooled funds'!$E:$E,ROW())/100,--INDEX('Pooled funds'!$E:$E,ROW())),0)</f>
        <v/>
      </c>
      <c r="U1116">
        <f>IF(ISNUMBER(INDEX('Pooled funds'!$E:$E,ROW())),1,0)</f>
        <v/>
      </c>
    </row>
    <row r="1117">
      <c r="A1117">
        <f>TRIM(SUBSTITUTE(INDEX('Term investments'!$A:$A,ROW())&amp;""," "," "))</f>
        <v/>
      </c>
      <c r="B1117">
        <f>TRIM(SUBSTITUTE(INDEX('Term investments'!$B:$B,ROW())&amp;""," "," "))</f>
        <v/>
      </c>
      <c r="C1117">
        <f>TRIM(SUBSTITUTE(INDEX('Term investments'!$C:$C,ROW())&amp;""," "," "))</f>
        <v/>
      </c>
      <c r="D1117">
        <f>IFERROR(--INDEX('Term investments'!$D:$D,ROW()),0)</f>
        <v/>
      </c>
      <c r="E1117">
        <f>IFERROR(--INDEX('Term investments'!$E:$E,ROW()),0)</f>
        <v/>
      </c>
      <c r="F1117">
        <f>IFERROR(--INDEX('Term investments'!$F:$F,ROW()),0)</f>
        <v/>
      </c>
      <c r="G1117">
        <f>IFERROR(IF(--INDEX('Term investments'!$G:$G,ROW())&gt;=1,--INDEX('Term investments'!$G:$G,ROW())/100,--INDEX('Term investments'!$G:$G,ROW())),0)</f>
        <v/>
      </c>
      <c r="H1117">
        <f>IFERROR(--INDEX('Term investments'!$H:$H,ROW()),0)</f>
        <v/>
      </c>
      <c r="I1117">
        <f>IF(ISNUMBER(INDEX('Term investments'!$G:$G,ROW())),1,0)</f>
        <v/>
      </c>
      <c r="J1117">
        <f>TRIM(SUBSTITUTE(INDEX('Call accounts and MMFs'!$A:$A,ROW())&amp;""," "," "))</f>
        <v/>
      </c>
      <c r="K1117">
        <f>TRIM(SUBSTITUTE(INDEX('Call accounts and MMFs'!$B:$B,ROW())&amp;""," "," "))</f>
        <v/>
      </c>
      <c r="L1117">
        <f>TRIM(SUBSTITUTE(INDEX('Call accounts and MMFs'!$C:$C,ROW())&amp;""," "," "))</f>
        <v/>
      </c>
      <c r="M1117">
        <f>IFERROR(--INDEX('Call accounts and MMFs'!$D:$D,ROW()),0)</f>
        <v/>
      </c>
      <c r="N1117">
        <f>IFERROR(IF(--INDEX('Call accounts and MMFs'!$E:$E,ROW())&gt;=1,--INDEX('Call accounts and MMFs'!$E:$E,ROW())/100,--INDEX('Call accounts and MMFs'!$E:$E,ROW())),0)</f>
        <v/>
      </c>
      <c r="O1117">
        <f>IFERROR(--INDEX('Call accounts and MMFs'!$F:$F,ROW()),0)</f>
        <v/>
      </c>
      <c r="P1117">
        <f>IF(ISNUMBER(INDEX('Call accounts and MMFs'!$E:$E,ROW())),1,0)</f>
        <v/>
      </c>
      <c r="Q1117">
        <f>TRIM(SUBSTITUTE(INDEX('Pooled funds'!$B:$B,ROW())&amp;""," "," "))</f>
        <v/>
      </c>
      <c r="R1117">
        <f>IFERROR(--INDEX('Pooled funds'!$C:$C,ROW()),0)</f>
        <v/>
      </c>
      <c r="S1117">
        <f>IFERROR(--INDEX('Pooled funds'!$D:$D,ROW()),0)</f>
        <v/>
      </c>
      <c r="T1117">
        <f>IFERROR(IF(--INDEX('Pooled funds'!$E:$E,ROW())&gt;=1,--INDEX('Pooled funds'!$E:$E,ROW())/100,--INDEX('Pooled funds'!$E:$E,ROW())),0)</f>
        <v/>
      </c>
      <c r="U1117">
        <f>IF(ISNUMBER(INDEX('Pooled funds'!$E:$E,ROW())),1,0)</f>
        <v/>
      </c>
    </row>
    <row r="1118">
      <c r="A1118">
        <f>TRIM(SUBSTITUTE(INDEX('Term investments'!$A:$A,ROW())&amp;""," "," "))</f>
        <v/>
      </c>
      <c r="B1118">
        <f>TRIM(SUBSTITUTE(INDEX('Term investments'!$B:$B,ROW())&amp;""," "," "))</f>
        <v/>
      </c>
      <c r="C1118">
        <f>TRIM(SUBSTITUTE(INDEX('Term investments'!$C:$C,ROW())&amp;""," "," "))</f>
        <v/>
      </c>
      <c r="D1118">
        <f>IFERROR(--INDEX('Term investments'!$D:$D,ROW()),0)</f>
        <v/>
      </c>
      <c r="E1118">
        <f>IFERROR(--INDEX('Term investments'!$E:$E,ROW()),0)</f>
        <v/>
      </c>
      <c r="F1118">
        <f>IFERROR(--INDEX('Term investments'!$F:$F,ROW()),0)</f>
        <v/>
      </c>
      <c r="G1118">
        <f>IFERROR(IF(--INDEX('Term investments'!$G:$G,ROW())&gt;=1,--INDEX('Term investments'!$G:$G,ROW())/100,--INDEX('Term investments'!$G:$G,ROW())),0)</f>
        <v/>
      </c>
      <c r="H1118">
        <f>IFERROR(--INDEX('Term investments'!$H:$H,ROW()),0)</f>
        <v/>
      </c>
      <c r="I1118">
        <f>IF(ISNUMBER(INDEX('Term investments'!$G:$G,ROW())),1,0)</f>
        <v/>
      </c>
      <c r="J1118">
        <f>TRIM(SUBSTITUTE(INDEX('Call accounts and MMFs'!$A:$A,ROW())&amp;""," "," "))</f>
        <v/>
      </c>
      <c r="K1118">
        <f>TRIM(SUBSTITUTE(INDEX('Call accounts and MMFs'!$B:$B,ROW())&amp;""," "," "))</f>
        <v/>
      </c>
      <c r="L1118">
        <f>TRIM(SUBSTITUTE(INDEX('Call accounts and MMFs'!$C:$C,ROW())&amp;""," "," "))</f>
        <v/>
      </c>
      <c r="M1118">
        <f>IFERROR(--INDEX('Call accounts and MMFs'!$D:$D,ROW()),0)</f>
        <v/>
      </c>
      <c r="N1118">
        <f>IFERROR(IF(--INDEX('Call accounts and MMFs'!$E:$E,ROW())&gt;=1,--INDEX('Call accounts and MMFs'!$E:$E,ROW())/100,--INDEX('Call accounts and MMFs'!$E:$E,ROW())),0)</f>
        <v/>
      </c>
      <c r="O1118">
        <f>IFERROR(--INDEX('Call accounts and MMFs'!$F:$F,ROW()),0)</f>
        <v/>
      </c>
      <c r="P1118">
        <f>IF(ISNUMBER(INDEX('Call accounts and MMFs'!$E:$E,ROW())),1,0)</f>
        <v/>
      </c>
      <c r="Q1118">
        <f>TRIM(SUBSTITUTE(INDEX('Pooled funds'!$B:$B,ROW())&amp;""," "," "))</f>
        <v/>
      </c>
      <c r="R1118">
        <f>IFERROR(--INDEX('Pooled funds'!$C:$C,ROW()),0)</f>
        <v/>
      </c>
      <c r="S1118">
        <f>IFERROR(--INDEX('Pooled funds'!$D:$D,ROW()),0)</f>
        <v/>
      </c>
      <c r="T1118">
        <f>IFERROR(IF(--INDEX('Pooled funds'!$E:$E,ROW())&gt;=1,--INDEX('Pooled funds'!$E:$E,ROW())/100,--INDEX('Pooled funds'!$E:$E,ROW())),0)</f>
        <v/>
      </c>
      <c r="U1118">
        <f>IF(ISNUMBER(INDEX('Pooled funds'!$E:$E,ROW())),1,0)</f>
        <v/>
      </c>
    </row>
    <row r="1119">
      <c r="A1119">
        <f>TRIM(SUBSTITUTE(INDEX('Term investments'!$A:$A,ROW())&amp;""," "," "))</f>
        <v/>
      </c>
      <c r="B1119">
        <f>TRIM(SUBSTITUTE(INDEX('Term investments'!$B:$B,ROW())&amp;""," "," "))</f>
        <v/>
      </c>
      <c r="C1119">
        <f>TRIM(SUBSTITUTE(INDEX('Term investments'!$C:$C,ROW())&amp;""," "," "))</f>
        <v/>
      </c>
      <c r="D1119">
        <f>IFERROR(--INDEX('Term investments'!$D:$D,ROW()),0)</f>
        <v/>
      </c>
      <c r="E1119">
        <f>IFERROR(--INDEX('Term investments'!$E:$E,ROW()),0)</f>
        <v/>
      </c>
      <c r="F1119">
        <f>IFERROR(--INDEX('Term investments'!$F:$F,ROW()),0)</f>
        <v/>
      </c>
      <c r="G1119">
        <f>IFERROR(IF(--INDEX('Term investments'!$G:$G,ROW())&gt;=1,--INDEX('Term investments'!$G:$G,ROW())/100,--INDEX('Term investments'!$G:$G,ROW())),0)</f>
        <v/>
      </c>
      <c r="H1119">
        <f>IFERROR(--INDEX('Term investments'!$H:$H,ROW()),0)</f>
        <v/>
      </c>
      <c r="I1119">
        <f>IF(ISNUMBER(INDEX('Term investments'!$G:$G,ROW())),1,0)</f>
        <v/>
      </c>
      <c r="J1119">
        <f>TRIM(SUBSTITUTE(INDEX('Call accounts and MMFs'!$A:$A,ROW())&amp;""," "," "))</f>
        <v/>
      </c>
      <c r="K1119">
        <f>TRIM(SUBSTITUTE(INDEX('Call accounts and MMFs'!$B:$B,ROW())&amp;""," "," "))</f>
        <v/>
      </c>
      <c r="L1119">
        <f>TRIM(SUBSTITUTE(INDEX('Call accounts and MMFs'!$C:$C,ROW())&amp;""," "," "))</f>
        <v/>
      </c>
      <c r="M1119">
        <f>IFERROR(--INDEX('Call accounts and MMFs'!$D:$D,ROW()),0)</f>
        <v/>
      </c>
      <c r="N1119">
        <f>IFERROR(IF(--INDEX('Call accounts and MMFs'!$E:$E,ROW())&gt;=1,--INDEX('Call accounts and MMFs'!$E:$E,ROW())/100,--INDEX('Call accounts and MMFs'!$E:$E,ROW())),0)</f>
        <v/>
      </c>
      <c r="O1119">
        <f>IFERROR(--INDEX('Call accounts and MMFs'!$F:$F,ROW()),0)</f>
        <v/>
      </c>
      <c r="P1119">
        <f>IF(ISNUMBER(INDEX('Call accounts and MMFs'!$E:$E,ROW())),1,0)</f>
        <v/>
      </c>
      <c r="Q1119">
        <f>TRIM(SUBSTITUTE(INDEX('Pooled funds'!$B:$B,ROW())&amp;""," "," "))</f>
        <v/>
      </c>
      <c r="R1119">
        <f>IFERROR(--INDEX('Pooled funds'!$C:$C,ROW()),0)</f>
        <v/>
      </c>
      <c r="S1119">
        <f>IFERROR(--INDEX('Pooled funds'!$D:$D,ROW()),0)</f>
        <v/>
      </c>
      <c r="T1119">
        <f>IFERROR(IF(--INDEX('Pooled funds'!$E:$E,ROW())&gt;=1,--INDEX('Pooled funds'!$E:$E,ROW())/100,--INDEX('Pooled funds'!$E:$E,ROW())),0)</f>
        <v/>
      </c>
      <c r="U1119">
        <f>IF(ISNUMBER(INDEX('Pooled funds'!$E:$E,ROW())),1,0)</f>
        <v/>
      </c>
    </row>
    <row r="1120">
      <c r="A1120">
        <f>TRIM(SUBSTITUTE(INDEX('Term investments'!$A:$A,ROW())&amp;""," "," "))</f>
        <v/>
      </c>
      <c r="B1120">
        <f>TRIM(SUBSTITUTE(INDEX('Term investments'!$B:$B,ROW())&amp;""," "," "))</f>
        <v/>
      </c>
      <c r="C1120">
        <f>TRIM(SUBSTITUTE(INDEX('Term investments'!$C:$C,ROW())&amp;""," "," "))</f>
        <v/>
      </c>
      <c r="D1120">
        <f>IFERROR(--INDEX('Term investments'!$D:$D,ROW()),0)</f>
        <v/>
      </c>
      <c r="E1120">
        <f>IFERROR(--INDEX('Term investments'!$E:$E,ROW()),0)</f>
        <v/>
      </c>
      <c r="F1120">
        <f>IFERROR(--INDEX('Term investments'!$F:$F,ROW()),0)</f>
        <v/>
      </c>
      <c r="G1120">
        <f>IFERROR(IF(--INDEX('Term investments'!$G:$G,ROW())&gt;=1,--INDEX('Term investments'!$G:$G,ROW())/100,--INDEX('Term investments'!$G:$G,ROW())),0)</f>
        <v/>
      </c>
      <c r="H1120">
        <f>IFERROR(--INDEX('Term investments'!$H:$H,ROW()),0)</f>
        <v/>
      </c>
      <c r="I1120">
        <f>IF(ISNUMBER(INDEX('Term investments'!$G:$G,ROW())),1,0)</f>
        <v/>
      </c>
      <c r="J1120">
        <f>TRIM(SUBSTITUTE(INDEX('Call accounts and MMFs'!$A:$A,ROW())&amp;""," "," "))</f>
        <v/>
      </c>
      <c r="K1120">
        <f>TRIM(SUBSTITUTE(INDEX('Call accounts and MMFs'!$B:$B,ROW())&amp;""," "," "))</f>
        <v/>
      </c>
      <c r="L1120">
        <f>TRIM(SUBSTITUTE(INDEX('Call accounts and MMFs'!$C:$C,ROW())&amp;""," "," "))</f>
        <v/>
      </c>
      <c r="M1120">
        <f>IFERROR(--INDEX('Call accounts and MMFs'!$D:$D,ROW()),0)</f>
        <v/>
      </c>
      <c r="N1120">
        <f>IFERROR(IF(--INDEX('Call accounts and MMFs'!$E:$E,ROW())&gt;=1,--INDEX('Call accounts and MMFs'!$E:$E,ROW())/100,--INDEX('Call accounts and MMFs'!$E:$E,ROW())),0)</f>
        <v/>
      </c>
      <c r="O1120">
        <f>IFERROR(--INDEX('Call accounts and MMFs'!$F:$F,ROW()),0)</f>
        <v/>
      </c>
      <c r="P1120">
        <f>IF(ISNUMBER(INDEX('Call accounts and MMFs'!$E:$E,ROW())),1,0)</f>
        <v/>
      </c>
      <c r="Q1120">
        <f>TRIM(SUBSTITUTE(INDEX('Pooled funds'!$B:$B,ROW())&amp;""," "," "))</f>
        <v/>
      </c>
      <c r="R1120">
        <f>IFERROR(--INDEX('Pooled funds'!$C:$C,ROW()),0)</f>
        <v/>
      </c>
      <c r="S1120">
        <f>IFERROR(--INDEX('Pooled funds'!$D:$D,ROW()),0)</f>
        <v/>
      </c>
      <c r="T1120">
        <f>IFERROR(IF(--INDEX('Pooled funds'!$E:$E,ROW())&gt;=1,--INDEX('Pooled funds'!$E:$E,ROW())/100,--INDEX('Pooled funds'!$E:$E,ROW())),0)</f>
        <v/>
      </c>
      <c r="U1120">
        <f>IF(ISNUMBER(INDEX('Pooled funds'!$E:$E,ROW())),1,0)</f>
        <v/>
      </c>
    </row>
    <row r="1121">
      <c r="A1121">
        <f>TRIM(SUBSTITUTE(INDEX('Term investments'!$A:$A,ROW())&amp;""," "," "))</f>
        <v/>
      </c>
      <c r="B1121">
        <f>TRIM(SUBSTITUTE(INDEX('Term investments'!$B:$B,ROW())&amp;""," "," "))</f>
        <v/>
      </c>
      <c r="C1121">
        <f>TRIM(SUBSTITUTE(INDEX('Term investments'!$C:$C,ROW())&amp;""," "," "))</f>
        <v/>
      </c>
      <c r="D1121">
        <f>IFERROR(--INDEX('Term investments'!$D:$D,ROW()),0)</f>
        <v/>
      </c>
      <c r="E1121">
        <f>IFERROR(--INDEX('Term investments'!$E:$E,ROW()),0)</f>
        <v/>
      </c>
      <c r="F1121">
        <f>IFERROR(--INDEX('Term investments'!$F:$F,ROW()),0)</f>
        <v/>
      </c>
      <c r="G1121">
        <f>IFERROR(IF(--INDEX('Term investments'!$G:$G,ROW())&gt;=1,--INDEX('Term investments'!$G:$G,ROW())/100,--INDEX('Term investments'!$G:$G,ROW())),0)</f>
        <v/>
      </c>
      <c r="H1121">
        <f>IFERROR(--INDEX('Term investments'!$H:$H,ROW()),0)</f>
        <v/>
      </c>
      <c r="I1121">
        <f>IF(ISNUMBER(INDEX('Term investments'!$G:$G,ROW())),1,0)</f>
        <v/>
      </c>
      <c r="J1121">
        <f>TRIM(SUBSTITUTE(INDEX('Call accounts and MMFs'!$A:$A,ROW())&amp;""," "," "))</f>
        <v/>
      </c>
      <c r="K1121">
        <f>TRIM(SUBSTITUTE(INDEX('Call accounts and MMFs'!$B:$B,ROW())&amp;""," "," "))</f>
        <v/>
      </c>
      <c r="L1121">
        <f>TRIM(SUBSTITUTE(INDEX('Call accounts and MMFs'!$C:$C,ROW())&amp;""," "," "))</f>
        <v/>
      </c>
      <c r="M1121">
        <f>IFERROR(--INDEX('Call accounts and MMFs'!$D:$D,ROW()),0)</f>
        <v/>
      </c>
      <c r="N1121">
        <f>IFERROR(IF(--INDEX('Call accounts and MMFs'!$E:$E,ROW())&gt;=1,--INDEX('Call accounts and MMFs'!$E:$E,ROW())/100,--INDEX('Call accounts and MMFs'!$E:$E,ROW())),0)</f>
        <v/>
      </c>
      <c r="O1121">
        <f>IFERROR(--INDEX('Call accounts and MMFs'!$F:$F,ROW()),0)</f>
        <v/>
      </c>
      <c r="P1121">
        <f>IF(ISNUMBER(INDEX('Call accounts and MMFs'!$E:$E,ROW())),1,0)</f>
        <v/>
      </c>
      <c r="Q1121">
        <f>TRIM(SUBSTITUTE(INDEX('Pooled funds'!$B:$B,ROW())&amp;""," "," "))</f>
        <v/>
      </c>
      <c r="R1121">
        <f>IFERROR(--INDEX('Pooled funds'!$C:$C,ROW()),0)</f>
        <v/>
      </c>
      <c r="S1121">
        <f>IFERROR(--INDEX('Pooled funds'!$D:$D,ROW()),0)</f>
        <v/>
      </c>
      <c r="T1121">
        <f>IFERROR(IF(--INDEX('Pooled funds'!$E:$E,ROW())&gt;=1,--INDEX('Pooled funds'!$E:$E,ROW())/100,--INDEX('Pooled funds'!$E:$E,ROW())),0)</f>
        <v/>
      </c>
      <c r="U1121">
        <f>IF(ISNUMBER(INDEX('Pooled funds'!$E:$E,ROW())),1,0)</f>
        <v/>
      </c>
    </row>
    <row r="1122">
      <c r="A1122">
        <f>TRIM(SUBSTITUTE(INDEX('Term investments'!$A:$A,ROW())&amp;""," "," "))</f>
        <v/>
      </c>
      <c r="B1122">
        <f>TRIM(SUBSTITUTE(INDEX('Term investments'!$B:$B,ROW())&amp;""," "," "))</f>
        <v/>
      </c>
      <c r="C1122">
        <f>TRIM(SUBSTITUTE(INDEX('Term investments'!$C:$C,ROW())&amp;""," "," "))</f>
        <v/>
      </c>
      <c r="D1122">
        <f>IFERROR(--INDEX('Term investments'!$D:$D,ROW()),0)</f>
        <v/>
      </c>
      <c r="E1122">
        <f>IFERROR(--INDEX('Term investments'!$E:$E,ROW()),0)</f>
        <v/>
      </c>
      <c r="F1122">
        <f>IFERROR(--INDEX('Term investments'!$F:$F,ROW()),0)</f>
        <v/>
      </c>
      <c r="G1122">
        <f>IFERROR(IF(--INDEX('Term investments'!$G:$G,ROW())&gt;=1,--INDEX('Term investments'!$G:$G,ROW())/100,--INDEX('Term investments'!$G:$G,ROW())),0)</f>
        <v/>
      </c>
      <c r="H1122">
        <f>IFERROR(--INDEX('Term investments'!$H:$H,ROW()),0)</f>
        <v/>
      </c>
      <c r="I1122">
        <f>IF(ISNUMBER(INDEX('Term investments'!$G:$G,ROW())),1,0)</f>
        <v/>
      </c>
      <c r="J1122">
        <f>TRIM(SUBSTITUTE(INDEX('Call accounts and MMFs'!$A:$A,ROW())&amp;""," "," "))</f>
        <v/>
      </c>
      <c r="K1122">
        <f>TRIM(SUBSTITUTE(INDEX('Call accounts and MMFs'!$B:$B,ROW())&amp;""," "," "))</f>
        <v/>
      </c>
      <c r="L1122">
        <f>TRIM(SUBSTITUTE(INDEX('Call accounts and MMFs'!$C:$C,ROW())&amp;""," "," "))</f>
        <v/>
      </c>
      <c r="M1122">
        <f>IFERROR(--INDEX('Call accounts and MMFs'!$D:$D,ROW()),0)</f>
        <v/>
      </c>
      <c r="N1122">
        <f>IFERROR(IF(--INDEX('Call accounts and MMFs'!$E:$E,ROW())&gt;=1,--INDEX('Call accounts and MMFs'!$E:$E,ROW())/100,--INDEX('Call accounts and MMFs'!$E:$E,ROW())),0)</f>
        <v/>
      </c>
      <c r="O1122">
        <f>IFERROR(--INDEX('Call accounts and MMFs'!$F:$F,ROW()),0)</f>
        <v/>
      </c>
      <c r="P1122">
        <f>IF(ISNUMBER(INDEX('Call accounts and MMFs'!$E:$E,ROW())),1,0)</f>
        <v/>
      </c>
      <c r="Q1122">
        <f>TRIM(SUBSTITUTE(INDEX('Pooled funds'!$B:$B,ROW())&amp;""," "," "))</f>
        <v/>
      </c>
      <c r="R1122">
        <f>IFERROR(--INDEX('Pooled funds'!$C:$C,ROW()),0)</f>
        <v/>
      </c>
      <c r="S1122">
        <f>IFERROR(--INDEX('Pooled funds'!$D:$D,ROW()),0)</f>
        <v/>
      </c>
      <c r="T1122">
        <f>IFERROR(IF(--INDEX('Pooled funds'!$E:$E,ROW())&gt;=1,--INDEX('Pooled funds'!$E:$E,ROW())/100,--INDEX('Pooled funds'!$E:$E,ROW())),0)</f>
        <v/>
      </c>
      <c r="U1122">
        <f>IF(ISNUMBER(INDEX('Pooled funds'!$E:$E,ROW())),1,0)</f>
        <v/>
      </c>
    </row>
    <row r="1123">
      <c r="A1123">
        <f>TRIM(SUBSTITUTE(INDEX('Term investments'!$A:$A,ROW())&amp;""," "," "))</f>
        <v/>
      </c>
      <c r="B1123">
        <f>TRIM(SUBSTITUTE(INDEX('Term investments'!$B:$B,ROW())&amp;""," "," "))</f>
        <v/>
      </c>
      <c r="C1123">
        <f>TRIM(SUBSTITUTE(INDEX('Term investments'!$C:$C,ROW())&amp;""," "," "))</f>
        <v/>
      </c>
      <c r="D1123">
        <f>IFERROR(--INDEX('Term investments'!$D:$D,ROW()),0)</f>
        <v/>
      </c>
      <c r="E1123">
        <f>IFERROR(--INDEX('Term investments'!$E:$E,ROW()),0)</f>
        <v/>
      </c>
      <c r="F1123">
        <f>IFERROR(--INDEX('Term investments'!$F:$F,ROW()),0)</f>
        <v/>
      </c>
      <c r="G1123">
        <f>IFERROR(IF(--INDEX('Term investments'!$G:$G,ROW())&gt;=1,--INDEX('Term investments'!$G:$G,ROW())/100,--INDEX('Term investments'!$G:$G,ROW())),0)</f>
        <v/>
      </c>
      <c r="H1123">
        <f>IFERROR(--INDEX('Term investments'!$H:$H,ROW()),0)</f>
        <v/>
      </c>
      <c r="I1123">
        <f>IF(ISNUMBER(INDEX('Term investments'!$G:$G,ROW())),1,0)</f>
        <v/>
      </c>
      <c r="J1123">
        <f>TRIM(SUBSTITUTE(INDEX('Call accounts and MMFs'!$A:$A,ROW())&amp;""," "," "))</f>
        <v/>
      </c>
      <c r="K1123">
        <f>TRIM(SUBSTITUTE(INDEX('Call accounts and MMFs'!$B:$B,ROW())&amp;""," "," "))</f>
        <v/>
      </c>
      <c r="L1123">
        <f>TRIM(SUBSTITUTE(INDEX('Call accounts and MMFs'!$C:$C,ROW())&amp;""," "," "))</f>
        <v/>
      </c>
      <c r="M1123">
        <f>IFERROR(--INDEX('Call accounts and MMFs'!$D:$D,ROW()),0)</f>
        <v/>
      </c>
      <c r="N1123">
        <f>IFERROR(IF(--INDEX('Call accounts and MMFs'!$E:$E,ROW())&gt;=1,--INDEX('Call accounts and MMFs'!$E:$E,ROW())/100,--INDEX('Call accounts and MMFs'!$E:$E,ROW())),0)</f>
        <v/>
      </c>
      <c r="O1123">
        <f>IFERROR(--INDEX('Call accounts and MMFs'!$F:$F,ROW()),0)</f>
        <v/>
      </c>
      <c r="P1123">
        <f>IF(ISNUMBER(INDEX('Call accounts and MMFs'!$E:$E,ROW())),1,0)</f>
        <v/>
      </c>
      <c r="Q1123">
        <f>TRIM(SUBSTITUTE(INDEX('Pooled funds'!$B:$B,ROW())&amp;""," "," "))</f>
        <v/>
      </c>
      <c r="R1123">
        <f>IFERROR(--INDEX('Pooled funds'!$C:$C,ROW()),0)</f>
        <v/>
      </c>
      <c r="S1123">
        <f>IFERROR(--INDEX('Pooled funds'!$D:$D,ROW()),0)</f>
        <v/>
      </c>
      <c r="T1123">
        <f>IFERROR(IF(--INDEX('Pooled funds'!$E:$E,ROW())&gt;=1,--INDEX('Pooled funds'!$E:$E,ROW())/100,--INDEX('Pooled funds'!$E:$E,ROW())),0)</f>
        <v/>
      </c>
      <c r="U1123">
        <f>IF(ISNUMBER(INDEX('Pooled funds'!$E:$E,ROW())),1,0)</f>
        <v/>
      </c>
    </row>
    <row r="1124">
      <c r="A1124">
        <f>TRIM(SUBSTITUTE(INDEX('Term investments'!$A:$A,ROW())&amp;""," "," "))</f>
        <v/>
      </c>
      <c r="B1124">
        <f>TRIM(SUBSTITUTE(INDEX('Term investments'!$B:$B,ROW())&amp;""," "," "))</f>
        <v/>
      </c>
      <c r="C1124">
        <f>TRIM(SUBSTITUTE(INDEX('Term investments'!$C:$C,ROW())&amp;""," "," "))</f>
        <v/>
      </c>
      <c r="D1124">
        <f>IFERROR(--INDEX('Term investments'!$D:$D,ROW()),0)</f>
        <v/>
      </c>
      <c r="E1124">
        <f>IFERROR(--INDEX('Term investments'!$E:$E,ROW()),0)</f>
        <v/>
      </c>
      <c r="F1124">
        <f>IFERROR(--INDEX('Term investments'!$F:$F,ROW()),0)</f>
        <v/>
      </c>
      <c r="G1124">
        <f>IFERROR(IF(--INDEX('Term investments'!$G:$G,ROW())&gt;=1,--INDEX('Term investments'!$G:$G,ROW())/100,--INDEX('Term investments'!$G:$G,ROW())),0)</f>
        <v/>
      </c>
      <c r="H1124">
        <f>IFERROR(--INDEX('Term investments'!$H:$H,ROW()),0)</f>
        <v/>
      </c>
      <c r="I1124">
        <f>IF(ISNUMBER(INDEX('Term investments'!$G:$G,ROW())),1,0)</f>
        <v/>
      </c>
      <c r="J1124">
        <f>TRIM(SUBSTITUTE(INDEX('Call accounts and MMFs'!$A:$A,ROW())&amp;""," "," "))</f>
        <v/>
      </c>
      <c r="K1124">
        <f>TRIM(SUBSTITUTE(INDEX('Call accounts and MMFs'!$B:$B,ROW())&amp;""," "," "))</f>
        <v/>
      </c>
      <c r="L1124">
        <f>TRIM(SUBSTITUTE(INDEX('Call accounts and MMFs'!$C:$C,ROW())&amp;""," "," "))</f>
        <v/>
      </c>
      <c r="M1124">
        <f>IFERROR(--INDEX('Call accounts and MMFs'!$D:$D,ROW()),0)</f>
        <v/>
      </c>
      <c r="N1124">
        <f>IFERROR(IF(--INDEX('Call accounts and MMFs'!$E:$E,ROW())&gt;=1,--INDEX('Call accounts and MMFs'!$E:$E,ROW())/100,--INDEX('Call accounts and MMFs'!$E:$E,ROW())),0)</f>
        <v/>
      </c>
      <c r="O1124">
        <f>IFERROR(--INDEX('Call accounts and MMFs'!$F:$F,ROW()),0)</f>
        <v/>
      </c>
      <c r="P1124">
        <f>IF(ISNUMBER(INDEX('Call accounts and MMFs'!$E:$E,ROW())),1,0)</f>
        <v/>
      </c>
      <c r="Q1124">
        <f>TRIM(SUBSTITUTE(INDEX('Pooled funds'!$B:$B,ROW())&amp;""," "," "))</f>
        <v/>
      </c>
      <c r="R1124">
        <f>IFERROR(--INDEX('Pooled funds'!$C:$C,ROW()),0)</f>
        <v/>
      </c>
      <c r="S1124">
        <f>IFERROR(--INDEX('Pooled funds'!$D:$D,ROW()),0)</f>
        <v/>
      </c>
      <c r="T1124">
        <f>IFERROR(IF(--INDEX('Pooled funds'!$E:$E,ROW())&gt;=1,--INDEX('Pooled funds'!$E:$E,ROW())/100,--INDEX('Pooled funds'!$E:$E,ROW())),0)</f>
        <v/>
      </c>
      <c r="U1124">
        <f>IF(ISNUMBER(INDEX('Pooled funds'!$E:$E,ROW())),1,0)</f>
        <v/>
      </c>
    </row>
    <row r="1125">
      <c r="A1125">
        <f>TRIM(SUBSTITUTE(INDEX('Term investments'!$A:$A,ROW())&amp;""," "," "))</f>
        <v/>
      </c>
      <c r="B1125">
        <f>TRIM(SUBSTITUTE(INDEX('Term investments'!$B:$B,ROW())&amp;""," "," "))</f>
        <v/>
      </c>
      <c r="C1125">
        <f>TRIM(SUBSTITUTE(INDEX('Term investments'!$C:$C,ROW())&amp;""," "," "))</f>
        <v/>
      </c>
      <c r="D1125">
        <f>IFERROR(--INDEX('Term investments'!$D:$D,ROW()),0)</f>
        <v/>
      </c>
      <c r="E1125">
        <f>IFERROR(--INDEX('Term investments'!$E:$E,ROW()),0)</f>
        <v/>
      </c>
      <c r="F1125">
        <f>IFERROR(--INDEX('Term investments'!$F:$F,ROW()),0)</f>
        <v/>
      </c>
      <c r="G1125">
        <f>IFERROR(IF(--INDEX('Term investments'!$G:$G,ROW())&gt;=1,--INDEX('Term investments'!$G:$G,ROW())/100,--INDEX('Term investments'!$G:$G,ROW())),0)</f>
        <v/>
      </c>
      <c r="H1125">
        <f>IFERROR(--INDEX('Term investments'!$H:$H,ROW()),0)</f>
        <v/>
      </c>
      <c r="I1125">
        <f>IF(ISNUMBER(INDEX('Term investments'!$G:$G,ROW())),1,0)</f>
        <v/>
      </c>
      <c r="J1125">
        <f>TRIM(SUBSTITUTE(INDEX('Call accounts and MMFs'!$A:$A,ROW())&amp;""," "," "))</f>
        <v/>
      </c>
      <c r="K1125">
        <f>TRIM(SUBSTITUTE(INDEX('Call accounts and MMFs'!$B:$B,ROW())&amp;""," "," "))</f>
        <v/>
      </c>
      <c r="L1125">
        <f>TRIM(SUBSTITUTE(INDEX('Call accounts and MMFs'!$C:$C,ROW())&amp;""," "," "))</f>
        <v/>
      </c>
      <c r="M1125">
        <f>IFERROR(--INDEX('Call accounts and MMFs'!$D:$D,ROW()),0)</f>
        <v/>
      </c>
      <c r="N1125">
        <f>IFERROR(IF(--INDEX('Call accounts and MMFs'!$E:$E,ROW())&gt;=1,--INDEX('Call accounts and MMFs'!$E:$E,ROW())/100,--INDEX('Call accounts and MMFs'!$E:$E,ROW())),0)</f>
        <v/>
      </c>
      <c r="O1125">
        <f>IFERROR(--INDEX('Call accounts and MMFs'!$F:$F,ROW()),0)</f>
        <v/>
      </c>
      <c r="P1125">
        <f>IF(ISNUMBER(INDEX('Call accounts and MMFs'!$E:$E,ROW())),1,0)</f>
        <v/>
      </c>
      <c r="Q1125">
        <f>TRIM(SUBSTITUTE(INDEX('Pooled funds'!$B:$B,ROW())&amp;""," "," "))</f>
        <v/>
      </c>
      <c r="R1125">
        <f>IFERROR(--INDEX('Pooled funds'!$C:$C,ROW()),0)</f>
        <v/>
      </c>
      <c r="S1125">
        <f>IFERROR(--INDEX('Pooled funds'!$D:$D,ROW()),0)</f>
        <v/>
      </c>
      <c r="T1125">
        <f>IFERROR(IF(--INDEX('Pooled funds'!$E:$E,ROW())&gt;=1,--INDEX('Pooled funds'!$E:$E,ROW())/100,--INDEX('Pooled funds'!$E:$E,ROW())),0)</f>
        <v/>
      </c>
      <c r="U1125">
        <f>IF(ISNUMBER(INDEX('Pooled funds'!$E:$E,ROW())),1,0)</f>
        <v/>
      </c>
    </row>
    <row r="1126">
      <c r="A1126">
        <f>TRIM(SUBSTITUTE(INDEX('Term investments'!$A:$A,ROW())&amp;""," "," "))</f>
        <v/>
      </c>
      <c r="B1126">
        <f>TRIM(SUBSTITUTE(INDEX('Term investments'!$B:$B,ROW())&amp;""," "," "))</f>
        <v/>
      </c>
      <c r="C1126">
        <f>TRIM(SUBSTITUTE(INDEX('Term investments'!$C:$C,ROW())&amp;""," "," "))</f>
        <v/>
      </c>
      <c r="D1126">
        <f>IFERROR(--INDEX('Term investments'!$D:$D,ROW()),0)</f>
        <v/>
      </c>
      <c r="E1126">
        <f>IFERROR(--INDEX('Term investments'!$E:$E,ROW()),0)</f>
        <v/>
      </c>
      <c r="F1126">
        <f>IFERROR(--INDEX('Term investments'!$F:$F,ROW()),0)</f>
        <v/>
      </c>
      <c r="G1126">
        <f>IFERROR(IF(--INDEX('Term investments'!$G:$G,ROW())&gt;=1,--INDEX('Term investments'!$G:$G,ROW())/100,--INDEX('Term investments'!$G:$G,ROW())),0)</f>
        <v/>
      </c>
      <c r="H1126">
        <f>IFERROR(--INDEX('Term investments'!$H:$H,ROW()),0)</f>
        <v/>
      </c>
      <c r="I1126">
        <f>IF(ISNUMBER(INDEX('Term investments'!$G:$G,ROW())),1,0)</f>
        <v/>
      </c>
      <c r="J1126">
        <f>TRIM(SUBSTITUTE(INDEX('Call accounts and MMFs'!$A:$A,ROW())&amp;""," "," "))</f>
        <v/>
      </c>
      <c r="K1126">
        <f>TRIM(SUBSTITUTE(INDEX('Call accounts and MMFs'!$B:$B,ROW())&amp;""," "," "))</f>
        <v/>
      </c>
      <c r="L1126">
        <f>TRIM(SUBSTITUTE(INDEX('Call accounts and MMFs'!$C:$C,ROW())&amp;""," "," "))</f>
        <v/>
      </c>
      <c r="M1126">
        <f>IFERROR(--INDEX('Call accounts and MMFs'!$D:$D,ROW()),0)</f>
        <v/>
      </c>
      <c r="N1126">
        <f>IFERROR(IF(--INDEX('Call accounts and MMFs'!$E:$E,ROW())&gt;=1,--INDEX('Call accounts and MMFs'!$E:$E,ROW())/100,--INDEX('Call accounts and MMFs'!$E:$E,ROW())),0)</f>
        <v/>
      </c>
      <c r="O1126">
        <f>IFERROR(--INDEX('Call accounts and MMFs'!$F:$F,ROW()),0)</f>
        <v/>
      </c>
      <c r="P1126">
        <f>IF(ISNUMBER(INDEX('Call accounts and MMFs'!$E:$E,ROW())),1,0)</f>
        <v/>
      </c>
      <c r="Q1126">
        <f>TRIM(SUBSTITUTE(INDEX('Pooled funds'!$B:$B,ROW())&amp;""," "," "))</f>
        <v/>
      </c>
      <c r="R1126">
        <f>IFERROR(--INDEX('Pooled funds'!$C:$C,ROW()),0)</f>
        <v/>
      </c>
      <c r="S1126">
        <f>IFERROR(--INDEX('Pooled funds'!$D:$D,ROW()),0)</f>
        <v/>
      </c>
      <c r="T1126">
        <f>IFERROR(IF(--INDEX('Pooled funds'!$E:$E,ROW())&gt;=1,--INDEX('Pooled funds'!$E:$E,ROW())/100,--INDEX('Pooled funds'!$E:$E,ROW())),0)</f>
        <v/>
      </c>
      <c r="U1126">
        <f>IF(ISNUMBER(INDEX('Pooled funds'!$E:$E,ROW())),1,0)</f>
        <v/>
      </c>
    </row>
    <row r="1127">
      <c r="A1127">
        <f>TRIM(SUBSTITUTE(INDEX('Term investments'!$A:$A,ROW())&amp;""," "," "))</f>
        <v/>
      </c>
      <c r="B1127">
        <f>TRIM(SUBSTITUTE(INDEX('Term investments'!$B:$B,ROW())&amp;""," "," "))</f>
        <v/>
      </c>
      <c r="C1127">
        <f>TRIM(SUBSTITUTE(INDEX('Term investments'!$C:$C,ROW())&amp;""," "," "))</f>
        <v/>
      </c>
      <c r="D1127">
        <f>IFERROR(--INDEX('Term investments'!$D:$D,ROW()),0)</f>
        <v/>
      </c>
      <c r="E1127">
        <f>IFERROR(--INDEX('Term investments'!$E:$E,ROW()),0)</f>
        <v/>
      </c>
      <c r="F1127">
        <f>IFERROR(--INDEX('Term investments'!$F:$F,ROW()),0)</f>
        <v/>
      </c>
      <c r="G1127">
        <f>IFERROR(IF(--INDEX('Term investments'!$G:$G,ROW())&gt;=1,--INDEX('Term investments'!$G:$G,ROW())/100,--INDEX('Term investments'!$G:$G,ROW())),0)</f>
        <v/>
      </c>
      <c r="H1127">
        <f>IFERROR(--INDEX('Term investments'!$H:$H,ROW()),0)</f>
        <v/>
      </c>
      <c r="I1127">
        <f>IF(ISNUMBER(INDEX('Term investments'!$G:$G,ROW())),1,0)</f>
        <v/>
      </c>
      <c r="J1127">
        <f>TRIM(SUBSTITUTE(INDEX('Call accounts and MMFs'!$A:$A,ROW())&amp;""," "," "))</f>
        <v/>
      </c>
      <c r="K1127">
        <f>TRIM(SUBSTITUTE(INDEX('Call accounts and MMFs'!$B:$B,ROW())&amp;""," "," "))</f>
        <v/>
      </c>
      <c r="L1127">
        <f>TRIM(SUBSTITUTE(INDEX('Call accounts and MMFs'!$C:$C,ROW())&amp;""," "," "))</f>
        <v/>
      </c>
      <c r="M1127">
        <f>IFERROR(--INDEX('Call accounts and MMFs'!$D:$D,ROW()),0)</f>
        <v/>
      </c>
      <c r="N1127">
        <f>IFERROR(IF(--INDEX('Call accounts and MMFs'!$E:$E,ROW())&gt;=1,--INDEX('Call accounts and MMFs'!$E:$E,ROW())/100,--INDEX('Call accounts and MMFs'!$E:$E,ROW())),0)</f>
        <v/>
      </c>
      <c r="O1127">
        <f>IFERROR(--INDEX('Call accounts and MMFs'!$F:$F,ROW()),0)</f>
        <v/>
      </c>
      <c r="P1127">
        <f>IF(ISNUMBER(INDEX('Call accounts and MMFs'!$E:$E,ROW())),1,0)</f>
        <v/>
      </c>
      <c r="Q1127">
        <f>TRIM(SUBSTITUTE(INDEX('Pooled funds'!$B:$B,ROW())&amp;""," "," "))</f>
        <v/>
      </c>
      <c r="R1127">
        <f>IFERROR(--INDEX('Pooled funds'!$C:$C,ROW()),0)</f>
        <v/>
      </c>
      <c r="S1127">
        <f>IFERROR(--INDEX('Pooled funds'!$D:$D,ROW()),0)</f>
        <v/>
      </c>
      <c r="T1127">
        <f>IFERROR(IF(--INDEX('Pooled funds'!$E:$E,ROW())&gt;=1,--INDEX('Pooled funds'!$E:$E,ROW())/100,--INDEX('Pooled funds'!$E:$E,ROW())),0)</f>
        <v/>
      </c>
      <c r="U1127">
        <f>IF(ISNUMBER(INDEX('Pooled funds'!$E:$E,ROW())),1,0)</f>
        <v/>
      </c>
    </row>
    <row r="1128">
      <c r="A1128">
        <f>TRIM(SUBSTITUTE(INDEX('Term investments'!$A:$A,ROW())&amp;""," "," "))</f>
        <v/>
      </c>
      <c r="B1128">
        <f>TRIM(SUBSTITUTE(INDEX('Term investments'!$B:$B,ROW())&amp;""," "," "))</f>
        <v/>
      </c>
      <c r="C1128">
        <f>TRIM(SUBSTITUTE(INDEX('Term investments'!$C:$C,ROW())&amp;""," "," "))</f>
        <v/>
      </c>
      <c r="D1128">
        <f>IFERROR(--INDEX('Term investments'!$D:$D,ROW()),0)</f>
        <v/>
      </c>
      <c r="E1128">
        <f>IFERROR(--INDEX('Term investments'!$E:$E,ROW()),0)</f>
        <v/>
      </c>
      <c r="F1128">
        <f>IFERROR(--INDEX('Term investments'!$F:$F,ROW()),0)</f>
        <v/>
      </c>
      <c r="G1128">
        <f>IFERROR(IF(--INDEX('Term investments'!$G:$G,ROW())&gt;=1,--INDEX('Term investments'!$G:$G,ROW())/100,--INDEX('Term investments'!$G:$G,ROW())),0)</f>
        <v/>
      </c>
      <c r="H1128">
        <f>IFERROR(--INDEX('Term investments'!$H:$H,ROW()),0)</f>
        <v/>
      </c>
      <c r="I1128">
        <f>IF(ISNUMBER(INDEX('Term investments'!$G:$G,ROW())),1,0)</f>
        <v/>
      </c>
      <c r="J1128">
        <f>TRIM(SUBSTITUTE(INDEX('Call accounts and MMFs'!$A:$A,ROW())&amp;""," "," "))</f>
        <v/>
      </c>
      <c r="K1128">
        <f>TRIM(SUBSTITUTE(INDEX('Call accounts and MMFs'!$B:$B,ROW())&amp;""," "," "))</f>
        <v/>
      </c>
      <c r="L1128">
        <f>TRIM(SUBSTITUTE(INDEX('Call accounts and MMFs'!$C:$C,ROW())&amp;""," "," "))</f>
        <v/>
      </c>
      <c r="M1128">
        <f>IFERROR(--INDEX('Call accounts and MMFs'!$D:$D,ROW()),0)</f>
        <v/>
      </c>
      <c r="N1128">
        <f>IFERROR(IF(--INDEX('Call accounts and MMFs'!$E:$E,ROW())&gt;=1,--INDEX('Call accounts and MMFs'!$E:$E,ROW())/100,--INDEX('Call accounts and MMFs'!$E:$E,ROW())),0)</f>
        <v/>
      </c>
      <c r="O1128">
        <f>IFERROR(--INDEX('Call accounts and MMFs'!$F:$F,ROW()),0)</f>
        <v/>
      </c>
      <c r="P1128">
        <f>IF(ISNUMBER(INDEX('Call accounts and MMFs'!$E:$E,ROW())),1,0)</f>
        <v/>
      </c>
      <c r="Q1128">
        <f>TRIM(SUBSTITUTE(INDEX('Pooled funds'!$B:$B,ROW())&amp;""," "," "))</f>
        <v/>
      </c>
      <c r="R1128">
        <f>IFERROR(--INDEX('Pooled funds'!$C:$C,ROW()),0)</f>
        <v/>
      </c>
      <c r="S1128">
        <f>IFERROR(--INDEX('Pooled funds'!$D:$D,ROW()),0)</f>
        <v/>
      </c>
      <c r="T1128">
        <f>IFERROR(IF(--INDEX('Pooled funds'!$E:$E,ROW())&gt;=1,--INDEX('Pooled funds'!$E:$E,ROW())/100,--INDEX('Pooled funds'!$E:$E,ROW())),0)</f>
        <v/>
      </c>
      <c r="U1128">
        <f>IF(ISNUMBER(INDEX('Pooled funds'!$E:$E,ROW())),1,0)</f>
        <v/>
      </c>
    </row>
    <row r="1129">
      <c r="A1129">
        <f>TRIM(SUBSTITUTE(INDEX('Term investments'!$A:$A,ROW())&amp;""," "," "))</f>
        <v/>
      </c>
      <c r="B1129">
        <f>TRIM(SUBSTITUTE(INDEX('Term investments'!$B:$B,ROW())&amp;""," "," "))</f>
        <v/>
      </c>
      <c r="C1129">
        <f>TRIM(SUBSTITUTE(INDEX('Term investments'!$C:$C,ROW())&amp;""," "," "))</f>
        <v/>
      </c>
      <c r="D1129">
        <f>IFERROR(--INDEX('Term investments'!$D:$D,ROW()),0)</f>
        <v/>
      </c>
      <c r="E1129">
        <f>IFERROR(--INDEX('Term investments'!$E:$E,ROW()),0)</f>
        <v/>
      </c>
      <c r="F1129">
        <f>IFERROR(--INDEX('Term investments'!$F:$F,ROW()),0)</f>
        <v/>
      </c>
      <c r="G1129">
        <f>IFERROR(IF(--INDEX('Term investments'!$G:$G,ROW())&gt;=1,--INDEX('Term investments'!$G:$G,ROW())/100,--INDEX('Term investments'!$G:$G,ROW())),0)</f>
        <v/>
      </c>
      <c r="H1129">
        <f>IFERROR(--INDEX('Term investments'!$H:$H,ROW()),0)</f>
        <v/>
      </c>
      <c r="I1129">
        <f>IF(ISNUMBER(INDEX('Term investments'!$G:$G,ROW())),1,0)</f>
        <v/>
      </c>
      <c r="J1129">
        <f>TRIM(SUBSTITUTE(INDEX('Call accounts and MMFs'!$A:$A,ROW())&amp;""," "," "))</f>
        <v/>
      </c>
      <c r="K1129">
        <f>TRIM(SUBSTITUTE(INDEX('Call accounts and MMFs'!$B:$B,ROW())&amp;""," "," "))</f>
        <v/>
      </c>
      <c r="L1129">
        <f>TRIM(SUBSTITUTE(INDEX('Call accounts and MMFs'!$C:$C,ROW())&amp;""," "," "))</f>
        <v/>
      </c>
      <c r="M1129">
        <f>IFERROR(--INDEX('Call accounts and MMFs'!$D:$D,ROW()),0)</f>
        <v/>
      </c>
      <c r="N1129">
        <f>IFERROR(IF(--INDEX('Call accounts and MMFs'!$E:$E,ROW())&gt;=1,--INDEX('Call accounts and MMFs'!$E:$E,ROW())/100,--INDEX('Call accounts and MMFs'!$E:$E,ROW())),0)</f>
        <v/>
      </c>
      <c r="O1129">
        <f>IFERROR(--INDEX('Call accounts and MMFs'!$F:$F,ROW()),0)</f>
        <v/>
      </c>
      <c r="P1129">
        <f>IF(ISNUMBER(INDEX('Call accounts and MMFs'!$E:$E,ROW())),1,0)</f>
        <v/>
      </c>
      <c r="Q1129">
        <f>TRIM(SUBSTITUTE(INDEX('Pooled funds'!$B:$B,ROW())&amp;""," "," "))</f>
        <v/>
      </c>
      <c r="R1129">
        <f>IFERROR(--INDEX('Pooled funds'!$C:$C,ROW()),0)</f>
        <v/>
      </c>
      <c r="S1129">
        <f>IFERROR(--INDEX('Pooled funds'!$D:$D,ROW()),0)</f>
        <v/>
      </c>
      <c r="T1129">
        <f>IFERROR(IF(--INDEX('Pooled funds'!$E:$E,ROW())&gt;=1,--INDEX('Pooled funds'!$E:$E,ROW())/100,--INDEX('Pooled funds'!$E:$E,ROW())),0)</f>
        <v/>
      </c>
      <c r="U1129">
        <f>IF(ISNUMBER(INDEX('Pooled funds'!$E:$E,ROW())),1,0)</f>
        <v/>
      </c>
    </row>
    <row r="1130">
      <c r="A1130">
        <f>TRIM(SUBSTITUTE(INDEX('Term investments'!$A:$A,ROW())&amp;""," "," "))</f>
        <v/>
      </c>
      <c r="B1130">
        <f>TRIM(SUBSTITUTE(INDEX('Term investments'!$B:$B,ROW())&amp;""," "," "))</f>
        <v/>
      </c>
      <c r="C1130">
        <f>TRIM(SUBSTITUTE(INDEX('Term investments'!$C:$C,ROW())&amp;""," "," "))</f>
        <v/>
      </c>
      <c r="D1130">
        <f>IFERROR(--INDEX('Term investments'!$D:$D,ROW()),0)</f>
        <v/>
      </c>
      <c r="E1130">
        <f>IFERROR(--INDEX('Term investments'!$E:$E,ROW()),0)</f>
        <v/>
      </c>
      <c r="F1130">
        <f>IFERROR(--INDEX('Term investments'!$F:$F,ROW()),0)</f>
        <v/>
      </c>
      <c r="G1130">
        <f>IFERROR(IF(--INDEX('Term investments'!$G:$G,ROW())&gt;=1,--INDEX('Term investments'!$G:$G,ROW())/100,--INDEX('Term investments'!$G:$G,ROW())),0)</f>
        <v/>
      </c>
      <c r="H1130">
        <f>IFERROR(--INDEX('Term investments'!$H:$H,ROW()),0)</f>
        <v/>
      </c>
      <c r="I1130">
        <f>IF(ISNUMBER(INDEX('Term investments'!$G:$G,ROW())),1,0)</f>
        <v/>
      </c>
      <c r="J1130">
        <f>TRIM(SUBSTITUTE(INDEX('Call accounts and MMFs'!$A:$A,ROW())&amp;""," "," "))</f>
        <v/>
      </c>
      <c r="K1130">
        <f>TRIM(SUBSTITUTE(INDEX('Call accounts and MMFs'!$B:$B,ROW())&amp;""," "," "))</f>
        <v/>
      </c>
      <c r="L1130">
        <f>TRIM(SUBSTITUTE(INDEX('Call accounts and MMFs'!$C:$C,ROW())&amp;""," "," "))</f>
        <v/>
      </c>
      <c r="M1130">
        <f>IFERROR(--INDEX('Call accounts and MMFs'!$D:$D,ROW()),0)</f>
        <v/>
      </c>
      <c r="N1130">
        <f>IFERROR(IF(--INDEX('Call accounts and MMFs'!$E:$E,ROW())&gt;=1,--INDEX('Call accounts and MMFs'!$E:$E,ROW())/100,--INDEX('Call accounts and MMFs'!$E:$E,ROW())),0)</f>
        <v/>
      </c>
      <c r="O1130">
        <f>IFERROR(--INDEX('Call accounts and MMFs'!$F:$F,ROW()),0)</f>
        <v/>
      </c>
      <c r="P1130">
        <f>IF(ISNUMBER(INDEX('Call accounts and MMFs'!$E:$E,ROW())),1,0)</f>
        <v/>
      </c>
      <c r="Q1130">
        <f>TRIM(SUBSTITUTE(INDEX('Pooled funds'!$B:$B,ROW())&amp;""," "," "))</f>
        <v/>
      </c>
      <c r="R1130">
        <f>IFERROR(--INDEX('Pooled funds'!$C:$C,ROW()),0)</f>
        <v/>
      </c>
      <c r="S1130">
        <f>IFERROR(--INDEX('Pooled funds'!$D:$D,ROW()),0)</f>
        <v/>
      </c>
      <c r="T1130">
        <f>IFERROR(IF(--INDEX('Pooled funds'!$E:$E,ROW())&gt;=1,--INDEX('Pooled funds'!$E:$E,ROW())/100,--INDEX('Pooled funds'!$E:$E,ROW())),0)</f>
        <v/>
      </c>
      <c r="U1130">
        <f>IF(ISNUMBER(INDEX('Pooled funds'!$E:$E,ROW())),1,0)</f>
        <v/>
      </c>
    </row>
    <row r="1131">
      <c r="A1131">
        <f>TRIM(SUBSTITUTE(INDEX('Term investments'!$A:$A,ROW())&amp;""," "," "))</f>
        <v/>
      </c>
      <c r="B1131">
        <f>TRIM(SUBSTITUTE(INDEX('Term investments'!$B:$B,ROW())&amp;""," "," "))</f>
        <v/>
      </c>
      <c r="C1131">
        <f>TRIM(SUBSTITUTE(INDEX('Term investments'!$C:$C,ROW())&amp;""," "," "))</f>
        <v/>
      </c>
      <c r="D1131">
        <f>IFERROR(--INDEX('Term investments'!$D:$D,ROW()),0)</f>
        <v/>
      </c>
      <c r="E1131">
        <f>IFERROR(--INDEX('Term investments'!$E:$E,ROW()),0)</f>
        <v/>
      </c>
      <c r="F1131">
        <f>IFERROR(--INDEX('Term investments'!$F:$F,ROW()),0)</f>
        <v/>
      </c>
      <c r="G1131">
        <f>IFERROR(IF(--INDEX('Term investments'!$G:$G,ROW())&gt;=1,--INDEX('Term investments'!$G:$G,ROW())/100,--INDEX('Term investments'!$G:$G,ROW())),0)</f>
        <v/>
      </c>
      <c r="H1131">
        <f>IFERROR(--INDEX('Term investments'!$H:$H,ROW()),0)</f>
        <v/>
      </c>
      <c r="I1131">
        <f>IF(ISNUMBER(INDEX('Term investments'!$G:$G,ROW())),1,0)</f>
        <v/>
      </c>
      <c r="J1131">
        <f>TRIM(SUBSTITUTE(INDEX('Call accounts and MMFs'!$A:$A,ROW())&amp;""," "," "))</f>
        <v/>
      </c>
      <c r="K1131">
        <f>TRIM(SUBSTITUTE(INDEX('Call accounts and MMFs'!$B:$B,ROW())&amp;""," "," "))</f>
        <v/>
      </c>
      <c r="L1131">
        <f>TRIM(SUBSTITUTE(INDEX('Call accounts and MMFs'!$C:$C,ROW())&amp;""," "," "))</f>
        <v/>
      </c>
      <c r="M1131">
        <f>IFERROR(--INDEX('Call accounts and MMFs'!$D:$D,ROW()),0)</f>
        <v/>
      </c>
      <c r="N1131">
        <f>IFERROR(IF(--INDEX('Call accounts and MMFs'!$E:$E,ROW())&gt;=1,--INDEX('Call accounts and MMFs'!$E:$E,ROW())/100,--INDEX('Call accounts and MMFs'!$E:$E,ROW())),0)</f>
        <v/>
      </c>
      <c r="O1131">
        <f>IFERROR(--INDEX('Call accounts and MMFs'!$F:$F,ROW()),0)</f>
        <v/>
      </c>
      <c r="P1131">
        <f>IF(ISNUMBER(INDEX('Call accounts and MMFs'!$E:$E,ROW())),1,0)</f>
        <v/>
      </c>
      <c r="Q1131">
        <f>TRIM(SUBSTITUTE(INDEX('Pooled funds'!$B:$B,ROW())&amp;""," "," "))</f>
        <v/>
      </c>
      <c r="R1131">
        <f>IFERROR(--INDEX('Pooled funds'!$C:$C,ROW()),0)</f>
        <v/>
      </c>
      <c r="S1131">
        <f>IFERROR(--INDEX('Pooled funds'!$D:$D,ROW()),0)</f>
        <v/>
      </c>
      <c r="T1131">
        <f>IFERROR(IF(--INDEX('Pooled funds'!$E:$E,ROW())&gt;=1,--INDEX('Pooled funds'!$E:$E,ROW())/100,--INDEX('Pooled funds'!$E:$E,ROW())),0)</f>
        <v/>
      </c>
      <c r="U1131">
        <f>IF(ISNUMBER(INDEX('Pooled funds'!$E:$E,ROW())),1,0)</f>
        <v/>
      </c>
    </row>
    <row r="1132">
      <c r="A1132">
        <f>TRIM(SUBSTITUTE(INDEX('Term investments'!$A:$A,ROW())&amp;""," "," "))</f>
        <v/>
      </c>
      <c r="B1132">
        <f>TRIM(SUBSTITUTE(INDEX('Term investments'!$B:$B,ROW())&amp;""," "," "))</f>
        <v/>
      </c>
      <c r="C1132">
        <f>TRIM(SUBSTITUTE(INDEX('Term investments'!$C:$C,ROW())&amp;""," "," "))</f>
        <v/>
      </c>
      <c r="D1132">
        <f>IFERROR(--INDEX('Term investments'!$D:$D,ROW()),0)</f>
        <v/>
      </c>
      <c r="E1132">
        <f>IFERROR(--INDEX('Term investments'!$E:$E,ROW()),0)</f>
        <v/>
      </c>
      <c r="F1132">
        <f>IFERROR(--INDEX('Term investments'!$F:$F,ROW()),0)</f>
        <v/>
      </c>
      <c r="G1132">
        <f>IFERROR(IF(--INDEX('Term investments'!$G:$G,ROW())&gt;=1,--INDEX('Term investments'!$G:$G,ROW())/100,--INDEX('Term investments'!$G:$G,ROW())),0)</f>
        <v/>
      </c>
      <c r="H1132">
        <f>IFERROR(--INDEX('Term investments'!$H:$H,ROW()),0)</f>
        <v/>
      </c>
      <c r="I1132">
        <f>IF(ISNUMBER(INDEX('Term investments'!$G:$G,ROW())),1,0)</f>
        <v/>
      </c>
      <c r="J1132">
        <f>TRIM(SUBSTITUTE(INDEX('Call accounts and MMFs'!$A:$A,ROW())&amp;""," "," "))</f>
        <v/>
      </c>
      <c r="K1132">
        <f>TRIM(SUBSTITUTE(INDEX('Call accounts and MMFs'!$B:$B,ROW())&amp;""," "," "))</f>
        <v/>
      </c>
      <c r="L1132">
        <f>TRIM(SUBSTITUTE(INDEX('Call accounts and MMFs'!$C:$C,ROW())&amp;""," "," "))</f>
        <v/>
      </c>
      <c r="M1132">
        <f>IFERROR(--INDEX('Call accounts and MMFs'!$D:$D,ROW()),0)</f>
        <v/>
      </c>
      <c r="N1132">
        <f>IFERROR(IF(--INDEX('Call accounts and MMFs'!$E:$E,ROW())&gt;=1,--INDEX('Call accounts and MMFs'!$E:$E,ROW())/100,--INDEX('Call accounts and MMFs'!$E:$E,ROW())),0)</f>
        <v/>
      </c>
      <c r="O1132">
        <f>IFERROR(--INDEX('Call accounts and MMFs'!$F:$F,ROW()),0)</f>
        <v/>
      </c>
      <c r="P1132">
        <f>IF(ISNUMBER(INDEX('Call accounts and MMFs'!$E:$E,ROW())),1,0)</f>
        <v/>
      </c>
      <c r="Q1132">
        <f>TRIM(SUBSTITUTE(INDEX('Pooled funds'!$B:$B,ROW())&amp;""," "," "))</f>
        <v/>
      </c>
      <c r="R1132">
        <f>IFERROR(--INDEX('Pooled funds'!$C:$C,ROW()),0)</f>
        <v/>
      </c>
      <c r="S1132">
        <f>IFERROR(--INDEX('Pooled funds'!$D:$D,ROW()),0)</f>
        <v/>
      </c>
      <c r="T1132">
        <f>IFERROR(IF(--INDEX('Pooled funds'!$E:$E,ROW())&gt;=1,--INDEX('Pooled funds'!$E:$E,ROW())/100,--INDEX('Pooled funds'!$E:$E,ROW())),0)</f>
        <v/>
      </c>
      <c r="U1132">
        <f>IF(ISNUMBER(INDEX('Pooled funds'!$E:$E,ROW())),1,0)</f>
        <v/>
      </c>
    </row>
    <row r="1133">
      <c r="A1133">
        <f>TRIM(SUBSTITUTE(INDEX('Term investments'!$A:$A,ROW())&amp;""," "," "))</f>
        <v/>
      </c>
      <c r="B1133">
        <f>TRIM(SUBSTITUTE(INDEX('Term investments'!$B:$B,ROW())&amp;""," "," "))</f>
        <v/>
      </c>
      <c r="C1133">
        <f>TRIM(SUBSTITUTE(INDEX('Term investments'!$C:$C,ROW())&amp;""," "," "))</f>
        <v/>
      </c>
      <c r="D1133">
        <f>IFERROR(--INDEX('Term investments'!$D:$D,ROW()),0)</f>
        <v/>
      </c>
      <c r="E1133">
        <f>IFERROR(--INDEX('Term investments'!$E:$E,ROW()),0)</f>
        <v/>
      </c>
      <c r="F1133">
        <f>IFERROR(--INDEX('Term investments'!$F:$F,ROW()),0)</f>
        <v/>
      </c>
      <c r="G1133">
        <f>IFERROR(IF(--INDEX('Term investments'!$G:$G,ROW())&gt;=1,--INDEX('Term investments'!$G:$G,ROW())/100,--INDEX('Term investments'!$G:$G,ROW())),0)</f>
        <v/>
      </c>
      <c r="H1133">
        <f>IFERROR(--INDEX('Term investments'!$H:$H,ROW()),0)</f>
        <v/>
      </c>
      <c r="I1133">
        <f>IF(ISNUMBER(INDEX('Term investments'!$G:$G,ROW())),1,0)</f>
        <v/>
      </c>
      <c r="J1133">
        <f>TRIM(SUBSTITUTE(INDEX('Call accounts and MMFs'!$A:$A,ROW())&amp;""," "," "))</f>
        <v/>
      </c>
      <c r="K1133">
        <f>TRIM(SUBSTITUTE(INDEX('Call accounts and MMFs'!$B:$B,ROW())&amp;""," "," "))</f>
        <v/>
      </c>
      <c r="L1133">
        <f>TRIM(SUBSTITUTE(INDEX('Call accounts and MMFs'!$C:$C,ROW())&amp;""," "," "))</f>
        <v/>
      </c>
      <c r="M1133">
        <f>IFERROR(--INDEX('Call accounts and MMFs'!$D:$D,ROW()),0)</f>
        <v/>
      </c>
      <c r="N1133">
        <f>IFERROR(IF(--INDEX('Call accounts and MMFs'!$E:$E,ROW())&gt;=1,--INDEX('Call accounts and MMFs'!$E:$E,ROW())/100,--INDEX('Call accounts and MMFs'!$E:$E,ROW())),0)</f>
        <v/>
      </c>
      <c r="O1133">
        <f>IFERROR(--INDEX('Call accounts and MMFs'!$F:$F,ROW()),0)</f>
        <v/>
      </c>
      <c r="P1133">
        <f>IF(ISNUMBER(INDEX('Call accounts and MMFs'!$E:$E,ROW())),1,0)</f>
        <v/>
      </c>
      <c r="Q1133">
        <f>TRIM(SUBSTITUTE(INDEX('Pooled funds'!$B:$B,ROW())&amp;""," "," "))</f>
        <v/>
      </c>
      <c r="R1133">
        <f>IFERROR(--INDEX('Pooled funds'!$C:$C,ROW()),0)</f>
        <v/>
      </c>
      <c r="S1133">
        <f>IFERROR(--INDEX('Pooled funds'!$D:$D,ROW()),0)</f>
        <v/>
      </c>
      <c r="T1133">
        <f>IFERROR(IF(--INDEX('Pooled funds'!$E:$E,ROW())&gt;=1,--INDEX('Pooled funds'!$E:$E,ROW())/100,--INDEX('Pooled funds'!$E:$E,ROW())),0)</f>
        <v/>
      </c>
      <c r="U1133">
        <f>IF(ISNUMBER(INDEX('Pooled funds'!$E:$E,ROW())),1,0)</f>
        <v/>
      </c>
    </row>
    <row r="1134">
      <c r="A1134">
        <f>TRIM(SUBSTITUTE(INDEX('Term investments'!$A:$A,ROW())&amp;""," "," "))</f>
        <v/>
      </c>
      <c r="B1134">
        <f>TRIM(SUBSTITUTE(INDEX('Term investments'!$B:$B,ROW())&amp;""," "," "))</f>
        <v/>
      </c>
      <c r="C1134">
        <f>TRIM(SUBSTITUTE(INDEX('Term investments'!$C:$C,ROW())&amp;""," "," "))</f>
        <v/>
      </c>
      <c r="D1134">
        <f>IFERROR(--INDEX('Term investments'!$D:$D,ROW()),0)</f>
        <v/>
      </c>
      <c r="E1134">
        <f>IFERROR(--INDEX('Term investments'!$E:$E,ROW()),0)</f>
        <v/>
      </c>
      <c r="F1134">
        <f>IFERROR(--INDEX('Term investments'!$F:$F,ROW()),0)</f>
        <v/>
      </c>
      <c r="G1134">
        <f>IFERROR(IF(--INDEX('Term investments'!$G:$G,ROW())&gt;=1,--INDEX('Term investments'!$G:$G,ROW())/100,--INDEX('Term investments'!$G:$G,ROW())),0)</f>
        <v/>
      </c>
      <c r="H1134">
        <f>IFERROR(--INDEX('Term investments'!$H:$H,ROW()),0)</f>
        <v/>
      </c>
      <c r="I1134">
        <f>IF(ISNUMBER(INDEX('Term investments'!$G:$G,ROW())),1,0)</f>
        <v/>
      </c>
      <c r="J1134">
        <f>TRIM(SUBSTITUTE(INDEX('Call accounts and MMFs'!$A:$A,ROW())&amp;""," "," "))</f>
        <v/>
      </c>
      <c r="K1134">
        <f>TRIM(SUBSTITUTE(INDEX('Call accounts and MMFs'!$B:$B,ROW())&amp;""," "," "))</f>
        <v/>
      </c>
      <c r="L1134">
        <f>TRIM(SUBSTITUTE(INDEX('Call accounts and MMFs'!$C:$C,ROW())&amp;""," "," "))</f>
        <v/>
      </c>
      <c r="M1134">
        <f>IFERROR(--INDEX('Call accounts and MMFs'!$D:$D,ROW()),0)</f>
        <v/>
      </c>
      <c r="N1134">
        <f>IFERROR(IF(--INDEX('Call accounts and MMFs'!$E:$E,ROW())&gt;=1,--INDEX('Call accounts and MMFs'!$E:$E,ROW())/100,--INDEX('Call accounts and MMFs'!$E:$E,ROW())),0)</f>
        <v/>
      </c>
      <c r="O1134">
        <f>IFERROR(--INDEX('Call accounts and MMFs'!$F:$F,ROW()),0)</f>
        <v/>
      </c>
      <c r="P1134">
        <f>IF(ISNUMBER(INDEX('Call accounts and MMFs'!$E:$E,ROW())),1,0)</f>
        <v/>
      </c>
      <c r="Q1134">
        <f>TRIM(SUBSTITUTE(INDEX('Pooled funds'!$B:$B,ROW())&amp;""," "," "))</f>
        <v/>
      </c>
      <c r="R1134">
        <f>IFERROR(--INDEX('Pooled funds'!$C:$C,ROW()),0)</f>
        <v/>
      </c>
      <c r="S1134">
        <f>IFERROR(--INDEX('Pooled funds'!$D:$D,ROW()),0)</f>
        <v/>
      </c>
      <c r="T1134">
        <f>IFERROR(IF(--INDEX('Pooled funds'!$E:$E,ROW())&gt;=1,--INDEX('Pooled funds'!$E:$E,ROW())/100,--INDEX('Pooled funds'!$E:$E,ROW())),0)</f>
        <v/>
      </c>
      <c r="U1134">
        <f>IF(ISNUMBER(INDEX('Pooled funds'!$E:$E,ROW())),1,0)</f>
        <v/>
      </c>
    </row>
    <row r="1135">
      <c r="A1135">
        <f>TRIM(SUBSTITUTE(INDEX('Term investments'!$A:$A,ROW())&amp;""," "," "))</f>
        <v/>
      </c>
      <c r="B1135">
        <f>TRIM(SUBSTITUTE(INDEX('Term investments'!$B:$B,ROW())&amp;""," "," "))</f>
        <v/>
      </c>
      <c r="C1135">
        <f>TRIM(SUBSTITUTE(INDEX('Term investments'!$C:$C,ROW())&amp;""," "," "))</f>
        <v/>
      </c>
      <c r="D1135">
        <f>IFERROR(--INDEX('Term investments'!$D:$D,ROW()),0)</f>
        <v/>
      </c>
      <c r="E1135">
        <f>IFERROR(--INDEX('Term investments'!$E:$E,ROW()),0)</f>
        <v/>
      </c>
      <c r="F1135">
        <f>IFERROR(--INDEX('Term investments'!$F:$F,ROW()),0)</f>
        <v/>
      </c>
      <c r="G1135">
        <f>IFERROR(IF(--INDEX('Term investments'!$G:$G,ROW())&gt;=1,--INDEX('Term investments'!$G:$G,ROW())/100,--INDEX('Term investments'!$G:$G,ROW())),0)</f>
        <v/>
      </c>
      <c r="H1135">
        <f>IFERROR(--INDEX('Term investments'!$H:$H,ROW()),0)</f>
        <v/>
      </c>
      <c r="I1135">
        <f>IF(ISNUMBER(INDEX('Term investments'!$G:$G,ROW())),1,0)</f>
        <v/>
      </c>
      <c r="J1135">
        <f>TRIM(SUBSTITUTE(INDEX('Call accounts and MMFs'!$A:$A,ROW())&amp;""," "," "))</f>
        <v/>
      </c>
      <c r="K1135">
        <f>TRIM(SUBSTITUTE(INDEX('Call accounts and MMFs'!$B:$B,ROW())&amp;""," "," "))</f>
        <v/>
      </c>
      <c r="L1135">
        <f>TRIM(SUBSTITUTE(INDEX('Call accounts and MMFs'!$C:$C,ROW())&amp;""," "," "))</f>
        <v/>
      </c>
      <c r="M1135">
        <f>IFERROR(--INDEX('Call accounts and MMFs'!$D:$D,ROW()),0)</f>
        <v/>
      </c>
      <c r="N1135">
        <f>IFERROR(IF(--INDEX('Call accounts and MMFs'!$E:$E,ROW())&gt;=1,--INDEX('Call accounts and MMFs'!$E:$E,ROW())/100,--INDEX('Call accounts and MMFs'!$E:$E,ROW())),0)</f>
        <v/>
      </c>
      <c r="O1135">
        <f>IFERROR(--INDEX('Call accounts and MMFs'!$F:$F,ROW()),0)</f>
        <v/>
      </c>
      <c r="P1135">
        <f>IF(ISNUMBER(INDEX('Call accounts and MMFs'!$E:$E,ROW())),1,0)</f>
        <v/>
      </c>
      <c r="Q1135">
        <f>TRIM(SUBSTITUTE(INDEX('Pooled funds'!$B:$B,ROW())&amp;""," "," "))</f>
        <v/>
      </c>
      <c r="R1135">
        <f>IFERROR(--INDEX('Pooled funds'!$C:$C,ROW()),0)</f>
        <v/>
      </c>
      <c r="S1135">
        <f>IFERROR(--INDEX('Pooled funds'!$D:$D,ROW()),0)</f>
        <v/>
      </c>
      <c r="T1135">
        <f>IFERROR(IF(--INDEX('Pooled funds'!$E:$E,ROW())&gt;=1,--INDEX('Pooled funds'!$E:$E,ROW())/100,--INDEX('Pooled funds'!$E:$E,ROW())),0)</f>
        <v/>
      </c>
      <c r="U1135">
        <f>IF(ISNUMBER(INDEX('Pooled funds'!$E:$E,ROW())),1,0)</f>
        <v/>
      </c>
    </row>
    <row r="1136">
      <c r="A1136">
        <f>TRIM(SUBSTITUTE(INDEX('Term investments'!$A:$A,ROW())&amp;""," "," "))</f>
        <v/>
      </c>
      <c r="B1136">
        <f>TRIM(SUBSTITUTE(INDEX('Term investments'!$B:$B,ROW())&amp;""," "," "))</f>
        <v/>
      </c>
      <c r="C1136">
        <f>TRIM(SUBSTITUTE(INDEX('Term investments'!$C:$C,ROW())&amp;""," "," "))</f>
        <v/>
      </c>
      <c r="D1136">
        <f>IFERROR(--INDEX('Term investments'!$D:$D,ROW()),0)</f>
        <v/>
      </c>
      <c r="E1136">
        <f>IFERROR(--INDEX('Term investments'!$E:$E,ROW()),0)</f>
        <v/>
      </c>
      <c r="F1136">
        <f>IFERROR(--INDEX('Term investments'!$F:$F,ROW()),0)</f>
        <v/>
      </c>
      <c r="G1136">
        <f>IFERROR(IF(--INDEX('Term investments'!$G:$G,ROW())&gt;=1,--INDEX('Term investments'!$G:$G,ROW())/100,--INDEX('Term investments'!$G:$G,ROW())),0)</f>
        <v/>
      </c>
      <c r="H1136">
        <f>IFERROR(--INDEX('Term investments'!$H:$H,ROW()),0)</f>
        <v/>
      </c>
      <c r="I1136">
        <f>IF(ISNUMBER(INDEX('Term investments'!$G:$G,ROW())),1,0)</f>
        <v/>
      </c>
      <c r="J1136">
        <f>TRIM(SUBSTITUTE(INDEX('Call accounts and MMFs'!$A:$A,ROW())&amp;""," "," "))</f>
        <v/>
      </c>
      <c r="K1136">
        <f>TRIM(SUBSTITUTE(INDEX('Call accounts and MMFs'!$B:$B,ROW())&amp;""," "," "))</f>
        <v/>
      </c>
      <c r="L1136">
        <f>TRIM(SUBSTITUTE(INDEX('Call accounts and MMFs'!$C:$C,ROW())&amp;""," "," "))</f>
        <v/>
      </c>
      <c r="M1136">
        <f>IFERROR(--INDEX('Call accounts and MMFs'!$D:$D,ROW()),0)</f>
        <v/>
      </c>
      <c r="N1136">
        <f>IFERROR(IF(--INDEX('Call accounts and MMFs'!$E:$E,ROW())&gt;=1,--INDEX('Call accounts and MMFs'!$E:$E,ROW())/100,--INDEX('Call accounts and MMFs'!$E:$E,ROW())),0)</f>
        <v/>
      </c>
      <c r="O1136">
        <f>IFERROR(--INDEX('Call accounts and MMFs'!$F:$F,ROW()),0)</f>
        <v/>
      </c>
      <c r="P1136">
        <f>IF(ISNUMBER(INDEX('Call accounts and MMFs'!$E:$E,ROW())),1,0)</f>
        <v/>
      </c>
      <c r="Q1136">
        <f>TRIM(SUBSTITUTE(INDEX('Pooled funds'!$B:$B,ROW())&amp;""," "," "))</f>
        <v/>
      </c>
      <c r="R1136">
        <f>IFERROR(--INDEX('Pooled funds'!$C:$C,ROW()),0)</f>
        <v/>
      </c>
      <c r="S1136">
        <f>IFERROR(--INDEX('Pooled funds'!$D:$D,ROW()),0)</f>
        <v/>
      </c>
      <c r="T1136">
        <f>IFERROR(IF(--INDEX('Pooled funds'!$E:$E,ROW())&gt;=1,--INDEX('Pooled funds'!$E:$E,ROW())/100,--INDEX('Pooled funds'!$E:$E,ROW())),0)</f>
        <v/>
      </c>
      <c r="U1136">
        <f>IF(ISNUMBER(INDEX('Pooled funds'!$E:$E,ROW())),1,0)</f>
        <v/>
      </c>
    </row>
    <row r="1137">
      <c r="A1137">
        <f>TRIM(SUBSTITUTE(INDEX('Term investments'!$A:$A,ROW())&amp;""," "," "))</f>
        <v/>
      </c>
      <c r="B1137">
        <f>TRIM(SUBSTITUTE(INDEX('Term investments'!$B:$B,ROW())&amp;""," "," "))</f>
        <v/>
      </c>
      <c r="C1137">
        <f>TRIM(SUBSTITUTE(INDEX('Term investments'!$C:$C,ROW())&amp;""," "," "))</f>
        <v/>
      </c>
      <c r="D1137">
        <f>IFERROR(--INDEX('Term investments'!$D:$D,ROW()),0)</f>
        <v/>
      </c>
      <c r="E1137">
        <f>IFERROR(--INDEX('Term investments'!$E:$E,ROW()),0)</f>
        <v/>
      </c>
      <c r="F1137">
        <f>IFERROR(--INDEX('Term investments'!$F:$F,ROW()),0)</f>
        <v/>
      </c>
      <c r="G1137">
        <f>IFERROR(IF(--INDEX('Term investments'!$G:$G,ROW())&gt;=1,--INDEX('Term investments'!$G:$G,ROW())/100,--INDEX('Term investments'!$G:$G,ROW())),0)</f>
        <v/>
      </c>
      <c r="H1137">
        <f>IFERROR(--INDEX('Term investments'!$H:$H,ROW()),0)</f>
        <v/>
      </c>
      <c r="I1137">
        <f>IF(ISNUMBER(INDEX('Term investments'!$G:$G,ROW())),1,0)</f>
        <v/>
      </c>
      <c r="J1137">
        <f>TRIM(SUBSTITUTE(INDEX('Call accounts and MMFs'!$A:$A,ROW())&amp;""," "," "))</f>
        <v/>
      </c>
      <c r="K1137">
        <f>TRIM(SUBSTITUTE(INDEX('Call accounts and MMFs'!$B:$B,ROW())&amp;""," "," "))</f>
        <v/>
      </c>
      <c r="L1137">
        <f>TRIM(SUBSTITUTE(INDEX('Call accounts and MMFs'!$C:$C,ROW())&amp;""," "," "))</f>
        <v/>
      </c>
      <c r="M1137">
        <f>IFERROR(--INDEX('Call accounts and MMFs'!$D:$D,ROW()),0)</f>
        <v/>
      </c>
      <c r="N1137">
        <f>IFERROR(IF(--INDEX('Call accounts and MMFs'!$E:$E,ROW())&gt;=1,--INDEX('Call accounts and MMFs'!$E:$E,ROW())/100,--INDEX('Call accounts and MMFs'!$E:$E,ROW())),0)</f>
        <v/>
      </c>
      <c r="O1137">
        <f>IFERROR(--INDEX('Call accounts and MMFs'!$F:$F,ROW()),0)</f>
        <v/>
      </c>
      <c r="P1137">
        <f>IF(ISNUMBER(INDEX('Call accounts and MMFs'!$E:$E,ROW())),1,0)</f>
        <v/>
      </c>
      <c r="Q1137">
        <f>TRIM(SUBSTITUTE(INDEX('Pooled funds'!$B:$B,ROW())&amp;""," "," "))</f>
        <v/>
      </c>
      <c r="R1137">
        <f>IFERROR(--INDEX('Pooled funds'!$C:$C,ROW()),0)</f>
        <v/>
      </c>
      <c r="S1137">
        <f>IFERROR(--INDEX('Pooled funds'!$D:$D,ROW()),0)</f>
        <v/>
      </c>
      <c r="T1137">
        <f>IFERROR(IF(--INDEX('Pooled funds'!$E:$E,ROW())&gt;=1,--INDEX('Pooled funds'!$E:$E,ROW())/100,--INDEX('Pooled funds'!$E:$E,ROW())),0)</f>
        <v/>
      </c>
      <c r="U1137">
        <f>IF(ISNUMBER(INDEX('Pooled funds'!$E:$E,ROW())),1,0)</f>
        <v/>
      </c>
    </row>
    <row r="1138">
      <c r="A1138">
        <f>TRIM(SUBSTITUTE(INDEX('Term investments'!$A:$A,ROW())&amp;""," "," "))</f>
        <v/>
      </c>
      <c r="B1138">
        <f>TRIM(SUBSTITUTE(INDEX('Term investments'!$B:$B,ROW())&amp;""," "," "))</f>
        <v/>
      </c>
      <c r="C1138">
        <f>TRIM(SUBSTITUTE(INDEX('Term investments'!$C:$C,ROW())&amp;""," "," "))</f>
        <v/>
      </c>
      <c r="D1138">
        <f>IFERROR(--INDEX('Term investments'!$D:$D,ROW()),0)</f>
        <v/>
      </c>
      <c r="E1138">
        <f>IFERROR(--INDEX('Term investments'!$E:$E,ROW()),0)</f>
        <v/>
      </c>
      <c r="F1138">
        <f>IFERROR(--INDEX('Term investments'!$F:$F,ROW()),0)</f>
        <v/>
      </c>
      <c r="G1138">
        <f>IFERROR(IF(--INDEX('Term investments'!$G:$G,ROW())&gt;=1,--INDEX('Term investments'!$G:$G,ROW())/100,--INDEX('Term investments'!$G:$G,ROW())),0)</f>
        <v/>
      </c>
      <c r="H1138">
        <f>IFERROR(--INDEX('Term investments'!$H:$H,ROW()),0)</f>
        <v/>
      </c>
      <c r="I1138">
        <f>IF(ISNUMBER(INDEX('Term investments'!$G:$G,ROW())),1,0)</f>
        <v/>
      </c>
      <c r="J1138">
        <f>TRIM(SUBSTITUTE(INDEX('Call accounts and MMFs'!$A:$A,ROW())&amp;""," "," "))</f>
        <v/>
      </c>
      <c r="K1138">
        <f>TRIM(SUBSTITUTE(INDEX('Call accounts and MMFs'!$B:$B,ROW())&amp;""," "," "))</f>
        <v/>
      </c>
      <c r="L1138">
        <f>TRIM(SUBSTITUTE(INDEX('Call accounts and MMFs'!$C:$C,ROW())&amp;""," "," "))</f>
        <v/>
      </c>
      <c r="M1138">
        <f>IFERROR(--INDEX('Call accounts and MMFs'!$D:$D,ROW()),0)</f>
        <v/>
      </c>
      <c r="N1138">
        <f>IFERROR(IF(--INDEX('Call accounts and MMFs'!$E:$E,ROW())&gt;=1,--INDEX('Call accounts and MMFs'!$E:$E,ROW())/100,--INDEX('Call accounts and MMFs'!$E:$E,ROW())),0)</f>
        <v/>
      </c>
      <c r="O1138">
        <f>IFERROR(--INDEX('Call accounts and MMFs'!$F:$F,ROW()),0)</f>
        <v/>
      </c>
      <c r="P1138">
        <f>IF(ISNUMBER(INDEX('Call accounts and MMFs'!$E:$E,ROW())),1,0)</f>
        <v/>
      </c>
      <c r="Q1138">
        <f>TRIM(SUBSTITUTE(INDEX('Pooled funds'!$B:$B,ROW())&amp;""," "," "))</f>
        <v/>
      </c>
      <c r="R1138">
        <f>IFERROR(--INDEX('Pooled funds'!$C:$C,ROW()),0)</f>
        <v/>
      </c>
      <c r="S1138">
        <f>IFERROR(--INDEX('Pooled funds'!$D:$D,ROW()),0)</f>
        <v/>
      </c>
      <c r="T1138">
        <f>IFERROR(IF(--INDEX('Pooled funds'!$E:$E,ROW())&gt;=1,--INDEX('Pooled funds'!$E:$E,ROW())/100,--INDEX('Pooled funds'!$E:$E,ROW())),0)</f>
        <v/>
      </c>
      <c r="U1138">
        <f>IF(ISNUMBER(INDEX('Pooled funds'!$E:$E,ROW())),1,0)</f>
        <v/>
      </c>
    </row>
    <row r="1139">
      <c r="A1139">
        <f>TRIM(SUBSTITUTE(INDEX('Term investments'!$A:$A,ROW())&amp;""," "," "))</f>
        <v/>
      </c>
      <c r="B1139">
        <f>TRIM(SUBSTITUTE(INDEX('Term investments'!$B:$B,ROW())&amp;""," "," "))</f>
        <v/>
      </c>
      <c r="C1139">
        <f>TRIM(SUBSTITUTE(INDEX('Term investments'!$C:$C,ROW())&amp;""," "," "))</f>
        <v/>
      </c>
      <c r="D1139">
        <f>IFERROR(--INDEX('Term investments'!$D:$D,ROW()),0)</f>
        <v/>
      </c>
      <c r="E1139">
        <f>IFERROR(--INDEX('Term investments'!$E:$E,ROW()),0)</f>
        <v/>
      </c>
      <c r="F1139">
        <f>IFERROR(--INDEX('Term investments'!$F:$F,ROW()),0)</f>
        <v/>
      </c>
      <c r="G1139">
        <f>IFERROR(IF(--INDEX('Term investments'!$G:$G,ROW())&gt;=1,--INDEX('Term investments'!$G:$G,ROW())/100,--INDEX('Term investments'!$G:$G,ROW())),0)</f>
        <v/>
      </c>
      <c r="H1139">
        <f>IFERROR(--INDEX('Term investments'!$H:$H,ROW()),0)</f>
        <v/>
      </c>
      <c r="I1139">
        <f>IF(ISNUMBER(INDEX('Term investments'!$G:$G,ROW())),1,0)</f>
        <v/>
      </c>
      <c r="J1139">
        <f>TRIM(SUBSTITUTE(INDEX('Call accounts and MMFs'!$A:$A,ROW())&amp;""," "," "))</f>
        <v/>
      </c>
      <c r="K1139">
        <f>TRIM(SUBSTITUTE(INDEX('Call accounts and MMFs'!$B:$B,ROW())&amp;""," "," "))</f>
        <v/>
      </c>
      <c r="L1139">
        <f>TRIM(SUBSTITUTE(INDEX('Call accounts and MMFs'!$C:$C,ROW())&amp;""," "," "))</f>
        <v/>
      </c>
      <c r="M1139">
        <f>IFERROR(--INDEX('Call accounts and MMFs'!$D:$D,ROW()),0)</f>
        <v/>
      </c>
      <c r="N1139">
        <f>IFERROR(IF(--INDEX('Call accounts and MMFs'!$E:$E,ROW())&gt;=1,--INDEX('Call accounts and MMFs'!$E:$E,ROW())/100,--INDEX('Call accounts and MMFs'!$E:$E,ROW())),0)</f>
        <v/>
      </c>
      <c r="O1139">
        <f>IFERROR(--INDEX('Call accounts and MMFs'!$F:$F,ROW()),0)</f>
        <v/>
      </c>
      <c r="P1139">
        <f>IF(ISNUMBER(INDEX('Call accounts and MMFs'!$E:$E,ROW())),1,0)</f>
        <v/>
      </c>
      <c r="Q1139">
        <f>TRIM(SUBSTITUTE(INDEX('Pooled funds'!$B:$B,ROW())&amp;""," "," "))</f>
        <v/>
      </c>
      <c r="R1139">
        <f>IFERROR(--INDEX('Pooled funds'!$C:$C,ROW()),0)</f>
        <v/>
      </c>
      <c r="S1139">
        <f>IFERROR(--INDEX('Pooled funds'!$D:$D,ROW()),0)</f>
        <v/>
      </c>
      <c r="T1139">
        <f>IFERROR(IF(--INDEX('Pooled funds'!$E:$E,ROW())&gt;=1,--INDEX('Pooled funds'!$E:$E,ROW())/100,--INDEX('Pooled funds'!$E:$E,ROW())),0)</f>
        <v/>
      </c>
      <c r="U1139">
        <f>IF(ISNUMBER(INDEX('Pooled funds'!$E:$E,ROW())),1,0)</f>
        <v/>
      </c>
    </row>
    <row r="1140">
      <c r="A1140">
        <f>TRIM(SUBSTITUTE(INDEX('Term investments'!$A:$A,ROW())&amp;""," "," "))</f>
        <v/>
      </c>
      <c r="B1140">
        <f>TRIM(SUBSTITUTE(INDEX('Term investments'!$B:$B,ROW())&amp;""," "," "))</f>
        <v/>
      </c>
      <c r="C1140">
        <f>TRIM(SUBSTITUTE(INDEX('Term investments'!$C:$C,ROW())&amp;""," "," "))</f>
        <v/>
      </c>
      <c r="D1140">
        <f>IFERROR(--INDEX('Term investments'!$D:$D,ROW()),0)</f>
        <v/>
      </c>
      <c r="E1140">
        <f>IFERROR(--INDEX('Term investments'!$E:$E,ROW()),0)</f>
        <v/>
      </c>
      <c r="F1140">
        <f>IFERROR(--INDEX('Term investments'!$F:$F,ROW()),0)</f>
        <v/>
      </c>
      <c r="G1140">
        <f>IFERROR(IF(--INDEX('Term investments'!$G:$G,ROW())&gt;=1,--INDEX('Term investments'!$G:$G,ROW())/100,--INDEX('Term investments'!$G:$G,ROW())),0)</f>
        <v/>
      </c>
      <c r="H1140">
        <f>IFERROR(--INDEX('Term investments'!$H:$H,ROW()),0)</f>
        <v/>
      </c>
      <c r="I1140">
        <f>IF(ISNUMBER(INDEX('Term investments'!$G:$G,ROW())),1,0)</f>
        <v/>
      </c>
      <c r="J1140">
        <f>TRIM(SUBSTITUTE(INDEX('Call accounts and MMFs'!$A:$A,ROW())&amp;""," "," "))</f>
        <v/>
      </c>
      <c r="K1140">
        <f>TRIM(SUBSTITUTE(INDEX('Call accounts and MMFs'!$B:$B,ROW())&amp;""," "," "))</f>
        <v/>
      </c>
      <c r="L1140">
        <f>TRIM(SUBSTITUTE(INDEX('Call accounts and MMFs'!$C:$C,ROW())&amp;""," "," "))</f>
        <v/>
      </c>
      <c r="M1140">
        <f>IFERROR(--INDEX('Call accounts and MMFs'!$D:$D,ROW()),0)</f>
        <v/>
      </c>
      <c r="N1140">
        <f>IFERROR(IF(--INDEX('Call accounts and MMFs'!$E:$E,ROW())&gt;=1,--INDEX('Call accounts and MMFs'!$E:$E,ROW())/100,--INDEX('Call accounts and MMFs'!$E:$E,ROW())),0)</f>
        <v/>
      </c>
      <c r="O1140">
        <f>IFERROR(--INDEX('Call accounts and MMFs'!$F:$F,ROW()),0)</f>
        <v/>
      </c>
      <c r="P1140">
        <f>IF(ISNUMBER(INDEX('Call accounts and MMFs'!$E:$E,ROW())),1,0)</f>
        <v/>
      </c>
      <c r="Q1140">
        <f>TRIM(SUBSTITUTE(INDEX('Pooled funds'!$B:$B,ROW())&amp;""," "," "))</f>
        <v/>
      </c>
      <c r="R1140">
        <f>IFERROR(--INDEX('Pooled funds'!$C:$C,ROW()),0)</f>
        <v/>
      </c>
      <c r="S1140">
        <f>IFERROR(--INDEX('Pooled funds'!$D:$D,ROW()),0)</f>
        <v/>
      </c>
      <c r="T1140">
        <f>IFERROR(IF(--INDEX('Pooled funds'!$E:$E,ROW())&gt;=1,--INDEX('Pooled funds'!$E:$E,ROW())/100,--INDEX('Pooled funds'!$E:$E,ROW())),0)</f>
        <v/>
      </c>
      <c r="U1140">
        <f>IF(ISNUMBER(INDEX('Pooled funds'!$E:$E,ROW())),1,0)</f>
        <v/>
      </c>
    </row>
    <row r="1141">
      <c r="A1141">
        <f>TRIM(SUBSTITUTE(INDEX('Term investments'!$A:$A,ROW())&amp;""," "," "))</f>
        <v/>
      </c>
      <c r="B1141">
        <f>TRIM(SUBSTITUTE(INDEX('Term investments'!$B:$B,ROW())&amp;""," "," "))</f>
        <v/>
      </c>
      <c r="C1141">
        <f>TRIM(SUBSTITUTE(INDEX('Term investments'!$C:$C,ROW())&amp;""," "," "))</f>
        <v/>
      </c>
      <c r="D1141">
        <f>IFERROR(--INDEX('Term investments'!$D:$D,ROW()),0)</f>
        <v/>
      </c>
      <c r="E1141">
        <f>IFERROR(--INDEX('Term investments'!$E:$E,ROW()),0)</f>
        <v/>
      </c>
      <c r="F1141">
        <f>IFERROR(--INDEX('Term investments'!$F:$F,ROW()),0)</f>
        <v/>
      </c>
      <c r="G1141">
        <f>IFERROR(IF(--INDEX('Term investments'!$G:$G,ROW())&gt;=1,--INDEX('Term investments'!$G:$G,ROW())/100,--INDEX('Term investments'!$G:$G,ROW())),0)</f>
        <v/>
      </c>
      <c r="H1141">
        <f>IFERROR(--INDEX('Term investments'!$H:$H,ROW()),0)</f>
        <v/>
      </c>
      <c r="I1141">
        <f>IF(ISNUMBER(INDEX('Term investments'!$G:$G,ROW())),1,0)</f>
        <v/>
      </c>
      <c r="J1141">
        <f>TRIM(SUBSTITUTE(INDEX('Call accounts and MMFs'!$A:$A,ROW())&amp;""," "," "))</f>
        <v/>
      </c>
      <c r="K1141">
        <f>TRIM(SUBSTITUTE(INDEX('Call accounts and MMFs'!$B:$B,ROW())&amp;""," "," "))</f>
        <v/>
      </c>
      <c r="L1141">
        <f>TRIM(SUBSTITUTE(INDEX('Call accounts and MMFs'!$C:$C,ROW())&amp;""," "," "))</f>
        <v/>
      </c>
      <c r="M1141">
        <f>IFERROR(--INDEX('Call accounts and MMFs'!$D:$D,ROW()),0)</f>
        <v/>
      </c>
      <c r="N1141">
        <f>IFERROR(IF(--INDEX('Call accounts and MMFs'!$E:$E,ROW())&gt;=1,--INDEX('Call accounts and MMFs'!$E:$E,ROW())/100,--INDEX('Call accounts and MMFs'!$E:$E,ROW())),0)</f>
        <v/>
      </c>
      <c r="O1141">
        <f>IFERROR(--INDEX('Call accounts and MMFs'!$F:$F,ROW()),0)</f>
        <v/>
      </c>
      <c r="P1141">
        <f>IF(ISNUMBER(INDEX('Call accounts and MMFs'!$E:$E,ROW())),1,0)</f>
        <v/>
      </c>
      <c r="Q1141">
        <f>TRIM(SUBSTITUTE(INDEX('Pooled funds'!$B:$B,ROW())&amp;""," "," "))</f>
        <v/>
      </c>
      <c r="R1141">
        <f>IFERROR(--INDEX('Pooled funds'!$C:$C,ROW()),0)</f>
        <v/>
      </c>
      <c r="S1141">
        <f>IFERROR(--INDEX('Pooled funds'!$D:$D,ROW()),0)</f>
        <v/>
      </c>
      <c r="T1141">
        <f>IFERROR(IF(--INDEX('Pooled funds'!$E:$E,ROW())&gt;=1,--INDEX('Pooled funds'!$E:$E,ROW())/100,--INDEX('Pooled funds'!$E:$E,ROW())),0)</f>
        <v/>
      </c>
      <c r="U1141">
        <f>IF(ISNUMBER(INDEX('Pooled funds'!$E:$E,ROW())),1,0)</f>
        <v/>
      </c>
    </row>
    <row r="1142">
      <c r="A1142">
        <f>TRIM(SUBSTITUTE(INDEX('Term investments'!$A:$A,ROW())&amp;""," "," "))</f>
        <v/>
      </c>
      <c r="B1142">
        <f>TRIM(SUBSTITUTE(INDEX('Term investments'!$B:$B,ROW())&amp;""," "," "))</f>
        <v/>
      </c>
      <c r="C1142">
        <f>TRIM(SUBSTITUTE(INDEX('Term investments'!$C:$C,ROW())&amp;""," "," "))</f>
        <v/>
      </c>
      <c r="D1142">
        <f>IFERROR(--INDEX('Term investments'!$D:$D,ROW()),0)</f>
        <v/>
      </c>
      <c r="E1142">
        <f>IFERROR(--INDEX('Term investments'!$E:$E,ROW()),0)</f>
        <v/>
      </c>
      <c r="F1142">
        <f>IFERROR(--INDEX('Term investments'!$F:$F,ROW()),0)</f>
        <v/>
      </c>
      <c r="G1142">
        <f>IFERROR(IF(--INDEX('Term investments'!$G:$G,ROW())&gt;=1,--INDEX('Term investments'!$G:$G,ROW())/100,--INDEX('Term investments'!$G:$G,ROW())),0)</f>
        <v/>
      </c>
      <c r="H1142">
        <f>IFERROR(--INDEX('Term investments'!$H:$H,ROW()),0)</f>
        <v/>
      </c>
      <c r="I1142">
        <f>IF(ISNUMBER(INDEX('Term investments'!$G:$G,ROW())),1,0)</f>
        <v/>
      </c>
      <c r="J1142">
        <f>TRIM(SUBSTITUTE(INDEX('Call accounts and MMFs'!$A:$A,ROW())&amp;""," "," "))</f>
        <v/>
      </c>
      <c r="K1142">
        <f>TRIM(SUBSTITUTE(INDEX('Call accounts and MMFs'!$B:$B,ROW())&amp;""," "," "))</f>
        <v/>
      </c>
      <c r="L1142">
        <f>TRIM(SUBSTITUTE(INDEX('Call accounts and MMFs'!$C:$C,ROW())&amp;""," "," "))</f>
        <v/>
      </c>
      <c r="M1142">
        <f>IFERROR(--INDEX('Call accounts and MMFs'!$D:$D,ROW()),0)</f>
        <v/>
      </c>
      <c r="N1142">
        <f>IFERROR(IF(--INDEX('Call accounts and MMFs'!$E:$E,ROW())&gt;=1,--INDEX('Call accounts and MMFs'!$E:$E,ROW())/100,--INDEX('Call accounts and MMFs'!$E:$E,ROW())),0)</f>
        <v/>
      </c>
      <c r="O1142">
        <f>IFERROR(--INDEX('Call accounts and MMFs'!$F:$F,ROW()),0)</f>
        <v/>
      </c>
      <c r="P1142">
        <f>IF(ISNUMBER(INDEX('Call accounts and MMFs'!$E:$E,ROW())),1,0)</f>
        <v/>
      </c>
      <c r="Q1142">
        <f>TRIM(SUBSTITUTE(INDEX('Pooled funds'!$B:$B,ROW())&amp;""," "," "))</f>
        <v/>
      </c>
      <c r="R1142">
        <f>IFERROR(--INDEX('Pooled funds'!$C:$C,ROW()),0)</f>
        <v/>
      </c>
      <c r="S1142">
        <f>IFERROR(--INDEX('Pooled funds'!$D:$D,ROW()),0)</f>
        <v/>
      </c>
      <c r="T1142">
        <f>IFERROR(IF(--INDEX('Pooled funds'!$E:$E,ROW())&gt;=1,--INDEX('Pooled funds'!$E:$E,ROW())/100,--INDEX('Pooled funds'!$E:$E,ROW())),0)</f>
        <v/>
      </c>
      <c r="U1142">
        <f>IF(ISNUMBER(INDEX('Pooled funds'!$E:$E,ROW())),1,0)</f>
        <v/>
      </c>
    </row>
    <row r="1143">
      <c r="A1143">
        <f>TRIM(SUBSTITUTE(INDEX('Term investments'!$A:$A,ROW())&amp;""," "," "))</f>
        <v/>
      </c>
      <c r="B1143">
        <f>TRIM(SUBSTITUTE(INDEX('Term investments'!$B:$B,ROW())&amp;""," "," "))</f>
        <v/>
      </c>
      <c r="C1143">
        <f>TRIM(SUBSTITUTE(INDEX('Term investments'!$C:$C,ROW())&amp;""," "," "))</f>
        <v/>
      </c>
      <c r="D1143">
        <f>IFERROR(--INDEX('Term investments'!$D:$D,ROW()),0)</f>
        <v/>
      </c>
      <c r="E1143">
        <f>IFERROR(--INDEX('Term investments'!$E:$E,ROW()),0)</f>
        <v/>
      </c>
      <c r="F1143">
        <f>IFERROR(--INDEX('Term investments'!$F:$F,ROW()),0)</f>
        <v/>
      </c>
      <c r="G1143">
        <f>IFERROR(IF(--INDEX('Term investments'!$G:$G,ROW())&gt;=1,--INDEX('Term investments'!$G:$G,ROW())/100,--INDEX('Term investments'!$G:$G,ROW())),0)</f>
        <v/>
      </c>
      <c r="H1143">
        <f>IFERROR(--INDEX('Term investments'!$H:$H,ROW()),0)</f>
        <v/>
      </c>
      <c r="I1143">
        <f>IF(ISNUMBER(INDEX('Term investments'!$G:$G,ROW())),1,0)</f>
        <v/>
      </c>
      <c r="J1143">
        <f>TRIM(SUBSTITUTE(INDEX('Call accounts and MMFs'!$A:$A,ROW())&amp;""," "," "))</f>
        <v/>
      </c>
      <c r="K1143">
        <f>TRIM(SUBSTITUTE(INDEX('Call accounts and MMFs'!$B:$B,ROW())&amp;""," "," "))</f>
        <v/>
      </c>
      <c r="L1143">
        <f>TRIM(SUBSTITUTE(INDEX('Call accounts and MMFs'!$C:$C,ROW())&amp;""," "," "))</f>
        <v/>
      </c>
      <c r="M1143">
        <f>IFERROR(--INDEX('Call accounts and MMFs'!$D:$D,ROW()),0)</f>
        <v/>
      </c>
      <c r="N1143">
        <f>IFERROR(IF(--INDEX('Call accounts and MMFs'!$E:$E,ROW())&gt;=1,--INDEX('Call accounts and MMFs'!$E:$E,ROW())/100,--INDEX('Call accounts and MMFs'!$E:$E,ROW())),0)</f>
        <v/>
      </c>
      <c r="O1143">
        <f>IFERROR(--INDEX('Call accounts and MMFs'!$F:$F,ROW()),0)</f>
        <v/>
      </c>
      <c r="P1143">
        <f>IF(ISNUMBER(INDEX('Call accounts and MMFs'!$E:$E,ROW())),1,0)</f>
        <v/>
      </c>
      <c r="Q1143">
        <f>TRIM(SUBSTITUTE(INDEX('Pooled funds'!$B:$B,ROW())&amp;""," "," "))</f>
        <v/>
      </c>
      <c r="R1143">
        <f>IFERROR(--INDEX('Pooled funds'!$C:$C,ROW()),0)</f>
        <v/>
      </c>
      <c r="S1143">
        <f>IFERROR(--INDEX('Pooled funds'!$D:$D,ROW()),0)</f>
        <v/>
      </c>
      <c r="T1143">
        <f>IFERROR(IF(--INDEX('Pooled funds'!$E:$E,ROW())&gt;=1,--INDEX('Pooled funds'!$E:$E,ROW())/100,--INDEX('Pooled funds'!$E:$E,ROW())),0)</f>
        <v/>
      </c>
      <c r="U1143">
        <f>IF(ISNUMBER(INDEX('Pooled funds'!$E:$E,ROW())),1,0)</f>
        <v/>
      </c>
    </row>
    <row r="1144">
      <c r="A1144">
        <f>TRIM(SUBSTITUTE(INDEX('Term investments'!$A:$A,ROW())&amp;""," "," "))</f>
        <v/>
      </c>
      <c r="B1144">
        <f>TRIM(SUBSTITUTE(INDEX('Term investments'!$B:$B,ROW())&amp;""," "," "))</f>
        <v/>
      </c>
      <c r="C1144">
        <f>TRIM(SUBSTITUTE(INDEX('Term investments'!$C:$C,ROW())&amp;""," "," "))</f>
        <v/>
      </c>
      <c r="D1144">
        <f>IFERROR(--INDEX('Term investments'!$D:$D,ROW()),0)</f>
        <v/>
      </c>
      <c r="E1144">
        <f>IFERROR(--INDEX('Term investments'!$E:$E,ROW()),0)</f>
        <v/>
      </c>
      <c r="F1144">
        <f>IFERROR(--INDEX('Term investments'!$F:$F,ROW()),0)</f>
        <v/>
      </c>
      <c r="G1144">
        <f>IFERROR(IF(--INDEX('Term investments'!$G:$G,ROW())&gt;=1,--INDEX('Term investments'!$G:$G,ROW())/100,--INDEX('Term investments'!$G:$G,ROW())),0)</f>
        <v/>
      </c>
      <c r="H1144">
        <f>IFERROR(--INDEX('Term investments'!$H:$H,ROW()),0)</f>
        <v/>
      </c>
      <c r="I1144">
        <f>IF(ISNUMBER(INDEX('Term investments'!$G:$G,ROW())),1,0)</f>
        <v/>
      </c>
      <c r="J1144">
        <f>TRIM(SUBSTITUTE(INDEX('Call accounts and MMFs'!$A:$A,ROW())&amp;""," "," "))</f>
        <v/>
      </c>
      <c r="K1144">
        <f>TRIM(SUBSTITUTE(INDEX('Call accounts and MMFs'!$B:$B,ROW())&amp;""," "," "))</f>
        <v/>
      </c>
      <c r="L1144">
        <f>TRIM(SUBSTITUTE(INDEX('Call accounts and MMFs'!$C:$C,ROW())&amp;""," "," "))</f>
        <v/>
      </c>
      <c r="M1144">
        <f>IFERROR(--INDEX('Call accounts and MMFs'!$D:$D,ROW()),0)</f>
        <v/>
      </c>
      <c r="N1144">
        <f>IFERROR(IF(--INDEX('Call accounts and MMFs'!$E:$E,ROW())&gt;=1,--INDEX('Call accounts and MMFs'!$E:$E,ROW())/100,--INDEX('Call accounts and MMFs'!$E:$E,ROW())),0)</f>
        <v/>
      </c>
      <c r="O1144">
        <f>IFERROR(--INDEX('Call accounts and MMFs'!$F:$F,ROW()),0)</f>
        <v/>
      </c>
      <c r="P1144">
        <f>IF(ISNUMBER(INDEX('Call accounts and MMFs'!$E:$E,ROW())),1,0)</f>
        <v/>
      </c>
      <c r="Q1144">
        <f>TRIM(SUBSTITUTE(INDEX('Pooled funds'!$B:$B,ROW())&amp;""," "," "))</f>
        <v/>
      </c>
      <c r="R1144">
        <f>IFERROR(--INDEX('Pooled funds'!$C:$C,ROW()),0)</f>
        <v/>
      </c>
      <c r="S1144">
        <f>IFERROR(--INDEX('Pooled funds'!$D:$D,ROW()),0)</f>
        <v/>
      </c>
      <c r="T1144">
        <f>IFERROR(IF(--INDEX('Pooled funds'!$E:$E,ROW())&gt;=1,--INDEX('Pooled funds'!$E:$E,ROW())/100,--INDEX('Pooled funds'!$E:$E,ROW())),0)</f>
        <v/>
      </c>
      <c r="U1144">
        <f>IF(ISNUMBER(INDEX('Pooled funds'!$E:$E,ROW())),1,0)</f>
        <v/>
      </c>
    </row>
    <row r="1145">
      <c r="A1145">
        <f>TRIM(SUBSTITUTE(INDEX('Term investments'!$A:$A,ROW())&amp;""," "," "))</f>
        <v/>
      </c>
      <c r="B1145">
        <f>TRIM(SUBSTITUTE(INDEX('Term investments'!$B:$B,ROW())&amp;""," "," "))</f>
        <v/>
      </c>
      <c r="C1145">
        <f>TRIM(SUBSTITUTE(INDEX('Term investments'!$C:$C,ROW())&amp;""," "," "))</f>
        <v/>
      </c>
      <c r="D1145">
        <f>IFERROR(--INDEX('Term investments'!$D:$D,ROW()),0)</f>
        <v/>
      </c>
      <c r="E1145">
        <f>IFERROR(--INDEX('Term investments'!$E:$E,ROW()),0)</f>
        <v/>
      </c>
      <c r="F1145">
        <f>IFERROR(--INDEX('Term investments'!$F:$F,ROW()),0)</f>
        <v/>
      </c>
      <c r="G1145">
        <f>IFERROR(IF(--INDEX('Term investments'!$G:$G,ROW())&gt;=1,--INDEX('Term investments'!$G:$G,ROW())/100,--INDEX('Term investments'!$G:$G,ROW())),0)</f>
        <v/>
      </c>
      <c r="H1145">
        <f>IFERROR(--INDEX('Term investments'!$H:$H,ROW()),0)</f>
        <v/>
      </c>
      <c r="I1145">
        <f>IF(ISNUMBER(INDEX('Term investments'!$G:$G,ROW())),1,0)</f>
        <v/>
      </c>
      <c r="J1145">
        <f>TRIM(SUBSTITUTE(INDEX('Call accounts and MMFs'!$A:$A,ROW())&amp;""," "," "))</f>
        <v/>
      </c>
      <c r="K1145">
        <f>TRIM(SUBSTITUTE(INDEX('Call accounts and MMFs'!$B:$B,ROW())&amp;""," "," "))</f>
        <v/>
      </c>
      <c r="L1145">
        <f>TRIM(SUBSTITUTE(INDEX('Call accounts and MMFs'!$C:$C,ROW())&amp;""," "," "))</f>
        <v/>
      </c>
      <c r="M1145">
        <f>IFERROR(--INDEX('Call accounts and MMFs'!$D:$D,ROW()),0)</f>
        <v/>
      </c>
      <c r="N1145">
        <f>IFERROR(IF(--INDEX('Call accounts and MMFs'!$E:$E,ROW())&gt;=1,--INDEX('Call accounts and MMFs'!$E:$E,ROW())/100,--INDEX('Call accounts and MMFs'!$E:$E,ROW())),0)</f>
        <v/>
      </c>
      <c r="O1145">
        <f>IFERROR(--INDEX('Call accounts and MMFs'!$F:$F,ROW()),0)</f>
        <v/>
      </c>
      <c r="P1145">
        <f>IF(ISNUMBER(INDEX('Call accounts and MMFs'!$E:$E,ROW())),1,0)</f>
        <v/>
      </c>
      <c r="Q1145">
        <f>TRIM(SUBSTITUTE(INDEX('Pooled funds'!$B:$B,ROW())&amp;""," "," "))</f>
        <v/>
      </c>
      <c r="R1145">
        <f>IFERROR(--INDEX('Pooled funds'!$C:$C,ROW()),0)</f>
        <v/>
      </c>
      <c r="S1145">
        <f>IFERROR(--INDEX('Pooled funds'!$D:$D,ROW()),0)</f>
        <v/>
      </c>
      <c r="T1145">
        <f>IFERROR(IF(--INDEX('Pooled funds'!$E:$E,ROW())&gt;=1,--INDEX('Pooled funds'!$E:$E,ROW())/100,--INDEX('Pooled funds'!$E:$E,ROW())),0)</f>
        <v/>
      </c>
      <c r="U1145">
        <f>IF(ISNUMBER(INDEX('Pooled funds'!$E:$E,ROW())),1,0)</f>
        <v/>
      </c>
    </row>
    <row r="1146">
      <c r="A1146">
        <f>TRIM(SUBSTITUTE(INDEX('Term investments'!$A:$A,ROW())&amp;""," "," "))</f>
        <v/>
      </c>
      <c r="B1146">
        <f>TRIM(SUBSTITUTE(INDEX('Term investments'!$B:$B,ROW())&amp;""," "," "))</f>
        <v/>
      </c>
      <c r="C1146">
        <f>TRIM(SUBSTITUTE(INDEX('Term investments'!$C:$C,ROW())&amp;""," "," "))</f>
        <v/>
      </c>
      <c r="D1146">
        <f>IFERROR(--INDEX('Term investments'!$D:$D,ROW()),0)</f>
        <v/>
      </c>
      <c r="E1146">
        <f>IFERROR(--INDEX('Term investments'!$E:$E,ROW()),0)</f>
        <v/>
      </c>
      <c r="F1146">
        <f>IFERROR(--INDEX('Term investments'!$F:$F,ROW()),0)</f>
        <v/>
      </c>
      <c r="G1146">
        <f>IFERROR(IF(--INDEX('Term investments'!$G:$G,ROW())&gt;=1,--INDEX('Term investments'!$G:$G,ROW())/100,--INDEX('Term investments'!$G:$G,ROW())),0)</f>
        <v/>
      </c>
      <c r="H1146">
        <f>IFERROR(--INDEX('Term investments'!$H:$H,ROW()),0)</f>
        <v/>
      </c>
      <c r="I1146">
        <f>IF(ISNUMBER(INDEX('Term investments'!$G:$G,ROW())),1,0)</f>
        <v/>
      </c>
      <c r="J1146">
        <f>TRIM(SUBSTITUTE(INDEX('Call accounts and MMFs'!$A:$A,ROW())&amp;""," "," "))</f>
        <v/>
      </c>
      <c r="K1146">
        <f>TRIM(SUBSTITUTE(INDEX('Call accounts and MMFs'!$B:$B,ROW())&amp;""," "," "))</f>
        <v/>
      </c>
      <c r="L1146">
        <f>TRIM(SUBSTITUTE(INDEX('Call accounts and MMFs'!$C:$C,ROW())&amp;""," "," "))</f>
        <v/>
      </c>
      <c r="M1146">
        <f>IFERROR(--INDEX('Call accounts and MMFs'!$D:$D,ROW()),0)</f>
        <v/>
      </c>
      <c r="N1146">
        <f>IFERROR(IF(--INDEX('Call accounts and MMFs'!$E:$E,ROW())&gt;=1,--INDEX('Call accounts and MMFs'!$E:$E,ROW())/100,--INDEX('Call accounts and MMFs'!$E:$E,ROW())),0)</f>
        <v/>
      </c>
      <c r="O1146">
        <f>IFERROR(--INDEX('Call accounts and MMFs'!$F:$F,ROW()),0)</f>
        <v/>
      </c>
      <c r="P1146">
        <f>IF(ISNUMBER(INDEX('Call accounts and MMFs'!$E:$E,ROW())),1,0)</f>
        <v/>
      </c>
      <c r="Q1146">
        <f>TRIM(SUBSTITUTE(INDEX('Pooled funds'!$B:$B,ROW())&amp;""," "," "))</f>
        <v/>
      </c>
      <c r="R1146">
        <f>IFERROR(--INDEX('Pooled funds'!$C:$C,ROW()),0)</f>
        <v/>
      </c>
      <c r="S1146">
        <f>IFERROR(--INDEX('Pooled funds'!$D:$D,ROW()),0)</f>
        <v/>
      </c>
      <c r="T1146">
        <f>IFERROR(IF(--INDEX('Pooled funds'!$E:$E,ROW())&gt;=1,--INDEX('Pooled funds'!$E:$E,ROW())/100,--INDEX('Pooled funds'!$E:$E,ROW())),0)</f>
        <v/>
      </c>
      <c r="U1146">
        <f>IF(ISNUMBER(INDEX('Pooled funds'!$E:$E,ROW())),1,0)</f>
        <v/>
      </c>
    </row>
    <row r="1147">
      <c r="A1147">
        <f>TRIM(SUBSTITUTE(INDEX('Term investments'!$A:$A,ROW())&amp;""," "," "))</f>
        <v/>
      </c>
      <c r="B1147">
        <f>TRIM(SUBSTITUTE(INDEX('Term investments'!$B:$B,ROW())&amp;""," "," "))</f>
        <v/>
      </c>
      <c r="C1147">
        <f>TRIM(SUBSTITUTE(INDEX('Term investments'!$C:$C,ROW())&amp;""," "," "))</f>
        <v/>
      </c>
      <c r="D1147">
        <f>IFERROR(--INDEX('Term investments'!$D:$D,ROW()),0)</f>
        <v/>
      </c>
      <c r="E1147">
        <f>IFERROR(--INDEX('Term investments'!$E:$E,ROW()),0)</f>
        <v/>
      </c>
      <c r="F1147">
        <f>IFERROR(--INDEX('Term investments'!$F:$F,ROW()),0)</f>
        <v/>
      </c>
      <c r="G1147">
        <f>IFERROR(IF(--INDEX('Term investments'!$G:$G,ROW())&gt;=1,--INDEX('Term investments'!$G:$G,ROW())/100,--INDEX('Term investments'!$G:$G,ROW())),0)</f>
        <v/>
      </c>
      <c r="H1147">
        <f>IFERROR(--INDEX('Term investments'!$H:$H,ROW()),0)</f>
        <v/>
      </c>
      <c r="I1147">
        <f>IF(ISNUMBER(INDEX('Term investments'!$G:$G,ROW())),1,0)</f>
        <v/>
      </c>
      <c r="J1147">
        <f>TRIM(SUBSTITUTE(INDEX('Call accounts and MMFs'!$A:$A,ROW())&amp;""," "," "))</f>
        <v/>
      </c>
      <c r="K1147">
        <f>TRIM(SUBSTITUTE(INDEX('Call accounts and MMFs'!$B:$B,ROW())&amp;""," "," "))</f>
        <v/>
      </c>
      <c r="L1147">
        <f>TRIM(SUBSTITUTE(INDEX('Call accounts and MMFs'!$C:$C,ROW())&amp;""," "," "))</f>
        <v/>
      </c>
      <c r="M1147">
        <f>IFERROR(--INDEX('Call accounts and MMFs'!$D:$D,ROW()),0)</f>
        <v/>
      </c>
      <c r="N1147">
        <f>IFERROR(IF(--INDEX('Call accounts and MMFs'!$E:$E,ROW())&gt;=1,--INDEX('Call accounts and MMFs'!$E:$E,ROW())/100,--INDEX('Call accounts and MMFs'!$E:$E,ROW())),0)</f>
        <v/>
      </c>
      <c r="O1147">
        <f>IFERROR(--INDEX('Call accounts and MMFs'!$F:$F,ROW()),0)</f>
        <v/>
      </c>
      <c r="P1147">
        <f>IF(ISNUMBER(INDEX('Call accounts and MMFs'!$E:$E,ROW())),1,0)</f>
        <v/>
      </c>
      <c r="Q1147">
        <f>TRIM(SUBSTITUTE(INDEX('Pooled funds'!$B:$B,ROW())&amp;""," "," "))</f>
        <v/>
      </c>
      <c r="R1147">
        <f>IFERROR(--INDEX('Pooled funds'!$C:$C,ROW()),0)</f>
        <v/>
      </c>
      <c r="S1147">
        <f>IFERROR(--INDEX('Pooled funds'!$D:$D,ROW()),0)</f>
        <v/>
      </c>
      <c r="T1147">
        <f>IFERROR(IF(--INDEX('Pooled funds'!$E:$E,ROW())&gt;=1,--INDEX('Pooled funds'!$E:$E,ROW())/100,--INDEX('Pooled funds'!$E:$E,ROW())),0)</f>
        <v/>
      </c>
      <c r="U1147">
        <f>IF(ISNUMBER(INDEX('Pooled funds'!$E:$E,ROW())),1,0)</f>
        <v/>
      </c>
    </row>
    <row r="1148">
      <c r="A1148">
        <f>TRIM(SUBSTITUTE(INDEX('Term investments'!$A:$A,ROW())&amp;""," "," "))</f>
        <v/>
      </c>
      <c r="B1148">
        <f>TRIM(SUBSTITUTE(INDEX('Term investments'!$B:$B,ROW())&amp;""," "," "))</f>
        <v/>
      </c>
      <c r="C1148">
        <f>TRIM(SUBSTITUTE(INDEX('Term investments'!$C:$C,ROW())&amp;""," "," "))</f>
        <v/>
      </c>
      <c r="D1148">
        <f>IFERROR(--INDEX('Term investments'!$D:$D,ROW()),0)</f>
        <v/>
      </c>
      <c r="E1148">
        <f>IFERROR(--INDEX('Term investments'!$E:$E,ROW()),0)</f>
        <v/>
      </c>
      <c r="F1148">
        <f>IFERROR(--INDEX('Term investments'!$F:$F,ROW()),0)</f>
        <v/>
      </c>
      <c r="G1148">
        <f>IFERROR(IF(--INDEX('Term investments'!$G:$G,ROW())&gt;=1,--INDEX('Term investments'!$G:$G,ROW())/100,--INDEX('Term investments'!$G:$G,ROW())),0)</f>
        <v/>
      </c>
      <c r="H1148">
        <f>IFERROR(--INDEX('Term investments'!$H:$H,ROW()),0)</f>
        <v/>
      </c>
      <c r="I1148">
        <f>IF(ISNUMBER(INDEX('Term investments'!$G:$G,ROW())),1,0)</f>
        <v/>
      </c>
      <c r="J1148">
        <f>TRIM(SUBSTITUTE(INDEX('Call accounts and MMFs'!$A:$A,ROW())&amp;""," "," "))</f>
        <v/>
      </c>
      <c r="K1148">
        <f>TRIM(SUBSTITUTE(INDEX('Call accounts and MMFs'!$B:$B,ROW())&amp;""," "," "))</f>
        <v/>
      </c>
      <c r="L1148">
        <f>TRIM(SUBSTITUTE(INDEX('Call accounts and MMFs'!$C:$C,ROW())&amp;""," "," "))</f>
        <v/>
      </c>
      <c r="M1148">
        <f>IFERROR(--INDEX('Call accounts and MMFs'!$D:$D,ROW()),0)</f>
        <v/>
      </c>
      <c r="N1148">
        <f>IFERROR(IF(--INDEX('Call accounts and MMFs'!$E:$E,ROW())&gt;=1,--INDEX('Call accounts and MMFs'!$E:$E,ROW())/100,--INDEX('Call accounts and MMFs'!$E:$E,ROW())),0)</f>
        <v/>
      </c>
      <c r="O1148">
        <f>IFERROR(--INDEX('Call accounts and MMFs'!$F:$F,ROW()),0)</f>
        <v/>
      </c>
      <c r="P1148">
        <f>IF(ISNUMBER(INDEX('Call accounts and MMFs'!$E:$E,ROW())),1,0)</f>
        <v/>
      </c>
      <c r="Q1148">
        <f>TRIM(SUBSTITUTE(INDEX('Pooled funds'!$B:$B,ROW())&amp;""," "," "))</f>
        <v/>
      </c>
      <c r="R1148">
        <f>IFERROR(--INDEX('Pooled funds'!$C:$C,ROW()),0)</f>
        <v/>
      </c>
      <c r="S1148">
        <f>IFERROR(--INDEX('Pooled funds'!$D:$D,ROW()),0)</f>
        <v/>
      </c>
      <c r="T1148">
        <f>IFERROR(IF(--INDEX('Pooled funds'!$E:$E,ROW())&gt;=1,--INDEX('Pooled funds'!$E:$E,ROW())/100,--INDEX('Pooled funds'!$E:$E,ROW())),0)</f>
        <v/>
      </c>
      <c r="U1148">
        <f>IF(ISNUMBER(INDEX('Pooled funds'!$E:$E,ROW())),1,0)</f>
        <v/>
      </c>
    </row>
    <row r="1149">
      <c r="A1149">
        <f>TRIM(SUBSTITUTE(INDEX('Term investments'!$A:$A,ROW())&amp;""," "," "))</f>
        <v/>
      </c>
      <c r="B1149">
        <f>TRIM(SUBSTITUTE(INDEX('Term investments'!$B:$B,ROW())&amp;""," "," "))</f>
        <v/>
      </c>
      <c r="C1149">
        <f>TRIM(SUBSTITUTE(INDEX('Term investments'!$C:$C,ROW())&amp;""," "," "))</f>
        <v/>
      </c>
      <c r="D1149">
        <f>IFERROR(--INDEX('Term investments'!$D:$D,ROW()),0)</f>
        <v/>
      </c>
      <c r="E1149">
        <f>IFERROR(--INDEX('Term investments'!$E:$E,ROW()),0)</f>
        <v/>
      </c>
      <c r="F1149">
        <f>IFERROR(--INDEX('Term investments'!$F:$F,ROW()),0)</f>
        <v/>
      </c>
      <c r="G1149">
        <f>IFERROR(IF(--INDEX('Term investments'!$G:$G,ROW())&gt;=1,--INDEX('Term investments'!$G:$G,ROW())/100,--INDEX('Term investments'!$G:$G,ROW())),0)</f>
        <v/>
      </c>
      <c r="H1149">
        <f>IFERROR(--INDEX('Term investments'!$H:$H,ROW()),0)</f>
        <v/>
      </c>
      <c r="I1149">
        <f>IF(ISNUMBER(INDEX('Term investments'!$G:$G,ROW())),1,0)</f>
        <v/>
      </c>
      <c r="J1149">
        <f>TRIM(SUBSTITUTE(INDEX('Call accounts and MMFs'!$A:$A,ROW())&amp;""," "," "))</f>
        <v/>
      </c>
      <c r="K1149">
        <f>TRIM(SUBSTITUTE(INDEX('Call accounts and MMFs'!$B:$B,ROW())&amp;""," "," "))</f>
        <v/>
      </c>
      <c r="L1149">
        <f>TRIM(SUBSTITUTE(INDEX('Call accounts and MMFs'!$C:$C,ROW())&amp;""," "," "))</f>
        <v/>
      </c>
      <c r="M1149">
        <f>IFERROR(--INDEX('Call accounts and MMFs'!$D:$D,ROW()),0)</f>
        <v/>
      </c>
      <c r="N1149">
        <f>IFERROR(IF(--INDEX('Call accounts and MMFs'!$E:$E,ROW())&gt;=1,--INDEX('Call accounts and MMFs'!$E:$E,ROW())/100,--INDEX('Call accounts and MMFs'!$E:$E,ROW())),0)</f>
        <v/>
      </c>
      <c r="O1149">
        <f>IFERROR(--INDEX('Call accounts and MMFs'!$F:$F,ROW()),0)</f>
        <v/>
      </c>
      <c r="P1149">
        <f>IF(ISNUMBER(INDEX('Call accounts and MMFs'!$E:$E,ROW())),1,0)</f>
        <v/>
      </c>
      <c r="Q1149">
        <f>TRIM(SUBSTITUTE(INDEX('Pooled funds'!$B:$B,ROW())&amp;""," "," "))</f>
        <v/>
      </c>
      <c r="R1149">
        <f>IFERROR(--INDEX('Pooled funds'!$C:$C,ROW()),0)</f>
        <v/>
      </c>
      <c r="S1149">
        <f>IFERROR(--INDEX('Pooled funds'!$D:$D,ROW()),0)</f>
        <v/>
      </c>
      <c r="T1149">
        <f>IFERROR(IF(--INDEX('Pooled funds'!$E:$E,ROW())&gt;=1,--INDEX('Pooled funds'!$E:$E,ROW())/100,--INDEX('Pooled funds'!$E:$E,ROW())),0)</f>
        <v/>
      </c>
      <c r="U1149">
        <f>IF(ISNUMBER(INDEX('Pooled funds'!$E:$E,ROW())),1,0)</f>
        <v/>
      </c>
    </row>
    <row r="1150">
      <c r="A1150">
        <f>TRIM(SUBSTITUTE(INDEX('Term investments'!$A:$A,ROW())&amp;""," "," "))</f>
        <v/>
      </c>
      <c r="B1150">
        <f>TRIM(SUBSTITUTE(INDEX('Term investments'!$B:$B,ROW())&amp;""," "," "))</f>
        <v/>
      </c>
      <c r="C1150">
        <f>TRIM(SUBSTITUTE(INDEX('Term investments'!$C:$C,ROW())&amp;""," "," "))</f>
        <v/>
      </c>
      <c r="D1150">
        <f>IFERROR(--INDEX('Term investments'!$D:$D,ROW()),0)</f>
        <v/>
      </c>
      <c r="E1150">
        <f>IFERROR(--INDEX('Term investments'!$E:$E,ROW()),0)</f>
        <v/>
      </c>
      <c r="F1150">
        <f>IFERROR(--INDEX('Term investments'!$F:$F,ROW()),0)</f>
        <v/>
      </c>
      <c r="G1150">
        <f>IFERROR(IF(--INDEX('Term investments'!$G:$G,ROW())&gt;=1,--INDEX('Term investments'!$G:$G,ROW())/100,--INDEX('Term investments'!$G:$G,ROW())),0)</f>
        <v/>
      </c>
      <c r="H1150">
        <f>IFERROR(--INDEX('Term investments'!$H:$H,ROW()),0)</f>
        <v/>
      </c>
      <c r="I1150">
        <f>IF(ISNUMBER(INDEX('Term investments'!$G:$G,ROW())),1,0)</f>
        <v/>
      </c>
      <c r="J1150">
        <f>TRIM(SUBSTITUTE(INDEX('Call accounts and MMFs'!$A:$A,ROW())&amp;""," "," "))</f>
        <v/>
      </c>
      <c r="K1150">
        <f>TRIM(SUBSTITUTE(INDEX('Call accounts and MMFs'!$B:$B,ROW())&amp;""," "," "))</f>
        <v/>
      </c>
      <c r="L1150">
        <f>TRIM(SUBSTITUTE(INDEX('Call accounts and MMFs'!$C:$C,ROW())&amp;""," "," "))</f>
        <v/>
      </c>
      <c r="M1150">
        <f>IFERROR(--INDEX('Call accounts and MMFs'!$D:$D,ROW()),0)</f>
        <v/>
      </c>
      <c r="N1150">
        <f>IFERROR(IF(--INDEX('Call accounts and MMFs'!$E:$E,ROW())&gt;=1,--INDEX('Call accounts and MMFs'!$E:$E,ROW())/100,--INDEX('Call accounts and MMFs'!$E:$E,ROW())),0)</f>
        <v/>
      </c>
      <c r="O1150">
        <f>IFERROR(--INDEX('Call accounts and MMFs'!$F:$F,ROW()),0)</f>
        <v/>
      </c>
      <c r="P1150">
        <f>IF(ISNUMBER(INDEX('Call accounts and MMFs'!$E:$E,ROW())),1,0)</f>
        <v/>
      </c>
      <c r="Q1150">
        <f>TRIM(SUBSTITUTE(INDEX('Pooled funds'!$B:$B,ROW())&amp;""," "," "))</f>
        <v/>
      </c>
      <c r="R1150">
        <f>IFERROR(--INDEX('Pooled funds'!$C:$C,ROW()),0)</f>
        <v/>
      </c>
      <c r="S1150">
        <f>IFERROR(--INDEX('Pooled funds'!$D:$D,ROW()),0)</f>
        <v/>
      </c>
      <c r="T1150">
        <f>IFERROR(IF(--INDEX('Pooled funds'!$E:$E,ROW())&gt;=1,--INDEX('Pooled funds'!$E:$E,ROW())/100,--INDEX('Pooled funds'!$E:$E,ROW())),0)</f>
        <v/>
      </c>
      <c r="U1150">
        <f>IF(ISNUMBER(INDEX('Pooled funds'!$E:$E,ROW())),1,0)</f>
        <v/>
      </c>
    </row>
    <row r="1151">
      <c r="A1151">
        <f>TRIM(SUBSTITUTE(INDEX('Term investments'!$A:$A,ROW())&amp;""," "," "))</f>
        <v/>
      </c>
      <c r="B1151">
        <f>TRIM(SUBSTITUTE(INDEX('Term investments'!$B:$B,ROW())&amp;""," "," "))</f>
        <v/>
      </c>
      <c r="C1151">
        <f>TRIM(SUBSTITUTE(INDEX('Term investments'!$C:$C,ROW())&amp;""," "," "))</f>
        <v/>
      </c>
      <c r="D1151">
        <f>IFERROR(--INDEX('Term investments'!$D:$D,ROW()),0)</f>
        <v/>
      </c>
      <c r="E1151">
        <f>IFERROR(--INDEX('Term investments'!$E:$E,ROW()),0)</f>
        <v/>
      </c>
      <c r="F1151">
        <f>IFERROR(--INDEX('Term investments'!$F:$F,ROW()),0)</f>
        <v/>
      </c>
      <c r="G1151">
        <f>IFERROR(IF(--INDEX('Term investments'!$G:$G,ROW())&gt;=1,--INDEX('Term investments'!$G:$G,ROW())/100,--INDEX('Term investments'!$G:$G,ROW())),0)</f>
        <v/>
      </c>
      <c r="H1151">
        <f>IFERROR(--INDEX('Term investments'!$H:$H,ROW()),0)</f>
        <v/>
      </c>
      <c r="I1151">
        <f>IF(ISNUMBER(INDEX('Term investments'!$G:$G,ROW())),1,0)</f>
        <v/>
      </c>
      <c r="J1151">
        <f>TRIM(SUBSTITUTE(INDEX('Call accounts and MMFs'!$A:$A,ROW())&amp;""," "," "))</f>
        <v/>
      </c>
      <c r="K1151">
        <f>TRIM(SUBSTITUTE(INDEX('Call accounts and MMFs'!$B:$B,ROW())&amp;""," "," "))</f>
        <v/>
      </c>
      <c r="L1151">
        <f>TRIM(SUBSTITUTE(INDEX('Call accounts and MMFs'!$C:$C,ROW())&amp;""," "," "))</f>
        <v/>
      </c>
      <c r="M1151">
        <f>IFERROR(--INDEX('Call accounts and MMFs'!$D:$D,ROW()),0)</f>
        <v/>
      </c>
      <c r="N1151">
        <f>IFERROR(IF(--INDEX('Call accounts and MMFs'!$E:$E,ROW())&gt;=1,--INDEX('Call accounts and MMFs'!$E:$E,ROW())/100,--INDEX('Call accounts and MMFs'!$E:$E,ROW())),0)</f>
        <v/>
      </c>
      <c r="O1151">
        <f>IFERROR(--INDEX('Call accounts and MMFs'!$F:$F,ROW()),0)</f>
        <v/>
      </c>
      <c r="P1151">
        <f>IF(ISNUMBER(INDEX('Call accounts and MMFs'!$E:$E,ROW())),1,0)</f>
        <v/>
      </c>
      <c r="Q1151">
        <f>TRIM(SUBSTITUTE(INDEX('Pooled funds'!$B:$B,ROW())&amp;""," "," "))</f>
        <v/>
      </c>
      <c r="R1151">
        <f>IFERROR(--INDEX('Pooled funds'!$C:$C,ROW()),0)</f>
        <v/>
      </c>
      <c r="S1151">
        <f>IFERROR(--INDEX('Pooled funds'!$D:$D,ROW()),0)</f>
        <v/>
      </c>
      <c r="T1151">
        <f>IFERROR(IF(--INDEX('Pooled funds'!$E:$E,ROW())&gt;=1,--INDEX('Pooled funds'!$E:$E,ROW())/100,--INDEX('Pooled funds'!$E:$E,ROW())),0)</f>
        <v/>
      </c>
      <c r="U1151">
        <f>IF(ISNUMBER(INDEX('Pooled funds'!$E:$E,ROW())),1,0)</f>
        <v/>
      </c>
    </row>
    <row r="1152">
      <c r="A1152">
        <f>TRIM(SUBSTITUTE(INDEX('Term investments'!$A:$A,ROW())&amp;""," "," "))</f>
        <v/>
      </c>
      <c r="B1152">
        <f>TRIM(SUBSTITUTE(INDEX('Term investments'!$B:$B,ROW())&amp;""," "," "))</f>
        <v/>
      </c>
      <c r="C1152">
        <f>TRIM(SUBSTITUTE(INDEX('Term investments'!$C:$C,ROW())&amp;""," "," "))</f>
        <v/>
      </c>
      <c r="D1152">
        <f>IFERROR(--INDEX('Term investments'!$D:$D,ROW()),0)</f>
        <v/>
      </c>
      <c r="E1152">
        <f>IFERROR(--INDEX('Term investments'!$E:$E,ROW()),0)</f>
        <v/>
      </c>
      <c r="F1152">
        <f>IFERROR(--INDEX('Term investments'!$F:$F,ROW()),0)</f>
        <v/>
      </c>
      <c r="G1152">
        <f>IFERROR(IF(--INDEX('Term investments'!$G:$G,ROW())&gt;=1,--INDEX('Term investments'!$G:$G,ROW())/100,--INDEX('Term investments'!$G:$G,ROW())),0)</f>
        <v/>
      </c>
      <c r="H1152">
        <f>IFERROR(--INDEX('Term investments'!$H:$H,ROW()),0)</f>
        <v/>
      </c>
      <c r="I1152">
        <f>IF(ISNUMBER(INDEX('Term investments'!$G:$G,ROW())),1,0)</f>
        <v/>
      </c>
      <c r="J1152">
        <f>TRIM(SUBSTITUTE(INDEX('Call accounts and MMFs'!$A:$A,ROW())&amp;""," "," "))</f>
        <v/>
      </c>
      <c r="K1152">
        <f>TRIM(SUBSTITUTE(INDEX('Call accounts and MMFs'!$B:$B,ROW())&amp;""," "," "))</f>
        <v/>
      </c>
      <c r="L1152">
        <f>TRIM(SUBSTITUTE(INDEX('Call accounts and MMFs'!$C:$C,ROW())&amp;""," "," "))</f>
        <v/>
      </c>
      <c r="M1152">
        <f>IFERROR(--INDEX('Call accounts and MMFs'!$D:$D,ROW()),0)</f>
        <v/>
      </c>
      <c r="N1152">
        <f>IFERROR(IF(--INDEX('Call accounts and MMFs'!$E:$E,ROW())&gt;=1,--INDEX('Call accounts and MMFs'!$E:$E,ROW())/100,--INDEX('Call accounts and MMFs'!$E:$E,ROW())),0)</f>
        <v/>
      </c>
      <c r="O1152">
        <f>IFERROR(--INDEX('Call accounts and MMFs'!$F:$F,ROW()),0)</f>
        <v/>
      </c>
      <c r="P1152">
        <f>IF(ISNUMBER(INDEX('Call accounts and MMFs'!$E:$E,ROW())),1,0)</f>
        <v/>
      </c>
      <c r="Q1152">
        <f>TRIM(SUBSTITUTE(INDEX('Pooled funds'!$B:$B,ROW())&amp;""," "," "))</f>
        <v/>
      </c>
      <c r="R1152">
        <f>IFERROR(--INDEX('Pooled funds'!$C:$C,ROW()),0)</f>
        <v/>
      </c>
      <c r="S1152">
        <f>IFERROR(--INDEX('Pooled funds'!$D:$D,ROW()),0)</f>
        <v/>
      </c>
      <c r="T1152">
        <f>IFERROR(IF(--INDEX('Pooled funds'!$E:$E,ROW())&gt;=1,--INDEX('Pooled funds'!$E:$E,ROW())/100,--INDEX('Pooled funds'!$E:$E,ROW())),0)</f>
        <v/>
      </c>
      <c r="U1152">
        <f>IF(ISNUMBER(INDEX('Pooled funds'!$E:$E,ROW())),1,0)</f>
        <v/>
      </c>
    </row>
    <row r="1153">
      <c r="A1153">
        <f>TRIM(SUBSTITUTE(INDEX('Term investments'!$A:$A,ROW())&amp;""," "," "))</f>
        <v/>
      </c>
      <c r="B1153">
        <f>TRIM(SUBSTITUTE(INDEX('Term investments'!$B:$B,ROW())&amp;""," "," "))</f>
        <v/>
      </c>
      <c r="C1153">
        <f>TRIM(SUBSTITUTE(INDEX('Term investments'!$C:$C,ROW())&amp;""," "," "))</f>
        <v/>
      </c>
      <c r="D1153">
        <f>IFERROR(--INDEX('Term investments'!$D:$D,ROW()),0)</f>
        <v/>
      </c>
      <c r="E1153">
        <f>IFERROR(--INDEX('Term investments'!$E:$E,ROW()),0)</f>
        <v/>
      </c>
      <c r="F1153">
        <f>IFERROR(--INDEX('Term investments'!$F:$F,ROW()),0)</f>
        <v/>
      </c>
      <c r="G1153">
        <f>IFERROR(IF(--INDEX('Term investments'!$G:$G,ROW())&gt;=1,--INDEX('Term investments'!$G:$G,ROW())/100,--INDEX('Term investments'!$G:$G,ROW())),0)</f>
        <v/>
      </c>
      <c r="H1153">
        <f>IFERROR(--INDEX('Term investments'!$H:$H,ROW()),0)</f>
        <v/>
      </c>
      <c r="I1153">
        <f>IF(ISNUMBER(INDEX('Term investments'!$G:$G,ROW())),1,0)</f>
        <v/>
      </c>
      <c r="J1153">
        <f>TRIM(SUBSTITUTE(INDEX('Call accounts and MMFs'!$A:$A,ROW())&amp;""," "," "))</f>
        <v/>
      </c>
      <c r="K1153">
        <f>TRIM(SUBSTITUTE(INDEX('Call accounts and MMFs'!$B:$B,ROW())&amp;""," "," "))</f>
        <v/>
      </c>
      <c r="L1153">
        <f>TRIM(SUBSTITUTE(INDEX('Call accounts and MMFs'!$C:$C,ROW())&amp;""," "," "))</f>
        <v/>
      </c>
      <c r="M1153">
        <f>IFERROR(--INDEX('Call accounts and MMFs'!$D:$D,ROW()),0)</f>
        <v/>
      </c>
      <c r="N1153">
        <f>IFERROR(IF(--INDEX('Call accounts and MMFs'!$E:$E,ROW())&gt;=1,--INDEX('Call accounts and MMFs'!$E:$E,ROW())/100,--INDEX('Call accounts and MMFs'!$E:$E,ROW())),0)</f>
        <v/>
      </c>
      <c r="O1153">
        <f>IFERROR(--INDEX('Call accounts and MMFs'!$F:$F,ROW()),0)</f>
        <v/>
      </c>
      <c r="P1153">
        <f>IF(ISNUMBER(INDEX('Call accounts and MMFs'!$E:$E,ROW())),1,0)</f>
        <v/>
      </c>
      <c r="Q1153">
        <f>TRIM(SUBSTITUTE(INDEX('Pooled funds'!$B:$B,ROW())&amp;""," "," "))</f>
        <v/>
      </c>
      <c r="R1153">
        <f>IFERROR(--INDEX('Pooled funds'!$C:$C,ROW()),0)</f>
        <v/>
      </c>
      <c r="S1153">
        <f>IFERROR(--INDEX('Pooled funds'!$D:$D,ROW()),0)</f>
        <v/>
      </c>
      <c r="T1153">
        <f>IFERROR(IF(--INDEX('Pooled funds'!$E:$E,ROW())&gt;=1,--INDEX('Pooled funds'!$E:$E,ROW())/100,--INDEX('Pooled funds'!$E:$E,ROW())),0)</f>
        <v/>
      </c>
      <c r="U1153">
        <f>IF(ISNUMBER(INDEX('Pooled funds'!$E:$E,ROW())),1,0)</f>
        <v/>
      </c>
    </row>
    <row r="1154">
      <c r="A1154">
        <f>TRIM(SUBSTITUTE(INDEX('Term investments'!$A:$A,ROW())&amp;""," "," "))</f>
        <v/>
      </c>
      <c r="B1154">
        <f>TRIM(SUBSTITUTE(INDEX('Term investments'!$B:$B,ROW())&amp;""," "," "))</f>
        <v/>
      </c>
      <c r="C1154">
        <f>TRIM(SUBSTITUTE(INDEX('Term investments'!$C:$C,ROW())&amp;""," "," "))</f>
        <v/>
      </c>
      <c r="D1154">
        <f>IFERROR(--INDEX('Term investments'!$D:$D,ROW()),0)</f>
        <v/>
      </c>
      <c r="E1154">
        <f>IFERROR(--INDEX('Term investments'!$E:$E,ROW()),0)</f>
        <v/>
      </c>
      <c r="F1154">
        <f>IFERROR(--INDEX('Term investments'!$F:$F,ROW()),0)</f>
        <v/>
      </c>
      <c r="G1154">
        <f>IFERROR(IF(--INDEX('Term investments'!$G:$G,ROW())&gt;=1,--INDEX('Term investments'!$G:$G,ROW())/100,--INDEX('Term investments'!$G:$G,ROW())),0)</f>
        <v/>
      </c>
      <c r="H1154">
        <f>IFERROR(--INDEX('Term investments'!$H:$H,ROW()),0)</f>
        <v/>
      </c>
      <c r="I1154">
        <f>IF(ISNUMBER(INDEX('Term investments'!$G:$G,ROW())),1,0)</f>
        <v/>
      </c>
      <c r="J1154">
        <f>TRIM(SUBSTITUTE(INDEX('Call accounts and MMFs'!$A:$A,ROW())&amp;""," "," "))</f>
        <v/>
      </c>
      <c r="K1154">
        <f>TRIM(SUBSTITUTE(INDEX('Call accounts and MMFs'!$B:$B,ROW())&amp;""," "," "))</f>
        <v/>
      </c>
      <c r="L1154">
        <f>TRIM(SUBSTITUTE(INDEX('Call accounts and MMFs'!$C:$C,ROW())&amp;""," "," "))</f>
        <v/>
      </c>
      <c r="M1154">
        <f>IFERROR(--INDEX('Call accounts and MMFs'!$D:$D,ROW()),0)</f>
        <v/>
      </c>
      <c r="N1154">
        <f>IFERROR(IF(--INDEX('Call accounts and MMFs'!$E:$E,ROW())&gt;=1,--INDEX('Call accounts and MMFs'!$E:$E,ROW())/100,--INDEX('Call accounts and MMFs'!$E:$E,ROW())),0)</f>
        <v/>
      </c>
      <c r="O1154">
        <f>IFERROR(--INDEX('Call accounts and MMFs'!$F:$F,ROW()),0)</f>
        <v/>
      </c>
      <c r="P1154">
        <f>IF(ISNUMBER(INDEX('Call accounts and MMFs'!$E:$E,ROW())),1,0)</f>
        <v/>
      </c>
      <c r="Q1154">
        <f>TRIM(SUBSTITUTE(INDEX('Pooled funds'!$B:$B,ROW())&amp;""," "," "))</f>
        <v/>
      </c>
      <c r="R1154">
        <f>IFERROR(--INDEX('Pooled funds'!$C:$C,ROW()),0)</f>
        <v/>
      </c>
      <c r="S1154">
        <f>IFERROR(--INDEX('Pooled funds'!$D:$D,ROW()),0)</f>
        <v/>
      </c>
      <c r="T1154">
        <f>IFERROR(IF(--INDEX('Pooled funds'!$E:$E,ROW())&gt;=1,--INDEX('Pooled funds'!$E:$E,ROW())/100,--INDEX('Pooled funds'!$E:$E,ROW())),0)</f>
        <v/>
      </c>
      <c r="U1154">
        <f>IF(ISNUMBER(INDEX('Pooled funds'!$E:$E,ROW())),1,0)</f>
        <v/>
      </c>
    </row>
    <row r="1155">
      <c r="A1155">
        <f>TRIM(SUBSTITUTE(INDEX('Term investments'!$A:$A,ROW())&amp;""," "," "))</f>
        <v/>
      </c>
      <c r="B1155">
        <f>TRIM(SUBSTITUTE(INDEX('Term investments'!$B:$B,ROW())&amp;""," "," "))</f>
        <v/>
      </c>
      <c r="C1155">
        <f>TRIM(SUBSTITUTE(INDEX('Term investments'!$C:$C,ROW())&amp;""," "," "))</f>
        <v/>
      </c>
      <c r="D1155">
        <f>IFERROR(--INDEX('Term investments'!$D:$D,ROW()),0)</f>
        <v/>
      </c>
      <c r="E1155">
        <f>IFERROR(--INDEX('Term investments'!$E:$E,ROW()),0)</f>
        <v/>
      </c>
      <c r="F1155">
        <f>IFERROR(--INDEX('Term investments'!$F:$F,ROW()),0)</f>
        <v/>
      </c>
      <c r="G1155">
        <f>IFERROR(IF(--INDEX('Term investments'!$G:$G,ROW())&gt;=1,--INDEX('Term investments'!$G:$G,ROW())/100,--INDEX('Term investments'!$G:$G,ROW())),0)</f>
        <v/>
      </c>
      <c r="H1155">
        <f>IFERROR(--INDEX('Term investments'!$H:$H,ROW()),0)</f>
        <v/>
      </c>
      <c r="I1155">
        <f>IF(ISNUMBER(INDEX('Term investments'!$G:$G,ROW())),1,0)</f>
        <v/>
      </c>
      <c r="J1155">
        <f>TRIM(SUBSTITUTE(INDEX('Call accounts and MMFs'!$A:$A,ROW())&amp;""," "," "))</f>
        <v/>
      </c>
      <c r="K1155">
        <f>TRIM(SUBSTITUTE(INDEX('Call accounts and MMFs'!$B:$B,ROW())&amp;""," "," "))</f>
        <v/>
      </c>
      <c r="L1155">
        <f>TRIM(SUBSTITUTE(INDEX('Call accounts and MMFs'!$C:$C,ROW())&amp;""," "," "))</f>
        <v/>
      </c>
      <c r="M1155">
        <f>IFERROR(--INDEX('Call accounts and MMFs'!$D:$D,ROW()),0)</f>
        <v/>
      </c>
      <c r="N1155">
        <f>IFERROR(IF(--INDEX('Call accounts and MMFs'!$E:$E,ROW())&gt;=1,--INDEX('Call accounts and MMFs'!$E:$E,ROW())/100,--INDEX('Call accounts and MMFs'!$E:$E,ROW())),0)</f>
        <v/>
      </c>
      <c r="O1155">
        <f>IFERROR(--INDEX('Call accounts and MMFs'!$F:$F,ROW()),0)</f>
        <v/>
      </c>
      <c r="P1155">
        <f>IF(ISNUMBER(INDEX('Call accounts and MMFs'!$E:$E,ROW())),1,0)</f>
        <v/>
      </c>
      <c r="Q1155">
        <f>TRIM(SUBSTITUTE(INDEX('Pooled funds'!$B:$B,ROW())&amp;""," "," "))</f>
        <v/>
      </c>
      <c r="R1155">
        <f>IFERROR(--INDEX('Pooled funds'!$C:$C,ROW()),0)</f>
        <v/>
      </c>
      <c r="S1155">
        <f>IFERROR(--INDEX('Pooled funds'!$D:$D,ROW()),0)</f>
        <v/>
      </c>
      <c r="T1155">
        <f>IFERROR(IF(--INDEX('Pooled funds'!$E:$E,ROW())&gt;=1,--INDEX('Pooled funds'!$E:$E,ROW())/100,--INDEX('Pooled funds'!$E:$E,ROW())),0)</f>
        <v/>
      </c>
      <c r="U1155">
        <f>IF(ISNUMBER(INDEX('Pooled funds'!$E:$E,ROW())),1,0)</f>
        <v/>
      </c>
    </row>
    <row r="1156">
      <c r="A1156">
        <f>TRIM(SUBSTITUTE(INDEX('Term investments'!$A:$A,ROW())&amp;""," "," "))</f>
        <v/>
      </c>
      <c r="B1156">
        <f>TRIM(SUBSTITUTE(INDEX('Term investments'!$B:$B,ROW())&amp;""," "," "))</f>
        <v/>
      </c>
      <c r="C1156">
        <f>TRIM(SUBSTITUTE(INDEX('Term investments'!$C:$C,ROW())&amp;""," "," "))</f>
        <v/>
      </c>
      <c r="D1156">
        <f>IFERROR(--INDEX('Term investments'!$D:$D,ROW()),0)</f>
        <v/>
      </c>
      <c r="E1156">
        <f>IFERROR(--INDEX('Term investments'!$E:$E,ROW()),0)</f>
        <v/>
      </c>
      <c r="F1156">
        <f>IFERROR(--INDEX('Term investments'!$F:$F,ROW()),0)</f>
        <v/>
      </c>
      <c r="G1156">
        <f>IFERROR(IF(--INDEX('Term investments'!$G:$G,ROW())&gt;=1,--INDEX('Term investments'!$G:$G,ROW())/100,--INDEX('Term investments'!$G:$G,ROW())),0)</f>
        <v/>
      </c>
      <c r="H1156">
        <f>IFERROR(--INDEX('Term investments'!$H:$H,ROW()),0)</f>
        <v/>
      </c>
      <c r="I1156">
        <f>IF(ISNUMBER(INDEX('Term investments'!$G:$G,ROW())),1,0)</f>
        <v/>
      </c>
      <c r="J1156">
        <f>TRIM(SUBSTITUTE(INDEX('Call accounts and MMFs'!$A:$A,ROW())&amp;""," "," "))</f>
        <v/>
      </c>
      <c r="K1156">
        <f>TRIM(SUBSTITUTE(INDEX('Call accounts and MMFs'!$B:$B,ROW())&amp;""," "," "))</f>
        <v/>
      </c>
      <c r="L1156">
        <f>TRIM(SUBSTITUTE(INDEX('Call accounts and MMFs'!$C:$C,ROW())&amp;""," "," "))</f>
        <v/>
      </c>
      <c r="M1156">
        <f>IFERROR(--INDEX('Call accounts and MMFs'!$D:$D,ROW()),0)</f>
        <v/>
      </c>
      <c r="N1156">
        <f>IFERROR(IF(--INDEX('Call accounts and MMFs'!$E:$E,ROW())&gt;=1,--INDEX('Call accounts and MMFs'!$E:$E,ROW())/100,--INDEX('Call accounts and MMFs'!$E:$E,ROW())),0)</f>
        <v/>
      </c>
      <c r="O1156">
        <f>IFERROR(--INDEX('Call accounts and MMFs'!$F:$F,ROW()),0)</f>
        <v/>
      </c>
      <c r="P1156">
        <f>IF(ISNUMBER(INDEX('Call accounts and MMFs'!$E:$E,ROW())),1,0)</f>
        <v/>
      </c>
      <c r="Q1156">
        <f>TRIM(SUBSTITUTE(INDEX('Pooled funds'!$B:$B,ROW())&amp;""," "," "))</f>
        <v/>
      </c>
      <c r="R1156">
        <f>IFERROR(--INDEX('Pooled funds'!$C:$C,ROW()),0)</f>
        <v/>
      </c>
      <c r="S1156">
        <f>IFERROR(--INDEX('Pooled funds'!$D:$D,ROW()),0)</f>
        <v/>
      </c>
      <c r="T1156">
        <f>IFERROR(IF(--INDEX('Pooled funds'!$E:$E,ROW())&gt;=1,--INDEX('Pooled funds'!$E:$E,ROW())/100,--INDEX('Pooled funds'!$E:$E,ROW())),0)</f>
        <v/>
      </c>
      <c r="U1156">
        <f>IF(ISNUMBER(INDEX('Pooled funds'!$E:$E,ROW())),1,0)</f>
        <v/>
      </c>
    </row>
    <row r="1157">
      <c r="A1157">
        <f>TRIM(SUBSTITUTE(INDEX('Term investments'!$A:$A,ROW())&amp;""," "," "))</f>
        <v/>
      </c>
      <c r="B1157">
        <f>TRIM(SUBSTITUTE(INDEX('Term investments'!$B:$B,ROW())&amp;""," "," "))</f>
        <v/>
      </c>
      <c r="C1157">
        <f>TRIM(SUBSTITUTE(INDEX('Term investments'!$C:$C,ROW())&amp;""," "," "))</f>
        <v/>
      </c>
      <c r="D1157">
        <f>IFERROR(--INDEX('Term investments'!$D:$D,ROW()),0)</f>
        <v/>
      </c>
      <c r="E1157">
        <f>IFERROR(--INDEX('Term investments'!$E:$E,ROW()),0)</f>
        <v/>
      </c>
      <c r="F1157">
        <f>IFERROR(--INDEX('Term investments'!$F:$F,ROW()),0)</f>
        <v/>
      </c>
      <c r="G1157">
        <f>IFERROR(IF(--INDEX('Term investments'!$G:$G,ROW())&gt;=1,--INDEX('Term investments'!$G:$G,ROW())/100,--INDEX('Term investments'!$G:$G,ROW())),0)</f>
        <v/>
      </c>
      <c r="H1157">
        <f>IFERROR(--INDEX('Term investments'!$H:$H,ROW()),0)</f>
        <v/>
      </c>
      <c r="I1157">
        <f>IF(ISNUMBER(INDEX('Term investments'!$G:$G,ROW())),1,0)</f>
        <v/>
      </c>
      <c r="J1157">
        <f>TRIM(SUBSTITUTE(INDEX('Call accounts and MMFs'!$A:$A,ROW())&amp;""," "," "))</f>
        <v/>
      </c>
      <c r="K1157">
        <f>TRIM(SUBSTITUTE(INDEX('Call accounts and MMFs'!$B:$B,ROW())&amp;""," "," "))</f>
        <v/>
      </c>
      <c r="L1157">
        <f>TRIM(SUBSTITUTE(INDEX('Call accounts and MMFs'!$C:$C,ROW())&amp;""," "," "))</f>
        <v/>
      </c>
      <c r="M1157">
        <f>IFERROR(--INDEX('Call accounts and MMFs'!$D:$D,ROW()),0)</f>
        <v/>
      </c>
      <c r="N1157">
        <f>IFERROR(IF(--INDEX('Call accounts and MMFs'!$E:$E,ROW())&gt;=1,--INDEX('Call accounts and MMFs'!$E:$E,ROW())/100,--INDEX('Call accounts and MMFs'!$E:$E,ROW())),0)</f>
        <v/>
      </c>
      <c r="O1157">
        <f>IFERROR(--INDEX('Call accounts and MMFs'!$F:$F,ROW()),0)</f>
        <v/>
      </c>
      <c r="P1157">
        <f>IF(ISNUMBER(INDEX('Call accounts and MMFs'!$E:$E,ROW())),1,0)</f>
        <v/>
      </c>
      <c r="Q1157">
        <f>TRIM(SUBSTITUTE(INDEX('Pooled funds'!$B:$B,ROW())&amp;""," "," "))</f>
        <v/>
      </c>
      <c r="R1157">
        <f>IFERROR(--INDEX('Pooled funds'!$C:$C,ROW()),0)</f>
        <v/>
      </c>
      <c r="S1157">
        <f>IFERROR(--INDEX('Pooled funds'!$D:$D,ROW()),0)</f>
        <v/>
      </c>
      <c r="T1157">
        <f>IFERROR(IF(--INDEX('Pooled funds'!$E:$E,ROW())&gt;=1,--INDEX('Pooled funds'!$E:$E,ROW())/100,--INDEX('Pooled funds'!$E:$E,ROW())),0)</f>
        <v/>
      </c>
      <c r="U1157">
        <f>IF(ISNUMBER(INDEX('Pooled funds'!$E:$E,ROW())),1,0)</f>
        <v/>
      </c>
    </row>
    <row r="1158">
      <c r="A1158">
        <f>TRIM(SUBSTITUTE(INDEX('Term investments'!$A:$A,ROW())&amp;""," "," "))</f>
        <v/>
      </c>
      <c r="B1158">
        <f>TRIM(SUBSTITUTE(INDEX('Term investments'!$B:$B,ROW())&amp;""," "," "))</f>
        <v/>
      </c>
      <c r="C1158">
        <f>TRIM(SUBSTITUTE(INDEX('Term investments'!$C:$C,ROW())&amp;""," "," "))</f>
        <v/>
      </c>
      <c r="D1158">
        <f>IFERROR(--INDEX('Term investments'!$D:$D,ROW()),0)</f>
        <v/>
      </c>
      <c r="E1158">
        <f>IFERROR(--INDEX('Term investments'!$E:$E,ROW()),0)</f>
        <v/>
      </c>
      <c r="F1158">
        <f>IFERROR(--INDEX('Term investments'!$F:$F,ROW()),0)</f>
        <v/>
      </c>
      <c r="G1158">
        <f>IFERROR(IF(--INDEX('Term investments'!$G:$G,ROW())&gt;=1,--INDEX('Term investments'!$G:$G,ROW())/100,--INDEX('Term investments'!$G:$G,ROW())),0)</f>
        <v/>
      </c>
      <c r="H1158">
        <f>IFERROR(--INDEX('Term investments'!$H:$H,ROW()),0)</f>
        <v/>
      </c>
      <c r="I1158">
        <f>IF(ISNUMBER(INDEX('Term investments'!$G:$G,ROW())),1,0)</f>
        <v/>
      </c>
      <c r="J1158">
        <f>TRIM(SUBSTITUTE(INDEX('Call accounts and MMFs'!$A:$A,ROW())&amp;""," "," "))</f>
        <v/>
      </c>
      <c r="K1158">
        <f>TRIM(SUBSTITUTE(INDEX('Call accounts and MMFs'!$B:$B,ROW())&amp;""," "," "))</f>
        <v/>
      </c>
      <c r="L1158">
        <f>TRIM(SUBSTITUTE(INDEX('Call accounts and MMFs'!$C:$C,ROW())&amp;""," "," "))</f>
        <v/>
      </c>
      <c r="M1158">
        <f>IFERROR(--INDEX('Call accounts and MMFs'!$D:$D,ROW()),0)</f>
        <v/>
      </c>
      <c r="N1158">
        <f>IFERROR(IF(--INDEX('Call accounts and MMFs'!$E:$E,ROW())&gt;=1,--INDEX('Call accounts and MMFs'!$E:$E,ROW())/100,--INDEX('Call accounts and MMFs'!$E:$E,ROW())),0)</f>
        <v/>
      </c>
      <c r="O1158">
        <f>IFERROR(--INDEX('Call accounts and MMFs'!$F:$F,ROW()),0)</f>
        <v/>
      </c>
      <c r="P1158">
        <f>IF(ISNUMBER(INDEX('Call accounts and MMFs'!$E:$E,ROW())),1,0)</f>
        <v/>
      </c>
      <c r="Q1158">
        <f>TRIM(SUBSTITUTE(INDEX('Pooled funds'!$B:$B,ROW())&amp;""," "," "))</f>
        <v/>
      </c>
      <c r="R1158">
        <f>IFERROR(--INDEX('Pooled funds'!$C:$C,ROW()),0)</f>
        <v/>
      </c>
      <c r="S1158">
        <f>IFERROR(--INDEX('Pooled funds'!$D:$D,ROW()),0)</f>
        <v/>
      </c>
      <c r="T1158">
        <f>IFERROR(IF(--INDEX('Pooled funds'!$E:$E,ROW())&gt;=1,--INDEX('Pooled funds'!$E:$E,ROW())/100,--INDEX('Pooled funds'!$E:$E,ROW())),0)</f>
        <v/>
      </c>
      <c r="U1158">
        <f>IF(ISNUMBER(INDEX('Pooled funds'!$E:$E,ROW())),1,0)</f>
        <v/>
      </c>
    </row>
    <row r="1159">
      <c r="A1159">
        <f>TRIM(SUBSTITUTE(INDEX('Term investments'!$A:$A,ROW())&amp;""," "," "))</f>
        <v/>
      </c>
      <c r="B1159">
        <f>TRIM(SUBSTITUTE(INDEX('Term investments'!$B:$B,ROW())&amp;""," "," "))</f>
        <v/>
      </c>
      <c r="C1159">
        <f>TRIM(SUBSTITUTE(INDEX('Term investments'!$C:$C,ROW())&amp;""," "," "))</f>
        <v/>
      </c>
      <c r="D1159">
        <f>IFERROR(--INDEX('Term investments'!$D:$D,ROW()),0)</f>
        <v/>
      </c>
      <c r="E1159">
        <f>IFERROR(--INDEX('Term investments'!$E:$E,ROW()),0)</f>
        <v/>
      </c>
      <c r="F1159">
        <f>IFERROR(--INDEX('Term investments'!$F:$F,ROW()),0)</f>
        <v/>
      </c>
      <c r="G1159">
        <f>IFERROR(IF(--INDEX('Term investments'!$G:$G,ROW())&gt;=1,--INDEX('Term investments'!$G:$G,ROW())/100,--INDEX('Term investments'!$G:$G,ROW())),0)</f>
        <v/>
      </c>
      <c r="H1159">
        <f>IFERROR(--INDEX('Term investments'!$H:$H,ROW()),0)</f>
        <v/>
      </c>
      <c r="I1159">
        <f>IF(ISNUMBER(INDEX('Term investments'!$G:$G,ROW())),1,0)</f>
        <v/>
      </c>
      <c r="J1159">
        <f>TRIM(SUBSTITUTE(INDEX('Call accounts and MMFs'!$A:$A,ROW())&amp;""," "," "))</f>
        <v/>
      </c>
      <c r="K1159">
        <f>TRIM(SUBSTITUTE(INDEX('Call accounts and MMFs'!$B:$B,ROW())&amp;""," "," "))</f>
        <v/>
      </c>
      <c r="L1159">
        <f>TRIM(SUBSTITUTE(INDEX('Call accounts and MMFs'!$C:$C,ROW())&amp;""," "," "))</f>
        <v/>
      </c>
      <c r="M1159">
        <f>IFERROR(--INDEX('Call accounts and MMFs'!$D:$D,ROW()),0)</f>
        <v/>
      </c>
      <c r="N1159">
        <f>IFERROR(IF(--INDEX('Call accounts and MMFs'!$E:$E,ROW())&gt;=1,--INDEX('Call accounts and MMFs'!$E:$E,ROW())/100,--INDEX('Call accounts and MMFs'!$E:$E,ROW())),0)</f>
        <v/>
      </c>
      <c r="O1159">
        <f>IFERROR(--INDEX('Call accounts and MMFs'!$F:$F,ROW()),0)</f>
        <v/>
      </c>
      <c r="P1159">
        <f>IF(ISNUMBER(INDEX('Call accounts and MMFs'!$E:$E,ROW())),1,0)</f>
        <v/>
      </c>
      <c r="Q1159">
        <f>TRIM(SUBSTITUTE(INDEX('Pooled funds'!$B:$B,ROW())&amp;""," "," "))</f>
        <v/>
      </c>
      <c r="R1159">
        <f>IFERROR(--INDEX('Pooled funds'!$C:$C,ROW()),0)</f>
        <v/>
      </c>
      <c r="S1159">
        <f>IFERROR(--INDEX('Pooled funds'!$D:$D,ROW()),0)</f>
        <v/>
      </c>
      <c r="T1159">
        <f>IFERROR(IF(--INDEX('Pooled funds'!$E:$E,ROW())&gt;=1,--INDEX('Pooled funds'!$E:$E,ROW())/100,--INDEX('Pooled funds'!$E:$E,ROW())),0)</f>
        <v/>
      </c>
      <c r="U1159">
        <f>IF(ISNUMBER(INDEX('Pooled funds'!$E:$E,ROW())),1,0)</f>
        <v/>
      </c>
    </row>
    <row r="1160">
      <c r="A1160">
        <f>TRIM(SUBSTITUTE(INDEX('Term investments'!$A:$A,ROW())&amp;""," "," "))</f>
        <v/>
      </c>
      <c r="B1160">
        <f>TRIM(SUBSTITUTE(INDEX('Term investments'!$B:$B,ROW())&amp;""," "," "))</f>
        <v/>
      </c>
      <c r="C1160">
        <f>TRIM(SUBSTITUTE(INDEX('Term investments'!$C:$C,ROW())&amp;""," "," "))</f>
        <v/>
      </c>
      <c r="D1160">
        <f>IFERROR(--INDEX('Term investments'!$D:$D,ROW()),0)</f>
        <v/>
      </c>
      <c r="E1160">
        <f>IFERROR(--INDEX('Term investments'!$E:$E,ROW()),0)</f>
        <v/>
      </c>
      <c r="F1160">
        <f>IFERROR(--INDEX('Term investments'!$F:$F,ROW()),0)</f>
        <v/>
      </c>
      <c r="G1160">
        <f>IFERROR(IF(--INDEX('Term investments'!$G:$G,ROW())&gt;=1,--INDEX('Term investments'!$G:$G,ROW())/100,--INDEX('Term investments'!$G:$G,ROW())),0)</f>
        <v/>
      </c>
      <c r="H1160">
        <f>IFERROR(--INDEX('Term investments'!$H:$H,ROW()),0)</f>
        <v/>
      </c>
      <c r="I1160">
        <f>IF(ISNUMBER(INDEX('Term investments'!$G:$G,ROW())),1,0)</f>
        <v/>
      </c>
      <c r="J1160">
        <f>TRIM(SUBSTITUTE(INDEX('Call accounts and MMFs'!$A:$A,ROW())&amp;""," "," "))</f>
        <v/>
      </c>
      <c r="K1160">
        <f>TRIM(SUBSTITUTE(INDEX('Call accounts and MMFs'!$B:$B,ROW())&amp;""," "," "))</f>
        <v/>
      </c>
      <c r="L1160">
        <f>TRIM(SUBSTITUTE(INDEX('Call accounts and MMFs'!$C:$C,ROW())&amp;""," "," "))</f>
        <v/>
      </c>
      <c r="M1160">
        <f>IFERROR(--INDEX('Call accounts and MMFs'!$D:$D,ROW()),0)</f>
        <v/>
      </c>
      <c r="N1160">
        <f>IFERROR(IF(--INDEX('Call accounts and MMFs'!$E:$E,ROW())&gt;=1,--INDEX('Call accounts and MMFs'!$E:$E,ROW())/100,--INDEX('Call accounts and MMFs'!$E:$E,ROW())),0)</f>
        <v/>
      </c>
      <c r="O1160">
        <f>IFERROR(--INDEX('Call accounts and MMFs'!$F:$F,ROW()),0)</f>
        <v/>
      </c>
      <c r="P1160">
        <f>IF(ISNUMBER(INDEX('Call accounts and MMFs'!$E:$E,ROW())),1,0)</f>
        <v/>
      </c>
      <c r="Q1160">
        <f>TRIM(SUBSTITUTE(INDEX('Pooled funds'!$B:$B,ROW())&amp;""," "," "))</f>
        <v/>
      </c>
      <c r="R1160">
        <f>IFERROR(--INDEX('Pooled funds'!$C:$C,ROW()),0)</f>
        <v/>
      </c>
      <c r="S1160">
        <f>IFERROR(--INDEX('Pooled funds'!$D:$D,ROW()),0)</f>
        <v/>
      </c>
      <c r="T1160">
        <f>IFERROR(IF(--INDEX('Pooled funds'!$E:$E,ROW())&gt;=1,--INDEX('Pooled funds'!$E:$E,ROW())/100,--INDEX('Pooled funds'!$E:$E,ROW())),0)</f>
        <v/>
      </c>
      <c r="U1160">
        <f>IF(ISNUMBER(INDEX('Pooled funds'!$E:$E,ROW())),1,0)</f>
        <v/>
      </c>
    </row>
    <row r="1161">
      <c r="A1161">
        <f>TRIM(SUBSTITUTE(INDEX('Term investments'!$A:$A,ROW())&amp;""," "," "))</f>
        <v/>
      </c>
      <c r="B1161">
        <f>TRIM(SUBSTITUTE(INDEX('Term investments'!$B:$B,ROW())&amp;""," "," "))</f>
        <v/>
      </c>
      <c r="C1161">
        <f>TRIM(SUBSTITUTE(INDEX('Term investments'!$C:$C,ROW())&amp;""," "," "))</f>
        <v/>
      </c>
      <c r="D1161">
        <f>IFERROR(--INDEX('Term investments'!$D:$D,ROW()),0)</f>
        <v/>
      </c>
      <c r="E1161">
        <f>IFERROR(--INDEX('Term investments'!$E:$E,ROW()),0)</f>
        <v/>
      </c>
      <c r="F1161">
        <f>IFERROR(--INDEX('Term investments'!$F:$F,ROW()),0)</f>
        <v/>
      </c>
      <c r="G1161">
        <f>IFERROR(IF(--INDEX('Term investments'!$G:$G,ROW())&gt;=1,--INDEX('Term investments'!$G:$G,ROW())/100,--INDEX('Term investments'!$G:$G,ROW())),0)</f>
        <v/>
      </c>
      <c r="H1161">
        <f>IFERROR(--INDEX('Term investments'!$H:$H,ROW()),0)</f>
        <v/>
      </c>
      <c r="I1161">
        <f>IF(ISNUMBER(INDEX('Term investments'!$G:$G,ROW())),1,0)</f>
        <v/>
      </c>
      <c r="J1161">
        <f>TRIM(SUBSTITUTE(INDEX('Call accounts and MMFs'!$A:$A,ROW())&amp;""," "," "))</f>
        <v/>
      </c>
      <c r="K1161">
        <f>TRIM(SUBSTITUTE(INDEX('Call accounts and MMFs'!$B:$B,ROW())&amp;""," "," "))</f>
        <v/>
      </c>
      <c r="L1161">
        <f>TRIM(SUBSTITUTE(INDEX('Call accounts and MMFs'!$C:$C,ROW())&amp;""," "," "))</f>
        <v/>
      </c>
      <c r="M1161">
        <f>IFERROR(--INDEX('Call accounts and MMFs'!$D:$D,ROW()),0)</f>
        <v/>
      </c>
      <c r="N1161">
        <f>IFERROR(IF(--INDEX('Call accounts and MMFs'!$E:$E,ROW())&gt;=1,--INDEX('Call accounts and MMFs'!$E:$E,ROW())/100,--INDEX('Call accounts and MMFs'!$E:$E,ROW())),0)</f>
        <v/>
      </c>
      <c r="O1161">
        <f>IFERROR(--INDEX('Call accounts and MMFs'!$F:$F,ROW()),0)</f>
        <v/>
      </c>
      <c r="P1161">
        <f>IF(ISNUMBER(INDEX('Call accounts and MMFs'!$E:$E,ROW())),1,0)</f>
        <v/>
      </c>
      <c r="Q1161">
        <f>TRIM(SUBSTITUTE(INDEX('Pooled funds'!$B:$B,ROW())&amp;""," "," "))</f>
        <v/>
      </c>
      <c r="R1161">
        <f>IFERROR(--INDEX('Pooled funds'!$C:$C,ROW()),0)</f>
        <v/>
      </c>
      <c r="S1161">
        <f>IFERROR(--INDEX('Pooled funds'!$D:$D,ROW()),0)</f>
        <v/>
      </c>
      <c r="T1161">
        <f>IFERROR(IF(--INDEX('Pooled funds'!$E:$E,ROW())&gt;=1,--INDEX('Pooled funds'!$E:$E,ROW())/100,--INDEX('Pooled funds'!$E:$E,ROW())),0)</f>
        <v/>
      </c>
      <c r="U1161">
        <f>IF(ISNUMBER(INDEX('Pooled funds'!$E:$E,ROW())),1,0)</f>
        <v/>
      </c>
    </row>
    <row r="1162">
      <c r="A1162">
        <f>TRIM(SUBSTITUTE(INDEX('Term investments'!$A:$A,ROW())&amp;""," "," "))</f>
        <v/>
      </c>
      <c r="B1162">
        <f>TRIM(SUBSTITUTE(INDEX('Term investments'!$B:$B,ROW())&amp;""," "," "))</f>
        <v/>
      </c>
      <c r="C1162">
        <f>TRIM(SUBSTITUTE(INDEX('Term investments'!$C:$C,ROW())&amp;""," "," "))</f>
        <v/>
      </c>
      <c r="D1162">
        <f>IFERROR(--INDEX('Term investments'!$D:$D,ROW()),0)</f>
        <v/>
      </c>
      <c r="E1162">
        <f>IFERROR(--INDEX('Term investments'!$E:$E,ROW()),0)</f>
        <v/>
      </c>
      <c r="F1162">
        <f>IFERROR(--INDEX('Term investments'!$F:$F,ROW()),0)</f>
        <v/>
      </c>
      <c r="G1162">
        <f>IFERROR(IF(--INDEX('Term investments'!$G:$G,ROW())&gt;=1,--INDEX('Term investments'!$G:$G,ROW())/100,--INDEX('Term investments'!$G:$G,ROW())),0)</f>
        <v/>
      </c>
      <c r="H1162">
        <f>IFERROR(--INDEX('Term investments'!$H:$H,ROW()),0)</f>
        <v/>
      </c>
      <c r="I1162">
        <f>IF(ISNUMBER(INDEX('Term investments'!$G:$G,ROW())),1,0)</f>
        <v/>
      </c>
      <c r="J1162">
        <f>TRIM(SUBSTITUTE(INDEX('Call accounts and MMFs'!$A:$A,ROW())&amp;""," "," "))</f>
        <v/>
      </c>
      <c r="K1162">
        <f>TRIM(SUBSTITUTE(INDEX('Call accounts and MMFs'!$B:$B,ROW())&amp;""," "," "))</f>
        <v/>
      </c>
      <c r="L1162">
        <f>TRIM(SUBSTITUTE(INDEX('Call accounts and MMFs'!$C:$C,ROW())&amp;""," "," "))</f>
        <v/>
      </c>
      <c r="M1162">
        <f>IFERROR(--INDEX('Call accounts and MMFs'!$D:$D,ROW()),0)</f>
        <v/>
      </c>
      <c r="N1162">
        <f>IFERROR(IF(--INDEX('Call accounts and MMFs'!$E:$E,ROW())&gt;=1,--INDEX('Call accounts and MMFs'!$E:$E,ROW())/100,--INDEX('Call accounts and MMFs'!$E:$E,ROW())),0)</f>
        <v/>
      </c>
      <c r="O1162">
        <f>IFERROR(--INDEX('Call accounts and MMFs'!$F:$F,ROW()),0)</f>
        <v/>
      </c>
      <c r="P1162">
        <f>IF(ISNUMBER(INDEX('Call accounts and MMFs'!$E:$E,ROW())),1,0)</f>
        <v/>
      </c>
      <c r="Q1162">
        <f>TRIM(SUBSTITUTE(INDEX('Pooled funds'!$B:$B,ROW())&amp;""," "," "))</f>
        <v/>
      </c>
      <c r="R1162">
        <f>IFERROR(--INDEX('Pooled funds'!$C:$C,ROW()),0)</f>
        <v/>
      </c>
      <c r="S1162">
        <f>IFERROR(--INDEX('Pooled funds'!$D:$D,ROW()),0)</f>
        <v/>
      </c>
      <c r="T1162">
        <f>IFERROR(IF(--INDEX('Pooled funds'!$E:$E,ROW())&gt;=1,--INDEX('Pooled funds'!$E:$E,ROW())/100,--INDEX('Pooled funds'!$E:$E,ROW())),0)</f>
        <v/>
      </c>
      <c r="U1162">
        <f>IF(ISNUMBER(INDEX('Pooled funds'!$E:$E,ROW())),1,0)</f>
        <v/>
      </c>
    </row>
    <row r="1163">
      <c r="A1163">
        <f>TRIM(SUBSTITUTE(INDEX('Term investments'!$A:$A,ROW())&amp;""," "," "))</f>
        <v/>
      </c>
      <c r="B1163">
        <f>TRIM(SUBSTITUTE(INDEX('Term investments'!$B:$B,ROW())&amp;""," "," "))</f>
        <v/>
      </c>
      <c r="C1163">
        <f>TRIM(SUBSTITUTE(INDEX('Term investments'!$C:$C,ROW())&amp;""," "," "))</f>
        <v/>
      </c>
      <c r="D1163">
        <f>IFERROR(--INDEX('Term investments'!$D:$D,ROW()),0)</f>
        <v/>
      </c>
      <c r="E1163">
        <f>IFERROR(--INDEX('Term investments'!$E:$E,ROW()),0)</f>
        <v/>
      </c>
      <c r="F1163">
        <f>IFERROR(--INDEX('Term investments'!$F:$F,ROW()),0)</f>
        <v/>
      </c>
      <c r="G1163">
        <f>IFERROR(IF(--INDEX('Term investments'!$G:$G,ROW())&gt;=1,--INDEX('Term investments'!$G:$G,ROW())/100,--INDEX('Term investments'!$G:$G,ROW())),0)</f>
        <v/>
      </c>
      <c r="H1163">
        <f>IFERROR(--INDEX('Term investments'!$H:$H,ROW()),0)</f>
        <v/>
      </c>
      <c r="I1163">
        <f>IF(ISNUMBER(INDEX('Term investments'!$G:$G,ROW())),1,0)</f>
        <v/>
      </c>
      <c r="J1163">
        <f>TRIM(SUBSTITUTE(INDEX('Call accounts and MMFs'!$A:$A,ROW())&amp;""," "," "))</f>
        <v/>
      </c>
      <c r="K1163">
        <f>TRIM(SUBSTITUTE(INDEX('Call accounts and MMFs'!$B:$B,ROW())&amp;""," "," "))</f>
        <v/>
      </c>
      <c r="L1163">
        <f>TRIM(SUBSTITUTE(INDEX('Call accounts and MMFs'!$C:$C,ROW())&amp;""," "," "))</f>
        <v/>
      </c>
      <c r="M1163">
        <f>IFERROR(--INDEX('Call accounts and MMFs'!$D:$D,ROW()),0)</f>
        <v/>
      </c>
      <c r="N1163">
        <f>IFERROR(IF(--INDEX('Call accounts and MMFs'!$E:$E,ROW())&gt;=1,--INDEX('Call accounts and MMFs'!$E:$E,ROW())/100,--INDEX('Call accounts and MMFs'!$E:$E,ROW())),0)</f>
        <v/>
      </c>
      <c r="O1163">
        <f>IFERROR(--INDEX('Call accounts and MMFs'!$F:$F,ROW()),0)</f>
        <v/>
      </c>
      <c r="P1163">
        <f>IF(ISNUMBER(INDEX('Call accounts and MMFs'!$E:$E,ROW())),1,0)</f>
        <v/>
      </c>
      <c r="Q1163">
        <f>TRIM(SUBSTITUTE(INDEX('Pooled funds'!$B:$B,ROW())&amp;""," "," "))</f>
        <v/>
      </c>
      <c r="R1163">
        <f>IFERROR(--INDEX('Pooled funds'!$C:$C,ROW()),0)</f>
        <v/>
      </c>
      <c r="S1163">
        <f>IFERROR(--INDEX('Pooled funds'!$D:$D,ROW()),0)</f>
        <v/>
      </c>
      <c r="T1163">
        <f>IFERROR(IF(--INDEX('Pooled funds'!$E:$E,ROW())&gt;=1,--INDEX('Pooled funds'!$E:$E,ROW())/100,--INDEX('Pooled funds'!$E:$E,ROW())),0)</f>
        <v/>
      </c>
      <c r="U1163">
        <f>IF(ISNUMBER(INDEX('Pooled funds'!$E:$E,ROW())),1,0)</f>
        <v/>
      </c>
    </row>
    <row r="1164">
      <c r="A1164">
        <f>TRIM(SUBSTITUTE(INDEX('Term investments'!$A:$A,ROW())&amp;""," "," "))</f>
        <v/>
      </c>
      <c r="B1164">
        <f>TRIM(SUBSTITUTE(INDEX('Term investments'!$B:$B,ROW())&amp;""," "," "))</f>
        <v/>
      </c>
      <c r="C1164">
        <f>TRIM(SUBSTITUTE(INDEX('Term investments'!$C:$C,ROW())&amp;""," "," "))</f>
        <v/>
      </c>
      <c r="D1164">
        <f>IFERROR(--INDEX('Term investments'!$D:$D,ROW()),0)</f>
        <v/>
      </c>
      <c r="E1164">
        <f>IFERROR(--INDEX('Term investments'!$E:$E,ROW()),0)</f>
        <v/>
      </c>
      <c r="F1164">
        <f>IFERROR(--INDEX('Term investments'!$F:$F,ROW()),0)</f>
        <v/>
      </c>
      <c r="G1164">
        <f>IFERROR(IF(--INDEX('Term investments'!$G:$G,ROW())&gt;=1,--INDEX('Term investments'!$G:$G,ROW())/100,--INDEX('Term investments'!$G:$G,ROW())),0)</f>
        <v/>
      </c>
      <c r="H1164">
        <f>IFERROR(--INDEX('Term investments'!$H:$H,ROW()),0)</f>
        <v/>
      </c>
      <c r="I1164">
        <f>IF(ISNUMBER(INDEX('Term investments'!$G:$G,ROW())),1,0)</f>
        <v/>
      </c>
      <c r="J1164">
        <f>TRIM(SUBSTITUTE(INDEX('Call accounts and MMFs'!$A:$A,ROW())&amp;""," "," "))</f>
        <v/>
      </c>
      <c r="K1164">
        <f>TRIM(SUBSTITUTE(INDEX('Call accounts and MMFs'!$B:$B,ROW())&amp;""," "," "))</f>
        <v/>
      </c>
      <c r="L1164">
        <f>TRIM(SUBSTITUTE(INDEX('Call accounts and MMFs'!$C:$C,ROW())&amp;""," "," "))</f>
        <v/>
      </c>
      <c r="M1164">
        <f>IFERROR(--INDEX('Call accounts and MMFs'!$D:$D,ROW()),0)</f>
        <v/>
      </c>
      <c r="N1164">
        <f>IFERROR(IF(--INDEX('Call accounts and MMFs'!$E:$E,ROW())&gt;=1,--INDEX('Call accounts and MMFs'!$E:$E,ROW())/100,--INDEX('Call accounts and MMFs'!$E:$E,ROW())),0)</f>
        <v/>
      </c>
      <c r="O1164">
        <f>IFERROR(--INDEX('Call accounts and MMFs'!$F:$F,ROW()),0)</f>
        <v/>
      </c>
      <c r="P1164">
        <f>IF(ISNUMBER(INDEX('Call accounts and MMFs'!$E:$E,ROW())),1,0)</f>
        <v/>
      </c>
      <c r="Q1164">
        <f>TRIM(SUBSTITUTE(INDEX('Pooled funds'!$B:$B,ROW())&amp;""," "," "))</f>
        <v/>
      </c>
      <c r="R1164">
        <f>IFERROR(--INDEX('Pooled funds'!$C:$C,ROW()),0)</f>
        <v/>
      </c>
      <c r="S1164">
        <f>IFERROR(--INDEX('Pooled funds'!$D:$D,ROW()),0)</f>
        <v/>
      </c>
      <c r="T1164">
        <f>IFERROR(IF(--INDEX('Pooled funds'!$E:$E,ROW())&gt;=1,--INDEX('Pooled funds'!$E:$E,ROW())/100,--INDEX('Pooled funds'!$E:$E,ROW())),0)</f>
        <v/>
      </c>
      <c r="U1164">
        <f>IF(ISNUMBER(INDEX('Pooled funds'!$E:$E,ROW())),1,0)</f>
        <v/>
      </c>
    </row>
    <row r="1165">
      <c r="A1165">
        <f>TRIM(SUBSTITUTE(INDEX('Term investments'!$A:$A,ROW())&amp;""," "," "))</f>
        <v/>
      </c>
      <c r="B1165">
        <f>TRIM(SUBSTITUTE(INDEX('Term investments'!$B:$B,ROW())&amp;""," "," "))</f>
        <v/>
      </c>
      <c r="C1165">
        <f>TRIM(SUBSTITUTE(INDEX('Term investments'!$C:$C,ROW())&amp;""," "," "))</f>
        <v/>
      </c>
      <c r="D1165">
        <f>IFERROR(--INDEX('Term investments'!$D:$D,ROW()),0)</f>
        <v/>
      </c>
      <c r="E1165">
        <f>IFERROR(--INDEX('Term investments'!$E:$E,ROW()),0)</f>
        <v/>
      </c>
      <c r="F1165">
        <f>IFERROR(--INDEX('Term investments'!$F:$F,ROW()),0)</f>
        <v/>
      </c>
      <c r="G1165">
        <f>IFERROR(IF(--INDEX('Term investments'!$G:$G,ROW())&gt;=1,--INDEX('Term investments'!$G:$G,ROW())/100,--INDEX('Term investments'!$G:$G,ROW())),0)</f>
        <v/>
      </c>
      <c r="H1165">
        <f>IFERROR(--INDEX('Term investments'!$H:$H,ROW()),0)</f>
        <v/>
      </c>
      <c r="I1165">
        <f>IF(ISNUMBER(INDEX('Term investments'!$G:$G,ROW())),1,0)</f>
        <v/>
      </c>
      <c r="J1165">
        <f>TRIM(SUBSTITUTE(INDEX('Call accounts and MMFs'!$A:$A,ROW())&amp;""," "," "))</f>
        <v/>
      </c>
      <c r="K1165">
        <f>TRIM(SUBSTITUTE(INDEX('Call accounts and MMFs'!$B:$B,ROW())&amp;""," "," "))</f>
        <v/>
      </c>
      <c r="L1165">
        <f>TRIM(SUBSTITUTE(INDEX('Call accounts and MMFs'!$C:$C,ROW())&amp;""," "," "))</f>
        <v/>
      </c>
      <c r="M1165">
        <f>IFERROR(--INDEX('Call accounts and MMFs'!$D:$D,ROW()),0)</f>
        <v/>
      </c>
      <c r="N1165">
        <f>IFERROR(IF(--INDEX('Call accounts and MMFs'!$E:$E,ROW())&gt;=1,--INDEX('Call accounts and MMFs'!$E:$E,ROW())/100,--INDEX('Call accounts and MMFs'!$E:$E,ROW())),0)</f>
        <v/>
      </c>
      <c r="O1165">
        <f>IFERROR(--INDEX('Call accounts and MMFs'!$F:$F,ROW()),0)</f>
        <v/>
      </c>
      <c r="P1165">
        <f>IF(ISNUMBER(INDEX('Call accounts and MMFs'!$E:$E,ROW())),1,0)</f>
        <v/>
      </c>
      <c r="Q1165">
        <f>TRIM(SUBSTITUTE(INDEX('Pooled funds'!$B:$B,ROW())&amp;""," "," "))</f>
        <v/>
      </c>
      <c r="R1165">
        <f>IFERROR(--INDEX('Pooled funds'!$C:$C,ROW()),0)</f>
        <v/>
      </c>
      <c r="S1165">
        <f>IFERROR(--INDEX('Pooled funds'!$D:$D,ROW()),0)</f>
        <v/>
      </c>
      <c r="T1165">
        <f>IFERROR(IF(--INDEX('Pooled funds'!$E:$E,ROW())&gt;=1,--INDEX('Pooled funds'!$E:$E,ROW())/100,--INDEX('Pooled funds'!$E:$E,ROW())),0)</f>
        <v/>
      </c>
      <c r="U1165">
        <f>IF(ISNUMBER(INDEX('Pooled funds'!$E:$E,ROW())),1,0)</f>
        <v/>
      </c>
    </row>
    <row r="1166">
      <c r="A1166">
        <f>TRIM(SUBSTITUTE(INDEX('Term investments'!$A:$A,ROW())&amp;""," "," "))</f>
        <v/>
      </c>
      <c r="B1166">
        <f>TRIM(SUBSTITUTE(INDEX('Term investments'!$B:$B,ROW())&amp;""," "," "))</f>
        <v/>
      </c>
      <c r="C1166">
        <f>TRIM(SUBSTITUTE(INDEX('Term investments'!$C:$C,ROW())&amp;""," "," "))</f>
        <v/>
      </c>
      <c r="D1166">
        <f>IFERROR(--INDEX('Term investments'!$D:$D,ROW()),0)</f>
        <v/>
      </c>
      <c r="E1166">
        <f>IFERROR(--INDEX('Term investments'!$E:$E,ROW()),0)</f>
        <v/>
      </c>
      <c r="F1166">
        <f>IFERROR(--INDEX('Term investments'!$F:$F,ROW()),0)</f>
        <v/>
      </c>
      <c r="G1166">
        <f>IFERROR(IF(--INDEX('Term investments'!$G:$G,ROW())&gt;=1,--INDEX('Term investments'!$G:$G,ROW())/100,--INDEX('Term investments'!$G:$G,ROW())),0)</f>
        <v/>
      </c>
      <c r="H1166">
        <f>IFERROR(--INDEX('Term investments'!$H:$H,ROW()),0)</f>
        <v/>
      </c>
      <c r="I1166">
        <f>IF(ISNUMBER(INDEX('Term investments'!$G:$G,ROW())),1,0)</f>
        <v/>
      </c>
      <c r="J1166">
        <f>TRIM(SUBSTITUTE(INDEX('Call accounts and MMFs'!$A:$A,ROW())&amp;""," "," "))</f>
        <v/>
      </c>
      <c r="K1166">
        <f>TRIM(SUBSTITUTE(INDEX('Call accounts and MMFs'!$B:$B,ROW())&amp;""," "," "))</f>
        <v/>
      </c>
      <c r="L1166">
        <f>TRIM(SUBSTITUTE(INDEX('Call accounts and MMFs'!$C:$C,ROW())&amp;""," "," "))</f>
        <v/>
      </c>
      <c r="M1166">
        <f>IFERROR(--INDEX('Call accounts and MMFs'!$D:$D,ROW()),0)</f>
        <v/>
      </c>
      <c r="N1166">
        <f>IFERROR(IF(--INDEX('Call accounts and MMFs'!$E:$E,ROW())&gt;=1,--INDEX('Call accounts and MMFs'!$E:$E,ROW())/100,--INDEX('Call accounts and MMFs'!$E:$E,ROW())),0)</f>
        <v/>
      </c>
      <c r="O1166">
        <f>IFERROR(--INDEX('Call accounts and MMFs'!$F:$F,ROW()),0)</f>
        <v/>
      </c>
      <c r="P1166">
        <f>IF(ISNUMBER(INDEX('Call accounts and MMFs'!$E:$E,ROW())),1,0)</f>
        <v/>
      </c>
      <c r="Q1166">
        <f>TRIM(SUBSTITUTE(INDEX('Pooled funds'!$B:$B,ROW())&amp;""," "," "))</f>
        <v/>
      </c>
      <c r="R1166">
        <f>IFERROR(--INDEX('Pooled funds'!$C:$C,ROW()),0)</f>
        <v/>
      </c>
      <c r="S1166">
        <f>IFERROR(--INDEX('Pooled funds'!$D:$D,ROW()),0)</f>
        <v/>
      </c>
      <c r="T1166">
        <f>IFERROR(IF(--INDEX('Pooled funds'!$E:$E,ROW())&gt;=1,--INDEX('Pooled funds'!$E:$E,ROW())/100,--INDEX('Pooled funds'!$E:$E,ROW())),0)</f>
        <v/>
      </c>
      <c r="U1166">
        <f>IF(ISNUMBER(INDEX('Pooled funds'!$E:$E,ROW())),1,0)</f>
        <v/>
      </c>
    </row>
    <row r="1167">
      <c r="A1167">
        <f>TRIM(SUBSTITUTE(INDEX('Term investments'!$A:$A,ROW())&amp;""," "," "))</f>
        <v/>
      </c>
      <c r="B1167">
        <f>TRIM(SUBSTITUTE(INDEX('Term investments'!$B:$B,ROW())&amp;""," "," "))</f>
        <v/>
      </c>
      <c r="C1167">
        <f>TRIM(SUBSTITUTE(INDEX('Term investments'!$C:$C,ROW())&amp;""," "," "))</f>
        <v/>
      </c>
      <c r="D1167">
        <f>IFERROR(--INDEX('Term investments'!$D:$D,ROW()),0)</f>
        <v/>
      </c>
      <c r="E1167">
        <f>IFERROR(--INDEX('Term investments'!$E:$E,ROW()),0)</f>
        <v/>
      </c>
      <c r="F1167">
        <f>IFERROR(--INDEX('Term investments'!$F:$F,ROW()),0)</f>
        <v/>
      </c>
      <c r="G1167">
        <f>IFERROR(IF(--INDEX('Term investments'!$G:$G,ROW())&gt;=1,--INDEX('Term investments'!$G:$G,ROW())/100,--INDEX('Term investments'!$G:$G,ROW())),0)</f>
        <v/>
      </c>
      <c r="H1167">
        <f>IFERROR(--INDEX('Term investments'!$H:$H,ROW()),0)</f>
        <v/>
      </c>
      <c r="I1167">
        <f>IF(ISNUMBER(INDEX('Term investments'!$G:$G,ROW())),1,0)</f>
        <v/>
      </c>
      <c r="J1167">
        <f>TRIM(SUBSTITUTE(INDEX('Call accounts and MMFs'!$A:$A,ROW())&amp;""," "," "))</f>
        <v/>
      </c>
      <c r="K1167">
        <f>TRIM(SUBSTITUTE(INDEX('Call accounts and MMFs'!$B:$B,ROW())&amp;""," "," "))</f>
        <v/>
      </c>
      <c r="L1167">
        <f>TRIM(SUBSTITUTE(INDEX('Call accounts and MMFs'!$C:$C,ROW())&amp;""," "," "))</f>
        <v/>
      </c>
      <c r="M1167">
        <f>IFERROR(--INDEX('Call accounts and MMFs'!$D:$D,ROW()),0)</f>
        <v/>
      </c>
      <c r="N1167">
        <f>IFERROR(IF(--INDEX('Call accounts and MMFs'!$E:$E,ROW())&gt;=1,--INDEX('Call accounts and MMFs'!$E:$E,ROW())/100,--INDEX('Call accounts and MMFs'!$E:$E,ROW())),0)</f>
        <v/>
      </c>
      <c r="O1167">
        <f>IFERROR(--INDEX('Call accounts and MMFs'!$F:$F,ROW()),0)</f>
        <v/>
      </c>
      <c r="P1167">
        <f>IF(ISNUMBER(INDEX('Call accounts and MMFs'!$E:$E,ROW())),1,0)</f>
        <v/>
      </c>
      <c r="Q1167">
        <f>TRIM(SUBSTITUTE(INDEX('Pooled funds'!$B:$B,ROW())&amp;""," "," "))</f>
        <v/>
      </c>
      <c r="R1167">
        <f>IFERROR(--INDEX('Pooled funds'!$C:$C,ROW()),0)</f>
        <v/>
      </c>
      <c r="S1167">
        <f>IFERROR(--INDEX('Pooled funds'!$D:$D,ROW()),0)</f>
        <v/>
      </c>
      <c r="T1167">
        <f>IFERROR(IF(--INDEX('Pooled funds'!$E:$E,ROW())&gt;=1,--INDEX('Pooled funds'!$E:$E,ROW())/100,--INDEX('Pooled funds'!$E:$E,ROW())),0)</f>
        <v/>
      </c>
      <c r="U1167">
        <f>IF(ISNUMBER(INDEX('Pooled funds'!$E:$E,ROW())),1,0)</f>
        <v/>
      </c>
    </row>
    <row r="1168">
      <c r="A1168">
        <f>TRIM(SUBSTITUTE(INDEX('Term investments'!$A:$A,ROW())&amp;""," "," "))</f>
        <v/>
      </c>
      <c r="B1168">
        <f>TRIM(SUBSTITUTE(INDEX('Term investments'!$B:$B,ROW())&amp;""," "," "))</f>
        <v/>
      </c>
      <c r="C1168">
        <f>TRIM(SUBSTITUTE(INDEX('Term investments'!$C:$C,ROW())&amp;""," "," "))</f>
        <v/>
      </c>
      <c r="D1168">
        <f>IFERROR(--INDEX('Term investments'!$D:$D,ROW()),0)</f>
        <v/>
      </c>
      <c r="E1168">
        <f>IFERROR(--INDEX('Term investments'!$E:$E,ROW()),0)</f>
        <v/>
      </c>
      <c r="F1168">
        <f>IFERROR(--INDEX('Term investments'!$F:$F,ROW()),0)</f>
        <v/>
      </c>
      <c r="G1168">
        <f>IFERROR(IF(--INDEX('Term investments'!$G:$G,ROW())&gt;=1,--INDEX('Term investments'!$G:$G,ROW())/100,--INDEX('Term investments'!$G:$G,ROW())),0)</f>
        <v/>
      </c>
      <c r="H1168">
        <f>IFERROR(--INDEX('Term investments'!$H:$H,ROW()),0)</f>
        <v/>
      </c>
      <c r="I1168">
        <f>IF(ISNUMBER(INDEX('Term investments'!$G:$G,ROW())),1,0)</f>
        <v/>
      </c>
      <c r="J1168">
        <f>TRIM(SUBSTITUTE(INDEX('Call accounts and MMFs'!$A:$A,ROW())&amp;""," "," "))</f>
        <v/>
      </c>
      <c r="K1168">
        <f>TRIM(SUBSTITUTE(INDEX('Call accounts and MMFs'!$B:$B,ROW())&amp;""," "," "))</f>
        <v/>
      </c>
      <c r="L1168">
        <f>TRIM(SUBSTITUTE(INDEX('Call accounts and MMFs'!$C:$C,ROW())&amp;""," "," "))</f>
        <v/>
      </c>
      <c r="M1168">
        <f>IFERROR(--INDEX('Call accounts and MMFs'!$D:$D,ROW()),0)</f>
        <v/>
      </c>
      <c r="N1168">
        <f>IFERROR(IF(--INDEX('Call accounts and MMFs'!$E:$E,ROW())&gt;=1,--INDEX('Call accounts and MMFs'!$E:$E,ROW())/100,--INDEX('Call accounts and MMFs'!$E:$E,ROW())),0)</f>
        <v/>
      </c>
      <c r="O1168">
        <f>IFERROR(--INDEX('Call accounts and MMFs'!$F:$F,ROW()),0)</f>
        <v/>
      </c>
      <c r="P1168">
        <f>IF(ISNUMBER(INDEX('Call accounts and MMFs'!$E:$E,ROW())),1,0)</f>
        <v/>
      </c>
      <c r="Q1168">
        <f>TRIM(SUBSTITUTE(INDEX('Pooled funds'!$B:$B,ROW())&amp;""," "," "))</f>
        <v/>
      </c>
      <c r="R1168">
        <f>IFERROR(--INDEX('Pooled funds'!$C:$C,ROW()),0)</f>
        <v/>
      </c>
      <c r="S1168">
        <f>IFERROR(--INDEX('Pooled funds'!$D:$D,ROW()),0)</f>
        <v/>
      </c>
      <c r="T1168">
        <f>IFERROR(IF(--INDEX('Pooled funds'!$E:$E,ROW())&gt;=1,--INDEX('Pooled funds'!$E:$E,ROW())/100,--INDEX('Pooled funds'!$E:$E,ROW())),0)</f>
        <v/>
      </c>
      <c r="U1168">
        <f>IF(ISNUMBER(INDEX('Pooled funds'!$E:$E,ROW())),1,0)</f>
        <v/>
      </c>
    </row>
    <row r="1169">
      <c r="A1169">
        <f>TRIM(SUBSTITUTE(INDEX('Term investments'!$A:$A,ROW())&amp;""," "," "))</f>
        <v/>
      </c>
      <c r="B1169">
        <f>TRIM(SUBSTITUTE(INDEX('Term investments'!$B:$B,ROW())&amp;""," "," "))</f>
        <v/>
      </c>
      <c r="C1169">
        <f>TRIM(SUBSTITUTE(INDEX('Term investments'!$C:$C,ROW())&amp;""," "," "))</f>
        <v/>
      </c>
      <c r="D1169">
        <f>IFERROR(--INDEX('Term investments'!$D:$D,ROW()),0)</f>
        <v/>
      </c>
      <c r="E1169">
        <f>IFERROR(--INDEX('Term investments'!$E:$E,ROW()),0)</f>
        <v/>
      </c>
      <c r="F1169">
        <f>IFERROR(--INDEX('Term investments'!$F:$F,ROW()),0)</f>
        <v/>
      </c>
      <c r="G1169">
        <f>IFERROR(IF(--INDEX('Term investments'!$G:$G,ROW())&gt;=1,--INDEX('Term investments'!$G:$G,ROW())/100,--INDEX('Term investments'!$G:$G,ROW())),0)</f>
        <v/>
      </c>
      <c r="H1169">
        <f>IFERROR(--INDEX('Term investments'!$H:$H,ROW()),0)</f>
        <v/>
      </c>
      <c r="I1169">
        <f>IF(ISNUMBER(INDEX('Term investments'!$G:$G,ROW())),1,0)</f>
        <v/>
      </c>
      <c r="J1169">
        <f>TRIM(SUBSTITUTE(INDEX('Call accounts and MMFs'!$A:$A,ROW())&amp;""," "," "))</f>
        <v/>
      </c>
      <c r="K1169">
        <f>TRIM(SUBSTITUTE(INDEX('Call accounts and MMFs'!$B:$B,ROW())&amp;""," "," "))</f>
        <v/>
      </c>
      <c r="L1169">
        <f>TRIM(SUBSTITUTE(INDEX('Call accounts and MMFs'!$C:$C,ROW())&amp;""," "," "))</f>
        <v/>
      </c>
      <c r="M1169">
        <f>IFERROR(--INDEX('Call accounts and MMFs'!$D:$D,ROW()),0)</f>
        <v/>
      </c>
      <c r="N1169">
        <f>IFERROR(IF(--INDEX('Call accounts and MMFs'!$E:$E,ROW())&gt;=1,--INDEX('Call accounts and MMFs'!$E:$E,ROW())/100,--INDEX('Call accounts and MMFs'!$E:$E,ROW())),0)</f>
        <v/>
      </c>
      <c r="O1169">
        <f>IFERROR(--INDEX('Call accounts and MMFs'!$F:$F,ROW()),0)</f>
        <v/>
      </c>
      <c r="P1169">
        <f>IF(ISNUMBER(INDEX('Call accounts and MMFs'!$E:$E,ROW())),1,0)</f>
        <v/>
      </c>
      <c r="Q1169">
        <f>TRIM(SUBSTITUTE(INDEX('Pooled funds'!$B:$B,ROW())&amp;""," "," "))</f>
        <v/>
      </c>
      <c r="R1169">
        <f>IFERROR(--INDEX('Pooled funds'!$C:$C,ROW()),0)</f>
        <v/>
      </c>
      <c r="S1169">
        <f>IFERROR(--INDEX('Pooled funds'!$D:$D,ROW()),0)</f>
        <v/>
      </c>
      <c r="T1169">
        <f>IFERROR(IF(--INDEX('Pooled funds'!$E:$E,ROW())&gt;=1,--INDEX('Pooled funds'!$E:$E,ROW())/100,--INDEX('Pooled funds'!$E:$E,ROW())),0)</f>
        <v/>
      </c>
      <c r="U1169">
        <f>IF(ISNUMBER(INDEX('Pooled funds'!$E:$E,ROW())),1,0)</f>
        <v/>
      </c>
    </row>
    <row r="1170">
      <c r="A1170">
        <f>TRIM(SUBSTITUTE(INDEX('Term investments'!$A:$A,ROW())&amp;""," "," "))</f>
        <v/>
      </c>
      <c r="B1170">
        <f>TRIM(SUBSTITUTE(INDEX('Term investments'!$B:$B,ROW())&amp;""," "," "))</f>
        <v/>
      </c>
      <c r="C1170">
        <f>TRIM(SUBSTITUTE(INDEX('Term investments'!$C:$C,ROW())&amp;""," "," "))</f>
        <v/>
      </c>
      <c r="D1170">
        <f>IFERROR(--INDEX('Term investments'!$D:$D,ROW()),0)</f>
        <v/>
      </c>
      <c r="E1170">
        <f>IFERROR(--INDEX('Term investments'!$E:$E,ROW()),0)</f>
        <v/>
      </c>
      <c r="F1170">
        <f>IFERROR(--INDEX('Term investments'!$F:$F,ROW()),0)</f>
        <v/>
      </c>
      <c r="G1170">
        <f>IFERROR(IF(--INDEX('Term investments'!$G:$G,ROW())&gt;=1,--INDEX('Term investments'!$G:$G,ROW())/100,--INDEX('Term investments'!$G:$G,ROW())),0)</f>
        <v/>
      </c>
      <c r="H1170">
        <f>IFERROR(--INDEX('Term investments'!$H:$H,ROW()),0)</f>
        <v/>
      </c>
      <c r="I1170">
        <f>IF(ISNUMBER(INDEX('Term investments'!$G:$G,ROW())),1,0)</f>
        <v/>
      </c>
      <c r="J1170">
        <f>TRIM(SUBSTITUTE(INDEX('Call accounts and MMFs'!$A:$A,ROW())&amp;""," "," "))</f>
        <v/>
      </c>
      <c r="K1170">
        <f>TRIM(SUBSTITUTE(INDEX('Call accounts and MMFs'!$B:$B,ROW())&amp;""," "," "))</f>
        <v/>
      </c>
      <c r="L1170">
        <f>TRIM(SUBSTITUTE(INDEX('Call accounts and MMFs'!$C:$C,ROW())&amp;""," "," "))</f>
        <v/>
      </c>
      <c r="M1170">
        <f>IFERROR(--INDEX('Call accounts and MMFs'!$D:$D,ROW()),0)</f>
        <v/>
      </c>
      <c r="N1170">
        <f>IFERROR(IF(--INDEX('Call accounts and MMFs'!$E:$E,ROW())&gt;=1,--INDEX('Call accounts and MMFs'!$E:$E,ROW())/100,--INDEX('Call accounts and MMFs'!$E:$E,ROW())),0)</f>
        <v/>
      </c>
      <c r="O1170">
        <f>IFERROR(--INDEX('Call accounts and MMFs'!$F:$F,ROW()),0)</f>
        <v/>
      </c>
      <c r="P1170">
        <f>IF(ISNUMBER(INDEX('Call accounts and MMFs'!$E:$E,ROW())),1,0)</f>
        <v/>
      </c>
      <c r="Q1170">
        <f>TRIM(SUBSTITUTE(INDEX('Pooled funds'!$B:$B,ROW())&amp;""," "," "))</f>
        <v/>
      </c>
      <c r="R1170">
        <f>IFERROR(--INDEX('Pooled funds'!$C:$C,ROW()),0)</f>
        <v/>
      </c>
      <c r="S1170">
        <f>IFERROR(--INDEX('Pooled funds'!$D:$D,ROW()),0)</f>
        <v/>
      </c>
      <c r="T1170">
        <f>IFERROR(IF(--INDEX('Pooled funds'!$E:$E,ROW())&gt;=1,--INDEX('Pooled funds'!$E:$E,ROW())/100,--INDEX('Pooled funds'!$E:$E,ROW())),0)</f>
        <v/>
      </c>
      <c r="U1170">
        <f>IF(ISNUMBER(INDEX('Pooled funds'!$E:$E,ROW())),1,0)</f>
        <v/>
      </c>
    </row>
    <row r="1171">
      <c r="A1171">
        <f>TRIM(SUBSTITUTE(INDEX('Term investments'!$A:$A,ROW())&amp;""," "," "))</f>
        <v/>
      </c>
      <c r="B1171">
        <f>TRIM(SUBSTITUTE(INDEX('Term investments'!$B:$B,ROW())&amp;""," "," "))</f>
        <v/>
      </c>
      <c r="C1171">
        <f>TRIM(SUBSTITUTE(INDEX('Term investments'!$C:$C,ROW())&amp;""," "," "))</f>
        <v/>
      </c>
      <c r="D1171">
        <f>IFERROR(--INDEX('Term investments'!$D:$D,ROW()),0)</f>
        <v/>
      </c>
      <c r="E1171">
        <f>IFERROR(--INDEX('Term investments'!$E:$E,ROW()),0)</f>
        <v/>
      </c>
      <c r="F1171">
        <f>IFERROR(--INDEX('Term investments'!$F:$F,ROW()),0)</f>
        <v/>
      </c>
      <c r="G1171">
        <f>IFERROR(IF(--INDEX('Term investments'!$G:$G,ROW())&gt;=1,--INDEX('Term investments'!$G:$G,ROW())/100,--INDEX('Term investments'!$G:$G,ROW())),0)</f>
        <v/>
      </c>
      <c r="H1171">
        <f>IFERROR(--INDEX('Term investments'!$H:$H,ROW()),0)</f>
        <v/>
      </c>
      <c r="I1171">
        <f>IF(ISNUMBER(INDEX('Term investments'!$G:$G,ROW())),1,0)</f>
        <v/>
      </c>
      <c r="J1171">
        <f>TRIM(SUBSTITUTE(INDEX('Call accounts and MMFs'!$A:$A,ROW())&amp;""," "," "))</f>
        <v/>
      </c>
      <c r="K1171">
        <f>TRIM(SUBSTITUTE(INDEX('Call accounts and MMFs'!$B:$B,ROW())&amp;""," "," "))</f>
        <v/>
      </c>
      <c r="L1171">
        <f>TRIM(SUBSTITUTE(INDEX('Call accounts and MMFs'!$C:$C,ROW())&amp;""," "," "))</f>
        <v/>
      </c>
      <c r="M1171">
        <f>IFERROR(--INDEX('Call accounts and MMFs'!$D:$D,ROW()),0)</f>
        <v/>
      </c>
      <c r="N1171">
        <f>IFERROR(IF(--INDEX('Call accounts and MMFs'!$E:$E,ROW())&gt;=1,--INDEX('Call accounts and MMFs'!$E:$E,ROW())/100,--INDEX('Call accounts and MMFs'!$E:$E,ROW())),0)</f>
        <v/>
      </c>
      <c r="O1171">
        <f>IFERROR(--INDEX('Call accounts and MMFs'!$F:$F,ROW()),0)</f>
        <v/>
      </c>
      <c r="P1171">
        <f>IF(ISNUMBER(INDEX('Call accounts and MMFs'!$E:$E,ROW())),1,0)</f>
        <v/>
      </c>
      <c r="Q1171">
        <f>TRIM(SUBSTITUTE(INDEX('Pooled funds'!$B:$B,ROW())&amp;""," "," "))</f>
        <v/>
      </c>
      <c r="R1171">
        <f>IFERROR(--INDEX('Pooled funds'!$C:$C,ROW()),0)</f>
        <v/>
      </c>
      <c r="S1171">
        <f>IFERROR(--INDEX('Pooled funds'!$D:$D,ROW()),0)</f>
        <v/>
      </c>
      <c r="T1171">
        <f>IFERROR(IF(--INDEX('Pooled funds'!$E:$E,ROW())&gt;=1,--INDEX('Pooled funds'!$E:$E,ROW())/100,--INDEX('Pooled funds'!$E:$E,ROW())),0)</f>
        <v/>
      </c>
      <c r="U1171">
        <f>IF(ISNUMBER(INDEX('Pooled funds'!$E:$E,ROW())),1,0)</f>
        <v/>
      </c>
    </row>
    <row r="1172">
      <c r="A1172">
        <f>TRIM(SUBSTITUTE(INDEX('Term investments'!$A:$A,ROW())&amp;""," "," "))</f>
        <v/>
      </c>
      <c r="B1172">
        <f>TRIM(SUBSTITUTE(INDEX('Term investments'!$B:$B,ROW())&amp;""," "," "))</f>
        <v/>
      </c>
      <c r="C1172">
        <f>TRIM(SUBSTITUTE(INDEX('Term investments'!$C:$C,ROW())&amp;""," "," "))</f>
        <v/>
      </c>
      <c r="D1172">
        <f>IFERROR(--INDEX('Term investments'!$D:$D,ROW()),0)</f>
        <v/>
      </c>
      <c r="E1172">
        <f>IFERROR(--INDEX('Term investments'!$E:$E,ROW()),0)</f>
        <v/>
      </c>
      <c r="F1172">
        <f>IFERROR(--INDEX('Term investments'!$F:$F,ROW()),0)</f>
        <v/>
      </c>
      <c r="G1172">
        <f>IFERROR(IF(--INDEX('Term investments'!$G:$G,ROW())&gt;=1,--INDEX('Term investments'!$G:$G,ROW())/100,--INDEX('Term investments'!$G:$G,ROW())),0)</f>
        <v/>
      </c>
      <c r="H1172">
        <f>IFERROR(--INDEX('Term investments'!$H:$H,ROW()),0)</f>
        <v/>
      </c>
      <c r="I1172">
        <f>IF(ISNUMBER(INDEX('Term investments'!$G:$G,ROW())),1,0)</f>
        <v/>
      </c>
      <c r="J1172">
        <f>TRIM(SUBSTITUTE(INDEX('Call accounts and MMFs'!$A:$A,ROW())&amp;""," "," "))</f>
        <v/>
      </c>
      <c r="K1172">
        <f>TRIM(SUBSTITUTE(INDEX('Call accounts and MMFs'!$B:$B,ROW())&amp;""," "," "))</f>
        <v/>
      </c>
      <c r="L1172">
        <f>TRIM(SUBSTITUTE(INDEX('Call accounts and MMFs'!$C:$C,ROW())&amp;""," "," "))</f>
        <v/>
      </c>
      <c r="M1172">
        <f>IFERROR(--INDEX('Call accounts and MMFs'!$D:$D,ROW()),0)</f>
        <v/>
      </c>
      <c r="N1172">
        <f>IFERROR(IF(--INDEX('Call accounts and MMFs'!$E:$E,ROW())&gt;=1,--INDEX('Call accounts and MMFs'!$E:$E,ROW())/100,--INDEX('Call accounts and MMFs'!$E:$E,ROW())),0)</f>
        <v/>
      </c>
      <c r="O1172">
        <f>IFERROR(--INDEX('Call accounts and MMFs'!$F:$F,ROW()),0)</f>
        <v/>
      </c>
      <c r="P1172">
        <f>IF(ISNUMBER(INDEX('Call accounts and MMFs'!$E:$E,ROW())),1,0)</f>
        <v/>
      </c>
      <c r="Q1172">
        <f>TRIM(SUBSTITUTE(INDEX('Pooled funds'!$B:$B,ROW())&amp;""," "," "))</f>
        <v/>
      </c>
      <c r="R1172">
        <f>IFERROR(--INDEX('Pooled funds'!$C:$C,ROW()),0)</f>
        <v/>
      </c>
      <c r="S1172">
        <f>IFERROR(--INDEX('Pooled funds'!$D:$D,ROW()),0)</f>
        <v/>
      </c>
      <c r="T1172">
        <f>IFERROR(IF(--INDEX('Pooled funds'!$E:$E,ROW())&gt;=1,--INDEX('Pooled funds'!$E:$E,ROW())/100,--INDEX('Pooled funds'!$E:$E,ROW())),0)</f>
        <v/>
      </c>
      <c r="U1172">
        <f>IF(ISNUMBER(INDEX('Pooled funds'!$E:$E,ROW())),1,0)</f>
        <v/>
      </c>
    </row>
    <row r="1173">
      <c r="A1173">
        <f>TRIM(SUBSTITUTE(INDEX('Term investments'!$A:$A,ROW())&amp;""," "," "))</f>
        <v/>
      </c>
      <c r="B1173">
        <f>TRIM(SUBSTITUTE(INDEX('Term investments'!$B:$B,ROW())&amp;""," "," "))</f>
        <v/>
      </c>
      <c r="C1173">
        <f>TRIM(SUBSTITUTE(INDEX('Term investments'!$C:$C,ROW())&amp;""," "," "))</f>
        <v/>
      </c>
      <c r="D1173">
        <f>IFERROR(--INDEX('Term investments'!$D:$D,ROW()),0)</f>
        <v/>
      </c>
      <c r="E1173">
        <f>IFERROR(--INDEX('Term investments'!$E:$E,ROW()),0)</f>
        <v/>
      </c>
      <c r="F1173">
        <f>IFERROR(--INDEX('Term investments'!$F:$F,ROW()),0)</f>
        <v/>
      </c>
      <c r="G1173">
        <f>IFERROR(IF(--INDEX('Term investments'!$G:$G,ROW())&gt;=1,--INDEX('Term investments'!$G:$G,ROW())/100,--INDEX('Term investments'!$G:$G,ROW())),0)</f>
        <v/>
      </c>
      <c r="H1173">
        <f>IFERROR(--INDEX('Term investments'!$H:$H,ROW()),0)</f>
        <v/>
      </c>
      <c r="I1173">
        <f>IF(ISNUMBER(INDEX('Term investments'!$G:$G,ROW())),1,0)</f>
        <v/>
      </c>
      <c r="J1173">
        <f>TRIM(SUBSTITUTE(INDEX('Call accounts and MMFs'!$A:$A,ROW())&amp;""," "," "))</f>
        <v/>
      </c>
      <c r="K1173">
        <f>TRIM(SUBSTITUTE(INDEX('Call accounts and MMFs'!$B:$B,ROW())&amp;""," "," "))</f>
        <v/>
      </c>
      <c r="L1173">
        <f>TRIM(SUBSTITUTE(INDEX('Call accounts and MMFs'!$C:$C,ROW())&amp;""," "," "))</f>
        <v/>
      </c>
      <c r="M1173">
        <f>IFERROR(--INDEX('Call accounts and MMFs'!$D:$D,ROW()),0)</f>
        <v/>
      </c>
      <c r="N1173">
        <f>IFERROR(IF(--INDEX('Call accounts and MMFs'!$E:$E,ROW())&gt;=1,--INDEX('Call accounts and MMFs'!$E:$E,ROW())/100,--INDEX('Call accounts and MMFs'!$E:$E,ROW())),0)</f>
        <v/>
      </c>
      <c r="O1173">
        <f>IFERROR(--INDEX('Call accounts and MMFs'!$F:$F,ROW()),0)</f>
        <v/>
      </c>
      <c r="P1173">
        <f>IF(ISNUMBER(INDEX('Call accounts and MMFs'!$E:$E,ROW())),1,0)</f>
        <v/>
      </c>
      <c r="Q1173">
        <f>TRIM(SUBSTITUTE(INDEX('Pooled funds'!$B:$B,ROW())&amp;""," "," "))</f>
        <v/>
      </c>
      <c r="R1173">
        <f>IFERROR(--INDEX('Pooled funds'!$C:$C,ROW()),0)</f>
        <v/>
      </c>
      <c r="S1173">
        <f>IFERROR(--INDEX('Pooled funds'!$D:$D,ROW()),0)</f>
        <v/>
      </c>
      <c r="T1173">
        <f>IFERROR(IF(--INDEX('Pooled funds'!$E:$E,ROW())&gt;=1,--INDEX('Pooled funds'!$E:$E,ROW())/100,--INDEX('Pooled funds'!$E:$E,ROW())),0)</f>
        <v/>
      </c>
      <c r="U1173">
        <f>IF(ISNUMBER(INDEX('Pooled funds'!$E:$E,ROW())),1,0)</f>
        <v/>
      </c>
    </row>
    <row r="1174">
      <c r="A1174">
        <f>TRIM(SUBSTITUTE(INDEX('Term investments'!$A:$A,ROW())&amp;""," "," "))</f>
        <v/>
      </c>
      <c r="B1174">
        <f>TRIM(SUBSTITUTE(INDEX('Term investments'!$B:$B,ROW())&amp;""," "," "))</f>
        <v/>
      </c>
      <c r="C1174">
        <f>TRIM(SUBSTITUTE(INDEX('Term investments'!$C:$C,ROW())&amp;""," "," "))</f>
        <v/>
      </c>
      <c r="D1174">
        <f>IFERROR(--INDEX('Term investments'!$D:$D,ROW()),0)</f>
        <v/>
      </c>
      <c r="E1174">
        <f>IFERROR(--INDEX('Term investments'!$E:$E,ROW()),0)</f>
        <v/>
      </c>
      <c r="F1174">
        <f>IFERROR(--INDEX('Term investments'!$F:$F,ROW()),0)</f>
        <v/>
      </c>
      <c r="G1174">
        <f>IFERROR(IF(--INDEX('Term investments'!$G:$G,ROW())&gt;=1,--INDEX('Term investments'!$G:$G,ROW())/100,--INDEX('Term investments'!$G:$G,ROW())),0)</f>
        <v/>
      </c>
      <c r="H1174">
        <f>IFERROR(--INDEX('Term investments'!$H:$H,ROW()),0)</f>
        <v/>
      </c>
      <c r="I1174">
        <f>IF(ISNUMBER(INDEX('Term investments'!$G:$G,ROW())),1,0)</f>
        <v/>
      </c>
      <c r="J1174">
        <f>TRIM(SUBSTITUTE(INDEX('Call accounts and MMFs'!$A:$A,ROW())&amp;""," "," "))</f>
        <v/>
      </c>
      <c r="K1174">
        <f>TRIM(SUBSTITUTE(INDEX('Call accounts and MMFs'!$B:$B,ROW())&amp;""," "," "))</f>
        <v/>
      </c>
      <c r="L1174">
        <f>TRIM(SUBSTITUTE(INDEX('Call accounts and MMFs'!$C:$C,ROW())&amp;""," "," "))</f>
        <v/>
      </c>
      <c r="M1174">
        <f>IFERROR(--INDEX('Call accounts and MMFs'!$D:$D,ROW()),0)</f>
        <v/>
      </c>
      <c r="N1174">
        <f>IFERROR(IF(--INDEX('Call accounts and MMFs'!$E:$E,ROW())&gt;=1,--INDEX('Call accounts and MMFs'!$E:$E,ROW())/100,--INDEX('Call accounts and MMFs'!$E:$E,ROW())),0)</f>
        <v/>
      </c>
      <c r="O1174">
        <f>IFERROR(--INDEX('Call accounts and MMFs'!$F:$F,ROW()),0)</f>
        <v/>
      </c>
      <c r="P1174">
        <f>IF(ISNUMBER(INDEX('Call accounts and MMFs'!$E:$E,ROW())),1,0)</f>
        <v/>
      </c>
      <c r="Q1174">
        <f>TRIM(SUBSTITUTE(INDEX('Pooled funds'!$B:$B,ROW())&amp;""," "," "))</f>
        <v/>
      </c>
      <c r="R1174">
        <f>IFERROR(--INDEX('Pooled funds'!$C:$C,ROW()),0)</f>
        <v/>
      </c>
      <c r="S1174">
        <f>IFERROR(--INDEX('Pooled funds'!$D:$D,ROW()),0)</f>
        <v/>
      </c>
      <c r="T1174">
        <f>IFERROR(IF(--INDEX('Pooled funds'!$E:$E,ROW())&gt;=1,--INDEX('Pooled funds'!$E:$E,ROW())/100,--INDEX('Pooled funds'!$E:$E,ROW())),0)</f>
        <v/>
      </c>
      <c r="U1174">
        <f>IF(ISNUMBER(INDEX('Pooled funds'!$E:$E,ROW())),1,0)</f>
        <v/>
      </c>
    </row>
    <row r="1175">
      <c r="A1175">
        <f>TRIM(SUBSTITUTE(INDEX('Term investments'!$A:$A,ROW())&amp;""," "," "))</f>
        <v/>
      </c>
      <c r="B1175">
        <f>TRIM(SUBSTITUTE(INDEX('Term investments'!$B:$B,ROW())&amp;""," "," "))</f>
        <v/>
      </c>
      <c r="C1175">
        <f>TRIM(SUBSTITUTE(INDEX('Term investments'!$C:$C,ROW())&amp;""," "," "))</f>
        <v/>
      </c>
      <c r="D1175">
        <f>IFERROR(--INDEX('Term investments'!$D:$D,ROW()),0)</f>
        <v/>
      </c>
      <c r="E1175">
        <f>IFERROR(--INDEX('Term investments'!$E:$E,ROW()),0)</f>
        <v/>
      </c>
      <c r="F1175">
        <f>IFERROR(--INDEX('Term investments'!$F:$F,ROW()),0)</f>
        <v/>
      </c>
      <c r="G1175">
        <f>IFERROR(IF(--INDEX('Term investments'!$G:$G,ROW())&gt;=1,--INDEX('Term investments'!$G:$G,ROW())/100,--INDEX('Term investments'!$G:$G,ROW())),0)</f>
        <v/>
      </c>
      <c r="H1175">
        <f>IFERROR(--INDEX('Term investments'!$H:$H,ROW()),0)</f>
        <v/>
      </c>
      <c r="I1175">
        <f>IF(ISNUMBER(INDEX('Term investments'!$G:$G,ROW())),1,0)</f>
        <v/>
      </c>
      <c r="J1175">
        <f>TRIM(SUBSTITUTE(INDEX('Call accounts and MMFs'!$A:$A,ROW())&amp;""," "," "))</f>
        <v/>
      </c>
      <c r="K1175">
        <f>TRIM(SUBSTITUTE(INDEX('Call accounts and MMFs'!$B:$B,ROW())&amp;""," "," "))</f>
        <v/>
      </c>
      <c r="L1175">
        <f>TRIM(SUBSTITUTE(INDEX('Call accounts and MMFs'!$C:$C,ROW())&amp;""," "," "))</f>
        <v/>
      </c>
      <c r="M1175">
        <f>IFERROR(--INDEX('Call accounts and MMFs'!$D:$D,ROW()),0)</f>
        <v/>
      </c>
      <c r="N1175">
        <f>IFERROR(IF(--INDEX('Call accounts and MMFs'!$E:$E,ROW())&gt;=1,--INDEX('Call accounts and MMFs'!$E:$E,ROW())/100,--INDEX('Call accounts and MMFs'!$E:$E,ROW())),0)</f>
        <v/>
      </c>
      <c r="O1175">
        <f>IFERROR(--INDEX('Call accounts and MMFs'!$F:$F,ROW()),0)</f>
        <v/>
      </c>
      <c r="P1175">
        <f>IF(ISNUMBER(INDEX('Call accounts and MMFs'!$E:$E,ROW())),1,0)</f>
        <v/>
      </c>
      <c r="Q1175">
        <f>TRIM(SUBSTITUTE(INDEX('Pooled funds'!$B:$B,ROW())&amp;""," "," "))</f>
        <v/>
      </c>
      <c r="R1175">
        <f>IFERROR(--INDEX('Pooled funds'!$C:$C,ROW()),0)</f>
        <v/>
      </c>
      <c r="S1175">
        <f>IFERROR(--INDEX('Pooled funds'!$D:$D,ROW()),0)</f>
        <v/>
      </c>
      <c r="T1175">
        <f>IFERROR(IF(--INDEX('Pooled funds'!$E:$E,ROW())&gt;=1,--INDEX('Pooled funds'!$E:$E,ROW())/100,--INDEX('Pooled funds'!$E:$E,ROW())),0)</f>
        <v/>
      </c>
      <c r="U1175">
        <f>IF(ISNUMBER(INDEX('Pooled funds'!$E:$E,ROW())),1,0)</f>
        <v/>
      </c>
    </row>
    <row r="1176">
      <c r="A1176">
        <f>TRIM(SUBSTITUTE(INDEX('Term investments'!$A:$A,ROW())&amp;""," "," "))</f>
        <v/>
      </c>
      <c r="B1176">
        <f>TRIM(SUBSTITUTE(INDEX('Term investments'!$B:$B,ROW())&amp;""," "," "))</f>
        <v/>
      </c>
      <c r="C1176">
        <f>TRIM(SUBSTITUTE(INDEX('Term investments'!$C:$C,ROW())&amp;""," "," "))</f>
        <v/>
      </c>
      <c r="D1176">
        <f>IFERROR(--INDEX('Term investments'!$D:$D,ROW()),0)</f>
        <v/>
      </c>
      <c r="E1176">
        <f>IFERROR(--INDEX('Term investments'!$E:$E,ROW()),0)</f>
        <v/>
      </c>
      <c r="F1176">
        <f>IFERROR(--INDEX('Term investments'!$F:$F,ROW()),0)</f>
        <v/>
      </c>
      <c r="G1176">
        <f>IFERROR(IF(--INDEX('Term investments'!$G:$G,ROW())&gt;=1,--INDEX('Term investments'!$G:$G,ROW())/100,--INDEX('Term investments'!$G:$G,ROW())),0)</f>
        <v/>
      </c>
      <c r="H1176">
        <f>IFERROR(--INDEX('Term investments'!$H:$H,ROW()),0)</f>
        <v/>
      </c>
      <c r="I1176">
        <f>IF(ISNUMBER(INDEX('Term investments'!$G:$G,ROW())),1,0)</f>
        <v/>
      </c>
      <c r="J1176">
        <f>TRIM(SUBSTITUTE(INDEX('Call accounts and MMFs'!$A:$A,ROW())&amp;""," "," "))</f>
        <v/>
      </c>
      <c r="K1176">
        <f>TRIM(SUBSTITUTE(INDEX('Call accounts and MMFs'!$B:$B,ROW())&amp;""," "," "))</f>
        <v/>
      </c>
      <c r="L1176">
        <f>TRIM(SUBSTITUTE(INDEX('Call accounts and MMFs'!$C:$C,ROW())&amp;""," "," "))</f>
        <v/>
      </c>
      <c r="M1176">
        <f>IFERROR(--INDEX('Call accounts and MMFs'!$D:$D,ROW()),0)</f>
        <v/>
      </c>
      <c r="N1176">
        <f>IFERROR(IF(--INDEX('Call accounts and MMFs'!$E:$E,ROW())&gt;=1,--INDEX('Call accounts and MMFs'!$E:$E,ROW())/100,--INDEX('Call accounts and MMFs'!$E:$E,ROW())),0)</f>
        <v/>
      </c>
      <c r="O1176">
        <f>IFERROR(--INDEX('Call accounts and MMFs'!$F:$F,ROW()),0)</f>
        <v/>
      </c>
      <c r="P1176">
        <f>IF(ISNUMBER(INDEX('Call accounts and MMFs'!$E:$E,ROW())),1,0)</f>
        <v/>
      </c>
      <c r="Q1176">
        <f>TRIM(SUBSTITUTE(INDEX('Pooled funds'!$B:$B,ROW())&amp;""," "," "))</f>
        <v/>
      </c>
      <c r="R1176">
        <f>IFERROR(--INDEX('Pooled funds'!$C:$C,ROW()),0)</f>
        <v/>
      </c>
      <c r="S1176">
        <f>IFERROR(--INDEX('Pooled funds'!$D:$D,ROW()),0)</f>
        <v/>
      </c>
      <c r="T1176">
        <f>IFERROR(IF(--INDEX('Pooled funds'!$E:$E,ROW())&gt;=1,--INDEX('Pooled funds'!$E:$E,ROW())/100,--INDEX('Pooled funds'!$E:$E,ROW())),0)</f>
        <v/>
      </c>
      <c r="U1176">
        <f>IF(ISNUMBER(INDEX('Pooled funds'!$E:$E,ROW())),1,0)</f>
        <v/>
      </c>
    </row>
    <row r="1177">
      <c r="A1177">
        <f>TRIM(SUBSTITUTE(INDEX('Term investments'!$A:$A,ROW())&amp;""," "," "))</f>
        <v/>
      </c>
      <c r="B1177">
        <f>TRIM(SUBSTITUTE(INDEX('Term investments'!$B:$B,ROW())&amp;""," "," "))</f>
        <v/>
      </c>
      <c r="C1177">
        <f>TRIM(SUBSTITUTE(INDEX('Term investments'!$C:$C,ROW())&amp;""," "," "))</f>
        <v/>
      </c>
      <c r="D1177">
        <f>IFERROR(--INDEX('Term investments'!$D:$D,ROW()),0)</f>
        <v/>
      </c>
      <c r="E1177">
        <f>IFERROR(--INDEX('Term investments'!$E:$E,ROW()),0)</f>
        <v/>
      </c>
      <c r="F1177">
        <f>IFERROR(--INDEX('Term investments'!$F:$F,ROW()),0)</f>
        <v/>
      </c>
      <c r="G1177">
        <f>IFERROR(IF(--INDEX('Term investments'!$G:$G,ROW())&gt;=1,--INDEX('Term investments'!$G:$G,ROW())/100,--INDEX('Term investments'!$G:$G,ROW())),0)</f>
        <v/>
      </c>
      <c r="H1177">
        <f>IFERROR(--INDEX('Term investments'!$H:$H,ROW()),0)</f>
        <v/>
      </c>
      <c r="I1177">
        <f>IF(ISNUMBER(INDEX('Term investments'!$G:$G,ROW())),1,0)</f>
        <v/>
      </c>
      <c r="J1177">
        <f>TRIM(SUBSTITUTE(INDEX('Call accounts and MMFs'!$A:$A,ROW())&amp;""," "," "))</f>
        <v/>
      </c>
      <c r="K1177">
        <f>TRIM(SUBSTITUTE(INDEX('Call accounts and MMFs'!$B:$B,ROW())&amp;""," "," "))</f>
        <v/>
      </c>
      <c r="L1177">
        <f>TRIM(SUBSTITUTE(INDEX('Call accounts and MMFs'!$C:$C,ROW())&amp;""," "," "))</f>
        <v/>
      </c>
      <c r="M1177">
        <f>IFERROR(--INDEX('Call accounts and MMFs'!$D:$D,ROW()),0)</f>
        <v/>
      </c>
      <c r="N1177">
        <f>IFERROR(IF(--INDEX('Call accounts and MMFs'!$E:$E,ROW())&gt;=1,--INDEX('Call accounts and MMFs'!$E:$E,ROW())/100,--INDEX('Call accounts and MMFs'!$E:$E,ROW())),0)</f>
        <v/>
      </c>
      <c r="O1177">
        <f>IFERROR(--INDEX('Call accounts and MMFs'!$F:$F,ROW()),0)</f>
        <v/>
      </c>
      <c r="P1177">
        <f>IF(ISNUMBER(INDEX('Call accounts and MMFs'!$E:$E,ROW())),1,0)</f>
        <v/>
      </c>
      <c r="Q1177">
        <f>TRIM(SUBSTITUTE(INDEX('Pooled funds'!$B:$B,ROW())&amp;""," "," "))</f>
        <v/>
      </c>
      <c r="R1177">
        <f>IFERROR(--INDEX('Pooled funds'!$C:$C,ROW()),0)</f>
        <v/>
      </c>
      <c r="S1177">
        <f>IFERROR(--INDEX('Pooled funds'!$D:$D,ROW()),0)</f>
        <v/>
      </c>
      <c r="T1177">
        <f>IFERROR(IF(--INDEX('Pooled funds'!$E:$E,ROW())&gt;=1,--INDEX('Pooled funds'!$E:$E,ROW())/100,--INDEX('Pooled funds'!$E:$E,ROW())),0)</f>
        <v/>
      </c>
      <c r="U1177">
        <f>IF(ISNUMBER(INDEX('Pooled funds'!$E:$E,ROW())),1,0)</f>
        <v/>
      </c>
    </row>
    <row r="1178">
      <c r="A1178">
        <f>TRIM(SUBSTITUTE(INDEX('Term investments'!$A:$A,ROW())&amp;""," "," "))</f>
        <v/>
      </c>
      <c r="B1178">
        <f>TRIM(SUBSTITUTE(INDEX('Term investments'!$B:$B,ROW())&amp;""," "," "))</f>
        <v/>
      </c>
      <c r="C1178">
        <f>TRIM(SUBSTITUTE(INDEX('Term investments'!$C:$C,ROW())&amp;""," "," "))</f>
        <v/>
      </c>
      <c r="D1178">
        <f>IFERROR(--INDEX('Term investments'!$D:$D,ROW()),0)</f>
        <v/>
      </c>
      <c r="E1178">
        <f>IFERROR(--INDEX('Term investments'!$E:$E,ROW()),0)</f>
        <v/>
      </c>
      <c r="F1178">
        <f>IFERROR(--INDEX('Term investments'!$F:$F,ROW()),0)</f>
        <v/>
      </c>
      <c r="G1178">
        <f>IFERROR(IF(--INDEX('Term investments'!$G:$G,ROW())&gt;=1,--INDEX('Term investments'!$G:$G,ROW())/100,--INDEX('Term investments'!$G:$G,ROW())),0)</f>
        <v/>
      </c>
      <c r="H1178">
        <f>IFERROR(--INDEX('Term investments'!$H:$H,ROW()),0)</f>
        <v/>
      </c>
      <c r="I1178">
        <f>IF(ISNUMBER(INDEX('Term investments'!$G:$G,ROW())),1,0)</f>
        <v/>
      </c>
      <c r="J1178">
        <f>TRIM(SUBSTITUTE(INDEX('Call accounts and MMFs'!$A:$A,ROW())&amp;""," "," "))</f>
        <v/>
      </c>
      <c r="K1178">
        <f>TRIM(SUBSTITUTE(INDEX('Call accounts and MMFs'!$B:$B,ROW())&amp;""," "," "))</f>
        <v/>
      </c>
      <c r="L1178">
        <f>TRIM(SUBSTITUTE(INDEX('Call accounts and MMFs'!$C:$C,ROW())&amp;""," "," "))</f>
        <v/>
      </c>
      <c r="M1178">
        <f>IFERROR(--INDEX('Call accounts and MMFs'!$D:$D,ROW()),0)</f>
        <v/>
      </c>
      <c r="N1178">
        <f>IFERROR(IF(--INDEX('Call accounts and MMFs'!$E:$E,ROW())&gt;=1,--INDEX('Call accounts and MMFs'!$E:$E,ROW())/100,--INDEX('Call accounts and MMFs'!$E:$E,ROW())),0)</f>
        <v/>
      </c>
      <c r="O1178">
        <f>IFERROR(--INDEX('Call accounts and MMFs'!$F:$F,ROW()),0)</f>
        <v/>
      </c>
      <c r="P1178">
        <f>IF(ISNUMBER(INDEX('Call accounts and MMFs'!$E:$E,ROW())),1,0)</f>
        <v/>
      </c>
      <c r="Q1178">
        <f>TRIM(SUBSTITUTE(INDEX('Pooled funds'!$B:$B,ROW())&amp;""," "," "))</f>
        <v/>
      </c>
      <c r="R1178">
        <f>IFERROR(--INDEX('Pooled funds'!$C:$C,ROW()),0)</f>
        <v/>
      </c>
      <c r="S1178">
        <f>IFERROR(--INDEX('Pooled funds'!$D:$D,ROW()),0)</f>
        <v/>
      </c>
      <c r="T1178">
        <f>IFERROR(IF(--INDEX('Pooled funds'!$E:$E,ROW())&gt;=1,--INDEX('Pooled funds'!$E:$E,ROW())/100,--INDEX('Pooled funds'!$E:$E,ROW())),0)</f>
        <v/>
      </c>
      <c r="U1178">
        <f>IF(ISNUMBER(INDEX('Pooled funds'!$E:$E,ROW())),1,0)</f>
        <v/>
      </c>
    </row>
    <row r="1179">
      <c r="A1179">
        <f>TRIM(SUBSTITUTE(INDEX('Term investments'!$A:$A,ROW())&amp;""," "," "))</f>
        <v/>
      </c>
      <c r="B1179">
        <f>TRIM(SUBSTITUTE(INDEX('Term investments'!$B:$B,ROW())&amp;""," "," "))</f>
        <v/>
      </c>
      <c r="C1179">
        <f>TRIM(SUBSTITUTE(INDEX('Term investments'!$C:$C,ROW())&amp;""," "," "))</f>
        <v/>
      </c>
      <c r="D1179">
        <f>IFERROR(--INDEX('Term investments'!$D:$D,ROW()),0)</f>
        <v/>
      </c>
      <c r="E1179">
        <f>IFERROR(--INDEX('Term investments'!$E:$E,ROW()),0)</f>
        <v/>
      </c>
      <c r="F1179">
        <f>IFERROR(--INDEX('Term investments'!$F:$F,ROW()),0)</f>
        <v/>
      </c>
      <c r="G1179">
        <f>IFERROR(IF(--INDEX('Term investments'!$G:$G,ROW())&gt;=1,--INDEX('Term investments'!$G:$G,ROW())/100,--INDEX('Term investments'!$G:$G,ROW())),0)</f>
        <v/>
      </c>
      <c r="H1179">
        <f>IFERROR(--INDEX('Term investments'!$H:$H,ROW()),0)</f>
        <v/>
      </c>
      <c r="I1179">
        <f>IF(ISNUMBER(INDEX('Term investments'!$G:$G,ROW())),1,0)</f>
        <v/>
      </c>
      <c r="J1179">
        <f>TRIM(SUBSTITUTE(INDEX('Call accounts and MMFs'!$A:$A,ROW())&amp;""," "," "))</f>
        <v/>
      </c>
      <c r="K1179">
        <f>TRIM(SUBSTITUTE(INDEX('Call accounts and MMFs'!$B:$B,ROW())&amp;""," "," "))</f>
        <v/>
      </c>
      <c r="L1179">
        <f>TRIM(SUBSTITUTE(INDEX('Call accounts and MMFs'!$C:$C,ROW())&amp;""," "," "))</f>
        <v/>
      </c>
      <c r="M1179">
        <f>IFERROR(--INDEX('Call accounts and MMFs'!$D:$D,ROW()),0)</f>
        <v/>
      </c>
      <c r="N1179">
        <f>IFERROR(IF(--INDEX('Call accounts and MMFs'!$E:$E,ROW())&gt;=1,--INDEX('Call accounts and MMFs'!$E:$E,ROW())/100,--INDEX('Call accounts and MMFs'!$E:$E,ROW())),0)</f>
        <v/>
      </c>
      <c r="O1179">
        <f>IFERROR(--INDEX('Call accounts and MMFs'!$F:$F,ROW()),0)</f>
        <v/>
      </c>
      <c r="P1179">
        <f>IF(ISNUMBER(INDEX('Call accounts and MMFs'!$E:$E,ROW())),1,0)</f>
        <v/>
      </c>
      <c r="Q1179">
        <f>TRIM(SUBSTITUTE(INDEX('Pooled funds'!$B:$B,ROW())&amp;""," "," "))</f>
        <v/>
      </c>
      <c r="R1179">
        <f>IFERROR(--INDEX('Pooled funds'!$C:$C,ROW()),0)</f>
        <v/>
      </c>
      <c r="S1179">
        <f>IFERROR(--INDEX('Pooled funds'!$D:$D,ROW()),0)</f>
        <v/>
      </c>
      <c r="T1179">
        <f>IFERROR(IF(--INDEX('Pooled funds'!$E:$E,ROW())&gt;=1,--INDEX('Pooled funds'!$E:$E,ROW())/100,--INDEX('Pooled funds'!$E:$E,ROW())),0)</f>
        <v/>
      </c>
      <c r="U1179">
        <f>IF(ISNUMBER(INDEX('Pooled funds'!$E:$E,ROW())),1,0)</f>
        <v/>
      </c>
    </row>
    <row r="1180">
      <c r="A1180">
        <f>TRIM(SUBSTITUTE(INDEX('Term investments'!$A:$A,ROW())&amp;""," "," "))</f>
        <v/>
      </c>
      <c r="B1180">
        <f>TRIM(SUBSTITUTE(INDEX('Term investments'!$B:$B,ROW())&amp;""," "," "))</f>
        <v/>
      </c>
      <c r="C1180">
        <f>TRIM(SUBSTITUTE(INDEX('Term investments'!$C:$C,ROW())&amp;""," "," "))</f>
        <v/>
      </c>
      <c r="D1180">
        <f>IFERROR(--INDEX('Term investments'!$D:$D,ROW()),0)</f>
        <v/>
      </c>
      <c r="E1180">
        <f>IFERROR(--INDEX('Term investments'!$E:$E,ROW()),0)</f>
        <v/>
      </c>
      <c r="F1180">
        <f>IFERROR(--INDEX('Term investments'!$F:$F,ROW()),0)</f>
        <v/>
      </c>
      <c r="G1180">
        <f>IFERROR(IF(--INDEX('Term investments'!$G:$G,ROW())&gt;=1,--INDEX('Term investments'!$G:$G,ROW())/100,--INDEX('Term investments'!$G:$G,ROW())),0)</f>
        <v/>
      </c>
      <c r="H1180">
        <f>IFERROR(--INDEX('Term investments'!$H:$H,ROW()),0)</f>
        <v/>
      </c>
      <c r="I1180">
        <f>IF(ISNUMBER(INDEX('Term investments'!$G:$G,ROW())),1,0)</f>
        <v/>
      </c>
      <c r="J1180">
        <f>TRIM(SUBSTITUTE(INDEX('Call accounts and MMFs'!$A:$A,ROW())&amp;""," "," "))</f>
        <v/>
      </c>
      <c r="K1180">
        <f>TRIM(SUBSTITUTE(INDEX('Call accounts and MMFs'!$B:$B,ROW())&amp;""," "," "))</f>
        <v/>
      </c>
      <c r="L1180">
        <f>TRIM(SUBSTITUTE(INDEX('Call accounts and MMFs'!$C:$C,ROW())&amp;""," "," "))</f>
        <v/>
      </c>
      <c r="M1180">
        <f>IFERROR(--INDEX('Call accounts and MMFs'!$D:$D,ROW()),0)</f>
        <v/>
      </c>
      <c r="N1180">
        <f>IFERROR(IF(--INDEX('Call accounts and MMFs'!$E:$E,ROW())&gt;=1,--INDEX('Call accounts and MMFs'!$E:$E,ROW())/100,--INDEX('Call accounts and MMFs'!$E:$E,ROW())),0)</f>
        <v/>
      </c>
      <c r="O1180">
        <f>IFERROR(--INDEX('Call accounts and MMFs'!$F:$F,ROW()),0)</f>
        <v/>
      </c>
      <c r="P1180">
        <f>IF(ISNUMBER(INDEX('Call accounts and MMFs'!$E:$E,ROW())),1,0)</f>
        <v/>
      </c>
      <c r="Q1180">
        <f>TRIM(SUBSTITUTE(INDEX('Pooled funds'!$B:$B,ROW())&amp;""," "," "))</f>
        <v/>
      </c>
      <c r="R1180">
        <f>IFERROR(--INDEX('Pooled funds'!$C:$C,ROW()),0)</f>
        <v/>
      </c>
      <c r="S1180">
        <f>IFERROR(--INDEX('Pooled funds'!$D:$D,ROW()),0)</f>
        <v/>
      </c>
      <c r="T1180">
        <f>IFERROR(IF(--INDEX('Pooled funds'!$E:$E,ROW())&gt;=1,--INDEX('Pooled funds'!$E:$E,ROW())/100,--INDEX('Pooled funds'!$E:$E,ROW())),0)</f>
        <v/>
      </c>
      <c r="U1180">
        <f>IF(ISNUMBER(INDEX('Pooled funds'!$E:$E,ROW())),1,0)</f>
        <v/>
      </c>
    </row>
    <row r="1181">
      <c r="A1181">
        <f>TRIM(SUBSTITUTE(INDEX('Term investments'!$A:$A,ROW())&amp;""," "," "))</f>
        <v/>
      </c>
      <c r="B1181">
        <f>TRIM(SUBSTITUTE(INDEX('Term investments'!$B:$B,ROW())&amp;""," "," "))</f>
        <v/>
      </c>
      <c r="C1181">
        <f>TRIM(SUBSTITUTE(INDEX('Term investments'!$C:$C,ROW())&amp;""," "," "))</f>
        <v/>
      </c>
      <c r="D1181">
        <f>IFERROR(--INDEX('Term investments'!$D:$D,ROW()),0)</f>
        <v/>
      </c>
      <c r="E1181">
        <f>IFERROR(--INDEX('Term investments'!$E:$E,ROW()),0)</f>
        <v/>
      </c>
      <c r="F1181">
        <f>IFERROR(--INDEX('Term investments'!$F:$F,ROW()),0)</f>
        <v/>
      </c>
      <c r="G1181">
        <f>IFERROR(IF(--INDEX('Term investments'!$G:$G,ROW())&gt;=1,--INDEX('Term investments'!$G:$G,ROW())/100,--INDEX('Term investments'!$G:$G,ROW())),0)</f>
        <v/>
      </c>
      <c r="H1181">
        <f>IFERROR(--INDEX('Term investments'!$H:$H,ROW()),0)</f>
        <v/>
      </c>
      <c r="I1181">
        <f>IF(ISNUMBER(INDEX('Term investments'!$G:$G,ROW())),1,0)</f>
        <v/>
      </c>
      <c r="J1181">
        <f>TRIM(SUBSTITUTE(INDEX('Call accounts and MMFs'!$A:$A,ROW())&amp;""," "," "))</f>
        <v/>
      </c>
      <c r="K1181">
        <f>TRIM(SUBSTITUTE(INDEX('Call accounts and MMFs'!$B:$B,ROW())&amp;""," "," "))</f>
        <v/>
      </c>
      <c r="L1181">
        <f>TRIM(SUBSTITUTE(INDEX('Call accounts and MMFs'!$C:$C,ROW())&amp;""," "," "))</f>
        <v/>
      </c>
      <c r="M1181">
        <f>IFERROR(--INDEX('Call accounts and MMFs'!$D:$D,ROW()),0)</f>
        <v/>
      </c>
      <c r="N1181">
        <f>IFERROR(IF(--INDEX('Call accounts and MMFs'!$E:$E,ROW())&gt;=1,--INDEX('Call accounts and MMFs'!$E:$E,ROW())/100,--INDEX('Call accounts and MMFs'!$E:$E,ROW())),0)</f>
        <v/>
      </c>
      <c r="O1181">
        <f>IFERROR(--INDEX('Call accounts and MMFs'!$F:$F,ROW()),0)</f>
        <v/>
      </c>
      <c r="P1181">
        <f>IF(ISNUMBER(INDEX('Call accounts and MMFs'!$E:$E,ROW())),1,0)</f>
        <v/>
      </c>
      <c r="Q1181">
        <f>TRIM(SUBSTITUTE(INDEX('Pooled funds'!$B:$B,ROW())&amp;""," "," "))</f>
        <v/>
      </c>
      <c r="R1181">
        <f>IFERROR(--INDEX('Pooled funds'!$C:$C,ROW()),0)</f>
        <v/>
      </c>
      <c r="S1181">
        <f>IFERROR(--INDEX('Pooled funds'!$D:$D,ROW()),0)</f>
        <v/>
      </c>
      <c r="T1181">
        <f>IFERROR(IF(--INDEX('Pooled funds'!$E:$E,ROW())&gt;=1,--INDEX('Pooled funds'!$E:$E,ROW())/100,--INDEX('Pooled funds'!$E:$E,ROW())),0)</f>
        <v/>
      </c>
      <c r="U1181">
        <f>IF(ISNUMBER(INDEX('Pooled funds'!$E:$E,ROW())),1,0)</f>
        <v/>
      </c>
    </row>
    <row r="1182">
      <c r="A1182">
        <f>TRIM(SUBSTITUTE(INDEX('Term investments'!$A:$A,ROW())&amp;""," "," "))</f>
        <v/>
      </c>
      <c r="B1182">
        <f>TRIM(SUBSTITUTE(INDEX('Term investments'!$B:$B,ROW())&amp;""," "," "))</f>
        <v/>
      </c>
      <c r="C1182">
        <f>TRIM(SUBSTITUTE(INDEX('Term investments'!$C:$C,ROW())&amp;""," "," "))</f>
        <v/>
      </c>
      <c r="D1182">
        <f>IFERROR(--INDEX('Term investments'!$D:$D,ROW()),0)</f>
        <v/>
      </c>
      <c r="E1182">
        <f>IFERROR(--INDEX('Term investments'!$E:$E,ROW()),0)</f>
        <v/>
      </c>
      <c r="F1182">
        <f>IFERROR(--INDEX('Term investments'!$F:$F,ROW()),0)</f>
        <v/>
      </c>
      <c r="G1182">
        <f>IFERROR(IF(--INDEX('Term investments'!$G:$G,ROW())&gt;=1,--INDEX('Term investments'!$G:$G,ROW())/100,--INDEX('Term investments'!$G:$G,ROW())),0)</f>
        <v/>
      </c>
      <c r="H1182">
        <f>IFERROR(--INDEX('Term investments'!$H:$H,ROW()),0)</f>
        <v/>
      </c>
      <c r="I1182">
        <f>IF(ISNUMBER(INDEX('Term investments'!$G:$G,ROW())),1,0)</f>
        <v/>
      </c>
      <c r="J1182">
        <f>TRIM(SUBSTITUTE(INDEX('Call accounts and MMFs'!$A:$A,ROW())&amp;""," "," "))</f>
        <v/>
      </c>
      <c r="K1182">
        <f>TRIM(SUBSTITUTE(INDEX('Call accounts and MMFs'!$B:$B,ROW())&amp;""," "," "))</f>
        <v/>
      </c>
      <c r="L1182">
        <f>TRIM(SUBSTITUTE(INDEX('Call accounts and MMFs'!$C:$C,ROW())&amp;""," "," "))</f>
        <v/>
      </c>
      <c r="M1182">
        <f>IFERROR(--INDEX('Call accounts and MMFs'!$D:$D,ROW()),0)</f>
        <v/>
      </c>
      <c r="N1182">
        <f>IFERROR(IF(--INDEX('Call accounts and MMFs'!$E:$E,ROW())&gt;=1,--INDEX('Call accounts and MMFs'!$E:$E,ROW())/100,--INDEX('Call accounts and MMFs'!$E:$E,ROW())),0)</f>
        <v/>
      </c>
      <c r="O1182">
        <f>IFERROR(--INDEX('Call accounts and MMFs'!$F:$F,ROW()),0)</f>
        <v/>
      </c>
      <c r="P1182">
        <f>IF(ISNUMBER(INDEX('Call accounts and MMFs'!$E:$E,ROW())),1,0)</f>
        <v/>
      </c>
      <c r="Q1182">
        <f>TRIM(SUBSTITUTE(INDEX('Pooled funds'!$B:$B,ROW())&amp;""," "," "))</f>
        <v/>
      </c>
      <c r="R1182">
        <f>IFERROR(--INDEX('Pooled funds'!$C:$C,ROW()),0)</f>
        <v/>
      </c>
      <c r="S1182">
        <f>IFERROR(--INDEX('Pooled funds'!$D:$D,ROW()),0)</f>
        <v/>
      </c>
      <c r="T1182">
        <f>IFERROR(IF(--INDEX('Pooled funds'!$E:$E,ROW())&gt;=1,--INDEX('Pooled funds'!$E:$E,ROW())/100,--INDEX('Pooled funds'!$E:$E,ROW())),0)</f>
        <v/>
      </c>
      <c r="U1182">
        <f>IF(ISNUMBER(INDEX('Pooled funds'!$E:$E,ROW())),1,0)</f>
        <v/>
      </c>
    </row>
    <row r="1183">
      <c r="A1183">
        <f>TRIM(SUBSTITUTE(INDEX('Term investments'!$A:$A,ROW())&amp;""," "," "))</f>
        <v/>
      </c>
      <c r="B1183">
        <f>TRIM(SUBSTITUTE(INDEX('Term investments'!$B:$B,ROW())&amp;""," "," "))</f>
        <v/>
      </c>
      <c r="C1183">
        <f>TRIM(SUBSTITUTE(INDEX('Term investments'!$C:$C,ROW())&amp;""," "," "))</f>
        <v/>
      </c>
      <c r="D1183">
        <f>IFERROR(--INDEX('Term investments'!$D:$D,ROW()),0)</f>
        <v/>
      </c>
      <c r="E1183">
        <f>IFERROR(--INDEX('Term investments'!$E:$E,ROW()),0)</f>
        <v/>
      </c>
      <c r="F1183">
        <f>IFERROR(--INDEX('Term investments'!$F:$F,ROW()),0)</f>
        <v/>
      </c>
      <c r="G1183">
        <f>IFERROR(IF(--INDEX('Term investments'!$G:$G,ROW())&gt;=1,--INDEX('Term investments'!$G:$G,ROW())/100,--INDEX('Term investments'!$G:$G,ROW())),0)</f>
        <v/>
      </c>
      <c r="H1183">
        <f>IFERROR(--INDEX('Term investments'!$H:$H,ROW()),0)</f>
        <v/>
      </c>
      <c r="I1183">
        <f>IF(ISNUMBER(INDEX('Term investments'!$G:$G,ROW())),1,0)</f>
        <v/>
      </c>
      <c r="J1183">
        <f>TRIM(SUBSTITUTE(INDEX('Call accounts and MMFs'!$A:$A,ROW())&amp;""," "," "))</f>
        <v/>
      </c>
      <c r="K1183">
        <f>TRIM(SUBSTITUTE(INDEX('Call accounts and MMFs'!$B:$B,ROW())&amp;""," "," "))</f>
        <v/>
      </c>
      <c r="L1183">
        <f>TRIM(SUBSTITUTE(INDEX('Call accounts and MMFs'!$C:$C,ROW())&amp;""," "," "))</f>
        <v/>
      </c>
      <c r="M1183">
        <f>IFERROR(--INDEX('Call accounts and MMFs'!$D:$D,ROW()),0)</f>
        <v/>
      </c>
      <c r="N1183">
        <f>IFERROR(IF(--INDEX('Call accounts and MMFs'!$E:$E,ROW())&gt;=1,--INDEX('Call accounts and MMFs'!$E:$E,ROW())/100,--INDEX('Call accounts and MMFs'!$E:$E,ROW())),0)</f>
        <v/>
      </c>
      <c r="O1183">
        <f>IFERROR(--INDEX('Call accounts and MMFs'!$F:$F,ROW()),0)</f>
        <v/>
      </c>
      <c r="P1183">
        <f>IF(ISNUMBER(INDEX('Call accounts and MMFs'!$E:$E,ROW())),1,0)</f>
        <v/>
      </c>
      <c r="Q1183">
        <f>TRIM(SUBSTITUTE(INDEX('Pooled funds'!$B:$B,ROW())&amp;""," "," "))</f>
        <v/>
      </c>
      <c r="R1183">
        <f>IFERROR(--INDEX('Pooled funds'!$C:$C,ROW()),0)</f>
        <v/>
      </c>
      <c r="S1183">
        <f>IFERROR(--INDEX('Pooled funds'!$D:$D,ROW()),0)</f>
        <v/>
      </c>
      <c r="T1183">
        <f>IFERROR(IF(--INDEX('Pooled funds'!$E:$E,ROW())&gt;=1,--INDEX('Pooled funds'!$E:$E,ROW())/100,--INDEX('Pooled funds'!$E:$E,ROW())),0)</f>
        <v/>
      </c>
      <c r="U1183">
        <f>IF(ISNUMBER(INDEX('Pooled funds'!$E:$E,ROW())),1,0)</f>
        <v/>
      </c>
    </row>
    <row r="1184">
      <c r="A1184">
        <f>TRIM(SUBSTITUTE(INDEX('Term investments'!$A:$A,ROW())&amp;""," "," "))</f>
        <v/>
      </c>
      <c r="B1184">
        <f>TRIM(SUBSTITUTE(INDEX('Term investments'!$B:$B,ROW())&amp;""," "," "))</f>
        <v/>
      </c>
      <c r="C1184">
        <f>TRIM(SUBSTITUTE(INDEX('Term investments'!$C:$C,ROW())&amp;""," "," "))</f>
        <v/>
      </c>
      <c r="D1184">
        <f>IFERROR(--INDEX('Term investments'!$D:$D,ROW()),0)</f>
        <v/>
      </c>
      <c r="E1184">
        <f>IFERROR(--INDEX('Term investments'!$E:$E,ROW()),0)</f>
        <v/>
      </c>
      <c r="F1184">
        <f>IFERROR(--INDEX('Term investments'!$F:$F,ROW()),0)</f>
        <v/>
      </c>
      <c r="G1184">
        <f>IFERROR(IF(--INDEX('Term investments'!$G:$G,ROW())&gt;=1,--INDEX('Term investments'!$G:$G,ROW())/100,--INDEX('Term investments'!$G:$G,ROW())),0)</f>
        <v/>
      </c>
      <c r="H1184">
        <f>IFERROR(--INDEX('Term investments'!$H:$H,ROW()),0)</f>
        <v/>
      </c>
      <c r="I1184">
        <f>IF(ISNUMBER(INDEX('Term investments'!$G:$G,ROW())),1,0)</f>
        <v/>
      </c>
      <c r="J1184">
        <f>TRIM(SUBSTITUTE(INDEX('Call accounts and MMFs'!$A:$A,ROW())&amp;""," "," "))</f>
        <v/>
      </c>
      <c r="K1184">
        <f>TRIM(SUBSTITUTE(INDEX('Call accounts and MMFs'!$B:$B,ROW())&amp;""," "," "))</f>
        <v/>
      </c>
      <c r="L1184">
        <f>TRIM(SUBSTITUTE(INDEX('Call accounts and MMFs'!$C:$C,ROW())&amp;""," "," "))</f>
        <v/>
      </c>
      <c r="M1184">
        <f>IFERROR(--INDEX('Call accounts and MMFs'!$D:$D,ROW()),0)</f>
        <v/>
      </c>
      <c r="N1184">
        <f>IFERROR(IF(--INDEX('Call accounts and MMFs'!$E:$E,ROW())&gt;=1,--INDEX('Call accounts and MMFs'!$E:$E,ROW())/100,--INDEX('Call accounts and MMFs'!$E:$E,ROW())),0)</f>
        <v/>
      </c>
      <c r="O1184">
        <f>IFERROR(--INDEX('Call accounts and MMFs'!$F:$F,ROW()),0)</f>
        <v/>
      </c>
      <c r="P1184">
        <f>IF(ISNUMBER(INDEX('Call accounts and MMFs'!$E:$E,ROW())),1,0)</f>
        <v/>
      </c>
      <c r="Q1184">
        <f>TRIM(SUBSTITUTE(INDEX('Pooled funds'!$B:$B,ROW())&amp;""," "," "))</f>
        <v/>
      </c>
      <c r="R1184">
        <f>IFERROR(--INDEX('Pooled funds'!$C:$C,ROW()),0)</f>
        <v/>
      </c>
      <c r="S1184">
        <f>IFERROR(--INDEX('Pooled funds'!$D:$D,ROW()),0)</f>
        <v/>
      </c>
      <c r="T1184">
        <f>IFERROR(IF(--INDEX('Pooled funds'!$E:$E,ROW())&gt;=1,--INDEX('Pooled funds'!$E:$E,ROW())/100,--INDEX('Pooled funds'!$E:$E,ROW())),0)</f>
        <v/>
      </c>
      <c r="U1184">
        <f>IF(ISNUMBER(INDEX('Pooled funds'!$E:$E,ROW())),1,0)</f>
        <v/>
      </c>
    </row>
    <row r="1185">
      <c r="A1185">
        <f>TRIM(SUBSTITUTE(INDEX('Term investments'!$A:$A,ROW())&amp;""," "," "))</f>
        <v/>
      </c>
      <c r="B1185">
        <f>TRIM(SUBSTITUTE(INDEX('Term investments'!$B:$B,ROW())&amp;""," "," "))</f>
        <v/>
      </c>
      <c r="C1185">
        <f>TRIM(SUBSTITUTE(INDEX('Term investments'!$C:$C,ROW())&amp;""," "," "))</f>
        <v/>
      </c>
      <c r="D1185">
        <f>IFERROR(--INDEX('Term investments'!$D:$D,ROW()),0)</f>
        <v/>
      </c>
      <c r="E1185">
        <f>IFERROR(--INDEX('Term investments'!$E:$E,ROW()),0)</f>
        <v/>
      </c>
      <c r="F1185">
        <f>IFERROR(--INDEX('Term investments'!$F:$F,ROW()),0)</f>
        <v/>
      </c>
      <c r="G1185">
        <f>IFERROR(IF(--INDEX('Term investments'!$G:$G,ROW())&gt;=1,--INDEX('Term investments'!$G:$G,ROW())/100,--INDEX('Term investments'!$G:$G,ROW())),0)</f>
        <v/>
      </c>
      <c r="H1185">
        <f>IFERROR(--INDEX('Term investments'!$H:$H,ROW()),0)</f>
        <v/>
      </c>
      <c r="I1185">
        <f>IF(ISNUMBER(INDEX('Term investments'!$G:$G,ROW())),1,0)</f>
        <v/>
      </c>
      <c r="J1185">
        <f>TRIM(SUBSTITUTE(INDEX('Call accounts and MMFs'!$A:$A,ROW())&amp;""," "," "))</f>
        <v/>
      </c>
      <c r="K1185">
        <f>TRIM(SUBSTITUTE(INDEX('Call accounts and MMFs'!$B:$B,ROW())&amp;""," "," "))</f>
        <v/>
      </c>
      <c r="L1185">
        <f>TRIM(SUBSTITUTE(INDEX('Call accounts and MMFs'!$C:$C,ROW())&amp;""," "," "))</f>
        <v/>
      </c>
      <c r="M1185">
        <f>IFERROR(--INDEX('Call accounts and MMFs'!$D:$D,ROW()),0)</f>
        <v/>
      </c>
      <c r="N1185">
        <f>IFERROR(IF(--INDEX('Call accounts and MMFs'!$E:$E,ROW())&gt;=1,--INDEX('Call accounts and MMFs'!$E:$E,ROW())/100,--INDEX('Call accounts and MMFs'!$E:$E,ROW())),0)</f>
        <v/>
      </c>
      <c r="O1185">
        <f>IFERROR(--INDEX('Call accounts and MMFs'!$F:$F,ROW()),0)</f>
        <v/>
      </c>
      <c r="P1185">
        <f>IF(ISNUMBER(INDEX('Call accounts and MMFs'!$E:$E,ROW())),1,0)</f>
        <v/>
      </c>
      <c r="Q1185">
        <f>TRIM(SUBSTITUTE(INDEX('Pooled funds'!$B:$B,ROW())&amp;""," "," "))</f>
        <v/>
      </c>
      <c r="R1185">
        <f>IFERROR(--INDEX('Pooled funds'!$C:$C,ROW()),0)</f>
        <v/>
      </c>
      <c r="S1185">
        <f>IFERROR(--INDEX('Pooled funds'!$D:$D,ROW()),0)</f>
        <v/>
      </c>
      <c r="T1185">
        <f>IFERROR(IF(--INDEX('Pooled funds'!$E:$E,ROW())&gt;=1,--INDEX('Pooled funds'!$E:$E,ROW())/100,--INDEX('Pooled funds'!$E:$E,ROW())),0)</f>
        <v/>
      </c>
      <c r="U1185">
        <f>IF(ISNUMBER(INDEX('Pooled funds'!$E:$E,ROW())),1,0)</f>
        <v/>
      </c>
    </row>
    <row r="1186">
      <c r="A1186">
        <f>TRIM(SUBSTITUTE(INDEX('Term investments'!$A:$A,ROW())&amp;""," "," "))</f>
        <v/>
      </c>
      <c r="B1186">
        <f>TRIM(SUBSTITUTE(INDEX('Term investments'!$B:$B,ROW())&amp;""," "," "))</f>
        <v/>
      </c>
      <c r="C1186">
        <f>TRIM(SUBSTITUTE(INDEX('Term investments'!$C:$C,ROW())&amp;""," "," "))</f>
        <v/>
      </c>
      <c r="D1186">
        <f>IFERROR(--INDEX('Term investments'!$D:$D,ROW()),0)</f>
        <v/>
      </c>
      <c r="E1186">
        <f>IFERROR(--INDEX('Term investments'!$E:$E,ROW()),0)</f>
        <v/>
      </c>
      <c r="F1186">
        <f>IFERROR(--INDEX('Term investments'!$F:$F,ROW()),0)</f>
        <v/>
      </c>
      <c r="G1186">
        <f>IFERROR(IF(--INDEX('Term investments'!$G:$G,ROW())&gt;=1,--INDEX('Term investments'!$G:$G,ROW())/100,--INDEX('Term investments'!$G:$G,ROW())),0)</f>
        <v/>
      </c>
      <c r="H1186">
        <f>IFERROR(--INDEX('Term investments'!$H:$H,ROW()),0)</f>
        <v/>
      </c>
      <c r="I1186">
        <f>IF(ISNUMBER(INDEX('Term investments'!$G:$G,ROW())),1,0)</f>
        <v/>
      </c>
      <c r="J1186">
        <f>TRIM(SUBSTITUTE(INDEX('Call accounts and MMFs'!$A:$A,ROW())&amp;""," "," "))</f>
        <v/>
      </c>
      <c r="K1186">
        <f>TRIM(SUBSTITUTE(INDEX('Call accounts and MMFs'!$B:$B,ROW())&amp;""," "," "))</f>
        <v/>
      </c>
      <c r="L1186">
        <f>TRIM(SUBSTITUTE(INDEX('Call accounts and MMFs'!$C:$C,ROW())&amp;""," "," "))</f>
        <v/>
      </c>
      <c r="M1186">
        <f>IFERROR(--INDEX('Call accounts and MMFs'!$D:$D,ROW()),0)</f>
        <v/>
      </c>
      <c r="N1186">
        <f>IFERROR(IF(--INDEX('Call accounts and MMFs'!$E:$E,ROW())&gt;=1,--INDEX('Call accounts and MMFs'!$E:$E,ROW())/100,--INDEX('Call accounts and MMFs'!$E:$E,ROW())),0)</f>
        <v/>
      </c>
      <c r="O1186">
        <f>IFERROR(--INDEX('Call accounts and MMFs'!$F:$F,ROW()),0)</f>
        <v/>
      </c>
      <c r="P1186">
        <f>IF(ISNUMBER(INDEX('Call accounts and MMFs'!$E:$E,ROW())),1,0)</f>
        <v/>
      </c>
      <c r="Q1186">
        <f>TRIM(SUBSTITUTE(INDEX('Pooled funds'!$B:$B,ROW())&amp;""," "," "))</f>
        <v/>
      </c>
      <c r="R1186">
        <f>IFERROR(--INDEX('Pooled funds'!$C:$C,ROW()),0)</f>
        <v/>
      </c>
      <c r="S1186">
        <f>IFERROR(--INDEX('Pooled funds'!$D:$D,ROW()),0)</f>
        <v/>
      </c>
      <c r="T1186">
        <f>IFERROR(IF(--INDEX('Pooled funds'!$E:$E,ROW())&gt;=1,--INDEX('Pooled funds'!$E:$E,ROW())/100,--INDEX('Pooled funds'!$E:$E,ROW())),0)</f>
        <v/>
      </c>
      <c r="U1186">
        <f>IF(ISNUMBER(INDEX('Pooled funds'!$E:$E,ROW())),1,0)</f>
        <v/>
      </c>
    </row>
    <row r="1187">
      <c r="A1187">
        <f>TRIM(SUBSTITUTE(INDEX('Term investments'!$A:$A,ROW())&amp;""," "," "))</f>
        <v/>
      </c>
      <c r="B1187">
        <f>TRIM(SUBSTITUTE(INDEX('Term investments'!$B:$B,ROW())&amp;""," "," "))</f>
        <v/>
      </c>
      <c r="C1187">
        <f>TRIM(SUBSTITUTE(INDEX('Term investments'!$C:$C,ROW())&amp;""," "," "))</f>
        <v/>
      </c>
      <c r="D1187">
        <f>IFERROR(--INDEX('Term investments'!$D:$D,ROW()),0)</f>
        <v/>
      </c>
      <c r="E1187">
        <f>IFERROR(--INDEX('Term investments'!$E:$E,ROW()),0)</f>
        <v/>
      </c>
      <c r="F1187">
        <f>IFERROR(--INDEX('Term investments'!$F:$F,ROW()),0)</f>
        <v/>
      </c>
      <c r="G1187">
        <f>IFERROR(IF(--INDEX('Term investments'!$G:$G,ROW())&gt;=1,--INDEX('Term investments'!$G:$G,ROW())/100,--INDEX('Term investments'!$G:$G,ROW())),0)</f>
        <v/>
      </c>
      <c r="H1187">
        <f>IFERROR(--INDEX('Term investments'!$H:$H,ROW()),0)</f>
        <v/>
      </c>
      <c r="I1187">
        <f>IF(ISNUMBER(INDEX('Term investments'!$G:$G,ROW())),1,0)</f>
        <v/>
      </c>
      <c r="J1187">
        <f>TRIM(SUBSTITUTE(INDEX('Call accounts and MMFs'!$A:$A,ROW())&amp;""," "," "))</f>
        <v/>
      </c>
      <c r="K1187">
        <f>TRIM(SUBSTITUTE(INDEX('Call accounts and MMFs'!$B:$B,ROW())&amp;""," "," "))</f>
        <v/>
      </c>
      <c r="L1187">
        <f>TRIM(SUBSTITUTE(INDEX('Call accounts and MMFs'!$C:$C,ROW())&amp;""," "," "))</f>
        <v/>
      </c>
      <c r="M1187">
        <f>IFERROR(--INDEX('Call accounts and MMFs'!$D:$D,ROW()),0)</f>
        <v/>
      </c>
      <c r="N1187">
        <f>IFERROR(IF(--INDEX('Call accounts and MMFs'!$E:$E,ROW())&gt;=1,--INDEX('Call accounts and MMFs'!$E:$E,ROW())/100,--INDEX('Call accounts and MMFs'!$E:$E,ROW())),0)</f>
        <v/>
      </c>
      <c r="O1187">
        <f>IFERROR(--INDEX('Call accounts and MMFs'!$F:$F,ROW()),0)</f>
        <v/>
      </c>
      <c r="P1187">
        <f>IF(ISNUMBER(INDEX('Call accounts and MMFs'!$E:$E,ROW())),1,0)</f>
        <v/>
      </c>
      <c r="Q1187">
        <f>TRIM(SUBSTITUTE(INDEX('Pooled funds'!$B:$B,ROW())&amp;""," "," "))</f>
        <v/>
      </c>
      <c r="R1187">
        <f>IFERROR(--INDEX('Pooled funds'!$C:$C,ROW()),0)</f>
        <v/>
      </c>
      <c r="S1187">
        <f>IFERROR(--INDEX('Pooled funds'!$D:$D,ROW()),0)</f>
        <v/>
      </c>
      <c r="T1187">
        <f>IFERROR(IF(--INDEX('Pooled funds'!$E:$E,ROW())&gt;=1,--INDEX('Pooled funds'!$E:$E,ROW())/100,--INDEX('Pooled funds'!$E:$E,ROW())),0)</f>
        <v/>
      </c>
      <c r="U1187">
        <f>IF(ISNUMBER(INDEX('Pooled funds'!$E:$E,ROW())),1,0)</f>
        <v/>
      </c>
    </row>
    <row r="1188">
      <c r="A1188">
        <f>TRIM(SUBSTITUTE(INDEX('Term investments'!$A:$A,ROW())&amp;""," "," "))</f>
        <v/>
      </c>
      <c r="B1188">
        <f>TRIM(SUBSTITUTE(INDEX('Term investments'!$B:$B,ROW())&amp;""," "," "))</f>
        <v/>
      </c>
      <c r="C1188">
        <f>TRIM(SUBSTITUTE(INDEX('Term investments'!$C:$C,ROW())&amp;""," "," "))</f>
        <v/>
      </c>
      <c r="D1188">
        <f>IFERROR(--INDEX('Term investments'!$D:$D,ROW()),0)</f>
        <v/>
      </c>
      <c r="E1188">
        <f>IFERROR(--INDEX('Term investments'!$E:$E,ROW()),0)</f>
        <v/>
      </c>
      <c r="F1188">
        <f>IFERROR(--INDEX('Term investments'!$F:$F,ROW()),0)</f>
        <v/>
      </c>
      <c r="G1188">
        <f>IFERROR(IF(--INDEX('Term investments'!$G:$G,ROW())&gt;=1,--INDEX('Term investments'!$G:$G,ROW())/100,--INDEX('Term investments'!$G:$G,ROW())),0)</f>
        <v/>
      </c>
      <c r="H1188">
        <f>IFERROR(--INDEX('Term investments'!$H:$H,ROW()),0)</f>
        <v/>
      </c>
      <c r="I1188">
        <f>IF(ISNUMBER(INDEX('Term investments'!$G:$G,ROW())),1,0)</f>
        <v/>
      </c>
      <c r="J1188">
        <f>TRIM(SUBSTITUTE(INDEX('Call accounts and MMFs'!$A:$A,ROW())&amp;""," "," "))</f>
        <v/>
      </c>
      <c r="K1188">
        <f>TRIM(SUBSTITUTE(INDEX('Call accounts and MMFs'!$B:$B,ROW())&amp;""," "," "))</f>
        <v/>
      </c>
      <c r="L1188">
        <f>TRIM(SUBSTITUTE(INDEX('Call accounts and MMFs'!$C:$C,ROW())&amp;""," "," "))</f>
        <v/>
      </c>
      <c r="M1188">
        <f>IFERROR(--INDEX('Call accounts and MMFs'!$D:$D,ROW()),0)</f>
        <v/>
      </c>
      <c r="N1188">
        <f>IFERROR(IF(--INDEX('Call accounts and MMFs'!$E:$E,ROW())&gt;=1,--INDEX('Call accounts and MMFs'!$E:$E,ROW())/100,--INDEX('Call accounts and MMFs'!$E:$E,ROW())),0)</f>
        <v/>
      </c>
      <c r="O1188">
        <f>IFERROR(--INDEX('Call accounts and MMFs'!$F:$F,ROW()),0)</f>
        <v/>
      </c>
      <c r="P1188">
        <f>IF(ISNUMBER(INDEX('Call accounts and MMFs'!$E:$E,ROW())),1,0)</f>
        <v/>
      </c>
      <c r="Q1188">
        <f>TRIM(SUBSTITUTE(INDEX('Pooled funds'!$B:$B,ROW())&amp;""," "," "))</f>
        <v/>
      </c>
      <c r="R1188">
        <f>IFERROR(--INDEX('Pooled funds'!$C:$C,ROW()),0)</f>
        <v/>
      </c>
      <c r="S1188">
        <f>IFERROR(--INDEX('Pooled funds'!$D:$D,ROW()),0)</f>
        <v/>
      </c>
      <c r="T1188">
        <f>IFERROR(IF(--INDEX('Pooled funds'!$E:$E,ROW())&gt;=1,--INDEX('Pooled funds'!$E:$E,ROW())/100,--INDEX('Pooled funds'!$E:$E,ROW())),0)</f>
        <v/>
      </c>
      <c r="U1188">
        <f>IF(ISNUMBER(INDEX('Pooled funds'!$E:$E,ROW())),1,0)</f>
        <v/>
      </c>
    </row>
    <row r="1189">
      <c r="A1189">
        <f>TRIM(SUBSTITUTE(INDEX('Term investments'!$A:$A,ROW())&amp;""," "," "))</f>
        <v/>
      </c>
      <c r="B1189">
        <f>TRIM(SUBSTITUTE(INDEX('Term investments'!$B:$B,ROW())&amp;""," "," "))</f>
        <v/>
      </c>
      <c r="C1189">
        <f>TRIM(SUBSTITUTE(INDEX('Term investments'!$C:$C,ROW())&amp;""," "," "))</f>
        <v/>
      </c>
      <c r="D1189">
        <f>IFERROR(--INDEX('Term investments'!$D:$D,ROW()),0)</f>
        <v/>
      </c>
      <c r="E1189">
        <f>IFERROR(--INDEX('Term investments'!$E:$E,ROW()),0)</f>
        <v/>
      </c>
      <c r="F1189">
        <f>IFERROR(--INDEX('Term investments'!$F:$F,ROW()),0)</f>
        <v/>
      </c>
      <c r="G1189">
        <f>IFERROR(IF(--INDEX('Term investments'!$G:$G,ROW())&gt;=1,--INDEX('Term investments'!$G:$G,ROW())/100,--INDEX('Term investments'!$G:$G,ROW())),0)</f>
        <v/>
      </c>
      <c r="H1189">
        <f>IFERROR(--INDEX('Term investments'!$H:$H,ROW()),0)</f>
        <v/>
      </c>
      <c r="I1189">
        <f>IF(ISNUMBER(INDEX('Term investments'!$G:$G,ROW())),1,0)</f>
        <v/>
      </c>
      <c r="J1189">
        <f>TRIM(SUBSTITUTE(INDEX('Call accounts and MMFs'!$A:$A,ROW())&amp;""," "," "))</f>
        <v/>
      </c>
      <c r="K1189">
        <f>TRIM(SUBSTITUTE(INDEX('Call accounts and MMFs'!$B:$B,ROW())&amp;""," "," "))</f>
        <v/>
      </c>
      <c r="L1189">
        <f>TRIM(SUBSTITUTE(INDEX('Call accounts and MMFs'!$C:$C,ROW())&amp;""," "," "))</f>
        <v/>
      </c>
      <c r="M1189">
        <f>IFERROR(--INDEX('Call accounts and MMFs'!$D:$D,ROW()),0)</f>
        <v/>
      </c>
      <c r="N1189">
        <f>IFERROR(IF(--INDEX('Call accounts and MMFs'!$E:$E,ROW())&gt;=1,--INDEX('Call accounts and MMFs'!$E:$E,ROW())/100,--INDEX('Call accounts and MMFs'!$E:$E,ROW())),0)</f>
        <v/>
      </c>
      <c r="O1189">
        <f>IFERROR(--INDEX('Call accounts and MMFs'!$F:$F,ROW()),0)</f>
        <v/>
      </c>
      <c r="P1189">
        <f>IF(ISNUMBER(INDEX('Call accounts and MMFs'!$E:$E,ROW())),1,0)</f>
        <v/>
      </c>
      <c r="Q1189">
        <f>TRIM(SUBSTITUTE(INDEX('Pooled funds'!$B:$B,ROW())&amp;""," "," "))</f>
        <v/>
      </c>
      <c r="R1189">
        <f>IFERROR(--INDEX('Pooled funds'!$C:$C,ROW()),0)</f>
        <v/>
      </c>
      <c r="S1189">
        <f>IFERROR(--INDEX('Pooled funds'!$D:$D,ROW()),0)</f>
        <v/>
      </c>
      <c r="T1189">
        <f>IFERROR(IF(--INDEX('Pooled funds'!$E:$E,ROW())&gt;=1,--INDEX('Pooled funds'!$E:$E,ROW())/100,--INDEX('Pooled funds'!$E:$E,ROW())),0)</f>
        <v/>
      </c>
      <c r="U1189">
        <f>IF(ISNUMBER(INDEX('Pooled funds'!$E:$E,ROW())),1,0)</f>
        <v/>
      </c>
    </row>
    <row r="1190">
      <c r="A1190">
        <f>TRIM(SUBSTITUTE(INDEX('Term investments'!$A:$A,ROW())&amp;""," "," "))</f>
        <v/>
      </c>
      <c r="B1190">
        <f>TRIM(SUBSTITUTE(INDEX('Term investments'!$B:$B,ROW())&amp;""," "," "))</f>
        <v/>
      </c>
      <c r="C1190">
        <f>TRIM(SUBSTITUTE(INDEX('Term investments'!$C:$C,ROW())&amp;""," "," "))</f>
        <v/>
      </c>
      <c r="D1190">
        <f>IFERROR(--INDEX('Term investments'!$D:$D,ROW()),0)</f>
        <v/>
      </c>
      <c r="E1190">
        <f>IFERROR(--INDEX('Term investments'!$E:$E,ROW()),0)</f>
        <v/>
      </c>
      <c r="F1190">
        <f>IFERROR(--INDEX('Term investments'!$F:$F,ROW()),0)</f>
        <v/>
      </c>
      <c r="G1190">
        <f>IFERROR(IF(--INDEX('Term investments'!$G:$G,ROW())&gt;=1,--INDEX('Term investments'!$G:$G,ROW())/100,--INDEX('Term investments'!$G:$G,ROW())),0)</f>
        <v/>
      </c>
      <c r="H1190">
        <f>IFERROR(--INDEX('Term investments'!$H:$H,ROW()),0)</f>
        <v/>
      </c>
      <c r="I1190">
        <f>IF(ISNUMBER(INDEX('Term investments'!$G:$G,ROW())),1,0)</f>
        <v/>
      </c>
      <c r="J1190">
        <f>TRIM(SUBSTITUTE(INDEX('Call accounts and MMFs'!$A:$A,ROW())&amp;""," "," "))</f>
        <v/>
      </c>
      <c r="K1190">
        <f>TRIM(SUBSTITUTE(INDEX('Call accounts and MMFs'!$B:$B,ROW())&amp;""," "," "))</f>
        <v/>
      </c>
      <c r="L1190">
        <f>TRIM(SUBSTITUTE(INDEX('Call accounts and MMFs'!$C:$C,ROW())&amp;""," "," "))</f>
        <v/>
      </c>
      <c r="M1190">
        <f>IFERROR(--INDEX('Call accounts and MMFs'!$D:$D,ROW()),0)</f>
        <v/>
      </c>
      <c r="N1190">
        <f>IFERROR(IF(--INDEX('Call accounts and MMFs'!$E:$E,ROW())&gt;=1,--INDEX('Call accounts and MMFs'!$E:$E,ROW())/100,--INDEX('Call accounts and MMFs'!$E:$E,ROW())),0)</f>
        <v/>
      </c>
      <c r="O1190">
        <f>IFERROR(--INDEX('Call accounts and MMFs'!$F:$F,ROW()),0)</f>
        <v/>
      </c>
      <c r="P1190">
        <f>IF(ISNUMBER(INDEX('Call accounts and MMFs'!$E:$E,ROW())),1,0)</f>
        <v/>
      </c>
      <c r="Q1190">
        <f>TRIM(SUBSTITUTE(INDEX('Pooled funds'!$B:$B,ROW())&amp;""," "," "))</f>
        <v/>
      </c>
      <c r="R1190">
        <f>IFERROR(--INDEX('Pooled funds'!$C:$C,ROW()),0)</f>
        <v/>
      </c>
      <c r="S1190">
        <f>IFERROR(--INDEX('Pooled funds'!$D:$D,ROW()),0)</f>
        <v/>
      </c>
      <c r="T1190">
        <f>IFERROR(IF(--INDEX('Pooled funds'!$E:$E,ROW())&gt;=1,--INDEX('Pooled funds'!$E:$E,ROW())/100,--INDEX('Pooled funds'!$E:$E,ROW())),0)</f>
        <v/>
      </c>
      <c r="U1190">
        <f>IF(ISNUMBER(INDEX('Pooled funds'!$E:$E,ROW())),1,0)</f>
        <v/>
      </c>
    </row>
    <row r="1191">
      <c r="A1191">
        <f>TRIM(SUBSTITUTE(INDEX('Term investments'!$A:$A,ROW())&amp;""," "," "))</f>
        <v/>
      </c>
      <c r="B1191">
        <f>TRIM(SUBSTITUTE(INDEX('Term investments'!$B:$B,ROW())&amp;""," "," "))</f>
        <v/>
      </c>
      <c r="C1191">
        <f>TRIM(SUBSTITUTE(INDEX('Term investments'!$C:$C,ROW())&amp;""," "," "))</f>
        <v/>
      </c>
      <c r="D1191">
        <f>IFERROR(--INDEX('Term investments'!$D:$D,ROW()),0)</f>
        <v/>
      </c>
      <c r="E1191">
        <f>IFERROR(--INDEX('Term investments'!$E:$E,ROW()),0)</f>
        <v/>
      </c>
      <c r="F1191">
        <f>IFERROR(--INDEX('Term investments'!$F:$F,ROW()),0)</f>
        <v/>
      </c>
      <c r="G1191">
        <f>IFERROR(IF(--INDEX('Term investments'!$G:$G,ROW())&gt;=1,--INDEX('Term investments'!$G:$G,ROW())/100,--INDEX('Term investments'!$G:$G,ROW())),0)</f>
        <v/>
      </c>
      <c r="H1191">
        <f>IFERROR(--INDEX('Term investments'!$H:$H,ROW()),0)</f>
        <v/>
      </c>
      <c r="I1191">
        <f>IF(ISNUMBER(INDEX('Term investments'!$G:$G,ROW())),1,0)</f>
        <v/>
      </c>
      <c r="J1191">
        <f>TRIM(SUBSTITUTE(INDEX('Call accounts and MMFs'!$A:$A,ROW())&amp;""," "," "))</f>
        <v/>
      </c>
      <c r="K1191">
        <f>TRIM(SUBSTITUTE(INDEX('Call accounts and MMFs'!$B:$B,ROW())&amp;""," "," "))</f>
        <v/>
      </c>
      <c r="L1191">
        <f>TRIM(SUBSTITUTE(INDEX('Call accounts and MMFs'!$C:$C,ROW())&amp;""," "," "))</f>
        <v/>
      </c>
      <c r="M1191">
        <f>IFERROR(--INDEX('Call accounts and MMFs'!$D:$D,ROW()),0)</f>
        <v/>
      </c>
      <c r="N1191">
        <f>IFERROR(IF(--INDEX('Call accounts and MMFs'!$E:$E,ROW())&gt;=1,--INDEX('Call accounts and MMFs'!$E:$E,ROW())/100,--INDEX('Call accounts and MMFs'!$E:$E,ROW())),0)</f>
        <v/>
      </c>
      <c r="O1191">
        <f>IFERROR(--INDEX('Call accounts and MMFs'!$F:$F,ROW()),0)</f>
        <v/>
      </c>
      <c r="P1191">
        <f>IF(ISNUMBER(INDEX('Call accounts and MMFs'!$E:$E,ROW())),1,0)</f>
        <v/>
      </c>
      <c r="Q1191">
        <f>TRIM(SUBSTITUTE(INDEX('Pooled funds'!$B:$B,ROW())&amp;""," "," "))</f>
        <v/>
      </c>
      <c r="R1191">
        <f>IFERROR(--INDEX('Pooled funds'!$C:$C,ROW()),0)</f>
        <v/>
      </c>
      <c r="S1191">
        <f>IFERROR(--INDEX('Pooled funds'!$D:$D,ROW()),0)</f>
        <v/>
      </c>
      <c r="T1191">
        <f>IFERROR(IF(--INDEX('Pooled funds'!$E:$E,ROW())&gt;=1,--INDEX('Pooled funds'!$E:$E,ROW())/100,--INDEX('Pooled funds'!$E:$E,ROW())),0)</f>
        <v/>
      </c>
      <c r="U1191">
        <f>IF(ISNUMBER(INDEX('Pooled funds'!$E:$E,ROW())),1,0)</f>
        <v/>
      </c>
    </row>
    <row r="1192">
      <c r="A1192">
        <f>TRIM(SUBSTITUTE(INDEX('Term investments'!$A:$A,ROW())&amp;""," "," "))</f>
        <v/>
      </c>
      <c r="B1192">
        <f>TRIM(SUBSTITUTE(INDEX('Term investments'!$B:$B,ROW())&amp;""," "," "))</f>
        <v/>
      </c>
      <c r="C1192">
        <f>TRIM(SUBSTITUTE(INDEX('Term investments'!$C:$C,ROW())&amp;""," "," "))</f>
        <v/>
      </c>
      <c r="D1192">
        <f>IFERROR(--INDEX('Term investments'!$D:$D,ROW()),0)</f>
        <v/>
      </c>
      <c r="E1192">
        <f>IFERROR(--INDEX('Term investments'!$E:$E,ROW()),0)</f>
        <v/>
      </c>
      <c r="F1192">
        <f>IFERROR(--INDEX('Term investments'!$F:$F,ROW()),0)</f>
        <v/>
      </c>
      <c r="G1192">
        <f>IFERROR(IF(--INDEX('Term investments'!$G:$G,ROW())&gt;=1,--INDEX('Term investments'!$G:$G,ROW())/100,--INDEX('Term investments'!$G:$G,ROW())),0)</f>
        <v/>
      </c>
      <c r="H1192">
        <f>IFERROR(--INDEX('Term investments'!$H:$H,ROW()),0)</f>
        <v/>
      </c>
      <c r="I1192">
        <f>IF(ISNUMBER(INDEX('Term investments'!$G:$G,ROW())),1,0)</f>
        <v/>
      </c>
      <c r="J1192">
        <f>TRIM(SUBSTITUTE(INDEX('Call accounts and MMFs'!$A:$A,ROW())&amp;""," "," "))</f>
        <v/>
      </c>
      <c r="K1192">
        <f>TRIM(SUBSTITUTE(INDEX('Call accounts and MMFs'!$B:$B,ROW())&amp;""," "," "))</f>
        <v/>
      </c>
      <c r="L1192">
        <f>TRIM(SUBSTITUTE(INDEX('Call accounts and MMFs'!$C:$C,ROW())&amp;""," "," "))</f>
        <v/>
      </c>
      <c r="M1192">
        <f>IFERROR(--INDEX('Call accounts and MMFs'!$D:$D,ROW()),0)</f>
        <v/>
      </c>
      <c r="N1192">
        <f>IFERROR(IF(--INDEX('Call accounts and MMFs'!$E:$E,ROW())&gt;=1,--INDEX('Call accounts and MMFs'!$E:$E,ROW())/100,--INDEX('Call accounts and MMFs'!$E:$E,ROW())),0)</f>
        <v/>
      </c>
      <c r="O1192">
        <f>IFERROR(--INDEX('Call accounts and MMFs'!$F:$F,ROW()),0)</f>
        <v/>
      </c>
      <c r="P1192">
        <f>IF(ISNUMBER(INDEX('Call accounts and MMFs'!$E:$E,ROW())),1,0)</f>
        <v/>
      </c>
      <c r="Q1192">
        <f>TRIM(SUBSTITUTE(INDEX('Pooled funds'!$B:$B,ROW())&amp;""," "," "))</f>
        <v/>
      </c>
      <c r="R1192">
        <f>IFERROR(--INDEX('Pooled funds'!$C:$C,ROW()),0)</f>
        <v/>
      </c>
      <c r="S1192">
        <f>IFERROR(--INDEX('Pooled funds'!$D:$D,ROW()),0)</f>
        <v/>
      </c>
      <c r="T1192">
        <f>IFERROR(IF(--INDEX('Pooled funds'!$E:$E,ROW())&gt;=1,--INDEX('Pooled funds'!$E:$E,ROW())/100,--INDEX('Pooled funds'!$E:$E,ROW())),0)</f>
        <v/>
      </c>
      <c r="U1192">
        <f>IF(ISNUMBER(INDEX('Pooled funds'!$E:$E,ROW())),1,0)</f>
        <v/>
      </c>
    </row>
    <row r="1193">
      <c r="A1193">
        <f>TRIM(SUBSTITUTE(INDEX('Term investments'!$A:$A,ROW())&amp;""," "," "))</f>
        <v/>
      </c>
      <c r="B1193">
        <f>TRIM(SUBSTITUTE(INDEX('Term investments'!$B:$B,ROW())&amp;""," "," "))</f>
        <v/>
      </c>
      <c r="C1193">
        <f>TRIM(SUBSTITUTE(INDEX('Term investments'!$C:$C,ROW())&amp;""," "," "))</f>
        <v/>
      </c>
      <c r="D1193">
        <f>IFERROR(--INDEX('Term investments'!$D:$D,ROW()),0)</f>
        <v/>
      </c>
      <c r="E1193">
        <f>IFERROR(--INDEX('Term investments'!$E:$E,ROW()),0)</f>
        <v/>
      </c>
      <c r="F1193">
        <f>IFERROR(--INDEX('Term investments'!$F:$F,ROW()),0)</f>
        <v/>
      </c>
      <c r="G1193">
        <f>IFERROR(IF(--INDEX('Term investments'!$G:$G,ROW())&gt;=1,--INDEX('Term investments'!$G:$G,ROW())/100,--INDEX('Term investments'!$G:$G,ROW())),0)</f>
        <v/>
      </c>
      <c r="H1193">
        <f>IFERROR(--INDEX('Term investments'!$H:$H,ROW()),0)</f>
        <v/>
      </c>
      <c r="I1193">
        <f>IF(ISNUMBER(INDEX('Term investments'!$G:$G,ROW())),1,0)</f>
        <v/>
      </c>
      <c r="J1193">
        <f>TRIM(SUBSTITUTE(INDEX('Call accounts and MMFs'!$A:$A,ROW())&amp;""," "," "))</f>
        <v/>
      </c>
      <c r="K1193">
        <f>TRIM(SUBSTITUTE(INDEX('Call accounts and MMFs'!$B:$B,ROW())&amp;""," "," "))</f>
        <v/>
      </c>
      <c r="L1193">
        <f>TRIM(SUBSTITUTE(INDEX('Call accounts and MMFs'!$C:$C,ROW())&amp;""," "," "))</f>
        <v/>
      </c>
      <c r="M1193">
        <f>IFERROR(--INDEX('Call accounts and MMFs'!$D:$D,ROW()),0)</f>
        <v/>
      </c>
      <c r="N1193">
        <f>IFERROR(IF(--INDEX('Call accounts and MMFs'!$E:$E,ROW())&gt;=1,--INDEX('Call accounts and MMFs'!$E:$E,ROW())/100,--INDEX('Call accounts and MMFs'!$E:$E,ROW())),0)</f>
        <v/>
      </c>
      <c r="O1193">
        <f>IFERROR(--INDEX('Call accounts and MMFs'!$F:$F,ROW()),0)</f>
        <v/>
      </c>
      <c r="P1193">
        <f>IF(ISNUMBER(INDEX('Call accounts and MMFs'!$E:$E,ROW())),1,0)</f>
        <v/>
      </c>
      <c r="Q1193">
        <f>TRIM(SUBSTITUTE(INDEX('Pooled funds'!$B:$B,ROW())&amp;""," "," "))</f>
        <v/>
      </c>
      <c r="R1193">
        <f>IFERROR(--INDEX('Pooled funds'!$C:$C,ROW()),0)</f>
        <v/>
      </c>
      <c r="S1193">
        <f>IFERROR(--INDEX('Pooled funds'!$D:$D,ROW()),0)</f>
        <v/>
      </c>
      <c r="T1193">
        <f>IFERROR(IF(--INDEX('Pooled funds'!$E:$E,ROW())&gt;=1,--INDEX('Pooled funds'!$E:$E,ROW())/100,--INDEX('Pooled funds'!$E:$E,ROW())),0)</f>
        <v/>
      </c>
      <c r="U1193">
        <f>IF(ISNUMBER(INDEX('Pooled funds'!$E:$E,ROW())),1,0)</f>
        <v/>
      </c>
    </row>
    <row r="1194">
      <c r="A1194">
        <f>TRIM(SUBSTITUTE(INDEX('Term investments'!$A:$A,ROW())&amp;""," "," "))</f>
        <v/>
      </c>
      <c r="B1194">
        <f>TRIM(SUBSTITUTE(INDEX('Term investments'!$B:$B,ROW())&amp;""," "," "))</f>
        <v/>
      </c>
      <c r="C1194">
        <f>TRIM(SUBSTITUTE(INDEX('Term investments'!$C:$C,ROW())&amp;""," "," "))</f>
        <v/>
      </c>
      <c r="D1194">
        <f>IFERROR(--INDEX('Term investments'!$D:$D,ROW()),0)</f>
        <v/>
      </c>
      <c r="E1194">
        <f>IFERROR(--INDEX('Term investments'!$E:$E,ROW()),0)</f>
        <v/>
      </c>
      <c r="F1194">
        <f>IFERROR(--INDEX('Term investments'!$F:$F,ROW()),0)</f>
        <v/>
      </c>
      <c r="G1194">
        <f>IFERROR(IF(--INDEX('Term investments'!$G:$G,ROW())&gt;=1,--INDEX('Term investments'!$G:$G,ROW())/100,--INDEX('Term investments'!$G:$G,ROW())),0)</f>
        <v/>
      </c>
      <c r="H1194">
        <f>IFERROR(--INDEX('Term investments'!$H:$H,ROW()),0)</f>
        <v/>
      </c>
      <c r="I1194">
        <f>IF(ISNUMBER(INDEX('Term investments'!$G:$G,ROW())),1,0)</f>
        <v/>
      </c>
      <c r="J1194">
        <f>TRIM(SUBSTITUTE(INDEX('Call accounts and MMFs'!$A:$A,ROW())&amp;""," "," "))</f>
        <v/>
      </c>
      <c r="K1194">
        <f>TRIM(SUBSTITUTE(INDEX('Call accounts and MMFs'!$B:$B,ROW())&amp;""," "," "))</f>
        <v/>
      </c>
      <c r="L1194">
        <f>TRIM(SUBSTITUTE(INDEX('Call accounts and MMFs'!$C:$C,ROW())&amp;""," "," "))</f>
        <v/>
      </c>
      <c r="M1194">
        <f>IFERROR(--INDEX('Call accounts and MMFs'!$D:$D,ROW()),0)</f>
        <v/>
      </c>
      <c r="N1194">
        <f>IFERROR(IF(--INDEX('Call accounts and MMFs'!$E:$E,ROW())&gt;=1,--INDEX('Call accounts and MMFs'!$E:$E,ROW())/100,--INDEX('Call accounts and MMFs'!$E:$E,ROW())),0)</f>
        <v/>
      </c>
      <c r="O1194">
        <f>IFERROR(--INDEX('Call accounts and MMFs'!$F:$F,ROW()),0)</f>
        <v/>
      </c>
      <c r="P1194">
        <f>IF(ISNUMBER(INDEX('Call accounts and MMFs'!$E:$E,ROW())),1,0)</f>
        <v/>
      </c>
      <c r="Q1194">
        <f>TRIM(SUBSTITUTE(INDEX('Pooled funds'!$B:$B,ROW())&amp;""," "," "))</f>
        <v/>
      </c>
      <c r="R1194">
        <f>IFERROR(--INDEX('Pooled funds'!$C:$C,ROW()),0)</f>
        <v/>
      </c>
      <c r="S1194">
        <f>IFERROR(--INDEX('Pooled funds'!$D:$D,ROW()),0)</f>
        <v/>
      </c>
      <c r="T1194">
        <f>IFERROR(IF(--INDEX('Pooled funds'!$E:$E,ROW())&gt;=1,--INDEX('Pooled funds'!$E:$E,ROW())/100,--INDEX('Pooled funds'!$E:$E,ROW())),0)</f>
        <v/>
      </c>
      <c r="U1194">
        <f>IF(ISNUMBER(INDEX('Pooled funds'!$E:$E,ROW())),1,0)</f>
        <v/>
      </c>
    </row>
    <row r="1195">
      <c r="A1195">
        <f>TRIM(SUBSTITUTE(INDEX('Term investments'!$A:$A,ROW())&amp;""," "," "))</f>
        <v/>
      </c>
      <c r="B1195">
        <f>TRIM(SUBSTITUTE(INDEX('Term investments'!$B:$B,ROW())&amp;""," "," "))</f>
        <v/>
      </c>
      <c r="C1195">
        <f>TRIM(SUBSTITUTE(INDEX('Term investments'!$C:$C,ROW())&amp;""," "," "))</f>
        <v/>
      </c>
      <c r="D1195">
        <f>IFERROR(--INDEX('Term investments'!$D:$D,ROW()),0)</f>
        <v/>
      </c>
      <c r="E1195">
        <f>IFERROR(--INDEX('Term investments'!$E:$E,ROW()),0)</f>
        <v/>
      </c>
      <c r="F1195">
        <f>IFERROR(--INDEX('Term investments'!$F:$F,ROW()),0)</f>
        <v/>
      </c>
      <c r="G1195">
        <f>IFERROR(IF(--INDEX('Term investments'!$G:$G,ROW())&gt;=1,--INDEX('Term investments'!$G:$G,ROW())/100,--INDEX('Term investments'!$G:$G,ROW())),0)</f>
        <v/>
      </c>
      <c r="H1195">
        <f>IFERROR(--INDEX('Term investments'!$H:$H,ROW()),0)</f>
        <v/>
      </c>
      <c r="I1195">
        <f>IF(ISNUMBER(INDEX('Term investments'!$G:$G,ROW())),1,0)</f>
        <v/>
      </c>
      <c r="J1195">
        <f>TRIM(SUBSTITUTE(INDEX('Call accounts and MMFs'!$A:$A,ROW())&amp;""," "," "))</f>
        <v/>
      </c>
      <c r="K1195">
        <f>TRIM(SUBSTITUTE(INDEX('Call accounts and MMFs'!$B:$B,ROW())&amp;""," "," "))</f>
        <v/>
      </c>
      <c r="L1195">
        <f>TRIM(SUBSTITUTE(INDEX('Call accounts and MMFs'!$C:$C,ROW())&amp;""," "," "))</f>
        <v/>
      </c>
      <c r="M1195">
        <f>IFERROR(--INDEX('Call accounts and MMFs'!$D:$D,ROW()),0)</f>
        <v/>
      </c>
      <c r="N1195">
        <f>IFERROR(IF(--INDEX('Call accounts and MMFs'!$E:$E,ROW())&gt;=1,--INDEX('Call accounts and MMFs'!$E:$E,ROW())/100,--INDEX('Call accounts and MMFs'!$E:$E,ROW())),0)</f>
        <v/>
      </c>
      <c r="O1195">
        <f>IFERROR(--INDEX('Call accounts and MMFs'!$F:$F,ROW()),0)</f>
        <v/>
      </c>
      <c r="P1195">
        <f>IF(ISNUMBER(INDEX('Call accounts and MMFs'!$E:$E,ROW())),1,0)</f>
        <v/>
      </c>
      <c r="Q1195">
        <f>TRIM(SUBSTITUTE(INDEX('Pooled funds'!$B:$B,ROW())&amp;""," "," "))</f>
        <v/>
      </c>
      <c r="R1195">
        <f>IFERROR(--INDEX('Pooled funds'!$C:$C,ROW()),0)</f>
        <v/>
      </c>
      <c r="S1195">
        <f>IFERROR(--INDEX('Pooled funds'!$D:$D,ROW()),0)</f>
        <v/>
      </c>
      <c r="T1195">
        <f>IFERROR(IF(--INDEX('Pooled funds'!$E:$E,ROW())&gt;=1,--INDEX('Pooled funds'!$E:$E,ROW())/100,--INDEX('Pooled funds'!$E:$E,ROW())),0)</f>
        <v/>
      </c>
      <c r="U1195">
        <f>IF(ISNUMBER(INDEX('Pooled funds'!$E:$E,ROW())),1,0)</f>
        <v/>
      </c>
    </row>
    <row r="1196">
      <c r="A1196">
        <f>TRIM(SUBSTITUTE(INDEX('Term investments'!$A:$A,ROW())&amp;""," "," "))</f>
        <v/>
      </c>
      <c r="B1196">
        <f>TRIM(SUBSTITUTE(INDEX('Term investments'!$B:$B,ROW())&amp;""," "," "))</f>
        <v/>
      </c>
      <c r="C1196">
        <f>TRIM(SUBSTITUTE(INDEX('Term investments'!$C:$C,ROW())&amp;""," "," "))</f>
        <v/>
      </c>
      <c r="D1196">
        <f>IFERROR(--INDEX('Term investments'!$D:$D,ROW()),0)</f>
        <v/>
      </c>
      <c r="E1196">
        <f>IFERROR(--INDEX('Term investments'!$E:$E,ROW()),0)</f>
        <v/>
      </c>
      <c r="F1196">
        <f>IFERROR(--INDEX('Term investments'!$F:$F,ROW()),0)</f>
        <v/>
      </c>
      <c r="G1196">
        <f>IFERROR(IF(--INDEX('Term investments'!$G:$G,ROW())&gt;=1,--INDEX('Term investments'!$G:$G,ROW())/100,--INDEX('Term investments'!$G:$G,ROW())),0)</f>
        <v/>
      </c>
      <c r="H1196">
        <f>IFERROR(--INDEX('Term investments'!$H:$H,ROW()),0)</f>
        <v/>
      </c>
      <c r="I1196">
        <f>IF(ISNUMBER(INDEX('Term investments'!$G:$G,ROW())),1,0)</f>
        <v/>
      </c>
      <c r="J1196">
        <f>TRIM(SUBSTITUTE(INDEX('Call accounts and MMFs'!$A:$A,ROW())&amp;""," "," "))</f>
        <v/>
      </c>
      <c r="K1196">
        <f>TRIM(SUBSTITUTE(INDEX('Call accounts and MMFs'!$B:$B,ROW())&amp;""," "," "))</f>
        <v/>
      </c>
      <c r="L1196">
        <f>TRIM(SUBSTITUTE(INDEX('Call accounts and MMFs'!$C:$C,ROW())&amp;""," "," "))</f>
        <v/>
      </c>
      <c r="M1196">
        <f>IFERROR(--INDEX('Call accounts and MMFs'!$D:$D,ROW()),0)</f>
        <v/>
      </c>
      <c r="N1196">
        <f>IFERROR(IF(--INDEX('Call accounts and MMFs'!$E:$E,ROW())&gt;=1,--INDEX('Call accounts and MMFs'!$E:$E,ROW())/100,--INDEX('Call accounts and MMFs'!$E:$E,ROW())),0)</f>
        <v/>
      </c>
      <c r="O1196">
        <f>IFERROR(--INDEX('Call accounts and MMFs'!$F:$F,ROW()),0)</f>
        <v/>
      </c>
      <c r="P1196">
        <f>IF(ISNUMBER(INDEX('Call accounts and MMFs'!$E:$E,ROW())),1,0)</f>
        <v/>
      </c>
      <c r="Q1196">
        <f>TRIM(SUBSTITUTE(INDEX('Pooled funds'!$B:$B,ROW())&amp;""," "," "))</f>
        <v/>
      </c>
      <c r="R1196">
        <f>IFERROR(--INDEX('Pooled funds'!$C:$C,ROW()),0)</f>
        <v/>
      </c>
      <c r="S1196">
        <f>IFERROR(--INDEX('Pooled funds'!$D:$D,ROW()),0)</f>
        <v/>
      </c>
      <c r="T1196">
        <f>IFERROR(IF(--INDEX('Pooled funds'!$E:$E,ROW())&gt;=1,--INDEX('Pooled funds'!$E:$E,ROW())/100,--INDEX('Pooled funds'!$E:$E,ROW())),0)</f>
        <v/>
      </c>
      <c r="U1196">
        <f>IF(ISNUMBER(INDEX('Pooled funds'!$E:$E,ROW())),1,0)</f>
        <v/>
      </c>
    </row>
    <row r="1197">
      <c r="A1197">
        <f>TRIM(SUBSTITUTE(INDEX('Term investments'!$A:$A,ROW())&amp;""," "," "))</f>
        <v/>
      </c>
      <c r="B1197">
        <f>TRIM(SUBSTITUTE(INDEX('Term investments'!$B:$B,ROW())&amp;""," "," "))</f>
        <v/>
      </c>
      <c r="C1197">
        <f>TRIM(SUBSTITUTE(INDEX('Term investments'!$C:$C,ROW())&amp;""," "," "))</f>
        <v/>
      </c>
      <c r="D1197">
        <f>IFERROR(--INDEX('Term investments'!$D:$D,ROW()),0)</f>
        <v/>
      </c>
      <c r="E1197">
        <f>IFERROR(--INDEX('Term investments'!$E:$E,ROW()),0)</f>
        <v/>
      </c>
      <c r="F1197">
        <f>IFERROR(--INDEX('Term investments'!$F:$F,ROW()),0)</f>
        <v/>
      </c>
      <c r="G1197">
        <f>IFERROR(IF(--INDEX('Term investments'!$G:$G,ROW())&gt;=1,--INDEX('Term investments'!$G:$G,ROW())/100,--INDEX('Term investments'!$G:$G,ROW())),0)</f>
        <v/>
      </c>
      <c r="H1197">
        <f>IFERROR(--INDEX('Term investments'!$H:$H,ROW()),0)</f>
        <v/>
      </c>
      <c r="I1197">
        <f>IF(ISNUMBER(INDEX('Term investments'!$G:$G,ROW())),1,0)</f>
        <v/>
      </c>
      <c r="J1197">
        <f>TRIM(SUBSTITUTE(INDEX('Call accounts and MMFs'!$A:$A,ROW())&amp;""," "," "))</f>
        <v/>
      </c>
      <c r="K1197">
        <f>TRIM(SUBSTITUTE(INDEX('Call accounts and MMFs'!$B:$B,ROW())&amp;""," "," "))</f>
        <v/>
      </c>
      <c r="L1197">
        <f>TRIM(SUBSTITUTE(INDEX('Call accounts and MMFs'!$C:$C,ROW())&amp;""," "," "))</f>
        <v/>
      </c>
      <c r="M1197">
        <f>IFERROR(--INDEX('Call accounts and MMFs'!$D:$D,ROW()),0)</f>
        <v/>
      </c>
      <c r="N1197">
        <f>IFERROR(IF(--INDEX('Call accounts and MMFs'!$E:$E,ROW())&gt;=1,--INDEX('Call accounts and MMFs'!$E:$E,ROW())/100,--INDEX('Call accounts and MMFs'!$E:$E,ROW())),0)</f>
        <v/>
      </c>
      <c r="O1197">
        <f>IFERROR(--INDEX('Call accounts and MMFs'!$F:$F,ROW()),0)</f>
        <v/>
      </c>
      <c r="P1197">
        <f>IF(ISNUMBER(INDEX('Call accounts and MMFs'!$E:$E,ROW())),1,0)</f>
        <v/>
      </c>
      <c r="Q1197">
        <f>TRIM(SUBSTITUTE(INDEX('Pooled funds'!$B:$B,ROW())&amp;""," "," "))</f>
        <v/>
      </c>
      <c r="R1197">
        <f>IFERROR(--INDEX('Pooled funds'!$C:$C,ROW()),0)</f>
        <v/>
      </c>
      <c r="S1197">
        <f>IFERROR(--INDEX('Pooled funds'!$D:$D,ROW()),0)</f>
        <v/>
      </c>
      <c r="T1197">
        <f>IFERROR(IF(--INDEX('Pooled funds'!$E:$E,ROW())&gt;=1,--INDEX('Pooled funds'!$E:$E,ROW())/100,--INDEX('Pooled funds'!$E:$E,ROW())),0)</f>
        <v/>
      </c>
      <c r="U1197">
        <f>IF(ISNUMBER(INDEX('Pooled funds'!$E:$E,ROW())),1,0)</f>
        <v/>
      </c>
    </row>
    <row r="1198">
      <c r="A1198">
        <f>TRIM(SUBSTITUTE(INDEX('Term investments'!$A:$A,ROW())&amp;""," "," "))</f>
        <v/>
      </c>
      <c r="B1198">
        <f>TRIM(SUBSTITUTE(INDEX('Term investments'!$B:$B,ROW())&amp;""," "," "))</f>
        <v/>
      </c>
      <c r="C1198">
        <f>TRIM(SUBSTITUTE(INDEX('Term investments'!$C:$C,ROW())&amp;""," "," "))</f>
        <v/>
      </c>
      <c r="D1198">
        <f>IFERROR(--INDEX('Term investments'!$D:$D,ROW()),0)</f>
        <v/>
      </c>
      <c r="E1198">
        <f>IFERROR(--INDEX('Term investments'!$E:$E,ROW()),0)</f>
        <v/>
      </c>
      <c r="F1198">
        <f>IFERROR(--INDEX('Term investments'!$F:$F,ROW()),0)</f>
        <v/>
      </c>
      <c r="G1198">
        <f>IFERROR(IF(--INDEX('Term investments'!$G:$G,ROW())&gt;=1,--INDEX('Term investments'!$G:$G,ROW())/100,--INDEX('Term investments'!$G:$G,ROW())),0)</f>
        <v/>
      </c>
      <c r="H1198">
        <f>IFERROR(--INDEX('Term investments'!$H:$H,ROW()),0)</f>
        <v/>
      </c>
      <c r="I1198">
        <f>IF(ISNUMBER(INDEX('Term investments'!$G:$G,ROW())),1,0)</f>
        <v/>
      </c>
      <c r="J1198">
        <f>TRIM(SUBSTITUTE(INDEX('Call accounts and MMFs'!$A:$A,ROW())&amp;""," "," "))</f>
        <v/>
      </c>
      <c r="K1198">
        <f>TRIM(SUBSTITUTE(INDEX('Call accounts and MMFs'!$B:$B,ROW())&amp;""," "," "))</f>
        <v/>
      </c>
      <c r="L1198">
        <f>TRIM(SUBSTITUTE(INDEX('Call accounts and MMFs'!$C:$C,ROW())&amp;""," "," "))</f>
        <v/>
      </c>
      <c r="M1198">
        <f>IFERROR(--INDEX('Call accounts and MMFs'!$D:$D,ROW()),0)</f>
        <v/>
      </c>
      <c r="N1198">
        <f>IFERROR(IF(--INDEX('Call accounts and MMFs'!$E:$E,ROW())&gt;=1,--INDEX('Call accounts and MMFs'!$E:$E,ROW())/100,--INDEX('Call accounts and MMFs'!$E:$E,ROW())),0)</f>
        <v/>
      </c>
      <c r="O1198">
        <f>IFERROR(--INDEX('Call accounts and MMFs'!$F:$F,ROW()),0)</f>
        <v/>
      </c>
      <c r="P1198">
        <f>IF(ISNUMBER(INDEX('Call accounts and MMFs'!$E:$E,ROW())),1,0)</f>
        <v/>
      </c>
      <c r="Q1198">
        <f>TRIM(SUBSTITUTE(INDEX('Pooled funds'!$B:$B,ROW())&amp;""," "," "))</f>
        <v/>
      </c>
      <c r="R1198">
        <f>IFERROR(--INDEX('Pooled funds'!$C:$C,ROW()),0)</f>
        <v/>
      </c>
      <c r="S1198">
        <f>IFERROR(--INDEX('Pooled funds'!$D:$D,ROW()),0)</f>
        <v/>
      </c>
      <c r="T1198">
        <f>IFERROR(IF(--INDEX('Pooled funds'!$E:$E,ROW())&gt;=1,--INDEX('Pooled funds'!$E:$E,ROW())/100,--INDEX('Pooled funds'!$E:$E,ROW())),0)</f>
        <v/>
      </c>
      <c r="U1198">
        <f>IF(ISNUMBER(INDEX('Pooled funds'!$E:$E,ROW())),1,0)</f>
        <v/>
      </c>
    </row>
    <row r="1199">
      <c r="A1199">
        <f>TRIM(SUBSTITUTE(INDEX('Term investments'!$A:$A,ROW())&amp;""," "," "))</f>
        <v/>
      </c>
      <c r="B1199">
        <f>TRIM(SUBSTITUTE(INDEX('Term investments'!$B:$B,ROW())&amp;""," "," "))</f>
        <v/>
      </c>
      <c r="C1199">
        <f>TRIM(SUBSTITUTE(INDEX('Term investments'!$C:$C,ROW())&amp;""," "," "))</f>
        <v/>
      </c>
      <c r="D1199">
        <f>IFERROR(--INDEX('Term investments'!$D:$D,ROW()),0)</f>
        <v/>
      </c>
      <c r="E1199">
        <f>IFERROR(--INDEX('Term investments'!$E:$E,ROW()),0)</f>
        <v/>
      </c>
      <c r="F1199">
        <f>IFERROR(--INDEX('Term investments'!$F:$F,ROW()),0)</f>
        <v/>
      </c>
      <c r="G1199">
        <f>IFERROR(IF(--INDEX('Term investments'!$G:$G,ROW())&gt;=1,--INDEX('Term investments'!$G:$G,ROW())/100,--INDEX('Term investments'!$G:$G,ROW())),0)</f>
        <v/>
      </c>
      <c r="H1199">
        <f>IFERROR(--INDEX('Term investments'!$H:$H,ROW()),0)</f>
        <v/>
      </c>
      <c r="I1199">
        <f>IF(ISNUMBER(INDEX('Term investments'!$G:$G,ROW())),1,0)</f>
        <v/>
      </c>
      <c r="J1199">
        <f>TRIM(SUBSTITUTE(INDEX('Call accounts and MMFs'!$A:$A,ROW())&amp;""," "," "))</f>
        <v/>
      </c>
      <c r="K1199">
        <f>TRIM(SUBSTITUTE(INDEX('Call accounts and MMFs'!$B:$B,ROW())&amp;""," "," "))</f>
        <v/>
      </c>
      <c r="L1199">
        <f>TRIM(SUBSTITUTE(INDEX('Call accounts and MMFs'!$C:$C,ROW())&amp;""," "," "))</f>
        <v/>
      </c>
      <c r="M1199">
        <f>IFERROR(--INDEX('Call accounts and MMFs'!$D:$D,ROW()),0)</f>
        <v/>
      </c>
      <c r="N1199">
        <f>IFERROR(IF(--INDEX('Call accounts and MMFs'!$E:$E,ROW())&gt;=1,--INDEX('Call accounts and MMFs'!$E:$E,ROW())/100,--INDEX('Call accounts and MMFs'!$E:$E,ROW())),0)</f>
        <v/>
      </c>
      <c r="O1199">
        <f>IFERROR(--INDEX('Call accounts and MMFs'!$F:$F,ROW()),0)</f>
        <v/>
      </c>
      <c r="P1199">
        <f>IF(ISNUMBER(INDEX('Call accounts and MMFs'!$E:$E,ROW())),1,0)</f>
        <v/>
      </c>
      <c r="Q1199">
        <f>TRIM(SUBSTITUTE(INDEX('Pooled funds'!$B:$B,ROW())&amp;""," "," "))</f>
        <v/>
      </c>
      <c r="R1199">
        <f>IFERROR(--INDEX('Pooled funds'!$C:$C,ROW()),0)</f>
        <v/>
      </c>
      <c r="S1199">
        <f>IFERROR(--INDEX('Pooled funds'!$D:$D,ROW()),0)</f>
        <v/>
      </c>
      <c r="T1199">
        <f>IFERROR(IF(--INDEX('Pooled funds'!$E:$E,ROW())&gt;=1,--INDEX('Pooled funds'!$E:$E,ROW())/100,--INDEX('Pooled funds'!$E:$E,ROW())),0)</f>
        <v/>
      </c>
      <c r="U1199">
        <f>IF(ISNUMBER(INDEX('Pooled funds'!$E:$E,ROW())),1,0)</f>
        <v/>
      </c>
    </row>
    <row r="1200">
      <c r="A1200">
        <f>TRIM(SUBSTITUTE(INDEX('Term investments'!$A:$A,ROW())&amp;""," "," "))</f>
        <v/>
      </c>
      <c r="B1200">
        <f>TRIM(SUBSTITUTE(INDEX('Term investments'!$B:$B,ROW())&amp;""," "," "))</f>
        <v/>
      </c>
      <c r="C1200">
        <f>TRIM(SUBSTITUTE(INDEX('Term investments'!$C:$C,ROW())&amp;""," "," "))</f>
        <v/>
      </c>
      <c r="D1200">
        <f>IFERROR(--INDEX('Term investments'!$D:$D,ROW()),0)</f>
        <v/>
      </c>
      <c r="E1200">
        <f>IFERROR(--INDEX('Term investments'!$E:$E,ROW()),0)</f>
        <v/>
      </c>
      <c r="F1200">
        <f>IFERROR(--INDEX('Term investments'!$F:$F,ROW()),0)</f>
        <v/>
      </c>
      <c r="G1200">
        <f>IFERROR(IF(--INDEX('Term investments'!$G:$G,ROW())&gt;=1,--INDEX('Term investments'!$G:$G,ROW())/100,--INDEX('Term investments'!$G:$G,ROW())),0)</f>
        <v/>
      </c>
      <c r="H1200">
        <f>IFERROR(--INDEX('Term investments'!$H:$H,ROW()),0)</f>
        <v/>
      </c>
      <c r="I1200">
        <f>IF(ISNUMBER(INDEX('Term investments'!$G:$G,ROW())),1,0)</f>
        <v/>
      </c>
      <c r="J1200">
        <f>TRIM(SUBSTITUTE(INDEX('Call accounts and MMFs'!$A:$A,ROW())&amp;""," "," "))</f>
        <v/>
      </c>
      <c r="K1200">
        <f>TRIM(SUBSTITUTE(INDEX('Call accounts and MMFs'!$B:$B,ROW())&amp;""," "," "))</f>
        <v/>
      </c>
      <c r="L1200">
        <f>TRIM(SUBSTITUTE(INDEX('Call accounts and MMFs'!$C:$C,ROW())&amp;""," "," "))</f>
        <v/>
      </c>
      <c r="M1200">
        <f>IFERROR(--INDEX('Call accounts and MMFs'!$D:$D,ROW()),0)</f>
        <v/>
      </c>
      <c r="N1200">
        <f>IFERROR(IF(--INDEX('Call accounts and MMFs'!$E:$E,ROW())&gt;=1,--INDEX('Call accounts and MMFs'!$E:$E,ROW())/100,--INDEX('Call accounts and MMFs'!$E:$E,ROW())),0)</f>
        <v/>
      </c>
      <c r="O1200">
        <f>IFERROR(--INDEX('Call accounts and MMFs'!$F:$F,ROW()),0)</f>
        <v/>
      </c>
      <c r="P1200">
        <f>IF(ISNUMBER(INDEX('Call accounts and MMFs'!$E:$E,ROW())),1,0)</f>
        <v/>
      </c>
      <c r="Q1200">
        <f>TRIM(SUBSTITUTE(INDEX('Pooled funds'!$B:$B,ROW())&amp;""," "," "))</f>
        <v/>
      </c>
      <c r="R1200">
        <f>IFERROR(--INDEX('Pooled funds'!$C:$C,ROW()),0)</f>
        <v/>
      </c>
      <c r="S1200">
        <f>IFERROR(--INDEX('Pooled funds'!$D:$D,ROW()),0)</f>
        <v/>
      </c>
      <c r="T1200">
        <f>IFERROR(IF(--INDEX('Pooled funds'!$E:$E,ROW())&gt;=1,--INDEX('Pooled funds'!$E:$E,ROW())/100,--INDEX('Pooled funds'!$E:$E,ROW())),0)</f>
        <v/>
      </c>
      <c r="U1200">
        <f>IF(ISNUMBER(INDEX('Pooled funds'!$E:$E,ROW())),1,0)</f>
        <v/>
      </c>
    </row>
    <row r="1201">
      <c r="A1201">
        <f>TRIM(SUBSTITUTE(INDEX('Term investments'!$A:$A,ROW())&amp;""," "," "))</f>
        <v/>
      </c>
      <c r="B1201">
        <f>TRIM(SUBSTITUTE(INDEX('Term investments'!$B:$B,ROW())&amp;""," "," "))</f>
        <v/>
      </c>
      <c r="C1201">
        <f>TRIM(SUBSTITUTE(INDEX('Term investments'!$C:$C,ROW())&amp;""," "," "))</f>
        <v/>
      </c>
      <c r="D1201">
        <f>IFERROR(--INDEX('Term investments'!$D:$D,ROW()),0)</f>
        <v/>
      </c>
      <c r="E1201">
        <f>IFERROR(--INDEX('Term investments'!$E:$E,ROW()),0)</f>
        <v/>
      </c>
      <c r="F1201">
        <f>IFERROR(--INDEX('Term investments'!$F:$F,ROW()),0)</f>
        <v/>
      </c>
      <c r="G1201">
        <f>IFERROR(IF(--INDEX('Term investments'!$G:$G,ROW())&gt;=1,--INDEX('Term investments'!$G:$G,ROW())/100,--INDEX('Term investments'!$G:$G,ROW())),0)</f>
        <v/>
      </c>
      <c r="H1201">
        <f>IFERROR(--INDEX('Term investments'!$H:$H,ROW()),0)</f>
        <v/>
      </c>
      <c r="I1201">
        <f>IF(ISNUMBER(INDEX('Term investments'!$G:$G,ROW())),1,0)</f>
        <v/>
      </c>
      <c r="J1201">
        <f>TRIM(SUBSTITUTE(INDEX('Call accounts and MMFs'!$A:$A,ROW())&amp;""," "," "))</f>
        <v/>
      </c>
      <c r="K1201">
        <f>TRIM(SUBSTITUTE(INDEX('Call accounts and MMFs'!$B:$B,ROW())&amp;""," "," "))</f>
        <v/>
      </c>
      <c r="L1201">
        <f>TRIM(SUBSTITUTE(INDEX('Call accounts and MMFs'!$C:$C,ROW())&amp;""," "," "))</f>
        <v/>
      </c>
      <c r="M1201">
        <f>IFERROR(--INDEX('Call accounts and MMFs'!$D:$D,ROW()),0)</f>
        <v/>
      </c>
      <c r="N1201">
        <f>IFERROR(IF(--INDEX('Call accounts and MMFs'!$E:$E,ROW())&gt;=1,--INDEX('Call accounts and MMFs'!$E:$E,ROW())/100,--INDEX('Call accounts and MMFs'!$E:$E,ROW())),0)</f>
        <v/>
      </c>
      <c r="O1201">
        <f>IFERROR(--INDEX('Call accounts and MMFs'!$F:$F,ROW()),0)</f>
        <v/>
      </c>
      <c r="P1201">
        <f>IF(ISNUMBER(INDEX('Call accounts and MMFs'!$E:$E,ROW())),1,0)</f>
        <v/>
      </c>
      <c r="Q1201">
        <f>TRIM(SUBSTITUTE(INDEX('Pooled funds'!$B:$B,ROW())&amp;""," "," "))</f>
        <v/>
      </c>
      <c r="R1201">
        <f>IFERROR(--INDEX('Pooled funds'!$C:$C,ROW()),0)</f>
        <v/>
      </c>
      <c r="S1201">
        <f>IFERROR(--INDEX('Pooled funds'!$D:$D,ROW()),0)</f>
        <v/>
      </c>
      <c r="T1201">
        <f>IFERROR(IF(--INDEX('Pooled funds'!$E:$E,ROW())&gt;=1,--INDEX('Pooled funds'!$E:$E,ROW())/100,--INDEX('Pooled funds'!$E:$E,ROW())),0)</f>
        <v/>
      </c>
      <c r="U1201">
        <f>IF(ISNUMBER(INDEX('Pooled funds'!$E:$E,ROW())),1,0)</f>
        <v/>
      </c>
    </row>
    <row r="1202">
      <c r="A1202">
        <f>TRIM(SUBSTITUTE(INDEX('Term investments'!$A:$A,ROW())&amp;""," "," "))</f>
        <v/>
      </c>
      <c r="B1202">
        <f>TRIM(SUBSTITUTE(INDEX('Term investments'!$B:$B,ROW())&amp;""," "," "))</f>
        <v/>
      </c>
      <c r="C1202">
        <f>TRIM(SUBSTITUTE(INDEX('Term investments'!$C:$C,ROW())&amp;""," "," "))</f>
        <v/>
      </c>
      <c r="D1202">
        <f>IFERROR(--INDEX('Term investments'!$D:$D,ROW()),0)</f>
        <v/>
      </c>
      <c r="E1202">
        <f>IFERROR(--INDEX('Term investments'!$E:$E,ROW()),0)</f>
        <v/>
      </c>
      <c r="F1202">
        <f>IFERROR(--INDEX('Term investments'!$F:$F,ROW()),0)</f>
        <v/>
      </c>
      <c r="G1202">
        <f>IFERROR(IF(--INDEX('Term investments'!$G:$G,ROW())&gt;=1,--INDEX('Term investments'!$G:$G,ROW())/100,--INDEX('Term investments'!$G:$G,ROW())),0)</f>
        <v/>
      </c>
      <c r="H1202">
        <f>IFERROR(--INDEX('Term investments'!$H:$H,ROW()),0)</f>
        <v/>
      </c>
      <c r="I1202">
        <f>IF(ISNUMBER(INDEX('Term investments'!$G:$G,ROW())),1,0)</f>
        <v/>
      </c>
      <c r="J1202">
        <f>TRIM(SUBSTITUTE(INDEX('Call accounts and MMFs'!$A:$A,ROW())&amp;""," "," "))</f>
        <v/>
      </c>
      <c r="K1202">
        <f>TRIM(SUBSTITUTE(INDEX('Call accounts and MMFs'!$B:$B,ROW())&amp;""," "," "))</f>
        <v/>
      </c>
      <c r="L1202">
        <f>TRIM(SUBSTITUTE(INDEX('Call accounts and MMFs'!$C:$C,ROW())&amp;""," "," "))</f>
        <v/>
      </c>
      <c r="M1202">
        <f>IFERROR(--INDEX('Call accounts and MMFs'!$D:$D,ROW()),0)</f>
        <v/>
      </c>
      <c r="N1202">
        <f>IFERROR(IF(--INDEX('Call accounts and MMFs'!$E:$E,ROW())&gt;=1,--INDEX('Call accounts and MMFs'!$E:$E,ROW())/100,--INDEX('Call accounts and MMFs'!$E:$E,ROW())),0)</f>
        <v/>
      </c>
      <c r="O1202">
        <f>IFERROR(--INDEX('Call accounts and MMFs'!$F:$F,ROW()),0)</f>
        <v/>
      </c>
      <c r="P1202">
        <f>IF(ISNUMBER(INDEX('Call accounts and MMFs'!$E:$E,ROW())),1,0)</f>
        <v/>
      </c>
      <c r="Q1202">
        <f>TRIM(SUBSTITUTE(INDEX('Pooled funds'!$B:$B,ROW())&amp;""," "," "))</f>
        <v/>
      </c>
      <c r="R1202">
        <f>IFERROR(--INDEX('Pooled funds'!$C:$C,ROW()),0)</f>
        <v/>
      </c>
      <c r="S1202">
        <f>IFERROR(--INDEX('Pooled funds'!$D:$D,ROW()),0)</f>
        <v/>
      </c>
      <c r="T1202">
        <f>IFERROR(IF(--INDEX('Pooled funds'!$E:$E,ROW())&gt;=1,--INDEX('Pooled funds'!$E:$E,ROW())/100,--INDEX('Pooled funds'!$E:$E,ROW())),0)</f>
        <v/>
      </c>
      <c r="U1202">
        <f>IF(ISNUMBER(INDEX('Pooled funds'!$E:$E,ROW())),1,0)</f>
        <v/>
      </c>
    </row>
    <row r="1203">
      <c r="A1203">
        <f>TRIM(SUBSTITUTE(INDEX('Term investments'!$A:$A,ROW())&amp;""," "," "))</f>
        <v/>
      </c>
      <c r="B1203">
        <f>TRIM(SUBSTITUTE(INDEX('Term investments'!$B:$B,ROW())&amp;""," "," "))</f>
        <v/>
      </c>
      <c r="C1203">
        <f>TRIM(SUBSTITUTE(INDEX('Term investments'!$C:$C,ROW())&amp;""," "," "))</f>
        <v/>
      </c>
      <c r="D1203">
        <f>IFERROR(--INDEX('Term investments'!$D:$D,ROW()),0)</f>
        <v/>
      </c>
      <c r="E1203">
        <f>IFERROR(--INDEX('Term investments'!$E:$E,ROW()),0)</f>
        <v/>
      </c>
      <c r="F1203">
        <f>IFERROR(--INDEX('Term investments'!$F:$F,ROW()),0)</f>
        <v/>
      </c>
      <c r="G1203">
        <f>IFERROR(IF(--INDEX('Term investments'!$G:$G,ROW())&gt;=1,--INDEX('Term investments'!$G:$G,ROW())/100,--INDEX('Term investments'!$G:$G,ROW())),0)</f>
        <v/>
      </c>
      <c r="H1203">
        <f>IFERROR(--INDEX('Term investments'!$H:$H,ROW()),0)</f>
        <v/>
      </c>
      <c r="I1203">
        <f>IF(ISNUMBER(INDEX('Term investments'!$G:$G,ROW())),1,0)</f>
        <v/>
      </c>
      <c r="J1203">
        <f>TRIM(SUBSTITUTE(INDEX('Call accounts and MMFs'!$A:$A,ROW())&amp;""," "," "))</f>
        <v/>
      </c>
      <c r="K1203">
        <f>TRIM(SUBSTITUTE(INDEX('Call accounts and MMFs'!$B:$B,ROW())&amp;""," "," "))</f>
        <v/>
      </c>
      <c r="L1203">
        <f>TRIM(SUBSTITUTE(INDEX('Call accounts and MMFs'!$C:$C,ROW())&amp;""," "," "))</f>
        <v/>
      </c>
      <c r="M1203">
        <f>IFERROR(--INDEX('Call accounts and MMFs'!$D:$D,ROW()),0)</f>
        <v/>
      </c>
      <c r="N1203">
        <f>IFERROR(IF(--INDEX('Call accounts and MMFs'!$E:$E,ROW())&gt;=1,--INDEX('Call accounts and MMFs'!$E:$E,ROW())/100,--INDEX('Call accounts and MMFs'!$E:$E,ROW())),0)</f>
        <v/>
      </c>
      <c r="O1203">
        <f>IFERROR(--INDEX('Call accounts and MMFs'!$F:$F,ROW()),0)</f>
        <v/>
      </c>
      <c r="P1203">
        <f>IF(ISNUMBER(INDEX('Call accounts and MMFs'!$E:$E,ROW())),1,0)</f>
        <v/>
      </c>
      <c r="Q1203">
        <f>TRIM(SUBSTITUTE(INDEX('Pooled funds'!$B:$B,ROW())&amp;""," "," "))</f>
        <v/>
      </c>
      <c r="R1203">
        <f>IFERROR(--INDEX('Pooled funds'!$C:$C,ROW()),0)</f>
        <v/>
      </c>
      <c r="S1203">
        <f>IFERROR(--INDEX('Pooled funds'!$D:$D,ROW()),0)</f>
        <v/>
      </c>
      <c r="T1203">
        <f>IFERROR(IF(--INDEX('Pooled funds'!$E:$E,ROW())&gt;=1,--INDEX('Pooled funds'!$E:$E,ROW())/100,--INDEX('Pooled funds'!$E:$E,ROW())),0)</f>
        <v/>
      </c>
      <c r="U1203">
        <f>IF(ISNUMBER(INDEX('Pooled funds'!$E:$E,ROW())),1,0)</f>
        <v/>
      </c>
    </row>
    <row r="1204">
      <c r="A1204">
        <f>TRIM(SUBSTITUTE(INDEX('Term investments'!$A:$A,ROW())&amp;""," "," "))</f>
        <v/>
      </c>
      <c r="B1204">
        <f>TRIM(SUBSTITUTE(INDEX('Term investments'!$B:$B,ROW())&amp;""," "," "))</f>
        <v/>
      </c>
      <c r="C1204">
        <f>TRIM(SUBSTITUTE(INDEX('Term investments'!$C:$C,ROW())&amp;""," "," "))</f>
        <v/>
      </c>
      <c r="D1204">
        <f>IFERROR(--INDEX('Term investments'!$D:$D,ROW()),0)</f>
        <v/>
      </c>
      <c r="E1204">
        <f>IFERROR(--INDEX('Term investments'!$E:$E,ROW()),0)</f>
        <v/>
      </c>
      <c r="F1204">
        <f>IFERROR(--INDEX('Term investments'!$F:$F,ROW()),0)</f>
        <v/>
      </c>
      <c r="G1204">
        <f>IFERROR(IF(--INDEX('Term investments'!$G:$G,ROW())&gt;=1,--INDEX('Term investments'!$G:$G,ROW())/100,--INDEX('Term investments'!$G:$G,ROW())),0)</f>
        <v/>
      </c>
      <c r="H1204">
        <f>IFERROR(--INDEX('Term investments'!$H:$H,ROW()),0)</f>
        <v/>
      </c>
      <c r="I1204">
        <f>IF(ISNUMBER(INDEX('Term investments'!$G:$G,ROW())),1,0)</f>
        <v/>
      </c>
      <c r="J1204">
        <f>TRIM(SUBSTITUTE(INDEX('Call accounts and MMFs'!$A:$A,ROW())&amp;""," "," "))</f>
        <v/>
      </c>
      <c r="K1204">
        <f>TRIM(SUBSTITUTE(INDEX('Call accounts and MMFs'!$B:$B,ROW())&amp;""," "," "))</f>
        <v/>
      </c>
      <c r="L1204">
        <f>TRIM(SUBSTITUTE(INDEX('Call accounts and MMFs'!$C:$C,ROW())&amp;""," "," "))</f>
        <v/>
      </c>
      <c r="M1204">
        <f>IFERROR(--INDEX('Call accounts and MMFs'!$D:$D,ROW()),0)</f>
        <v/>
      </c>
      <c r="N1204">
        <f>IFERROR(IF(--INDEX('Call accounts and MMFs'!$E:$E,ROW())&gt;=1,--INDEX('Call accounts and MMFs'!$E:$E,ROW())/100,--INDEX('Call accounts and MMFs'!$E:$E,ROW())),0)</f>
        <v/>
      </c>
      <c r="O1204">
        <f>IFERROR(--INDEX('Call accounts and MMFs'!$F:$F,ROW()),0)</f>
        <v/>
      </c>
      <c r="P1204">
        <f>IF(ISNUMBER(INDEX('Call accounts and MMFs'!$E:$E,ROW())),1,0)</f>
        <v/>
      </c>
      <c r="Q1204">
        <f>TRIM(SUBSTITUTE(INDEX('Pooled funds'!$B:$B,ROW())&amp;""," "," "))</f>
        <v/>
      </c>
      <c r="R1204">
        <f>IFERROR(--INDEX('Pooled funds'!$C:$C,ROW()),0)</f>
        <v/>
      </c>
      <c r="S1204">
        <f>IFERROR(--INDEX('Pooled funds'!$D:$D,ROW()),0)</f>
        <v/>
      </c>
      <c r="T1204">
        <f>IFERROR(IF(--INDEX('Pooled funds'!$E:$E,ROW())&gt;=1,--INDEX('Pooled funds'!$E:$E,ROW())/100,--INDEX('Pooled funds'!$E:$E,ROW())),0)</f>
        <v/>
      </c>
      <c r="U1204">
        <f>IF(ISNUMBER(INDEX('Pooled funds'!$E:$E,ROW())),1,0)</f>
        <v/>
      </c>
    </row>
    <row r="1205">
      <c r="A1205">
        <f>TRIM(SUBSTITUTE(INDEX('Term investments'!$A:$A,ROW())&amp;""," "," "))</f>
        <v/>
      </c>
      <c r="B1205">
        <f>TRIM(SUBSTITUTE(INDEX('Term investments'!$B:$B,ROW())&amp;""," "," "))</f>
        <v/>
      </c>
      <c r="C1205">
        <f>TRIM(SUBSTITUTE(INDEX('Term investments'!$C:$C,ROW())&amp;""," "," "))</f>
        <v/>
      </c>
      <c r="D1205">
        <f>IFERROR(--INDEX('Term investments'!$D:$D,ROW()),0)</f>
        <v/>
      </c>
      <c r="E1205">
        <f>IFERROR(--INDEX('Term investments'!$E:$E,ROW()),0)</f>
        <v/>
      </c>
      <c r="F1205">
        <f>IFERROR(--INDEX('Term investments'!$F:$F,ROW()),0)</f>
        <v/>
      </c>
      <c r="G1205">
        <f>IFERROR(IF(--INDEX('Term investments'!$G:$G,ROW())&gt;=1,--INDEX('Term investments'!$G:$G,ROW())/100,--INDEX('Term investments'!$G:$G,ROW())),0)</f>
        <v/>
      </c>
      <c r="H1205">
        <f>IFERROR(--INDEX('Term investments'!$H:$H,ROW()),0)</f>
        <v/>
      </c>
      <c r="I1205">
        <f>IF(ISNUMBER(INDEX('Term investments'!$G:$G,ROW())),1,0)</f>
        <v/>
      </c>
      <c r="J1205">
        <f>TRIM(SUBSTITUTE(INDEX('Call accounts and MMFs'!$A:$A,ROW())&amp;""," "," "))</f>
        <v/>
      </c>
      <c r="K1205">
        <f>TRIM(SUBSTITUTE(INDEX('Call accounts and MMFs'!$B:$B,ROW())&amp;""," "," "))</f>
        <v/>
      </c>
      <c r="L1205">
        <f>TRIM(SUBSTITUTE(INDEX('Call accounts and MMFs'!$C:$C,ROW())&amp;""," "," "))</f>
        <v/>
      </c>
      <c r="M1205">
        <f>IFERROR(--INDEX('Call accounts and MMFs'!$D:$D,ROW()),0)</f>
        <v/>
      </c>
      <c r="N1205">
        <f>IFERROR(IF(--INDEX('Call accounts and MMFs'!$E:$E,ROW())&gt;=1,--INDEX('Call accounts and MMFs'!$E:$E,ROW())/100,--INDEX('Call accounts and MMFs'!$E:$E,ROW())),0)</f>
        <v/>
      </c>
      <c r="O1205">
        <f>IFERROR(--INDEX('Call accounts and MMFs'!$F:$F,ROW()),0)</f>
        <v/>
      </c>
      <c r="P1205">
        <f>IF(ISNUMBER(INDEX('Call accounts and MMFs'!$E:$E,ROW())),1,0)</f>
        <v/>
      </c>
      <c r="Q1205">
        <f>TRIM(SUBSTITUTE(INDEX('Pooled funds'!$B:$B,ROW())&amp;""," "," "))</f>
        <v/>
      </c>
      <c r="R1205">
        <f>IFERROR(--INDEX('Pooled funds'!$C:$C,ROW()),0)</f>
        <v/>
      </c>
      <c r="S1205">
        <f>IFERROR(--INDEX('Pooled funds'!$D:$D,ROW()),0)</f>
        <v/>
      </c>
      <c r="T1205">
        <f>IFERROR(IF(--INDEX('Pooled funds'!$E:$E,ROW())&gt;=1,--INDEX('Pooled funds'!$E:$E,ROW())/100,--INDEX('Pooled funds'!$E:$E,ROW())),0)</f>
        <v/>
      </c>
      <c r="U1205">
        <f>IF(ISNUMBER(INDEX('Pooled funds'!$E:$E,ROW())),1,0)</f>
        <v/>
      </c>
    </row>
    <row r="1206">
      <c r="A1206">
        <f>TRIM(SUBSTITUTE(INDEX('Term investments'!$A:$A,ROW())&amp;""," "," "))</f>
        <v/>
      </c>
      <c r="B1206">
        <f>TRIM(SUBSTITUTE(INDEX('Term investments'!$B:$B,ROW())&amp;""," "," "))</f>
        <v/>
      </c>
      <c r="C1206">
        <f>TRIM(SUBSTITUTE(INDEX('Term investments'!$C:$C,ROW())&amp;""," "," "))</f>
        <v/>
      </c>
      <c r="D1206">
        <f>IFERROR(--INDEX('Term investments'!$D:$D,ROW()),0)</f>
        <v/>
      </c>
      <c r="E1206">
        <f>IFERROR(--INDEX('Term investments'!$E:$E,ROW()),0)</f>
        <v/>
      </c>
      <c r="F1206">
        <f>IFERROR(--INDEX('Term investments'!$F:$F,ROW()),0)</f>
        <v/>
      </c>
      <c r="G1206">
        <f>IFERROR(IF(--INDEX('Term investments'!$G:$G,ROW())&gt;=1,--INDEX('Term investments'!$G:$G,ROW())/100,--INDEX('Term investments'!$G:$G,ROW())),0)</f>
        <v/>
      </c>
      <c r="H1206">
        <f>IFERROR(--INDEX('Term investments'!$H:$H,ROW()),0)</f>
        <v/>
      </c>
      <c r="I1206">
        <f>IF(ISNUMBER(INDEX('Term investments'!$G:$G,ROW())),1,0)</f>
        <v/>
      </c>
      <c r="J1206">
        <f>TRIM(SUBSTITUTE(INDEX('Call accounts and MMFs'!$A:$A,ROW())&amp;""," "," "))</f>
        <v/>
      </c>
      <c r="K1206">
        <f>TRIM(SUBSTITUTE(INDEX('Call accounts and MMFs'!$B:$B,ROW())&amp;""," "," "))</f>
        <v/>
      </c>
      <c r="L1206">
        <f>TRIM(SUBSTITUTE(INDEX('Call accounts and MMFs'!$C:$C,ROW())&amp;""," "," "))</f>
        <v/>
      </c>
      <c r="M1206">
        <f>IFERROR(--INDEX('Call accounts and MMFs'!$D:$D,ROW()),0)</f>
        <v/>
      </c>
      <c r="N1206">
        <f>IFERROR(IF(--INDEX('Call accounts and MMFs'!$E:$E,ROW())&gt;=1,--INDEX('Call accounts and MMFs'!$E:$E,ROW())/100,--INDEX('Call accounts and MMFs'!$E:$E,ROW())),0)</f>
        <v/>
      </c>
      <c r="O1206">
        <f>IFERROR(--INDEX('Call accounts and MMFs'!$F:$F,ROW()),0)</f>
        <v/>
      </c>
      <c r="P1206">
        <f>IF(ISNUMBER(INDEX('Call accounts and MMFs'!$E:$E,ROW())),1,0)</f>
        <v/>
      </c>
      <c r="Q1206">
        <f>TRIM(SUBSTITUTE(INDEX('Pooled funds'!$B:$B,ROW())&amp;""," "," "))</f>
        <v/>
      </c>
      <c r="R1206">
        <f>IFERROR(--INDEX('Pooled funds'!$C:$C,ROW()),0)</f>
        <v/>
      </c>
      <c r="S1206">
        <f>IFERROR(--INDEX('Pooled funds'!$D:$D,ROW()),0)</f>
        <v/>
      </c>
      <c r="T1206">
        <f>IFERROR(IF(--INDEX('Pooled funds'!$E:$E,ROW())&gt;=1,--INDEX('Pooled funds'!$E:$E,ROW())/100,--INDEX('Pooled funds'!$E:$E,ROW())),0)</f>
        <v/>
      </c>
      <c r="U1206">
        <f>IF(ISNUMBER(INDEX('Pooled funds'!$E:$E,ROW())),1,0)</f>
        <v/>
      </c>
    </row>
    <row r="1207">
      <c r="A1207">
        <f>TRIM(SUBSTITUTE(INDEX('Term investments'!$A:$A,ROW())&amp;""," "," "))</f>
        <v/>
      </c>
      <c r="B1207">
        <f>TRIM(SUBSTITUTE(INDEX('Term investments'!$B:$B,ROW())&amp;""," "," "))</f>
        <v/>
      </c>
      <c r="C1207">
        <f>TRIM(SUBSTITUTE(INDEX('Term investments'!$C:$C,ROW())&amp;""," "," "))</f>
        <v/>
      </c>
      <c r="D1207">
        <f>IFERROR(--INDEX('Term investments'!$D:$D,ROW()),0)</f>
        <v/>
      </c>
      <c r="E1207">
        <f>IFERROR(--INDEX('Term investments'!$E:$E,ROW()),0)</f>
        <v/>
      </c>
      <c r="F1207">
        <f>IFERROR(--INDEX('Term investments'!$F:$F,ROW()),0)</f>
        <v/>
      </c>
      <c r="G1207">
        <f>IFERROR(IF(--INDEX('Term investments'!$G:$G,ROW())&gt;=1,--INDEX('Term investments'!$G:$G,ROW())/100,--INDEX('Term investments'!$G:$G,ROW())),0)</f>
        <v/>
      </c>
      <c r="H1207">
        <f>IFERROR(--INDEX('Term investments'!$H:$H,ROW()),0)</f>
        <v/>
      </c>
      <c r="I1207">
        <f>IF(ISNUMBER(INDEX('Term investments'!$G:$G,ROW())),1,0)</f>
        <v/>
      </c>
      <c r="J1207">
        <f>TRIM(SUBSTITUTE(INDEX('Call accounts and MMFs'!$A:$A,ROW())&amp;""," "," "))</f>
        <v/>
      </c>
      <c r="K1207">
        <f>TRIM(SUBSTITUTE(INDEX('Call accounts and MMFs'!$B:$B,ROW())&amp;""," "," "))</f>
        <v/>
      </c>
      <c r="L1207">
        <f>TRIM(SUBSTITUTE(INDEX('Call accounts and MMFs'!$C:$C,ROW())&amp;""," "," "))</f>
        <v/>
      </c>
      <c r="M1207">
        <f>IFERROR(--INDEX('Call accounts and MMFs'!$D:$D,ROW()),0)</f>
        <v/>
      </c>
      <c r="N1207">
        <f>IFERROR(IF(--INDEX('Call accounts and MMFs'!$E:$E,ROW())&gt;=1,--INDEX('Call accounts and MMFs'!$E:$E,ROW())/100,--INDEX('Call accounts and MMFs'!$E:$E,ROW())),0)</f>
        <v/>
      </c>
      <c r="O1207">
        <f>IFERROR(--INDEX('Call accounts and MMFs'!$F:$F,ROW()),0)</f>
        <v/>
      </c>
      <c r="P1207">
        <f>IF(ISNUMBER(INDEX('Call accounts and MMFs'!$E:$E,ROW())),1,0)</f>
        <v/>
      </c>
      <c r="Q1207">
        <f>TRIM(SUBSTITUTE(INDEX('Pooled funds'!$B:$B,ROW())&amp;""," "," "))</f>
        <v/>
      </c>
      <c r="R1207">
        <f>IFERROR(--INDEX('Pooled funds'!$C:$C,ROW()),0)</f>
        <v/>
      </c>
      <c r="S1207">
        <f>IFERROR(--INDEX('Pooled funds'!$D:$D,ROW()),0)</f>
        <v/>
      </c>
      <c r="T1207">
        <f>IFERROR(IF(--INDEX('Pooled funds'!$E:$E,ROW())&gt;=1,--INDEX('Pooled funds'!$E:$E,ROW())/100,--INDEX('Pooled funds'!$E:$E,ROW())),0)</f>
        <v/>
      </c>
      <c r="U1207">
        <f>IF(ISNUMBER(INDEX('Pooled funds'!$E:$E,ROW())),1,0)</f>
        <v/>
      </c>
    </row>
    <row r="1208">
      <c r="A1208">
        <f>TRIM(SUBSTITUTE(INDEX('Term investments'!$A:$A,ROW())&amp;""," "," "))</f>
        <v/>
      </c>
      <c r="B1208">
        <f>TRIM(SUBSTITUTE(INDEX('Term investments'!$B:$B,ROW())&amp;""," "," "))</f>
        <v/>
      </c>
      <c r="C1208">
        <f>TRIM(SUBSTITUTE(INDEX('Term investments'!$C:$C,ROW())&amp;""," "," "))</f>
        <v/>
      </c>
      <c r="D1208">
        <f>IFERROR(--INDEX('Term investments'!$D:$D,ROW()),0)</f>
        <v/>
      </c>
      <c r="E1208">
        <f>IFERROR(--INDEX('Term investments'!$E:$E,ROW()),0)</f>
        <v/>
      </c>
      <c r="F1208">
        <f>IFERROR(--INDEX('Term investments'!$F:$F,ROW()),0)</f>
        <v/>
      </c>
      <c r="G1208">
        <f>IFERROR(IF(--INDEX('Term investments'!$G:$G,ROW())&gt;=1,--INDEX('Term investments'!$G:$G,ROW())/100,--INDEX('Term investments'!$G:$G,ROW())),0)</f>
        <v/>
      </c>
      <c r="H1208">
        <f>IFERROR(--INDEX('Term investments'!$H:$H,ROW()),0)</f>
        <v/>
      </c>
      <c r="I1208">
        <f>IF(ISNUMBER(INDEX('Term investments'!$G:$G,ROW())),1,0)</f>
        <v/>
      </c>
      <c r="J1208">
        <f>TRIM(SUBSTITUTE(INDEX('Call accounts and MMFs'!$A:$A,ROW())&amp;""," "," "))</f>
        <v/>
      </c>
      <c r="K1208">
        <f>TRIM(SUBSTITUTE(INDEX('Call accounts and MMFs'!$B:$B,ROW())&amp;""," "," "))</f>
        <v/>
      </c>
      <c r="L1208">
        <f>TRIM(SUBSTITUTE(INDEX('Call accounts and MMFs'!$C:$C,ROW())&amp;""," "," "))</f>
        <v/>
      </c>
      <c r="M1208">
        <f>IFERROR(--INDEX('Call accounts and MMFs'!$D:$D,ROW()),0)</f>
        <v/>
      </c>
      <c r="N1208">
        <f>IFERROR(IF(--INDEX('Call accounts and MMFs'!$E:$E,ROW())&gt;=1,--INDEX('Call accounts and MMFs'!$E:$E,ROW())/100,--INDEX('Call accounts and MMFs'!$E:$E,ROW())),0)</f>
        <v/>
      </c>
      <c r="O1208">
        <f>IFERROR(--INDEX('Call accounts and MMFs'!$F:$F,ROW()),0)</f>
        <v/>
      </c>
      <c r="P1208">
        <f>IF(ISNUMBER(INDEX('Call accounts and MMFs'!$E:$E,ROW())),1,0)</f>
        <v/>
      </c>
      <c r="Q1208">
        <f>TRIM(SUBSTITUTE(INDEX('Pooled funds'!$B:$B,ROW())&amp;""," "," "))</f>
        <v/>
      </c>
      <c r="R1208">
        <f>IFERROR(--INDEX('Pooled funds'!$C:$C,ROW()),0)</f>
        <v/>
      </c>
      <c r="S1208">
        <f>IFERROR(--INDEX('Pooled funds'!$D:$D,ROW()),0)</f>
        <v/>
      </c>
      <c r="T1208">
        <f>IFERROR(IF(--INDEX('Pooled funds'!$E:$E,ROW())&gt;=1,--INDEX('Pooled funds'!$E:$E,ROW())/100,--INDEX('Pooled funds'!$E:$E,ROW())),0)</f>
        <v/>
      </c>
      <c r="U1208">
        <f>IF(ISNUMBER(INDEX('Pooled funds'!$E:$E,ROW())),1,0)</f>
        <v/>
      </c>
    </row>
    <row r="1209">
      <c r="A1209">
        <f>TRIM(SUBSTITUTE(INDEX('Term investments'!$A:$A,ROW())&amp;""," "," "))</f>
        <v/>
      </c>
      <c r="B1209">
        <f>TRIM(SUBSTITUTE(INDEX('Term investments'!$B:$B,ROW())&amp;""," "," "))</f>
        <v/>
      </c>
      <c r="C1209">
        <f>TRIM(SUBSTITUTE(INDEX('Term investments'!$C:$C,ROW())&amp;""," "," "))</f>
        <v/>
      </c>
      <c r="D1209">
        <f>IFERROR(--INDEX('Term investments'!$D:$D,ROW()),0)</f>
        <v/>
      </c>
      <c r="E1209">
        <f>IFERROR(--INDEX('Term investments'!$E:$E,ROW()),0)</f>
        <v/>
      </c>
      <c r="F1209">
        <f>IFERROR(--INDEX('Term investments'!$F:$F,ROW()),0)</f>
        <v/>
      </c>
      <c r="G1209">
        <f>IFERROR(IF(--INDEX('Term investments'!$G:$G,ROW())&gt;=1,--INDEX('Term investments'!$G:$G,ROW())/100,--INDEX('Term investments'!$G:$G,ROW())),0)</f>
        <v/>
      </c>
      <c r="H1209">
        <f>IFERROR(--INDEX('Term investments'!$H:$H,ROW()),0)</f>
        <v/>
      </c>
      <c r="I1209">
        <f>IF(ISNUMBER(INDEX('Term investments'!$G:$G,ROW())),1,0)</f>
        <v/>
      </c>
      <c r="J1209">
        <f>TRIM(SUBSTITUTE(INDEX('Call accounts and MMFs'!$A:$A,ROW())&amp;""," "," "))</f>
        <v/>
      </c>
      <c r="K1209">
        <f>TRIM(SUBSTITUTE(INDEX('Call accounts and MMFs'!$B:$B,ROW())&amp;""," "," "))</f>
        <v/>
      </c>
      <c r="L1209">
        <f>TRIM(SUBSTITUTE(INDEX('Call accounts and MMFs'!$C:$C,ROW())&amp;""," "," "))</f>
        <v/>
      </c>
      <c r="M1209">
        <f>IFERROR(--INDEX('Call accounts and MMFs'!$D:$D,ROW()),0)</f>
        <v/>
      </c>
      <c r="N1209">
        <f>IFERROR(IF(--INDEX('Call accounts and MMFs'!$E:$E,ROW())&gt;=1,--INDEX('Call accounts and MMFs'!$E:$E,ROW())/100,--INDEX('Call accounts and MMFs'!$E:$E,ROW())),0)</f>
        <v/>
      </c>
      <c r="O1209">
        <f>IFERROR(--INDEX('Call accounts and MMFs'!$F:$F,ROW()),0)</f>
        <v/>
      </c>
      <c r="P1209">
        <f>IF(ISNUMBER(INDEX('Call accounts and MMFs'!$E:$E,ROW())),1,0)</f>
        <v/>
      </c>
      <c r="Q1209">
        <f>TRIM(SUBSTITUTE(INDEX('Pooled funds'!$B:$B,ROW())&amp;""," "," "))</f>
        <v/>
      </c>
      <c r="R1209">
        <f>IFERROR(--INDEX('Pooled funds'!$C:$C,ROW()),0)</f>
        <v/>
      </c>
      <c r="S1209">
        <f>IFERROR(--INDEX('Pooled funds'!$D:$D,ROW()),0)</f>
        <v/>
      </c>
      <c r="T1209">
        <f>IFERROR(IF(--INDEX('Pooled funds'!$E:$E,ROW())&gt;=1,--INDEX('Pooled funds'!$E:$E,ROW())/100,--INDEX('Pooled funds'!$E:$E,ROW())),0)</f>
        <v/>
      </c>
      <c r="U1209">
        <f>IF(ISNUMBER(INDEX('Pooled funds'!$E:$E,ROW())),1,0)</f>
        <v/>
      </c>
    </row>
    <row r="1210">
      <c r="A1210">
        <f>TRIM(SUBSTITUTE(INDEX('Term investments'!$A:$A,ROW())&amp;""," "," "))</f>
        <v/>
      </c>
      <c r="B1210">
        <f>TRIM(SUBSTITUTE(INDEX('Term investments'!$B:$B,ROW())&amp;""," "," "))</f>
        <v/>
      </c>
      <c r="C1210">
        <f>TRIM(SUBSTITUTE(INDEX('Term investments'!$C:$C,ROW())&amp;""," "," "))</f>
        <v/>
      </c>
      <c r="D1210">
        <f>IFERROR(--INDEX('Term investments'!$D:$D,ROW()),0)</f>
        <v/>
      </c>
      <c r="E1210">
        <f>IFERROR(--INDEX('Term investments'!$E:$E,ROW()),0)</f>
        <v/>
      </c>
      <c r="F1210">
        <f>IFERROR(--INDEX('Term investments'!$F:$F,ROW()),0)</f>
        <v/>
      </c>
      <c r="G1210">
        <f>IFERROR(IF(--INDEX('Term investments'!$G:$G,ROW())&gt;=1,--INDEX('Term investments'!$G:$G,ROW())/100,--INDEX('Term investments'!$G:$G,ROW())),0)</f>
        <v/>
      </c>
      <c r="H1210">
        <f>IFERROR(--INDEX('Term investments'!$H:$H,ROW()),0)</f>
        <v/>
      </c>
      <c r="I1210">
        <f>IF(ISNUMBER(INDEX('Term investments'!$G:$G,ROW())),1,0)</f>
        <v/>
      </c>
      <c r="J1210">
        <f>TRIM(SUBSTITUTE(INDEX('Call accounts and MMFs'!$A:$A,ROW())&amp;""," "," "))</f>
        <v/>
      </c>
      <c r="K1210">
        <f>TRIM(SUBSTITUTE(INDEX('Call accounts and MMFs'!$B:$B,ROW())&amp;""," "," "))</f>
        <v/>
      </c>
      <c r="L1210">
        <f>TRIM(SUBSTITUTE(INDEX('Call accounts and MMFs'!$C:$C,ROW())&amp;""," "," "))</f>
        <v/>
      </c>
      <c r="M1210">
        <f>IFERROR(--INDEX('Call accounts and MMFs'!$D:$D,ROW()),0)</f>
        <v/>
      </c>
      <c r="N1210">
        <f>IFERROR(IF(--INDEX('Call accounts and MMFs'!$E:$E,ROW())&gt;=1,--INDEX('Call accounts and MMFs'!$E:$E,ROW())/100,--INDEX('Call accounts and MMFs'!$E:$E,ROW())),0)</f>
        <v/>
      </c>
      <c r="O1210">
        <f>IFERROR(--INDEX('Call accounts and MMFs'!$F:$F,ROW()),0)</f>
        <v/>
      </c>
      <c r="P1210">
        <f>IF(ISNUMBER(INDEX('Call accounts and MMFs'!$E:$E,ROW())),1,0)</f>
        <v/>
      </c>
      <c r="Q1210">
        <f>TRIM(SUBSTITUTE(INDEX('Pooled funds'!$B:$B,ROW())&amp;""," "," "))</f>
        <v/>
      </c>
      <c r="R1210">
        <f>IFERROR(--INDEX('Pooled funds'!$C:$C,ROW()),0)</f>
        <v/>
      </c>
      <c r="S1210">
        <f>IFERROR(--INDEX('Pooled funds'!$D:$D,ROW()),0)</f>
        <v/>
      </c>
      <c r="T1210">
        <f>IFERROR(IF(--INDEX('Pooled funds'!$E:$E,ROW())&gt;=1,--INDEX('Pooled funds'!$E:$E,ROW())/100,--INDEX('Pooled funds'!$E:$E,ROW())),0)</f>
        <v/>
      </c>
      <c r="U1210">
        <f>IF(ISNUMBER(INDEX('Pooled funds'!$E:$E,ROW())),1,0)</f>
        <v/>
      </c>
    </row>
    <row r="1211">
      <c r="A1211">
        <f>TRIM(SUBSTITUTE(INDEX('Term investments'!$A:$A,ROW())&amp;""," "," "))</f>
        <v/>
      </c>
      <c r="B1211">
        <f>TRIM(SUBSTITUTE(INDEX('Term investments'!$B:$B,ROW())&amp;""," "," "))</f>
        <v/>
      </c>
      <c r="C1211">
        <f>TRIM(SUBSTITUTE(INDEX('Term investments'!$C:$C,ROW())&amp;""," "," "))</f>
        <v/>
      </c>
      <c r="D1211">
        <f>IFERROR(--INDEX('Term investments'!$D:$D,ROW()),0)</f>
        <v/>
      </c>
      <c r="E1211">
        <f>IFERROR(--INDEX('Term investments'!$E:$E,ROW()),0)</f>
        <v/>
      </c>
      <c r="F1211">
        <f>IFERROR(--INDEX('Term investments'!$F:$F,ROW()),0)</f>
        <v/>
      </c>
      <c r="G1211">
        <f>IFERROR(IF(--INDEX('Term investments'!$G:$G,ROW())&gt;=1,--INDEX('Term investments'!$G:$G,ROW())/100,--INDEX('Term investments'!$G:$G,ROW())),0)</f>
        <v/>
      </c>
      <c r="H1211">
        <f>IFERROR(--INDEX('Term investments'!$H:$H,ROW()),0)</f>
        <v/>
      </c>
      <c r="I1211">
        <f>IF(ISNUMBER(INDEX('Term investments'!$G:$G,ROW())),1,0)</f>
        <v/>
      </c>
      <c r="J1211">
        <f>TRIM(SUBSTITUTE(INDEX('Call accounts and MMFs'!$A:$A,ROW())&amp;""," "," "))</f>
        <v/>
      </c>
      <c r="K1211">
        <f>TRIM(SUBSTITUTE(INDEX('Call accounts and MMFs'!$B:$B,ROW())&amp;""," "," "))</f>
        <v/>
      </c>
      <c r="L1211">
        <f>TRIM(SUBSTITUTE(INDEX('Call accounts and MMFs'!$C:$C,ROW())&amp;""," "," "))</f>
        <v/>
      </c>
      <c r="M1211">
        <f>IFERROR(--INDEX('Call accounts and MMFs'!$D:$D,ROW()),0)</f>
        <v/>
      </c>
      <c r="N1211">
        <f>IFERROR(IF(--INDEX('Call accounts and MMFs'!$E:$E,ROW())&gt;=1,--INDEX('Call accounts and MMFs'!$E:$E,ROW())/100,--INDEX('Call accounts and MMFs'!$E:$E,ROW())),0)</f>
        <v/>
      </c>
      <c r="O1211">
        <f>IFERROR(--INDEX('Call accounts and MMFs'!$F:$F,ROW()),0)</f>
        <v/>
      </c>
      <c r="P1211">
        <f>IF(ISNUMBER(INDEX('Call accounts and MMFs'!$E:$E,ROW())),1,0)</f>
        <v/>
      </c>
      <c r="Q1211">
        <f>TRIM(SUBSTITUTE(INDEX('Pooled funds'!$B:$B,ROW())&amp;""," "," "))</f>
        <v/>
      </c>
      <c r="R1211">
        <f>IFERROR(--INDEX('Pooled funds'!$C:$C,ROW()),0)</f>
        <v/>
      </c>
      <c r="S1211">
        <f>IFERROR(--INDEX('Pooled funds'!$D:$D,ROW()),0)</f>
        <v/>
      </c>
      <c r="T1211">
        <f>IFERROR(IF(--INDEX('Pooled funds'!$E:$E,ROW())&gt;=1,--INDEX('Pooled funds'!$E:$E,ROW())/100,--INDEX('Pooled funds'!$E:$E,ROW())),0)</f>
        <v/>
      </c>
      <c r="U1211">
        <f>IF(ISNUMBER(INDEX('Pooled funds'!$E:$E,ROW())),1,0)</f>
        <v/>
      </c>
    </row>
    <row r="1212">
      <c r="A1212">
        <f>TRIM(SUBSTITUTE(INDEX('Term investments'!$A:$A,ROW())&amp;""," "," "))</f>
        <v/>
      </c>
      <c r="B1212">
        <f>TRIM(SUBSTITUTE(INDEX('Term investments'!$B:$B,ROW())&amp;""," "," "))</f>
        <v/>
      </c>
      <c r="C1212">
        <f>TRIM(SUBSTITUTE(INDEX('Term investments'!$C:$C,ROW())&amp;""," "," "))</f>
        <v/>
      </c>
      <c r="D1212">
        <f>IFERROR(--INDEX('Term investments'!$D:$D,ROW()),0)</f>
        <v/>
      </c>
      <c r="E1212">
        <f>IFERROR(--INDEX('Term investments'!$E:$E,ROW()),0)</f>
        <v/>
      </c>
      <c r="F1212">
        <f>IFERROR(--INDEX('Term investments'!$F:$F,ROW()),0)</f>
        <v/>
      </c>
      <c r="G1212">
        <f>IFERROR(IF(--INDEX('Term investments'!$G:$G,ROW())&gt;=1,--INDEX('Term investments'!$G:$G,ROW())/100,--INDEX('Term investments'!$G:$G,ROW())),0)</f>
        <v/>
      </c>
      <c r="H1212">
        <f>IFERROR(--INDEX('Term investments'!$H:$H,ROW()),0)</f>
        <v/>
      </c>
      <c r="I1212">
        <f>IF(ISNUMBER(INDEX('Term investments'!$G:$G,ROW())),1,0)</f>
        <v/>
      </c>
      <c r="J1212">
        <f>TRIM(SUBSTITUTE(INDEX('Call accounts and MMFs'!$A:$A,ROW())&amp;""," "," "))</f>
        <v/>
      </c>
      <c r="K1212">
        <f>TRIM(SUBSTITUTE(INDEX('Call accounts and MMFs'!$B:$B,ROW())&amp;""," "," "))</f>
        <v/>
      </c>
      <c r="L1212">
        <f>TRIM(SUBSTITUTE(INDEX('Call accounts and MMFs'!$C:$C,ROW())&amp;""," "," "))</f>
        <v/>
      </c>
      <c r="M1212">
        <f>IFERROR(--INDEX('Call accounts and MMFs'!$D:$D,ROW()),0)</f>
        <v/>
      </c>
      <c r="N1212">
        <f>IFERROR(IF(--INDEX('Call accounts and MMFs'!$E:$E,ROW())&gt;=1,--INDEX('Call accounts and MMFs'!$E:$E,ROW())/100,--INDEX('Call accounts and MMFs'!$E:$E,ROW())),0)</f>
        <v/>
      </c>
      <c r="O1212">
        <f>IFERROR(--INDEX('Call accounts and MMFs'!$F:$F,ROW()),0)</f>
        <v/>
      </c>
      <c r="P1212">
        <f>IF(ISNUMBER(INDEX('Call accounts and MMFs'!$E:$E,ROW())),1,0)</f>
        <v/>
      </c>
      <c r="Q1212">
        <f>TRIM(SUBSTITUTE(INDEX('Pooled funds'!$B:$B,ROW())&amp;""," "," "))</f>
        <v/>
      </c>
      <c r="R1212">
        <f>IFERROR(--INDEX('Pooled funds'!$C:$C,ROW()),0)</f>
        <v/>
      </c>
      <c r="S1212">
        <f>IFERROR(--INDEX('Pooled funds'!$D:$D,ROW()),0)</f>
        <v/>
      </c>
      <c r="T1212">
        <f>IFERROR(IF(--INDEX('Pooled funds'!$E:$E,ROW())&gt;=1,--INDEX('Pooled funds'!$E:$E,ROW())/100,--INDEX('Pooled funds'!$E:$E,ROW())),0)</f>
        <v/>
      </c>
      <c r="U1212">
        <f>IF(ISNUMBER(INDEX('Pooled funds'!$E:$E,ROW())),1,0)</f>
        <v/>
      </c>
    </row>
    <row r="1213">
      <c r="A1213">
        <f>TRIM(SUBSTITUTE(INDEX('Term investments'!$A:$A,ROW())&amp;""," "," "))</f>
        <v/>
      </c>
      <c r="B1213">
        <f>TRIM(SUBSTITUTE(INDEX('Term investments'!$B:$B,ROW())&amp;""," "," "))</f>
        <v/>
      </c>
      <c r="C1213">
        <f>TRIM(SUBSTITUTE(INDEX('Term investments'!$C:$C,ROW())&amp;""," "," "))</f>
        <v/>
      </c>
      <c r="D1213">
        <f>IFERROR(--INDEX('Term investments'!$D:$D,ROW()),0)</f>
        <v/>
      </c>
      <c r="E1213">
        <f>IFERROR(--INDEX('Term investments'!$E:$E,ROW()),0)</f>
        <v/>
      </c>
      <c r="F1213">
        <f>IFERROR(--INDEX('Term investments'!$F:$F,ROW()),0)</f>
        <v/>
      </c>
      <c r="G1213">
        <f>IFERROR(IF(--INDEX('Term investments'!$G:$G,ROW())&gt;=1,--INDEX('Term investments'!$G:$G,ROW())/100,--INDEX('Term investments'!$G:$G,ROW())),0)</f>
        <v/>
      </c>
      <c r="H1213">
        <f>IFERROR(--INDEX('Term investments'!$H:$H,ROW()),0)</f>
        <v/>
      </c>
      <c r="I1213">
        <f>IF(ISNUMBER(INDEX('Term investments'!$G:$G,ROW())),1,0)</f>
        <v/>
      </c>
      <c r="J1213">
        <f>TRIM(SUBSTITUTE(INDEX('Call accounts and MMFs'!$A:$A,ROW())&amp;""," "," "))</f>
        <v/>
      </c>
      <c r="K1213">
        <f>TRIM(SUBSTITUTE(INDEX('Call accounts and MMFs'!$B:$B,ROW())&amp;""," "," "))</f>
        <v/>
      </c>
      <c r="L1213">
        <f>TRIM(SUBSTITUTE(INDEX('Call accounts and MMFs'!$C:$C,ROW())&amp;""," "," "))</f>
        <v/>
      </c>
      <c r="M1213">
        <f>IFERROR(--INDEX('Call accounts and MMFs'!$D:$D,ROW()),0)</f>
        <v/>
      </c>
      <c r="N1213">
        <f>IFERROR(IF(--INDEX('Call accounts and MMFs'!$E:$E,ROW())&gt;=1,--INDEX('Call accounts and MMFs'!$E:$E,ROW())/100,--INDEX('Call accounts and MMFs'!$E:$E,ROW())),0)</f>
        <v/>
      </c>
      <c r="O1213">
        <f>IFERROR(--INDEX('Call accounts and MMFs'!$F:$F,ROW()),0)</f>
        <v/>
      </c>
      <c r="P1213">
        <f>IF(ISNUMBER(INDEX('Call accounts and MMFs'!$E:$E,ROW())),1,0)</f>
        <v/>
      </c>
      <c r="Q1213">
        <f>TRIM(SUBSTITUTE(INDEX('Pooled funds'!$B:$B,ROW())&amp;""," "," "))</f>
        <v/>
      </c>
      <c r="R1213">
        <f>IFERROR(--INDEX('Pooled funds'!$C:$C,ROW()),0)</f>
        <v/>
      </c>
      <c r="S1213">
        <f>IFERROR(--INDEX('Pooled funds'!$D:$D,ROW()),0)</f>
        <v/>
      </c>
      <c r="T1213">
        <f>IFERROR(IF(--INDEX('Pooled funds'!$E:$E,ROW())&gt;=1,--INDEX('Pooled funds'!$E:$E,ROW())/100,--INDEX('Pooled funds'!$E:$E,ROW())),0)</f>
        <v/>
      </c>
      <c r="U1213">
        <f>IF(ISNUMBER(INDEX('Pooled funds'!$E:$E,ROW())),1,0)</f>
        <v/>
      </c>
    </row>
    <row r="1214">
      <c r="A1214">
        <f>TRIM(SUBSTITUTE(INDEX('Term investments'!$A:$A,ROW())&amp;""," "," "))</f>
        <v/>
      </c>
      <c r="B1214">
        <f>TRIM(SUBSTITUTE(INDEX('Term investments'!$B:$B,ROW())&amp;""," "," "))</f>
        <v/>
      </c>
      <c r="C1214">
        <f>TRIM(SUBSTITUTE(INDEX('Term investments'!$C:$C,ROW())&amp;""," "," "))</f>
        <v/>
      </c>
      <c r="D1214">
        <f>IFERROR(--INDEX('Term investments'!$D:$D,ROW()),0)</f>
        <v/>
      </c>
      <c r="E1214">
        <f>IFERROR(--INDEX('Term investments'!$E:$E,ROW()),0)</f>
        <v/>
      </c>
      <c r="F1214">
        <f>IFERROR(--INDEX('Term investments'!$F:$F,ROW()),0)</f>
        <v/>
      </c>
      <c r="G1214">
        <f>IFERROR(IF(--INDEX('Term investments'!$G:$G,ROW())&gt;=1,--INDEX('Term investments'!$G:$G,ROW())/100,--INDEX('Term investments'!$G:$G,ROW())),0)</f>
        <v/>
      </c>
      <c r="H1214">
        <f>IFERROR(--INDEX('Term investments'!$H:$H,ROW()),0)</f>
        <v/>
      </c>
      <c r="I1214">
        <f>IF(ISNUMBER(INDEX('Term investments'!$G:$G,ROW())),1,0)</f>
        <v/>
      </c>
      <c r="J1214">
        <f>TRIM(SUBSTITUTE(INDEX('Call accounts and MMFs'!$A:$A,ROW())&amp;""," "," "))</f>
        <v/>
      </c>
      <c r="K1214">
        <f>TRIM(SUBSTITUTE(INDEX('Call accounts and MMFs'!$B:$B,ROW())&amp;""," "," "))</f>
        <v/>
      </c>
      <c r="L1214">
        <f>TRIM(SUBSTITUTE(INDEX('Call accounts and MMFs'!$C:$C,ROW())&amp;""," "," "))</f>
        <v/>
      </c>
      <c r="M1214">
        <f>IFERROR(--INDEX('Call accounts and MMFs'!$D:$D,ROW()),0)</f>
        <v/>
      </c>
      <c r="N1214">
        <f>IFERROR(IF(--INDEX('Call accounts and MMFs'!$E:$E,ROW())&gt;=1,--INDEX('Call accounts and MMFs'!$E:$E,ROW())/100,--INDEX('Call accounts and MMFs'!$E:$E,ROW())),0)</f>
        <v/>
      </c>
      <c r="O1214">
        <f>IFERROR(--INDEX('Call accounts and MMFs'!$F:$F,ROW()),0)</f>
        <v/>
      </c>
      <c r="P1214">
        <f>IF(ISNUMBER(INDEX('Call accounts and MMFs'!$E:$E,ROW())),1,0)</f>
        <v/>
      </c>
      <c r="Q1214">
        <f>TRIM(SUBSTITUTE(INDEX('Pooled funds'!$B:$B,ROW())&amp;""," "," "))</f>
        <v/>
      </c>
      <c r="R1214">
        <f>IFERROR(--INDEX('Pooled funds'!$C:$C,ROW()),0)</f>
        <v/>
      </c>
      <c r="S1214">
        <f>IFERROR(--INDEX('Pooled funds'!$D:$D,ROW()),0)</f>
        <v/>
      </c>
      <c r="T1214">
        <f>IFERROR(IF(--INDEX('Pooled funds'!$E:$E,ROW())&gt;=1,--INDEX('Pooled funds'!$E:$E,ROW())/100,--INDEX('Pooled funds'!$E:$E,ROW())),0)</f>
        <v/>
      </c>
      <c r="U1214">
        <f>IF(ISNUMBER(INDEX('Pooled funds'!$E:$E,ROW())),1,0)</f>
        <v/>
      </c>
    </row>
    <row r="1215">
      <c r="A1215">
        <f>TRIM(SUBSTITUTE(INDEX('Term investments'!$A:$A,ROW())&amp;""," "," "))</f>
        <v/>
      </c>
      <c r="B1215">
        <f>TRIM(SUBSTITUTE(INDEX('Term investments'!$B:$B,ROW())&amp;""," "," "))</f>
        <v/>
      </c>
      <c r="C1215">
        <f>TRIM(SUBSTITUTE(INDEX('Term investments'!$C:$C,ROW())&amp;""," "," "))</f>
        <v/>
      </c>
      <c r="D1215">
        <f>IFERROR(--INDEX('Term investments'!$D:$D,ROW()),0)</f>
        <v/>
      </c>
      <c r="E1215">
        <f>IFERROR(--INDEX('Term investments'!$E:$E,ROW()),0)</f>
        <v/>
      </c>
      <c r="F1215">
        <f>IFERROR(--INDEX('Term investments'!$F:$F,ROW()),0)</f>
        <v/>
      </c>
      <c r="G1215">
        <f>IFERROR(IF(--INDEX('Term investments'!$G:$G,ROW())&gt;=1,--INDEX('Term investments'!$G:$G,ROW())/100,--INDEX('Term investments'!$G:$G,ROW())),0)</f>
        <v/>
      </c>
      <c r="H1215">
        <f>IFERROR(--INDEX('Term investments'!$H:$H,ROW()),0)</f>
        <v/>
      </c>
      <c r="I1215">
        <f>IF(ISNUMBER(INDEX('Term investments'!$G:$G,ROW())),1,0)</f>
        <v/>
      </c>
      <c r="J1215">
        <f>TRIM(SUBSTITUTE(INDEX('Call accounts and MMFs'!$A:$A,ROW())&amp;""," "," "))</f>
        <v/>
      </c>
      <c r="K1215">
        <f>TRIM(SUBSTITUTE(INDEX('Call accounts and MMFs'!$B:$B,ROW())&amp;""," "," "))</f>
        <v/>
      </c>
      <c r="L1215">
        <f>TRIM(SUBSTITUTE(INDEX('Call accounts and MMFs'!$C:$C,ROW())&amp;""," "," "))</f>
        <v/>
      </c>
      <c r="M1215">
        <f>IFERROR(--INDEX('Call accounts and MMFs'!$D:$D,ROW()),0)</f>
        <v/>
      </c>
      <c r="N1215">
        <f>IFERROR(IF(--INDEX('Call accounts and MMFs'!$E:$E,ROW())&gt;=1,--INDEX('Call accounts and MMFs'!$E:$E,ROW())/100,--INDEX('Call accounts and MMFs'!$E:$E,ROW())),0)</f>
        <v/>
      </c>
      <c r="O1215">
        <f>IFERROR(--INDEX('Call accounts and MMFs'!$F:$F,ROW()),0)</f>
        <v/>
      </c>
      <c r="P1215">
        <f>IF(ISNUMBER(INDEX('Call accounts and MMFs'!$E:$E,ROW())),1,0)</f>
        <v/>
      </c>
      <c r="Q1215">
        <f>TRIM(SUBSTITUTE(INDEX('Pooled funds'!$B:$B,ROW())&amp;""," "," "))</f>
        <v/>
      </c>
      <c r="R1215">
        <f>IFERROR(--INDEX('Pooled funds'!$C:$C,ROW()),0)</f>
        <v/>
      </c>
      <c r="S1215">
        <f>IFERROR(--INDEX('Pooled funds'!$D:$D,ROW()),0)</f>
        <v/>
      </c>
      <c r="T1215">
        <f>IFERROR(IF(--INDEX('Pooled funds'!$E:$E,ROW())&gt;=1,--INDEX('Pooled funds'!$E:$E,ROW())/100,--INDEX('Pooled funds'!$E:$E,ROW())),0)</f>
        <v/>
      </c>
      <c r="U1215">
        <f>IF(ISNUMBER(INDEX('Pooled funds'!$E:$E,ROW())),1,0)</f>
        <v/>
      </c>
    </row>
    <row r="1216">
      <c r="A1216">
        <f>TRIM(SUBSTITUTE(INDEX('Term investments'!$A:$A,ROW())&amp;""," "," "))</f>
        <v/>
      </c>
      <c r="B1216">
        <f>TRIM(SUBSTITUTE(INDEX('Term investments'!$B:$B,ROW())&amp;""," "," "))</f>
        <v/>
      </c>
      <c r="C1216">
        <f>TRIM(SUBSTITUTE(INDEX('Term investments'!$C:$C,ROW())&amp;""," "," "))</f>
        <v/>
      </c>
      <c r="D1216">
        <f>IFERROR(--INDEX('Term investments'!$D:$D,ROW()),0)</f>
        <v/>
      </c>
      <c r="E1216">
        <f>IFERROR(--INDEX('Term investments'!$E:$E,ROW()),0)</f>
        <v/>
      </c>
      <c r="F1216">
        <f>IFERROR(--INDEX('Term investments'!$F:$F,ROW()),0)</f>
        <v/>
      </c>
      <c r="G1216">
        <f>IFERROR(IF(--INDEX('Term investments'!$G:$G,ROW())&gt;=1,--INDEX('Term investments'!$G:$G,ROW())/100,--INDEX('Term investments'!$G:$G,ROW())),0)</f>
        <v/>
      </c>
      <c r="H1216">
        <f>IFERROR(--INDEX('Term investments'!$H:$H,ROW()),0)</f>
        <v/>
      </c>
      <c r="I1216">
        <f>IF(ISNUMBER(INDEX('Term investments'!$G:$G,ROW())),1,0)</f>
        <v/>
      </c>
      <c r="J1216">
        <f>TRIM(SUBSTITUTE(INDEX('Call accounts and MMFs'!$A:$A,ROW())&amp;""," "," "))</f>
        <v/>
      </c>
      <c r="K1216">
        <f>TRIM(SUBSTITUTE(INDEX('Call accounts and MMFs'!$B:$B,ROW())&amp;""," "," "))</f>
        <v/>
      </c>
      <c r="L1216">
        <f>TRIM(SUBSTITUTE(INDEX('Call accounts and MMFs'!$C:$C,ROW())&amp;""," "," "))</f>
        <v/>
      </c>
      <c r="M1216">
        <f>IFERROR(--INDEX('Call accounts and MMFs'!$D:$D,ROW()),0)</f>
        <v/>
      </c>
      <c r="N1216">
        <f>IFERROR(IF(--INDEX('Call accounts and MMFs'!$E:$E,ROW())&gt;=1,--INDEX('Call accounts and MMFs'!$E:$E,ROW())/100,--INDEX('Call accounts and MMFs'!$E:$E,ROW())),0)</f>
        <v/>
      </c>
      <c r="O1216">
        <f>IFERROR(--INDEX('Call accounts and MMFs'!$F:$F,ROW()),0)</f>
        <v/>
      </c>
      <c r="P1216">
        <f>IF(ISNUMBER(INDEX('Call accounts and MMFs'!$E:$E,ROW())),1,0)</f>
        <v/>
      </c>
      <c r="Q1216">
        <f>TRIM(SUBSTITUTE(INDEX('Pooled funds'!$B:$B,ROW())&amp;""," "," "))</f>
        <v/>
      </c>
      <c r="R1216">
        <f>IFERROR(--INDEX('Pooled funds'!$C:$C,ROW()),0)</f>
        <v/>
      </c>
      <c r="S1216">
        <f>IFERROR(--INDEX('Pooled funds'!$D:$D,ROW()),0)</f>
        <v/>
      </c>
      <c r="T1216">
        <f>IFERROR(IF(--INDEX('Pooled funds'!$E:$E,ROW())&gt;=1,--INDEX('Pooled funds'!$E:$E,ROW())/100,--INDEX('Pooled funds'!$E:$E,ROW())),0)</f>
        <v/>
      </c>
      <c r="U1216">
        <f>IF(ISNUMBER(INDEX('Pooled funds'!$E:$E,ROW())),1,0)</f>
        <v/>
      </c>
    </row>
    <row r="1217">
      <c r="A1217">
        <f>TRIM(SUBSTITUTE(INDEX('Term investments'!$A:$A,ROW())&amp;""," "," "))</f>
        <v/>
      </c>
      <c r="B1217">
        <f>TRIM(SUBSTITUTE(INDEX('Term investments'!$B:$B,ROW())&amp;""," "," "))</f>
        <v/>
      </c>
      <c r="C1217">
        <f>TRIM(SUBSTITUTE(INDEX('Term investments'!$C:$C,ROW())&amp;""," "," "))</f>
        <v/>
      </c>
      <c r="D1217">
        <f>IFERROR(--INDEX('Term investments'!$D:$D,ROW()),0)</f>
        <v/>
      </c>
      <c r="E1217">
        <f>IFERROR(--INDEX('Term investments'!$E:$E,ROW()),0)</f>
        <v/>
      </c>
      <c r="F1217">
        <f>IFERROR(--INDEX('Term investments'!$F:$F,ROW()),0)</f>
        <v/>
      </c>
      <c r="G1217">
        <f>IFERROR(IF(--INDEX('Term investments'!$G:$G,ROW())&gt;=1,--INDEX('Term investments'!$G:$G,ROW())/100,--INDEX('Term investments'!$G:$G,ROW())),0)</f>
        <v/>
      </c>
      <c r="H1217">
        <f>IFERROR(--INDEX('Term investments'!$H:$H,ROW()),0)</f>
        <v/>
      </c>
      <c r="I1217">
        <f>IF(ISNUMBER(INDEX('Term investments'!$G:$G,ROW())),1,0)</f>
        <v/>
      </c>
      <c r="J1217">
        <f>TRIM(SUBSTITUTE(INDEX('Call accounts and MMFs'!$A:$A,ROW())&amp;""," "," "))</f>
        <v/>
      </c>
      <c r="K1217">
        <f>TRIM(SUBSTITUTE(INDEX('Call accounts and MMFs'!$B:$B,ROW())&amp;""," "," "))</f>
        <v/>
      </c>
      <c r="L1217">
        <f>TRIM(SUBSTITUTE(INDEX('Call accounts and MMFs'!$C:$C,ROW())&amp;""," "," "))</f>
        <v/>
      </c>
      <c r="M1217">
        <f>IFERROR(--INDEX('Call accounts and MMFs'!$D:$D,ROW()),0)</f>
        <v/>
      </c>
      <c r="N1217">
        <f>IFERROR(IF(--INDEX('Call accounts and MMFs'!$E:$E,ROW())&gt;=1,--INDEX('Call accounts and MMFs'!$E:$E,ROW())/100,--INDEX('Call accounts and MMFs'!$E:$E,ROW())),0)</f>
        <v/>
      </c>
      <c r="O1217">
        <f>IFERROR(--INDEX('Call accounts and MMFs'!$F:$F,ROW()),0)</f>
        <v/>
      </c>
      <c r="P1217">
        <f>IF(ISNUMBER(INDEX('Call accounts and MMFs'!$E:$E,ROW())),1,0)</f>
        <v/>
      </c>
      <c r="Q1217">
        <f>TRIM(SUBSTITUTE(INDEX('Pooled funds'!$B:$B,ROW())&amp;""," "," "))</f>
        <v/>
      </c>
      <c r="R1217">
        <f>IFERROR(--INDEX('Pooled funds'!$C:$C,ROW()),0)</f>
        <v/>
      </c>
      <c r="S1217">
        <f>IFERROR(--INDEX('Pooled funds'!$D:$D,ROW()),0)</f>
        <v/>
      </c>
      <c r="T1217">
        <f>IFERROR(IF(--INDEX('Pooled funds'!$E:$E,ROW())&gt;=1,--INDEX('Pooled funds'!$E:$E,ROW())/100,--INDEX('Pooled funds'!$E:$E,ROW())),0)</f>
        <v/>
      </c>
      <c r="U1217">
        <f>IF(ISNUMBER(INDEX('Pooled funds'!$E:$E,ROW())),1,0)</f>
        <v/>
      </c>
    </row>
    <row r="1218">
      <c r="A1218">
        <f>TRIM(SUBSTITUTE(INDEX('Term investments'!$A:$A,ROW())&amp;""," "," "))</f>
        <v/>
      </c>
      <c r="B1218">
        <f>TRIM(SUBSTITUTE(INDEX('Term investments'!$B:$B,ROW())&amp;""," "," "))</f>
        <v/>
      </c>
      <c r="C1218">
        <f>TRIM(SUBSTITUTE(INDEX('Term investments'!$C:$C,ROW())&amp;""," "," "))</f>
        <v/>
      </c>
      <c r="D1218">
        <f>IFERROR(--INDEX('Term investments'!$D:$D,ROW()),0)</f>
        <v/>
      </c>
      <c r="E1218">
        <f>IFERROR(--INDEX('Term investments'!$E:$E,ROW()),0)</f>
        <v/>
      </c>
      <c r="F1218">
        <f>IFERROR(--INDEX('Term investments'!$F:$F,ROW()),0)</f>
        <v/>
      </c>
      <c r="G1218">
        <f>IFERROR(IF(--INDEX('Term investments'!$G:$G,ROW())&gt;=1,--INDEX('Term investments'!$G:$G,ROW())/100,--INDEX('Term investments'!$G:$G,ROW())),0)</f>
        <v/>
      </c>
      <c r="H1218">
        <f>IFERROR(--INDEX('Term investments'!$H:$H,ROW()),0)</f>
        <v/>
      </c>
      <c r="I1218">
        <f>IF(ISNUMBER(INDEX('Term investments'!$G:$G,ROW())),1,0)</f>
        <v/>
      </c>
      <c r="J1218">
        <f>TRIM(SUBSTITUTE(INDEX('Call accounts and MMFs'!$A:$A,ROW())&amp;""," "," "))</f>
        <v/>
      </c>
      <c r="K1218">
        <f>TRIM(SUBSTITUTE(INDEX('Call accounts and MMFs'!$B:$B,ROW())&amp;""," "," "))</f>
        <v/>
      </c>
      <c r="L1218">
        <f>TRIM(SUBSTITUTE(INDEX('Call accounts and MMFs'!$C:$C,ROW())&amp;""," "," "))</f>
        <v/>
      </c>
      <c r="M1218">
        <f>IFERROR(--INDEX('Call accounts and MMFs'!$D:$D,ROW()),0)</f>
        <v/>
      </c>
      <c r="N1218">
        <f>IFERROR(IF(--INDEX('Call accounts and MMFs'!$E:$E,ROW())&gt;=1,--INDEX('Call accounts and MMFs'!$E:$E,ROW())/100,--INDEX('Call accounts and MMFs'!$E:$E,ROW())),0)</f>
        <v/>
      </c>
      <c r="O1218">
        <f>IFERROR(--INDEX('Call accounts and MMFs'!$F:$F,ROW()),0)</f>
        <v/>
      </c>
      <c r="P1218">
        <f>IF(ISNUMBER(INDEX('Call accounts and MMFs'!$E:$E,ROW())),1,0)</f>
        <v/>
      </c>
      <c r="Q1218">
        <f>TRIM(SUBSTITUTE(INDEX('Pooled funds'!$B:$B,ROW())&amp;""," "," "))</f>
        <v/>
      </c>
      <c r="R1218">
        <f>IFERROR(--INDEX('Pooled funds'!$C:$C,ROW()),0)</f>
        <v/>
      </c>
      <c r="S1218">
        <f>IFERROR(--INDEX('Pooled funds'!$D:$D,ROW()),0)</f>
        <v/>
      </c>
      <c r="T1218">
        <f>IFERROR(IF(--INDEX('Pooled funds'!$E:$E,ROW())&gt;=1,--INDEX('Pooled funds'!$E:$E,ROW())/100,--INDEX('Pooled funds'!$E:$E,ROW())),0)</f>
        <v/>
      </c>
      <c r="U1218">
        <f>IF(ISNUMBER(INDEX('Pooled funds'!$E:$E,ROW())),1,0)</f>
        <v/>
      </c>
    </row>
    <row r="1219">
      <c r="A1219">
        <f>TRIM(SUBSTITUTE(INDEX('Term investments'!$A:$A,ROW())&amp;""," "," "))</f>
        <v/>
      </c>
      <c r="B1219">
        <f>TRIM(SUBSTITUTE(INDEX('Term investments'!$B:$B,ROW())&amp;""," "," "))</f>
        <v/>
      </c>
      <c r="C1219">
        <f>TRIM(SUBSTITUTE(INDEX('Term investments'!$C:$C,ROW())&amp;""," "," "))</f>
        <v/>
      </c>
      <c r="D1219">
        <f>IFERROR(--INDEX('Term investments'!$D:$D,ROW()),0)</f>
        <v/>
      </c>
      <c r="E1219">
        <f>IFERROR(--INDEX('Term investments'!$E:$E,ROW()),0)</f>
        <v/>
      </c>
      <c r="F1219">
        <f>IFERROR(--INDEX('Term investments'!$F:$F,ROW()),0)</f>
        <v/>
      </c>
      <c r="G1219">
        <f>IFERROR(IF(--INDEX('Term investments'!$G:$G,ROW())&gt;=1,--INDEX('Term investments'!$G:$G,ROW())/100,--INDEX('Term investments'!$G:$G,ROW())),0)</f>
        <v/>
      </c>
      <c r="H1219">
        <f>IFERROR(--INDEX('Term investments'!$H:$H,ROW()),0)</f>
        <v/>
      </c>
      <c r="I1219">
        <f>IF(ISNUMBER(INDEX('Term investments'!$G:$G,ROW())),1,0)</f>
        <v/>
      </c>
      <c r="J1219">
        <f>TRIM(SUBSTITUTE(INDEX('Call accounts and MMFs'!$A:$A,ROW())&amp;""," "," "))</f>
        <v/>
      </c>
      <c r="K1219">
        <f>TRIM(SUBSTITUTE(INDEX('Call accounts and MMFs'!$B:$B,ROW())&amp;""," "," "))</f>
        <v/>
      </c>
      <c r="L1219">
        <f>TRIM(SUBSTITUTE(INDEX('Call accounts and MMFs'!$C:$C,ROW())&amp;""," "," "))</f>
        <v/>
      </c>
      <c r="M1219">
        <f>IFERROR(--INDEX('Call accounts and MMFs'!$D:$D,ROW()),0)</f>
        <v/>
      </c>
      <c r="N1219">
        <f>IFERROR(IF(--INDEX('Call accounts and MMFs'!$E:$E,ROW())&gt;=1,--INDEX('Call accounts and MMFs'!$E:$E,ROW())/100,--INDEX('Call accounts and MMFs'!$E:$E,ROW())),0)</f>
        <v/>
      </c>
      <c r="O1219">
        <f>IFERROR(--INDEX('Call accounts and MMFs'!$F:$F,ROW()),0)</f>
        <v/>
      </c>
      <c r="P1219">
        <f>IF(ISNUMBER(INDEX('Call accounts and MMFs'!$E:$E,ROW())),1,0)</f>
        <v/>
      </c>
      <c r="Q1219">
        <f>TRIM(SUBSTITUTE(INDEX('Pooled funds'!$B:$B,ROW())&amp;""," "," "))</f>
        <v/>
      </c>
      <c r="R1219">
        <f>IFERROR(--INDEX('Pooled funds'!$C:$C,ROW()),0)</f>
        <v/>
      </c>
      <c r="S1219">
        <f>IFERROR(--INDEX('Pooled funds'!$D:$D,ROW()),0)</f>
        <v/>
      </c>
      <c r="T1219">
        <f>IFERROR(IF(--INDEX('Pooled funds'!$E:$E,ROW())&gt;=1,--INDEX('Pooled funds'!$E:$E,ROW())/100,--INDEX('Pooled funds'!$E:$E,ROW())),0)</f>
        <v/>
      </c>
      <c r="U1219">
        <f>IF(ISNUMBER(INDEX('Pooled funds'!$E:$E,ROW())),1,0)</f>
        <v/>
      </c>
    </row>
    <row r="1220">
      <c r="A1220">
        <f>TRIM(SUBSTITUTE(INDEX('Term investments'!$A:$A,ROW())&amp;""," "," "))</f>
        <v/>
      </c>
      <c r="B1220">
        <f>TRIM(SUBSTITUTE(INDEX('Term investments'!$B:$B,ROW())&amp;""," "," "))</f>
        <v/>
      </c>
      <c r="C1220">
        <f>TRIM(SUBSTITUTE(INDEX('Term investments'!$C:$C,ROW())&amp;""," "," "))</f>
        <v/>
      </c>
      <c r="D1220">
        <f>IFERROR(--INDEX('Term investments'!$D:$D,ROW()),0)</f>
        <v/>
      </c>
      <c r="E1220">
        <f>IFERROR(--INDEX('Term investments'!$E:$E,ROW()),0)</f>
        <v/>
      </c>
      <c r="F1220">
        <f>IFERROR(--INDEX('Term investments'!$F:$F,ROW()),0)</f>
        <v/>
      </c>
      <c r="G1220">
        <f>IFERROR(IF(--INDEX('Term investments'!$G:$G,ROW())&gt;=1,--INDEX('Term investments'!$G:$G,ROW())/100,--INDEX('Term investments'!$G:$G,ROW())),0)</f>
        <v/>
      </c>
      <c r="H1220">
        <f>IFERROR(--INDEX('Term investments'!$H:$H,ROW()),0)</f>
        <v/>
      </c>
      <c r="I1220">
        <f>IF(ISNUMBER(INDEX('Term investments'!$G:$G,ROW())),1,0)</f>
        <v/>
      </c>
      <c r="J1220">
        <f>TRIM(SUBSTITUTE(INDEX('Call accounts and MMFs'!$A:$A,ROW())&amp;""," "," "))</f>
        <v/>
      </c>
      <c r="K1220">
        <f>TRIM(SUBSTITUTE(INDEX('Call accounts and MMFs'!$B:$B,ROW())&amp;""," "," "))</f>
        <v/>
      </c>
      <c r="L1220">
        <f>TRIM(SUBSTITUTE(INDEX('Call accounts and MMFs'!$C:$C,ROW())&amp;""," "," "))</f>
        <v/>
      </c>
      <c r="M1220">
        <f>IFERROR(--INDEX('Call accounts and MMFs'!$D:$D,ROW()),0)</f>
        <v/>
      </c>
      <c r="N1220">
        <f>IFERROR(IF(--INDEX('Call accounts and MMFs'!$E:$E,ROW())&gt;=1,--INDEX('Call accounts and MMFs'!$E:$E,ROW())/100,--INDEX('Call accounts and MMFs'!$E:$E,ROW())),0)</f>
        <v/>
      </c>
      <c r="O1220">
        <f>IFERROR(--INDEX('Call accounts and MMFs'!$F:$F,ROW()),0)</f>
        <v/>
      </c>
      <c r="P1220">
        <f>IF(ISNUMBER(INDEX('Call accounts and MMFs'!$E:$E,ROW())),1,0)</f>
        <v/>
      </c>
      <c r="Q1220">
        <f>TRIM(SUBSTITUTE(INDEX('Pooled funds'!$B:$B,ROW())&amp;""," "," "))</f>
        <v/>
      </c>
      <c r="R1220">
        <f>IFERROR(--INDEX('Pooled funds'!$C:$C,ROW()),0)</f>
        <v/>
      </c>
      <c r="S1220">
        <f>IFERROR(--INDEX('Pooled funds'!$D:$D,ROW()),0)</f>
        <v/>
      </c>
      <c r="T1220">
        <f>IFERROR(IF(--INDEX('Pooled funds'!$E:$E,ROW())&gt;=1,--INDEX('Pooled funds'!$E:$E,ROW())/100,--INDEX('Pooled funds'!$E:$E,ROW())),0)</f>
        <v/>
      </c>
      <c r="U1220">
        <f>IF(ISNUMBER(INDEX('Pooled funds'!$E:$E,ROW())),1,0)</f>
        <v/>
      </c>
    </row>
    <row r="1221">
      <c r="A1221">
        <f>TRIM(SUBSTITUTE(INDEX('Term investments'!$A:$A,ROW())&amp;""," "," "))</f>
        <v/>
      </c>
      <c r="B1221">
        <f>TRIM(SUBSTITUTE(INDEX('Term investments'!$B:$B,ROW())&amp;""," "," "))</f>
        <v/>
      </c>
      <c r="C1221">
        <f>TRIM(SUBSTITUTE(INDEX('Term investments'!$C:$C,ROW())&amp;""," "," "))</f>
        <v/>
      </c>
      <c r="D1221">
        <f>IFERROR(--INDEX('Term investments'!$D:$D,ROW()),0)</f>
        <v/>
      </c>
      <c r="E1221">
        <f>IFERROR(--INDEX('Term investments'!$E:$E,ROW()),0)</f>
        <v/>
      </c>
      <c r="F1221">
        <f>IFERROR(--INDEX('Term investments'!$F:$F,ROW()),0)</f>
        <v/>
      </c>
      <c r="G1221">
        <f>IFERROR(IF(--INDEX('Term investments'!$G:$G,ROW())&gt;=1,--INDEX('Term investments'!$G:$G,ROW())/100,--INDEX('Term investments'!$G:$G,ROW())),0)</f>
        <v/>
      </c>
      <c r="H1221">
        <f>IFERROR(--INDEX('Term investments'!$H:$H,ROW()),0)</f>
        <v/>
      </c>
      <c r="I1221">
        <f>IF(ISNUMBER(INDEX('Term investments'!$G:$G,ROW())),1,0)</f>
        <v/>
      </c>
      <c r="J1221">
        <f>TRIM(SUBSTITUTE(INDEX('Call accounts and MMFs'!$A:$A,ROW())&amp;""," "," "))</f>
        <v/>
      </c>
      <c r="K1221">
        <f>TRIM(SUBSTITUTE(INDEX('Call accounts and MMFs'!$B:$B,ROW())&amp;""," "," "))</f>
        <v/>
      </c>
      <c r="L1221">
        <f>TRIM(SUBSTITUTE(INDEX('Call accounts and MMFs'!$C:$C,ROW())&amp;""," "," "))</f>
        <v/>
      </c>
      <c r="M1221">
        <f>IFERROR(--INDEX('Call accounts and MMFs'!$D:$D,ROW()),0)</f>
        <v/>
      </c>
      <c r="N1221">
        <f>IFERROR(IF(--INDEX('Call accounts and MMFs'!$E:$E,ROW())&gt;=1,--INDEX('Call accounts and MMFs'!$E:$E,ROW())/100,--INDEX('Call accounts and MMFs'!$E:$E,ROW())),0)</f>
        <v/>
      </c>
      <c r="O1221">
        <f>IFERROR(--INDEX('Call accounts and MMFs'!$F:$F,ROW()),0)</f>
        <v/>
      </c>
      <c r="P1221">
        <f>IF(ISNUMBER(INDEX('Call accounts and MMFs'!$E:$E,ROW())),1,0)</f>
        <v/>
      </c>
      <c r="Q1221">
        <f>TRIM(SUBSTITUTE(INDEX('Pooled funds'!$B:$B,ROW())&amp;""," "," "))</f>
        <v/>
      </c>
      <c r="R1221">
        <f>IFERROR(--INDEX('Pooled funds'!$C:$C,ROW()),0)</f>
        <v/>
      </c>
      <c r="S1221">
        <f>IFERROR(--INDEX('Pooled funds'!$D:$D,ROW()),0)</f>
        <v/>
      </c>
      <c r="T1221">
        <f>IFERROR(IF(--INDEX('Pooled funds'!$E:$E,ROW())&gt;=1,--INDEX('Pooled funds'!$E:$E,ROW())/100,--INDEX('Pooled funds'!$E:$E,ROW())),0)</f>
        <v/>
      </c>
      <c r="U1221">
        <f>IF(ISNUMBER(INDEX('Pooled funds'!$E:$E,ROW())),1,0)</f>
        <v/>
      </c>
    </row>
    <row r="1222">
      <c r="A1222">
        <f>TRIM(SUBSTITUTE(INDEX('Term investments'!$A:$A,ROW())&amp;""," "," "))</f>
        <v/>
      </c>
      <c r="B1222">
        <f>TRIM(SUBSTITUTE(INDEX('Term investments'!$B:$B,ROW())&amp;""," "," "))</f>
        <v/>
      </c>
      <c r="C1222">
        <f>TRIM(SUBSTITUTE(INDEX('Term investments'!$C:$C,ROW())&amp;""," "," "))</f>
        <v/>
      </c>
      <c r="D1222">
        <f>IFERROR(--INDEX('Term investments'!$D:$D,ROW()),0)</f>
        <v/>
      </c>
      <c r="E1222">
        <f>IFERROR(--INDEX('Term investments'!$E:$E,ROW()),0)</f>
        <v/>
      </c>
      <c r="F1222">
        <f>IFERROR(--INDEX('Term investments'!$F:$F,ROW()),0)</f>
        <v/>
      </c>
      <c r="G1222">
        <f>IFERROR(IF(--INDEX('Term investments'!$G:$G,ROW())&gt;=1,--INDEX('Term investments'!$G:$G,ROW())/100,--INDEX('Term investments'!$G:$G,ROW())),0)</f>
        <v/>
      </c>
      <c r="H1222">
        <f>IFERROR(--INDEX('Term investments'!$H:$H,ROW()),0)</f>
        <v/>
      </c>
      <c r="I1222">
        <f>IF(ISNUMBER(INDEX('Term investments'!$G:$G,ROW())),1,0)</f>
        <v/>
      </c>
      <c r="J1222">
        <f>TRIM(SUBSTITUTE(INDEX('Call accounts and MMFs'!$A:$A,ROW())&amp;""," "," "))</f>
        <v/>
      </c>
      <c r="K1222">
        <f>TRIM(SUBSTITUTE(INDEX('Call accounts and MMFs'!$B:$B,ROW())&amp;""," "," "))</f>
        <v/>
      </c>
      <c r="L1222">
        <f>TRIM(SUBSTITUTE(INDEX('Call accounts and MMFs'!$C:$C,ROW())&amp;""," "," "))</f>
        <v/>
      </c>
      <c r="M1222">
        <f>IFERROR(--INDEX('Call accounts and MMFs'!$D:$D,ROW()),0)</f>
        <v/>
      </c>
      <c r="N1222">
        <f>IFERROR(IF(--INDEX('Call accounts and MMFs'!$E:$E,ROW())&gt;=1,--INDEX('Call accounts and MMFs'!$E:$E,ROW())/100,--INDEX('Call accounts and MMFs'!$E:$E,ROW())),0)</f>
        <v/>
      </c>
      <c r="O1222">
        <f>IFERROR(--INDEX('Call accounts and MMFs'!$F:$F,ROW()),0)</f>
        <v/>
      </c>
      <c r="P1222">
        <f>IF(ISNUMBER(INDEX('Call accounts and MMFs'!$E:$E,ROW())),1,0)</f>
        <v/>
      </c>
      <c r="Q1222">
        <f>TRIM(SUBSTITUTE(INDEX('Pooled funds'!$B:$B,ROW())&amp;""," "," "))</f>
        <v/>
      </c>
      <c r="R1222">
        <f>IFERROR(--INDEX('Pooled funds'!$C:$C,ROW()),0)</f>
        <v/>
      </c>
      <c r="S1222">
        <f>IFERROR(--INDEX('Pooled funds'!$D:$D,ROW()),0)</f>
        <v/>
      </c>
      <c r="T1222">
        <f>IFERROR(IF(--INDEX('Pooled funds'!$E:$E,ROW())&gt;=1,--INDEX('Pooled funds'!$E:$E,ROW())/100,--INDEX('Pooled funds'!$E:$E,ROW())),0)</f>
        <v/>
      </c>
      <c r="U1222">
        <f>IF(ISNUMBER(INDEX('Pooled funds'!$E:$E,ROW())),1,0)</f>
        <v/>
      </c>
    </row>
    <row r="1223">
      <c r="A1223">
        <f>TRIM(SUBSTITUTE(INDEX('Term investments'!$A:$A,ROW())&amp;""," "," "))</f>
        <v/>
      </c>
      <c r="B1223">
        <f>TRIM(SUBSTITUTE(INDEX('Term investments'!$B:$B,ROW())&amp;""," "," "))</f>
        <v/>
      </c>
      <c r="C1223">
        <f>TRIM(SUBSTITUTE(INDEX('Term investments'!$C:$C,ROW())&amp;""," "," "))</f>
        <v/>
      </c>
      <c r="D1223">
        <f>IFERROR(--INDEX('Term investments'!$D:$D,ROW()),0)</f>
        <v/>
      </c>
      <c r="E1223">
        <f>IFERROR(--INDEX('Term investments'!$E:$E,ROW()),0)</f>
        <v/>
      </c>
      <c r="F1223">
        <f>IFERROR(--INDEX('Term investments'!$F:$F,ROW()),0)</f>
        <v/>
      </c>
      <c r="G1223">
        <f>IFERROR(IF(--INDEX('Term investments'!$G:$G,ROW())&gt;=1,--INDEX('Term investments'!$G:$G,ROW())/100,--INDEX('Term investments'!$G:$G,ROW())),0)</f>
        <v/>
      </c>
      <c r="H1223">
        <f>IFERROR(--INDEX('Term investments'!$H:$H,ROW()),0)</f>
        <v/>
      </c>
      <c r="I1223">
        <f>IF(ISNUMBER(INDEX('Term investments'!$G:$G,ROW())),1,0)</f>
        <v/>
      </c>
      <c r="J1223">
        <f>TRIM(SUBSTITUTE(INDEX('Call accounts and MMFs'!$A:$A,ROW())&amp;""," "," "))</f>
        <v/>
      </c>
      <c r="K1223">
        <f>TRIM(SUBSTITUTE(INDEX('Call accounts and MMFs'!$B:$B,ROW())&amp;""," "," "))</f>
        <v/>
      </c>
      <c r="L1223">
        <f>TRIM(SUBSTITUTE(INDEX('Call accounts and MMFs'!$C:$C,ROW())&amp;""," "," "))</f>
        <v/>
      </c>
      <c r="M1223">
        <f>IFERROR(--INDEX('Call accounts and MMFs'!$D:$D,ROW()),0)</f>
        <v/>
      </c>
      <c r="N1223">
        <f>IFERROR(IF(--INDEX('Call accounts and MMFs'!$E:$E,ROW())&gt;=1,--INDEX('Call accounts and MMFs'!$E:$E,ROW())/100,--INDEX('Call accounts and MMFs'!$E:$E,ROW())),0)</f>
        <v/>
      </c>
      <c r="O1223">
        <f>IFERROR(--INDEX('Call accounts and MMFs'!$F:$F,ROW()),0)</f>
        <v/>
      </c>
      <c r="P1223">
        <f>IF(ISNUMBER(INDEX('Call accounts and MMFs'!$E:$E,ROW())),1,0)</f>
        <v/>
      </c>
      <c r="Q1223">
        <f>TRIM(SUBSTITUTE(INDEX('Pooled funds'!$B:$B,ROW())&amp;""," "," "))</f>
        <v/>
      </c>
      <c r="R1223">
        <f>IFERROR(--INDEX('Pooled funds'!$C:$C,ROW()),0)</f>
        <v/>
      </c>
      <c r="S1223">
        <f>IFERROR(--INDEX('Pooled funds'!$D:$D,ROW()),0)</f>
        <v/>
      </c>
      <c r="T1223">
        <f>IFERROR(IF(--INDEX('Pooled funds'!$E:$E,ROW())&gt;=1,--INDEX('Pooled funds'!$E:$E,ROW())/100,--INDEX('Pooled funds'!$E:$E,ROW())),0)</f>
        <v/>
      </c>
      <c r="U1223">
        <f>IF(ISNUMBER(INDEX('Pooled funds'!$E:$E,ROW())),1,0)</f>
        <v/>
      </c>
    </row>
    <row r="1224">
      <c r="A1224">
        <f>TRIM(SUBSTITUTE(INDEX('Term investments'!$A:$A,ROW())&amp;""," "," "))</f>
        <v/>
      </c>
      <c r="B1224">
        <f>TRIM(SUBSTITUTE(INDEX('Term investments'!$B:$B,ROW())&amp;""," "," "))</f>
        <v/>
      </c>
      <c r="C1224">
        <f>TRIM(SUBSTITUTE(INDEX('Term investments'!$C:$C,ROW())&amp;""," "," "))</f>
        <v/>
      </c>
      <c r="D1224">
        <f>IFERROR(--INDEX('Term investments'!$D:$D,ROW()),0)</f>
        <v/>
      </c>
      <c r="E1224">
        <f>IFERROR(--INDEX('Term investments'!$E:$E,ROW()),0)</f>
        <v/>
      </c>
      <c r="F1224">
        <f>IFERROR(--INDEX('Term investments'!$F:$F,ROW()),0)</f>
        <v/>
      </c>
      <c r="G1224">
        <f>IFERROR(IF(--INDEX('Term investments'!$G:$G,ROW())&gt;=1,--INDEX('Term investments'!$G:$G,ROW())/100,--INDEX('Term investments'!$G:$G,ROW())),0)</f>
        <v/>
      </c>
      <c r="H1224">
        <f>IFERROR(--INDEX('Term investments'!$H:$H,ROW()),0)</f>
        <v/>
      </c>
      <c r="I1224">
        <f>IF(ISNUMBER(INDEX('Term investments'!$G:$G,ROW())),1,0)</f>
        <v/>
      </c>
      <c r="J1224">
        <f>TRIM(SUBSTITUTE(INDEX('Call accounts and MMFs'!$A:$A,ROW())&amp;""," "," "))</f>
        <v/>
      </c>
      <c r="K1224">
        <f>TRIM(SUBSTITUTE(INDEX('Call accounts and MMFs'!$B:$B,ROW())&amp;""," "," "))</f>
        <v/>
      </c>
      <c r="L1224">
        <f>TRIM(SUBSTITUTE(INDEX('Call accounts and MMFs'!$C:$C,ROW())&amp;""," "," "))</f>
        <v/>
      </c>
      <c r="M1224">
        <f>IFERROR(--INDEX('Call accounts and MMFs'!$D:$D,ROW()),0)</f>
        <v/>
      </c>
      <c r="N1224">
        <f>IFERROR(IF(--INDEX('Call accounts and MMFs'!$E:$E,ROW())&gt;=1,--INDEX('Call accounts and MMFs'!$E:$E,ROW())/100,--INDEX('Call accounts and MMFs'!$E:$E,ROW())),0)</f>
        <v/>
      </c>
      <c r="O1224">
        <f>IFERROR(--INDEX('Call accounts and MMFs'!$F:$F,ROW()),0)</f>
        <v/>
      </c>
      <c r="P1224">
        <f>IF(ISNUMBER(INDEX('Call accounts and MMFs'!$E:$E,ROW())),1,0)</f>
        <v/>
      </c>
      <c r="Q1224">
        <f>TRIM(SUBSTITUTE(INDEX('Pooled funds'!$B:$B,ROW())&amp;""," "," "))</f>
        <v/>
      </c>
      <c r="R1224">
        <f>IFERROR(--INDEX('Pooled funds'!$C:$C,ROW()),0)</f>
        <v/>
      </c>
      <c r="S1224">
        <f>IFERROR(--INDEX('Pooled funds'!$D:$D,ROW()),0)</f>
        <v/>
      </c>
      <c r="T1224">
        <f>IFERROR(IF(--INDEX('Pooled funds'!$E:$E,ROW())&gt;=1,--INDEX('Pooled funds'!$E:$E,ROW())/100,--INDEX('Pooled funds'!$E:$E,ROW())),0)</f>
        <v/>
      </c>
      <c r="U1224">
        <f>IF(ISNUMBER(INDEX('Pooled funds'!$E:$E,ROW())),1,0)</f>
        <v/>
      </c>
    </row>
    <row r="1225">
      <c r="A1225">
        <f>TRIM(SUBSTITUTE(INDEX('Term investments'!$A:$A,ROW())&amp;""," "," "))</f>
        <v/>
      </c>
      <c r="B1225">
        <f>TRIM(SUBSTITUTE(INDEX('Term investments'!$B:$B,ROW())&amp;""," "," "))</f>
        <v/>
      </c>
      <c r="C1225">
        <f>TRIM(SUBSTITUTE(INDEX('Term investments'!$C:$C,ROW())&amp;""," "," "))</f>
        <v/>
      </c>
      <c r="D1225">
        <f>IFERROR(--INDEX('Term investments'!$D:$D,ROW()),0)</f>
        <v/>
      </c>
      <c r="E1225">
        <f>IFERROR(--INDEX('Term investments'!$E:$E,ROW()),0)</f>
        <v/>
      </c>
      <c r="F1225">
        <f>IFERROR(--INDEX('Term investments'!$F:$F,ROW()),0)</f>
        <v/>
      </c>
      <c r="G1225">
        <f>IFERROR(IF(--INDEX('Term investments'!$G:$G,ROW())&gt;=1,--INDEX('Term investments'!$G:$G,ROW())/100,--INDEX('Term investments'!$G:$G,ROW())),0)</f>
        <v/>
      </c>
      <c r="H1225">
        <f>IFERROR(--INDEX('Term investments'!$H:$H,ROW()),0)</f>
        <v/>
      </c>
      <c r="I1225">
        <f>IF(ISNUMBER(INDEX('Term investments'!$G:$G,ROW())),1,0)</f>
        <v/>
      </c>
      <c r="J1225">
        <f>TRIM(SUBSTITUTE(INDEX('Call accounts and MMFs'!$A:$A,ROW())&amp;""," "," "))</f>
        <v/>
      </c>
      <c r="K1225">
        <f>TRIM(SUBSTITUTE(INDEX('Call accounts and MMFs'!$B:$B,ROW())&amp;""," "," "))</f>
        <v/>
      </c>
      <c r="L1225">
        <f>TRIM(SUBSTITUTE(INDEX('Call accounts and MMFs'!$C:$C,ROW())&amp;""," "," "))</f>
        <v/>
      </c>
      <c r="M1225">
        <f>IFERROR(--INDEX('Call accounts and MMFs'!$D:$D,ROW()),0)</f>
        <v/>
      </c>
      <c r="N1225">
        <f>IFERROR(IF(--INDEX('Call accounts and MMFs'!$E:$E,ROW())&gt;=1,--INDEX('Call accounts and MMFs'!$E:$E,ROW())/100,--INDEX('Call accounts and MMFs'!$E:$E,ROW())),0)</f>
        <v/>
      </c>
      <c r="O1225">
        <f>IFERROR(--INDEX('Call accounts and MMFs'!$F:$F,ROW()),0)</f>
        <v/>
      </c>
      <c r="P1225">
        <f>IF(ISNUMBER(INDEX('Call accounts and MMFs'!$E:$E,ROW())),1,0)</f>
        <v/>
      </c>
      <c r="Q1225">
        <f>TRIM(SUBSTITUTE(INDEX('Pooled funds'!$B:$B,ROW())&amp;""," "," "))</f>
        <v/>
      </c>
      <c r="R1225">
        <f>IFERROR(--INDEX('Pooled funds'!$C:$C,ROW()),0)</f>
        <v/>
      </c>
      <c r="S1225">
        <f>IFERROR(--INDEX('Pooled funds'!$D:$D,ROW()),0)</f>
        <v/>
      </c>
      <c r="T1225">
        <f>IFERROR(IF(--INDEX('Pooled funds'!$E:$E,ROW())&gt;=1,--INDEX('Pooled funds'!$E:$E,ROW())/100,--INDEX('Pooled funds'!$E:$E,ROW())),0)</f>
        <v/>
      </c>
      <c r="U1225">
        <f>IF(ISNUMBER(INDEX('Pooled funds'!$E:$E,ROW())),1,0)</f>
        <v/>
      </c>
    </row>
    <row r="1226">
      <c r="A1226">
        <f>TRIM(SUBSTITUTE(INDEX('Term investments'!$A:$A,ROW())&amp;""," "," "))</f>
        <v/>
      </c>
      <c r="B1226">
        <f>TRIM(SUBSTITUTE(INDEX('Term investments'!$B:$B,ROW())&amp;""," "," "))</f>
        <v/>
      </c>
      <c r="C1226">
        <f>TRIM(SUBSTITUTE(INDEX('Term investments'!$C:$C,ROW())&amp;""," "," "))</f>
        <v/>
      </c>
      <c r="D1226">
        <f>IFERROR(--INDEX('Term investments'!$D:$D,ROW()),0)</f>
        <v/>
      </c>
      <c r="E1226">
        <f>IFERROR(--INDEX('Term investments'!$E:$E,ROW()),0)</f>
        <v/>
      </c>
      <c r="F1226">
        <f>IFERROR(--INDEX('Term investments'!$F:$F,ROW()),0)</f>
        <v/>
      </c>
      <c r="G1226">
        <f>IFERROR(IF(--INDEX('Term investments'!$G:$G,ROW())&gt;=1,--INDEX('Term investments'!$G:$G,ROW())/100,--INDEX('Term investments'!$G:$G,ROW())),0)</f>
        <v/>
      </c>
      <c r="H1226">
        <f>IFERROR(--INDEX('Term investments'!$H:$H,ROW()),0)</f>
        <v/>
      </c>
      <c r="I1226">
        <f>IF(ISNUMBER(INDEX('Term investments'!$G:$G,ROW())),1,0)</f>
        <v/>
      </c>
      <c r="J1226">
        <f>TRIM(SUBSTITUTE(INDEX('Call accounts and MMFs'!$A:$A,ROW())&amp;""," "," "))</f>
        <v/>
      </c>
      <c r="K1226">
        <f>TRIM(SUBSTITUTE(INDEX('Call accounts and MMFs'!$B:$B,ROW())&amp;""," "," "))</f>
        <v/>
      </c>
      <c r="L1226">
        <f>TRIM(SUBSTITUTE(INDEX('Call accounts and MMFs'!$C:$C,ROW())&amp;""," "," "))</f>
        <v/>
      </c>
      <c r="M1226">
        <f>IFERROR(--INDEX('Call accounts and MMFs'!$D:$D,ROW()),0)</f>
        <v/>
      </c>
      <c r="N1226">
        <f>IFERROR(IF(--INDEX('Call accounts and MMFs'!$E:$E,ROW())&gt;=1,--INDEX('Call accounts and MMFs'!$E:$E,ROW())/100,--INDEX('Call accounts and MMFs'!$E:$E,ROW())),0)</f>
        <v/>
      </c>
      <c r="O1226">
        <f>IFERROR(--INDEX('Call accounts and MMFs'!$F:$F,ROW()),0)</f>
        <v/>
      </c>
      <c r="P1226">
        <f>IF(ISNUMBER(INDEX('Call accounts and MMFs'!$E:$E,ROW())),1,0)</f>
        <v/>
      </c>
      <c r="Q1226">
        <f>TRIM(SUBSTITUTE(INDEX('Pooled funds'!$B:$B,ROW())&amp;""," "," "))</f>
        <v/>
      </c>
      <c r="R1226">
        <f>IFERROR(--INDEX('Pooled funds'!$C:$C,ROW()),0)</f>
        <v/>
      </c>
      <c r="S1226">
        <f>IFERROR(--INDEX('Pooled funds'!$D:$D,ROW()),0)</f>
        <v/>
      </c>
      <c r="T1226">
        <f>IFERROR(IF(--INDEX('Pooled funds'!$E:$E,ROW())&gt;=1,--INDEX('Pooled funds'!$E:$E,ROW())/100,--INDEX('Pooled funds'!$E:$E,ROW())),0)</f>
        <v/>
      </c>
      <c r="U1226">
        <f>IF(ISNUMBER(INDEX('Pooled funds'!$E:$E,ROW())),1,0)</f>
        <v/>
      </c>
    </row>
    <row r="1227">
      <c r="A1227">
        <f>TRIM(SUBSTITUTE(INDEX('Term investments'!$A:$A,ROW())&amp;""," "," "))</f>
        <v/>
      </c>
      <c r="B1227">
        <f>TRIM(SUBSTITUTE(INDEX('Term investments'!$B:$B,ROW())&amp;""," "," "))</f>
        <v/>
      </c>
      <c r="C1227">
        <f>TRIM(SUBSTITUTE(INDEX('Term investments'!$C:$C,ROW())&amp;""," "," "))</f>
        <v/>
      </c>
      <c r="D1227">
        <f>IFERROR(--INDEX('Term investments'!$D:$D,ROW()),0)</f>
        <v/>
      </c>
      <c r="E1227">
        <f>IFERROR(--INDEX('Term investments'!$E:$E,ROW()),0)</f>
        <v/>
      </c>
      <c r="F1227">
        <f>IFERROR(--INDEX('Term investments'!$F:$F,ROW()),0)</f>
        <v/>
      </c>
      <c r="G1227">
        <f>IFERROR(IF(--INDEX('Term investments'!$G:$G,ROW())&gt;=1,--INDEX('Term investments'!$G:$G,ROW())/100,--INDEX('Term investments'!$G:$G,ROW())),0)</f>
        <v/>
      </c>
      <c r="H1227">
        <f>IFERROR(--INDEX('Term investments'!$H:$H,ROW()),0)</f>
        <v/>
      </c>
      <c r="I1227">
        <f>IF(ISNUMBER(INDEX('Term investments'!$G:$G,ROW())),1,0)</f>
        <v/>
      </c>
      <c r="J1227">
        <f>TRIM(SUBSTITUTE(INDEX('Call accounts and MMFs'!$A:$A,ROW())&amp;""," "," "))</f>
        <v/>
      </c>
      <c r="K1227">
        <f>TRIM(SUBSTITUTE(INDEX('Call accounts and MMFs'!$B:$B,ROW())&amp;""," "," "))</f>
        <v/>
      </c>
      <c r="L1227">
        <f>TRIM(SUBSTITUTE(INDEX('Call accounts and MMFs'!$C:$C,ROW())&amp;""," "," "))</f>
        <v/>
      </c>
      <c r="M1227">
        <f>IFERROR(--INDEX('Call accounts and MMFs'!$D:$D,ROW()),0)</f>
        <v/>
      </c>
      <c r="N1227">
        <f>IFERROR(IF(--INDEX('Call accounts and MMFs'!$E:$E,ROW())&gt;=1,--INDEX('Call accounts and MMFs'!$E:$E,ROW())/100,--INDEX('Call accounts and MMFs'!$E:$E,ROW())),0)</f>
        <v/>
      </c>
      <c r="O1227">
        <f>IFERROR(--INDEX('Call accounts and MMFs'!$F:$F,ROW()),0)</f>
        <v/>
      </c>
      <c r="P1227">
        <f>IF(ISNUMBER(INDEX('Call accounts and MMFs'!$E:$E,ROW())),1,0)</f>
        <v/>
      </c>
      <c r="Q1227">
        <f>TRIM(SUBSTITUTE(INDEX('Pooled funds'!$B:$B,ROW())&amp;""," "," "))</f>
        <v/>
      </c>
      <c r="R1227">
        <f>IFERROR(--INDEX('Pooled funds'!$C:$C,ROW()),0)</f>
        <v/>
      </c>
      <c r="S1227">
        <f>IFERROR(--INDEX('Pooled funds'!$D:$D,ROW()),0)</f>
        <v/>
      </c>
      <c r="T1227">
        <f>IFERROR(IF(--INDEX('Pooled funds'!$E:$E,ROW())&gt;=1,--INDEX('Pooled funds'!$E:$E,ROW())/100,--INDEX('Pooled funds'!$E:$E,ROW())),0)</f>
        <v/>
      </c>
      <c r="U1227">
        <f>IF(ISNUMBER(INDEX('Pooled funds'!$E:$E,ROW())),1,0)</f>
        <v/>
      </c>
    </row>
    <row r="1228">
      <c r="A1228">
        <f>TRIM(SUBSTITUTE(INDEX('Term investments'!$A:$A,ROW())&amp;""," "," "))</f>
        <v/>
      </c>
      <c r="B1228">
        <f>TRIM(SUBSTITUTE(INDEX('Term investments'!$B:$B,ROW())&amp;""," "," "))</f>
        <v/>
      </c>
      <c r="C1228">
        <f>TRIM(SUBSTITUTE(INDEX('Term investments'!$C:$C,ROW())&amp;""," "," "))</f>
        <v/>
      </c>
      <c r="D1228">
        <f>IFERROR(--INDEX('Term investments'!$D:$D,ROW()),0)</f>
        <v/>
      </c>
      <c r="E1228">
        <f>IFERROR(--INDEX('Term investments'!$E:$E,ROW()),0)</f>
        <v/>
      </c>
      <c r="F1228">
        <f>IFERROR(--INDEX('Term investments'!$F:$F,ROW()),0)</f>
        <v/>
      </c>
      <c r="G1228">
        <f>IFERROR(IF(--INDEX('Term investments'!$G:$G,ROW())&gt;=1,--INDEX('Term investments'!$G:$G,ROW())/100,--INDEX('Term investments'!$G:$G,ROW())),0)</f>
        <v/>
      </c>
      <c r="H1228">
        <f>IFERROR(--INDEX('Term investments'!$H:$H,ROW()),0)</f>
        <v/>
      </c>
      <c r="I1228">
        <f>IF(ISNUMBER(INDEX('Term investments'!$G:$G,ROW())),1,0)</f>
        <v/>
      </c>
      <c r="J1228">
        <f>TRIM(SUBSTITUTE(INDEX('Call accounts and MMFs'!$A:$A,ROW())&amp;""," "," "))</f>
        <v/>
      </c>
      <c r="K1228">
        <f>TRIM(SUBSTITUTE(INDEX('Call accounts and MMFs'!$B:$B,ROW())&amp;""," "," "))</f>
        <v/>
      </c>
      <c r="L1228">
        <f>TRIM(SUBSTITUTE(INDEX('Call accounts and MMFs'!$C:$C,ROW())&amp;""," "," "))</f>
        <v/>
      </c>
      <c r="M1228">
        <f>IFERROR(--INDEX('Call accounts and MMFs'!$D:$D,ROW()),0)</f>
        <v/>
      </c>
      <c r="N1228">
        <f>IFERROR(IF(--INDEX('Call accounts and MMFs'!$E:$E,ROW())&gt;=1,--INDEX('Call accounts and MMFs'!$E:$E,ROW())/100,--INDEX('Call accounts and MMFs'!$E:$E,ROW())),0)</f>
        <v/>
      </c>
      <c r="O1228">
        <f>IFERROR(--INDEX('Call accounts and MMFs'!$F:$F,ROW()),0)</f>
        <v/>
      </c>
      <c r="P1228">
        <f>IF(ISNUMBER(INDEX('Call accounts and MMFs'!$E:$E,ROW())),1,0)</f>
        <v/>
      </c>
      <c r="Q1228">
        <f>TRIM(SUBSTITUTE(INDEX('Pooled funds'!$B:$B,ROW())&amp;""," "," "))</f>
        <v/>
      </c>
      <c r="R1228">
        <f>IFERROR(--INDEX('Pooled funds'!$C:$C,ROW()),0)</f>
        <v/>
      </c>
      <c r="S1228">
        <f>IFERROR(--INDEX('Pooled funds'!$D:$D,ROW()),0)</f>
        <v/>
      </c>
      <c r="T1228">
        <f>IFERROR(IF(--INDEX('Pooled funds'!$E:$E,ROW())&gt;=1,--INDEX('Pooled funds'!$E:$E,ROW())/100,--INDEX('Pooled funds'!$E:$E,ROW())),0)</f>
        <v/>
      </c>
      <c r="U1228">
        <f>IF(ISNUMBER(INDEX('Pooled funds'!$E:$E,ROW())),1,0)</f>
        <v/>
      </c>
    </row>
    <row r="1229">
      <c r="A1229">
        <f>TRIM(SUBSTITUTE(INDEX('Term investments'!$A:$A,ROW())&amp;""," "," "))</f>
        <v/>
      </c>
      <c r="B1229">
        <f>TRIM(SUBSTITUTE(INDEX('Term investments'!$B:$B,ROW())&amp;""," "," "))</f>
        <v/>
      </c>
      <c r="C1229">
        <f>TRIM(SUBSTITUTE(INDEX('Term investments'!$C:$C,ROW())&amp;""," "," "))</f>
        <v/>
      </c>
      <c r="D1229">
        <f>IFERROR(--INDEX('Term investments'!$D:$D,ROW()),0)</f>
        <v/>
      </c>
      <c r="E1229">
        <f>IFERROR(--INDEX('Term investments'!$E:$E,ROW()),0)</f>
        <v/>
      </c>
      <c r="F1229">
        <f>IFERROR(--INDEX('Term investments'!$F:$F,ROW()),0)</f>
        <v/>
      </c>
      <c r="G1229">
        <f>IFERROR(IF(--INDEX('Term investments'!$G:$G,ROW())&gt;=1,--INDEX('Term investments'!$G:$G,ROW())/100,--INDEX('Term investments'!$G:$G,ROW())),0)</f>
        <v/>
      </c>
      <c r="H1229">
        <f>IFERROR(--INDEX('Term investments'!$H:$H,ROW()),0)</f>
        <v/>
      </c>
      <c r="I1229">
        <f>IF(ISNUMBER(INDEX('Term investments'!$G:$G,ROW())),1,0)</f>
        <v/>
      </c>
      <c r="J1229">
        <f>TRIM(SUBSTITUTE(INDEX('Call accounts and MMFs'!$A:$A,ROW())&amp;""," "," "))</f>
        <v/>
      </c>
      <c r="K1229">
        <f>TRIM(SUBSTITUTE(INDEX('Call accounts and MMFs'!$B:$B,ROW())&amp;""," "," "))</f>
        <v/>
      </c>
      <c r="L1229">
        <f>TRIM(SUBSTITUTE(INDEX('Call accounts and MMFs'!$C:$C,ROW())&amp;""," "," "))</f>
        <v/>
      </c>
      <c r="M1229">
        <f>IFERROR(--INDEX('Call accounts and MMFs'!$D:$D,ROW()),0)</f>
        <v/>
      </c>
      <c r="N1229">
        <f>IFERROR(IF(--INDEX('Call accounts and MMFs'!$E:$E,ROW())&gt;=1,--INDEX('Call accounts and MMFs'!$E:$E,ROW())/100,--INDEX('Call accounts and MMFs'!$E:$E,ROW())),0)</f>
        <v/>
      </c>
      <c r="O1229">
        <f>IFERROR(--INDEX('Call accounts and MMFs'!$F:$F,ROW()),0)</f>
        <v/>
      </c>
      <c r="P1229">
        <f>IF(ISNUMBER(INDEX('Call accounts and MMFs'!$E:$E,ROW())),1,0)</f>
        <v/>
      </c>
      <c r="Q1229">
        <f>TRIM(SUBSTITUTE(INDEX('Pooled funds'!$B:$B,ROW())&amp;""," "," "))</f>
        <v/>
      </c>
      <c r="R1229">
        <f>IFERROR(--INDEX('Pooled funds'!$C:$C,ROW()),0)</f>
        <v/>
      </c>
      <c r="S1229">
        <f>IFERROR(--INDEX('Pooled funds'!$D:$D,ROW()),0)</f>
        <v/>
      </c>
      <c r="T1229">
        <f>IFERROR(IF(--INDEX('Pooled funds'!$E:$E,ROW())&gt;=1,--INDEX('Pooled funds'!$E:$E,ROW())/100,--INDEX('Pooled funds'!$E:$E,ROW())),0)</f>
        <v/>
      </c>
      <c r="U1229">
        <f>IF(ISNUMBER(INDEX('Pooled funds'!$E:$E,ROW())),1,0)</f>
        <v/>
      </c>
    </row>
    <row r="1230">
      <c r="A1230">
        <f>TRIM(SUBSTITUTE(INDEX('Term investments'!$A:$A,ROW())&amp;""," "," "))</f>
        <v/>
      </c>
      <c r="B1230">
        <f>TRIM(SUBSTITUTE(INDEX('Term investments'!$B:$B,ROW())&amp;""," "," "))</f>
        <v/>
      </c>
      <c r="C1230">
        <f>TRIM(SUBSTITUTE(INDEX('Term investments'!$C:$C,ROW())&amp;""," "," "))</f>
        <v/>
      </c>
      <c r="D1230">
        <f>IFERROR(--INDEX('Term investments'!$D:$D,ROW()),0)</f>
        <v/>
      </c>
      <c r="E1230">
        <f>IFERROR(--INDEX('Term investments'!$E:$E,ROW()),0)</f>
        <v/>
      </c>
      <c r="F1230">
        <f>IFERROR(--INDEX('Term investments'!$F:$F,ROW()),0)</f>
        <v/>
      </c>
      <c r="G1230">
        <f>IFERROR(IF(--INDEX('Term investments'!$G:$G,ROW())&gt;=1,--INDEX('Term investments'!$G:$G,ROW())/100,--INDEX('Term investments'!$G:$G,ROW())),0)</f>
        <v/>
      </c>
      <c r="H1230">
        <f>IFERROR(--INDEX('Term investments'!$H:$H,ROW()),0)</f>
        <v/>
      </c>
      <c r="I1230">
        <f>IF(ISNUMBER(INDEX('Term investments'!$G:$G,ROW())),1,0)</f>
        <v/>
      </c>
      <c r="J1230">
        <f>TRIM(SUBSTITUTE(INDEX('Call accounts and MMFs'!$A:$A,ROW())&amp;""," "," "))</f>
        <v/>
      </c>
      <c r="K1230">
        <f>TRIM(SUBSTITUTE(INDEX('Call accounts and MMFs'!$B:$B,ROW())&amp;""," "," "))</f>
        <v/>
      </c>
      <c r="L1230">
        <f>TRIM(SUBSTITUTE(INDEX('Call accounts and MMFs'!$C:$C,ROW())&amp;""," "," "))</f>
        <v/>
      </c>
      <c r="M1230">
        <f>IFERROR(--INDEX('Call accounts and MMFs'!$D:$D,ROW()),0)</f>
        <v/>
      </c>
      <c r="N1230">
        <f>IFERROR(IF(--INDEX('Call accounts and MMFs'!$E:$E,ROW())&gt;=1,--INDEX('Call accounts and MMFs'!$E:$E,ROW())/100,--INDEX('Call accounts and MMFs'!$E:$E,ROW())),0)</f>
        <v/>
      </c>
      <c r="O1230">
        <f>IFERROR(--INDEX('Call accounts and MMFs'!$F:$F,ROW()),0)</f>
        <v/>
      </c>
      <c r="P1230">
        <f>IF(ISNUMBER(INDEX('Call accounts and MMFs'!$E:$E,ROW())),1,0)</f>
        <v/>
      </c>
      <c r="Q1230">
        <f>TRIM(SUBSTITUTE(INDEX('Pooled funds'!$B:$B,ROW())&amp;""," "," "))</f>
        <v/>
      </c>
      <c r="R1230">
        <f>IFERROR(--INDEX('Pooled funds'!$C:$C,ROW()),0)</f>
        <v/>
      </c>
      <c r="S1230">
        <f>IFERROR(--INDEX('Pooled funds'!$D:$D,ROW()),0)</f>
        <v/>
      </c>
      <c r="T1230">
        <f>IFERROR(IF(--INDEX('Pooled funds'!$E:$E,ROW())&gt;=1,--INDEX('Pooled funds'!$E:$E,ROW())/100,--INDEX('Pooled funds'!$E:$E,ROW())),0)</f>
        <v/>
      </c>
      <c r="U1230">
        <f>IF(ISNUMBER(INDEX('Pooled funds'!$E:$E,ROW())),1,0)</f>
        <v/>
      </c>
    </row>
    <row r="1231">
      <c r="A1231">
        <f>TRIM(SUBSTITUTE(INDEX('Term investments'!$A:$A,ROW())&amp;""," "," "))</f>
        <v/>
      </c>
      <c r="B1231">
        <f>TRIM(SUBSTITUTE(INDEX('Term investments'!$B:$B,ROW())&amp;""," "," "))</f>
        <v/>
      </c>
      <c r="C1231">
        <f>TRIM(SUBSTITUTE(INDEX('Term investments'!$C:$C,ROW())&amp;""," "," "))</f>
        <v/>
      </c>
      <c r="D1231">
        <f>IFERROR(--INDEX('Term investments'!$D:$D,ROW()),0)</f>
        <v/>
      </c>
      <c r="E1231">
        <f>IFERROR(--INDEX('Term investments'!$E:$E,ROW()),0)</f>
        <v/>
      </c>
      <c r="F1231">
        <f>IFERROR(--INDEX('Term investments'!$F:$F,ROW()),0)</f>
        <v/>
      </c>
      <c r="G1231">
        <f>IFERROR(IF(--INDEX('Term investments'!$G:$G,ROW())&gt;=1,--INDEX('Term investments'!$G:$G,ROW())/100,--INDEX('Term investments'!$G:$G,ROW())),0)</f>
        <v/>
      </c>
      <c r="H1231">
        <f>IFERROR(--INDEX('Term investments'!$H:$H,ROW()),0)</f>
        <v/>
      </c>
      <c r="I1231">
        <f>IF(ISNUMBER(INDEX('Term investments'!$G:$G,ROW())),1,0)</f>
        <v/>
      </c>
      <c r="J1231">
        <f>TRIM(SUBSTITUTE(INDEX('Call accounts and MMFs'!$A:$A,ROW())&amp;""," "," "))</f>
        <v/>
      </c>
      <c r="K1231">
        <f>TRIM(SUBSTITUTE(INDEX('Call accounts and MMFs'!$B:$B,ROW())&amp;""," "," "))</f>
        <v/>
      </c>
      <c r="L1231">
        <f>TRIM(SUBSTITUTE(INDEX('Call accounts and MMFs'!$C:$C,ROW())&amp;""," "," "))</f>
        <v/>
      </c>
      <c r="M1231">
        <f>IFERROR(--INDEX('Call accounts and MMFs'!$D:$D,ROW()),0)</f>
        <v/>
      </c>
      <c r="N1231">
        <f>IFERROR(IF(--INDEX('Call accounts and MMFs'!$E:$E,ROW())&gt;=1,--INDEX('Call accounts and MMFs'!$E:$E,ROW())/100,--INDEX('Call accounts and MMFs'!$E:$E,ROW())),0)</f>
        <v/>
      </c>
      <c r="O1231">
        <f>IFERROR(--INDEX('Call accounts and MMFs'!$F:$F,ROW()),0)</f>
        <v/>
      </c>
      <c r="P1231">
        <f>IF(ISNUMBER(INDEX('Call accounts and MMFs'!$E:$E,ROW())),1,0)</f>
        <v/>
      </c>
      <c r="Q1231">
        <f>TRIM(SUBSTITUTE(INDEX('Pooled funds'!$B:$B,ROW())&amp;""," "," "))</f>
        <v/>
      </c>
      <c r="R1231">
        <f>IFERROR(--INDEX('Pooled funds'!$C:$C,ROW()),0)</f>
        <v/>
      </c>
      <c r="S1231">
        <f>IFERROR(--INDEX('Pooled funds'!$D:$D,ROW()),0)</f>
        <v/>
      </c>
      <c r="T1231">
        <f>IFERROR(IF(--INDEX('Pooled funds'!$E:$E,ROW())&gt;=1,--INDEX('Pooled funds'!$E:$E,ROW())/100,--INDEX('Pooled funds'!$E:$E,ROW())),0)</f>
        <v/>
      </c>
      <c r="U1231">
        <f>IF(ISNUMBER(INDEX('Pooled funds'!$E:$E,ROW())),1,0)</f>
        <v/>
      </c>
    </row>
    <row r="1232">
      <c r="A1232">
        <f>TRIM(SUBSTITUTE(INDEX('Term investments'!$A:$A,ROW())&amp;""," "," "))</f>
        <v/>
      </c>
      <c r="B1232">
        <f>TRIM(SUBSTITUTE(INDEX('Term investments'!$B:$B,ROW())&amp;""," "," "))</f>
        <v/>
      </c>
      <c r="C1232">
        <f>TRIM(SUBSTITUTE(INDEX('Term investments'!$C:$C,ROW())&amp;""," "," "))</f>
        <v/>
      </c>
      <c r="D1232">
        <f>IFERROR(--INDEX('Term investments'!$D:$D,ROW()),0)</f>
        <v/>
      </c>
      <c r="E1232">
        <f>IFERROR(--INDEX('Term investments'!$E:$E,ROW()),0)</f>
        <v/>
      </c>
      <c r="F1232">
        <f>IFERROR(--INDEX('Term investments'!$F:$F,ROW()),0)</f>
        <v/>
      </c>
      <c r="G1232">
        <f>IFERROR(IF(--INDEX('Term investments'!$G:$G,ROW())&gt;=1,--INDEX('Term investments'!$G:$G,ROW())/100,--INDEX('Term investments'!$G:$G,ROW())),0)</f>
        <v/>
      </c>
      <c r="H1232">
        <f>IFERROR(--INDEX('Term investments'!$H:$H,ROW()),0)</f>
        <v/>
      </c>
      <c r="I1232">
        <f>IF(ISNUMBER(INDEX('Term investments'!$G:$G,ROW())),1,0)</f>
        <v/>
      </c>
      <c r="J1232">
        <f>TRIM(SUBSTITUTE(INDEX('Call accounts and MMFs'!$A:$A,ROW())&amp;""," "," "))</f>
        <v/>
      </c>
      <c r="K1232">
        <f>TRIM(SUBSTITUTE(INDEX('Call accounts and MMFs'!$B:$B,ROW())&amp;""," "," "))</f>
        <v/>
      </c>
      <c r="L1232">
        <f>TRIM(SUBSTITUTE(INDEX('Call accounts and MMFs'!$C:$C,ROW())&amp;""," "," "))</f>
        <v/>
      </c>
      <c r="M1232">
        <f>IFERROR(--INDEX('Call accounts and MMFs'!$D:$D,ROW()),0)</f>
        <v/>
      </c>
      <c r="N1232">
        <f>IFERROR(IF(--INDEX('Call accounts and MMFs'!$E:$E,ROW())&gt;=1,--INDEX('Call accounts and MMFs'!$E:$E,ROW())/100,--INDEX('Call accounts and MMFs'!$E:$E,ROW())),0)</f>
        <v/>
      </c>
      <c r="O1232">
        <f>IFERROR(--INDEX('Call accounts and MMFs'!$F:$F,ROW()),0)</f>
        <v/>
      </c>
      <c r="P1232">
        <f>IF(ISNUMBER(INDEX('Call accounts and MMFs'!$E:$E,ROW())),1,0)</f>
        <v/>
      </c>
      <c r="Q1232">
        <f>TRIM(SUBSTITUTE(INDEX('Pooled funds'!$B:$B,ROW())&amp;""," "," "))</f>
        <v/>
      </c>
      <c r="R1232">
        <f>IFERROR(--INDEX('Pooled funds'!$C:$C,ROW()),0)</f>
        <v/>
      </c>
      <c r="S1232">
        <f>IFERROR(--INDEX('Pooled funds'!$D:$D,ROW()),0)</f>
        <v/>
      </c>
      <c r="T1232">
        <f>IFERROR(IF(--INDEX('Pooled funds'!$E:$E,ROW())&gt;=1,--INDEX('Pooled funds'!$E:$E,ROW())/100,--INDEX('Pooled funds'!$E:$E,ROW())),0)</f>
        <v/>
      </c>
      <c r="U1232">
        <f>IF(ISNUMBER(INDEX('Pooled funds'!$E:$E,ROW())),1,0)</f>
        <v/>
      </c>
    </row>
    <row r="1233">
      <c r="A1233">
        <f>TRIM(SUBSTITUTE(INDEX('Term investments'!$A:$A,ROW())&amp;""," "," "))</f>
        <v/>
      </c>
      <c r="B1233">
        <f>TRIM(SUBSTITUTE(INDEX('Term investments'!$B:$B,ROW())&amp;""," "," "))</f>
        <v/>
      </c>
      <c r="C1233">
        <f>TRIM(SUBSTITUTE(INDEX('Term investments'!$C:$C,ROW())&amp;""," "," "))</f>
        <v/>
      </c>
      <c r="D1233">
        <f>IFERROR(--INDEX('Term investments'!$D:$D,ROW()),0)</f>
        <v/>
      </c>
      <c r="E1233">
        <f>IFERROR(--INDEX('Term investments'!$E:$E,ROW()),0)</f>
        <v/>
      </c>
      <c r="F1233">
        <f>IFERROR(--INDEX('Term investments'!$F:$F,ROW()),0)</f>
        <v/>
      </c>
      <c r="G1233">
        <f>IFERROR(IF(--INDEX('Term investments'!$G:$G,ROW())&gt;=1,--INDEX('Term investments'!$G:$G,ROW())/100,--INDEX('Term investments'!$G:$G,ROW())),0)</f>
        <v/>
      </c>
      <c r="H1233">
        <f>IFERROR(--INDEX('Term investments'!$H:$H,ROW()),0)</f>
        <v/>
      </c>
      <c r="I1233">
        <f>IF(ISNUMBER(INDEX('Term investments'!$G:$G,ROW())),1,0)</f>
        <v/>
      </c>
      <c r="J1233">
        <f>TRIM(SUBSTITUTE(INDEX('Call accounts and MMFs'!$A:$A,ROW())&amp;""," "," "))</f>
        <v/>
      </c>
      <c r="K1233">
        <f>TRIM(SUBSTITUTE(INDEX('Call accounts and MMFs'!$B:$B,ROW())&amp;""," "," "))</f>
        <v/>
      </c>
      <c r="L1233">
        <f>TRIM(SUBSTITUTE(INDEX('Call accounts and MMFs'!$C:$C,ROW())&amp;""," "," "))</f>
        <v/>
      </c>
      <c r="M1233">
        <f>IFERROR(--INDEX('Call accounts and MMFs'!$D:$D,ROW()),0)</f>
        <v/>
      </c>
      <c r="N1233">
        <f>IFERROR(IF(--INDEX('Call accounts and MMFs'!$E:$E,ROW())&gt;=1,--INDEX('Call accounts and MMFs'!$E:$E,ROW())/100,--INDEX('Call accounts and MMFs'!$E:$E,ROW())),0)</f>
        <v/>
      </c>
      <c r="O1233">
        <f>IFERROR(--INDEX('Call accounts and MMFs'!$F:$F,ROW()),0)</f>
        <v/>
      </c>
      <c r="P1233">
        <f>IF(ISNUMBER(INDEX('Call accounts and MMFs'!$E:$E,ROW())),1,0)</f>
        <v/>
      </c>
      <c r="Q1233">
        <f>TRIM(SUBSTITUTE(INDEX('Pooled funds'!$B:$B,ROW())&amp;""," "," "))</f>
        <v/>
      </c>
      <c r="R1233">
        <f>IFERROR(--INDEX('Pooled funds'!$C:$C,ROW()),0)</f>
        <v/>
      </c>
      <c r="S1233">
        <f>IFERROR(--INDEX('Pooled funds'!$D:$D,ROW()),0)</f>
        <v/>
      </c>
      <c r="T1233">
        <f>IFERROR(IF(--INDEX('Pooled funds'!$E:$E,ROW())&gt;=1,--INDEX('Pooled funds'!$E:$E,ROW())/100,--INDEX('Pooled funds'!$E:$E,ROW())),0)</f>
        <v/>
      </c>
      <c r="U1233">
        <f>IF(ISNUMBER(INDEX('Pooled funds'!$E:$E,ROW())),1,0)</f>
        <v/>
      </c>
    </row>
    <row r="1234">
      <c r="A1234">
        <f>TRIM(SUBSTITUTE(INDEX('Term investments'!$A:$A,ROW())&amp;""," "," "))</f>
        <v/>
      </c>
      <c r="B1234">
        <f>TRIM(SUBSTITUTE(INDEX('Term investments'!$B:$B,ROW())&amp;""," "," "))</f>
        <v/>
      </c>
      <c r="C1234">
        <f>TRIM(SUBSTITUTE(INDEX('Term investments'!$C:$C,ROW())&amp;""," "," "))</f>
        <v/>
      </c>
      <c r="D1234">
        <f>IFERROR(--INDEX('Term investments'!$D:$D,ROW()),0)</f>
        <v/>
      </c>
      <c r="E1234">
        <f>IFERROR(--INDEX('Term investments'!$E:$E,ROW()),0)</f>
        <v/>
      </c>
      <c r="F1234">
        <f>IFERROR(--INDEX('Term investments'!$F:$F,ROW()),0)</f>
        <v/>
      </c>
      <c r="G1234">
        <f>IFERROR(IF(--INDEX('Term investments'!$G:$G,ROW())&gt;=1,--INDEX('Term investments'!$G:$G,ROW())/100,--INDEX('Term investments'!$G:$G,ROW())),0)</f>
        <v/>
      </c>
      <c r="H1234">
        <f>IFERROR(--INDEX('Term investments'!$H:$H,ROW()),0)</f>
        <v/>
      </c>
      <c r="I1234">
        <f>IF(ISNUMBER(INDEX('Term investments'!$G:$G,ROW())),1,0)</f>
        <v/>
      </c>
      <c r="J1234">
        <f>TRIM(SUBSTITUTE(INDEX('Call accounts and MMFs'!$A:$A,ROW())&amp;""," "," "))</f>
        <v/>
      </c>
      <c r="K1234">
        <f>TRIM(SUBSTITUTE(INDEX('Call accounts and MMFs'!$B:$B,ROW())&amp;""," "," "))</f>
        <v/>
      </c>
      <c r="L1234">
        <f>TRIM(SUBSTITUTE(INDEX('Call accounts and MMFs'!$C:$C,ROW())&amp;""," "," "))</f>
        <v/>
      </c>
      <c r="M1234">
        <f>IFERROR(--INDEX('Call accounts and MMFs'!$D:$D,ROW()),0)</f>
        <v/>
      </c>
      <c r="N1234">
        <f>IFERROR(IF(--INDEX('Call accounts and MMFs'!$E:$E,ROW())&gt;=1,--INDEX('Call accounts and MMFs'!$E:$E,ROW())/100,--INDEX('Call accounts and MMFs'!$E:$E,ROW())),0)</f>
        <v/>
      </c>
      <c r="O1234">
        <f>IFERROR(--INDEX('Call accounts and MMFs'!$F:$F,ROW()),0)</f>
        <v/>
      </c>
      <c r="P1234">
        <f>IF(ISNUMBER(INDEX('Call accounts and MMFs'!$E:$E,ROW())),1,0)</f>
        <v/>
      </c>
      <c r="Q1234">
        <f>TRIM(SUBSTITUTE(INDEX('Pooled funds'!$B:$B,ROW())&amp;""," "," "))</f>
        <v/>
      </c>
      <c r="R1234">
        <f>IFERROR(--INDEX('Pooled funds'!$C:$C,ROW()),0)</f>
        <v/>
      </c>
      <c r="S1234">
        <f>IFERROR(--INDEX('Pooled funds'!$D:$D,ROW()),0)</f>
        <v/>
      </c>
      <c r="T1234">
        <f>IFERROR(IF(--INDEX('Pooled funds'!$E:$E,ROW())&gt;=1,--INDEX('Pooled funds'!$E:$E,ROW())/100,--INDEX('Pooled funds'!$E:$E,ROW())),0)</f>
        <v/>
      </c>
      <c r="U1234">
        <f>IF(ISNUMBER(INDEX('Pooled funds'!$E:$E,ROW())),1,0)</f>
        <v/>
      </c>
    </row>
    <row r="1235">
      <c r="A1235">
        <f>TRIM(SUBSTITUTE(INDEX('Term investments'!$A:$A,ROW())&amp;""," "," "))</f>
        <v/>
      </c>
      <c r="B1235">
        <f>TRIM(SUBSTITUTE(INDEX('Term investments'!$B:$B,ROW())&amp;""," "," "))</f>
        <v/>
      </c>
      <c r="C1235">
        <f>TRIM(SUBSTITUTE(INDEX('Term investments'!$C:$C,ROW())&amp;""," "," "))</f>
        <v/>
      </c>
      <c r="D1235">
        <f>IFERROR(--INDEX('Term investments'!$D:$D,ROW()),0)</f>
        <v/>
      </c>
      <c r="E1235">
        <f>IFERROR(--INDEX('Term investments'!$E:$E,ROW()),0)</f>
        <v/>
      </c>
      <c r="F1235">
        <f>IFERROR(--INDEX('Term investments'!$F:$F,ROW()),0)</f>
        <v/>
      </c>
      <c r="G1235">
        <f>IFERROR(IF(--INDEX('Term investments'!$G:$G,ROW())&gt;=1,--INDEX('Term investments'!$G:$G,ROW())/100,--INDEX('Term investments'!$G:$G,ROW())),0)</f>
        <v/>
      </c>
      <c r="H1235">
        <f>IFERROR(--INDEX('Term investments'!$H:$H,ROW()),0)</f>
        <v/>
      </c>
      <c r="I1235">
        <f>IF(ISNUMBER(INDEX('Term investments'!$G:$G,ROW())),1,0)</f>
        <v/>
      </c>
      <c r="J1235">
        <f>TRIM(SUBSTITUTE(INDEX('Call accounts and MMFs'!$A:$A,ROW())&amp;""," "," "))</f>
        <v/>
      </c>
      <c r="K1235">
        <f>TRIM(SUBSTITUTE(INDEX('Call accounts and MMFs'!$B:$B,ROW())&amp;""," "," "))</f>
        <v/>
      </c>
      <c r="L1235">
        <f>TRIM(SUBSTITUTE(INDEX('Call accounts and MMFs'!$C:$C,ROW())&amp;""," "," "))</f>
        <v/>
      </c>
      <c r="M1235">
        <f>IFERROR(--INDEX('Call accounts and MMFs'!$D:$D,ROW()),0)</f>
        <v/>
      </c>
      <c r="N1235">
        <f>IFERROR(IF(--INDEX('Call accounts and MMFs'!$E:$E,ROW())&gt;=1,--INDEX('Call accounts and MMFs'!$E:$E,ROW())/100,--INDEX('Call accounts and MMFs'!$E:$E,ROW())),0)</f>
        <v/>
      </c>
      <c r="O1235">
        <f>IFERROR(--INDEX('Call accounts and MMFs'!$F:$F,ROW()),0)</f>
        <v/>
      </c>
      <c r="P1235">
        <f>IF(ISNUMBER(INDEX('Call accounts and MMFs'!$E:$E,ROW())),1,0)</f>
        <v/>
      </c>
      <c r="Q1235">
        <f>TRIM(SUBSTITUTE(INDEX('Pooled funds'!$B:$B,ROW())&amp;""," "," "))</f>
        <v/>
      </c>
      <c r="R1235">
        <f>IFERROR(--INDEX('Pooled funds'!$C:$C,ROW()),0)</f>
        <v/>
      </c>
      <c r="S1235">
        <f>IFERROR(--INDEX('Pooled funds'!$D:$D,ROW()),0)</f>
        <v/>
      </c>
      <c r="T1235">
        <f>IFERROR(IF(--INDEX('Pooled funds'!$E:$E,ROW())&gt;=1,--INDEX('Pooled funds'!$E:$E,ROW())/100,--INDEX('Pooled funds'!$E:$E,ROW())),0)</f>
        <v/>
      </c>
      <c r="U1235">
        <f>IF(ISNUMBER(INDEX('Pooled funds'!$E:$E,ROW())),1,0)</f>
        <v/>
      </c>
    </row>
    <row r="1236">
      <c r="A1236">
        <f>TRIM(SUBSTITUTE(INDEX('Term investments'!$A:$A,ROW())&amp;""," "," "))</f>
        <v/>
      </c>
      <c r="B1236">
        <f>TRIM(SUBSTITUTE(INDEX('Term investments'!$B:$B,ROW())&amp;""," "," "))</f>
        <v/>
      </c>
      <c r="C1236">
        <f>TRIM(SUBSTITUTE(INDEX('Term investments'!$C:$C,ROW())&amp;""," "," "))</f>
        <v/>
      </c>
      <c r="D1236">
        <f>IFERROR(--INDEX('Term investments'!$D:$D,ROW()),0)</f>
        <v/>
      </c>
      <c r="E1236">
        <f>IFERROR(--INDEX('Term investments'!$E:$E,ROW()),0)</f>
        <v/>
      </c>
      <c r="F1236">
        <f>IFERROR(--INDEX('Term investments'!$F:$F,ROW()),0)</f>
        <v/>
      </c>
      <c r="G1236">
        <f>IFERROR(IF(--INDEX('Term investments'!$G:$G,ROW())&gt;=1,--INDEX('Term investments'!$G:$G,ROW())/100,--INDEX('Term investments'!$G:$G,ROW())),0)</f>
        <v/>
      </c>
      <c r="H1236">
        <f>IFERROR(--INDEX('Term investments'!$H:$H,ROW()),0)</f>
        <v/>
      </c>
      <c r="I1236">
        <f>IF(ISNUMBER(INDEX('Term investments'!$G:$G,ROW())),1,0)</f>
        <v/>
      </c>
      <c r="J1236">
        <f>TRIM(SUBSTITUTE(INDEX('Call accounts and MMFs'!$A:$A,ROW())&amp;""," "," "))</f>
        <v/>
      </c>
      <c r="K1236">
        <f>TRIM(SUBSTITUTE(INDEX('Call accounts and MMFs'!$B:$B,ROW())&amp;""," "," "))</f>
        <v/>
      </c>
      <c r="L1236">
        <f>TRIM(SUBSTITUTE(INDEX('Call accounts and MMFs'!$C:$C,ROW())&amp;""," "," "))</f>
        <v/>
      </c>
      <c r="M1236">
        <f>IFERROR(--INDEX('Call accounts and MMFs'!$D:$D,ROW()),0)</f>
        <v/>
      </c>
      <c r="N1236">
        <f>IFERROR(IF(--INDEX('Call accounts and MMFs'!$E:$E,ROW())&gt;=1,--INDEX('Call accounts and MMFs'!$E:$E,ROW())/100,--INDEX('Call accounts and MMFs'!$E:$E,ROW())),0)</f>
        <v/>
      </c>
      <c r="O1236">
        <f>IFERROR(--INDEX('Call accounts and MMFs'!$F:$F,ROW()),0)</f>
        <v/>
      </c>
      <c r="P1236">
        <f>IF(ISNUMBER(INDEX('Call accounts and MMFs'!$E:$E,ROW())),1,0)</f>
        <v/>
      </c>
      <c r="Q1236">
        <f>TRIM(SUBSTITUTE(INDEX('Pooled funds'!$B:$B,ROW())&amp;""," "," "))</f>
        <v/>
      </c>
      <c r="R1236">
        <f>IFERROR(--INDEX('Pooled funds'!$C:$C,ROW()),0)</f>
        <v/>
      </c>
      <c r="S1236">
        <f>IFERROR(--INDEX('Pooled funds'!$D:$D,ROW()),0)</f>
        <v/>
      </c>
      <c r="T1236">
        <f>IFERROR(IF(--INDEX('Pooled funds'!$E:$E,ROW())&gt;=1,--INDEX('Pooled funds'!$E:$E,ROW())/100,--INDEX('Pooled funds'!$E:$E,ROW())),0)</f>
        <v/>
      </c>
      <c r="U1236">
        <f>IF(ISNUMBER(INDEX('Pooled funds'!$E:$E,ROW())),1,0)</f>
        <v/>
      </c>
    </row>
    <row r="1237">
      <c r="A1237">
        <f>TRIM(SUBSTITUTE(INDEX('Term investments'!$A:$A,ROW())&amp;""," "," "))</f>
        <v/>
      </c>
      <c r="B1237">
        <f>TRIM(SUBSTITUTE(INDEX('Term investments'!$B:$B,ROW())&amp;""," "," "))</f>
        <v/>
      </c>
      <c r="C1237">
        <f>TRIM(SUBSTITUTE(INDEX('Term investments'!$C:$C,ROW())&amp;""," "," "))</f>
        <v/>
      </c>
      <c r="D1237">
        <f>IFERROR(--INDEX('Term investments'!$D:$D,ROW()),0)</f>
        <v/>
      </c>
      <c r="E1237">
        <f>IFERROR(--INDEX('Term investments'!$E:$E,ROW()),0)</f>
        <v/>
      </c>
      <c r="F1237">
        <f>IFERROR(--INDEX('Term investments'!$F:$F,ROW()),0)</f>
        <v/>
      </c>
      <c r="G1237">
        <f>IFERROR(IF(--INDEX('Term investments'!$G:$G,ROW())&gt;=1,--INDEX('Term investments'!$G:$G,ROW())/100,--INDEX('Term investments'!$G:$G,ROW())),0)</f>
        <v/>
      </c>
      <c r="H1237">
        <f>IFERROR(--INDEX('Term investments'!$H:$H,ROW()),0)</f>
        <v/>
      </c>
      <c r="I1237">
        <f>IF(ISNUMBER(INDEX('Term investments'!$G:$G,ROW())),1,0)</f>
        <v/>
      </c>
      <c r="J1237">
        <f>TRIM(SUBSTITUTE(INDEX('Call accounts and MMFs'!$A:$A,ROW())&amp;""," "," "))</f>
        <v/>
      </c>
      <c r="K1237">
        <f>TRIM(SUBSTITUTE(INDEX('Call accounts and MMFs'!$B:$B,ROW())&amp;""," "," "))</f>
        <v/>
      </c>
      <c r="L1237">
        <f>TRIM(SUBSTITUTE(INDEX('Call accounts and MMFs'!$C:$C,ROW())&amp;""," "," "))</f>
        <v/>
      </c>
      <c r="M1237">
        <f>IFERROR(--INDEX('Call accounts and MMFs'!$D:$D,ROW()),0)</f>
        <v/>
      </c>
      <c r="N1237">
        <f>IFERROR(IF(--INDEX('Call accounts and MMFs'!$E:$E,ROW())&gt;=1,--INDEX('Call accounts and MMFs'!$E:$E,ROW())/100,--INDEX('Call accounts and MMFs'!$E:$E,ROW())),0)</f>
        <v/>
      </c>
      <c r="O1237">
        <f>IFERROR(--INDEX('Call accounts and MMFs'!$F:$F,ROW()),0)</f>
        <v/>
      </c>
      <c r="P1237">
        <f>IF(ISNUMBER(INDEX('Call accounts and MMFs'!$E:$E,ROW())),1,0)</f>
        <v/>
      </c>
      <c r="Q1237">
        <f>TRIM(SUBSTITUTE(INDEX('Pooled funds'!$B:$B,ROW())&amp;""," "," "))</f>
        <v/>
      </c>
      <c r="R1237">
        <f>IFERROR(--INDEX('Pooled funds'!$C:$C,ROW()),0)</f>
        <v/>
      </c>
      <c r="S1237">
        <f>IFERROR(--INDEX('Pooled funds'!$D:$D,ROW()),0)</f>
        <v/>
      </c>
      <c r="T1237">
        <f>IFERROR(IF(--INDEX('Pooled funds'!$E:$E,ROW())&gt;=1,--INDEX('Pooled funds'!$E:$E,ROW())/100,--INDEX('Pooled funds'!$E:$E,ROW())),0)</f>
        <v/>
      </c>
      <c r="U1237">
        <f>IF(ISNUMBER(INDEX('Pooled funds'!$E:$E,ROW())),1,0)</f>
        <v/>
      </c>
    </row>
    <row r="1238">
      <c r="A1238">
        <f>TRIM(SUBSTITUTE(INDEX('Term investments'!$A:$A,ROW())&amp;""," "," "))</f>
        <v/>
      </c>
      <c r="B1238">
        <f>TRIM(SUBSTITUTE(INDEX('Term investments'!$B:$B,ROW())&amp;""," "," "))</f>
        <v/>
      </c>
      <c r="C1238">
        <f>TRIM(SUBSTITUTE(INDEX('Term investments'!$C:$C,ROW())&amp;""," "," "))</f>
        <v/>
      </c>
      <c r="D1238">
        <f>IFERROR(--INDEX('Term investments'!$D:$D,ROW()),0)</f>
        <v/>
      </c>
      <c r="E1238">
        <f>IFERROR(--INDEX('Term investments'!$E:$E,ROW()),0)</f>
        <v/>
      </c>
      <c r="F1238">
        <f>IFERROR(--INDEX('Term investments'!$F:$F,ROW()),0)</f>
        <v/>
      </c>
      <c r="G1238">
        <f>IFERROR(IF(--INDEX('Term investments'!$G:$G,ROW())&gt;=1,--INDEX('Term investments'!$G:$G,ROW())/100,--INDEX('Term investments'!$G:$G,ROW())),0)</f>
        <v/>
      </c>
      <c r="H1238">
        <f>IFERROR(--INDEX('Term investments'!$H:$H,ROW()),0)</f>
        <v/>
      </c>
      <c r="I1238">
        <f>IF(ISNUMBER(INDEX('Term investments'!$G:$G,ROW())),1,0)</f>
        <v/>
      </c>
      <c r="J1238">
        <f>TRIM(SUBSTITUTE(INDEX('Call accounts and MMFs'!$A:$A,ROW())&amp;""," "," "))</f>
        <v/>
      </c>
      <c r="K1238">
        <f>TRIM(SUBSTITUTE(INDEX('Call accounts and MMFs'!$B:$B,ROW())&amp;""," "," "))</f>
        <v/>
      </c>
      <c r="L1238">
        <f>TRIM(SUBSTITUTE(INDEX('Call accounts and MMFs'!$C:$C,ROW())&amp;""," "," "))</f>
        <v/>
      </c>
      <c r="M1238">
        <f>IFERROR(--INDEX('Call accounts and MMFs'!$D:$D,ROW()),0)</f>
        <v/>
      </c>
      <c r="N1238">
        <f>IFERROR(IF(--INDEX('Call accounts and MMFs'!$E:$E,ROW())&gt;=1,--INDEX('Call accounts and MMFs'!$E:$E,ROW())/100,--INDEX('Call accounts and MMFs'!$E:$E,ROW())),0)</f>
        <v/>
      </c>
      <c r="O1238">
        <f>IFERROR(--INDEX('Call accounts and MMFs'!$F:$F,ROW()),0)</f>
        <v/>
      </c>
      <c r="P1238">
        <f>IF(ISNUMBER(INDEX('Call accounts and MMFs'!$E:$E,ROW())),1,0)</f>
        <v/>
      </c>
      <c r="Q1238">
        <f>TRIM(SUBSTITUTE(INDEX('Pooled funds'!$B:$B,ROW())&amp;""," "," "))</f>
        <v/>
      </c>
      <c r="R1238">
        <f>IFERROR(--INDEX('Pooled funds'!$C:$C,ROW()),0)</f>
        <v/>
      </c>
      <c r="S1238">
        <f>IFERROR(--INDEX('Pooled funds'!$D:$D,ROW()),0)</f>
        <v/>
      </c>
      <c r="T1238">
        <f>IFERROR(IF(--INDEX('Pooled funds'!$E:$E,ROW())&gt;=1,--INDEX('Pooled funds'!$E:$E,ROW())/100,--INDEX('Pooled funds'!$E:$E,ROW())),0)</f>
        <v/>
      </c>
      <c r="U1238">
        <f>IF(ISNUMBER(INDEX('Pooled funds'!$E:$E,ROW())),1,0)</f>
        <v/>
      </c>
    </row>
    <row r="1239">
      <c r="A1239">
        <f>TRIM(SUBSTITUTE(INDEX('Term investments'!$A:$A,ROW())&amp;""," "," "))</f>
        <v/>
      </c>
      <c r="B1239">
        <f>TRIM(SUBSTITUTE(INDEX('Term investments'!$B:$B,ROW())&amp;""," "," "))</f>
        <v/>
      </c>
      <c r="C1239">
        <f>TRIM(SUBSTITUTE(INDEX('Term investments'!$C:$C,ROW())&amp;""," "," "))</f>
        <v/>
      </c>
      <c r="D1239">
        <f>IFERROR(--INDEX('Term investments'!$D:$D,ROW()),0)</f>
        <v/>
      </c>
      <c r="E1239">
        <f>IFERROR(--INDEX('Term investments'!$E:$E,ROW()),0)</f>
        <v/>
      </c>
      <c r="F1239">
        <f>IFERROR(--INDEX('Term investments'!$F:$F,ROW()),0)</f>
        <v/>
      </c>
      <c r="G1239">
        <f>IFERROR(IF(--INDEX('Term investments'!$G:$G,ROW())&gt;=1,--INDEX('Term investments'!$G:$G,ROW())/100,--INDEX('Term investments'!$G:$G,ROW())),0)</f>
        <v/>
      </c>
      <c r="H1239">
        <f>IFERROR(--INDEX('Term investments'!$H:$H,ROW()),0)</f>
        <v/>
      </c>
      <c r="I1239">
        <f>IF(ISNUMBER(INDEX('Term investments'!$G:$G,ROW())),1,0)</f>
        <v/>
      </c>
      <c r="J1239">
        <f>TRIM(SUBSTITUTE(INDEX('Call accounts and MMFs'!$A:$A,ROW())&amp;""," "," "))</f>
        <v/>
      </c>
      <c r="K1239">
        <f>TRIM(SUBSTITUTE(INDEX('Call accounts and MMFs'!$B:$B,ROW())&amp;""," "," "))</f>
        <v/>
      </c>
      <c r="L1239">
        <f>TRIM(SUBSTITUTE(INDEX('Call accounts and MMFs'!$C:$C,ROW())&amp;""," "," "))</f>
        <v/>
      </c>
      <c r="M1239">
        <f>IFERROR(--INDEX('Call accounts and MMFs'!$D:$D,ROW()),0)</f>
        <v/>
      </c>
      <c r="N1239">
        <f>IFERROR(IF(--INDEX('Call accounts and MMFs'!$E:$E,ROW())&gt;=1,--INDEX('Call accounts and MMFs'!$E:$E,ROW())/100,--INDEX('Call accounts and MMFs'!$E:$E,ROW())),0)</f>
        <v/>
      </c>
      <c r="O1239">
        <f>IFERROR(--INDEX('Call accounts and MMFs'!$F:$F,ROW()),0)</f>
        <v/>
      </c>
      <c r="P1239">
        <f>IF(ISNUMBER(INDEX('Call accounts and MMFs'!$E:$E,ROW())),1,0)</f>
        <v/>
      </c>
      <c r="Q1239">
        <f>TRIM(SUBSTITUTE(INDEX('Pooled funds'!$B:$B,ROW())&amp;""," "," "))</f>
        <v/>
      </c>
      <c r="R1239">
        <f>IFERROR(--INDEX('Pooled funds'!$C:$C,ROW()),0)</f>
        <v/>
      </c>
      <c r="S1239">
        <f>IFERROR(--INDEX('Pooled funds'!$D:$D,ROW()),0)</f>
        <v/>
      </c>
      <c r="T1239">
        <f>IFERROR(IF(--INDEX('Pooled funds'!$E:$E,ROW())&gt;=1,--INDEX('Pooled funds'!$E:$E,ROW())/100,--INDEX('Pooled funds'!$E:$E,ROW())),0)</f>
        <v/>
      </c>
      <c r="U1239">
        <f>IF(ISNUMBER(INDEX('Pooled funds'!$E:$E,ROW())),1,0)</f>
        <v/>
      </c>
    </row>
    <row r="1240">
      <c r="A1240">
        <f>TRIM(SUBSTITUTE(INDEX('Term investments'!$A:$A,ROW())&amp;""," "," "))</f>
        <v/>
      </c>
      <c r="B1240">
        <f>TRIM(SUBSTITUTE(INDEX('Term investments'!$B:$B,ROW())&amp;""," "," "))</f>
        <v/>
      </c>
      <c r="C1240">
        <f>TRIM(SUBSTITUTE(INDEX('Term investments'!$C:$C,ROW())&amp;""," "," "))</f>
        <v/>
      </c>
      <c r="D1240">
        <f>IFERROR(--INDEX('Term investments'!$D:$D,ROW()),0)</f>
        <v/>
      </c>
      <c r="E1240">
        <f>IFERROR(--INDEX('Term investments'!$E:$E,ROW()),0)</f>
        <v/>
      </c>
      <c r="F1240">
        <f>IFERROR(--INDEX('Term investments'!$F:$F,ROW()),0)</f>
        <v/>
      </c>
      <c r="G1240">
        <f>IFERROR(IF(--INDEX('Term investments'!$G:$G,ROW())&gt;=1,--INDEX('Term investments'!$G:$G,ROW())/100,--INDEX('Term investments'!$G:$G,ROW())),0)</f>
        <v/>
      </c>
      <c r="H1240">
        <f>IFERROR(--INDEX('Term investments'!$H:$H,ROW()),0)</f>
        <v/>
      </c>
      <c r="I1240">
        <f>IF(ISNUMBER(INDEX('Term investments'!$G:$G,ROW())),1,0)</f>
        <v/>
      </c>
      <c r="J1240">
        <f>TRIM(SUBSTITUTE(INDEX('Call accounts and MMFs'!$A:$A,ROW())&amp;""," "," "))</f>
        <v/>
      </c>
      <c r="K1240">
        <f>TRIM(SUBSTITUTE(INDEX('Call accounts and MMFs'!$B:$B,ROW())&amp;""," "," "))</f>
        <v/>
      </c>
      <c r="L1240">
        <f>TRIM(SUBSTITUTE(INDEX('Call accounts and MMFs'!$C:$C,ROW())&amp;""," "," "))</f>
        <v/>
      </c>
      <c r="M1240">
        <f>IFERROR(--INDEX('Call accounts and MMFs'!$D:$D,ROW()),0)</f>
        <v/>
      </c>
      <c r="N1240">
        <f>IFERROR(IF(--INDEX('Call accounts and MMFs'!$E:$E,ROW())&gt;=1,--INDEX('Call accounts and MMFs'!$E:$E,ROW())/100,--INDEX('Call accounts and MMFs'!$E:$E,ROW())),0)</f>
        <v/>
      </c>
      <c r="O1240">
        <f>IFERROR(--INDEX('Call accounts and MMFs'!$F:$F,ROW()),0)</f>
        <v/>
      </c>
      <c r="P1240">
        <f>IF(ISNUMBER(INDEX('Call accounts and MMFs'!$E:$E,ROW())),1,0)</f>
        <v/>
      </c>
      <c r="Q1240">
        <f>TRIM(SUBSTITUTE(INDEX('Pooled funds'!$B:$B,ROW())&amp;""," "," "))</f>
        <v/>
      </c>
      <c r="R1240">
        <f>IFERROR(--INDEX('Pooled funds'!$C:$C,ROW()),0)</f>
        <v/>
      </c>
      <c r="S1240">
        <f>IFERROR(--INDEX('Pooled funds'!$D:$D,ROW()),0)</f>
        <v/>
      </c>
      <c r="T1240">
        <f>IFERROR(IF(--INDEX('Pooled funds'!$E:$E,ROW())&gt;=1,--INDEX('Pooled funds'!$E:$E,ROW())/100,--INDEX('Pooled funds'!$E:$E,ROW())),0)</f>
        <v/>
      </c>
      <c r="U1240">
        <f>IF(ISNUMBER(INDEX('Pooled funds'!$E:$E,ROW())),1,0)</f>
        <v/>
      </c>
    </row>
    <row r="1241">
      <c r="A1241">
        <f>TRIM(SUBSTITUTE(INDEX('Term investments'!$A:$A,ROW())&amp;""," "," "))</f>
        <v/>
      </c>
      <c r="B1241">
        <f>TRIM(SUBSTITUTE(INDEX('Term investments'!$B:$B,ROW())&amp;""," "," "))</f>
        <v/>
      </c>
      <c r="C1241">
        <f>TRIM(SUBSTITUTE(INDEX('Term investments'!$C:$C,ROW())&amp;""," "," "))</f>
        <v/>
      </c>
      <c r="D1241">
        <f>IFERROR(--INDEX('Term investments'!$D:$D,ROW()),0)</f>
        <v/>
      </c>
      <c r="E1241">
        <f>IFERROR(--INDEX('Term investments'!$E:$E,ROW()),0)</f>
        <v/>
      </c>
      <c r="F1241">
        <f>IFERROR(--INDEX('Term investments'!$F:$F,ROW()),0)</f>
        <v/>
      </c>
      <c r="G1241">
        <f>IFERROR(IF(--INDEX('Term investments'!$G:$G,ROW())&gt;=1,--INDEX('Term investments'!$G:$G,ROW())/100,--INDEX('Term investments'!$G:$G,ROW())),0)</f>
        <v/>
      </c>
      <c r="H1241">
        <f>IFERROR(--INDEX('Term investments'!$H:$H,ROW()),0)</f>
        <v/>
      </c>
      <c r="I1241">
        <f>IF(ISNUMBER(INDEX('Term investments'!$G:$G,ROW())),1,0)</f>
        <v/>
      </c>
      <c r="J1241">
        <f>TRIM(SUBSTITUTE(INDEX('Call accounts and MMFs'!$A:$A,ROW())&amp;""," "," "))</f>
        <v/>
      </c>
      <c r="K1241">
        <f>TRIM(SUBSTITUTE(INDEX('Call accounts and MMFs'!$B:$B,ROW())&amp;""," "," "))</f>
        <v/>
      </c>
      <c r="L1241">
        <f>TRIM(SUBSTITUTE(INDEX('Call accounts and MMFs'!$C:$C,ROW())&amp;""," "," "))</f>
        <v/>
      </c>
      <c r="M1241">
        <f>IFERROR(--INDEX('Call accounts and MMFs'!$D:$D,ROW()),0)</f>
        <v/>
      </c>
      <c r="N1241">
        <f>IFERROR(IF(--INDEX('Call accounts and MMFs'!$E:$E,ROW())&gt;=1,--INDEX('Call accounts and MMFs'!$E:$E,ROW())/100,--INDEX('Call accounts and MMFs'!$E:$E,ROW())),0)</f>
        <v/>
      </c>
      <c r="O1241">
        <f>IFERROR(--INDEX('Call accounts and MMFs'!$F:$F,ROW()),0)</f>
        <v/>
      </c>
      <c r="P1241">
        <f>IF(ISNUMBER(INDEX('Call accounts and MMFs'!$E:$E,ROW())),1,0)</f>
        <v/>
      </c>
      <c r="Q1241">
        <f>TRIM(SUBSTITUTE(INDEX('Pooled funds'!$B:$B,ROW())&amp;""," "," "))</f>
        <v/>
      </c>
      <c r="R1241">
        <f>IFERROR(--INDEX('Pooled funds'!$C:$C,ROW()),0)</f>
        <v/>
      </c>
      <c r="S1241">
        <f>IFERROR(--INDEX('Pooled funds'!$D:$D,ROW()),0)</f>
        <v/>
      </c>
      <c r="T1241">
        <f>IFERROR(IF(--INDEX('Pooled funds'!$E:$E,ROW())&gt;=1,--INDEX('Pooled funds'!$E:$E,ROW())/100,--INDEX('Pooled funds'!$E:$E,ROW())),0)</f>
        <v/>
      </c>
      <c r="U1241">
        <f>IF(ISNUMBER(INDEX('Pooled funds'!$E:$E,ROW())),1,0)</f>
        <v/>
      </c>
    </row>
    <row r="1242">
      <c r="A1242">
        <f>TRIM(SUBSTITUTE(INDEX('Term investments'!$A:$A,ROW())&amp;""," "," "))</f>
        <v/>
      </c>
      <c r="B1242">
        <f>TRIM(SUBSTITUTE(INDEX('Term investments'!$B:$B,ROW())&amp;""," "," "))</f>
        <v/>
      </c>
      <c r="C1242">
        <f>TRIM(SUBSTITUTE(INDEX('Term investments'!$C:$C,ROW())&amp;""," "," "))</f>
        <v/>
      </c>
      <c r="D1242">
        <f>IFERROR(--INDEX('Term investments'!$D:$D,ROW()),0)</f>
        <v/>
      </c>
      <c r="E1242">
        <f>IFERROR(--INDEX('Term investments'!$E:$E,ROW()),0)</f>
        <v/>
      </c>
      <c r="F1242">
        <f>IFERROR(--INDEX('Term investments'!$F:$F,ROW()),0)</f>
        <v/>
      </c>
      <c r="G1242">
        <f>IFERROR(IF(--INDEX('Term investments'!$G:$G,ROW())&gt;=1,--INDEX('Term investments'!$G:$G,ROW())/100,--INDEX('Term investments'!$G:$G,ROW())),0)</f>
        <v/>
      </c>
      <c r="H1242">
        <f>IFERROR(--INDEX('Term investments'!$H:$H,ROW()),0)</f>
        <v/>
      </c>
      <c r="I1242">
        <f>IF(ISNUMBER(INDEX('Term investments'!$G:$G,ROW())),1,0)</f>
        <v/>
      </c>
      <c r="J1242">
        <f>TRIM(SUBSTITUTE(INDEX('Call accounts and MMFs'!$A:$A,ROW())&amp;""," "," "))</f>
        <v/>
      </c>
      <c r="K1242">
        <f>TRIM(SUBSTITUTE(INDEX('Call accounts and MMFs'!$B:$B,ROW())&amp;""," "," "))</f>
        <v/>
      </c>
      <c r="L1242">
        <f>TRIM(SUBSTITUTE(INDEX('Call accounts and MMFs'!$C:$C,ROW())&amp;""," "," "))</f>
        <v/>
      </c>
      <c r="M1242">
        <f>IFERROR(--INDEX('Call accounts and MMFs'!$D:$D,ROW()),0)</f>
        <v/>
      </c>
      <c r="N1242">
        <f>IFERROR(IF(--INDEX('Call accounts and MMFs'!$E:$E,ROW())&gt;=1,--INDEX('Call accounts and MMFs'!$E:$E,ROW())/100,--INDEX('Call accounts and MMFs'!$E:$E,ROW())),0)</f>
        <v/>
      </c>
      <c r="O1242">
        <f>IFERROR(--INDEX('Call accounts and MMFs'!$F:$F,ROW()),0)</f>
        <v/>
      </c>
      <c r="P1242">
        <f>IF(ISNUMBER(INDEX('Call accounts and MMFs'!$E:$E,ROW())),1,0)</f>
        <v/>
      </c>
      <c r="Q1242">
        <f>TRIM(SUBSTITUTE(INDEX('Pooled funds'!$B:$B,ROW())&amp;""," "," "))</f>
        <v/>
      </c>
      <c r="R1242">
        <f>IFERROR(--INDEX('Pooled funds'!$C:$C,ROW()),0)</f>
        <v/>
      </c>
      <c r="S1242">
        <f>IFERROR(--INDEX('Pooled funds'!$D:$D,ROW()),0)</f>
        <v/>
      </c>
      <c r="T1242">
        <f>IFERROR(IF(--INDEX('Pooled funds'!$E:$E,ROW())&gt;=1,--INDEX('Pooled funds'!$E:$E,ROW())/100,--INDEX('Pooled funds'!$E:$E,ROW())),0)</f>
        <v/>
      </c>
      <c r="U1242">
        <f>IF(ISNUMBER(INDEX('Pooled funds'!$E:$E,ROW())),1,0)</f>
        <v/>
      </c>
    </row>
    <row r="1243">
      <c r="A1243">
        <f>TRIM(SUBSTITUTE(INDEX('Term investments'!$A:$A,ROW())&amp;""," "," "))</f>
        <v/>
      </c>
      <c r="B1243">
        <f>TRIM(SUBSTITUTE(INDEX('Term investments'!$B:$B,ROW())&amp;""," "," "))</f>
        <v/>
      </c>
      <c r="C1243">
        <f>TRIM(SUBSTITUTE(INDEX('Term investments'!$C:$C,ROW())&amp;""," "," "))</f>
        <v/>
      </c>
      <c r="D1243">
        <f>IFERROR(--INDEX('Term investments'!$D:$D,ROW()),0)</f>
        <v/>
      </c>
      <c r="E1243">
        <f>IFERROR(--INDEX('Term investments'!$E:$E,ROW()),0)</f>
        <v/>
      </c>
      <c r="F1243">
        <f>IFERROR(--INDEX('Term investments'!$F:$F,ROW()),0)</f>
        <v/>
      </c>
      <c r="G1243">
        <f>IFERROR(IF(--INDEX('Term investments'!$G:$G,ROW())&gt;=1,--INDEX('Term investments'!$G:$G,ROW())/100,--INDEX('Term investments'!$G:$G,ROW())),0)</f>
        <v/>
      </c>
      <c r="H1243">
        <f>IFERROR(--INDEX('Term investments'!$H:$H,ROW()),0)</f>
        <v/>
      </c>
      <c r="I1243">
        <f>IF(ISNUMBER(INDEX('Term investments'!$G:$G,ROW())),1,0)</f>
        <v/>
      </c>
      <c r="J1243">
        <f>TRIM(SUBSTITUTE(INDEX('Call accounts and MMFs'!$A:$A,ROW())&amp;""," "," "))</f>
        <v/>
      </c>
      <c r="K1243">
        <f>TRIM(SUBSTITUTE(INDEX('Call accounts and MMFs'!$B:$B,ROW())&amp;""," "," "))</f>
        <v/>
      </c>
      <c r="L1243">
        <f>TRIM(SUBSTITUTE(INDEX('Call accounts and MMFs'!$C:$C,ROW())&amp;""," "," "))</f>
        <v/>
      </c>
      <c r="M1243">
        <f>IFERROR(--INDEX('Call accounts and MMFs'!$D:$D,ROW()),0)</f>
        <v/>
      </c>
      <c r="N1243">
        <f>IFERROR(IF(--INDEX('Call accounts and MMFs'!$E:$E,ROW())&gt;=1,--INDEX('Call accounts and MMFs'!$E:$E,ROW())/100,--INDEX('Call accounts and MMFs'!$E:$E,ROW())),0)</f>
        <v/>
      </c>
      <c r="O1243">
        <f>IFERROR(--INDEX('Call accounts and MMFs'!$F:$F,ROW()),0)</f>
        <v/>
      </c>
      <c r="P1243">
        <f>IF(ISNUMBER(INDEX('Call accounts and MMFs'!$E:$E,ROW())),1,0)</f>
        <v/>
      </c>
      <c r="Q1243">
        <f>TRIM(SUBSTITUTE(INDEX('Pooled funds'!$B:$B,ROW())&amp;""," "," "))</f>
        <v/>
      </c>
      <c r="R1243">
        <f>IFERROR(--INDEX('Pooled funds'!$C:$C,ROW()),0)</f>
        <v/>
      </c>
      <c r="S1243">
        <f>IFERROR(--INDEX('Pooled funds'!$D:$D,ROW()),0)</f>
        <v/>
      </c>
      <c r="T1243">
        <f>IFERROR(IF(--INDEX('Pooled funds'!$E:$E,ROW())&gt;=1,--INDEX('Pooled funds'!$E:$E,ROW())/100,--INDEX('Pooled funds'!$E:$E,ROW())),0)</f>
        <v/>
      </c>
      <c r="U1243">
        <f>IF(ISNUMBER(INDEX('Pooled funds'!$E:$E,ROW())),1,0)</f>
        <v/>
      </c>
    </row>
    <row r="1244">
      <c r="A1244">
        <f>TRIM(SUBSTITUTE(INDEX('Term investments'!$A:$A,ROW())&amp;""," "," "))</f>
        <v/>
      </c>
      <c r="B1244">
        <f>TRIM(SUBSTITUTE(INDEX('Term investments'!$B:$B,ROW())&amp;""," "," "))</f>
        <v/>
      </c>
      <c r="C1244">
        <f>TRIM(SUBSTITUTE(INDEX('Term investments'!$C:$C,ROW())&amp;""," "," "))</f>
        <v/>
      </c>
      <c r="D1244">
        <f>IFERROR(--INDEX('Term investments'!$D:$D,ROW()),0)</f>
        <v/>
      </c>
      <c r="E1244">
        <f>IFERROR(--INDEX('Term investments'!$E:$E,ROW()),0)</f>
        <v/>
      </c>
      <c r="F1244">
        <f>IFERROR(--INDEX('Term investments'!$F:$F,ROW()),0)</f>
        <v/>
      </c>
      <c r="G1244">
        <f>IFERROR(IF(--INDEX('Term investments'!$G:$G,ROW())&gt;=1,--INDEX('Term investments'!$G:$G,ROW())/100,--INDEX('Term investments'!$G:$G,ROW())),0)</f>
        <v/>
      </c>
      <c r="H1244">
        <f>IFERROR(--INDEX('Term investments'!$H:$H,ROW()),0)</f>
        <v/>
      </c>
      <c r="I1244">
        <f>IF(ISNUMBER(INDEX('Term investments'!$G:$G,ROW())),1,0)</f>
        <v/>
      </c>
      <c r="J1244">
        <f>TRIM(SUBSTITUTE(INDEX('Call accounts and MMFs'!$A:$A,ROW())&amp;""," "," "))</f>
        <v/>
      </c>
      <c r="K1244">
        <f>TRIM(SUBSTITUTE(INDEX('Call accounts and MMFs'!$B:$B,ROW())&amp;""," "," "))</f>
        <v/>
      </c>
      <c r="L1244">
        <f>TRIM(SUBSTITUTE(INDEX('Call accounts and MMFs'!$C:$C,ROW())&amp;""," "," "))</f>
        <v/>
      </c>
      <c r="M1244">
        <f>IFERROR(--INDEX('Call accounts and MMFs'!$D:$D,ROW()),0)</f>
        <v/>
      </c>
      <c r="N1244">
        <f>IFERROR(IF(--INDEX('Call accounts and MMFs'!$E:$E,ROW())&gt;=1,--INDEX('Call accounts and MMFs'!$E:$E,ROW())/100,--INDEX('Call accounts and MMFs'!$E:$E,ROW())),0)</f>
        <v/>
      </c>
      <c r="O1244">
        <f>IFERROR(--INDEX('Call accounts and MMFs'!$F:$F,ROW()),0)</f>
        <v/>
      </c>
      <c r="P1244">
        <f>IF(ISNUMBER(INDEX('Call accounts and MMFs'!$E:$E,ROW())),1,0)</f>
        <v/>
      </c>
      <c r="Q1244">
        <f>TRIM(SUBSTITUTE(INDEX('Pooled funds'!$B:$B,ROW())&amp;""," "," "))</f>
        <v/>
      </c>
      <c r="R1244">
        <f>IFERROR(--INDEX('Pooled funds'!$C:$C,ROW()),0)</f>
        <v/>
      </c>
      <c r="S1244">
        <f>IFERROR(--INDEX('Pooled funds'!$D:$D,ROW()),0)</f>
        <v/>
      </c>
      <c r="T1244">
        <f>IFERROR(IF(--INDEX('Pooled funds'!$E:$E,ROW())&gt;=1,--INDEX('Pooled funds'!$E:$E,ROW())/100,--INDEX('Pooled funds'!$E:$E,ROW())),0)</f>
        <v/>
      </c>
      <c r="U1244">
        <f>IF(ISNUMBER(INDEX('Pooled funds'!$E:$E,ROW())),1,0)</f>
        <v/>
      </c>
    </row>
    <row r="1245">
      <c r="A1245">
        <f>TRIM(SUBSTITUTE(INDEX('Term investments'!$A:$A,ROW())&amp;""," "," "))</f>
        <v/>
      </c>
      <c r="B1245">
        <f>TRIM(SUBSTITUTE(INDEX('Term investments'!$B:$B,ROW())&amp;""," "," "))</f>
        <v/>
      </c>
      <c r="C1245">
        <f>TRIM(SUBSTITUTE(INDEX('Term investments'!$C:$C,ROW())&amp;""," "," "))</f>
        <v/>
      </c>
      <c r="D1245">
        <f>IFERROR(--INDEX('Term investments'!$D:$D,ROW()),0)</f>
        <v/>
      </c>
      <c r="E1245">
        <f>IFERROR(--INDEX('Term investments'!$E:$E,ROW()),0)</f>
        <v/>
      </c>
      <c r="F1245">
        <f>IFERROR(--INDEX('Term investments'!$F:$F,ROW()),0)</f>
        <v/>
      </c>
      <c r="G1245">
        <f>IFERROR(IF(--INDEX('Term investments'!$G:$G,ROW())&gt;=1,--INDEX('Term investments'!$G:$G,ROW())/100,--INDEX('Term investments'!$G:$G,ROW())),0)</f>
        <v/>
      </c>
      <c r="H1245">
        <f>IFERROR(--INDEX('Term investments'!$H:$H,ROW()),0)</f>
        <v/>
      </c>
      <c r="I1245">
        <f>IF(ISNUMBER(INDEX('Term investments'!$G:$G,ROW())),1,0)</f>
        <v/>
      </c>
      <c r="J1245">
        <f>TRIM(SUBSTITUTE(INDEX('Call accounts and MMFs'!$A:$A,ROW())&amp;""," "," "))</f>
        <v/>
      </c>
      <c r="K1245">
        <f>TRIM(SUBSTITUTE(INDEX('Call accounts and MMFs'!$B:$B,ROW())&amp;""," "," "))</f>
        <v/>
      </c>
      <c r="L1245">
        <f>TRIM(SUBSTITUTE(INDEX('Call accounts and MMFs'!$C:$C,ROW())&amp;""," "," "))</f>
        <v/>
      </c>
      <c r="M1245">
        <f>IFERROR(--INDEX('Call accounts and MMFs'!$D:$D,ROW()),0)</f>
        <v/>
      </c>
      <c r="N1245">
        <f>IFERROR(IF(--INDEX('Call accounts and MMFs'!$E:$E,ROW())&gt;=1,--INDEX('Call accounts and MMFs'!$E:$E,ROW())/100,--INDEX('Call accounts and MMFs'!$E:$E,ROW())),0)</f>
        <v/>
      </c>
      <c r="O1245">
        <f>IFERROR(--INDEX('Call accounts and MMFs'!$F:$F,ROW()),0)</f>
        <v/>
      </c>
      <c r="P1245">
        <f>IF(ISNUMBER(INDEX('Call accounts and MMFs'!$E:$E,ROW())),1,0)</f>
        <v/>
      </c>
      <c r="Q1245">
        <f>TRIM(SUBSTITUTE(INDEX('Pooled funds'!$B:$B,ROW())&amp;""," "," "))</f>
        <v/>
      </c>
      <c r="R1245">
        <f>IFERROR(--INDEX('Pooled funds'!$C:$C,ROW()),0)</f>
        <v/>
      </c>
      <c r="S1245">
        <f>IFERROR(--INDEX('Pooled funds'!$D:$D,ROW()),0)</f>
        <v/>
      </c>
      <c r="T1245">
        <f>IFERROR(IF(--INDEX('Pooled funds'!$E:$E,ROW())&gt;=1,--INDEX('Pooled funds'!$E:$E,ROW())/100,--INDEX('Pooled funds'!$E:$E,ROW())),0)</f>
        <v/>
      </c>
      <c r="U1245">
        <f>IF(ISNUMBER(INDEX('Pooled funds'!$E:$E,ROW())),1,0)</f>
        <v/>
      </c>
    </row>
    <row r="1246">
      <c r="A1246">
        <f>TRIM(SUBSTITUTE(INDEX('Term investments'!$A:$A,ROW())&amp;""," "," "))</f>
        <v/>
      </c>
      <c r="B1246">
        <f>TRIM(SUBSTITUTE(INDEX('Term investments'!$B:$B,ROW())&amp;""," "," "))</f>
        <v/>
      </c>
      <c r="C1246">
        <f>TRIM(SUBSTITUTE(INDEX('Term investments'!$C:$C,ROW())&amp;""," "," "))</f>
        <v/>
      </c>
      <c r="D1246">
        <f>IFERROR(--INDEX('Term investments'!$D:$D,ROW()),0)</f>
        <v/>
      </c>
      <c r="E1246">
        <f>IFERROR(--INDEX('Term investments'!$E:$E,ROW()),0)</f>
        <v/>
      </c>
      <c r="F1246">
        <f>IFERROR(--INDEX('Term investments'!$F:$F,ROW()),0)</f>
        <v/>
      </c>
      <c r="G1246">
        <f>IFERROR(IF(--INDEX('Term investments'!$G:$G,ROW())&gt;=1,--INDEX('Term investments'!$G:$G,ROW())/100,--INDEX('Term investments'!$G:$G,ROW())),0)</f>
        <v/>
      </c>
      <c r="H1246">
        <f>IFERROR(--INDEX('Term investments'!$H:$H,ROW()),0)</f>
        <v/>
      </c>
      <c r="I1246">
        <f>IF(ISNUMBER(INDEX('Term investments'!$G:$G,ROW())),1,0)</f>
        <v/>
      </c>
      <c r="J1246">
        <f>TRIM(SUBSTITUTE(INDEX('Call accounts and MMFs'!$A:$A,ROW())&amp;""," "," "))</f>
        <v/>
      </c>
      <c r="K1246">
        <f>TRIM(SUBSTITUTE(INDEX('Call accounts and MMFs'!$B:$B,ROW())&amp;""," "," "))</f>
        <v/>
      </c>
      <c r="L1246">
        <f>TRIM(SUBSTITUTE(INDEX('Call accounts and MMFs'!$C:$C,ROW())&amp;""," "," "))</f>
        <v/>
      </c>
      <c r="M1246">
        <f>IFERROR(--INDEX('Call accounts and MMFs'!$D:$D,ROW()),0)</f>
        <v/>
      </c>
      <c r="N1246">
        <f>IFERROR(IF(--INDEX('Call accounts and MMFs'!$E:$E,ROW())&gt;=1,--INDEX('Call accounts and MMFs'!$E:$E,ROW())/100,--INDEX('Call accounts and MMFs'!$E:$E,ROW())),0)</f>
        <v/>
      </c>
      <c r="O1246">
        <f>IFERROR(--INDEX('Call accounts and MMFs'!$F:$F,ROW()),0)</f>
        <v/>
      </c>
      <c r="P1246">
        <f>IF(ISNUMBER(INDEX('Call accounts and MMFs'!$E:$E,ROW())),1,0)</f>
        <v/>
      </c>
      <c r="Q1246">
        <f>TRIM(SUBSTITUTE(INDEX('Pooled funds'!$B:$B,ROW())&amp;""," "," "))</f>
        <v/>
      </c>
      <c r="R1246">
        <f>IFERROR(--INDEX('Pooled funds'!$C:$C,ROW()),0)</f>
        <v/>
      </c>
      <c r="S1246">
        <f>IFERROR(--INDEX('Pooled funds'!$D:$D,ROW()),0)</f>
        <v/>
      </c>
      <c r="T1246">
        <f>IFERROR(IF(--INDEX('Pooled funds'!$E:$E,ROW())&gt;=1,--INDEX('Pooled funds'!$E:$E,ROW())/100,--INDEX('Pooled funds'!$E:$E,ROW())),0)</f>
        <v/>
      </c>
      <c r="U1246">
        <f>IF(ISNUMBER(INDEX('Pooled funds'!$E:$E,ROW())),1,0)</f>
        <v/>
      </c>
    </row>
    <row r="1247">
      <c r="A1247">
        <f>TRIM(SUBSTITUTE(INDEX('Term investments'!$A:$A,ROW())&amp;""," "," "))</f>
        <v/>
      </c>
      <c r="B1247">
        <f>TRIM(SUBSTITUTE(INDEX('Term investments'!$B:$B,ROW())&amp;""," "," "))</f>
        <v/>
      </c>
      <c r="C1247">
        <f>TRIM(SUBSTITUTE(INDEX('Term investments'!$C:$C,ROW())&amp;""," "," "))</f>
        <v/>
      </c>
      <c r="D1247">
        <f>IFERROR(--INDEX('Term investments'!$D:$D,ROW()),0)</f>
        <v/>
      </c>
      <c r="E1247">
        <f>IFERROR(--INDEX('Term investments'!$E:$E,ROW()),0)</f>
        <v/>
      </c>
      <c r="F1247">
        <f>IFERROR(--INDEX('Term investments'!$F:$F,ROW()),0)</f>
        <v/>
      </c>
      <c r="G1247">
        <f>IFERROR(IF(--INDEX('Term investments'!$G:$G,ROW())&gt;=1,--INDEX('Term investments'!$G:$G,ROW())/100,--INDEX('Term investments'!$G:$G,ROW())),0)</f>
        <v/>
      </c>
      <c r="H1247">
        <f>IFERROR(--INDEX('Term investments'!$H:$H,ROW()),0)</f>
        <v/>
      </c>
      <c r="I1247">
        <f>IF(ISNUMBER(INDEX('Term investments'!$G:$G,ROW())),1,0)</f>
        <v/>
      </c>
      <c r="J1247">
        <f>TRIM(SUBSTITUTE(INDEX('Call accounts and MMFs'!$A:$A,ROW())&amp;""," "," "))</f>
        <v/>
      </c>
      <c r="K1247">
        <f>TRIM(SUBSTITUTE(INDEX('Call accounts and MMFs'!$B:$B,ROW())&amp;""," "," "))</f>
        <v/>
      </c>
      <c r="L1247">
        <f>TRIM(SUBSTITUTE(INDEX('Call accounts and MMFs'!$C:$C,ROW())&amp;""," "," "))</f>
        <v/>
      </c>
      <c r="M1247">
        <f>IFERROR(--INDEX('Call accounts and MMFs'!$D:$D,ROW()),0)</f>
        <v/>
      </c>
      <c r="N1247">
        <f>IFERROR(IF(--INDEX('Call accounts and MMFs'!$E:$E,ROW())&gt;=1,--INDEX('Call accounts and MMFs'!$E:$E,ROW())/100,--INDEX('Call accounts and MMFs'!$E:$E,ROW())),0)</f>
        <v/>
      </c>
      <c r="O1247">
        <f>IFERROR(--INDEX('Call accounts and MMFs'!$F:$F,ROW()),0)</f>
        <v/>
      </c>
      <c r="P1247">
        <f>IF(ISNUMBER(INDEX('Call accounts and MMFs'!$E:$E,ROW())),1,0)</f>
        <v/>
      </c>
      <c r="Q1247">
        <f>TRIM(SUBSTITUTE(INDEX('Pooled funds'!$B:$B,ROW())&amp;""," "," "))</f>
        <v/>
      </c>
      <c r="R1247">
        <f>IFERROR(--INDEX('Pooled funds'!$C:$C,ROW()),0)</f>
        <v/>
      </c>
      <c r="S1247">
        <f>IFERROR(--INDEX('Pooled funds'!$D:$D,ROW()),0)</f>
        <v/>
      </c>
      <c r="T1247">
        <f>IFERROR(IF(--INDEX('Pooled funds'!$E:$E,ROW())&gt;=1,--INDEX('Pooled funds'!$E:$E,ROW())/100,--INDEX('Pooled funds'!$E:$E,ROW())),0)</f>
        <v/>
      </c>
      <c r="U1247">
        <f>IF(ISNUMBER(INDEX('Pooled funds'!$E:$E,ROW())),1,0)</f>
        <v/>
      </c>
    </row>
    <row r="1248">
      <c r="A1248">
        <f>TRIM(SUBSTITUTE(INDEX('Term investments'!$A:$A,ROW())&amp;""," "," "))</f>
        <v/>
      </c>
      <c r="B1248">
        <f>TRIM(SUBSTITUTE(INDEX('Term investments'!$B:$B,ROW())&amp;""," "," "))</f>
        <v/>
      </c>
      <c r="C1248">
        <f>TRIM(SUBSTITUTE(INDEX('Term investments'!$C:$C,ROW())&amp;""," "," "))</f>
        <v/>
      </c>
      <c r="D1248">
        <f>IFERROR(--INDEX('Term investments'!$D:$D,ROW()),0)</f>
        <v/>
      </c>
      <c r="E1248">
        <f>IFERROR(--INDEX('Term investments'!$E:$E,ROW()),0)</f>
        <v/>
      </c>
      <c r="F1248">
        <f>IFERROR(--INDEX('Term investments'!$F:$F,ROW()),0)</f>
        <v/>
      </c>
      <c r="G1248">
        <f>IFERROR(IF(--INDEX('Term investments'!$G:$G,ROW())&gt;=1,--INDEX('Term investments'!$G:$G,ROW())/100,--INDEX('Term investments'!$G:$G,ROW())),0)</f>
        <v/>
      </c>
      <c r="H1248">
        <f>IFERROR(--INDEX('Term investments'!$H:$H,ROW()),0)</f>
        <v/>
      </c>
      <c r="I1248">
        <f>IF(ISNUMBER(INDEX('Term investments'!$G:$G,ROW())),1,0)</f>
        <v/>
      </c>
      <c r="J1248">
        <f>TRIM(SUBSTITUTE(INDEX('Call accounts and MMFs'!$A:$A,ROW())&amp;""," "," "))</f>
        <v/>
      </c>
      <c r="K1248">
        <f>TRIM(SUBSTITUTE(INDEX('Call accounts and MMFs'!$B:$B,ROW())&amp;""," "," "))</f>
        <v/>
      </c>
      <c r="L1248">
        <f>TRIM(SUBSTITUTE(INDEX('Call accounts and MMFs'!$C:$C,ROW())&amp;""," "," "))</f>
        <v/>
      </c>
      <c r="M1248">
        <f>IFERROR(--INDEX('Call accounts and MMFs'!$D:$D,ROW()),0)</f>
        <v/>
      </c>
      <c r="N1248">
        <f>IFERROR(IF(--INDEX('Call accounts and MMFs'!$E:$E,ROW())&gt;=1,--INDEX('Call accounts and MMFs'!$E:$E,ROW())/100,--INDEX('Call accounts and MMFs'!$E:$E,ROW())),0)</f>
        <v/>
      </c>
      <c r="O1248">
        <f>IFERROR(--INDEX('Call accounts and MMFs'!$F:$F,ROW()),0)</f>
        <v/>
      </c>
      <c r="P1248">
        <f>IF(ISNUMBER(INDEX('Call accounts and MMFs'!$E:$E,ROW())),1,0)</f>
        <v/>
      </c>
      <c r="Q1248">
        <f>TRIM(SUBSTITUTE(INDEX('Pooled funds'!$B:$B,ROW())&amp;""," "," "))</f>
        <v/>
      </c>
      <c r="R1248">
        <f>IFERROR(--INDEX('Pooled funds'!$C:$C,ROW()),0)</f>
        <v/>
      </c>
      <c r="S1248">
        <f>IFERROR(--INDEX('Pooled funds'!$D:$D,ROW()),0)</f>
        <v/>
      </c>
      <c r="T1248">
        <f>IFERROR(IF(--INDEX('Pooled funds'!$E:$E,ROW())&gt;=1,--INDEX('Pooled funds'!$E:$E,ROW())/100,--INDEX('Pooled funds'!$E:$E,ROW())),0)</f>
        <v/>
      </c>
      <c r="U1248">
        <f>IF(ISNUMBER(INDEX('Pooled funds'!$E:$E,ROW())),1,0)</f>
        <v/>
      </c>
    </row>
    <row r="1249">
      <c r="A1249">
        <f>TRIM(SUBSTITUTE(INDEX('Term investments'!$A:$A,ROW())&amp;""," "," "))</f>
        <v/>
      </c>
      <c r="B1249">
        <f>TRIM(SUBSTITUTE(INDEX('Term investments'!$B:$B,ROW())&amp;""," "," "))</f>
        <v/>
      </c>
      <c r="C1249">
        <f>TRIM(SUBSTITUTE(INDEX('Term investments'!$C:$C,ROW())&amp;""," "," "))</f>
        <v/>
      </c>
      <c r="D1249">
        <f>IFERROR(--INDEX('Term investments'!$D:$D,ROW()),0)</f>
        <v/>
      </c>
      <c r="E1249">
        <f>IFERROR(--INDEX('Term investments'!$E:$E,ROW()),0)</f>
        <v/>
      </c>
      <c r="F1249">
        <f>IFERROR(--INDEX('Term investments'!$F:$F,ROW()),0)</f>
        <v/>
      </c>
      <c r="G1249">
        <f>IFERROR(IF(--INDEX('Term investments'!$G:$G,ROW())&gt;=1,--INDEX('Term investments'!$G:$G,ROW())/100,--INDEX('Term investments'!$G:$G,ROW())),0)</f>
        <v/>
      </c>
      <c r="H1249">
        <f>IFERROR(--INDEX('Term investments'!$H:$H,ROW()),0)</f>
        <v/>
      </c>
      <c r="I1249">
        <f>IF(ISNUMBER(INDEX('Term investments'!$G:$G,ROW())),1,0)</f>
        <v/>
      </c>
      <c r="J1249">
        <f>TRIM(SUBSTITUTE(INDEX('Call accounts and MMFs'!$A:$A,ROW())&amp;""," "," "))</f>
        <v/>
      </c>
      <c r="K1249">
        <f>TRIM(SUBSTITUTE(INDEX('Call accounts and MMFs'!$B:$B,ROW())&amp;""," "," "))</f>
        <v/>
      </c>
      <c r="L1249">
        <f>TRIM(SUBSTITUTE(INDEX('Call accounts and MMFs'!$C:$C,ROW())&amp;""," "," "))</f>
        <v/>
      </c>
      <c r="M1249">
        <f>IFERROR(--INDEX('Call accounts and MMFs'!$D:$D,ROW()),0)</f>
        <v/>
      </c>
      <c r="N1249">
        <f>IFERROR(IF(--INDEX('Call accounts and MMFs'!$E:$E,ROW())&gt;=1,--INDEX('Call accounts and MMFs'!$E:$E,ROW())/100,--INDEX('Call accounts and MMFs'!$E:$E,ROW())),0)</f>
        <v/>
      </c>
      <c r="O1249">
        <f>IFERROR(--INDEX('Call accounts and MMFs'!$F:$F,ROW()),0)</f>
        <v/>
      </c>
      <c r="P1249">
        <f>IF(ISNUMBER(INDEX('Call accounts and MMFs'!$E:$E,ROW())),1,0)</f>
        <v/>
      </c>
      <c r="Q1249">
        <f>TRIM(SUBSTITUTE(INDEX('Pooled funds'!$B:$B,ROW())&amp;""," "," "))</f>
        <v/>
      </c>
      <c r="R1249">
        <f>IFERROR(--INDEX('Pooled funds'!$C:$C,ROW()),0)</f>
        <v/>
      </c>
      <c r="S1249">
        <f>IFERROR(--INDEX('Pooled funds'!$D:$D,ROW()),0)</f>
        <v/>
      </c>
      <c r="T1249">
        <f>IFERROR(IF(--INDEX('Pooled funds'!$E:$E,ROW())&gt;=1,--INDEX('Pooled funds'!$E:$E,ROW())/100,--INDEX('Pooled funds'!$E:$E,ROW())),0)</f>
        <v/>
      </c>
      <c r="U1249">
        <f>IF(ISNUMBER(INDEX('Pooled funds'!$E:$E,ROW())),1,0)</f>
        <v/>
      </c>
    </row>
    <row r="1250">
      <c r="A1250">
        <f>TRIM(SUBSTITUTE(INDEX('Term investments'!$A:$A,ROW())&amp;""," "," "))</f>
        <v/>
      </c>
      <c r="B1250">
        <f>TRIM(SUBSTITUTE(INDEX('Term investments'!$B:$B,ROW())&amp;""," "," "))</f>
        <v/>
      </c>
      <c r="C1250">
        <f>TRIM(SUBSTITUTE(INDEX('Term investments'!$C:$C,ROW())&amp;""," "," "))</f>
        <v/>
      </c>
      <c r="D1250">
        <f>IFERROR(--INDEX('Term investments'!$D:$D,ROW()),0)</f>
        <v/>
      </c>
      <c r="E1250">
        <f>IFERROR(--INDEX('Term investments'!$E:$E,ROW()),0)</f>
        <v/>
      </c>
      <c r="F1250">
        <f>IFERROR(--INDEX('Term investments'!$F:$F,ROW()),0)</f>
        <v/>
      </c>
      <c r="G1250">
        <f>IFERROR(IF(--INDEX('Term investments'!$G:$G,ROW())&gt;=1,--INDEX('Term investments'!$G:$G,ROW())/100,--INDEX('Term investments'!$G:$G,ROW())),0)</f>
        <v/>
      </c>
      <c r="H1250">
        <f>IFERROR(--INDEX('Term investments'!$H:$H,ROW()),0)</f>
        <v/>
      </c>
      <c r="I1250">
        <f>IF(ISNUMBER(INDEX('Term investments'!$G:$G,ROW())),1,0)</f>
        <v/>
      </c>
      <c r="J1250">
        <f>TRIM(SUBSTITUTE(INDEX('Call accounts and MMFs'!$A:$A,ROW())&amp;""," "," "))</f>
        <v/>
      </c>
      <c r="K1250">
        <f>TRIM(SUBSTITUTE(INDEX('Call accounts and MMFs'!$B:$B,ROW())&amp;""," "," "))</f>
        <v/>
      </c>
      <c r="L1250">
        <f>TRIM(SUBSTITUTE(INDEX('Call accounts and MMFs'!$C:$C,ROW())&amp;""," "," "))</f>
        <v/>
      </c>
      <c r="M1250">
        <f>IFERROR(--INDEX('Call accounts and MMFs'!$D:$D,ROW()),0)</f>
        <v/>
      </c>
      <c r="N1250">
        <f>IFERROR(IF(--INDEX('Call accounts and MMFs'!$E:$E,ROW())&gt;=1,--INDEX('Call accounts and MMFs'!$E:$E,ROW())/100,--INDEX('Call accounts and MMFs'!$E:$E,ROW())),0)</f>
        <v/>
      </c>
      <c r="O1250">
        <f>IFERROR(--INDEX('Call accounts and MMFs'!$F:$F,ROW()),0)</f>
        <v/>
      </c>
      <c r="P1250">
        <f>IF(ISNUMBER(INDEX('Call accounts and MMFs'!$E:$E,ROW())),1,0)</f>
        <v/>
      </c>
      <c r="Q1250">
        <f>TRIM(SUBSTITUTE(INDEX('Pooled funds'!$B:$B,ROW())&amp;""," "," "))</f>
        <v/>
      </c>
      <c r="R1250">
        <f>IFERROR(--INDEX('Pooled funds'!$C:$C,ROW()),0)</f>
        <v/>
      </c>
      <c r="S1250">
        <f>IFERROR(--INDEX('Pooled funds'!$D:$D,ROW()),0)</f>
        <v/>
      </c>
      <c r="T1250">
        <f>IFERROR(IF(--INDEX('Pooled funds'!$E:$E,ROW())&gt;=1,--INDEX('Pooled funds'!$E:$E,ROW())/100,--INDEX('Pooled funds'!$E:$E,ROW())),0)</f>
        <v/>
      </c>
      <c r="U1250">
        <f>IF(ISNUMBER(INDEX('Pooled funds'!$E:$E,ROW())),1,0)</f>
        <v/>
      </c>
    </row>
    <row r="1251">
      <c r="A1251">
        <f>TRIM(SUBSTITUTE(INDEX('Term investments'!$A:$A,ROW())&amp;""," "," "))</f>
        <v/>
      </c>
      <c r="B1251">
        <f>TRIM(SUBSTITUTE(INDEX('Term investments'!$B:$B,ROW())&amp;""," "," "))</f>
        <v/>
      </c>
      <c r="C1251">
        <f>TRIM(SUBSTITUTE(INDEX('Term investments'!$C:$C,ROW())&amp;""," "," "))</f>
        <v/>
      </c>
      <c r="D1251">
        <f>IFERROR(--INDEX('Term investments'!$D:$D,ROW()),0)</f>
        <v/>
      </c>
      <c r="E1251">
        <f>IFERROR(--INDEX('Term investments'!$E:$E,ROW()),0)</f>
        <v/>
      </c>
      <c r="F1251">
        <f>IFERROR(--INDEX('Term investments'!$F:$F,ROW()),0)</f>
        <v/>
      </c>
      <c r="G1251">
        <f>IFERROR(IF(--INDEX('Term investments'!$G:$G,ROW())&gt;=1,--INDEX('Term investments'!$G:$G,ROW())/100,--INDEX('Term investments'!$G:$G,ROW())),0)</f>
        <v/>
      </c>
      <c r="H1251">
        <f>IFERROR(--INDEX('Term investments'!$H:$H,ROW()),0)</f>
        <v/>
      </c>
      <c r="I1251">
        <f>IF(ISNUMBER(INDEX('Term investments'!$G:$G,ROW())),1,0)</f>
        <v/>
      </c>
      <c r="J1251">
        <f>TRIM(SUBSTITUTE(INDEX('Call accounts and MMFs'!$A:$A,ROW())&amp;""," "," "))</f>
        <v/>
      </c>
      <c r="K1251">
        <f>TRIM(SUBSTITUTE(INDEX('Call accounts and MMFs'!$B:$B,ROW())&amp;""," "," "))</f>
        <v/>
      </c>
      <c r="L1251">
        <f>TRIM(SUBSTITUTE(INDEX('Call accounts and MMFs'!$C:$C,ROW())&amp;""," "," "))</f>
        <v/>
      </c>
      <c r="M1251">
        <f>IFERROR(--INDEX('Call accounts and MMFs'!$D:$D,ROW()),0)</f>
        <v/>
      </c>
      <c r="N1251">
        <f>IFERROR(IF(--INDEX('Call accounts and MMFs'!$E:$E,ROW())&gt;=1,--INDEX('Call accounts and MMFs'!$E:$E,ROW())/100,--INDEX('Call accounts and MMFs'!$E:$E,ROW())),0)</f>
        <v/>
      </c>
      <c r="O1251">
        <f>IFERROR(--INDEX('Call accounts and MMFs'!$F:$F,ROW()),0)</f>
        <v/>
      </c>
      <c r="P1251">
        <f>IF(ISNUMBER(INDEX('Call accounts and MMFs'!$E:$E,ROW())),1,0)</f>
        <v/>
      </c>
      <c r="Q1251">
        <f>TRIM(SUBSTITUTE(INDEX('Pooled funds'!$B:$B,ROW())&amp;""," "," "))</f>
        <v/>
      </c>
      <c r="R1251">
        <f>IFERROR(--INDEX('Pooled funds'!$C:$C,ROW()),0)</f>
        <v/>
      </c>
      <c r="S1251">
        <f>IFERROR(--INDEX('Pooled funds'!$D:$D,ROW()),0)</f>
        <v/>
      </c>
      <c r="T1251">
        <f>IFERROR(IF(--INDEX('Pooled funds'!$E:$E,ROW())&gt;=1,--INDEX('Pooled funds'!$E:$E,ROW())/100,--INDEX('Pooled funds'!$E:$E,ROW())),0)</f>
        <v/>
      </c>
      <c r="U1251">
        <f>IF(ISNUMBER(INDEX('Pooled funds'!$E:$E,ROW())),1,0)</f>
        <v/>
      </c>
    </row>
    <row r="1252">
      <c r="A1252">
        <f>TRIM(SUBSTITUTE(INDEX('Term investments'!$A:$A,ROW())&amp;""," "," "))</f>
        <v/>
      </c>
      <c r="B1252">
        <f>TRIM(SUBSTITUTE(INDEX('Term investments'!$B:$B,ROW())&amp;""," "," "))</f>
        <v/>
      </c>
      <c r="C1252">
        <f>TRIM(SUBSTITUTE(INDEX('Term investments'!$C:$C,ROW())&amp;""," "," "))</f>
        <v/>
      </c>
      <c r="D1252">
        <f>IFERROR(--INDEX('Term investments'!$D:$D,ROW()),0)</f>
        <v/>
      </c>
      <c r="E1252">
        <f>IFERROR(--INDEX('Term investments'!$E:$E,ROW()),0)</f>
        <v/>
      </c>
      <c r="F1252">
        <f>IFERROR(--INDEX('Term investments'!$F:$F,ROW()),0)</f>
        <v/>
      </c>
      <c r="G1252">
        <f>IFERROR(IF(--INDEX('Term investments'!$G:$G,ROW())&gt;=1,--INDEX('Term investments'!$G:$G,ROW())/100,--INDEX('Term investments'!$G:$G,ROW())),0)</f>
        <v/>
      </c>
      <c r="H1252">
        <f>IFERROR(--INDEX('Term investments'!$H:$H,ROW()),0)</f>
        <v/>
      </c>
      <c r="I1252">
        <f>IF(ISNUMBER(INDEX('Term investments'!$G:$G,ROW())),1,0)</f>
        <v/>
      </c>
      <c r="J1252">
        <f>TRIM(SUBSTITUTE(INDEX('Call accounts and MMFs'!$A:$A,ROW())&amp;""," "," "))</f>
        <v/>
      </c>
      <c r="K1252">
        <f>TRIM(SUBSTITUTE(INDEX('Call accounts and MMFs'!$B:$B,ROW())&amp;""," "," "))</f>
        <v/>
      </c>
      <c r="L1252">
        <f>TRIM(SUBSTITUTE(INDEX('Call accounts and MMFs'!$C:$C,ROW())&amp;""," "," "))</f>
        <v/>
      </c>
      <c r="M1252">
        <f>IFERROR(--INDEX('Call accounts and MMFs'!$D:$D,ROW()),0)</f>
        <v/>
      </c>
      <c r="N1252">
        <f>IFERROR(IF(--INDEX('Call accounts and MMFs'!$E:$E,ROW())&gt;=1,--INDEX('Call accounts and MMFs'!$E:$E,ROW())/100,--INDEX('Call accounts and MMFs'!$E:$E,ROW())),0)</f>
        <v/>
      </c>
      <c r="O1252">
        <f>IFERROR(--INDEX('Call accounts and MMFs'!$F:$F,ROW()),0)</f>
        <v/>
      </c>
      <c r="P1252">
        <f>IF(ISNUMBER(INDEX('Call accounts and MMFs'!$E:$E,ROW())),1,0)</f>
        <v/>
      </c>
      <c r="Q1252">
        <f>TRIM(SUBSTITUTE(INDEX('Pooled funds'!$B:$B,ROW())&amp;""," "," "))</f>
        <v/>
      </c>
      <c r="R1252">
        <f>IFERROR(--INDEX('Pooled funds'!$C:$C,ROW()),0)</f>
        <v/>
      </c>
      <c r="S1252">
        <f>IFERROR(--INDEX('Pooled funds'!$D:$D,ROW()),0)</f>
        <v/>
      </c>
      <c r="T1252">
        <f>IFERROR(IF(--INDEX('Pooled funds'!$E:$E,ROW())&gt;=1,--INDEX('Pooled funds'!$E:$E,ROW())/100,--INDEX('Pooled funds'!$E:$E,ROW())),0)</f>
        <v/>
      </c>
      <c r="U1252">
        <f>IF(ISNUMBER(INDEX('Pooled funds'!$E:$E,ROW())),1,0)</f>
        <v/>
      </c>
    </row>
    <row r="1253">
      <c r="A1253">
        <f>TRIM(SUBSTITUTE(INDEX('Term investments'!$A:$A,ROW())&amp;""," "," "))</f>
        <v/>
      </c>
      <c r="B1253">
        <f>TRIM(SUBSTITUTE(INDEX('Term investments'!$B:$B,ROW())&amp;""," "," "))</f>
        <v/>
      </c>
      <c r="C1253">
        <f>TRIM(SUBSTITUTE(INDEX('Term investments'!$C:$C,ROW())&amp;""," "," "))</f>
        <v/>
      </c>
      <c r="D1253">
        <f>IFERROR(--INDEX('Term investments'!$D:$D,ROW()),0)</f>
        <v/>
      </c>
      <c r="E1253">
        <f>IFERROR(--INDEX('Term investments'!$E:$E,ROW()),0)</f>
        <v/>
      </c>
      <c r="F1253">
        <f>IFERROR(--INDEX('Term investments'!$F:$F,ROW()),0)</f>
        <v/>
      </c>
      <c r="G1253">
        <f>IFERROR(IF(--INDEX('Term investments'!$G:$G,ROW())&gt;=1,--INDEX('Term investments'!$G:$G,ROW())/100,--INDEX('Term investments'!$G:$G,ROW())),0)</f>
        <v/>
      </c>
      <c r="H1253">
        <f>IFERROR(--INDEX('Term investments'!$H:$H,ROW()),0)</f>
        <v/>
      </c>
      <c r="I1253">
        <f>IF(ISNUMBER(INDEX('Term investments'!$G:$G,ROW())),1,0)</f>
        <v/>
      </c>
      <c r="J1253">
        <f>TRIM(SUBSTITUTE(INDEX('Call accounts and MMFs'!$A:$A,ROW())&amp;""," "," "))</f>
        <v/>
      </c>
      <c r="K1253">
        <f>TRIM(SUBSTITUTE(INDEX('Call accounts and MMFs'!$B:$B,ROW())&amp;""," "," "))</f>
        <v/>
      </c>
      <c r="L1253">
        <f>TRIM(SUBSTITUTE(INDEX('Call accounts and MMFs'!$C:$C,ROW())&amp;""," "," "))</f>
        <v/>
      </c>
      <c r="M1253">
        <f>IFERROR(--INDEX('Call accounts and MMFs'!$D:$D,ROW()),0)</f>
        <v/>
      </c>
      <c r="N1253">
        <f>IFERROR(IF(--INDEX('Call accounts and MMFs'!$E:$E,ROW())&gt;=1,--INDEX('Call accounts and MMFs'!$E:$E,ROW())/100,--INDEX('Call accounts and MMFs'!$E:$E,ROW())),0)</f>
        <v/>
      </c>
      <c r="O1253">
        <f>IFERROR(--INDEX('Call accounts and MMFs'!$F:$F,ROW()),0)</f>
        <v/>
      </c>
      <c r="P1253">
        <f>IF(ISNUMBER(INDEX('Call accounts and MMFs'!$E:$E,ROW())),1,0)</f>
        <v/>
      </c>
      <c r="Q1253">
        <f>TRIM(SUBSTITUTE(INDEX('Pooled funds'!$B:$B,ROW())&amp;""," "," "))</f>
        <v/>
      </c>
      <c r="R1253">
        <f>IFERROR(--INDEX('Pooled funds'!$C:$C,ROW()),0)</f>
        <v/>
      </c>
      <c r="S1253">
        <f>IFERROR(--INDEX('Pooled funds'!$D:$D,ROW()),0)</f>
        <v/>
      </c>
      <c r="T1253">
        <f>IFERROR(IF(--INDEX('Pooled funds'!$E:$E,ROW())&gt;=1,--INDEX('Pooled funds'!$E:$E,ROW())/100,--INDEX('Pooled funds'!$E:$E,ROW())),0)</f>
        <v/>
      </c>
      <c r="U1253">
        <f>IF(ISNUMBER(INDEX('Pooled funds'!$E:$E,ROW())),1,0)</f>
        <v/>
      </c>
    </row>
    <row r="1254">
      <c r="A1254">
        <f>TRIM(SUBSTITUTE(INDEX('Term investments'!$A:$A,ROW())&amp;""," "," "))</f>
        <v/>
      </c>
      <c r="B1254">
        <f>TRIM(SUBSTITUTE(INDEX('Term investments'!$B:$B,ROW())&amp;""," "," "))</f>
        <v/>
      </c>
      <c r="C1254">
        <f>TRIM(SUBSTITUTE(INDEX('Term investments'!$C:$C,ROW())&amp;""," "," "))</f>
        <v/>
      </c>
      <c r="D1254">
        <f>IFERROR(--INDEX('Term investments'!$D:$D,ROW()),0)</f>
        <v/>
      </c>
      <c r="E1254">
        <f>IFERROR(--INDEX('Term investments'!$E:$E,ROW()),0)</f>
        <v/>
      </c>
      <c r="F1254">
        <f>IFERROR(--INDEX('Term investments'!$F:$F,ROW()),0)</f>
        <v/>
      </c>
      <c r="G1254">
        <f>IFERROR(IF(--INDEX('Term investments'!$G:$G,ROW())&gt;=1,--INDEX('Term investments'!$G:$G,ROW())/100,--INDEX('Term investments'!$G:$G,ROW())),0)</f>
        <v/>
      </c>
      <c r="H1254">
        <f>IFERROR(--INDEX('Term investments'!$H:$H,ROW()),0)</f>
        <v/>
      </c>
      <c r="I1254">
        <f>IF(ISNUMBER(INDEX('Term investments'!$G:$G,ROW())),1,0)</f>
        <v/>
      </c>
      <c r="J1254">
        <f>TRIM(SUBSTITUTE(INDEX('Call accounts and MMFs'!$A:$A,ROW())&amp;""," "," "))</f>
        <v/>
      </c>
      <c r="K1254">
        <f>TRIM(SUBSTITUTE(INDEX('Call accounts and MMFs'!$B:$B,ROW())&amp;""," "," "))</f>
        <v/>
      </c>
      <c r="L1254">
        <f>TRIM(SUBSTITUTE(INDEX('Call accounts and MMFs'!$C:$C,ROW())&amp;""," "," "))</f>
        <v/>
      </c>
      <c r="M1254">
        <f>IFERROR(--INDEX('Call accounts and MMFs'!$D:$D,ROW()),0)</f>
        <v/>
      </c>
      <c r="N1254">
        <f>IFERROR(IF(--INDEX('Call accounts and MMFs'!$E:$E,ROW())&gt;=1,--INDEX('Call accounts and MMFs'!$E:$E,ROW())/100,--INDEX('Call accounts and MMFs'!$E:$E,ROW())),0)</f>
        <v/>
      </c>
      <c r="O1254">
        <f>IFERROR(--INDEX('Call accounts and MMFs'!$F:$F,ROW()),0)</f>
        <v/>
      </c>
      <c r="P1254">
        <f>IF(ISNUMBER(INDEX('Call accounts and MMFs'!$E:$E,ROW())),1,0)</f>
        <v/>
      </c>
      <c r="Q1254">
        <f>TRIM(SUBSTITUTE(INDEX('Pooled funds'!$B:$B,ROW())&amp;""," "," "))</f>
        <v/>
      </c>
      <c r="R1254">
        <f>IFERROR(--INDEX('Pooled funds'!$C:$C,ROW()),0)</f>
        <v/>
      </c>
      <c r="S1254">
        <f>IFERROR(--INDEX('Pooled funds'!$D:$D,ROW()),0)</f>
        <v/>
      </c>
      <c r="T1254">
        <f>IFERROR(IF(--INDEX('Pooled funds'!$E:$E,ROW())&gt;=1,--INDEX('Pooled funds'!$E:$E,ROW())/100,--INDEX('Pooled funds'!$E:$E,ROW())),0)</f>
        <v/>
      </c>
      <c r="U1254">
        <f>IF(ISNUMBER(INDEX('Pooled funds'!$E:$E,ROW())),1,0)</f>
        <v/>
      </c>
    </row>
    <row r="1255">
      <c r="A1255">
        <f>TRIM(SUBSTITUTE(INDEX('Term investments'!$A:$A,ROW())&amp;""," "," "))</f>
        <v/>
      </c>
      <c r="B1255">
        <f>TRIM(SUBSTITUTE(INDEX('Term investments'!$B:$B,ROW())&amp;""," "," "))</f>
        <v/>
      </c>
      <c r="C1255">
        <f>TRIM(SUBSTITUTE(INDEX('Term investments'!$C:$C,ROW())&amp;""," "," "))</f>
        <v/>
      </c>
      <c r="D1255">
        <f>IFERROR(--INDEX('Term investments'!$D:$D,ROW()),0)</f>
        <v/>
      </c>
      <c r="E1255">
        <f>IFERROR(--INDEX('Term investments'!$E:$E,ROW()),0)</f>
        <v/>
      </c>
      <c r="F1255">
        <f>IFERROR(--INDEX('Term investments'!$F:$F,ROW()),0)</f>
        <v/>
      </c>
      <c r="G1255">
        <f>IFERROR(IF(--INDEX('Term investments'!$G:$G,ROW())&gt;=1,--INDEX('Term investments'!$G:$G,ROW())/100,--INDEX('Term investments'!$G:$G,ROW())),0)</f>
        <v/>
      </c>
      <c r="H1255">
        <f>IFERROR(--INDEX('Term investments'!$H:$H,ROW()),0)</f>
        <v/>
      </c>
      <c r="I1255">
        <f>IF(ISNUMBER(INDEX('Term investments'!$G:$G,ROW())),1,0)</f>
        <v/>
      </c>
      <c r="J1255">
        <f>TRIM(SUBSTITUTE(INDEX('Call accounts and MMFs'!$A:$A,ROW())&amp;""," "," "))</f>
        <v/>
      </c>
      <c r="K1255">
        <f>TRIM(SUBSTITUTE(INDEX('Call accounts and MMFs'!$B:$B,ROW())&amp;""," "," "))</f>
        <v/>
      </c>
      <c r="L1255">
        <f>TRIM(SUBSTITUTE(INDEX('Call accounts and MMFs'!$C:$C,ROW())&amp;""," "," "))</f>
        <v/>
      </c>
      <c r="M1255">
        <f>IFERROR(--INDEX('Call accounts and MMFs'!$D:$D,ROW()),0)</f>
        <v/>
      </c>
      <c r="N1255">
        <f>IFERROR(IF(--INDEX('Call accounts and MMFs'!$E:$E,ROW())&gt;=1,--INDEX('Call accounts and MMFs'!$E:$E,ROW())/100,--INDEX('Call accounts and MMFs'!$E:$E,ROW())),0)</f>
        <v/>
      </c>
      <c r="O1255">
        <f>IFERROR(--INDEX('Call accounts and MMFs'!$F:$F,ROW()),0)</f>
        <v/>
      </c>
      <c r="P1255">
        <f>IF(ISNUMBER(INDEX('Call accounts and MMFs'!$E:$E,ROW())),1,0)</f>
        <v/>
      </c>
      <c r="Q1255">
        <f>TRIM(SUBSTITUTE(INDEX('Pooled funds'!$B:$B,ROW())&amp;""," "," "))</f>
        <v/>
      </c>
      <c r="R1255">
        <f>IFERROR(--INDEX('Pooled funds'!$C:$C,ROW()),0)</f>
        <v/>
      </c>
      <c r="S1255">
        <f>IFERROR(--INDEX('Pooled funds'!$D:$D,ROW()),0)</f>
        <v/>
      </c>
      <c r="T1255">
        <f>IFERROR(IF(--INDEX('Pooled funds'!$E:$E,ROW())&gt;=1,--INDEX('Pooled funds'!$E:$E,ROW())/100,--INDEX('Pooled funds'!$E:$E,ROW())),0)</f>
        <v/>
      </c>
      <c r="U1255">
        <f>IF(ISNUMBER(INDEX('Pooled funds'!$E:$E,ROW())),1,0)</f>
        <v/>
      </c>
    </row>
    <row r="1256">
      <c r="A1256">
        <f>TRIM(SUBSTITUTE(INDEX('Term investments'!$A:$A,ROW())&amp;""," "," "))</f>
        <v/>
      </c>
      <c r="B1256">
        <f>TRIM(SUBSTITUTE(INDEX('Term investments'!$B:$B,ROW())&amp;""," "," "))</f>
        <v/>
      </c>
      <c r="C1256">
        <f>TRIM(SUBSTITUTE(INDEX('Term investments'!$C:$C,ROW())&amp;""," "," "))</f>
        <v/>
      </c>
      <c r="D1256">
        <f>IFERROR(--INDEX('Term investments'!$D:$D,ROW()),0)</f>
        <v/>
      </c>
      <c r="E1256">
        <f>IFERROR(--INDEX('Term investments'!$E:$E,ROW()),0)</f>
        <v/>
      </c>
      <c r="F1256">
        <f>IFERROR(--INDEX('Term investments'!$F:$F,ROW()),0)</f>
        <v/>
      </c>
      <c r="G1256">
        <f>IFERROR(IF(--INDEX('Term investments'!$G:$G,ROW())&gt;=1,--INDEX('Term investments'!$G:$G,ROW())/100,--INDEX('Term investments'!$G:$G,ROW())),0)</f>
        <v/>
      </c>
      <c r="H1256">
        <f>IFERROR(--INDEX('Term investments'!$H:$H,ROW()),0)</f>
        <v/>
      </c>
      <c r="I1256">
        <f>IF(ISNUMBER(INDEX('Term investments'!$G:$G,ROW())),1,0)</f>
        <v/>
      </c>
      <c r="J1256">
        <f>TRIM(SUBSTITUTE(INDEX('Call accounts and MMFs'!$A:$A,ROW())&amp;""," "," "))</f>
        <v/>
      </c>
      <c r="K1256">
        <f>TRIM(SUBSTITUTE(INDEX('Call accounts and MMFs'!$B:$B,ROW())&amp;""," "," "))</f>
        <v/>
      </c>
      <c r="L1256">
        <f>TRIM(SUBSTITUTE(INDEX('Call accounts and MMFs'!$C:$C,ROW())&amp;""," "," "))</f>
        <v/>
      </c>
      <c r="M1256">
        <f>IFERROR(--INDEX('Call accounts and MMFs'!$D:$D,ROW()),0)</f>
        <v/>
      </c>
      <c r="N1256">
        <f>IFERROR(IF(--INDEX('Call accounts and MMFs'!$E:$E,ROW())&gt;=1,--INDEX('Call accounts and MMFs'!$E:$E,ROW())/100,--INDEX('Call accounts and MMFs'!$E:$E,ROW())),0)</f>
        <v/>
      </c>
      <c r="O1256">
        <f>IFERROR(--INDEX('Call accounts and MMFs'!$F:$F,ROW()),0)</f>
        <v/>
      </c>
      <c r="P1256">
        <f>IF(ISNUMBER(INDEX('Call accounts and MMFs'!$E:$E,ROW())),1,0)</f>
        <v/>
      </c>
      <c r="Q1256">
        <f>TRIM(SUBSTITUTE(INDEX('Pooled funds'!$B:$B,ROW())&amp;""," "," "))</f>
        <v/>
      </c>
      <c r="R1256">
        <f>IFERROR(--INDEX('Pooled funds'!$C:$C,ROW()),0)</f>
        <v/>
      </c>
      <c r="S1256">
        <f>IFERROR(--INDEX('Pooled funds'!$D:$D,ROW()),0)</f>
        <v/>
      </c>
      <c r="T1256">
        <f>IFERROR(IF(--INDEX('Pooled funds'!$E:$E,ROW())&gt;=1,--INDEX('Pooled funds'!$E:$E,ROW())/100,--INDEX('Pooled funds'!$E:$E,ROW())),0)</f>
        <v/>
      </c>
      <c r="U1256">
        <f>IF(ISNUMBER(INDEX('Pooled funds'!$E:$E,ROW())),1,0)</f>
        <v/>
      </c>
    </row>
    <row r="1257">
      <c r="A1257">
        <f>TRIM(SUBSTITUTE(INDEX('Term investments'!$A:$A,ROW())&amp;""," "," "))</f>
        <v/>
      </c>
      <c r="B1257">
        <f>TRIM(SUBSTITUTE(INDEX('Term investments'!$B:$B,ROW())&amp;""," "," "))</f>
        <v/>
      </c>
      <c r="C1257">
        <f>TRIM(SUBSTITUTE(INDEX('Term investments'!$C:$C,ROW())&amp;""," "," "))</f>
        <v/>
      </c>
      <c r="D1257">
        <f>IFERROR(--INDEX('Term investments'!$D:$D,ROW()),0)</f>
        <v/>
      </c>
      <c r="E1257">
        <f>IFERROR(--INDEX('Term investments'!$E:$E,ROW()),0)</f>
        <v/>
      </c>
      <c r="F1257">
        <f>IFERROR(--INDEX('Term investments'!$F:$F,ROW()),0)</f>
        <v/>
      </c>
      <c r="G1257">
        <f>IFERROR(IF(--INDEX('Term investments'!$G:$G,ROW())&gt;=1,--INDEX('Term investments'!$G:$G,ROW())/100,--INDEX('Term investments'!$G:$G,ROW())),0)</f>
        <v/>
      </c>
      <c r="H1257">
        <f>IFERROR(--INDEX('Term investments'!$H:$H,ROW()),0)</f>
        <v/>
      </c>
      <c r="I1257">
        <f>IF(ISNUMBER(INDEX('Term investments'!$G:$G,ROW())),1,0)</f>
        <v/>
      </c>
      <c r="J1257">
        <f>TRIM(SUBSTITUTE(INDEX('Call accounts and MMFs'!$A:$A,ROW())&amp;""," "," "))</f>
        <v/>
      </c>
      <c r="K1257">
        <f>TRIM(SUBSTITUTE(INDEX('Call accounts and MMFs'!$B:$B,ROW())&amp;""," "," "))</f>
        <v/>
      </c>
      <c r="L1257">
        <f>TRIM(SUBSTITUTE(INDEX('Call accounts and MMFs'!$C:$C,ROW())&amp;""," "," "))</f>
        <v/>
      </c>
      <c r="M1257">
        <f>IFERROR(--INDEX('Call accounts and MMFs'!$D:$D,ROW()),0)</f>
        <v/>
      </c>
      <c r="N1257">
        <f>IFERROR(IF(--INDEX('Call accounts and MMFs'!$E:$E,ROW())&gt;=1,--INDEX('Call accounts and MMFs'!$E:$E,ROW())/100,--INDEX('Call accounts and MMFs'!$E:$E,ROW())),0)</f>
        <v/>
      </c>
      <c r="O1257">
        <f>IFERROR(--INDEX('Call accounts and MMFs'!$F:$F,ROW()),0)</f>
        <v/>
      </c>
      <c r="P1257">
        <f>IF(ISNUMBER(INDEX('Call accounts and MMFs'!$E:$E,ROW())),1,0)</f>
        <v/>
      </c>
      <c r="Q1257">
        <f>TRIM(SUBSTITUTE(INDEX('Pooled funds'!$B:$B,ROW())&amp;""," "," "))</f>
        <v/>
      </c>
      <c r="R1257">
        <f>IFERROR(--INDEX('Pooled funds'!$C:$C,ROW()),0)</f>
        <v/>
      </c>
      <c r="S1257">
        <f>IFERROR(--INDEX('Pooled funds'!$D:$D,ROW()),0)</f>
        <v/>
      </c>
      <c r="T1257">
        <f>IFERROR(IF(--INDEX('Pooled funds'!$E:$E,ROW())&gt;=1,--INDEX('Pooled funds'!$E:$E,ROW())/100,--INDEX('Pooled funds'!$E:$E,ROW())),0)</f>
        <v/>
      </c>
      <c r="U1257">
        <f>IF(ISNUMBER(INDEX('Pooled funds'!$E:$E,ROW())),1,0)</f>
        <v/>
      </c>
    </row>
    <row r="1258">
      <c r="A1258">
        <f>TRIM(SUBSTITUTE(INDEX('Term investments'!$A:$A,ROW())&amp;""," "," "))</f>
        <v/>
      </c>
      <c r="B1258">
        <f>TRIM(SUBSTITUTE(INDEX('Term investments'!$B:$B,ROW())&amp;""," "," "))</f>
        <v/>
      </c>
      <c r="C1258">
        <f>TRIM(SUBSTITUTE(INDEX('Term investments'!$C:$C,ROW())&amp;""," "," "))</f>
        <v/>
      </c>
      <c r="D1258">
        <f>IFERROR(--INDEX('Term investments'!$D:$D,ROW()),0)</f>
        <v/>
      </c>
      <c r="E1258">
        <f>IFERROR(--INDEX('Term investments'!$E:$E,ROW()),0)</f>
        <v/>
      </c>
      <c r="F1258">
        <f>IFERROR(--INDEX('Term investments'!$F:$F,ROW()),0)</f>
        <v/>
      </c>
      <c r="G1258">
        <f>IFERROR(IF(--INDEX('Term investments'!$G:$G,ROW())&gt;=1,--INDEX('Term investments'!$G:$G,ROW())/100,--INDEX('Term investments'!$G:$G,ROW())),0)</f>
        <v/>
      </c>
      <c r="H1258">
        <f>IFERROR(--INDEX('Term investments'!$H:$H,ROW()),0)</f>
        <v/>
      </c>
      <c r="I1258">
        <f>IF(ISNUMBER(INDEX('Term investments'!$G:$G,ROW())),1,0)</f>
        <v/>
      </c>
      <c r="J1258">
        <f>TRIM(SUBSTITUTE(INDEX('Call accounts and MMFs'!$A:$A,ROW())&amp;""," "," "))</f>
        <v/>
      </c>
      <c r="K1258">
        <f>TRIM(SUBSTITUTE(INDEX('Call accounts and MMFs'!$B:$B,ROW())&amp;""," "," "))</f>
        <v/>
      </c>
      <c r="L1258">
        <f>TRIM(SUBSTITUTE(INDEX('Call accounts and MMFs'!$C:$C,ROW())&amp;""," "," "))</f>
        <v/>
      </c>
      <c r="M1258">
        <f>IFERROR(--INDEX('Call accounts and MMFs'!$D:$D,ROW()),0)</f>
        <v/>
      </c>
      <c r="N1258">
        <f>IFERROR(IF(--INDEX('Call accounts and MMFs'!$E:$E,ROW())&gt;=1,--INDEX('Call accounts and MMFs'!$E:$E,ROW())/100,--INDEX('Call accounts and MMFs'!$E:$E,ROW())),0)</f>
        <v/>
      </c>
      <c r="O1258">
        <f>IFERROR(--INDEX('Call accounts and MMFs'!$F:$F,ROW()),0)</f>
        <v/>
      </c>
      <c r="P1258">
        <f>IF(ISNUMBER(INDEX('Call accounts and MMFs'!$E:$E,ROW())),1,0)</f>
        <v/>
      </c>
      <c r="Q1258">
        <f>TRIM(SUBSTITUTE(INDEX('Pooled funds'!$B:$B,ROW())&amp;""," "," "))</f>
        <v/>
      </c>
      <c r="R1258">
        <f>IFERROR(--INDEX('Pooled funds'!$C:$C,ROW()),0)</f>
        <v/>
      </c>
      <c r="S1258">
        <f>IFERROR(--INDEX('Pooled funds'!$D:$D,ROW()),0)</f>
        <v/>
      </c>
      <c r="T1258">
        <f>IFERROR(IF(--INDEX('Pooled funds'!$E:$E,ROW())&gt;=1,--INDEX('Pooled funds'!$E:$E,ROW())/100,--INDEX('Pooled funds'!$E:$E,ROW())),0)</f>
        <v/>
      </c>
      <c r="U1258">
        <f>IF(ISNUMBER(INDEX('Pooled funds'!$E:$E,ROW())),1,0)</f>
        <v/>
      </c>
    </row>
    <row r="1259">
      <c r="A1259">
        <f>TRIM(SUBSTITUTE(INDEX('Term investments'!$A:$A,ROW())&amp;""," "," "))</f>
        <v/>
      </c>
      <c r="B1259">
        <f>TRIM(SUBSTITUTE(INDEX('Term investments'!$B:$B,ROW())&amp;""," "," "))</f>
        <v/>
      </c>
      <c r="C1259">
        <f>TRIM(SUBSTITUTE(INDEX('Term investments'!$C:$C,ROW())&amp;""," "," "))</f>
        <v/>
      </c>
      <c r="D1259">
        <f>IFERROR(--INDEX('Term investments'!$D:$D,ROW()),0)</f>
        <v/>
      </c>
      <c r="E1259">
        <f>IFERROR(--INDEX('Term investments'!$E:$E,ROW()),0)</f>
        <v/>
      </c>
      <c r="F1259">
        <f>IFERROR(--INDEX('Term investments'!$F:$F,ROW()),0)</f>
        <v/>
      </c>
      <c r="G1259">
        <f>IFERROR(IF(--INDEX('Term investments'!$G:$G,ROW())&gt;=1,--INDEX('Term investments'!$G:$G,ROW())/100,--INDEX('Term investments'!$G:$G,ROW())),0)</f>
        <v/>
      </c>
      <c r="H1259">
        <f>IFERROR(--INDEX('Term investments'!$H:$H,ROW()),0)</f>
        <v/>
      </c>
      <c r="I1259">
        <f>IF(ISNUMBER(INDEX('Term investments'!$G:$G,ROW())),1,0)</f>
        <v/>
      </c>
      <c r="J1259">
        <f>TRIM(SUBSTITUTE(INDEX('Call accounts and MMFs'!$A:$A,ROW())&amp;""," "," "))</f>
        <v/>
      </c>
      <c r="K1259">
        <f>TRIM(SUBSTITUTE(INDEX('Call accounts and MMFs'!$B:$B,ROW())&amp;""," "," "))</f>
        <v/>
      </c>
      <c r="L1259">
        <f>TRIM(SUBSTITUTE(INDEX('Call accounts and MMFs'!$C:$C,ROW())&amp;""," "," "))</f>
        <v/>
      </c>
      <c r="M1259">
        <f>IFERROR(--INDEX('Call accounts and MMFs'!$D:$D,ROW()),0)</f>
        <v/>
      </c>
      <c r="N1259">
        <f>IFERROR(IF(--INDEX('Call accounts and MMFs'!$E:$E,ROW())&gt;=1,--INDEX('Call accounts and MMFs'!$E:$E,ROW())/100,--INDEX('Call accounts and MMFs'!$E:$E,ROW())),0)</f>
        <v/>
      </c>
      <c r="O1259">
        <f>IFERROR(--INDEX('Call accounts and MMFs'!$F:$F,ROW()),0)</f>
        <v/>
      </c>
      <c r="P1259">
        <f>IF(ISNUMBER(INDEX('Call accounts and MMFs'!$E:$E,ROW())),1,0)</f>
        <v/>
      </c>
      <c r="Q1259">
        <f>TRIM(SUBSTITUTE(INDEX('Pooled funds'!$B:$B,ROW())&amp;""," "," "))</f>
        <v/>
      </c>
      <c r="R1259">
        <f>IFERROR(--INDEX('Pooled funds'!$C:$C,ROW()),0)</f>
        <v/>
      </c>
      <c r="S1259">
        <f>IFERROR(--INDEX('Pooled funds'!$D:$D,ROW()),0)</f>
        <v/>
      </c>
      <c r="T1259">
        <f>IFERROR(IF(--INDEX('Pooled funds'!$E:$E,ROW())&gt;=1,--INDEX('Pooled funds'!$E:$E,ROW())/100,--INDEX('Pooled funds'!$E:$E,ROW())),0)</f>
        <v/>
      </c>
      <c r="U1259">
        <f>IF(ISNUMBER(INDEX('Pooled funds'!$E:$E,ROW())),1,0)</f>
        <v/>
      </c>
    </row>
    <row r="1260">
      <c r="A1260">
        <f>TRIM(SUBSTITUTE(INDEX('Term investments'!$A:$A,ROW())&amp;""," "," "))</f>
        <v/>
      </c>
      <c r="B1260">
        <f>TRIM(SUBSTITUTE(INDEX('Term investments'!$B:$B,ROW())&amp;""," "," "))</f>
        <v/>
      </c>
      <c r="C1260">
        <f>TRIM(SUBSTITUTE(INDEX('Term investments'!$C:$C,ROW())&amp;""," "," "))</f>
        <v/>
      </c>
      <c r="D1260">
        <f>IFERROR(--INDEX('Term investments'!$D:$D,ROW()),0)</f>
        <v/>
      </c>
      <c r="E1260">
        <f>IFERROR(--INDEX('Term investments'!$E:$E,ROW()),0)</f>
        <v/>
      </c>
      <c r="F1260">
        <f>IFERROR(--INDEX('Term investments'!$F:$F,ROW()),0)</f>
        <v/>
      </c>
      <c r="G1260">
        <f>IFERROR(IF(--INDEX('Term investments'!$G:$G,ROW())&gt;=1,--INDEX('Term investments'!$G:$G,ROW())/100,--INDEX('Term investments'!$G:$G,ROW())),0)</f>
        <v/>
      </c>
      <c r="H1260">
        <f>IFERROR(--INDEX('Term investments'!$H:$H,ROW()),0)</f>
        <v/>
      </c>
      <c r="I1260">
        <f>IF(ISNUMBER(INDEX('Term investments'!$G:$G,ROW())),1,0)</f>
        <v/>
      </c>
      <c r="J1260">
        <f>TRIM(SUBSTITUTE(INDEX('Call accounts and MMFs'!$A:$A,ROW())&amp;""," "," "))</f>
        <v/>
      </c>
      <c r="K1260">
        <f>TRIM(SUBSTITUTE(INDEX('Call accounts and MMFs'!$B:$B,ROW())&amp;""," "," "))</f>
        <v/>
      </c>
      <c r="L1260">
        <f>TRIM(SUBSTITUTE(INDEX('Call accounts and MMFs'!$C:$C,ROW())&amp;""," "," "))</f>
        <v/>
      </c>
      <c r="M1260">
        <f>IFERROR(--INDEX('Call accounts and MMFs'!$D:$D,ROW()),0)</f>
        <v/>
      </c>
      <c r="N1260">
        <f>IFERROR(IF(--INDEX('Call accounts and MMFs'!$E:$E,ROW())&gt;=1,--INDEX('Call accounts and MMFs'!$E:$E,ROW())/100,--INDEX('Call accounts and MMFs'!$E:$E,ROW())),0)</f>
        <v/>
      </c>
      <c r="O1260">
        <f>IFERROR(--INDEX('Call accounts and MMFs'!$F:$F,ROW()),0)</f>
        <v/>
      </c>
      <c r="P1260">
        <f>IF(ISNUMBER(INDEX('Call accounts and MMFs'!$E:$E,ROW())),1,0)</f>
        <v/>
      </c>
      <c r="Q1260">
        <f>TRIM(SUBSTITUTE(INDEX('Pooled funds'!$B:$B,ROW())&amp;""," "," "))</f>
        <v/>
      </c>
      <c r="R1260">
        <f>IFERROR(--INDEX('Pooled funds'!$C:$C,ROW()),0)</f>
        <v/>
      </c>
      <c r="S1260">
        <f>IFERROR(--INDEX('Pooled funds'!$D:$D,ROW()),0)</f>
        <v/>
      </c>
      <c r="T1260">
        <f>IFERROR(IF(--INDEX('Pooled funds'!$E:$E,ROW())&gt;=1,--INDEX('Pooled funds'!$E:$E,ROW())/100,--INDEX('Pooled funds'!$E:$E,ROW())),0)</f>
        <v/>
      </c>
      <c r="U1260">
        <f>IF(ISNUMBER(INDEX('Pooled funds'!$E:$E,ROW())),1,0)</f>
        <v/>
      </c>
    </row>
    <row r="1261">
      <c r="A1261">
        <f>TRIM(SUBSTITUTE(INDEX('Term investments'!$A:$A,ROW())&amp;""," "," "))</f>
        <v/>
      </c>
      <c r="B1261">
        <f>TRIM(SUBSTITUTE(INDEX('Term investments'!$B:$B,ROW())&amp;""," "," "))</f>
        <v/>
      </c>
      <c r="C1261">
        <f>TRIM(SUBSTITUTE(INDEX('Term investments'!$C:$C,ROW())&amp;""," "," "))</f>
        <v/>
      </c>
      <c r="D1261">
        <f>IFERROR(--INDEX('Term investments'!$D:$D,ROW()),0)</f>
        <v/>
      </c>
      <c r="E1261">
        <f>IFERROR(--INDEX('Term investments'!$E:$E,ROW()),0)</f>
        <v/>
      </c>
      <c r="F1261">
        <f>IFERROR(--INDEX('Term investments'!$F:$F,ROW()),0)</f>
        <v/>
      </c>
      <c r="G1261">
        <f>IFERROR(IF(--INDEX('Term investments'!$G:$G,ROW())&gt;=1,--INDEX('Term investments'!$G:$G,ROW())/100,--INDEX('Term investments'!$G:$G,ROW())),0)</f>
        <v/>
      </c>
      <c r="H1261">
        <f>IFERROR(--INDEX('Term investments'!$H:$H,ROW()),0)</f>
        <v/>
      </c>
      <c r="I1261">
        <f>IF(ISNUMBER(INDEX('Term investments'!$G:$G,ROW())),1,0)</f>
        <v/>
      </c>
      <c r="J1261">
        <f>TRIM(SUBSTITUTE(INDEX('Call accounts and MMFs'!$A:$A,ROW())&amp;""," "," "))</f>
        <v/>
      </c>
      <c r="K1261">
        <f>TRIM(SUBSTITUTE(INDEX('Call accounts and MMFs'!$B:$B,ROW())&amp;""," "," "))</f>
        <v/>
      </c>
      <c r="L1261">
        <f>TRIM(SUBSTITUTE(INDEX('Call accounts and MMFs'!$C:$C,ROW())&amp;""," "," "))</f>
        <v/>
      </c>
      <c r="M1261">
        <f>IFERROR(--INDEX('Call accounts and MMFs'!$D:$D,ROW()),0)</f>
        <v/>
      </c>
      <c r="N1261">
        <f>IFERROR(IF(--INDEX('Call accounts and MMFs'!$E:$E,ROW())&gt;=1,--INDEX('Call accounts and MMFs'!$E:$E,ROW())/100,--INDEX('Call accounts and MMFs'!$E:$E,ROW())),0)</f>
        <v/>
      </c>
      <c r="O1261">
        <f>IFERROR(--INDEX('Call accounts and MMFs'!$F:$F,ROW()),0)</f>
        <v/>
      </c>
      <c r="P1261">
        <f>IF(ISNUMBER(INDEX('Call accounts and MMFs'!$E:$E,ROW())),1,0)</f>
        <v/>
      </c>
      <c r="Q1261">
        <f>TRIM(SUBSTITUTE(INDEX('Pooled funds'!$B:$B,ROW())&amp;""," "," "))</f>
        <v/>
      </c>
      <c r="R1261">
        <f>IFERROR(--INDEX('Pooled funds'!$C:$C,ROW()),0)</f>
        <v/>
      </c>
      <c r="S1261">
        <f>IFERROR(--INDEX('Pooled funds'!$D:$D,ROW()),0)</f>
        <v/>
      </c>
      <c r="T1261">
        <f>IFERROR(IF(--INDEX('Pooled funds'!$E:$E,ROW())&gt;=1,--INDEX('Pooled funds'!$E:$E,ROW())/100,--INDEX('Pooled funds'!$E:$E,ROW())),0)</f>
        <v/>
      </c>
      <c r="U1261">
        <f>IF(ISNUMBER(INDEX('Pooled funds'!$E:$E,ROW())),1,0)</f>
        <v/>
      </c>
    </row>
    <row r="1262">
      <c r="A1262">
        <f>TRIM(SUBSTITUTE(INDEX('Term investments'!$A:$A,ROW())&amp;""," "," "))</f>
        <v/>
      </c>
      <c r="B1262">
        <f>TRIM(SUBSTITUTE(INDEX('Term investments'!$B:$B,ROW())&amp;""," "," "))</f>
        <v/>
      </c>
      <c r="C1262">
        <f>TRIM(SUBSTITUTE(INDEX('Term investments'!$C:$C,ROW())&amp;""," "," "))</f>
        <v/>
      </c>
      <c r="D1262">
        <f>IFERROR(--INDEX('Term investments'!$D:$D,ROW()),0)</f>
        <v/>
      </c>
      <c r="E1262">
        <f>IFERROR(--INDEX('Term investments'!$E:$E,ROW()),0)</f>
        <v/>
      </c>
      <c r="F1262">
        <f>IFERROR(--INDEX('Term investments'!$F:$F,ROW()),0)</f>
        <v/>
      </c>
      <c r="G1262">
        <f>IFERROR(IF(--INDEX('Term investments'!$G:$G,ROW())&gt;=1,--INDEX('Term investments'!$G:$G,ROW())/100,--INDEX('Term investments'!$G:$G,ROW())),0)</f>
        <v/>
      </c>
      <c r="H1262">
        <f>IFERROR(--INDEX('Term investments'!$H:$H,ROW()),0)</f>
        <v/>
      </c>
      <c r="I1262">
        <f>IF(ISNUMBER(INDEX('Term investments'!$G:$G,ROW())),1,0)</f>
        <v/>
      </c>
      <c r="J1262">
        <f>TRIM(SUBSTITUTE(INDEX('Call accounts and MMFs'!$A:$A,ROW())&amp;""," "," "))</f>
        <v/>
      </c>
      <c r="K1262">
        <f>TRIM(SUBSTITUTE(INDEX('Call accounts and MMFs'!$B:$B,ROW())&amp;""," "," "))</f>
        <v/>
      </c>
      <c r="L1262">
        <f>TRIM(SUBSTITUTE(INDEX('Call accounts and MMFs'!$C:$C,ROW())&amp;""," "," "))</f>
        <v/>
      </c>
      <c r="M1262">
        <f>IFERROR(--INDEX('Call accounts and MMFs'!$D:$D,ROW()),0)</f>
        <v/>
      </c>
      <c r="N1262">
        <f>IFERROR(IF(--INDEX('Call accounts and MMFs'!$E:$E,ROW())&gt;=1,--INDEX('Call accounts and MMFs'!$E:$E,ROW())/100,--INDEX('Call accounts and MMFs'!$E:$E,ROW())),0)</f>
        <v/>
      </c>
      <c r="O1262">
        <f>IFERROR(--INDEX('Call accounts and MMFs'!$F:$F,ROW()),0)</f>
        <v/>
      </c>
      <c r="P1262">
        <f>IF(ISNUMBER(INDEX('Call accounts and MMFs'!$E:$E,ROW())),1,0)</f>
        <v/>
      </c>
      <c r="Q1262">
        <f>TRIM(SUBSTITUTE(INDEX('Pooled funds'!$B:$B,ROW())&amp;""," "," "))</f>
        <v/>
      </c>
      <c r="R1262">
        <f>IFERROR(--INDEX('Pooled funds'!$C:$C,ROW()),0)</f>
        <v/>
      </c>
      <c r="S1262">
        <f>IFERROR(--INDEX('Pooled funds'!$D:$D,ROW()),0)</f>
        <v/>
      </c>
      <c r="T1262">
        <f>IFERROR(IF(--INDEX('Pooled funds'!$E:$E,ROW())&gt;=1,--INDEX('Pooled funds'!$E:$E,ROW())/100,--INDEX('Pooled funds'!$E:$E,ROW())),0)</f>
        <v/>
      </c>
      <c r="U1262">
        <f>IF(ISNUMBER(INDEX('Pooled funds'!$E:$E,ROW())),1,0)</f>
        <v/>
      </c>
    </row>
    <row r="1263">
      <c r="A1263">
        <f>TRIM(SUBSTITUTE(INDEX('Term investments'!$A:$A,ROW())&amp;""," "," "))</f>
        <v/>
      </c>
      <c r="B1263">
        <f>TRIM(SUBSTITUTE(INDEX('Term investments'!$B:$B,ROW())&amp;""," "," "))</f>
        <v/>
      </c>
      <c r="C1263">
        <f>TRIM(SUBSTITUTE(INDEX('Term investments'!$C:$C,ROW())&amp;""," "," "))</f>
        <v/>
      </c>
      <c r="D1263">
        <f>IFERROR(--INDEX('Term investments'!$D:$D,ROW()),0)</f>
        <v/>
      </c>
      <c r="E1263">
        <f>IFERROR(--INDEX('Term investments'!$E:$E,ROW()),0)</f>
        <v/>
      </c>
      <c r="F1263">
        <f>IFERROR(--INDEX('Term investments'!$F:$F,ROW()),0)</f>
        <v/>
      </c>
      <c r="G1263">
        <f>IFERROR(IF(--INDEX('Term investments'!$G:$G,ROW())&gt;=1,--INDEX('Term investments'!$G:$G,ROW())/100,--INDEX('Term investments'!$G:$G,ROW())),0)</f>
        <v/>
      </c>
      <c r="H1263">
        <f>IFERROR(--INDEX('Term investments'!$H:$H,ROW()),0)</f>
        <v/>
      </c>
      <c r="I1263">
        <f>IF(ISNUMBER(INDEX('Term investments'!$G:$G,ROW())),1,0)</f>
        <v/>
      </c>
      <c r="J1263">
        <f>TRIM(SUBSTITUTE(INDEX('Call accounts and MMFs'!$A:$A,ROW())&amp;""," "," "))</f>
        <v/>
      </c>
      <c r="K1263">
        <f>TRIM(SUBSTITUTE(INDEX('Call accounts and MMFs'!$B:$B,ROW())&amp;""," "," "))</f>
        <v/>
      </c>
      <c r="L1263">
        <f>TRIM(SUBSTITUTE(INDEX('Call accounts and MMFs'!$C:$C,ROW())&amp;""," "," "))</f>
        <v/>
      </c>
      <c r="M1263">
        <f>IFERROR(--INDEX('Call accounts and MMFs'!$D:$D,ROW()),0)</f>
        <v/>
      </c>
      <c r="N1263">
        <f>IFERROR(IF(--INDEX('Call accounts and MMFs'!$E:$E,ROW())&gt;=1,--INDEX('Call accounts and MMFs'!$E:$E,ROW())/100,--INDEX('Call accounts and MMFs'!$E:$E,ROW())),0)</f>
        <v/>
      </c>
      <c r="O1263">
        <f>IFERROR(--INDEX('Call accounts and MMFs'!$F:$F,ROW()),0)</f>
        <v/>
      </c>
      <c r="P1263">
        <f>IF(ISNUMBER(INDEX('Call accounts and MMFs'!$E:$E,ROW())),1,0)</f>
        <v/>
      </c>
      <c r="Q1263">
        <f>TRIM(SUBSTITUTE(INDEX('Pooled funds'!$B:$B,ROW())&amp;""," "," "))</f>
        <v/>
      </c>
      <c r="R1263">
        <f>IFERROR(--INDEX('Pooled funds'!$C:$C,ROW()),0)</f>
        <v/>
      </c>
      <c r="S1263">
        <f>IFERROR(--INDEX('Pooled funds'!$D:$D,ROW()),0)</f>
        <v/>
      </c>
      <c r="T1263">
        <f>IFERROR(IF(--INDEX('Pooled funds'!$E:$E,ROW())&gt;=1,--INDEX('Pooled funds'!$E:$E,ROW())/100,--INDEX('Pooled funds'!$E:$E,ROW())),0)</f>
        <v/>
      </c>
      <c r="U1263">
        <f>IF(ISNUMBER(INDEX('Pooled funds'!$E:$E,ROW())),1,0)</f>
        <v/>
      </c>
    </row>
    <row r="1264">
      <c r="A1264">
        <f>TRIM(SUBSTITUTE(INDEX('Term investments'!$A:$A,ROW())&amp;""," "," "))</f>
        <v/>
      </c>
      <c r="B1264">
        <f>TRIM(SUBSTITUTE(INDEX('Term investments'!$B:$B,ROW())&amp;""," "," "))</f>
        <v/>
      </c>
      <c r="C1264">
        <f>TRIM(SUBSTITUTE(INDEX('Term investments'!$C:$C,ROW())&amp;""," "," "))</f>
        <v/>
      </c>
      <c r="D1264">
        <f>IFERROR(--INDEX('Term investments'!$D:$D,ROW()),0)</f>
        <v/>
      </c>
      <c r="E1264">
        <f>IFERROR(--INDEX('Term investments'!$E:$E,ROW()),0)</f>
        <v/>
      </c>
      <c r="F1264">
        <f>IFERROR(--INDEX('Term investments'!$F:$F,ROW()),0)</f>
        <v/>
      </c>
      <c r="G1264">
        <f>IFERROR(IF(--INDEX('Term investments'!$G:$G,ROW())&gt;=1,--INDEX('Term investments'!$G:$G,ROW())/100,--INDEX('Term investments'!$G:$G,ROW())),0)</f>
        <v/>
      </c>
      <c r="H1264">
        <f>IFERROR(--INDEX('Term investments'!$H:$H,ROW()),0)</f>
        <v/>
      </c>
      <c r="I1264">
        <f>IF(ISNUMBER(INDEX('Term investments'!$G:$G,ROW())),1,0)</f>
        <v/>
      </c>
      <c r="J1264">
        <f>TRIM(SUBSTITUTE(INDEX('Call accounts and MMFs'!$A:$A,ROW())&amp;""," "," "))</f>
        <v/>
      </c>
      <c r="K1264">
        <f>TRIM(SUBSTITUTE(INDEX('Call accounts and MMFs'!$B:$B,ROW())&amp;""," "," "))</f>
        <v/>
      </c>
      <c r="L1264">
        <f>TRIM(SUBSTITUTE(INDEX('Call accounts and MMFs'!$C:$C,ROW())&amp;""," "," "))</f>
        <v/>
      </c>
      <c r="M1264">
        <f>IFERROR(--INDEX('Call accounts and MMFs'!$D:$D,ROW()),0)</f>
        <v/>
      </c>
      <c r="N1264">
        <f>IFERROR(IF(--INDEX('Call accounts and MMFs'!$E:$E,ROW())&gt;=1,--INDEX('Call accounts and MMFs'!$E:$E,ROW())/100,--INDEX('Call accounts and MMFs'!$E:$E,ROW())),0)</f>
        <v/>
      </c>
      <c r="O1264">
        <f>IFERROR(--INDEX('Call accounts and MMFs'!$F:$F,ROW()),0)</f>
        <v/>
      </c>
      <c r="P1264">
        <f>IF(ISNUMBER(INDEX('Call accounts and MMFs'!$E:$E,ROW())),1,0)</f>
        <v/>
      </c>
      <c r="Q1264">
        <f>TRIM(SUBSTITUTE(INDEX('Pooled funds'!$B:$B,ROW())&amp;""," "," "))</f>
        <v/>
      </c>
      <c r="R1264">
        <f>IFERROR(--INDEX('Pooled funds'!$C:$C,ROW()),0)</f>
        <v/>
      </c>
      <c r="S1264">
        <f>IFERROR(--INDEX('Pooled funds'!$D:$D,ROW()),0)</f>
        <v/>
      </c>
      <c r="T1264">
        <f>IFERROR(IF(--INDEX('Pooled funds'!$E:$E,ROW())&gt;=1,--INDEX('Pooled funds'!$E:$E,ROW())/100,--INDEX('Pooled funds'!$E:$E,ROW())),0)</f>
        <v/>
      </c>
      <c r="U1264">
        <f>IF(ISNUMBER(INDEX('Pooled funds'!$E:$E,ROW())),1,0)</f>
        <v/>
      </c>
    </row>
    <row r="1265">
      <c r="A1265">
        <f>TRIM(SUBSTITUTE(INDEX('Term investments'!$A:$A,ROW())&amp;""," "," "))</f>
        <v/>
      </c>
      <c r="B1265">
        <f>TRIM(SUBSTITUTE(INDEX('Term investments'!$B:$B,ROW())&amp;""," "," "))</f>
        <v/>
      </c>
      <c r="C1265">
        <f>TRIM(SUBSTITUTE(INDEX('Term investments'!$C:$C,ROW())&amp;""," "," "))</f>
        <v/>
      </c>
      <c r="D1265">
        <f>IFERROR(--INDEX('Term investments'!$D:$D,ROW()),0)</f>
        <v/>
      </c>
      <c r="E1265">
        <f>IFERROR(--INDEX('Term investments'!$E:$E,ROW()),0)</f>
        <v/>
      </c>
      <c r="F1265">
        <f>IFERROR(--INDEX('Term investments'!$F:$F,ROW()),0)</f>
        <v/>
      </c>
      <c r="G1265">
        <f>IFERROR(IF(--INDEX('Term investments'!$G:$G,ROW())&gt;=1,--INDEX('Term investments'!$G:$G,ROW())/100,--INDEX('Term investments'!$G:$G,ROW())),0)</f>
        <v/>
      </c>
      <c r="H1265">
        <f>IFERROR(--INDEX('Term investments'!$H:$H,ROW()),0)</f>
        <v/>
      </c>
      <c r="I1265">
        <f>IF(ISNUMBER(INDEX('Term investments'!$G:$G,ROW())),1,0)</f>
        <v/>
      </c>
      <c r="J1265">
        <f>TRIM(SUBSTITUTE(INDEX('Call accounts and MMFs'!$A:$A,ROW())&amp;""," "," "))</f>
        <v/>
      </c>
      <c r="K1265">
        <f>TRIM(SUBSTITUTE(INDEX('Call accounts and MMFs'!$B:$B,ROW())&amp;""," "," "))</f>
        <v/>
      </c>
      <c r="L1265">
        <f>TRIM(SUBSTITUTE(INDEX('Call accounts and MMFs'!$C:$C,ROW())&amp;""," "," "))</f>
        <v/>
      </c>
      <c r="M1265">
        <f>IFERROR(--INDEX('Call accounts and MMFs'!$D:$D,ROW()),0)</f>
        <v/>
      </c>
      <c r="N1265">
        <f>IFERROR(IF(--INDEX('Call accounts and MMFs'!$E:$E,ROW())&gt;=1,--INDEX('Call accounts and MMFs'!$E:$E,ROW())/100,--INDEX('Call accounts and MMFs'!$E:$E,ROW())),0)</f>
        <v/>
      </c>
      <c r="O1265">
        <f>IFERROR(--INDEX('Call accounts and MMFs'!$F:$F,ROW()),0)</f>
        <v/>
      </c>
      <c r="P1265">
        <f>IF(ISNUMBER(INDEX('Call accounts and MMFs'!$E:$E,ROW())),1,0)</f>
        <v/>
      </c>
      <c r="Q1265">
        <f>TRIM(SUBSTITUTE(INDEX('Pooled funds'!$B:$B,ROW())&amp;""," "," "))</f>
        <v/>
      </c>
      <c r="R1265">
        <f>IFERROR(--INDEX('Pooled funds'!$C:$C,ROW()),0)</f>
        <v/>
      </c>
      <c r="S1265">
        <f>IFERROR(--INDEX('Pooled funds'!$D:$D,ROW()),0)</f>
        <v/>
      </c>
      <c r="T1265">
        <f>IFERROR(IF(--INDEX('Pooled funds'!$E:$E,ROW())&gt;=1,--INDEX('Pooled funds'!$E:$E,ROW())/100,--INDEX('Pooled funds'!$E:$E,ROW())),0)</f>
        <v/>
      </c>
      <c r="U1265">
        <f>IF(ISNUMBER(INDEX('Pooled funds'!$E:$E,ROW())),1,0)</f>
        <v/>
      </c>
    </row>
    <row r="1266">
      <c r="A1266">
        <f>TRIM(SUBSTITUTE(INDEX('Term investments'!$A:$A,ROW())&amp;""," "," "))</f>
        <v/>
      </c>
      <c r="B1266">
        <f>TRIM(SUBSTITUTE(INDEX('Term investments'!$B:$B,ROW())&amp;""," "," "))</f>
        <v/>
      </c>
      <c r="C1266">
        <f>TRIM(SUBSTITUTE(INDEX('Term investments'!$C:$C,ROW())&amp;""," "," "))</f>
        <v/>
      </c>
      <c r="D1266">
        <f>IFERROR(--INDEX('Term investments'!$D:$D,ROW()),0)</f>
        <v/>
      </c>
      <c r="E1266">
        <f>IFERROR(--INDEX('Term investments'!$E:$E,ROW()),0)</f>
        <v/>
      </c>
      <c r="F1266">
        <f>IFERROR(--INDEX('Term investments'!$F:$F,ROW()),0)</f>
        <v/>
      </c>
      <c r="G1266">
        <f>IFERROR(IF(--INDEX('Term investments'!$G:$G,ROW())&gt;=1,--INDEX('Term investments'!$G:$G,ROW())/100,--INDEX('Term investments'!$G:$G,ROW())),0)</f>
        <v/>
      </c>
      <c r="H1266">
        <f>IFERROR(--INDEX('Term investments'!$H:$H,ROW()),0)</f>
        <v/>
      </c>
      <c r="I1266">
        <f>IF(ISNUMBER(INDEX('Term investments'!$G:$G,ROW())),1,0)</f>
        <v/>
      </c>
      <c r="J1266">
        <f>TRIM(SUBSTITUTE(INDEX('Call accounts and MMFs'!$A:$A,ROW())&amp;""," "," "))</f>
        <v/>
      </c>
      <c r="K1266">
        <f>TRIM(SUBSTITUTE(INDEX('Call accounts and MMFs'!$B:$B,ROW())&amp;""," "," "))</f>
        <v/>
      </c>
      <c r="L1266">
        <f>TRIM(SUBSTITUTE(INDEX('Call accounts and MMFs'!$C:$C,ROW())&amp;""," "," "))</f>
        <v/>
      </c>
      <c r="M1266">
        <f>IFERROR(--INDEX('Call accounts and MMFs'!$D:$D,ROW()),0)</f>
        <v/>
      </c>
      <c r="N1266">
        <f>IFERROR(IF(--INDEX('Call accounts and MMFs'!$E:$E,ROW())&gt;=1,--INDEX('Call accounts and MMFs'!$E:$E,ROW())/100,--INDEX('Call accounts and MMFs'!$E:$E,ROW())),0)</f>
        <v/>
      </c>
      <c r="O1266">
        <f>IFERROR(--INDEX('Call accounts and MMFs'!$F:$F,ROW()),0)</f>
        <v/>
      </c>
      <c r="P1266">
        <f>IF(ISNUMBER(INDEX('Call accounts and MMFs'!$E:$E,ROW())),1,0)</f>
        <v/>
      </c>
      <c r="Q1266">
        <f>TRIM(SUBSTITUTE(INDEX('Pooled funds'!$B:$B,ROW())&amp;""," "," "))</f>
        <v/>
      </c>
      <c r="R1266">
        <f>IFERROR(--INDEX('Pooled funds'!$C:$C,ROW()),0)</f>
        <v/>
      </c>
      <c r="S1266">
        <f>IFERROR(--INDEX('Pooled funds'!$D:$D,ROW()),0)</f>
        <v/>
      </c>
      <c r="T1266">
        <f>IFERROR(IF(--INDEX('Pooled funds'!$E:$E,ROW())&gt;=1,--INDEX('Pooled funds'!$E:$E,ROW())/100,--INDEX('Pooled funds'!$E:$E,ROW())),0)</f>
        <v/>
      </c>
      <c r="U1266">
        <f>IF(ISNUMBER(INDEX('Pooled funds'!$E:$E,ROW())),1,0)</f>
        <v/>
      </c>
    </row>
    <row r="1267">
      <c r="A1267">
        <f>TRIM(SUBSTITUTE(INDEX('Term investments'!$A:$A,ROW())&amp;""," "," "))</f>
        <v/>
      </c>
      <c r="B1267">
        <f>TRIM(SUBSTITUTE(INDEX('Term investments'!$B:$B,ROW())&amp;""," "," "))</f>
        <v/>
      </c>
      <c r="C1267">
        <f>TRIM(SUBSTITUTE(INDEX('Term investments'!$C:$C,ROW())&amp;""," "," "))</f>
        <v/>
      </c>
      <c r="D1267">
        <f>IFERROR(--INDEX('Term investments'!$D:$D,ROW()),0)</f>
        <v/>
      </c>
      <c r="E1267">
        <f>IFERROR(--INDEX('Term investments'!$E:$E,ROW()),0)</f>
        <v/>
      </c>
      <c r="F1267">
        <f>IFERROR(--INDEX('Term investments'!$F:$F,ROW()),0)</f>
        <v/>
      </c>
      <c r="G1267">
        <f>IFERROR(IF(--INDEX('Term investments'!$G:$G,ROW())&gt;=1,--INDEX('Term investments'!$G:$G,ROW())/100,--INDEX('Term investments'!$G:$G,ROW())),0)</f>
        <v/>
      </c>
      <c r="H1267">
        <f>IFERROR(--INDEX('Term investments'!$H:$H,ROW()),0)</f>
        <v/>
      </c>
      <c r="I1267">
        <f>IF(ISNUMBER(INDEX('Term investments'!$G:$G,ROW())),1,0)</f>
        <v/>
      </c>
      <c r="J1267">
        <f>TRIM(SUBSTITUTE(INDEX('Call accounts and MMFs'!$A:$A,ROW())&amp;""," "," "))</f>
        <v/>
      </c>
      <c r="K1267">
        <f>TRIM(SUBSTITUTE(INDEX('Call accounts and MMFs'!$B:$B,ROW())&amp;""," "," "))</f>
        <v/>
      </c>
      <c r="L1267">
        <f>TRIM(SUBSTITUTE(INDEX('Call accounts and MMFs'!$C:$C,ROW())&amp;""," "," "))</f>
        <v/>
      </c>
      <c r="M1267">
        <f>IFERROR(--INDEX('Call accounts and MMFs'!$D:$D,ROW()),0)</f>
        <v/>
      </c>
      <c r="N1267">
        <f>IFERROR(IF(--INDEX('Call accounts and MMFs'!$E:$E,ROW())&gt;=1,--INDEX('Call accounts and MMFs'!$E:$E,ROW())/100,--INDEX('Call accounts and MMFs'!$E:$E,ROW())),0)</f>
        <v/>
      </c>
      <c r="O1267">
        <f>IFERROR(--INDEX('Call accounts and MMFs'!$F:$F,ROW()),0)</f>
        <v/>
      </c>
      <c r="P1267">
        <f>IF(ISNUMBER(INDEX('Call accounts and MMFs'!$E:$E,ROW())),1,0)</f>
        <v/>
      </c>
      <c r="Q1267">
        <f>TRIM(SUBSTITUTE(INDEX('Pooled funds'!$B:$B,ROW())&amp;""," "," "))</f>
        <v/>
      </c>
      <c r="R1267">
        <f>IFERROR(--INDEX('Pooled funds'!$C:$C,ROW()),0)</f>
        <v/>
      </c>
      <c r="S1267">
        <f>IFERROR(--INDEX('Pooled funds'!$D:$D,ROW()),0)</f>
        <v/>
      </c>
      <c r="T1267">
        <f>IFERROR(IF(--INDEX('Pooled funds'!$E:$E,ROW())&gt;=1,--INDEX('Pooled funds'!$E:$E,ROW())/100,--INDEX('Pooled funds'!$E:$E,ROW())),0)</f>
        <v/>
      </c>
      <c r="U1267">
        <f>IF(ISNUMBER(INDEX('Pooled funds'!$E:$E,ROW())),1,0)</f>
        <v/>
      </c>
    </row>
    <row r="1268">
      <c r="A1268">
        <f>TRIM(SUBSTITUTE(INDEX('Term investments'!$A:$A,ROW())&amp;""," "," "))</f>
        <v/>
      </c>
      <c r="B1268">
        <f>TRIM(SUBSTITUTE(INDEX('Term investments'!$B:$B,ROW())&amp;""," "," "))</f>
        <v/>
      </c>
      <c r="C1268">
        <f>TRIM(SUBSTITUTE(INDEX('Term investments'!$C:$C,ROW())&amp;""," "," "))</f>
        <v/>
      </c>
      <c r="D1268">
        <f>IFERROR(--INDEX('Term investments'!$D:$D,ROW()),0)</f>
        <v/>
      </c>
      <c r="E1268">
        <f>IFERROR(--INDEX('Term investments'!$E:$E,ROW()),0)</f>
        <v/>
      </c>
      <c r="F1268">
        <f>IFERROR(--INDEX('Term investments'!$F:$F,ROW()),0)</f>
        <v/>
      </c>
      <c r="G1268">
        <f>IFERROR(IF(--INDEX('Term investments'!$G:$G,ROW())&gt;=1,--INDEX('Term investments'!$G:$G,ROW())/100,--INDEX('Term investments'!$G:$G,ROW())),0)</f>
        <v/>
      </c>
      <c r="H1268">
        <f>IFERROR(--INDEX('Term investments'!$H:$H,ROW()),0)</f>
        <v/>
      </c>
      <c r="I1268">
        <f>IF(ISNUMBER(INDEX('Term investments'!$G:$G,ROW())),1,0)</f>
        <v/>
      </c>
      <c r="J1268">
        <f>TRIM(SUBSTITUTE(INDEX('Call accounts and MMFs'!$A:$A,ROW())&amp;""," "," "))</f>
        <v/>
      </c>
      <c r="K1268">
        <f>TRIM(SUBSTITUTE(INDEX('Call accounts and MMFs'!$B:$B,ROW())&amp;""," "," "))</f>
        <v/>
      </c>
      <c r="L1268">
        <f>TRIM(SUBSTITUTE(INDEX('Call accounts and MMFs'!$C:$C,ROW())&amp;""," "," "))</f>
        <v/>
      </c>
      <c r="M1268">
        <f>IFERROR(--INDEX('Call accounts and MMFs'!$D:$D,ROW()),0)</f>
        <v/>
      </c>
      <c r="N1268">
        <f>IFERROR(IF(--INDEX('Call accounts and MMFs'!$E:$E,ROW())&gt;=1,--INDEX('Call accounts and MMFs'!$E:$E,ROW())/100,--INDEX('Call accounts and MMFs'!$E:$E,ROW())),0)</f>
        <v/>
      </c>
      <c r="O1268">
        <f>IFERROR(--INDEX('Call accounts and MMFs'!$F:$F,ROW()),0)</f>
        <v/>
      </c>
      <c r="P1268">
        <f>IF(ISNUMBER(INDEX('Call accounts and MMFs'!$E:$E,ROW())),1,0)</f>
        <v/>
      </c>
      <c r="Q1268">
        <f>TRIM(SUBSTITUTE(INDEX('Pooled funds'!$B:$B,ROW())&amp;""," "," "))</f>
        <v/>
      </c>
      <c r="R1268">
        <f>IFERROR(--INDEX('Pooled funds'!$C:$C,ROW()),0)</f>
        <v/>
      </c>
      <c r="S1268">
        <f>IFERROR(--INDEX('Pooled funds'!$D:$D,ROW()),0)</f>
        <v/>
      </c>
      <c r="T1268">
        <f>IFERROR(IF(--INDEX('Pooled funds'!$E:$E,ROW())&gt;=1,--INDEX('Pooled funds'!$E:$E,ROW())/100,--INDEX('Pooled funds'!$E:$E,ROW())),0)</f>
        <v/>
      </c>
      <c r="U1268">
        <f>IF(ISNUMBER(INDEX('Pooled funds'!$E:$E,ROW())),1,0)</f>
        <v/>
      </c>
    </row>
    <row r="1269">
      <c r="A1269">
        <f>TRIM(SUBSTITUTE(INDEX('Term investments'!$A:$A,ROW())&amp;""," "," "))</f>
        <v/>
      </c>
      <c r="B1269">
        <f>TRIM(SUBSTITUTE(INDEX('Term investments'!$B:$B,ROW())&amp;""," "," "))</f>
        <v/>
      </c>
      <c r="C1269">
        <f>TRIM(SUBSTITUTE(INDEX('Term investments'!$C:$C,ROW())&amp;""," "," "))</f>
        <v/>
      </c>
      <c r="D1269">
        <f>IFERROR(--INDEX('Term investments'!$D:$D,ROW()),0)</f>
        <v/>
      </c>
      <c r="E1269">
        <f>IFERROR(--INDEX('Term investments'!$E:$E,ROW()),0)</f>
        <v/>
      </c>
      <c r="F1269">
        <f>IFERROR(--INDEX('Term investments'!$F:$F,ROW()),0)</f>
        <v/>
      </c>
      <c r="G1269">
        <f>IFERROR(IF(--INDEX('Term investments'!$G:$G,ROW())&gt;=1,--INDEX('Term investments'!$G:$G,ROW())/100,--INDEX('Term investments'!$G:$G,ROW())),0)</f>
        <v/>
      </c>
      <c r="H1269">
        <f>IFERROR(--INDEX('Term investments'!$H:$H,ROW()),0)</f>
        <v/>
      </c>
      <c r="I1269">
        <f>IF(ISNUMBER(INDEX('Term investments'!$G:$G,ROW())),1,0)</f>
        <v/>
      </c>
      <c r="J1269">
        <f>TRIM(SUBSTITUTE(INDEX('Call accounts and MMFs'!$A:$A,ROW())&amp;""," "," "))</f>
        <v/>
      </c>
      <c r="K1269">
        <f>TRIM(SUBSTITUTE(INDEX('Call accounts and MMFs'!$B:$B,ROW())&amp;""," "," "))</f>
        <v/>
      </c>
      <c r="L1269">
        <f>TRIM(SUBSTITUTE(INDEX('Call accounts and MMFs'!$C:$C,ROW())&amp;""," "," "))</f>
        <v/>
      </c>
      <c r="M1269">
        <f>IFERROR(--INDEX('Call accounts and MMFs'!$D:$D,ROW()),0)</f>
        <v/>
      </c>
      <c r="N1269">
        <f>IFERROR(IF(--INDEX('Call accounts and MMFs'!$E:$E,ROW())&gt;=1,--INDEX('Call accounts and MMFs'!$E:$E,ROW())/100,--INDEX('Call accounts and MMFs'!$E:$E,ROW())),0)</f>
        <v/>
      </c>
      <c r="O1269">
        <f>IFERROR(--INDEX('Call accounts and MMFs'!$F:$F,ROW()),0)</f>
        <v/>
      </c>
      <c r="P1269">
        <f>IF(ISNUMBER(INDEX('Call accounts and MMFs'!$E:$E,ROW())),1,0)</f>
        <v/>
      </c>
      <c r="Q1269">
        <f>TRIM(SUBSTITUTE(INDEX('Pooled funds'!$B:$B,ROW())&amp;""," "," "))</f>
        <v/>
      </c>
      <c r="R1269">
        <f>IFERROR(--INDEX('Pooled funds'!$C:$C,ROW()),0)</f>
        <v/>
      </c>
      <c r="S1269">
        <f>IFERROR(--INDEX('Pooled funds'!$D:$D,ROW()),0)</f>
        <v/>
      </c>
      <c r="T1269">
        <f>IFERROR(IF(--INDEX('Pooled funds'!$E:$E,ROW())&gt;=1,--INDEX('Pooled funds'!$E:$E,ROW())/100,--INDEX('Pooled funds'!$E:$E,ROW())),0)</f>
        <v/>
      </c>
      <c r="U1269">
        <f>IF(ISNUMBER(INDEX('Pooled funds'!$E:$E,ROW())),1,0)</f>
        <v/>
      </c>
    </row>
    <row r="1270">
      <c r="A1270">
        <f>TRIM(SUBSTITUTE(INDEX('Term investments'!$A:$A,ROW())&amp;""," "," "))</f>
        <v/>
      </c>
      <c r="B1270">
        <f>TRIM(SUBSTITUTE(INDEX('Term investments'!$B:$B,ROW())&amp;""," "," "))</f>
        <v/>
      </c>
      <c r="C1270">
        <f>TRIM(SUBSTITUTE(INDEX('Term investments'!$C:$C,ROW())&amp;""," "," "))</f>
        <v/>
      </c>
      <c r="D1270">
        <f>IFERROR(--INDEX('Term investments'!$D:$D,ROW()),0)</f>
        <v/>
      </c>
      <c r="E1270">
        <f>IFERROR(--INDEX('Term investments'!$E:$E,ROW()),0)</f>
        <v/>
      </c>
      <c r="F1270">
        <f>IFERROR(--INDEX('Term investments'!$F:$F,ROW()),0)</f>
        <v/>
      </c>
      <c r="G1270">
        <f>IFERROR(IF(--INDEX('Term investments'!$G:$G,ROW())&gt;=1,--INDEX('Term investments'!$G:$G,ROW())/100,--INDEX('Term investments'!$G:$G,ROW())),0)</f>
        <v/>
      </c>
      <c r="H1270">
        <f>IFERROR(--INDEX('Term investments'!$H:$H,ROW()),0)</f>
        <v/>
      </c>
      <c r="I1270">
        <f>IF(ISNUMBER(INDEX('Term investments'!$G:$G,ROW())),1,0)</f>
        <v/>
      </c>
      <c r="J1270">
        <f>TRIM(SUBSTITUTE(INDEX('Call accounts and MMFs'!$A:$A,ROW())&amp;""," "," "))</f>
        <v/>
      </c>
      <c r="K1270">
        <f>TRIM(SUBSTITUTE(INDEX('Call accounts and MMFs'!$B:$B,ROW())&amp;""," "," "))</f>
        <v/>
      </c>
      <c r="L1270">
        <f>TRIM(SUBSTITUTE(INDEX('Call accounts and MMFs'!$C:$C,ROW())&amp;""," "," "))</f>
        <v/>
      </c>
      <c r="M1270">
        <f>IFERROR(--INDEX('Call accounts and MMFs'!$D:$D,ROW()),0)</f>
        <v/>
      </c>
      <c r="N1270">
        <f>IFERROR(IF(--INDEX('Call accounts and MMFs'!$E:$E,ROW())&gt;=1,--INDEX('Call accounts and MMFs'!$E:$E,ROW())/100,--INDEX('Call accounts and MMFs'!$E:$E,ROW())),0)</f>
        <v/>
      </c>
      <c r="O1270">
        <f>IFERROR(--INDEX('Call accounts and MMFs'!$F:$F,ROW()),0)</f>
        <v/>
      </c>
      <c r="P1270">
        <f>IF(ISNUMBER(INDEX('Call accounts and MMFs'!$E:$E,ROW())),1,0)</f>
        <v/>
      </c>
      <c r="Q1270">
        <f>TRIM(SUBSTITUTE(INDEX('Pooled funds'!$B:$B,ROW())&amp;""," "," "))</f>
        <v/>
      </c>
      <c r="R1270">
        <f>IFERROR(--INDEX('Pooled funds'!$C:$C,ROW()),0)</f>
        <v/>
      </c>
      <c r="S1270">
        <f>IFERROR(--INDEX('Pooled funds'!$D:$D,ROW()),0)</f>
        <v/>
      </c>
      <c r="T1270">
        <f>IFERROR(IF(--INDEX('Pooled funds'!$E:$E,ROW())&gt;=1,--INDEX('Pooled funds'!$E:$E,ROW())/100,--INDEX('Pooled funds'!$E:$E,ROW())),0)</f>
        <v/>
      </c>
      <c r="U1270">
        <f>IF(ISNUMBER(INDEX('Pooled funds'!$E:$E,ROW())),1,0)</f>
        <v/>
      </c>
    </row>
    <row r="1271">
      <c r="A1271">
        <f>TRIM(SUBSTITUTE(INDEX('Term investments'!$A:$A,ROW())&amp;""," "," "))</f>
        <v/>
      </c>
      <c r="B1271">
        <f>TRIM(SUBSTITUTE(INDEX('Term investments'!$B:$B,ROW())&amp;""," "," "))</f>
        <v/>
      </c>
      <c r="C1271">
        <f>TRIM(SUBSTITUTE(INDEX('Term investments'!$C:$C,ROW())&amp;""," "," "))</f>
        <v/>
      </c>
      <c r="D1271">
        <f>IFERROR(--INDEX('Term investments'!$D:$D,ROW()),0)</f>
        <v/>
      </c>
      <c r="E1271">
        <f>IFERROR(--INDEX('Term investments'!$E:$E,ROW()),0)</f>
        <v/>
      </c>
      <c r="F1271">
        <f>IFERROR(--INDEX('Term investments'!$F:$F,ROW()),0)</f>
        <v/>
      </c>
      <c r="G1271">
        <f>IFERROR(IF(--INDEX('Term investments'!$G:$G,ROW())&gt;=1,--INDEX('Term investments'!$G:$G,ROW())/100,--INDEX('Term investments'!$G:$G,ROW())),0)</f>
        <v/>
      </c>
      <c r="H1271">
        <f>IFERROR(--INDEX('Term investments'!$H:$H,ROW()),0)</f>
        <v/>
      </c>
      <c r="I1271">
        <f>IF(ISNUMBER(INDEX('Term investments'!$G:$G,ROW())),1,0)</f>
        <v/>
      </c>
      <c r="J1271">
        <f>TRIM(SUBSTITUTE(INDEX('Call accounts and MMFs'!$A:$A,ROW())&amp;""," "," "))</f>
        <v/>
      </c>
      <c r="K1271">
        <f>TRIM(SUBSTITUTE(INDEX('Call accounts and MMFs'!$B:$B,ROW())&amp;""," "," "))</f>
        <v/>
      </c>
      <c r="L1271">
        <f>TRIM(SUBSTITUTE(INDEX('Call accounts and MMFs'!$C:$C,ROW())&amp;""," "," "))</f>
        <v/>
      </c>
      <c r="M1271">
        <f>IFERROR(--INDEX('Call accounts and MMFs'!$D:$D,ROW()),0)</f>
        <v/>
      </c>
      <c r="N1271">
        <f>IFERROR(IF(--INDEX('Call accounts and MMFs'!$E:$E,ROW())&gt;=1,--INDEX('Call accounts and MMFs'!$E:$E,ROW())/100,--INDEX('Call accounts and MMFs'!$E:$E,ROW())),0)</f>
        <v/>
      </c>
      <c r="O1271">
        <f>IFERROR(--INDEX('Call accounts and MMFs'!$F:$F,ROW()),0)</f>
        <v/>
      </c>
      <c r="P1271">
        <f>IF(ISNUMBER(INDEX('Call accounts and MMFs'!$E:$E,ROW())),1,0)</f>
        <v/>
      </c>
      <c r="Q1271">
        <f>TRIM(SUBSTITUTE(INDEX('Pooled funds'!$B:$B,ROW())&amp;""," "," "))</f>
        <v/>
      </c>
      <c r="R1271">
        <f>IFERROR(--INDEX('Pooled funds'!$C:$C,ROW()),0)</f>
        <v/>
      </c>
      <c r="S1271">
        <f>IFERROR(--INDEX('Pooled funds'!$D:$D,ROW()),0)</f>
        <v/>
      </c>
      <c r="T1271">
        <f>IFERROR(IF(--INDEX('Pooled funds'!$E:$E,ROW())&gt;=1,--INDEX('Pooled funds'!$E:$E,ROW())/100,--INDEX('Pooled funds'!$E:$E,ROW())),0)</f>
        <v/>
      </c>
      <c r="U1271">
        <f>IF(ISNUMBER(INDEX('Pooled funds'!$E:$E,ROW())),1,0)</f>
        <v/>
      </c>
    </row>
    <row r="1272">
      <c r="A1272">
        <f>TRIM(SUBSTITUTE(INDEX('Term investments'!$A:$A,ROW())&amp;""," "," "))</f>
        <v/>
      </c>
      <c r="B1272">
        <f>TRIM(SUBSTITUTE(INDEX('Term investments'!$B:$B,ROW())&amp;""," "," "))</f>
        <v/>
      </c>
      <c r="C1272">
        <f>TRIM(SUBSTITUTE(INDEX('Term investments'!$C:$C,ROW())&amp;""," "," "))</f>
        <v/>
      </c>
      <c r="D1272">
        <f>IFERROR(--INDEX('Term investments'!$D:$D,ROW()),0)</f>
        <v/>
      </c>
      <c r="E1272">
        <f>IFERROR(--INDEX('Term investments'!$E:$E,ROW()),0)</f>
        <v/>
      </c>
      <c r="F1272">
        <f>IFERROR(--INDEX('Term investments'!$F:$F,ROW()),0)</f>
        <v/>
      </c>
      <c r="G1272">
        <f>IFERROR(IF(--INDEX('Term investments'!$G:$G,ROW())&gt;=1,--INDEX('Term investments'!$G:$G,ROW())/100,--INDEX('Term investments'!$G:$G,ROW())),0)</f>
        <v/>
      </c>
      <c r="H1272">
        <f>IFERROR(--INDEX('Term investments'!$H:$H,ROW()),0)</f>
        <v/>
      </c>
      <c r="I1272">
        <f>IF(ISNUMBER(INDEX('Term investments'!$G:$G,ROW())),1,0)</f>
        <v/>
      </c>
      <c r="J1272">
        <f>TRIM(SUBSTITUTE(INDEX('Call accounts and MMFs'!$A:$A,ROW())&amp;""," "," "))</f>
        <v/>
      </c>
      <c r="K1272">
        <f>TRIM(SUBSTITUTE(INDEX('Call accounts and MMFs'!$B:$B,ROW())&amp;""," "," "))</f>
        <v/>
      </c>
      <c r="L1272">
        <f>TRIM(SUBSTITUTE(INDEX('Call accounts and MMFs'!$C:$C,ROW())&amp;""," "," "))</f>
        <v/>
      </c>
      <c r="M1272">
        <f>IFERROR(--INDEX('Call accounts and MMFs'!$D:$D,ROW()),0)</f>
        <v/>
      </c>
      <c r="N1272">
        <f>IFERROR(IF(--INDEX('Call accounts and MMFs'!$E:$E,ROW())&gt;=1,--INDEX('Call accounts and MMFs'!$E:$E,ROW())/100,--INDEX('Call accounts and MMFs'!$E:$E,ROW())),0)</f>
        <v/>
      </c>
      <c r="O1272">
        <f>IFERROR(--INDEX('Call accounts and MMFs'!$F:$F,ROW()),0)</f>
        <v/>
      </c>
      <c r="P1272">
        <f>IF(ISNUMBER(INDEX('Call accounts and MMFs'!$E:$E,ROW())),1,0)</f>
        <v/>
      </c>
      <c r="Q1272">
        <f>TRIM(SUBSTITUTE(INDEX('Pooled funds'!$B:$B,ROW())&amp;""," "," "))</f>
        <v/>
      </c>
      <c r="R1272">
        <f>IFERROR(--INDEX('Pooled funds'!$C:$C,ROW()),0)</f>
        <v/>
      </c>
      <c r="S1272">
        <f>IFERROR(--INDEX('Pooled funds'!$D:$D,ROW()),0)</f>
        <v/>
      </c>
      <c r="T1272">
        <f>IFERROR(IF(--INDEX('Pooled funds'!$E:$E,ROW())&gt;=1,--INDEX('Pooled funds'!$E:$E,ROW())/100,--INDEX('Pooled funds'!$E:$E,ROW())),0)</f>
        <v/>
      </c>
      <c r="U1272">
        <f>IF(ISNUMBER(INDEX('Pooled funds'!$E:$E,ROW())),1,0)</f>
        <v/>
      </c>
    </row>
    <row r="1273">
      <c r="A1273">
        <f>TRIM(SUBSTITUTE(INDEX('Term investments'!$A:$A,ROW())&amp;""," "," "))</f>
        <v/>
      </c>
      <c r="B1273">
        <f>TRIM(SUBSTITUTE(INDEX('Term investments'!$B:$B,ROW())&amp;""," "," "))</f>
        <v/>
      </c>
      <c r="C1273">
        <f>TRIM(SUBSTITUTE(INDEX('Term investments'!$C:$C,ROW())&amp;""," "," "))</f>
        <v/>
      </c>
      <c r="D1273">
        <f>IFERROR(--INDEX('Term investments'!$D:$D,ROW()),0)</f>
        <v/>
      </c>
      <c r="E1273">
        <f>IFERROR(--INDEX('Term investments'!$E:$E,ROW()),0)</f>
        <v/>
      </c>
      <c r="F1273">
        <f>IFERROR(--INDEX('Term investments'!$F:$F,ROW()),0)</f>
        <v/>
      </c>
      <c r="G1273">
        <f>IFERROR(IF(--INDEX('Term investments'!$G:$G,ROW())&gt;=1,--INDEX('Term investments'!$G:$G,ROW())/100,--INDEX('Term investments'!$G:$G,ROW())),0)</f>
        <v/>
      </c>
      <c r="H1273">
        <f>IFERROR(--INDEX('Term investments'!$H:$H,ROW()),0)</f>
        <v/>
      </c>
      <c r="I1273">
        <f>IF(ISNUMBER(INDEX('Term investments'!$G:$G,ROW())),1,0)</f>
        <v/>
      </c>
      <c r="J1273">
        <f>TRIM(SUBSTITUTE(INDEX('Call accounts and MMFs'!$A:$A,ROW())&amp;""," "," "))</f>
        <v/>
      </c>
      <c r="K1273">
        <f>TRIM(SUBSTITUTE(INDEX('Call accounts and MMFs'!$B:$B,ROW())&amp;""," "," "))</f>
        <v/>
      </c>
      <c r="L1273">
        <f>TRIM(SUBSTITUTE(INDEX('Call accounts and MMFs'!$C:$C,ROW())&amp;""," "," "))</f>
        <v/>
      </c>
      <c r="M1273">
        <f>IFERROR(--INDEX('Call accounts and MMFs'!$D:$D,ROW()),0)</f>
        <v/>
      </c>
      <c r="N1273">
        <f>IFERROR(IF(--INDEX('Call accounts and MMFs'!$E:$E,ROW())&gt;=1,--INDEX('Call accounts and MMFs'!$E:$E,ROW())/100,--INDEX('Call accounts and MMFs'!$E:$E,ROW())),0)</f>
        <v/>
      </c>
      <c r="O1273">
        <f>IFERROR(--INDEX('Call accounts and MMFs'!$F:$F,ROW()),0)</f>
        <v/>
      </c>
      <c r="P1273">
        <f>IF(ISNUMBER(INDEX('Call accounts and MMFs'!$E:$E,ROW())),1,0)</f>
        <v/>
      </c>
      <c r="Q1273">
        <f>TRIM(SUBSTITUTE(INDEX('Pooled funds'!$B:$B,ROW())&amp;""," "," "))</f>
        <v/>
      </c>
      <c r="R1273">
        <f>IFERROR(--INDEX('Pooled funds'!$C:$C,ROW()),0)</f>
        <v/>
      </c>
      <c r="S1273">
        <f>IFERROR(--INDEX('Pooled funds'!$D:$D,ROW()),0)</f>
        <v/>
      </c>
      <c r="T1273">
        <f>IFERROR(IF(--INDEX('Pooled funds'!$E:$E,ROW())&gt;=1,--INDEX('Pooled funds'!$E:$E,ROW())/100,--INDEX('Pooled funds'!$E:$E,ROW())),0)</f>
        <v/>
      </c>
      <c r="U1273">
        <f>IF(ISNUMBER(INDEX('Pooled funds'!$E:$E,ROW())),1,0)</f>
        <v/>
      </c>
    </row>
    <row r="1274">
      <c r="A1274">
        <f>TRIM(SUBSTITUTE(INDEX('Term investments'!$A:$A,ROW())&amp;""," "," "))</f>
        <v/>
      </c>
      <c r="B1274">
        <f>TRIM(SUBSTITUTE(INDEX('Term investments'!$B:$B,ROW())&amp;""," "," "))</f>
        <v/>
      </c>
      <c r="C1274">
        <f>TRIM(SUBSTITUTE(INDEX('Term investments'!$C:$C,ROW())&amp;""," "," "))</f>
        <v/>
      </c>
      <c r="D1274">
        <f>IFERROR(--INDEX('Term investments'!$D:$D,ROW()),0)</f>
        <v/>
      </c>
      <c r="E1274">
        <f>IFERROR(--INDEX('Term investments'!$E:$E,ROW()),0)</f>
        <v/>
      </c>
      <c r="F1274">
        <f>IFERROR(--INDEX('Term investments'!$F:$F,ROW()),0)</f>
        <v/>
      </c>
      <c r="G1274">
        <f>IFERROR(IF(--INDEX('Term investments'!$G:$G,ROW())&gt;=1,--INDEX('Term investments'!$G:$G,ROW())/100,--INDEX('Term investments'!$G:$G,ROW())),0)</f>
        <v/>
      </c>
      <c r="H1274">
        <f>IFERROR(--INDEX('Term investments'!$H:$H,ROW()),0)</f>
        <v/>
      </c>
      <c r="I1274">
        <f>IF(ISNUMBER(INDEX('Term investments'!$G:$G,ROW())),1,0)</f>
        <v/>
      </c>
      <c r="J1274">
        <f>TRIM(SUBSTITUTE(INDEX('Call accounts and MMFs'!$A:$A,ROW())&amp;""," "," "))</f>
        <v/>
      </c>
      <c r="K1274">
        <f>TRIM(SUBSTITUTE(INDEX('Call accounts and MMFs'!$B:$B,ROW())&amp;""," "," "))</f>
        <v/>
      </c>
      <c r="L1274">
        <f>TRIM(SUBSTITUTE(INDEX('Call accounts and MMFs'!$C:$C,ROW())&amp;""," "," "))</f>
        <v/>
      </c>
      <c r="M1274">
        <f>IFERROR(--INDEX('Call accounts and MMFs'!$D:$D,ROW()),0)</f>
        <v/>
      </c>
      <c r="N1274">
        <f>IFERROR(IF(--INDEX('Call accounts and MMFs'!$E:$E,ROW())&gt;=1,--INDEX('Call accounts and MMFs'!$E:$E,ROW())/100,--INDEX('Call accounts and MMFs'!$E:$E,ROW())),0)</f>
        <v/>
      </c>
      <c r="O1274">
        <f>IFERROR(--INDEX('Call accounts and MMFs'!$F:$F,ROW()),0)</f>
        <v/>
      </c>
      <c r="P1274">
        <f>IF(ISNUMBER(INDEX('Call accounts and MMFs'!$E:$E,ROW())),1,0)</f>
        <v/>
      </c>
      <c r="Q1274">
        <f>TRIM(SUBSTITUTE(INDEX('Pooled funds'!$B:$B,ROW())&amp;""," "," "))</f>
        <v/>
      </c>
      <c r="R1274">
        <f>IFERROR(--INDEX('Pooled funds'!$C:$C,ROW()),0)</f>
        <v/>
      </c>
      <c r="S1274">
        <f>IFERROR(--INDEX('Pooled funds'!$D:$D,ROW()),0)</f>
        <v/>
      </c>
      <c r="T1274">
        <f>IFERROR(IF(--INDEX('Pooled funds'!$E:$E,ROW())&gt;=1,--INDEX('Pooled funds'!$E:$E,ROW())/100,--INDEX('Pooled funds'!$E:$E,ROW())),0)</f>
        <v/>
      </c>
      <c r="U1274">
        <f>IF(ISNUMBER(INDEX('Pooled funds'!$E:$E,ROW())),1,0)</f>
        <v/>
      </c>
    </row>
    <row r="1275">
      <c r="A1275">
        <f>TRIM(SUBSTITUTE(INDEX('Term investments'!$A:$A,ROW())&amp;""," "," "))</f>
        <v/>
      </c>
      <c r="B1275">
        <f>TRIM(SUBSTITUTE(INDEX('Term investments'!$B:$B,ROW())&amp;""," "," "))</f>
        <v/>
      </c>
      <c r="C1275">
        <f>TRIM(SUBSTITUTE(INDEX('Term investments'!$C:$C,ROW())&amp;""," "," "))</f>
        <v/>
      </c>
      <c r="D1275">
        <f>IFERROR(--INDEX('Term investments'!$D:$D,ROW()),0)</f>
        <v/>
      </c>
      <c r="E1275">
        <f>IFERROR(--INDEX('Term investments'!$E:$E,ROW()),0)</f>
        <v/>
      </c>
      <c r="F1275">
        <f>IFERROR(--INDEX('Term investments'!$F:$F,ROW()),0)</f>
        <v/>
      </c>
      <c r="G1275">
        <f>IFERROR(IF(--INDEX('Term investments'!$G:$G,ROW())&gt;=1,--INDEX('Term investments'!$G:$G,ROW())/100,--INDEX('Term investments'!$G:$G,ROW())),0)</f>
        <v/>
      </c>
      <c r="H1275">
        <f>IFERROR(--INDEX('Term investments'!$H:$H,ROW()),0)</f>
        <v/>
      </c>
      <c r="I1275">
        <f>IF(ISNUMBER(INDEX('Term investments'!$G:$G,ROW())),1,0)</f>
        <v/>
      </c>
      <c r="J1275">
        <f>TRIM(SUBSTITUTE(INDEX('Call accounts and MMFs'!$A:$A,ROW())&amp;""," "," "))</f>
        <v/>
      </c>
      <c r="K1275">
        <f>TRIM(SUBSTITUTE(INDEX('Call accounts and MMFs'!$B:$B,ROW())&amp;""," "," "))</f>
        <v/>
      </c>
      <c r="L1275">
        <f>TRIM(SUBSTITUTE(INDEX('Call accounts and MMFs'!$C:$C,ROW())&amp;""," "," "))</f>
        <v/>
      </c>
      <c r="M1275">
        <f>IFERROR(--INDEX('Call accounts and MMFs'!$D:$D,ROW()),0)</f>
        <v/>
      </c>
      <c r="N1275">
        <f>IFERROR(IF(--INDEX('Call accounts and MMFs'!$E:$E,ROW())&gt;=1,--INDEX('Call accounts and MMFs'!$E:$E,ROW())/100,--INDEX('Call accounts and MMFs'!$E:$E,ROW())),0)</f>
        <v/>
      </c>
      <c r="O1275">
        <f>IFERROR(--INDEX('Call accounts and MMFs'!$F:$F,ROW()),0)</f>
        <v/>
      </c>
      <c r="P1275">
        <f>IF(ISNUMBER(INDEX('Call accounts and MMFs'!$E:$E,ROW())),1,0)</f>
        <v/>
      </c>
      <c r="Q1275">
        <f>TRIM(SUBSTITUTE(INDEX('Pooled funds'!$B:$B,ROW())&amp;""," "," "))</f>
        <v/>
      </c>
      <c r="R1275">
        <f>IFERROR(--INDEX('Pooled funds'!$C:$C,ROW()),0)</f>
        <v/>
      </c>
      <c r="S1275">
        <f>IFERROR(--INDEX('Pooled funds'!$D:$D,ROW()),0)</f>
        <v/>
      </c>
      <c r="T1275">
        <f>IFERROR(IF(--INDEX('Pooled funds'!$E:$E,ROW())&gt;=1,--INDEX('Pooled funds'!$E:$E,ROW())/100,--INDEX('Pooled funds'!$E:$E,ROW())),0)</f>
        <v/>
      </c>
      <c r="U1275">
        <f>IF(ISNUMBER(INDEX('Pooled funds'!$E:$E,ROW())),1,0)</f>
        <v/>
      </c>
    </row>
    <row r="1276">
      <c r="A1276">
        <f>TRIM(SUBSTITUTE(INDEX('Term investments'!$A:$A,ROW())&amp;""," "," "))</f>
        <v/>
      </c>
      <c r="B1276">
        <f>TRIM(SUBSTITUTE(INDEX('Term investments'!$B:$B,ROW())&amp;""," "," "))</f>
        <v/>
      </c>
      <c r="C1276">
        <f>TRIM(SUBSTITUTE(INDEX('Term investments'!$C:$C,ROW())&amp;""," "," "))</f>
        <v/>
      </c>
      <c r="D1276">
        <f>IFERROR(--INDEX('Term investments'!$D:$D,ROW()),0)</f>
        <v/>
      </c>
      <c r="E1276">
        <f>IFERROR(--INDEX('Term investments'!$E:$E,ROW()),0)</f>
        <v/>
      </c>
      <c r="F1276">
        <f>IFERROR(--INDEX('Term investments'!$F:$F,ROW()),0)</f>
        <v/>
      </c>
      <c r="G1276">
        <f>IFERROR(IF(--INDEX('Term investments'!$G:$G,ROW())&gt;=1,--INDEX('Term investments'!$G:$G,ROW())/100,--INDEX('Term investments'!$G:$G,ROW())),0)</f>
        <v/>
      </c>
      <c r="H1276">
        <f>IFERROR(--INDEX('Term investments'!$H:$H,ROW()),0)</f>
        <v/>
      </c>
      <c r="I1276">
        <f>IF(ISNUMBER(INDEX('Term investments'!$G:$G,ROW())),1,0)</f>
        <v/>
      </c>
      <c r="J1276">
        <f>TRIM(SUBSTITUTE(INDEX('Call accounts and MMFs'!$A:$A,ROW())&amp;""," "," "))</f>
        <v/>
      </c>
      <c r="K1276">
        <f>TRIM(SUBSTITUTE(INDEX('Call accounts and MMFs'!$B:$B,ROW())&amp;""," "," "))</f>
        <v/>
      </c>
      <c r="L1276">
        <f>TRIM(SUBSTITUTE(INDEX('Call accounts and MMFs'!$C:$C,ROW())&amp;""," "," "))</f>
        <v/>
      </c>
      <c r="M1276">
        <f>IFERROR(--INDEX('Call accounts and MMFs'!$D:$D,ROW()),0)</f>
        <v/>
      </c>
      <c r="N1276">
        <f>IFERROR(IF(--INDEX('Call accounts and MMFs'!$E:$E,ROW())&gt;=1,--INDEX('Call accounts and MMFs'!$E:$E,ROW())/100,--INDEX('Call accounts and MMFs'!$E:$E,ROW())),0)</f>
        <v/>
      </c>
      <c r="O1276">
        <f>IFERROR(--INDEX('Call accounts and MMFs'!$F:$F,ROW()),0)</f>
        <v/>
      </c>
      <c r="P1276">
        <f>IF(ISNUMBER(INDEX('Call accounts and MMFs'!$E:$E,ROW())),1,0)</f>
        <v/>
      </c>
      <c r="Q1276">
        <f>TRIM(SUBSTITUTE(INDEX('Pooled funds'!$B:$B,ROW())&amp;""," "," "))</f>
        <v/>
      </c>
      <c r="R1276">
        <f>IFERROR(--INDEX('Pooled funds'!$C:$C,ROW()),0)</f>
        <v/>
      </c>
      <c r="S1276">
        <f>IFERROR(--INDEX('Pooled funds'!$D:$D,ROW()),0)</f>
        <v/>
      </c>
      <c r="T1276">
        <f>IFERROR(IF(--INDEX('Pooled funds'!$E:$E,ROW())&gt;=1,--INDEX('Pooled funds'!$E:$E,ROW())/100,--INDEX('Pooled funds'!$E:$E,ROW())),0)</f>
        <v/>
      </c>
      <c r="U1276">
        <f>IF(ISNUMBER(INDEX('Pooled funds'!$E:$E,ROW())),1,0)</f>
        <v/>
      </c>
    </row>
    <row r="1277">
      <c r="A1277">
        <f>TRIM(SUBSTITUTE(INDEX('Term investments'!$A:$A,ROW())&amp;""," "," "))</f>
        <v/>
      </c>
      <c r="B1277">
        <f>TRIM(SUBSTITUTE(INDEX('Term investments'!$B:$B,ROW())&amp;""," "," "))</f>
        <v/>
      </c>
      <c r="C1277">
        <f>TRIM(SUBSTITUTE(INDEX('Term investments'!$C:$C,ROW())&amp;""," "," "))</f>
        <v/>
      </c>
      <c r="D1277">
        <f>IFERROR(--INDEX('Term investments'!$D:$D,ROW()),0)</f>
        <v/>
      </c>
      <c r="E1277">
        <f>IFERROR(--INDEX('Term investments'!$E:$E,ROW()),0)</f>
        <v/>
      </c>
      <c r="F1277">
        <f>IFERROR(--INDEX('Term investments'!$F:$F,ROW()),0)</f>
        <v/>
      </c>
      <c r="G1277">
        <f>IFERROR(IF(--INDEX('Term investments'!$G:$G,ROW())&gt;=1,--INDEX('Term investments'!$G:$G,ROW())/100,--INDEX('Term investments'!$G:$G,ROW())),0)</f>
        <v/>
      </c>
      <c r="H1277">
        <f>IFERROR(--INDEX('Term investments'!$H:$H,ROW()),0)</f>
        <v/>
      </c>
      <c r="I1277">
        <f>IF(ISNUMBER(INDEX('Term investments'!$G:$G,ROW())),1,0)</f>
        <v/>
      </c>
      <c r="J1277">
        <f>TRIM(SUBSTITUTE(INDEX('Call accounts and MMFs'!$A:$A,ROW())&amp;""," "," "))</f>
        <v/>
      </c>
      <c r="K1277">
        <f>TRIM(SUBSTITUTE(INDEX('Call accounts and MMFs'!$B:$B,ROW())&amp;""," "," "))</f>
        <v/>
      </c>
      <c r="L1277">
        <f>TRIM(SUBSTITUTE(INDEX('Call accounts and MMFs'!$C:$C,ROW())&amp;""," "," "))</f>
        <v/>
      </c>
      <c r="M1277">
        <f>IFERROR(--INDEX('Call accounts and MMFs'!$D:$D,ROW()),0)</f>
        <v/>
      </c>
      <c r="N1277">
        <f>IFERROR(IF(--INDEX('Call accounts and MMFs'!$E:$E,ROW())&gt;=1,--INDEX('Call accounts and MMFs'!$E:$E,ROW())/100,--INDEX('Call accounts and MMFs'!$E:$E,ROW())),0)</f>
        <v/>
      </c>
      <c r="O1277">
        <f>IFERROR(--INDEX('Call accounts and MMFs'!$F:$F,ROW()),0)</f>
        <v/>
      </c>
      <c r="P1277">
        <f>IF(ISNUMBER(INDEX('Call accounts and MMFs'!$E:$E,ROW())),1,0)</f>
        <v/>
      </c>
      <c r="Q1277">
        <f>TRIM(SUBSTITUTE(INDEX('Pooled funds'!$B:$B,ROW())&amp;""," "," "))</f>
        <v/>
      </c>
      <c r="R1277">
        <f>IFERROR(--INDEX('Pooled funds'!$C:$C,ROW()),0)</f>
        <v/>
      </c>
      <c r="S1277">
        <f>IFERROR(--INDEX('Pooled funds'!$D:$D,ROW()),0)</f>
        <v/>
      </c>
      <c r="T1277">
        <f>IFERROR(IF(--INDEX('Pooled funds'!$E:$E,ROW())&gt;=1,--INDEX('Pooled funds'!$E:$E,ROW())/100,--INDEX('Pooled funds'!$E:$E,ROW())),0)</f>
        <v/>
      </c>
      <c r="U1277">
        <f>IF(ISNUMBER(INDEX('Pooled funds'!$E:$E,ROW())),1,0)</f>
        <v/>
      </c>
    </row>
    <row r="1278">
      <c r="A1278">
        <f>TRIM(SUBSTITUTE(INDEX('Term investments'!$A:$A,ROW())&amp;""," "," "))</f>
        <v/>
      </c>
      <c r="B1278">
        <f>TRIM(SUBSTITUTE(INDEX('Term investments'!$B:$B,ROW())&amp;""," "," "))</f>
        <v/>
      </c>
      <c r="C1278">
        <f>TRIM(SUBSTITUTE(INDEX('Term investments'!$C:$C,ROW())&amp;""," "," "))</f>
        <v/>
      </c>
      <c r="D1278">
        <f>IFERROR(--INDEX('Term investments'!$D:$D,ROW()),0)</f>
        <v/>
      </c>
      <c r="E1278">
        <f>IFERROR(--INDEX('Term investments'!$E:$E,ROW()),0)</f>
        <v/>
      </c>
      <c r="F1278">
        <f>IFERROR(--INDEX('Term investments'!$F:$F,ROW()),0)</f>
        <v/>
      </c>
      <c r="G1278">
        <f>IFERROR(IF(--INDEX('Term investments'!$G:$G,ROW())&gt;=1,--INDEX('Term investments'!$G:$G,ROW())/100,--INDEX('Term investments'!$G:$G,ROW())),0)</f>
        <v/>
      </c>
      <c r="H1278">
        <f>IFERROR(--INDEX('Term investments'!$H:$H,ROW()),0)</f>
        <v/>
      </c>
      <c r="I1278">
        <f>IF(ISNUMBER(INDEX('Term investments'!$G:$G,ROW())),1,0)</f>
        <v/>
      </c>
      <c r="J1278">
        <f>TRIM(SUBSTITUTE(INDEX('Call accounts and MMFs'!$A:$A,ROW())&amp;""," "," "))</f>
        <v/>
      </c>
      <c r="K1278">
        <f>TRIM(SUBSTITUTE(INDEX('Call accounts and MMFs'!$B:$B,ROW())&amp;""," "," "))</f>
        <v/>
      </c>
      <c r="L1278">
        <f>TRIM(SUBSTITUTE(INDEX('Call accounts and MMFs'!$C:$C,ROW())&amp;""," "," "))</f>
        <v/>
      </c>
      <c r="M1278">
        <f>IFERROR(--INDEX('Call accounts and MMFs'!$D:$D,ROW()),0)</f>
        <v/>
      </c>
      <c r="N1278">
        <f>IFERROR(IF(--INDEX('Call accounts and MMFs'!$E:$E,ROW())&gt;=1,--INDEX('Call accounts and MMFs'!$E:$E,ROW())/100,--INDEX('Call accounts and MMFs'!$E:$E,ROW())),0)</f>
        <v/>
      </c>
      <c r="O1278">
        <f>IFERROR(--INDEX('Call accounts and MMFs'!$F:$F,ROW()),0)</f>
        <v/>
      </c>
      <c r="P1278">
        <f>IF(ISNUMBER(INDEX('Call accounts and MMFs'!$E:$E,ROW())),1,0)</f>
        <v/>
      </c>
      <c r="Q1278">
        <f>TRIM(SUBSTITUTE(INDEX('Pooled funds'!$B:$B,ROW())&amp;""," "," "))</f>
        <v/>
      </c>
      <c r="R1278">
        <f>IFERROR(--INDEX('Pooled funds'!$C:$C,ROW()),0)</f>
        <v/>
      </c>
      <c r="S1278">
        <f>IFERROR(--INDEX('Pooled funds'!$D:$D,ROW()),0)</f>
        <v/>
      </c>
      <c r="T1278">
        <f>IFERROR(IF(--INDEX('Pooled funds'!$E:$E,ROW())&gt;=1,--INDEX('Pooled funds'!$E:$E,ROW())/100,--INDEX('Pooled funds'!$E:$E,ROW())),0)</f>
        <v/>
      </c>
      <c r="U1278">
        <f>IF(ISNUMBER(INDEX('Pooled funds'!$E:$E,ROW())),1,0)</f>
        <v/>
      </c>
    </row>
    <row r="1279">
      <c r="A1279">
        <f>TRIM(SUBSTITUTE(INDEX('Term investments'!$A:$A,ROW())&amp;""," "," "))</f>
        <v/>
      </c>
      <c r="B1279">
        <f>TRIM(SUBSTITUTE(INDEX('Term investments'!$B:$B,ROW())&amp;""," "," "))</f>
        <v/>
      </c>
      <c r="C1279">
        <f>TRIM(SUBSTITUTE(INDEX('Term investments'!$C:$C,ROW())&amp;""," "," "))</f>
        <v/>
      </c>
      <c r="D1279">
        <f>IFERROR(--INDEX('Term investments'!$D:$D,ROW()),0)</f>
        <v/>
      </c>
      <c r="E1279">
        <f>IFERROR(--INDEX('Term investments'!$E:$E,ROW()),0)</f>
        <v/>
      </c>
      <c r="F1279">
        <f>IFERROR(--INDEX('Term investments'!$F:$F,ROW()),0)</f>
        <v/>
      </c>
      <c r="G1279">
        <f>IFERROR(IF(--INDEX('Term investments'!$G:$G,ROW())&gt;=1,--INDEX('Term investments'!$G:$G,ROW())/100,--INDEX('Term investments'!$G:$G,ROW())),0)</f>
        <v/>
      </c>
      <c r="H1279">
        <f>IFERROR(--INDEX('Term investments'!$H:$H,ROW()),0)</f>
        <v/>
      </c>
      <c r="I1279">
        <f>IF(ISNUMBER(INDEX('Term investments'!$G:$G,ROW())),1,0)</f>
        <v/>
      </c>
      <c r="J1279">
        <f>TRIM(SUBSTITUTE(INDEX('Call accounts and MMFs'!$A:$A,ROW())&amp;""," "," "))</f>
        <v/>
      </c>
      <c r="K1279">
        <f>TRIM(SUBSTITUTE(INDEX('Call accounts and MMFs'!$B:$B,ROW())&amp;""," "," "))</f>
        <v/>
      </c>
      <c r="L1279">
        <f>TRIM(SUBSTITUTE(INDEX('Call accounts and MMFs'!$C:$C,ROW())&amp;""," "," "))</f>
        <v/>
      </c>
      <c r="M1279">
        <f>IFERROR(--INDEX('Call accounts and MMFs'!$D:$D,ROW()),0)</f>
        <v/>
      </c>
      <c r="N1279">
        <f>IFERROR(IF(--INDEX('Call accounts and MMFs'!$E:$E,ROW())&gt;=1,--INDEX('Call accounts and MMFs'!$E:$E,ROW())/100,--INDEX('Call accounts and MMFs'!$E:$E,ROW())),0)</f>
        <v/>
      </c>
      <c r="O1279">
        <f>IFERROR(--INDEX('Call accounts and MMFs'!$F:$F,ROW()),0)</f>
        <v/>
      </c>
      <c r="P1279">
        <f>IF(ISNUMBER(INDEX('Call accounts and MMFs'!$E:$E,ROW())),1,0)</f>
        <v/>
      </c>
      <c r="Q1279">
        <f>TRIM(SUBSTITUTE(INDEX('Pooled funds'!$B:$B,ROW())&amp;""," "," "))</f>
        <v/>
      </c>
      <c r="R1279">
        <f>IFERROR(--INDEX('Pooled funds'!$C:$C,ROW()),0)</f>
        <v/>
      </c>
      <c r="S1279">
        <f>IFERROR(--INDEX('Pooled funds'!$D:$D,ROW()),0)</f>
        <v/>
      </c>
      <c r="T1279">
        <f>IFERROR(IF(--INDEX('Pooled funds'!$E:$E,ROW())&gt;=1,--INDEX('Pooled funds'!$E:$E,ROW())/100,--INDEX('Pooled funds'!$E:$E,ROW())),0)</f>
        <v/>
      </c>
      <c r="U1279">
        <f>IF(ISNUMBER(INDEX('Pooled funds'!$E:$E,ROW())),1,0)</f>
        <v/>
      </c>
    </row>
    <row r="1280">
      <c r="A1280">
        <f>TRIM(SUBSTITUTE(INDEX('Term investments'!$A:$A,ROW())&amp;""," "," "))</f>
        <v/>
      </c>
      <c r="B1280">
        <f>TRIM(SUBSTITUTE(INDEX('Term investments'!$B:$B,ROW())&amp;""," "," "))</f>
        <v/>
      </c>
      <c r="C1280">
        <f>TRIM(SUBSTITUTE(INDEX('Term investments'!$C:$C,ROW())&amp;""," "," "))</f>
        <v/>
      </c>
      <c r="D1280">
        <f>IFERROR(--INDEX('Term investments'!$D:$D,ROW()),0)</f>
        <v/>
      </c>
      <c r="E1280">
        <f>IFERROR(--INDEX('Term investments'!$E:$E,ROW()),0)</f>
        <v/>
      </c>
      <c r="F1280">
        <f>IFERROR(--INDEX('Term investments'!$F:$F,ROW()),0)</f>
        <v/>
      </c>
      <c r="G1280">
        <f>IFERROR(IF(--INDEX('Term investments'!$G:$G,ROW())&gt;=1,--INDEX('Term investments'!$G:$G,ROW())/100,--INDEX('Term investments'!$G:$G,ROW())),0)</f>
        <v/>
      </c>
      <c r="H1280">
        <f>IFERROR(--INDEX('Term investments'!$H:$H,ROW()),0)</f>
        <v/>
      </c>
      <c r="I1280">
        <f>IF(ISNUMBER(INDEX('Term investments'!$G:$G,ROW())),1,0)</f>
        <v/>
      </c>
      <c r="J1280">
        <f>TRIM(SUBSTITUTE(INDEX('Call accounts and MMFs'!$A:$A,ROW())&amp;""," "," "))</f>
        <v/>
      </c>
      <c r="K1280">
        <f>TRIM(SUBSTITUTE(INDEX('Call accounts and MMFs'!$B:$B,ROW())&amp;""," "," "))</f>
        <v/>
      </c>
      <c r="L1280">
        <f>TRIM(SUBSTITUTE(INDEX('Call accounts and MMFs'!$C:$C,ROW())&amp;""," "," "))</f>
        <v/>
      </c>
      <c r="M1280">
        <f>IFERROR(--INDEX('Call accounts and MMFs'!$D:$D,ROW()),0)</f>
        <v/>
      </c>
      <c r="N1280">
        <f>IFERROR(IF(--INDEX('Call accounts and MMFs'!$E:$E,ROW())&gt;=1,--INDEX('Call accounts and MMFs'!$E:$E,ROW())/100,--INDEX('Call accounts and MMFs'!$E:$E,ROW())),0)</f>
        <v/>
      </c>
      <c r="O1280">
        <f>IFERROR(--INDEX('Call accounts and MMFs'!$F:$F,ROW()),0)</f>
        <v/>
      </c>
      <c r="P1280">
        <f>IF(ISNUMBER(INDEX('Call accounts and MMFs'!$E:$E,ROW())),1,0)</f>
        <v/>
      </c>
      <c r="Q1280">
        <f>TRIM(SUBSTITUTE(INDEX('Pooled funds'!$B:$B,ROW())&amp;""," "," "))</f>
        <v/>
      </c>
      <c r="R1280">
        <f>IFERROR(--INDEX('Pooled funds'!$C:$C,ROW()),0)</f>
        <v/>
      </c>
      <c r="S1280">
        <f>IFERROR(--INDEX('Pooled funds'!$D:$D,ROW()),0)</f>
        <v/>
      </c>
      <c r="T1280">
        <f>IFERROR(IF(--INDEX('Pooled funds'!$E:$E,ROW())&gt;=1,--INDEX('Pooled funds'!$E:$E,ROW())/100,--INDEX('Pooled funds'!$E:$E,ROW())),0)</f>
        <v/>
      </c>
      <c r="U1280">
        <f>IF(ISNUMBER(INDEX('Pooled funds'!$E:$E,ROW())),1,0)</f>
        <v/>
      </c>
    </row>
    <row r="1281">
      <c r="A1281">
        <f>TRIM(SUBSTITUTE(INDEX('Term investments'!$A:$A,ROW())&amp;""," "," "))</f>
        <v/>
      </c>
      <c r="B1281">
        <f>TRIM(SUBSTITUTE(INDEX('Term investments'!$B:$B,ROW())&amp;""," "," "))</f>
        <v/>
      </c>
      <c r="C1281">
        <f>TRIM(SUBSTITUTE(INDEX('Term investments'!$C:$C,ROW())&amp;""," "," "))</f>
        <v/>
      </c>
      <c r="D1281">
        <f>IFERROR(--INDEX('Term investments'!$D:$D,ROW()),0)</f>
        <v/>
      </c>
      <c r="E1281">
        <f>IFERROR(--INDEX('Term investments'!$E:$E,ROW()),0)</f>
        <v/>
      </c>
      <c r="F1281">
        <f>IFERROR(--INDEX('Term investments'!$F:$F,ROW()),0)</f>
        <v/>
      </c>
      <c r="G1281">
        <f>IFERROR(IF(--INDEX('Term investments'!$G:$G,ROW())&gt;=1,--INDEX('Term investments'!$G:$G,ROW())/100,--INDEX('Term investments'!$G:$G,ROW())),0)</f>
        <v/>
      </c>
      <c r="H1281">
        <f>IFERROR(--INDEX('Term investments'!$H:$H,ROW()),0)</f>
        <v/>
      </c>
      <c r="I1281">
        <f>IF(ISNUMBER(INDEX('Term investments'!$G:$G,ROW())),1,0)</f>
        <v/>
      </c>
      <c r="J1281">
        <f>TRIM(SUBSTITUTE(INDEX('Call accounts and MMFs'!$A:$A,ROW())&amp;""," "," "))</f>
        <v/>
      </c>
      <c r="K1281">
        <f>TRIM(SUBSTITUTE(INDEX('Call accounts and MMFs'!$B:$B,ROW())&amp;""," "," "))</f>
        <v/>
      </c>
      <c r="L1281">
        <f>TRIM(SUBSTITUTE(INDEX('Call accounts and MMFs'!$C:$C,ROW())&amp;""," "," "))</f>
        <v/>
      </c>
      <c r="M1281">
        <f>IFERROR(--INDEX('Call accounts and MMFs'!$D:$D,ROW()),0)</f>
        <v/>
      </c>
      <c r="N1281">
        <f>IFERROR(IF(--INDEX('Call accounts and MMFs'!$E:$E,ROW())&gt;=1,--INDEX('Call accounts and MMFs'!$E:$E,ROW())/100,--INDEX('Call accounts and MMFs'!$E:$E,ROW())),0)</f>
        <v/>
      </c>
      <c r="O1281">
        <f>IFERROR(--INDEX('Call accounts and MMFs'!$F:$F,ROW()),0)</f>
        <v/>
      </c>
      <c r="P1281">
        <f>IF(ISNUMBER(INDEX('Call accounts and MMFs'!$E:$E,ROW())),1,0)</f>
        <v/>
      </c>
      <c r="Q1281">
        <f>TRIM(SUBSTITUTE(INDEX('Pooled funds'!$B:$B,ROW())&amp;""," "," "))</f>
        <v/>
      </c>
      <c r="R1281">
        <f>IFERROR(--INDEX('Pooled funds'!$C:$C,ROW()),0)</f>
        <v/>
      </c>
      <c r="S1281">
        <f>IFERROR(--INDEX('Pooled funds'!$D:$D,ROW()),0)</f>
        <v/>
      </c>
      <c r="T1281">
        <f>IFERROR(IF(--INDEX('Pooled funds'!$E:$E,ROW())&gt;=1,--INDEX('Pooled funds'!$E:$E,ROW())/100,--INDEX('Pooled funds'!$E:$E,ROW())),0)</f>
        <v/>
      </c>
      <c r="U1281">
        <f>IF(ISNUMBER(INDEX('Pooled funds'!$E:$E,ROW())),1,0)</f>
        <v/>
      </c>
    </row>
    <row r="1282">
      <c r="A1282">
        <f>TRIM(SUBSTITUTE(INDEX('Term investments'!$A:$A,ROW())&amp;""," "," "))</f>
        <v/>
      </c>
      <c r="B1282">
        <f>TRIM(SUBSTITUTE(INDEX('Term investments'!$B:$B,ROW())&amp;""," "," "))</f>
        <v/>
      </c>
      <c r="C1282">
        <f>TRIM(SUBSTITUTE(INDEX('Term investments'!$C:$C,ROW())&amp;""," "," "))</f>
        <v/>
      </c>
      <c r="D1282">
        <f>IFERROR(--INDEX('Term investments'!$D:$D,ROW()),0)</f>
        <v/>
      </c>
      <c r="E1282">
        <f>IFERROR(--INDEX('Term investments'!$E:$E,ROW()),0)</f>
        <v/>
      </c>
      <c r="F1282">
        <f>IFERROR(--INDEX('Term investments'!$F:$F,ROW()),0)</f>
        <v/>
      </c>
      <c r="G1282">
        <f>IFERROR(IF(--INDEX('Term investments'!$G:$G,ROW())&gt;=1,--INDEX('Term investments'!$G:$G,ROW())/100,--INDEX('Term investments'!$G:$G,ROW())),0)</f>
        <v/>
      </c>
      <c r="H1282">
        <f>IFERROR(--INDEX('Term investments'!$H:$H,ROW()),0)</f>
        <v/>
      </c>
      <c r="I1282">
        <f>IF(ISNUMBER(INDEX('Term investments'!$G:$G,ROW())),1,0)</f>
        <v/>
      </c>
      <c r="J1282">
        <f>TRIM(SUBSTITUTE(INDEX('Call accounts and MMFs'!$A:$A,ROW())&amp;""," "," "))</f>
        <v/>
      </c>
      <c r="K1282">
        <f>TRIM(SUBSTITUTE(INDEX('Call accounts and MMFs'!$B:$B,ROW())&amp;""," "," "))</f>
        <v/>
      </c>
      <c r="L1282">
        <f>TRIM(SUBSTITUTE(INDEX('Call accounts and MMFs'!$C:$C,ROW())&amp;""," "," "))</f>
        <v/>
      </c>
      <c r="M1282">
        <f>IFERROR(--INDEX('Call accounts and MMFs'!$D:$D,ROW()),0)</f>
        <v/>
      </c>
      <c r="N1282">
        <f>IFERROR(IF(--INDEX('Call accounts and MMFs'!$E:$E,ROW())&gt;=1,--INDEX('Call accounts and MMFs'!$E:$E,ROW())/100,--INDEX('Call accounts and MMFs'!$E:$E,ROW())),0)</f>
        <v/>
      </c>
      <c r="O1282">
        <f>IFERROR(--INDEX('Call accounts and MMFs'!$F:$F,ROW()),0)</f>
        <v/>
      </c>
      <c r="P1282">
        <f>IF(ISNUMBER(INDEX('Call accounts and MMFs'!$E:$E,ROW())),1,0)</f>
        <v/>
      </c>
      <c r="Q1282">
        <f>TRIM(SUBSTITUTE(INDEX('Pooled funds'!$B:$B,ROW())&amp;""," "," "))</f>
        <v/>
      </c>
      <c r="R1282">
        <f>IFERROR(--INDEX('Pooled funds'!$C:$C,ROW()),0)</f>
        <v/>
      </c>
      <c r="S1282">
        <f>IFERROR(--INDEX('Pooled funds'!$D:$D,ROW()),0)</f>
        <v/>
      </c>
      <c r="T1282">
        <f>IFERROR(IF(--INDEX('Pooled funds'!$E:$E,ROW())&gt;=1,--INDEX('Pooled funds'!$E:$E,ROW())/100,--INDEX('Pooled funds'!$E:$E,ROW())),0)</f>
        <v/>
      </c>
      <c r="U1282">
        <f>IF(ISNUMBER(INDEX('Pooled funds'!$E:$E,ROW())),1,0)</f>
        <v/>
      </c>
    </row>
    <row r="1283">
      <c r="A1283">
        <f>TRIM(SUBSTITUTE(INDEX('Term investments'!$A:$A,ROW())&amp;""," "," "))</f>
        <v/>
      </c>
      <c r="B1283">
        <f>TRIM(SUBSTITUTE(INDEX('Term investments'!$B:$B,ROW())&amp;""," "," "))</f>
        <v/>
      </c>
      <c r="C1283">
        <f>TRIM(SUBSTITUTE(INDEX('Term investments'!$C:$C,ROW())&amp;""," "," "))</f>
        <v/>
      </c>
      <c r="D1283">
        <f>IFERROR(--INDEX('Term investments'!$D:$D,ROW()),0)</f>
        <v/>
      </c>
      <c r="E1283">
        <f>IFERROR(--INDEX('Term investments'!$E:$E,ROW()),0)</f>
        <v/>
      </c>
      <c r="F1283">
        <f>IFERROR(--INDEX('Term investments'!$F:$F,ROW()),0)</f>
        <v/>
      </c>
      <c r="G1283">
        <f>IFERROR(IF(--INDEX('Term investments'!$G:$G,ROW())&gt;=1,--INDEX('Term investments'!$G:$G,ROW())/100,--INDEX('Term investments'!$G:$G,ROW())),0)</f>
        <v/>
      </c>
      <c r="H1283">
        <f>IFERROR(--INDEX('Term investments'!$H:$H,ROW()),0)</f>
        <v/>
      </c>
      <c r="I1283">
        <f>IF(ISNUMBER(INDEX('Term investments'!$G:$G,ROW())),1,0)</f>
        <v/>
      </c>
      <c r="J1283">
        <f>TRIM(SUBSTITUTE(INDEX('Call accounts and MMFs'!$A:$A,ROW())&amp;""," "," "))</f>
        <v/>
      </c>
      <c r="K1283">
        <f>TRIM(SUBSTITUTE(INDEX('Call accounts and MMFs'!$B:$B,ROW())&amp;""," "," "))</f>
        <v/>
      </c>
      <c r="L1283">
        <f>TRIM(SUBSTITUTE(INDEX('Call accounts and MMFs'!$C:$C,ROW())&amp;""," "," "))</f>
        <v/>
      </c>
      <c r="M1283">
        <f>IFERROR(--INDEX('Call accounts and MMFs'!$D:$D,ROW()),0)</f>
        <v/>
      </c>
      <c r="N1283">
        <f>IFERROR(IF(--INDEX('Call accounts and MMFs'!$E:$E,ROW())&gt;=1,--INDEX('Call accounts and MMFs'!$E:$E,ROW())/100,--INDEX('Call accounts and MMFs'!$E:$E,ROW())),0)</f>
        <v/>
      </c>
      <c r="O1283">
        <f>IFERROR(--INDEX('Call accounts and MMFs'!$F:$F,ROW()),0)</f>
        <v/>
      </c>
      <c r="P1283">
        <f>IF(ISNUMBER(INDEX('Call accounts and MMFs'!$E:$E,ROW())),1,0)</f>
        <v/>
      </c>
      <c r="Q1283">
        <f>TRIM(SUBSTITUTE(INDEX('Pooled funds'!$B:$B,ROW())&amp;""," "," "))</f>
        <v/>
      </c>
      <c r="R1283">
        <f>IFERROR(--INDEX('Pooled funds'!$C:$C,ROW()),0)</f>
        <v/>
      </c>
      <c r="S1283">
        <f>IFERROR(--INDEX('Pooled funds'!$D:$D,ROW()),0)</f>
        <v/>
      </c>
      <c r="T1283">
        <f>IFERROR(IF(--INDEX('Pooled funds'!$E:$E,ROW())&gt;=1,--INDEX('Pooled funds'!$E:$E,ROW())/100,--INDEX('Pooled funds'!$E:$E,ROW())),0)</f>
        <v/>
      </c>
      <c r="U1283">
        <f>IF(ISNUMBER(INDEX('Pooled funds'!$E:$E,ROW())),1,0)</f>
        <v/>
      </c>
    </row>
    <row r="1284">
      <c r="A1284">
        <f>TRIM(SUBSTITUTE(INDEX('Term investments'!$A:$A,ROW())&amp;""," "," "))</f>
        <v/>
      </c>
      <c r="B1284">
        <f>TRIM(SUBSTITUTE(INDEX('Term investments'!$B:$B,ROW())&amp;""," "," "))</f>
        <v/>
      </c>
      <c r="C1284">
        <f>TRIM(SUBSTITUTE(INDEX('Term investments'!$C:$C,ROW())&amp;""," "," "))</f>
        <v/>
      </c>
      <c r="D1284">
        <f>IFERROR(--INDEX('Term investments'!$D:$D,ROW()),0)</f>
        <v/>
      </c>
      <c r="E1284">
        <f>IFERROR(--INDEX('Term investments'!$E:$E,ROW()),0)</f>
        <v/>
      </c>
      <c r="F1284">
        <f>IFERROR(--INDEX('Term investments'!$F:$F,ROW()),0)</f>
        <v/>
      </c>
      <c r="G1284">
        <f>IFERROR(IF(--INDEX('Term investments'!$G:$G,ROW())&gt;=1,--INDEX('Term investments'!$G:$G,ROW())/100,--INDEX('Term investments'!$G:$G,ROW())),0)</f>
        <v/>
      </c>
      <c r="H1284">
        <f>IFERROR(--INDEX('Term investments'!$H:$H,ROW()),0)</f>
        <v/>
      </c>
      <c r="I1284">
        <f>IF(ISNUMBER(INDEX('Term investments'!$G:$G,ROW())),1,0)</f>
        <v/>
      </c>
      <c r="J1284">
        <f>TRIM(SUBSTITUTE(INDEX('Call accounts and MMFs'!$A:$A,ROW())&amp;""," "," "))</f>
        <v/>
      </c>
      <c r="K1284">
        <f>TRIM(SUBSTITUTE(INDEX('Call accounts and MMFs'!$B:$B,ROW())&amp;""," "," "))</f>
        <v/>
      </c>
      <c r="L1284">
        <f>TRIM(SUBSTITUTE(INDEX('Call accounts and MMFs'!$C:$C,ROW())&amp;""," "," "))</f>
        <v/>
      </c>
      <c r="M1284">
        <f>IFERROR(--INDEX('Call accounts and MMFs'!$D:$D,ROW()),0)</f>
        <v/>
      </c>
      <c r="N1284">
        <f>IFERROR(IF(--INDEX('Call accounts and MMFs'!$E:$E,ROW())&gt;=1,--INDEX('Call accounts and MMFs'!$E:$E,ROW())/100,--INDEX('Call accounts and MMFs'!$E:$E,ROW())),0)</f>
        <v/>
      </c>
      <c r="O1284">
        <f>IFERROR(--INDEX('Call accounts and MMFs'!$F:$F,ROW()),0)</f>
        <v/>
      </c>
      <c r="P1284">
        <f>IF(ISNUMBER(INDEX('Call accounts and MMFs'!$E:$E,ROW())),1,0)</f>
        <v/>
      </c>
      <c r="Q1284">
        <f>TRIM(SUBSTITUTE(INDEX('Pooled funds'!$B:$B,ROW())&amp;""," "," "))</f>
        <v/>
      </c>
      <c r="R1284">
        <f>IFERROR(--INDEX('Pooled funds'!$C:$C,ROW()),0)</f>
        <v/>
      </c>
      <c r="S1284">
        <f>IFERROR(--INDEX('Pooled funds'!$D:$D,ROW()),0)</f>
        <v/>
      </c>
      <c r="T1284">
        <f>IFERROR(IF(--INDEX('Pooled funds'!$E:$E,ROW())&gt;=1,--INDEX('Pooled funds'!$E:$E,ROW())/100,--INDEX('Pooled funds'!$E:$E,ROW())),0)</f>
        <v/>
      </c>
      <c r="U1284">
        <f>IF(ISNUMBER(INDEX('Pooled funds'!$E:$E,ROW())),1,0)</f>
        <v/>
      </c>
    </row>
    <row r="1285">
      <c r="A1285">
        <f>TRIM(SUBSTITUTE(INDEX('Term investments'!$A:$A,ROW())&amp;""," "," "))</f>
        <v/>
      </c>
      <c r="B1285">
        <f>TRIM(SUBSTITUTE(INDEX('Term investments'!$B:$B,ROW())&amp;""," "," "))</f>
        <v/>
      </c>
      <c r="C1285">
        <f>TRIM(SUBSTITUTE(INDEX('Term investments'!$C:$C,ROW())&amp;""," "," "))</f>
        <v/>
      </c>
      <c r="D1285">
        <f>IFERROR(--INDEX('Term investments'!$D:$D,ROW()),0)</f>
        <v/>
      </c>
      <c r="E1285">
        <f>IFERROR(--INDEX('Term investments'!$E:$E,ROW()),0)</f>
        <v/>
      </c>
      <c r="F1285">
        <f>IFERROR(--INDEX('Term investments'!$F:$F,ROW()),0)</f>
        <v/>
      </c>
      <c r="G1285">
        <f>IFERROR(IF(--INDEX('Term investments'!$G:$G,ROW())&gt;=1,--INDEX('Term investments'!$G:$G,ROW())/100,--INDEX('Term investments'!$G:$G,ROW())),0)</f>
        <v/>
      </c>
      <c r="H1285">
        <f>IFERROR(--INDEX('Term investments'!$H:$H,ROW()),0)</f>
        <v/>
      </c>
      <c r="I1285">
        <f>IF(ISNUMBER(INDEX('Term investments'!$G:$G,ROW())),1,0)</f>
        <v/>
      </c>
      <c r="J1285">
        <f>TRIM(SUBSTITUTE(INDEX('Call accounts and MMFs'!$A:$A,ROW())&amp;""," "," "))</f>
        <v/>
      </c>
      <c r="K1285">
        <f>TRIM(SUBSTITUTE(INDEX('Call accounts and MMFs'!$B:$B,ROW())&amp;""," "," "))</f>
        <v/>
      </c>
      <c r="L1285">
        <f>TRIM(SUBSTITUTE(INDEX('Call accounts and MMFs'!$C:$C,ROW())&amp;""," "," "))</f>
        <v/>
      </c>
      <c r="M1285">
        <f>IFERROR(--INDEX('Call accounts and MMFs'!$D:$D,ROW()),0)</f>
        <v/>
      </c>
      <c r="N1285">
        <f>IFERROR(IF(--INDEX('Call accounts and MMFs'!$E:$E,ROW())&gt;=1,--INDEX('Call accounts and MMFs'!$E:$E,ROW())/100,--INDEX('Call accounts and MMFs'!$E:$E,ROW())),0)</f>
        <v/>
      </c>
      <c r="O1285">
        <f>IFERROR(--INDEX('Call accounts and MMFs'!$F:$F,ROW()),0)</f>
        <v/>
      </c>
      <c r="P1285">
        <f>IF(ISNUMBER(INDEX('Call accounts and MMFs'!$E:$E,ROW())),1,0)</f>
        <v/>
      </c>
      <c r="Q1285">
        <f>TRIM(SUBSTITUTE(INDEX('Pooled funds'!$B:$B,ROW())&amp;""," "," "))</f>
        <v/>
      </c>
      <c r="R1285">
        <f>IFERROR(--INDEX('Pooled funds'!$C:$C,ROW()),0)</f>
        <v/>
      </c>
      <c r="S1285">
        <f>IFERROR(--INDEX('Pooled funds'!$D:$D,ROW()),0)</f>
        <v/>
      </c>
      <c r="T1285">
        <f>IFERROR(IF(--INDEX('Pooled funds'!$E:$E,ROW())&gt;=1,--INDEX('Pooled funds'!$E:$E,ROW())/100,--INDEX('Pooled funds'!$E:$E,ROW())),0)</f>
        <v/>
      </c>
      <c r="U1285">
        <f>IF(ISNUMBER(INDEX('Pooled funds'!$E:$E,ROW())),1,0)</f>
        <v/>
      </c>
    </row>
    <row r="1286">
      <c r="A1286">
        <f>TRIM(SUBSTITUTE(INDEX('Term investments'!$A:$A,ROW())&amp;""," "," "))</f>
        <v/>
      </c>
      <c r="B1286">
        <f>TRIM(SUBSTITUTE(INDEX('Term investments'!$B:$B,ROW())&amp;""," "," "))</f>
        <v/>
      </c>
      <c r="C1286">
        <f>TRIM(SUBSTITUTE(INDEX('Term investments'!$C:$C,ROW())&amp;""," "," "))</f>
        <v/>
      </c>
      <c r="D1286">
        <f>IFERROR(--INDEX('Term investments'!$D:$D,ROW()),0)</f>
        <v/>
      </c>
      <c r="E1286">
        <f>IFERROR(--INDEX('Term investments'!$E:$E,ROW()),0)</f>
        <v/>
      </c>
      <c r="F1286">
        <f>IFERROR(--INDEX('Term investments'!$F:$F,ROW()),0)</f>
        <v/>
      </c>
      <c r="G1286">
        <f>IFERROR(IF(--INDEX('Term investments'!$G:$G,ROW())&gt;=1,--INDEX('Term investments'!$G:$G,ROW())/100,--INDEX('Term investments'!$G:$G,ROW())),0)</f>
        <v/>
      </c>
      <c r="H1286">
        <f>IFERROR(--INDEX('Term investments'!$H:$H,ROW()),0)</f>
        <v/>
      </c>
      <c r="I1286">
        <f>IF(ISNUMBER(INDEX('Term investments'!$G:$G,ROW())),1,0)</f>
        <v/>
      </c>
      <c r="J1286">
        <f>TRIM(SUBSTITUTE(INDEX('Call accounts and MMFs'!$A:$A,ROW())&amp;""," "," "))</f>
        <v/>
      </c>
      <c r="K1286">
        <f>TRIM(SUBSTITUTE(INDEX('Call accounts and MMFs'!$B:$B,ROW())&amp;""," "," "))</f>
        <v/>
      </c>
      <c r="L1286">
        <f>TRIM(SUBSTITUTE(INDEX('Call accounts and MMFs'!$C:$C,ROW())&amp;""," "," "))</f>
        <v/>
      </c>
      <c r="M1286">
        <f>IFERROR(--INDEX('Call accounts and MMFs'!$D:$D,ROW()),0)</f>
        <v/>
      </c>
      <c r="N1286">
        <f>IFERROR(IF(--INDEX('Call accounts and MMFs'!$E:$E,ROW())&gt;=1,--INDEX('Call accounts and MMFs'!$E:$E,ROW())/100,--INDEX('Call accounts and MMFs'!$E:$E,ROW())),0)</f>
        <v/>
      </c>
      <c r="O1286">
        <f>IFERROR(--INDEX('Call accounts and MMFs'!$F:$F,ROW()),0)</f>
        <v/>
      </c>
      <c r="P1286">
        <f>IF(ISNUMBER(INDEX('Call accounts and MMFs'!$E:$E,ROW())),1,0)</f>
        <v/>
      </c>
      <c r="Q1286">
        <f>TRIM(SUBSTITUTE(INDEX('Pooled funds'!$B:$B,ROW())&amp;""," "," "))</f>
        <v/>
      </c>
      <c r="R1286">
        <f>IFERROR(--INDEX('Pooled funds'!$C:$C,ROW()),0)</f>
        <v/>
      </c>
      <c r="S1286">
        <f>IFERROR(--INDEX('Pooled funds'!$D:$D,ROW()),0)</f>
        <v/>
      </c>
      <c r="T1286">
        <f>IFERROR(IF(--INDEX('Pooled funds'!$E:$E,ROW())&gt;=1,--INDEX('Pooled funds'!$E:$E,ROW())/100,--INDEX('Pooled funds'!$E:$E,ROW())),0)</f>
        <v/>
      </c>
      <c r="U1286">
        <f>IF(ISNUMBER(INDEX('Pooled funds'!$E:$E,ROW())),1,0)</f>
        <v/>
      </c>
    </row>
    <row r="1287">
      <c r="A1287">
        <f>TRIM(SUBSTITUTE(INDEX('Term investments'!$A:$A,ROW())&amp;""," "," "))</f>
        <v/>
      </c>
      <c r="B1287">
        <f>TRIM(SUBSTITUTE(INDEX('Term investments'!$B:$B,ROW())&amp;""," "," "))</f>
        <v/>
      </c>
      <c r="C1287">
        <f>TRIM(SUBSTITUTE(INDEX('Term investments'!$C:$C,ROW())&amp;""," "," "))</f>
        <v/>
      </c>
      <c r="D1287">
        <f>IFERROR(--INDEX('Term investments'!$D:$D,ROW()),0)</f>
        <v/>
      </c>
      <c r="E1287">
        <f>IFERROR(--INDEX('Term investments'!$E:$E,ROW()),0)</f>
        <v/>
      </c>
      <c r="F1287">
        <f>IFERROR(--INDEX('Term investments'!$F:$F,ROW()),0)</f>
        <v/>
      </c>
      <c r="G1287">
        <f>IFERROR(IF(--INDEX('Term investments'!$G:$G,ROW())&gt;=1,--INDEX('Term investments'!$G:$G,ROW())/100,--INDEX('Term investments'!$G:$G,ROW())),0)</f>
        <v/>
      </c>
      <c r="H1287">
        <f>IFERROR(--INDEX('Term investments'!$H:$H,ROW()),0)</f>
        <v/>
      </c>
      <c r="I1287">
        <f>IF(ISNUMBER(INDEX('Term investments'!$G:$G,ROW())),1,0)</f>
        <v/>
      </c>
      <c r="J1287">
        <f>TRIM(SUBSTITUTE(INDEX('Call accounts and MMFs'!$A:$A,ROW())&amp;""," "," "))</f>
        <v/>
      </c>
      <c r="K1287">
        <f>TRIM(SUBSTITUTE(INDEX('Call accounts and MMFs'!$B:$B,ROW())&amp;""," "," "))</f>
        <v/>
      </c>
      <c r="L1287">
        <f>TRIM(SUBSTITUTE(INDEX('Call accounts and MMFs'!$C:$C,ROW())&amp;""," "," "))</f>
        <v/>
      </c>
      <c r="M1287">
        <f>IFERROR(--INDEX('Call accounts and MMFs'!$D:$D,ROW()),0)</f>
        <v/>
      </c>
      <c r="N1287">
        <f>IFERROR(IF(--INDEX('Call accounts and MMFs'!$E:$E,ROW())&gt;=1,--INDEX('Call accounts and MMFs'!$E:$E,ROW())/100,--INDEX('Call accounts and MMFs'!$E:$E,ROW())),0)</f>
        <v/>
      </c>
      <c r="O1287">
        <f>IFERROR(--INDEX('Call accounts and MMFs'!$F:$F,ROW()),0)</f>
        <v/>
      </c>
      <c r="P1287">
        <f>IF(ISNUMBER(INDEX('Call accounts and MMFs'!$E:$E,ROW())),1,0)</f>
        <v/>
      </c>
      <c r="Q1287">
        <f>TRIM(SUBSTITUTE(INDEX('Pooled funds'!$B:$B,ROW())&amp;""," "," "))</f>
        <v/>
      </c>
      <c r="R1287">
        <f>IFERROR(--INDEX('Pooled funds'!$C:$C,ROW()),0)</f>
        <v/>
      </c>
      <c r="S1287">
        <f>IFERROR(--INDEX('Pooled funds'!$D:$D,ROW()),0)</f>
        <v/>
      </c>
      <c r="T1287">
        <f>IFERROR(IF(--INDEX('Pooled funds'!$E:$E,ROW())&gt;=1,--INDEX('Pooled funds'!$E:$E,ROW())/100,--INDEX('Pooled funds'!$E:$E,ROW())),0)</f>
        <v/>
      </c>
      <c r="U1287">
        <f>IF(ISNUMBER(INDEX('Pooled funds'!$E:$E,ROW())),1,0)</f>
        <v/>
      </c>
    </row>
    <row r="1288">
      <c r="A1288">
        <f>TRIM(SUBSTITUTE(INDEX('Term investments'!$A:$A,ROW())&amp;""," "," "))</f>
        <v/>
      </c>
      <c r="B1288">
        <f>TRIM(SUBSTITUTE(INDEX('Term investments'!$B:$B,ROW())&amp;""," "," "))</f>
        <v/>
      </c>
      <c r="C1288">
        <f>TRIM(SUBSTITUTE(INDEX('Term investments'!$C:$C,ROW())&amp;""," "," "))</f>
        <v/>
      </c>
      <c r="D1288">
        <f>IFERROR(--INDEX('Term investments'!$D:$D,ROW()),0)</f>
        <v/>
      </c>
      <c r="E1288">
        <f>IFERROR(--INDEX('Term investments'!$E:$E,ROW()),0)</f>
        <v/>
      </c>
      <c r="F1288">
        <f>IFERROR(--INDEX('Term investments'!$F:$F,ROW()),0)</f>
        <v/>
      </c>
      <c r="G1288">
        <f>IFERROR(IF(--INDEX('Term investments'!$G:$G,ROW())&gt;=1,--INDEX('Term investments'!$G:$G,ROW())/100,--INDEX('Term investments'!$G:$G,ROW())),0)</f>
        <v/>
      </c>
      <c r="H1288">
        <f>IFERROR(--INDEX('Term investments'!$H:$H,ROW()),0)</f>
        <v/>
      </c>
      <c r="I1288">
        <f>IF(ISNUMBER(INDEX('Term investments'!$G:$G,ROW())),1,0)</f>
        <v/>
      </c>
      <c r="J1288">
        <f>TRIM(SUBSTITUTE(INDEX('Call accounts and MMFs'!$A:$A,ROW())&amp;""," "," "))</f>
        <v/>
      </c>
      <c r="K1288">
        <f>TRIM(SUBSTITUTE(INDEX('Call accounts and MMFs'!$B:$B,ROW())&amp;""," "," "))</f>
        <v/>
      </c>
      <c r="L1288">
        <f>TRIM(SUBSTITUTE(INDEX('Call accounts and MMFs'!$C:$C,ROW())&amp;""," "," "))</f>
        <v/>
      </c>
      <c r="M1288">
        <f>IFERROR(--INDEX('Call accounts and MMFs'!$D:$D,ROW()),0)</f>
        <v/>
      </c>
      <c r="N1288">
        <f>IFERROR(IF(--INDEX('Call accounts and MMFs'!$E:$E,ROW())&gt;=1,--INDEX('Call accounts and MMFs'!$E:$E,ROW())/100,--INDEX('Call accounts and MMFs'!$E:$E,ROW())),0)</f>
        <v/>
      </c>
      <c r="O1288">
        <f>IFERROR(--INDEX('Call accounts and MMFs'!$F:$F,ROW()),0)</f>
        <v/>
      </c>
      <c r="P1288">
        <f>IF(ISNUMBER(INDEX('Call accounts and MMFs'!$E:$E,ROW())),1,0)</f>
        <v/>
      </c>
      <c r="Q1288">
        <f>TRIM(SUBSTITUTE(INDEX('Pooled funds'!$B:$B,ROW())&amp;""," "," "))</f>
        <v/>
      </c>
      <c r="R1288">
        <f>IFERROR(--INDEX('Pooled funds'!$C:$C,ROW()),0)</f>
        <v/>
      </c>
      <c r="S1288">
        <f>IFERROR(--INDEX('Pooled funds'!$D:$D,ROW()),0)</f>
        <v/>
      </c>
      <c r="T1288">
        <f>IFERROR(IF(--INDEX('Pooled funds'!$E:$E,ROW())&gt;=1,--INDEX('Pooled funds'!$E:$E,ROW())/100,--INDEX('Pooled funds'!$E:$E,ROW())),0)</f>
        <v/>
      </c>
      <c r="U1288">
        <f>IF(ISNUMBER(INDEX('Pooled funds'!$E:$E,ROW())),1,0)</f>
        <v/>
      </c>
    </row>
    <row r="1289">
      <c r="A1289">
        <f>TRIM(SUBSTITUTE(INDEX('Term investments'!$A:$A,ROW())&amp;""," "," "))</f>
        <v/>
      </c>
      <c r="B1289">
        <f>TRIM(SUBSTITUTE(INDEX('Term investments'!$B:$B,ROW())&amp;""," "," "))</f>
        <v/>
      </c>
      <c r="C1289">
        <f>TRIM(SUBSTITUTE(INDEX('Term investments'!$C:$C,ROW())&amp;""," "," "))</f>
        <v/>
      </c>
      <c r="D1289">
        <f>IFERROR(--INDEX('Term investments'!$D:$D,ROW()),0)</f>
        <v/>
      </c>
      <c r="E1289">
        <f>IFERROR(--INDEX('Term investments'!$E:$E,ROW()),0)</f>
        <v/>
      </c>
      <c r="F1289">
        <f>IFERROR(--INDEX('Term investments'!$F:$F,ROW()),0)</f>
        <v/>
      </c>
      <c r="G1289">
        <f>IFERROR(IF(--INDEX('Term investments'!$G:$G,ROW())&gt;=1,--INDEX('Term investments'!$G:$G,ROW())/100,--INDEX('Term investments'!$G:$G,ROW())),0)</f>
        <v/>
      </c>
      <c r="H1289">
        <f>IFERROR(--INDEX('Term investments'!$H:$H,ROW()),0)</f>
        <v/>
      </c>
      <c r="I1289">
        <f>IF(ISNUMBER(INDEX('Term investments'!$G:$G,ROW())),1,0)</f>
        <v/>
      </c>
      <c r="J1289">
        <f>TRIM(SUBSTITUTE(INDEX('Call accounts and MMFs'!$A:$A,ROW())&amp;""," "," "))</f>
        <v/>
      </c>
      <c r="K1289">
        <f>TRIM(SUBSTITUTE(INDEX('Call accounts and MMFs'!$B:$B,ROW())&amp;""," "," "))</f>
        <v/>
      </c>
      <c r="L1289">
        <f>TRIM(SUBSTITUTE(INDEX('Call accounts and MMFs'!$C:$C,ROW())&amp;""," "," "))</f>
        <v/>
      </c>
      <c r="M1289">
        <f>IFERROR(--INDEX('Call accounts and MMFs'!$D:$D,ROW()),0)</f>
        <v/>
      </c>
      <c r="N1289">
        <f>IFERROR(IF(--INDEX('Call accounts and MMFs'!$E:$E,ROW())&gt;=1,--INDEX('Call accounts and MMFs'!$E:$E,ROW())/100,--INDEX('Call accounts and MMFs'!$E:$E,ROW())),0)</f>
        <v/>
      </c>
      <c r="O1289">
        <f>IFERROR(--INDEX('Call accounts and MMFs'!$F:$F,ROW()),0)</f>
        <v/>
      </c>
      <c r="P1289">
        <f>IF(ISNUMBER(INDEX('Call accounts and MMFs'!$E:$E,ROW())),1,0)</f>
        <v/>
      </c>
      <c r="Q1289">
        <f>TRIM(SUBSTITUTE(INDEX('Pooled funds'!$B:$B,ROW())&amp;""," "," "))</f>
        <v/>
      </c>
      <c r="R1289">
        <f>IFERROR(--INDEX('Pooled funds'!$C:$C,ROW()),0)</f>
        <v/>
      </c>
      <c r="S1289">
        <f>IFERROR(--INDEX('Pooled funds'!$D:$D,ROW()),0)</f>
        <v/>
      </c>
      <c r="T1289">
        <f>IFERROR(IF(--INDEX('Pooled funds'!$E:$E,ROW())&gt;=1,--INDEX('Pooled funds'!$E:$E,ROW())/100,--INDEX('Pooled funds'!$E:$E,ROW())),0)</f>
        <v/>
      </c>
      <c r="U1289">
        <f>IF(ISNUMBER(INDEX('Pooled funds'!$E:$E,ROW())),1,0)</f>
        <v/>
      </c>
    </row>
    <row r="1290">
      <c r="A1290">
        <f>TRIM(SUBSTITUTE(INDEX('Term investments'!$A:$A,ROW())&amp;""," "," "))</f>
        <v/>
      </c>
      <c r="B1290">
        <f>TRIM(SUBSTITUTE(INDEX('Term investments'!$B:$B,ROW())&amp;""," "," "))</f>
        <v/>
      </c>
      <c r="C1290">
        <f>TRIM(SUBSTITUTE(INDEX('Term investments'!$C:$C,ROW())&amp;""," "," "))</f>
        <v/>
      </c>
      <c r="D1290">
        <f>IFERROR(--INDEX('Term investments'!$D:$D,ROW()),0)</f>
        <v/>
      </c>
      <c r="E1290">
        <f>IFERROR(--INDEX('Term investments'!$E:$E,ROW()),0)</f>
        <v/>
      </c>
      <c r="F1290">
        <f>IFERROR(--INDEX('Term investments'!$F:$F,ROW()),0)</f>
        <v/>
      </c>
      <c r="G1290">
        <f>IFERROR(IF(--INDEX('Term investments'!$G:$G,ROW())&gt;=1,--INDEX('Term investments'!$G:$G,ROW())/100,--INDEX('Term investments'!$G:$G,ROW())),0)</f>
        <v/>
      </c>
      <c r="H1290">
        <f>IFERROR(--INDEX('Term investments'!$H:$H,ROW()),0)</f>
        <v/>
      </c>
      <c r="I1290">
        <f>IF(ISNUMBER(INDEX('Term investments'!$G:$G,ROW())),1,0)</f>
        <v/>
      </c>
      <c r="J1290">
        <f>TRIM(SUBSTITUTE(INDEX('Call accounts and MMFs'!$A:$A,ROW())&amp;""," "," "))</f>
        <v/>
      </c>
      <c r="K1290">
        <f>TRIM(SUBSTITUTE(INDEX('Call accounts and MMFs'!$B:$B,ROW())&amp;""," "," "))</f>
        <v/>
      </c>
      <c r="L1290">
        <f>TRIM(SUBSTITUTE(INDEX('Call accounts and MMFs'!$C:$C,ROW())&amp;""," "," "))</f>
        <v/>
      </c>
      <c r="M1290">
        <f>IFERROR(--INDEX('Call accounts and MMFs'!$D:$D,ROW()),0)</f>
        <v/>
      </c>
      <c r="N1290">
        <f>IFERROR(IF(--INDEX('Call accounts and MMFs'!$E:$E,ROW())&gt;=1,--INDEX('Call accounts and MMFs'!$E:$E,ROW())/100,--INDEX('Call accounts and MMFs'!$E:$E,ROW())),0)</f>
        <v/>
      </c>
      <c r="O1290">
        <f>IFERROR(--INDEX('Call accounts and MMFs'!$F:$F,ROW()),0)</f>
        <v/>
      </c>
      <c r="P1290">
        <f>IF(ISNUMBER(INDEX('Call accounts and MMFs'!$E:$E,ROW())),1,0)</f>
        <v/>
      </c>
      <c r="Q1290">
        <f>TRIM(SUBSTITUTE(INDEX('Pooled funds'!$B:$B,ROW())&amp;""," "," "))</f>
        <v/>
      </c>
      <c r="R1290">
        <f>IFERROR(--INDEX('Pooled funds'!$C:$C,ROW()),0)</f>
        <v/>
      </c>
      <c r="S1290">
        <f>IFERROR(--INDEX('Pooled funds'!$D:$D,ROW()),0)</f>
        <v/>
      </c>
      <c r="T1290">
        <f>IFERROR(IF(--INDEX('Pooled funds'!$E:$E,ROW())&gt;=1,--INDEX('Pooled funds'!$E:$E,ROW())/100,--INDEX('Pooled funds'!$E:$E,ROW())),0)</f>
        <v/>
      </c>
      <c r="U1290">
        <f>IF(ISNUMBER(INDEX('Pooled funds'!$E:$E,ROW())),1,0)</f>
        <v/>
      </c>
    </row>
    <row r="1291">
      <c r="A1291">
        <f>TRIM(SUBSTITUTE(INDEX('Term investments'!$A:$A,ROW())&amp;""," "," "))</f>
        <v/>
      </c>
      <c r="B1291">
        <f>TRIM(SUBSTITUTE(INDEX('Term investments'!$B:$B,ROW())&amp;""," "," "))</f>
        <v/>
      </c>
      <c r="C1291">
        <f>TRIM(SUBSTITUTE(INDEX('Term investments'!$C:$C,ROW())&amp;""," "," "))</f>
        <v/>
      </c>
      <c r="D1291">
        <f>IFERROR(--INDEX('Term investments'!$D:$D,ROW()),0)</f>
        <v/>
      </c>
      <c r="E1291">
        <f>IFERROR(--INDEX('Term investments'!$E:$E,ROW()),0)</f>
        <v/>
      </c>
      <c r="F1291">
        <f>IFERROR(--INDEX('Term investments'!$F:$F,ROW()),0)</f>
        <v/>
      </c>
      <c r="G1291">
        <f>IFERROR(IF(--INDEX('Term investments'!$G:$G,ROW())&gt;=1,--INDEX('Term investments'!$G:$G,ROW())/100,--INDEX('Term investments'!$G:$G,ROW())),0)</f>
        <v/>
      </c>
      <c r="H1291">
        <f>IFERROR(--INDEX('Term investments'!$H:$H,ROW()),0)</f>
        <v/>
      </c>
      <c r="I1291">
        <f>IF(ISNUMBER(INDEX('Term investments'!$G:$G,ROW())),1,0)</f>
        <v/>
      </c>
      <c r="J1291">
        <f>TRIM(SUBSTITUTE(INDEX('Call accounts and MMFs'!$A:$A,ROW())&amp;""," "," "))</f>
        <v/>
      </c>
      <c r="K1291">
        <f>TRIM(SUBSTITUTE(INDEX('Call accounts and MMFs'!$B:$B,ROW())&amp;""," "," "))</f>
        <v/>
      </c>
      <c r="L1291">
        <f>TRIM(SUBSTITUTE(INDEX('Call accounts and MMFs'!$C:$C,ROW())&amp;""," "," "))</f>
        <v/>
      </c>
      <c r="M1291">
        <f>IFERROR(--INDEX('Call accounts and MMFs'!$D:$D,ROW()),0)</f>
        <v/>
      </c>
      <c r="N1291">
        <f>IFERROR(IF(--INDEX('Call accounts and MMFs'!$E:$E,ROW())&gt;=1,--INDEX('Call accounts and MMFs'!$E:$E,ROW())/100,--INDEX('Call accounts and MMFs'!$E:$E,ROW())),0)</f>
        <v/>
      </c>
      <c r="O1291">
        <f>IFERROR(--INDEX('Call accounts and MMFs'!$F:$F,ROW()),0)</f>
        <v/>
      </c>
      <c r="P1291">
        <f>IF(ISNUMBER(INDEX('Call accounts and MMFs'!$E:$E,ROW())),1,0)</f>
        <v/>
      </c>
      <c r="Q1291">
        <f>TRIM(SUBSTITUTE(INDEX('Pooled funds'!$B:$B,ROW())&amp;""," "," "))</f>
        <v/>
      </c>
      <c r="R1291">
        <f>IFERROR(--INDEX('Pooled funds'!$C:$C,ROW()),0)</f>
        <v/>
      </c>
      <c r="S1291">
        <f>IFERROR(--INDEX('Pooled funds'!$D:$D,ROW()),0)</f>
        <v/>
      </c>
      <c r="T1291">
        <f>IFERROR(IF(--INDEX('Pooled funds'!$E:$E,ROW())&gt;=1,--INDEX('Pooled funds'!$E:$E,ROW())/100,--INDEX('Pooled funds'!$E:$E,ROW())),0)</f>
        <v/>
      </c>
      <c r="U1291">
        <f>IF(ISNUMBER(INDEX('Pooled funds'!$E:$E,ROW())),1,0)</f>
        <v/>
      </c>
    </row>
    <row r="1292">
      <c r="A1292">
        <f>TRIM(SUBSTITUTE(INDEX('Term investments'!$A:$A,ROW())&amp;""," "," "))</f>
        <v/>
      </c>
      <c r="B1292">
        <f>TRIM(SUBSTITUTE(INDEX('Term investments'!$B:$B,ROW())&amp;""," "," "))</f>
        <v/>
      </c>
      <c r="C1292">
        <f>TRIM(SUBSTITUTE(INDEX('Term investments'!$C:$C,ROW())&amp;""," "," "))</f>
        <v/>
      </c>
      <c r="D1292">
        <f>IFERROR(--INDEX('Term investments'!$D:$D,ROW()),0)</f>
        <v/>
      </c>
      <c r="E1292">
        <f>IFERROR(--INDEX('Term investments'!$E:$E,ROW()),0)</f>
        <v/>
      </c>
      <c r="F1292">
        <f>IFERROR(--INDEX('Term investments'!$F:$F,ROW()),0)</f>
        <v/>
      </c>
      <c r="G1292">
        <f>IFERROR(IF(--INDEX('Term investments'!$G:$G,ROW())&gt;=1,--INDEX('Term investments'!$G:$G,ROW())/100,--INDEX('Term investments'!$G:$G,ROW())),0)</f>
        <v/>
      </c>
      <c r="H1292">
        <f>IFERROR(--INDEX('Term investments'!$H:$H,ROW()),0)</f>
        <v/>
      </c>
      <c r="I1292">
        <f>IF(ISNUMBER(INDEX('Term investments'!$G:$G,ROW())),1,0)</f>
        <v/>
      </c>
      <c r="J1292">
        <f>TRIM(SUBSTITUTE(INDEX('Call accounts and MMFs'!$A:$A,ROW())&amp;""," "," "))</f>
        <v/>
      </c>
      <c r="K1292">
        <f>TRIM(SUBSTITUTE(INDEX('Call accounts and MMFs'!$B:$B,ROW())&amp;""," "," "))</f>
        <v/>
      </c>
      <c r="L1292">
        <f>TRIM(SUBSTITUTE(INDEX('Call accounts and MMFs'!$C:$C,ROW())&amp;""," "," "))</f>
        <v/>
      </c>
      <c r="M1292">
        <f>IFERROR(--INDEX('Call accounts and MMFs'!$D:$D,ROW()),0)</f>
        <v/>
      </c>
      <c r="N1292">
        <f>IFERROR(IF(--INDEX('Call accounts and MMFs'!$E:$E,ROW())&gt;=1,--INDEX('Call accounts and MMFs'!$E:$E,ROW())/100,--INDEX('Call accounts and MMFs'!$E:$E,ROW())),0)</f>
        <v/>
      </c>
      <c r="O1292">
        <f>IFERROR(--INDEX('Call accounts and MMFs'!$F:$F,ROW()),0)</f>
        <v/>
      </c>
      <c r="P1292">
        <f>IF(ISNUMBER(INDEX('Call accounts and MMFs'!$E:$E,ROW())),1,0)</f>
        <v/>
      </c>
      <c r="Q1292">
        <f>TRIM(SUBSTITUTE(INDEX('Pooled funds'!$B:$B,ROW())&amp;""," "," "))</f>
        <v/>
      </c>
      <c r="R1292">
        <f>IFERROR(--INDEX('Pooled funds'!$C:$C,ROW()),0)</f>
        <v/>
      </c>
      <c r="S1292">
        <f>IFERROR(--INDEX('Pooled funds'!$D:$D,ROW()),0)</f>
        <v/>
      </c>
      <c r="T1292">
        <f>IFERROR(IF(--INDEX('Pooled funds'!$E:$E,ROW())&gt;=1,--INDEX('Pooled funds'!$E:$E,ROW())/100,--INDEX('Pooled funds'!$E:$E,ROW())),0)</f>
        <v/>
      </c>
      <c r="U1292">
        <f>IF(ISNUMBER(INDEX('Pooled funds'!$E:$E,ROW())),1,0)</f>
        <v/>
      </c>
    </row>
    <row r="1293">
      <c r="A1293">
        <f>TRIM(SUBSTITUTE(INDEX('Term investments'!$A:$A,ROW())&amp;""," "," "))</f>
        <v/>
      </c>
      <c r="B1293">
        <f>TRIM(SUBSTITUTE(INDEX('Term investments'!$B:$B,ROW())&amp;""," "," "))</f>
        <v/>
      </c>
      <c r="C1293">
        <f>TRIM(SUBSTITUTE(INDEX('Term investments'!$C:$C,ROW())&amp;""," "," "))</f>
        <v/>
      </c>
      <c r="D1293">
        <f>IFERROR(--INDEX('Term investments'!$D:$D,ROW()),0)</f>
        <v/>
      </c>
      <c r="E1293">
        <f>IFERROR(--INDEX('Term investments'!$E:$E,ROW()),0)</f>
        <v/>
      </c>
      <c r="F1293">
        <f>IFERROR(--INDEX('Term investments'!$F:$F,ROW()),0)</f>
        <v/>
      </c>
      <c r="G1293">
        <f>IFERROR(IF(--INDEX('Term investments'!$G:$G,ROW())&gt;=1,--INDEX('Term investments'!$G:$G,ROW())/100,--INDEX('Term investments'!$G:$G,ROW())),0)</f>
        <v/>
      </c>
      <c r="H1293">
        <f>IFERROR(--INDEX('Term investments'!$H:$H,ROW()),0)</f>
        <v/>
      </c>
      <c r="I1293">
        <f>IF(ISNUMBER(INDEX('Term investments'!$G:$G,ROW())),1,0)</f>
        <v/>
      </c>
      <c r="J1293">
        <f>TRIM(SUBSTITUTE(INDEX('Call accounts and MMFs'!$A:$A,ROW())&amp;""," "," "))</f>
        <v/>
      </c>
      <c r="K1293">
        <f>TRIM(SUBSTITUTE(INDEX('Call accounts and MMFs'!$B:$B,ROW())&amp;""," "," "))</f>
        <v/>
      </c>
      <c r="L1293">
        <f>TRIM(SUBSTITUTE(INDEX('Call accounts and MMFs'!$C:$C,ROW())&amp;""," "," "))</f>
        <v/>
      </c>
      <c r="M1293">
        <f>IFERROR(--INDEX('Call accounts and MMFs'!$D:$D,ROW()),0)</f>
        <v/>
      </c>
      <c r="N1293">
        <f>IFERROR(IF(--INDEX('Call accounts and MMFs'!$E:$E,ROW())&gt;=1,--INDEX('Call accounts and MMFs'!$E:$E,ROW())/100,--INDEX('Call accounts and MMFs'!$E:$E,ROW())),0)</f>
        <v/>
      </c>
      <c r="O1293">
        <f>IFERROR(--INDEX('Call accounts and MMFs'!$F:$F,ROW()),0)</f>
        <v/>
      </c>
      <c r="P1293">
        <f>IF(ISNUMBER(INDEX('Call accounts and MMFs'!$E:$E,ROW())),1,0)</f>
        <v/>
      </c>
      <c r="Q1293">
        <f>TRIM(SUBSTITUTE(INDEX('Pooled funds'!$B:$B,ROW())&amp;""," "," "))</f>
        <v/>
      </c>
      <c r="R1293">
        <f>IFERROR(--INDEX('Pooled funds'!$C:$C,ROW()),0)</f>
        <v/>
      </c>
      <c r="S1293">
        <f>IFERROR(--INDEX('Pooled funds'!$D:$D,ROW()),0)</f>
        <v/>
      </c>
      <c r="T1293">
        <f>IFERROR(IF(--INDEX('Pooled funds'!$E:$E,ROW())&gt;=1,--INDEX('Pooled funds'!$E:$E,ROW())/100,--INDEX('Pooled funds'!$E:$E,ROW())),0)</f>
        <v/>
      </c>
      <c r="U1293">
        <f>IF(ISNUMBER(INDEX('Pooled funds'!$E:$E,ROW())),1,0)</f>
        <v/>
      </c>
    </row>
    <row r="1294">
      <c r="A1294">
        <f>TRIM(SUBSTITUTE(INDEX('Term investments'!$A:$A,ROW())&amp;""," "," "))</f>
        <v/>
      </c>
      <c r="B1294">
        <f>TRIM(SUBSTITUTE(INDEX('Term investments'!$B:$B,ROW())&amp;""," "," "))</f>
        <v/>
      </c>
      <c r="C1294">
        <f>TRIM(SUBSTITUTE(INDEX('Term investments'!$C:$C,ROW())&amp;""," "," "))</f>
        <v/>
      </c>
      <c r="D1294">
        <f>IFERROR(--INDEX('Term investments'!$D:$D,ROW()),0)</f>
        <v/>
      </c>
      <c r="E1294">
        <f>IFERROR(--INDEX('Term investments'!$E:$E,ROW()),0)</f>
        <v/>
      </c>
      <c r="F1294">
        <f>IFERROR(--INDEX('Term investments'!$F:$F,ROW()),0)</f>
        <v/>
      </c>
      <c r="G1294">
        <f>IFERROR(IF(--INDEX('Term investments'!$G:$G,ROW())&gt;=1,--INDEX('Term investments'!$G:$G,ROW())/100,--INDEX('Term investments'!$G:$G,ROW())),0)</f>
        <v/>
      </c>
      <c r="H1294">
        <f>IFERROR(--INDEX('Term investments'!$H:$H,ROW()),0)</f>
        <v/>
      </c>
      <c r="I1294">
        <f>IF(ISNUMBER(INDEX('Term investments'!$G:$G,ROW())),1,0)</f>
        <v/>
      </c>
      <c r="J1294">
        <f>TRIM(SUBSTITUTE(INDEX('Call accounts and MMFs'!$A:$A,ROW())&amp;""," "," "))</f>
        <v/>
      </c>
      <c r="K1294">
        <f>TRIM(SUBSTITUTE(INDEX('Call accounts and MMFs'!$B:$B,ROW())&amp;""," "," "))</f>
        <v/>
      </c>
      <c r="L1294">
        <f>TRIM(SUBSTITUTE(INDEX('Call accounts and MMFs'!$C:$C,ROW())&amp;""," "," "))</f>
        <v/>
      </c>
      <c r="M1294">
        <f>IFERROR(--INDEX('Call accounts and MMFs'!$D:$D,ROW()),0)</f>
        <v/>
      </c>
      <c r="N1294">
        <f>IFERROR(IF(--INDEX('Call accounts and MMFs'!$E:$E,ROW())&gt;=1,--INDEX('Call accounts and MMFs'!$E:$E,ROW())/100,--INDEX('Call accounts and MMFs'!$E:$E,ROW())),0)</f>
        <v/>
      </c>
      <c r="O1294">
        <f>IFERROR(--INDEX('Call accounts and MMFs'!$F:$F,ROW()),0)</f>
        <v/>
      </c>
      <c r="P1294">
        <f>IF(ISNUMBER(INDEX('Call accounts and MMFs'!$E:$E,ROW())),1,0)</f>
        <v/>
      </c>
      <c r="Q1294">
        <f>TRIM(SUBSTITUTE(INDEX('Pooled funds'!$B:$B,ROW())&amp;""," "," "))</f>
        <v/>
      </c>
      <c r="R1294">
        <f>IFERROR(--INDEX('Pooled funds'!$C:$C,ROW()),0)</f>
        <v/>
      </c>
      <c r="S1294">
        <f>IFERROR(--INDEX('Pooled funds'!$D:$D,ROW()),0)</f>
        <v/>
      </c>
      <c r="T1294">
        <f>IFERROR(IF(--INDEX('Pooled funds'!$E:$E,ROW())&gt;=1,--INDEX('Pooled funds'!$E:$E,ROW())/100,--INDEX('Pooled funds'!$E:$E,ROW())),0)</f>
        <v/>
      </c>
      <c r="U1294">
        <f>IF(ISNUMBER(INDEX('Pooled funds'!$E:$E,ROW())),1,0)</f>
        <v/>
      </c>
    </row>
    <row r="1295">
      <c r="A1295">
        <f>TRIM(SUBSTITUTE(INDEX('Term investments'!$A:$A,ROW())&amp;""," "," "))</f>
        <v/>
      </c>
      <c r="B1295">
        <f>TRIM(SUBSTITUTE(INDEX('Term investments'!$B:$B,ROW())&amp;""," "," "))</f>
        <v/>
      </c>
      <c r="C1295">
        <f>TRIM(SUBSTITUTE(INDEX('Term investments'!$C:$C,ROW())&amp;""," "," "))</f>
        <v/>
      </c>
      <c r="D1295">
        <f>IFERROR(--INDEX('Term investments'!$D:$D,ROW()),0)</f>
        <v/>
      </c>
      <c r="E1295">
        <f>IFERROR(--INDEX('Term investments'!$E:$E,ROW()),0)</f>
        <v/>
      </c>
      <c r="F1295">
        <f>IFERROR(--INDEX('Term investments'!$F:$F,ROW()),0)</f>
        <v/>
      </c>
      <c r="G1295">
        <f>IFERROR(IF(--INDEX('Term investments'!$G:$G,ROW())&gt;=1,--INDEX('Term investments'!$G:$G,ROW())/100,--INDEX('Term investments'!$G:$G,ROW())),0)</f>
        <v/>
      </c>
      <c r="H1295">
        <f>IFERROR(--INDEX('Term investments'!$H:$H,ROW()),0)</f>
        <v/>
      </c>
      <c r="I1295">
        <f>IF(ISNUMBER(INDEX('Term investments'!$G:$G,ROW())),1,0)</f>
        <v/>
      </c>
      <c r="J1295">
        <f>TRIM(SUBSTITUTE(INDEX('Call accounts and MMFs'!$A:$A,ROW())&amp;""," "," "))</f>
        <v/>
      </c>
      <c r="K1295">
        <f>TRIM(SUBSTITUTE(INDEX('Call accounts and MMFs'!$B:$B,ROW())&amp;""," "," "))</f>
        <v/>
      </c>
      <c r="L1295">
        <f>TRIM(SUBSTITUTE(INDEX('Call accounts and MMFs'!$C:$C,ROW())&amp;""," "," "))</f>
        <v/>
      </c>
      <c r="M1295">
        <f>IFERROR(--INDEX('Call accounts and MMFs'!$D:$D,ROW()),0)</f>
        <v/>
      </c>
      <c r="N1295">
        <f>IFERROR(IF(--INDEX('Call accounts and MMFs'!$E:$E,ROW())&gt;=1,--INDEX('Call accounts and MMFs'!$E:$E,ROW())/100,--INDEX('Call accounts and MMFs'!$E:$E,ROW())),0)</f>
        <v/>
      </c>
      <c r="O1295">
        <f>IFERROR(--INDEX('Call accounts and MMFs'!$F:$F,ROW()),0)</f>
        <v/>
      </c>
      <c r="P1295">
        <f>IF(ISNUMBER(INDEX('Call accounts and MMFs'!$E:$E,ROW())),1,0)</f>
        <v/>
      </c>
      <c r="Q1295">
        <f>TRIM(SUBSTITUTE(INDEX('Pooled funds'!$B:$B,ROW())&amp;""," "," "))</f>
        <v/>
      </c>
      <c r="R1295">
        <f>IFERROR(--INDEX('Pooled funds'!$C:$C,ROW()),0)</f>
        <v/>
      </c>
      <c r="S1295">
        <f>IFERROR(--INDEX('Pooled funds'!$D:$D,ROW()),0)</f>
        <v/>
      </c>
      <c r="T1295">
        <f>IFERROR(IF(--INDEX('Pooled funds'!$E:$E,ROW())&gt;=1,--INDEX('Pooled funds'!$E:$E,ROW())/100,--INDEX('Pooled funds'!$E:$E,ROW())),0)</f>
        <v/>
      </c>
      <c r="U1295">
        <f>IF(ISNUMBER(INDEX('Pooled funds'!$E:$E,ROW())),1,0)</f>
        <v/>
      </c>
    </row>
    <row r="1296">
      <c r="A1296">
        <f>TRIM(SUBSTITUTE(INDEX('Term investments'!$A:$A,ROW())&amp;""," "," "))</f>
        <v/>
      </c>
      <c r="B1296">
        <f>TRIM(SUBSTITUTE(INDEX('Term investments'!$B:$B,ROW())&amp;""," "," "))</f>
        <v/>
      </c>
      <c r="C1296">
        <f>TRIM(SUBSTITUTE(INDEX('Term investments'!$C:$C,ROW())&amp;""," "," "))</f>
        <v/>
      </c>
      <c r="D1296">
        <f>IFERROR(--INDEX('Term investments'!$D:$D,ROW()),0)</f>
        <v/>
      </c>
      <c r="E1296">
        <f>IFERROR(--INDEX('Term investments'!$E:$E,ROW()),0)</f>
        <v/>
      </c>
      <c r="F1296">
        <f>IFERROR(--INDEX('Term investments'!$F:$F,ROW()),0)</f>
        <v/>
      </c>
      <c r="G1296">
        <f>IFERROR(IF(--INDEX('Term investments'!$G:$G,ROW())&gt;=1,--INDEX('Term investments'!$G:$G,ROW())/100,--INDEX('Term investments'!$G:$G,ROW())),0)</f>
        <v/>
      </c>
      <c r="H1296">
        <f>IFERROR(--INDEX('Term investments'!$H:$H,ROW()),0)</f>
        <v/>
      </c>
      <c r="I1296">
        <f>IF(ISNUMBER(INDEX('Term investments'!$G:$G,ROW())),1,0)</f>
        <v/>
      </c>
      <c r="J1296">
        <f>TRIM(SUBSTITUTE(INDEX('Call accounts and MMFs'!$A:$A,ROW())&amp;""," "," "))</f>
        <v/>
      </c>
      <c r="K1296">
        <f>TRIM(SUBSTITUTE(INDEX('Call accounts and MMFs'!$B:$B,ROW())&amp;""," "," "))</f>
        <v/>
      </c>
      <c r="L1296">
        <f>TRIM(SUBSTITUTE(INDEX('Call accounts and MMFs'!$C:$C,ROW())&amp;""," "," "))</f>
        <v/>
      </c>
      <c r="M1296">
        <f>IFERROR(--INDEX('Call accounts and MMFs'!$D:$D,ROW()),0)</f>
        <v/>
      </c>
      <c r="N1296">
        <f>IFERROR(IF(--INDEX('Call accounts and MMFs'!$E:$E,ROW())&gt;=1,--INDEX('Call accounts and MMFs'!$E:$E,ROW())/100,--INDEX('Call accounts and MMFs'!$E:$E,ROW())),0)</f>
        <v/>
      </c>
      <c r="O1296">
        <f>IFERROR(--INDEX('Call accounts and MMFs'!$F:$F,ROW()),0)</f>
        <v/>
      </c>
      <c r="P1296">
        <f>IF(ISNUMBER(INDEX('Call accounts and MMFs'!$E:$E,ROW())),1,0)</f>
        <v/>
      </c>
      <c r="Q1296">
        <f>TRIM(SUBSTITUTE(INDEX('Pooled funds'!$B:$B,ROW())&amp;""," "," "))</f>
        <v/>
      </c>
      <c r="R1296">
        <f>IFERROR(--INDEX('Pooled funds'!$C:$C,ROW()),0)</f>
        <v/>
      </c>
      <c r="S1296">
        <f>IFERROR(--INDEX('Pooled funds'!$D:$D,ROW()),0)</f>
        <v/>
      </c>
      <c r="T1296">
        <f>IFERROR(IF(--INDEX('Pooled funds'!$E:$E,ROW())&gt;=1,--INDEX('Pooled funds'!$E:$E,ROW())/100,--INDEX('Pooled funds'!$E:$E,ROW())),0)</f>
        <v/>
      </c>
      <c r="U1296">
        <f>IF(ISNUMBER(INDEX('Pooled funds'!$E:$E,ROW())),1,0)</f>
        <v/>
      </c>
    </row>
    <row r="1297">
      <c r="A1297">
        <f>TRIM(SUBSTITUTE(INDEX('Term investments'!$A:$A,ROW())&amp;""," "," "))</f>
        <v/>
      </c>
      <c r="B1297">
        <f>TRIM(SUBSTITUTE(INDEX('Term investments'!$B:$B,ROW())&amp;""," "," "))</f>
        <v/>
      </c>
      <c r="C1297">
        <f>TRIM(SUBSTITUTE(INDEX('Term investments'!$C:$C,ROW())&amp;""," "," "))</f>
        <v/>
      </c>
      <c r="D1297">
        <f>IFERROR(--INDEX('Term investments'!$D:$D,ROW()),0)</f>
        <v/>
      </c>
      <c r="E1297">
        <f>IFERROR(--INDEX('Term investments'!$E:$E,ROW()),0)</f>
        <v/>
      </c>
      <c r="F1297">
        <f>IFERROR(--INDEX('Term investments'!$F:$F,ROW()),0)</f>
        <v/>
      </c>
      <c r="G1297">
        <f>IFERROR(IF(--INDEX('Term investments'!$G:$G,ROW())&gt;=1,--INDEX('Term investments'!$G:$G,ROW())/100,--INDEX('Term investments'!$G:$G,ROW())),0)</f>
        <v/>
      </c>
      <c r="H1297">
        <f>IFERROR(--INDEX('Term investments'!$H:$H,ROW()),0)</f>
        <v/>
      </c>
      <c r="I1297">
        <f>IF(ISNUMBER(INDEX('Term investments'!$G:$G,ROW())),1,0)</f>
        <v/>
      </c>
      <c r="J1297">
        <f>TRIM(SUBSTITUTE(INDEX('Call accounts and MMFs'!$A:$A,ROW())&amp;""," "," "))</f>
        <v/>
      </c>
      <c r="K1297">
        <f>TRIM(SUBSTITUTE(INDEX('Call accounts and MMFs'!$B:$B,ROW())&amp;""," "," "))</f>
        <v/>
      </c>
      <c r="L1297">
        <f>TRIM(SUBSTITUTE(INDEX('Call accounts and MMFs'!$C:$C,ROW())&amp;""," "," "))</f>
        <v/>
      </c>
      <c r="M1297">
        <f>IFERROR(--INDEX('Call accounts and MMFs'!$D:$D,ROW()),0)</f>
        <v/>
      </c>
      <c r="N1297">
        <f>IFERROR(IF(--INDEX('Call accounts and MMFs'!$E:$E,ROW())&gt;=1,--INDEX('Call accounts and MMFs'!$E:$E,ROW())/100,--INDEX('Call accounts and MMFs'!$E:$E,ROW())),0)</f>
        <v/>
      </c>
      <c r="O1297">
        <f>IFERROR(--INDEX('Call accounts and MMFs'!$F:$F,ROW()),0)</f>
        <v/>
      </c>
      <c r="P1297">
        <f>IF(ISNUMBER(INDEX('Call accounts and MMFs'!$E:$E,ROW())),1,0)</f>
        <v/>
      </c>
      <c r="Q1297">
        <f>TRIM(SUBSTITUTE(INDEX('Pooled funds'!$B:$B,ROW())&amp;""," "," "))</f>
        <v/>
      </c>
      <c r="R1297">
        <f>IFERROR(--INDEX('Pooled funds'!$C:$C,ROW()),0)</f>
        <v/>
      </c>
      <c r="S1297">
        <f>IFERROR(--INDEX('Pooled funds'!$D:$D,ROW()),0)</f>
        <v/>
      </c>
      <c r="T1297">
        <f>IFERROR(IF(--INDEX('Pooled funds'!$E:$E,ROW())&gt;=1,--INDEX('Pooled funds'!$E:$E,ROW())/100,--INDEX('Pooled funds'!$E:$E,ROW())),0)</f>
        <v/>
      </c>
      <c r="U1297">
        <f>IF(ISNUMBER(INDEX('Pooled funds'!$E:$E,ROW())),1,0)</f>
        <v/>
      </c>
    </row>
    <row r="1298">
      <c r="A1298">
        <f>TRIM(SUBSTITUTE(INDEX('Term investments'!$A:$A,ROW())&amp;""," "," "))</f>
        <v/>
      </c>
      <c r="B1298">
        <f>TRIM(SUBSTITUTE(INDEX('Term investments'!$B:$B,ROW())&amp;""," "," "))</f>
        <v/>
      </c>
      <c r="C1298">
        <f>TRIM(SUBSTITUTE(INDEX('Term investments'!$C:$C,ROW())&amp;""," "," "))</f>
        <v/>
      </c>
      <c r="D1298">
        <f>IFERROR(--INDEX('Term investments'!$D:$D,ROW()),0)</f>
        <v/>
      </c>
      <c r="E1298">
        <f>IFERROR(--INDEX('Term investments'!$E:$E,ROW()),0)</f>
        <v/>
      </c>
      <c r="F1298">
        <f>IFERROR(--INDEX('Term investments'!$F:$F,ROW()),0)</f>
        <v/>
      </c>
      <c r="G1298">
        <f>IFERROR(IF(--INDEX('Term investments'!$G:$G,ROW())&gt;=1,--INDEX('Term investments'!$G:$G,ROW())/100,--INDEX('Term investments'!$G:$G,ROW())),0)</f>
        <v/>
      </c>
      <c r="H1298">
        <f>IFERROR(--INDEX('Term investments'!$H:$H,ROW()),0)</f>
        <v/>
      </c>
      <c r="I1298">
        <f>IF(ISNUMBER(INDEX('Term investments'!$G:$G,ROW())),1,0)</f>
        <v/>
      </c>
      <c r="J1298">
        <f>TRIM(SUBSTITUTE(INDEX('Call accounts and MMFs'!$A:$A,ROW())&amp;""," "," "))</f>
        <v/>
      </c>
      <c r="K1298">
        <f>TRIM(SUBSTITUTE(INDEX('Call accounts and MMFs'!$B:$B,ROW())&amp;""," "," "))</f>
        <v/>
      </c>
      <c r="L1298">
        <f>TRIM(SUBSTITUTE(INDEX('Call accounts and MMFs'!$C:$C,ROW())&amp;""," "," "))</f>
        <v/>
      </c>
      <c r="M1298">
        <f>IFERROR(--INDEX('Call accounts and MMFs'!$D:$D,ROW()),0)</f>
        <v/>
      </c>
      <c r="N1298">
        <f>IFERROR(IF(--INDEX('Call accounts and MMFs'!$E:$E,ROW())&gt;=1,--INDEX('Call accounts and MMFs'!$E:$E,ROW())/100,--INDEX('Call accounts and MMFs'!$E:$E,ROW())),0)</f>
        <v/>
      </c>
      <c r="O1298">
        <f>IFERROR(--INDEX('Call accounts and MMFs'!$F:$F,ROW()),0)</f>
        <v/>
      </c>
      <c r="P1298">
        <f>IF(ISNUMBER(INDEX('Call accounts and MMFs'!$E:$E,ROW())),1,0)</f>
        <v/>
      </c>
      <c r="Q1298">
        <f>TRIM(SUBSTITUTE(INDEX('Pooled funds'!$B:$B,ROW())&amp;""," "," "))</f>
        <v/>
      </c>
      <c r="R1298">
        <f>IFERROR(--INDEX('Pooled funds'!$C:$C,ROW()),0)</f>
        <v/>
      </c>
      <c r="S1298">
        <f>IFERROR(--INDEX('Pooled funds'!$D:$D,ROW()),0)</f>
        <v/>
      </c>
      <c r="T1298">
        <f>IFERROR(IF(--INDEX('Pooled funds'!$E:$E,ROW())&gt;=1,--INDEX('Pooled funds'!$E:$E,ROW())/100,--INDEX('Pooled funds'!$E:$E,ROW())),0)</f>
        <v/>
      </c>
      <c r="U1298">
        <f>IF(ISNUMBER(INDEX('Pooled funds'!$E:$E,ROW())),1,0)</f>
        <v/>
      </c>
    </row>
    <row r="1299">
      <c r="A1299">
        <f>TRIM(SUBSTITUTE(INDEX('Term investments'!$A:$A,ROW())&amp;""," "," "))</f>
        <v/>
      </c>
      <c r="B1299">
        <f>TRIM(SUBSTITUTE(INDEX('Term investments'!$B:$B,ROW())&amp;""," "," "))</f>
        <v/>
      </c>
      <c r="C1299">
        <f>TRIM(SUBSTITUTE(INDEX('Term investments'!$C:$C,ROW())&amp;""," "," "))</f>
        <v/>
      </c>
      <c r="D1299">
        <f>IFERROR(--INDEX('Term investments'!$D:$D,ROW()),0)</f>
        <v/>
      </c>
      <c r="E1299">
        <f>IFERROR(--INDEX('Term investments'!$E:$E,ROW()),0)</f>
        <v/>
      </c>
      <c r="F1299">
        <f>IFERROR(--INDEX('Term investments'!$F:$F,ROW()),0)</f>
        <v/>
      </c>
      <c r="G1299">
        <f>IFERROR(IF(--INDEX('Term investments'!$G:$G,ROW())&gt;=1,--INDEX('Term investments'!$G:$G,ROW())/100,--INDEX('Term investments'!$G:$G,ROW())),0)</f>
        <v/>
      </c>
      <c r="H1299">
        <f>IFERROR(--INDEX('Term investments'!$H:$H,ROW()),0)</f>
        <v/>
      </c>
      <c r="I1299">
        <f>IF(ISNUMBER(INDEX('Term investments'!$G:$G,ROW())),1,0)</f>
        <v/>
      </c>
      <c r="J1299">
        <f>TRIM(SUBSTITUTE(INDEX('Call accounts and MMFs'!$A:$A,ROW())&amp;""," "," "))</f>
        <v/>
      </c>
      <c r="K1299">
        <f>TRIM(SUBSTITUTE(INDEX('Call accounts and MMFs'!$B:$B,ROW())&amp;""," "," "))</f>
        <v/>
      </c>
      <c r="L1299">
        <f>TRIM(SUBSTITUTE(INDEX('Call accounts and MMFs'!$C:$C,ROW())&amp;""," "," "))</f>
        <v/>
      </c>
      <c r="M1299">
        <f>IFERROR(--INDEX('Call accounts and MMFs'!$D:$D,ROW()),0)</f>
        <v/>
      </c>
      <c r="N1299">
        <f>IFERROR(IF(--INDEX('Call accounts and MMFs'!$E:$E,ROW())&gt;=1,--INDEX('Call accounts and MMFs'!$E:$E,ROW())/100,--INDEX('Call accounts and MMFs'!$E:$E,ROW())),0)</f>
        <v/>
      </c>
      <c r="O1299">
        <f>IFERROR(--INDEX('Call accounts and MMFs'!$F:$F,ROW()),0)</f>
        <v/>
      </c>
      <c r="P1299">
        <f>IF(ISNUMBER(INDEX('Call accounts and MMFs'!$E:$E,ROW())),1,0)</f>
        <v/>
      </c>
      <c r="Q1299">
        <f>TRIM(SUBSTITUTE(INDEX('Pooled funds'!$B:$B,ROW())&amp;""," "," "))</f>
        <v/>
      </c>
      <c r="R1299">
        <f>IFERROR(--INDEX('Pooled funds'!$C:$C,ROW()),0)</f>
        <v/>
      </c>
      <c r="S1299">
        <f>IFERROR(--INDEX('Pooled funds'!$D:$D,ROW()),0)</f>
        <v/>
      </c>
      <c r="T1299">
        <f>IFERROR(IF(--INDEX('Pooled funds'!$E:$E,ROW())&gt;=1,--INDEX('Pooled funds'!$E:$E,ROW())/100,--INDEX('Pooled funds'!$E:$E,ROW())),0)</f>
        <v/>
      </c>
      <c r="U1299">
        <f>IF(ISNUMBER(INDEX('Pooled funds'!$E:$E,ROW())),1,0)</f>
        <v/>
      </c>
    </row>
    <row r="1300">
      <c r="A1300">
        <f>TRIM(SUBSTITUTE(INDEX('Term investments'!$A:$A,ROW())&amp;""," "," "))</f>
        <v/>
      </c>
      <c r="B1300">
        <f>TRIM(SUBSTITUTE(INDEX('Term investments'!$B:$B,ROW())&amp;""," "," "))</f>
        <v/>
      </c>
      <c r="C1300">
        <f>TRIM(SUBSTITUTE(INDEX('Term investments'!$C:$C,ROW())&amp;""," "," "))</f>
        <v/>
      </c>
      <c r="D1300">
        <f>IFERROR(--INDEX('Term investments'!$D:$D,ROW()),0)</f>
        <v/>
      </c>
      <c r="E1300">
        <f>IFERROR(--INDEX('Term investments'!$E:$E,ROW()),0)</f>
        <v/>
      </c>
      <c r="F1300">
        <f>IFERROR(--INDEX('Term investments'!$F:$F,ROW()),0)</f>
        <v/>
      </c>
      <c r="G1300">
        <f>IFERROR(IF(--INDEX('Term investments'!$G:$G,ROW())&gt;=1,--INDEX('Term investments'!$G:$G,ROW())/100,--INDEX('Term investments'!$G:$G,ROW())),0)</f>
        <v/>
      </c>
      <c r="H1300">
        <f>IFERROR(--INDEX('Term investments'!$H:$H,ROW()),0)</f>
        <v/>
      </c>
      <c r="I1300">
        <f>IF(ISNUMBER(INDEX('Term investments'!$G:$G,ROW())),1,0)</f>
        <v/>
      </c>
      <c r="J1300">
        <f>TRIM(SUBSTITUTE(INDEX('Call accounts and MMFs'!$A:$A,ROW())&amp;""," "," "))</f>
        <v/>
      </c>
      <c r="K1300">
        <f>TRIM(SUBSTITUTE(INDEX('Call accounts and MMFs'!$B:$B,ROW())&amp;""," "," "))</f>
        <v/>
      </c>
      <c r="L1300">
        <f>TRIM(SUBSTITUTE(INDEX('Call accounts and MMFs'!$C:$C,ROW())&amp;""," "," "))</f>
        <v/>
      </c>
      <c r="M1300">
        <f>IFERROR(--INDEX('Call accounts and MMFs'!$D:$D,ROW()),0)</f>
        <v/>
      </c>
      <c r="N1300">
        <f>IFERROR(IF(--INDEX('Call accounts and MMFs'!$E:$E,ROW())&gt;=1,--INDEX('Call accounts and MMFs'!$E:$E,ROW())/100,--INDEX('Call accounts and MMFs'!$E:$E,ROW())),0)</f>
        <v/>
      </c>
      <c r="O1300">
        <f>IFERROR(--INDEX('Call accounts and MMFs'!$F:$F,ROW()),0)</f>
        <v/>
      </c>
      <c r="P1300">
        <f>IF(ISNUMBER(INDEX('Call accounts and MMFs'!$E:$E,ROW())),1,0)</f>
        <v/>
      </c>
      <c r="Q1300">
        <f>TRIM(SUBSTITUTE(INDEX('Pooled funds'!$B:$B,ROW())&amp;""," "," "))</f>
        <v/>
      </c>
      <c r="R1300">
        <f>IFERROR(--INDEX('Pooled funds'!$C:$C,ROW()),0)</f>
        <v/>
      </c>
      <c r="S1300">
        <f>IFERROR(--INDEX('Pooled funds'!$D:$D,ROW()),0)</f>
        <v/>
      </c>
      <c r="T1300">
        <f>IFERROR(IF(--INDEX('Pooled funds'!$E:$E,ROW())&gt;=1,--INDEX('Pooled funds'!$E:$E,ROW())/100,--INDEX('Pooled funds'!$E:$E,ROW())),0)</f>
        <v/>
      </c>
      <c r="U1300">
        <f>IF(ISNUMBER(INDEX('Pooled funds'!$E:$E,ROW())),1,0)</f>
        <v/>
      </c>
    </row>
    <row r="1301">
      <c r="A1301">
        <f>TRIM(SUBSTITUTE(INDEX('Term investments'!$A:$A,ROW())&amp;""," "," "))</f>
        <v/>
      </c>
      <c r="B1301">
        <f>TRIM(SUBSTITUTE(INDEX('Term investments'!$B:$B,ROW())&amp;""," "," "))</f>
        <v/>
      </c>
      <c r="C1301">
        <f>TRIM(SUBSTITUTE(INDEX('Term investments'!$C:$C,ROW())&amp;""," "," "))</f>
        <v/>
      </c>
      <c r="D1301">
        <f>IFERROR(--INDEX('Term investments'!$D:$D,ROW()),0)</f>
        <v/>
      </c>
      <c r="E1301">
        <f>IFERROR(--INDEX('Term investments'!$E:$E,ROW()),0)</f>
        <v/>
      </c>
      <c r="F1301">
        <f>IFERROR(--INDEX('Term investments'!$F:$F,ROW()),0)</f>
        <v/>
      </c>
      <c r="G1301">
        <f>IFERROR(IF(--INDEX('Term investments'!$G:$G,ROW())&gt;=1,--INDEX('Term investments'!$G:$G,ROW())/100,--INDEX('Term investments'!$G:$G,ROW())),0)</f>
        <v/>
      </c>
      <c r="H1301">
        <f>IFERROR(--INDEX('Term investments'!$H:$H,ROW()),0)</f>
        <v/>
      </c>
      <c r="I1301">
        <f>IF(ISNUMBER(INDEX('Term investments'!$G:$G,ROW())),1,0)</f>
        <v/>
      </c>
      <c r="J1301">
        <f>TRIM(SUBSTITUTE(INDEX('Call accounts and MMFs'!$A:$A,ROW())&amp;""," "," "))</f>
        <v/>
      </c>
      <c r="K1301">
        <f>TRIM(SUBSTITUTE(INDEX('Call accounts and MMFs'!$B:$B,ROW())&amp;""," "," "))</f>
        <v/>
      </c>
      <c r="L1301">
        <f>TRIM(SUBSTITUTE(INDEX('Call accounts and MMFs'!$C:$C,ROW())&amp;""," "," "))</f>
        <v/>
      </c>
      <c r="M1301">
        <f>IFERROR(--INDEX('Call accounts and MMFs'!$D:$D,ROW()),0)</f>
        <v/>
      </c>
      <c r="N1301">
        <f>IFERROR(IF(--INDEX('Call accounts and MMFs'!$E:$E,ROW())&gt;=1,--INDEX('Call accounts and MMFs'!$E:$E,ROW())/100,--INDEX('Call accounts and MMFs'!$E:$E,ROW())),0)</f>
        <v/>
      </c>
      <c r="O1301">
        <f>IFERROR(--INDEX('Call accounts and MMFs'!$F:$F,ROW()),0)</f>
        <v/>
      </c>
      <c r="P1301">
        <f>IF(ISNUMBER(INDEX('Call accounts and MMFs'!$E:$E,ROW())),1,0)</f>
        <v/>
      </c>
      <c r="Q1301">
        <f>TRIM(SUBSTITUTE(INDEX('Pooled funds'!$B:$B,ROW())&amp;""," "," "))</f>
        <v/>
      </c>
      <c r="R1301">
        <f>IFERROR(--INDEX('Pooled funds'!$C:$C,ROW()),0)</f>
        <v/>
      </c>
      <c r="S1301">
        <f>IFERROR(--INDEX('Pooled funds'!$D:$D,ROW()),0)</f>
        <v/>
      </c>
      <c r="T1301">
        <f>IFERROR(IF(--INDEX('Pooled funds'!$E:$E,ROW())&gt;=1,--INDEX('Pooled funds'!$E:$E,ROW())/100,--INDEX('Pooled funds'!$E:$E,ROW())),0)</f>
        <v/>
      </c>
      <c r="U1301">
        <f>IF(ISNUMBER(INDEX('Pooled funds'!$E:$E,ROW())),1,0)</f>
        <v/>
      </c>
    </row>
    <row r="1302">
      <c r="A1302">
        <f>TRIM(SUBSTITUTE(INDEX('Term investments'!$A:$A,ROW())&amp;""," "," "))</f>
        <v/>
      </c>
      <c r="B1302">
        <f>TRIM(SUBSTITUTE(INDEX('Term investments'!$B:$B,ROW())&amp;""," "," "))</f>
        <v/>
      </c>
      <c r="C1302">
        <f>TRIM(SUBSTITUTE(INDEX('Term investments'!$C:$C,ROW())&amp;""," "," "))</f>
        <v/>
      </c>
      <c r="D1302">
        <f>IFERROR(--INDEX('Term investments'!$D:$D,ROW()),0)</f>
        <v/>
      </c>
      <c r="E1302">
        <f>IFERROR(--INDEX('Term investments'!$E:$E,ROW()),0)</f>
        <v/>
      </c>
      <c r="F1302">
        <f>IFERROR(--INDEX('Term investments'!$F:$F,ROW()),0)</f>
        <v/>
      </c>
      <c r="G1302">
        <f>IFERROR(IF(--INDEX('Term investments'!$G:$G,ROW())&gt;=1,--INDEX('Term investments'!$G:$G,ROW())/100,--INDEX('Term investments'!$G:$G,ROW())),0)</f>
        <v/>
      </c>
      <c r="H1302">
        <f>IFERROR(--INDEX('Term investments'!$H:$H,ROW()),0)</f>
        <v/>
      </c>
      <c r="I1302">
        <f>IF(ISNUMBER(INDEX('Term investments'!$G:$G,ROW())),1,0)</f>
        <v/>
      </c>
      <c r="J1302">
        <f>TRIM(SUBSTITUTE(INDEX('Call accounts and MMFs'!$A:$A,ROW())&amp;""," "," "))</f>
        <v/>
      </c>
      <c r="K1302">
        <f>TRIM(SUBSTITUTE(INDEX('Call accounts and MMFs'!$B:$B,ROW())&amp;""," "," "))</f>
        <v/>
      </c>
      <c r="L1302">
        <f>TRIM(SUBSTITUTE(INDEX('Call accounts and MMFs'!$C:$C,ROW())&amp;""," "," "))</f>
        <v/>
      </c>
      <c r="M1302">
        <f>IFERROR(--INDEX('Call accounts and MMFs'!$D:$D,ROW()),0)</f>
        <v/>
      </c>
      <c r="N1302">
        <f>IFERROR(IF(--INDEX('Call accounts and MMFs'!$E:$E,ROW())&gt;=1,--INDEX('Call accounts and MMFs'!$E:$E,ROW())/100,--INDEX('Call accounts and MMFs'!$E:$E,ROW())),0)</f>
        <v/>
      </c>
      <c r="O1302">
        <f>IFERROR(--INDEX('Call accounts and MMFs'!$F:$F,ROW()),0)</f>
        <v/>
      </c>
      <c r="P1302">
        <f>IF(ISNUMBER(INDEX('Call accounts and MMFs'!$E:$E,ROW())),1,0)</f>
        <v/>
      </c>
      <c r="Q1302">
        <f>TRIM(SUBSTITUTE(INDEX('Pooled funds'!$B:$B,ROW())&amp;""," "," "))</f>
        <v/>
      </c>
      <c r="R1302">
        <f>IFERROR(--INDEX('Pooled funds'!$C:$C,ROW()),0)</f>
        <v/>
      </c>
      <c r="S1302">
        <f>IFERROR(--INDEX('Pooled funds'!$D:$D,ROW()),0)</f>
        <v/>
      </c>
      <c r="T1302">
        <f>IFERROR(IF(--INDEX('Pooled funds'!$E:$E,ROW())&gt;=1,--INDEX('Pooled funds'!$E:$E,ROW())/100,--INDEX('Pooled funds'!$E:$E,ROW())),0)</f>
        <v/>
      </c>
      <c r="U1302">
        <f>IF(ISNUMBER(INDEX('Pooled funds'!$E:$E,ROW())),1,0)</f>
        <v/>
      </c>
    </row>
    <row r="1303">
      <c r="A1303">
        <f>TRIM(SUBSTITUTE(INDEX('Term investments'!$A:$A,ROW())&amp;""," "," "))</f>
        <v/>
      </c>
      <c r="B1303">
        <f>TRIM(SUBSTITUTE(INDEX('Term investments'!$B:$B,ROW())&amp;""," "," "))</f>
        <v/>
      </c>
      <c r="C1303">
        <f>TRIM(SUBSTITUTE(INDEX('Term investments'!$C:$C,ROW())&amp;""," "," "))</f>
        <v/>
      </c>
      <c r="D1303">
        <f>IFERROR(--INDEX('Term investments'!$D:$D,ROW()),0)</f>
        <v/>
      </c>
      <c r="E1303">
        <f>IFERROR(--INDEX('Term investments'!$E:$E,ROW()),0)</f>
        <v/>
      </c>
      <c r="F1303">
        <f>IFERROR(--INDEX('Term investments'!$F:$F,ROW()),0)</f>
        <v/>
      </c>
      <c r="G1303">
        <f>IFERROR(IF(--INDEX('Term investments'!$G:$G,ROW())&gt;=1,--INDEX('Term investments'!$G:$G,ROW())/100,--INDEX('Term investments'!$G:$G,ROW())),0)</f>
        <v/>
      </c>
      <c r="H1303">
        <f>IFERROR(--INDEX('Term investments'!$H:$H,ROW()),0)</f>
        <v/>
      </c>
      <c r="I1303">
        <f>IF(ISNUMBER(INDEX('Term investments'!$G:$G,ROW())),1,0)</f>
        <v/>
      </c>
      <c r="J1303">
        <f>TRIM(SUBSTITUTE(INDEX('Call accounts and MMFs'!$A:$A,ROW())&amp;""," "," "))</f>
        <v/>
      </c>
      <c r="K1303">
        <f>TRIM(SUBSTITUTE(INDEX('Call accounts and MMFs'!$B:$B,ROW())&amp;""," "," "))</f>
        <v/>
      </c>
      <c r="L1303">
        <f>TRIM(SUBSTITUTE(INDEX('Call accounts and MMFs'!$C:$C,ROW())&amp;""," "," "))</f>
        <v/>
      </c>
      <c r="M1303">
        <f>IFERROR(--INDEX('Call accounts and MMFs'!$D:$D,ROW()),0)</f>
        <v/>
      </c>
      <c r="N1303">
        <f>IFERROR(IF(--INDEX('Call accounts and MMFs'!$E:$E,ROW())&gt;=1,--INDEX('Call accounts and MMFs'!$E:$E,ROW())/100,--INDEX('Call accounts and MMFs'!$E:$E,ROW())),0)</f>
        <v/>
      </c>
      <c r="O1303">
        <f>IFERROR(--INDEX('Call accounts and MMFs'!$F:$F,ROW()),0)</f>
        <v/>
      </c>
      <c r="P1303">
        <f>IF(ISNUMBER(INDEX('Call accounts and MMFs'!$E:$E,ROW())),1,0)</f>
        <v/>
      </c>
      <c r="Q1303">
        <f>TRIM(SUBSTITUTE(INDEX('Pooled funds'!$B:$B,ROW())&amp;""," "," "))</f>
        <v/>
      </c>
      <c r="R1303">
        <f>IFERROR(--INDEX('Pooled funds'!$C:$C,ROW()),0)</f>
        <v/>
      </c>
      <c r="S1303">
        <f>IFERROR(--INDEX('Pooled funds'!$D:$D,ROW()),0)</f>
        <v/>
      </c>
      <c r="T1303">
        <f>IFERROR(IF(--INDEX('Pooled funds'!$E:$E,ROW())&gt;=1,--INDEX('Pooled funds'!$E:$E,ROW())/100,--INDEX('Pooled funds'!$E:$E,ROW())),0)</f>
        <v/>
      </c>
      <c r="U1303">
        <f>IF(ISNUMBER(INDEX('Pooled funds'!$E:$E,ROW())),1,0)</f>
        <v/>
      </c>
    </row>
    <row r="1304">
      <c r="A1304">
        <f>TRIM(SUBSTITUTE(INDEX('Term investments'!$A:$A,ROW())&amp;""," "," "))</f>
        <v/>
      </c>
      <c r="B1304">
        <f>TRIM(SUBSTITUTE(INDEX('Term investments'!$B:$B,ROW())&amp;""," "," "))</f>
        <v/>
      </c>
      <c r="C1304">
        <f>TRIM(SUBSTITUTE(INDEX('Term investments'!$C:$C,ROW())&amp;""," "," "))</f>
        <v/>
      </c>
      <c r="D1304">
        <f>IFERROR(--INDEX('Term investments'!$D:$D,ROW()),0)</f>
        <v/>
      </c>
      <c r="E1304">
        <f>IFERROR(--INDEX('Term investments'!$E:$E,ROW()),0)</f>
        <v/>
      </c>
      <c r="F1304">
        <f>IFERROR(--INDEX('Term investments'!$F:$F,ROW()),0)</f>
        <v/>
      </c>
      <c r="G1304">
        <f>IFERROR(IF(--INDEX('Term investments'!$G:$G,ROW())&gt;=1,--INDEX('Term investments'!$G:$G,ROW())/100,--INDEX('Term investments'!$G:$G,ROW())),0)</f>
        <v/>
      </c>
      <c r="H1304">
        <f>IFERROR(--INDEX('Term investments'!$H:$H,ROW()),0)</f>
        <v/>
      </c>
      <c r="I1304">
        <f>IF(ISNUMBER(INDEX('Term investments'!$G:$G,ROW())),1,0)</f>
        <v/>
      </c>
      <c r="J1304">
        <f>TRIM(SUBSTITUTE(INDEX('Call accounts and MMFs'!$A:$A,ROW())&amp;""," "," "))</f>
        <v/>
      </c>
      <c r="K1304">
        <f>TRIM(SUBSTITUTE(INDEX('Call accounts and MMFs'!$B:$B,ROW())&amp;""," "," "))</f>
        <v/>
      </c>
      <c r="L1304">
        <f>TRIM(SUBSTITUTE(INDEX('Call accounts and MMFs'!$C:$C,ROW())&amp;""," "," "))</f>
        <v/>
      </c>
      <c r="M1304">
        <f>IFERROR(--INDEX('Call accounts and MMFs'!$D:$D,ROW()),0)</f>
        <v/>
      </c>
      <c r="N1304">
        <f>IFERROR(IF(--INDEX('Call accounts and MMFs'!$E:$E,ROW())&gt;=1,--INDEX('Call accounts and MMFs'!$E:$E,ROW())/100,--INDEX('Call accounts and MMFs'!$E:$E,ROW())),0)</f>
        <v/>
      </c>
      <c r="O1304">
        <f>IFERROR(--INDEX('Call accounts and MMFs'!$F:$F,ROW()),0)</f>
        <v/>
      </c>
      <c r="P1304">
        <f>IF(ISNUMBER(INDEX('Call accounts and MMFs'!$E:$E,ROW())),1,0)</f>
        <v/>
      </c>
      <c r="Q1304">
        <f>TRIM(SUBSTITUTE(INDEX('Pooled funds'!$B:$B,ROW())&amp;""," "," "))</f>
        <v/>
      </c>
      <c r="R1304">
        <f>IFERROR(--INDEX('Pooled funds'!$C:$C,ROW()),0)</f>
        <v/>
      </c>
      <c r="S1304">
        <f>IFERROR(--INDEX('Pooled funds'!$D:$D,ROW()),0)</f>
        <v/>
      </c>
      <c r="T1304">
        <f>IFERROR(IF(--INDEX('Pooled funds'!$E:$E,ROW())&gt;=1,--INDEX('Pooled funds'!$E:$E,ROW())/100,--INDEX('Pooled funds'!$E:$E,ROW())),0)</f>
        <v/>
      </c>
      <c r="U1304">
        <f>IF(ISNUMBER(INDEX('Pooled funds'!$E:$E,ROW())),1,0)</f>
        <v/>
      </c>
    </row>
    <row r="1305">
      <c r="A1305">
        <f>TRIM(SUBSTITUTE(INDEX('Term investments'!$A:$A,ROW())&amp;""," "," "))</f>
        <v/>
      </c>
      <c r="B1305">
        <f>TRIM(SUBSTITUTE(INDEX('Term investments'!$B:$B,ROW())&amp;""," "," "))</f>
        <v/>
      </c>
      <c r="C1305">
        <f>TRIM(SUBSTITUTE(INDEX('Term investments'!$C:$C,ROW())&amp;""," "," "))</f>
        <v/>
      </c>
      <c r="D1305">
        <f>IFERROR(--INDEX('Term investments'!$D:$D,ROW()),0)</f>
        <v/>
      </c>
      <c r="E1305">
        <f>IFERROR(--INDEX('Term investments'!$E:$E,ROW()),0)</f>
        <v/>
      </c>
      <c r="F1305">
        <f>IFERROR(--INDEX('Term investments'!$F:$F,ROW()),0)</f>
        <v/>
      </c>
      <c r="G1305">
        <f>IFERROR(IF(--INDEX('Term investments'!$G:$G,ROW())&gt;=1,--INDEX('Term investments'!$G:$G,ROW())/100,--INDEX('Term investments'!$G:$G,ROW())),0)</f>
        <v/>
      </c>
      <c r="H1305">
        <f>IFERROR(--INDEX('Term investments'!$H:$H,ROW()),0)</f>
        <v/>
      </c>
      <c r="I1305">
        <f>IF(ISNUMBER(INDEX('Term investments'!$G:$G,ROW())),1,0)</f>
        <v/>
      </c>
      <c r="J1305">
        <f>TRIM(SUBSTITUTE(INDEX('Call accounts and MMFs'!$A:$A,ROW())&amp;""," "," "))</f>
        <v/>
      </c>
      <c r="K1305">
        <f>TRIM(SUBSTITUTE(INDEX('Call accounts and MMFs'!$B:$B,ROW())&amp;""," "," "))</f>
        <v/>
      </c>
      <c r="L1305">
        <f>TRIM(SUBSTITUTE(INDEX('Call accounts and MMFs'!$C:$C,ROW())&amp;""," "," "))</f>
        <v/>
      </c>
      <c r="M1305">
        <f>IFERROR(--INDEX('Call accounts and MMFs'!$D:$D,ROW()),0)</f>
        <v/>
      </c>
      <c r="N1305">
        <f>IFERROR(IF(--INDEX('Call accounts and MMFs'!$E:$E,ROW())&gt;=1,--INDEX('Call accounts and MMFs'!$E:$E,ROW())/100,--INDEX('Call accounts and MMFs'!$E:$E,ROW())),0)</f>
        <v/>
      </c>
      <c r="O1305">
        <f>IFERROR(--INDEX('Call accounts and MMFs'!$F:$F,ROW()),0)</f>
        <v/>
      </c>
      <c r="P1305">
        <f>IF(ISNUMBER(INDEX('Call accounts and MMFs'!$E:$E,ROW())),1,0)</f>
        <v/>
      </c>
      <c r="Q1305">
        <f>TRIM(SUBSTITUTE(INDEX('Pooled funds'!$B:$B,ROW())&amp;""," "," "))</f>
        <v/>
      </c>
      <c r="R1305">
        <f>IFERROR(--INDEX('Pooled funds'!$C:$C,ROW()),0)</f>
        <v/>
      </c>
      <c r="S1305">
        <f>IFERROR(--INDEX('Pooled funds'!$D:$D,ROW()),0)</f>
        <v/>
      </c>
      <c r="T1305">
        <f>IFERROR(IF(--INDEX('Pooled funds'!$E:$E,ROW())&gt;=1,--INDEX('Pooled funds'!$E:$E,ROW())/100,--INDEX('Pooled funds'!$E:$E,ROW())),0)</f>
        <v/>
      </c>
      <c r="U1305">
        <f>IF(ISNUMBER(INDEX('Pooled funds'!$E:$E,ROW())),1,0)</f>
        <v/>
      </c>
    </row>
    <row r="1306">
      <c r="A1306">
        <f>TRIM(SUBSTITUTE(INDEX('Term investments'!$A:$A,ROW())&amp;""," "," "))</f>
        <v/>
      </c>
      <c r="B1306">
        <f>TRIM(SUBSTITUTE(INDEX('Term investments'!$B:$B,ROW())&amp;""," "," "))</f>
        <v/>
      </c>
      <c r="C1306">
        <f>TRIM(SUBSTITUTE(INDEX('Term investments'!$C:$C,ROW())&amp;""," "," "))</f>
        <v/>
      </c>
      <c r="D1306">
        <f>IFERROR(--INDEX('Term investments'!$D:$D,ROW()),0)</f>
        <v/>
      </c>
      <c r="E1306">
        <f>IFERROR(--INDEX('Term investments'!$E:$E,ROW()),0)</f>
        <v/>
      </c>
      <c r="F1306">
        <f>IFERROR(--INDEX('Term investments'!$F:$F,ROW()),0)</f>
        <v/>
      </c>
      <c r="G1306">
        <f>IFERROR(IF(--INDEX('Term investments'!$G:$G,ROW())&gt;=1,--INDEX('Term investments'!$G:$G,ROW())/100,--INDEX('Term investments'!$G:$G,ROW())),0)</f>
        <v/>
      </c>
      <c r="H1306">
        <f>IFERROR(--INDEX('Term investments'!$H:$H,ROW()),0)</f>
        <v/>
      </c>
      <c r="I1306">
        <f>IF(ISNUMBER(INDEX('Term investments'!$G:$G,ROW())),1,0)</f>
        <v/>
      </c>
      <c r="J1306">
        <f>TRIM(SUBSTITUTE(INDEX('Call accounts and MMFs'!$A:$A,ROW())&amp;""," "," "))</f>
        <v/>
      </c>
      <c r="K1306">
        <f>TRIM(SUBSTITUTE(INDEX('Call accounts and MMFs'!$B:$B,ROW())&amp;""," "," "))</f>
        <v/>
      </c>
      <c r="L1306">
        <f>TRIM(SUBSTITUTE(INDEX('Call accounts and MMFs'!$C:$C,ROW())&amp;""," "," "))</f>
        <v/>
      </c>
      <c r="M1306">
        <f>IFERROR(--INDEX('Call accounts and MMFs'!$D:$D,ROW()),0)</f>
        <v/>
      </c>
      <c r="N1306">
        <f>IFERROR(IF(--INDEX('Call accounts and MMFs'!$E:$E,ROW())&gt;=1,--INDEX('Call accounts and MMFs'!$E:$E,ROW())/100,--INDEX('Call accounts and MMFs'!$E:$E,ROW())),0)</f>
        <v/>
      </c>
      <c r="O1306">
        <f>IFERROR(--INDEX('Call accounts and MMFs'!$F:$F,ROW()),0)</f>
        <v/>
      </c>
      <c r="P1306">
        <f>IF(ISNUMBER(INDEX('Call accounts and MMFs'!$E:$E,ROW())),1,0)</f>
        <v/>
      </c>
      <c r="Q1306">
        <f>TRIM(SUBSTITUTE(INDEX('Pooled funds'!$B:$B,ROW())&amp;""," "," "))</f>
        <v/>
      </c>
      <c r="R1306">
        <f>IFERROR(--INDEX('Pooled funds'!$C:$C,ROW()),0)</f>
        <v/>
      </c>
      <c r="S1306">
        <f>IFERROR(--INDEX('Pooled funds'!$D:$D,ROW()),0)</f>
        <v/>
      </c>
      <c r="T1306">
        <f>IFERROR(IF(--INDEX('Pooled funds'!$E:$E,ROW())&gt;=1,--INDEX('Pooled funds'!$E:$E,ROW())/100,--INDEX('Pooled funds'!$E:$E,ROW())),0)</f>
        <v/>
      </c>
      <c r="U1306">
        <f>IF(ISNUMBER(INDEX('Pooled funds'!$E:$E,ROW())),1,0)</f>
        <v/>
      </c>
    </row>
    <row r="1307">
      <c r="A1307">
        <f>TRIM(SUBSTITUTE(INDEX('Term investments'!$A:$A,ROW())&amp;""," "," "))</f>
        <v/>
      </c>
      <c r="B1307">
        <f>TRIM(SUBSTITUTE(INDEX('Term investments'!$B:$B,ROW())&amp;""," "," "))</f>
        <v/>
      </c>
      <c r="C1307">
        <f>TRIM(SUBSTITUTE(INDEX('Term investments'!$C:$C,ROW())&amp;""," "," "))</f>
        <v/>
      </c>
      <c r="D1307">
        <f>IFERROR(--INDEX('Term investments'!$D:$D,ROW()),0)</f>
        <v/>
      </c>
      <c r="E1307">
        <f>IFERROR(--INDEX('Term investments'!$E:$E,ROW()),0)</f>
        <v/>
      </c>
      <c r="F1307">
        <f>IFERROR(--INDEX('Term investments'!$F:$F,ROW()),0)</f>
        <v/>
      </c>
      <c r="G1307">
        <f>IFERROR(IF(--INDEX('Term investments'!$G:$G,ROW())&gt;=1,--INDEX('Term investments'!$G:$G,ROW())/100,--INDEX('Term investments'!$G:$G,ROW())),0)</f>
        <v/>
      </c>
      <c r="H1307">
        <f>IFERROR(--INDEX('Term investments'!$H:$H,ROW()),0)</f>
        <v/>
      </c>
      <c r="I1307">
        <f>IF(ISNUMBER(INDEX('Term investments'!$G:$G,ROW())),1,0)</f>
        <v/>
      </c>
      <c r="J1307">
        <f>TRIM(SUBSTITUTE(INDEX('Call accounts and MMFs'!$A:$A,ROW())&amp;""," "," "))</f>
        <v/>
      </c>
      <c r="K1307">
        <f>TRIM(SUBSTITUTE(INDEX('Call accounts and MMFs'!$B:$B,ROW())&amp;""," "," "))</f>
        <v/>
      </c>
      <c r="L1307">
        <f>TRIM(SUBSTITUTE(INDEX('Call accounts and MMFs'!$C:$C,ROW())&amp;""," "," "))</f>
        <v/>
      </c>
      <c r="M1307">
        <f>IFERROR(--INDEX('Call accounts and MMFs'!$D:$D,ROW()),0)</f>
        <v/>
      </c>
      <c r="N1307">
        <f>IFERROR(IF(--INDEX('Call accounts and MMFs'!$E:$E,ROW())&gt;=1,--INDEX('Call accounts and MMFs'!$E:$E,ROW())/100,--INDEX('Call accounts and MMFs'!$E:$E,ROW())),0)</f>
        <v/>
      </c>
      <c r="O1307">
        <f>IFERROR(--INDEX('Call accounts and MMFs'!$F:$F,ROW()),0)</f>
        <v/>
      </c>
      <c r="P1307">
        <f>IF(ISNUMBER(INDEX('Call accounts and MMFs'!$E:$E,ROW())),1,0)</f>
        <v/>
      </c>
      <c r="Q1307">
        <f>TRIM(SUBSTITUTE(INDEX('Pooled funds'!$B:$B,ROW())&amp;""," "," "))</f>
        <v/>
      </c>
      <c r="R1307">
        <f>IFERROR(--INDEX('Pooled funds'!$C:$C,ROW()),0)</f>
        <v/>
      </c>
      <c r="S1307">
        <f>IFERROR(--INDEX('Pooled funds'!$D:$D,ROW()),0)</f>
        <v/>
      </c>
      <c r="T1307">
        <f>IFERROR(IF(--INDEX('Pooled funds'!$E:$E,ROW())&gt;=1,--INDEX('Pooled funds'!$E:$E,ROW())/100,--INDEX('Pooled funds'!$E:$E,ROW())),0)</f>
        <v/>
      </c>
      <c r="U1307">
        <f>IF(ISNUMBER(INDEX('Pooled funds'!$E:$E,ROW())),1,0)</f>
        <v/>
      </c>
    </row>
    <row r="1308">
      <c r="A1308">
        <f>TRIM(SUBSTITUTE(INDEX('Term investments'!$A:$A,ROW())&amp;""," "," "))</f>
        <v/>
      </c>
      <c r="B1308">
        <f>TRIM(SUBSTITUTE(INDEX('Term investments'!$B:$B,ROW())&amp;""," "," "))</f>
        <v/>
      </c>
      <c r="C1308">
        <f>TRIM(SUBSTITUTE(INDEX('Term investments'!$C:$C,ROW())&amp;""," "," "))</f>
        <v/>
      </c>
      <c r="D1308">
        <f>IFERROR(--INDEX('Term investments'!$D:$D,ROW()),0)</f>
        <v/>
      </c>
      <c r="E1308">
        <f>IFERROR(--INDEX('Term investments'!$E:$E,ROW()),0)</f>
        <v/>
      </c>
      <c r="F1308">
        <f>IFERROR(--INDEX('Term investments'!$F:$F,ROW()),0)</f>
        <v/>
      </c>
      <c r="G1308">
        <f>IFERROR(IF(--INDEX('Term investments'!$G:$G,ROW())&gt;=1,--INDEX('Term investments'!$G:$G,ROW())/100,--INDEX('Term investments'!$G:$G,ROW())),0)</f>
        <v/>
      </c>
      <c r="H1308">
        <f>IFERROR(--INDEX('Term investments'!$H:$H,ROW()),0)</f>
        <v/>
      </c>
      <c r="I1308">
        <f>IF(ISNUMBER(INDEX('Term investments'!$G:$G,ROW())),1,0)</f>
        <v/>
      </c>
      <c r="J1308">
        <f>TRIM(SUBSTITUTE(INDEX('Call accounts and MMFs'!$A:$A,ROW())&amp;""," "," "))</f>
        <v/>
      </c>
      <c r="K1308">
        <f>TRIM(SUBSTITUTE(INDEX('Call accounts and MMFs'!$B:$B,ROW())&amp;""," "," "))</f>
        <v/>
      </c>
      <c r="L1308">
        <f>TRIM(SUBSTITUTE(INDEX('Call accounts and MMFs'!$C:$C,ROW())&amp;""," "," "))</f>
        <v/>
      </c>
      <c r="M1308">
        <f>IFERROR(--INDEX('Call accounts and MMFs'!$D:$D,ROW()),0)</f>
        <v/>
      </c>
      <c r="N1308">
        <f>IFERROR(IF(--INDEX('Call accounts and MMFs'!$E:$E,ROW())&gt;=1,--INDEX('Call accounts and MMFs'!$E:$E,ROW())/100,--INDEX('Call accounts and MMFs'!$E:$E,ROW())),0)</f>
        <v/>
      </c>
      <c r="O1308">
        <f>IFERROR(--INDEX('Call accounts and MMFs'!$F:$F,ROW()),0)</f>
        <v/>
      </c>
      <c r="P1308">
        <f>IF(ISNUMBER(INDEX('Call accounts and MMFs'!$E:$E,ROW())),1,0)</f>
        <v/>
      </c>
      <c r="Q1308">
        <f>TRIM(SUBSTITUTE(INDEX('Pooled funds'!$B:$B,ROW())&amp;""," "," "))</f>
        <v/>
      </c>
      <c r="R1308">
        <f>IFERROR(--INDEX('Pooled funds'!$C:$C,ROW()),0)</f>
        <v/>
      </c>
      <c r="S1308">
        <f>IFERROR(--INDEX('Pooled funds'!$D:$D,ROW()),0)</f>
        <v/>
      </c>
      <c r="T1308">
        <f>IFERROR(IF(--INDEX('Pooled funds'!$E:$E,ROW())&gt;=1,--INDEX('Pooled funds'!$E:$E,ROW())/100,--INDEX('Pooled funds'!$E:$E,ROW())),0)</f>
        <v/>
      </c>
      <c r="U1308">
        <f>IF(ISNUMBER(INDEX('Pooled funds'!$E:$E,ROW())),1,0)</f>
        <v/>
      </c>
    </row>
    <row r="1309">
      <c r="A1309">
        <f>TRIM(SUBSTITUTE(INDEX('Term investments'!$A:$A,ROW())&amp;""," "," "))</f>
        <v/>
      </c>
      <c r="B1309">
        <f>TRIM(SUBSTITUTE(INDEX('Term investments'!$B:$B,ROW())&amp;""," "," "))</f>
        <v/>
      </c>
      <c r="C1309">
        <f>TRIM(SUBSTITUTE(INDEX('Term investments'!$C:$C,ROW())&amp;""," "," "))</f>
        <v/>
      </c>
      <c r="D1309">
        <f>IFERROR(--INDEX('Term investments'!$D:$D,ROW()),0)</f>
        <v/>
      </c>
      <c r="E1309">
        <f>IFERROR(--INDEX('Term investments'!$E:$E,ROW()),0)</f>
        <v/>
      </c>
      <c r="F1309">
        <f>IFERROR(--INDEX('Term investments'!$F:$F,ROW()),0)</f>
        <v/>
      </c>
      <c r="G1309">
        <f>IFERROR(IF(--INDEX('Term investments'!$G:$G,ROW())&gt;=1,--INDEX('Term investments'!$G:$G,ROW())/100,--INDEX('Term investments'!$G:$G,ROW())),0)</f>
        <v/>
      </c>
      <c r="H1309">
        <f>IFERROR(--INDEX('Term investments'!$H:$H,ROW()),0)</f>
        <v/>
      </c>
      <c r="I1309">
        <f>IF(ISNUMBER(INDEX('Term investments'!$G:$G,ROW())),1,0)</f>
        <v/>
      </c>
      <c r="J1309">
        <f>TRIM(SUBSTITUTE(INDEX('Call accounts and MMFs'!$A:$A,ROW())&amp;""," "," "))</f>
        <v/>
      </c>
      <c r="K1309">
        <f>TRIM(SUBSTITUTE(INDEX('Call accounts and MMFs'!$B:$B,ROW())&amp;""," "," "))</f>
        <v/>
      </c>
      <c r="L1309">
        <f>TRIM(SUBSTITUTE(INDEX('Call accounts and MMFs'!$C:$C,ROW())&amp;""," "," "))</f>
        <v/>
      </c>
      <c r="M1309">
        <f>IFERROR(--INDEX('Call accounts and MMFs'!$D:$D,ROW()),0)</f>
        <v/>
      </c>
      <c r="N1309">
        <f>IFERROR(IF(--INDEX('Call accounts and MMFs'!$E:$E,ROW())&gt;=1,--INDEX('Call accounts and MMFs'!$E:$E,ROW())/100,--INDEX('Call accounts and MMFs'!$E:$E,ROW())),0)</f>
        <v/>
      </c>
      <c r="O1309">
        <f>IFERROR(--INDEX('Call accounts and MMFs'!$F:$F,ROW()),0)</f>
        <v/>
      </c>
      <c r="P1309">
        <f>IF(ISNUMBER(INDEX('Call accounts and MMFs'!$E:$E,ROW())),1,0)</f>
        <v/>
      </c>
      <c r="Q1309">
        <f>TRIM(SUBSTITUTE(INDEX('Pooled funds'!$B:$B,ROW())&amp;""," "," "))</f>
        <v/>
      </c>
      <c r="R1309">
        <f>IFERROR(--INDEX('Pooled funds'!$C:$C,ROW()),0)</f>
        <v/>
      </c>
      <c r="S1309">
        <f>IFERROR(--INDEX('Pooled funds'!$D:$D,ROW()),0)</f>
        <v/>
      </c>
      <c r="T1309">
        <f>IFERROR(IF(--INDEX('Pooled funds'!$E:$E,ROW())&gt;=1,--INDEX('Pooled funds'!$E:$E,ROW())/100,--INDEX('Pooled funds'!$E:$E,ROW())),0)</f>
        <v/>
      </c>
      <c r="U1309">
        <f>IF(ISNUMBER(INDEX('Pooled funds'!$E:$E,ROW())),1,0)</f>
        <v/>
      </c>
    </row>
    <row r="1310">
      <c r="A1310">
        <f>TRIM(SUBSTITUTE(INDEX('Term investments'!$A:$A,ROW())&amp;""," "," "))</f>
        <v/>
      </c>
      <c r="B1310">
        <f>TRIM(SUBSTITUTE(INDEX('Term investments'!$B:$B,ROW())&amp;""," "," "))</f>
        <v/>
      </c>
      <c r="C1310">
        <f>TRIM(SUBSTITUTE(INDEX('Term investments'!$C:$C,ROW())&amp;""," "," "))</f>
        <v/>
      </c>
      <c r="D1310">
        <f>IFERROR(--INDEX('Term investments'!$D:$D,ROW()),0)</f>
        <v/>
      </c>
      <c r="E1310">
        <f>IFERROR(--INDEX('Term investments'!$E:$E,ROW()),0)</f>
        <v/>
      </c>
      <c r="F1310">
        <f>IFERROR(--INDEX('Term investments'!$F:$F,ROW()),0)</f>
        <v/>
      </c>
      <c r="G1310">
        <f>IFERROR(IF(--INDEX('Term investments'!$G:$G,ROW())&gt;=1,--INDEX('Term investments'!$G:$G,ROW())/100,--INDEX('Term investments'!$G:$G,ROW())),0)</f>
        <v/>
      </c>
      <c r="H1310">
        <f>IFERROR(--INDEX('Term investments'!$H:$H,ROW()),0)</f>
        <v/>
      </c>
      <c r="I1310">
        <f>IF(ISNUMBER(INDEX('Term investments'!$G:$G,ROW())),1,0)</f>
        <v/>
      </c>
      <c r="J1310">
        <f>TRIM(SUBSTITUTE(INDEX('Call accounts and MMFs'!$A:$A,ROW())&amp;""," "," "))</f>
        <v/>
      </c>
      <c r="K1310">
        <f>TRIM(SUBSTITUTE(INDEX('Call accounts and MMFs'!$B:$B,ROW())&amp;""," "," "))</f>
        <v/>
      </c>
      <c r="L1310">
        <f>TRIM(SUBSTITUTE(INDEX('Call accounts and MMFs'!$C:$C,ROW())&amp;""," "," "))</f>
        <v/>
      </c>
      <c r="M1310">
        <f>IFERROR(--INDEX('Call accounts and MMFs'!$D:$D,ROW()),0)</f>
        <v/>
      </c>
      <c r="N1310">
        <f>IFERROR(IF(--INDEX('Call accounts and MMFs'!$E:$E,ROW())&gt;=1,--INDEX('Call accounts and MMFs'!$E:$E,ROW())/100,--INDEX('Call accounts and MMFs'!$E:$E,ROW())),0)</f>
        <v/>
      </c>
      <c r="O1310">
        <f>IFERROR(--INDEX('Call accounts and MMFs'!$F:$F,ROW()),0)</f>
        <v/>
      </c>
      <c r="P1310">
        <f>IF(ISNUMBER(INDEX('Call accounts and MMFs'!$E:$E,ROW())),1,0)</f>
        <v/>
      </c>
      <c r="Q1310">
        <f>TRIM(SUBSTITUTE(INDEX('Pooled funds'!$B:$B,ROW())&amp;""," "," "))</f>
        <v/>
      </c>
      <c r="R1310">
        <f>IFERROR(--INDEX('Pooled funds'!$C:$C,ROW()),0)</f>
        <v/>
      </c>
      <c r="S1310">
        <f>IFERROR(--INDEX('Pooled funds'!$D:$D,ROW()),0)</f>
        <v/>
      </c>
      <c r="T1310">
        <f>IFERROR(IF(--INDEX('Pooled funds'!$E:$E,ROW())&gt;=1,--INDEX('Pooled funds'!$E:$E,ROW())/100,--INDEX('Pooled funds'!$E:$E,ROW())),0)</f>
        <v/>
      </c>
      <c r="U1310">
        <f>IF(ISNUMBER(INDEX('Pooled funds'!$E:$E,ROW())),1,0)</f>
        <v/>
      </c>
    </row>
    <row r="1311">
      <c r="A1311">
        <f>TRIM(SUBSTITUTE(INDEX('Term investments'!$A:$A,ROW())&amp;""," "," "))</f>
        <v/>
      </c>
      <c r="B1311">
        <f>TRIM(SUBSTITUTE(INDEX('Term investments'!$B:$B,ROW())&amp;""," "," "))</f>
        <v/>
      </c>
      <c r="C1311">
        <f>TRIM(SUBSTITUTE(INDEX('Term investments'!$C:$C,ROW())&amp;""," "," "))</f>
        <v/>
      </c>
      <c r="D1311">
        <f>IFERROR(--INDEX('Term investments'!$D:$D,ROW()),0)</f>
        <v/>
      </c>
      <c r="E1311">
        <f>IFERROR(--INDEX('Term investments'!$E:$E,ROW()),0)</f>
        <v/>
      </c>
      <c r="F1311">
        <f>IFERROR(--INDEX('Term investments'!$F:$F,ROW()),0)</f>
        <v/>
      </c>
      <c r="G1311">
        <f>IFERROR(IF(--INDEX('Term investments'!$G:$G,ROW())&gt;=1,--INDEX('Term investments'!$G:$G,ROW())/100,--INDEX('Term investments'!$G:$G,ROW())),0)</f>
        <v/>
      </c>
      <c r="H1311">
        <f>IFERROR(--INDEX('Term investments'!$H:$H,ROW()),0)</f>
        <v/>
      </c>
      <c r="I1311">
        <f>IF(ISNUMBER(INDEX('Term investments'!$G:$G,ROW())),1,0)</f>
        <v/>
      </c>
      <c r="J1311">
        <f>TRIM(SUBSTITUTE(INDEX('Call accounts and MMFs'!$A:$A,ROW())&amp;""," "," "))</f>
        <v/>
      </c>
      <c r="K1311">
        <f>TRIM(SUBSTITUTE(INDEX('Call accounts and MMFs'!$B:$B,ROW())&amp;""," "," "))</f>
        <v/>
      </c>
      <c r="L1311">
        <f>TRIM(SUBSTITUTE(INDEX('Call accounts and MMFs'!$C:$C,ROW())&amp;""," "," "))</f>
        <v/>
      </c>
      <c r="M1311">
        <f>IFERROR(--INDEX('Call accounts and MMFs'!$D:$D,ROW()),0)</f>
        <v/>
      </c>
      <c r="N1311">
        <f>IFERROR(IF(--INDEX('Call accounts and MMFs'!$E:$E,ROW())&gt;=1,--INDEX('Call accounts and MMFs'!$E:$E,ROW())/100,--INDEX('Call accounts and MMFs'!$E:$E,ROW())),0)</f>
        <v/>
      </c>
      <c r="O1311">
        <f>IFERROR(--INDEX('Call accounts and MMFs'!$F:$F,ROW()),0)</f>
        <v/>
      </c>
      <c r="P1311">
        <f>IF(ISNUMBER(INDEX('Call accounts and MMFs'!$E:$E,ROW())),1,0)</f>
        <v/>
      </c>
      <c r="Q1311">
        <f>TRIM(SUBSTITUTE(INDEX('Pooled funds'!$B:$B,ROW())&amp;""," "," "))</f>
        <v/>
      </c>
      <c r="R1311">
        <f>IFERROR(--INDEX('Pooled funds'!$C:$C,ROW()),0)</f>
        <v/>
      </c>
      <c r="S1311">
        <f>IFERROR(--INDEX('Pooled funds'!$D:$D,ROW()),0)</f>
        <v/>
      </c>
      <c r="T1311">
        <f>IFERROR(IF(--INDEX('Pooled funds'!$E:$E,ROW())&gt;=1,--INDEX('Pooled funds'!$E:$E,ROW())/100,--INDEX('Pooled funds'!$E:$E,ROW())),0)</f>
        <v/>
      </c>
      <c r="U1311">
        <f>IF(ISNUMBER(INDEX('Pooled funds'!$E:$E,ROW())),1,0)</f>
        <v/>
      </c>
    </row>
    <row r="1312">
      <c r="A1312">
        <f>TRIM(SUBSTITUTE(INDEX('Term investments'!$A:$A,ROW())&amp;""," "," "))</f>
        <v/>
      </c>
      <c r="B1312">
        <f>TRIM(SUBSTITUTE(INDEX('Term investments'!$B:$B,ROW())&amp;""," "," "))</f>
        <v/>
      </c>
      <c r="C1312">
        <f>TRIM(SUBSTITUTE(INDEX('Term investments'!$C:$C,ROW())&amp;""," "," "))</f>
        <v/>
      </c>
      <c r="D1312">
        <f>IFERROR(--INDEX('Term investments'!$D:$D,ROW()),0)</f>
        <v/>
      </c>
      <c r="E1312">
        <f>IFERROR(--INDEX('Term investments'!$E:$E,ROW()),0)</f>
        <v/>
      </c>
      <c r="F1312">
        <f>IFERROR(--INDEX('Term investments'!$F:$F,ROW()),0)</f>
        <v/>
      </c>
      <c r="G1312">
        <f>IFERROR(IF(--INDEX('Term investments'!$G:$G,ROW())&gt;=1,--INDEX('Term investments'!$G:$G,ROW())/100,--INDEX('Term investments'!$G:$G,ROW())),0)</f>
        <v/>
      </c>
      <c r="H1312">
        <f>IFERROR(--INDEX('Term investments'!$H:$H,ROW()),0)</f>
        <v/>
      </c>
      <c r="I1312">
        <f>IF(ISNUMBER(INDEX('Term investments'!$G:$G,ROW())),1,0)</f>
        <v/>
      </c>
      <c r="J1312">
        <f>TRIM(SUBSTITUTE(INDEX('Call accounts and MMFs'!$A:$A,ROW())&amp;""," "," "))</f>
        <v/>
      </c>
      <c r="K1312">
        <f>TRIM(SUBSTITUTE(INDEX('Call accounts and MMFs'!$B:$B,ROW())&amp;""," "," "))</f>
        <v/>
      </c>
      <c r="L1312">
        <f>TRIM(SUBSTITUTE(INDEX('Call accounts and MMFs'!$C:$C,ROW())&amp;""," "," "))</f>
        <v/>
      </c>
      <c r="M1312">
        <f>IFERROR(--INDEX('Call accounts and MMFs'!$D:$D,ROW()),0)</f>
        <v/>
      </c>
      <c r="N1312">
        <f>IFERROR(IF(--INDEX('Call accounts and MMFs'!$E:$E,ROW())&gt;=1,--INDEX('Call accounts and MMFs'!$E:$E,ROW())/100,--INDEX('Call accounts and MMFs'!$E:$E,ROW())),0)</f>
        <v/>
      </c>
      <c r="O1312">
        <f>IFERROR(--INDEX('Call accounts and MMFs'!$F:$F,ROW()),0)</f>
        <v/>
      </c>
      <c r="P1312">
        <f>IF(ISNUMBER(INDEX('Call accounts and MMFs'!$E:$E,ROW())),1,0)</f>
        <v/>
      </c>
      <c r="Q1312">
        <f>TRIM(SUBSTITUTE(INDEX('Pooled funds'!$B:$B,ROW())&amp;""," "," "))</f>
        <v/>
      </c>
      <c r="R1312">
        <f>IFERROR(--INDEX('Pooled funds'!$C:$C,ROW()),0)</f>
        <v/>
      </c>
      <c r="S1312">
        <f>IFERROR(--INDEX('Pooled funds'!$D:$D,ROW()),0)</f>
        <v/>
      </c>
      <c r="T1312">
        <f>IFERROR(IF(--INDEX('Pooled funds'!$E:$E,ROW())&gt;=1,--INDEX('Pooled funds'!$E:$E,ROW())/100,--INDEX('Pooled funds'!$E:$E,ROW())),0)</f>
        <v/>
      </c>
      <c r="U1312">
        <f>IF(ISNUMBER(INDEX('Pooled funds'!$E:$E,ROW())),1,0)</f>
        <v/>
      </c>
    </row>
    <row r="1313">
      <c r="A1313">
        <f>TRIM(SUBSTITUTE(INDEX('Term investments'!$A:$A,ROW())&amp;""," "," "))</f>
        <v/>
      </c>
      <c r="B1313">
        <f>TRIM(SUBSTITUTE(INDEX('Term investments'!$B:$B,ROW())&amp;""," "," "))</f>
        <v/>
      </c>
      <c r="C1313">
        <f>TRIM(SUBSTITUTE(INDEX('Term investments'!$C:$C,ROW())&amp;""," "," "))</f>
        <v/>
      </c>
      <c r="D1313">
        <f>IFERROR(--INDEX('Term investments'!$D:$D,ROW()),0)</f>
        <v/>
      </c>
      <c r="E1313">
        <f>IFERROR(--INDEX('Term investments'!$E:$E,ROW()),0)</f>
        <v/>
      </c>
      <c r="F1313">
        <f>IFERROR(--INDEX('Term investments'!$F:$F,ROW()),0)</f>
        <v/>
      </c>
      <c r="G1313">
        <f>IFERROR(IF(--INDEX('Term investments'!$G:$G,ROW())&gt;=1,--INDEX('Term investments'!$G:$G,ROW())/100,--INDEX('Term investments'!$G:$G,ROW())),0)</f>
        <v/>
      </c>
      <c r="H1313">
        <f>IFERROR(--INDEX('Term investments'!$H:$H,ROW()),0)</f>
        <v/>
      </c>
      <c r="I1313">
        <f>IF(ISNUMBER(INDEX('Term investments'!$G:$G,ROW())),1,0)</f>
        <v/>
      </c>
      <c r="J1313">
        <f>TRIM(SUBSTITUTE(INDEX('Call accounts and MMFs'!$A:$A,ROW())&amp;""," "," "))</f>
        <v/>
      </c>
      <c r="K1313">
        <f>TRIM(SUBSTITUTE(INDEX('Call accounts and MMFs'!$B:$B,ROW())&amp;""," "," "))</f>
        <v/>
      </c>
      <c r="L1313">
        <f>TRIM(SUBSTITUTE(INDEX('Call accounts and MMFs'!$C:$C,ROW())&amp;""," "," "))</f>
        <v/>
      </c>
      <c r="M1313">
        <f>IFERROR(--INDEX('Call accounts and MMFs'!$D:$D,ROW()),0)</f>
        <v/>
      </c>
      <c r="N1313">
        <f>IFERROR(IF(--INDEX('Call accounts and MMFs'!$E:$E,ROW())&gt;=1,--INDEX('Call accounts and MMFs'!$E:$E,ROW())/100,--INDEX('Call accounts and MMFs'!$E:$E,ROW())),0)</f>
        <v/>
      </c>
      <c r="O1313">
        <f>IFERROR(--INDEX('Call accounts and MMFs'!$F:$F,ROW()),0)</f>
        <v/>
      </c>
      <c r="P1313">
        <f>IF(ISNUMBER(INDEX('Call accounts and MMFs'!$E:$E,ROW())),1,0)</f>
        <v/>
      </c>
      <c r="Q1313">
        <f>TRIM(SUBSTITUTE(INDEX('Pooled funds'!$B:$B,ROW())&amp;""," "," "))</f>
        <v/>
      </c>
      <c r="R1313">
        <f>IFERROR(--INDEX('Pooled funds'!$C:$C,ROW()),0)</f>
        <v/>
      </c>
      <c r="S1313">
        <f>IFERROR(--INDEX('Pooled funds'!$D:$D,ROW()),0)</f>
        <v/>
      </c>
      <c r="T1313">
        <f>IFERROR(IF(--INDEX('Pooled funds'!$E:$E,ROW())&gt;=1,--INDEX('Pooled funds'!$E:$E,ROW())/100,--INDEX('Pooled funds'!$E:$E,ROW())),0)</f>
        <v/>
      </c>
      <c r="U1313">
        <f>IF(ISNUMBER(INDEX('Pooled funds'!$E:$E,ROW())),1,0)</f>
        <v/>
      </c>
    </row>
    <row r="1314">
      <c r="A1314">
        <f>TRIM(SUBSTITUTE(INDEX('Term investments'!$A:$A,ROW())&amp;""," "," "))</f>
        <v/>
      </c>
      <c r="B1314">
        <f>TRIM(SUBSTITUTE(INDEX('Term investments'!$B:$B,ROW())&amp;""," "," "))</f>
        <v/>
      </c>
      <c r="C1314">
        <f>TRIM(SUBSTITUTE(INDEX('Term investments'!$C:$C,ROW())&amp;""," "," "))</f>
        <v/>
      </c>
      <c r="D1314">
        <f>IFERROR(--INDEX('Term investments'!$D:$D,ROW()),0)</f>
        <v/>
      </c>
      <c r="E1314">
        <f>IFERROR(--INDEX('Term investments'!$E:$E,ROW()),0)</f>
        <v/>
      </c>
      <c r="F1314">
        <f>IFERROR(--INDEX('Term investments'!$F:$F,ROW()),0)</f>
        <v/>
      </c>
      <c r="G1314">
        <f>IFERROR(IF(--INDEX('Term investments'!$G:$G,ROW())&gt;=1,--INDEX('Term investments'!$G:$G,ROW())/100,--INDEX('Term investments'!$G:$G,ROW())),0)</f>
        <v/>
      </c>
      <c r="H1314">
        <f>IFERROR(--INDEX('Term investments'!$H:$H,ROW()),0)</f>
        <v/>
      </c>
      <c r="I1314">
        <f>IF(ISNUMBER(INDEX('Term investments'!$G:$G,ROW())),1,0)</f>
        <v/>
      </c>
      <c r="J1314">
        <f>TRIM(SUBSTITUTE(INDEX('Call accounts and MMFs'!$A:$A,ROW())&amp;""," "," "))</f>
        <v/>
      </c>
      <c r="K1314">
        <f>TRIM(SUBSTITUTE(INDEX('Call accounts and MMFs'!$B:$B,ROW())&amp;""," "," "))</f>
        <v/>
      </c>
      <c r="L1314">
        <f>TRIM(SUBSTITUTE(INDEX('Call accounts and MMFs'!$C:$C,ROW())&amp;""," "," "))</f>
        <v/>
      </c>
      <c r="M1314">
        <f>IFERROR(--INDEX('Call accounts and MMFs'!$D:$D,ROW()),0)</f>
        <v/>
      </c>
      <c r="N1314">
        <f>IFERROR(IF(--INDEX('Call accounts and MMFs'!$E:$E,ROW())&gt;=1,--INDEX('Call accounts and MMFs'!$E:$E,ROW())/100,--INDEX('Call accounts and MMFs'!$E:$E,ROW())),0)</f>
        <v/>
      </c>
      <c r="O1314">
        <f>IFERROR(--INDEX('Call accounts and MMFs'!$F:$F,ROW()),0)</f>
        <v/>
      </c>
      <c r="P1314">
        <f>IF(ISNUMBER(INDEX('Call accounts and MMFs'!$E:$E,ROW())),1,0)</f>
        <v/>
      </c>
      <c r="Q1314">
        <f>TRIM(SUBSTITUTE(INDEX('Pooled funds'!$B:$B,ROW())&amp;""," "," "))</f>
        <v/>
      </c>
      <c r="R1314">
        <f>IFERROR(--INDEX('Pooled funds'!$C:$C,ROW()),0)</f>
        <v/>
      </c>
      <c r="S1314">
        <f>IFERROR(--INDEX('Pooled funds'!$D:$D,ROW()),0)</f>
        <v/>
      </c>
      <c r="T1314">
        <f>IFERROR(IF(--INDEX('Pooled funds'!$E:$E,ROW())&gt;=1,--INDEX('Pooled funds'!$E:$E,ROW())/100,--INDEX('Pooled funds'!$E:$E,ROW())),0)</f>
        <v/>
      </c>
      <c r="U1314">
        <f>IF(ISNUMBER(INDEX('Pooled funds'!$E:$E,ROW())),1,0)</f>
        <v/>
      </c>
    </row>
    <row r="1315">
      <c r="A1315">
        <f>TRIM(SUBSTITUTE(INDEX('Term investments'!$A:$A,ROW())&amp;""," "," "))</f>
        <v/>
      </c>
      <c r="B1315">
        <f>TRIM(SUBSTITUTE(INDEX('Term investments'!$B:$B,ROW())&amp;""," "," "))</f>
        <v/>
      </c>
      <c r="C1315">
        <f>TRIM(SUBSTITUTE(INDEX('Term investments'!$C:$C,ROW())&amp;""," "," "))</f>
        <v/>
      </c>
      <c r="D1315">
        <f>IFERROR(--INDEX('Term investments'!$D:$D,ROW()),0)</f>
        <v/>
      </c>
      <c r="E1315">
        <f>IFERROR(--INDEX('Term investments'!$E:$E,ROW()),0)</f>
        <v/>
      </c>
      <c r="F1315">
        <f>IFERROR(--INDEX('Term investments'!$F:$F,ROW()),0)</f>
        <v/>
      </c>
      <c r="G1315">
        <f>IFERROR(IF(--INDEX('Term investments'!$G:$G,ROW())&gt;=1,--INDEX('Term investments'!$G:$G,ROW())/100,--INDEX('Term investments'!$G:$G,ROW())),0)</f>
        <v/>
      </c>
      <c r="H1315">
        <f>IFERROR(--INDEX('Term investments'!$H:$H,ROW()),0)</f>
        <v/>
      </c>
      <c r="I1315">
        <f>IF(ISNUMBER(INDEX('Term investments'!$G:$G,ROW())),1,0)</f>
        <v/>
      </c>
      <c r="J1315">
        <f>TRIM(SUBSTITUTE(INDEX('Call accounts and MMFs'!$A:$A,ROW())&amp;""," "," "))</f>
        <v/>
      </c>
      <c r="K1315">
        <f>TRIM(SUBSTITUTE(INDEX('Call accounts and MMFs'!$B:$B,ROW())&amp;""," "," "))</f>
        <v/>
      </c>
      <c r="L1315">
        <f>TRIM(SUBSTITUTE(INDEX('Call accounts and MMFs'!$C:$C,ROW())&amp;""," "," "))</f>
        <v/>
      </c>
      <c r="M1315">
        <f>IFERROR(--INDEX('Call accounts and MMFs'!$D:$D,ROW()),0)</f>
        <v/>
      </c>
      <c r="N1315">
        <f>IFERROR(IF(--INDEX('Call accounts and MMFs'!$E:$E,ROW())&gt;=1,--INDEX('Call accounts and MMFs'!$E:$E,ROW())/100,--INDEX('Call accounts and MMFs'!$E:$E,ROW())),0)</f>
        <v/>
      </c>
      <c r="O1315">
        <f>IFERROR(--INDEX('Call accounts and MMFs'!$F:$F,ROW()),0)</f>
        <v/>
      </c>
      <c r="P1315">
        <f>IF(ISNUMBER(INDEX('Call accounts and MMFs'!$E:$E,ROW())),1,0)</f>
        <v/>
      </c>
      <c r="Q1315">
        <f>TRIM(SUBSTITUTE(INDEX('Pooled funds'!$B:$B,ROW())&amp;""," "," "))</f>
        <v/>
      </c>
      <c r="R1315">
        <f>IFERROR(--INDEX('Pooled funds'!$C:$C,ROW()),0)</f>
        <v/>
      </c>
      <c r="S1315">
        <f>IFERROR(--INDEX('Pooled funds'!$D:$D,ROW()),0)</f>
        <v/>
      </c>
      <c r="T1315">
        <f>IFERROR(IF(--INDEX('Pooled funds'!$E:$E,ROW())&gt;=1,--INDEX('Pooled funds'!$E:$E,ROW())/100,--INDEX('Pooled funds'!$E:$E,ROW())),0)</f>
        <v/>
      </c>
      <c r="U1315">
        <f>IF(ISNUMBER(INDEX('Pooled funds'!$E:$E,ROW())),1,0)</f>
        <v/>
      </c>
    </row>
    <row r="1316">
      <c r="A1316">
        <f>TRIM(SUBSTITUTE(INDEX('Term investments'!$A:$A,ROW())&amp;""," "," "))</f>
        <v/>
      </c>
      <c r="B1316">
        <f>TRIM(SUBSTITUTE(INDEX('Term investments'!$B:$B,ROW())&amp;""," "," "))</f>
        <v/>
      </c>
      <c r="C1316">
        <f>TRIM(SUBSTITUTE(INDEX('Term investments'!$C:$C,ROW())&amp;""," "," "))</f>
        <v/>
      </c>
      <c r="D1316">
        <f>IFERROR(--INDEX('Term investments'!$D:$D,ROW()),0)</f>
        <v/>
      </c>
      <c r="E1316">
        <f>IFERROR(--INDEX('Term investments'!$E:$E,ROW()),0)</f>
        <v/>
      </c>
      <c r="F1316">
        <f>IFERROR(--INDEX('Term investments'!$F:$F,ROW()),0)</f>
        <v/>
      </c>
      <c r="G1316">
        <f>IFERROR(IF(--INDEX('Term investments'!$G:$G,ROW())&gt;=1,--INDEX('Term investments'!$G:$G,ROW())/100,--INDEX('Term investments'!$G:$G,ROW())),0)</f>
        <v/>
      </c>
      <c r="H1316">
        <f>IFERROR(--INDEX('Term investments'!$H:$H,ROW()),0)</f>
        <v/>
      </c>
      <c r="I1316">
        <f>IF(ISNUMBER(INDEX('Term investments'!$G:$G,ROW())),1,0)</f>
        <v/>
      </c>
      <c r="J1316">
        <f>TRIM(SUBSTITUTE(INDEX('Call accounts and MMFs'!$A:$A,ROW())&amp;""," "," "))</f>
        <v/>
      </c>
      <c r="K1316">
        <f>TRIM(SUBSTITUTE(INDEX('Call accounts and MMFs'!$B:$B,ROW())&amp;""," "," "))</f>
        <v/>
      </c>
      <c r="L1316">
        <f>TRIM(SUBSTITUTE(INDEX('Call accounts and MMFs'!$C:$C,ROW())&amp;""," "," "))</f>
        <v/>
      </c>
      <c r="M1316">
        <f>IFERROR(--INDEX('Call accounts and MMFs'!$D:$D,ROW()),0)</f>
        <v/>
      </c>
      <c r="N1316">
        <f>IFERROR(IF(--INDEX('Call accounts and MMFs'!$E:$E,ROW())&gt;=1,--INDEX('Call accounts and MMFs'!$E:$E,ROW())/100,--INDEX('Call accounts and MMFs'!$E:$E,ROW())),0)</f>
        <v/>
      </c>
      <c r="O1316">
        <f>IFERROR(--INDEX('Call accounts and MMFs'!$F:$F,ROW()),0)</f>
        <v/>
      </c>
      <c r="P1316">
        <f>IF(ISNUMBER(INDEX('Call accounts and MMFs'!$E:$E,ROW())),1,0)</f>
        <v/>
      </c>
      <c r="Q1316">
        <f>TRIM(SUBSTITUTE(INDEX('Pooled funds'!$B:$B,ROW())&amp;""," "," "))</f>
        <v/>
      </c>
      <c r="R1316">
        <f>IFERROR(--INDEX('Pooled funds'!$C:$C,ROW()),0)</f>
        <v/>
      </c>
      <c r="S1316">
        <f>IFERROR(--INDEX('Pooled funds'!$D:$D,ROW()),0)</f>
        <v/>
      </c>
      <c r="T1316">
        <f>IFERROR(IF(--INDEX('Pooled funds'!$E:$E,ROW())&gt;=1,--INDEX('Pooled funds'!$E:$E,ROW())/100,--INDEX('Pooled funds'!$E:$E,ROW())),0)</f>
        <v/>
      </c>
      <c r="U1316">
        <f>IF(ISNUMBER(INDEX('Pooled funds'!$E:$E,ROW())),1,0)</f>
        <v/>
      </c>
    </row>
    <row r="1317">
      <c r="A1317">
        <f>TRIM(SUBSTITUTE(INDEX('Term investments'!$A:$A,ROW())&amp;""," "," "))</f>
        <v/>
      </c>
      <c r="B1317">
        <f>TRIM(SUBSTITUTE(INDEX('Term investments'!$B:$B,ROW())&amp;""," "," "))</f>
        <v/>
      </c>
      <c r="C1317">
        <f>TRIM(SUBSTITUTE(INDEX('Term investments'!$C:$C,ROW())&amp;""," "," "))</f>
        <v/>
      </c>
      <c r="D1317">
        <f>IFERROR(--INDEX('Term investments'!$D:$D,ROW()),0)</f>
        <v/>
      </c>
      <c r="E1317">
        <f>IFERROR(--INDEX('Term investments'!$E:$E,ROW()),0)</f>
        <v/>
      </c>
      <c r="F1317">
        <f>IFERROR(--INDEX('Term investments'!$F:$F,ROW()),0)</f>
        <v/>
      </c>
      <c r="G1317">
        <f>IFERROR(IF(--INDEX('Term investments'!$G:$G,ROW())&gt;=1,--INDEX('Term investments'!$G:$G,ROW())/100,--INDEX('Term investments'!$G:$G,ROW())),0)</f>
        <v/>
      </c>
      <c r="H1317">
        <f>IFERROR(--INDEX('Term investments'!$H:$H,ROW()),0)</f>
        <v/>
      </c>
      <c r="I1317">
        <f>IF(ISNUMBER(INDEX('Term investments'!$G:$G,ROW())),1,0)</f>
        <v/>
      </c>
      <c r="J1317">
        <f>TRIM(SUBSTITUTE(INDEX('Call accounts and MMFs'!$A:$A,ROW())&amp;""," "," "))</f>
        <v/>
      </c>
      <c r="K1317">
        <f>TRIM(SUBSTITUTE(INDEX('Call accounts and MMFs'!$B:$B,ROW())&amp;""," "," "))</f>
        <v/>
      </c>
      <c r="L1317">
        <f>TRIM(SUBSTITUTE(INDEX('Call accounts and MMFs'!$C:$C,ROW())&amp;""," "," "))</f>
        <v/>
      </c>
      <c r="M1317">
        <f>IFERROR(--INDEX('Call accounts and MMFs'!$D:$D,ROW()),0)</f>
        <v/>
      </c>
      <c r="N1317">
        <f>IFERROR(IF(--INDEX('Call accounts and MMFs'!$E:$E,ROW())&gt;=1,--INDEX('Call accounts and MMFs'!$E:$E,ROW())/100,--INDEX('Call accounts and MMFs'!$E:$E,ROW())),0)</f>
        <v/>
      </c>
      <c r="O1317">
        <f>IFERROR(--INDEX('Call accounts and MMFs'!$F:$F,ROW()),0)</f>
        <v/>
      </c>
      <c r="P1317">
        <f>IF(ISNUMBER(INDEX('Call accounts and MMFs'!$E:$E,ROW())),1,0)</f>
        <v/>
      </c>
      <c r="Q1317">
        <f>TRIM(SUBSTITUTE(INDEX('Pooled funds'!$B:$B,ROW())&amp;""," "," "))</f>
        <v/>
      </c>
      <c r="R1317">
        <f>IFERROR(--INDEX('Pooled funds'!$C:$C,ROW()),0)</f>
        <v/>
      </c>
      <c r="S1317">
        <f>IFERROR(--INDEX('Pooled funds'!$D:$D,ROW()),0)</f>
        <v/>
      </c>
      <c r="T1317">
        <f>IFERROR(IF(--INDEX('Pooled funds'!$E:$E,ROW())&gt;=1,--INDEX('Pooled funds'!$E:$E,ROW())/100,--INDEX('Pooled funds'!$E:$E,ROW())),0)</f>
        <v/>
      </c>
      <c r="U1317">
        <f>IF(ISNUMBER(INDEX('Pooled funds'!$E:$E,ROW())),1,0)</f>
        <v/>
      </c>
    </row>
    <row r="1318">
      <c r="A1318">
        <f>TRIM(SUBSTITUTE(INDEX('Term investments'!$A:$A,ROW())&amp;""," "," "))</f>
        <v/>
      </c>
      <c r="B1318">
        <f>TRIM(SUBSTITUTE(INDEX('Term investments'!$B:$B,ROW())&amp;""," "," "))</f>
        <v/>
      </c>
      <c r="C1318">
        <f>TRIM(SUBSTITUTE(INDEX('Term investments'!$C:$C,ROW())&amp;""," "," "))</f>
        <v/>
      </c>
      <c r="D1318">
        <f>IFERROR(--INDEX('Term investments'!$D:$D,ROW()),0)</f>
        <v/>
      </c>
      <c r="E1318">
        <f>IFERROR(--INDEX('Term investments'!$E:$E,ROW()),0)</f>
        <v/>
      </c>
      <c r="F1318">
        <f>IFERROR(--INDEX('Term investments'!$F:$F,ROW()),0)</f>
        <v/>
      </c>
      <c r="G1318">
        <f>IFERROR(IF(--INDEX('Term investments'!$G:$G,ROW())&gt;=1,--INDEX('Term investments'!$G:$G,ROW())/100,--INDEX('Term investments'!$G:$G,ROW())),0)</f>
        <v/>
      </c>
      <c r="H1318">
        <f>IFERROR(--INDEX('Term investments'!$H:$H,ROW()),0)</f>
        <v/>
      </c>
      <c r="I1318">
        <f>IF(ISNUMBER(INDEX('Term investments'!$G:$G,ROW())),1,0)</f>
        <v/>
      </c>
      <c r="J1318">
        <f>TRIM(SUBSTITUTE(INDEX('Call accounts and MMFs'!$A:$A,ROW())&amp;""," "," "))</f>
        <v/>
      </c>
      <c r="K1318">
        <f>TRIM(SUBSTITUTE(INDEX('Call accounts and MMFs'!$B:$B,ROW())&amp;""," "," "))</f>
        <v/>
      </c>
      <c r="L1318">
        <f>TRIM(SUBSTITUTE(INDEX('Call accounts and MMFs'!$C:$C,ROW())&amp;""," "," "))</f>
        <v/>
      </c>
      <c r="M1318">
        <f>IFERROR(--INDEX('Call accounts and MMFs'!$D:$D,ROW()),0)</f>
        <v/>
      </c>
      <c r="N1318">
        <f>IFERROR(IF(--INDEX('Call accounts and MMFs'!$E:$E,ROW())&gt;=1,--INDEX('Call accounts and MMFs'!$E:$E,ROW())/100,--INDEX('Call accounts and MMFs'!$E:$E,ROW())),0)</f>
        <v/>
      </c>
      <c r="O1318">
        <f>IFERROR(--INDEX('Call accounts and MMFs'!$F:$F,ROW()),0)</f>
        <v/>
      </c>
      <c r="P1318">
        <f>IF(ISNUMBER(INDEX('Call accounts and MMFs'!$E:$E,ROW())),1,0)</f>
        <v/>
      </c>
      <c r="Q1318">
        <f>TRIM(SUBSTITUTE(INDEX('Pooled funds'!$B:$B,ROW())&amp;""," "," "))</f>
        <v/>
      </c>
      <c r="R1318">
        <f>IFERROR(--INDEX('Pooled funds'!$C:$C,ROW()),0)</f>
        <v/>
      </c>
      <c r="S1318">
        <f>IFERROR(--INDEX('Pooled funds'!$D:$D,ROW()),0)</f>
        <v/>
      </c>
      <c r="T1318">
        <f>IFERROR(IF(--INDEX('Pooled funds'!$E:$E,ROW())&gt;=1,--INDEX('Pooled funds'!$E:$E,ROW())/100,--INDEX('Pooled funds'!$E:$E,ROW())),0)</f>
        <v/>
      </c>
      <c r="U1318">
        <f>IF(ISNUMBER(INDEX('Pooled funds'!$E:$E,ROW())),1,0)</f>
        <v/>
      </c>
    </row>
    <row r="1319">
      <c r="A1319">
        <f>TRIM(SUBSTITUTE(INDEX('Term investments'!$A:$A,ROW())&amp;""," "," "))</f>
        <v/>
      </c>
      <c r="B1319">
        <f>TRIM(SUBSTITUTE(INDEX('Term investments'!$B:$B,ROW())&amp;""," "," "))</f>
        <v/>
      </c>
      <c r="C1319">
        <f>TRIM(SUBSTITUTE(INDEX('Term investments'!$C:$C,ROW())&amp;""," "," "))</f>
        <v/>
      </c>
      <c r="D1319">
        <f>IFERROR(--INDEX('Term investments'!$D:$D,ROW()),0)</f>
        <v/>
      </c>
      <c r="E1319">
        <f>IFERROR(--INDEX('Term investments'!$E:$E,ROW()),0)</f>
        <v/>
      </c>
      <c r="F1319">
        <f>IFERROR(--INDEX('Term investments'!$F:$F,ROW()),0)</f>
        <v/>
      </c>
      <c r="G1319">
        <f>IFERROR(IF(--INDEX('Term investments'!$G:$G,ROW())&gt;=1,--INDEX('Term investments'!$G:$G,ROW())/100,--INDEX('Term investments'!$G:$G,ROW())),0)</f>
        <v/>
      </c>
      <c r="H1319">
        <f>IFERROR(--INDEX('Term investments'!$H:$H,ROW()),0)</f>
        <v/>
      </c>
      <c r="I1319">
        <f>IF(ISNUMBER(INDEX('Term investments'!$G:$G,ROW())),1,0)</f>
        <v/>
      </c>
      <c r="J1319">
        <f>TRIM(SUBSTITUTE(INDEX('Call accounts and MMFs'!$A:$A,ROW())&amp;""," "," "))</f>
        <v/>
      </c>
      <c r="K1319">
        <f>TRIM(SUBSTITUTE(INDEX('Call accounts and MMFs'!$B:$B,ROW())&amp;""," "," "))</f>
        <v/>
      </c>
      <c r="L1319">
        <f>TRIM(SUBSTITUTE(INDEX('Call accounts and MMFs'!$C:$C,ROW())&amp;""," "," "))</f>
        <v/>
      </c>
      <c r="M1319">
        <f>IFERROR(--INDEX('Call accounts and MMFs'!$D:$D,ROW()),0)</f>
        <v/>
      </c>
      <c r="N1319">
        <f>IFERROR(IF(--INDEX('Call accounts and MMFs'!$E:$E,ROW())&gt;=1,--INDEX('Call accounts and MMFs'!$E:$E,ROW())/100,--INDEX('Call accounts and MMFs'!$E:$E,ROW())),0)</f>
        <v/>
      </c>
      <c r="O1319">
        <f>IFERROR(--INDEX('Call accounts and MMFs'!$F:$F,ROW()),0)</f>
        <v/>
      </c>
      <c r="P1319">
        <f>IF(ISNUMBER(INDEX('Call accounts and MMFs'!$E:$E,ROW())),1,0)</f>
        <v/>
      </c>
      <c r="Q1319">
        <f>TRIM(SUBSTITUTE(INDEX('Pooled funds'!$B:$B,ROW())&amp;""," "," "))</f>
        <v/>
      </c>
      <c r="R1319">
        <f>IFERROR(--INDEX('Pooled funds'!$C:$C,ROW()),0)</f>
        <v/>
      </c>
      <c r="S1319">
        <f>IFERROR(--INDEX('Pooled funds'!$D:$D,ROW()),0)</f>
        <v/>
      </c>
      <c r="T1319">
        <f>IFERROR(IF(--INDEX('Pooled funds'!$E:$E,ROW())&gt;=1,--INDEX('Pooled funds'!$E:$E,ROW())/100,--INDEX('Pooled funds'!$E:$E,ROW())),0)</f>
        <v/>
      </c>
      <c r="U1319">
        <f>IF(ISNUMBER(INDEX('Pooled funds'!$E:$E,ROW())),1,0)</f>
        <v/>
      </c>
    </row>
    <row r="1320">
      <c r="A1320">
        <f>TRIM(SUBSTITUTE(INDEX('Term investments'!$A:$A,ROW())&amp;""," "," "))</f>
        <v/>
      </c>
      <c r="B1320">
        <f>TRIM(SUBSTITUTE(INDEX('Term investments'!$B:$B,ROW())&amp;""," "," "))</f>
        <v/>
      </c>
      <c r="C1320">
        <f>TRIM(SUBSTITUTE(INDEX('Term investments'!$C:$C,ROW())&amp;""," "," "))</f>
        <v/>
      </c>
      <c r="D1320">
        <f>IFERROR(--INDEX('Term investments'!$D:$D,ROW()),0)</f>
        <v/>
      </c>
      <c r="E1320">
        <f>IFERROR(--INDEX('Term investments'!$E:$E,ROW()),0)</f>
        <v/>
      </c>
      <c r="F1320">
        <f>IFERROR(--INDEX('Term investments'!$F:$F,ROW()),0)</f>
        <v/>
      </c>
      <c r="G1320">
        <f>IFERROR(IF(--INDEX('Term investments'!$G:$G,ROW())&gt;=1,--INDEX('Term investments'!$G:$G,ROW())/100,--INDEX('Term investments'!$G:$G,ROW())),0)</f>
        <v/>
      </c>
      <c r="H1320">
        <f>IFERROR(--INDEX('Term investments'!$H:$H,ROW()),0)</f>
        <v/>
      </c>
      <c r="I1320">
        <f>IF(ISNUMBER(INDEX('Term investments'!$G:$G,ROW())),1,0)</f>
        <v/>
      </c>
      <c r="J1320">
        <f>TRIM(SUBSTITUTE(INDEX('Call accounts and MMFs'!$A:$A,ROW())&amp;""," "," "))</f>
        <v/>
      </c>
      <c r="K1320">
        <f>TRIM(SUBSTITUTE(INDEX('Call accounts and MMFs'!$B:$B,ROW())&amp;""," "," "))</f>
        <v/>
      </c>
      <c r="L1320">
        <f>TRIM(SUBSTITUTE(INDEX('Call accounts and MMFs'!$C:$C,ROW())&amp;""," "," "))</f>
        <v/>
      </c>
      <c r="M1320">
        <f>IFERROR(--INDEX('Call accounts and MMFs'!$D:$D,ROW()),0)</f>
        <v/>
      </c>
      <c r="N1320">
        <f>IFERROR(IF(--INDEX('Call accounts and MMFs'!$E:$E,ROW())&gt;=1,--INDEX('Call accounts and MMFs'!$E:$E,ROW())/100,--INDEX('Call accounts and MMFs'!$E:$E,ROW())),0)</f>
        <v/>
      </c>
      <c r="O1320">
        <f>IFERROR(--INDEX('Call accounts and MMFs'!$F:$F,ROW()),0)</f>
        <v/>
      </c>
      <c r="P1320">
        <f>IF(ISNUMBER(INDEX('Call accounts and MMFs'!$E:$E,ROW())),1,0)</f>
        <v/>
      </c>
      <c r="Q1320">
        <f>TRIM(SUBSTITUTE(INDEX('Pooled funds'!$B:$B,ROW())&amp;""," "," "))</f>
        <v/>
      </c>
      <c r="R1320">
        <f>IFERROR(--INDEX('Pooled funds'!$C:$C,ROW()),0)</f>
        <v/>
      </c>
      <c r="S1320">
        <f>IFERROR(--INDEX('Pooled funds'!$D:$D,ROW()),0)</f>
        <v/>
      </c>
      <c r="T1320">
        <f>IFERROR(IF(--INDEX('Pooled funds'!$E:$E,ROW())&gt;=1,--INDEX('Pooled funds'!$E:$E,ROW())/100,--INDEX('Pooled funds'!$E:$E,ROW())),0)</f>
        <v/>
      </c>
      <c r="U1320">
        <f>IF(ISNUMBER(INDEX('Pooled funds'!$E:$E,ROW())),1,0)</f>
        <v/>
      </c>
    </row>
    <row r="1321">
      <c r="A1321">
        <f>TRIM(SUBSTITUTE(INDEX('Term investments'!$A:$A,ROW())&amp;""," "," "))</f>
        <v/>
      </c>
      <c r="B1321">
        <f>TRIM(SUBSTITUTE(INDEX('Term investments'!$B:$B,ROW())&amp;""," "," "))</f>
        <v/>
      </c>
      <c r="C1321">
        <f>TRIM(SUBSTITUTE(INDEX('Term investments'!$C:$C,ROW())&amp;""," "," "))</f>
        <v/>
      </c>
      <c r="D1321">
        <f>IFERROR(--INDEX('Term investments'!$D:$D,ROW()),0)</f>
        <v/>
      </c>
      <c r="E1321">
        <f>IFERROR(--INDEX('Term investments'!$E:$E,ROW()),0)</f>
        <v/>
      </c>
      <c r="F1321">
        <f>IFERROR(--INDEX('Term investments'!$F:$F,ROW()),0)</f>
        <v/>
      </c>
      <c r="G1321">
        <f>IFERROR(IF(--INDEX('Term investments'!$G:$G,ROW())&gt;=1,--INDEX('Term investments'!$G:$G,ROW())/100,--INDEX('Term investments'!$G:$G,ROW())),0)</f>
        <v/>
      </c>
      <c r="H1321">
        <f>IFERROR(--INDEX('Term investments'!$H:$H,ROW()),0)</f>
        <v/>
      </c>
      <c r="I1321">
        <f>IF(ISNUMBER(INDEX('Term investments'!$G:$G,ROW())),1,0)</f>
        <v/>
      </c>
      <c r="J1321">
        <f>TRIM(SUBSTITUTE(INDEX('Call accounts and MMFs'!$A:$A,ROW())&amp;""," "," "))</f>
        <v/>
      </c>
      <c r="K1321">
        <f>TRIM(SUBSTITUTE(INDEX('Call accounts and MMFs'!$B:$B,ROW())&amp;""," "," "))</f>
        <v/>
      </c>
      <c r="L1321">
        <f>TRIM(SUBSTITUTE(INDEX('Call accounts and MMFs'!$C:$C,ROW())&amp;""," "," "))</f>
        <v/>
      </c>
      <c r="M1321">
        <f>IFERROR(--INDEX('Call accounts and MMFs'!$D:$D,ROW()),0)</f>
        <v/>
      </c>
      <c r="N1321">
        <f>IFERROR(IF(--INDEX('Call accounts and MMFs'!$E:$E,ROW())&gt;=1,--INDEX('Call accounts and MMFs'!$E:$E,ROW())/100,--INDEX('Call accounts and MMFs'!$E:$E,ROW())),0)</f>
        <v/>
      </c>
      <c r="O1321">
        <f>IFERROR(--INDEX('Call accounts and MMFs'!$F:$F,ROW()),0)</f>
        <v/>
      </c>
      <c r="P1321">
        <f>IF(ISNUMBER(INDEX('Call accounts and MMFs'!$E:$E,ROW())),1,0)</f>
        <v/>
      </c>
      <c r="Q1321">
        <f>TRIM(SUBSTITUTE(INDEX('Pooled funds'!$B:$B,ROW())&amp;""," "," "))</f>
        <v/>
      </c>
      <c r="R1321">
        <f>IFERROR(--INDEX('Pooled funds'!$C:$C,ROW()),0)</f>
        <v/>
      </c>
      <c r="S1321">
        <f>IFERROR(--INDEX('Pooled funds'!$D:$D,ROW()),0)</f>
        <v/>
      </c>
      <c r="T1321">
        <f>IFERROR(IF(--INDEX('Pooled funds'!$E:$E,ROW())&gt;=1,--INDEX('Pooled funds'!$E:$E,ROW())/100,--INDEX('Pooled funds'!$E:$E,ROW())),0)</f>
        <v/>
      </c>
      <c r="U1321">
        <f>IF(ISNUMBER(INDEX('Pooled funds'!$E:$E,ROW())),1,0)</f>
        <v/>
      </c>
    </row>
    <row r="1322">
      <c r="A1322">
        <f>TRIM(SUBSTITUTE(INDEX('Term investments'!$A:$A,ROW())&amp;""," "," "))</f>
        <v/>
      </c>
      <c r="B1322">
        <f>TRIM(SUBSTITUTE(INDEX('Term investments'!$B:$B,ROW())&amp;""," "," "))</f>
        <v/>
      </c>
      <c r="C1322">
        <f>TRIM(SUBSTITUTE(INDEX('Term investments'!$C:$C,ROW())&amp;""," "," "))</f>
        <v/>
      </c>
      <c r="D1322">
        <f>IFERROR(--INDEX('Term investments'!$D:$D,ROW()),0)</f>
        <v/>
      </c>
      <c r="E1322">
        <f>IFERROR(--INDEX('Term investments'!$E:$E,ROW()),0)</f>
        <v/>
      </c>
      <c r="F1322">
        <f>IFERROR(--INDEX('Term investments'!$F:$F,ROW()),0)</f>
        <v/>
      </c>
      <c r="G1322">
        <f>IFERROR(IF(--INDEX('Term investments'!$G:$G,ROW())&gt;=1,--INDEX('Term investments'!$G:$G,ROW())/100,--INDEX('Term investments'!$G:$G,ROW())),0)</f>
        <v/>
      </c>
      <c r="H1322">
        <f>IFERROR(--INDEX('Term investments'!$H:$H,ROW()),0)</f>
        <v/>
      </c>
      <c r="I1322">
        <f>IF(ISNUMBER(INDEX('Term investments'!$G:$G,ROW())),1,0)</f>
        <v/>
      </c>
      <c r="J1322">
        <f>TRIM(SUBSTITUTE(INDEX('Call accounts and MMFs'!$A:$A,ROW())&amp;""," "," "))</f>
        <v/>
      </c>
      <c r="K1322">
        <f>TRIM(SUBSTITUTE(INDEX('Call accounts and MMFs'!$B:$B,ROW())&amp;""," "," "))</f>
        <v/>
      </c>
      <c r="L1322">
        <f>TRIM(SUBSTITUTE(INDEX('Call accounts and MMFs'!$C:$C,ROW())&amp;""," "," "))</f>
        <v/>
      </c>
      <c r="M1322">
        <f>IFERROR(--INDEX('Call accounts and MMFs'!$D:$D,ROW()),0)</f>
        <v/>
      </c>
      <c r="N1322">
        <f>IFERROR(IF(--INDEX('Call accounts and MMFs'!$E:$E,ROW())&gt;=1,--INDEX('Call accounts and MMFs'!$E:$E,ROW())/100,--INDEX('Call accounts and MMFs'!$E:$E,ROW())),0)</f>
        <v/>
      </c>
      <c r="O1322">
        <f>IFERROR(--INDEX('Call accounts and MMFs'!$F:$F,ROW()),0)</f>
        <v/>
      </c>
      <c r="P1322">
        <f>IF(ISNUMBER(INDEX('Call accounts and MMFs'!$E:$E,ROW())),1,0)</f>
        <v/>
      </c>
      <c r="Q1322">
        <f>TRIM(SUBSTITUTE(INDEX('Pooled funds'!$B:$B,ROW())&amp;""," "," "))</f>
        <v/>
      </c>
      <c r="R1322">
        <f>IFERROR(--INDEX('Pooled funds'!$C:$C,ROW()),0)</f>
        <v/>
      </c>
      <c r="S1322">
        <f>IFERROR(--INDEX('Pooled funds'!$D:$D,ROW()),0)</f>
        <v/>
      </c>
      <c r="T1322">
        <f>IFERROR(IF(--INDEX('Pooled funds'!$E:$E,ROW())&gt;=1,--INDEX('Pooled funds'!$E:$E,ROW())/100,--INDEX('Pooled funds'!$E:$E,ROW())),0)</f>
        <v/>
      </c>
      <c r="U1322">
        <f>IF(ISNUMBER(INDEX('Pooled funds'!$E:$E,ROW())),1,0)</f>
        <v/>
      </c>
    </row>
    <row r="1323">
      <c r="A1323">
        <f>TRIM(SUBSTITUTE(INDEX('Term investments'!$A:$A,ROW())&amp;""," "," "))</f>
        <v/>
      </c>
      <c r="B1323">
        <f>TRIM(SUBSTITUTE(INDEX('Term investments'!$B:$B,ROW())&amp;""," "," "))</f>
        <v/>
      </c>
      <c r="C1323">
        <f>TRIM(SUBSTITUTE(INDEX('Term investments'!$C:$C,ROW())&amp;""," "," "))</f>
        <v/>
      </c>
      <c r="D1323">
        <f>IFERROR(--INDEX('Term investments'!$D:$D,ROW()),0)</f>
        <v/>
      </c>
      <c r="E1323">
        <f>IFERROR(--INDEX('Term investments'!$E:$E,ROW()),0)</f>
        <v/>
      </c>
      <c r="F1323">
        <f>IFERROR(--INDEX('Term investments'!$F:$F,ROW()),0)</f>
        <v/>
      </c>
      <c r="G1323">
        <f>IFERROR(IF(--INDEX('Term investments'!$G:$G,ROW())&gt;=1,--INDEX('Term investments'!$G:$G,ROW())/100,--INDEX('Term investments'!$G:$G,ROW())),0)</f>
        <v/>
      </c>
      <c r="H1323">
        <f>IFERROR(--INDEX('Term investments'!$H:$H,ROW()),0)</f>
        <v/>
      </c>
      <c r="I1323">
        <f>IF(ISNUMBER(INDEX('Term investments'!$G:$G,ROW())),1,0)</f>
        <v/>
      </c>
      <c r="J1323">
        <f>TRIM(SUBSTITUTE(INDEX('Call accounts and MMFs'!$A:$A,ROW())&amp;""," "," "))</f>
        <v/>
      </c>
      <c r="K1323">
        <f>TRIM(SUBSTITUTE(INDEX('Call accounts and MMFs'!$B:$B,ROW())&amp;""," "," "))</f>
        <v/>
      </c>
      <c r="L1323">
        <f>TRIM(SUBSTITUTE(INDEX('Call accounts and MMFs'!$C:$C,ROW())&amp;""," "," "))</f>
        <v/>
      </c>
      <c r="M1323">
        <f>IFERROR(--INDEX('Call accounts and MMFs'!$D:$D,ROW()),0)</f>
        <v/>
      </c>
      <c r="N1323">
        <f>IFERROR(IF(--INDEX('Call accounts and MMFs'!$E:$E,ROW())&gt;=1,--INDEX('Call accounts and MMFs'!$E:$E,ROW())/100,--INDEX('Call accounts and MMFs'!$E:$E,ROW())),0)</f>
        <v/>
      </c>
      <c r="O1323">
        <f>IFERROR(--INDEX('Call accounts and MMFs'!$F:$F,ROW()),0)</f>
        <v/>
      </c>
      <c r="P1323">
        <f>IF(ISNUMBER(INDEX('Call accounts and MMFs'!$E:$E,ROW())),1,0)</f>
        <v/>
      </c>
      <c r="Q1323">
        <f>TRIM(SUBSTITUTE(INDEX('Pooled funds'!$B:$B,ROW())&amp;""," "," "))</f>
        <v/>
      </c>
      <c r="R1323">
        <f>IFERROR(--INDEX('Pooled funds'!$C:$C,ROW()),0)</f>
        <v/>
      </c>
      <c r="S1323">
        <f>IFERROR(--INDEX('Pooled funds'!$D:$D,ROW()),0)</f>
        <v/>
      </c>
      <c r="T1323">
        <f>IFERROR(IF(--INDEX('Pooled funds'!$E:$E,ROW())&gt;=1,--INDEX('Pooled funds'!$E:$E,ROW())/100,--INDEX('Pooled funds'!$E:$E,ROW())),0)</f>
        <v/>
      </c>
      <c r="U1323">
        <f>IF(ISNUMBER(INDEX('Pooled funds'!$E:$E,ROW())),1,0)</f>
        <v/>
      </c>
    </row>
    <row r="1324">
      <c r="A1324">
        <f>TRIM(SUBSTITUTE(INDEX('Term investments'!$A:$A,ROW())&amp;""," "," "))</f>
        <v/>
      </c>
      <c r="B1324">
        <f>TRIM(SUBSTITUTE(INDEX('Term investments'!$B:$B,ROW())&amp;""," "," "))</f>
        <v/>
      </c>
      <c r="C1324">
        <f>TRIM(SUBSTITUTE(INDEX('Term investments'!$C:$C,ROW())&amp;""," "," "))</f>
        <v/>
      </c>
      <c r="D1324">
        <f>IFERROR(--INDEX('Term investments'!$D:$D,ROW()),0)</f>
        <v/>
      </c>
      <c r="E1324">
        <f>IFERROR(--INDEX('Term investments'!$E:$E,ROW()),0)</f>
        <v/>
      </c>
      <c r="F1324">
        <f>IFERROR(--INDEX('Term investments'!$F:$F,ROW()),0)</f>
        <v/>
      </c>
      <c r="G1324">
        <f>IFERROR(IF(--INDEX('Term investments'!$G:$G,ROW())&gt;=1,--INDEX('Term investments'!$G:$G,ROW())/100,--INDEX('Term investments'!$G:$G,ROW())),0)</f>
        <v/>
      </c>
      <c r="H1324">
        <f>IFERROR(--INDEX('Term investments'!$H:$H,ROW()),0)</f>
        <v/>
      </c>
      <c r="I1324">
        <f>IF(ISNUMBER(INDEX('Term investments'!$G:$G,ROW())),1,0)</f>
        <v/>
      </c>
      <c r="J1324">
        <f>TRIM(SUBSTITUTE(INDEX('Call accounts and MMFs'!$A:$A,ROW())&amp;""," "," "))</f>
        <v/>
      </c>
      <c r="K1324">
        <f>TRIM(SUBSTITUTE(INDEX('Call accounts and MMFs'!$B:$B,ROW())&amp;""," "," "))</f>
        <v/>
      </c>
      <c r="L1324">
        <f>TRIM(SUBSTITUTE(INDEX('Call accounts and MMFs'!$C:$C,ROW())&amp;""," "," "))</f>
        <v/>
      </c>
      <c r="M1324">
        <f>IFERROR(--INDEX('Call accounts and MMFs'!$D:$D,ROW()),0)</f>
        <v/>
      </c>
      <c r="N1324">
        <f>IFERROR(IF(--INDEX('Call accounts and MMFs'!$E:$E,ROW())&gt;=1,--INDEX('Call accounts and MMFs'!$E:$E,ROW())/100,--INDEX('Call accounts and MMFs'!$E:$E,ROW())),0)</f>
        <v/>
      </c>
      <c r="O1324">
        <f>IFERROR(--INDEX('Call accounts and MMFs'!$F:$F,ROW()),0)</f>
        <v/>
      </c>
      <c r="P1324">
        <f>IF(ISNUMBER(INDEX('Call accounts and MMFs'!$E:$E,ROW())),1,0)</f>
        <v/>
      </c>
      <c r="Q1324">
        <f>TRIM(SUBSTITUTE(INDEX('Pooled funds'!$B:$B,ROW())&amp;""," "," "))</f>
        <v/>
      </c>
      <c r="R1324">
        <f>IFERROR(--INDEX('Pooled funds'!$C:$C,ROW()),0)</f>
        <v/>
      </c>
      <c r="S1324">
        <f>IFERROR(--INDEX('Pooled funds'!$D:$D,ROW()),0)</f>
        <v/>
      </c>
      <c r="T1324">
        <f>IFERROR(IF(--INDEX('Pooled funds'!$E:$E,ROW())&gt;=1,--INDEX('Pooled funds'!$E:$E,ROW())/100,--INDEX('Pooled funds'!$E:$E,ROW())),0)</f>
        <v/>
      </c>
      <c r="U1324">
        <f>IF(ISNUMBER(INDEX('Pooled funds'!$E:$E,ROW())),1,0)</f>
        <v/>
      </c>
    </row>
    <row r="1325">
      <c r="A1325">
        <f>TRIM(SUBSTITUTE(INDEX('Term investments'!$A:$A,ROW())&amp;""," "," "))</f>
        <v/>
      </c>
      <c r="B1325">
        <f>TRIM(SUBSTITUTE(INDEX('Term investments'!$B:$B,ROW())&amp;""," "," "))</f>
        <v/>
      </c>
      <c r="C1325">
        <f>TRIM(SUBSTITUTE(INDEX('Term investments'!$C:$C,ROW())&amp;""," "," "))</f>
        <v/>
      </c>
      <c r="D1325">
        <f>IFERROR(--INDEX('Term investments'!$D:$D,ROW()),0)</f>
        <v/>
      </c>
      <c r="E1325">
        <f>IFERROR(--INDEX('Term investments'!$E:$E,ROW()),0)</f>
        <v/>
      </c>
      <c r="F1325">
        <f>IFERROR(--INDEX('Term investments'!$F:$F,ROW()),0)</f>
        <v/>
      </c>
      <c r="G1325">
        <f>IFERROR(IF(--INDEX('Term investments'!$G:$G,ROW())&gt;=1,--INDEX('Term investments'!$G:$G,ROW())/100,--INDEX('Term investments'!$G:$G,ROW())),0)</f>
        <v/>
      </c>
      <c r="H1325">
        <f>IFERROR(--INDEX('Term investments'!$H:$H,ROW()),0)</f>
        <v/>
      </c>
      <c r="I1325">
        <f>IF(ISNUMBER(INDEX('Term investments'!$G:$G,ROW())),1,0)</f>
        <v/>
      </c>
      <c r="J1325">
        <f>TRIM(SUBSTITUTE(INDEX('Call accounts and MMFs'!$A:$A,ROW())&amp;""," "," "))</f>
        <v/>
      </c>
      <c r="K1325">
        <f>TRIM(SUBSTITUTE(INDEX('Call accounts and MMFs'!$B:$B,ROW())&amp;""," "," "))</f>
        <v/>
      </c>
      <c r="L1325">
        <f>TRIM(SUBSTITUTE(INDEX('Call accounts and MMFs'!$C:$C,ROW())&amp;""," "," "))</f>
        <v/>
      </c>
      <c r="M1325">
        <f>IFERROR(--INDEX('Call accounts and MMFs'!$D:$D,ROW()),0)</f>
        <v/>
      </c>
      <c r="N1325">
        <f>IFERROR(IF(--INDEX('Call accounts and MMFs'!$E:$E,ROW())&gt;=1,--INDEX('Call accounts and MMFs'!$E:$E,ROW())/100,--INDEX('Call accounts and MMFs'!$E:$E,ROW())),0)</f>
        <v/>
      </c>
      <c r="O1325">
        <f>IFERROR(--INDEX('Call accounts and MMFs'!$F:$F,ROW()),0)</f>
        <v/>
      </c>
      <c r="P1325">
        <f>IF(ISNUMBER(INDEX('Call accounts and MMFs'!$E:$E,ROW())),1,0)</f>
        <v/>
      </c>
      <c r="Q1325">
        <f>TRIM(SUBSTITUTE(INDEX('Pooled funds'!$B:$B,ROW())&amp;""," "," "))</f>
        <v/>
      </c>
      <c r="R1325">
        <f>IFERROR(--INDEX('Pooled funds'!$C:$C,ROW()),0)</f>
        <v/>
      </c>
      <c r="S1325">
        <f>IFERROR(--INDEX('Pooled funds'!$D:$D,ROW()),0)</f>
        <v/>
      </c>
      <c r="T1325">
        <f>IFERROR(IF(--INDEX('Pooled funds'!$E:$E,ROW())&gt;=1,--INDEX('Pooled funds'!$E:$E,ROW())/100,--INDEX('Pooled funds'!$E:$E,ROW())),0)</f>
        <v/>
      </c>
      <c r="U1325">
        <f>IF(ISNUMBER(INDEX('Pooled funds'!$E:$E,ROW())),1,0)</f>
        <v/>
      </c>
    </row>
    <row r="1326">
      <c r="A1326">
        <f>TRIM(SUBSTITUTE(INDEX('Term investments'!$A:$A,ROW())&amp;""," "," "))</f>
        <v/>
      </c>
      <c r="B1326">
        <f>TRIM(SUBSTITUTE(INDEX('Term investments'!$B:$B,ROW())&amp;""," "," "))</f>
        <v/>
      </c>
      <c r="C1326">
        <f>TRIM(SUBSTITUTE(INDEX('Term investments'!$C:$C,ROW())&amp;""," "," "))</f>
        <v/>
      </c>
      <c r="D1326">
        <f>IFERROR(--INDEX('Term investments'!$D:$D,ROW()),0)</f>
        <v/>
      </c>
      <c r="E1326">
        <f>IFERROR(--INDEX('Term investments'!$E:$E,ROW()),0)</f>
        <v/>
      </c>
      <c r="F1326">
        <f>IFERROR(--INDEX('Term investments'!$F:$F,ROW()),0)</f>
        <v/>
      </c>
      <c r="G1326">
        <f>IFERROR(IF(--INDEX('Term investments'!$G:$G,ROW())&gt;=1,--INDEX('Term investments'!$G:$G,ROW())/100,--INDEX('Term investments'!$G:$G,ROW())),0)</f>
        <v/>
      </c>
      <c r="H1326">
        <f>IFERROR(--INDEX('Term investments'!$H:$H,ROW()),0)</f>
        <v/>
      </c>
      <c r="I1326">
        <f>IF(ISNUMBER(INDEX('Term investments'!$G:$G,ROW())),1,0)</f>
        <v/>
      </c>
      <c r="J1326">
        <f>TRIM(SUBSTITUTE(INDEX('Call accounts and MMFs'!$A:$A,ROW())&amp;""," "," "))</f>
        <v/>
      </c>
      <c r="K1326">
        <f>TRIM(SUBSTITUTE(INDEX('Call accounts and MMFs'!$B:$B,ROW())&amp;""," "," "))</f>
        <v/>
      </c>
      <c r="L1326">
        <f>TRIM(SUBSTITUTE(INDEX('Call accounts and MMFs'!$C:$C,ROW())&amp;""," "," "))</f>
        <v/>
      </c>
      <c r="M1326">
        <f>IFERROR(--INDEX('Call accounts and MMFs'!$D:$D,ROW()),0)</f>
        <v/>
      </c>
      <c r="N1326">
        <f>IFERROR(IF(--INDEX('Call accounts and MMFs'!$E:$E,ROW())&gt;=1,--INDEX('Call accounts and MMFs'!$E:$E,ROW())/100,--INDEX('Call accounts and MMFs'!$E:$E,ROW())),0)</f>
        <v/>
      </c>
      <c r="O1326">
        <f>IFERROR(--INDEX('Call accounts and MMFs'!$F:$F,ROW()),0)</f>
        <v/>
      </c>
      <c r="P1326">
        <f>IF(ISNUMBER(INDEX('Call accounts and MMFs'!$E:$E,ROW())),1,0)</f>
        <v/>
      </c>
      <c r="Q1326">
        <f>TRIM(SUBSTITUTE(INDEX('Pooled funds'!$B:$B,ROW())&amp;""," "," "))</f>
        <v/>
      </c>
      <c r="R1326">
        <f>IFERROR(--INDEX('Pooled funds'!$C:$C,ROW()),0)</f>
        <v/>
      </c>
      <c r="S1326">
        <f>IFERROR(--INDEX('Pooled funds'!$D:$D,ROW()),0)</f>
        <v/>
      </c>
      <c r="T1326">
        <f>IFERROR(IF(--INDEX('Pooled funds'!$E:$E,ROW())&gt;=1,--INDEX('Pooled funds'!$E:$E,ROW())/100,--INDEX('Pooled funds'!$E:$E,ROW())),0)</f>
        <v/>
      </c>
      <c r="U1326">
        <f>IF(ISNUMBER(INDEX('Pooled funds'!$E:$E,ROW())),1,0)</f>
        <v/>
      </c>
    </row>
    <row r="1327">
      <c r="A1327">
        <f>TRIM(SUBSTITUTE(INDEX('Term investments'!$A:$A,ROW())&amp;""," "," "))</f>
        <v/>
      </c>
      <c r="B1327">
        <f>TRIM(SUBSTITUTE(INDEX('Term investments'!$B:$B,ROW())&amp;""," "," "))</f>
        <v/>
      </c>
      <c r="C1327">
        <f>TRIM(SUBSTITUTE(INDEX('Term investments'!$C:$C,ROW())&amp;""," "," "))</f>
        <v/>
      </c>
      <c r="D1327">
        <f>IFERROR(--INDEX('Term investments'!$D:$D,ROW()),0)</f>
        <v/>
      </c>
      <c r="E1327">
        <f>IFERROR(--INDEX('Term investments'!$E:$E,ROW()),0)</f>
        <v/>
      </c>
      <c r="F1327">
        <f>IFERROR(--INDEX('Term investments'!$F:$F,ROW()),0)</f>
        <v/>
      </c>
      <c r="G1327">
        <f>IFERROR(IF(--INDEX('Term investments'!$G:$G,ROW())&gt;=1,--INDEX('Term investments'!$G:$G,ROW())/100,--INDEX('Term investments'!$G:$G,ROW())),0)</f>
        <v/>
      </c>
      <c r="H1327">
        <f>IFERROR(--INDEX('Term investments'!$H:$H,ROW()),0)</f>
        <v/>
      </c>
      <c r="I1327">
        <f>IF(ISNUMBER(INDEX('Term investments'!$G:$G,ROW())),1,0)</f>
        <v/>
      </c>
      <c r="J1327">
        <f>TRIM(SUBSTITUTE(INDEX('Call accounts and MMFs'!$A:$A,ROW())&amp;""," "," "))</f>
        <v/>
      </c>
      <c r="K1327">
        <f>TRIM(SUBSTITUTE(INDEX('Call accounts and MMFs'!$B:$B,ROW())&amp;""," "," "))</f>
        <v/>
      </c>
      <c r="L1327">
        <f>TRIM(SUBSTITUTE(INDEX('Call accounts and MMFs'!$C:$C,ROW())&amp;""," "," "))</f>
        <v/>
      </c>
      <c r="M1327">
        <f>IFERROR(--INDEX('Call accounts and MMFs'!$D:$D,ROW()),0)</f>
        <v/>
      </c>
      <c r="N1327">
        <f>IFERROR(IF(--INDEX('Call accounts and MMFs'!$E:$E,ROW())&gt;=1,--INDEX('Call accounts and MMFs'!$E:$E,ROW())/100,--INDEX('Call accounts and MMFs'!$E:$E,ROW())),0)</f>
        <v/>
      </c>
      <c r="O1327">
        <f>IFERROR(--INDEX('Call accounts and MMFs'!$F:$F,ROW()),0)</f>
        <v/>
      </c>
      <c r="P1327">
        <f>IF(ISNUMBER(INDEX('Call accounts and MMFs'!$E:$E,ROW())),1,0)</f>
        <v/>
      </c>
      <c r="Q1327">
        <f>TRIM(SUBSTITUTE(INDEX('Pooled funds'!$B:$B,ROW())&amp;""," "," "))</f>
        <v/>
      </c>
      <c r="R1327">
        <f>IFERROR(--INDEX('Pooled funds'!$C:$C,ROW()),0)</f>
        <v/>
      </c>
      <c r="S1327">
        <f>IFERROR(--INDEX('Pooled funds'!$D:$D,ROW()),0)</f>
        <v/>
      </c>
      <c r="T1327">
        <f>IFERROR(IF(--INDEX('Pooled funds'!$E:$E,ROW())&gt;=1,--INDEX('Pooled funds'!$E:$E,ROW())/100,--INDEX('Pooled funds'!$E:$E,ROW())),0)</f>
        <v/>
      </c>
      <c r="U1327">
        <f>IF(ISNUMBER(INDEX('Pooled funds'!$E:$E,ROW())),1,0)</f>
        <v/>
      </c>
    </row>
    <row r="1328">
      <c r="A1328">
        <f>TRIM(SUBSTITUTE(INDEX('Term investments'!$A:$A,ROW())&amp;""," "," "))</f>
        <v/>
      </c>
      <c r="B1328">
        <f>TRIM(SUBSTITUTE(INDEX('Term investments'!$B:$B,ROW())&amp;""," "," "))</f>
        <v/>
      </c>
      <c r="C1328">
        <f>TRIM(SUBSTITUTE(INDEX('Term investments'!$C:$C,ROW())&amp;""," "," "))</f>
        <v/>
      </c>
      <c r="D1328">
        <f>IFERROR(--INDEX('Term investments'!$D:$D,ROW()),0)</f>
        <v/>
      </c>
      <c r="E1328">
        <f>IFERROR(--INDEX('Term investments'!$E:$E,ROW()),0)</f>
        <v/>
      </c>
      <c r="F1328">
        <f>IFERROR(--INDEX('Term investments'!$F:$F,ROW()),0)</f>
        <v/>
      </c>
      <c r="G1328">
        <f>IFERROR(IF(--INDEX('Term investments'!$G:$G,ROW())&gt;=1,--INDEX('Term investments'!$G:$G,ROW())/100,--INDEX('Term investments'!$G:$G,ROW())),0)</f>
        <v/>
      </c>
      <c r="H1328">
        <f>IFERROR(--INDEX('Term investments'!$H:$H,ROW()),0)</f>
        <v/>
      </c>
      <c r="I1328">
        <f>IF(ISNUMBER(INDEX('Term investments'!$G:$G,ROW())),1,0)</f>
        <v/>
      </c>
      <c r="J1328">
        <f>TRIM(SUBSTITUTE(INDEX('Call accounts and MMFs'!$A:$A,ROW())&amp;""," "," "))</f>
        <v/>
      </c>
      <c r="K1328">
        <f>TRIM(SUBSTITUTE(INDEX('Call accounts and MMFs'!$B:$B,ROW())&amp;""," "," "))</f>
        <v/>
      </c>
      <c r="L1328">
        <f>TRIM(SUBSTITUTE(INDEX('Call accounts and MMFs'!$C:$C,ROW())&amp;""," "," "))</f>
        <v/>
      </c>
      <c r="M1328">
        <f>IFERROR(--INDEX('Call accounts and MMFs'!$D:$D,ROW()),0)</f>
        <v/>
      </c>
      <c r="N1328">
        <f>IFERROR(IF(--INDEX('Call accounts and MMFs'!$E:$E,ROW())&gt;=1,--INDEX('Call accounts and MMFs'!$E:$E,ROW())/100,--INDEX('Call accounts and MMFs'!$E:$E,ROW())),0)</f>
        <v/>
      </c>
      <c r="O1328">
        <f>IFERROR(--INDEX('Call accounts and MMFs'!$F:$F,ROW()),0)</f>
        <v/>
      </c>
      <c r="P1328">
        <f>IF(ISNUMBER(INDEX('Call accounts and MMFs'!$E:$E,ROW())),1,0)</f>
        <v/>
      </c>
      <c r="Q1328">
        <f>TRIM(SUBSTITUTE(INDEX('Pooled funds'!$B:$B,ROW())&amp;""," "," "))</f>
        <v/>
      </c>
      <c r="R1328">
        <f>IFERROR(--INDEX('Pooled funds'!$C:$C,ROW()),0)</f>
        <v/>
      </c>
      <c r="S1328">
        <f>IFERROR(--INDEX('Pooled funds'!$D:$D,ROW()),0)</f>
        <v/>
      </c>
      <c r="T1328">
        <f>IFERROR(IF(--INDEX('Pooled funds'!$E:$E,ROW())&gt;=1,--INDEX('Pooled funds'!$E:$E,ROW())/100,--INDEX('Pooled funds'!$E:$E,ROW())),0)</f>
        <v/>
      </c>
      <c r="U1328">
        <f>IF(ISNUMBER(INDEX('Pooled funds'!$E:$E,ROW())),1,0)</f>
        <v/>
      </c>
    </row>
    <row r="1329">
      <c r="A1329">
        <f>TRIM(SUBSTITUTE(INDEX('Term investments'!$A:$A,ROW())&amp;""," "," "))</f>
        <v/>
      </c>
      <c r="B1329">
        <f>TRIM(SUBSTITUTE(INDEX('Term investments'!$B:$B,ROW())&amp;""," "," "))</f>
        <v/>
      </c>
      <c r="C1329">
        <f>TRIM(SUBSTITUTE(INDEX('Term investments'!$C:$C,ROW())&amp;""," "," "))</f>
        <v/>
      </c>
      <c r="D1329">
        <f>IFERROR(--INDEX('Term investments'!$D:$D,ROW()),0)</f>
        <v/>
      </c>
      <c r="E1329">
        <f>IFERROR(--INDEX('Term investments'!$E:$E,ROW()),0)</f>
        <v/>
      </c>
      <c r="F1329">
        <f>IFERROR(--INDEX('Term investments'!$F:$F,ROW()),0)</f>
        <v/>
      </c>
      <c r="G1329">
        <f>IFERROR(IF(--INDEX('Term investments'!$G:$G,ROW())&gt;=1,--INDEX('Term investments'!$G:$G,ROW())/100,--INDEX('Term investments'!$G:$G,ROW())),0)</f>
        <v/>
      </c>
      <c r="H1329">
        <f>IFERROR(--INDEX('Term investments'!$H:$H,ROW()),0)</f>
        <v/>
      </c>
      <c r="I1329">
        <f>IF(ISNUMBER(INDEX('Term investments'!$G:$G,ROW())),1,0)</f>
        <v/>
      </c>
      <c r="J1329">
        <f>TRIM(SUBSTITUTE(INDEX('Call accounts and MMFs'!$A:$A,ROW())&amp;""," "," "))</f>
        <v/>
      </c>
      <c r="K1329">
        <f>TRIM(SUBSTITUTE(INDEX('Call accounts and MMFs'!$B:$B,ROW())&amp;""," "," "))</f>
        <v/>
      </c>
      <c r="L1329">
        <f>TRIM(SUBSTITUTE(INDEX('Call accounts and MMFs'!$C:$C,ROW())&amp;""," "," "))</f>
        <v/>
      </c>
      <c r="M1329">
        <f>IFERROR(--INDEX('Call accounts and MMFs'!$D:$D,ROW()),0)</f>
        <v/>
      </c>
      <c r="N1329">
        <f>IFERROR(IF(--INDEX('Call accounts and MMFs'!$E:$E,ROW())&gt;=1,--INDEX('Call accounts and MMFs'!$E:$E,ROW())/100,--INDEX('Call accounts and MMFs'!$E:$E,ROW())),0)</f>
        <v/>
      </c>
      <c r="O1329">
        <f>IFERROR(--INDEX('Call accounts and MMFs'!$F:$F,ROW()),0)</f>
        <v/>
      </c>
      <c r="P1329">
        <f>IF(ISNUMBER(INDEX('Call accounts and MMFs'!$E:$E,ROW())),1,0)</f>
        <v/>
      </c>
      <c r="Q1329">
        <f>TRIM(SUBSTITUTE(INDEX('Pooled funds'!$B:$B,ROW())&amp;""," "," "))</f>
        <v/>
      </c>
      <c r="R1329">
        <f>IFERROR(--INDEX('Pooled funds'!$C:$C,ROW()),0)</f>
        <v/>
      </c>
      <c r="S1329">
        <f>IFERROR(--INDEX('Pooled funds'!$D:$D,ROW()),0)</f>
        <v/>
      </c>
      <c r="T1329">
        <f>IFERROR(IF(--INDEX('Pooled funds'!$E:$E,ROW())&gt;=1,--INDEX('Pooled funds'!$E:$E,ROW())/100,--INDEX('Pooled funds'!$E:$E,ROW())),0)</f>
        <v/>
      </c>
      <c r="U1329">
        <f>IF(ISNUMBER(INDEX('Pooled funds'!$E:$E,ROW())),1,0)</f>
        <v/>
      </c>
    </row>
    <row r="1330">
      <c r="A1330">
        <f>TRIM(SUBSTITUTE(INDEX('Term investments'!$A:$A,ROW())&amp;""," "," "))</f>
        <v/>
      </c>
      <c r="B1330">
        <f>TRIM(SUBSTITUTE(INDEX('Term investments'!$B:$B,ROW())&amp;""," "," "))</f>
        <v/>
      </c>
      <c r="C1330">
        <f>TRIM(SUBSTITUTE(INDEX('Term investments'!$C:$C,ROW())&amp;""," "," "))</f>
        <v/>
      </c>
      <c r="D1330">
        <f>IFERROR(--INDEX('Term investments'!$D:$D,ROW()),0)</f>
        <v/>
      </c>
      <c r="E1330">
        <f>IFERROR(--INDEX('Term investments'!$E:$E,ROW()),0)</f>
        <v/>
      </c>
      <c r="F1330">
        <f>IFERROR(--INDEX('Term investments'!$F:$F,ROW()),0)</f>
        <v/>
      </c>
      <c r="G1330">
        <f>IFERROR(IF(--INDEX('Term investments'!$G:$G,ROW())&gt;=1,--INDEX('Term investments'!$G:$G,ROW())/100,--INDEX('Term investments'!$G:$G,ROW())),0)</f>
        <v/>
      </c>
      <c r="H1330">
        <f>IFERROR(--INDEX('Term investments'!$H:$H,ROW()),0)</f>
        <v/>
      </c>
      <c r="I1330">
        <f>IF(ISNUMBER(INDEX('Term investments'!$G:$G,ROW())),1,0)</f>
        <v/>
      </c>
      <c r="J1330">
        <f>TRIM(SUBSTITUTE(INDEX('Call accounts and MMFs'!$A:$A,ROW())&amp;""," "," "))</f>
        <v/>
      </c>
      <c r="K1330">
        <f>TRIM(SUBSTITUTE(INDEX('Call accounts and MMFs'!$B:$B,ROW())&amp;""," "," "))</f>
        <v/>
      </c>
      <c r="L1330">
        <f>TRIM(SUBSTITUTE(INDEX('Call accounts and MMFs'!$C:$C,ROW())&amp;""," "," "))</f>
        <v/>
      </c>
      <c r="M1330">
        <f>IFERROR(--INDEX('Call accounts and MMFs'!$D:$D,ROW()),0)</f>
        <v/>
      </c>
      <c r="N1330">
        <f>IFERROR(IF(--INDEX('Call accounts and MMFs'!$E:$E,ROW())&gt;=1,--INDEX('Call accounts and MMFs'!$E:$E,ROW())/100,--INDEX('Call accounts and MMFs'!$E:$E,ROW())),0)</f>
        <v/>
      </c>
      <c r="O1330">
        <f>IFERROR(--INDEX('Call accounts and MMFs'!$F:$F,ROW()),0)</f>
        <v/>
      </c>
      <c r="P1330">
        <f>IF(ISNUMBER(INDEX('Call accounts and MMFs'!$E:$E,ROW())),1,0)</f>
        <v/>
      </c>
      <c r="Q1330">
        <f>TRIM(SUBSTITUTE(INDEX('Pooled funds'!$B:$B,ROW())&amp;""," "," "))</f>
        <v/>
      </c>
      <c r="R1330">
        <f>IFERROR(--INDEX('Pooled funds'!$C:$C,ROW()),0)</f>
        <v/>
      </c>
      <c r="S1330">
        <f>IFERROR(--INDEX('Pooled funds'!$D:$D,ROW()),0)</f>
        <v/>
      </c>
      <c r="T1330">
        <f>IFERROR(IF(--INDEX('Pooled funds'!$E:$E,ROW())&gt;=1,--INDEX('Pooled funds'!$E:$E,ROW())/100,--INDEX('Pooled funds'!$E:$E,ROW())),0)</f>
        <v/>
      </c>
      <c r="U1330">
        <f>IF(ISNUMBER(INDEX('Pooled funds'!$E:$E,ROW())),1,0)</f>
        <v/>
      </c>
    </row>
    <row r="1331">
      <c r="A1331">
        <f>TRIM(SUBSTITUTE(INDEX('Term investments'!$A:$A,ROW())&amp;""," "," "))</f>
        <v/>
      </c>
      <c r="B1331">
        <f>TRIM(SUBSTITUTE(INDEX('Term investments'!$B:$B,ROW())&amp;""," "," "))</f>
        <v/>
      </c>
      <c r="C1331">
        <f>TRIM(SUBSTITUTE(INDEX('Term investments'!$C:$C,ROW())&amp;""," "," "))</f>
        <v/>
      </c>
      <c r="D1331">
        <f>IFERROR(--INDEX('Term investments'!$D:$D,ROW()),0)</f>
        <v/>
      </c>
      <c r="E1331">
        <f>IFERROR(--INDEX('Term investments'!$E:$E,ROW()),0)</f>
        <v/>
      </c>
      <c r="F1331">
        <f>IFERROR(--INDEX('Term investments'!$F:$F,ROW()),0)</f>
        <v/>
      </c>
      <c r="G1331">
        <f>IFERROR(IF(--INDEX('Term investments'!$G:$G,ROW())&gt;=1,--INDEX('Term investments'!$G:$G,ROW())/100,--INDEX('Term investments'!$G:$G,ROW())),0)</f>
        <v/>
      </c>
      <c r="H1331">
        <f>IFERROR(--INDEX('Term investments'!$H:$H,ROW()),0)</f>
        <v/>
      </c>
      <c r="I1331">
        <f>IF(ISNUMBER(INDEX('Term investments'!$G:$G,ROW())),1,0)</f>
        <v/>
      </c>
      <c r="J1331">
        <f>TRIM(SUBSTITUTE(INDEX('Call accounts and MMFs'!$A:$A,ROW())&amp;""," "," "))</f>
        <v/>
      </c>
      <c r="K1331">
        <f>TRIM(SUBSTITUTE(INDEX('Call accounts and MMFs'!$B:$B,ROW())&amp;""," "," "))</f>
        <v/>
      </c>
      <c r="L1331">
        <f>TRIM(SUBSTITUTE(INDEX('Call accounts and MMFs'!$C:$C,ROW())&amp;""," "," "))</f>
        <v/>
      </c>
      <c r="M1331">
        <f>IFERROR(--INDEX('Call accounts and MMFs'!$D:$D,ROW()),0)</f>
        <v/>
      </c>
      <c r="N1331">
        <f>IFERROR(IF(--INDEX('Call accounts and MMFs'!$E:$E,ROW())&gt;=1,--INDEX('Call accounts and MMFs'!$E:$E,ROW())/100,--INDEX('Call accounts and MMFs'!$E:$E,ROW())),0)</f>
        <v/>
      </c>
      <c r="O1331">
        <f>IFERROR(--INDEX('Call accounts and MMFs'!$F:$F,ROW()),0)</f>
        <v/>
      </c>
      <c r="P1331">
        <f>IF(ISNUMBER(INDEX('Call accounts and MMFs'!$E:$E,ROW())),1,0)</f>
        <v/>
      </c>
      <c r="Q1331">
        <f>TRIM(SUBSTITUTE(INDEX('Pooled funds'!$B:$B,ROW())&amp;""," "," "))</f>
        <v/>
      </c>
      <c r="R1331">
        <f>IFERROR(--INDEX('Pooled funds'!$C:$C,ROW()),0)</f>
        <v/>
      </c>
      <c r="S1331">
        <f>IFERROR(--INDEX('Pooled funds'!$D:$D,ROW()),0)</f>
        <v/>
      </c>
      <c r="T1331">
        <f>IFERROR(IF(--INDEX('Pooled funds'!$E:$E,ROW())&gt;=1,--INDEX('Pooled funds'!$E:$E,ROW())/100,--INDEX('Pooled funds'!$E:$E,ROW())),0)</f>
        <v/>
      </c>
      <c r="U1331">
        <f>IF(ISNUMBER(INDEX('Pooled funds'!$E:$E,ROW())),1,0)</f>
        <v/>
      </c>
    </row>
    <row r="1332">
      <c r="A1332">
        <f>TRIM(SUBSTITUTE(INDEX('Term investments'!$A:$A,ROW())&amp;""," "," "))</f>
        <v/>
      </c>
      <c r="B1332">
        <f>TRIM(SUBSTITUTE(INDEX('Term investments'!$B:$B,ROW())&amp;""," "," "))</f>
        <v/>
      </c>
      <c r="C1332">
        <f>TRIM(SUBSTITUTE(INDEX('Term investments'!$C:$C,ROW())&amp;""," "," "))</f>
        <v/>
      </c>
      <c r="D1332">
        <f>IFERROR(--INDEX('Term investments'!$D:$D,ROW()),0)</f>
        <v/>
      </c>
      <c r="E1332">
        <f>IFERROR(--INDEX('Term investments'!$E:$E,ROW()),0)</f>
        <v/>
      </c>
      <c r="F1332">
        <f>IFERROR(--INDEX('Term investments'!$F:$F,ROW()),0)</f>
        <v/>
      </c>
      <c r="G1332">
        <f>IFERROR(IF(--INDEX('Term investments'!$G:$G,ROW())&gt;=1,--INDEX('Term investments'!$G:$G,ROW())/100,--INDEX('Term investments'!$G:$G,ROW())),0)</f>
        <v/>
      </c>
      <c r="H1332">
        <f>IFERROR(--INDEX('Term investments'!$H:$H,ROW()),0)</f>
        <v/>
      </c>
      <c r="I1332">
        <f>IF(ISNUMBER(INDEX('Term investments'!$G:$G,ROW())),1,0)</f>
        <v/>
      </c>
      <c r="J1332">
        <f>TRIM(SUBSTITUTE(INDEX('Call accounts and MMFs'!$A:$A,ROW())&amp;""," "," "))</f>
        <v/>
      </c>
      <c r="K1332">
        <f>TRIM(SUBSTITUTE(INDEX('Call accounts and MMFs'!$B:$B,ROW())&amp;""," "," "))</f>
        <v/>
      </c>
      <c r="L1332">
        <f>TRIM(SUBSTITUTE(INDEX('Call accounts and MMFs'!$C:$C,ROW())&amp;""," "," "))</f>
        <v/>
      </c>
      <c r="M1332">
        <f>IFERROR(--INDEX('Call accounts and MMFs'!$D:$D,ROW()),0)</f>
        <v/>
      </c>
      <c r="N1332">
        <f>IFERROR(IF(--INDEX('Call accounts and MMFs'!$E:$E,ROW())&gt;=1,--INDEX('Call accounts and MMFs'!$E:$E,ROW())/100,--INDEX('Call accounts and MMFs'!$E:$E,ROW())),0)</f>
        <v/>
      </c>
      <c r="O1332">
        <f>IFERROR(--INDEX('Call accounts and MMFs'!$F:$F,ROW()),0)</f>
        <v/>
      </c>
      <c r="P1332">
        <f>IF(ISNUMBER(INDEX('Call accounts and MMFs'!$E:$E,ROW())),1,0)</f>
        <v/>
      </c>
      <c r="Q1332">
        <f>TRIM(SUBSTITUTE(INDEX('Pooled funds'!$B:$B,ROW())&amp;""," "," "))</f>
        <v/>
      </c>
      <c r="R1332">
        <f>IFERROR(--INDEX('Pooled funds'!$C:$C,ROW()),0)</f>
        <v/>
      </c>
      <c r="S1332">
        <f>IFERROR(--INDEX('Pooled funds'!$D:$D,ROW()),0)</f>
        <v/>
      </c>
      <c r="T1332">
        <f>IFERROR(IF(--INDEX('Pooled funds'!$E:$E,ROW())&gt;=1,--INDEX('Pooled funds'!$E:$E,ROW())/100,--INDEX('Pooled funds'!$E:$E,ROW())),0)</f>
        <v/>
      </c>
      <c r="U1332">
        <f>IF(ISNUMBER(INDEX('Pooled funds'!$E:$E,ROW())),1,0)</f>
        <v/>
      </c>
    </row>
    <row r="1333">
      <c r="A1333">
        <f>TRIM(SUBSTITUTE(INDEX('Term investments'!$A:$A,ROW())&amp;""," "," "))</f>
        <v/>
      </c>
      <c r="B1333">
        <f>TRIM(SUBSTITUTE(INDEX('Term investments'!$B:$B,ROW())&amp;""," "," "))</f>
        <v/>
      </c>
      <c r="C1333">
        <f>TRIM(SUBSTITUTE(INDEX('Term investments'!$C:$C,ROW())&amp;""," "," "))</f>
        <v/>
      </c>
      <c r="D1333">
        <f>IFERROR(--INDEX('Term investments'!$D:$D,ROW()),0)</f>
        <v/>
      </c>
      <c r="E1333">
        <f>IFERROR(--INDEX('Term investments'!$E:$E,ROW()),0)</f>
        <v/>
      </c>
      <c r="F1333">
        <f>IFERROR(--INDEX('Term investments'!$F:$F,ROW()),0)</f>
        <v/>
      </c>
      <c r="G1333">
        <f>IFERROR(IF(--INDEX('Term investments'!$G:$G,ROW())&gt;=1,--INDEX('Term investments'!$G:$G,ROW())/100,--INDEX('Term investments'!$G:$G,ROW())),0)</f>
        <v/>
      </c>
      <c r="H1333">
        <f>IFERROR(--INDEX('Term investments'!$H:$H,ROW()),0)</f>
        <v/>
      </c>
      <c r="I1333">
        <f>IF(ISNUMBER(INDEX('Term investments'!$G:$G,ROW())),1,0)</f>
        <v/>
      </c>
      <c r="J1333">
        <f>TRIM(SUBSTITUTE(INDEX('Call accounts and MMFs'!$A:$A,ROW())&amp;""," "," "))</f>
        <v/>
      </c>
      <c r="K1333">
        <f>TRIM(SUBSTITUTE(INDEX('Call accounts and MMFs'!$B:$B,ROW())&amp;""," "," "))</f>
        <v/>
      </c>
      <c r="L1333">
        <f>TRIM(SUBSTITUTE(INDEX('Call accounts and MMFs'!$C:$C,ROW())&amp;""," "," "))</f>
        <v/>
      </c>
      <c r="M1333">
        <f>IFERROR(--INDEX('Call accounts and MMFs'!$D:$D,ROW()),0)</f>
        <v/>
      </c>
      <c r="N1333">
        <f>IFERROR(IF(--INDEX('Call accounts and MMFs'!$E:$E,ROW())&gt;=1,--INDEX('Call accounts and MMFs'!$E:$E,ROW())/100,--INDEX('Call accounts and MMFs'!$E:$E,ROW())),0)</f>
        <v/>
      </c>
      <c r="O1333">
        <f>IFERROR(--INDEX('Call accounts and MMFs'!$F:$F,ROW()),0)</f>
        <v/>
      </c>
      <c r="P1333">
        <f>IF(ISNUMBER(INDEX('Call accounts and MMFs'!$E:$E,ROW())),1,0)</f>
        <v/>
      </c>
      <c r="Q1333">
        <f>TRIM(SUBSTITUTE(INDEX('Pooled funds'!$B:$B,ROW())&amp;""," "," "))</f>
        <v/>
      </c>
      <c r="R1333">
        <f>IFERROR(--INDEX('Pooled funds'!$C:$C,ROW()),0)</f>
        <v/>
      </c>
      <c r="S1333">
        <f>IFERROR(--INDEX('Pooled funds'!$D:$D,ROW()),0)</f>
        <v/>
      </c>
      <c r="T1333">
        <f>IFERROR(IF(--INDEX('Pooled funds'!$E:$E,ROW())&gt;=1,--INDEX('Pooled funds'!$E:$E,ROW())/100,--INDEX('Pooled funds'!$E:$E,ROW())),0)</f>
        <v/>
      </c>
      <c r="U1333">
        <f>IF(ISNUMBER(INDEX('Pooled funds'!$E:$E,ROW())),1,0)</f>
        <v/>
      </c>
    </row>
    <row r="1334">
      <c r="A1334">
        <f>TRIM(SUBSTITUTE(INDEX('Term investments'!$A:$A,ROW())&amp;""," "," "))</f>
        <v/>
      </c>
      <c r="B1334">
        <f>TRIM(SUBSTITUTE(INDEX('Term investments'!$B:$B,ROW())&amp;""," "," "))</f>
        <v/>
      </c>
      <c r="C1334">
        <f>TRIM(SUBSTITUTE(INDEX('Term investments'!$C:$C,ROW())&amp;""," "," "))</f>
        <v/>
      </c>
      <c r="D1334">
        <f>IFERROR(--INDEX('Term investments'!$D:$D,ROW()),0)</f>
        <v/>
      </c>
      <c r="E1334">
        <f>IFERROR(--INDEX('Term investments'!$E:$E,ROW()),0)</f>
        <v/>
      </c>
      <c r="F1334">
        <f>IFERROR(--INDEX('Term investments'!$F:$F,ROW()),0)</f>
        <v/>
      </c>
      <c r="G1334">
        <f>IFERROR(IF(--INDEX('Term investments'!$G:$G,ROW())&gt;=1,--INDEX('Term investments'!$G:$G,ROW())/100,--INDEX('Term investments'!$G:$G,ROW())),0)</f>
        <v/>
      </c>
      <c r="H1334">
        <f>IFERROR(--INDEX('Term investments'!$H:$H,ROW()),0)</f>
        <v/>
      </c>
      <c r="I1334">
        <f>IF(ISNUMBER(INDEX('Term investments'!$G:$G,ROW())),1,0)</f>
        <v/>
      </c>
      <c r="J1334">
        <f>TRIM(SUBSTITUTE(INDEX('Call accounts and MMFs'!$A:$A,ROW())&amp;""," "," "))</f>
        <v/>
      </c>
      <c r="K1334">
        <f>TRIM(SUBSTITUTE(INDEX('Call accounts and MMFs'!$B:$B,ROW())&amp;""," "," "))</f>
        <v/>
      </c>
      <c r="L1334">
        <f>TRIM(SUBSTITUTE(INDEX('Call accounts and MMFs'!$C:$C,ROW())&amp;""," "," "))</f>
        <v/>
      </c>
      <c r="M1334">
        <f>IFERROR(--INDEX('Call accounts and MMFs'!$D:$D,ROW()),0)</f>
        <v/>
      </c>
      <c r="N1334">
        <f>IFERROR(IF(--INDEX('Call accounts and MMFs'!$E:$E,ROW())&gt;=1,--INDEX('Call accounts and MMFs'!$E:$E,ROW())/100,--INDEX('Call accounts and MMFs'!$E:$E,ROW())),0)</f>
        <v/>
      </c>
      <c r="O1334">
        <f>IFERROR(--INDEX('Call accounts and MMFs'!$F:$F,ROW()),0)</f>
        <v/>
      </c>
      <c r="P1334">
        <f>IF(ISNUMBER(INDEX('Call accounts and MMFs'!$E:$E,ROW())),1,0)</f>
        <v/>
      </c>
      <c r="Q1334">
        <f>TRIM(SUBSTITUTE(INDEX('Pooled funds'!$B:$B,ROW())&amp;""," "," "))</f>
        <v/>
      </c>
      <c r="R1334">
        <f>IFERROR(--INDEX('Pooled funds'!$C:$C,ROW()),0)</f>
        <v/>
      </c>
      <c r="S1334">
        <f>IFERROR(--INDEX('Pooled funds'!$D:$D,ROW()),0)</f>
        <v/>
      </c>
      <c r="T1334">
        <f>IFERROR(IF(--INDEX('Pooled funds'!$E:$E,ROW())&gt;=1,--INDEX('Pooled funds'!$E:$E,ROW())/100,--INDEX('Pooled funds'!$E:$E,ROW())),0)</f>
        <v/>
      </c>
      <c r="U1334">
        <f>IF(ISNUMBER(INDEX('Pooled funds'!$E:$E,ROW())),1,0)</f>
        <v/>
      </c>
    </row>
    <row r="1335">
      <c r="A1335">
        <f>TRIM(SUBSTITUTE(INDEX('Term investments'!$A:$A,ROW())&amp;""," "," "))</f>
        <v/>
      </c>
      <c r="B1335">
        <f>TRIM(SUBSTITUTE(INDEX('Term investments'!$B:$B,ROW())&amp;""," "," "))</f>
        <v/>
      </c>
      <c r="C1335">
        <f>TRIM(SUBSTITUTE(INDEX('Term investments'!$C:$C,ROW())&amp;""," "," "))</f>
        <v/>
      </c>
      <c r="D1335">
        <f>IFERROR(--INDEX('Term investments'!$D:$D,ROW()),0)</f>
        <v/>
      </c>
      <c r="E1335">
        <f>IFERROR(--INDEX('Term investments'!$E:$E,ROW()),0)</f>
        <v/>
      </c>
      <c r="F1335">
        <f>IFERROR(--INDEX('Term investments'!$F:$F,ROW()),0)</f>
        <v/>
      </c>
      <c r="G1335">
        <f>IFERROR(IF(--INDEX('Term investments'!$G:$G,ROW())&gt;=1,--INDEX('Term investments'!$G:$G,ROW())/100,--INDEX('Term investments'!$G:$G,ROW())),0)</f>
        <v/>
      </c>
      <c r="H1335">
        <f>IFERROR(--INDEX('Term investments'!$H:$H,ROW()),0)</f>
        <v/>
      </c>
      <c r="I1335">
        <f>IF(ISNUMBER(INDEX('Term investments'!$G:$G,ROW())),1,0)</f>
        <v/>
      </c>
      <c r="J1335">
        <f>TRIM(SUBSTITUTE(INDEX('Call accounts and MMFs'!$A:$A,ROW())&amp;""," "," "))</f>
        <v/>
      </c>
      <c r="K1335">
        <f>TRIM(SUBSTITUTE(INDEX('Call accounts and MMFs'!$B:$B,ROW())&amp;""," "," "))</f>
        <v/>
      </c>
      <c r="L1335">
        <f>TRIM(SUBSTITUTE(INDEX('Call accounts and MMFs'!$C:$C,ROW())&amp;""," "," "))</f>
        <v/>
      </c>
      <c r="M1335">
        <f>IFERROR(--INDEX('Call accounts and MMFs'!$D:$D,ROW()),0)</f>
        <v/>
      </c>
      <c r="N1335">
        <f>IFERROR(IF(--INDEX('Call accounts and MMFs'!$E:$E,ROW())&gt;=1,--INDEX('Call accounts and MMFs'!$E:$E,ROW())/100,--INDEX('Call accounts and MMFs'!$E:$E,ROW())),0)</f>
        <v/>
      </c>
      <c r="O1335">
        <f>IFERROR(--INDEX('Call accounts and MMFs'!$F:$F,ROW()),0)</f>
        <v/>
      </c>
      <c r="P1335">
        <f>IF(ISNUMBER(INDEX('Call accounts and MMFs'!$E:$E,ROW())),1,0)</f>
        <v/>
      </c>
      <c r="Q1335">
        <f>TRIM(SUBSTITUTE(INDEX('Pooled funds'!$B:$B,ROW())&amp;""," "," "))</f>
        <v/>
      </c>
      <c r="R1335">
        <f>IFERROR(--INDEX('Pooled funds'!$C:$C,ROW()),0)</f>
        <v/>
      </c>
      <c r="S1335">
        <f>IFERROR(--INDEX('Pooled funds'!$D:$D,ROW()),0)</f>
        <v/>
      </c>
      <c r="T1335">
        <f>IFERROR(IF(--INDEX('Pooled funds'!$E:$E,ROW())&gt;=1,--INDEX('Pooled funds'!$E:$E,ROW())/100,--INDEX('Pooled funds'!$E:$E,ROW())),0)</f>
        <v/>
      </c>
      <c r="U1335">
        <f>IF(ISNUMBER(INDEX('Pooled funds'!$E:$E,ROW())),1,0)</f>
        <v/>
      </c>
    </row>
    <row r="1336">
      <c r="A1336">
        <f>TRIM(SUBSTITUTE(INDEX('Term investments'!$A:$A,ROW())&amp;""," "," "))</f>
        <v/>
      </c>
      <c r="B1336">
        <f>TRIM(SUBSTITUTE(INDEX('Term investments'!$B:$B,ROW())&amp;""," "," "))</f>
        <v/>
      </c>
      <c r="C1336">
        <f>TRIM(SUBSTITUTE(INDEX('Term investments'!$C:$C,ROW())&amp;""," "," "))</f>
        <v/>
      </c>
      <c r="D1336">
        <f>IFERROR(--INDEX('Term investments'!$D:$D,ROW()),0)</f>
        <v/>
      </c>
      <c r="E1336">
        <f>IFERROR(--INDEX('Term investments'!$E:$E,ROW()),0)</f>
        <v/>
      </c>
      <c r="F1336">
        <f>IFERROR(--INDEX('Term investments'!$F:$F,ROW()),0)</f>
        <v/>
      </c>
      <c r="G1336">
        <f>IFERROR(IF(--INDEX('Term investments'!$G:$G,ROW())&gt;=1,--INDEX('Term investments'!$G:$G,ROW())/100,--INDEX('Term investments'!$G:$G,ROW())),0)</f>
        <v/>
      </c>
      <c r="H1336">
        <f>IFERROR(--INDEX('Term investments'!$H:$H,ROW()),0)</f>
        <v/>
      </c>
      <c r="I1336">
        <f>IF(ISNUMBER(INDEX('Term investments'!$G:$G,ROW())),1,0)</f>
        <v/>
      </c>
      <c r="J1336">
        <f>TRIM(SUBSTITUTE(INDEX('Call accounts and MMFs'!$A:$A,ROW())&amp;""," "," "))</f>
        <v/>
      </c>
      <c r="K1336">
        <f>TRIM(SUBSTITUTE(INDEX('Call accounts and MMFs'!$B:$B,ROW())&amp;""," "," "))</f>
        <v/>
      </c>
      <c r="L1336">
        <f>TRIM(SUBSTITUTE(INDEX('Call accounts and MMFs'!$C:$C,ROW())&amp;""," "," "))</f>
        <v/>
      </c>
      <c r="M1336">
        <f>IFERROR(--INDEX('Call accounts and MMFs'!$D:$D,ROW()),0)</f>
        <v/>
      </c>
      <c r="N1336">
        <f>IFERROR(IF(--INDEX('Call accounts and MMFs'!$E:$E,ROW())&gt;=1,--INDEX('Call accounts and MMFs'!$E:$E,ROW())/100,--INDEX('Call accounts and MMFs'!$E:$E,ROW())),0)</f>
        <v/>
      </c>
      <c r="O1336">
        <f>IFERROR(--INDEX('Call accounts and MMFs'!$F:$F,ROW()),0)</f>
        <v/>
      </c>
      <c r="P1336">
        <f>IF(ISNUMBER(INDEX('Call accounts and MMFs'!$E:$E,ROW())),1,0)</f>
        <v/>
      </c>
      <c r="Q1336">
        <f>TRIM(SUBSTITUTE(INDEX('Pooled funds'!$B:$B,ROW())&amp;""," "," "))</f>
        <v/>
      </c>
      <c r="R1336">
        <f>IFERROR(--INDEX('Pooled funds'!$C:$C,ROW()),0)</f>
        <v/>
      </c>
      <c r="S1336">
        <f>IFERROR(--INDEX('Pooled funds'!$D:$D,ROW()),0)</f>
        <v/>
      </c>
      <c r="T1336">
        <f>IFERROR(IF(--INDEX('Pooled funds'!$E:$E,ROW())&gt;=1,--INDEX('Pooled funds'!$E:$E,ROW())/100,--INDEX('Pooled funds'!$E:$E,ROW())),0)</f>
        <v/>
      </c>
      <c r="U1336">
        <f>IF(ISNUMBER(INDEX('Pooled funds'!$E:$E,ROW())),1,0)</f>
        <v/>
      </c>
    </row>
    <row r="1337">
      <c r="A1337">
        <f>TRIM(SUBSTITUTE(INDEX('Term investments'!$A:$A,ROW())&amp;""," "," "))</f>
        <v/>
      </c>
      <c r="B1337">
        <f>TRIM(SUBSTITUTE(INDEX('Term investments'!$B:$B,ROW())&amp;""," "," "))</f>
        <v/>
      </c>
      <c r="C1337">
        <f>TRIM(SUBSTITUTE(INDEX('Term investments'!$C:$C,ROW())&amp;""," "," "))</f>
        <v/>
      </c>
      <c r="D1337">
        <f>IFERROR(--INDEX('Term investments'!$D:$D,ROW()),0)</f>
        <v/>
      </c>
      <c r="E1337">
        <f>IFERROR(--INDEX('Term investments'!$E:$E,ROW()),0)</f>
        <v/>
      </c>
      <c r="F1337">
        <f>IFERROR(--INDEX('Term investments'!$F:$F,ROW()),0)</f>
        <v/>
      </c>
      <c r="G1337">
        <f>IFERROR(IF(--INDEX('Term investments'!$G:$G,ROW())&gt;=1,--INDEX('Term investments'!$G:$G,ROW())/100,--INDEX('Term investments'!$G:$G,ROW())),0)</f>
        <v/>
      </c>
      <c r="H1337">
        <f>IFERROR(--INDEX('Term investments'!$H:$H,ROW()),0)</f>
        <v/>
      </c>
      <c r="I1337">
        <f>IF(ISNUMBER(INDEX('Term investments'!$G:$G,ROW())),1,0)</f>
        <v/>
      </c>
      <c r="J1337">
        <f>TRIM(SUBSTITUTE(INDEX('Call accounts and MMFs'!$A:$A,ROW())&amp;""," "," "))</f>
        <v/>
      </c>
      <c r="K1337">
        <f>TRIM(SUBSTITUTE(INDEX('Call accounts and MMFs'!$B:$B,ROW())&amp;""," "," "))</f>
        <v/>
      </c>
      <c r="L1337">
        <f>TRIM(SUBSTITUTE(INDEX('Call accounts and MMFs'!$C:$C,ROW())&amp;""," "," "))</f>
        <v/>
      </c>
      <c r="M1337">
        <f>IFERROR(--INDEX('Call accounts and MMFs'!$D:$D,ROW()),0)</f>
        <v/>
      </c>
      <c r="N1337">
        <f>IFERROR(IF(--INDEX('Call accounts and MMFs'!$E:$E,ROW())&gt;=1,--INDEX('Call accounts and MMFs'!$E:$E,ROW())/100,--INDEX('Call accounts and MMFs'!$E:$E,ROW())),0)</f>
        <v/>
      </c>
      <c r="O1337">
        <f>IFERROR(--INDEX('Call accounts and MMFs'!$F:$F,ROW()),0)</f>
        <v/>
      </c>
      <c r="P1337">
        <f>IF(ISNUMBER(INDEX('Call accounts and MMFs'!$E:$E,ROW())),1,0)</f>
        <v/>
      </c>
      <c r="Q1337">
        <f>TRIM(SUBSTITUTE(INDEX('Pooled funds'!$B:$B,ROW())&amp;""," "," "))</f>
        <v/>
      </c>
      <c r="R1337">
        <f>IFERROR(--INDEX('Pooled funds'!$C:$C,ROW()),0)</f>
        <v/>
      </c>
      <c r="S1337">
        <f>IFERROR(--INDEX('Pooled funds'!$D:$D,ROW()),0)</f>
        <v/>
      </c>
      <c r="T1337">
        <f>IFERROR(IF(--INDEX('Pooled funds'!$E:$E,ROW())&gt;=1,--INDEX('Pooled funds'!$E:$E,ROW())/100,--INDEX('Pooled funds'!$E:$E,ROW())),0)</f>
        <v/>
      </c>
      <c r="U1337">
        <f>IF(ISNUMBER(INDEX('Pooled funds'!$E:$E,ROW())),1,0)</f>
        <v/>
      </c>
    </row>
    <row r="1338">
      <c r="A1338">
        <f>TRIM(SUBSTITUTE(INDEX('Term investments'!$A:$A,ROW())&amp;""," "," "))</f>
        <v/>
      </c>
      <c r="B1338">
        <f>TRIM(SUBSTITUTE(INDEX('Term investments'!$B:$B,ROW())&amp;""," "," "))</f>
        <v/>
      </c>
      <c r="C1338">
        <f>TRIM(SUBSTITUTE(INDEX('Term investments'!$C:$C,ROW())&amp;""," "," "))</f>
        <v/>
      </c>
      <c r="D1338">
        <f>IFERROR(--INDEX('Term investments'!$D:$D,ROW()),0)</f>
        <v/>
      </c>
      <c r="E1338">
        <f>IFERROR(--INDEX('Term investments'!$E:$E,ROW()),0)</f>
        <v/>
      </c>
      <c r="F1338">
        <f>IFERROR(--INDEX('Term investments'!$F:$F,ROW()),0)</f>
        <v/>
      </c>
      <c r="G1338">
        <f>IFERROR(IF(--INDEX('Term investments'!$G:$G,ROW())&gt;=1,--INDEX('Term investments'!$G:$G,ROW())/100,--INDEX('Term investments'!$G:$G,ROW())),0)</f>
        <v/>
      </c>
      <c r="H1338">
        <f>IFERROR(--INDEX('Term investments'!$H:$H,ROW()),0)</f>
        <v/>
      </c>
      <c r="I1338">
        <f>IF(ISNUMBER(INDEX('Term investments'!$G:$G,ROW())),1,0)</f>
        <v/>
      </c>
      <c r="J1338">
        <f>TRIM(SUBSTITUTE(INDEX('Call accounts and MMFs'!$A:$A,ROW())&amp;""," "," "))</f>
        <v/>
      </c>
      <c r="K1338">
        <f>TRIM(SUBSTITUTE(INDEX('Call accounts and MMFs'!$B:$B,ROW())&amp;""," "," "))</f>
        <v/>
      </c>
      <c r="L1338">
        <f>TRIM(SUBSTITUTE(INDEX('Call accounts and MMFs'!$C:$C,ROW())&amp;""," "," "))</f>
        <v/>
      </c>
      <c r="M1338">
        <f>IFERROR(--INDEX('Call accounts and MMFs'!$D:$D,ROW()),0)</f>
        <v/>
      </c>
      <c r="N1338">
        <f>IFERROR(IF(--INDEX('Call accounts and MMFs'!$E:$E,ROW())&gt;=1,--INDEX('Call accounts and MMFs'!$E:$E,ROW())/100,--INDEX('Call accounts and MMFs'!$E:$E,ROW())),0)</f>
        <v/>
      </c>
      <c r="O1338">
        <f>IFERROR(--INDEX('Call accounts and MMFs'!$F:$F,ROW()),0)</f>
        <v/>
      </c>
      <c r="P1338">
        <f>IF(ISNUMBER(INDEX('Call accounts and MMFs'!$E:$E,ROW())),1,0)</f>
        <v/>
      </c>
      <c r="Q1338">
        <f>TRIM(SUBSTITUTE(INDEX('Pooled funds'!$B:$B,ROW())&amp;""," "," "))</f>
        <v/>
      </c>
      <c r="R1338">
        <f>IFERROR(--INDEX('Pooled funds'!$C:$C,ROW()),0)</f>
        <v/>
      </c>
      <c r="S1338">
        <f>IFERROR(--INDEX('Pooled funds'!$D:$D,ROW()),0)</f>
        <v/>
      </c>
      <c r="T1338">
        <f>IFERROR(IF(--INDEX('Pooled funds'!$E:$E,ROW())&gt;=1,--INDEX('Pooled funds'!$E:$E,ROW())/100,--INDEX('Pooled funds'!$E:$E,ROW())),0)</f>
        <v/>
      </c>
      <c r="U1338">
        <f>IF(ISNUMBER(INDEX('Pooled funds'!$E:$E,ROW())),1,0)</f>
        <v/>
      </c>
    </row>
    <row r="1339">
      <c r="A1339">
        <f>TRIM(SUBSTITUTE(INDEX('Term investments'!$A:$A,ROW())&amp;""," "," "))</f>
        <v/>
      </c>
      <c r="B1339">
        <f>TRIM(SUBSTITUTE(INDEX('Term investments'!$B:$B,ROW())&amp;""," "," "))</f>
        <v/>
      </c>
      <c r="C1339">
        <f>TRIM(SUBSTITUTE(INDEX('Term investments'!$C:$C,ROW())&amp;""," "," "))</f>
        <v/>
      </c>
      <c r="D1339">
        <f>IFERROR(--INDEX('Term investments'!$D:$D,ROW()),0)</f>
        <v/>
      </c>
      <c r="E1339">
        <f>IFERROR(--INDEX('Term investments'!$E:$E,ROW()),0)</f>
        <v/>
      </c>
      <c r="F1339">
        <f>IFERROR(--INDEX('Term investments'!$F:$F,ROW()),0)</f>
        <v/>
      </c>
      <c r="G1339">
        <f>IFERROR(IF(--INDEX('Term investments'!$G:$G,ROW())&gt;=1,--INDEX('Term investments'!$G:$G,ROW())/100,--INDEX('Term investments'!$G:$G,ROW())),0)</f>
        <v/>
      </c>
      <c r="H1339">
        <f>IFERROR(--INDEX('Term investments'!$H:$H,ROW()),0)</f>
        <v/>
      </c>
      <c r="I1339">
        <f>IF(ISNUMBER(INDEX('Term investments'!$G:$G,ROW())),1,0)</f>
        <v/>
      </c>
      <c r="J1339">
        <f>TRIM(SUBSTITUTE(INDEX('Call accounts and MMFs'!$A:$A,ROW())&amp;""," "," "))</f>
        <v/>
      </c>
      <c r="K1339">
        <f>TRIM(SUBSTITUTE(INDEX('Call accounts and MMFs'!$B:$B,ROW())&amp;""," "," "))</f>
        <v/>
      </c>
      <c r="L1339">
        <f>TRIM(SUBSTITUTE(INDEX('Call accounts and MMFs'!$C:$C,ROW())&amp;""," "," "))</f>
        <v/>
      </c>
      <c r="M1339">
        <f>IFERROR(--INDEX('Call accounts and MMFs'!$D:$D,ROW()),0)</f>
        <v/>
      </c>
      <c r="N1339">
        <f>IFERROR(IF(--INDEX('Call accounts and MMFs'!$E:$E,ROW())&gt;=1,--INDEX('Call accounts and MMFs'!$E:$E,ROW())/100,--INDEX('Call accounts and MMFs'!$E:$E,ROW())),0)</f>
        <v/>
      </c>
      <c r="O1339">
        <f>IFERROR(--INDEX('Call accounts and MMFs'!$F:$F,ROW()),0)</f>
        <v/>
      </c>
      <c r="P1339">
        <f>IF(ISNUMBER(INDEX('Call accounts and MMFs'!$E:$E,ROW())),1,0)</f>
        <v/>
      </c>
      <c r="Q1339">
        <f>TRIM(SUBSTITUTE(INDEX('Pooled funds'!$B:$B,ROW())&amp;""," "," "))</f>
        <v/>
      </c>
      <c r="R1339">
        <f>IFERROR(--INDEX('Pooled funds'!$C:$C,ROW()),0)</f>
        <v/>
      </c>
      <c r="S1339">
        <f>IFERROR(--INDEX('Pooled funds'!$D:$D,ROW()),0)</f>
        <v/>
      </c>
      <c r="T1339">
        <f>IFERROR(IF(--INDEX('Pooled funds'!$E:$E,ROW())&gt;=1,--INDEX('Pooled funds'!$E:$E,ROW())/100,--INDEX('Pooled funds'!$E:$E,ROW())),0)</f>
        <v/>
      </c>
      <c r="U1339">
        <f>IF(ISNUMBER(INDEX('Pooled funds'!$E:$E,ROW())),1,0)</f>
        <v/>
      </c>
    </row>
    <row r="1340">
      <c r="A1340">
        <f>TRIM(SUBSTITUTE(INDEX('Term investments'!$A:$A,ROW())&amp;""," "," "))</f>
        <v/>
      </c>
      <c r="B1340">
        <f>TRIM(SUBSTITUTE(INDEX('Term investments'!$B:$B,ROW())&amp;""," "," "))</f>
        <v/>
      </c>
      <c r="C1340">
        <f>TRIM(SUBSTITUTE(INDEX('Term investments'!$C:$C,ROW())&amp;""," "," "))</f>
        <v/>
      </c>
      <c r="D1340">
        <f>IFERROR(--INDEX('Term investments'!$D:$D,ROW()),0)</f>
        <v/>
      </c>
      <c r="E1340">
        <f>IFERROR(--INDEX('Term investments'!$E:$E,ROW()),0)</f>
        <v/>
      </c>
      <c r="F1340">
        <f>IFERROR(--INDEX('Term investments'!$F:$F,ROW()),0)</f>
        <v/>
      </c>
      <c r="G1340">
        <f>IFERROR(IF(--INDEX('Term investments'!$G:$G,ROW())&gt;=1,--INDEX('Term investments'!$G:$G,ROW())/100,--INDEX('Term investments'!$G:$G,ROW())),0)</f>
        <v/>
      </c>
      <c r="H1340">
        <f>IFERROR(--INDEX('Term investments'!$H:$H,ROW()),0)</f>
        <v/>
      </c>
      <c r="I1340">
        <f>IF(ISNUMBER(INDEX('Term investments'!$G:$G,ROW())),1,0)</f>
        <v/>
      </c>
      <c r="J1340">
        <f>TRIM(SUBSTITUTE(INDEX('Call accounts and MMFs'!$A:$A,ROW())&amp;""," "," "))</f>
        <v/>
      </c>
      <c r="K1340">
        <f>TRIM(SUBSTITUTE(INDEX('Call accounts and MMFs'!$B:$B,ROW())&amp;""," "," "))</f>
        <v/>
      </c>
      <c r="L1340">
        <f>TRIM(SUBSTITUTE(INDEX('Call accounts and MMFs'!$C:$C,ROW())&amp;""," "," "))</f>
        <v/>
      </c>
      <c r="M1340">
        <f>IFERROR(--INDEX('Call accounts and MMFs'!$D:$D,ROW()),0)</f>
        <v/>
      </c>
      <c r="N1340">
        <f>IFERROR(IF(--INDEX('Call accounts and MMFs'!$E:$E,ROW())&gt;=1,--INDEX('Call accounts and MMFs'!$E:$E,ROW())/100,--INDEX('Call accounts and MMFs'!$E:$E,ROW())),0)</f>
        <v/>
      </c>
      <c r="O1340">
        <f>IFERROR(--INDEX('Call accounts and MMFs'!$F:$F,ROW()),0)</f>
        <v/>
      </c>
      <c r="P1340">
        <f>IF(ISNUMBER(INDEX('Call accounts and MMFs'!$E:$E,ROW())),1,0)</f>
        <v/>
      </c>
      <c r="Q1340">
        <f>TRIM(SUBSTITUTE(INDEX('Pooled funds'!$B:$B,ROW())&amp;""," "," "))</f>
        <v/>
      </c>
      <c r="R1340">
        <f>IFERROR(--INDEX('Pooled funds'!$C:$C,ROW()),0)</f>
        <v/>
      </c>
      <c r="S1340">
        <f>IFERROR(--INDEX('Pooled funds'!$D:$D,ROW()),0)</f>
        <v/>
      </c>
      <c r="T1340">
        <f>IFERROR(IF(--INDEX('Pooled funds'!$E:$E,ROW())&gt;=1,--INDEX('Pooled funds'!$E:$E,ROW())/100,--INDEX('Pooled funds'!$E:$E,ROW())),0)</f>
        <v/>
      </c>
      <c r="U1340">
        <f>IF(ISNUMBER(INDEX('Pooled funds'!$E:$E,ROW())),1,0)</f>
        <v/>
      </c>
    </row>
    <row r="1341">
      <c r="A1341">
        <f>TRIM(SUBSTITUTE(INDEX('Term investments'!$A:$A,ROW())&amp;""," "," "))</f>
        <v/>
      </c>
      <c r="B1341">
        <f>TRIM(SUBSTITUTE(INDEX('Term investments'!$B:$B,ROW())&amp;""," "," "))</f>
        <v/>
      </c>
      <c r="C1341">
        <f>TRIM(SUBSTITUTE(INDEX('Term investments'!$C:$C,ROW())&amp;""," "," "))</f>
        <v/>
      </c>
      <c r="D1341">
        <f>IFERROR(--INDEX('Term investments'!$D:$D,ROW()),0)</f>
        <v/>
      </c>
      <c r="E1341">
        <f>IFERROR(--INDEX('Term investments'!$E:$E,ROW()),0)</f>
        <v/>
      </c>
      <c r="F1341">
        <f>IFERROR(--INDEX('Term investments'!$F:$F,ROW()),0)</f>
        <v/>
      </c>
      <c r="G1341">
        <f>IFERROR(IF(--INDEX('Term investments'!$G:$G,ROW())&gt;=1,--INDEX('Term investments'!$G:$G,ROW())/100,--INDEX('Term investments'!$G:$G,ROW())),0)</f>
        <v/>
      </c>
      <c r="H1341">
        <f>IFERROR(--INDEX('Term investments'!$H:$H,ROW()),0)</f>
        <v/>
      </c>
      <c r="I1341">
        <f>IF(ISNUMBER(INDEX('Term investments'!$G:$G,ROW())),1,0)</f>
        <v/>
      </c>
      <c r="J1341">
        <f>TRIM(SUBSTITUTE(INDEX('Call accounts and MMFs'!$A:$A,ROW())&amp;""," "," "))</f>
        <v/>
      </c>
      <c r="K1341">
        <f>TRIM(SUBSTITUTE(INDEX('Call accounts and MMFs'!$B:$B,ROW())&amp;""," "," "))</f>
        <v/>
      </c>
      <c r="L1341">
        <f>TRIM(SUBSTITUTE(INDEX('Call accounts and MMFs'!$C:$C,ROW())&amp;""," "," "))</f>
        <v/>
      </c>
      <c r="M1341">
        <f>IFERROR(--INDEX('Call accounts and MMFs'!$D:$D,ROW()),0)</f>
        <v/>
      </c>
      <c r="N1341">
        <f>IFERROR(IF(--INDEX('Call accounts and MMFs'!$E:$E,ROW())&gt;=1,--INDEX('Call accounts and MMFs'!$E:$E,ROW())/100,--INDEX('Call accounts and MMFs'!$E:$E,ROW())),0)</f>
        <v/>
      </c>
      <c r="O1341">
        <f>IFERROR(--INDEX('Call accounts and MMFs'!$F:$F,ROW()),0)</f>
        <v/>
      </c>
      <c r="P1341">
        <f>IF(ISNUMBER(INDEX('Call accounts and MMFs'!$E:$E,ROW())),1,0)</f>
        <v/>
      </c>
      <c r="Q1341">
        <f>TRIM(SUBSTITUTE(INDEX('Pooled funds'!$B:$B,ROW())&amp;""," "," "))</f>
        <v/>
      </c>
      <c r="R1341">
        <f>IFERROR(--INDEX('Pooled funds'!$C:$C,ROW()),0)</f>
        <v/>
      </c>
      <c r="S1341">
        <f>IFERROR(--INDEX('Pooled funds'!$D:$D,ROW()),0)</f>
        <v/>
      </c>
      <c r="T1341">
        <f>IFERROR(IF(--INDEX('Pooled funds'!$E:$E,ROW())&gt;=1,--INDEX('Pooled funds'!$E:$E,ROW())/100,--INDEX('Pooled funds'!$E:$E,ROW())),0)</f>
        <v/>
      </c>
      <c r="U1341">
        <f>IF(ISNUMBER(INDEX('Pooled funds'!$E:$E,ROW())),1,0)</f>
        <v/>
      </c>
    </row>
    <row r="1342">
      <c r="A1342">
        <f>TRIM(SUBSTITUTE(INDEX('Term investments'!$A:$A,ROW())&amp;""," "," "))</f>
        <v/>
      </c>
      <c r="B1342">
        <f>TRIM(SUBSTITUTE(INDEX('Term investments'!$B:$B,ROW())&amp;""," "," "))</f>
        <v/>
      </c>
      <c r="C1342">
        <f>TRIM(SUBSTITUTE(INDEX('Term investments'!$C:$C,ROW())&amp;""," "," "))</f>
        <v/>
      </c>
      <c r="D1342">
        <f>IFERROR(--INDEX('Term investments'!$D:$D,ROW()),0)</f>
        <v/>
      </c>
      <c r="E1342">
        <f>IFERROR(--INDEX('Term investments'!$E:$E,ROW()),0)</f>
        <v/>
      </c>
      <c r="F1342">
        <f>IFERROR(--INDEX('Term investments'!$F:$F,ROW()),0)</f>
        <v/>
      </c>
      <c r="G1342">
        <f>IFERROR(IF(--INDEX('Term investments'!$G:$G,ROW())&gt;=1,--INDEX('Term investments'!$G:$G,ROW())/100,--INDEX('Term investments'!$G:$G,ROW())),0)</f>
        <v/>
      </c>
      <c r="H1342">
        <f>IFERROR(--INDEX('Term investments'!$H:$H,ROW()),0)</f>
        <v/>
      </c>
      <c r="I1342">
        <f>IF(ISNUMBER(INDEX('Term investments'!$G:$G,ROW())),1,0)</f>
        <v/>
      </c>
      <c r="J1342">
        <f>TRIM(SUBSTITUTE(INDEX('Call accounts and MMFs'!$A:$A,ROW())&amp;""," "," "))</f>
        <v/>
      </c>
      <c r="K1342">
        <f>TRIM(SUBSTITUTE(INDEX('Call accounts and MMFs'!$B:$B,ROW())&amp;""," "," "))</f>
        <v/>
      </c>
      <c r="L1342">
        <f>TRIM(SUBSTITUTE(INDEX('Call accounts and MMFs'!$C:$C,ROW())&amp;""," "," "))</f>
        <v/>
      </c>
      <c r="M1342">
        <f>IFERROR(--INDEX('Call accounts and MMFs'!$D:$D,ROW()),0)</f>
        <v/>
      </c>
      <c r="N1342">
        <f>IFERROR(IF(--INDEX('Call accounts and MMFs'!$E:$E,ROW())&gt;=1,--INDEX('Call accounts and MMFs'!$E:$E,ROW())/100,--INDEX('Call accounts and MMFs'!$E:$E,ROW())),0)</f>
        <v/>
      </c>
      <c r="O1342">
        <f>IFERROR(--INDEX('Call accounts and MMFs'!$F:$F,ROW()),0)</f>
        <v/>
      </c>
      <c r="P1342">
        <f>IF(ISNUMBER(INDEX('Call accounts and MMFs'!$E:$E,ROW())),1,0)</f>
        <v/>
      </c>
      <c r="Q1342">
        <f>TRIM(SUBSTITUTE(INDEX('Pooled funds'!$B:$B,ROW())&amp;""," "," "))</f>
        <v/>
      </c>
      <c r="R1342">
        <f>IFERROR(--INDEX('Pooled funds'!$C:$C,ROW()),0)</f>
        <v/>
      </c>
      <c r="S1342">
        <f>IFERROR(--INDEX('Pooled funds'!$D:$D,ROW()),0)</f>
        <v/>
      </c>
      <c r="T1342">
        <f>IFERROR(IF(--INDEX('Pooled funds'!$E:$E,ROW())&gt;=1,--INDEX('Pooled funds'!$E:$E,ROW())/100,--INDEX('Pooled funds'!$E:$E,ROW())),0)</f>
        <v/>
      </c>
      <c r="U1342">
        <f>IF(ISNUMBER(INDEX('Pooled funds'!$E:$E,ROW())),1,0)</f>
        <v/>
      </c>
    </row>
    <row r="1343">
      <c r="A1343">
        <f>TRIM(SUBSTITUTE(INDEX('Term investments'!$A:$A,ROW())&amp;""," "," "))</f>
        <v/>
      </c>
      <c r="B1343">
        <f>TRIM(SUBSTITUTE(INDEX('Term investments'!$B:$B,ROW())&amp;""," "," "))</f>
        <v/>
      </c>
      <c r="C1343">
        <f>TRIM(SUBSTITUTE(INDEX('Term investments'!$C:$C,ROW())&amp;""," "," "))</f>
        <v/>
      </c>
      <c r="D1343">
        <f>IFERROR(--INDEX('Term investments'!$D:$D,ROW()),0)</f>
        <v/>
      </c>
      <c r="E1343">
        <f>IFERROR(--INDEX('Term investments'!$E:$E,ROW()),0)</f>
        <v/>
      </c>
      <c r="F1343">
        <f>IFERROR(--INDEX('Term investments'!$F:$F,ROW()),0)</f>
        <v/>
      </c>
      <c r="G1343">
        <f>IFERROR(IF(--INDEX('Term investments'!$G:$G,ROW())&gt;=1,--INDEX('Term investments'!$G:$G,ROW())/100,--INDEX('Term investments'!$G:$G,ROW())),0)</f>
        <v/>
      </c>
      <c r="H1343">
        <f>IFERROR(--INDEX('Term investments'!$H:$H,ROW()),0)</f>
        <v/>
      </c>
      <c r="I1343">
        <f>IF(ISNUMBER(INDEX('Term investments'!$G:$G,ROW())),1,0)</f>
        <v/>
      </c>
      <c r="J1343">
        <f>TRIM(SUBSTITUTE(INDEX('Call accounts and MMFs'!$A:$A,ROW())&amp;""," "," "))</f>
        <v/>
      </c>
      <c r="K1343">
        <f>TRIM(SUBSTITUTE(INDEX('Call accounts and MMFs'!$B:$B,ROW())&amp;""," "," "))</f>
        <v/>
      </c>
      <c r="L1343">
        <f>TRIM(SUBSTITUTE(INDEX('Call accounts and MMFs'!$C:$C,ROW())&amp;""," "," "))</f>
        <v/>
      </c>
      <c r="M1343">
        <f>IFERROR(--INDEX('Call accounts and MMFs'!$D:$D,ROW()),0)</f>
        <v/>
      </c>
      <c r="N1343">
        <f>IFERROR(IF(--INDEX('Call accounts and MMFs'!$E:$E,ROW())&gt;=1,--INDEX('Call accounts and MMFs'!$E:$E,ROW())/100,--INDEX('Call accounts and MMFs'!$E:$E,ROW())),0)</f>
        <v/>
      </c>
      <c r="O1343">
        <f>IFERROR(--INDEX('Call accounts and MMFs'!$F:$F,ROW()),0)</f>
        <v/>
      </c>
      <c r="P1343">
        <f>IF(ISNUMBER(INDEX('Call accounts and MMFs'!$E:$E,ROW())),1,0)</f>
        <v/>
      </c>
      <c r="Q1343">
        <f>TRIM(SUBSTITUTE(INDEX('Pooled funds'!$B:$B,ROW())&amp;""," "," "))</f>
        <v/>
      </c>
      <c r="R1343">
        <f>IFERROR(--INDEX('Pooled funds'!$C:$C,ROW()),0)</f>
        <v/>
      </c>
      <c r="S1343">
        <f>IFERROR(--INDEX('Pooled funds'!$D:$D,ROW()),0)</f>
        <v/>
      </c>
      <c r="T1343">
        <f>IFERROR(IF(--INDEX('Pooled funds'!$E:$E,ROW())&gt;=1,--INDEX('Pooled funds'!$E:$E,ROW())/100,--INDEX('Pooled funds'!$E:$E,ROW())),0)</f>
        <v/>
      </c>
      <c r="U1343">
        <f>IF(ISNUMBER(INDEX('Pooled funds'!$E:$E,ROW())),1,0)</f>
        <v/>
      </c>
    </row>
    <row r="1344">
      <c r="A1344">
        <f>TRIM(SUBSTITUTE(INDEX('Term investments'!$A:$A,ROW())&amp;""," "," "))</f>
        <v/>
      </c>
      <c r="B1344">
        <f>TRIM(SUBSTITUTE(INDEX('Term investments'!$B:$B,ROW())&amp;""," "," "))</f>
        <v/>
      </c>
      <c r="C1344">
        <f>TRIM(SUBSTITUTE(INDEX('Term investments'!$C:$C,ROW())&amp;""," "," "))</f>
        <v/>
      </c>
      <c r="D1344">
        <f>IFERROR(--INDEX('Term investments'!$D:$D,ROW()),0)</f>
        <v/>
      </c>
      <c r="E1344">
        <f>IFERROR(--INDEX('Term investments'!$E:$E,ROW()),0)</f>
        <v/>
      </c>
      <c r="F1344">
        <f>IFERROR(--INDEX('Term investments'!$F:$F,ROW()),0)</f>
        <v/>
      </c>
      <c r="G1344">
        <f>IFERROR(IF(--INDEX('Term investments'!$G:$G,ROW())&gt;=1,--INDEX('Term investments'!$G:$G,ROW())/100,--INDEX('Term investments'!$G:$G,ROW())),0)</f>
        <v/>
      </c>
      <c r="H1344">
        <f>IFERROR(--INDEX('Term investments'!$H:$H,ROW()),0)</f>
        <v/>
      </c>
      <c r="I1344">
        <f>IF(ISNUMBER(INDEX('Term investments'!$G:$G,ROW())),1,0)</f>
        <v/>
      </c>
      <c r="J1344">
        <f>TRIM(SUBSTITUTE(INDEX('Call accounts and MMFs'!$A:$A,ROW())&amp;""," "," "))</f>
        <v/>
      </c>
      <c r="K1344">
        <f>TRIM(SUBSTITUTE(INDEX('Call accounts and MMFs'!$B:$B,ROW())&amp;""," "," "))</f>
        <v/>
      </c>
      <c r="L1344">
        <f>TRIM(SUBSTITUTE(INDEX('Call accounts and MMFs'!$C:$C,ROW())&amp;""," "," "))</f>
        <v/>
      </c>
      <c r="M1344">
        <f>IFERROR(--INDEX('Call accounts and MMFs'!$D:$D,ROW()),0)</f>
        <v/>
      </c>
      <c r="N1344">
        <f>IFERROR(IF(--INDEX('Call accounts and MMFs'!$E:$E,ROW())&gt;=1,--INDEX('Call accounts and MMFs'!$E:$E,ROW())/100,--INDEX('Call accounts and MMFs'!$E:$E,ROW())),0)</f>
        <v/>
      </c>
      <c r="O1344">
        <f>IFERROR(--INDEX('Call accounts and MMFs'!$F:$F,ROW()),0)</f>
        <v/>
      </c>
      <c r="P1344">
        <f>IF(ISNUMBER(INDEX('Call accounts and MMFs'!$E:$E,ROW())),1,0)</f>
        <v/>
      </c>
      <c r="Q1344">
        <f>TRIM(SUBSTITUTE(INDEX('Pooled funds'!$B:$B,ROW())&amp;""," "," "))</f>
        <v/>
      </c>
      <c r="R1344">
        <f>IFERROR(--INDEX('Pooled funds'!$C:$C,ROW()),0)</f>
        <v/>
      </c>
      <c r="S1344">
        <f>IFERROR(--INDEX('Pooled funds'!$D:$D,ROW()),0)</f>
        <v/>
      </c>
      <c r="T1344">
        <f>IFERROR(IF(--INDEX('Pooled funds'!$E:$E,ROW())&gt;=1,--INDEX('Pooled funds'!$E:$E,ROW())/100,--INDEX('Pooled funds'!$E:$E,ROW())),0)</f>
        <v/>
      </c>
      <c r="U1344">
        <f>IF(ISNUMBER(INDEX('Pooled funds'!$E:$E,ROW())),1,0)</f>
        <v/>
      </c>
    </row>
    <row r="1345">
      <c r="A1345">
        <f>TRIM(SUBSTITUTE(INDEX('Term investments'!$A:$A,ROW())&amp;""," "," "))</f>
        <v/>
      </c>
      <c r="B1345">
        <f>TRIM(SUBSTITUTE(INDEX('Term investments'!$B:$B,ROW())&amp;""," "," "))</f>
        <v/>
      </c>
      <c r="C1345">
        <f>TRIM(SUBSTITUTE(INDEX('Term investments'!$C:$C,ROW())&amp;""," "," "))</f>
        <v/>
      </c>
      <c r="D1345">
        <f>IFERROR(--INDEX('Term investments'!$D:$D,ROW()),0)</f>
        <v/>
      </c>
      <c r="E1345">
        <f>IFERROR(--INDEX('Term investments'!$E:$E,ROW()),0)</f>
        <v/>
      </c>
      <c r="F1345">
        <f>IFERROR(--INDEX('Term investments'!$F:$F,ROW()),0)</f>
        <v/>
      </c>
      <c r="G1345">
        <f>IFERROR(IF(--INDEX('Term investments'!$G:$G,ROW())&gt;=1,--INDEX('Term investments'!$G:$G,ROW())/100,--INDEX('Term investments'!$G:$G,ROW())),0)</f>
        <v/>
      </c>
      <c r="H1345">
        <f>IFERROR(--INDEX('Term investments'!$H:$H,ROW()),0)</f>
        <v/>
      </c>
      <c r="I1345">
        <f>IF(ISNUMBER(INDEX('Term investments'!$G:$G,ROW())),1,0)</f>
        <v/>
      </c>
      <c r="J1345">
        <f>TRIM(SUBSTITUTE(INDEX('Call accounts and MMFs'!$A:$A,ROW())&amp;""," "," "))</f>
        <v/>
      </c>
      <c r="K1345">
        <f>TRIM(SUBSTITUTE(INDEX('Call accounts and MMFs'!$B:$B,ROW())&amp;""," "," "))</f>
        <v/>
      </c>
      <c r="L1345">
        <f>TRIM(SUBSTITUTE(INDEX('Call accounts and MMFs'!$C:$C,ROW())&amp;""," "," "))</f>
        <v/>
      </c>
      <c r="M1345">
        <f>IFERROR(--INDEX('Call accounts and MMFs'!$D:$D,ROW()),0)</f>
        <v/>
      </c>
      <c r="N1345">
        <f>IFERROR(IF(--INDEX('Call accounts and MMFs'!$E:$E,ROW())&gt;=1,--INDEX('Call accounts and MMFs'!$E:$E,ROW())/100,--INDEX('Call accounts and MMFs'!$E:$E,ROW())),0)</f>
        <v/>
      </c>
      <c r="O1345">
        <f>IFERROR(--INDEX('Call accounts and MMFs'!$F:$F,ROW()),0)</f>
        <v/>
      </c>
      <c r="P1345">
        <f>IF(ISNUMBER(INDEX('Call accounts and MMFs'!$E:$E,ROW())),1,0)</f>
        <v/>
      </c>
      <c r="Q1345">
        <f>TRIM(SUBSTITUTE(INDEX('Pooled funds'!$B:$B,ROW())&amp;""," "," "))</f>
        <v/>
      </c>
      <c r="R1345">
        <f>IFERROR(--INDEX('Pooled funds'!$C:$C,ROW()),0)</f>
        <v/>
      </c>
      <c r="S1345">
        <f>IFERROR(--INDEX('Pooled funds'!$D:$D,ROW()),0)</f>
        <v/>
      </c>
      <c r="T1345">
        <f>IFERROR(IF(--INDEX('Pooled funds'!$E:$E,ROW())&gt;=1,--INDEX('Pooled funds'!$E:$E,ROW())/100,--INDEX('Pooled funds'!$E:$E,ROW())),0)</f>
        <v/>
      </c>
      <c r="U1345">
        <f>IF(ISNUMBER(INDEX('Pooled funds'!$E:$E,ROW())),1,0)</f>
        <v/>
      </c>
    </row>
    <row r="1346">
      <c r="A1346">
        <f>TRIM(SUBSTITUTE(INDEX('Term investments'!$A:$A,ROW())&amp;""," "," "))</f>
        <v/>
      </c>
      <c r="B1346">
        <f>TRIM(SUBSTITUTE(INDEX('Term investments'!$B:$B,ROW())&amp;""," "," "))</f>
        <v/>
      </c>
      <c r="C1346">
        <f>TRIM(SUBSTITUTE(INDEX('Term investments'!$C:$C,ROW())&amp;""," "," "))</f>
        <v/>
      </c>
      <c r="D1346">
        <f>IFERROR(--INDEX('Term investments'!$D:$D,ROW()),0)</f>
        <v/>
      </c>
      <c r="E1346">
        <f>IFERROR(--INDEX('Term investments'!$E:$E,ROW()),0)</f>
        <v/>
      </c>
      <c r="F1346">
        <f>IFERROR(--INDEX('Term investments'!$F:$F,ROW()),0)</f>
        <v/>
      </c>
      <c r="G1346">
        <f>IFERROR(IF(--INDEX('Term investments'!$G:$G,ROW())&gt;=1,--INDEX('Term investments'!$G:$G,ROW())/100,--INDEX('Term investments'!$G:$G,ROW())),0)</f>
        <v/>
      </c>
      <c r="H1346">
        <f>IFERROR(--INDEX('Term investments'!$H:$H,ROW()),0)</f>
        <v/>
      </c>
      <c r="I1346">
        <f>IF(ISNUMBER(INDEX('Term investments'!$G:$G,ROW())),1,0)</f>
        <v/>
      </c>
      <c r="J1346">
        <f>TRIM(SUBSTITUTE(INDEX('Call accounts and MMFs'!$A:$A,ROW())&amp;""," "," "))</f>
        <v/>
      </c>
      <c r="K1346">
        <f>TRIM(SUBSTITUTE(INDEX('Call accounts and MMFs'!$B:$B,ROW())&amp;""," "," "))</f>
        <v/>
      </c>
      <c r="L1346">
        <f>TRIM(SUBSTITUTE(INDEX('Call accounts and MMFs'!$C:$C,ROW())&amp;""," "," "))</f>
        <v/>
      </c>
      <c r="M1346">
        <f>IFERROR(--INDEX('Call accounts and MMFs'!$D:$D,ROW()),0)</f>
        <v/>
      </c>
      <c r="N1346">
        <f>IFERROR(IF(--INDEX('Call accounts and MMFs'!$E:$E,ROW())&gt;=1,--INDEX('Call accounts and MMFs'!$E:$E,ROW())/100,--INDEX('Call accounts and MMFs'!$E:$E,ROW())),0)</f>
        <v/>
      </c>
      <c r="O1346">
        <f>IFERROR(--INDEX('Call accounts and MMFs'!$F:$F,ROW()),0)</f>
        <v/>
      </c>
      <c r="P1346">
        <f>IF(ISNUMBER(INDEX('Call accounts and MMFs'!$E:$E,ROW())),1,0)</f>
        <v/>
      </c>
      <c r="Q1346">
        <f>TRIM(SUBSTITUTE(INDEX('Pooled funds'!$B:$B,ROW())&amp;""," "," "))</f>
        <v/>
      </c>
      <c r="R1346">
        <f>IFERROR(--INDEX('Pooled funds'!$C:$C,ROW()),0)</f>
        <v/>
      </c>
      <c r="S1346">
        <f>IFERROR(--INDEX('Pooled funds'!$D:$D,ROW()),0)</f>
        <v/>
      </c>
      <c r="T1346">
        <f>IFERROR(IF(--INDEX('Pooled funds'!$E:$E,ROW())&gt;=1,--INDEX('Pooled funds'!$E:$E,ROW())/100,--INDEX('Pooled funds'!$E:$E,ROW())),0)</f>
        <v/>
      </c>
      <c r="U1346">
        <f>IF(ISNUMBER(INDEX('Pooled funds'!$E:$E,ROW())),1,0)</f>
        <v/>
      </c>
    </row>
    <row r="1347">
      <c r="A1347">
        <f>TRIM(SUBSTITUTE(INDEX('Term investments'!$A:$A,ROW())&amp;""," "," "))</f>
        <v/>
      </c>
      <c r="B1347">
        <f>TRIM(SUBSTITUTE(INDEX('Term investments'!$B:$B,ROW())&amp;""," "," "))</f>
        <v/>
      </c>
      <c r="C1347">
        <f>TRIM(SUBSTITUTE(INDEX('Term investments'!$C:$C,ROW())&amp;""," "," "))</f>
        <v/>
      </c>
      <c r="D1347">
        <f>IFERROR(--INDEX('Term investments'!$D:$D,ROW()),0)</f>
        <v/>
      </c>
      <c r="E1347">
        <f>IFERROR(--INDEX('Term investments'!$E:$E,ROW()),0)</f>
        <v/>
      </c>
      <c r="F1347">
        <f>IFERROR(--INDEX('Term investments'!$F:$F,ROW()),0)</f>
        <v/>
      </c>
      <c r="G1347">
        <f>IFERROR(IF(--INDEX('Term investments'!$G:$G,ROW())&gt;=1,--INDEX('Term investments'!$G:$G,ROW())/100,--INDEX('Term investments'!$G:$G,ROW())),0)</f>
        <v/>
      </c>
      <c r="H1347">
        <f>IFERROR(--INDEX('Term investments'!$H:$H,ROW()),0)</f>
        <v/>
      </c>
      <c r="I1347">
        <f>IF(ISNUMBER(INDEX('Term investments'!$G:$G,ROW())),1,0)</f>
        <v/>
      </c>
      <c r="J1347">
        <f>TRIM(SUBSTITUTE(INDEX('Call accounts and MMFs'!$A:$A,ROW())&amp;""," "," "))</f>
        <v/>
      </c>
      <c r="K1347">
        <f>TRIM(SUBSTITUTE(INDEX('Call accounts and MMFs'!$B:$B,ROW())&amp;""," "," "))</f>
        <v/>
      </c>
      <c r="L1347">
        <f>TRIM(SUBSTITUTE(INDEX('Call accounts and MMFs'!$C:$C,ROW())&amp;""," "," "))</f>
        <v/>
      </c>
      <c r="M1347">
        <f>IFERROR(--INDEX('Call accounts and MMFs'!$D:$D,ROW()),0)</f>
        <v/>
      </c>
      <c r="N1347">
        <f>IFERROR(IF(--INDEX('Call accounts and MMFs'!$E:$E,ROW())&gt;=1,--INDEX('Call accounts and MMFs'!$E:$E,ROW())/100,--INDEX('Call accounts and MMFs'!$E:$E,ROW())),0)</f>
        <v/>
      </c>
      <c r="O1347">
        <f>IFERROR(--INDEX('Call accounts and MMFs'!$F:$F,ROW()),0)</f>
        <v/>
      </c>
      <c r="P1347">
        <f>IF(ISNUMBER(INDEX('Call accounts and MMFs'!$E:$E,ROW())),1,0)</f>
        <v/>
      </c>
      <c r="Q1347">
        <f>TRIM(SUBSTITUTE(INDEX('Pooled funds'!$B:$B,ROW())&amp;""," "," "))</f>
        <v/>
      </c>
      <c r="R1347">
        <f>IFERROR(--INDEX('Pooled funds'!$C:$C,ROW()),0)</f>
        <v/>
      </c>
      <c r="S1347">
        <f>IFERROR(--INDEX('Pooled funds'!$D:$D,ROW()),0)</f>
        <v/>
      </c>
      <c r="T1347">
        <f>IFERROR(IF(--INDEX('Pooled funds'!$E:$E,ROW())&gt;=1,--INDEX('Pooled funds'!$E:$E,ROW())/100,--INDEX('Pooled funds'!$E:$E,ROW())),0)</f>
        <v/>
      </c>
      <c r="U1347">
        <f>IF(ISNUMBER(INDEX('Pooled funds'!$E:$E,ROW())),1,0)</f>
        <v/>
      </c>
    </row>
    <row r="1348">
      <c r="A1348">
        <f>TRIM(SUBSTITUTE(INDEX('Term investments'!$A:$A,ROW())&amp;""," "," "))</f>
        <v/>
      </c>
      <c r="B1348">
        <f>TRIM(SUBSTITUTE(INDEX('Term investments'!$B:$B,ROW())&amp;""," "," "))</f>
        <v/>
      </c>
      <c r="C1348">
        <f>TRIM(SUBSTITUTE(INDEX('Term investments'!$C:$C,ROW())&amp;""," "," "))</f>
        <v/>
      </c>
      <c r="D1348">
        <f>IFERROR(--INDEX('Term investments'!$D:$D,ROW()),0)</f>
        <v/>
      </c>
      <c r="E1348">
        <f>IFERROR(--INDEX('Term investments'!$E:$E,ROW()),0)</f>
        <v/>
      </c>
      <c r="F1348">
        <f>IFERROR(--INDEX('Term investments'!$F:$F,ROW()),0)</f>
        <v/>
      </c>
      <c r="G1348">
        <f>IFERROR(IF(--INDEX('Term investments'!$G:$G,ROW())&gt;=1,--INDEX('Term investments'!$G:$G,ROW())/100,--INDEX('Term investments'!$G:$G,ROW())),0)</f>
        <v/>
      </c>
      <c r="H1348">
        <f>IFERROR(--INDEX('Term investments'!$H:$H,ROW()),0)</f>
        <v/>
      </c>
      <c r="I1348">
        <f>IF(ISNUMBER(INDEX('Term investments'!$G:$G,ROW())),1,0)</f>
        <v/>
      </c>
      <c r="J1348">
        <f>TRIM(SUBSTITUTE(INDEX('Call accounts and MMFs'!$A:$A,ROW())&amp;""," "," "))</f>
        <v/>
      </c>
      <c r="K1348">
        <f>TRIM(SUBSTITUTE(INDEX('Call accounts and MMFs'!$B:$B,ROW())&amp;""," "," "))</f>
        <v/>
      </c>
      <c r="L1348">
        <f>TRIM(SUBSTITUTE(INDEX('Call accounts and MMFs'!$C:$C,ROW())&amp;""," "," "))</f>
        <v/>
      </c>
      <c r="M1348">
        <f>IFERROR(--INDEX('Call accounts and MMFs'!$D:$D,ROW()),0)</f>
        <v/>
      </c>
      <c r="N1348">
        <f>IFERROR(IF(--INDEX('Call accounts and MMFs'!$E:$E,ROW())&gt;=1,--INDEX('Call accounts and MMFs'!$E:$E,ROW())/100,--INDEX('Call accounts and MMFs'!$E:$E,ROW())),0)</f>
        <v/>
      </c>
      <c r="O1348">
        <f>IFERROR(--INDEX('Call accounts and MMFs'!$F:$F,ROW()),0)</f>
        <v/>
      </c>
      <c r="P1348">
        <f>IF(ISNUMBER(INDEX('Call accounts and MMFs'!$E:$E,ROW())),1,0)</f>
        <v/>
      </c>
      <c r="Q1348">
        <f>TRIM(SUBSTITUTE(INDEX('Pooled funds'!$B:$B,ROW())&amp;""," "," "))</f>
        <v/>
      </c>
      <c r="R1348">
        <f>IFERROR(--INDEX('Pooled funds'!$C:$C,ROW()),0)</f>
        <v/>
      </c>
      <c r="S1348">
        <f>IFERROR(--INDEX('Pooled funds'!$D:$D,ROW()),0)</f>
        <v/>
      </c>
      <c r="T1348">
        <f>IFERROR(IF(--INDEX('Pooled funds'!$E:$E,ROW())&gt;=1,--INDEX('Pooled funds'!$E:$E,ROW())/100,--INDEX('Pooled funds'!$E:$E,ROW())),0)</f>
        <v/>
      </c>
      <c r="U1348">
        <f>IF(ISNUMBER(INDEX('Pooled funds'!$E:$E,ROW())),1,0)</f>
        <v/>
      </c>
    </row>
    <row r="1349">
      <c r="A1349">
        <f>TRIM(SUBSTITUTE(INDEX('Term investments'!$A:$A,ROW())&amp;""," "," "))</f>
        <v/>
      </c>
      <c r="B1349">
        <f>TRIM(SUBSTITUTE(INDEX('Term investments'!$B:$B,ROW())&amp;""," "," "))</f>
        <v/>
      </c>
      <c r="C1349">
        <f>TRIM(SUBSTITUTE(INDEX('Term investments'!$C:$C,ROW())&amp;""," "," "))</f>
        <v/>
      </c>
      <c r="D1349">
        <f>IFERROR(--INDEX('Term investments'!$D:$D,ROW()),0)</f>
        <v/>
      </c>
      <c r="E1349">
        <f>IFERROR(--INDEX('Term investments'!$E:$E,ROW()),0)</f>
        <v/>
      </c>
      <c r="F1349">
        <f>IFERROR(--INDEX('Term investments'!$F:$F,ROW()),0)</f>
        <v/>
      </c>
      <c r="G1349">
        <f>IFERROR(IF(--INDEX('Term investments'!$G:$G,ROW())&gt;=1,--INDEX('Term investments'!$G:$G,ROW())/100,--INDEX('Term investments'!$G:$G,ROW())),0)</f>
        <v/>
      </c>
      <c r="H1349">
        <f>IFERROR(--INDEX('Term investments'!$H:$H,ROW()),0)</f>
        <v/>
      </c>
      <c r="I1349">
        <f>IF(ISNUMBER(INDEX('Term investments'!$G:$G,ROW())),1,0)</f>
        <v/>
      </c>
      <c r="J1349">
        <f>TRIM(SUBSTITUTE(INDEX('Call accounts and MMFs'!$A:$A,ROW())&amp;""," "," "))</f>
        <v/>
      </c>
      <c r="K1349">
        <f>TRIM(SUBSTITUTE(INDEX('Call accounts and MMFs'!$B:$B,ROW())&amp;""," "," "))</f>
        <v/>
      </c>
      <c r="L1349">
        <f>TRIM(SUBSTITUTE(INDEX('Call accounts and MMFs'!$C:$C,ROW())&amp;""," "," "))</f>
        <v/>
      </c>
      <c r="M1349">
        <f>IFERROR(--INDEX('Call accounts and MMFs'!$D:$D,ROW()),0)</f>
        <v/>
      </c>
      <c r="N1349">
        <f>IFERROR(IF(--INDEX('Call accounts and MMFs'!$E:$E,ROW())&gt;=1,--INDEX('Call accounts and MMFs'!$E:$E,ROW())/100,--INDEX('Call accounts and MMFs'!$E:$E,ROW())),0)</f>
        <v/>
      </c>
      <c r="O1349">
        <f>IFERROR(--INDEX('Call accounts and MMFs'!$F:$F,ROW()),0)</f>
        <v/>
      </c>
      <c r="P1349">
        <f>IF(ISNUMBER(INDEX('Call accounts and MMFs'!$E:$E,ROW())),1,0)</f>
        <v/>
      </c>
      <c r="Q1349">
        <f>TRIM(SUBSTITUTE(INDEX('Pooled funds'!$B:$B,ROW())&amp;""," "," "))</f>
        <v/>
      </c>
      <c r="R1349">
        <f>IFERROR(--INDEX('Pooled funds'!$C:$C,ROW()),0)</f>
        <v/>
      </c>
      <c r="S1349">
        <f>IFERROR(--INDEX('Pooled funds'!$D:$D,ROW()),0)</f>
        <v/>
      </c>
      <c r="T1349">
        <f>IFERROR(IF(--INDEX('Pooled funds'!$E:$E,ROW())&gt;=1,--INDEX('Pooled funds'!$E:$E,ROW())/100,--INDEX('Pooled funds'!$E:$E,ROW())),0)</f>
        <v/>
      </c>
      <c r="U1349">
        <f>IF(ISNUMBER(INDEX('Pooled funds'!$E:$E,ROW())),1,0)</f>
        <v/>
      </c>
    </row>
    <row r="1350">
      <c r="A1350">
        <f>TRIM(SUBSTITUTE(INDEX('Term investments'!$A:$A,ROW())&amp;""," "," "))</f>
        <v/>
      </c>
      <c r="B1350">
        <f>TRIM(SUBSTITUTE(INDEX('Term investments'!$B:$B,ROW())&amp;""," "," "))</f>
        <v/>
      </c>
      <c r="C1350">
        <f>TRIM(SUBSTITUTE(INDEX('Term investments'!$C:$C,ROW())&amp;""," "," "))</f>
        <v/>
      </c>
      <c r="D1350">
        <f>IFERROR(--INDEX('Term investments'!$D:$D,ROW()),0)</f>
        <v/>
      </c>
      <c r="E1350">
        <f>IFERROR(--INDEX('Term investments'!$E:$E,ROW()),0)</f>
        <v/>
      </c>
      <c r="F1350">
        <f>IFERROR(--INDEX('Term investments'!$F:$F,ROW()),0)</f>
        <v/>
      </c>
      <c r="G1350">
        <f>IFERROR(IF(--INDEX('Term investments'!$G:$G,ROW())&gt;=1,--INDEX('Term investments'!$G:$G,ROW())/100,--INDEX('Term investments'!$G:$G,ROW())),0)</f>
        <v/>
      </c>
      <c r="H1350">
        <f>IFERROR(--INDEX('Term investments'!$H:$H,ROW()),0)</f>
        <v/>
      </c>
      <c r="I1350">
        <f>IF(ISNUMBER(INDEX('Term investments'!$G:$G,ROW())),1,0)</f>
        <v/>
      </c>
      <c r="J1350">
        <f>TRIM(SUBSTITUTE(INDEX('Call accounts and MMFs'!$A:$A,ROW())&amp;""," "," "))</f>
        <v/>
      </c>
      <c r="K1350">
        <f>TRIM(SUBSTITUTE(INDEX('Call accounts and MMFs'!$B:$B,ROW())&amp;""," "," "))</f>
        <v/>
      </c>
      <c r="L1350">
        <f>TRIM(SUBSTITUTE(INDEX('Call accounts and MMFs'!$C:$C,ROW())&amp;""," "," "))</f>
        <v/>
      </c>
      <c r="M1350">
        <f>IFERROR(--INDEX('Call accounts and MMFs'!$D:$D,ROW()),0)</f>
        <v/>
      </c>
      <c r="N1350">
        <f>IFERROR(IF(--INDEX('Call accounts and MMFs'!$E:$E,ROW())&gt;=1,--INDEX('Call accounts and MMFs'!$E:$E,ROW())/100,--INDEX('Call accounts and MMFs'!$E:$E,ROW())),0)</f>
        <v/>
      </c>
      <c r="O1350">
        <f>IFERROR(--INDEX('Call accounts and MMFs'!$F:$F,ROW()),0)</f>
        <v/>
      </c>
      <c r="P1350">
        <f>IF(ISNUMBER(INDEX('Call accounts and MMFs'!$E:$E,ROW())),1,0)</f>
        <v/>
      </c>
      <c r="Q1350">
        <f>TRIM(SUBSTITUTE(INDEX('Pooled funds'!$B:$B,ROW())&amp;""," "," "))</f>
        <v/>
      </c>
      <c r="R1350">
        <f>IFERROR(--INDEX('Pooled funds'!$C:$C,ROW()),0)</f>
        <v/>
      </c>
      <c r="S1350">
        <f>IFERROR(--INDEX('Pooled funds'!$D:$D,ROW()),0)</f>
        <v/>
      </c>
      <c r="T1350">
        <f>IFERROR(IF(--INDEX('Pooled funds'!$E:$E,ROW())&gt;=1,--INDEX('Pooled funds'!$E:$E,ROW())/100,--INDEX('Pooled funds'!$E:$E,ROW())),0)</f>
        <v/>
      </c>
      <c r="U1350">
        <f>IF(ISNUMBER(INDEX('Pooled funds'!$E:$E,ROW())),1,0)</f>
        <v/>
      </c>
    </row>
    <row r="1351">
      <c r="A1351">
        <f>TRIM(SUBSTITUTE(INDEX('Term investments'!$A:$A,ROW())&amp;""," "," "))</f>
        <v/>
      </c>
      <c r="B1351">
        <f>TRIM(SUBSTITUTE(INDEX('Term investments'!$B:$B,ROW())&amp;""," "," "))</f>
        <v/>
      </c>
      <c r="C1351">
        <f>TRIM(SUBSTITUTE(INDEX('Term investments'!$C:$C,ROW())&amp;""," "," "))</f>
        <v/>
      </c>
      <c r="D1351">
        <f>IFERROR(--INDEX('Term investments'!$D:$D,ROW()),0)</f>
        <v/>
      </c>
      <c r="E1351">
        <f>IFERROR(--INDEX('Term investments'!$E:$E,ROW()),0)</f>
        <v/>
      </c>
      <c r="F1351">
        <f>IFERROR(--INDEX('Term investments'!$F:$F,ROW()),0)</f>
        <v/>
      </c>
      <c r="G1351">
        <f>IFERROR(IF(--INDEX('Term investments'!$G:$G,ROW())&gt;=1,--INDEX('Term investments'!$G:$G,ROW())/100,--INDEX('Term investments'!$G:$G,ROW())),0)</f>
        <v/>
      </c>
      <c r="H1351">
        <f>IFERROR(--INDEX('Term investments'!$H:$H,ROW()),0)</f>
        <v/>
      </c>
      <c r="I1351">
        <f>IF(ISNUMBER(INDEX('Term investments'!$G:$G,ROW())),1,0)</f>
        <v/>
      </c>
      <c r="J1351">
        <f>TRIM(SUBSTITUTE(INDEX('Call accounts and MMFs'!$A:$A,ROW())&amp;""," "," "))</f>
        <v/>
      </c>
      <c r="K1351">
        <f>TRIM(SUBSTITUTE(INDEX('Call accounts and MMFs'!$B:$B,ROW())&amp;""," "," "))</f>
        <v/>
      </c>
      <c r="L1351">
        <f>TRIM(SUBSTITUTE(INDEX('Call accounts and MMFs'!$C:$C,ROW())&amp;""," "," "))</f>
        <v/>
      </c>
      <c r="M1351">
        <f>IFERROR(--INDEX('Call accounts and MMFs'!$D:$D,ROW()),0)</f>
        <v/>
      </c>
      <c r="N1351">
        <f>IFERROR(IF(--INDEX('Call accounts and MMFs'!$E:$E,ROW())&gt;=1,--INDEX('Call accounts and MMFs'!$E:$E,ROW())/100,--INDEX('Call accounts and MMFs'!$E:$E,ROW())),0)</f>
        <v/>
      </c>
      <c r="O1351">
        <f>IFERROR(--INDEX('Call accounts and MMFs'!$F:$F,ROW()),0)</f>
        <v/>
      </c>
      <c r="P1351">
        <f>IF(ISNUMBER(INDEX('Call accounts and MMFs'!$E:$E,ROW())),1,0)</f>
        <v/>
      </c>
      <c r="Q1351">
        <f>TRIM(SUBSTITUTE(INDEX('Pooled funds'!$B:$B,ROW())&amp;""," "," "))</f>
        <v/>
      </c>
      <c r="R1351">
        <f>IFERROR(--INDEX('Pooled funds'!$C:$C,ROW()),0)</f>
        <v/>
      </c>
      <c r="S1351">
        <f>IFERROR(--INDEX('Pooled funds'!$D:$D,ROW()),0)</f>
        <v/>
      </c>
      <c r="T1351">
        <f>IFERROR(IF(--INDEX('Pooled funds'!$E:$E,ROW())&gt;=1,--INDEX('Pooled funds'!$E:$E,ROW())/100,--INDEX('Pooled funds'!$E:$E,ROW())),0)</f>
        <v/>
      </c>
      <c r="U1351">
        <f>IF(ISNUMBER(INDEX('Pooled funds'!$E:$E,ROW())),1,0)</f>
        <v/>
      </c>
    </row>
    <row r="1352">
      <c r="A1352">
        <f>TRIM(SUBSTITUTE(INDEX('Term investments'!$A:$A,ROW())&amp;""," "," "))</f>
        <v/>
      </c>
      <c r="B1352">
        <f>TRIM(SUBSTITUTE(INDEX('Term investments'!$B:$B,ROW())&amp;""," "," "))</f>
        <v/>
      </c>
      <c r="C1352">
        <f>TRIM(SUBSTITUTE(INDEX('Term investments'!$C:$C,ROW())&amp;""," "," "))</f>
        <v/>
      </c>
      <c r="D1352">
        <f>IFERROR(--INDEX('Term investments'!$D:$D,ROW()),0)</f>
        <v/>
      </c>
      <c r="E1352">
        <f>IFERROR(--INDEX('Term investments'!$E:$E,ROW()),0)</f>
        <v/>
      </c>
      <c r="F1352">
        <f>IFERROR(--INDEX('Term investments'!$F:$F,ROW()),0)</f>
        <v/>
      </c>
      <c r="G1352">
        <f>IFERROR(IF(--INDEX('Term investments'!$G:$G,ROW())&gt;=1,--INDEX('Term investments'!$G:$G,ROW())/100,--INDEX('Term investments'!$G:$G,ROW())),0)</f>
        <v/>
      </c>
      <c r="H1352">
        <f>IFERROR(--INDEX('Term investments'!$H:$H,ROW()),0)</f>
        <v/>
      </c>
      <c r="I1352">
        <f>IF(ISNUMBER(INDEX('Term investments'!$G:$G,ROW())),1,0)</f>
        <v/>
      </c>
      <c r="J1352">
        <f>TRIM(SUBSTITUTE(INDEX('Call accounts and MMFs'!$A:$A,ROW())&amp;""," "," "))</f>
        <v/>
      </c>
      <c r="K1352">
        <f>TRIM(SUBSTITUTE(INDEX('Call accounts and MMFs'!$B:$B,ROW())&amp;""," "," "))</f>
        <v/>
      </c>
      <c r="L1352">
        <f>TRIM(SUBSTITUTE(INDEX('Call accounts and MMFs'!$C:$C,ROW())&amp;""," "," "))</f>
        <v/>
      </c>
      <c r="M1352">
        <f>IFERROR(--INDEX('Call accounts and MMFs'!$D:$D,ROW()),0)</f>
        <v/>
      </c>
      <c r="N1352">
        <f>IFERROR(IF(--INDEX('Call accounts and MMFs'!$E:$E,ROW())&gt;=1,--INDEX('Call accounts and MMFs'!$E:$E,ROW())/100,--INDEX('Call accounts and MMFs'!$E:$E,ROW())),0)</f>
        <v/>
      </c>
      <c r="O1352">
        <f>IFERROR(--INDEX('Call accounts and MMFs'!$F:$F,ROW()),0)</f>
        <v/>
      </c>
      <c r="P1352">
        <f>IF(ISNUMBER(INDEX('Call accounts and MMFs'!$E:$E,ROW())),1,0)</f>
        <v/>
      </c>
      <c r="Q1352">
        <f>TRIM(SUBSTITUTE(INDEX('Pooled funds'!$B:$B,ROW())&amp;""," "," "))</f>
        <v/>
      </c>
      <c r="R1352">
        <f>IFERROR(--INDEX('Pooled funds'!$C:$C,ROW()),0)</f>
        <v/>
      </c>
      <c r="S1352">
        <f>IFERROR(--INDEX('Pooled funds'!$D:$D,ROW()),0)</f>
        <v/>
      </c>
      <c r="T1352">
        <f>IFERROR(IF(--INDEX('Pooled funds'!$E:$E,ROW())&gt;=1,--INDEX('Pooled funds'!$E:$E,ROW())/100,--INDEX('Pooled funds'!$E:$E,ROW())),0)</f>
        <v/>
      </c>
      <c r="U1352">
        <f>IF(ISNUMBER(INDEX('Pooled funds'!$E:$E,ROW())),1,0)</f>
        <v/>
      </c>
    </row>
    <row r="1353">
      <c r="A1353">
        <f>TRIM(SUBSTITUTE(INDEX('Term investments'!$A:$A,ROW())&amp;""," "," "))</f>
        <v/>
      </c>
      <c r="B1353">
        <f>TRIM(SUBSTITUTE(INDEX('Term investments'!$B:$B,ROW())&amp;""," "," "))</f>
        <v/>
      </c>
      <c r="C1353">
        <f>TRIM(SUBSTITUTE(INDEX('Term investments'!$C:$C,ROW())&amp;""," "," "))</f>
        <v/>
      </c>
      <c r="D1353">
        <f>IFERROR(--INDEX('Term investments'!$D:$D,ROW()),0)</f>
        <v/>
      </c>
      <c r="E1353">
        <f>IFERROR(--INDEX('Term investments'!$E:$E,ROW()),0)</f>
        <v/>
      </c>
      <c r="F1353">
        <f>IFERROR(--INDEX('Term investments'!$F:$F,ROW()),0)</f>
        <v/>
      </c>
      <c r="G1353">
        <f>IFERROR(IF(--INDEX('Term investments'!$G:$G,ROW())&gt;=1,--INDEX('Term investments'!$G:$G,ROW())/100,--INDEX('Term investments'!$G:$G,ROW())),0)</f>
        <v/>
      </c>
      <c r="H1353">
        <f>IFERROR(--INDEX('Term investments'!$H:$H,ROW()),0)</f>
        <v/>
      </c>
      <c r="I1353">
        <f>IF(ISNUMBER(INDEX('Term investments'!$G:$G,ROW())),1,0)</f>
        <v/>
      </c>
      <c r="J1353">
        <f>TRIM(SUBSTITUTE(INDEX('Call accounts and MMFs'!$A:$A,ROW())&amp;""," "," "))</f>
        <v/>
      </c>
      <c r="K1353">
        <f>TRIM(SUBSTITUTE(INDEX('Call accounts and MMFs'!$B:$B,ROW())&amp;""," "," "))</f>
        <v/>
      </c>
      <c r="L1353">
        <f>TRIM(SUBSTITUTE(INDEX('Call accounts and MMFs'!$C:$C,ROW())&amp;""," "," "))</f>
        <v/>
      </c>
      <c r="M1353">
        <f>IFERROR(--INDEX('Call accounts and MMFs'!$D:$D,ROW()),0)</f>
        <v/>
      </c>
      <c r="N1353">
        <f>IFERROR(IF(--INDEX('Call accounts and MMFs'!$E:$E,ROW())&gt;=1,--INDEX('Call accounts and MMFs'!$E:$E,ROW())/100,--INDEX('Call accounts and MMFs'!$E:$E,ROW())),0)</f>
        <v/>
      </c>
      <c r="O1353">
        <f>IFERROR(--INDEX('Call accounts and MMFs'!$F:$F,ROW()),0)</f>
        <v/>
      </c>
      <c r="P1353">
        <f>IF(ISNUMBER(INDEX('Call accounts and MMFs'!$E:$E,ROW())),1,0)</f>
        <v/>
      </c>
      <c r="Q1353">
        <f>TRIM(SUBSTITUTE(INDEX('Pooled funds'!$B:$B,ROW())&amp;""," "," "))</f>
        <v/>
      </c>
      <c r="R1353">
        <f>IFERROR(--INDEX('Pooled funds'!$C:$C,ROW()),0)</f>
        <v/>
      </c>
      <c r="S1353">
        <f>IFERROR(--INDEX('Pooled funds'!$D:$D,ROW()),0)</f>
        <v/>
      </c>
      <c r="T1353">
        <f>IFERROR(IF(--INDEX('Pooled funds'!$E:$E,ROW())&gt;=1,--INDEX('Pooled funds'!$E:$E,ROW())/100,--INDEX('Pooled funds'!$E:$E,ROW())),0)</f>
        <v/>
      </c>
      <c r="U1353">
        <f>IF(ISNUMBER(INDEX('Pooled funds'!$E:$E,ROW())),1,0)</f>
        <v/>
      </c>
    </row>
    <row r="1354">
      <c r="A1354">
        <f>TRIM(SUBSTITUTE(INDEX('Term investments'!$A:$A,ROW())&amp;""," "," "))</f>
        <v/>
      </c>
      <c r="B1354">
        <f>TRIM(SUBSTITUTE(INDEX('Term investments'!$B:$B,ROW())&amp;""," "," "))</f>
        <v/>
      </c>
      <c r="C1354">
        <f>TRIM(SUBSTITUTE(INDEX('Term investments'!$C:$C,ROW())&amp;""," "," "))</f>
        <v/>
      </c>
      <c r="D1354">
        <f>IFERROR(--INDEX('Term investments'!$D:$D,ROW()),0)</f>
        <v/>
      </c>
      <c r="E1354">
        <f>IFERROR(--INDEX('Term investments'!$E:$E,ROW()),0)</f>
        <v/>
      </c>
      <c r="F1354">
        <f>IFERROR(--INDEX('Term investments'!$F:$F,ROW()),0)</f>
        <v/>
      </c>
      <c r="G1354">
        <f>IFERROR(IF(--INDEX('Term investments'!$G:$G,ROW())&gt;=1,--INDEX('Term investments'!$G:$G,ROW())/100,--INDEX('Term investments'!$G:$G,ROW())),0)</f>
        <v/>
      </c>
      <c r="H1354">
        <f>IFERROR(--INDEX('Term investments'!$H:$H,ROW()),0)</f>
        <v/>
      </c>
      <c r="I1354">
        <f>IF(ISNUMBER(INDEX('Term investments'!$G:$G,ROW())),1,0)</f>
        <v/>
      </c>
      <c r="J1354">
        <f>TRIM(SUBSTITUTE(INDEX('Call accounts and MMFs'!$A:$A,ROW())&amp;""," "," "))</f>
        <v/>
      </c>
      <c r="K1354">
        <f>TRIM(SUBSTITUTE(INDEX('Call accounts and MMFs'!$B:$B,ROW())&amp;""," "," "))</f>
        <v/>
      </c>
      <c r="L1354">
        <f>TRIM(SUBSTITUTE(INDEX('Call accounts and MMFs'!$C:$C,ROW())&amp;""," "," "))</f>
        <v/>
      </c>
      <c r="M1354">
        <f>IFERROR(--INDEX('Call accounts and MMFs'!$D:$D,ROW()),0)</f>
        <v/>
      </c>
      <c r="N1354">
        <f>IFERROR(IF(--INDEX('Call accounts and MMFs'!$E:$E,ROW())&gt;=1,--INDEX('Call accounts and MMFs'!$E:$E,ROW())/100,--INDEX('Call accounts and MMFs'!$E:$E,ROW())),0)</f>
        <v/>
      </c>
      <c r="O1354">
        <f>IFERROR(--INDEX('Call accounts and MMFs'!$F:$F,ROW()),0)</f>
        <v/>
      </c>
      <c r="P1354">
        <f>IF(ISNUMBER(INDEX('Call accounts and MMFs'!$E:$E,ROW())),1,0)</f>
        <v/>
      </c>
      <c r="Q1354">
        <f>TRIM(SUBSTITUTE(INDEX('Pooled funds'!$B:$B,ROW())&amp;""," "," "))</f>
        <v/>
      </c>
      <c r="R1354">
        <f>IFERROR(--INDEX('Pooled funds'!$C:$C,ROW()),0)</f>
        <v/>
      </c>
      <c r="S1354">
        <f>IFERROR(--INDEX('Pooled funds'!$D:$D,ROW()),0)</f>
        <v/>
      </c>
      <c r="T1354">
        <f>IFERROR(IF(--INDEX('Pooled funds'!$E:$E,ROW())&gt;=1,--INDEX('Pooled funds'!$E:$E,ROW())/100,--INDEX('Pooled funds'!$E:$E,ROW())),0)</f>
        <v/>
      </c>
      <c r="U1354">
        <f>IF(ISNUMBER(INDEX('Pooled funds'!$E:$E,ROW())),1,0)</f>
        <v/>
      </c>
    </row>
    <row r="1355">
      <c r="A1355">
        <f>TRIM(SUBSTITUTE(INDEX('Term investments'!$A:$A,ROW())&amp;""," "," "))</f>
        <v/>
      </c>
      <c r="B1355">
        <f>TRIM(SUBSTITUTE(INDEX('Term investments'!$B:$B,ROW())&amp;""," "," "))</f>
        <v/>
      </c>
      <c r="C1355">
        <f>TRIM(SUBSTITUTE(INDEX('Term investments'!$C:$C,ROW())&amp;""," "," "))</f>
        <v/>
      </c>
      <c r="D1355">
        <f>IFERROR(--INDEX('Term investments'!$D:$D,ROW()),0)</f>
        <v/>
      </c>
      <c r="E1355">
        <f>IFERROR(--INDEX('Term investments'!$E:$E,ROW()),0)</f>
        <v/>
      </c>
      <c r="F1355">
        <f>IFERROR(--INDEX('Term investments'!$F:$F,ROW()),0)</f>
        <v/>
      </c>
      <c r="G1355">
        <f>IFERROR(IF(--INDEX('Term investments'!$G:$G,ROW())&gt;=1,--INDEX('Term investments'!$G:$G,ROW())/100,--INDEX('Term investments'!$G:$G,ROW())),0)</f>
        <v/>
      </c>
      <c r="H1355">
        <f>IFERROR(--INDEX('Term investments'!$H:$H,ROW()),0)</f>
        <v/>
      </c>
      <c r="I1355">
        <f>IF(ISNUMBER(INDEX('Term investments'!$G:$G,ROW())),1,0)</f>
        <v/>
      </c>
      <c r="J1355">
        <f>TRIM(SUBSTITUTE(INDEX('Call accounts and MMFs'!$A:$A,ROW())&amp;""," "," "))</f>
        <v/>
      </c>
      <c r="K1355">
        <f>TRIM(SUBSTITUTE(INDEX('Call accounts and MMFs'!$B:$B,ROW())&amp;""," "," "))</f>
        <v/>
      </c>
      <c r="L1355">
        <f>TRIM(SUBSTITUTE(INDEX('Call accounts and MMFs'!$C:$C,ROW())&amp;""," "," "))</f>
        <v/>
      </c>
      <c r="M1355">
        <f>IFERROR(--INDEX('Call accounts and MMFs'!$D:$D,ROW()),0)</f>
        <v/>
      </c>
      <c r="N1355">
        <f>IFERROR(IF(--INDEX('Call accounts and MMFs'!$E:$E,ROW())&gt;=1,--INDEX('Call accounts and MMFs'!$E:$E,ROW())/100,--INDEX('Call accounts and MMFs'!$E:$E,ROW())),0)</f>
        <v/>
      </c>
      <c r="O1355">
        <f>IFERROR(--INDEX('Call accounts and MMFs'!$F:$F,ROW()),0)</f>
        <v/>
      </c>
      <c r="P1355">
        <f>IF(ISNUMBER(INDEX('Call accounts and MMFs'!$E:$E,ROW())),1,0)</f>
        <v/>
      </c>
      <c r="Q1355">
        <f>TRIM(SUBSTITUTE(INDEX('Pooled funds'!$B:$B,ROW())&amp;""," "," "))</f>
        <v/>
      </c>
      <c r="R1355">
        <f>IFERROR(--INDEX('Pooled funds'!$C:$C,ROW()),0)</f>
        <v/>
      </c>
      <c r="S1355">
        <f>IFERROR(--INDEX('Pooled funds'!$D:$D,ROW()),0)</f>
        <v/>
      </c>
      <c r="T1355">
        <f>IFERROR(IF(--INDEX('Pooled funds'!$E:$E,ROW())&gt;=1,--INDEX('Pooled funds'!$E:$E,ROW())/100,--INDEX('Pooled funds'!$E:$E,ROW())),0)</f>
        <v/>
      </c>
      <c r="U1355">
        <f>IF(ISNUMBER(INDEX('Pooled funds'!$E:$E,ROW())),1,0)</f>
        <v/>
      </c>
    </row>
    <row r="1356">
      <c r="A1356">
        <f>TRIM(SUBSTITUTE(INDEX('Term investments'!$A:$A,ROW())&amp;""," "," "))</f>
        <v/>
      </c>
      <c r="B1356">
        <f>TRIM(SUBSTITUTE(INDEX('Term investments'!$B:$B,ROW())&amp;""," "," "))</f>
        <v/>
      </c>
      <c r="C1356">
        <f>TRIM(SUBSTITUTE(INDEX('Term investments'!$C:$C,ROW())&amp;""," "," "))</f>
        <v/>
      </c>
      <c r="D1356">
        <f>IFERROR(--INDEX('Term investments'!$D:$D,ROW()),0)</f>
        <v/>
      </c>
      <c r="E1356">
        <f>IFERROR(--INDEX('Term investments'!$E:$E,ROW()),0)</f>
        <v/>
      </c>
      <c r="F1356">
        <f>IFERROR(--INDEX('Term investments'!$F:$F,ROW()),0)</f>
        <v/>
      </c>
      <c r="G1356">
        <f>IFERROR(IF(--INDEX('Term investments'!$G:$G,ROW())&gt;=1,--INDEX('Term investments'!$G:$G,ROW())/100,--INDEX('Term investments'!$G:$G,ROW())),0)</f>
        <v/>
      </c>
      <c r="H1356">
        <f>IFERROR(--INDEX('Term investments'!$H:$H,ROW()),0)</f>
        <v/>
      </c>
      <c r="I1356">
        <f>IF(ISNUMBER(INDEX('Term investments'!$G:$G,ROW())),1,0)</f>
        <v/>
      </c>
      <c r="J1356">
        <f>TRIM(SUBSTITUTE(INDEX('Call accounts and MMFs'!$A:$A,ROW())&amp;""," "," "))</f>
        <v/>
      </c>
      <c r="K1356">
        <f>TRIM(SUBSTITUTE(INDEX('Call accounts and MMFs'!$B:$B,ROW())&amp;""," "," "))</f>
        <v/>
      </c>
      <c r="L1356">
        <f>TRIM(SUBSTITUTE(INDEX('Call accounts and MMFs'!$C:$C,ROW())&amp;""," "," "))</f>
        <v/>
      </c>
      <c r="M1356">
        <f>IFERROR(--INDEX('Call accounts and MMFs'!$D:$D,ROW()),0)</f>
        <v/>
      </c>
      <c r="N1356">
        <f>IFERROR(IF(--INDEX('Call accounts and MMFs'!$E:$E,ROW())&gt;=1,--INDEX('Call accounts and MMFs'!$E:$E,ROW())/100,--INDEX('Call accounts and MMFs'!$E:$E,ROW())),0)</f>
        <v/>
      </c>
      <c r="O1356">
        <f>IFERROR(--INDEX('Call accounts and MMFs'!$F:$F,ROW()),0)</f>
        <v/>
      </c>
      <c r="P1356">
        <f>IF(ISNUMBER(INDEX('Call accounts and MMFs'!$E:$E,ROW())),1,0)</f>
        <v/>
      </c>
      <c r="Q1356">
        <f>TRIM(SUBSTITUTE(INDEX('Pooled funds'!$B:$B,ROW())&amp;""," "," "))</f>
        <v/>
      </c>
      <c r="R1356">
        <f>IFERROR(--INDEX('Pooled funds'!$C:$C,ROW()),0)</f>
        <v/>
      </c>
      <c r="S1356">
        <f>IFERROR(--INDEX('Pooled funds'!$D:$D,ROW()),0)</f>
        <v/>
      </c>
      <c r="T1356">
        <f>IFERROR(IF(--INDEX('Pooled funds'!$E:$E,ROW())&gt;=1,--INDEX('Pooled funds'!$E:$E,ROW())/100,--INDEX('Pooled funds'!$E:$E,ROW())),0)</f>
        <v/>
      </c>
      <c r="U1356">
        <f>IF(ISNUMBER(INDEX('Pooled funds'!$E:$E,ROW())),1,0)</f>
        <v/>
      </c>
    </row>
    <row r="1357">
      <c r="A1357">
        <f>TRIM(SUBSTITUTE(INDEX('Term investments'!$A:$A,ROW())&amp;""," "," "))</f>
        <v/>
      </c>
      <c r="B1357">
        <f>TRIM(SUBSTITUTE(INDEX('Term investments'!$B:$B,ROW())&amp;""," "," "))</f>
        <v/>
      </c>
      <c r="C1357">
        <f>TRIM(SUBSTITUTE(INDEX('Term investments'!$C:$C,ROW())&amp;""," "," "))</f>
        <v/>
      </c>
      <c r="D1357">
        <f>IFERROR(--INDEX('Term investments'!$D:$D,ROW()),0)</f>
        <v/>
      </c>
      <c r="E1357">
        <f>IFERROR(--INDEX('Term investments'!$E:$E,ROW()),0)</f>
        <v/>
      </c>
      <c r="F1357">
        <f>IFERROR(--INDEX('Term investments'!$F:$F,ROW()),0)</f>
        <v/>
      </c>
      <c r="G1357">
        <f>IFERROR(IF(--INDEX('Term investments'!$G:$G,ROW())&gt;=1,--INDEX('Term investments'!$G:$G,ROW())/100,--INDEX('Term investments'!$G:$G,ROW())),0)</f>
        <v/>
      </c>
      <c r="H1357">
        <f>IFERROR(--INDEX('Term investments'!$H:$H,ROW()),0)</f>
        <v/>
      </c>
      <c r="I1357">
        <f>IF(ISNUMBER(INDEX('Term investments'!$G:$G,ROW())),1,0)</f>
        <v/>
      </c>
      <c r="J1357">
        <f>TRIM(SUBSTITUTE(INDEX('Call accounts and MMFs'!$A:$A,ROW())&amp;""," "," "))</f>
        <v/>
      </c>
      <c r="K1357">
        <f>TRIM(SUBSTITUTE(INDEX('Call accounts and MMFs'!$B:$B,ROW())&amp;""," "," "))</f>
        <v/>
      </c>
      <c r="L1357">
        <f>TRIM(SUBSTITUTE(INDEX('Call accounts and MMFs'!$C:$C,ROW())&amp;""," "," "))</f>
        <v/>
      </c>
      <c r="M1357">
        <f>IFERROR(--INDEX('Call accounts and MMFs'!$D:$D,ROW()),0)</f>
        <v/>
      </c>
      <c r="N1357">
        <f>IFERROR(IF(--INDEX('Call accounts and MMFs'!$E:$E,ROW())&gt;=1,--INDEX('Call accounts and MMFs'!$E:$E,ROW())/100,--INDEX('Call accounts and MMFs'!$E:$E,ROW())),0)</f>
        <v/>
      </c>
      <c r="O1357">
        <f>IFERROR(--INDEX('Call accounts and MMFs'!$F:$F,ROW()),0)</f>
        <v/>
      </c>
      <c r="P1357">
        <f>IF(ISNUMBER(INDEX('Call accounts and MMFs'!$E:$E,ROW())),1,0)</f>
        <v/>
      </c>
      <c r="Q1357">
        <f>TRIM(SUBSTITUTE(INDEX('Pooled funds'!$B:$B,ROW())&amp;""," "," "))</f>
        <v/>
      </c>
      <c r="R1357">
        <f>IFERROR(--INDEX('Pooled funds'!$C:$C,ROW()),0)</f>
        <v/>
      </c>
      <c r="S1357">
        <f>IFERROR(--INDEX('Pooled funds'!$D:$D,ROW()),0)</f>
        <v/>
      </c>
      <c r="T1357">
        <f>IFERROR(IF(--INDEX('Pooled funds'!$E:$E,ROW())&gt;=1,--INDEX('Pooled funds'!$E:$E,ROW())/100,--INDEX('Pooled funds'!$E:$E,ROW())),0)</f>
        <v/>
      </c>
      <c r="U1357">
        <f>IF(ISNUMBER(INDEX('Pooled funds'!$E:$E,ROW())),1,0)</f>
        <v/>
      </c>
    </row>
    <row r="1358">
      <c r="A1358">
        <f>TRIM(SUBSTITUTE(INDEX('Term investments'!$A:$A,ROW())&amp;""," "," "))</f>
        <v/>
      </c>
      <c r="B1358">
        <f>TRIM(SUBSTITUTE(INDEX('Term investments'!$B:$B,ROW())&amp;""," "," "))</f>
        <v/>
      </c>
      <c r="C1358">
        <f>TRIM(SUBSTITUTE(INDEX('Term investments'!$C:$C,ROW())&amp;""," "," "))</f>
        <v/>
      </c>
      <c r="D1358">
        <f>IFERROR(--INDEX('Term investments'!$D:$D,ROW()),0)</f>
        <v/>
      </c>
      <c r="E1358">
        <f>IFERROR(--INDEX('Term investments'!$E:$E,ROW()),0)</f>
        <v/>
      </c>
      <c r="F1358">
        <f>IFERROR(--INDEX('Term investments'!$F:$F,ROW()),0)</f>
        <v/>
      </c>
      <c r="G1358">
        <f>IFERROR(IF(--INDEX('Term investments'!$G:$G,ROW())&gt;=1,--INDEX('Term investments'!$G:$G,ROW())/100,--INDEX('Term investments'!$G:$G,ROW())),0)</f>
        <v/>
      </c>
      <c r="H1358">
        <f>IFERROR(--INDEX('Term investments'!$H:$H,ROW()),0)</f>
        <v/>
      </c>
      <c r="I1358">
        <f>IF(ISNUMBER(INDEX('Term investments'!$G:$G,ROW())),1,0)</f>
        <v/>
      </c>
      <c r="J1358">
        <f>TRIM(SUBSTITUTE(INDEX('Call accounts and MMFs'!$A:$A,ROW())&amp;""," "," "))</f>
        <v/>
      </c>
      <c r="K1358">
        <f>TRIM(SUBSTITUTE(INDEX('Call accounts and MMFs'!$B:$B,ROW())&amp;""," "," "))</f>
        <v/>
      </c>
      <c r="L1358">
        <f>TRIM(SUBSTITUTE(INDEX('Call accounts and MMFs'!$C:$C,ROW())&amp;""," "," "))</f>
        <v/>
      </c>
      <c r="M1358">
        <f>IFERROR(--INDEX('Call accounts and MMFs'!$D:$D,ROW()),0)</f>
        <v/>
      </c>
      <c r="N1358">
        <f>IFERROR(IF(--INDEX('Call accounts and MMFs'!$E:$E,ROW())&gt;=1,--INDEX('Call accounts and MMFs'!$E:$E,ROW())/100,--INDEX('Call accounts and MMFs'!$E:$E,ROW())),0)</f>
        <v/>
      </c>
      <c r="O1358">
        <f>IFERROR(--INDEX('Call accounts and MMFs'!$F:$F,ROW()),0)</f>
        <v/>
      </c>
      <c r="P1358">
        <f>IF(ISNUMBER(INDEX('Call accounts and MMFs'!$E:$E,ROW())),1,0)</f>
        <v/>
      </c>
      <c r="Q1358">
        <f>TRIM(SUBSTITUTE(INDEX('Pooled funds'!$B:$B,ROW())&amp;""," "," "))</f>
        <v/>
      </c>
      <c r="R1358">
        <f>IFERROR(--INDEX('Pooled funds'!$C:$C,ROW()),0)</f>
        <v/>
      </c>
      <c r="S1358">
        <f>IFERROR(--INDEX('Pooled funds'!$D:$D,ROW()),0)</f>
        <v/>
      </c>
      <c r="T1358">
        <f>IFERROR(IF(--INDEX('Pooled funds'!$E:$E,ROW())&gt;=1,--INDEX('Pooled funds'!$E:$E,ROW())/100,--INDEX('Pooled funds'!$E:$E,ROW())),0)</f>
        <v/>
      </c>
      <c r="U1358">
        <f>IF(ISNUMBER(INDEX('Pooled funds'!$E:$E,ROW())),1,0)</f>
        <v/>
      </c>
    </row>
    <row r="1359">
      <c r="A1359">
        <f>TRIM(SUBSTITUTE(INDEX('Term investments'!$A:$A,ROW())&amp;""," "," "))</f>
        <v/>
      </c>
      <c r="B1359">
        <f>TRIM(SUBSTITUTE(INDEX('Term investments'!$B:$B,ROW())&amp;""," "," "))</f>
        <v/>
      </c>
      <c r="C1359">
        <f>TRIM(SUBSTITUTE(INDEX('Term investments'!$C:$C,ROW())&amp;""," "," "))</f>
        <v/>
      </c>
      <c r="D1359">
        <f>IFERROR(--INDEX('Term investments'!$D:$D,ROW()),0)</f>
        <v/>
      </c>
      <c r="E1359">
        <f>IFERROR(--INDEX('Term investments'!$E:$E,ROW()),0)</f>
        <v/>
      </c>
      <c r="F1359">
        <f>IFERROR(--INDEX('Term investments'!$F:$F,ROW()),0)</f>
        <v/>
      </c>
      <c r="G1359">
        <f>IFERROR(IF(--INDEX('Term investments'!$G:$G,ROW())&gt;=1,--INDEX('Term investments'!$G:$G,ROW())/100,--INDEX('Term investments'!$G:$G,ROW())),0)</f>
        <v/>
      </c>
      <c r="H1359">
        <f>IFERROR(--INDEX('Term investments'!$H:$H,ROW()),0)</f>
        <v/>
      </c>
      <c r="I1359">
        <f>IF(ISNUMBER(INDEX('Term investments'!$G:$G,ROW())),1,0)</f>
        <v/>
      </c>
      <c r="J1359">
        <f>TRIM(SUBSTITUTE(INDEX('Call accounts and MMFs'!$A:$A,ROW())&amp;""," "," "))</f>
        <v/>
      </c>
      <c r="K1359">
        <f>TRIM(SUBSTITUTE(INDEX('Call accounts and MMFs'!$B:$B,ROW())&amp;""," "," "))</f>
        <v/>
      </c>
      <c r="L1359">
        <f>TRIM(SUBSTITUTE(INDEX('Call accounts and MMFs'!$C:$C,ROW())&amp;""," "," "))</f>
        <v/>
      </c>
      <c r="M1359">
        <f>IFERROR(--INDEX('Call accounts and MMFs'!$D:$D,ROW()),0)</f>
        <v/>
      </c>
      <c r="N1359">
        <f>IFERROR(IF(--INDEX('Call accounts and MMFs'!$E:$E,ROW())&gt;=1,--INDEX('Call accounts and MMFs'!$E:$E,ROW())/100,--INDEX('Call accounts and MMFs'!$E:$E,ROW())),0)</f>
        <v/>
      </c>
      <c r="O1359">
        <f>IFERROR(--INDEX('Call accounts and MMFs'!$F:$F,ROW()),0)</f>
        <v/>
      </c>
      <c r="P1359">
        <f>IF(ISNUMBER(INDEX('Call accounts and MMFs'!$E:$E,ROW())),1,0)</f>
        <v/>
      </c>
      <c r="Q1359">
        <f>TRIM(SUBSTITUTE(INDEX('Pooled funds'!$B:$B,ROW())&amp;""," "," "))</f>
        <v/>
      </c>
      <c r="R1359">
        <f>IFERROR(--INDEX('Pooled funds'!$C:$C,ROW()),0)</f>
        <v/>
      </c>
      <c r="S1359">
        <f>IFERROR(--INDEX('Pooled funds'!$D:$D,ROW()),0)</f>
        <v/>
      </c>
      <c r="T1359">
        <f>IFERROR(IF(--INDEX('Pooled funds'!$E:$E,ROW())&gt;=1,--INDEX('Pooled funds'!$E:$E,ROW())/100,--INDEX('Pooled funds'!$E:$E,ROW())),0)</f>
        <v/>
      </c>
      <c r="U1359">
        <f>IF(ISNUMBER(INDEX('Pooled funds'!$E:$E,ROW())),1,0)</f>
        <v/>
      </c>
    </row>
    <row r="1360">
      <c r="A1360">
        <f>TRIM(SUBSTITUTE(INDEX('Term investments'!$A:$A,ROW())&amp;""," "," "))</f>
        <v/>
      </c>
      <c r="B1360">
        <f>TRIM(SUBSTITUTE(INDEX('Term investments'!$B:$B,ROW())&amp;""," "," "))</f>
        <v/>
      </c>
      <c r="C1360">
        <f>TRIM(SUBSTITUTE(INDEX('Term investments'!$C:$C,ROW())&amp;""," "," "))</f>
        <v/>
      </c>
      <c r="D1360">
        <f>IFERROR(--INDEX('Term investments'!$D:$D,ROW()),0)</f>
        <v/>
      </c>
      <c r="E1360">
        <f>IFERROR(--INDEX('Term investments'!$E:$E,ROW()),0)</f>
        <v/>
      </c>
      <c r="F1360">
        <f>IFERROR(--INDEX('Term investments'!$F:$F,ROW()),0)</f>
        <v/>
      </c>
      <c r="G1360">
        <f>IFERROR(IF(--INDEX('Term investments'!$G:$G,ROW())&gt;=1,--INDEX('Term investments'!$G:$G,ROW())/100,--INDEX('Term investments'!$G:$G,ROW())),0)</f>
        <v/>
      </c>
      <c r="H1360">
        <f>IFERROR(--INDEX('Term investments'!$H:$H,ROW()),0)</f>
        <v/>
      </c>
      <c r="I1360">
        <f>IF(ISNUMBER(INDEX('Term investments'!$G:$G,ROW())),1,0)</f>
        <v/>
      </c>
      <c r="J1360">
        <f>TRIM(SUBSTITUTE(INDEX('Call accounts and MMFs'!$A:$A,ROW())&amp;""," "," "))</f>
        <v/>
      </c>
      <c r="K1360">
        <f>TRIM(SUBSTITUTE(INDEX('Call accounts and MMFs'!$B:$B,ROW())&amp;""," "," "))</f>
        <v/>
      </c>
      <c r="L1360">
        <f>TRIM(SUBSTITUTE(INDEX('Call accounts and MMFs'!$C:$C,ROW())&amp;""," "," "))</f>
        <v/>
      </c>
      <c r="M1360">
        <f>IFERROR(--INDEX('Call accounts and MMFs'!$D:$D,ROW()),0)</f>
        <v/>
      </c>
      <c r="N1360">
        <f>IFERROR(IF(--INDEX('Call accounts and MMFs'!$E:$E,ROW())&gt;=1,--INDEX('Call accounts and MMFs'!$E:$E,ROW())/100,--INDEX('Call accounts and MMFs'!$E:$E,ROW())),0)</f>
        <v/>
      </c>
      <c r="O1360">
        <f>IFERROR(--INDEX('Call accounts and MMFs'!$F:$F,ROW()),0)</f>
        <v/>
      </c>
      <c r="P1360">
        <f>IF(ISNUMBER(INDEX('Call accounts and MMFs'!$E:$E,ROW())),1,0)</f>
        <v/>
      </c>
      <c r="Q1360">
        <f>TRIM(SUBSTITUTE(INDEX('Pooled funds'!$B:$B,ROW())&amp;""," "," "))</f>
        <v/>
      </c>
      <c r="R1360">
        <f>IFERROR(--INDEX('Pooled funds'!$C:$C,ROW()),0)</f>
        <v/>
      </c>
      <c r="S1360">
        <f>IFERROR(--INDEX('Pooled funds'!$D:$D,ROW()),0)</f>
        <v/>
      </c>
      <c r="T1360">
        <f>IFERROR(IF(--INDEX('Pooled funds'!$E:$E,ROW())&gt;=1,--INDEX('Pooled funds'!$E:$E,ROW())/100,--INDEX('Pooled funds'!$E:$E,ROW())),0)</f>
        <v/>
      </c>
      <c r="U1360">
        <f>IF(ISNUMBER(INDEX('Pooled funds'!$E:$E,ROW())),1,0)</f>
        <v/>
      </c>
    </row>
    <row r="1361">
      <c r="A1361">
        <f>TRIM(SUBSTITUTE(INDEX('Term investments'!$A:$A,ROW())&amp;""," "," "))</f>
        <v/>
      </c>
      <c r="B1361">
        <f>TRIM(SUBSTITUTE(INDEX('Term investments'!$B:$B,ROW())&amp;""," "," "))</f>
        <v/>
      </c>
      <c r="C1361">
        <f>TRIM(SUBSTITUTE(INDEX('Term investments'!$C:$C,ROW())&amp;""," "," "))</f>
        <v/>
      </c>
      <c r="D1361">
        <f>IFERROR(--INDEX('Term investments'!$D:$D,ROW()),0)</f>
        <v/>
      </c>
      <c r="E1361">
        <f>IFERROR(--INDEX('Term investments'!$E:$E,ROW()),0)</f>
        <v/>
      </c>
      <c r="F1361">
        <f>IFERROR(--INDEX('Term investments'!$F:$F,ROW()),0)</f>
        <v/>
      </c>
      <c r="G1361">
        <f>IFERROR(IF(--INDEX('Term investments'!$G:$G,ROW())&gt;=1,--INDEX('Term investments'!$G:$G,ROW())/100,--INDEX('Term investments'!$G:$G,ROW())),0)</f>
        <v/>
      </c>
      <c r="H1361">
        <f>IFERROR(--INDEX('Term investments'!$H:$H,ROW()),0)</f>
        <v/>
      </c>
      <c r="I1361">
        <f>IF(ISNUMBER(INDEX('Term investments'!$G:$G,ROW())),1,0)</f>
        <v/>
      </c>
      <c r="J1361">
        <f>TRIM(SUBSTITUTE(INDEX('Call accounts and MMFs'!$A:$A,ROW())&amp;""," "," "))</f>
        <v/>
      </c>
      <c r="K1361">
        <f>TRIM(SUBSTITUTE(INDEX('Call accounts and MMFs'!$B:$B,ROW())&amp;""," "," "))</f>
        <v/>
      </c>
      <c r="L1361">
        <f>TRIM(SUBSTITUTE(INDEX('Call accounts and MMFs'!$C:$C,ROW())&amp;""," "," "))</f>
        <v/>
      </c>
      <c r="M1361">
        <f>IFERROR(--INDEX('Call accounts and MMFs'!$D:$D,ROW()),0)</f>
        <v/>
      </c>
      <c r="N1361">
        <f>IFERROR(IF(--INDEX('Call accounts and MMFs'!$E:$E,ROW())&gt;=1,--INDEX('Call accounts and MMFs'!$E:$E,ROW())/100,--INDEX('Call accounts and MMFs'!$E:$E,ROW())),0)</f>
        <v/>
      </c>
      <c r="O1361">
        <f>IFERROR(--INDEX('Call accounts and MMFs'!$F:$F,ROW()),0)</f>
        <v/>
      </c>
      <c r="P1361">
        <f>IF(ISNUMBER(INDEX('Call accounts and MMFs'!$E:$E,ROW())),1,0)</f>
        <v/>
      </c>
      <c r="Q1361">
        <f>TRIM(SUBSTITUTE(INDEX('Pooled funds'!$B:$B,ROW())&amp;""," "," "))</f>
        <v/>
      </c>
      <c r="R1361">
        <f>IFERROR(--INDEX('Pooled funds'!$C:$C,ROW()),0)</f>
        <v/>
      </c>
      <c r="S1361">
        <f>IFERROR(--INDEX('Pooled funds'!$D:$D,ROW()),0)</f>
        <v/>
      </c>
      <c r="T1361">
        <f>IFERROR(IF(--INDEX('Pooled funds'!$E:$E,ROW())&gt;=1,--INDEX('Pooled funds'!$E:$E,ROW())/100,--INDEX('Pooled funds'!$E:$E,ROW())),0)</f>
        <v/>
      </c>
      <c r="U1361">
        <f>IF(ISNUMBER(INDEX('Pooled funds'!$E:$E,ROW())),1,0)</f>
        <v/>
      </c>
    </row>
    <row r="1362">
      <c r="A1362">
        <f>TRIM(SUBSTITUTE(INDEX('Term investments'!$A:$A,ROW())&amp;""," "," "))</f>
        <v/>
      </c>
      <c r="B1362">
        <f>TRIM(SUBSTITUTE(INDEX('Term investments'!$B:$B,ROW())&amp;""," "," "))</f>
        <v/>
      </c>
      <c r="C1362">
        <f>TRIM(SUBSTITUTE(INDEX('Term investments'!$C:$C,ROW())&amp;""," "," "))</f>
        <v/>
      </c>
      <c r="D1362">
        <f>IFERROR(--INDEX('Term investments'!$D:$D,ROW()),0)</f>
        <v/>
      </c>
      <c r="E1362">
        <f>IFERROR(--INDEX('Term investments'!$E:$E,ROW()),0)</f>
        <v/>
      </c>
      <c r="F1362">
        <f>IFERROR(--INDEX('Term investments'!$F:$F,ROW()),0)</f>
        <v/>
      </c>
      <c r="G1362">
        <f>IFERROR(IF(--INDEX('Term investments'!$G:$G,ROW())&gt;=1,--INDEX('Term investments'!$G:$G,ROW())/100,--INDEX('Term investments'!$G:$G,ROW())),0)</f>
        <v/>
      </c>
      <c r="H1362">
        <f>IFERROR(--INDEX('Term investments'!$H:$H,ROW()),0)</f>
        <v/>
      </c>
      <c r="I1362">
        <f>IF(ISNUMBER(INDEX('Term investments'!$G:$G,ROW())),1,0)</f>
        <v/>
      </c>
      <c r="J1362">
        <f>TRIM(SUBSTITUTE(INDEX('Call accounts and MMFs'!$A:$A,ROW())&amp;""," "," "))</f>
        <v/>
      </c>
      <c r="K1362">
        <f>TRIM(SUBSTITUTE(INDEX('Call accounts and MMFs'!$B:$B,ROW())&amp;""," "," "))</f>
        <v/>
      </c>
      <c r="L1362">
        <f>TRIM(SUBSTITUTE(INDEX('Call accounts and MMFs'!$C:$C,ROW())&amp;""," "," "))</f>
        <v/>
      </c>
      <c r="M1362">
        <f>IFERROR(--INDEX('Call accounts and MMFs'!$D:$D,ROW()),0)</f>
        <v/>
      </c>
      <c r="N1362">
        <f>IFERROR(IF(--INDEX('Call accounts and MMFs'!$E:$E,ROW())&gt;=1,--INDEX('Call accounts and MMFs'!$E:$E,ROW())/100,--INDEX('Call accounts and MMFs'!$E:$E,ROW())),0)</f>
        <v/>
      </c>
      <c r="O1362">
        <f>IFERROR(--INDEX('Call accounts and MMFs'!$F:$F,ROW()),0)</f>
        <v/>
      </c>
      <c r="P1362">
        <f>IF(ISNUMBER(INDEX('Call accounts and MMFs'!$E:$E,ROW())),1,0)</f>
        <v/>
      </c>
      <c r="Q1362">
        <f>TRIM(SUBSTITUTE(INDEX('Pooled funds'!$B:$B,ROW())&amp;""," "," "))</f>
        <v/>
      </c>
      <c r="R1362">
        <f>IFERROR(--INDEX('Pooled funds'!$C:$C,ROW()),0)</f>
        <v/>
      </c>
      <c r="S1362">
        <f>IFERROR(--INDEX('Pooled funds'!$D:$D,ROW()),0)</f>
        <v/>
      </c>
      <c r="T1362">
        <f>IFERROR(IF(--INDEX('Pooled funds'!$E:$E,ROW())&gt;=1,--INDEX('Pooled funds'!$E:$E,ROW())/100,--INDEX('Pooled funds'!$E:$E,ROW())),0)</f>
        <v/>
      </c>
      <c r="U1362">
        <f>IF(ISNUMBER(INDEX('Pooled funds'!$E:$E,ROW())),1,0)</f>
        <v/>
      </c>
    </row>
    <row r="1363">
      <c r="A1363">
        <f>TRIM(SUBSTITUTE(INDEX('Term investments'!$A:$A,ROW())&amp;""," "," "))</f>
        <v/>
      </c>
      <c r="B1363">
        <f>TRIM(SUBSTITUTE(INDEX('Term investments'!$B:$B,ROW())&amp;""," "," "))</f>
        <v/>
      </c>
      <c r="C1363">
        <f>TRIM(SUBSTITUTE(INDEX('Term investments'!$C:$C,ROW())&amp;""," "," "))</f>
        <v/>
      </c>
      <c r="D1363">
        <f>IFERROR(--INDEX('Term investments'!$D:$D,ROW()),0)</f>
        <v/>
      </c>
      <c r="E1363">
        <f>IFERROR(--INDEX('Term investments'!$E:$E,ROW()),0)</f>
        <v/>
      </c>
      <c r="F1363">
        <f>IFERROR(--INDEX('Term investments'!$F:$F,ROW()),0)</f>
        <v/>
      </c>
      <c r="G1363">
        <f>IFERROR(IF(--INDEX('Term investments'!$G:$G,ROW())&gt;=1,--INDEX('Term investments'!$G:$G,ROW())/100,--INDEX('Term investments'!$G:$G,ROW())),0)</f>
        <v/>
      </c>
      <c r="H1363">
        <f>IFERROR(--INDEX('Term investments'!$H:$H,ROW()),0)</f>
        <v/>
      </c>
      <c r="I1363">
        <f>IF(ISNUMBER(INDEX('Term investments'!$G:$G,ROW())),1,0)</f>
        <v/>
      </c>
      <c r="J1363">
        <f>TRIM(SUBSTITUTE(INDEX('Call accounts and MMFs'!$A:$A,ROW())&amp;""," "," "))</f>
        <v/>
      </c>
      <c r="K1363">
        <f>TRIM(SUBSTITUTE(INDEX('Call accounts and MMFs'!$B:$B,ROW())&amp;""," "," "))</f>
        <v/>
      </c>
      <c r="L1363">
        <f>TRIM(SUBSTITUTE(INDEX('Call accounts and MMFs'!$C:$C,ROW())&amp;""," "," "))</f>
        <v/>
      </c>
      <c r="M1363">
        <f>IFERROR(--INDEX('Call accounts and MMFs'!$D:$D,ROW()),0)</f>
        <v/>
      </c>
      <c r="N1363">
        <f>IFERROR(IF(--INDEX('Call accounts and MMFs'!$E:$E,ROW())&gt;=1,--INDEX('Call accounts and MMFs'!$E:$E,ROW())/100,--INDEX('Call accounts and MMFs'!$E:$E,ROW())),0)</f>
        <v/>
      </c>
      <c r="O1363">
        <f>IFERROR(--INDEX('Call accounts and MMFs'!$F:$F,ROW()),0)</f>
        <v/>
      </c>
      <c r="P1363">
        <f>IF(ISNUMBER(INDEX('Call accounts and MMFs'!$E:$E,ROW())),1,0)</f>
        <v/>
      </c>
      <c r="Q1363">
        <f>TRIM(SUBSTITUTE(INDEX('Pooled funds'!$B:$B,ROW())&amp;""," "," "))</f>
        <v/>
      </c>
      <c r="R1363">
        <f>IFERROR(--INDEX('Pooled funds'!$C:$C,ROW()),0)</f>
        <v/>
      </c>
      <c r="S1363">
        <f>IFERROR(--INDEX('Pooled funds'!$D:$D,ROW()),0)</f>
        <v/>
      </c>
      <c r="T1363">
        <f>IFERROR(IF(--INDEX('Pooled funds'!$E:$E,ROW())&gt;=1,--INDEX('Pooled funds'!$E:$E,ROW())/100,--INDEX('Pooled funds'!$E:$E,ROW())),0)</f>
        <v/>
      </c>
      <c r="U1363">
        <f>IF(ISNUMBER(INDEX('Pooled funds'!$E:$E,ROW())),1,0)</f>
        <v/>
      </c>
    </row>
    <row r="1364">
      <c r="A1364">
        <f>TRIM(SUBSTITUTE(INDEX('Term investments'!$A:$A,ROW())&amp;""," "," "))</f>
        <v/>
      </c>
      <c r="B1364">
        <f>TRIM(SUBSTITUTE(INDEX('Term investments'!$B:$B,ROW())&amp;""," "," "))</f>
        <v/>
      </c>
      <c r="C1364">
        <f>TRIM(SUBSTITUTE(INDEX('Term investments'!$C:$C,ROW())&amp;""," "," "))</f>
        <v/>
      </c>
      <c r="D1364">
        <f>IFERROR(--INDEX('Term investments'!$D:$D,ROW()),0)</f>
        <v/>
      </c>
      <c r="E1364">
        <f>IFERROR(--INDEX('Term investments'!$E:$E,ROW()),0)</f>
        <v/>
      </c>
      <c r="F1364">
        <f>IFERROR(--INDEX('Term investments'!$F:$F,ROW()),0)</f>
        <v/>
      </c>
      <c r="G1364">
        <f>IFERROR(IF(--INDEX('Term investments'!$G:$G,ROW())&gt;=1,--INDEX('Term investments'!$G:$G,ROW())/100,--INDEX('Term investments'!$G:$G,ROW())),0)</f>
        <v/>
      </c>
      <c r="H1364">
        <f>IFERROR(--INDEX('Term investments'!$H:$H,ROW()),0)</f>
        <v/>
      </c>
      <c r="I1364">
        <f>IF(ISNUMBER(INDEX('Term investments'!$G:$G,ROW())),1,0)</f>
        <v/>
      </c>
      <c r="J1364">
        <f>TRIM(SUBSTITUTE(INDEX('Call accounts and MMFs'!$A:$A,ROW())&amp;""," "," "))</f>
        <v/>
      </c>
      <c r="K1364">
        <f>TRIM(SUBSTITUTE(INDEX('Call accounts and MMFs'!$B:$B,ROW())&amp;""," "," "))</f>
        <v/>
      </c>
      <c r="L1364">
        <f>TRIM(SUBSTITUTE(INDEX('Call accounts and MMFs'!$C:$C,ROW())&amp;""," "," "))</f>
        <v/>
      </c>
      <c r="M1364">
        <f>IFERROR(--INDEX('Call accounts and MMFs'!$D:$D,ROW()),0)</f>
        <v/>
      </c>
      <c r="N1364">
        <f>IFERROR(IF(--INDEX('Call accounts and MMFs'!$E:$E,ROW())&gt;=1,--INDEX('Call accounts and MMFs'!$E:$E,ROW())/100,--INDEX('Call accounts and MMFs'!$E:$E,ROW())),0)</f>
        <v/>
      </c>
      <c r="O1364">
        <f>IFERROR(--INDEX('Call accounts and MMFs'!$F:$F,ROW()),0)</f>
        <v/>
      </c>
      <c r="P1364">
        <f>IF(ISNUMBER(INDEX('Call accounts and MMFs'!$E:$E,ROW())),1,0)</f>
        <v/>
      </c>
      <c r="Q1364">
        <f>TRIM(SUBSTITUTE(INDEX('Pooled funds'!$B:$B,ROW())&amp;""," "," "))</f>
        <v/>
      </c>
      <c r="R1364">
        <f>IFERROR(--INDEX('Pooled funds'!$C:$C,ROW()),0)</f>
        <v/>
      </c>
      <c r="S1364">
        <f>IFERROR(--INDEX('Pooled funds'!$D:$D,ROW()),0)</f>
        <v/>
      </c>
      <c r="T1364">
        <f>IFERROR(IF(--INDEX('Pooled funds'!$E:$E,ROW())&gt;=1,--INDEX('Pooled funds'!$E:$E,ROW())/100,--INDEX('Pooled funds'!$E:$E,ROW())),0)</f>
        <v/>
      </c>
      <c r="U1364">
        <f>IF(ISNUMBER(INDEX('Pooled funds'!$E:$E,ROW())),1,0)</f>
        <v/>
      </c>
    </row>
    <row r="1365">
      <c r="A1365">
        <f>TRIM(SUBSTITUTE(INDEX('Term investments'!$A:$A,ROW())&amp;""," "," "))</f>
        <v/>
      </c>
      <c r="B1365">
        <f>TRIM(SUBSTITUTE(INDEX('Term investments'!$B:$B,ROW())&amp;""," "," "))</f>
        <v/>
      </c>
      <c r="C1365">
        <f>TRIM(SUBSTITUTE(INDEX('Term investments'!$C:$C,ROW())&amp;""," "," "))</f>
        <v/>
      </c>
      <c r="D1365">
        <f>IFERROR(--INDEX('Term investments'!$D:$D,ROW()),0)</f>
        <v/>
      </c>
      <c r="E1365">
        <f>IFERROR(--INDEX('Term investments'!$E:$E,ROW()),0)</f>
        <v/>
      </c>
      <c r="F1365">
        <f>IFERROR(--INDEX('Term investments'!$F:$F,ROW()),0)</f>
        <v/>
      </c>
      <c r="G1365">
        <f>IFERROR(IF(--INDEX('Term investments'!$G:$G,ROW())&gt;=1,--INDEX('Term investments'!$G:$G,ROW())/100,--INDEX('Term investments'!$G:$G,ROW())),0)</f>
        <v/>
      </c>
      <c r="H1365">
        <f>IFERROR(--INDEX('Term investments'!$H:$H,ROW()),0)</f>
        <v/>
      </c>
      <c r="I1365">
        <f>IF(ISNUMBER(INDEX('Term investments'!$G:$G,ROW())),1,0)</f>
        <v/>
      </c>
      <c r="J1365">
        <f>TRIM(SUBSTITUTE(INDEX('Call accounts and MMFs'!$A:$A,ROW())&amp;""," "," "))</f>
        <v/>
      </c>
      <c r="K1365">
        <f>TRIM(SUBSTITUTE(INDEX('Call accounts and MMFs'!$B:$B,ROW())&amp;""," "," "))</f>
        <v/>
      </c>
      <c r="L1365">
        <f>TRIM(SUBSTITUTE(INDEX('Call accounts and MMFs'!$C:$C,ROW())&amp;""," "," "))</f>
        <v/>
      </c>
      <c r="M1365">
        <f>IFERROR(--INDEX('Call accounts and MMFs'!$D:$D,ROW()),0)</f>
        <v/>
      </c>
      <c r="N1365">
        <f>IFERROR(IF(--INDEX('Call accounts and MMFs'!$E:$E,ROW())&gt;=1,--INDEX('Call accounts and MMFs'!$E:$E,ROW())/100,--INDEX('Call accounts and MMFs'!$E:$E,ROW())),0)</f>
        <v/>
      </c>
      <c r="O1365">
        <f>IFERROR(--INDEX('Call accounts and MMFs'!$F:$F,ROW()),0)</f>
        <v/>
      </c>
      <c r="P1365">
        <f>IF(ISNUMBER(INDEX('Call accounts and MMFs'!$E:$E,ROW())),1,0)</f>
        <v/>
      </c>
      <c r="Q1365">
        <f>TRIM(SUBSTITUTE(INDEX('Pooled funds'!$B:$B,ROW())&amp;""," "," "))</f>
        <v/>
      </c>
      <c r="R1365">
        <f>IFERROR(--INDEX('Pooled funds'!$C:$C,ROW()),0)</f>
        <v/>
      </c>
      <c r="S1365">
        <f>IFERROR(--INDEX('Pooled funds'!$D:$D,ROW()),0)</f>
        <v/>
      </c>
      <c r="T1365">
        <f>IFERROR(IF(--INDEX('Pooled funds'!$E:$E,ROW())&gt;=1,--INDEX('Pooled funds'!$E:$E,ROW())/100,--INDEX('Pooled funds'!$E:$E,ROW())),0)</f>
        <v/>
      </c>
      <c r="U1365">
        <f>IF(ISNUMBER(INDEX('Pooled funds'!$E:$E,ROW())),1,0)</f>
        <v/>
      </c>
    </row>
    <row r="1366">
      <c r="A1366">
        <f>TRIM(SUBSTITUTE(INDEX('Term investments'!$A:$A,ROW())&amp;""," "," "))</f>
        <v/>
      </c>
      <c r="B1366">
        <f>TRIM(SUBSTITUTE(INDEX('Term investments'!$B:$B,ROW())&amp;""," "," "))</f>
        <v/>
      </c>
      <c r="C1366">
        <f>TRIM(SUBSTITUTE(INDEX('Term investments'!$C:$C,ROW())&amp;""," "," "))</f>
        <v/>
      </c>
      <c r="D1366">
        <f>IFERROR(--INDEX('Term investments'!$D:$D,ROW()),0)</f>
        <v/>
      </c>
      <c r="E1366">
        <f>IFERROR(--INDEX('Term investments'!$E:$E,ROW()),0)</f>
        <v/>
      </c>
      <c r="F1366">
        <f>IFERROR(--INDEX('Term investments'!$F:$F,ROW()),0)</f>
        <v/>
      </c>
      <c r="G1366">
        <f>IFERROR(IF(--INDEX('Term investments'!$G:$G,ROW())&gt;=1,--INDEX('Term investments'!$G:$G,ROW())/100,--INDEX('Term investments'!$G:$G,ROW())),0)</f>
        <v/>
      </c>
      <c r="H1366">
        <f>IFERROR(--INDEX('Term investments'!$H:$H,ROW()),0)</f>
        <v/>
      </c>
      <c r="I1366">
        <f>IF(ISNUMBER(INDEX('Term investments'!$G:$G,ROW())),1,0)</f>
        <v/>
      </c>
      <c r="J1366">
        <f>TRIM(SUBSTITUTE(INDEX('Call accounts and MMFs'!$A:$A,ROW())&amp;""," "," "))</f>
        <v/>
      </c>
      <c r="K1366">
        <f>TRIM(SUBSTITUTE(INDEX('Call accounts and MMFs'!$B:$B,ROW())&amp;""," "," "))</f>
        <v/>
      </c>
      <c r="L1366">
        <f>TRIM(SUBSTITUTE(INDEX('Call accounts and MMFs'!$C:$C,ROW())&amp;""," "," "))</f>
        <v/>
      </c>
      <c r="M1366">
        <f>IFERROR(--INDEX('Call accounts and MMFs'!$D:$D,ROW()),0)</f>
        <v/>
      </c>
      <c r="N1366">
        <f>IFERROR(IF(--INDEX('Call accounts and MMFs'!$E:$E,ROW())&gt;=1,--INDEX('Call accounts and MMFs'!$E:$E,ROW())/100,--INDEX('Call accounts and MMFs'!$E:$E,ROW())),0)</f>
        <v/>
      </c>
      <c r="O1366">
        <f>IFERROR(--INDEX('Call accounts and MMFs'!$F:$F,ROW()),0)</f>
        <v/>
      </c>
      <c r="P1366">
        <f>IF(ISNUMBER(INDEX('Call accounts and MMFs'!$E:$E,ROW())),1,0)</f>
        <v/>
      </c>
      <c r="Q1366">
        <f>TRIM(SUBSTITUTE(INDEX('Pooled funds'!$B:$B,ROW())&amp;""," "," "))</f>
        <v/>
      </c>
      <c r="R1366">
        <f>IFERROR(--INDEX('Pooled funds'!$C:$C,ROW()),0)</f>
        <v/>
      </c>
      <c r="S1366">
        <f>IFERROR(--INDEX('Pooled funds'!$D:$D,ROW()),0)</f>
        <v/>
      </c>
      <c r="T1366">
        <f>IFERROR(IF(--INDEX('Pooled funds'!$E:$E,ROW())&gt;=1,--INDEX('Pooled funds'!$E:$E,ROW())/100,--INDEX('Pooled funds'!$E:$E,ROW())),0)</f>
        <v/>
      </c>
      <c r="U1366">
        <f>IF(ISNUMBER(INDEX('Pooled funds'!$E:$E,ROW())),1,0)</f>
        <v/>
      </c>
    </row>
    <row r="1367">
      <c r="A1367">
        <f>TRIM(SUBSTITUTE(INDEX('Term investments'!$A:$A,ROW())&amp;""," "," "))</f>
        <v/>
      </c>
      <c r="B1367">
        <f>TRIM(SUBSTITUTE(INDEX('Term investments'!$B:$B,ROW())&amp;""," "," "))</f>
        <v/>
      </c>
      <c r="C1367">
        <f>TRIM(SUBSTITUTE(INDEX('Term investments'!$C:$C,ROW())&amp;""," "," "))</f>
        <v/>
      </c>
      <c r="D1367">
        <f>IFERROR(--INDEX('Term investments'!$D:$D,ROW()),0)</f>
        <v/>
      </c>
      <c r="E1367">
        <f>IFERROR(--INDEX('Term investments'!$E:$E,ROW()),0)</f>
        <v/>
      </c>
      <c r="F1367">
        <f>IFERROR(--INDEX('Term investments'!$F:$F,ROW()),0)</f>
        <v/>
      </c>
      <c r="G1367">
        <f>IFERROR(IF(--INDEX('Term investments'!$G:$G,ROW())&gt;=1,--INDEX('Term investments'!$G:$G,ROW())/100,--INDEX('Term investments'!$G:$G,ROW())),0)</f>
        <v/>
      </c>
      <c r="H1367">
        <f>IFERROR(--INDEX('Term investments'!$H:$H,ROW()),0)</f>
        <v/>
      </c>
      <c r="I1367">
        <f>IF(ISNUMBER(INDEX('Term investments'!$G:$G,ROW())),1,0)</f>
        <v/>
      </c>
      <c r="J1367">
        <f>TRIM(SUBSTITUTE(INDEX('Call accounts and MMFs'!$A:$A,ROW())&amp;""," "," "))</f>
        <v/>
      </c>
      <c r="K1367">
        <f>TRIM(SUBSTITUTE(INDEX('Call accounts and MMFs'!$B:$B,ROW())&amp;""," "," "))</f>
        <v/>
      </c>
      <c r="L1367">
        <f>TRIM(SUBSTITUTE(INDEX('Call accounts and MMFs'!$C:$C,ROW())&amp;""," "," "))</f>
        <v/>
      </c>
      <c r="M1367">
        <f>IFERROR(--INDEX('Call accounts and MMFs'!$D:$D,ROW()),0)</f>
        <v/>
      </c>
      <c r="N1367">
        <f>IFERROR(IF(--INDEX('Call accounts and MMFs'!$E:$E,ROW())&gt;=1,--INDEX('Call accounts and MMFs'!$E:$E,ROW())/100,--INDEX('Call accounts and MMFs'!$E:$E,ROW())),0)</f>
        <v/>
      </c>
      <c r="O1367">
        <f>IFERROR(--INDEX('Call accounts and MMFs'!$F:$F,ROW()),0)</f>
        <v/>
      </c>
      <c r="P1367">
        <f>IF(ISNUMBER(INDEX('Call accounts and MMFs'!$E:$E,ROW())),1,0)</f>
        <v/>
      </c>
      <c r="Q1367">
        <f>TRIM(SUBSTITUTE(INDEX('Pooled funds'!$B:$B,ROW())&amp;""," "," "))</f>
        <v/>
      </c>
      <c r="R1367">
        <f>IFERROR(--INDEX('Pooled funds'!$C:$C,ROW()),0)</f>
        <v/>
      </c>
      <c r="S1367">
        <f>IFERROR(--INDEX('Pooled funds'!$D:$D,ROW()),0)</f>
        <v/>
      </c>
      <c r="T1367">
        <f>IFERROR(IF(--INDEX('Pooled funds'!$E:$E,ROW())&gt;=1,--INDEX('Pooled funds'!$E:$E,ROW())/100,--INDEX('Pooled funds'!$E:$E,ROW())),0)</f>
        <v/>
      </c>
      <c r="U1367">
        <f>IF(ISNUMBER(INDEX('Pooled funds'!$E:$E,ROW())),1,0)</f>
        <v/>
      </c>
    </row>
    <row r="1368">
      <c r="A1368">
        <f>TRIM(SUBSTITUTE(INDEX('Term investments'!$A:$A,ROW())&amp;""," "," "))</f>
        <v/>
      </c>
      <c r="B1368">
        <f>TRIM(SUBSTITUTE(INDEX('Term investments'!$B:$B,ROW())&amp;""," "," "))</f>
        <v/>
      </c>
      <c r="C1368">
        <f>TRIM(SUBSTITUTE(INDEX('Term investments'!$C:$C,ROW())&amp;""," "," "))</f>
        <v/>
      </c>
      <c r="D1368">
        <f>IFERROR(--INDEX('Term investments'!$D:$D,ROW()),0)</f>
        <v/>
      </c>
      <c r="E1368">
        <f>IFERROR(--INDEX('Term investments'!$E:$E,ROW()),0)</f>
        <v/>
      </c>
      <c r="F1368">
        <f>IFERROR(--INDEX('Term investments'!$F:$F,ROW()),0)</f>
        <v/>
      </c>
      <c r="G1368">
        <f>IFERROR(IF(--INDEX('Term investments'!$G:$G,ROW())&gt;=1,--INDEX('Term investments'!$G:$G,ROW())/100,--INDEX('Term investments'!$G:$G,ROW())),0)</f>
        <v/>
      </c>
      <c r="H1368">
        <f>IFERROR(--INDEX('Term investments'!$H:$H,ROW()),0)</f>
        <v/>
      </c>
      <c r="I1368">
        <f>IF(ISNUMBER(INDEX('Term investments'!$G:$G,ROW())),1,0)</f>
        <v/>
      </c>
      <c r="J1368">
        <f>TRIM(SUBSTITUTE(INDEX('Call accounts and MMFs'!$A:$A,ROW())&amp;""," "," "))</f>
        <v/>
      </c>
      <c r="K1368">
        <f>TRIM(SUBSTITUTE(INDEX('Call accounts and MMFs'!$B:$B,ROW())&amp;""," "," "))</f>
        <v/>
      </c>
      <c r="L1368">
        <f>TRIM(SUBSTITUTE(INDEX('Call accounts and MMFs'!$C:$C,ROW())&amp;""," "," "))</f>
        <v/>
      </c>
      <c r="M1368">
        <f>IFERROR(--INDEX('Call accounts and MMFs'!$D:$D,ROW()),0)</f>
        <v/>
      </c>
      <c r="N1368">
        <f>IFERROR(IF(--INDEX('Call accounts and MMFs'!$E:$E,ROW())&gt;=1,--INDEX('Call accounts and MMFs'!$E:$E,ROW())/100,--INDEX('Call accounts and MMFs'!$E:$E,ROW())),0)</f>
        <v/>
      </c>
      <c r="O1368">
        <f>IFERROR(--INDEX('Call accounts and MMFs'!$F:$F,ROW()),0)</f>
        <v/>
      </c>
      <c r="P1368">
        <f>IF(ISNUMBER(INDEX('Call accounts and MMFs'!$E:$E,ROW())),1,0)</f>
        <v/>
      </c>
      <c r="Q1368">
        <f>TRIM(SUBSTITUTE(INDEX('Pooled funds'!$B:$B,ROW())&amp;""," "," "))</f>
        <v/>
      </c>
      <c r="R1368">
        <f>IFERROR(--INDEX('Pooled funds'!$C:$C,ROW()),0)</f>
        <v/>
      </c>
      <c r="S1368">
        <f>IFERROR(--INDEX('Pooled funds'!$D:$D,ROW()),0)</f>
        <v/>
      </c>
      <c r="T1368">
        <f>IFERROR(IF(--INDEX('Pooled funds'!$E:$E,ROW())&gt;=1,--INDEX('Pooled funds'!$E:$E,ROW())/100,--INDEX('Pooled funds'!$E:$E,ROW())),0)</f>
        <v/>
      </c>
      <c r="U1368">
        <f>IF(ISNUMBER(INDEX('Pooled funds'!$E:$E,ROW())),1,0)</f>
        <v/>
      </c>
    </row>
    <row r="1369">
      <c r="A1369">
        <f>TRIM(SUBSTITUTE(INDEX('Term investments'!$A:$A,ROW())&amp;""," "," "))</f>
        <v/>
      </c>
      <c r="B1369">
        <f>TRIM(SUBSTITUTE(INDEX('Term investments'!$B:$B,ROW())&amp;""," "," "))</f>
        <v/>
      </c>
      <c r="C1369">
        <f>TRIM(SUBSTITUTE(INDEX('Term investments'!$C:$C,ROW())&amp;""," "," "))</f>
        <v/>
      </c>
      <c r="D1369">
        <f>IFERROR(--INDEX('Term investments'!$D:$D,ROW()),0)</f>
        <v/>
      </c>
      <c r="E1369">
        <f>IFERROR(--INDEX('Term investments'!$E:$E,ROW()),0)</f>
        <v/>
      </c>
      <c r="F1369">
        <f>IFERROR(--INDEX('Term investments'!$F:$F,ROW()),0)</f>
        <v/>
      </c>
      <c r="G1369">
        <f>IFERROR(IF(--INDEX('Term investments'!$G:$G,ROW())&gt;=1,--INDEX('Term investments'!$G:$G,ROW())/100,--INDEX('Term investments'!$G:$G,ROW())),0)</f>
        <v/>
      </c>
      <c r="H1369">
        <f>IFERROR(--INDEX('Term investments'!$H:$H,ROW()),0)</f>
        <v/>
      </c>
      <c r="I1369">
        <f>IF(ISNUMBER(INDEX('Term investments'!$G:$G,ROW())),1,0)</f>
        <v/>
      </c>
      <c r="J1369">
        <f>TRIM(SUBSTITUTE(INDEX('Call accounts and MMFs'!$A:$A,ROW())&amp;""," "," "))</f>
        <v/>
      </c>
      <c r="K1369">
        <f>TRIM(SUBSTITUTE(INDEX('Call accounts and MMFs'!$B:$B,ROW())&amp;""," "," "))</f>
        <v/>
      </c>
      <c r="L1369">
        <f>TRIM(SUBSTITUTE(INDEX('Call accounts and MMFs'!$C:$C,ROW())&amp;""," "," "))</f>
        <v/>
      </c>
      <c r="M1369">
        <f>IFERROR(--INDEX('Call accounts and MMFs'!$D:$D,ROW()),0)</f>
        <v/>
      </c>
      <c r="N1369">
        <f>IFERROR(IF(--INDEX('Call accounts and MMFs'!$E:$E,ROW())&gt;=1,--INDEX('Call accounts and MMFs'!$E:$E,ROW())/100,--INDEX('Call accounts and MMFs'!$E:$E,ROW())),0)</f>
        <v/>
      </c>
      <c r="O1369">
        <f>IFERROR(--INDEX('Call accounts and MMFs'!$F:$F,ROW()),0)</f>
        <v/>
      </c>
      <c r="P1369">
        <f>IF(ISNUMBER(INDEX('Call accounts and MMFs'!$E:$E,ROW())),1,0)</f>
        <v/>
      </c>
      <c r="Q1369">
        <f>TRIM(SUBSTITUTE(INDEX('Pooled funds'!$B:$B,ROW())&amp;""," "," "))</f>
        <v/>
      </c>
      <c r="R1369">
        <f>IFERROR(--INDEX('Pooled funds'!$C:$C,ROW()),0)</f>
        <v/>
      </c>
      <c r="S1369">
        <f>IFERROR(--INDEX('Pooled funds'!$D:$D,ROW()),0)</f>
        <v/>
      </c>
      <c r="T1369">
        <f>IFERROR(IF(--INDEX('Pooled funds'!$E:$E,ROW())&gt;=1,--INDEX('Pooled funds'!$E:$E,ROW())/100,--INDEX('Pooled funds'!$E:$E,ROW())),0)</f>
        <v/>
      </c>
      <c r="U1369">
        <f>IF(ISNUMBER(INDEX('Pooled funds'!$E:$E,ROW())),1,0)</f>
        <v/>
      </c>
    </row>
    <row r="1370">
      <c r="A1370">
        <f>TRIM(SUBSTITUTE(INDEX('Term investments'!$A:$A,ROW())&amp;""," "," "))</f>
        <v/>
      </c>
      <c r="B1370">
        <f>TRIM(SUBSTITUTE(INDEX('Term investments'!$B:$B,ROW())&amp;""," "," "))</f>
        <v/>
      </c>
      <c r="C1370">
        <f>TRIM(SUBSTITUTE(INDEX('Term investments'!$C:$C,ROW())&amp;""," "," "))</f>
        <v/>
      </c>
      <c r="D1370">
        <f>IFERROR(--INDEX('Term investments'!$D:$D,ROW()),0)</f>
        <v/>
      </c>
      <c r="E1370">
        <f>IFERROR(--INDEX('Term investments'!$E:$E,ROW()),0)</f>
        <v/>
      </c>
      <c r="F1370">
        <f>IFERROR(--INDEX('Term investments'!$F:$F,ROW()),0)</f>
        <v/>
      </c>
      <c r="G1370">
        <f>IFERROR(IF(--INDEX('Term investments'!$G:$G,ROW())&gt;=1,--INDEX('Term investments'!$G:$G,ROW())/100,--INDEX('Term investments'!$G:$G,ROW())),0)</f>
        <v/>
      </c>
      <c r="H1370">
        <f>IFERROR(--INDEX('Term investments'!$H:$H,ROW()),0)</f>
        <v/>
      </c>
      <c r="I1370">
        <f>IF(ISNUMBER(INDEX('Term investments'!$G:$G,ROW())),1,0)</f>
        <v/>
      </c>
      <c r="J1370">
        <f>TRIM(SUBSTITUTE(INDEX('Call accounts and MMFs'!$A:$A,ROW())&amp;""," "," "))</f>
        <v/>
      </c>
      <c r="K1370">
        <f>TRIM(SUBSTITUTE(INDEX('Call accounts and MMFs'!$B:$B,ROW())&amp;""," "," "))</f>
        <v/>
      </c>
      <c r="L1370">
        <f>TRIM(SUBSTITUTE(INDEX('Call accounts and MMFs'!$C:$C,ROW())&amp;""," "," "))</f>
        <v/>
      </c>
      <c r="M1370">
        <f>IFERROR(--INDEX('Call accounts and MMFs'!$D:$D,ROW()),0)</f>
        <v/>
      </c>
      <c r="N1370">
        <f>IFERROR(IF(--INDEX('Call accounts and MMFs'!$E:$E,ROW())&gt;=1,--INDEX('Call accounts and MMFs'!$E:$E,ROW())/100,--INDEX('Call accounts and MMFs'!$E:$E,ROW())),0)</f>
        <v/>
      </c>
      <c r="O1370">
        <f>IFERROR(--INDEX('Call accounts and MMFs'!$F:$F,ROW()),0)</f>
        <v/>
      </c>
      <c r="P1370">
        <f>IF(ISNUMBER(INDEX('Call accounts and MMFs'!$E:$E,ROW())),1,0)</f>
        <v/>
      </c>
      <c r="Q1370">
        <f>TRIM(SUBSTITUTE(INDEX('Pooled funds'!$B:$B,ROW())&amp;""," "," "))</f>
        <v/>
      </c>
      <c r="R1370">
        <f>IFERROR(--INDEX('Pooled funds'!$C:$C,ROW()),0)</f>
        <v/>
      </c>
      <c r="S1370">
        <f>IFERROR(--INDEX('Pooled funds'!$D:$D,ROW()),0)</f>
        <v/>
      </c>
      <c r="T1370">
        <f>IFERROR(IF(--INDEX('Pooled funds'!$E:$E,ROW())&gt;=1,--INDEX('Pooled funds'!$E:$E,ROW())/100,--INDEX('Pooled funds'!$E:$E,ROW())),0)</f>
        <v/>
      </c>
      <c r="U1370">
        <f>IF(ISNUMBER(INDEX('Pooled funds'!$E:$E,ROW())),1,0)</f>
        <v/>
      </c>
    </row>
    <row r="1371">
      <c r="A1371">
        <f>TRIM(SUBSTITUTE(INDEX('Term investments'!$A:$A,ROW())&amp;""," "," "))</f>
        <v/>
      </c>
      <c r="B1371">
        <f>TRIM(SUBSTITUTE(INDEX('Term investments'!$B:$B,ROW())&amp;""," "," "))</f>
        <v/>
      </c>
      <c r="C1371">
        <f>TRIM(SUBSTITUTE(INDEX('Term investments'!$C:$C,ROW())&amp;""," "," "))</f>
        <v/>
      </c>
      <c r="D1371">
        <f>IFERROR(--INDEX('Term investments'!$D:$D,ROW()),0)</f>
        <v/>
      </c>
      <c r="E1371">
        <f>IFERROR(--INDEX('Term investments'!$E:$E,ROW()),0)</f>
        <v/>
      </c>
      <c r="F1371">
        <f>IFERROR(--INDEX('Term investments'!$F:$F,ROW()),0)</f>
        <v/>
      </c>
      <c r="G1371">
        <f>IFERROR(IF(--INDEX('Term investments'!$G:$G,ROW())&gt;=1,--INDEX('Term investments'!$G:$G,ROW())/100,--INDEX('Term investments'!$G:$G,ROW())),0)</f>
        <v/>
      </c>
      <c r="H1371">
        <f>IFERROR(--INDEX('Term investments'!$H:$H,ROW()),0)</f>
        <v/>
      </c>
      <c r="I1371">
        <f>IF(ISNUMBER(INDEX('Term investments'!$G:$G,ROW())),1,0)</f>
        <v/>
      </c>
      <c r="J1371">
        <f>TRIM(SUBSTITUTE(INDEX('Call accounts and MMFs'!$A:$A,ROW())&amp;""," "," "))</f>
        <v/>
      </c>
      <c r="K1371">
        <f>TRIM(SUBSTITUTE(INDEX('Call accounts and MMFs'!$B:$B,ROW())&amp;""," "," "))</f>
        <v/>
      </c>
      <c r="L1371">
        <f>TRIM(SUBSTITUTE(INDEX('Call accounts and MMFs'!$C:$C,ROW())&amp;""," "," "))</f>
        <v/>
      </c>
      <c r="M1371">
        <f>IFERROR(--INDEX('Call accounts and MMFs'!$D:$D,ROW()),0)</f>
        <v/>
      </c>
      <c r="N1371">
        <f>IFERROR(IF(--INDEX('Call accounts and MMFs'!$E:$E,ROW())&gt;=1,--INDEX('Call accounts and MMFs'!$E:$E,ROW())/100,--INDEX('Call accounts and MMFs'!$E:$E,ROW())),0)</f>
        <v/>
      </c>
      <c r="O1371">
        <f>IFERROR(--INDEX('Call accounts and MMFs'!$F:$F,ROW()),0)</f>
        <v/>
      </c>
      <c r="P1371">
        <f>IF(ISNUMBER(INDEX('Call accounts and MMFs'!$E:$E,ROW())),1,0)</f>
        <v/>
      </c>
      <c r="Q1371">
        <f>TRIM(SUBSTITUTE(INDEX('Pooled funds'!$B:$B,ROW())&amp;""," "," "))</f>
        <v/>
      </c>
      <c r="R1371">
        <f>IFERROR(--INDEX('Pooled funds'!$C:$C,ROW()),0)</f>
        <v/>
      </c>
      <c r="S1371">
        <f>IFERROR(--INDEX('Pooled funds'!$D:$D,ROW()),0)</f>
        <v/>
      </c>
      <c r="T1371">
        <f>IFERROR(IF(--INDEX('Pooled funds'!$E:$E,ROW())&gt;=1,--INDEX('Pooled funds'!$E:$E,ROW())/100,--INDEX('Pooled funds'!$E:$E,ROW())),0)</f>
        <v/>
      </c>
      <c r="U1371">
        <f>IF(ISNUMBER(INDEX('Pooled funds'!$E:$E,ROW())),1,0)</f>
        <v/>
      </c>
    </row>
    <row r="1372">
      <c r="A1372">
        <f>TRIM(SUBSTITUTE(INDEX('Term investments'!$A:$A,ROW())&amp;""," "," "))</f>
        <v/>
      </c>
      <c r="B1372">
        <f>TRIM(SUBSTITUTE(INDEX('Term investments'!$B:$B,ROW())&amp;""," "," "))</f>
        <v/>
      </c>
      <c r="C1372">
        <f>TRIM(SUBSTITUTE(INDEX('Term investments'!$C:$C,ROW())&amp;""," "," "))</f>
        <v/>
      </c>
      <c r="D1372">
        <f>IFERROR(--INDEX('Term investments'!$D:$D,ROW()),0)</f>
        <v/>
      </c>
      <c r="E1372">
        <f>IFERROR(--INDEX('Term investments'!$E:$E,ROW()),0)</f>
        <v/>
      </c>
      <c r="F1372">
        <f>IFERROR(--INDEX('Term investments'!$F:$F,ROW()),0)</f>
        <v/>
      </c>
      <c r="G1372">
        <f>IFERROR(IF(--INDEX('Term investments'!$G:$G,ROW())&gt;=1,--INDEX('Term investments'!$G:$G,ROW())/100,--INDEX('Term investments'!$G:$G,ROW())),0)</f>
        <v/>
      </c>
      <c r="H1372">
        <f>IFERROR(--INDEX('Term investments'!$H:$H,ROW()),0)</f>
        <v/>
      </c>
      <c r="I1372">
        <f>IF(ISNUMBER(INDEX('Term investments'!$G:$G,ROW())),1,0)</f>
        <v/>
      </c>
      <c r="J1372">
        <f>TRIM(SUBSTITUTE(INDEX('Call accounts and MMFs'!$A:$A,ROW())&amp;""," "," "))</f>
        <v/>
      </c>
      <c r="K1372">
        <f>TRIM(SUBSTITUTE(INDEX('Call accounts and MMFs'!$B:$B,ROW())&amp;""," "," "))</f>
        <v/>
      </c>
      <c r="L1372">
        <f>TRIM(SUBSTITUTE(INDEX('Call accounts and MMFs'!$C:$C,ROW())&amp;""," "," "))</f>
        <v/>
      </c>
      <c r="M1372">
        <f>IFERROR(--INDEX('Call accounts and MMFs'!$D:$D,ROW()),0)</f>
        <v/>
      </c>
      <c r="N1372">
        <f>IFERROR(IF(--INDEX('Call accounts and MMFs'!$E:$E,ROW())&gt;=1,--INDEX('Call accounts and MMFs'!$E:$E,ROW())/100,--INDEX('Call accounts and MMFs'!$E:$E,ROW())),0)</f>
        <v/>
      </c>
      <c r="O1372">
        <f>IFERROR(--INDEX('Call accounts and MMFs'!$F:$F,ROW()),0)</f>
        <v/>
      </c>
      <c r="P1372">
        <f>IF(ISNUMBER(INDEX('Call accounts and MMFs'!$E:$E,ROW())),1,0)</f>
        <v/>
      </c>
      <c r="Q1372">
        <f>TRIM(SUBSTITUTE(INDEX('Pooled funds'!$B:$B,ROW())&amp;""," "," "))</f>
        <v/>
      </c>
      <c r="R1372">
        <f>IFERROR(--INDEX('Pooled funds'!$C:$C,ROW()),0)</f>
        <v/>
      </c>
      <c r="S1372">
        <f>IFERROR(--INDEX('Pooled funds'!$D:$D,ROW()),0)</f>
        <v/>
      </c>
      <c r="T1372">
        <f>IFERROR(IF(--INDEX('Pooled funds'!$E:$E,ROW())&gt;=1,--INDEX('Pooled funds'!$E:$E,ROW())/100,--INDEX('Pooled funds'!$E:$E,ROW())),0)</f>
        <v/>
      </c>
      <c r="U1372">
        <f>IF(ISNUMBER(INDEX('Pooled funds'!$E:$E,ROW())),1,0)</f>
        <v/>
      </c>
    </row>
    <row r="1373">
      <c r="A1373">
        <f>TRIM(SUBSTITUTE(INDEX('Term investments'!$A:$A,ROW())&amp;""," "," "))</f>
        <v/>
      </c>
      <c r="B1373">
        <f>TRIM(SUBSTITUTE(INDEX('Term investments'!$B:$B,ROW())&amp;""," "," "))</f>
        <v/>
      </c>
      <c r="C1373">
        <f>TRIM(SUBSTITUTE(INDEX('Term investments'!$C:$C,ROW())&amp;""," "," "))</f>
        <v/>
      </c>
      <c r="D1373">
        <f>IFERROR(--INDEX('Term investments'!$D:$D,ROW()),0)</f>
        <v/>
      </c>
      <c r="E1373">
        <f>IFERROR(--INDEX('Term investments'!$E:$E,ROW()),0)</f>
        <v/>
      </c>
      <c r="F1373">
        <f>IFERROR(--INDEX('Term investments'!$F:$F,ROW()),0)</f>
        <v/>
      </c>
      <c r="G1373">
        <f>IFERROR(IF(--INDEX('Term investments'!$G:$G,ROW())&gt;=1,--INDEX('Term investments'!$G:$G,ROW())/100,--INDEX('Term investments'!$G:$G,ROW())),0)</f>
        <v/>
      </c>
      <c r="H1373">
        <f>IFERROR(--INDEX('Term investments'!$H:$H,ROW()),0)</f>
        <v/>
      </c>
      <c r="I1373">
        <f>IF(ISNUMBER(INDEX('Term investments'!$G:$G,ROW())),1,0)</f>
        <v/>
      </c>
      <c r="J1373">
        <f>TRIM(SUBSTITUTE(INDEX('Call accounts and MMFs'!$A:$A,ROW())&amp;""," "," "))</f>
        <v/>
      </c>
      <c r="K1373">
        <f>TRIM(SUBSTITUTE(INDEX('Call accounts and MMFs'!$B:$B,ROW())&amp;""," "," "))</f>
        <v/>
      </c>
      <c r="L1373">
        <f>TRIM(SUBSTITUTE(INDEX('Call accounts and MMFs'!$C:$C,ROW())&amp;""," "," "))</f>
        <v/>
      </c>
      <c r="M1373">
        <f>IFERROR(--INDEX('Call accounts and MMFs'!$D:$D,ROW()),0)</f>
        <v/>
      </c>
      <c r="N1373">
        <f>IFERROR(IF(--INDEX('Call accounts and MMFs'!$E:$E,ROW())&gt;=1,--INDEX('Call accounts and MMFs'!$E:$E,ROW())/100,--INDEX('Call accounts and MMFs'!$E:$E,ROW())),0)</f>
        <v/>
      </c>
      <c r="O1373">
        <f>IFERROR(--INDEX('Call accounts and MMFs'!$F:$F,ROW()),0)</f>
        <v/>
      </c>
      <c r="P1373">
        <f>IF(ISNUMBER(INDEX('Call accounts and MMFs'!$E:$E,ROW())),1,0)</f>
        <v/>
      </c>
      <c r="Q1373">
        <f>TRIM(SUBSTITUTE(INDEX('Pooled funds'!$B:$B,ROW())&amp;""," "," "))</f>
        <v/>
      </c>
      <c r="R1373">
        <f>IFERROR(--INDEX('Pooled funds'!$C:$C,ROW()),0)</f>
        <v/>
      </c>
      <c r="S1373">
        <f>IFERROR(--INDEX('Pooled funds'!$D:$D,ROW()),0)</f>
        <v/>
      </c>
      <c r="T1373">
        <f>IFERROR(IF(--INDEX('Pooled funds'!$E:$E,ROW())&gt;=1,--INDEX('Pooled funds'!$E:$E,ROW())/100,--INDEX('Pooled funds'!$E:$E,ROW())),0)</f>
        <v/>
      </c>
      <c r="U1373">
        <f>IF(ISNUMBER(INDEX('Pooled funds'!$E:$E,ROW())),1,0)</f>
        <v/>
      </c>
    </row>
    <row r="1374">
      <c r="A1374">
        <f>TRIM(SUBSTITUTE(INDEX('Term investments'!$A:$A,ROW())&amp;""," "," "))</f>
        <v/>
      </c>
      <c r="B1374">
        <f>TRIM(SUBSTITUTE(INDEX('Term investments'!$B:$B,ROW())&amp;""," "," "))</f>
        <v/>
      </c>
      <c r="C1374">
        <f>TRIM(SUBSTITUTE(INDEX('Term investments'!$C:$C,ROW())&amp;""," "," "))</f>
        <v/>
      </c>
      <c r="D1374">
        <f>IFERROR(--INDEX('Term investments'!$D:$D,ROW()),0)</f>
        <v/>
      </c>
      <c r="E1374">
        <f>IFERROR(--INDEX('Term investments'!$E:$E,ROW()),0)</f>
        <v/>
      </c>
      <c r="F1374">
        <f>IFERROR(--INDEX('Term investments'!$F:$F,ROW()),0)</f>
        <v/>
      </c>
      <c r="G1374">
        <f>IFERROR(IF(--INDEX('Term investments'!$G:$G,ROW())&gt;=1,--INDEX('Term investments'!$G:$G,ROW())/100,--INDEX('Term investments'!$G:$G,ROW())),0)</f>
        <v/>
      </c>
      <c r="H1374">
        <f>IFERROR(--INDEX('Term investments'!$H:$H,ROW()),0)</f>
        <v/>
      </c>
      <c r="I1374">
        <f>IF(ISNUMBER(INDEX('Term investments'!$G:$G,ROW())),1,0)</f>
        <v/>
      </c>
      <c r="J1374">
        <f>TRIM(SUBSTITUTE(INDEX('Call accounts and MMFs'!$A:$A,ROW())&amp;""," "," "))</f>
        <v/>
      </c>
      <c r="K1374">
        <f>TRIM(SUBSTITUTE(INDEX('Call accounts and MMFs'!$B:$B,ROW())&amp;""," "," "))</f>
        <v/>
      </c>
      <c r="L1374">
        <f>TRIM(SUBSTITUTE(INDEX('Call accounts and MMFs'!$C:$C,ROW())&amp;""," "," "))</f>
        <v/>
      </c>
      <c r="M1374">
        <f>IFERROR(--INDEX('Call accounts and MMFs'!$D:$D,ROW()),0)</f>
        <v/>
      </c>
      <c r="N1374">
        <f>IFERROR(IF(--INDEX('Call accounts and MMFs'!$E:$E,ROW())&gt;=1,--INDEX('Call accounts and MMFs'!$E:$E,ROW())/100,--INDEX('Call accounts and MMFs'!$E:$E,ROW())),0)</f>
        <v/>
      </c>
      <c r="O1374">
        <f>IFERROR(--INDEX('Call accounts and MMFs'!$F:$F,ROW()),0)</f>
        <v/>
      </c>
      <c r="P1374">
        <f>IF(ISNUMBER(INDEX('Call accounts and MMFs'!$E:$E,ROW())),1,0)</f>
        <v/>
      </c>
      <c r="Q1374">
        <f>TRIM(SUBSTITUTE(INDEX('Pooled funds'!$B:$B,ROW())&amp;""," "," "))</f>
        <v/>
      </c>
      <c r="R1374">
        <f>IFERROR(--INDEX('Pooled funds'!$C:$C,ROW()),0)</f>
        <v/>
      </c>
      <c r="S1374">
        <f>IFERROR(--INDEX('Pooled funds'!$D:$D,ROW()),0)</f>
        <v/>
      </c>
      <c r="T1374">
        <f>IFERROR(IF(--INDEX('Pooled funds'!$E:$E,ROW())&gt;=1,--INDEX('Pooled funds'!$E:$E,ROW())/100,--INDEX('Pooled funds'!$E:$E,ROW())),0)</f>
        <v/>
      </c>
      <c r="U1374">
        <f>IF(ISNUMBER(INDEX('Pooled funds'!$E:$E,ROW())),1,0)</f>
        <v/>
      </c>
    </row>
    <row r="1375">
      <c r="A1375">
        <f>TRIM(SUBSTITUTE(INDEX('Term investments'!$A:$A,ROW())&amp;""," "," "))</f>
        <v/>
      </c>
      <c r="B1375">
        <f>TRIM(SUBSTITUTE(INDEX('Term investments'!$B:$B,ROW())&amp;""," "," "))</f>
        <v/>
      </c>
      <c r="C1375">
        <f>TRIM(SUBSTITUTE(INDEX('Term investments'!$C:$C,ROW())&amp;""," "," "))</f>
        <v/>
      </c>
      <c r="D1375">
        <f>IFERROR(--INDEX('Term investments'!$D:$D,ROW()),0)</f>
        <v/>
      </c>
      <c r="E1375">
        <f>IFERROR(--INDEX('Term investments'!$E:$E,ROW()),0)</f>
        <v/>
      </c>
      <c r="F1375">
        <f>IFERROR(--INDEX('Term investments'!$F:$F,ROW()),0)</f>
        <v/>
      </c>
      <c r="G1375">
        <f>IFERROR(IF(--INDEX('Term investments'!$G:$G,ROW())&gt;=1,--INDEX('Term investments'!$G:$G,ROW())/100,--INDEX('Term investments'!$G:$G,ROW())),0)</f>
        <v/>
      </c>
      <c r="H1375">
        <f>IFERROR(--INDEX('Term investments'!$H:$H,ROW()),0)</f>
        <v/>
      </c>
      <c r="I1375">
        <f>IF(ISNUMBER(INDEX('Term investments'!$G:$G,ROW())),1,0)</f>
        <v/>
      </c>
      <c r="J1375">
        <f>TRIM(SUBSTITUTE(INDEX('Call accounts and MMFs'!$A:$A,ROW())&amp;""," "," "))</f>
        <v/>
      </c>
      <c r="K1375">
        <f>TRIM(SUBSTITUTE(INDEX('Call accounts and MMFs'!$B:$B,ROW())&amp;""," "," "))</f>
        <v/>
      </c>
      <c r="L1375">
        <f>TRIM(SUBSTITUTE(INDEX('Call accounts and MMFs'!$C:$C,ROW())&amp;""," "," "))</f>
        <v/>
      </c>
      <c r="M1375">
        <f>IFERROR(--INDEX('Call accounts and MMFs'!$D:$D,ROW()),0)</f>
        <v/>
      </c>
      <c r="N1375">
        <f>IFERROR(IF(--INDEX('Call accounts and MMFs'!$E:$E,ROW())&gt;=1,--INDEX('Call accounts and MMFs'!$E:$E,ROW())/100,--INDEX('Call accounts and MMFs'!$E:$E,ROW())),0)</f>
        <v/>
      </c>
      <c r="O1375">
        <f>IFERROR(--INDEX('Call accounts and MMFs'!$F:$F,ROW()),0)</f>
        <v/>
      </c>
      <c r="P1375">
        <f>IF(ISNUMBER(INDEX('Call accounts and MMFs'!$E:$E,ROW())),1,0)</f>
        <v/>
      </c>
      <c r="Q1375">
        <f>TRIM(SUBSTITUTE(INDEX('Pooled funds'!$B:$B,ROW())&amp;""," "," "))</f>
        <v/>
      </c>
      <c r="R1375">
        <f>IFERROR(--INDEX('Pooled funds'!$C:$C,ROW()),0)</f>
        <v/>
      </c>
      <c r="S1375">
        <f>IFERROR(--INDEX('Pooled funds'!$D:$D,ROW()),0)</f>
        <v/>
      </c>
      <c r="T1375">
        <f>IFERROR(IF(--INDEX('Pooled funds'!$E:$E,ROW())&gt;=1,--INDEX('Pooled funds'!$E:$E,ROW())/100,--INDEX('Pooled funds'!$E:$E,ROW())),0)</f>
        <v/>
      </c>
      <c r="U1375">
        <f>IF(ISNUMBER(INDEX('Pooled funds'!$E:$E,ROW())),1,0)</f>
        <v/>
      </c>
    </row>
    <row r="1376">
      <c r="A1376">
        <f>TRIM(SUBSTITUTE(INDEX('Term investments'!$A:$A,ROW())&amp;""," "," "))</f>
        <v/>
      </c>
      <c r="B1376">
        <f>TRIM(SUBSTITUTE(INDEX('Term investments'!$B:$B,ROW())&amp;""," "," "))</f>
        <v/>
      </c>
      <c r="C1376">
        <f>TRIM(SUBSTITUTE(INDEX('Term investments'!$C:$C,ROW())&amp;""," "," "))</f>
        <v/>
      </c>
      <c r="D1376">
        <f>IFERROR(--INDEX('Term investments'!$D:$D,ROW()),0)</f>
        <v/>
      </c>
      <c r="E1376">
        <f>IFERROR(--INDEX('Term investments'!$E:$E,ROW()),0)</f>
        <v/>
      </c>
      <c r="F1376">
        <f>IFERROR(--INDEX('Term investments'!$F:$F,ROW()),0)</f>
        <v/>
      </c>
      <c r="G1376">
        <f>IFERROR(IF(--INDEX('Term investments'!$G:$G,ROW())&gt;=1,--INDEX('Term investments'!$G:$G,ROW())/100,--INDEX('Term investments'!$G:$G,ROW())),0)</f>
        <v/>
      </c>
      <c r="H1376">
        <f>IFERROR(--INDEX('Term investments'!$H:$H,ROW()),0)</f>
        <v/>
      </c>
      <c r="I1376">
        <f>IF(ISNUMBER(INDEX('Term investments'!$G:$G,ROW())),1,0)</f>
        <v/>
      </c>
      <c r="J1376">
        <f>TRIM(SUBSTITUTE(INDEX('Call accounts and MMFs'!$A:$A,ROW())&amp;""," "," "))</f>
        <v/>
      </c>
      <c r="K1376">
        <f>TRIM(SUBSTITUTE(INDEX('Call accounts and MMFs'!$B:$B,ROW())&amp;""," "," "))</f>
        <v/>
      </c>
      <c r="L1376">
        <f>TRIM(SUBSTITUTE(INDEX('Call accounts and MMFs'!$C:$C,ROW())&amp;""," "," "))</f>
        <v/>
      </c>
      <c r="M1376">
        <f>IFERROR(--INDEX('Call accounts and MMFs'!$D:$D,ROW()),0)</f>
        <v/>
      </c>
      <c r="N1376">
        <f>IFERROR(IF(--INDEX('Call accounts and MMFs'!$E:$E,ROW())&gt;=1,--INDEX('Call accounts and MMFs'!$E:$E,ROW())/100,--INDEX('Call accounts and MMFs'!$E:$E,ROW())),0)</f>
        <v/>
      </c>
      <c r="O1376">
        <f>IFERROR(--INDEX('Call accounts and MMFs'!$F:$F,ROW()),0)</f>
        <v/>
      </c>
      <c r="P1376">
        <f>IF(ISNUMBER(INDEX('Call accounts and MMFs'!$E:$E,ROW())),1,0)</f>
        <v/>
      </c>
      <c r="Q1376">
        <f>TRIM(SUBSTITUTE(INDEX('Pooled funds'!$B:$B,ROW())&amp;""," "," "))</f>
        <v/>
      </c>
      <c r="R1376">
        <f>IFERROR(--INDEX('Pooled funds'!$C:$C,ROW()),0)</f>
        <v/>
      </c>
      <c r="S1376">
        <f>IFERROR(--INDEX('Pooled funds'!$D:$D,ROW()),0)</f>
        <v/>
      </c>
      <c r="T1376">
        <f>IFERROR(IF(--INDEX('Pooled funds'!$E:$E,ROW())&gt;=1,--INDEX('Pooled funds'!$E:$E,ROW())/100,--INDEX('Pooled funds'!$E:$E,ROW())),0)</f>
        <v/>
      </c>
      <c r="U1376">
        <f>IF(ISNUMBER(INDEX('Pooled funds'!$E:$E,ROW())),1,0)</f>
        <v/>
      </c>
    </row>
    <row r="1377">
      <c r="A1377">
        <f>TRIM(SUBSTITUTE(INDEX('Term investments'!$A:$A,ROW())&amp;""," "," "))</f>
        <v/>
      </c>
      <c r="B1377">
        <f>TRIM(SUBSTITUTE(INDEX('Term investments'!$B:$B,ROW())&amp;""," "," "))</f>
        <v/>
      </c>
      <c r="C1377">
        <f>TRIM(SUBSTITUTE(INDEX('Term investments'!$C:$C,ROW())&amp;""," "," "))</f>
        <v/>
      </c>
      <c r="D1377">
        <f>IFERROR(--INDEX('Term investments'!$D:$D,ROW()),0)</f>
        <v/>
      </c>
      <c r="E1377">
        <f>IFERROR(--INDEX('Term investments'!$E:$E,ROW()),0)</f>
        <v/>
      </c>
      <c r="F1377">
        <f>IFERROR(--INDEX('Term investments'!$F:$F,ROW()),0)</f>
        <v/>
      </c>
      <c r="G1377">
        <f>IFERROR(IF(--INDEX('Term investments'!$G:$G,ROW())&gt;=1,--INDEX('Term investments'!$G:$G,ROW())/100,--INDEX('Term investments'!$G:$G,ROW())),0)</f>
        <v/>
      </c>
      <c r="H1377">
        <f>IFERROR(--INDEX('Term investments'!$H:$H,ROW()),0)</f>
        <v/>
      </c>
      <c r="I1377">
        <f>IF(ISNUMBER(INDEX('Term investments'!$G:$G,ROW())),1,0)</f>
        <v/>
      </c>
      <c r="J1377">
        <f>TRIM(SUBSTITUTE(INDEX('Call accounts and MMFs'!$A:$A,ROW())&amp;""," "," "))</f>
        <v/>
      </c>
      <c r="K1377">
        <f>TRIM(SUBSTITUTE(INDEX('Call accounts and MMFs'!$B:$B,ROW())&amp;""," "," "))</f>
        <v/>
      </c>
      <c r="L1377">
        <f>TRIM(SUBSTITUTE(INDEX('Call accounts and MMFs'!$C:$C,ROW())&amp;""," "," "))</f>
        <v/>
      </c>
      <c r="M1377">
        <f>IFERROR(--INDEX('Call accounts and MMFs'!$D:$D,ROW()),0)</f>
        <v/>
      </c>
      <c r="N1377">
        <f>IFERROR(IF(--INDEX('Call accounts and MMFs'!$E:$E,ROW())&gt;=1,--INDEX('Call accounts and MMFs'!$E:$E,ROW())/100,--INDEX('Call accounts and MMFs'!$E:$E,ROW())),0)</f>
        <v/>
      </c>
      <c r="O1377">
        <f>IFERROR(--INDEX('Call accounts and MMFs'!$F:$F,ROW()),0)</f>
        <v/>
      </c>
      <c r="P1377">
        <f>IF(ISNUMBER(INDEX('Call accounts and MMFs'!$E:$E,ROW())),1,0)</f>
        <v/>
      </c>
      <c r="Q1377">
        <f>TRIM(SUBSTITUTE(INDEX('Pooled funds'!$B:$B,ROW())&amp;""," "," "))</f>
        <v/>
      </c>
      <c r="R1377">
        <f>IFERROR(--INDEX('Pooled funds'!$C:$C,ROW()),0)</f>
        <v/>
      </c>
      <c r="S1377">
        <f>IFERROR(--INDEX('Pooled funds'!$D:$D,ROW()),0)</f>
        <v/>
      </c>
      <c r="T1377">
        <f>IFERROR(IF(--INDEX('Pooled funds'!$E:$E,ROW())&gt;=1,--INDEX('Pooled funds'!$E:$E,ROW())/100,--INDEX('Pooled funds'!$E:$E,ROW())),0)</f>
        <v/>
      </c>
      <c r="U1377">
        <f>IF(ISNUMBER(INDEX('Pooled funds'!$E:$E,ROW())),1,0)</f>
        <v/>
      </c>
    </row>
    <row r="1378">
      <c r="A1378">
        <f>TRIM(SUBSTITUTE(INDEX('Term investments'!$A:$A,ROW())&amp;""," "," "))</f>
        <v/>
      </c>
      <c r="B1378">
        <f>TRIM(SUBSTITUTE(INDEX('Term investments'!$B:$B,ROW())&amp;""," "," "))</f>
        <v/>
      </c>
      <c r="C1378">
        <f>TRIM(SUBSTITUTE(INDEX('Term investments'!$C:$C,ROW())&amp;""," "," "))</f>
        <v/>
      </c>
      <c r="D1378">
        <f>IFERROR(--INDEX('Term investments'!$D:$D,ROW()),0)</f>
        <v/>
      </c>
      <c r="E1378">
        <f>IFERROR(--INDEX('Term investments'!$E:$E,ROW()),0)</f>
        <v/>
      </c>
      <c r="F1378">
        <f>IFERROR(--INDEX('Term investments'!$F:$F,ROW()),0)</f>
        <v/>
      </c>
      <c r="G1378">
        <f>IFERROR(IF(--INDEX('Term investments'!$G:$G,ROW())&gt;=1,--INDEX('Term investments'!$G:$G,ROW())/100,--INDEX('Term investments'!$G:$G,ROW())),0)</f>
        <v/>
      </c>
      <c r="H1378">
        <f>IFERROR(--INDEX('Term investments'!$H:$H,ROW()),0)</f>
        <v/>
      </c>
      <c r="I1378">
        <f>IF(ISNUMBER(INDEX('Term investments'!$G:$G,ROW())),1,0)</f>
        <v/>
      </c>
      <c r="J1378">
        <f>TRIM(SUBSTITUTE(INDEX('Call accounts and MMFs'!$A:$A,ROW())&amp;""," "," "))</f>
        <v/>
      </c>
      <c r="K1378">
        <f>TRIM(SUBSTITUTE(INDEX('Call accounts and MMFs'!$B:$B,ROW())&amp;""," "," "))</f>
        <v/>
      </c>
      <c r="L1378">
        <f>TRIM(SUBSTITUTE(INDEX('Call accounts and MMFs'!$C:$C,ROW())&amp;""," "," "))</f>
        <v/>
      </c>
      <c r="M1378">
        <f>IFERROR(--INDEX('Call accounts and MMFs'!$D:$D,ROW()),0)</f>
        <v/>
      </c>
      <c r="N1378">
        <f>IFERROR(IF(--INDEX('Call accounts and MMFs'!$E:$E,ROW())&gt;=1,--INDEX('Call accounts and MMFs'!$E:$E,ROW())/100,--INDEX('Call accounts and MMFs'!$E:$E,ROW())),0)</f>
        <v/>
      </c>
      <c r="O1378">
        <f>IFERROR(--INDEX('Call accounts and MMFs'!$F:$F,ROW()),0)</f>
        <v/>
      </c>
      <c r="P1378">
        <f>IF(ISNUMBER(INDEX('Call accounts and MMFs'!$E:$E,ROW())),1,0)</f>
        <v/>
      </c>
      <c r="Q1378">
        <f>TRIM(SUBSTITUTE(INDEX('Pooled funds'!$B:$B,ROW())&amp;""," "," "))</f>
        <v/>
      </c>
      <c r="R1378">
        <f>IFERROR(--INDEX('Pooled funds'!$C:$C,ROW()),0)</f>
        <v/>
      </c>
      <c r="S1378">
        <f>IFERROR(--INDEX('Pooled funds'!$D:$D,ROW()),0)</f>
        <v/>
      </c>
      <c r="T1378">
        <f>IFERROR(IF(--INDEX('Pooled funds'!$E:$E,ROW())&gt;=1,--INDEX('Pooled funds'!$E:$E,ROW())/100,--INDEX('Pooled funds'!$E:$E,ROW())),0)</f>
        <v/>
      </c>
      <c r="U1378">
        <f>IF(ISNUMBER(INDEX('Pooled funds'!$E:$E,ROW())),1,0)</f>
        <v/>
      </c>
    </row>
    <row r="1379">
      <c r="A1379">
        <f>TRIM(SUBSTITUTE(INDEX('Term investments'!$A:$A,ROW())&amp;""," "," "))</f>
        <v/>
      </c>
      <c r="B1379">
        <f>TRIM(SUBSTITUTE(INDEX('Term investments'!$B:$B,ROW())&amp;""," "," "))</f>
        <v/>
      </c>
      <c r="C1379">
        <f>TRIM(SUBSTITUTE(INDEX('Term investments'!$C:$C,ROW())&amp;""," "," "))</f>
        <v/>
      </c>
      <c r="D1379">
        <f>IFERROR(--INDEX('Term investments'!$D:$D,ROW()),0)</f>
        <v/>
      </c>
      <c r="E1379">
        <f>IFERROR(--INDEX('Term investments'!$E:$E,ROW()),0)</f>
        <v/>
      </c>
      <c r="F1379">
        <f>IFERROR(--INDEX('Term investments'!$F:$F,ROW()),0)</f>
        <v/>
      </c>
      <c r="G1379">
        <f>IFERROR(IF(--INDEX('Term investments'!$G:$G,ROW())&gt;=1,--INDEX('Term investments'!$G:$G,ROW())/100,--INDEX('Term investments'!$G:$G,ROW())),0)</f>
        <v/>
      </c>
      <c r="H1379">
        <f>IFERROR(--INDEX('Term investments'!$H:$H,ROW()),0)</f>
        <v/>
      </c>
      <c r="I1379">
        <f>IF(ISNUMBER(INDEX('Term investments'!$G:$G,ROW())),1,0)</f>
        <v/>
      </c>
      <c r="J1379">
        <f>TRIM(SUBSTITUTE(INDEX('Call accounts and MMFs'!$A:$A,ROW())&amp;""," "," "))</f>
        <v/>
      </c>
      <c r="K1379">
        <f>TRIM(SUBSTITUTE(INDEX('Call accounts and MMFs'!$B:$B,ROW())&amp;""," "," "))</f>
        <v/>
      </c>
      <c r="L1379">
        <f>TRIM(SUBSTITUTE(INDEX('Call accounts and MMFs'!$C:$C,ROW())&amp;""," "," "))</f>
        <v/>
      </c>
      <c r="M1379">
        <f>IFERROR(--INDEX('Call accounts and MMFs'!$D:$D,ROW()),0)</f>
        <v/>
      </c>
      <c r="N1379">
        <f>IFERROR(IF(--INDEX('Call accounts and MMFs'!$E:$E,ROW())&gt;=1,--INDEX('Call accounts and MMFs'!$E:$E,ROW())/100,--INDEX('Call accounts and MMFs'!$E:$E,ROW())),0)</f>
        <v/>
      </c>
      <c r="O1379">
        <f>IFERROR(--INDEX('Call accounts and MMFs'!$F:$F,ROW()),0)</f>
        <v/>
      </c>
      <c r="P1379">
        <f>IF(ISNUMBER(INDEX('Call accounts and MMFs'!$E:$E,ROW())),1,0)</f>
        <v/>
      </c>
      <c r="Q1379">
        <f>TRIM(SUBSTITUTE(INDEX('Pooled funds'!$B:$B,ROW())&amp;""," "," "))</f>
        <v/>
      </c>
      <c r="R1379">
        <f>IFERROR(--INDEX('Pooled funds'!$C:$C,ROW()),0)</f>
        <v/>
      </c>
      <c r="S1379">
        <f>IFERROR(--INDEX('Pooled funds'!$D:$D,ROW()),0)</f>
        <v/>
      </c>
      <c r="T1379">
        <f>IFERROR(IF(--INDEX('Pooled funds'!$E:$E,ROW())&gt;=1,--INDEX('Pooled funds'!$E:$E,ROW())/100,--INDEX('Pooled funds'!$E:$E,ROW())),0)</f>
        <v/>
      </c>
      <c r="U1379">
        <f>IF(ISNUMBER(INDEX('Pooled funds'!$E:$E,ROW())),1,0)</f>
        <v/>
      </c>
    </row>
    <row r="1380">
      <c r="A1380">
        <f>TRIM(SUBSTITUTE(INDEX('Term investments'!$A:$A,ROW())&amp;""," "," "))</f>
        <v/>
      </c>
      <c r="B1380">
        <f>TRIM(SUBSTITUTE(INDEX('Term investments'!$B:$B,ROW())&amp;""," "," "))</f>
        <v/>
      </c>
      <c r="C1380">
        <f>TRIM(SUBSTITUTE(INDEX('Term investments'!$C:$C,ROW())&amp;""," "," "))</f>
        <v/>
      </c>
      <c r="D1380">
        <f>IFERROR(--INDEX('Term investments'!$D:$D,ROW()),0)</f>
        <v/>
      </c>
      <c r="E1380">
        <f>IFERROR(--INDEX('Term investments'!$E:$E,ROW()),0)</f>
        <v/>
      </c>
      <c r="F1380">
        <f>IFERROR(--INDEX('Term investments'!$F:$F,ROW()),0)</f>
        <v/>
      </c>
      <c r="G1380">
        <f>IFERROR(IF(--INDEX('Term investments'!$G:$G,ROW())&gt;=1,--INDEX('Term investments'!$G:$G,ROW())/100,--INDEX('Term investments'!$G:$G,ROW())),0)</f>
        <v/>
      </c>
      <c r="H1380">
        <f>IFERROR(--INDEX('Term investments'!$H:$H,ROW()),0)</f>
        <v/>
      </c>
      <c r="I1380">
        <f>IF(ISNUMBER(INDEX('Term investments'!$G:$G,ROW())),1,0)</f>
        <v/>
      </c>
      <c r="J1380">
        <f>TRIM(SUBSTITUTE(INDEX('Call accounts and MMFs'!$A:$A,ROW())&amp;""," "," "))</f>
        <v/>
      </c>
      <c r="K1380">
        <f>TRIM(SUBSTITUTE(INDEX('Call accounts and MMFs'!$B:$B,ROW())&amp;""," "," "))</f>
        <v/>
      </c>
      <c r="L1380">
        <f>TRIM(SUBSTITUTE(INDEX('Call accounts and MMFs'!$C:$C,ROW())&amp;""," "," "))</f>
        <v/>
      </c>
      <c r="M1380">
        <f>IFERROR(--INDEX('Call accounts and MMFs'!$D:$D,ROW()),0)</f>
        <v/>
      </c>
      <c r="N1380">
        <f>IFERROR(IF(--INDEX('Call accounts and MMFs'!$E:$E,ROW())&gt;=1,--INDEX('Call accounts and MMFs'!$E:$E,ROW())/100,--INDEX('Call accounts and MMFs'!$E:$E,ROW())),0)</f>
        <v/>
      </c>
      <c r="O1380">
        <f>IFERROR(--INDEX('Call accounts and MMFs'!$F:$F,ROW()),0)</f>
        <v/>
      </c>
      <c r="P1380">
        <f>IF(ISNUMBER(INDEX('Call accounts and MMFs'!$E:$E,ROW())),1,0)</f>
        <v/>
      </c>
      <c r="Q1380">
        <f>TRIM(SUBSTITUTE(INDEX('Pooled funds'!$B:$B,ROW())&amp;""," "," "))</f>
        <v/>
      </c>
      <c r="R1380">
        <f>IFERROR(--INDEX('Pooled funds'!$C:$C,ROW()),0)</f>
        <v/>
      </c>
      <c r="S1380">
        <f>IFERROR(--INDEX('Pooled funds'!$D:$D,ROW()),0)</f>
        <v/>
      </c>
      <c r="T1380">
        <f>IFERROR(IF(--INDEX('Pooled funds'!$E:$E,ROW())&gt;=1,--INDEX('Pooled funds'!$E:$E,ROW())/100,--INDEX('Pooled funds'!$E:$E,ROW())),0)</f>
        <v/>
      </c>
      <c r="U1380">
        <f>IF(ISNUMBER(INDEX('Pooled funds'!$E:$E,ROW())),1,0)</f>
        <v/>
      </c>
    </row>
    <row r="1381">
      <c r="A1381">
        <f>TRIM(SUBSTITUTE(INDEX('Term investments'!$A:$A,ROW())&amp;""," "," "))</f>
        <v/>
      </c>
      <c r="B1381">
        <f>TRIM(SUBSTITUTE(INDEX('Term investments'!$B:$B,ROW())&amp;""," "," "))</f>
        <v/>
      </c>
      <c r="C1381">
        <f>TRIM(SUBSTITUTE(INDEX('Term investments'!$C:$C,ROW())&amp;""," "," "))</f>
        <v/>
      </c>
      <c r="D1381">
        <f>IFERROR(--INDEX('Term investments'!$D:$D,ROW()),0)</f>
        <v/>
      </c>
      <c r="E1381">
        <f>IFERROR(--INDEX('Term investments'!$E:$E,ROW()),0)</f>
        <v/>
      </c>
      <c r="F1381">
        <f>IFERROR(--INDEX('Term investments'!$F:$F,ROW()),0)</f>
        <v/>
      </c>
      <c r="G1381">
        <f>IFERROR(IF(--INDEX('Term investments'!$G:$G,ROW())&gt;=1,--INDEX('Term investments'!$G:$G,ROW())/100,--INDEX('Term investments'!$G:$G,ROW())),0)</f>
        <v/>
      </c>
      <c r="H1381">
        <f>IFERROR(--INDEX('Term investments'!$H:$H,ROW()),0)</f>
        <v/>
      </c>
      <c r="I1381">
        <f>IF(ISNUMBER(INDEX('Term investments'!$G:$G,ROW())),1,0)</f>
        <v/>
      </c>
      <c r="J1381">
        <f>TRIM(SUBSTITUTE(INDEX('Call accounts and MMFs'!$A:$A,ROW())&amp;""," "," "))</f>
        <v/>
      </c>
      <c r="K1381">
        <f>TRIM(SUBSTITUTE(INDEX('Call accounts and MMFs'!$B:$B,ROW())&amp;""," "," "))</f>
        <v/>
      </c>
      <c r="L1381">
        <f>TRIM(SUBSTITUTE(INDEX('Call accounts and MMFs'!$C:$C,ROW())&amp;""," "," "))</f>
        <v/>
      </c>
      <c r="M1381">
        <f>IFERROR(--INDEX('Call accounts and MMFs'!$D:$D,ROW()),0)</f>
        <v/>
      </c>
      <c r="N1381">
        <f>IFERROR(IF(--INDEX('Call accounts and MMFs'!$E:$E,ROW())&gt;=1,--INDEX('Call accounts and MMFs'!$E:$E,ROW())/100,--INDEX('Call accounts and MMFs'!$E:$E,ROW())),0)</f>
        <v/>
      </c>
      <c r="O1381">
        <f>IFERROR(--INDEX('Call accounts and MMFs'!$F:$F,ROW()),0)</f>
        <v/>
      </c>
      <c r="P1381">
        <f>IF(ISNUMBER(INDEX('Call accounts and MMFs'!$E:$E,ROW())),1,0)</f>
        <v/>
      </c>
      <c r="Q1381">
        <f>TRIM(SUBSTITUTE(INDEX('Pooled funds'!$B:$B,ROW())&amp;""," "," "))</f>
        <v/>
      </c>
      <c r="R1381">
        <f>IFERROR(--INDEX('Pooled funds'!$C:$C,ROW()),0)</f>
        <v/>
      </c>
      <c r="S1381">
        <f>IFERROR(--INDEX('Pooled funds'!$D:$D,ROW()),0)</f>
        <v/>
      </c>
      <c r="T1381">
        <f>IFERROR(IF(--INDEX('Pooled funds'!$E:$E,ROW())&gt;=1,--INDEX('Pooled funds'!$E:$E,ROW())/100,--INDEX('Pooled funds'!$E:$E,ROW())),0)</f>
        <v/>
      </c>
      <c r="U1381">
        <f>IF(ISNUMBER(INDEX('Pooled funds'!$E:$E,ROW())),1,0)</f>
        <v/>
      </c>
    </row>
    <row r="1382">
      <c r="A1382">
        <f>TRIM(SUBSTITUTE(INDEX('Term investments'!$A:$A,ROW())&amp;""," "," "))</f>
        <v/>
      </c>
      <c r="B1382">
        <f>TRIM(SUBSTITUTE(INDEX('Term investments'!$B:$B,ROW())&amp;""," "," "))</f>
        <v/>
      </c>
      <c r="C1382">
        <f>TRIM(SUBSTITUTE(INDEX('Term investments'!$C:$C,ROW())&amp;""," "," "))</f>
        <v/>
      </c>
      <c r="D1382">
        <f>IFERROR(--INDEX('Term investments'!$D:$D,ROW()),0)</f>
        <v/>
      </c>
      <c r="E1382">
        <f>IFERROR(--INDEX('Term investments'!$E:$E,ROW()),0)</f>
        <v/>
      </c>
      <c r="F1382">
        <f>IFERROR(--INDEX('Term investments'!$F:$F,ROW()),0)</f>
        <v/>
      </c>
      <c r="G1382">
        <f>IFERROR(IF(--INDEX('Term investments'!$G:$G,ROW())&gt;=1,--INDEX('Term investments'!$G:$G,ROW())/100,--INDEX('Term investments'!$G:$G,ROW())),0)</f>
        <v/>
      </c>
      <c r="H1382">
        <f>IFERROR(--INDEX('Term investments'!$H:$H,ROW()),0)</f>
        <v/>
      </c>
      <c r="I1382">
        <f>IF(ISNUMBER(INDEX('Term investments'!$G:$G,ROW())),1,0)</f>
        <v/>
      </c>
      <c r="J1382">
        <f>TRIM(SUBSTITUTE(INDEX('Call accounts and MMFs'!$A:$A,ROW())&amp;""," "," "))</f>
        <v/>
      </c>
      <c r="K1382">
        <f>TRIM(SUBSTITUTE(INDEX('Call accounts and MMFs'!$B:$B,ROW())&amp;""," "," "))</f>
        <v/>
      </c>
      <c r="L1382">
        <f>TRIM(SUBSTITUTE(INDEX('Call accounts and MMFs'!$C:$C,ROW())&amp;""," "," "))</f>
        <v/>
      </c>
      <c r="M1382">
        <f>IFERROR(--INDEX('Call accounts and MMFs'!$D:$D,ROW()),0)</f>
        <v/>
      </c>
      <c r="N1382">
        <f>IFERROR(IF(--INDEX('Call accounts and MMFs'!$E:$E,ROW())&gt;=1,--INDEX('Call accounts and MMFs'!$E:$E,ROW())/100,--INDEX('Call accounts and MMFs'!$E:$E,ROW())),0)</f>
        <v/>
      </c>
      <c r="O1382">
        <f>IFERROR(--INDEX('Call accounts and MMFs'!$F:$F,ROW()),0)</f>
        <v/>
      </c>
      <c r="P1382">
        <f>IF(ISNUMBER(INDEX('Call accounts and MMFs'!$E:$E,ROW())),1,0)</f>
        <v/>
      </c>
      <c r="Q1382">
        <f>TRIM(SUBSTITUTE(INDEX('Pooled funds'!$B:$B,ROW())&amp;""," "," "))</f>
        <v/>
      </c>
      <c r="R1382">
        <f>IFERROR(--INDEX('Pooled funds'!$C:$C,ROW()),0)</f>
        <v/>
      </c>
      <c r="S1382">
        <f>IFERROR(--INDEX('Pooled funds'!$D:$D,ROW()),0)</f>
        <v/>
      </c>
      <c r="T1382">
        <f>IFERROR(IF(--INDEX('Pooled funds'!$E:$E,ROW())&gt;=1,--INDEX('Pooled funds'!$E:$E,ROW())/100,--INDEX('Pooled funds'!$E:$E,ROW())),0)</f>
        <v/>
      </c>
      <c r="U1382">
        <f>IF(ISNUMBER(INDEX('Pooled funds'!$E:$E,ROW())),1,0)</f>
        <v/>
      </c>
    </row>
    <row r="1383">
      <c r="A1383">
        <f>TRIM(SUBSTITUTE(INDEX('Term investments'!$A:$A,ROW())&amp;""," "," "))</f>
        <v/>
      </c>
      <c r="B1383">
        <f>TRIM(SUBSTITUTE(INDEX('Term investments'!$B:$B,ROW())&amp;""," "," "))</f>
        <v/>
      </c>
      <c r="C1383">
        <f>TRIM(SUBSTITUTE(INDEX('Term investments'!$C:$C,ROW())&amp;""," "," "))</f>
        <v/>
      </c>
      <c r="D1383">
        <f>IFERROR(--INDEX('Term investments'!$D:$D,ROW()),0)</f>
        <v/>
      </c>
      <c r="E1383">
        <f>IFERROR(--INDEX('Term investments'!$E:$E,ROW()),0)</f>
        <v/>
      </c>
      <c r="F1383">
        <f>IFERROR(--INDEX('Term investments'!$F:$F,ROW()),0)</f>
        <v/>
      </c>
      <c r="G1383">
        <f>IFERROR(IF(--INDEX('Term investments'!$G:$G,ROW())&gt;=1,--INDEX('Term investments'!$G:$G,ROW())/100,--INDEX('Term investments'!$G:$G,ROW())),0)</f>
        <v/>
      </c>
      <c r="H1383">
        <f>IFERROR(--INDEX('Term investments'!$H:$H,ROW()),0)</f>
        <v/>
      </c>
      <c r="I1383">
        <f>IF(ISNUMBER(INDEX('Term investments'!$G:$G,ROW())),1,0)</f>
        <v/>
      </c>
      <c r="J1383">
        <f>TRIM(SUBSTITUTE(INDEX('Call accounts and MMFs'!$A:$A,ROW())&amp;""," "," "))</f>
        <v/>
      </c>
      <c r="K1383">
        <f>TRIM(SUBSTITUTE(INDEX('Call accounts and MMFs'!$B:$B,ROW())&amp;""," "," "))</f>
        <v/>
      </c>
      <c r="L1383">
        <f>TRIM(SUBSTITUTE(INDEX('Call accounts and MMFs'!$C:$C,ROW())&amp;""," "," "))</f>
        <v/>
      </c>
      <c r="M1383">
        <f>IFERROR(--INDEX('Call accounts and MMFs'!$D:$D,ROW()),0)</f>
        <v/>
      </c>
      <c r="N1383">
        <f>IFERROR(IF(--INDEX('Call accounts and MMFs'!$E:$E,ROW())&gt;=1,--INDEX('Call accounts and MMFs'!$E:$E,ROW())/100,--INDEX('Call accounts and MMFs'!$E:$E,ROW())),0)</f>
        <v/>
      </c>
      <c r="O1383">
        <f>IFERROR(--INDEX('Call accounts and MMFs'!$F:$F,ROW()),0)</f>
        <v/>
      </c>
      <c r="P1383">
        <f>IF(ISNUMBER(INDEX('Call accounts and MMFs'!$E:$E,ROW())),1,0)</f>
        <v/>
      </c>
      <c r="Q1383">
        <f>TRIM(SUBSTITUTE(INDEX('Pooled funds'!$B:$B,ROW())&amp;""," "," "))</f>
        <v/>
      </c>
      <c r="R1383">
        <f>IFERROR(--INDEX('Pooled funds'!$C:$C,ROW()),0)</f>
        <v/>
      </c>
      <c r="S1383">
        <f>IFERROR(--INDEX('Pooled funds'!$D:$D,ROW()),0)</f>
        <v/>
      </c>
      <c r="T1383">
        <f>IFERROR(IF(--INDEX('Pooled funds'!$E:$E,ROW())&gt;=1,--INDEX('Pooled funds'!$E:$E,ROW())/100,--INDEX('Pooled funds'!$E:$E,ROW())),0)</f>
        <v/>
      </c>
      <c r="U1383">
        <f>IF(ISNUMBER(INDEX('Pooled funds'!$E:$E,ROW())),1,0)</f>
        <v/>
      </c>
    </row>
    <row r="1384">
      <c r="A1384">
        <f>TRIM(SUBSTITUTE(INDEX('Term investments'!$A:$A,ROW())&amp;""," "," "))</f>
        <v/>
      </c>
      <c r="B1384">
        <f>TRIM(SUBSTITUTE(INDEX('Term investments'!$B:$B,ROW())&amp;""," "," "))</f>
        <v/>
      </c>
      <c r="C1384">
        <f>TRIM(SUBSTITUTE(INDEX('Term investments'!$C:$C,ROW())&amp;""," "," "))</f>
        <v/>
      </c>
      <c r="D1384">
        <f>IFERROR(--INDEX('Term investments'!$D:$D,ROW()),0)</f>
        <v/>
      </c>
      <c r="E1384">
        <f>IFERROR(--INDEX('Term investments'!$E:$E,ROW()),0)</f>
        <v/>
      </c>
      <c r="F1384">
        <f>IFERROR(--INDEX('Term investments'!$F:$F,ROW()),0)</f>
        <v/>
      </c>
      <c r="G1384">
        <f>IFERROR(IF(--INDEX('Term investments'!$G:$G,ROW())&gt;=1,--INDEX('Term investments'!$G:$G,ROW())/100,--INDEX('Term investments'!$G:$G,ROW())),0)</f>
        <v/>
      </c>
      <c r="H1384">
        <f>IFERROR(--INDEX('Term investments'!$H:$H,ROW()),0)</f>
        <v/>
      </c>
      <c r="I1384">
        <f>IF(ISNUMBER(INDEX('Term investments'!$G:$G,ROW())),1,0)</f>
        <v/>
      </c>
      <c r="J1384">
        <f>TRIM(SUBSTITUTE(INDEX('Call accounts and MMFs'!$A:$A,ROW())&amp;""," "," "))</f>
        <v/>
      </c>
      <c r="K1384">
        <f>TRIM(SUBSTITUTE(INDEX('Call accounts and MMFs'!$B:$B,ROW())&amp;""," "," "))</f>
        <v/>
      </c>
      <c r="L1384">
        <f>TRIM(SUBSTITUTE(INDEX('Call accounts and MMFs'!$C:$C,ROW())&amp;""," "," "))</f>
        <v/>
      </c>
      <c r="M1384">
        <f>IFERROR(--INDEX('Call accounts and MMFs'!$D:$D,ROW()),0)</f>
        <v/>
      </c>
      <c r="N1384">
        <f>IFERROR(IF(--INDEX('Call accounts and MMFs'!$E:$E,ROW())&gt;=1,--INDEX('Call accounts and MMFs'!$E:$E,ROW())/100,--INDEX('Call accounts and MMFs'!$E:$E,ROW())),0)</f>
        <v/>
      </c>
      <c r="O1384">
        <f>IFERROR(--INDEX('Call accounts and MMFs'!$F:$F,ROW()),0)</f>
        <v/>
      </c>
      <c r="P1384">
        <f>IF(ISNUMBER(INDEX('Call accounts and MMFs'!$E:$E,ROW())),1,0)</f>
        <v/>
      </c>
      <c r="Q1384">
        <f>TRIM(SUBSTITUTE(INDEX('Pooled funds'!$B:$B,ROW())&amp;""," "," "))</f>
        <v/>
      </c>
      <c r="R1384">
        <f>IFERROR(--INDEX('Pooled funds'!$C:$C,ROW()),0)</f>
        <v/>
      </c>
      <c r="S1384">
        <f>IFERROR(--INDEX('Pooled funds'!$D:$D,ROW()),0)</f>
        <v/>
      </c>
      <c r="T1384">
        <f>IFERROR(IF(--INDEX('Pooled funds'!$E:$E,ROW())&gt;=1,--INDEX('Pooled funds'!$E:$E,ROW())/100,--INDEX('Pooled funds'!$E:$E,ROW())),0)</f>
        <v/>
      </c>
      <c r="U1384">
        <f>IF(ISNUMBER(INDEX('Pooled funds'!$E:$E,ROW())),1,0)</f>
        <v/>
      </c>
    </row>
    <row r="1385">
      <c r="A1385">
        <f>TRIM(SUBSTITUTE(INDEX('Term investments'!$A:$A,ROW())&amp;""," "," "))</f>
        <v/>
      </c>
      <c r="B1385">
        <f>TRIM(SUBSTITUTE(INDEX('Term investments'!$B:$B,ROW())&amp;""," "," "))</f>
        <v/>
      </c>
      <c r="C1385">
        <f>TRIM(SUBSTITUTE(INDEX('Term investments'!$C:$C,ROW())&amp;""," "," "))</f>
        <v/>
      </c>
      <c r="D1385">
        <f>IFERROR(--INDEX('Term investments'!$D:$D,ROW()),0)</f>
        <v/>
      </c>
      <c r="E1385">
        <f>IFERROR(--INDEX('Term investments'!$E:$E,ROW()),0)</f>
        <v/>
      </c>
      <c r="F1385">
        <f>IFERROR(--INDEX('Term investments'!$F:$F,ROW()),0)</f>
        <v/>
      </c>
      <c r="G1385">
        <f>IFERROR(IF(--INDEX('Term investments'!$G:$G,ROW())&gt;=1,--INDEX('Term investments'!$G:$G,ROW())/100,--INDEX('Term investments'!$G:$G,ROW())),0)</f>
        <v/>
      </c>
      <c r="H1385">
        <f>IFERROR(--INDEX('Term investments'!$H:$H,ROW()),0)</f>
        <v/>
      </c>
      <c r="I1385">
        <f>IF(ISNUMBER(INDEX('Term investments'!$G:$G,ROW())),1,0)</f>
        <v/>
      </c>
      <c r="J1385">
        <f>TRIM(SUBSTITUTE(INDEX('Call accounts and MMFs'!$A:$A,ROW())&amp;""," "," "))</f>
        <v/>
      </c>
      <c r="K1385">
        <f>TRIM(SUBSTITUTE(INDEX('Call accounts and MMFs'!$B:$B,ROW())&amp;""," "," "))</f>
        <v/>
      </c>
      <c r="L1385">
        <f>TRIM(SUBSTITUTE(INDEX('Call accounts and MMFs'!$C:$C,ROW())&amp;""," "," "))</f>
        <v/>
      </c>
      <c r="M1385">
        <f>IFERROR(--INDEX('Call accounts and MMFs'!$D:$D,ROW()),0)</f>
        <v/>
      </c>
      <c r="N1385">
        <f>IFERROR(IF(--INDEX('Call accounts and MMFs'!$E:$E,ROW())&gt;=1,--INDEX('Call accounts and MMFs'!$E:$E,ROW())/100,--INDEX('Call accounts and MMFs'!$E:$E,ROW())),0)</f>
        <v/>
      </c>
      <c r="O1385">
        <f>IFERROR(--INDEX('Call accounts and MMFs'!$F:$F,ROW()),0)</f>
        <v/>
      </c>
      <c r="P1385">
        <f>IF(ISNUMBER(INDEX('Call accounts and MMFs'!$E:$E,ROW())),1,0)</f>
        <v/>
      </c>
      <c r="Q1385">
        <f>TRIM(SUBSTITUTE(INDEX('Pooled funds'!$B:$B,ROW())&amp;""," "," "))</f>
        <v/>
      </c>
      <c r="R1385">
        <f>IFERROR(--INDEX('Pooled funds'!$C:$C,ROW()),0)</f>
        <v/>
      </c>
      <c r="S1385">
        <f>IFERROR(--INDEX('Pooled funds'!$D:$D,ROW()),0)</f>
        <v/>
      </c>
      <c r="T1385">
        <f>IFERROR(IF(--INDEX('Pooled funds'!$E:$E,ROW())&gt;=1,--INDEX('Pooled funds'!$E:$E,ROW())/100,--INDEX('Pooled funds'!$E:$E,ROW())),0)</f>
        <v/>
      </c>
      <c r="U1385">
        <f>IF(ISNUMBER(INDEX('Pooled funds'!$E:$E,ROW())),1,0)</f>
        <v/>
      </c>
    </row>
    <row r="1386">
      <c r="A1386">
        <f>TRIM(SUBSTITUTE(INDEX('Term investments'!$A:$A,ROW())&amp;""," "," "))</f>
        <v/>
      </c>
      <c r="B1386">
        <f>TRIM(SUBSTITUTE(INDEX('Term investments'!$B:$B,ROW())&amp;""," "," "))</f>
        <v/>
      </c>
      <c r="C1386">
        <f>TRIM(SUBSTITUTE(INDEX('Term investments'!$C:$C,ROW())&amp;""," "," "))</f>
        <v/>
      </c>
      <c r="D1386">
        <f>IFERROR(--INDEX('Term investments'!$D:$D,ROW()),0)</f>
        <v/>
      </c>
      <c r="E1386">
        <f>IFERROR(--INDEX('Term investments'!$E:$E,ROW()),0)</f>
        <v/>
      </c>
      <c r="F1386">
        <f>IFERROR(--INDEX('Term investments'!$F:$F,ROW()),0)</f>
        <v/>
      </c>
      <c r="G1386">
        <f>IFERROR(IF(--INDEX('Term investments'!$G:$G,ROW())&gt;=1,--INDEX('Term investments'!$G:$G,ROW())/100,--INDEX('Term investments'!$G:$G,ROW())),0)</f>
        <v/>
      </c>
      <c r="H1386">
        <f>IFERROR(--INDEX('Term investments'!$H:$H,ROW()),0)</f>
        <v/>
      </c>
      <c r="I1386">
        <f>IF(ISNUMBER(INDEX('Term investments'!$G:$G,ROW())),1,0)</f>
        <v/>
      </c>
      <c r="J1386">
        <f>TRIM(SUBSTITUTE(INDEX('Call accounts and MMFs'!$A:$A,ROW())&amp;""," "," "))</f>
        <v/>
      </c>
      <c r="K1386">
        <f>TRIM(SUBSTITUTE(INDEX('Call accounts and MMFs'!$B:$B,ROW())&amp;""," "," "))</f>
        <v/>
      </c>
      <c r="L1386">
        <f>TRIM(SUBSTITUTE(INDEX('Call accounts and MMFs'!$C:$C,ROW())&amp;""," "," "))</f>
        <v/>
      </c>
      <c r="M1386">
        <f>IFERROR(--INDEX('Call accounts and MMFs'!$D:$D,ROW()),0)</f>
        <v/>
      </c>
      <c r="N1386">
        <f>IFERROR(IF(--INDEX('Call accounts and MMFs'!$E:$E,ROW())&gt;=1,--INDEX('Call accounts and MMFs'!$E:$E,ROW())/100,--INDEX('Call accounts and MMFs'!$E:$E,ROW())),0)</f>
        <v/>
      </c>
      <c r="O1386">
        <f>IFERROR(--INDEX('Call accounts and MMFs'!$F:$F,ROW()),0)</f>
        <v/>
      </c>
      <c r="P1386">
        <f>IF(ISNUMBER(INDEX('Call accounts and MMFs'!$E:$E,ROW())),1,0)</f>
        <v/>
      </c>
      <c r="Q1386">
        <f>TRIM(SUBSTITUTE(INDEX('Pooled funds'!$B:$B,ROW())&amp;""," "," "))</f>
        <v/>
      </c>
      <c r="R1386">
        <f>IFERROR(--INDEX('Pooled funds'!$C:$C,ROW()),0)</f>
        <v/>
      </c>
      <c r="S1386">
        <f>IFERROR(--INDEX('Pooled funds'!$D:$D,ROW()),0)</f>
        <v/>
      </c>
      <c r="T1386">
        <f>IFERROR(IF(--INDEX('Pooled funds'!$E:$E,ROW())&gt;=1,--INDEX('Pooled funds'!$E:$E,ROW())/100,--INDEX('Pooled funds'!$E:$E,ROW())),0)</f>
        <v/>
      </c>
      <c r="U1386">
        <f>IF(ISNUMBER(INDEX('Pooled funds'!$E:$E,ROW())),1,0)</f>
        <v/>
      </c>
    </row>
    <row r="1387">
      <c r="A1387">
        <f>TRIM(SUBSTITUTE(INDEX('Term investments'!$A:$A,ROW())&amp;""," "," "))</f>
        <v/>
      </c>
      <c r="B1387">
        <f>TRIM(SUBSTITUTE(INDEX('Term investments'!$B:$B,ROW())&amp;""," "," "))</f>
        <v/>
      </c>
      <c r="C1387">
        <f>TRIM(SUBSTITUTE(INDEX('Term investments'!$C:$C,ROW())&amp;""," "," "))</f>
        <v/>
      </c>
      <c r="D1387">
        <f>IFERROR(--INDEX('Term investments'!$D:$D,ROW()),0)</f>
        <v/>
      </c>
      <c r="E1387">
        <f>IFERROR(--INDEX('Term investments'!$E:$E,ROW()),0)</f>
        <v/>
      </c>
      <c r="F1387">
        <f>IFERROR(--INDEX('Term investments'!$F:$F,ROW()),0)</f>
        <v/>
      </c>
      <c r="G1387">
        <f>IFERROR(IF(--INDEX('Term investments'!$G:$G,ROW())&gt;=1,--INDEX('Term investments'!$G:$G,ROW())/100,--INDEX('Term investments'!$G:$G,ROW())),0)</f>
        <v/>
      </c>
      <c r="H1387">
        <f>IFERROR(--INDEX('Term investments'!$H:$H,ROW()),0)</f>
        <v/>
      </c>
      <c r="I1387">
        <f>IF(ISNUMBER(INDEX('Term investments'!$G:$G,ROW())),1,0)</f>
        <v/>
      </c>
      <c r="J1387">
        <f>TRIM(SUBSTITUTE(INDEX('Call accounts and MMFs'!$A:$A,ROW())&amp;""," "," "))</f>
        <v/>
      </c>
      <c r="K1387">
        <f>TRIM(SUBSTITUTE(INDEX('Call accounts and MMFs'!$B:$B,ROW())&amp;""," "," "))</f>
        <v/>
      </c>
      <c r="L1387">
        <f>TRIM(SUBSTITUTE(INDEX('Call accounts and MMFs'!$C:$C,ROW())&amp;""," "," "))</f>
        <v/>
      </c>
      <c r="M1387">
        <f>IFERROR(--INDEX('Call accounts and MMFs'!$D:$D,ROW()),0)</f>
        <v/>
      </c>
      <c r="N1387">
        <f>IFERROR(IF(--INDEX('Call accounts and MMFs'!$E:$E,ROW())&gt;=1,--INDEX('Call accounts and MMFs'!$E:$E,ROW())/100,--INDEX('Call accounts and MMFs'!$E:$E,ROW())),0)</f>
        <v/>
      </c>
      <c r="O1387">
        <f>IFERROR(--INDEX('Call accounts and MMFs'!$F:$F,ROW()),0)</f>
        <v/>
      </c>
      <c r="P1387">
        <f>IF(ISNUMBER(INDEX('Call accounts and MMFs'!$E:$E,ROW())),1,0)</f>
        <v/>
      </c>
      <c r="Q1387">
        <f>TRIM(SUBSTITUTE(INDEX('Pooled funds'!$B:$B,ROW())&amp;""," "," "))</f>
        <v/>
      </c>
      <c r="R1387">
        <f>IFERROR(--INDEX('Pooled funds'!$C:$C,ROW()),0)</f>
        <v/>
      </c>
      <c r="S1387">
        <f>IFERROR(--INDEX('Pooled funds'!$D:$D,ROW()),0)</f>
        <v/>
      </c>
      <c r="T1387">
        <f>IFERROR(IF(--INDEX('Pooled funds'!$E:$E,ROW())&gt;=1,--INDEX('Pooled funds'!$E:$E,ROW())/100,--INDEX('Pooled funds'!$E:$E,ROW())),0)</f>
        <v/>
      </c>
      <c r="U1387">
        <f>IF(ISNUMBER(INDEX('Pooled funds'!$E:$E,ROW())),1,0)</f>
        <v/>
      </c>
    </row>
    <row r="1388">
      <c r="A1388">
        <f>TRIM(SUBSTITUTE(INDEX('Term investments'!$A:$A,ROW())&amp;""," "," "))</f>
        <v/>
      </c>
      <c r="B1388">
        <f>TRIM(SUBSTITUTE(INDEX('Term investments'!$B:$B,ROW())&amp;""," "," "))</f>
        <v/>
      </c>
      <c r="C1388">
        <f>TRIM(SUBSTITUTE(INDEX('Term investments'!$C:$C,ROW())&amp;""," "," "))</f>
        <v/>
      </c>
      <c r="D1388">
        <f>IFERROR(--INDEX('Term investments'!$D:$D,ROW()),0)</f>
        <v/>
      </c>
      <c r="E1388">
        <f>IFERROR(--INDEX('Term investments'!$E:$E,ROW()),0)</f>
        <v/>
      </c>
      <c r="F1388">
        <f>IFERROR(--INDEX('Term investments'!$F:$F,ROW()),0)</f>
        <v/>
      </c>
      <c r="G1388">
        <f>IFERROR(IF(--INDEX('Term investments'!$G:$G,ROW())&gt;=1,--INDEX('Term investments'!$G:$G,ROW())/100,--INDEX('Term investments'!$G:$G,ROW())),0)</f>
        <v/>
      </c>
      <c r="H1388">
        <f>IFERROR(--INDEX('Term investments'!$H:$H,ROW()),0)</f>
        <v/>
      </c>
      <c r="I1388">
        <f>IF(ISNUMBER(INDEX('Term investments'!$G:$G,ROW())),1,0)</f>
        <v/>
      </c>
      <c r="J1388">
        <f>TRIM(SUBSTITUTE(INDEX('Call accounts and MMFs'!$A:$A,ROW())&amp;""," "," "))</f>
        <v/>
      </c>
      <c r="K1388">
        <f>TRIM(SUBSTITUTE(INDEX('Call accounts and MMFs'!$B:$B,ROW())&amp;""," "," "))</f>
        <v/>
      </c>
      <c r="L1388">
        <f>TRIM(SUBSTITUTE(INDEX('Call accounts and MMFs'!$C:$C,ROW())&amp;""," "," "))</f>
        <v/>
      </c>
      <c r="M1388">
        <f>IFERROR(--INDEX('Call accounts and MMFs'!$D:$D,ROW()),0)</f>
        <v/>
      </c>
      <c r="N1388">
        <f>IFERROR(IF(--INDEX('Call accounts and MMFs'!$E:$E,ROW())&gt;=1,--INDEX('Call accounts and MMFs'!$E:$E,ROW())/100,--INDEX('Call accounts and MMFs'!$E:$E,ROW())),0)</f>
        <v/>
      </c>
      <c r="O1388">
        <f>IFERROR(--INDEX('Call accounts and MMFs'!$F:$F,ROW()),0)</f>
        <v/>
      </c>
      <c r="P1388">
        <f>IF(ISNUMBER(INDEX('Call accounts and MMFs'!$E:$E,ROW())),1,0)</f>
        <v/>
      </c>
      <c r="Q1388">
        <f>TRIM(SUBSTITUTE(INDEX('Pooled funds'!$B:$B,ROW())&amp;""," "," "))</f>
        <v/>
      </c>
      <c r="R1388">
        <f>IFERROR(--INDEX('Pooled funds'!$C:$C,ROW()),0)</f>
        <v/>
      </c>
      <c r="S1388">
        <f>IFERROR(--INDEX('Pooled funds'!$D:$D,ROW()),0)</f>
        <v/>
      </c>
      <c r="T1388">
        <f>IFERROR(IF(--INDEX('Pooled funds'!$E:$E,ROW())&gt;=1,--INDEX('Pooled funds'!$E:$E,ROW())/100,--INDEX('Pooled funds'!$E:$E,ROW())),0)</f>
        <v/>
      </c>
      <c r="U1388">
        <f>IF(ISNUMBER(INDEX('Pooled funds'!$E:$E,ROW())),1,0)</f>
        <v/>
      </c>
    </row>
    <row r="1389">
      <c r="A1389">
        <f>TRIM(SUBSTITUTE(INDEX('Term investments'!$A:$A,ROW())&amp;""," "," "))</f>
        <v/>
      </c>
      <c r="B1389">
        <f>TRIM(SUBSTITUTE(INDEX('Term investments'!$B:$B,ROW())&amp;""," "," "))</f>
        <v/>
      </c>
      <c r="C1389">
        <f>TRIM(SUBSTITUTE(INDEX('Term investments'!$C:$C,ROW())&amp;""," "," "))</f>
        <v/>
      </c>
      <c r="D1389">
        <f>IFERROR(--INDEX('Term investments'!$D:$D,ROW()),0)</f>
        <v/>
      </c>
      <c r="E1389">
        <f>IFERROR(--INDEX('Term investments'!$E:$E,ROW()),0)</f>
        <v/>
      </c>
      <c r="F1389">
        <f>IFERROR(--INDEX('Term investments'!$F:$F,ROW()),0)</f>
        <v/>
      </c>
      <c r="G1389">
        <f>IFERROR(IF(--INDEX('Term investments'!$G:$G,ROW())&gt;=1,--INDEX('Term investments'!$G:$G,ROW())/100,--INDEX('Term investments'!$G:$G,ROW())),0)</f>
        <v/>
      </c>
      <c r="H1389">
        <f>IFERROR(--INDEX('Term investments'!$H:$H,ROW()),0)</f>
        <v/>
      </c>
      <c r="I1389">
        <f>IF(ISNUMBER(INDEX('Term investments'!$G:$G,ROW())),1,0)</f>
        <v/>
      </c>
      <c r="J1389">
        <f>TRIM(SUBSTITUTE(INDEX('Call accounts and MMFs'!$A:$A,ROW())&amp;""," "," "))</f>
        <v/>
      </c>
      <c r="K1389">
        <f>TRIM(SUBSTITUTE(INDEX('Call accounts and MMFs'!$B:$B,ROW())&amp;""," "," "))</f>
        <v/>
      </c>
      <c r="L1389">
        <f>TRIM(SUBSTITUTE(INDEX('Call accounts and MMFs'!$C:$C,ROW())&amp;""," "," "))</f>
        <v/>
      </c>
      <c r="M1389">
        <f>IFERROR(--INDEX('Call accounts and MMFs'!$D:$D,ROW()),0)</f>
        <v/>
      </c>
      <c r="N1389">
        <f>IFERROR(IF(--INDEX('Call accounts and MMFs'!$E:$E,ROW())&gt;=1,--INDEX('Call accounts and MMFs'!$E:$E,ROW())/100,--INDEX('Call accounts and MMFs'!$E:$E,ROW())),0)</f>
        <v/>
      </c>
      <c r="O1389">
        <f>IFERROR(--INDEX('Call accounts and MMFs'!$F:$F,ROW()),0)</f>
        <v/>
      </c>
      <c r="P1389">
        <f>IF(ISNUMBER(INDEX('Call accounts and MMFs'!$E:$E,ROW())),1,0)</f>
        <v/>
      </c>
      <c r="Q1389">
        <f>TRIM(SUBSTITUTE(INDEX('Pooled funds'!$B:$B,ROW())&amp;""," "," "))</f>
        <v/>
      </c>
      <c r="R1389">
        <f>IFERROR(--INDEX('Pooled funds'!$C:$C,ROW()),0)</f>
        <v/>
      </c>
      <c r="S1389">
        <f>IFERROR(--INDEX('Pooled funds'!$D:$D,ROW()),0)</f>
        <v/>
      </c>
      <c r="T1389">
        <f>IFERROR(IF(--INDEX('Pooled funds'!$E:$E,ROW())&gt;=1,--INDEX('Pooled funds'!$E:$E,ROW())/100,--INDEX('Pooled funds'!$E:$E,ROW())),0)</f>
        <v/>
      </c>
      <c r="U1389">
        <f>IF(ISNUMBER(INDEX('Pooled funds'!$E:$E,ROW())),1,0)</f>
        <v/>
      </c>
    </row>
    <row r="1390">
      <c r="A1390">
        <f>TRIM(SUBSTITUTE(INDEX('Term investments'!$A:$A,ROW())&amp;""," "," "))</f>
        <v/>
      </c>
      <c r="B1390">
        <f>TRIM(SUBSTITUTE(INDEX('Term investments'!$B:$B,ROW())&amp;""," "," "))</f>
        <v/>
      </c>
      <c r="C1390">
        <f>TRIM(SUBSTITUTE(INDEX('Term investments'!$C:$C,ROW())&amp;""," "," "))</f>
        <v/>
      </c>
      <c r="D1390">
        <f>IFERROR(--INDEX('Term investments'!$D:$D,ROW()),0)</f>
        <v/>
      </c>
      <c r="E1390">
        <f>IFERROR(--INDEX('Term investments'!$E:$E,ROW()),0)</f>
        <v/>
      </c>
      <c r="F1390">
        <f>IFERROR(--INDEX('Term investments'!$F:$F,ROW()),0)</f>
        <v/>
      </c>
      <c r="G1390">
        <f>IFERROR(IF(--INDEX('Term investments'!$G:$G,ROW())&gt;=1,--INDEX('Term investments'!$G:$G,ROW())/100,--INDEX('Term investments'!$G:$G,ROW())),0)</f>
        <v/>
      </c>
      <c r="H1390">
        <f>IFERROR(--INDEX('Term investments'!$H:$H,ROW()),0)</f>
        <v/>
      </c>
      <c r="I1390">
        <f>IF(ISNUMBER(INDEX('Term investments'!$G:$G,ROW())),1,0)</f>
        <v/>
      </c>
      <c r="J1390">
        <f>TRIM(SUBSTITUTE(INDEX('Call accounts and MMFs'!$A:$A,ROW())&amp;""," "," "))</f>
        <v/>
      </c>
      <c r="K1390">
        <f>TRIM(SUBSTITUTE(INDEX('Call accounts and MMFs'!$B:$B,ROW())&amp;""," "," "))</f>
        <v/>
      </c>
      <c r="L1390">
        <f>TRIM(SUBSTITUTE(INDEX('Call accounts and MMFs'!$C:$C,ROW())&amp;""," "," "))</f>
        <v/>
      </c>
      <c r="M1390">
        <f>IFERROR(--INDEX('Call accounts and MMFs'!$D:$D,ROW()),0)</f>
        <v/>
      </c>
      <c r="N1390">
        <f>IFERROR(IF(--INDEX('Call accounts and MMFs'!$E:$E,ROW())&gt;=1,--INDEX('Call accounts and MMFs'!$E:$E,ROW())/100,--INDEX('Call accounts and MMFs'!$E:$E,ROW())),0)</f>
        <v/>
      </c>
      <c r="O1390">
        <f>IFERROR(--INDEX('Call accounts and MMFs'!$F:$F,ROW()),0)</f>
        <v/>
      </c>
      <c r="P1390">
        <f>IF(ISNUMBER(INDEX('Call accounts and MMFs'!$E:$E,ROW())),1,0)</f>
        <v/>
      </c>
      <c r="Q1390">
        <f>TRIM(SUBSTITUTE(INDEX('Pooled funds'!$B:$B,ROW())&amp;""," "," "))</f>
        <v/>
      </c>
      <c r="R1390">
        <f>IFERROR(--INDEX('Pooled funds'!$C:$C,ROW()),0)</f>
        <v/>
      </c>
      <c r="S1390">
        <f>IFERROR(--INDEX('Pooled funds'!$D:$D,ROW()),0)</f>
        <v/>
      </c>
      <c r="T1390">
        <f>IFERROR(IF(--INDEX('Pooled funds'!$E:$E,ROW())&gt;=1,--INDEX('Pooled funds'!$E:$E,ROW())/100,--INDEX('Pooled funds'!$E:$E,ROW())),0)</f>
        <v/>
      </c>
      <c r="U1390">
        <f>IF(ISNUMBER(INDEX('Pooled funds'!$E:$E,ROW())),1,0)</f>
        <v/>
      </c>
    </row>
    <row r="1391">
      <c r="A1391">
        <f>TRIM(SUBSTITUTE(INDEX('Term investments'!$A:$A,ROW())&amp;""," "," "))</f>
        <v/>
      </c>
      <c r="B1391">
        <f>TRIM(SUBSTITUTE(INDEX('Term investments'!$B:$B,ROW())&amp;""," "," "))</f>
        <v/>
      </c>
      <c r="C1391">
        <f>TRIM(SUBSTITUTE(INDEX('Term investments'!$C:$C,ROW())&amp;""," "," "))</f>
        <v/>
      </c>
      <c r="D1391">
        <f>IFERROR(--INDEX('Term investments'!$D:$D,ROW()),0)</f>
        <v/>
      </c>
      <c r="E1391">
        <f>IFERROR(--INDEX('Term investments'!$E:$E,ROW()),0)</f>
        <v/>
      </c>
      <c r="F1391">
        <f>IFERROR(--INDEX('Term investments'!$F:$F,ROW()),0)</f>
        <v/>
      </c>
      <c r="G1391">
        <f>IFERROR(IF(--INDEX('Term investments'!$G:$G,ROW())&gt;=1,--INDEX('Term investments'!$G:$G,ROW())/100,--INDEX('Term investments'!$G:$G,ROW())),0)</f>
        <v/>
      </c>
      <c r="H1391">
        <f>IFERROR(--INDEX('Term investments'!$H:$H,ROW()),0)</f>
        <v/>
      </c>
      <c r="I1391">
        <f>IF(ISNUMBER(INDEX('Term investments'!$G:$G,ROW())),1,0)</f>
        <v/>
      </c>
      <c r="J1391">
        <f>TRIM(SUBSTITUTE(INDEX('Call accounts and MMFs'!$A:$A,ROW())&amp;""," "," "))</f>
        <v/>
      </c>
      <c r="K1391">
        <f>TRIM(SUBSTITUTE(INDEX('Call accounts and MMFs'!$B:$B,ROW())&amp;""," "," "))</f>
        <v/>
      </c>
      <c r="L1391">
        <f>TRIM(SUBSTITUTE(INDEX('Call accounts and MMFs'!$C:$C,ROW())&amp;""," "," "))</f>
        <v/>
      </c>
      <c r="M1391">
        <f>IFERROR(--INDEX('Call accounts and MMFs'!$D:$D,ROW()),0)</f>
        <v/>
      </c>
      <c r="N1391">
        <f>IFERROR(IF(--INDEX('Call accounts and MMFs'!$E:$E,ROW())&gt;=1,--INDEX('Call accounts and MMFs'!$E:$E,ROW())/100,--INDEX('Call accounts and MMFs'!$E:$E,ROW())),0)</f>
        <v/>
      </c>
      <c r="O1391">
        <f>IFERROR(--INDEX('Call accounts and MMFs'!$F:$F,ROW()),0)</f>
        <v/>
      </c>
      <c r="P1391">
        <f>IF(ISNUMBER(INDEX('Call accounts and MMFs'!$E:$E,ROW())),1,0)</f>
        <v/>
      </c>
      <c r="Q1391">
        <f>TRIM(SUBSTITUTE(INDEX('Pooled funds'!$B:$B,ROW())&amp;""," "," "))</f>
        <v/>
      </c>
      <c r="R1391">
        <f>IFERROR(--INDEX('Pooled funds'!$C:$C,ROW()),0)</f>
        <v/>
      </c>
      <c r="S1391">
        <f>IFERROR(--INDEX('Pooled funds'!$D:$D,ROW()),0)</f>
        <v/>
      </c>
      <c r="T1391">
        <f>IFERROR(IF(--INDEX('Pooled funds'!$E:$E,ROW())&gt;=1,--INDEX('Pooled funds'!$E:$E,ROW())/100,--INDEX('Pooled funds'!$E:$E,ROW())),0)</f>
        <v/>
      </c>
      <c r="U1391">
        <f>IF(ISNUMBER(INDEX('Pooled funds'!$E:$E,ROW())),1,0)</f>
        <v/>
      </c>
    </row>
    <row r="1392">
      <c r="A1392">
        <f>TRIM(SUBSTITUTE(INDEX('Term investments'!$A:$A,ROW())&amp;""," "," "))</f>
        <v/>
      </c>
      <c r="B1392">
        <f>TRIM(SUBSTITUTE(INDEX('Term investments'!$B:$B,ROW())&amp;""," "," "))</f>
        <v/>
      </c>
      <c r="C1392">
        <f>TRIM(SUBSTITUTE(INDEX('Term investments'!$C:$C,ROW())&amp;""," "," "))</f>
        <v/>
      </c>
      <c r="D1392">
        <f>IFERROR(--INDEX('Term investments'!$D:$D,ROW()),0)</f>
        <v/>
      </c>
      <c r="E1392">
        <f>IFERROR(--INDEX('Term investments'!$E:$E,ROW()),0)</f>
        <v/>
      </c>
      <c r="F1392">
        <f>IFERROR(--INDEX('Term investments'!$F:$F,ROW()),0)</f>
        <v/>
      </c>
      <c r="G1392">
        <f>IFERROR(IF(--INDEX('Term investments'!$G:$G,ROW())&gt;=1,--INDEX('Term investments'!$G:$G,ROW())/100,--INDEX('Term investments'!$G:$G,ROW())),0)</f>
        <v/>
      </c>
      <c r="H1392">
        <f>IFERROR(--INDEX('Term investments'!$H:$H,ROW()),0)</f>
        <v/>
      </c>
      <c r="I1392">
        <f>IF(ISNUMBER(INDEX('Term investments'!$G:$G,ROW())),1,0)</f>
        <v/>
      </c>
      <c r="J1392">
        <f>TRIM(SUBSTITUTE(INDEX('Call accounts and MMFs'!$A:$A,ROW())&amp;""," "," "))</f>
        <v/>
      </c>
      <c r="K1392">
        <f>TRIM(SUBSTITUTE(INDEX('Call accounts and MMFs'!$B:$B,ROW())&amp;""," "," "))</f>
        <v/>
      </c>
      <c r="L1392">
        <f>TRIM(SUBSTITUTE(INDEX('Call accounts and MMFs'!$C:$C,ROW())&amp;""," "," "))</f>
        <v/>
      </c>
      <c r="M1392">
        <f>IFERROR(--INDEX('Call accounts and MMFs'!$D:$D,ROW()),0)</f>
        <v/>
      </c>
      <c r="N1392">
        <f>IFERROR(IF(--INDEX('Call accounts and MMFs'!$E:$E,ROW())&gt;=1,--INDEX('Call accounts and MMFs'!$E:$E,ROW())/100,--INDEX('Call accounts and MMFs'!$E:$E,ROW())),0)</f>
        <v/>
      </c>
      <c r="O1392">
        <f>IFERROR(--INDEX('Call accounts and MMFs'!$F:$F,ROW()),0)</f>
        <v/>
      </c>
      <c r="P1392">
        <f>IF(ISNUMBER(INDEX('Call accounts and MMFs'!$E:$E,ROW())),1,0)</f>
        <v/>
      </c>
      <c r="Q1392">
        <f>TRIM(SUBSTITUTE(INDEX('Pooled funds'!$B:$B,ROW())&amp;""," "," "))</f>
        <v/>
      </c>
      <c r="R1392">
        <f>IFERROR(--INDEX('Pooled funds'!$C:$C,ROW()),0)</f>
        <v/>
      </c>
      <c r="S1392">
        <f>IFERROR(--INDEX('Pooled funds'!$D:$D,ROW()),0)</f>
        <v/>
      </c>
      <c r="T1392">
        <f>IFERROR(IF(--INDEX('Pooled funds'!$E:$E,ROW())&gt;=1,--INDEX('Pooled funds'!$E:$E,ROW())/100,--INDEX('Pooled funds'!$E:$E,ROW())),0)</f>
        <v/>
      </c>
      <c r="U1392">
        <f>IF(ISNUMBER(INDEX('Pooled funds'!$E:$E,ROW())),1,0)</f>
        <v/>
      </c>
    </row>
    <row r="1393">
      <c r="A1393">
        <f>TRIM(SUBSTITUTE(INDEX('Term investments'!$A:$A,ROW())&amp;""," "," "))</f>
        <v/>
      </c>
      <c r="B1393">
        <f>TRIM(SUBSTITUTE(INDEX('Term investments'!$B:$B,ROW())&amp;""," "," "))</f>
        <v/>
      </c>
      <c r="C1393">
        <f>TRIM(SUBSTITUTE(INDEX('Term investments'!$C:$C,ROW())&amp;""," "," "))</f>
        <v/>
      </c>
      <c r="D1393">
        <f>IFERROR(--INDEX('Term investments'!$D:$D,ROW()),0)</f>
        <v/>
      </c>
      <c r="E1393">
        <f>IFERROR(--INDEX('Term investments'!$E:$E,ROW()),0)</f>
        <v/>
      </c>
      <c r="F1393">
        <f>IFERROR(--INDEX('Term investments'!$F:$F,ROW()),0)</f>
        <v/>
      </c>
      <c r="G1393">
        <f>IFERROR(IF(--INDEX('Term investments'!$G:$G,ROW())&gt;=1,--INDEX('Term investments'!$G:$G,ROW())/100,--INDEX('Term investments'!$G:$G,ROW())),0)</f>
        <v/>
      </c>
      <c r="H1393">
        <f>IFERROR(--INDEX('Term investments'!$H:$H,ROW()),0)</f>
        <v/>
      </c>
      <c r="I1393">
        <f>IF(ISNUMBER(INDEX('Term investments'!$G:$G,ROW())),1,0)</f>
        <v/>
      </c>
      <c r="J1393">
        <f>TRIM(SUBSTITUTE(INDEX('Call accounts and MMFs'!$A:$A,ROW())&amp;""," "," "))</f>
        <v/>
      </c>
      <c r="K1393">
        <f>TRIM(SUBSTITUTE(INDEX('Call accounts and MMFs'!$B:$B,ROW())&amp;""," "," "))</f>
        <v/>
      </c>
      <c r="L1393">
        <f>TRIM(SUBSTITUTE(INDEX('Call accounts and MMFs'!$C:$C,ROW())&amp;""," "," "))</f>
        <v/>
      </c>
      <c r="M1393">
        <f>IFERROR(--INDEX('Call accounts and MMFs'!$D:$D,ROW()),0)</f>
        <v/>
      </c>
      <c r="N1393">
        <f>IFERROR(IF(--INDEX('Call accounts and MMFs'!$E:$E,ROW())&gt;=1,--INDEX('Call accounts and MMFs'!$E:$E,ROW())/100,--INDEX('Call accounts and MMFs'!$E:$E,ROW())),0)</f>
        <v/>
      </c>
      <c r="O1393">
        <f>IFERROR(--INDEX('Call accounts and MMFs'!$F:$F,ROW()),0)</f>
        <v/>
      </c>
      <c r="P1393">
        <f>IF(ISNUMBER(INDEX('Call accounts and MMFs'!$E:$E,ROW())),1,0)</f>
        <v/>
      </c>
      <c r="Q1393">
        <f>TRIM(SUBSTITUTE(INDEX('Pooled funds'!$B:$B,ROW())&amp;""," "," "))</f>
        <v/>
      </c>
      <c r="R1393">
        <f>IFERROR(--INDEX('Pooled funds'!$C:$C,ROW()),0)</f>
        <v/>
      </c>
      <c r="S1393">
        <f>IFERROR(--INDEX('Pooled funds'!$D:$D,ROW()),0)</f>
        <v/>
      </c>
      <c r="T1393">
        <f>IFERROR(IF(--INDEX('Pooled funds'!$E:$E,ROW())&gt;=1,--INDEX('Pooled funds'!$E:$E,ROW())/100,--INDEX('Pooled funds'!$E:$E,ROW())),0)</f>
        <v/>
      </c>
      <c r="U1393">
        <f>IF(ISNUMBER(INDEX('Pooled funds'!$E:$E,ROW())),1,0)</f>
        <v/>
      </c>
    </row>
    <row r="1394">
      <c r="A1394">
        <f>TRIM(SUBSTITUTE(INDEX('Term investments'!$A:$A,ROW())&amp;""," "," "))</f>
        <v/>
      </c>
      <c r="B1394">
        <f>TRIM(SUBSTITUTE(INDEX('Term investments'!$B:$B,ROW())&amp;""," "," "))</f>
        <v/>
      </c>
      <c r="C1394">
        <f>TRIM(SUBSTITUTE(INDEX('Term investments'!$C:$C,ROW())&amp;""," "," "))</f>
        <v/>
      </c>
      <c r="D1394">
        <f>IFERROR(--INDEX('Term investments'!$D:$D,ROW()),0)</f>
        <v/>
      </c>
      <c r="E1394">
        <f>IFERROR(--INDEX('Term investments'!$E:$E,ROW()),0)</f>
        <v/>
      </c>
      <c r="F1394">
        <f>IFERROR(--INDEX('Term investments'!$F:$F,ROW()),0)</f>
        <v/>
      </c>
      <c r="G1394">
        <f>IFERROR(IF(--INDEX('Term investments'!$G:$G,ROW())&gt;=1,--INDEX('Term investments'!$G:$G,ROW())/100,--INDEX('Term investments'!$G:$G,ROW())),0)</f>
        <v/>
      </c>
      <c r="H1394">
        <f>IFERROR(--INDEX('Term investments'!$H:$H,ROW()),0)</f>
        <v/>
      </c>
      <c r="I1394">
        <f>IF(ISNUMBER(INDEX('Term investments'!$G:$G,ROW())),1,0)</f>
        <v/>
      </c>
      <c r="J1394">
        <f>TRIM(SUBSTITUTE(INDEX('Call accounts and MMFs'!$A:$A,ROW())&amp;""," "," "))</f>
        <v/>
      </c>
      <c r="K1394">
        <f>TRIM(SUBSTITUTE(INDEX('Call accounts and MMFs'!$B:$B,ROW())&amp;""," "," "))</f>
        <v/>
      </c>
      <c r="L1394">
        <f>TRIM(SUBSTITUTE(INDEX('Call accounts and MMFs'!$C:$C,ROW())&amp;""," "," "))</f>
        <v/>
      </c>
      <c r="M1394">
        <f>IFERROR(--INDEX('Call accounts and MMFs'!$D:$D,ROW()),0)</f>
        <v/>
      </c>
      <c r="N1394">
        <f>IFERROR(IF(--INDEX('Call accounts and MMFs'!$E:$E,ROW())&gt;=1,--INDEX('Call accounts and MMFs'!$E:$E,ROW())/100,--INDEX('Call accounts and MMFs'!$E:$E,ROW())),0)</f>
        <v/>
      </c>
      <c r="O1394">
        <f>IFERROR(--INDEX('Call accounts and MMFs'!$F:$F,ROW()),0)</f>
        <v/>
      </c>
      <c r="P1394">
        <f>IF(ISNUMBER(INDEX('Call accounts and MMFs'!$E:$E,ROW())),1,0)</f>
        <v/>
      </c>
      <c r="Q1394">
        <f>TRIM(SUBSTITUTE(INDEX('Pooled funds'!$B:$B,ROW())&amp;""," "," "))</f>
        <v/>
      </c>
      <c r="R1394">
        <f>IFERROR(--INDEX('Pooled funds'!$C:$C,ROW()),0)</f>
        <v/>
      </c>
      <c r="S1394">
        <f>IFERROR(--INDEX('Pooled funds'!$D:$D,ROW()),0)</f>
        <v/>
      </c>
      <c r="T1394">
        <f>IFERROR(IF(--INDEX('Pooled funds'!$E:$E,ROW())&gt;=1,--INDEX('Pooled funds'!$E:$E,ROW())/100,--INDEX('Pooled funds'!$E:$E,ROW())),0)</f>
        <v/>
      </c>
      <c r="U1394">
        <f>IF(ISNUMBER(INDEX('Pooled funds'!$E:$E,ROW())),1,0)</f>
        <v/>
      </c>
    </row>
    <row r="1395">
      <c r="A1395">
        <f>TRIM(SUBSTITUTE(INDEX('Term investments'!$A:$A,ROW())&amp;""," "," "))</f>
        <v/>
      </c>
      <c r="B1395">
        <f>TRIM(SUBSTITUTE(INDEX('Term investments'!$B:$B,ROW())&amp;""," "," "))</f>
        <v/>
      </c>
      <c r="C1395">
        <f>TRIM(SUBSTITUTE(INDEX('Term investments'!$C:$C,ROW())&amp;""," "," "))</f>
        <v/>
      </c>
      <c r="D1395">
        <f>IFERROR(--INDEX('Term investments'!$D:$D,ROW()),0)</f>
        <v/>
      </c>
      <c r="E1395">
        <f>IFERROR(--INDEX('Term investments'!$E:$E,ROW()),0)</f>
        <v/>
      </c>
      <c r="F1395">
        <f>IFERROR(--INDEX('Term investments'!$F:$F,ROW()),0)</f>
        <v/>
      </c>
      <c r="G1395">
        <f>IFERROR(IF(--INDEX('Term investments'!$G:$G,ROW())&gt;=1,--INDEX('Term investments'!$G:$G,ROW())/100,--INDEX('Term investments'!$G:$G,ROW())),0)</f>
        <v/>
      </c>
      <c r="H1395">
        <f>IFERROR(--INDEX('Term investments'!$H:$H,ROW()),0)</f>
        <v/>
      </c>
      <c r="I1395">
        <f>IF(ISNUMBER(INDEX('Term investments'!$G:$G,ROW())),1,0)</f>
        <v/>
      </c>
      <c r="J1395">
        <f>TRIM(SUBSTITUTE(INDEX('Call accounts and MMFs'!$A:$A,ROW())&amp;""," "," "))</f>
        <v/>
      </c>
      <c r="K1395">
        <f>TRIM(SUBSTITUTE(INDEX('Call accounts and MMFs'!$B:$B,ROW())&amp;""," "," "))</f>
        <v/>
      </c>
      <c r="L1395">
        <f>TRIM(SUBSTITUTE(INDEX('Call accounts and MMFs'!$C:$C,ROW())&amp;""," "," "))</f>
        <v/>
      </c>
      <c r="M1395">
        <f>IFERROR(--INDEX('Call accounts and MMFs'!$D:$D,ROW()),0)</f>
        <v/>
      </c>
      <c r="N1395">
        <f>IFERROR(IF(--INDEX('Call accounts and MMFs'!$E:$E,ROW())&gt;=1,--INDEX('Call accounts and MMFs'!$E:$E,ROW())/100,--INDEX('Call accounts and MMFs'!$E:$E,ROW())),0)</f>
        <v/>
      </c>
      <c r="O1395">
        <f>IFERROR(--INDEX('Call accounts and MMFs'!$F:$F,ROW()),0)</f>
        <v/>
      </c>
      <c r="P1395">
        <f>IF(ISNUMBER(INDEX('Call accounts and MMFs'!$E:$E,ROW())),1,0)</f>
        <v/>
      </c>
      <c r="Q1395">
        <f>TRIM(SUBSTITUTE(INDEX('Pooled funds'!$B:$B,ROW())&amp;""," "," "))</f>
        <v/>
      </c>
      <c r="R1395">
        <f>IFERROR(--INDEX('Pooled funds'!$C:$C,ROW()),0)</f>
        <v/>
      </c>
      <c r="S1395">
        <f>IFERROR(--INDEX('Pooled funds'!$D:$D,ROW()),0)</f>
        <v/>
      </c>
      <c r="T1395">
        <f>IFERROR(IF(--INDEX('Pooled funds'!$E:$E,ROW())&gt;=1,--INDEX('Pooled funds'!$E:$E,ROW())/100,--INDEX('Pooled funds'!$E:$E,ROW())),0)</f>
        <v/>
      </c>
      <c r="U1395">
        <f>IF(ISNUMBER(INDEX('Pooled funds'!$E:$E,ROW())),1,0)</f>
        <v/>
      </c>
    </row>
    <row r="1396">
      <c r="A1396">
        <f>TRIM(SUBSTITUTE(INDEX('Term investments'!$A:$A,ROW())&amp;""," "," "))</f>
        <v/>
      </c>
      <c r="B1396">
        <f>TRIM(SUBSTITUTE(INDEX('Term investments'!$B:$B,ROW())&amp;""," "," "))</f>
        <v/>
      </c>
      <c r="C1396">
        <f>TRIM(SUBSTITUTE(INDEX('Term investments'!$C:$C,ROW())&amp;""," "," "))</f>
        <v/>
      </c>
      <c r="D1396">
        <f>IFERROR(--INDEX('Term investments'!$D:$D,ROW()),0)</f>
        <v/>
      </c>
      <c r="E1396">
        <f>IFERROR(--INDEX('Term investments'!$E:$E,ROW()),0)</f>
        <v/>
      </c>
      <c r="F1396">
        <f>IFERROR(--INDEX('Term investments'!$F:$F,ROW()),0)</f>
        <v/>
      </c>
      <c r="G1396">
        <f>IFERROR(IF(--INDEX('Term investments'!$G:$G,ROW())&gt;=1,--INDEX('Term investments'!$G:$G,ROW())/100,--INDEX('Term investments'!$G:$G,ROW())),0)</f>
        <v/>
      </c>
      <c r="H1396">
        <f>IFERROR(--INDEX('Term investments'!$H:$H,ROW()),0)</f>
        <v/>
      </c>
      <c r="I1396">
        <f>IF(ISNUMBER(INDEX('Term investments'!$G:$G,ROW())),1,0)</f>
        <v/>
      </c>
      <c r="J1396">
        <f>TRIM(SUBSTITUTE(INDEX('Call accounts and MMFs'!$A:$A,ROW())&amp;""," "," "))</f>
        <v/>
      </c>
      <c r="K1396">
        <f>TRIM(SUBSTITUTE(INDEX('Call accounts and MMFs'!$B:$B,ROW())&amp;""," "," "))</f>
        <v/>
      </c>
      <c r="L1396">
        <f>TRIM(SUBSTITUTE(INDEX('Call accounts and MMFs'!$C:$C,ROW())&amp;""," "," "))</f>
        <v/>
      </c>
      <c r="M1396">
        <f>IFERROR(--INDEX('Call accounts and MMFs'!$D:$D,ROW()),0)</f>
        <v/>
      </c>
      <c r="N1396">
        <f>IFERROR(IF(--INDEX('Call accounts and MMFs'!$E:$E,ROW())&gt;=1,--INDEX('Call accounts and MMFs'!$E:$E,ROW())/100,--INDEX('Call accounts and MMFs'!$E:$E,ROW())),0)</f>
        <v/>
      </c>
      <c r="O1396">
        <f>IFERROR(--INDEX('Call accounts and MMFs'!$F:$F,ROW()),0)</f>
        <v/>
      </c>
      <c r="P1396">
        <f>IF(ISNUMBER(INDEX('Call accounts and MMFs'!$E:$E,ROW())),1,0)</f>
        <v/>
      </c>
      <c r="Q1396">
        <f>TRIM(SUBSTITUTE(INDEX('Pooled funds'!$B:$B,ROW())&amp;""," "," "))</f>
        <v/>
      </c>
      <c r="R1396">
        <f>IFERROR(--INDEX('Pooled funds'!$C:$C,ROW()),0)</f>
        <v/>
      </c>
      <c r="S1396">
        <f>IFERROR(--INDEX('Pooled funds'!$D:$D,ROW()),0)</f>
        <v/>
      </c>
      <c r="T1396">
        <f>IFERROR(IF(--INDEX('Pooled funds'!$E:$E,ROW())&gt;=1,--INDEX('Pooled funds'!$E:$E,ROW())/100,--INDEX('Pooled funds'!$E:$E,ROW())),0)</f>
        <v/>
      </c>
      <c r="U1396">
        <f>IF(ISNUMBER(INDEX('Pooled funds'!$E:$E,ROW())),1,0)</f>
        <v/>
      </c>
    </row>
    <row r="1397">
      <c r="A1397">
        <f>TRIM(SUBSTITUTE(INDEX('Term investments'!$A:$A,ROW())&amp;""," "," "))</f>
        <v/>
      </c>
      <c r="B1397">
        <f>TRIM(SUBSTITUTE(INDEX('Term investments'!$B:$B,ROW())&amp;""," "," "))</f>
        <v/>
      </c>
      <c r="C1397">
        <f>TRIM(SUBSTITUTE(INDEX('Term investments'!$C:$C,ROW())&amp;""," "," "))</f>
        <v/>
      </c>
      <c r="D1397">
        <f>IFERROR(--INDEX('Term investments'!$D:$D,ROW()),0)</f>
        <v/>
      </c>
      <c r="E1397">
        <f>IFERROR(--INDEX('Term investments'!$E:$E,ROW()),0)</f>
        <v/>
      </c>
      <c r="F1397">
        <f>IFERROR(--INDEX('Term investments'!$F:$F,ROW()),0)</f>
        <v/>
      </c>
      <c r="G1397">
        <f>IFERROR(IF(--INDEX('Term investments'!$G:$G,ROW())&gt;=1,--INDEX('Term investments'!$G:$G,ROW())/100,--INDEX('Term investments'!$G:$G,ROW())),0)</f>
        <v/>
      </c>
      <c r="H1397">
        <f>IFERROR(--INDEX('Term investments'!$H:$H,ROW()),0)</f>
        <v/>
      </c>
      <c r="I1397">
        <f>IF(ISNUMBER(INDEX('Term investments'!$G:$G,ROW())),1,0)</f>
        <v/>
      </c>
      <c r="J1397">
        <f>TRIM(SUBSTITUTE(INDEX('Call accounts and MMFs'!$A:$A,ROW())&amp;""," "," "))</f>
        <v/>
      </c>
      <c r="K1397">
        <f>TRIM(SUBSTITUTE(INDEX('Call accounts and MMFs'!$B:$B,ROW())&amp;""," "," "))</f>
        <v/>
      </c>
      <c r="L1397">
        <f>TRIM(SUBSTITUTE(INDEX('Call accounts and MMFs'!$C:$C,ROW())&amp;""," "," "))</f>
        <v/>
      </c>
      <c r="M1397">
        <f>IFERROR(--INDEX('Call accounts and MMFs'!$D:$D,ROW()),0)</f>
        <v/>
      </c>
      <c r="N1397">
        <f>IFERROR(IF(--INDEX('Call accounts and MMFs'!$E:$E,ROW())&gt;=1,--INDEX('Call accounts and MMFs'!$E:$E,ROW())/100,--INDEX('Call accounts and MMFs'!$E:$E,ROW())),0)</f>
        <v/>
      </c>
      <c r="O1397">
        <f>IFERROR(--INDEX('Call accounts and MMFs'!$F:$F,ROW()),0)</f>
        <v/>
      </c>
      <c r="P1397">
        <f>IF(ISNUMBER(INDEX('Call accounts and MMFs'!$E:$E,ROW())),1,0)</f>
        <v/>
      </c>
      <c r="Q1397">
        <f>TRIM(SUBSTITUTE(INDEX('Pooled funds'!$B:$B,ROW())&amp;""," "," "))</f>
        <v/>
      </c>
      <c r="R1397">
        <f>IFERROR(--INDEX('Pooled funds'!$C:$C,ROW()),0)</f>
        <v/>
      </c>
      <c r="S1397">
        <f>IFERROR(--INDEX('Pooled funds'!$D:$D,ROW()),0)</f>
        <v/>
      </c>
      <c r="T1397">
        <f>IFERROR(IF(--INDEX('Pooled funds'!$E:$E,ROW())&gt;=1,--INDEX('Pooled funds'!$E:$E,ROW())/100,--INDEX('Pooled funds'!$E:$E,ROW())),0)</f>
        <v/>
      </c>
      <c r="U1397">
        <f>IF(ISNUMBER(INDEX('Pooled funds'!$E:$E,ROW())),1,0)</f>
        <v/>
      </c>
    </row>
    <row r="1398">
      <c r="A1398">
        <f>TRIM(SUBSTITUTE(INDEX('Term investments'!$A:$A,ROW())&amp;""," "," "))</f>
        <v/>
      </c>
      <c r="B1398">
        <f>TRIM(SUBSTITUTE(INDEX('Term investments'!$B:$B,ROW())&amp;""," "," "))</f>
        <v/>
      </c>
      <c r="C1398">
        <f>TRIM(SUBSTITUTE(INDEX('Term investments'!$C:$C,ROW())&amp;""," "," "))</f>
        <v/>
      </c>
      <c r="D1398">
        <f>IFERROR(--INDEX('Term investments'!$D:$D,ROW()),0)</f>
        <v/>
      </c>
      <c r="E1398">
        <f>IFERROR(--INDEX('Term investments'!$E:$E,ROW()),0)</f>
        <v/>
      </c>
      <c r="F1398">
        <f>IFERROR(--INDEX('Term investments'!$F:$F,ROW()),0)</f>
        <v/>
      </c>
      <c r="G1398">
        <f>IFERROR(IF(--INDEX('Term investments'!$G:$G,ROW())&gt;=1,--INDEX('Term investments'!$G:$G,ROW())/100,--INDEX('Term investments'!$G:$G,ROW())),0)</f>
        <v/>
      </c>
      <c r="H1398">
        <f>IFERROR(--INDEX('Term investments'!$H:$H,ROW()),0)</f>
        <v/>
      </c>
      <c r="I1398">
        <f>IF(ISNUMBER(INDEX('Term investments'!$G:$G,ROW())),1,0)</f>
        <v/>
      </c>
      <c r="J1398">
        <f>TRIM(SUBSTITUTE(INDEX('Call accounts and MMFs'!$A:$A,ROW())&amp;""," "," "))</f>
        <v/>
      </c>
      <c r="K1398">
        <f>TRIM(SUBSTITUTE(INDEX('Call accounts and MMFs'!$B:$B,ROW())&amp;""," "," "))</f>
        <v/>
      </c>
      <c r="L1398">
        <f>TRIM(SUBSTITUTE(INDEX('Call accounts and MMFs'!$C:$C,ROW())&amp;""," "," "))</f>
        <v/>
      </c>
      <c r="M1398">
        <f>IFERROR(--INDEX('Call accounts and MMFs'!$D:$D,ROW()),0)</f>
        <v/>
      </c>
      <c r="N1398">
        <f>IFERROR(IF(--INDEX('Call accounts and MMFs'!$E:$E,ROW())&gt;=1,--INDEX('Call accounts and MMFs'!$E:$E,ROW())/100,--INDEX('Call accounts and MMFs'!$E:$E,ROW())),0)</f>
        <v/>
      </c>
      <c r="O1398">
        <f>IFERROR(--INDEX('Call accounts and MMFs'!$F:$F,ROW()),0)</f>
        <v/>
      </c>
      <c r="P1398">
        <f>IF(ISNUMBER(INDEX('Call accounts and MMFs'!$E:$E,ROW())),1,0)</f>
        <v/>
      </c>
      <c r="Q1398">
        <f>TRIM(SUBSTITUTE(INDEX('Pooled funds'!$B:$B,ROW())&amp;""," "," "))</f>
        <v/>
      </c>
      <c r="R1398">
        <f>IFERROR(--INDEX('Pooled funds'!$C:$C,ROW()),0)</f>
        <v/>
      </c>
      <c r="S1398">
        <f>IFERROR(--INDEX('Pooled funds'!$D:$D,ROW()),0)</f>
        <v/>
      </c>
      <c r="T1398">
        <f>IFERROR(IF(--INDEX('Pooled funds'!$E:$E,ROW())&gt;=1,--INDEX('Pooled funds'!$E:$E,ROW())/100,--INDEX('Pooled funds'!$E:$E,ROW())),0)</f>
        <v/>
      </c>
      <c r="U1398">
        <f>IF(ISNUMBER(INDEX('Pooled funds'!$E:$E,ROW())),1,0)</f>
        <v/>
      </c>
    </row>
    <row r="1399">
      <c r="A1399">
        <f>TRIM(SUBSTITUTE(INDEX('Term investments'!$A:$A,ROW())&amp;""," "," "))</f>
        <v/>
      </c>
      <c r="B1399">
        <f>TRIM(SUBSTITUTE(INDEX('Term investments'!$B:$B,ROW())&amp;""," "," "))</f>
        <v/>
      </c>
      <c r="C1399">
        <f>TRIM(SUBSTITUTE(INDEX('Term investments'!$C:$C,ROW())&amp;""," "," "))</f>
        <v/>
      </c>
      <c r="D1399">
        <f>IFERROR(--INDEX('Term investments'!$D:$D,ROW()),0)</f>
        <v/>
      </c>
      <c r="E1399">
        <f>IFERROR(--INDEX('Term investments'!$E:$E,ROW()),0)</f>
        <v/>
      </c>
      <c r="F1399">
        <f>IFERROR(--INDEX('Term investments'!$F:$F,ROW()),0)</f>
        <v/>
      </c>
      <c r="G1399">
        <f>IFERROR(IF(--INDEX('Term investments'!$G:$G,ROW())&gt;=1,--INDEX('Term investments'!$G:$G,ROW())/100,--INDEX('Term investments'!$G:$G,ROW())),0)</f>
        <v/>
      </c>
      <c r="H1399">
        <f>IFERROR(--INDEX('Term investments'!$H:$H,ROW()),0)</f>
        <v/>
      </c>
      <c r="I1399">
        <f>IF(ISNUMBER(INDEX('Term investments'!$G:$G,ROW())),1,0)</f>
        <v/>
      </c>
      <c r="J1399">
        <f>TRIM(SUBSTITUTE(INDEX('Call accounts and MMFs'!$A:$A,ROW())&amp;""," "," "))</f>
        <v/>
      </c>
      <c r="K1399">
        <f>TRIM(SUBSTITUTE(INDEX('Call accounts and MMFs'!$B:$B,ROW())&amp;""," "," "))</f>
        <v/>
      </c>
      <c r="L1399">
        <f>TRIM(SUBSTITUTE(INDEX('Call accounts and MMFs'!$C:$C,ROW())&amp;""," "," "))</f>
        <v/>
      </c>
      <c r="M1399">
        <f>IFERROR(--INDEX('Call accounts and MMFs'!$D:$D,ROW()),0)</f>
        <v/>
      </c>
      <c r="N1399">
        <f>IFERROR(IF(--INDEX('Call accounts and MMFs'!$E:$E,ROW())&gt;=1,--INDEX('Call accounts and MMFs'!$E:$E,ROW())/100,--INDEX('Call accounts and MMFs'!$E:$E,ROW())),0)</f>
        <v/>
      </c>
      <c r="O1399">
        <f>IFERROR(--INDEX('Call accounts and MMFs'!$F:$F,ROW()),0)</f>
        <v/>
      </c>
      <c r="P1399">
        <f>IF(ISNUMBER(INDEX('Call accounts and MMFs'!$E:$E,ROW())),1,0)</f>
        <v/>
      </c>
      <c r="Q1399">
        <f>TRIM(SUBSTITUTE(INDEX('Pooled funds'!$B:$B,ROW())&amp;""," "," "))</f>
        <v/>
      </c>
      <c r="R1399">
        <f>IFERROR(--INDEX('Pooled funds'!$C:$C,ROW()),0)</f>
        <v/>
      </c>
      <c r="S1399">
        <f>IFERROR(--INDEX('Pooled funds'!$D:$D,ROW()),0)</f>
        <v/>
      </c>
      <c r="T1399">
        <f>IFERROR(IF(--INDEX('Pooled funds'!$E:$E,ROW())&gt;=1,--INDEX('Pooled funds'!$E:$E,ROW())/100,--INDEX('Pooled funds'!$E:$E,ROW())),0)</f>
        <v/>
      </c>
      <c r="U1399">
        <f>IF(ISNUMBER(INDEX('Pooled funds'!$E:$E,ROW())),1,0)</f>
        <v/>
      </c>
    </row>
    <row r="1400">
      <c r="A1400">
        <f>TRIM(SUBSTITUTE(INDEX('Term investments'!$A:$A,ROW())&amp;""," "," "))</f>
        <v/>
      </c>
      <c r="B1400">
        <f>TRIM(SUBSTITUTE(INDEX('Term investments'!$B:$B,ROW())&amp;""," "," "))</f>
        <v/>
      </c>
      <c r="C1400">
        <f>TRIM(SUBSTITUTE(INDEX('Term investments'!$C:$C,ROW())&amp;""," "," "))</f>
        <v/>
      </c>
      <c r="D1400">
        <f>IFERROR(--INDEX('Term investments'!$D:$D,ROW()),0)</f>
        <v/>
      </c>
      <c r="E1400">
        <f>IFERROR(--INDEX('Term investments'!$E:$E,ROW()),0)</f>
        <v/>
      </c>
      <c r="F1400">
        <f>IFERROR(--INDEX('Term investments'!$F:$F,ROW()),0)</f>
        <v/>
      </c>
      <c r="G1400">
        <f>IFERROR(IF(--INDEX('Term investments'!$G:$G,ROW())&gt;=1,--INDEX('Term investments'!$G:$G,ROW())/100,--INDEX('Term investments'!$G:$G,ROW())),0)</f>
        <v/>
      </c>
      <c r="H1400">
        <f>IFERROR(--INDEX('Term investments'!$H:$H,ROW()),0)</f>
        <v/>
      </c>
      <c r="I1400">
        <f>IF(ISNUMBER(INDEX('Term investments'!$G:$G,ROW())),1,0)</f>
        <v/>
      </c>
      <c r="J1400">
        <f>TRIM(SUBSTITUTE(INDEX('Call accounts and MMFs'!$A:$A,ROW())&amp;""," "," "))</f>
        <v/>
      </c>
      <c r="K1400">
        <f>TRIM(SUBSTITUTE(INDEX('Call accounts and MMFs'!$B:$B,ROW())&amp;""," "," "))</f>
        <v/>
      </c>
      <c r="L1400">
        <f>TRIM(SUBSTITUTE(INDEX('Call accounts and MMFs'!$C:$C,ROW())&amp;""," "," "))</f>
        <v/>
      </c>
      <c r="M1400">
        <f>IFERROR(--INDEX('Call accounts and MMFs'!$D:$D,ROW()),0)</f>
        <v/>
      </c>
      <c r="N1400">
        <f>IFERROR(IF(--INDEX('Call accounts and MMFs'!$E:$E,ROW())&gt;=1,--INDEX('Call accounts and MMFs'!$E:$E,ROW())/100,--INDEX('Call accounts and MMFs'!$E:$E,ROW())),0)</f>
        <v/>
      </c>
      <c r="O1400">
        <f>IFERROR(--INDEX('Call accounts and MMFs'!$F:$F,ROW()),0)</f>
        <v/>
      </c>
      <c r="P1400">
        <f>IF(ISNUMBER(INDEX('Call accounts and MMFs'!$E:$E,ROW())),1,0)</f>
        <v/>
      </c>
      <c r="Q1400">
        <f>TRIM(SUBSTITUTE(INDEX('Pooled funds'!$B:$B,ROW())&amp;""," "," "))</f>
        <v/>
      </c>
      <c r="R1400">
        <f>IFERROR(--INDEX('Pooled funds'!$C:$C,ROW()),0)</f>
        <v/>
      </c>
      <c r="S1400">
        <f>IFERROR(--INDEX('Pooled funds'!$D:$D,ROW()),0)</f>
        <v/>
      </c>
      <c r="T1400">
        <f>IFERROR(IF(--INDEX('Pooled funds'!$E:$E,ROW())&gt;=1,--INDEX('Pooled funds'!$E:$E,ROW())/100,--INDEX('Pooled funds'!$E:$E,ROW())),0)</f>
        <v/>
      </c>
      <c r="U1400">
        <f>IF(ISNUMBER(INDEX('Pooled funds'!$E:$E,ROW())),1,0)</f>
        <v/>
      </c>
    </row>
    <row r="1401">
      <c r="A1401">
        <f>TRIM(SUBSTITUTE(INDEX('Term investments'!$A:$A,ROW())&amp;""," "," "))</f>
        <v/>
      </c>
      <c r="B1401">
        <f>TRIM(SUBSTITUTE(INDEX('Term investments'!$B:$B,ROW())&amp;""," "," "))</f>
        <v/>
      </c>
      <c r="C1401">
        <f>TRIM(SUBSTITUTE(INDEX('Term investments'!$C:$C,ROW())&amp;""," "," "))</f>
        <v/>
      </c>
      <c r="D1401">
        <f>IFERROR(--INDEX('Term investments'!$D:$D,ROW()),0)</f>
        <v/>
      </c>
      <c r="E1401">
        <f>IFERROR(--INDEX('Term investments'!$E:$E,ROW()),0)</f>
        <v/>
      </c>
      <c r="F1401">
        <f>IFERROR(--INDEX('Term investments'!$F:$F,ROW()),0)</f>
        <v/>
      </c>
      <c r="G1401">
        <f>IFERROR(IF(--INDEX('Term investments'!$G:$G,ROW())&gt;=1,--INDEX('Term investments'!$G:$G,ROW())/100,--INDEX('Term investments'!$G:$G,ROW())),0)</f>
        <v/>
      </c>
      <c r="H1401">
        <f>IFERROR(--INDEX('Term investments'!$H:$H,ROW()),0)</f>
        <v/>
      </c>
      <c r="I1401">
        <f>IF(ISNUMBER(INDEX('Term investments'!$G:$G,ROW())),1,0)</f>
        <v/>
      </c>
      <c r="J1401">
        <f>TRIM(SUBSTITUTE(INDEX('Call accounts and MMFs'!$A:$A,ROW())&amp;""," "," "))</f>
        <v/>
      </c>
      <c r="K1401">
        <f>TRIM(SUBSTITUTE(INDEX('Call accounts and MMFs'!$B:$B,ROW())&amp;""," "," "))</f>
        <v/>
      </c>
      <c r="L1401">
        <f>TRIM(SUBSTITUTE(INDEX('Call accounts and MMFs'!$C:$C,ROW())&amp;""," "," "))</f>
        <v/>
      </c>
      <c r="M1401">
        <f>IFERROR(--INDEX('Call accounts and MMFs'!$D:$D,ROW()),0)</f>
        <v/>
      </c>
      <c r="N1401">
        <f>IFERROR(IF(--INDEX('Call accounts and MMFs'!$E:$E,ROW())&gt;=1,--INDEX('Call accounts and MMFs'!$E:$E,ROW())/100,--INDEX('Call accounts and MMFs'!$E:$E,ROW())),0)</f>
        <v/>
      </c>
      <c r="O1401">
        <f>IFERROR(--INDEX('Call accounts and MMFs'!$F:$F,ROW()),0)</f>
        <v/>
      </c>
      <c r="P1401">
        <f>IF(ISNUMBER(INDEX('Call accounts and MMFs'!$E:$E,ROW())),1,0)</f>
        <v/>
      </c>
      <c r="Q1401">
        <f>TRIM(SUBSTITUTE(INDEX('Pooled funds'!$B:$B,ROW())&amp;""," "," "))</f>
        <v/>
      </c>
      <c r="R1401">
        <f>IFERROR(--INDEX('Pooled funds'!$C:$C,ROW()),0)</f>
        <v/>
      </c>
      <c r="S1401">
        <f>IFERROR(--INDEX('Pooled funds'!$D:$D,ROW()),0)</f>
        <v/>
      </c>
      <c r="T1401">
        <f>IFERROR(IF(--INDEX('Pooled funds'!$E:$E,ROW())&gt;=1,--INDEX('Pooled funds'!$E:$E,ROW())/100,--INDEX('Pooled funds'!$E:$E,ROW())),0)</f>
        <v/>
      </c>
      <c r="U1401">
        <f>IF(ISNUMBER(INDEX('Pooled funds'!$E:$E,ROW())),1,0)</f>
        <v/>
      </c>
    </row>
    <row r="1402">
      <c r="A1402">
        <f>TRIM(SUBSTITUTE(INDEX('Term investments'!$A:$A,ROW())&amp;""," "," "))</f>
        <v/>
      </c>
      <c r="B1402">
        <f>TRIM(SUBSTITUTE(INDEX('Term investments'!$B:$B,ROW())&amp;""," "," "))</f>
        <v/>
      </c>
      <c r="C1402">
        <f>TRIM(SUBSTITUTE(INDEX('Term investments'!$C:$C,ROW())&amp;""," "," "))</f>
        <v/>
      </c>
      <c r="D1402">
        <f>IFERROR(--INDEX('Term investments'!$D:$D,ROW()),0)</f>
        <v/>
      </c>
      <c r="E1402">
        <f>IFERROR(--INDEX('Term investments'!$E:$E,ROW()),0)</f>
        <v/>
      </c>
      <c r="F1402">
        <f>IFERROR(--INDEX('Term investments'!$F:$F,ROW()),0)</f>
        <v/>
      </c>
      <c r="G1402">
        <f>IFERROR(IF(--INDEX('Term investments'!$G:$G,ROW())&gt;=1,--INDEX('Term investments'!$G:$G,ROW())/100,--INDEX('Term investments'!$G:$G,ROW())),0)</f>
        <v/>
      </c>
      <c r="H1402">
        <f>IFERROR(--INDEX('Term investments'!$H:$H,ROW()),0)</f>
        <v/>
      </c>
      <c r="I1402">
        <f>IF(ISNUMBER(INDEX('Term investments'!$G:$G,ROW())),1,0)</f>
        <v/>
      </c>
      <c r="J1402">
        <f>TRIM(SUBSTITUTE(INDEX('Call accounts and MMFs'!$A:$A,ROW())&amp;""," "," "))</f>
        <v/>
      </c>
      <c r="K1402">
        <f>TRIM(SUBSTITUTE(INDEX('Call accounts and MMFs'!$B:$B,ROW())&amp;""," "," "))</f>
        <v/>
      </c>
      <c r="L1402">
        <f>TRIM(SUBSTITUTE(INDEX('Call accounts and MMFs'!$C:$C,ROW())&amp;""," "," "))</f>
        <v/>
      </c>
      <c r="M1402">
        <f>IFERROR(--INDEX('Call accounts and MMFs'!$D:$D,ROW()),0)</f>
        <v/>
      </c>
      <c r="N1402">
        <f>IFERROR(IF(--INDEX('Call accounts and MMFs'!$E:$E,ROW())&gt;=1,--INDEX('Call accounts and MMFs'!$E:$E,ROW())/100,--INDEX('Call accounts and MMFs'!$E:$E,ROW())),0)</f>
        <v/>
      </c>
      <c r="O1402">
        <f>IFERROR(--INDEX('Call accounts and MMFs'!$F:$F,ROW()),0)</f>
        <v/>
      </c>
      <c r="P1402">
        <f>IF(ISNUMBER(INDEX('Call accounts and MMFs'!$E:$E,ROW())),1,0)</f>
        <v/>
      </c>
      <c r="Q1402">
        <f>TRIM(SUBSTITUTE(INDEX('Pooled funds'!$B:$B,ROW())&amp;""," "," "))</f>
        <v/>
      </c>
      <c r="R1402">
        <f>IFERROR(--INDEX('Pooled funds'!$C:$C,ROW()),0)</f>
        <v/>
      </c>
      <c r="S1402">
        <f>IFERROR(--INDEX('Pooled funds'!$D:$D,ROW()),0)</f>
        <v/>
      </c>
      <c r="T1402">
        <f>IFERROR(IF(--INDEX('Pooled funds'!$E:$E,ROW())&gt;=1,--INDEX('Pooled funds'!$E:$E,ROW())/100,--INDEX('Pooled funds'!$E:$E,ROW())),0)</f>
        <v/>
      </c>
      <c r="U1402">
        <f>IF(ISNUMBER(INDEX('Pooled funds'!$E:$E,ROW())),1,0)</f>
        <v/>
      </c>
    </row>
    <row r="1403">
      <c r="A1403">
        <f>TRIM(SUBSTITUTE(INDEX('Term investments'!$A:$A,ROW())&amp;""," "," "))</f>
        <v/>
      </c>
      <c r="B1403">
        <f>TRIM(SUBSTITUTE(INDEX('Term investments'!$B:$B,ROW())&amp;""," "," "))</f>
        <v/>
      </c>
      <c r="C1403">
        <f>TRIM(SUBSTITUTE(INDEX('Term investments'!$C:$C,ROW())&amp;""," "," "))</f>
        <v/>
      </c>
      <c r="D1403">
        <f>IFERROR(--INDEX('Term investments'!$D:$D,ROW()),0)</f>
        <v/>
      </c>
      <c r="E1403">
        <f>IFERROR(--INDEX('Term investments'!$E:$E,ROW()),0)</f>
        <v/>
      </c>
      <c r="F1403">
        <f>IFERROR(--INDEX('Term investments'!$F:$F,ROW()),0)</f>
        <v/>
      </c>
      <c r="G1403">
        <f>IFERROR(IF(--INDEX('Term investments'!$G:$G,ROW())&gt;=1,--INDEX('Term investments'!$G:$G,ROW())/100,--INDEX('Term investments'!$G:$G,ROW())),0)</f>
        <v/>
      </c>
      <c r="H1403">
        <f>IFERROR(--INDEX('Term investments'!$H:$H,ROW()),0)</f>
        <v/>
      </c>
      <c r="I1403">
        <f>IF(ISNUMBER(INDEX('Term investments'!$G:$G,ROW())),1,0)</f>
        <v/>
      </c>
      <c r="J1403">
        <f>TRIM(SUBSTITUTE(INDEX('Call accounts and MMFs'!$A:$A,ROW())&amp;""," "," "))</f>
        <v/>
      </c>
      <c r="K1403">
        <f>TRIM(SUBSTITUTE(INDEX('Call accounts and MMFs'!$B:$B,ROW())&amp;""," "," "))</f>
        <v/>
      </c>
      <c r="L1403">
        <f>TRIM(SUBSTITUTE(INDEX('Call accounts and MMFs'!$C:$C,ROW())&amp;""," "," "))</f>
        <v/>
      </c>
      <c r="M1403">
        <f>IFERROR(--INDEX('Call accounts and MMFs'!$D:$D,ROW()),0)</f>
        <v/>
      </c>
      <c r="N1403">
        <f>IFERROR(IF(--INDEX('Call accounts and MMFs'!$E:$E,ROW())&gt;=1,--INDEX('Call accounts and MMFs'!$E:$E,ROW())/100,--INDEX('Call accounts and MMFs'!$E:$E,ROW())),0)</f>
        <v/>
      </c>
      <c r="O1403">
        <f>IFERROR(--INDEX('Call accounts and MMFs'!$F:$F,ROW()),0)</f>
        <v/>
      </c>
      <c r="P1403">
        <f>IF(ISNUMBER(INDEX('Call accounts and MMFs'!$E:$E,ROW())),1,0)</f>
        <v/>
      </c>
      <c r="Q1403">
        <f>TRIM(SUBSTITUTE(INDEX('Pooled funds'!$B:$B,ROW())&amp;""," "," "))</f>
        <v/>
      </c>
      <c r="R1403">
        <f>IFERROR(--INDEX('Pooled funds'!$C:$C,ROW()),0)</f>
        <v/>
      </c>
      <c r="S1403">
        <f>IFERROR(--INDEX('Pooled funds'!$D:$D,ROW()),0)</f>
        <v/>
      </c>
      <c r="T1403">
        <f>IFERROR(IF(--INDEX('Pooled funds'!$E:$E,ROW())&gt;=1,--INDEX('Pooled funds'!$E:$E,ROW())/100,--INDEX('Pooled funds'!$E:$E,ROW())),0)</f>
        <v/>
      </c>
      <c r="U1403">
        <f>IF(ISNUMBER(INDEX('Pooled funds'!$E:$E,ROW())),1,0)</f>
        <v/>
      </c>
    </row>
    <row r="1404">
      <c r="A1404">
        <f>TRIM(SUBSTITUTE(INDEX('Term investments'!$A:$A,ROW())&amp;""," "," "))</f>
        <v/>
      </c>
      <c r="B1404">
        <f>TRIM(SUBSTITUTE(INDEX('Term investments'!$B:$B,ROW())&amp;""," "," "))</f>
        <v/>
      </c>
      <c r="C1404">
        <f>TRIM(SUBSTITUTE(INDEX('Term investments'!$C:$C,ROW())&amp;""," "," "))</f>
        <v/>
      </c>
      <c r="D1404">
        <f>IFERROR(--INDEX('Term investments'!$D:$D,ROW()),0)</f>
        <v/>
      </c>
      <c r="E1404">
        <f>IFERROR(--INDEX('Term investments'!$E:$E,ROW()),0)</f>
        <v/>
      </c>
      <c r="F1404">
        <f>IFERROR(--INDEX('Term investments'!$F:$F,ROW()),0)</f>
        <v/>
      </c>
      <c r="G1404">
        <f>IFERROR(IF(--INDEX('Term investments'!$G:$G,ROW())&gt;=1,--INDEX('Term investments'!$G:$G,ROW())/100,--INDEX('Term investments'!$G:$G,ROW())),0)</f>
        <v/>
      </c>
      <c r="H1404">
        <f>IFERROR(--INDEX('Term investments'!$H:$H,ROW()),0)</f>
        <v/>
      </c>
      <c r="I1404">
        <f>IF(ISNUMBER(INDEX('Term investments'!$G:$G,ROW())),1,0)</f>
        <v/>
      </c>
      <c r="J1404">
        <f>TRIM(SUBSTITUTE(INDEX('Call accounts and MMFs'!$A:$A,ROW())&amp;""," "," "))</f>
        <v/>
      </c>
      <c r="K1404">
        <f>TRIM(SUBSTITUTE(INDEX('Call accounts and MMFs'!$B:$B,ROW())&amp;""," "," "))</f>
        <v/>
      </c>
      <c r="L1404">
        <f>TRIM(SUBSTITUTE(INDEX('Call accounts and MMFs'!$C:$C,ROW())&amp;""," "," "))</f>
        <v/>
      </c>
      <c r="M1404">
        <f>IFERROR(--INDEX('Call accounts and MMFs'!$D:$D,ROW()),0)</f>
        <v/>
      </c>
      <c r="N1404">
        <f>IFERROR(IF(--INDEX('Call accounts and MMFs'!$E:$E,ROW())&gt;=1,--INDEX('Call accounts and MMFs'!$E:$E,ROW())/100,--INDEX('Call accounts and MMFs'!$E:$E,ROW())),0)</f>
        <v/>
      </c>
      <c r="O1404">
        <f>IFERROR(--INDEX('Call accounts and MMFs'!$F:$F,ROW()),0)</f>
        <v/>
      </c>
      <c r="P1404">
        <f>IF(ISNUMBER(INDEX('Call accounts and MMFs'!$E:$E,ROW())),1,0)</f>
        <v/>
      </c>
      <c r="Q1404">
        <f>TRIM(SUBSTITUTE(INDEX('Pooled funds'!$B:$B,ROW())&amp;""," "," "))</f>
        <v/>
      </c>
      <c r="R1404">
        <f>IFERROR(--INDEX('Pooled funds'!$C:$C,ROW()),0)</f>
        <v/>
      </c>
      <c r="S1404">
        <f>IFERROR(--INDEX('Pooled funds'!$D:$D,ROW()),0)</f>
        <v/>
      </c>
      <c r="T1404">
        <f>IFERROR(IF(--INDEX('Pooled funds'!$E:$E,ROW())&gt;=1,--INDEX('Pooled funds'!$E:$E,ROW())/100,--INDEX('Pooled funds'!$E:$E,ROW())),0)</f>
        <v/>
      </c>
      <c r="U1404">
        <f>IF(ISNUMBER(INDEX('Pooled funds'!$E:$E,ROW())),1,0)</f>
        <v/>
      </c>
    </row>
    <row r="1405">
      <c r="A1405">
        <f>TRIM(SUBSTITUTE(INDEX('Term investments'!$A:$A,ROW())&amp;""," "," "))</f>
        <v/>
      </c>
      <c r="B1405">
        <f>TRIM(SUBSTITUTE(INDEX('Term investments'!$B:$B,ROW())&amp;""," "," "))</f>
        <v/>
      </c>
      <c r="C1405">
        <f>TRIM(SUBSTITUTE(INDEX('Term investments'!$C:$C,ROW())&amp;""," "," "))</f>
        <v/>
      </c>
      <c r="D1405">
        <f>IFERROR(--INDEX('Term investments'!$D:$D,ROW()),0)</f>
        <v/>
      </c>
      <c r="E1405">
        <f>IFERROR(--INDEX('Term investments'!$E:$E,ROW()),0)</f>
        <v/>
      </c>
      <c r="F1405">
        <f>IFERROR(--INDEX('Term investments'!$F:$F,ROW()),0)</f>
        <v/>
      </c>
      <c r="G1405">
        <f>IFERROR(IF(--INDEX('Term investments'!$G:$G,ROW())&gt;=1,--INDEX('Term investments'!$G:$G,ROW())/100,--INDEX('Term investments'!$G:$G,ROW())),0)</f>
        <v/>
      </c>
      <c r="H1405">
        <f>IFERROR(--INDEX('Term investments'!$H:$H,ROW()),0)</f>
        <v/>
      </c>
      <c r="I1405">
        <f>IF(ISNUMBER(INDEX('Term investments'!$G:$G,ROW())),1,0)</f>
        <v/>
      </c>
      <c r="J1405">
        <f>TRIM(SUBSTITUTE(INDEX('Call accounts and MMFs'!$A:$A,ROW())&amp;""," "," "))</f>
        <v/>
      </c>
      <c r="K1405">
        <f>TRIM(SUBSTITUTE(INDEX('Call accounts and MMFs'!$B:$B,ROW())&amp;""," "," "))</f>
        <v/>
      </c>
      <c r="L1405">
        <f>TRIM(SUBSTITUTE(INDEX('Call accounts and MMFs'!$C:$C,ROW())&amp;""," "," "))</f>
        <v/>
      </c>
      <c r="M1405">
        <f>IFERROR(--INDEX('Call accounts and MMFs'!$D:$D,ROW()),0)</f>
        <v/>
      </c>
      <c r="N1405">
        <f>IFERROR(IF(--INDEX('Call accounts and MMFs'!$E:$E,ROW())&gt;=1,--INDEX('Call accounts and MMFs'!$E:$E,ROW())/100,--INDEX('Call accounts and MMFs'!$E:$E,ROW())),0)</f>
        <v/>
      </c>
      <c r="O1405">
        <f>IFERROR(--INDEX('Call accounts and MMFs'!$F:$F,ROW()),0)</f>
        <v/>
      </c>
      <c r="P1405">
        <f>IF(ISNUMBER(INDEX('Call accounts and MMFs'!$E:$E,ROW())),1,0)</f>
        <v/>
      </c>
      <c r="Q1405">
        <f>TRIM(SUBSTITUTE(INDEX('Pooled funds'!$B:$B,ROW())&amp;""," "," "))</f>
        <v/>
      </c>
      <c r="R1405">
        <f>IFERROR(--INDEX('Pooled funds'!$C:$C,ROW()),0)</f>
        <v/>
      </c>
      <c r="S1405">
        <f>IFERROR(--INDEX('Pooled funds'!$D:$D,ROW()),0)</f>
        <v/>
      </c>
      <c r="T1405">
        <f>IFERROR(IF(--INDEX('Pooled funds'!$E:$E,ROW())&gt;=1,--INDEX('Pooled funds'!$E:$E,ROW())/100,--INDEX('Pooled funds'!$E:$E,ROW())),0)</f>
        <v/>
      </c>
      <c r="U1405">
        <f>IF(ISNUMBER(INDEX('Pooled funds'!$E:$E,ROW())),1,0)</f>
        <v/>
      </c>
    </row>
    <row r="1406">
      <c r="A1406">
        <f>TRIM(SUBSTITUTE(INDEX('Term investments'!$A:$A,ROW())&amp;""," "," "))</f>
        <v/>
      </c>
      <c r="B1406">
        <f>TRIM(SUBSTITUTE(INDEX('Term investments'!$B:$B,ROW())&amp;""," "," "))</f>
        <v/>
      </c>
      <c r="C1406">
        <f>TRIM(SUBSTITUTE(INDEX('Term investments'!$C:$C,ROW())&amp;""," "," "))</f>
        <v/>
      </c>
      <c r="D1406">
        <f>IFERROR(--INDEX('Term investments'!$D:$D,ROW()),0)</f>
        <v/>
      </c>
      <c r="E1406">
        <f>IFERROR(--INDEX('Term investments'!$E:$E,ROW()),0)</f>
        <v/>
      </c>
      <c r="F1406">
        <f>IFERROR(--INDEX('Term investments'!$F:$F,ROW()),0)</f>
        <v/>
      </c>
      <c r="G1406">
        <f>IFERROR(IF(--INDEX('Term investments'!$G:$G,ROW())&gt;=1,--INDEX('Term investments'!$G:$G,ROW())/100,--INDEX('Term investments'!$G:$G,ROW())),0)</f>
        <v/>
      </c>
      <c r="H1406">
        <f>IFERROR(--INDEX('Term investments'!$H:$H,ROW()),0)</f>
        <v/>
      </c>
      <c r="I1406">
        <f>IF(ISNUMBER(INDEX('Term investments'!$G:$G,ROW())),1,0)</f>
        <v/>
      </c>
      <c r="J1406">
        <f>TRIM(SUBSTITUTE(INDEX('Call accounts and MMFs'!$A:$A,ROW())&amp;""," "," "))</f>
        <v/>
      </c>
      <c r="K1406">
        <f>TRIM(SUBSTITUTE(INDEX('Call accounts and MMFs'!$B:$B,ROW())&amp;""," "," "))</f>
        <v/>
      </c>
      <c r="L1406">
        <f>TRIM(SUBSTITUTE(INDEX('Call accounts and MMFs'!$C:$C,ROW())&amp;""," "," "))</f>
        <v/>
      </c>
      <c r="M1406">
        <f>IFERROR(--INDEX('Call accounts and MMFs'!$D:$D,ROW()),0)</f>
        <v/>
      </c>
      <c r="N1406">
        <f>IFERROR(IF(--INDEX('Call accounts and MMFs'!$E:$E,ROW())&gt;=1,--INDEX('Call accounts and MMFs'!$E:$E,ROW())/100,--INDEX('Call accounts and MMFs'!$E:$E,ROW())),0)</f>
        <v/>
      </c>
      <c r="O1406">
        <f>IFERROR(--INDEX('Call accounts and MMFs'!$F:$F,ROW()),0)</f>
        <v/>
      </c>
      <c r="P1406">
        <f>IF(ISNUMBER(INDEX('Call accounts and MMFs'!$E:$E,ROW())),1,0)</f>
        <v/>
      </c>
      <c r="Q1406">
        <f>TRIM(SUBSTITUTE(INDEX('Pooled funds'!$B:$B,ROW())&amp;""," "," "))</f>
        <v/>
      </c>
      <c r="R1406">
        <f>IFERROR(--INDEX('Pooled funds'!$C:$C,ROW()),0)</f>
        <v/>
      </c>
      <c r="S1406">
        <f>IFERROR(--INDEX('Pooled funds'!$D:$D,ROW()),0)</f>
        <v/>
      </c>
      <c r="T1406">
        <f>IFERROR(IF(--INDEX('Pooled funds'!$E:$E,ROW())&gt;=1,--INDEX('Pooled funds'!$E:$E,ROW())/100,--INDEX('Pooled funds'!$E:$E,ROW())),0)</f>
        <v/>
      </c>
      <c r="U1406">
        <f>IF(ISNUMBER(INDEX('Pooled funds'!$E:$E,ROW())),1,0)</f>
        <v/>
      </c>
    </row>
    <row r="1407">
      <c r="A1407">
        <f>TRIM(SUBSTITUTE(INDEX('Term investments'!$A:$A,ROW())&amp;""," "," "))</f>
        <v/>
      </c>
      <c r="B1407">
        <f>TRIM(SUBSTITUTE(INDEX('Term investments'!$B:$B,ROW())&amp;""," "," "))</f>
        <v/>
      </c>
      <c r="C1407">
        <f>TRIM(SUBSTITUTE(INDEX('Term investments'!$C:$C,ROW())&amp;""," "," "))</f>
        <v/>
      </c>
      <c r="D1407">
        <f>IFERROR(--INDEX('Term investments'!$D:$D,ROW()),0)</f>
        <v/>
      </c>
      <c r="E1407">
        <f>IFERROR(--INDEX('Term investments'!$E:$E,ROW()),0)</f>
        <v/>
      </c>
      <c r="F1407">
        <f>IFERROR(--INDEX('Term investments'!$F:$F,ROW()),0)</f>
        <v/>
      </c>
      <c r="G1407">
        <f>IFERROR(IF(--INDEX('Term investments'!$G:$G,ROW())&gt;=1,--INDEX('Term investments'!$G:$G,ROW())/100,--INDEX('Term investments'!$G:$G,ROW())),0)</f>
        <v/>
      </c>
      <c r="H1407">
        <f>IFERROR(--INDEX('Term investments'!$H:$H,ROW()),0)</f>
        <v/>
      </c>
      <c r="I1407">
        <f>IF(ISNUMBER(INDEX('Term investments'!$G:$G,ROW())),1,0)</f>
        <v/>
      </c>
      <c r="J1407">
        <f>TRIM(SUBSTITUTE(INDEX('Call accounts and MMFs'!$A:$A,ROW())&amp;""," "," "))</f>
        <v/>
      </c>
      <c r="K1407">
        <f>TRIM(SUBSTITUTE(INDEX('Call accounts and MMFs'!$B:$B,ROW())&amp;""," "," "))</f>
        <v/>
      </c>
      <c r="L1407">
        <f>TRIM(SUBSTITUTE(INDEX('Call accounts and MMFs'!$C:$C,ROW())&amp;""," "," "))</f>
        <v/>
      </c>
      <c r="M1407">
        <f>IFERROR(--INDEX('Call accounts and MMFs'!$D:$D,ROW()),0)</f>
        <v/>
      </c>
      <c r="N1407">
        <f>IFERROR(IF(--INDEX('Call accounts and MMFs'!$E:$E,ROW())&gt;=1,--INDEX('Call accounts and MMFs'!$E:$E,ROW())/100,--INDEX('Call accounts and MMFs'!$E:$E,ROW())),0)</f>
        <v/>
      </c>
      <c r="O1407">
        <f>IFERROR(--INDEX('Call accounts and MMFs'!$F:$F,ROW()),0)</f>
        <v/>
      </c>
      <c r="P1407">
        <f>IF(ISNUMBER(INDEX('Call accounts and MMFs'!$E:$E,ROW())),1,0)</f>
        <v/>
      </c>
      <c r="Q1407">
        <f>TRIM(SUBSTITUTE(INDEX('Pooled funds'!$B:$B,ROW())&amp;""," "," "))</f>
        <v/>
      </c>
      <c r="R1407">
        <f>IFERROR(--INDEX('Pooled funds'!$C:$C,ROW()),0)</f>
        <v/>
      </c>
      <c r="S1407">
        <f>IFERROR(--INDEX('Pooled funds'!$D:$D,ROW()),0)</f>
        <v/>
      </c>
      <c r="T1407">
        <f>IFERROR(IF(--INDEX('Pooled funds'!$E:$E,ROW())&gt;=1,--INDEX('Pooled funds'!$E:$E,ROW())/100,--INDEX('Pooled funds'!$E:$E,ROW())),0)</f>
        <v/>
      </c>
      <c r="U1407">
        <f>IF(ISNUMBER(INDEX('Pooled funds'!$E:$E,ROW())),1,0)</f>
        <v/>
      </c>
    </row>
    <row r="1408">
      <c r="A1408">
        <f>TRIM(SUBSTITUTE(INDEX('Term investments'!$A:$A,ROW())&amp;""," "," "))</f>
        <v/>
      </c>
      <c r="B1408">
        <f>TRIM(SUBSTITUTE(INDEX('Term investments'!$B:$B,ROW())&amp;""," "," "))</f>
        <v/>
      </c>
      <c r="C1408">
        <f>TRIM(SUBSTITUTE(INDEX('Term investments'!$C:$C,ROW())&amp;""," "," "))</f>
        <v/>
      </c>
      <c r="D1408">
        <f>IFERROR(--INDEX('Term investments'!$D:$D,ROW()),0)</f>
        <v/>
      </c>
      <c r="E1408">
        <f>IFERROR(--INDEX('Term investments'!$E:$E,ROW()),0)</f>
        <v/>
      </c>
      <c r="F1408">
        <f>IFERROR(--INDEX('Term investments'!$F:$F,ROW()),0)</f>
        <v/>
      </c>
      <c r="G1408">
        <f>IFERROR(IF(--INDEX('Term investments'!$G:$G,ROW())&gt;=1,--INDEX('Term investments'!$G:$G,ROW())/100,--INDEX('Term investments'!$G:$G,ROW())),0)</f>
        <v/>
      </c>
      <c r="H1408">
        <f>IFERROR(--INDEX('Term investments'!$H:$H,ROW()),0)</f>
        <v/>
      </c>
      <c r="I1408">
        <f>IF(ISNUMBER(INDEX('Term investments'!$G:$G,ROW())),1,0)</f>
        <v/>
      </c>
      <c r="J1408">
        <f>TRIM(SUBSTITUTE(INDEX('Call accounts and MMFs'!$A:$A,ROW())&amp;""," "," "))</f>
        <v/>
      </c>
      <c r="K1408">
        <f>TRIM(SUBSTITUTE(INDEX('Call accounts and MMFs'!$B:$B,ROW())&amp;""," "," "))</f>
        <v/>
      </c>
      <c r="L1408">
        <f>TRIM(SUBSTITUTE(INDEX('Call accounts and MMFs'!$C:$C,ROW())&amp;""," "," "))</f>
        <v/>
      </c>
      <c r="M1408">
        <f>IFERROR(--INDEX('Call accounts and MMFs'!$D:$D,ROW()),0)</f>
        <v/>
      </c>
      <c r="N1408">
        <f>IFERROR(IF(--INDEX('Call accounts and MMFs'!$E:$E,ROW())&gt;=1,--INDEX('Call accounts and MMFs'!$E:$E,ROW())/100,--INDEX('Call accounts and MMFs'!$E:$E,ROW())),0)</f>
        <v/>
      </c>
      <c r="O1408">
        <f>IFERROR(--INDEX('Call accounts and MMFs'!$F:$F,ROW()),0)</f>
        <v/>
      </c>
      <c r="P1408">
        <f>IF(ISNUMBER(INDEX('Call accounts and MMFs'!$E:$E,ROW())),1,0)</f>
        <v/>
      </c>
      <c r="Q1408">
        <f>TRIM(SUBSTITUTE(INDEX('Pooled funds'!$B:$B,ROW())&amp;""," "," "))</f>
        <v/>
      </c>
      <c r="R1408">
        <f>IFERROR(--INDEX('Pooled funds'!$C:$C,ROW()),0)</f>
        <v/>
      </c>
      <c r="S1408">
        <f>IFERROR(--INDEX('Pooled funds'!$D:$D,ROW()),0)</f>
        <v/>
      </c>
      <c r="T1408">
        <f>IFERROR(IF(--INDEX('Pooled funds'!$E:$E,ROW())&gt;=1,--INDEX('Pooled funds'!$E:$E,ROW())/100,--INDEX('Pooled funds'!$E:$E,ROW())),0)</f>
        <v/>
      </c>
      <c r="U1408">
        <f>IF(ISNUMBER(INDEX('Pooled funds'!$E:$E,ROW())),1,0)</f>
        <v/>
      </c>
    </row>
    <row r="1409">
      <c r="A1409">
        <f>TRIM(SUBSTITUTE(INDEX('Term investments'!$A:$A,ROW())&amp;""," "," "))</f>
        <v/>
      </c>
      <c r="B1409">
        <f>TRIM(SUBSTITUTE(INDEX('Term investments'!$B:$B,ROW())&amp;""," "," "))</f>
        <v/>
      </c>
      <c r="C1409">
        <f>TRIM(SUBSTITUTE(INDEX('Term investments'!$C:$C,ROW())&amp;""," "," "))</f>
        <v/>
      </c>
      <c r="D1409">
        <f>IFERROR(--INDEX('Term investments'!$D:$D,ROW()),0)</f>
        <v/>
      </c>
      <c r="E1409">
        <f>IFERROR(--INDEX('Term investments'!$E:$E,ROW()),0)</f>
        <v/>
      </c>
      <c r="F1409">
        <f>IFERROR(--INDEX('Term investments'!$F:$F,ROW()),0)</f>
        <v/>
      </c>
      <c r="G1409">
        <f>IFERROR(IF(--INDEX('Term investments'!$G:$G,ROW())&gt;=1,--INDEX('Term investments'!$G:$G,ROW())/100,--INDEX('Term investments'!$G:$G,ROW())),0)</f>
        <v/>
      </c>
      <c r="H1409">
        <f>IFERROR(--INDEX('Term investments'!$H:$H,ROW()),0)</f>
        <v/>
      </c>
      <c r="I1409">
        <f>IF(ISNUMBER(INDEX('Term investments'!$G:$G,ROW())),1,0)</f>
        <v/>
      </c>
      <c r="J1409">
        <f>TRIM(SUBSTITUTE(INDEX('Call accounts and MMFs'!$A:$A,ROW())&amp;""," "," "))</f>
        <v/>
      </c>
      <c r="K1409">
        <f>TRIM(SUBSTITUTE(INDEX('Call accounts and MMFs'!$B:$B,ROW())&amp;""," "," "))</f>
        <v/>
      </c>
      <c r="L1409">
        <f>TRIM(SUBSTITUTE(INDEX('Call accounts and MMFs'!$C:$C,ROW())&amp;""," "," "))</f>
        <v/>
      </c>
      <c r="M1409">
        <f>IFERROR(--INDEX('Call accounts and MMFs'!$D:$D,ROW()),0)</f>
        <v/>
      </c>
      <c r="N1409">
        <f>IFERROR(IF(--INDEX('Call accounts and MMFs'!$E:$E,ROW())&gt;=1,--INDEX('Call accounts and MMFs'!$E:$E,ROW())/100,--INDEX('Call accounts and MMFs'!$E:$E,ROW())),0)</f>
        <v/>
      </c>
      <c r="O1409">
        <f>IFERROR(--INDEX('Call accounts and MMFs'!$F:$F,ROW()),0)</f>
        <v/>
      </c>
      <c r="P1409">
        <f>IF(ISNUMBER(INDEX('Call accounts and MMFs'!$E:$E,ROW())),1,0)</f>
        <v/>
      </c>
      <c r="Q1409">
        <f>TRIM(SUBSTITUTE(INDEX('Pooled funds'!$B:$B,ROW())&amp;""," "," "))</f>
        <v/>
      </c>
      <c r="R1409">
        <f>IFERROR(--INDEX('Pooled funds'!$C:$C,ROW()),0)</f>
        <v/>
      </c>
      <c r="S1409">
        <f>IFERROR(--INDEX('Pooled funds'!$D:$D,ROW()),0)</f>
        <v/>
      </c>
      <c r="T1409">
        <f>IFERROR(IF(--INDEX('Pooled funds'!$E:$E,ROW())&gt;=1,--INDEX('Pooled funds'!$E:$E,ROW())/100,--INDEX('Pooled funds'!$E:$E,ROW())),0)</f>
        <v/>
      </c>
      <c r="U1409">
        <f>IF(ISNUMBER(INDEX('Pooled funds'!$E:$E,ROW())),1,0)</f>
        <v/>
      </c>
    </row>
    <row r="1410">
      <c r="A1410">
        <f>TRIM(SUBSTITUTE(INDEX('Term investments'!$A:$A,ROW())&amp;""," "," "))</f>
        <v/>
      </c>
      <c r="B1410">
        <f>TRIM(SUBSTITUTE(INDEX('Term investments'!$B:$B,ROW())&amp;""," "," "))</f>
        <v/>
      </c>
      <c r="C1410">
        <f>TRIM(SUBSTITUTE(INDEX('Term investments'!$C:$C,ROW())&amp;""," "," "))</f>
        <v/>
      </c>
      <c r="D1410">
        <f>IFERROR(--INDEX('Term investments'!$D:$D,ROW()),0)</f>
        <v/>
      </c>
      <c r="E1410">
        <f>IFERROR(--INDEX('Term investments'!$E:$E,ROW()),0)</f>
        <v/>
      </c>
      <c r="F1410">
        <f>IFERROR(--INDEX('Term investments'!$F:$F,ROW()),0)</f>
        <v/>
      </c>
      <c r="G1410">
        <f>IFERROR(IF(--INDEX('Term investments'!$G:$G,ROW())&gt;=1,--INDEX('Term investments'!$G:$G,ROW())/100,--INDEX('Term investments'!$G:$G,ROW())),0)</f>
        <v/>
      </c>
      <c r="H1410">
        <f>IFERROR(--INDEX('Term investments'!$H:$H,ROW()),0)</f>
        <v/>
      </c>
      <c r="I1410">
        <f>IF(ISNUMBER(INDEX('Term investments'!$G:$G,ROW())),1,0)</f>
        <v/>
      </c>
      <c r="J1410">
        <f>TRIM(SUBSTITUTE(INDEX('Call accounts and MMFs'!$A:$A,ROW())&amp;""," "," "))</f>
        <v/>
      </c>
      <c r="K1410">
        <f>TRIM(SUBSTITUTE(INDEX('Call accounts and MMFs'!$B:$B,ROW())&amp;""," "," "))</f>
        <v/>
      </c>
      <c r="L1410">
        <f>TRIM(SUBSTITUTE(INDEX('Call accounts and MMFs'!$C:$C,ROW())&amp;""," "," "))</f>
        <v/>
      </c>
      <c r="M1410">
        <f>IFERROR(--INDEX('Call accounts and MMFs'!$D:$D,ROW()),0)</f>
        <v/>
      </c>
      <c r="N1410">
        <f>IFERROR(IF(--INDEX('Call accounts and MMFs'!$E:$E,ROW())&gt;=1,--INDEX('Call accounts and MMFs'!$E:$E,ROW())/100,--INDEX('Call accounts and MMFs'!$E:$E,ROW())),0)</f>
        <v/>
      </c>
      <c r="O1410">
        <f>IFERROR(--INDEX('Call accounts and MMFs'!$F:$F,ROW()),0)</f>
        <v/>
      </c>
      <c r="P1410">
        <f>IF(ISNUMBER(INDEX('Call accounts and MMFs'!$E:$E,ROW())),1,0)</f>
        <v/>
      </c>
      <c r="Q1410">
        <f>TRIM(SUBSTITUTE(INDEX('Pooled funds'!$B:$B,ROW())&amp;""," "," "))</f>
        <v/>
      </c>
      <c r="R1410">
        <f>IFERROR(--INDEX('Pooled funds'!$C:$C,ROW()),0)</f>
        <v/>
      </c>
      <c r="S1410">
        <f>IFERROR(--INDEX('Pooled funds'!$D:$D,ROW()),0)</f>
        <v/>
      </c>
      <c r="T1410">
        <f>IFERROR(IF(--INDEX('Pooled funds'!$E:$E,ROW())&gt;=1,--INDEX('Pooled funds'!$E:$E,ROW())/100,--INDEX('Pooled funds'!$E:$E,ROW())),0)</f>
        <v/>
      </c>
      <c r="U1410">
        <f>IF(ISNUMBER(INDEX('Pooled funds'!$E:$E,ROW())),1,0)</f>
        <v/>
      </c>
    </row>
    <row r="1411">
      <c r="A1411">
        <f>TRIM(SUBSTITUTE(INDEX('Term investments'!$A:$A,ROW())&amp;""," "," "))</f>
        <v/>
      </c>
      <c r="B1411">
        <f>TRIM(SUBSTITUTE(INDEX('Term investments'!$B:$B,ROW())&amp;""," "," "))</f>
        <v/>
      </c>
      <c r="C1411">
        <f>TRIM(SUBSTITUTE(INDEX('Term investments'!$C:$C,ROW())&amp;""," "," "))</f>
        <v/>
      </c>
      <c r="D1411">
        <f>IFERROR(--INDEX('Term investments'!$D:$D,ROW()),0)</f>
        <v/>
      </c>
      <c r="E1411">
        <f>IFERROR(--INDEX('Term investments'!$E:$E,ROW()),0)</f>
        <v/>
      </c>
      <c r="F1411">
        <f>IFERROR(--INDEX('Term investments'!$F:$F,ROW()),0)</f>
        <v/>
      </c>
      <c r="G1411">
        <f>IFERROR(IF(--INDEX('Term investments'!$G:$G,ROW())&gt;=1,--INDEX('Term investments'!$G:$G,ROW())/100,--INDEX('Term investments'!$G:$G,ROW())),0)</f>
        <v/>
      </c>
      <c r="H1411">
        <f>IFERROR(--INDEX('Term investments'!$H:$H,ROW()),0)</f>
        <v/>
      </c>
      <c r="I1411">
        <f>IF(ISNUMBER(INDEX('Term investments'!$G:$G,ROW())),1,0)</f>
        <v/>
      </c>
      <c r="J1411">
        <f>TRIM(SUBSTITUTE(INDEX('Call accounts and MMFs'!$A:$A,ROW())&amp;""," "," "))</f>
        <v/>
      </c>
      <c r="K1411">
        <f>TRIM(SUBSTITUTE(INDEX('Call accounts and MMFs'!$B:$B,ROW())&amp;""," "," "))</f>
        <v/>
      </c>
      <c r="L1411">
        <f>TRIM(SUBSTITUTE(INDEX('Call accounts and MMFs'!$C:$C,ROW())&amp;""," "," "))</f>
        <v/>
      </c>
      <c r="M1411">
        <f>IFERROR(--INDEX('Call accounts and MMFs'!$D:$D,ROW()),0)</f>
        <v/>
      </c>
      <c r="N1411">
        <f>IFERROR(IF(--INDEX('Call accounts and MMFs'!$E:$E,ROW())&gt;=1,--INDEX('Call accounts and MMFs'!$E:$E,ROW())/100,--INDEX('Call accounts and MMFs'!$E:$E,ROW())),0)</f>
        <v/>
      </c>
      <c r="O1411">
        <f>IFERROR(--INDEX('Call accounts and MMFs'!$F:$F,ROW()),0)</f>
        <v/>
      </c>
      <c r="P1411">
        <f>IF(ISNUMBER(INDEX('Call accounts and MMFs'!$E:$E,ROW())),1,0)</f>
        <v/>
      </c>
      <c r="Q1411">
        <f>TRIM(SUBSTITUTE(INDEX('Pooled funds'!$B:$B,ROW())&amp;""," "," "))</f>
        <v/>
      </c>
      <c r="R1411">
        <f>IFERROR(--INDEX('Pooled funds'!$C:$C,ROW()),0)</f>
        <v/>
      </c>
      <c r="S1411">
        <f>IFERROR(--INDEX('Pooled funds'!$D:$D,ROW()),0)</f>
        <v/>
      </c>
      <c r="T1411">
        <f>IFERROR(IF(--INDEX('Pooled funds'!$E:$E,ROW())&gt;=1,--INDEX('Pooled funds'!$E:$E,ROW())/100,--INDEX('Pooled funds'!$E:$E,ROW())),0)</f>
        <v/>
      </c>
      <c r="U1411">
        <f>IF(ISNUMBER(INDEX('Pooled funds'!$E:$E,ROW())),1,0)</f>
        <v/>
      </c>
    </row>
    <row r="1412">
      <c r="A1412">
        <f>TRIM(SUBSTITUTE(INDEX('Term investments'!$A:$A,ROW())&amp;""," "," "))</f>
        <v/>
      </c>
      <c r="B1412">
        <f>TRIM(SUBSTITUTE(INDEX('Term investments'!$B:$B,ROW())&amp;""," "," "))</f>
        <v/>
      </c>
      <c r="C1412">
        <f>TRIM(SUBSTITUTE(INDEX('Term investments'!$C:$C,ROW())&amp;""," "," "))</f>
        <v/>
      </c>
      <c r="D1412">
        <f>IFERROR(--INDEX('Term investments'!$D:$D,ROW()),0)</f>
        <v/>
      </c>
      <c r="E1412">
        <f>IFERROR(--INDEX('Term investments'!$E:$E,ROW()),0)</f>
        <v/>
      </c>
      <c r="F1412">
        <f>IFERROR(--INDEX('Term investments'!$F:$F,ROW()),0)</f>
        <v/>
      </c>
      <c r="G1412">
        <f>IFERROR(IF(--INDEX('Term investments'!$G:$G,ROW())&gt;=1,--INDEX('Term investments'!$G:$G,ROW())/100,--INDEX('Term investments'!$G:$G,ROW())),0)</f>
        <v/>
      </c>
      <c r="H1412">
        <f>IFERROR(--INDEX('Term investments'!$H:$H,ROW()),0)</f>
        <v/>
      </c>
      <c r="I1412">
        <f>IF(ISNUMBER(INDEX('Term investments'!$G:$G,ROW())),1,0)</f>
        <v/>
      </c>
      <c r="J1412">
        <f>TRIM(SUBSTITUTE(INDEX('Call accounts and MMFs'!$A:$A,ROW())&amp;""," "," "))</f>
        <v/>
      </c>
      <c r="K1412">
        <f>TRIM(SUBSTITUTE(INDEX('Call accounts and MMFs'!$B:$B,ROW())&amp;""," "," "))</f>
        <v/>
      </c>
      <c r="L1412">
        <f>TRIM(SUBSTITUTE(INDEX('Call accounts and MMFs'!$C:$C,ROW())&amp;""," "," "))</f>
        <v/>
      </c>
      <c r="M1412">
        <f>IFERROR(--INDEX('Call accounts and MMFs'!$D:$D,ROW()),0)</f>
        <v/>
      </c>
      <c r="N1412">
        <f>IFERROR(IF(--INDEX('Call accounts and MMFs'!$E:$E,ROW())&gt;=1,--INDEX('Call accounts and MMFs'!$E:$E,ROW())/100,--INDEX('Call accounts and MMFs'!$E:$E,ROW())),0)</f>
        <v/>
      </c>
      <c r="O1412">
        <f>IFERROR(--INDEX('Call accounts and MMFs'!$F:$F,ROW()),0)</f>
        <v/>
      </c>
      <c r="P1412">
        <f>IF(ISNUMBER(INDEX('Call accounts and MMFs'!$E:$E,ROW())),1,0)</f>
        <v/>
      </c>
      <c r="Q1412">
        <f>TRIM(SUBSTITUTE(INDEX('Pooled funds'!$B:$B,ROW())&amp;""," "," "))</f>
        <v/>
      </c>
      <c r="R1412">
        <f>IFERROR(--INDEX('Pooled funds'!$C:$C,ROW()),0)</f>
        <v/>
      </c>
      <c r="S1412">
        <f>IFERROR(--INDEX('Pooled funds'!$D:$D,ROW()),0)</f>
        <v/>
      </c>
      <c r="T1412">
        <f>IFERROR(IF(--INDEX('Pooled funds'!$E:$E,ROW())&gt;=1,--INDEX('Pooled funds'!$E:$E,ROW())/100,--INDEX('Pooled funds'!$E:$E,ROW())),0)</f>
        <v/>
      </c>
      <c r="U1412">
        <f>IF(ISNUMBER(INDEX('Pooled funds'!$E:$E,ROW())),1,0)</f>
        <v/>
      </c>
    </row>
    <row r="1413">
      <c r="A1413">
        <f>TRIM(SUBSTITUTE(INDEX('Term investments'!$A:$A,ROW())&amp;""," "," "))</f>
        <v/>
      </c>
      <c r="B1413">
        <f>TRIM(SUBSTITUTE(INDEX('Term investments'!$B:$B,ROW())&amp;""," "," "))</f>
        <v/>
      </c>
      <c r="C1413">
        <f>TRIM(SUBSTITUTE(INDEX('Term investments'!$C:$C,ROW())&amp;""," "," "))</f>
        <v/>
      </c>
      <c r="D1413">
        <f>IFERROR(--INDEX('Term investments'!$D:$D,ROW()),0)</f>
        <v/>
      </c>
      <c r="E1413">
        <f>IFERROR(--INDEX('Term investments'!$E:$E,ROW()),0)</f>
        <v/>
      </c>
      <c r="F1413">
        <f>IFERROR(--INDEX('Term investments'!$F:$F,ROW()),0)</f>
        <v/>
      </c>
      <c r="G1413">
        <f>IFERROR(IF(--INDEX('Term investments'!$G:$G,ROW())&gt;=1,--INDEX('Term investments'!$G:$G,ROW())/100,--INDEX('Term investments'!$G:$G,ROW())),0)</f>
        <v/>
      </c>
      <c r="H1413">
        <f>IFERROR(--INDEX('Term investments'!$H:$H,ROW()),0)</f>
        <v/>
      </c>
      <c r="I1413">
        <f>IF(ISNUMBER(INDEX('Term investments'!$G:$G,ROW())),1,0)</f>
        <v/>
      </c>
      <c r="J1413">
        <f>TRIM(SUBSTITUTE(INDEX('Call accounts and MMFs'!$A:$A,ROW())&amp;""," "," "))</f>
        <v/>
      </c>
      <c r="K1413">
        <f>TRIM(SUBSTITUTE(INDEX('Call accounts and MMFs'!$B:$B,ROW())&amp;""," "," "))</f>
        <v/>
      </c>
      <c r="L1413">
        <f>TRIM(SUBSTITUTE(INDEX('Call accounts and MMFs'!$C:$C,ROW())&amp;""," "," "))</f>
        <v/>
      </c>
      <c r="M1413">
        <f>IFERROR(--INDEX('Call accounts and MMFs'!$D:$D,ROW()),0)</f>
        <v/>
      </c>
      <c r="N1413">
        <f>IFERROR(IF(--INDEX('Call accounts and MMFs'!$E:$E,ROW())&gt;=1,--INDEX('Call accounts and MMFs'!$E:$E,ROW())/100,--INDEX('Call accounts and MMFs'!$E:$E,ROW())),0)</f>
        <v/>
      </c>
      <c r="O1413">
        <f>IFERROR(--INDEX('Call accounts and MMFs'!$F:$F,ROW()),0)</f>
        <v/>
      </c>
      <c r="P1413">
        <f>IF(ISNUMBER(INDEX('Call accounts and MMFs'!$E:$E,ROW())),1,0)</f>
        <v/>
      </c>
      <c r="Q1413">
        <f>TRIM(SUBSTITUTE(INDEX('Pooled funds'!$B:$B,ROW())&amp;""," "," "))</f>
        <v/>
      </c>
      <c r="R1413">
        <f>IFERROR(--INDEX('Pooled funds'!$C:$C,ROW()),0)</f>
        <v/>
      </c>
      <c r="S1413">
        <f>IFERROR(--INDEX('Pooled funds'!$D:$D,ROW()),0)</f>
        <v/>
      </c>
      <c r="T1413">
        <f>IFERROR(IF(--INDEX('Pooled funds'!$E:$E,ROW())&gt;=1,--INDEX('Pooled funds'!$E:$E,ROW())/100,--INDEX('Pooled funds'!$E:$E,ROW())),0)</f>
        <v/>
      </c>
      <c r="U1413">
        <f>IF(ISNUMBER(INDEX('Pooled funds'!$E:$E,ROW())),1,0)</f>
        <v/>
      </c>
    </row>
    <row r="1414">
      <c r="A1414">
        <f>TRIM(SUBSTITUTE(INDEX('Term investments'!$A:$A,ROW())&amp;""," "," "))</f>
        <v/>
      </c>
      <c r="B1414">
        <f>TRIM(SUBSTITUTE(INDEX('Term investments'!$B:$B,ROW())&amp;""," "," "))</f>
        <v/>
      </c>
      <c r="C1414">
        <f>TRIM(SUBSTITUTE(INDEX('Term investments'!$C:$C,ROW())&amp;""," "," "))</f>
        <v/>
      </c>
      <c r="D1414">
        <f>IFERROR(--INDEX('Term investments'!$D:$D,ROW()),0)</f>
        <v/>
      </c>
      <c r="E1414">
        <f>IFERROR(--INDEX('Term investments'!$E:$E,ROW()),0)</f>
        <v/>
      </c>
      <c r="F1414">
        <f>IFERROR(--INDEX('Term investments'!$F:$F,ROW()),0)</f>
        <v/>
      </c>
      <c r="G1414">
        <f>IFERROR(IF(--INDEX('Term investments'!$G:$G,ROW())&gt;=1,--INDEX('Term investments'!$G:$G,ROW())/100,--INDEX('Term investments'!$G:$G,ROW())),0)</f>
        <v/>
      </c>
      <c r="H1414">
        <f>IFERROR(--INDEX('Term investments'!$H:$H,ROW()),0)</f>
        <v/>
      </c>
      <c r="I1414">
        <f>IF(ISNUMBER(INDEX('Term investments'!$G:$G,ROW())),1,0)</f>
        <v/>
      </c>
      <c r="J1414">
        <f>TRIM(SUBSTITUTE(INDEX('Call accounts and MMFs'!$A:$A,ROW())&amp;""," "," "))</f>
        <v/>
      </c>
      <c r="K1414">
        <f>TRIM(SUBSTITUTE(INDEX('Call accounts and MMFs'!$B:$B,ROW())&amp;""," "," "))</f>
        <v/>
      </c>
      <c r="L1414">
        <f>TRIM(SUBSTITUTE(INDEX('Call accounts and MMFs'!$C:$C,ROW())&amp;""," "," "))</f>
        <v/>
      </c>
      <c r="M1414">
        <f>IFERROR(--INDEX('Call accounts and MMFs'!$D:$D,ROW()),0)</f>
        <v/>
      </c>
      <c r="N1414">
        <f>IFERROR(IF(--INDEX('Call accounts and MMFs'!$E:$E,ROW())&gt;=1,--INDEX('Call accounts and MMFs'!$E:$E,ROW())/100,--INDEX('Call accounts and MMFs'!$E:$E,ROW())),0)</f>
        <v/>
      </c>
      <c r="O1414">
        <f>IFERROR(--INDEX('Call accounts and MMFs'!$F:$F,ROW()),0)</f>
        <v/>
      </c>
      <c r="P1414">
        <f>IF(ISNUMBER(INDEX('Call accounts and MMFs'!$E:$E,ROW())),1,0)</f>
        <v/>
      </c>
      <c r="Q1414">
        <f>TRIM(SUBSTITUTE(INDEX('Pooled funds'!$B:$B,ROW())&amp;""," "," "))</f>
        <v/>
      </c>
      <c r="R1414">
        <f>IFERROR(--INDEX('Pooled funds'!$C:$C,ROW()),0)</f>
        <v/>
      </c>
      <c r="S1414">
        <f>IFERROR(--INDEX('Pooled funds'!$D:$D,ROW()),0)</f>
        <v/>
      </c>
      <c r="T1414">
        <f>IFERROR(IF(--INDEX('Pooled funds'!$E:$E,ROW())&gt;=1,--INDEX('Pooled funds'!$E:$E,ROW())/100,--INDEX('Pooled funds'!$E:$E,ROW())),0)</f>
        <v/>
      </c>
      <c r="U1414">
        <f>IF(ISNUMBER(INDEX('Pooled funds'!$E:$E,ROW())),1,0)</f>
        <v/>
      </c>
    </row>
    <row r="1415">
      <c r="A1415">
        <f>TRIM(SUBSTITUTE(INDEX('Term investments'!$A:$A,ROW())&amp;""," "," "))</f>
        <v/>
      </c>
      <c r="B1415">
        <f>TRIM(SUBSTITUTE(INDEX('Term investments'!$B:$B,ROW())&amp;""," "," "))</f>
        <v/>
      </c>
      <c r="C1415">
        <f>TRIM(SUBSTITUTE(INDEX('Term investments'!$C:$C,ROW())&amp;""," "," "))</f>
        <v/>
      </c>
      <c r="D1415">
        <f>IFERROR(--INDEX('Term investments'!$D:$D,ROW()),0)</f>
        <v/>
      </c>
      <c r="E1415">
        <f>IFERROR(--INDEX('Term investments'!$E:$E,ROW()),0)</f>
        <v/>
      </c>
      <c r="F1415">
        <f>IFERROR(--INDEX('Term investments'!$F:$F,ROW()),0)</f>
        <v/>
      </c>
      <c r="G1415">
        <f>IFERROR(IF(--INDEX('Term investments'!$G:$G,ROW())&gt;=1,--INDEX('Term investments'!$G:$G,ROW())/100,--INDEX('Term investments'!$G:$G,ROW())),0)</f>
        <v/>
      </c>
      <c r="H1415">
        <f>IFERROR(--INDEX('Term investments'!$H:$H,ROW()),0)</f>
        <v/>
      </c>
      <c r="I1415">
        <f>IF(ISNUMBER(INDEX('Term investments'!$G:$G,ROW())),1,0)</f>
        <v/>
      </c>
      <c r="J1415">
        <f>TRIM(SUBSTITUTE(INDEX('Call accounts and MMFs'!$A:$A,ROW())&amp;""," "," "))</f>
        <v/>
      </c>
      <c r="K1415">
        <f>TRIM(SUBSTITUTE(INDEX('Call accounts and MMFs'!$B:$B,ROW())&amp;""," "," "))</f>
        <v/>
      </c>
      <c r="L1415">
        <f>TRIM(SUBSTITUTE(INDEX('Call accounts and MMFs'!$C:$C,ROW())&amp;""," "," "))</f>
        <v/>
      </c>
      <c r="M1415">
        <f>IFERROR(--INDEX('Call accounts and MMFs'!$D:$D,ROW()),0)</f>
        <v/>
      </c>
      <c r="N1415">
        <f>IFERROR(IF(--INDEX('Call accounts and MMFs'!$E:$E,ROW())&gt;=1,--INDEX('Call accounts and MMFs'!$E:$E,ROW())/100,--INDEX('Call accounts and MMFs'!$E:$E,ROW())),0)</f>
        <v/>
      </c>
      <c r="O1415">
        <f>IFERROR(--INDEX('Call accounts and MMFs'!$F:$F,ROW()),0)</f>
        <v/>
      </c>
      <c r="P1415">
        <f>IF(ISNUMBER(INDEX('Call accounts and MMFs'!$E:$E,ROW())),1,0)</f>
        <v/>
      </c>
      <c r="Q1415">
        <f>TRIM(SUBSTITUTE(INDEX('Pooled funds'!$B:$B,ROW())&amp;""," "," "))</f>
        <v/>
      </c>
      <c r="R1415">
        <f>IFERROR(--INDEX('Pooled funds'!$C:$C,ROW()),0)</f>
        <v/>
      </c>
      <c r="S1415">
        <f>IFERROR(--INDEX('Pooled funds'!$D:$D,ROW()),0)</f>
        <v/>
      </c>
      <c r="T1415">
        <f>IFERROR(IF(--INDEX('Pooled funds'!$E:$E,ROW())&gt;=1,--INDEX('Pooled funds'!$E:$E,ROW())/100,--INDEX('Pooled funds'!$E:$E,ROW())),0)</f>
        <v/>
      </c>
      <c r="U1415">
        <f>IF(ISNUMBER(INDEX('Pooled funds'!$E:$E,ROW())),1,0)</f>
        <v/>
      </c>
    </row>
    <row r="1416">
      <c r="A1416">
        <f>TRIM(SUBSTITUTE(INDEX('Term investments'!$A:$A,ROW())&amp;""," "," "))</f>
        <v/>
      </c>
      <c r="B1416">
        <f>TRIM(SUBSTITUTE(INDEX('Term investments'!$B:$B,ROW())&amp;""," "," "))</f>
        <v/>
      </c>
      <c r="C1416">
        <f>TRIM(SUBSTITUTE(INDEX('Term investments'!$C:$C,ROW())&amp;""," "," "))</f>
        <v/>
      </c>
      <c r="D1416">
        <f>IFERROR(--INDEX('Term investments'!$D:$D,ROW()),0)</f>
        <v/>
      </c>
      <c r="E1416">
        <f>IFERROR(--INDEX('Term investments'!$E:$E,ROW()),0)</f>
        <v/>
      </c>
      <c r="F1416">
        <f>IFERROR(--INDEX('Term investments'!$F:$F,ROW()),0)</f>
        <v/>
      </c>
      <c r="G1416">
        <f>IFERROR(IF(--INDEX('Term investments'!$G:$G,ROW())&gt;=1,--INDEX('Term investments'!$G:$G,ROW())/100,--INDEX('Term investments'!$G:$G,ROW())),0)</f>
        <v/>
      </c>
      <c r="H1416">
        <f>IFERROR(--INDEX('Term investments'!$H:$H,ROW()),0)</f>
        <v/>
      </c>
      <c r="I1416">
        <f>IF(ISNUMBER(INDEX('Term investments'!$G:$G,ROW())),1,0)</f>
        <v/>
      </c>
      <c r="J1416">
        <f>TRIM(SUBSTITUTE(INDEX('Call accounts and MMFs'!$A:$A,ROW())&amp;""," "," "))</f>
        <v/>
      </c>
      <c r="K1416">
        <f>TRIM(SUBSTITUTE(INDEX('Call accounts and MMFs'!$B:$B,ROW())&amp;""," "," "))</f>
        <v/>
      </c>
      <c r="L1416">
        <f>TRIM(SUBSTITUTE(INDEX('Call accounts and MMFs'!$C:$C,ROW())&amp;""," "," "))</f>
        <v/>
      </c>
      <c r="M1416">
        <f>IFERROR(--INDEX('Call accounts and MMFs'!$D:$D,ROW()),0)</f>
        <v/>
      </c>
      <c r="N1416">
        <f>IFERROR(IF(--INDEX('Call accounts and MMFs'!$E:$E,ROW())&gt;=1,--INDEX('Call accounts and MMFs'!$E:$E,ROW())/100,--INDEX('Call accounts and MMFs'!$E:$E,ROW())),0)</f>
        <v/>
      </c>
      <c r="O1416">
        <f>IFERROR(--INDEX('Call accounts and MMFs'!$F:$F,ROW()),0)</f>
        <v/>
      </c>
      <c r="P1416">
        <f>IF(ISNUMBER(INDEX('Call accounts and MMFs'!$E:$E,ROW())),1,0)</f>
        <v/>
      </c>
      <c r="Q1416">
        <f>TRIM(SUBSTITUTE(INDEX('Pooled funds'!$B:$B,ROW())&amp;""," "," "))</f>
        <v/>
      </c>
      <c r="R1416">
        <f>IFERROR(--INDEX('Pooled funds'!$C:$C,ROW()),0)</f>
        <v/>
      </c>
      <c r="S1416">
        <f>IFERROR(--INDEX('Pooled funds'!$D:$D,ROW()),0)</f>
        <v/>
      </c>
      <c r="T1416">
        <f>IFERROR(IF(--INDEX('Pooled funds'!$E:$E,ROW())&gt;=1,--INDEX('Pooled funds'!$E:$E,ROW())/100,--INDEX('Pooled funds'!$E:$E,ROW())),0)</f>
        <v/>
      </c>
      <c r="U1416">
        <f>IF(ISNUMBER(INDEX('Pooled funds'!$E:$E,ROW())),1,0)</f>
        <v/>
      </c>
    </row>
    <row r="1417">
      <c r="A1417">
        <f>TRIM(SUBSTITUTE(INDEX('Term investments'!$A:$A,ROW())&amp;""," "," "))</f>
        <v/>
      </c>
      <c r="B1417">
        <f>TRIM(SUBSTITUTE(INDEX('Term investments'!$B:$B,ROW())&amp;""," "," "))</f>
        <v/>
      </c>
      <c r="C1417">
        <f>TRIM(SUBSTITUTE(INDEX('Term investments'!$C:$C,ROW())&amp;""," "," "))</f>
        <v/>
      </c>
      <c r="D1417">
        <f>IFERROR(--INDEX('Term investments'!$D:$D,ROW()),0)</f>
        <v/>
      </c>
      <c r="E1417">
        <f>IFERROR(--INDEX('Term investments'!$E:$E,ROW()),0)</f>
        <v/>
      </c>
      <c r="F1417">
        <f>IFERROR(--INDEX('Term investments'!$F:$F,ROW()),0)</f>
        <v/>
      </c>
      <c r="G1417">
        <f>IFERROR(IF(--INDEX('Term investments'!$G:$G,ROW())&gt;=1,--INDEX('Term investments'!$G:$G,ROW())/100,--INDEX('Term investments'!$G:$G,ROW())),0)</f>
        <v/>
      </c>
      <c r="H1417">
        <f>IFERROR(--INDEX('Term investments'!$H:$H,ROW()),0)</f>
        <v/>
      </c>
      <c r="I1417">
        <f>IF(ISNUMBER(INDEX('Term investments'!$G:$G,ROW())),1,0)</f>
        <v/>
      </c>
      <c r="J1417">
        <f>TRIM(SUBSTITUTE(INDEX('Call accounts and MMFs'!$A:$A,ROW())&amp;""," "," "))</f>
        <v/>
      </c>
      <c r="K1417">
        <f>TRIM(SUBSTITUTE(INDEX('Call accounts and MMFs'!$B:$B,ROW())&amp;""," "," "))</f>
        <v/>
      </c>
      <c r="L1417">
        <f>TRIM(SUBSTITUTE(INDEX('Call accounts and MMFs'!$C:$C,ROW())&amp;""," "," "))</f>
        <v/>
      </c>
      <c r="M1417">
        <f>IFERROR(--INDEX('Call accounts and MMFs'!$D:$D,ROW()),0)</f>
        <v/>
      </c>
      <c r="N1417">
        <f>IFERROR(IF(--INDEX('Call accounts and MMFs'!$E:$E,ROW())&gt;=1,--INDEX('Call accounts and MMFs'!$E:$E,ROW())/100,--INDEX('Call accounts and MMFs'!$E:$E,ROW())),0)</f>
        <v/>
      </c>
      <c r="O1417">
        <f>IFERROR(--INDEX('Call accounts and MMFs'!$F:$F,ROW()),0)</f>
        <v/>
      </c>
      <c r="P1417">
        <f>IF(ISNUMBER(INDEX('Call accounts and MMFs'!$E:$E,ROW())),1,0)</f>
        <v/>
      </c>
      <c r="Q1417">
        <f>TRIM(SUBSTITUTE(INDEX('Pooled funds'!$B:$B,ROW())&amp;""," "," "))</f>
        <v/>
      </c>
      <c r="R1417">
        <f>IFERROR(--INDEX('Pooled funds'!$C:$C,ROW()),0)</f>
        <v/>
      </c>
      <c r="S1417">
        <f>IFERROR(--INDEX('Pooled funds'!$D:$D,ROW()),0)</f>
        <v/>
      </c>
      <c r="T1417">
        <f>IFERROR(IF(--INDEX('Pooled funds'!$E:$E,ROW())&gt;=1,--INDEX('Pooled funds'!$E:$E,ROW())/100,--INDEX('Pooled funds'!$E:$E,ROW())),0)</f>
        <v/>
      </c>
      <c r="U1417">
        <f>IF(ISNUMBER(INDEX('Pooled funds'!$E:$E,ROW())),1,0)</f>
        <v/>
      </c>
    </row>
    <row r="1418">
      <c r="A1418">
        <f>TRIM(SUBSTITUTE(INDEX('Term investments'!$A:$A,ROW())&amp;""," "," "))</f>
        <v/>
      </c>
      <c r="B1418">
        <f>TRIM(SUBSTITUTE(INDEX('Term investments'!$B:$B,ROW())&amp;""," "," "))</f>
        <v/>
      </c>
      <c r="C1418">
        <f>TRIM(SUBSTITUTE(INDEX('Term investments'!$C:$C,ROW())&amp;""," "," "))</f>
        <v/>
      </c>
      <c r="D1418">
        <f>IFERROR(--INDEX('Term investments'!$D:$D,ROW()),0)</f>
        <v/>
      </c>
      <c r="E1418">
        <f>IFERROR(--INDEX('Term investments'!$E:$E,ROW()),0)</f>
        <v/>
      </c>
      <c r="F1418">
        <f>IFERROR(--INDEX('Term investments'!$F:$F,ROW()),0)</f>
        <v/>
      </c>
      <c r="G1418">
        <f>IFERROR(IF(--INDEX('Term investments'!$G:$G,ROW())&gt;=1,--INDEX('Term investments'!$G:$G,ROW())/100,--INDEX('Term investments'!$G:$G,ROW())),0)</f>
        <v/>
      </c>
      <c r="H1418">
        <f>IFERROR(--INDEX('Term investments'!$H:$H,ROW()),0)</f>
        <v/>
      </c>
      <c r="I1418">
        <f>IF(ISNUMBER(INDEX('Term investments'!$G:$G,ROW())),1,0)</f>
        <v/>
      </c>
      <c r="J1418">
        <f>TRIM(SUBSTITUTE(INDEX('Call accounts and MMFs'!$A:$A,ROW())&amp;""," "," "))</f>
        <v/>
      </c>
      <c r="K1418">
        <f>TRIM(SUBSTITUTE(INDEX('Call accounts and MMFs'!$B:$B,ROW())&amp;""," "," "))</f>
        <v/>
      </c>
      <c r="L1418">
        <f>TRIM(SUBSTITUTE(INDEX('Call accounts and MMFs'!$C:$C,ROW())&amp;""," "," "))</f>
        <v/>
      </c>
      <c r="M1418">
        <f>IFERROR(--INDEX('Call accounts and MMFs'!$D:$D,ROW()),0)</f>
        <v/>
      </c>
      <c r="N1418">
        <f>IFERROR(IF(--INDEX('Call accounts and MMFs'!$E:$E,ROW())&gt;=1,--INDEX('Call accounts and MMFs'!$E:$E,ROW())/100,--INDEX('Call accounts and MMFs'!$E:$E,ROW())),0)</f>
        <v/>
      </c>
      <c r="O1418">
        <f>IFERROR(--INDEX('Call accounts and MMFs'!$F:$F,ROW()),0)</f>
        <v/>
      </c>
      <c r="P1418">
        <f>IF(ISNUMBER(INDEX('Call accounts and MMFs'!$E:$E,ROW())),1,0)</f>
        <v/>
      </c>
      <c r="Q1418">
        <f>TRIM(SUBSTITUTE(INDEX('Pooled funds'!$B:$B,ROW())&amp;""," "," "))</f>
        <v/>
      </c>
      <c r="R1418">
        <f>IFERROR(--INDEX('Pooled funds'!$C:$C,ROW()),0)</f>
        <v/>
      </c>
      <c r="S1418">
        <f>IFERROR(--INDEX('Pooled funds'!$D:$D,ROW()),0)</f>
        <v/>
      </c>
      <c r="T1418">
        <f>IFERROR(IF(--INDEX('Pooled funds'!$E:$E,ROW())&gt;=1,--INDEX('Pooled funds'!$E:$E,ROW())/100,--INDEX('Pooled funds'!$E:$E,ROW())),0)</f>
        <v/>
      </c>
      <c r="U1418">
        <f>IF(ISNUMBER(INDEX('Pooled funds'!$E:$E,ROW())),1,0)</f>
        <v/>
      </c>
    </row>
    <row r="1419">
      <c r="A1419">
        <f>TRIM(SUBSTITUTE(INDEX('Term investments'!$A:$A,ROW())&amp;""," "," "))</f>
        <v/>
      </c>
      <c r="B1419">
        <f>TRIM(SUBSTITUTE(INDEX('Term investments'!$B:$B,ROW())&amp;""," "," "))</f>
        <v/>
      </c>
      <c r="C1419">
        <f>TRIM(SUBSTITUTE(INDEX('Term investments'!$C:$C,ROW())&amp;""," "," "))</f>
        <v/>
      </c>
      <c r="D1419">
        <f>IFERROR(--INDEX('Term investments'!$D:$D,ROW()),0)</f>
        <v/>
      </c>
      <c r="E1419">
        <f>IFERROR(--INDEX('Term investments'!$E:$E,ROW()),0)</f>
        <v/>
      </c>
      <c r="F1419">
        <f>IFERROR(--INDEX('Term investments'!$F:$F,ROW()),0)</f>
        <v/>
      </c>
      <c r="G1419">
        <f>IFERROR(IF(--INDEX('Term investments'!$G:$G,ROW())&gt;=1,--INDEX('Term investments'!$G:$G,ROW())/100,--INDEX('Term investments'!$G:$G,ROW())),0)</f>
        <v/>
      </c>
      <c r="H1419">
        <f>IFERROR(--INDEX('Term investments'!$H:$H,ROW()),0)</f>
        <v/>
      </c>
      <c r="I1419">
        <f>IF(ISNUMBER(INDEX('Term investments'!$G:$G,ROW())),1,0)</f>
        <v/>
      </c>
      <c r="J1419">
        <f>TRIM(SUBSTITUTE(INDEX('Call accounts and MMFs'!$A:$A,ROW())&amp;""," "," "))</f>
        <v/>
      </c>
      <c r="K1419">
        <f>TRIM(SUBSTITUTE(INDEX('Call accounts and MMFs'!$B:$B,ROW())&amp;""," "," "))</f>
        <v/>
      </c>
      <c r="L1419">
        <f>TRIM(SUBSTITUTE(INDEX('Call accounts and MMFs'!$C:$C,ROW())&amp;""," "," "))</f>
        <v/>
      </c>
      <c r="M1419">
        <f>IFERROR(--INDEX('Call accounts and MMFs'!$D:$D,ROW()),0)</f>
        <v/>
      </c>
      <c r="N1419">
        <f>IFERROR(IF(--INDEX('Call accounts and MMFs'!$E:$E,ROW())&gt;=1,--INDEX('Call accounts and MMFs'!$E:$E,ROW())/100,--INDEX('Call accounts and MMFs'!$E:$E,ROW())),0)</f>
        <v/>
      </c>
      <c r="O1419">
        <f>IFERROR(--INDEX('Call accounts and MMFs'!$F:$F,ROW()),0)</f>
        <v/>
      </c>
      <c r="P1419">
        <f>IF(ISNUMBER(INDEX('Call accounts and MMFs'!$E:$E,ROW())),1,0)</f>
        <v/>
      </c>
      <c r="Q1419">
        <f>TRIM(SUBSTITUTE(INDEX('Pooled funds'!$B:$B,ROW())&amp;""," "," "))</f>
        <v/>
      </c>
      <c r="R1419">
        <f>IFERROR(--INDEX('Pooled funds'!$C:$C,ROW()),0)</f>
        <v/>
      </c>
      <c r="S1419">
        <f>IFERROR(--INDEX('Pooled funds'!$D:$D,ROW()),0)</f>
        <v/>
      </c>
      <c r="T1419">
        <f>IFERROR(IF(--INDEX('Pooled funds'!$E:$E,ROW())&gt;=1,--INDEX('Pooled funds'!$E:$E,ROW())/100,--INDEX('Pooled funds'!$E:$E,ROW())),0)</f>
        <v/>
      </c>
      <c r="U1419">
        <f>IF(ISNUMBER(INDEX('Pooled funds'!$E:$E,ROW())),1,0)</f>
        <v/>
      </c>
    </row>
    <row r="1420">
      <c r="A1420">
        <f>TRIM(SUBSTITUTE(INDEX('Term investments'!$A:$A,ROW())&amp;""," "," "))</f>
        <v/>
      </c>
      <c r="B1420">
        <f>TRIM(SUBSTITUTE(INDEX('Term investments'!$B:$B,ROW())&amp;""," "," "))</f>
        <v/>
      </c>
      <c r="C1420">
        <f>TRIM(SUBSTITUTE(INDEX('Term investments'!$C:$C,ROW())&amp;""," "," "))</f>
        <v/>
      </c>
      <c r="D1420">
        <f>IFERROR(--INDEX('Term investments'!$D:$D,ROW()),0)</f>
        <v/>
      </c>
      <c r="E1420">
        <f>IFERROR(--INDEX('Term investments'!$E:$E,ROW()),0)</f>
        <v/>
      </c>
      <c r="F1420">
        <f>IFERROR(--INDEX('Term investments'!$F:$F,ROW()),0)</f>
        <v/>
      </c>
      <c r="G1420">
        <f>IFERROR(IF(--INDEX('Term investments'!$G:$G,ROW())&gt;=1,--INDEX('Term investments'!$G:$G,ROW())/100,--INDEX('Term investments'!$G:$G,ROW())),0)</f>
        <v/>
      </c>
      <c r="H1420">
        <f>IFERROR(--INDEX('Term investments'!$H:$H,ROW()),0)</f>
        <v/>
      </c>
      <c r="I1420">
        <f>IF(ISNUMBER(INDEX('Term investments'!$G:$G,ROW())),1,0)</f>
        <v/>
      </c>
      <c r="J1420">
        <f>TRIM(SUBSTITUTE(INDEX('Call accounts and MMFs'!$A:$A,ROW())&amp;""," "," "))</f>
        <v/>
      </c>
      <c r="K1420">
        <f>TRIM(SUBSTITUTE(INDEX('Call accounts and MMFs'!$B:$B,ROW())&amp;""," "," "))</f>
        <v/>
      </c>
      <c r="L1420">
        <f>TRIM(SUBSTITUTE(INDEX('Call accounts and MMFs'!$C:$C,ROW())&amp;""," "," "))</f>
        <v/>
      </c>
      <c r="M1420">
        <f>IFERROR(--INDEX('Call accounts and MMFs'!$D:$D,ROW()),0)</f>
        <v/>
      </c>
      <c r="N1420">
        <f>IFERROR(IF(--INDEX('Call accounts and MMFs'!$E:$E,ROW())&gt;=1,--INDEX('Call accounts and MMFs'!$E:$E,ROW())/100,--INDEX('Call accounts and MMFs'!$E:$E,ROW())),0)</f>
        <v/>
      </c>
      <c r="O1420">
        <f>IFERROR(--INDEX('Call accounts and MMFs'!$F:$F,ROW()),0)</f>
        <v/>
      </c>
      <c r="P1420">
        <f>IF(ISNUMBER(INDEX('Call accounts and MMFs'!$E:$E,ROW())),1,0)</f>
        <v/>
      </c>
      <c r="Q1420">
        <f>TRIM(SUBSTITUTE(INDEX('Pooled funds'!$B:$B,ROW())&amp;""," "," "))</f>
        <v/>
      </c>
      <c r="R1420">
        <f>IFERROR(--INDEX('Pooled funds'!$C:$C,ROW()),0)</f>
        <v/>
      </c>
      <c r="S1420">
        <f>IFERROR(--INDEX('Pooled funds'!$D:$D,ROW()),0)</f>
        <v/>
      </c>
      <c r="T1420">
        <f>IFERROR(IF(--INDEX('Pooled funds'!$E:$E,ROW())&gt;=1,--INDEX('Pooled funds'!$E:$E,ROW())/100,--INDEX('Pooled funds'!$E:$E,ROW())),0)</f>
        <v/>
      </c>
      <c r="U1420">
        <f>IF(ISNUMBER(INDEX('Pooled funds'!$E:$E,ROW())),1,0)</f>
        <v/>
      </c>
    </row>
    <row r="1421">
      <c r="A1421">
        <f>TRIM(SUBSTITUTE(INDEX('Term investments'!$A:$A,ROW())&amp;""," "," "))</f>
        <v/>
      </c>
      <c r="B1421">
        <f>TRIM(SUBSTITUTE(INDEX('Term investments'!$B:$B,ROW())&amp;""," "," "))</f>
        <v/>
      </c>
      <c r="C1421">
        <f>TRIM(SUBSTITUTE(INDEX('Term investments'!$C:$C,ROW())&amp;""," "," "))</f>
        <v/>
      </c>
      <c r="D1421">
        <f>IFERROR(--INDEX('Term investments'!$D:$D,ROW()),0)</f>
        <v/>
      </c>
      <c r="E1421">
        <f>IFERROR(--INDEX('Term investments'!$E:$E,ROW()),0)</f>
        <v/>
      </c>
      <c r="F1421">
        <f>IFERROR(--INDEX('Term investments'!$F:$F,ROW()),0)</f>
        <v/>
      </c>
      <c r="G1421">
        <f>IFERROR(IF(--INDEX('Term investments'!$G:$G,ROW())&gt;=1,--INDEX('Term investments'!$G:$G,ROW())/100,--INDEX('Term investments'!$G:$G,ROW())),0)</f>
        <v/>
      </c>
      <c r="H1421">
        <f>IFERROR(--INDEX('Term investments'!$H:$H,ROW()),0)</f>
        <v/>
      </c>
      <c r="I1421">
        <f>IF(ISNUMBER(INDEX('Term investments'!$G:$G,ROW())),1,0)</f>
        <v/>
      </c>
      <c r="J1421">
        <f>TRIM(SUBSTITUTE(INDEX('Call accounts and MMFs'!$A:$A,ROW())&amp;""," "," "))</f>
        <v/>
      </c>
      <c r="K1421">
        <f>TRIM(SUBSTITUTE(INDEX('Call accounts and MMFs'!$B:$B,ROW())&amp;""," "," "))</f>
        <v/>
      </c>
      <c r="L1421">
        <f>TRIM(SUBSTITUTE(INDEX('Call accounts and MMFs'!$C:$C,ROW())&amp;""," "," "))</f>
        <v/>
      </c>
      <c r="M1421">
        <f>IFERROR(--INDEX('Call accounts and MMFs'!$D:$D,ROW()),0)</f>
        <v/>
      </c>
      <c r="N1421">
        <f>IFERROR(IF(--INDEX('Call accounts and MMFs'!$E:$E,ROW())&gt;=1,--INDEX('Call accounts and MMFs'!$E:$E,ROW())/100,--INDEX('Call accounts and MMFs'!$E:$E,ROW())),0)</f>
        <v/>
      </c>
      <c r="O1421">
        <f>IFERROR(--INDEX('Call accounts and MMFs'!$F:$F,ROW()),0)</f>
        <v/>
      </c>
      <c r="P1421">
        <f>IF(ISNUMBER(INDEX('Call accounts and MMFs'!$E:$E,ROW())),1,0)</f>
        <v/>
      </c>
      <c r="Q1421">
        <f>TRIM(SUBSTITUTE(INDEX('Pooled funds'!$B:$B,ROW())&amp;""," "," "))</f>
        <v/>
      </c>
      <c r="R1421">
        <f>IFERROR(--INDEX('Pooled funds'!$C:$C,ROW()),0)</f>
        <v/>
      </c>
      <c r="S1421">
        <f>IFERROR(--INDEX('Pooled funds'!$D:$D,ROW()),0)</f>
        <v/>
      </c>
      <c r="T1421">
        <f>IFERROR(IF(--INDEX('Pooled funds'!$E:$E,ROW())&gt;=1,--INDEX('Pooled funds'!$E:$E,ROW())/100,--INDEX('Pooled funds'!$E:$E,ROW())),0)</f>
        <v/>
      </c>
      <c r="U1421">
        <f>IF(ISNUMBER(INDEX('Pooled funds'!$E:$E,ROW())),1,0)</f>
        <v/>
      </c>
    </row>
    <row r="1422">
      <c r="A1422">
        <f>TRIM(SUBSTITUTE(INDEX('Term investments'!$A:$A,ROW())&amp;""," "," "))</f>
        <v/>
      </c>
      <c r="B1422">
        <f>TRIM(SUBSTITUTE(INDEX('Term investments'!$B:$B,ROW())&amp;""," "," "))</f>
        <v/>
      </c>
      <c r="C1422">
        <f>TRIM(SUBSTITUTE(INDEX('Term investments'!$C:$C,ROW())&amp;""," "," "))</f>
        <v/>
      </c>
      <c r="D1422">
        <f>IFERROR(--INDEX('Term investments'!$D:$D,ROW()),0)</f>
        <v/>
      </c>
      <c r="E1422">
        <f>IFERROR(--INDEX('Term investments'!$E:$E,ROW()),0)</f>
        <v/>
      </c>
      <c r="F1422">
        <f>IFERROR(--INDEX('Term investments'!$F:$F,ROW()),0)</f>
        <v/>
      </c>
      <c r="G1422">
        <f>IFERROR(IF(--INDEX('Term investments'!$G:$G,ROW())&gt;=1,--INDEX('Term investments'!$G:$G,ROW())/100,--INDEX('Term investments'!$G:$G,ROW())),0)</f>
        <v/>
      </c>
      <c r="H1422">
        <f>IFERROR(--INDEX('Term investments'!$H:$H,ROW()),0)</f>
        <v/>
      </c>
      <c r="I1422">
        <f>IF(ISNUMBER(INDEX('Term investments'!$G:$G,ROW())),1,0)</f>
        <v/>
      </c>
      <c r="J1422">
        <f>TRIM(SUBSTITUTE(INDEX('Call accounts and MMFs'!$A:$A,ROW())&amp;""," "," "))</f>
        <v/>
      </c>
      <c r="K1422">
        <f>TRIM(SUBSTITUTE(INDEX('Call accounts and MMFs'!$B:$B,ROW())&amp;""," "," "))</f>
        <v/>
      </c>
      <c r="L1422">
        <f>TRIM(SUBSTITUTE(INDEX('Call accounts and MMFs'!$C:$C,ROW())&amp;""," "," "))</f>
        <v/>
      </c>
      <c r="M1422">
        <f>IFERROR(--INDEX('Call accounts and MMFs'!$D:$D,ROW()),0)</f>
        <v/>
      </c>
      <c r="N1422">
        <f>IFERROR(IF(--INDEX('Call accounts and MMFs'!$E:$E,ROW())&gt;=1,--INDEX('Call accounts and MMFs'!$E:$E,ROW())/100,--INDEX('Call accounts and MMFs'!$E:$E,ROW())),0)</f>
        <v/>
      </c>
      <c r="O1422">
        <f>IFERROR(--INDEX('Call accounts and MMFs'!$F:$F,ROW()),0)</f>
        <v/>
      </c>
      <c r="P1422">
        <f>IF(ISNUMBER(INDEX('Call accounts and MMFs'!$E:$E,ROW())),1,0)</f>
        <v/>
      </c>
      <c r="Q1422">
        <f>TRIM(SUBSTITUTE(INDEX('Pooled funds'!$B:$B,ROW())&amp;""," "," "))</f>
        <v/>
      </c>
      <c r="R1422">
        <f>IFERROR(--INDEX('Pooled funds'!$C:$C,ROW()),0)</f>
        <v/>
      </c>
      <c r="S1422">
        <f>IFERROR(--INDEX('Pooled funds'!$D:$D,ROW()),0)</f>
        <v/>
      </c>
      <c r="T1422">
        <f>IFERROR(IF(--INDEX('Pooled funds'!$E:$E,ROW())&gt;=1,--INDEX('Pooled funds'!$E:$E,ROW())/100,--INDEX('Pooled funds'!$E:$E,ROW())),0)</f>
        <v/>
      </c>
      <c r="U1422">
        <f>IF(ISNUMBER(INDEX('Pooled funds'!$E:$E,ROW())),1,0)</f>
        <v/>
      </c>
    </row>
    <row r="1423">
      <c r="A1423">
        <f>TRIM(SUBSTITUTE(INDEX('Term investments'!$A:$A,ROW())&amp;""," "," "))</f>
        <v/>
      </c>
      <c r="B1423">
        <f>TRIM(SUBSTITUTE(INDEX('Term investments'!$B:$B,ROW())&amp;""," "," "))</f>
        <v/>
      </c>
      <c r="C1423">
        <f>TRIM(SUBSTITUTE(INDEX('Term investments'!$C:$C,ROW())&amp;""," "," "))</f>
        <v/>
      </c>
      <c r="D1423">
        <f>IFERROR(--INDEX('Term investments'!$D:$D,ROW()),0)</f>
        <v/>
      </c>
      <c r="E1423">
        <f>IFERROR(--INDEX('Term investments'!$E:$E,ROW()),0)</f>
        <v/>
      </c>
      <c r="F1423">
        <f>IFERROR(--INDEX('Term investments'!$F:$F,ROW()),0)</f>
        <v/>
      </c>
      <c r="G1423">
        <f>IFERROR(IF(--INDEX('Term investments'!$G:$G,ROW())&gt;=1,--INDEX('Term investments'!$G:$G,ROW())/100,--INDEX('Term investments'!$G:$G,ROW())),0)</f>
        <v/>
      </c>
      <c r="H1423">
        <f>IFERROR(--INDEX('Term investments'!$H:$H,ROW()),0)</f>
        <v/>
      </c>
      <c r="I1423">
        <f>IF(ISNUMBER(INDEX('Term investments'!$G:$G,ROW())),1,0)</f>
        <v/>
      </c>
      <c r="J1423">
        <f>TRIM(SUBSTITUTE(INDEX('Call accounts and MMFs'!$A:$A,ROW())&amp;""," "," "))</f>
        <v/>
      </c>
      <c r="K1423">
        <f>TRIM(SUBSTITUTE(INDEX('Call accounts and MMFs'!$B:$B,ROW())&amp;""," "," "))</f>
        <v/>
      </c>
      <c r="L1423">
        <f>TRIM(SUBSTITUTE(INDEX('Call accounts and MMFs'!$C:$C,ROW())&amp;""," "," "))</f>
        <v/>
      </c>
      <c r="M1423">
        <f>IFERROR(--INDEX('Call accounts and MMFs'!$D:$D,ROW()),0)</f>
        <v/>
      </c>
      <c r="N1423">
        <f>IFERROR(IF(--INDEX('Call accounts and MMFs'!$E:$E,ROW())&gt;=1,--INDEX('Call accounts and MMFs'!$E:$E,ROW())/100,--INDEX('Call accounts and MMFs'!$E:$E,ROW())),0)</f>
        <v/>
      </c>
      <c r="O1423">
        <f>IFERROR(--INDEX('Call accounts and MMFs'!$F:$F,ROW()),0)</f>
        <v/>
      </c>
      <c r="P1423">
        <f>IF(ISNUMBER(INDEX('Call accounts and MMFs'!$E:$E,ROW())),1,0)</f>
        <v/>
      </c>
      <c r="Q1423">
        <f>TRIM(SUBSTITUTE(INDEX('Pooled funds'!$B:$B,ROW())&amp;""," "," "))</f>
        <v/>
      </c>
      <c r="R1423">
        <f>IFERROR(--INDEX('Pooled funds'!$C:$C,ROW()),0)</f>
        <v/>
      </c>
      <c r="S1423">
        <f>IFERROR(--INDEX('Pooled funds'!$D:$D,ROW()),0)</f>
        <v/>
      </c>
      <c r="T1423">
        <f>IFERROR(IF(--INDEX('Pooled funds'!$E:$E,ROW())&gt;=1,--INDEX('Pooled funds'!$E:$E,ROW())/100,--INDEX('Pooled funds'!$E:$E,ROW())),0)</f>
        <v/>
      </c>
      <c r="U1423">
        <f>IF(ISNUMBER(INDEX('Pooled funds'!$E:$E,ROW())),1,0)</f>
        <v/>
      </c>
    </row>
    <row r="1424">
      <c r="A1424">
        <f>TRIM(SUBSTITUTE(INDEX('Term investments'!$A:$A,ROW())&amp;""," "," "))</f>
        <v/>
      </c>
      <c r="B1424">
        <f>TRIM(SUBSTITUTE(INDEX('Term investments'!$B:$B,ROW())&amp;""," "," "))</f>
        <v/>
      </c>
      <c r="C1424">
        <f>TRIM(SUBSTITUTE(INDEX('Term investments'!$C:$C,ROW())&amp;""," "," "))</f>
        <v/>
      </c>
      <c r="D1424">
        <f>IFERROR(--INDEX('Term investments'!$D:$D,ROW()),0)</f>
        <v/>
      </c>
      <c r="E1424">
        <f>IFERROR(--INDEX('Term investments'!$E:$E,ROW()),0)</f>
        <v/>
      </c>
      <c r="F1424">
        <f>IFERROR(--INDEX('Term investments'!$F:$F,ROW()),0)</f>
        <v/>
      </c>
      <c r="G1424">
        <f>IFERROR(IF(--INDEX('Term investments'!$G:$G,ROW())&gt;=1,--INDEX('Term investments'!$G:$G,ROW())/100,--INDEX('Term investments'!$G:$G,ROW())),0)</f>
        <v/>
      </c>
      <c r="H1424">
        <f>IFERROR(--INDEX('Term investments'!$H:$H,ROW()),0)</f>
        <v/>
      </c>
      <c r="I1424">
        <f>IF(ISNUMBER(INDEX('Term investments'!$G:$G,ROW())),1,0)</f>
        <v/>
      </c>
      <c r="J1424">
        <f>TRIM(SUBSTITUTE(INDEX('Call accounts and MMFs'!$A:$A,ROW())&amp;""," "," "))</f>
        <v/>
      </c>
      <c r="K1424">
        <f>TRIM(SUBSTITUTE(INDEX('Call accounts and MMFs'!$B:$B,ROW())&amp;""," "," "))</f>
        <v/>
      </c>
      <c r="L1424">
        <f>TRIM(SUBSTITUTE(INDEX('Call accounts and MMFs'!$C:$C,ROW())&amp;""," "," "))</f>
        <v/>
      </c>
      <c r="M1424">
        <f>IFERROR(--INDEX('Call accounts and MMFs'!$D:$D,ROW()),0)</f>
        <v/>
      </c>
      <c r="N1424">
        <f>IFERROR(IF(--INDEX('Call accounts and MMFs'!$E:$E,ROW())&gt;=1,--INDEX('Call accounts and MMFs'!$E:$E,ROW())/100,--INDEX('Call accounts and MMFs'!$E:$E,ROW())),0)</f>
        <v/>
      </c>
      <c r="O1424">
        <f>IFERROR(--INDEX('Call accounts and MMFs'!$F:$F,ROW()),0)</f>
        <v/>
      </c>
      <c r="P1424">
        <f>IF(ISNUMBER(INDEX('Call accounts and MMFs'!$E:$E,ROW())),1,0)</f>
        <v/>
      </c>
      <c r="Q1424">
        <f>TRIM(SUBSTITUTE(INDEX('Pooled funds'!$B:$B,ROW())&amp;""," "," "))</f>
        <v/>
      </c>
      <c r="R1424">
        <f>IFERROR(--INDEX('Pooled funds'!$C:$C,ROW()),0)</f>
        <v/>
      </c>
      <c r="S1424">
        <f>IFERROR(--INDEX('Pooled funds'!$D:$D,ROW()),0)</f>
        <v/>
      </c>
      <c r="T1424">
        <f>IFERROR(IF(--INDEX('Pooled funds'!$E:$E,ROW())&gt;=1,--INDEX('Pooled funds'!$E:$E,ROW())/100,--INDEX('Pooled funds'!$E:$E,ROW())),0)</f>
        <v/>
      </c>
      <c r="U1424">
        <f>IF(ISNUMBER(INDEX('Pooled funds'!$E:$E,ROW())),1,0)</f>
        <v/>
      </c>
    </row>
    <row r="1425">
      <c r="A1425">
        <f>TRIM(SUBSTITUTE(INDEX('Term investments'!$A:$A,ROW())&amp;""," "," "))</f>
        <v/>
      </c>
      <c r="B1425">
        <f>TRIM(SUBSTITUTE(INDEX('Term investments'!$B:$B,ROW())&amp;""," "," "))</f>
        <v/>
      </c>
      <c r="C1425">
        <f>TRIM(SUBSTITUTE(INDEX('Term investments'!$C:$C,ROW())&amp;""," "," "))</f>
        <v/>
      </c>
      <c r="D1425">
        <f>IFERROR(--INDEX('Term investments'!$D:$D,ROW()),0)</f>
        <v/>
      </c>
      <c r="E1425">
        <f>IFERROR(--INDEX('Term investments'!$E:$E,ROW()),0)</f>
        <v/>
      </c>
      <c r="F1425">
        <f>IFERROR(--INDEX('Term investments'!$F:$F,ROW()),0)</f>
        <v/>
      </c>
      <c r="G1425">
        <f>IFERROR(IF(--INDEX('Term investments'!$G:$G,ROW())&gt;=1,--INDEX('Term investments'!$G:$G,ROW())/100,--INDEX('Term investments'!$G:$G,ROW())),0)</f>
        <v/>
      </c>
      <c r="H1425">
        <f>IFERROR(--INDEX('Term investments'!$H:$H,ROW()),0)</f>
        <v/>
      </c>
      <c r="I1425">
        <f>IF(ISNUMBER(INDEX('Term investments'!$G:$G,ROW())),1,0)</f>
        <v/>
      </c>
      <c r="J1425">
        <f>TRIM(SUBSTITUTE(INDEX('Call accounts and MMFs'!$A:$A,ROW())&amp;""," "," "))</f>
        <v/>
      </c>
      <c r="K1425">
        <f>TRIM(SUBSTITUTE(INDEX('Call accounts and MMFs'!$B:$B,ROW())&amp;""," "," "))</f>
        <v/>
      </c>
      <c r="L1425">
        <f>TRIM(SUBSTITUTE(INDEX('Call accounts and MMFs'!$C:$C,ROW())&amp;""," "," "))</f>
        <v/>
      </c>
      <c r="M1425">
        <f>IFERROR(--INDEX('Call accounts and MMFs'!$D:$D,ROW()),0)</f>
        <v/>
      </c>
      <c r="N1425">
        <f>IFERROR(IF(--INDEX('Call accounts and MMFs'!$E:$E,ROW())&gt;=1,--INDEX('Call accounts and MMFs'!$E:$E,ROW())/100,--INDEX('Call accounts and MMFs'!$E:$E,ROW())),0)</f>
        <v/>
      </c>
      <c r="O1425">
        <f>IFERROR(--INDEX('Call accounts and MMFs'!$F:$F,ROW()),0)</f>
        <v/>
      </c>
      <c r="P1425">
        <f>IF(ISNUMBER(INDEX('Call accounts and MMFs'!$E:$E,ROW())),1,0)</f>
        <v/>
      </c>
      <c r="Q1425">
        <f>TRIM(SUBSTITUTE(INDEX('Pooled funds'!$B:$B,ROW())&amp;""," "," "))</f>
        <v/>
      </c>
      <c r="R1425">
        <f>IFERROR(--INDEX('Pooled funds'!$C:$C,ROW()),0)</f>
        <v/>
      </c>
      <c r="S1425">
        <f>IFERROR(--INDEX('Pooled funds'!$D:$D,ROW()),0)</f>
        <v/>
      </c>
      <c r="T1425">
        <f>IFERROR(IF(--INDEX('Pooled funds'!$E:$E,ROW())&gt;=1,--INDEX('Pooled funds'!$E:$E,ROW())/100,--INDEX('Pooled funds'!$E:$E,ROW())),0)</f>
        <v/>
      </c>
      <c r="U1425">
        <f>IF(ISNUMBER(INDEX('Pooled funds'!$E:$E,ROW())),1,0)</f>
        <v/>
      </c>
    </row>
    <row r="1426">
      <c r="A1426">
        <f>TRIM(SUBSTITUTE(INDEX('Term investments'!$A:$A,ROW())&amp;""," "," "))</f>
        <v/>
      </c>
      <c r="B1426">
        <f>TRIM(SUBSTITUTE(INDEX('Term investments'!$B:$B,ROW())&amp;""," "," "))</f>
        <v/>
      </c>
      <c r="C1426">
        <f>TRIM(SUBSTITUTE(INDEX('Term investments'!$C:$C,ROW())&amp;""," "," "))</f>
        <v/>
      </c>
      <c r="D1426">
        <f>IFERROR(--INDEX('Term investments'!$D:$D,ROW()),0)</f>
        <v/>
      </c>
      <c r="E1426">
        <f>IFERROR(--INDEX('Term investments'!$E:$E,ROW()),0)</f>
        <v/>
      </c>
      <c r="F1426">
        <f>IFERROR(--INDEX('Term investments'!$F:$F,ROW()),0)</f>
        <v/>
      </c>
      <c r="G1426">
        <f>IFERROR(IF(--INDEX('Term investments'!$G:$G,ROW())&gt;=1,--INDEX('Term investments'!$G:$G,ROW())/100,--INDEX('Term investments'!$G:$G,ROW())),0)</f>
        <v/>
      </c>
      <c r="H1426">
        <f>IFERROR(--INDEX('Term investments'!$H:$H,ROW()),0)</f>
        <v/>
      </c>
      <c r="I1426">
        <f>IF(ISNUMBER(INDEX('Term investments'!$G:$G,ROW())),1,0)</f>
        <v/>
      </c>
      <c r="J1426">
        <f>TRIM(SUBSTITUTE(INDEX('Call accounts and MMFs'!$A:$A,ROW())&amp;""," "," "))</f>
        <v/>
      </c>
      <c r="K1426">
        <f>TRIM(SUBSTITUTE(INDEX('Call accounts and MMFs'!$B:$B,ROW())&amp;""," "," "))</f>
        <v/>
      </c>
      <c r="L1426">
        <f>TRIM(SUBSTITUTE(INDEX('Call accounts and MMFs'!$C:$C,ROW())&amp;""," "," "))</f>
        <v/>
      </c>
      <c r="M1426">
        <f>IFERROR(--INDEX('Call accounts and MMFs'!$D:$D,ROW()),0)</f>
        <v/>
      </c>
      <c r="N1426">
        <f>IFERROR(IF(--INDEX('Call accounts and MMFs'!$E:$E,ROW())&gt;=1,--INDEX('Call accounts and MMFs'!$E:$E,ROW())/100,--INDEX('Call accounts and MMFs'!$E:$E,ROW())),0)</f>
        <v/>
      </c>
      <c r="O1426">
        <f>IFERROR(--INDEX('Call accounts and MMFs'!$F:$F,ROW()),0)</f>
        <v/>
      </c>
      <c r="P1426">
        <f>IF(ISNUMBER(INDEX('Call accounts and MMFs'!$E:$E,ROW())),1,0)</f>
        <v/>
      </c>
      <c r="Q1426">
        <f>TRIM(SUBSTITUTE(INDEX('Pooled funds'!$B:$B,ROW())&amp;""," "," "))</f>
        <v/>
      </c>
      <c r="R1426">
        <f>IFERROR(--INDEX('Pooled funds'!$C:$C,ROW()),0)</f>
        <v/>
      </c>
      <c r="S1426">
        <f>IFERROR(--INDEX('Pooled funds'!$D:$D,ROW()),0)</f>
        <v/>
      </c>
      <c r="T1426">
        <f>IFERROR(IF(--INDEX('Pooled funds'!$E:$E,ROW())&gt;=1,--INDEX('Pooled funds'!$E:$E,ROW())/100,--INDEX('Pooled funds'!$E:$E,ROW())),0)</f>
        <v/>
      </c>
      <c r="U1426">
        <f>IF(ISNUMBER(INDEX('Pooled funds'!$E:$E,ROW())),1,0)</f>
        <v/>
      </c>
    </row>
    <row r="1427">
      <c r="A1427">
        <f>TRIM(SUBSTITUTE(INDEX('Term investments'!$A:$A,ROW())&amp;""," "," "))</f>
        <v/>
      </c>
      <c r="B1427">
        <f>TRIM(SUBSTITUTE(INDEX('Term investments'!$B:$B,ROW())&amp;""," "," "))</f>
        <v/>
      </c>
      <c r="C1427">
        <f>TRIM(SUBSTITUTE(INDEX('Term investments'!$C:$C,ROW())&amp;""," "," "))</f>
        <v/>
      </c>
      <c r="D1427">
        <f>IFERROR(--INDEX('Term investments'!$D:$D,ROW()),0)</f>
        <v/>
      </c>
      <c r="E1427">
        <f>IFERROR(--INDEX('Term investments'!$E:$E,ROW()),0)</f>
        <v/>
      </c>
      <c r="F1427">
        <f>IFERROR(--INDEX('Term investments'!$F:$F,ROW()),0)</f>
        <v/>
      </c>
      <c r="G1427">
        <f>IFERROR(IF(--INDEX('Term investments'!$G:$G,ROW())&gt;=1,--INDEX('Term investments'!$G:$G,ROW())/100,--INDEX('Term investments'!$G:$G,ROW())),0)</f>
        <v/>
      </c>
      <c r="H1427">
        <f>IFERROR(--INDEX('Term investments'!$H:$H,ROW()),0)</f>
        <v/>
      </c>
      <c r="I1427">
        <f>IF(ISNUMBER(INDEX('Term investments'!$G:$G,ROW())),1,0)</f>
        <v/>
      </c>
      <c r="J1427">
        <f>TRIM(SUBSTITUTE(INDEX('Call accounts and MMFs'!$A:$A,ROW())&amp;""," "," "))</f>
        <v/>
      </c>
      <c r="K1427">
        <f>TRIM(SUBSTITUTE(INDEX('Call accounts and MMFs'!$B:$B,ROW())&amp;""," "," "))</f>
        <v/>
      </c>
      <c r="L1427">
        <f>TRIM(SUBSTITUTE(INDEX('Call accounts and MMFs'!$C:$C,ROW())&amp;""," "," "))</f>
        <v/>
      </c>
      <c r="M1427">
        <f>IFERROR(--INDEX('Call accounts and MMFs'!$D:$D,ROW()),0)</f>
        <v/>
      </c>
      <c r="N1427">
        <f>IFERROR(IF(--INDEX('Call accounts and MMFs'!$E:$E,ROW())&gt;=1,--INDEX('Call accounts and MMFs'!$E:$E,ROW())/100,--INDEX('Call accounts and MMFs'!$E:$E,ROW())),0)</f>
        <v/>
      </c>
      <c r="O1427">
        <f>IFERROR(--INDEX('Call accounts and MMFs'!$F:$F,ROW()),0)</f>
        <v/>
      </c>
      <c r="P1427">
        <f>IF(ISNUMBER(INDEX('Call accounts and MMFs'!$E:$E,ROW())),1,0)</f>
        <v/>
      </c>
      <c r="Q1427">
        <f>TRIM(SUBSTITUTE(INDEX('Pooled funds'!$B:$B,ROW())&amp;""," "," "))</f>
        <v/>
      </c>
      <c r="R1427">
        <f>IFERROR(--INDEX('Pooled funds'!$C:$C,ROW()),0)</f>
        <v/>
      </c>
      <c r="S1427">
        <f>IFERROR(--INDEX('Pooled funds'!$D:$D,ROW()),0)</f>
        <v/>
      </c>
      <c r="T1427">
        <f>IFERROR(IF(--INDEX('Pooled funds'!$E:$E,ROW())&gt;=1,--INDEX('Pooled funds'!$E:$E,ROW())/100,--INDEX('Pooled funds'!$E:$E,ROW())),0)</f>
        <v/>
      </c>
      <c r="U1427">
        <f>IF(ISNUMBER(INDEX('Pooled funds'!$E:$E,ROW())),1,0)</f>
        <v/>
      </c>
    </row>
    <row r="1428">
      <c r="A1428">
        <f>TRIM(SUBSTITUTE(INDEX('Term investments'!$A:$A,ROW())&amp;""," "," "))</f>
        <v/>
      </c>
      <c r="B1428">
        <f>TRIM(SUBSTITUTE(INDEX('Term investments'!$B:$B,ROW())&amp;""," "," "))</f>
        <v/>
      </c>
      <c r="C1428">
        <f>TRIM(SUBSTITUTE(INDEX('Term investments'!$C:$C,ROW())&amp;""," "," "))</f>
        <v/>
      </c>
      <c r="D1428">
        <f>IFERROR(--INDEX('Term investments'!$D:$D,ROW()),0)</f>
        <v/>
      </c>
      <c r="E1428">
        <f>IFERROR(--INDEX('Term investments'!$E:$E,ROW()),0)</f>
        <v/>
      </c>
      <c r="F1428">
        <f>IFERROR(--INDEX('Term investments'!$F:$F,ROW()),0)</f>
        <v/>
      </c>
      <c r="G1428">
        <f>IFERROR(IF(--INDEX('Term investments'!$G:$G,ROW())&gt;=1,--INDEX('Term investments'!$G:$G,ROW())/100,--INDEX('Term investments'!$G:$G,ROW())),0)</f>
        <v/>
      </c>
      <c r="H1428">
        <f>IFERROR(--INDEX('Term investments'!$H:$H,ROW()),0)</f>
        <v/>
      </c>
      <c r="I1428">
        <f>IF(ISNUMBER(INDEX('Term investments'!$G:$G,ROW())),1,0)</f>
        <v/>
      </c>
      <c r="J1428">
        <f>TRIM(SUBSTITUTE(INDEX('Call accounts and MMFs'!$A:$A,ROW())&amp;""," "," "))</f>
        <v/>
      </c>
      <c r="K1428">
        <f>TRIM(SUBSTITUTE(INDEX('Call accounts and MMFs'!$B:$B,ROW())&amp;""," "," "))</f>
        <v/>
      </c>
      <c r="L1428">
        <f>TRIM(SUBSTITUTE(INDEX('Call accounts and MMFs'!$C:$C,ROW())&amp;""," "," "))</f>
        <v/>
      </c>
      <c r="M1428">
        <f>IFERROR(--INDEX('Call accounts and MMFs'!$D:$D,ROW()),0)</f>
        <v/>
      </c>
      <c r="N1428">
        <f>IFERROR(IF(--INDEX('Call accounts and MMFs'!$E:$E,ROW())&gt;=1,--INDEX('Call accounts and MMFs'!$E:$E,ROW())/100,--INDEX('Call accounts and MMFs'!$E:$E,ROW())),0)</f>
        <v/>
      </c>
      <c r="O1428">
        <f>IFERROR(--INDEX('Call accounts and MMFs'!$F:$F,ROW()),0)</f>
        <v/>
      </c>
      <c r="P1428">
        <f>IF(ISNUMBER(INDEX('Call accounts and MMFs'!$E:$E,ROW())),1,0)</f>
        <v/>
      </c>
      <c r="Q1428">
        <f>TRIM(SUBSTITUTE(INDEX('Pooled funds'!$B:$B,ROW())&amp;""," "," "))</f>
        <v/>
      </c>
      <c r="R1428">
        <f>IFERROR(--INDEX('Pooled funds'!$C:$C,ROW()),0)</f>
        <v/>
      </c>
      <c r="S1428">
        <f>IFERROR(--INDEX('Pooled funds'!$D:$D,ROW()),0)</f>
        <v/>
      </c>
      <c r="T1428">
        <f>IFERROR(IF(--INDEX('Pooled funds'!$E:$E,ROW())&gt;=1,--INDEX('Pooled funds'!$E:$E,ROW())/100,--INDEX('Pooled funds'!$E:$E,ROW())),0)</f>
        <v/>
      </c>
      <c r="U1428">
        <f>IF(ISNUMBER(INDEX('Pooled funds'!$E:$E,ROW())),1,0)</f>
        <v/>
      </c>
    </row>
    <row r="1429">
      <c r="A1429">
        <f>TRIM(SUBSTITUTE(INDEX('Term investments'!$A:$A,ROW())&amp;""," "," "))</f>
        <v/>
      </c>
      <c r="B1429">
        <f>TRIM(SUBSTITUTE(INDEX('Term investments'!$B:$B,ROW())&amp;""," "," "))</f>
        <v/>
      </c>
      <c r="C1429">
        <f>TRIM(SUBSTITUTE(INDEX('Term investments'!$C:$C,ROW())&amp;""," "," "))</f>
        <v/>
      </c>
      <c r="D1429">
        <f>IFERROR(--INDEX('Term investments'!$D:$D,ROW()),0)</f>
        <v/>
      </c>
      <c r="E1429">
        <f>IFERROR(--INDEX('Term investments'!$E:$E,ROW()),0)</f>
        <v/>
      </c>
      <c r="F1429">
        <f>IFERROR(--INDEX('Term investments'!$F:$F,ROW()),0)</f>
        <v/>
      </c>
      <c r="G1429">
        <f>IFERROR(IF(--INDEX('Term investments'!$G:$G,ROW())&gt;=1,--INDEX('Term investments'!$G:$G,ROW())/100,--INDEX('Term investments'!$G:$G,ROW())),0)</f>
        <v/>
      </c>
      <c r="H1429">
        <f>IFERROR(--INDEX('Term investments'!$H:$H,ROW()),0)</f>
        <v/>
      </c>
      <c r="I1429">
        <f>IF(ISNUMBER(INDEX('Term investments'!$G:$G,ROW())),1,0)</f>
        <v/>
      </c>
      <c r="J1429">
        <f>TRIM(SUBSTITUTE(INDEX('Call accounts and MMFs'!$A:$A,ROW())&amp;""," "," "))</f>
        <v/>
      </c>
      <c r="K1429">
        <f>TRIM(SUBSTITUTE(INDEX('Call accounts and MMFs'!$B:$B,ROW())&amp;""," "," "))</f>
        <v/>
      </c>
      <c r="L1429">
        <f>TRIM(SUBSTITUTE(INDEX('Call accounts and MMFs'!$C:$C,ROW())&amp;""," "," "))</f>
        <v/>
      </c>
      <c r="M1429">
        <f>IFERROR(--INDEX('Call accounts and MMFs'!$D:$D,ROW()),0)</f>
        <v/>
      </c>
      <c r="N1429">
        <f>IFERROR(IF(--INDEX('Call accounts and MMFs'!$E:$E,ROW())&gt;=1,--INDEX('Call accounts and MMFs'!$E:$E,ROW())/100,--INDEX('Call accounts and MMFs'!$E:$E,ROW())),0)</f>
        <v/>
      </c>
      <c r="O1429">
        <f>IFERROR(--INDEX('Call accounts and MMFs'!$F:$F,ROW()),0)</f>
        <v/>
      </c>
      <c r="P1429">
        <f>IF(ISNUMBER(INDEX('Call accounts and MMFs'!$E:$E,ROW())),1,0)</f>
        <v/>
      </c>
      <c r="Q1429">
        <f>TRIM(SUBSTITUTE(INDEX('Pooled funds'!$B:$B,ROW())&amp;""," "," "))</f>
        <v/>
      </c>
      <c r="R1429">
        <f>IFERROR(--INDEX('Pooled funds'!$C:$C,ROW()),0)</f>
        <v/>
      </c>
      <c r="S1429">
        <f>IFERROR(--INDEX('Pooled funds'!$D:$D,ROW()),0)</f>
        <v/>
      </c>
      <c r="T1429">
        <f>IFERROR(IF(--INDEX('Pooled funds'!$E:$E,ROW())&gt;=1,--INDEX('Pooled funds'!$E:$E,ROW())/100,--INDEX('Pooled funds'!$E:$E,ROW())),0)</f>
        <v/>
      </c>
      <c r="U1429">
        <f>IF(ISNUMBER(INDEX('Pooled funds'!$E:$E,ROW())),1,0)</f>
        <v/>
      </c>
    </row>
    <row r="1430">
      <c r="A1430">
        <f>TRIM(SUBSTITUTE(INDEX('Term investments'!$A:$A,ROW())&amp;""," "," "))</f>
        <v/>
      </c>
      <c r="B1430">
        <f>TRIM(SUBSTITUTE(INDEX('Term investments'!$B:$B,ROW())&amp;""," "," "))</f>
        <v/>
      </c>
      <c r="C1430">
        <f>TRIM(SUBSTITUTE(INDEX('Term investments'!$C:$C,ROW())&amp;""," "," "))</f>
        <v/>
      </c>
      <c r="D1430">
        <f>IFERROR(--INDEX('Term investments'!$D:$D,ROW()),0)</f>
        <v/>
      </c>
      <c r="E1430">
        <f>IFERROR(--INDEX('Term investments'!$E:$E,ROW()),0)</f>
        <v/>
      </c>
      <c r="F1430">
        <f>IFERROR(--INDEX('Term investments'!$F:$F,ROW()),0)</f>
        <v/>
      </c>
      <c r="G1430">
        <f>IFERROR(IF(--INDEX('Term investments'!$G:$G,ROW())&gt;=1,--INDEX('Term investments'!$G:$G,ROW())/100,--INDEX('Term investments'!$G:$G,ROW())),0)</f>
        <v/>
      </c>
      <c r="H1430">
        <f>IFERROR(--INDEX('Term investments'!$H:$H,ROW()),0)</f>
        <v/>
      </c>
      <c r="I1430">
        <f>IF(ISNUMBER(INDEX('Term investments'!$G:$G,ROW())),1,0)</f>
        <v/>
      </c>
      <c r="J1430">
        <f>TRIM(SUBSTITUTE(INDEX('Call accounts and MMFs'!$A:$A,ROW())&amp;""," "," "))</f>
        <v/>
      </c>
      <c r="K1430">
        <f>TRIM(SUBSTITUTE(INDEX('Call accounts and MMFs'!$B:$B,ROW())&amp;""," "," "))</f>
        <v/>
      </c>
      <c r="L1430">
        <f>TRIM(SUBSTITUTE(INDEX('Call accounts and MMFs'!$C:$C,ROW())&amp;""," "," "))</f>
        <v/>
      </c>
      <c r="M1430">
        <f>IFERROR(--INDEX('Call accounts and MMFs'!$D:$D,ROW()),0)</f>
        <v/>
      </c>
      <c r="N1430">
        <f>IFERROR(IF(--INDEX('Call accounts and MMFs'!$E:$E,ROW())&gt;=1,--INDEX('Call accounts and MMFs'!$E:$E,ROW())/100,--INDEX('Call accounts and MMFs'!$E:$E,ROW())),0)</f>
        <v/>
      </c>
      <c r="O1430">
        <f>IFERROR(--INDEX('Call accounts and MMFs'!$F:$F,ROW()),0)</f>
        <v/>
      </c>
      <c r="P1430">
        <f>IF(ISNUMBER(INDEX('Call accounts and MMFs'!$E:$E,ROW())),1,0)</f>
        <v/>
      </c>
      <c r="Q1430">
        <f>TRIM(SUBSTITUTE(INDEX('Pooled funds'!$B:$B,ROW())&amp;""," "," "))</f>
        <v/>
      </c>
      <c r="R1430">
        <f>IFERROR(--INDEX('Pooled funds'!$C:$C,ROW()),0)</f>
        <v/>
      </c>
      <c r="S1430">
        <f>IFERROR(--INDEX('Pooled funds'!$D:$D,ROW()),0)</f>
        <v/>
      </c>
      <c r="T1430">
        <f>IFERROR(IF(--INDEX('Pooled funds'!$E:$E,ROW())&gt;=1,--INDEX('Pooled funds'!$E:$E,ROW())/100,--INDEX('Pooled funds'!$E:$E,ROW())),0)</f>
        <v/>
      </c>
      <c r="U1430">
        <f>IF(ISNUMBER(INDEX('Pooled funds'!$E:$E,ROW())),1,0)</f>
        <v/>
      </c>
    </row>
    <row r="1431">
      <c r="A1431">
        <f>TRIM(SUBSTITUTE(INDEX('Term investments'!$A:$A,ROW())&amp;""," "," "))</f>
        <v/>
      </c>
      <c r="B1431">
        <f>TRIM(SUBSTITUTE(INDEX('Term investments'!$B:$B,ROW())&amp;""," "," "))</f>
        <v/>
      </c>
      <c r="C1431">
        <f>TRIM(SUBSTITUTE(INDEX('Term investments'!$C:$C,ROW())&amp;""," "," "))</f>
        <v/>
      </c>
      <c r="D1431">
        <f>IFERROR(--INDEX('Term investments'!$D:$D,ROW()),0)</f>
        <v/>
      </c>
      <c r="E1431">
        <f>IFERROR(--INDEX('Term investments'!$E:$E,ROW()),0)</f>
        <v/>
      </c>
      <c r="F1431">
        <f>IFERROR(--INDEX('Term investments'!$F:$F,ROW()),0)</f>
        <v/>
      </c>
      <c r="G1431">
        <f>IFERROR(IF(--INDEX('Term investments'!$G:$G,ROW())&gt;=1,--INDEX('Term investments'!$G:$G,ROW())/100,--INDEX('Term investments'!$G:$G,ROW())),0)</f>
        <v/>
      </c>
      <c r="H1431">
        <f>IFERROR(--INDEX('Term investments'!$H:$H,ROW()),0)</f>
        <v/>
      </c>
      <c r="I1431">
        <f>IF(ISNUMBER(INDEX('Term investments'!$G:$G,ROW())),1,0)</f>
        <v/>
      </c>
      <c r="J1431">
        <f>TRIM(SUBSTITUTE(INDEX('Call accounts and MMFs'!$A:$A,ROW())&amp;""," "," "))</f>
        <v/>
      </c>
      <c r="K1431">
        <f>TRIM(SUBSTITUTE(INDEX('Call accounts and MMFs'!$B:$B,ROW())&amp;""," "," "))</f>
        <v/>
      </c>
      <c r="L1431">
        <f>TRIM(SUBSTITUTE(INDEX('Call accounts and MMFs'!$C:$C,ROW())&amp;""," "," "))</f>
        <v/>
      </c>
      <c r="M1431">
        <f>IFERROR(--INDEX('Call accounts and MMFs'!$D:$D,ROW()),0)</f>
        <v/>
      </c>
      <c r="N1431">
        <f>IFERROR(IF(--INDEX('Call accounts and MMFs'!$E:$E,ROW())&gt;=1,--INDEX('Call accounts and MMFs'!$E:$E,ROW())/100,--INDEX('Call accounts and MMFs'!$E:$E,ROW())),0)</f>
        <v/>
      </c>
      <c r="O1431">
        <f>IFERROR(--INDEX('Call accounts and MMFs'!$F:$F,ROW()),0)</f>
        <v/>
      </c>
      <c r="P1431">
        <f>IF(ISNUMBER(INDEX('Call accounts and MMFs'!$E:$E,ROW())),1,0)</f>
        <v/>
      </c>
      <c r="Q1431">
        <f>TRIM(SUBSTITUTE(INDEX('Pooled funds'!$B:$B,ROW())&amp;""," "," "))</f>
        <v/>
      </c>
      <c r="R1431">
        <f>IFERROR(--INDEX('Pooled funds'!$C:$C,ROW()),0)</f>
        <v/>
      </c>
      <c r="S1431">
        <f>IFERROR(--INDEX('Pooled funds'!$D:$D,ROW()),0)</f>
        <v/>
      </c>
      <c r="T1431">
        <f>IFERROR(IF(--INDEX('Pooled funds'!$E:$E,ROW())&gt;=1,--INDEX('Pooled funds'!$E:$E,ROW())/100,--INDEX('Pooled funds'!$E:$E,ROW())),0)</f>
        <v/>
      </c>
      <c r="U1431">
        <f>IF(ISNUMBER(INDEX('Pooled funds'!$E:$E,ROW())),1,0)</f>
        <v/>
      </c>
    </row>
    <row r="1432">
      <c r="A1432">
        <f>TRIM(SUBSTITUTE(INDEX('Term investments'!$A:$A,ROW())&amp;""," "," "))</f>
        <v/>
      </c>
      <c r="B1432">
        <f>TRIM(SUBSTITUTE(INDEX('Term investments'!$B:$B,ROW())&amp;""," "," "))</f>
        <v/>
      </c>
      <c r="C1432">
        <f>TRIM(SUBSTITUTE(INDEX('Term investments'!$C:$C,ROW())&amp;""," "," "))</f>
        <v/>
      </c>
      <c r="D1432">
        <f>IFERROR(--INDEX('Term investments'!$D:$D,ROW()),0)</f>
        <v/>
      </c>
      <c r="E1432">
        <f>IFERROR(--INDEX('Term investments'!$E:$E,ROW()),0)</f>
        <v/>
      </c>
      <c r="F1432">
        <f>IFERROR(--INDEX('Term investments'!$F:$F,ROW()),0)</f>
        <v/>
      </c>
      <c r="G1432">
        <f>IFERROR(IF(--INDEX('Term investments'!$G:$G,ROW())&gt;=1,--INDEX('Term investments'!$G:$G,ROW())/100,--INDEX('Term investments'!$G:$G,ROW())),0)</f>
        <v/>
      </c>
      <c r="H1432">
        <f>IFERROR(--INDEX('Term investments'!$H:$H,ROW()),0)</f>
        <v/>
      </c>
      <c r="I1432">
        <f>IF(ISNUMBER(INDEX('Term investments'!$G:$G,ROW())),1,0)</f>
        <v/>
      </c>
      <c r="J1432">
        <f>TRIM(SUBSTITUTE(INDEX('Call accounts and MMFs'!$A:$A,ROW())&amp;""," "," "))</f>
        <v/>
      </c>
      <c r="K1432">
        <f>TRIM(SUBSTITUTE(INDEX('Call accounts and MMFs'!$B:$B,ROW())&amp;""," "," "))</f>
        <v/>
      </c>
      <c r="L1432">
        <f>TRIM(SUBSTITUTE(INDEX('Call accounts and MMFs'!$C:$C,ROW())&amp;""," "," "))</f>
        <v/>
      </c>
      <c r="M1432">
        <f>IFERROR(--INDEX('Call accounts and MMFs'!$D:$D,ROW()),0)</f>
        <v/>
      </c>
      <c r="N1432">
        <f>IFERROR(IF(--INDEX('Call accounts and MMFs'!$E:$E,ROW())&gt;=1,--INDEX('Call accounts and MMFs'!$E:$E,ROW())/100,--INDEX('Call accounts and MMFs'!$E:$E,ROW())),0)</f>
        <v/>
      </c>
      <c r="O1432">
        <f>IFERROR(--INDEX('Call accounts and MMFs'!$F:$F,ROW()),0)</f>
        <v/>
      </c>
      <c r="P1432">
        <f>IF(ISNUMBER(INDEX('Call accounts and MMFs'!$E:$E,ROW())),1,0)</f>
        <v/>
      </c>
      <c r="Q1432">
        <f>TRIM(SUBSTITUTE(INDEX('Pooled funds'!$B:$B,ROW())&amp;""," "," "))</f>
        <v/>
      </c>
      <c r="R1432">
        <f>IFERROR(--INDEX('Pooled funds'!$C:$C,ROW()),0)</f>
        <v/>
      </c>
      <c r="S1432">
        <f>IFERROR(--INDEX('Pooled funds'!$D:$D,ROW()),0)</f>
        <v/>
      </c>
      <c r="T1432">
        <f>IFERROR(IF(--INDEX('Pooled funds'!$E:$E,ROW())&gt;=1,--INDEX('Pooled funds'!$E:$E,ROW())/100,--INDEX('Pooled funds'!$E:$E,ROW())),0)</f>
        <v/>
      </c>
      <c r="U1432">
        <f>IF(ISNUMBER(INDEX('Pooled funds'!$E:$E,ROW())),1,0)</f>
        <v/>
      </c>
    </row>
    <row r="1433">
      <c r="A1433">
        <f>TRIM(SUBSTITUTE(INDEX('Term investments'!$A:$A,ROW())&amp;""," "," "))</f>
        <v/>
      </c>
      <c r="B1433">
        <f>TRIM(SUBSTITUTE(INDEX('Term investments'!$B:$B,ROW())&amp;""," "," "))</f>
        <v/>
      </c>
      <c r="C1433">
        <f>TRIM(SUBSTITUTE(INDEX('Term investments'!$C:$C,ROW())&amp;""," "," "))</f>
        <v/>
      </c>
      <c r="D1433">
        <f>IFERROR(--INDEX('Term investments'!$D:$D,ROW()),0)</f>
        <v/>
      </c>
      <c r="E1433">
        <f>IFERROR(--INDEX('Term investments'!$E:$E,ROW()),0)</f>
        <v/>
      </c>
      <c r="F1433">
        <f>IFERROR(--INDEX('Term investments'!$F:$F,ROW()),0)</f>
        <v/>
      </c>
      <c r="G1433">
        <f>IFERROR(IF(--INDEX('Term investments'!$G:$G,ROW())&gt;=1,--INDEX('Term investments'!$G:$G,ROW())/100,--INDEX('Term investments'!$G:$G,ROW())),0)</f>
        <v/>
      </c>
      <c r="H1433">
        <f>IFERROR(--INDEX('Term investments'!$H:$H,ROW()),0)</f>
        <v/>
      </c>
      <c r="I1433">
        <f>IF(ISNUMBER(INDEX('Term investments'!$G:$G,ROW())),1,0)</f>
        <v/>
      </c>
      <c r="J1433">
        <f>TRIM(SUBSTITUTE(INDEX('Call accounts and MMFs'!$A:$A,ROW())&amp;""," "," "))</f>
        <v/>
      </c>
      <c r="K1433">
        <f>TRIM(SUBSTITUTE(INDEX('Call accounts and MMFs'!$B:$B,ROW())&amp;""," "," "))</f>
        <v/>
      </c>
      <c r="L1433">
        <f>TRIM(SUBSTITUTE(INDEX('Call accounts and MMFs'!$C:$C,ROW())&amp;""," "," "))</f>
        <v/>
      </c>
      <c r="M1433">
        <f>IFERROR(--INDEX('Call accounts and MMFs'!$D:$D,ROW()),0)</f>
        <v/>
      </c>
      <c r="N1433">
        <f>IFERROR(IF(--INDEX('Call accounts and MMFs'!$E:$E,ROW())&gt;=1,--INDEX('Call accounts and MMFs'!$E:$E,ROW())/100,--INDEX('Call accounts and MMFs'!$E:$E,ROW())),0)</f>
        <v/>
      </c>
      <c r="O1433">
        <f>IFERROR(--INDEX('Call accounts and MMFs'!$F:$F,ROW()),0)</f>
        <v/>
      </c>
      <c r="P1433">
        <f>IF(ISNUMBER(INDEX('Call accounts and MMFs'!$E:$E,ROW())),1,0)</f>
        <v/>
      </c>
      <c r="Q1433">
        <f>TRIM(SUBSTITUTE(INDEX('Pooled funds'!$B:$B,ROW())&amp;""," "," "))</f>
        <v/>
      </c>
      <c r="R1433">
        <f>IFERROR(--INDEX('Pooled funds'!$C:$C,ROW()),0)</f>
        <v/>
      </c>
      <c r="S1433">
        <f>IFERROR(--INDEX('Pooled funds'!$D:$D,ROW()),0)</f>
        <v/>
      </c>
      <c r="T1433">
        <f>IFERROR(IF(--INDEX('Pooled funds'!$E:$E,ROW())&gt;=1,--INDEX('Pooled funds'!$E:$E,ROW())/100,--INDEX('Pooled funds'!$E:$E,ROW())),0)</f>
        <v/>
      </c>
      <c r="U1433">
        <f>IF(ISNUMBER(INDEX('Pooled funds'!$E:$E,ROW())),1,0)</f>
        <v/>
      </c>
    </row>
    <row r="1434">
      <c r="A1434">
        <f>TRIM(SUBSTITUTE(INDEX('Term investments'!$A:$A,ROW())&amp;""," "," "))</f>
        <v/>
      </c>
      <c r="B1434">
        <f>TRIM(SUBSTITUTE(INDEX('Term investments'!$B:$B,ROW())&amp;""," "," "))</f>
        <v/>
      </c>
      <c r="C1434">
        <f>TRIM(SUBSTITUTE(INDEX('Term investments'!$C:$C,ROW())&amp;""," "," "))</f>
        <v/>
      </c>
      <c r="D1434">
        <f>IFERROR(--INDEX('Term investments'!$D:$D,ROW()),0)</f>
        <v/>
      </c>
      <c r="E1434">
        <f>IFERROR(--INDEX('Term investments'!$E:$E,ROW()),0)</f>
        <v/>
      </c>
      <c r="F1434">
        <f>IFERROR(--INDEX('Term investments'!$F:$F,ROW()),0)</f>
        <v/>
      </c>
      <c r="G1434">
        <f>IFERROR(IF(--INDEX('Term investments'!$G:$G,ROW())&gt;=1,--INDEX('Term investments'!$G:$G,ROW())/100,--INDEX('Term investments'!$G:$G,ROW())),0)</f>
        <v/>
      </c>
      <c r="H1434">
        <f>IFERROR(--INDEX('Term investments'!$H:$H,ROW()),0)</f>
        <v/>
      </c>
      <c r="I1434">
        <f>IF(ISNUMBER(INDEX('Term investments'!$G:$G,ROW())),1,0)</f>
        <v/>
      </c>
      <c r="J1434">
        <f>TRIM(SUBSTITUTE(INDEX('Call accounts and MMFs'!$A:$A,ROW())&amp;""," "," "))</f>
        <v/>
      </c>
      <c r="K1434">
        <f>TRIM(SUBSTITUTE(INDEX('Call accounts and MMFs'!$B:$B,ROW())&amp;""," "," "))</f>
        <v/>
      </c>
      <c r="L1434">
        <f>TRIM(SUBSTITUTE(INDEX('Call accounts and MMFs'!$C:$C,ROW())&amp;""," "," "))</f>
        <v/>
      </c>
      <c r="M1434">
        <f>IFERROR(--INDEX('Call accounts and MMFs'!$D:$D,ROW()),0)</f>
        <v/>
      </c>
      <c r="N1434">
        <f>IFERROR(IF(--INDEX('Call accounts and MMFs'!$E:$E,ROW())&gt;=1,--INDEX('Call accounts and MMFs'!$E:$E,ROW())/100,--INDEX('Call accounts and MMFs'!$E:$E,ROW())),0)</f>
        <v/>
      </c>
      <c r="O1434">
        <f>IFERROR(--INDEX('Call accounts and MMFs'!$F:$F,ROW()),0)</f>
        <v/>
      </c>
      <c r="P1434">
        <f>IF(ISNUMBER(INDEX('Call accounts and MMFs'!$E:$E,ROW())),1,0)</f>
        <v/>
      </c>
      <c r="Q1434">
        <f>TRIM(SUBSTITUTE(INDEX('Pooled funds'!$B:$B,ROW())&amp;""," "," "))</f>
        <v/>
      </c>
      <c r="R1434">
        <f>IFERROR(--INDEX('Pooled funds'!$C:$C,ROW()),0)</f>
        <v/>
      </c>
      <c r="S1434">
        <f>IFERROR(--INDEX('Pooled funds'!$D:$D,ROW()),0)</f>
        <v/>
      </c>
      <c r="T1434">
        <f>IFERROR(IF(--INDEX('Pooled funds'!$E:$E,ROW())&gt;=1,--INDEX('Pooled funds'!$E:$E,ROW())/100,--INDEX('Pooled funds'!$E:$E,ROW())),0)</f>
        <v/>
      </c>
      <c r="U1434">
        <f>IF(ISNUMBER(INDEX('Pooled funds'!$E:$E,ROW())),1,0)</f>
        <v/>
      </c>
    </row>
    <row r="1435">
      <c r="A1435">
        <f>TRIM(SUBSTITUTE(INDEX('Term investments'!$A:$A,ROW())&amp;""," "," "))</f>
        <v/>
      </c>
      <c r="B1435">
        <f>TRIM(SUBSTITUTE(INDEX('Term investments'!$B:$B,ROW())&amp;""," "," "))</f>
        <v/>
      </c>
      <c r="C1435">
        <f>TRIM(SUBSTITUTE(INDEX('Term investments'!$C:$C,ROW())&amp;""," "," "))</f>
        <v/>
      </c>
      <c r="D1435">
        <f>IFERROR(--INDEX('Term investments'!$D:$D,ROW()),0)</f>
        <v/>
      </c>
      <c r="E1435">
        <f>IFERROR(--INDEX('Term investments'!$E:$E,ROW()),0)</f>
        <v/>
      </c>
      <c r="F1435">
        <f>IFERROR(--INDEX('Term investments'!$F:$F,ROW()),0)</f>
        <v/>
      </c>
      <c r="G1435">
        <f>IFERROR(IF(--INDEX('Term investments'!$G:$G,ROW())&gt;=1,--INDEX('Term investments'!$G:$G,ROW())/100,--INDEX('Term investments'!$G:$G,ROW())),0)</f>
        <v/>
      </c>
      <c r="H1435">
        <f>IFERROR(--INDEX('Term investments'!$H:$H,ROW()),0)</f>
        <v/>
      </c>
      <c r="I1435">
        <f>IF(ISNUMBER(INDEX('Term investments'!$G:$G,ROW())),1,0)</f>
        <v/>
      </c>
      <c r="J1435">
        <f>TRIM(SUBSTITUTE(INDEX('Call accounts and MMFs'!$A:$A,ROW())&amp;""," "," "))</f>
        <v/>
      </c>
      <c r="K1435">
        <f>TRIM(SUBSTITUTE(INDEX('Call accounts and MMFs'!$B:$B,ROW())&amp;""," "," "))</f>
        <v/>
      </c>
      <c r="L1435">
        <f>TRIM(SUBSTITUTE(INDEX('Call accounts and MMFs'!$C:$C,ROW())&amp;""," "," "))</f>
        <v/>
      </c>
      <c r="M1435">
        <f>IFERROR(--INDEX('Call accounts and MMFs'!$D:$D,ROW()),0)</f>
        <v/>
      </c>
      <c r="N1435">
        <f>IFERROR(IF(--INDEX('Call accounts and MMFs'!$E:$E,ROW())&gt;=1,--INDEX('Call accounts and MMFs'!$E:$E,ROW())/100,--INDEX('Call accounts and MMFs'!$E:$E,ROW())),0)</f>
        <v/>
      </c>
      <c r="O1435">
        <f>IFERROR(--INDEX('Call accounts and MMFs'!$F:$F,ROW()),0)</f>
        <v/>
      </c>
      <c r="P1435">
        <f>IF(ISNUMBER(INDEX('Call accounts and MMFs'!$E:$E,ROW())),1,0)</f>
        <v/>
      </c>
      <c r="Q1435">
        <f>TRIM(SUBSTITUTE(INDEX('Pooled funds'!$B:$B,ROW())&amp;""," "," "))</f>
        <v/>
      </c>
      <c r="R1435">
        <f>IFERROR(--INDEX('Pooled funds'!$C:$C,ROW()),0)</f>
        <v/>
      </c>
      <c r="S1435">
        <f>IFERROR(--INDEX('Pooled funds'!$D:$D,ROW()),0)</f>
        <v/>
      </c>
      <c r="T1435">
        <f>IFERROR(IF(--INDEX('Pooled funds'!$E:$E,ROW())&gt;=1,--INDEX('Pooled funds'!$E:$E,ROW())/100,--INDEX('Pooled funds'!$E:$E,ROW())),0)</f>
        <v/>
      </c>
      <c r="U1435">
        <f>IF(ISNUMBER(INDEX('Pooled funds'!$E:$E,ROW())),1,0)</f>
        <v/>
      </c>
    </row>
    <row r="1436">
      <c r="A1436">
        <f>TRIM(SUBSTITUTE(INDEX('Term investments'!$A:$A,ROW())&amp;""," "," "))</f>
        <v/>
      </c>
      <c r="B1436">
        <f>TRIM(SUBSTITUTE(INDEX('Term investments'!$B:$B,ROW())&amp;""," "," "))</f>
        <v/>
      </c>
      <c r="C1436">
        <f>TRIM(SUBSTITUTE(INDEX('Term investments'!$C:$C,ROW())&amp;""," "," "))</f>
        <v/>
      </c>
      <c r="D1436">
        <f>IFERROR(--INDEX('Term investments'!$D:$D,ROW()),0)</f>
        <v/>
      </c>
      <c r="E1436">
        <f>IFERROR(--INDEX('Term investments'!$E:$E,ROW()),0)</f>
        <v/>
      </c>
      <c r="F1436">
        <f>IFERROR(--INDEX('Term investments'!$F:$F,ROW()),0)</f>
        <v/>
      </c>
      <c r="G1436">
        <f>IFERROR(IF(--INDEX('Term investments'!$G:$G,ROW())&gt;=1,--INDEX('Term investments'!$G:$G,ROW())/100,--INDEX('Term investments'!$G:$G,ROW())),0)</f>
        <v/>
      </c>
      <c r="H1436">
        <f>IFERROR(--INDEX('Term investments'!$H:$H,ROW()),0)</f>
        <v/>
      </c>
      <c r="I1436">
        <f>IF(ISNUMBER(INDEX('Term investments'!$G:$G,ROW())),1,0)</f>
        <v/>
      </c>
      <c r="J1436">
        <f>TRIM(SUBSTITUTE(INDEX('Call accounts and MMFs'!$A:$A,ROW())&amp;""," "," "))</f>
        <v/>
      </c>
      <c r="K1436">
        <f>TRIM(SUBSTITUTE(INDEX('Call accounts and MMFs'!$B:$B,ROW())&amp;""," "," "))</f>
        <v/>
      </c>
      <c r="L1436">
        <f>TRIM(SUBSTITUTE(INDEX('Call accounts and MMFs'!$C:$C,ROW())&amp;""," "," "))</f>
        <v/>
      </c>
      <c r="M1436">
        <f>IFERROR(--INDEX('Call accounts and MMFs'!$D:$D,ROW()),0)</f>
        <v/>
      </c>
      <c r="N1436">
        <f>IFERROR(IF(--INDEX('Call accounts and MMFs'!$E:$E,ROW())&gt;=1,--INDEX('Call accounts and MMFs'!$E:$E,ROW())/100,--INDEX('Call accounts and MMFs'!$E:$E,ROW())),0)</f>
        <v/>
      </c>
      <c r="O1436">
        <f>IFERROR(--INDEX('Call accounts and MMFs'!$F:$F,ROW()),0)</f>
        <v/>
      </c>
      <c r="P1436">
        <f>IF(ISNUMBER(INDEX('Call accounts and MMFs'!$E:$E,ROW())),1,0)</f>
        <v/>
      </c>
      <c r="Q1436">
        <f>TRIM(SUBSTITUTE(INDEX('Pooled funds'!$B:$B,ROW())&amp;""," "," "))</f>
        <v/>
      </c>
      <c r="R1436">
        <f>IFERROR(--INDEX('Pooled funds'!$C:$C,ROW()),0)</f>
        <v/>
      </c>
      <c r="S1436">
        <f>IFERROR(--INDEX('Pooled funds'!$D:$D,ROW()),0)</f>
        <v/>
      </c>
      <c r="T1436">
        <f>IFERROR(IF(--INDEX('Pooled funds'!$E:$E,ROW())&gt;=1,--INDEX('Pooled funds'!$E:$E,ROW())/100,--INDEX('Pooled funds'!$E:$E,ROW())),0)</f>
        <v/>
      </c>
      <c r="U1436">
        <f>IF(ISNUMBER(INDEX('Pooled funds'!$E:$E,ROW())),1,0)</f>
        <v/>
      </c>
    </row>
    <row r="1437">
      <c r="A1437">
        <f>TRIM(SUBSTITUTE(INDEX('Term investments'!$A:$A,ROW())&amp;""," "," "))</f>
        <v/>
      </c>
      <c r="B1437">
        <f>TRIM(SUBSTITUTE(INDEX('Term investments'!$B:$B,ROW())&amp;""," "," "))</f>
        <v/>
      </c>
      <c r="C1437">
        <f>TRIM(SUBSTITUTE(INDEX('Term investments'!$C:$C,ROW())&amp;""," "," "))</f>
        <v/>
      </c>
      <c r="D1437">
        <f>IFERROR(--INDEX('Term investments'!$D:$D,ROW()),0)</f>
        <v/>
      </c>
      <c r="E1437">
        <f>IFERROR(--INDEX('Term investments'!$E:$E,ROW()),0)</f>
        <v/>
      </c>
      <c r="F1437">
        <f>IFERROR(--INDEX('Term investments'!$F:$F,ROW()),0)</f>
        <v/>
      </c>
      <c r="G1437">
        <f>IFERROR(IF(--INDEX('Term investments'!$G:$G,ROW())&gt;=1,--INDEX('Term investments'!$G:$G,ROW())/100,--INDEX('Term investments'!$G:$G,ROW())),0)</f>
        <v/>
      </c>
      <c r="H1437">
        <f>IFERROR(--INDEX('Term investments'!$H:$H,ROW()),0)</f>
        <v/>
      </c>
      <c r="I1437">
        <f>IF(ISNUMBER(INDEX('Term investments'!$G:$G,ROW())),1,0)</f>
        <v/>
      </c>
      <c r="J1437">
        <f>TRIM(SUBSTITUTE(INDEX('Call accounts and MMFs'!$A:$A,ROW())&amp;""," "," "))</f>
        <v/>
      </c>
      <c r="K1437">
        <f>TRIM(SUBSTITUTE(INDEX('Call accounts and MMFs'!$B:$B,ROW())&amp;""," "," "))</f>
        <v/>
      </c>
      <c r="L1437">
        <f>TRIM(SUBSTITUTE(INDEX('Call accounts and MMFs'!$C:$C,ROW())&amp;""," "," "))</f>
        <v/>
      </c>
      <c r="M1437">
        <f>IFERROR(--INDEX('Call accounts and MMFs'!$D:$D,ROW()),0)</f>
        <v/>
      </c>
      <c r="N1437">
        <f>IFERROR(IF(--INDEX('Call accounts and MMFs'!$E:$E,ROW())&gt;=1,--INDEX('Call accounts and MMFs'!$E:$E,ROW())/100,--INDEX('Call accounts and MMFs'!$E:$E,ROW())),0)</f>
        <v/>
      </c>
      <c r="O1437">
        <f>IFERROR(--INDEX('Call accounts and MMFs'!$F:$F,ROW()),0)</f>
        <v/>
      </c>
      <c r="P1437">
        <f>IF(ISNUMBER(INDEX('Call accounts and MMFs'!$E:$E,ROW())),1,0)</f>
        <v/>
      </c>
      <c r="Q1437">
        <f>TRIM(SUBSTITUTE(INDEX('Pooled funds'!$B:$B,ROW())&amp;""," "," "))</f>
        <v/>
      </c>
      <c r="R1437">
        <f>IFERROR(--INDEX('Pooled funds'!$C:$C,ROW()),0)</f>
        <v/>
      </c>
      <c r="S1437">
        <f>IFERROR(--INDEX('Pooled funds'!$D:$D,ROW()),0)</f>
        <v/>
      </c>
      <c r="T1437">
        <f>IFERROR(IF(--INDEX('Pooled funds'!$E:$E,ROW())&gt;=1,--INDEX('Pooled funds'!$E:$E,ROW())/100,--INDEX('Pooled funds'!$E:$E,ROW())),0)</f>
        <v/>
      </c>
      <c r="U1437">
        <f>IF(ISNUMBER(INDEX('Pooled funds'!$E:$E,ROW())),1,0)</f>
        <v/>
      </c>
    </row>
    <row r="1438">
      <c r="A1438">
        <f>TRIM(SUBSTITUTE(INDEX('Term investments'!$A:$A,ROW())&amp;""," "," "))</f>
        <v/>
      </c>
      <c r="B1438">
        <f>TRIM(SUBSTITUTE(INDEX('Term investments'!$B:$B,ROW())&amp;""," "," "))</f>
        <v/>
      </c>
      <c r="C1438">
        <f>TRIM(SUBSTITUTE(INDEX('Term investments'!$C:$C,ROW())&amp;""," "," "))</f>
        <v/>
      </c>
      <c r="D1438">
        <f>IFERROR(--INDEX('Term investments'!$D:$D,ROW()),0)</f>
        <v/>
      </c>
      <c r="E1438">
        <f>IFERROR(--INDEX('Term investments'!$E:$E,ROW()),0)</f>
        <v/>
      </c>
      <c r="F1438">
        <f>IFERROR(--INDEX('Term investments'!$F:$F,ROW()),0)</f>
        <v/>
      </c>
      <c r="G1438">
        <f>IFERROR(IF(--INDEX('Term investments'!$G:$G,ROW())&gt;=1,--INDEX('Term investments'!$G:$G,ROW())/100,--INDEX('Term investments'!$G:$G,ROW())),0)</f>
        <v/>
      </c>
      <c r="H1438">
        <f>IFERROR(--INDEX('Term investments'!$H:$H,ROW()),0)</f>
        <v/>
      </c>
      <c r="I1438">
        <f>IF(ISNUMBER(INDEX('Term investments'!$G:$G,ROW())),1,0)</f>
        <v/>
      </c>
      <c r="J1438">
        <f>TRIM(SUBSTITUTE(INDEX('Call accounts and MMFs'!$A:$A,ROW())&amp;""," "," "))</f>
        <v/>
      </c>
      <c r="K1438">
        <f>TRIM(SUBSTITUTE(INDEX('Call accounts and MMFs'!$B:$B,ROW())&amp;""," "," "))</f>
        <v/>
      </c>
      <c r="L1438">
        <f>TRIM(SUBSTITUTE(INDEX('Call accounts and MMFs'!$C:$C,ROW())&amp;""," "," "))</f>
        <v/>
      </c>
      <c r="M1438">
        <f>IFERROR(--INDEX('Call accounts and MMFs'!$D:$D,ROW()),0)</f>
        <v/>
      </c>
      <c r="N1438">
        <f>IFERROR(IF(--INDEX('Call accounts and MMFs'!$E:$E,ROW())&gt;=1,--INDEX('Call accounts and MMFs'!$E:$E,ROW())/100,--INDEX('Call accounts and MMFs'!$E:$E,ROW())),0)</f>
        <v/>
      </c>
      <c r="O1438">
        <f>IFERROR(--INDEX('Call accounts and MMFs'!$F:$F,ROW()),0)</f>
        <v/>
      </c>
      <c r="P1438">
        <f>IF(ISNUMBER(INDEX('Call accounts and MMFs'!$E:$E,ROW())),1,0)</f>
        <v/>
      </c>
      <c r="Q1438">
        <f>TRIM(SUBSTITUTE(INDEX('Pooled funds'!$B:$B,ROW())&amp;""," "," "))</f>
        <v/>
      </c>
      <c r="R1438">
        <f>IFERROR(--INDEX('Pooled funds'!$C:$C,ROW()),0)</f>
        <v/>
      </c>
      <c r="S1438">
        <f>IFERROR(--INDEX('Pooled funds'!$D:$D,ROW()),0)</f>
        <v/>
      </c>
      <c r="T1438">
        <f>IFERROR(IF(--INDEX('Pooled funds'!$E:$E,ROW())&gt;=1,--INDEX('Pooled funds'!$E:$E,ROW())/100,--INDEX('Pooled funds'!$E:$E,ROW())),0)</f>
        <v/>
      </c>
      <c r="U1438">
        <f>IF(ISNUMBER(INDEX('Pooled funds'!$E:$E,ROW())),1,0)</f>
        <v/>
      </c>
    </row>
    <row r="1439">
      <c r="A1439">
        <f>TRIM(SUBSTITUTE(INDEX('Term investments'!$A:$A,ROW())&amp;""," "," "))</f>
        <v/>
      </c>
      <c r="B1439">
        <f>TRIM(SUBSTITUTE(INDEX('Term investments'!$B:$B,ROW())&amp;""," "," "))</f>
        <v/>
      </c>
      <c r="C1439">
        <f>TRIM(SUBSTITUTE(INDEX('Term investments'!$C:$C,ROW())&amp;""," "," "))</f>
        <v/>
      </c>
      <c r="D1439">
        <f>IFERROR(--INDEX('Term investments'!$D:$D,ROW()),0)</f>
        <v/>
      </c>
      <c r="E1439">
        <f>IFERROR(--INDEX('Term investments'!$E:$E,ROW()),0)</f>
        <v/>
      </c>
      <c r="F1439">
        <f>IFERROR(--INDEX('Term investments'!$F:$F,ROW()),0)</f>
        <v/>
      </c>
      <c r="G1439">
        <f>IFERROR(IF(--INDEX('Term investments'!$G:$G,ROW())&gt;=1,--INDEX('Term investments'!$G:$G,ROW())/100,--INDEX('Term investments'!$G:$G,ROW())),0)</f>
        <v/>
      </c>
      <c r="H1439">
        <f>IFERROR(--INDEX('Term investments'!$H:$H,ROW()),0)</f>
        <v/>
      </c>
      <c r="I1439">
        <f>IF(ISNUMBER(INDEX('Term investments'!$G:$G,ROW())),1,0)</f>
        <v/>
      </c>
      <c r="J1439">
        <f>TRIM(SUBSTITUTE(INDEX('Call accounts and MMFs'!$A:$A,ROW())&amp;""," "," "))</f>
        <v/>
      </c>
      <c r="K1439">
        <f>TRIM(SUBSTITUTE(INDEX('Call accounts and MMFs'!$B:$B,ROW())&amp;""," "," "))</f>
        <v/>
      </c>
      <c r="L1439">
        <f>TRIM(SUBSTITUTE(INDEX('Call accounts and MMFs'!$C:$C,ROW())&amp;""," "," "))</f>
        <v/>
      </c>
      <c r="M1439">
        <f>IFERROR(--INDEX('Call accounts and MMFs'!$D:$D,ROW()),0)</f>
        <v/>
      </c>
      <c r="N1439">
        <f>IFERROR(IF(--INDEX('Call accounts and MMFs'!$E:$E,ROW())&gt;=1,--INDEX('Call accounts and MMFs'!$E:$E,ROW())/100,--INDEX('Call accounts and MMFs'!$E:$E,ROW())),0)</f>
        <v/>
      </c>
      <c r="O1439">
        <f>IFERROR(--INDEX('Call accounts and MMFs'!$F:$F,ROW()),0)</f>
        <v/>
      </c>
      <c r="P1439">
        <f>IF(ISNUMBER(INDEX('Call accounts and MMFs'!$E:$E,ROW())),1,0)</f>
        <v/>
      </c>
      <c r="Q1439">
        <f>TRIM(SUBSTITUTE(INDEX('Pooled funds'!$B:$B,ROW())&amp;""," "," "))</f>
        <v/>
      </c>
      <c r="R1439">
        <f>IFERROR(--INDEX('Pooled funds'!$C:$C,ROW()),0)</f>
        <v/>
      </c>
      <c r="S1439">
        <f>IFERROR(--INDEX('Pooled funds'!$D:$D,ROW()),0)</f>
        <v/>
      </c>
      <c r="T1439">
        <f>IFERROR(IF(--INDEX('Pooled funds'!$E:$E,ROW())&gt;=1,--INDEX('Pooled funds'!$E:$E,ROW())/100,--INDEX('Pooled funds'!$E:$E,ROW())),0)</f>
        <v/>
      </c>
      <c r="U1439">
        <f>IF(ISNUMBER(INDEX('Pooled funds'!$E:$E,ROW())),1,0)</f>
        <v/>
      </c>
    </row>
    <row r="1440">
      <c r="A1440">
        <f>TRIM(SUBSTITUTE(INDEX('Term investments'!$A:$A,ROW())&amp;""," "," "))</f>
        <v/>
      </c>
      <c r="B1440">
        <f>TRIM(SUBSTITUTE(INDEX('Term investments'!$B:$B,ROW())&amp;""," "," "))</f>
        <v/>
      </c>
      <c r="C1440">
        <f>TRIM(SUBSTITUTE(INDEX('Term investments'!$C:$C,ROW())&amp;""," "," "))</f>
        <v/>
      </c>
      <c r="D1440">
        <f>IFERROR(--INDEX('Term investments'!$D:$D,ROW()),0)</f>
        <v/>
      </c>
      <c r="E1440">
        <f>IFERROR(--INDEX('Term investments'!$E:$E,ROW()),0)</f>
        <v/>
      </c>
      <c r="F1440">
        <f>IFERROR(--INDEX('Term investments'!$F:$F,ROW()),0)</f>
        <v/>
      </c>
      <c r="G1440">
        <f>IFERROR(IF(--INDEX('Term investments'!$G:$G,ROW())&gt;=1,--INDEX('Term investments'!$G:$G,ROW())/100,--INDEX('Term investments'!$G:$G,ROW())),0)</f>
        <v/>
      </c>
      <c r="H1440">
        <f>IFERROR(--INDEX('Term investments'!$H:$H,ROW()),0)</f>
        <v/>
      </c>
      <c r="I1440">
        <f>IF(ISNUMBER(INDEX('Term investments'!$G:$G,ROW())),1,0)</f>
        <v/>
      </c>
      <c r="J1440">
        <f>TRIM(SUBSTITUTE(INDEX('Call accounts and MMFs'!$A:$A,ROW())&amp;""," "," "))</f>
        <v/>
      </c>
      <c r="K1440">
        <f>TRIM(SUBSTITUTE(INDEX('Call accounts and MMFs'!$B:$B,ROW())&amp;""," "," "))</f>
        <v/>
      </c>
      <c r="L1440">
        <f>TRIM(SUBSTITUTE(INDEX('Call accounts and MMFs'!$C:$C,ROW())&amp;""," "," "))</f>
        <v/>
      </c>
      <c r="M1440">
        <f>IFERROR(--INDEX('Call accounts and MMFs'!$D:$D,ROW()),0)</f>
        <v/>
      </c>
      <c r="N1440">
        <f>IFERROR(IF(--INDEX('Call accounts and MMFs'!$E:$E,ROW())&gt;=1,--INDEX('Call accounts and MMFs'!$E:$E,ROW())/100,--INDEX('Call accounts and MMFs'!$E:$E,ROW())),0)</f>
        <v/>
      </c>
      <c r="O1440">
        <f>IFERROR(--INDEX('Call accounts and MMFs'!$F:$F,ROW()),0)</f>
        <v/>
      </c>
      <c r="P1440">
        <f>IF(ISNUMBER(INDEX('Call accounts and MMFs'!$E:$E,ROW())),1,0)</f>
        <v/>
      </c>
      <c r="Q1440">
        <f>TRIM(SUBSTITUTE(INDEX('Pooled funds'!$B:$B,ROW())&amp;""," "," "))</f>
        <v/>
      </c>
      <c r="R1440">
        <f>IFERROR(--INDEX('Pooled funds'!$C:$C,ROW()),0)</f>
        <v/>
      </c>
      <c r="S1440">
        <f>IFERROR(--INDEX('Pooled funds'!$D:$D,ROW()),0)</f>
        <v/>
      </c>
      <c r="T1440">
        <f>IFERROR(IF(--INDEX('Pooled funds'!$E:$E,ROW())&gt;=1,--INDEX('Pooled funds'!$E:$E,ROW())/100,--INDEX('Pooled funds'!$E:$E,ROW())),0)</f>
        <v/>
      </c>
      <c r="U1440">
        <f>IF(ISNUMBER(INDEX('Pooled funds'!$E:$E,ROW())),1,0)</f>
        <v/>
      </c>
    </row>
    <row r="1441">
      <c r="A1441">
        <f>TRIM(SUBSTITUTE(INDEX('Term investments'!$A:$A,ROW())&amp;""," "," "))</f>
        <v/>
      </c>
      <c r="B1441">
        <f>TRIM(SUBSTITUTE(INDEX('Term investments'!$B:$B,ROW())&amp;""," "," "))</f>
        <v/>
      </c>
      <c r="C1441">
        <f>TRIM(SUBSTITUTE(INDEX('Term investments'!$C:$C,ROW())&amp;""," "," "))</f>
        <v/>
      </c>
      <c r="D1441">
        <f>IFERROR(--INDEX('Term investments'!$D:$D,ROW()),0)</f>
        <v/>
      </c>
      <c r="E1441">
        <f>IFERROR(--INDEX('Term investments'!$E:$E,ROW()),0)</f>
        <v/>
      </c>
      <c r="F1441">
        <f>IFERROR(--INDEX('Term investments'!$F:$F,ROW()),0)</f>
        <v/>
      </c>
      <c r="G1441">
        <f>IFERROR(IF(--INDEX('Term investments'!$G:$G,ROW())&gt;=1,--INDEX('Term investments'!$G:$G,ROW())/100,--INDEX('Term investments'!$G:$G,ROW())),0)</f>
        <v/>
      </c>
      <c r="H1441">
        <f>IFERROR(--INDEX('Term investments'!$H:$H,ROW()),0)</f>
        <v/>
      </c>
      <c r="I1441">
        <f>IF(ISNUMBER(INDEX('Term investments'!$G:$G,ROW())),1,0)</f>
        <v/>
      </c>
      <c r="J1441">
        <f>TRIM(SUBSTITUTE(INDEX('Call accounts and MMFs'!$A:$A,ROW())&amp;""," "," "))</f>
        <v/>
      </c>
      <c r="K1441">
        <f>TRIM(SUBSTITUTE(INDEX('Call accounts and MMFs'!$B:$B,ROW())&amp;""," "," "))</f>
        <v/>
      </c>
      <c r="L1441">
        <f>TRIM(SUBSTITUTE(INDEX('Call accounts and MMFs'!$C:$C,ROW())&amp;""," "," "))</f>
        <v/>
      </c>
      <c r="M1441">
        <f>IFERROR(--INDEX('Call accounts and MMFs'!$D:$D,ROW()),0)</f>
        <v/>
      </c>
      <c r="N1441">
        <f>IFERROR(IF(--INDEX('Call accounts and MMFs'!$E:$E,ROW())&gt;=1,--INDEX('Call accounts and MMFs'!$E:$E,ROW())/100,--INDEX('Call accounts and MMFs'!$E:$E,ROW())),0)</f>
        <v/>
      </c>
      <c r="O1441">
        <f>IFERROR(--INDEX('Call accounts and MMFs'!$F:$F,ROW()),0)</f>
        <v/>
      </c>
      <c r="P1441">
        <f>IF(ISNUMBER(INDEX('Call accounts and MMFs'!$E:$E,ROW())),1,0)</f>
        <v/>
      </c>
      <c r="Q1441">
        <f>TRIM(SUBSTITUTE(INDEX('Pooled funds'!$B:$B,ROW())&amp;""," "," "))</f>
        <v/>
      </c>
      <c r="R1441">
        <f>IFERROR(--INDEX('Pooled funds'!$C:$C,ROW()),0)</f>
        <v/>
      </c>
      <c r="S1441">
        <f>IFERROR(--INDEX('Pooled funds'!$D:$D,ROW()),0)</f>
        <v/>
      </c>
      <c r="T1441">
        <f>IFERROR(IF(--INDEX('Pooled funds'!$E:$E,ROW())&gt;=1,--INDEX('Pooled funds'!$E:$E,ROW())/100,--INDEX('Pooled funds'!$E:$E,ROW())),0)</f>
        <v/>
      </c>
      <c r="U1441">
        <f>IF(ISNUMBER(INDEX('Pooled funds'!$E:$E,ROW())),1,0)</f>
        <v/>
      </c>
    </row>
    <row r="1442">
      <c r="A1442">
        <f>TRIM(SUBSTITUTE(INDEX('Term investments'!$A:$A,ROW())&amp;""," "," "))</f>
        <v/>
      </c>
      <c r="B1442">
        <f>TRIM(SUBSTITUTE(INDEX('Term investments'!$B:$B,ROW())&amp;""," "," "))</f>
        <v/>
      </c>
      <c r="C1442">
        <f>TRIM(SUBSTITUTE(INDEX('Term investments'!$C:$C,ROW())&amp;""," "," "))</f>
        <v/>
      </c>
      <c r="D1442">
        <f>IFERROR(--INDEX('Term investments'!$D:$D,ROW()),0)</f>
        <v/>
      </c>
      <c r="E1442">
        <f>IFERROR(--INDEX('Term investments'!$E:$E,ROW()),0)</f>
        <v/>
      </c>
      <c r="F1442">
        <f>IFERROR(--INDEX('Term investments'!$F:$F,ROW()),0)</f>
        <v/>
      </c>
      <c r="G1442">
        <f>IFERROR(IF(--INDEX('Term investments'!$G:$G,ROW())&gt;=1,--INDEX('Term investments'!$G:$G,ROW())/100,--INDEX('Term investments'!$G:$G,ROW())),0)</f>
        <v/>
      </c>
      <c r="H1442">
        <f>IFERROR(--INDEX('Term investments'!$H:$H,ROW()),0)</f>
        <v/>
      </c>
      <c r="I1442">
        <f>IF(ISNUMBER(INDEX('Term investments'!$G:$G,ROW())),1,0)</f>
        <v/>
      </c>
      <c r="J1442">
        <f>TRIM(SUBSTITUTE(INDEX('Call accounts and MMFs'!$A:$A,ROW())&amp;""," "," "))</f>
        <v/>
      </c>
      <c r="K1442">
        <f>TRIM(SUBSTITUTE(INDEX('Call accounts and MMFs'!$B:$B,ROW())&amp;""," "," "))</f>
        <v/>
      </c>
      <c r="L1442">
        <f>TRIM(SUBSTITUTE(INDEX('Call accounts and MMFs'!$C:$C,ROW())&amp;""," "," "))</f>
        <v/>
      </c>
      <c r="M1442">
        <f>IFERROR(--INDEX('Call accounts and MMFs'!$D:$D,ROW()),0)</f>
        <v/>
      </c>
      <c r="N1442">
        <f>IFERROR(IF(--INDEX('Call accounts and MMFs'!$E:$E,ROW())&gt;=1,--INDEX('Call accounts and MMFs'!$E:$E,ROW())/100,--INDEX('Call accounts and MMFs'!$E:$E,ROW())),0)</f>
        <v/>
      </c>
      <c r="O1442">
        <f>IFERROR(--INDEX('Call accounts and MMFs'!$F:$F,ROW()),0)</f>
        <v/>
      </c>
      <c r="P1442">
        <f>IF(ISNUMBER(INDEX('Call accounts and MMFs'!$E:$E,ROW())),1,0)</f>
        <v/>
      </c>
      <c r="Q1442">
        <f>TRIM(SUBSTITUTE(INDEX('Pooled funds'!$B:$B,ROW())&amp;""," "," "))</f>
        <v/>
      </c>
      <c r="R1442">
        <f>IFERROR(--INDEX('Pooled funds'!$C:$C,ROW()),0)</f>
        <v/>
      </c>
      <c r="S1442">
        <f>IFERROR(--INDEX('Pooled funds'!$D:$D,ROW()),0)</f>
        <v/>
      </c>
      <c r="T1442">
        <f>IFERROR(IF(--INDEX('Pooled funds'!$E:$E,ROW())&gt;=1,--INDEX('Pooled funds'!$E:$E,ROW())/100,--INDEX('Pooled funds'!$E:$E,ROW())),0)</f>
        <v/>
      </c>
      <c r="U1442">
        <f>IF(ISNUMBER(INDEX('Pooled funds'!$E:$E,ROW())),1,0)</f>
        <v/>
      </c>
    </row>
    <row r="1443">
      <c r="A1443">
        <f>TRIM(SUBSTITUTE(INDEX('Term investments'!$A:$A,ROW())&amp;""," "," "))</f>
        <v/>
      </c>
      <c r="B1443">
        <f>TRIM(SUBSTITUTE(INDEX('Term investments'!$B:$B,ROW())&amp;""," "," "))</f>
        <v/>
      </c>
      <c r="C1443">
        <f>TRIM(SUBSTITUTE(INDEX('Term investments'!$C:$C,ROW())&amp;""," "," "))</f>
        <v/>
      </c>
      <c r="D1443">
        <f>IFERROR(--INDEX('Term investments'!$D:$D,ROW()),0)</f>
        <v/>
      </c>
      <c r="E1443">
        <f>IFERROR(--INDEX('Term investments'!$E:$E,ROW()),0)</f>
        <v/>
      </c>
      <c r="F1443">
        <f>IFERROR(--INDEX('Term investments'!$F:$F,ROW()),0)</f>
        <v/>
      </c>
      <c r="G1443">
        <f>IFERROR(IF(--INDEX('Term investments'!$G:$G,ROW())&gt;=1,--INDEX('Term investments'!$G:$G,ROW())/100,--INDEX('Term investments'!$G:$G,ROW())),0)</f>
        <v/>
      </c>
      <c r="H1443">
        <f>IFERROR(--INDEX('Term investments'!$H:$H,ROW()),0)</f>
        <v/>
      </c>
      <c r="I1443">
        <f>IF(ISNUMBER(INDEX('Term investments'!$G:$G,ROW())),1,0)</f>
        <v/>
      </c>
      <c r="J1443">
        <f>TRIM(SUBSTITUTE(INDEX('Call accounts and MMFs'!$A:$A,ROW())&amp;""," "," "))</f>
        <v/>
      </c>
      <c r="K1443">
        <f>TRIM(SUBSTITUTE(INDEX('Call accounts and MMFs'!$B:$B,ROW())&amp;""," "," "))</f>
        <v/>
      </c>
      <c r="L1443">
        <f>TRIM(SUBSTITUTE(INDEX('Call accounts and MMFs'!$C:$C,ROW())&amp;""," "," "))</f>
        <v/>
      </c>
      <c r="M1443">
        <f>IFERROR(--INDEX('Call accounts and MMFs'!$D:$D,ROW()),0)</f>
        <v/>
      </c>
      <c r="N1443">
        <f>IFERROR(IF(--INDEX('Call accounts and MMFs'!$E:$E,ROW())&gt;=1,--INDEX('Call accounts and MMFs'!$E:$E,ROW())/100,--INDEX('Call accounts and MMFs'!$E:$E,ROW())),0)</f>
        <v/>
      </c>
      <c r="O1443">
        <f>IFERROR(--INDEX('Call accounts and MMFs'!$F:$F,ROW()),0)</f>
        <v/>
      </c>
      <c r="P1443">
        <f>IF(ISNUMBER(INDEX('Call accounts and MMFs'!$E:$E,ROW())),1,0)</f>
        <v/>
      </c>
      <c r="Q1443">
        <f>TRIM(SUBSTITUTE(INDEX('Pooled funds'!$B:$B,ROW())&amp;""," "," "))</f>
        <v/>
      </c>
      <c r="R1443">
        <f>IFERROR(--INDEX('Pooled funds'!$C:$C,ROW()),0)</f>
        <v/>
      </c>
      <c r="S1443">
        <f>IFERROR(--INDEX('Pooled funds'!$D:$D,ROW()),0)</f>
        <v/>
      </c>
      <c r="T1443">
        <f>IFERROR(IF(--INDEX('Pooled funds'!$E:$E,ROW())&gt;=1,--INDEX('Pooled funds'!$E:$E,ROW())/100,--INDEX('Pooled funds'!$E:$E,ROW())),0)</f>
        <v/>
      </c>
      <c r="U1443">
        <f>IF(ISNUMBER(INDEX('Pooled funds'!$E:$E,ROW())),1,0)</f>
        <v/>
      </c>
    </row>
    <row r="1444">
      <c r="A1444">
        <f>TRIM(SUBSTITUTE(INDEX('Term investments'!$A:$A,ROW())&amp;""," "," "))</f>
        <v/>
      </c>
      <c r="B1444">
        <f>TRIM(SUBSTITUTE(INDEX('Term investments'!$B:$B,ROW())&amp;""," "," "))</f>
        <v/>
      </c>
      <c r="C1444">
        <f>TRIM(SUBSTITUTE(INDEX('Term investments'!$C:$C,ROW())&amp;""," "," "))</f>
        <v/>
      </c>
      <c r="D1444">
        <f>IFERROR(--INDEX('Term investments'!$D:$D,ROW()),0)</f>
        <v/>
      </c>
      <c r="E1444">
        <f>IFERROR(--INDEX('Term investments'!$E:$E,ROW()),0)</f>
        <v/>
      </c>
      <c r="F1444">
        <f>IFERROR(--INDEX('Term investments'!$F:$F,ROW()),0)</f>
        <v/>
      </c>
      <c r="G1444">
        <f>IFERROR(IF(--INDEX('Term investments'!$G:$G,ROW())&gt;=1,--INDEX('Term investments'!$G:$G,ROW())/100,--INDEX('Term investments'!$G:$G,ROW())),0)</f>
        <v/>
      </c>
      <c r="H1444">
        <f>IFERROR(--INDEX('Term investments'!$H:$H,ROW()),0)</f>
        <v/>
      </c>
      <c r="I1444">
        <f>IF(ISNUMBER(INDEX('Term investments'!$G:$G,ROW())),1,0)</f>
        <v/>
      </c>
      <c r="J1444">
        <f>TRIM(SUBSTITUTE(INDEX('Call accounts and MMFs'!$A:$A,ROW())&amp;""," "," "))</f>
        <v/>
      </c>
      <c r="K1444">
        <f>TRIM(SUBSTITUTE(INDEX('Call accounts and MMFs'!$B:$B,ROW())&amp;""," "," "))</f>
        <v/>
      </c>
      <c r="L1444">
        <f>TRIM(SUBSTITUTE(INDEX('Call accounts and MMFs'!$C:$C,ROW())&amp;""," "," "))</f>
        <v/>
      </c>
      <c r="M1444">
        <f>IFERROR(--INDEX('Call accounts and MMFs'!$D:$D,ROW()),0)</f>
        <v/>
      </c>
      <c r="N1444">
        <f>IFERROR(IF(--INDEX('Call accounts and MMFs'!$E:$E,ROW())&gt;=1,--INDEX('Call accounts and MMFs'!$E:$E,ROW())/100,--INDEX('Call accounts and MMFs'!$E:$E,ROW())),0)</f>
        <v/>
      </c>
      <c r="O1444">
        <f>IFERROR(--INDEX('Call accounts and MMFs'!$F:$F,ROW()),0)</f>
        <v/>
      </c>
      <c r="P1444">
        <f>IF(ISNUMBER(INDEX('Call accounts and MMFs'!$E:$E,ROW())),1,0)</f>
        <v/>
      </c>
      <c r="Q1444">
        <f>TRIM(SUBSTITUTE(INDEX('Pooled funds'!$B:$B,ROW())&amp;""," "," "))</f>
        <v/>
      </c>
      <c r="R1444">
        <f>IFERROR(--INDEX('Pooled funds'!$C:$C,ROW()),0)</f>
        <v/>
      </c>
      <c r="S1444">
        <f>IFERROR(--INDEX('Pooled funds'!$D:$D,ROW()),0)</f>
        <v/>
      </c>
      <c r="T1444">
        <f>IFERROR(IF(--INDEX('Pooled funds'!$E:$E,ROW())&gt;=1,--INDEX('Pooled funds'!$E:$E,ROW())/100,--INDEX('Pooled funds'!$E:$E,ROW())),0)</f>
        <v/>
      </c>
      <c r="U1444">
        <f>IF(ISNUMBER(INDEX('Pooled funds'!$E:$E,ROW())),1,0)</f>
        <v/>
      </c>
    </row>
    <row r="1445">
      <c r="A1445">
        <f>TRIM(SUBSTITUTE(INDEX('Term investments'!$A:$A,ROW())&amp;""," "," "))</f>
        <v/>
      </c>
      <c r="B1445">
        <f>TRIM(SUBSTITUTE(INDEX('Term investments'!$B:$B,ROW())&amp;""," "," "))</f>
        <v/>
      </c>
      <c r="C1445">
        <f>TRIM(SUBSTITUTE(INDEX('Term investments'!$C:$C,ROW())&amp;""," "," "))</f>
        <v/>
      </c>
      <c r="D1445">
        <f>IFERROR(--INDEX('Term investments'!$D:$D,ROW()),0)</f>
        <v/>
      </c>
      <c r="E1445">
        <f>IFERROR(--INDEX('Term investments'!$E:$E,ROW()),0)</f>
        <v/>
      </c>
      <c r="F1445">
        <f>IFERROR(--INDEX('Term investments'!$F:$F,ROW()),0)</f>
        <v/>
      </c>
      <c r="G1445">
        <f>IFERROR(IF(--INDEX('Term investments'!$G:$G,ROW())&gt;=1,--INDEX('Term investments'!$G:$G,ROW())/100,--INDEX('Term investments'!$G:$G,ROW())),0)</f>
        <v/>
      </c>
      <c r="H1445">
        <f>IFERROR(--INDEX('Term investments'!$H:$H,ROW()),0)</f>
        <v/>
      </c>
      <c r="I1445">
        <f>IF(ISNUMBER(INDEX('Term investments'!$G:$G,ROW())),1,0)</f>
        <v/>
      </c>
      <c r="J1445">
        <f>TRIM(SUBSTITUTE(INDEX('Call accounts and MMFs'!$A:$A,ROW())&amp;""," "," "))</f>
        <v/>
      </c>
      <c r="K1445">
        <f>TRIM(SUBSTITUTE(INDEX('Call accounts and MMFs'!$B:$B,ROW())&amp;""," "," "))</f>
        <v/>
      </c>
      <c r="L1445">
        <f>TRIM(SUBSTITUTE(INDEX('Call accounts and MMFs'!$C:$C,ROW())&amp;""," "," "))</f>
        <v/>
      </c>
      <c r="M1445">
        <f>IFERROR(--INDEX('Call accounts and MMFs'!$D:$D,ROW()),0)</f>
        <v/>
      </c>
      <c r="N1445">
        <f>IFERROR(IF(--INDEX('Call accounts and MMFs'!$E:$E,ROW())&gt;=1,--INDEX('Call accounts and MMFs'!$E:$E,ROW())/100,--INDEX('Call accounts and MMFs'!$E:$E,ROW())),0)</f>
        <v/>
      </c>
      <c r="O1445">
        <f>IFERROR(--INDEX('Call accounts and MMFs'!$F:$F,ROW()),0)</f>
        <v/>
      </c>
      <c r="P1445">
        <f>IF(ISNUMBER(INDEX('Call accounts and MMFs'!$E:$E,ROW())),1,0)</f>
        <v/>
      </c>
      <c r="Q1445">
        <f>TRIM(SUBSTITUTE(INDEX('Pooled funds'!$B:$B,ROW())&amp;""," "," "))</f>
        <v/>
      </c>
      <c r="R1445">
        <f>IFERROR(--INDEX('Pooled funds'!$C:$C,ROW()),0)</f>
        <v/>
      </c>
      <c r="S1445">
        <f>IFERROR(--INDEX('Pooled funds'!$D:$D,ROW()),0)</f>
        <v/>
      </c>
      <c r="T1445">
        <f>IFERROR(IF(--INDEX('Pooled funds'!$E:$E,ROW())&gt;=1,--INDEX('Pooled funds'!$E:$E,ROW())/100,--INDEX('Pooled funds'!$E:$E,ROW())),0)</f>
        <v/>
      </c>
      <c r="U1445">
        <f>IF(ISNUMBER(INDEX('Pooled funds'!$E:$E,ROW())),1,0)</f>
        <v/>
      </c>
    </row>
    <row r="1446">
      <c r="A1446">
        <f>TRIM(SUBSTITUTE(INDEX('Term investments'!$A:$A,ROW())&amp;""," "," "))</f>
        <v/>
      </c>
      <c r="B1446">
        <f>TRIM(SUBSTITUTE(INDEX('Term investments'!$B:$B,ROW())&amp;""," "," "))</f>
        <v/>
      </c>
      <c r="C1446">
        <f>TRIM(SUBSTITUTE(INDEX('Term investments'!$C:$C,ROW())&amp;""," "," "))</f>
        <v/>
      </c>
      <c r="D1446">
        <f>IFERROR(--INDEX('Term investments'!$D:$D,ROW()),0)</f>
        <v/>
      </c>
      <c r="E1446">
        <f>IFERROR(--INDEX('Term investments'!$E:$E,ROW()),0)</f>
        <v/>
      </c>
      <c r="F1446">
        <f>IFERROR(--INDEX('Term investments'!$F:$F,ROW()),0)</f>
        <v/>
      </c>
      <c r="G1446">
        <f>IFERROR(IF(--INDEX('Term investments'!$G:$G,ROW())&gt;=1,--INDEX('Term investments'!$G:$G,ROW())/100,--INDEX('Term investments'!$G:$G,ROW())),0)</f>
        <v/>
      </c>
      <c r="H1446">
        <f>IFERROR(--INDEX('Term investments'!$H:$H,ROW()),0)</f>
        <v/>
      </c>
      <c r="I1446">
        <f>IF(ISNUMBER(INDEX('Term investments'!$G:$G,ROW())),1,0)</f>
        <v/>
      </c>
      <c r="J1446">
        <f>TRIM(SUBSTITUTE(INDEX('Call accounts and MMFs'!$A:$A,ROW())&amp;""," "," "))</f>
        <v/>
      </c>
      <c r="K1446">
        <f>TRIM(SUBSTITUTE(INDEX('Call accounts and MMFs'!$B:$B,ROW())&amp;""," "," "))</f>
        <v/>
      </c>
      <c r="L1446">
        <f>TRIM(SUBSTITUTE(INDEX('Call accounts and MMFs'!$C:$C,ROW())&amp;""," "," "))</f>
        <v/>
      </c>
      <c r="M1446">
        <f>IFERROR(--INDEX('Call accounts and MMFs'!$D:$D,ROW()),0)</f>
        <v/>
      </c>
      <c r="N1446">
        <f>IFERROR(IF(--INDEX('Call accounts and MMFs'!$E:$E,ROW())&gt;=1,--INDEX('Call accounts and MMFs'!$E:$E,ROW())/100,--INDEX('Call accounts and MMFs'!$E:$E,ROW())),0)</f>
        <v/>
      </c>
      <c r="O1446">
        <f>IFERROR(--INDEX('Call accounts and MMFs'!$F:$F,ROW()),0)</f>
        <v/>
      </c>
      <c r="P1446">
        <f>IF(ISNUMBER(INDEX('Call accounts and MMFs'!$E:$E,ROW())),1,0)</f>
        <v/>
      </c>
      <c r="Q1446">
        <f>TRIM(SUBSTITUTE(INDEX('Pooled funds'!$B:$B,ROW())&amp;""," "," "))</f>
        <v/>
      </c>
      <c r="R1446">
        <f>IFERROR(--INDEX('Pooled funds'!$C:$C,ROW()),0)</f>
        <v/>
      </c>
      <c r="S1446">
        <f>IFERROR(--INDEX('Pooled funds'!$D:$D,ROW()),0)</f>
        <v/>
      </c>
      <c r="T1446">
        <f>IFERROR(IF(--INDEX('Pooled funds'!$E:$E,ROW())&gt;=1,--INDEX('Pooled funds'!$E:$E,ROW())/100,--INDEX('Pooled funds'!$E:$E,ROW())),0)</f>
        <v/>
      </c>
      <c r="U1446">
        <f>IF(ISNUMBER(INDEX('Pooled funds'!$E:$E,ROW())),1,0)</f>
        <v/>
      </c>
    </row>
    <row r="1447">
      <c r="A1447">
        <f>TRIM(SUBSTITUTE(INDEX('Term investments'!$A:$A,ROW())&amp;""," "," "))</f>
        <v/>
      </c>
      <c r="B1447">
        <f>TRIM(SUBSTITUTE(INDEX('Term investments'!$B:$B,ROW())&amp;""," "," "))</f>
        <v/>
      </c>
      <c r="C1447">
        <f>TRIM(SUBSTITUTE(INDEX('Term investments'!$C:$C,ROW())&amp;""," "," "))</f>
        <v/>
      </c>
      <c r="D1447">
        <f>IFERROR(--INDEX('Term investments'!$D:$D,ROW()),0)</f>
        <v/>
      </c>
      <c r="E1447">
        <f>IFERROR(--INDEX('Term investments'!$E:$E,ROW()),0)</f>
        <v/>
      </c>
      <c r="F1447">
        <f>IFERROR(--INDEX('Term investments'!$F:$F,ROW()),0)</f>
        <v/>
      </c>
      <c r="G1447">
        <f>IFERROR(IF(--INDEX('Term investments'!$G:$G,ROW())&gt;=1,--INDEX('Term investments'!$G:$G,ROW())/100,--INDEX('Term investments'!$G:$G,ROW())),0)</f>
        <v/>
      </c>
      <c r="H1447">
        <f>IFERROR(--INDEX('Term investments'!$H:$H,ROW()),0)</f>
        <v/>
      </c>
      <c r="I1447">
        <f>IF(ISNUMBER(INDEX('Term investments'!$G:$G,ROW())),1,0)</f>
        <v/>
      </c>
      <c r="J1447">
        <f>TRIM(SUBSTITUTE(INDEX('Call accounts and MMFs'!$A:$A,ROW())&amp;""," "," "))</f>
        <v/>
      </c>
      <c r="K1447">
        <f>TRIM(SUBSTITUTE(INDEX('Call accounts and MMFs'!$B:$B,ROW())&amp;""," "," "))</f>
        <v/>
      </c>
      <c r="L1447">
        <f>TRIM(SUBSTITUTE(INDEX('Call accounts and MMFs'!$C:$C,ROW())&amp;""," "," "))</f>
        <v/>
      </c>
      <c r="M1447">
        <f>IFERROR(--INDEX('Call accounts and MMFs'!$D:$D,ROW()),0)</f>
        <v/>
      </c>
      <c r="N1447">
        <f>IFERROR(IF(--INDEX('Call accounts and MMFs'!$E:$E,ROW())&gt;=1,--INDEX('Call accounts and MMFs'!$E:$E,ROW())/100,--INDEX('Call accounts and MMFs'!$E:$E,ROW())),0)</f>
        <v/>
      </c>
      <c r="O1447">
        <f>IFERROR(--INDEX('Call accounts and MMFs'!$F:$F,ROW()),0)</f>
        <v/>
      </c>
      <c r="P1447">
        <f>IF(ISNUMBER(INDEX('Call accounts and MMFs'!$E:$E,ROW())),1,0)</f>
        <v/>
      </c>
      <c r="Q1447">
        <f>TRIM(SUBSTITUTE(INDEX('Pooled funds'!$B:$B,ROW())&amp;""," "," "))</f>
        <v/>
      </c>
      <c r="R1447">
        <f>IFERROR(--INDEX('Pooled funds'!$C:$C,ROW()),0)</f>
        <v/>
      </c>
      <c r="S1447">
        <f>IFERROR(--INDEX('Pooled funds'!$D:$D,ROW()),0)</f>
        <v/>
      </c>
      <c r="T1447">
        <f>IFERROR(IF(--INDEX('Pooled funds'!$E:$E,ROW())&gt;=1,--INDEX('Pooled funds'!$E:$E,ROW())/100,--INDEX('Pooled funds'!$E:$E,ROW())),0)</f>
        <v/>
      </c>
      <c r="U1447">
        <f>IF(ISNUMBER(INDEX('Pooled funds'!$E:$E,ROW())),1,0)</f>
        <v/>
      </c>
    </row>
    <row r="1448">
      <c r="A1448">
        <f>TRIM(SUBSTITUTE(INDEX('Term investments'!$A:$A,ROW())&amp;""," "," "))</f>
        <v/>
      </c>
      <c r="B1448">
        <f>TRIM(SUBSTITUTE(INDEX('Term investments'!$B:$B,ROW())&amp;""," "," "))</f>
        <v/>
      </c>
      <c r="C1448">
        <f>TRIM(SUBSTITUTE(INDEX('Term investments'!$C:$C,ROW())&amp;""," "," "))</f>
        <v/>
      </c>
      <c r="D1448">
        <f>IFERROR(--INDEX('Term investments'!$D:$D,ROW()),0)</f>
        <v/>
      </c>
      <c r="E1448">
        <f>IFERROR(--INDEX('Term investments'!$E:$E,ROW()),0)</f>
        <v/>
      </c>
      <c r="F1448">
        <f>IFERROR(--INDEX('Term investments'!$F:$F,ROW()),0)</f>
        <v/>
      </c>
      <c r="G1448">
        <f>IFERROR(IF(--INDEX('Term investments'!$G:$G,ROW())&gt;=1,--INDEX('Term investments'!$G:$G,ROW())/100,--INDEX('Term investments'!$G:$G,ROW())),0)</f>
        <v/>
      </c>
      <c r="H1448">
        <f>IFERROR(--INDEX('Term investments'!$H:$H,ROW()),0)</f>
        <v/>
      </c>
      <c r="I1448">
        <f>IF(ISNUMBER(INDEX('Term investments'!$G:$G,ROW())),1,0)</f>
        <v/>
      </c>
      <c r="J1448">
        <f>TRIM(SUBSTITUTE(INDEX('Call accounts and MMFs'!$A:$A,ROW())&amp;""," "," "))</f>
        <v/>
      </c>
      <c r="K1448">
        <f>TRIM(SUBSTITUTE(INDEX('Call accounts and MMFs'!$B:$B,ROW())&amp;""," "," "))</f>
        <v/>
      </c>
      <c r="L1448">
        <f>TRIM(SUBSTITUTE(INDEX('Call accounts and MMFs'!$C:$C,ROW())&amp;""," "," "))</f>
        <v/>
      </c>
      <c r="M1448">
        <f>IFERROR(--INDEX('Call accounts and MMFs'!$D:$D,ROW()),0)</f>
        <v/>
      </c>
      <c r="N1448">
        <f>IFERROR(IF(--INDEX('Call accounts and MMFs'!$E:$E,ROW())&gt;=1,--INDEX('Call accounts and MMFs'!$E:$E,ROW())/100,--INDEX('Call accounts and MMFs'!$E:$E,ROW())),0)</f>
        <v/>
      </c>
      <c r="O1448">
        <f>IFERROR(--INDEX('Call accounts and MMFs'!$F:$F,ROW()),0)</f>
        <v/>
      </c>
      <c r="P1448">
        <f>IF(ISNUMBER(INDEX('Call accounts and MMFs'!$E:$E,ROW())),1,0)</f>
        <v/>
      </c>
      <c r="Q1448">
        <f>TRIM(SUBSTITUTE(INDEX('Pooled funds'!$B:$B,ROW())&amp;""," "," "))</f>
        <v/>
      </c>
      <c r="R1448">
        <f>IFERROR(--INDEX('Pooled funds'!$C:$C,ROW()),0)</f>
        <v/>
      </c>
      <c r="S1448">
        <f>IFERROR(--INDEX('Pooled funds'!$D:$D,ROW()),0)</f>
        <v/>
      </c>
      <c r="T1448">
        <f>IFERROR(IF(--INDEX('Pooled funds'!$E:$E,ROW())&gt;=1,--INDEX('Pooled funds'!$E:$E,ROW())/100,--INDEX('Pooled funds'!$E:$E,ROW())),0)</f>
        <v/>
      </c>
      <c r="U1448">
        <f>IF(ISNUMBER(INDEX('Pooled funds'!$E:$E,ROW())),1,0)</f>
        <v/>
      </c>
    </row>
    <row r="1449">
      <c r="A1449">
        <f>TRIM(SUBSTITUTE(INDEX('Term investments'!$A:$A,ROW())&amp;""," "," "))</f>
        <v/>
      </c>
      <c r="B1449">
        <f>TRIM(SUBSTITUTE(INDEX('Term investments'!$B:$B,ROW())&amp;""," "," "))</f>
        <v/>
      </c>
      <c r="C1449">
        <f>TRIM(SUBSTITUTE(INDEX('Term investments'!$C:$C,ROW())&amp;""," "," "))</f>
        <v/>
      </c>
      <c r="D1449">
        <f>IFERROR(--INDEX('Term investments'!$D:$D,ROW()),0)</f>
        <v/>
      </c>
      <c r="E1449">
        <f>IFERROR(--INDEX('Term investments'!$E:$E,ROW()),0)</f>
        <v/>
      </c>
      <c r="F1449">
        <f>IFERROR(--INDEX('Term investments'!$F:$F,ROW()),0)</f>
        <v/>
      </c>
      <c r="G1449">
        <f>IFERROR(IF(--INDEX('Term investments'!$G:$G,ROW())&gt;=1,--INDEX('Term investments'!$G:$G,ROW())/100,--INDEX('Term investments'!$G:$G,ROW())),0)</f>
        <v/>
      </c>
      <c r="H1449">
        <f>IFERROR(--INDEX('Term investments'!$H:$H,ROW()),0)</f>
        <v/>
      </c>
      <c r="I1449">
        <f>IF(ISNUMBER(INDEX('Term investments'!$G:$G,ROW())),1,0)</f>
        <v/>
      </c>
      <c r="J1449">
        <f>TRIM(SUBSTITUTE(INDEX('Call accounts and MMFs'!$A:$A,ROW())&amp;""," "," "))</f>
        <v/>
      </c>
      <c r="K1449">
        <f>TRIM(SUBSTITUTE(INDEX('Call accounts and MMFs'!$B:$B,ROW())&amp;""," "," "))</f>
        <v/>
      </c>
      <c r="L1449">
        <f>TRIM(SUBSTITUTE(INDEX('Call accounts and MMFs'!$C:$C,ROW())&amp;""," "," "))</f>
        <v/>
      </c>
      <c r="M1449">
        <f>IFERROR(--INDEX('Call accounts and MMFs'!$D:$D,ROW()),0)</f>
        <v/>
      </c>
      <c r="N1449">
        <f>IFERROR(IF(--INDEX('Call accounts and MMFs'!$E:$E,ROW())&gt;=1,--INDEX('Call accounts and MMFs'!$E:$E,ROW())/100,--INDEX('Call accounts and MMFs'!$E:$E,ROW())),0)</f>
        <v/>
      </c>
      <c r="O1449">
        <f>IFERROR(--INDEX('Call accounts and MMFs'!$F:$F,ROW()),0)</f>
        <v/>
      </c>
      <c r="P1449">
        <f>IF(ISNUMBER(INDEX('Call accounts and MMFs'!$E:$E,ROW())),1,0)</f>
        <v/>
      </c>
      <c r="Q1449">
        <f>TRIM(SUBSTITUTE(INDEX('Pooled funds'!$B:$B,ROW())&amp;""," "," "))</f>
        <v/>
      </c>
      <c r="R1449">
        <f>IFERROR(--INDEX('Pooled funds'!$C:$C,ROW()),0)</f>
        <v/>
      </c>
      <c r="S1449">
        <f>IFERROR(--INDEX('Pooled funds'!$D:$D,ROW()),0)</f>
        <v/>
      </c>
      <c r="T1449">
        <f>IFERROR(IF(--INDEX('Pooled funds'!$E:$E,ROW())&gt;=1,--INDEX('Pooled funds'!$E:$E,ROW())/100,--INDEX('Pooled funds'!$E:$E,ROW())),0)</f>
        <v/>
      </c>
      <c r="U1449">
        <f>IF(ISNUMBER(INDEX('Pooled funds'!$E:$E,ROW())),1,0)</f>
        <v/>
      </c>
    </row>
    <row r="1450">
      <c r="A1450">
        <f>TRIM(SUBSTITUTE(INDEX('Term investments'!$A:$A,ROW())&amp;""," "," "))</f>
        <v/>
      </c>
      <c r="B1450">
        <f>TRIM(SUBSTITUTE(INDEX('Term investments'!$B:$B,ROW())&amp;""," "," "))</f>
        <v/>
      </c>
      <c r="C1450">
        <f>TRIM(SUBSTITUTE(INDEX('Term investments'!$C:$C,ROW())&amp;""," "," "))</f>
        <v/>
      </c>
      <c r="D1450">
        <f>IFERROR(--INDEX('Term investments'!$D:$D,ROW()),0)</f>
        <v/>
      </c>
      <c r="E1450">
        <f>IFERROR(--INDEX('Term investments'!$E:$E,ROW()),0)</f>
        <v/>
      </c>
      <c r="F1450">
        <f>IFERROR(--INDEX('Term investments'!$F:$F,ROW()),0)</f>
        <v/>
      </c>
      <c r="G1450">
        <f>IFERROR(IF(--INDEX('Term investments'!$G:$G,ROW())&gt;=1,--INDEX('Term investments'!$G:$G,ROW())/100,--INDEX('Term investments'!$G:$G,ROW())),0)</f>
        <v/>
      </c>
      <c r="H1450">
        <f>IFERROR(--INDEX('Term investments'!$H:$H,ROW()),0)</f>
        <v/>
      </c>
      <c r="I1450">
        <f>IF(ISNUMBER(INDEX('Term investments'!$G:$G,ROW())),1,0)</f>
        <v/>
      </c>
      <c r="J1450">
        <f>TRIM(SUBSTITUTE(INDEX('Call accounts and MMFs'!$A:$A,ROW())&amp;""," "," "))</f>
        <v/>
      </c>
      <c r="K1450">
        <f>TRIM(SUBSTITUTE(INDEX('Call accounts and MMFs'!$B:$B,ROW())&amp;""," "," "))</f>
        <v/>
      </c>
      <c r="L1450">
        <f>TRIM(SUBSTITUTE(INDEX('Call accounts and MMFs'!$C:$C,ROW())&amp;""," "," "))</f>
        <v/>
      </c>
      <c r="M1450">
        <f>IFERROR(--INDEX('Call accounts and MMFs'!$D:$D,ROW()),0)</f>
        <v/>
      </c>
      <c r="N1450">
        <f>IFERROR(IF(--INDEX('Call accounts and MMFs'!$E:$E,ROW())&gt;=1,--INDEX('Call accounts and MMFs'!$E:$E,ROW())/100,--INDEX('Call accounts and MMFs'!$E:$E,ROW())),0)</f>
        <v/>
      </c>
      <c r="O1450">
        <f>IFERROR(--INDEX('Call accounts and MMFs'!$F:$F,ROW()),0)</f>
        <v/>
      </c>
      <c r="P1450">
        <f>IF(ISNUMBER(INDEX('Call accounts and MMFs'!$E:$E,ROW())),1,0)</f>
        <v/>
      </c>
      <c r="Q1450">
        <f>TRIM(SUBSTITUTE(INDEX('Pooled funds'!$B:$B,ROW())&amp;""," "," "))</f>
        <v/>
      </c>
      <c r="R1450">
        <f>IFERROR(--INDEX('Pooled funds'!$C:$C,ROW()),0)</f>
        <v/>
      </c>
      <c r="S1450">
        <f>IFERROR(--INDEX('Pooled funds'!$D:$D,ROW()),0)</f>
        <v/>
      </c>
      <c r="T1450">
        <f>IFERROR(IF(--INDEX('Pooled funds'!$E:$E,ROW())&gt;=1,--INDEX('Pooled funds'!$E:$E,ROW())/100,--INDEX('Pooled funds'!$E:$E,ROW())),0)</f>
        <v/>
      </c>
      <c r="U1450">
        <f>IF(ISNUMBER(INDEX('Pooled funds'!$E:$E,ROW())),1,0)</f>
        <v/>
      </c>
    </row>
    <row r="1451">
      <c r="A1451">
        <f>TRIM(SUBSTITUTE(INDEX('Term investments'!$A:$A,ROW())&amp;""," "," "))</f>
        <v/>
      </c>
      <c r="B1451">
        <f>TRIM(SUBSTITUTE(INDEX('Term investments'!$B:$B,ROW())&amp;""," "," "))</f>
        <v/>
      </c>
      <c r="C1451">
        <f>TRIM(SUBSTITUTE(INDEX('Term investments'!$C:$C,ROW())&amp;""," "," "))</f>
        <v/>
      </c>
      <c r="D1451">
        <f>IFERROR(--INDEX('Term investments'!$D:$D,ROW()),0)</f>
        <v/>
      </c>
      <c r="E1451">
        <f>IFERROR(--INDEX('Term investments'!$E:$E,ROW()),0)</f>
        <v/>
      </c>
      <c r="F1451">
        <f>IFERROR(--INDEX('Term investments'!$F:$F,ROW()),0)</f>
        <v/>
      </c>
      <c r="G1451">
        <f>IFERROR(IF(--INDEX('Term investments'!$G:$G,ROW())&gt;=1,--INDEX('Term investments'!$G:$G,ROW())/100,--INDEX('Term investments'!$G:$G,ROW())),0)</f>
        <v/>
      </c>
      <c r="H1451">
        <f>IFERROR(--INDEX('Term investments'!$H:$H,ROW()),0)</f>
        <v/>
      </c>
      <c r="I1451">
        <f>IF(ISNUMBER(INDEX('Term investments'!$G:$G,ROW())),1,0)</f>
        <v/>
      </c>
      <c r="J1451">
        <f>TRIM(SUBSTITUTE(INDEX('Call accounts and MMFs'!$A:$A,ROW())&amp;""," "," "))</f>
        <v/>
      </c>
      <c r="K1451">
        <f>TRIM(SUBSTITUTE(INDEX('Call accounts and MMFs'!$B:$B,ROW())&amp;""," "," "))</f>
        <v/>
      </c>
      <c r="L1451">
        <f>TRIM(SUBSTITUTE(INDEX('Call accounts and MMFs'!$C:$C,ROW())&amp;""," "," "))</f>
        <v/>
      </c>
      <c r="M1451">
        <f>IFERROR(--INDEX('Call accounts and MMFs'!$D:$D,ROW()),0)</f>
        <v/>
      </c>
      <c r="N1451">
        <f>IFERROR(IF(--INDEX('Call accounts and MMFs'!$E:$E,ROW())&gt;=1,--INDEX('Call accounts and MMFs'!$E:$E,ROW())/100,--INDEX('Call accounts and MMFs'!$E:$E,ROW())),0)</f>
        <v/>
      </c>
      <c r="O1451">
        <f>IFERROR(--INDEX('Call accounts and MMFs'!$F:$F,ROW()),0)</f>
        <v/>
      </c>
      <c r="P1451">
        <f>IF(ISNUMBER(INDEX('Call accounts and MMFs'!$E:$E,ROW())),1,0)</f>
        <v/>
      </c>
      <c r="Q1451">
        <f>TRIM(SUBSTITUTE(INDEX('Pooled funds'!$B:$B,ROW())&amp;""," "," "))</f>
        <v/>
      </c>
      <c r="R1451">
        <f>IFERROR(--INDEX('Pooled funds'!$C:$C,ROW()),0)</f>
        <v/>
      </c>
      <c r="S1451">
        <f>IFERROR(--INDEX('Pooled funds'!$D:$D,ROW()),0)</f>
        <v/>
      </c>
      <c r="T1451">
        <f>IFERROR(IF(--INDEX('Pooled funds'!$E:$E,ROW())&gt;=1,--INDEX('Pooled funds'!$E:$E,ROW())/100,--INDEX('Pooled funds'!$E:$E,ROW())),0)</f>
        <v/>
      </c>
      <c r="U1451">
        <f>IF(ISNUMBER(INDEX('Pooled funds'!$E:$E,ROW())),1,0)</f>
        <v/>
      </c>
    </row>
    <row r="1452">
      <c r="A1452">
        <f>TRIM(SUBSTITUTE(INDEX('Term investments'!$A:$A,ROW())&amp;""," "," "))</f>
        <v/>
      </c>
      <c r="B1452">
        <f>TRIM(SUBSTITUTE(INDEX('Term investments'!$B:$B,ROW())&amp;""," "," "))</f>
        <v/>
      </c>
      <c r="C1452">
        <f>TRIM(SUBSTITUTE(INDEX('Term investments'!$C:$C,ROW())&amp;""," "," "))</f>
        <v/>
      </c>
      <c r="D1452">
        <f>IFERROR(--INDEX('Term investments'!$D:$D,ROW()),0)</f>
        <v/>
      </c>
      <c r="E1452">
        <f>IFERROR(--INDEX('Term investments'!$E:$E,ROW()),0)</f>
        <v/>
      </c>
      <c r="F1452">
        <f>IFERROR(--INDEX('Term investments'!$F:$F,ROW()),0)</f>
        <v/>
      </c>
      <c r="G1452">
        <f>IFERROR(IF(--INDEX('Term investments'!$G:$G,ROW())&gt;=1,--INDEX('Term investments'!$G:$G,ROW())/100,--INDEX('Term investments'!$G:$G,ROW())),0)</f>
        <v/>
      </c>
      <c r="H1452">
        <f>IFERROR(--INDEX('Term investments'!$H:$H,ROW()),0)</f>
        <v/>
      </c>
      <c r="I1452">
        <f>IF(ISNUMBER(INDEX('Term investments'!$G:$G,ROW())),1,0)</f>
        <v/>
      </c>
      <c r="J1452">
        <f>TRIM(SUBSTITUTE(INDEX('Call accounts and MMFs'!$A:$A,ROW())&amp;""," "," "))</f>
        <v/>
      </c>
      <c r="K1452">
        <f>TRIM(SUBSTITUTE(INDEX('Call accounts and MMFs'!$B:$B,ROW())&amp;""," "," "))</f>
        <v/>
      </c>
      <c r="L1452">
        <f>TRIM(SUBSTITUTE(INDEX('Call accounts and MMFs'!$C:$C,ROW())&amp;""," "," "))</f>
        <v/>
      </c>
      <c r="M1452">
        <f>IFERROR(--INDEX('Call accounts and MMFs'!$D:$D,ROW()),0)</f>
        <v/>
      </c>
      <c r="N1452">
        <f>IFERROR(IF(--INDEX('Call accounts and MMFs'!$E:$E,ROW())&gt;=1,--INDEX('Call accounts and MMFs'!$E:$E,ROW())/100,--INDEX('Call accounts and MMFs'!$E:$E,ROW())),0)</f>
        <v/>
      </c>
      <c r="O1452">
        <f>IFERROR(--INDEX('Call accounts and MMFs'!$F:$F,ROW()),0)</f>
        <v/>
      </c>
      <c r="P1452">
        <f>IF(ISNUMBER(INDEX('Call accounts and MMFs'!$E:$E,ROW())),1,0)</f>
        <v/>
      </c>
      <c r="Q1452">
        <f>TRIM(SUBSTITUTE(INDEX('Pooled funds'!$B:$B,ROW())&amp;""," "," "))</f>
        <v/>
      </c>
      <c r="R1452">
        <f>IFERROR(--INDEX('Pooled funds'!$C:$C,ROW()),0)</f>
        <v/>
      </c>
      <c r="S1452">
        <f>IFERROR(--INDEX('Pooled funds'!$D:$D,ROW()),0)</f>
        <v/>
      </c>
      <c r="T1452">
        <f>IFERROR(IF(--INDEX('Pooled funds'!$E:$E,ROW())&gt;=1,--INDEX('Pooled funds'!$E:$E,ROW())/100,--INDEX('Pooled funds'!$E:$E,ROW())),0)</f>
        <v/>
      </c>
      <c r="U1452">
        <f>IF(ISNUMBER(INDEX('Pooled funds'!$E:$E,ROW())),1,0)</f>
        <v/>
      </c>
    </row>
    <row r="1453">
      <c r="A1453">
        <f>TRIM(SUBSTITUTE(INDEX('Term investments'!$A:$A,ROW())&amp;""," "," "))</f>
        <v/>
      </c>
      <c r="B1453">
        <f>TRIM(SUBSTITUTE(INDEX('Term investments'!$B:$B,ROW())&amp;""," "," "))</f>
        <v/>
      </c>
      <c r="C1453">
        <f>TRIM(SUBSTITUTE(INDEX('Term investments'!$C:$C,ROW())&amp;""," "," "))</f>
        <v/>
      </c>
      <c r="D1453">
        <f>IFERROR(--INDEX('Term investments'!$D:$D,ROW()),0)</f>
        <v/>
      </c>
      <c r="E1453">
        <f>IFERROR(--INDEX('Term investments'!$E:$E,ROW()),0)</f>
        <v/>
      </c>
      <c r="F1453">
        <f>IFERROR(--INDEX('Term investments'!$F:$F,ROW()),0)</f>
        <v/>
      </c>
      <c r="G1453">
        <f>IFERROR(IF(--INDEX('Term investments'!$G:$G,ROW())&gt;=1,--INDEX('Term investments'!$G:$G,ROW())/100,--INDEX('Term investments'!$G:$G,ROW())),0)</f>
        <v/>
      </c>
      <c r="H1453">
        <f>IFERROR(--INDEX('Term investments'!$H:$H,ROW()),0)</f>
        <v/>
      </c>
      <c r="I1453">
        <f>IF(ISNUMBER(INDEX('Term investments'!$G:$G,ROW())),1,0)</f>
        <v/>
      </c>
      <c r="J1453">
        <f>TRIM(SUBSTITUTE(INDEX('Call accounts and MMFs'!$A:$A,ROW())&amp;""," "," "))</f>
        <v/>
      </c>
      <c r="K1453">
        <f>TRIM(SUBSTITUTE(INDEX('Call accounts and MMFs'!$B:$B,ROW())&amp;""," "," "))</f>
        <v/>
      </c>
      <c r="L1453">
        <f>TRIM(SUBSTITUTE(INDEX('Call accounts and MMFs'!$C:$C,ROW())&amp;""," "," "))</f>
        <v/>
      </c>
      <c r="M1453">
        <f>IFERROR(--INDEX('Call accounts and MMFs'!$D:$D,ROW()),0)</f>
        <v/>
      </c>
      <c r="N1453">
        <f>IFERROR(IF(--INDEX('Call accounts and MMFs'!$E:$E,ROW())&gt;=1,--INDEX('Call accounts and MMFs'!$E:$E,ROW())/100,--INDEX('Call accounts and MMFs'!$E:$E,ROW())),0)</f>
        <v/>
      </c>
      <c r="O1453">
        <f>IFERROR(--INDEX('Call accounts and MMFs'!$F:$F,ROW()),0)</f>
        <v/>
      </c>
      <c r="P1453">
        <f>IF(ISNUMBER(INDEX('Call accounts and MMFs'!$E:$E,ROW())),1,0)</f>
        <v/>
      </c>
      <c r="Q1453">
        <f>TRIM(SUBSTITUTE(INDEX('Pooled funds'!$B:$B,ROW())&amp;""," "," "))</f>
        <v/>
      </c>
      <c r="R1453">
        <f>IFERROR(--INDEX('Pooled funds'!$C:$C,ROW()),0)</f>
        <v/>
      </c>
      <c r="S1453">
        <f>IFERROR(--INDEX('Pooled funds'!$D:$D,ROW()),0)</f>
        <v/>
      </c>
      <c r="T1453">
        <f>IFERROR(IF(--INDEX('Pooled funds'!$E:$E,ROW())&gt;=1,--INDEX('Pooled funds'!$E:$E,ROW())/100,--INDEX('Pooled funds'!$E:$E,ROW())),0)</f>
        <v/>
      </c>
      <c r="U1453">
        <f>IF(ISNUMBER(INDEX('Pooled funds'!$E:$E,ROW())),1,0)</f>
        <v/>
      </c>
    </row>
    <row r="1454">
      <c r="A1454">
        <f>TRIM(SUBSTITUTE(INDEX('Term investments'!$A:$A,ROW())&amp;""," "," "))</f>
        <v/>
      </c>
      <c r="B1454">
        <f>TRIM(SUBSTITUTE(INDEX('Term investments'!$B:$B,ROW())&amp;""," "," "))</f>
        <v/>
      </c>
      <c r="C1454">
        <f>TRIM(SUBSTITUTE(INDEX('Term investments'!$C:$C,ROW())&amp;""," "," "))</f>
        <v/>
      </c>
      <c r="D1454">
        <f>IFERROR(--INDEX('Term investments'!$D:$D,ROW()),0)</f>
        <v/>
      </c>
      <c r="E1454">
        <f>IFERROR(--INDEX('Term investments'!$E:$E,ROW()),0)</f>
        <v/>
      </c>
      <c r="F1454">
        <f>IFERROR(--INDEX('Term investments'!$F:$F,ROW()),0)</f>
        <v/>
      </c>
      <c r="G1454">
        <f>IFERROR(IF(--INDEX('Term investments'!$G:$G,ROW())&gt;=1,--INDEX('Term investments'!$G:$G,ROW())/100,--INDEX('Term investments'!$G:$G,ROW())),0)</f>
        <v/>
      </c>
      <c r="H1454">
        <f>IFERROR(--INDEX('Term investments'!$H:$H,ROW()),0)</f>
        <v/>
      </c>
      <c r="I1454">
        <f>IF(ISNUMBER(INDEX('Term investments'!$G:$G,ROW())),1,0)</f>
        <v/>
      </c>
      <c r="J1454">
        <f>TRIM(SUBSTITUTE(INDEX('Call accounts and MMFs'!$A:$A,ROW())&amp;""," "," "))</f>
        <v/>
      </c>
      <c r="K1454">
        <f>TRIM(SUBSTITUTE(INDEX('Call accounts and MMFs'!$B:$B,ROW())&amp;""," "," "))</f>
        <v/>
      </c>
      <c r="L1454">
        <f>TRIM(SUBSTITUTE(INDEX('Call accounts and MMFs'!$C:$C,ROW())&amp;""," "," "))</f>
        <v/>
      </c>
      <c r="M1454">
        <f>IFERROR(--INDEX('Call accounts and MMFs'!$D:$D,ROW()),0)</f>
        <v/>
      </c>
      <c r="N1454">
        <f>IFERROR(IF(--INDEX('Call accounts and MMFs'!$E:$E,ROW())&gt;=1,--INDEX('Call accounts and MMFs'!$E:$E,ROW())/100,--INDEX('Call accounts and MMFs'!$E:$E,ROW())),0)</f>
        <v/>
      </c>
      <c r="O1454">
        <f>IFERROR(--INDEX('Call accounts and MMFs'!$F:$F,ROW()),0)</f>
        <v/>
      </c>
      <c r="P1454">
        <f>IF(ISNUMBER(INDEX('Call accounts and MMFs'!$E:$E,ROW())),1,0)</f>
        <v/>
      </c>
      <c r="Q1454">
        <f>TRIM(SUBSTITUTE(INDEX('Pooled funds'!$B:$B,ROW())&amp;""," "," "))</f>
        <v/>
      </c>
      <c r="R1454">
        <f>IFERROR(--INDEX('Pooled funds'!$C:$C,ROW()),0)</f>
        <v/>
      </c>
      <c r="S1454">
        <f>IFERROR(--INDEX('Pooled funds'!$D:$D,ROW()),0)</f>
        <v/>
      </c>
      <c r="T1454">
        <f>IFERROR(IF(--INDEX('Pooled funds'!$E:$E,ROW())&gt;=1,--INDEX('Pooled funds'!$E:$E,ROW())/100,--INDEX('Pooled funds'!$E:$E,ROW())),0)</f>
        <v/>
      </c>
      <c r="U1454">
        <f>IF(ISNUMBER(INDEX('Pooled funds'!$E:$E,ROW())),1,0)</f>
        <v/>
      </c>
    </row>
    <row r="1455">
      <c r="A1455">
        <f>TRIM(SUBSTITUTE(INDEX('Term investments'!$A:$A,ROW())&amp;""," "," "))</f>
        <v/>
      </c>
      <c r="B1455">
        <f>TRIM(SUBSTITUTE(INDEX('Term investments'!$B:$B,ROW())&amp;""," "," "))</f>
        <v/>
      </c>
      <c r="C1455">
        <f>TRIM(SUBSTITUTE(INDEX('Term investments'!$C:$C,ROW())&amp;""," "," "))</f>
        <v/>
      </c>
      <c r="D1455">
        <f>IFERROR(--INDEX('Term investments'!$D:$D,ROW()),0)</f>
        <v/>
      </c>
      <c r="E1455">
        <f>IFERROR(--INDEX('Term investments'!$E:$E,ROW()),0)</f>
        <v/>
      </c>
      <c r="F1455">
        <f>IFERROR(--INDEX('Term investments'!$F:$F,ROW()),0)</f>
        <v/>
      </c>
      <c r="G1455">
        <f>IFERROR(IF(--INDEX('Term investments'!$G:$G,ROW())&gt;=1,--INDEX('Term investments'!$G:$G,ROW())/100,--INDEX('Term investments'!$G:$G,ROW())),0)</f>
        <v/>
      </c>
      <c r="H1455">
        <f>IFERROR(--INDEX('Term investments'!$H:$H,ROW()),0)</f>
        <v/>
      </c>
      <c r="I1455">
        <f>IF(ISNUMBER(INDEX('Term investments'!$G:$G,ROW())),1,0)</f>
        <v/>
      </c>
      <c r="J1455">
        <f>TRIM(SUBSTITUTE(INDEX('Call accounts and MMFs'!$A:$A,ROW())&amp;""," "," "))</f>
        <v/>
      </c>
      <c r="K1455">
        <f>TRIM(SUBSTITUTE(INDEX('Call accounts and MMFs'!$B:$B,ROW())&amp;""," "," "))</f>
        <v/>
      </c>
      <c r="L1455">
        <f>TRIM(SUBSTITUTE(INDEX('Call accounts and MMFs'!$C:$C,ROW())&amp;""," "," "))</f>
        <v/>
      </c>
      <c r="M1455">
        <f>IFERROR(--INDEX('Call accounts and MMFs'!$D:$D,ROW()),0)</f>
        <v/>
      </c>
      <c r="N1455">
        <f>IFERROR(IF(--INDEX('Call accounts and MMFs'!$E:$E,ROW())&gt;=1,--INDEX('Call accounts and MMFs'!$E:$E,ROW())/100,--INDEX('Call accounts and MMFs'!$E:$E,ROW())),0)</f>
        <v/>
      </c>
      <c r="O1455">
        <f>IFERROR(--INDEX('Call accounts and MMFs'!$F:$F,ROW()),0)</f>
        <v/>
      </c>
      <c r="P1455">
        <f>IF(ISNUMBER(INDEX('Call accounts and MMFs'!$E:$E,ROW())),1,0)</f>
        <v/>
      </c>
      <c r="Q1455">
        <f>TRIM(SUBSTITUTE(INDEX('Pooled funds'!$B:$B,ROW())&amp;""," "," "))</f>
        <v/>
      </c>
      <c r="R1455">
        <f>IFERROR(--INDEX('Pooled funds'!$C:$C,ROW()),0)</f>
        <v/>
      </c>
      <c r="S1455">
        <f>IFERROR(--INDEX('Pooled funds'!$D:$D,ROW()),0)</f>
        <v/>
      </c>
      <c r="T1455">
        <f>IFERROR(IF(--INDEX('Pooled funds'!$E:$E,ROW())&gt;=1,--INDEX('Pooled funds'!$E:$E,ROW())/100,--INDEX('Pooled funds'!$E:$E,ROW())),0)</f>
        <v/>
      </c>
      <c r="U1455">
        <f>IF(ISNUMBER(INDEX('Pooled funds'!$E:$E,ROW())),1,0)</f>
        <v/>
      </c>
    </row>
    <row r="1456">
      <c r="A1456">
        <f>TRIM(SUBSTITUTE(INDEX('Term investments'!$A:$A,ROW())&amp;""," "," "))</f>
        <v/>
      </c>
      <c r="B1456">
        <f>TRIM(SUBSTITUTE(INDEX('Term investments'!$B:$B,ROW())&amp;""," "," "))</f>
        <v/>
      </c>
      <c r="C1456">
        <f>TRIM(SUBSTITUTE(INDEX('Term investments'!$C:$C,ROW())&amp;""," "," "))</f>
        <v/>
      </c>
      <c r="D1456">
        <f>IFERROR(--INDEX('Term investments'!$D:$D,ROW()),0)</f>
        <v/>
      </c>
      <c r="E1456">
        <f>IFERROR(--INDEX('Term investments'!$E:$E,ROW()),0)</f>
        <v/>
      </c>
      <c r="F1456">
        <f>IFERROR(--INDEX('Term investments'!$F:$F,ROW()),0)</f>
        <v/>
      </c>
      <c r="G1456">
        <f>IFERROR(IF(--INDEX('Term investments'!$G:$G,ROW())&gt;=1,--INDEX('Term investments'!$G:$G,ROW())/100,--INDEX('Term investments'!$G:$G,ROW())),0)</f>
        <v/>
      </c>
      <c r="H1456">
        <f>IFERROR(--INDEX('Term investments'!$H:$H,ROW()),0)</f>
        <v/>
      </c>
      <c r="I1456">
        <f>IF(ISNUMBER(INDEX('Term investments'!$G:$G,ROW())),1,0)</f>
        <v/>
      </c>
      <c r="J1456">
        <f>TRIM(SUBSTITUTE(INDEX('Call accounts and MMFs'!$A:$A,ROW())&amp;""," "," "))</f>
        <v/>
      </c>
      <c r="K1456">
        <f>TRIM(SUBSTITUTE(INDEX('Call accounts and MMFs'!$B:$B,ROW())&amp;""," "," "))</f>
        <v/>
      </c>
      <c r="L1456">
        <f>TRIM(SUBSTITUTE(INDEX('Call accounts and MMFs'!$C:$C,ROW())&amp;""," "," "))</f>
        <v/>
      </c>
      <c r="M1456">
        <f>IFERROR(--INDEX('Call accounts and MMFs'!$D:$D,ROW()),0)</f>
        <v/>
      </c>
      <c r="N1456">
        <f>IFERROR(IF(--INDEX('Call accounts and MMFs'!$E:$E,ROW())&gt;=1,--INDEX('Call accounts and MMFs'!$E:$E,ROW())/100,--INDEX('Call accounts and MMFs'!$E:$E,ROW())),0)</f>
        <v/>
      </c>
      <c r="O1456">
        <f>IFERROR(--INDEX('Call accounts and MMFs'!$F:$F,ROW()),0)</f>
        <v/>
      </c>
      <c r="P1456">
        <f>IF(ISNUMBER(INDEX('Call accounts and MMFs'!$E:$E,ROW())),1,0)</f>
        <v/>
      </c>
      <c r="Q1456">
        <f>TRIM(SUBSTITUTE(INDEX('Pooled funds'!$B:$B,ROW())&amp;""," "," "))</f>
        <v/>
      </c>
      <c r="R1456">
        <f>IFERROR(--INDEX('Pooled funds'!$C:$C,ROW()),0)</f>
        <v/>
      </c>
      <c r="S1456">
        <f>IFERROR(--INDEX('Pooled funds'!$D:$D,ROW()),0)</f>
        <v/>
      </c>
      <c r="T1456">
        <f>IFERROR(IF(--INDEX('Pooled funds'!$E:$E,ROW())&gt;=1,--INDEX('Pooled funds'!$E:$E,ROW())/100,--INDEX('Pooled funds'!$E:$E,ROW())),0)</f>
        <v/>
      </c>
      <c r="U1456">
        <f>IF(ISNUMBER(INDEX('Pooled funds'!$E:$E,ROW())),1,0)</f>
        <v/>
      </c>
    </row>
    <row r="1457">
      <c r="A1457">
        <f>TRIM(SUBSTITUTE(INDEX('Term investments'!$A:$A,ROW())&amp;""," "," "))</f>
        <v/>
      </c>
      <c r="B1457">
        <f>TRIM(SUBSTITUTE(INDEX('Term investments'!$B:$B,ROW())&amp;""," "," "))</f>
        <v/>
      </c>
      <c r="C1457">
        <f>TRIM(SUBSTITUTE(INDEX('Term investments'!$C:$C,ROW())&amp;""," "," "))</f>
        <v/>
      </c>
      <c r="D1457">
        <f>IFERROR(--INDEX('Term investments'!$D:$D,ROW()),0)</f>
        <v/>
      </c>
      <c r="E1457">
        <f>IFERROR(--INDEX('Term investments'!$E:$E,ROW()),0)</f>
        <v/>
      </c>
      <c r="F1457">
        <f>IFERROR(--INDEX('Term investments'!$F:$F,ROW()),0)</f>
        <v/>
      </c>
      <c r="G1457">
        <f>IFERROR(IF(--INDEX('Term investments'!$G:$G,ROW())&gt;=1,--INDEX('Term investments'!$G:$G,ROW())/100,--INDEX('Term investments'!$G:$G,ROW())),0)</f>
        <v/>
      </c>
      <c r="H1457">
        <f>IFERROR(--INDEX('Term investments'!$H:$H,ROW()),0)</f>
        <v/>
      </c>
      <c r="I1457">
        <f>IF(ISNUMBER(INDEX('Term investments'!$G:$G,ROW())),1,0)</f>
        <v/>
      </c>
      <c r="J1457">
        <f>TRIM(SUBSTITUTE(INDEX('Call accounts and MMFs'!$A:$A,ROW())&amp;""," "," "))</f>
        <v/>
      </c>
      <c r="K1457">
        <f>TRIM(SUBSTITUTE(INDEX('Call accounts and MMFs'!$B:$B,ROW())&amp;""," "," "))</f>
        <v/>
      </c>
      <c r="L1457">
        <f>TRIM(SUBSTITUTE(INDEX('Call accounts and MMFs'!$C:$C,ROW())&amp;""," "," "))</f>
        <v/>
      </c>
      <c r="M1457">
        <f>IFERROR(--INDEX('Call accounts and MMFs'!$D:$D,ROW()),0)</f>
        <v/>
      </c>
      <c r="N1457">
        <f>IFERROR(IF(--INDEX('Call accounts and MMFs'!$E:$E,ROW())&gt;=1,--INDEX('Call accounts and MMFs'!$E:$E,ROW())/100,--INDEX('Call accounts and MMFs'!$E:$E,ROW())),0)</f>
        <v/>
      </c>
      <c r="O1457">
        <f>IFERROR(--INDEX('Call accounts and MMFs'!$F:$F,ROW()),0)</f>
        <v/>
      </c>
      <c r="P1457">
        <f>IF(ISNUMBER(INDEX('Call accounts and MMFs'!$E:$E,ROW())),1,0)</f>
        <v/>
      </c>
      <c r="Q1457">
        <f>TRIM(SUBSTITUTE(INDEX('Pooled funds'!$B:$B,ROW())&amp;""," "," "))</f>
        <v/>
      </c>
      <c r="R1457">
        <f>IFERROR(--INDEX('Pooled funds'!$C:$C,ROW()),0)</f>
        <v/>
      </c>
      <c r="S1457">
        <f>IFERROR(--INDEX('Pooled funds'!$D:$D,ROW()),0)</f>
        <v/>
      </c>
      <c r="T1457">
        <f>IFERROR(IF(--INDEX('Pooled funds'!$E:$E,ROW())&gt;=1,--INDEX('Pooled funds'!$E:$E,ROW())/100,--INDEX('Pooled funds'!$E:$E,ROW())),0)</f>
        <v/>
      </c>
      <c r="U1457">
        <f>IF(ISNUMBER(INDEX('Pooled funds'!$E:$E,ROW())),1,0)</f>
        <v/>
      </c>
    </row>
    <row r="1458">
      <c r="A1458">
        <f>TRIM(SUBSTITUTE(INDEX('Term investments'!$A:$A,ROW())&amp;""," "," "))</f>
        <v/>
      </c>
      <c r="B1458">
        <f>TRIM(SUBSTITUTE(INDEX('Term investments'!$B:$B,ROW())&amp;""," "," "))</f>
        <v/>
      </c>
      <c r="C1458">
        <f>TRIM(SUBSTITUTE(INDEX('Term investments'!$C:$C,ROW())&amp;""," "," "))</f>
        <v/>
      </c>
      <c r="D1458">
        <f>IFERROR(--INDEX('Term investments'!$D:$D,ROW()),0)</f>
        <v/>
      </c>
      <c r="E1458">
        <f>IFERROR(--INDEX('Term investments'!$E:$E,ROW()),0)</f>
        <v/>
      </c>
      <c r="F1458">
        <f>IFERROR(--INDEX('Term investments'!$F:$F,ROW()),0)</f>
        <v/>
      </c>
      <c r="G1458">
        <f>IFERROR(IF(--INDEX('Term investments'!$G:$G,ROW())&gt;=1,--INDEX('Term investments'!$G:$G,ROW())/100,--INDEX('Term investments'!$G:$G,ROW())),0)</f>
        <v/>
      </c>
      <c r="H1458">
        <f>IFERROR(--INDEX('Term investments'!$H:$H,ROW()),0)</f>
        <v/>
      </c>
      <c r="I1458">
        <f>IF(ISNUMBER(INDEX('Term investments'!$G:$G,ROW())),1,0)</f>
        <v/>
      </c>
      <c r="J1458">
        <f>TRIM(SUBSTITUTE(INDEX('Call accounts and MMFs'!$A:$A,ROW())&amp;""," "," "))</f>
        <v/>
      </c>
      <c r="K1458">
        <f>TRIM(SUBSTITUTE(INDEX('Call accounts and MMFs'!$B:$B,ROW())&amp;""," "," "))</f>
        <v/>
      </c>
      <c r="L1458">
        <f>TRIM(SUBSTITUTE(INDEX('Call accounts and MMFs'!$C:$C,ROW())&amp;""," "," "))</f>
        <v/>
      </c>
      <c r="M1458">
        <f>IFERROR(--INDEX('Call accounts and MMFs'!$D:$D,ROW()),0)</f>
        <v/>
      </c>
      <c r="N1458">
        <f>IFERROR(IF(--INDEX('Call accounts and MMFs'!$E:$E,ROW())&gt;=1,--INDEX('Call accounts and MMFs'!$E:$E,ROW())/100,--INDEX('Call accounts and MMFs'!$E:$E,ROW())),0)</f>
        <v/>
      </c>
      <c r="O1458">
        <f>IFERROR(--INDEX('Call accounts and MMFs'!$F:$F,ROW()),0)</f>
        <v/>
      </c>
      <c r="P1458">
        <f>IF(ISNUMBER(INDEX('Call accounts and MMFs'!$E:$E,ROW())),1,0)</f>
        <v/>
      </c>
      <c r="Q1458">
        <f>TRIM(SUBSTITUTE(INDEX('Pooled funds'!$B:$B,ROW())&amp;""," "," "))</f>
        <v/>
      </c>
      <c r="R1458">
        <f>IFERROR(--INDEX('Pooled funds'!$C:$C,ROW()),0)</f>
        <v/>
      </c>
      <c r="S1458">
        <f>IFERROR(--INDEX('Pooled funds'!$D:$D,ROW()),0)</f>
        <v/>
      </c>
      <c r="T1458">
        <f>IFERROR(IF(--INDEX('Pooled funds'!$E:$E,ROW())&gt;=1,--INDEX('Pooled funds'!$E:$E,ROW())/100,--INDEX('Pooled funds'!$E:$E,ROW())),0)</f>
        <v/>
      </c>
      <c r="U1458">
        <f>IF(ISNUMBER(INDEX('Pooled funds'!$E:$E,ROW())),1,0)</f>
        <v/>
      </c>
    </row>
    <row r="1459">
      <c r="A1459">
        <f>TRIM(SUBSTITUTE(INDEX('Term investments'!$A:$A,ROW())&amp;""," "," "))</f>
        <v/>
      </c>
      <c r="B1459">
        <f>TRIM(SUBSTITUTE(INDEX('Term investments'!$B:$B,ROW())&amp;""," "," "))</f>
        <v/>
      </c>
      <c r="C1459">
        <f>TRIM(SUBSTITUTE(INDEX('Term investments'!$C:$C,ROW())&amp;""," "," "))</f>
        <v/>
      </c>
      <c r="D1459">
        <f>IFERROR(--INDEX('Term investments'!$D:$D,ROW()),0)</f>
        <v/>
      </c>
      <c r="E1459">
        <f>IFERROR(--INDEX('Term investments'!$E:$E,ROW()),0)</f>
        <v/>
      </c>
      <c r="F1459">
        <f>IFERROR(--INDEX('Term investments'!$F:$F,ROW()),0)</f>
        <v/>
      </c>
      <c r="G1459">
        <f>IFERROR(IF(--INDEX('Term investments'!$G:$G,ROW())&gt;=1,--INDEX('Term investments'!$G:$G,ROW())/100,--INDEX('Term investments'!$G:$G,ROW())),0)</f>
        <v/>
      </c>
      <c r="H1459">
        <f>IFERROR(--INDEX('Term investments'!$H:$H,ROW()),0)</f>
        <v/>
      </c>
      <c r="I1459">
        <f>IF(ISNUMBER(INDEX('Term investments'!$G:$G,ROW())),1,0)</f>
        <v/>
      </c>
      <c r="J1459">
        <f>TRIM(SUBSTITUTE(INDEX('Call accounts and MMFs'!$A:$A,ROW())&amp;""," "," "))</f>
        <v/>
      </c>
      <c r="K1459">
        <f>TRIM(SUBSTITUTE(INDEX('Call accounts and MMFs'!$B:$B,ROW())&amp;""," "," "))</f>
        <v/>
      </c>
      <c r="L1459">
        <f>TRIM(SUBSTITUTE(INDEX('Call accounts and MMFs'!$C:$C,ROW())&amp;""," "," "))</f>
        <v/>
      </c>
      <c r="M1459">
        <f>IFERROR(--INDEX('Call accounts and MMFs'!$D:$D,ROW()),0)</f>
        <v/>
      </c>
      <c r="N1459">
        <f>IFERROR(IF(--INDEX('Call accounts and MMFs'!$E:$E,ROW())&gt;=1,--INDEX('Call accounts and MMFs'!$E:$E,ROW())/100,--INDEX('Call accounts and MMFs'!$E:$E,ROW())),0)</f>
        <v/>
      </c>
      <c r="O1459">
        <f>IFERROR(--INDEX('Call accounts and MMFs'!$F:$F,ROW()),0)</f>
        <v/>
      </c>
      <c r="P1459">
        <f>IF(ISNUMBER(INDEX('Call accounts and MMFs'!$E:$E,ROW())),1,0)</f>
        <v/>
      </c>
      <c r="Q1459">
        <f>TRIM(SUBSTITUTE(INDEX('Pooled funds'!$B:$B,ROW())&amp;""," "," "))</f>
        <v/>
      </c>
      <c r="R1459">
        <f>IFERROR(--INDEX('Pooled funds'!$C:$C,ROW()),0)</f>
        <v/>
      </c>
      <c r="S1459">
        <f>IFERROR(--INDEX('Pooled funds'!$D:$D,ROW()),0)</f>
        <v/>
      </c>
      <c r="T1459">
        <f>IFERROR(IF(--INDEX('Pooled funds'!$E:$E,ROW())&gt;=1,--INDEX('Pooled funds'!$E:$E,ROW())/100,--INDEX('Pooled funds'!$E:$E,ROW())),0)</f>
        <v/>
      </c>
      <c r="U1459">
        <f>IF(ISNUMBER(INDEX('Pooled funds'!$E:$E,ROW())),1,0)</f>
        <v/>
      </c>
    </row>
    <row r="1460">
      <c r="A1460">
        <f>TRIM(SUBSTITUTE(INDEX('Term investments'!$A:$A,ROW())&amp;""," "," "))</f>
        <v/>
      </c>
      <c r="B1460">
        <f>TRIM(SUBSTITUTE(INDEX('Term investments'!$B:$B,ROW())&amp;""," "," "))</f>
        <v/>
      </c>
      <c r="C1460">
        <f>TRIM(SUBSTITUTE(INDEX('Term investments'!$C:$C,ROW())&amp;""," "," "))</f>
        <v/>
      </c>
      <c r="D1460">
        <f>IFERROR(--INDEX('Term investments'!$D:$D,ROW()),0)</f>
        <v/>
      </c>
      <c r="E1460">
        <f>IFERROR(--INDEX('Term investments'!$E:$E,ROW()),0)</f>
        <v/>
      </c>
      <c r="F1460">
        <f>IFERROR(--INDEX('Term investments'!$F:$F,ROW()),0)</f>
        <v/>
      </c>
      <c r="G1460">
        <f>IFERROR(IF(--INDEX('Term investments'!$G:$G,ROW())&gt;=1,--INDEX('Term investments'!$G:$G,ROW())/100,--INDEX('Term investments'!$G:$G,ROW())),0)</f>
        <v/>
      </c>
      <c r="H1460">
        <f>IFERROR(--INDEX('Term investments'!$H:$H,ROW()),0)</f>
        <v/>
      </c>
      <c r="I1460">
        <f>IF(ISNUMBER(INDEX('Term investments'!$G:$G,ROW())),1,0)</f>
        <v/>
      </c>
      <c r="J1460">
        <f>TRIM(SUBSTITUTE(INDEX('Call accounts and MMFs'!$A:$A,ROW())&amp;""," "," "))</f>
        <v/>
      </c>
      <c r="K1460">
        <f>TRIM(SUBSTITUTE(INDEX('Call accounts and MMFs'!$B:$B,ROW())&amp;""," "," "))</f>
        <v/>
      </c>
      <c r="L1460">
        <f>TRIM(SUBSTITUTE(INDEX('Call accounts and MMFs'!$C:$C,ROW())&amp;""," "," "))</f>
        <v/>
      </c>
      <c r="M1460">
        <f>IFERROR(--INDEX('Call accounts and MMFs'!$D:$D,ROW()),0)</f>
        <v/>
      </c>
      <c r="N1460">
        <f>IFERROR(IF(--INDEX('Call accounts and MMFs'!$E:$E,ROW())&gt;=1,--INDEX('Call accounts and MMFs'!$E:$E,ROW())/100,--INDEX('Call accounts and MMFs'!$E:$E,ROW())),0)</f>
        <v/>
      </c>
      <c r="O1460">
        <f>IFERROR(--INDEX('Call accounts and MMFs'!$F:$F,ROW()),0)</f>
        <v/>
      </c>
      <c r="P1460">
        <f>IF(ISNUMBER(INDEX('Call accounts and MMFs'!$E:$E,ROW())),1,0)</f>
        <v/>
      </c>
      <c r="Q1460">
        <f>TRIM(SUBSTITUTE(INDEX('Pooled funds'!$B:$B,ROW())&amp;""," "," "))</f>
        <v/>
      </c>
      <c r="R1460">
        <f>IFERROR(--INDEX('Pooled funds'!$C:$C,ROW()),0)</f>
        <v/>
      </c>
      <c r="S1460">
        <f>IFERROR(--INDEX('Pooled funds'!$D:$D,ROW()),0)</f>
        <v/>
      </c>
      <c r="T1460">
        <f>IFERROR(IF(--INDEX('Pooled funds'!$E:$E,ROW())&gt;=1,--INDEX('Pooled funds'!$E:$E,ROW())/100,--INDEX('Pooled funds'!$E:$E,ROW())),0)</f>
        <v/>
      </c>
      <c r="U1460">
        <f>IF(ISNUMBER(INDEX('Pooled funds'!$E:$E,ROW())),1,0)</f>
        <v/>
      </c>
    </row>
    <row r="1461">
      <c r="A1461">
        <f>TRIM(SUBSTITUTE(INDEX('Term investments'!$A:$A,ROW())&amp;""," "," "))</f>
        <v/>
      </c>
      <c r="B1461">
        <f>TRIM(SUBSTITUTE(INDEX('Term investments'!$B:$B,ROW())&amp;""," "," "))</f>
        <v/>
      </c>
      <c r="C1461">
        <f>TRIM(SUBSTITUTE(INDEX('Term investments'!$C:$C,ROW())&amp;""," "," "))</f>
        <v/>
      </c>
      <c r="D1461">
        <f>IFERROR(--INDEX('Term investments'!$D:$D,ROW()),0)</f>
        <v/>
      </c>
      <c r="E1461">
        <f>IFERROR(--INDEX('Term investments'!$E:$E,ROW()),0)</f>
        <v/>
      </c>
      <c r="F1461">
        <f>IFERROR(--INDEX('Term investments'!$F:$F,ROW()),0)</f>
        <v/>
      </c>
      <c r="G1461">
        <f>IFERROR(IF(--INDEX('Term investments'!$G:$G,ROW())&gt;=1,--INDEX('Term investments'!$G:$G,ROW())/100,--INDEX('Term investments'!$G:$G,ROW())),0)</f>
        <v/>
      </c>
      <c r="H1461">
        <f>IFERROR(--INDEX('Term investments'!$H:$H,ROW()),0)</f>
        <v/>
      </c>
      <c r="I1461">
        <f>IF(ISNUMBER(INDEX('Term investments'!$G:$G,ROW())),1,0)</f>
        <v/>
      </c>
      <c r="J1461">
        <f>TRIM(SUBSTITUTE(INDEX('Call accounts and MMFs'!$A:$A,ROW())&amp;""," "," "))</f>
        <v/>
      </c>
      <c r="K1461">
        <f>TRIM(SUBSTITUTE(INDEX('Call accounts and MMFs'!$B:$B,ROW())&amp;""," "," "))</f>
        <v/>
      </c>
      <c r="L1461">
        <f>TRIM(SUBSTITUTE(INDEX('Call accounts and MMFs'!$C:$C,ROW())&amp;""," "," "))</f>
        <v/>
      </c>
      <c r="M1461">
        <f>IFERROR(--INDEX('Call accounts and MMFs'!$D:$D,ROW()),0)</f>
        <v/>
      </c>
      <c r="N1461">
        <f>IFERROR(IF(--INDEX('Call accounts and MMFs'!$E:$E,ROW())&gt;=1,--INDEX('Call accounts and MMFs'!$E:$E,ROW())/100,--INDEX('Call accounts and MMFs'!$E:$E,ROW())),0)</f>
        <v/>
      </c>
      <c r="O1461">
        <f>IFERROR(--INDEX('Call accounts and MMFs'!$F:$F,ROW()),0)</f>
        <v/>
      </c>
      <c r="P1461">
        <f>IF(ISNUMBER(INDEX('Call accounts and MMFs'!$E:$E,ROW())),1,0)</f>
        <v/>
      </c>
      <c r="Q1461">
        <f>TRIM(SUBSTITUTE(INDEX('Pooled funds'!$B:$B,ROW())&amp;""," "," "))</f>
        <v/>
      </c>
      <c r="R1461">
        <f>IFERROR(--INDEX('Pooled funds'!$C:$C,ROW()),0)</f>
        <v/>
      </c>
      <c r="S1461">
        <f>IFERROR(--INDEX('Pooled funds'!$D:$D,ROW()),0)</f>
        <v/>
      </c>
      <c r="T1461">
        <f>IFERROR(IF(--INDEX('Pooled funds'!$E:$E,ROW())&gt;=1,--INDEX('Pooled funds'!$E:$E,ROW())/100,--INDEX('Pooled funds'!$E:$E,ROW())),0)</f>
        <v/>
      </c>
      <c r="U1461">
        <f>IF(ISNUMBER(INDEX('Pooled funds'!$E:$E,ROW())),1,0)</f>
        <v/>
      </c>
    </row>
    <row r="1462">
      <c r="A1462">
        <f>TRIM(SUBSTITUTE(INDEX('Term investments'!$A:$A,ROW())&amp;""," "," "))</f>
        <v/>
      </c>
      <c r="B1462">
        <f>TRIM(SUBSTITUTE(INDEX('Term investments'!$B:$B,ROW())&amp;""," "," "))</f>
        <v/>
      </c>
      <c r="C1462">
        <f>TRIM(SUBSTITUTE(INDEX('Term investments'!$C:$C,ROW())&amp;""," "," "))</f>
        <v/>
      </c>
      <c r="D1462">
        <f>IFERROR(--INDEX('Term investments'!$D:$D,ROW()),0)</f>
        <v/>
      </c>
      <c r="E1462">
        <f>IFERROR(--INDEX('Term investments'!$E:$E,ROW()),0)</f>
        <v/>
      </c>
      <c r="F1462">
        <f>IFERROR(--INDEX('Term investments'!$F:$F,ROW()),0)</f>
        <v/>
      </c>
      <c r="G1462">
        <f>IFERROR(IF(--INDEX('Term investments'!$G:$G,ROW())&gt;=1,--INDEX('Term investments'!$G:$G,ROW())/100,--INDEX('Term investments'!$G:$G,ROW())),0)</f>
        <v/>
      </c>
      <c r="H1462">
        <f>IFERROR(--INDEX('Term investments'!$H:$H,ROW()),0)</f>
        <v/>
      </c>
      <c r="I1462">
        <f>IF(ISNUMBER(INDEX('Term investments'!$G:$G,ROW())),1,0)</f>
        <v/>
      </c>
      <c r="J1462">
        <f>TRIM(SUBSTITUTE(INDEX('Call accounts and MMFs'!$A:$A,ROW())&amp;""," "," "))</f>
        <v/>
      </c>
      <c r="K1462">
        <f>TRIM(SUBSTITUTE(INDEX('Call accounts and MMFs'!$B:$B,ROW())&amp;""," "," "))</f>
        <v/>
      </c>
      <c r="L1462">
        <f>TRIM(SUBSTITUTE(INDEX('Call accounts and MMFs'!$C:$C,ROW())&amp;""," "," "))</f>
        <v/>
      </c>
      <c r="M1462">
        <f>IFERROR(--INDEX('Call accounts and MMFs'!$D:$D,ROW()),0)</f>
        <v/>
      </c>
      <c r="N1462">
        <f>IFERROR(IF(--INDEX('Call accounts and MMFs'!$E:$E,ROW())&gt;=1,--INDEX('Call accounts and MMFs'!$E:$E,ROW())/100,--INDEX('Call accounts and MMFs'!$E:$E,ROW())),0)</f>
        <v/>
      </c>
      <c r="O1462">
        <f>IFERROR(--INDEX('Call accounts and MMFs'!$F:$F,ROW()),0)</f>
        <v/>
      </c>
      <c r="P1462">
        <f>IF(ISNUMBER(INDEX('Call accounts and MMFs'!$E:$E,ROW())),1,0)</f>
        <v/>
      </c>
      <c r="Q1462">
        <f>TRIM(SUBSTITUTE(INDEX('Pooled funds'!$B:$B,ROW())&amp;""," "," "))</f>
        <v/>
      </c>
      <c r="R1462">
        <f>IFERROR(--INDEX('Pooled funds'!$C:$C,ROW()),0)</f>
        <v/>
      </c>
      <c r="S1462">
        <f>IFERROR(--INDEX('Pooled funds'!$D:$D,ROW()),0)</f>
        <v/>
      </c>
      <c r="T1462">
        <f>IFERROR(IF(--INDEX('Pooled funds'!$E:$E,ROW())&gt;=1,--INDEX('Pooled funds'!$E:$E,ROW())/100,--INDEX('Pooled funds'!$E:$E,ROW())),0)</f>
        <v/>
      </c>
      <c r="U1462">
        <f>IF(ISNUMBER(INDEX('Pooled funds'!$E:$E,ROW())),1,0)</f>
        <v/>
      </c>
    </row>
    <row r="1463">
      <c r="A1463">
        <f>TRIM(SUBSTITUTE(INDEX('Term investments'!$A:$A,ROW())&amp;""," "," "))</f>
        <v/>
      </c>
      <c r="B1463">
        <f>TRIM(SUBSTITUTE(INDEX('Term investments'!$B:$B,ROW())&amp;""," "," "))</f>
        <v/>
      </c>
      <c r="C1463">
        <f>TRIM(SUBSTITUTE(INDEX('Term investments'!$C:$C,ROW())&amp;""," "," "))</f>
        <v/>
      </c>
      <c r="D1463">
        <f>IFERROR(--INDEX('Term investments'!$D:$D,ROW()),0)</f>
        <v/>
      </c>
      <c r="E1463">
        <f>IFERROR(--INDEX('Term investments'!$E:$E,ROW()),0)</f>
        <v/>
      </c>
      <c r="F1463">
        <f>IFERROR(--INDEX('Term investments'!$F:$F,ROW()),0)</f>
        <v/>
      </c>
      <c r="G1463">
        <f>IFERROR(IF(--INDEX('Term investments'!$G:$G,ROW())&gt;=1,--INDEX('Term investments'!$G:$G,ROW())/100,--INDEX('Term investments'!$G:$G,ROW())),0)</f>
        <v/>
      </c>
      <c r="H1463">
        <f>IFERROR(--INDEX('Term investments'!$H:$H,ROW()),0)</f>
        <v/>
      </c>
      <c r="I1463">
        <f>IF(ISNUMBER(INDEX('Term investments'!$G:$G,ROW())),1,0)</f>
        <v/>
      </c>
      <c r="J1463">
        <f>TRIM(SUBSTITUTE(INDEX('Call accounts and MMFs'!$A:$A,ROW())&amp;""," "," "))</f>
        <v/>
      </c>
      <c r="K1463">
        <f>TRIM(SUBSTITUTE(INDEX('Call accounts and MMFs'!$B:$B,ROW())&amp;""," "," "))</f>
        <v/>
      </c>
      <c r="L1463">
        <f>TRIM(SUBSTITUTE(INDEX('Call accounts and MMFs'!$C:$C,ROW())&amp;""," "," "))</f>
        <v/>
      </c>
      <c r="M1463">
        <f>IFERROR(--INDEX('Call accounts and MMFs'!$D:$D,ROW()),0)</f>
        <v/>
      </c>
      <c r="N1463">
        <f>IFERROR(IF(--INDEX('Call accounts and MMFs'!$E:$E,ROW())&gt;=1,--INDEX('Call accounts and MMFs'!$E:$E,ROW())/100,--INDEX('Call accounts and MMFs'!$E:$E,ROW())),0)</f>
        <v/>
      </c>
      <c r="O1463">
        <f>IFERROR(--INDEX('Call accounts and MMFs'!$F:$F,ROW()),0)</f>
        <v/>
      </c>
      <c r="P1463">
        <f>IF(ISNUMBER(INDEX('Call accounts and MMFs'!$E:$E,ROW())),1,0)</f>
        <v/>
      </c>
      <c r="Q1463">
        <f>TRIM(SUBSTITUTE(INDEX('Pooled funds'!$B:$B,ROW())&amp;""," "," "))</f>
        <v/>
      </c>
      <c r="R1463">
        <f>IFERROR(--INDEX('Pooled funds'!$C:$C,ROW()),0)</f>
        <v/>
      </c>
      <c r="S1463">
        <f>IFERROR(--INDEX('Pooled funds'!$D:$D,ROW()),0)</f>
        <v/>
      </c>
      <c r="T1463">
        <f>IFERROR(IF(--INDEX('Pooled funds'!$E:$E,ROW())&gt;=1,--INDEX('Pooled funds'!$E:$E,ROW())/100,--INDEX('Pooled funds'!$E:$E,ROW())),0)</f>
        <v/>
      </c>
      <c r="U1463">
        <f>IF(ISNUMBER(INDEX('Pooled funds'!$E:$E,ROW())),1,0)</f>
        <v/>
      </c>
    </row>
    <row r="1464">
      <c r="A1464">
        <f>TRIM(SUBSTITUTE(INDEX('Term investments'!$A:$A,ROW())&amp;""," "," "))</f>
        <v/>
      </c>
      <c r="B1464">
        <f>TRIM(SUBSTITUTE(INDEX('Term investments'!$B:$B,ROW())&amp;""," "," "))</f>
        <v/>
      </c>
      <c r="C1464">
        <f>TRIM(SUBSTITUTE(INDEX('Term investments'!$C:$C,ROW())&amp;""," "," "))</f>
        <v/>
      </c>
      <c r="D1464">
        <f>IFERROR(--INDEX('Term investments'!$D:$D,ROW()),0)</f>
        <v/>
      </c>
      <c r="E1464">
        <f>IFERROR(--INDEX('Term investments'!$E:$E,ROW()),0)</f>
        <v/>
      </c>
      <c r="F1464">
        <f>IFERROR(--INDEX('Term investments'!$F:$F,ROW()),0)</f>
        <v/>
      </c>
      <c r="G1464">
        <f>IFERROR(IF(--INDEX('Term investments'!$G:$G,ROW())&gt;=1,--INDEX('Term investments'!$G:$G,ROW())/100,--INDEX('Term investments'!$G:$G,ROW())),0)</f>
        <v/>
      </c>
      <c r="H1464">
        <f>IFERROR(--INDEX('Term investments'!$H:$H,ROW()),0)</f>
        <v/>
      </c>
      <c r="I1464">
        <f>IF(ISNUMBER(INDEX('Term investments'!$G:$G,ROW())),1,0)</f>
        <v/>
      </c>
      <c r="J1464">
        <f>TRIM(SUBSTITUTE(INDEX('Call accounts and MMFs'!$A:$A,ROW())&amp;""," "," "))</f>
        <v/>
      </c>
      <c r="K1464">
        <f>TRIM(SUBSTITUTE(INDEX('Call accounts and MMFs'!$B:$B,ROW())&amp;""," "," "))</f>
        <v/>
      </c>
      <c r="L1464">
        <f>TRIM(SUBSTITUTE(INDEX('Call accounts and MMFs'!$C:$C,ROW())&amp;""," "," "))</f>
        <v/>
      </c>
      <c r="M1464">
        <f>IFERROR(--INDEX('Call accounts and MMFs'!$D:$D,ROW()),0)</f>
        <v/>
      </c>
      <c r="N1464">
        <f>IFERROR(IF(--INDEX('Call accounts and MMFs'!$E:$E,ROW())&gt;=1,--INDEX('Call accounts and MMFs'!$E:$E,ROW())/100,--INDEX('Call accounts and MMFs'!$E:$E,ROW())),0)</f>
        <v/>
      </c>
      <c r="O1464">
        <f>IFERROR(--INDEX('Call accounts and MMFs'!$F:$F,ROW()),0)</f>
        <v/>
      </c>
      <c r="P1464">
        <f>IF(ISNUMBER(INDEX('Call accounts and MMFs'!$E:$E,ROW())),1,0)</f>
        <v/>
      </c>
      <c r="Q1464">
        <f>TRIM(SUBSTITUTE(INDEX('Pooled funds'!$B:$B,ROW())&amp;""," "," "))</f>
        <v/>
      </c>
      <c r="R1464">
        <f>IFERROR(--INDEX('Pooled funds'!$C:$C,ROW()),0)</f>
        <v/>
      </c>
      <c r="S1464">
        <f>IFERROR(--INDEX('Pooled funds'!$D:$D,ROW()),0)</f>
        <v/>
      </c>
      <c r="T1464">
        <f>IFERROR(IF(--INDEX('Pooled funds'!$E:$E,ROW())&gt;=1,--INDEX('Pooled funds'!$E:$E,ROW())/100,--INDEX('Pooled funds'!$E:$E,ROW())),0)</f>
        <v/>
      </c>
      <c r="U1464">
        <f>IF(ISNUMBER(INDEX('Pooled funds'!$E:$E,ROW())),1,0)</f>
        <v/>
      </c>
    </row>
    <row r="1465">
      <c r="A1465">
        <f>TRIM(SUBSTITUTE(INDEX('Term investments'!$A:$A,ROW())&amp;""," "," "))</f>
        <v/>
      </c>
      <c r="B1465">
        <f>TRIM(SUBSTITUTE(INDEX('Term investments'!$B:$B,ROW())&amp;""," "," "))</f>
        <v/>
      </c>
      <c r="C1465">
        <f>TRIM(SUBSTITUTE(INDEX('Term investments'!$C:$C,ROW())&amp;""," "," "))</f>
        <v/>
      </c>
      <c r="D1465">
        <f>IFERROR(--INDEX('Term investments'!$D:$D,ROW()),0)</f>
        <v/>
      </c>
      <c r="E1465">
        <f>IFERROR(--INDEX('Term investments'!$E:$E,ROW()),0)</f>
        <v/>
      </c>
      <c r="F1465">
        <f>IFERROR(--INDEX('Term investments'!$F:$F,ROW()),0)</f>
        <v/>
      </c>
      <c r="G1465">
        <f>IFERROR(IF(--INDEX('Term investments'!$G:$G,ROW())&gt;=1,--INDEX('Term investments'!$G:$G,ROW())/100,--INDEX('Term investments'!$G:$G,ROW())),0)</f>
        <v/>
      </c>
      <c r="H1465">
        <f>IFERROR(--INDEX('Term investments'!$H:$H,ROW()),0)</f>
        <v/>
      </c>
      <c r="I1465">
        <f>IF(ISNUMBER(INDEX('Term investments'!$G:$G,ROW())),1,0)</f>
        <v/>
      </c>
      <c r="J1465">
        <f>TRIM(SUBSTITUTE(INDEX('Call accounts and MMFs'!$A:$A,ROW())&amp;""," "," "))</f>
        <v/>
      </c>
      <c r="K1465">
        <f>TRIM(SUBSTITUTE(INDEX('Call accounts and MMFs'!$B:$B,ROW())&amp;""," "," "))</f>
        <v/>
      </c>
      <c r="L1465">
        <f>TRIM(SUBSTITUTE(INDEX('Call accounts and MMFs'!$C:$C,ROW())&amp;""," "," "))</f>
        <v/>
      </c>
      <c r="M1465">
        <f>IFERROR(--INDEX('Call accounts and MMFs'!$D:$D,ROW()),0)</f>
        <v/>
      </c>
      <c r="N1465">
        <f>IFERROR(IF(--INDEX('Call accounts and MMFs'!$E:$E,ROW())&gt;=1,--INDEX('Call accounts and MMFs'!$E:$E,ROW())/100,--INDEX('Call accounts and MMFs'!$E:$E,ROW())),0)</f>
        <v/>
      </c>
      <c r="O1465">
        <f>IFERROR(--INDEX('Call accounts and MMFs'!$F:$F,ROW()),0)</f>
        <v/>
      </c>
      <c r="P1465">
        <f>IF(ISNUMBER(INDEX('Call accounts and MMFs'!$E:$E,ROW())),1,0)</f>
        <v/>
      </c>
      <c r="Q1465">
        <f>TRIM(SUBSTITUTE(INDEX('Pooled funds'!$B:$B,ROW())&amp;""," "," "))</f>
        <v/>
      </c>
      <c r="R1465">
        <f>IFERROR(--INDEX('Pooled funds'!$C:$C,ROW()),0)</f>
        <v/>
      </c>
      <c r="S1465">
        <f>IFERROR(--INDEX('Pooled funds'!$D:$D,ROW()),0)</f>
        <v/>
      </c>
      <c r="T1465">
        <f>IFERROR(IF(--INDEX('Pooled funds'!$E:$E,ROW())&gt;=1,--INDEX('Pooled funds'!$E:$E,ROW())/100,--INDEX('Pooled funds'!$E:$E,ROW())),0)</f>
        <v/>
      </c>
      <c r="U1465">
        <f>IF(ISNUMBER(INDEX('Pooled funds'!$E:$E,ROW())),1,0)</f>
        <v/>
      </c>
    </row>
    <row r="1466">
      <c r="A1466">
        <f>TRIM(SUBSTITUTE(INDEX('Term investments'!$A:$A,ROW())&amp;""," "," "))</f>
        <v/>
      </c>
      <c r="B1466">
        <f>TRIM(SUBSTITUTE(INDEX('Term investments'!$B:$B,ROW())&amp;""," "," "))</f>
        <v/>
      </c>
      <c r="C1466">
        <f>TRIM(SUBSTITUTE(INDEX('Term investments'!$C:$C,ROW())&amp;""," "," "))</f>
        <v/>
      </c>
      <c r="D1466">
        <f>IFERROR(--INDEX('Term investments'!$D:$D,ROW()),0)</f>
        <v/>
      </c>
      <c r="E1466">
        <f>IFERROR(--INDEX('Term investments'!$E:$E,ROW()),0)</f>
        <v/>
      </c>
      <c r="F1466">
        <f>IFERROR(--INDEX('Term investments'!$F:$F,ROW()),0)</f>
        <v/>
      </c>
      <c r="G1466">
        <f>IFERROR(IF(--INDEX('Term investments'!$G:$G,ROW())&gt;=1,--INDEX('Term investments'!$G:$G,ROW())/100,--INDEX('Term investments'!$G:$G,ROW())),0)</f>
        <v/>
      </c>
      <c r="H1466">
        <f>IFERROR(--INDEX('Term investments'!$H:$H,ROW()),0)</f>
        <v/>
      </c>
      <c r="I1466">
        <f>IF(ISNUMBER(INDEX('Term investments'!$G:$G,ROW())),1,0)</f>
        <v/>
      </c>
      <c r="J1466">
        <f>TRIM(SUBSTITUTE(INDEX('Call accounts and MMFs'!$A:$A,ROW())&amp;""," "," "))</f>
        <v/>
      </c>
      <c r="K1466">
        <f>TRIM(SUBSTITUTE(INDEX('Call accounts and MMFs'!$B:$B,ROW())&amp;""," "," "))</f>
        <v/>
      </c>
      <c r="L1466">
        <f>TRIM(SUBSTITUTE(INDEX('Call accounts and MMFs'!$C:$C,ROW())&amp;""," "," "))</f>
        <v/>
      </c>
      <c r="M1466">
        <f>IFERROR(--INDEX('Call accounts and MMFs'!$D:$D,ROW()),0)</f>
        <v/>
      </c>
      <c r="N1466">
        <f>IFERROR(IF(--INDEX('Call accounts and MMFs'!$E:$E,ROW())&gt;=1,--INDEX('Call accounts and MMFs'!$E:$E,ROW())/100,--INDEX('Call accounts and MMFs'!$E:$E,ROW())),0)</f>
        <v/>
      </c>
      <c r="O1466">
        <f>IFERROR(--INDEX('Call accounts and MMFs'!$F:$F,ROW()),0)</f>
        <v/>
      </c>
      <c r="P1466">
        <f>IF(ISNUMBER(INDEX('Call accounts and MMFs'!$E:$E,ROW())),1,0)</f>
        <v/>
      </c>
      <c r="Q1466">
        <f>TRIM(SUBSTITUTE(INDEX('Pooled funds'!$B:$B,ROW())&amp;""," "," "))</f>
        <v/>
      </c>
      <c r="R1466">
        <f>IFERROR(--INDEX('Pooled funds'!$C:$C,ROW()),0)</f>
        <v/>
      </c>
      <c r="S1466">
        <f>IFERROR(--INDEX('Pooled funds'!$D:$D,ROW()),0)</f>
        <v/>
      </c>
      <c r="T1466">
        <f>IFERROR(IF(--INDEX('Pooled funds'!$E:$E,ROW())&gt;=1,--INDEX('Pooled funds'!$E:$E,ROW())/100,--INDEX('Pooled funds'!$E:$E,ROW())),0)</f>
        <v/>
      </c>
      <c r="U1466">
        <f>IF(ISNUMBER(INDEX('Pooled funds'!$E:$E,ROW())),1,0)</f>
        <v/>
      </c>
    </row>
    <row r="1467">
      <c r="A1467">
        <f>TRIM(SUBSTITUTE(INDEX('Term investments'!$A:$A,ROW())&amp;""," "," "))</f>
        <v/>
      </c>
      <c r="B1467">
        <f>TRIM(SUBSTITUTE(INDEX('Term investments'!$B:$B,ROW())&amp;""," "," "))</f>
        <v/>
      </c>
      <c r="C1467">
        <f>TRIM(SUBSTITUTE(INDEX('Term investments'!$C:$C,ROW())&amp;""," "," "))</f>
        <v/>
      </c>
      <c r="D1467">
        <f>IFERROR(--INDEX('Term investments'!$D:$D,ROW()),0)</f>
        <v/>
      </c>
      <c r="E1467">
        <f>IFERROR(--INDEX('Term investments'!$E:$E,ROW()),0)</f>
        <v/>
      </c>
      <c r="F1467">
        <f>IFERROR(--INDEX('Term investments'!$F:$F,ROW()),0)</f>
        <v/>
      </c>
      <c r="G1467">
        <f>IFERROR(IF(--INDEX('Term investments'!$G:$G,ROW())&gt;=1,--INDEX('Term investments'!$G:$G,ROW())/100,--INDEX('Term investments'!$G:$G,ROW())),0)</f>
        <v/>
      </c>
      <c r="H1467">
        <f>IFERROR(--INDEX('Term investments'!$H:$H,ROW()),0)</f>
        <v/>
      </c>
      <c r="I1467">
        <f>IF(ISNUMBER(INDEX('Term investments'!$G:$G,ROW())),1,0)</f>
        <v/>
      </c>
      <c r="J1467">
        <f>TRIM(SUBSTITUTE(INDEX('Call accounts and MMFs'!$A:$A,ROW())&amp;""," "," "))</f>
        <v/>
      </c>
      <c r="K1467">
        <f>TRIM(SUBSTITUTE(INDEX('Call accounts and MMFs'!$B:$B,ROW())&amp;""," "," "))</f>
        <v/>
      </c>
      <c r="L1467">
        <f>TRIM(SUBSTITUTE(INDEX('Call accounts and MMFs'!$C:$C,ROW())&amp;""," "," "))</f>
        <v/>
      </c>
      <c r="M1467">
        <f>IFERROR(--INDEX('Call accounts and MMFs'!$D:$D,ROW()),0)</f>
        <v/>
      </c>
      <c r="N1467">
        <f>IFERROR(IF(--INDEX('Call accounts and MMFs'!$E:$E,ROW())&gt;=1,--INDEX('Call accounts and MMFs'!$E:$E,ROW())/100,--INDEX('Call accounts and MMFs'!$E:$E,ROW())),0)</f>
        <v/>
      </c>
      <c r="O1467">
        <f>IFERROR(--INDEX('Call accounts and MMFs'!$F:$F,ROW()),0)</f>
        <v/>
      </c>
      <c r="P1467">
        <f>IF(ISNUMBER(INDEX('Call accounts and MMFs'!$E:$E,ROW())),1,0)</f>
        <v/>
      </c>
      <c r="Q1467">
        <f>TRIM(SUBSTITUTE(INDEX('Pooled funds'!$B:$B,ROW())&amp;""," "," "))</f>
        <v/>
      </c>
      <c r="R1467">
        <f>IFERROR(--INDEX('Pooled funds'!$C:$C,ROW()),0)</f>
        <v/>
      </c>
      <c r="S1467">
        <f>IFERROR(--INDEX('Pooled funds'!$D:$D,ROW()),0)</f>
        <v/>
      </c>
      <c r="T1467">
        <f>IFERROR(IF(--INDEX('Pooled funds'!$E:$E,ROW())&gt;=1,--INDEX('Pooled funds'!$E:$E,ROW())/100,--INDEX('Pooled funds'!$E:$E,ROW())),0)</f>
        <v/>
      </c>
      <c r="U1467">
        <f>IF(ISNUMBER(INDEX('Pooled funds'!$E:$E,ROW())),1,0)</f>
        <v/>
      </c>
    </row>
    <row r="1468">
      <c r="A1468">
        <f>TRIM(SUBSTITUTE(INDEX('Term investments'!$A:$A,ROW())&amp;""," "," "))</f>
        <v/>
      </c>
      <c r="B1468">
        <f>TRIM(SUBSTITUTE(INDEX('Term investments'!$B:$B,ROW())&amp;""," "," "))</f>
        <v/>
      </c>
      <c r="C1468">
        <f>TRIM(SUBSTITUTE(INDEX('Term investments'!$C:$C,ROW())&amp;""," "," "))</f>
        <v/>
      </c>
      <c r="D1468">
        <f>IFERROR(--INDEX('Term investments'!$D:$D,ROW()),0)</f>
        <v/>
      </c>
      <c r="E1468">
        <f>IFERROR(--INDEX('Term investments'!$E:$E,ROW()),0)</f>
        <v/>
      </c>
      <c r="F1468">
        <f>IFERROR(--INDEX('Term investments'!$F:$F,ROW()),0)</f>
        <v/>
      </c>
      <c r="G1468">
        <f>IFERROR(IF(--INDEX('Term investments'!$G:$G,ROW())&gt;=1,--INDEX('Term investments'!$G:$G,ROW())/100,--INDEX('Term investments'!$G:$G,ROW())),0)</f>
        <v/>
      </c>
      <c r="H1468">
        <f>IFERROR(--INDEX('Term investments'!$H:$H,ROW()),0)</f>
        <v/>
      </c>
      <c r="I1468">
        <f>IF(ISNUMBER(INDEX('Term investments'!$G:$G,ROW())),1,0)</f>
        <v/>
      </c>
      <c r="J1468">
        <f>TRIM(SUBSTITUTE(INDEX('Call accounts and MMFs'!$A:$A,ROW())&amp;""," "," "))</f>
        <v/>
      </c>
      <c r="K1468">
        <f>TRIM(SUBSTITUTE(INDEX('Call accounts and MMFs'!$B:$B,ROW())&amp;""," "," "))</f>
        <v/>
      </c>
      <c r="L1468">
        <f>TRIM(SUBSTITUTE(INDEX('Call accounts and MMFs'!$C:$C,ROW())&amp;""," "," "))</f>
        <v/>
      </c>
      <c r="M1468">
        <f>IFERROR(--INDEX('Call accounts and MMFs'!$D:$D,ROW()),0)</f>
        <v/>
      </c>
      <c r="N1468">
        <f>IFERROR(IF(--INDEX('Call accounts and MMFs'!$E:$E,ROW())&gt;=1,--INDEX('Call accounts and MMFs'!$E:$E,ROW())/100,--INDEX('Call accounts and MMFs'!$E:$E,ROW())),0)</f>
        <v/>
      </c>
      <c r="O1468">
        <f>IFERROR(--INDEX('Call accounts and MMFs'!$F:$F,ROW()),0)</f>
        <v/>
      </c>
      <c r="P1468">
        <f>IF(ISNUMBER(INDEX('Call accounts and MMFs'!$E:$E,ROW())),1,0)</f>
        <v/>
      </c>
      <c r="Q1468">
        <f>TRIM(SUBSTITUTE(INDEX('Pooled funds'!$B:$B,ROW())&amp;""," "," "))</f>
        <v/>
      </c>
      <c r="R1468">
        <f>IFERROR(--INDEX('Pooled funds'!$C:$C,ROW()),0)</f>
        <v/>
      </c>
      <c r="S1468">
        <f>IFERROR(--INDEX('Pooled funds'!$D:$D,ROW()),0)</f>
        <v/>
      </c>
      <c r="T1468">
        <f>IFERROR(IF(--INDEX('Pooled funds'!$E:$E,ROW())&gt;=1,--INDEX('Pooled funds'!$E:$E,ROW())/100,--INDEX('Pooled funds'!$E:$E,ROW())),0)</f>
        <v/>
      </c>
      <c r="U1468">
        <f>IF(ISNUMBER(INDEX('Pooled funds'!$E:$E,ROW())),1,0)</f>
        <v/>
      </c>
    </row>
    <row r="1469">
      <c r="A1469">
        <f>TRIM(SUBSTITUTE(INDEX('Term investments'!$A:$A,ROW())&amp;""," "," "))</f>
        <v/>
      </c>
      <c r="B1469">
        <f>TRIM(SUBSTITUTE(INDEX('Term investments'!$B:$B,ROW())&amp;""," "," "))</f>
        <v/>
      </c>
      <c r="C1469">
        <f>TRIM(SUBSTITUTE(INDEX('Term investments'!$C:$C,ROW())&amp;""," "," "))</f>
        <v/>
      </c>
      <c r="D1469">
        <f>IFERROR(--INDEX('Term investments'!$D:$D,ROW()),0)</f>
        <v/>
      </c>
      <c r="E1469">
        <f>IFERROR(--INDEX('Term investments'!$E:$E,ROW()),0)</f>
        <v/>
      </c>
      <c r="F1469">
        <f>IFERROR(--INDEX('Term investments'!$F:$F,ROW()),0)</f>
        <v/>
      </c>
      <c r="G1469">
        <f>IFERROR(IF(--INDEX('Term investments'!$G:$G,ROW())&gt;=1,--INDEX('Term investments'!$G:$G,ROW())/100,--INDEX('Term investments'!$G:$G,ROW())),0)</f>
        <v/>
      </c>
      <c r="H1469">
        <f>IFERROR(--INDEX('Term investments'!$H:$H,ROW()),0)</f>
        <v/>
      </c>
      <c r="I1469">
        <f>IF(ISNUMBER(INDEX('Term investments'!$G:$G,ROW())),1,0)</f>
        <v/>
      </c>
      <c r="J1469">
        <f>TRIM(SUBSTITUTE(INDEX('Call accounts and MMFs'!$A:$A,ROW())&amp;""," "," "))</f>
        <v/>
      </c>
      <c r="K1469">
        <f>TRIM(SUBSTITUTE(INDEX('Call accounts and MMFs'!$B:$B,ROW())&amp;""," "," "))</f>
        <v/>
      </c>
      <c r="L1469">
        <f>TRIM(SUBSTITUTE(INDEX('Call accounts and MMFs'!$C:$C,ROW())&amp;""," "," "))</f>
        <v/>
      </c>
      <c r="M1469">
        <f>IFERROR(--INDEX('Call accounts and MMFs'!$D:$D,ROW()),0)</f>
        <v/>
      </c>
      <c r="N1469">
        <f>IFERROR(IF(--INDEX('Call accounts and MMFs'!$E:$E,ROW())&gt;=1,--INDEX('Call accounts and MMFs'!$E:$E,ROW())/100,--INDEX('Call accounts and MMFs'!$E:$E,ROW())),0)</f>
        <v/>
      </c>
      <c r="O1469">
        <f>IFERROR(--INDEX('Call accounts and MMFs'!$F:$F,ROW()),0)</f>
        <v/>
      </c>
      <c r="P1469">
        <f>IF(ISNUMBER(INDEX('Call accounts and MMFs'!$E:$E,ROW())),1,0)</f>
        <v/>
      </c>
      <c r="Q1469">
        <f>TRIM(SUBSTITUTE(INDEX('Pooled funds'!$B:$B,ROW())&amp;""," "," "))</f>
        <v/>
      </c>
      <c r="R1469">
        <f>IFERROR(--INDEX('Pooled funds'!$C:$C,ROW()),0)</f>
        <v/>
      </c>
      <c r="S1469">
        <f>IFERROR(--INDEX('Pooled funds'!$D:$D,ROW()),0)</f>
        <v/>
      </c>
      <c r="T1469">
        <f>IFERROR(IF(--INDEX('Pooled funds'!$E:$E,ROW())&gt;=1,--INDEX('Pooled funds'!$E:$E,ROW())/100,--INDEX('Pooled funds'!$E:$E,ROW())),0)</f>
        <v/>
      </c>
      <c r="U1469">
        <f>IF(ISNUMBER(INDEX('Pooled funds'!$E:$E,ROW())),1,0)</f>
        <v/>
      </c>
    </row>
    <row r="1470">
      <c r="A1470">
        <f>TRIM(SUBSTITUTE(INDEX('Term investments'!$A:$A,ROW())&amp;""," "," "))</f>
        <v/>
      </c>
      <c r="B1470">
        <f>TRIM(SUBSTITUTE(INDEX('Term investments'!$B:$B,ROW())&amp;""," "," "))</f>
        <v/>
      </c>
      <c r="C1470">
        <f>TRIM(SUBSTITUTE(INDEX('Term investments'!$C:$C,ROW())&amp;""," "," "))</f>
        <v/>
      </c>
      <c r="D1470">
        <f>IFERROR(--INDEX('Term investments'!$D:$D,ROW()),0)</f>
        <v/>
      </c>
      <c r="E1470">
        <f>IFERROR(--INDEX('Term investments'!$E:$E,ROW()),0)</f>
        <v/>
      </c>
      <c r="F1470">
        <f>IFERROR(--INDEX('Term investments'!$F:$F,ROW()),0)</f>
        <v/>
      </c>
      <c r="G1470">
        <f>IFERROR(IF(--INDEX('Term investments'!$G:$G,ROW())&gt;=1,--INDEX('Term investments'!$G:$G,ROW())/100,--INDEX('Term investments'!$G:$G,ROW())),0)</f>
        <v/>
      </c>
      <c r="H1470">
        <f>IFERROR(--INDEX('Term investments'!$H:$H,ROW()),0)</f>
        <v/>
      </c>
      <c r="I1470">
        <f>IF(ISNUMBER(INDEX('Term investments'!$G:$G,ROW())),1,0)</f>
        <v/>
      </c>
      <c r="J1470">
        <f>TRIM(SUBSTITUTE(INDEX('Call accounts and MMFs'!$A:$A,ROW())&amp;""," "," "))</f>
        <v/>
      </c>
      <c r="K1470">
        <f>TRIM(SUBSTITUTE(INDEX('Call accounts and MMFs'!$B:$B,ROW())&amp;""," "," "))</f>
        <v/>
      </c>
      <c r="L1470">
        <f>TRIM(SUBSTITUTE(INDEX('Call accounts and MMFs'!$C:$C,ROW())&amp;""," "," "))</f>
        <v/>
      </c>
      <c r="M1470">
        <f>IFERROR(--INDEX('Call accounts and MMFs'!$D:$D,ROW()),0)</f>
        <v/>
      </c>
      <c r="N1470">
        <f>IFERROR(IF(--INDEX('Call accounts and MMFs'!$E:$E,ROW())&gt;=1,--INDEX('Call accounts and MMFs'!$E:$E,ROW())/100,--INDEX('Call accounts and MMFs'!$E:$E,ROW())),0)</f>
        <v/>
      </c>
      <c r="O1470">
        <f>IFERROR(--INDEX('Call accounts and MMFs'!$F:$F,ROW()),0)</f>
        <v/>
      </c>
      <c r="P1470">
        <f>IF(ISNUMBER(INDEX('Call accounts and MMFs'!$E:$E,ROW())),1,0)</f>
        <v/>
      </c>
      <c r="Q1470">
        <f>TRIM(SUBSTITUTE(INDEX('Pooled funds'!$B:$B,ROW())&amp;""," "," "))</f>
        <v/>
      </c>
      <c r="R1470">
        <f>IFERROR(--INDEX('Pooled funds'!$C:$C,ROW()),0)</f>
        <v/>
      </c>
      <c r="S1470">
        <f>IFERROR(--INDEX('Pooled funds'!$D:$D,ROW()),0)</f>
        <v/>
      </c>
      <c r="T1470">
        <f>IFERROR(IF(--INDEX('Pooled funds'!$E:$E,ROW())&gt;=1,--INDEX('Pooled funds'!$E:$E,ROW())/100,--INDEX('Pooled funds'!$E:$E,ROW())),0)</f>
        <v/>
      </c>
      <c r="U1470">
        <f>IF(ISNUMBER(INDEX('Pooled funds'!$E:$E,ROW())),1,0)</f>
        <v/>
      </c>
    </row>
    <row r="1471">
      <c r="A1471">
        <f>TRIM(SUBSTITUTE(INDEX('Term investments'!$A:$A,ROW())&amp;""," "," "))</f>
        <v/>
      </c>
      <c r="B1471">
        <f>TRIM(SUBSTITUTE(INDEX('Term investments'!$B:$B,ROW())&amp;""," "," "))</f>
        <v/>
      </c>
      <c r="C1471">
        <f>TRIM(SUBSTITUTE(INDEX('Term investments'!$C:$C,ROW())&amp;""," "," "))</f>
        <v/>
      </c>
      <c r="D1471">
        <f>IFERROR(--INDEX('Term investments'!$D:$D,ROW()),0)</f>
        <v/>
      </c>
      <c r="E1471">
        <f>IFERROR(--INDEX('Term investments'!$E:$E,ROW()),0)</f>
        <v/>
      </c>
      <c r="F1471">
        <f>IFERROR(--INDEX('Term investments'!$F:$F,ROW()),0)</f>
        <v/>
      </c>
      <c r="G1471">
        <f>IFERROR(IF(--INDEX('Term investments'!$G:$G,ROW())&gt;=1,--INDEX('Term investments'!$G:$G,ROW())/100,--INDEX('Term investments'!$G:$G,ROW())),0)</f>
        <v/>
      </c>
      <c r="H1471">
        <f>IFERROR(--INDEX('Term investments'!$H:$H,ROW()),0)</f>
        <v/>
      </c>
      <c r="I1471">
        <f>IF(ISNUMBER(INDEX('Term investments'!$G:$G,ROW())),1,0)</f>
        <v/>
      </c>
      <c r="J1471">
        <f>TRIM(SUBSTITUTE(INDEX('Call accounts and MMFs'!$A:$A,ROW())&amp;""," "," "))</f>
        <v/>
      </c>
      <c r="K1471">
        <f>TRIM(SUBSTITUTE(INDEX('Call accounts and MMFs'!$B:$B,ROW())&amp;""," "," "))</f>
        <v/>
      </c>
      <c r="L1471">
        <f>TRIM(SUBSTITUTE(INDEX('Call accounts and MMFs'!$C:$C,ROW())&amp;""," "," "))</f>
        <v/>
      </c>
      <c r="M1471">
        <f>IFERROR(--INDEX('Call accounts and MMFs'!$D:$D,ROW()),0)</f>
        <v/>
      </c>
      <c r="N1471">
        <f>IFERROR(IF(--INDEX('Call accounts and MMFs'!$E:$E,ROW())&gt;=1,--INDEX('Call accounts and MMFs'!$E:$E,ROW())/100,--INDEX('Call accounts and MMFs'!$E:$E,ROW())),0)</f>
        <v/>
      </c>
      <c r="O1471">
        <f>IFERROR(--INDEX('Call accounts and MMFs'!$F:$F,ROW()),0)</f>
        <v/>
      </c>
      <c r="P1471">
        <f>IF(ISNUMBER(INDEX('Call accounts and MMFs'!$E:$E,ROW())),1,0)</f>
        <v/>
      </c>
      <c r="Q1471">
        <f>TRIM(SUBSTITUTE(INDEX('Pooled funds'!$B:$B,ROW())&amp;""," "," "))</f>
        <v/>
      </c>
      <c r="R1471">
        <f>IFERROR(--INDEX('Pooled funds'!$C:$C,ROW()),0)</f>
        <v/>
      </c>
      <c r="S1471">
        <f>IFERROR(--INDEX('Pooled funds'!$D:$D,ROW()),0)</f>
        <v/>
      </c>
      <c r="T1471">
        <f>IFERROR(IF(--INDEX('Pooled funds'!$E:$E,ROW())&gt;=1,--INDEX('Pooled funds'!$E:$E,ROW())/100,--INDEX('Pooled funds'!$E:$E,ROW())),0)</f>
        <v/>
      </c>
      <c r="U1471">
        <f>IF(ISNUMBER(INDEX('Pooled funds'!$E:$E,ROW())),1,0)</f>
        <v/>
      </c>
    </row>
    <row r="1472">
      <c r="A1472">
        <f>TRIM(SUBSTITUTE(INDEX('Term investments'!$A:$A,ROW())&amp;""," "," "))</f>
        <v/>
      </c>
      <c r="B1472">
        <f>TRIM(SUBSTITUTE(INDEX('Term investments'!$B:$B,ROW())&amp;""," "," "))</f>
        <v/>
      </c>
      <c r="C1472">
        <f>TRIM(SUBSTITUTE(INDEX('Term investments'!$C:$C,ROW())&amp;""," "," "))</f>
        <v/>
      </c>
      <c r="D1472">
        <f>IFERROR(--INDEX('Term investments'!$D:$D,ROW()),0)</f>
        <v/>
      </c>
      <c r="E1472">
        <f>IFERROR(--INDEX('Term investments'!$E:$E,ROW()),0)</f>
        <v/>
      </c>
      <c r="F1472">
        <f>IFERROR(--INDEX('Term investments'!$F:$F,ROW()),0)</f>
        <v/>
      </c>
      <c r="G1472">
        <f>IFERROR(IF(--INDEX('Term investments'!$G:$G,ROW())&gt;=1,--INDEX('Term investments'!$G:$G,ROW())/100,--INDEX('Term investments'!$G:$G,ROW())),0)</f>
        <v/>
      </c>
      <c r="H1472">
        <f>IFERROR(--INDEX('Term investments'!$H:$H,ROW()),0)</f>
        <v/>
      </c>
      <c r="I1472">
        <f>IF(ISNUMBER(INDEX('Term investments'!$G:$G,ROW())),1,0)</f>
        <v/>
      </c>
      <c r="J1472">
        <f>TRIM(SUBSTITUTE(INDEX('Call accounts and MMFs'!$A:$A,ROW())&amp;""," "," "))</f>
        <v/>
      </c>
      <c r="K1472">
        <f>TRIM(SUBSTITUTE(INDEX('Call accounts and MMFs'!$B:$B,ROW())&amp;""," "," "))</f>
        <v/>
      </c>
      <c r="L1472">
        <f>TRIM(SUBSTITUTE(INDEX('Call accounts and MMFs'!$C:$C,ROW())&amp;""," "," "))</f>
        <v/>
      </c>
      <c r="M1472">
        <f>IFERROR(--INDEX('Call accounts and MMFs'!$D:$D,ROW()),0)</f>
        <v/>
      </c>
      <c r="N1472">
        <f>IFERROR(IF(--INDEX('Call accounts and MMFs'!$E:$E,ROW())&gt;=1,--INDEX('Call accounts and MMFs'!$E:$E,ROW())/100,--INDEX('Call accounts and MMFs'!$E:$E,ROW())),0)</f>
        <v/>
      </c>
      <c r="O1472">
        <f>IFERROR(--INDEX('Call accounts and MMFs'!$F:$F,ROW()),0)</f>
        <v/>
      </c>
      <c r="P1472">
        <f>IF(ISNUMBER(INDEX('Call accounts and MMFs'!$E:$E,ROW())),1,0)</f>
        <v/>
      </c>
      <c r="Q1472">
        <f>TRIM(SUBSTITUTE(INDEX('Pooled funds'!$B:$B,ROW())&amp;""," "," "))</f>
        <v/>
      </c>
      <c r="R1472">
        <f>IFERROR(--INDEX('Pooled funds'!$C:$C,ROW()),0)</f>
        <v/>
      </c>
      <c r="S1472">
        <f>IFERROR(--INDEX('Pooled funds'!$D:$D,ROW()),0)</f>
        <v/>
      </c>
      <c r="T1472">
        <f>IFERROR(IF(--INDEX('Pooled funds'!$E:$E,ROW())&gt;=1,--INDEX('Pooled funds'!$E:$E,ROW())/100,--INDEX('Pooled funds'!$E:$E,ROW())),0)</f>
        <v/>
      </c>
      <c r="U1472">
        <f>IF(ISNUMBER(INDEX('Pooled funds'!$E:$E,ROW())),1,0)</f>
        <v/>
      </c>
    </row>
    <row r="1473">
      <c r="A1473">
        <f>TRIM(SUBSTITUTE(INDEX('Term investments'!$A:$A,ROW())&amp;""," "," "))</f>
        <v/>
      </c>
      <c r="B1473">
        <f>TRIM(SUBSTITUTE(INDEX('Term investments'!$B:$B,ROW())&amp;""," "," "))</f>
        <v/>
      </c>
      <c r="C1473">
        <f>TRIM(SUBSTITUTE(INDEX('Term investments'!$C:$C,ROW())&amp;""," "," "))</f>
        <v/>
      </c>
      <c r="D1473">
        <f>IFERROR(--INDEX('Term investments'!$D:$D,ROW()),0)</f>
        <v/>
      </c>
      <c r="E1473">
        <f>IFERROR(--INDEX('Term investments'!$E:$E,ROW()),0)</f>
        <v/>
      </c>
      <c r="F1473">
        <f>IFERROR(--INDEX('Term investments'!$F:$F,ROW()),0)</f>
        <v/>
      </c>
      <c r="G1473">
        <f>IFERROR(IF(--INDEX('Term investments'!$G:$G,ROW())&gt;=1,--INDEX('Term investments'!$G:$G,ROW())/100,--INDEX('Term investments'!$G:$G,ROW())),0)</f>
        <v/>
      </c>
      <c r="H1473">
        <f>IFERROR(--INDEX('Term investments'!$H:$H,ROW()),0)</f>
        <v/>
      </c>
      <c r="I1473">
        <f>IF(ISNUMBER(INDEX('Term investments'!$G:$G,ROW())),1,0)</f>
        <v/>
      </c>
      <c r="J1473">
        <f>TRIM(SUBSTITUTE(INDEX('Call accounts and MMFs'!$A:$A,ROW())&amp;""," "," "))</f>
        <v/>
      </c>
      <c r="K1473">
        <f>TRIM(SUBSTITUTE(INDEX('Call accounts and MMFs'!$B:$B,ROW())&amp;""," "," "))</f>
        <v/>
      </c>
      <c r="L1473">
        <f>TRIM(SUBSTITUTE(INDEX('Call accounts and MMFs'!$C:$C,ROW())&amp;""," "," "))</f>
        <v/>
      </c>
      <c r="M1473">
        <f>IFERROR(--INDEX('Call accounts and MMFs'!$D:$D,ROW()),0)</f>
        <v/>
      </c>
      <c r="N1473">
        <f>IFERROR(IF(--INDEX('Call accounts and MMFs'!$E:$E,ROW())&gt;=1,--INDEX('Call accounts and MMFs'!$E:$E,ROW())/100,--INDEX('Call accounts and MMFs'!$E:$E,ROW())),0)</f>
        <v/>
      </c>
      <c r="O1473">
        <f>IFERROR(--INDEX('Call accounts and MMFs'!$F:$F,ROW()),0)</f>
        <v/>
      </c>
      <c r="P1473">
        <f>IF(ISNUMBER(INDEX('Call accounts and MMFs'!$E:$E,ROW())),1,0)</f>
        <v/>
      </c>
      <c r="Q1473">
        <f>TRIM(SUBSTITUTE(INDEX('Pooled funds'!$B:$B,ROW())&amp;""," "," "))</f>
        <v/>
      </c>
      <c r="R1473">
        <f>IFERROR(--INDEX('Pooled funds'!$C:$C,ROW()),0)</f>
        <v/>
      </c>
      <c r="S1473">
        <f>IFERROR(--INDEX('Pooled funds'!$D:$D,ROW()),0)</f>
        <v/>
      </c>
      <c r="T1473">
        <f>IFERROR(IF(--INDEX('Pooled funds'!$E:$E,ROW())&gt;=1,--INDEX('Pooled funds'!$E:$E,ROW())/100,--INDEX('Pooled funds'!$E:$E,ROW())),0)</f>
        <v/>
      </c>
      <c r="U1473">
        <f>IF(ISNUMBER(INDEX('Pooled funds'!$E:$E,ROW())),1,0)</f>
        <v/>
      </c>
    </row>
    <row r="1474">
      <c r="A1474">
        <f>TRIM(SUBSTITUTE(INDEX('Term investments'!$A:$A,ROW())&amp;""," "," "))</f>
        <v/>
      </c>
      <c r="B1474">
        <f>TRIM(SUBSTITUTE(INDEX('Term investments'!$B:$B,ROW())&amp;""," "," "))</f>
        <v/>
      </c>
      <c r="C1474">
        <f>TRIM(SUBSTITUTE(INDEX('Term investments'!$C:$C,ROW())&amp;""," "," "))</f>
        <v/>
      </c>
      <c r="D1474">
        <f>IFERROR(--INDEX('Term investments'!$D:$D,ROW()),0)</f>
        <v/>
      </c>
      <c r="E1474">
        <f>IFERROR(--INDEX('Term investments'!$E:$E,ROW()),0)</f>
        <v/>
      </c>
      <c r="F1474">
        <f>IFERROR(--INDEX('Term investments'!$F:$F,ROW()),0)</f>
        <v/>
      </c>
      <c r="G1474">
        <f>IFERROR(IF(--INDEX('Term investments'!$G:$G,ROW())&gt;=1,--INDEX('Term investments'!$G:$G,ROW())/100,--INDEX('Term investments'!$G:$G,ROW())),0)</f>
        <v/>
      </c>
      <c r="H1474">
        <f>IFERROR(--INDEX('Term investments'!$H:$H,ROW()),0)</f>
        <v/>
      </c>
      <c r="I1474">
        <f>IF(ISNUMBER(INDEX('Term investments'!$G:$G,ROW())),1,0)</f>
        <v/>
      </c>
      <c r="J1474">
        <f>TRIM(SUBSTITUTE(INDEX('Call accounts and MMFs'!$A:$A,ROW())&amp;""," "," "))</f>
        <v/>
      </c>
      <c r="K1474">
        <f>TRIM(SUBSTITUTE(INDEX('Call accounts and MMFs'!$B:$B,ROW())&amp;""," "," "))</f>
        <v/>
      </c>
      <c r="L1474">
        <f>TRIM(SUBSTITUTE(INDEX('Call accounts and MMFs'!$C:$C,ROW())&amp;""," "," "))</f>
        <v/>
      </c>
      <c r="M1474">
        <f>IFERROR(--INDEX('Call accounts and MMFs'!$D:$D,ROW()),0)</f>
        <v/>
      </c>
      <c r="N1474">
        <f>IFERROR(IF(--INDEX('Call accounts and MMFs'!$E:$E,ROW())&gt;=1,--INDEX('Call accounts and MMFs'!$E:$E,ROW())/100,--INDEX('Call accounts and MMFs'!$E:$E,ROW())),0)</f>
        <v/>
      </c>
      <c r="O1474">
        <f>IFERROR(--INDEX('Call accounts and MMFs'!$F:$F,ROW()),0)</f>
        <v/>
      </c>
      <c r="P1474">
        <f>IF(ISNUMBER(INDEX('Call accounts and MMFs'!$E:$E,ROW())),1,0)</f>
        <v/>
      </c>
      <c r="Q1474">
        <f>TRIM(SUBSTITUTE(INDEX('Pooled funds'!$B:$B,ROW())&amp;""," "," "))</f>
        <v/>
      </c>
      <c r="R1474">
        <f>IFERROR(--INDEX('Pooled funds'!$C:$C,ROW()),0)</f>
        <v/>
      </c>
      <c r="S1474">
        <f>IFERROR(--INDEX('Pooled funds'!$D:$D,ROW()),0)</f>
        <v/>
      </c>
      <c r="T1474">
        <f>IFERROR(IF(--INDEX('Pooled funds'!$E:$E,ROW())&gt;=1,--INDEX('Pooled funds'!$E:$E,ROW())/100,--INDEX('Pooled funds'!$E:$E,ROW())),0)</f>
        <v/>
      </c>
      <c r="U1474">
        <f>IF(ISNUMBER(INDEX('Pooled funds'!$E:$E,ROW())),1,0)</f>
        <v/>
      </c>
    </row>
    <row r="1475">
      <c r="A1475">
        <f>TRIM(SUBSTITUTE(INDEX('Term investments'!$A:$A,ROW())&amp;""," "," "))</f>
        <v/>
      </c>
      <c r="B1475">
        <f>TRIM(SUBSTITUTE(INDEX('Term investments'!$B:$B,ROW())&amp;""," "," "))</f>
        <v/>
      </c>
      <c r="C1475">
        <f>TRIM(SUBSTITUTE(INDEX('Term investments'!$C:$C,ROW())&amp;""," "," "))</f>
        <v/>
      </c>
      <c r="D1475">
        <f>IFERROR(--INDEX('Term investments'!$D:$D,ROW()),0)</f>
        <v/>
      </c>
      <c r="E1475">
        <f>IFERROR(--INDEX('Term investments'!$E:$E,ROW()),0)</f>
        <v/>
      </c>
      <c r="F1475">
        <f>IFERROR(--INDEX('Term investments'!$F:$F,ROW()),0)</f>
        <v/>
      </c>
      <c r="G1475">
        <f>IFERROR(IF(--INDEX('Term investments'!$G:$G,ROW())&gt;=1,--INDEX('Term investments'!$G:$G,ROW())/100,--INDEX('Term investments'!$G:$G,ROW())),0)</f>
        <v/>
      </c>
      <c r="H1475">
        <f>IFERROR(--INDEX('Term investments'!$H:$H,ROW()),0)</f>
        <v/>
      </c>
      <c r="I1475">
        <f>IF(ISNUMBER(INDEX('Term investments'!$G:$G,ROW())),1,0)</f>
        <v/>
      </c>
      <c r="J1475">
        <f>TRIM(SUBSTITUTE(INDEX('Call accounts and MMFs'!$A:$A,ROW())&amp;""," "," "))</f>
        <v/>
      </c>
      <c r="K1475">
        <f>TRIM(SUBSTITUTE(INDEX('Call accounts and MMFs'!$B:$B,ROW())&amp;""," "," "))</f>
        <v/>
      </c>
      <c r="L1475">
        <f>TRIM(SUBSTITUTE(INDEX('Call accounts and MMFs'!$C:$C,ROW())&amp;""," "," "))</f>
        <v/>
      </c>
      <c r="M1475">
        <f>IFERROR(--INDEX('Call accounts and MMFs'!$D:$D,ROW()),0)</f>
        <v/>
      </c>
      <c r="N1475">
        <f>IFERROR(IF(--INDEX('Call accounts and MMFs'!$E:$E,ROW())&gt;=1,--INDEX('Call accounts and MMFs'!$E:$E,ROW())/100,--INDEX('Call accounts and MMFs'!$E:$E,ROW())),0)</f>
        <v/>
      </c>
      <c r="O1475">
        <f>IFERROR(--INDEX('Call accounts and MMFs'!$F:$F,ROW()),0)</f>
        <v/>
      </c>
      <c r="P1475">
        <f>IF(ISNUMBER(INDEX('Call accounts and MMFs'!$E:$E,ROW())),1,0)</f>
        <v/>
      </c>
      <c r="Q1475">
        <f>TRIM(SUBSTITUTE(INDEX('Pooled funds'!$B:$B,ROW())&amp;""," "," "))</f>
        <v/>
      </c>
      <c r="R1475">
        <f>IFERROR(--INDEX('Pooled funds'!$C:$C,ROW()),0)</f>
        <v/>
      </c>
      <c r="S1475">
        <f>IFERROR(--INDEX('Pooled funds'!$D:$D,ROW()),0)</f>
        <v/>
      </c>
      <c r="T1475">
        <f>IFERROR(IF(--INDEX('Pooled funds'!$E:$E,ROW())&gt;=1,--INDEX('Pooled funds'!$E:$E,ROW())/100,--INDEX('Pooled funds'!$E:$E,ROW())),0)</f>
        <v/>
      </c>
      <c r="U1475">
        <f>IF(ISNUMBER(INDEX('Pooled funds'!$E:$E,ROW())),1,0)</f>
        <v/>
      </c>
    </row>
    <row r="1476">
      <c r="A1476">
        <f>TRIM(SUBSTITUTE(INDEX('Term investments'!$A:$A,ROW())&amp;""," "," "))</f>
        <v/>
      </c>
      <c r="B1476">
        <f>TRIM(SUBSTITUTE(INDEX('Term investments'!$B:$B,ROW())&amp;""," "," "))</f>
        <v/>
      </c>
      <c r="C1476">
        <f>TRIM(SUBSTITUTE(INDEX('Term investments'!$C:$C,ROW())&amp;""," "," "))</f>
        <v/>
      </c>
      <c r="D1476">
        <f>IFERROR(--INDEX('Term investments'!$D:$D,ROW()),0)</f>
        <v/>
      </c>
      <c r="E1476">
        <f>IFERROR(--INDEX('Term investments'!$E:$E,ROW()),0)</f>
        <v/>
      </c>
      <c r="F1476">
        <f>IFERROR(--INDEX('Term investments'!$F:$F,ROW()),0)</f>
        <v/>
      </c>
      <c r="G1476">
        <f>IFERROR(IF(--INDEX('Term investments'!$G:$G,ROW())&gt;=1,--INDEX('Term investments'!$G:$G,ROW())/100,--INDEX('Term investments'!$G:$G,ROW())),0)</f>
        <v/>
      </c>
      <c r="H1476">
        <f>IFERROR(--INDEX('Term investments'!$H:$H,ROW()),0)</f>
        <v/>
      </c>
      <c r="I1476">
        <f>IF(ISNUMBER(INDEX('Term investments'!$G:$G,ROW())),1,0)</f>
        <v/>
      </c>
      <c r="J1476">
        <f>TRIM(SUBSTITUTE(INDEX('Call accounts and MMFs'!$A:$A,ROW())&amp;""," "," "))</f>
        <v/>
      </c>
      <c r="K1476">
        <f>TRIM(SUBSTITUTE(INDEX('Call accounts and MMFs'!$B:$B,ROW())&amp;""," "," "))</f>
        <v/>
      </c>
      <c r="L1476">
        <f>TRIM(SUBSTITUTE(INDEX('Call accounts and MMFs'!$C:$C,ROW())&amp;""," "," "))</f>
        <v/>
      </c>
      <c r="M1476">
        <f>IFERROR(--INDEX('Call accounts and MMFs'!$D:$D,ROW()),0)</f>
        <v/>
      </c>
      <c r="N1476">
        <f>IFERROR(IF(--INDEX('Call accounts and MMFs'!$E:$E,ROW())&gt;=1,--INDEX('Call accounts and MMFs'!$E:$E,ROW())/100,--INDEX('Call accounts and MMFs'!$E:$E,ROW())),0)</f>
        <v/>
      </c>
      <c r="O1476">
        <f>IFERROR(--INDEX('Call accounts and MMFs'!$F:$F,ROW()),0)</f>
        <v/>
      </c>
      <c r="P1476">
        <f>IF(ISNUMBER(INDEX('Call accounts and MMFs'!$E:$E,ROW())),1,0)</f>
        <v/>
      </c>
      <c r="Q1476">
        <f>TRIM(SUBSTITUTE(INDEX('Pooled funds'!$B:$B,ROW())&amp;""," "," "))</f>
        <v/>
      </c>
      <c r="R1476">
        <f>IFERROR(--INDEX('Pooled funds'!$C:$C,ROW()),0)</f>
        <v/>
      </c>
      <c r="S1476">
        <f>IFERROR(--INDEX('Pooled funds'!$D:$D,ROW()),0)</f>
        <v/>
      </c>
      <c r="T1476">
        <f>IFERROR(IF(--INDEX('Pooled funds'!$E:$E,ROW())&gt;=1,--INDEX('Pooled funds'!$E:$E,ROW())/100,--INDEX('Pooled funds'!$E:$E,ROW())),0)</f>
        <v/>
      </c>
      <c r="U1476">
        <f>IF(ISNUMBER(INDEX('Pooled funds'!$E:$E,ROW())),1,0)</f>
        <v/>
      </c>
    </row>
    <row r="1477">
      <c r="A1477">
        <f>TRIM(SUBSTITUTE(INDEX('Term investments'!$A:$A,ROW())&amp;""," "," "))</f>
        <v/>
      </c>
      <c r="B1477">
        <f>TRIM(SUBSTITUTE(INDEX('Term investments'!$B:$B,ROW())&amp;""," "," "))</f>
        <v/>
      </c>
      <c r="C1477">
        <f>TRIM(SUBSTITUTE(INDEX('Term investments'!$C:$C,ROW())&amp;""," "," "))</f>
        <v/>
      </c>
      <c r="D1477">
        <f>IFERROR(--INDEX('Term investments'!$D:$D,ROW()),0)</f>
        <v/>
      </c>
      <c r="E1477">
        <f>IFERROR(--INDEX('Term investments'!$E:$E,ROW()),0)</f>
        <v/>
      </c>
      <c r="F1477">
        <f>IFERROR(--INDEX('Term investments'!$F:$F,ROW()),0)</f>
        <v/>
      </c>
      <c r="G1477">
        <f>IFERROR(IF(--INDEX('Term investments'!$G:$G,ROW())&gt;=1,--INDEX('Term investments'!$G:$G,ROW())/100,--INDEX('Term investments'!$G:$G,ROW())),0)</f>
        <v/>
      </c>
      <c r="H1477">
        <f>IFERROR(--INDEX('Term investments'!$H:$H,ROW()),0)</f>
        <v/>
      </c>
      <c r="I1477">
        <f>IF(ISNUMBER(INDEX('Term investments'!$G:$G,ROW())),1,0)</f>
        <v/>
      </c>
      <c r="J1477">
        <f>TRIM(SUBSTITUTE(INDEX('Call accounts and MMFs'!$A:$A,ROW())&amp;""," "," "))</f>
        <v/>
      </c>
      <c r="K1477">
        <f>TRIM(SUBSTITUTE(INDEX('Call accounts and MMFs'!$B:$B,ROW())&amp;""," "," "))</f>
        <v/>
      </c>
      <c r="L1477">
        <f>TRIM(SUBSTITUTE(INDEX('Call accounts and MMFs'!$C:$C,ROW())&amp;""," "," "))</f>
        <v/>
      </c>
      <c r="M1477">
        <f>IFERROR(--INDEX('Call accounts and MMFs'!$D:$D,ROW()),0)</f>
        <v/>
      </c>
      <c r="N1477">
        <f>IFERROR(IF(--INDEX('Call accounts and MMFs'!$E:$E,ROW())&gt;=1,--INDEX('Call accounts and MMFs'!$E:$E,ROW())/100,--INDEX('Call accounts and MMFs'!$E:$E,ROW())),0)</f>
        <v/>
      </c>
      <c r="O1477">
        <f>IFERROR(--INDEX('Call accounts and MMFs'!$F:$F,ROW()),0)</f>
        <v/>
      </c>
      <c r="P1477">
        <f>IF(ISNUMBER(INDEX('Call accounts and MMFs'!$E:$E,ROW())),1,0)</f>
        <v/>
      </c>
      <c r="Q1477">
        <f>TRIM(SUBSTITUTE(INDEX('Pooled funds'!$B:$B,ROW())&amp;""," "," "))</f>
        <v/>
      </c>
      <c r="R1477">
        <f>IFERROR(--INDEX('Pooled funds'!$C:$C,ROW()),0)</f>
        <v/>
      </c>
      <c r="S1477">
        <f>IFERROR(--INDEX('Pooled funds'!$D:$D,ROW()),0)</f>
        <v/>
      </c>
      <c r="T1477">
        <f>IFERROR(IF(--INDEX('Pooled funds'!$E:$E,ROW())&gt;=1,--INDEX('Pooled funds'!$E:$E,ROW())/100,--INDEX('Pooled funds'!$E:$E,ROW())),0)</f>
        <v/>
      </c>
      <c r="U1477">
        <f>IF(ISNUMBER(INDEX('Pooled funds'!$E:$E,ROW())),1,0)</f>
        <v/>
      </c>
    </row>
    <row r="1478">
      <c r="A1478">
        <f>TRIM(SUBSTITUTE(INDEX('Term investments'!$A:$A,ROW())&amp;""," "," "))</f>
        <v/>
      </c>
      <c r="B1478">
        <f>TRIM(SUBSTITUTE(INDEX('Term investments'!$B:$B,ROW())&amp;""," "," "))</f>
        <v/>
      </c>
      <c r="C1478">
        <f>TRIM(SUBSTITUTE(INDEX('Term investments'!$C:$C,ROW())&amp;""," "," "))</f>
        <v/>
      </c>
      <c r="D1478">
        <f>IFERROR(--INDEX('Term investments'!$D:$D,ROW()),0)</f>
        <v/>
      </c>
      <c r="E1478">
        <f>IFERROR(--INDEX('Term investments'!$E:$E,ROW()),0)</f>
        <v/>
      </c>
      <c r="F1478">
        <f>IFERROR(--INDEX('Term investments'!$F:$F,ROW()),0)</f>
        <v/>
      </c>
      <c r="G1478">
        <f>IFERROR(IF(--INDEX('Term investments'!$G:$G,ROW())&gt;=1,--INDEX('Term investments'!$G:$G,ROW())/100,--INDEX('Term investments'!$G:$G,ROW())),0)</f>
        <v/>
      </c>
      <c r="H1478">
        <f>IFERROR(--INDEX('Term investments'!$H:$H,ROW()),0)</f>
        <v/>
      </c>
      <c r="I1478">
        <f>IF(ISNUMBER(INDEX('Term investments'!$G:$G,ROW())),1,0)</f>
        <v/>
      </c>
      <c r="J1478">
        <f>TRIM(SUBSTITUTE(INDEX('Call accounts and MMFs'!$A:$A,ROW())&amp;""," "," "))</f>
        <v/>
      </c>
      <c r="K1478">
        <f>TRIM(SUBSTITUTE(INDEX('Call accounts and MMFs'!$B:$B,ROW())&amp;""," "," "))</f>
        <v/>
      </c>
      <c r="L1478">
        <f>TRIM(SUBSTITUTE(INDEX('Call accounts and MMFs'!$C:$C,ROW())&amp;""," "," "))</f>
        <v/>
      </c>
      <c r="M1478">
        <f>IFERROR(--INDEX('Call accounts and MMFs'!$D:$D,ROW()),0)</f>
        <v/>
      </c>
      <c r="N1478">
        <f>IFERROR(IF(--INDEX('Call accounts and MMFs'!$E:$E,ROW())&gt;=1,--INDEX('Call accounts and MMFs'!$E:$E,ROW())/100,--INDEX('Call accounts and MMFs'!$E:$E,ROW())),0)</f>
        <v/>
      </c>
      <c r="O1478">
        <f>IFERROR(--INDEX('Call accounts and MMFs'!$F:$F,ROW()),0)</f>
        <v/>
      </c>
      <c r="P1478">
        <f>IF(ISNUMBER(INDEX('Call accounts and MMFs'!$E:$E,ROW())),1,0)</f>
        <v/>
      </c>
      <c r="Q1478">
        <f>TRIM(SUBSTITUTE(INDEX('Pooled funds'!$B:$B,ROW())&amp;""," "," "))</f>
        <v/>
      </c>
      <c r="R1478">
        <f>IFERROR(--INDEX('Pooled funds'!$C:$C,ROW()),0)</f>
        <v/>
      </c>
      <c r="S1478">
        <f>IFERROR(--INDEX('Pooled funds'!$D:$D,ROW()),0)</f>
        <v/>
      </c>
      <c r="T1478">
        <f>IFERROR(IF(--INDEX('Pooled funds'!$E:$E,ROW())&gt;=1,--INDEX('Pooled funds'!$E:$E,ROW())/100,--INDEX('Pooled funds'!$E:$E,ROW())),0)</f>
        <v/>
      </c>
      <c r="U1478">
        <f>IF(ISNUMBER(INDEX('Pooled funds'!$E:$E,ROW())),1,0)</f>
        <v/>
      </c>
    </row>
    <row r="1479">
      <c r="A1479">
        <f>TRIM(SUBSTITUTE(INDEX('Term investments'!$A:$A,ROW())&amp;""," "," "))</f>
        <v/>
      </c>
      <c r="B1479">
        <f>TRIM(SUBSTITUTE(INDEX('Term investments'!$B:$B,ROW())&amp;""," "," "))</f>
        <v/>
      </c>
      <c r="C1479">
        <f>TRIM(SUBSTITUTE(INDEX('Term investments'!$C:$C,ROW())&amp;""," "," "))</f>
        <v/>
      </c>
      <c r="D1479">
        <f>IFERROR(--INDEX('Term investments'!$D:$D,ROW()),0)</f>
        <v/>
      </c>
      <c r="E1479">
        <f>IFERROR(--INDEX('Term investments'!$E:$E,ROW()),0)</f>
        <v/>
      </c>
      <c r="F1479">
        <f>IFERROR(--INDEX('Term investments'!$F:$F,ROW()),0)</f>
        <v/>
      </c>
      <c r="G1479">
        <f>IFERROR(IF(--INDEX('Term investments'!$G:$G,ROW())&gt;=1,--INDEX('Term investments'!$G:$G,ROW())/100,--INDEX('Term investments'!$G:$G,ROW())),0)</f>
        <v/>
      </c>
      <c r="H1479">
        <f>IFERROR(--INDEX('Term investments'!$H:$H,ROW()),0)</f>
        <v/>
      </c>
      <c r="I1479">
        <f>IF(ISNUMBER(INDEX('Term investments'!$G:$G,ROW())),1,0)</f>
        <v/>
      </c>
      <c r="J1479">
        <f>TRIM(SUBSTITUTE(INDEX('Call accounts and MMFs'!$A:$A,ROW())&amp;""," "," "))</f>
        <v/>
      </c>
      <c r="K1479">
        <f>TRIM(SUBSTITUTE(INDEX('Call accounts and MMFs'!$B:$B,ROW())&amp;""," "," "))</f>
        <v/>
      </c>
      <c r="L1479">
        <f>TRIM(SUBSTITUTE(INDEX('Call accounts and MMFs'!$C:$C,ROW())&amp;""," "," "))</f>
        <v/>
      </c>
      <c r="M1479">
        <f>IFERROR(--INDEX('Call accounts and MMFs'!$D:$D,ROW()),0)</f>
        <v/>
      </c>
      <c r="N1479">
        <f>IFERROR(IF(--INDEX('Call accounts and MMFs'!$E:$E,ROW())&gt;=1,--INDEX('Call accounts and MMFs'!$E:$E,ROW())/100,--INDEX('Call accounts and MMFs'!$E:$E,ROW())),0)</f>
        <v/>
      </c>
      <c r="O1479">
        <f>IFERROR(--INDEX('Call accounts and MMFs'!$F:$F,ROW()),0)</f>
        <v/>
      </c>
      <c r="P1479">
        <f>IF(ISNUMBER(INDEX('Call accounts and MMFs'!$E:$E,ROW())),1,0)</f>
        <v/>
      </c>
      <c r="Q1479">
        <f>TRIM(SUBSTITUTE(INDEX('Pooled funds'!$B:$B,ROW())&amp;""," "," "))</f>
        <v/>
      </c>
      <c r="R1479">
        <f>IFERROR(--INDEX('Pooled funds'!$C:$C,ROW()),0)</f>
        <v/>
      </c>
      <c r="S1479">
        <f>IFERROR(--INDEX('Pooled funds'!$D:$D,ROW()),0)</f>
        <v/>
      </c>
      <c r="T1479">
        <f>IFERROR(IF(--INDEX('Pooled funds'!$E:$E,ROW())&gt;=1,--INDEX('Pooled funds'!$E:$E,ROW())/100,--INDEX('Pooled funds'!$E:$E,ROW())),0)</f>
        <v/>
      </c>
      <c r="U1479">
        <f>IF(ISNUMBER(INDEX('Pooled funds'!$E:$E,ROW())),1,0)</f>
        <v/>
      </c>
    </row>
    <row r="1480">
      <c r="A1480">
        <f>TRIM(SUBSTITUTE(INDEX('Term investments'!$A:$A,ROW())&amp;""," "," "))</f>
        <v/>
      </c>
      <c r="B1480">
        <f>TRIM(SUBSTITUTE(INDEX('Term investments'!$B:$B,ROW())&amp;""," "," "))</f>
        <v/>
      </c>
      <c r="C1480">
        <f>TRIM(SUBSTITUTE(INDEX('Term investments'!$C:$C,ROW())&amp;""," "," "))</f>
        <v/>
      </c>
      <c r="D1480">
        <f>IFERROR(--INDEX('Term investments'!$D:$D,ROW()),0)</f>
        <v/>
      </c>
      <c r="E1480">
        <f>IFERROR(--INDEX('Term investments'!$E:$E,ROW()),0)</f>
        <v/>
      </c>
      <c r="F1480">
        <f>IFERROR(--INDEX('Term investments'!$F:$F,ROW()),0)</f>
        <v/>
      </c>
      <c r="G1480">
        <f>IFERROR(IF(--INDEX('Term investments'!$G:$G,ROW())&gt;=1,--INDEX('Term investments'!$G:$G,ROW())/100,--INDEX('Term investments'!$G:$G,ROW())),0)</f>
        <v/>
      </c>
      <c r="H1480">
        <f>IFERROR(--INDEX('Term investments'!$H:$H,ROW()),0)</f>
        <v/>
      </c>
      <c r="I1480">
        <f>IF(ISNUMBER(INDEX('Term investments'!$G:$G,ROW())),1,0)</f>
        <v/>
      </c>
      <c r="J1480">
        <f>TRIM(SUBSTITUTE(INDEX('Call accounts and MMFs'!$A:$A,ROW())&amp;""," "," "))</f>
        <v/>
      </c>
      <c r="K1480">
        <f>TRIM(SUBSTITUTE(INDEX('Call accounts and MMFs'!$B:$B,ROW())&amp;""," "," "))</f>
        <v/>
      </c>
      <c r="L1480">
        <f>TRIM(SUBSTITUTE(INDEX('Call accounts and MMFs'!$C:$C,ROW())&amp;""," "," "))</f>
        <v/>
      </c>
      <c r="M1480">
        <f>IFERROR(--INDEX('Call accounts and MMFs'!$D:$D,ROW()),0)</f>
        <v/>
      </c>
      <c r="N1480">
        <f>IFERROR(IF(--INDEX('Call accounts and MMFs'!$E:$E,ROW())&gt;=1,--INDEX('Call accounts and MMFs'!$E:$E,ROW())/100,--INDEX('Call accounts and MMFs'!$E:$E,ROW())),0)</f>
        <v/>
      </c>
      <c r="O1480">
        <f>IFERROR(--INDEX('Call accounts and MMFs'!$F:$F,ROW()),0)</f>
        <v/>
      </c>
      <c r="P1480">
        <f>IF(ISNUMBER(INDEX('Call accounts and MMFs'!$E:$E,ROW())),1,0)</f>
        <v/>
      </c>
      <c r="Q1480">
        <f>TRIM(SUBSTITUTE(INDEX('Pooled funds'!$B:$B,ROW())&amp;""," "," "))</f>
        <v/>
      </c>
      <c r="R1480">
        <f>IFERROR(--INDEX('Pooled funds'!$C:$C,ROW()),0)</f>
        <v/>
      </c>
      <c r="S1480">
        <f>IFERROR(--INDEX('Pooled funds'!$D:$D,ROW()),0)</f>
        <v/>
      </c>
      <c r="T1480">
        <f>IFERROR(IF(--INDEX('Pooled funds'!$E:$E,ROW())&gt;=1,--INDEX('Pooled funds'!$E:$E,ROW())/100,--INDEX('Pooled funds'!$E:$E,ROW())),0)</f>
        <v/>
      </c>
      <c r="U1480">
        <f>IF(ISNUMBER(INDEX('Pooled funds'!$E:$E,ROW())),1,0)</f>
        <v/>
      </c>
    </row>
    <row r="1481">
      <c r="A1481">
        <f>TRIM(SUBSTITUTE(INDEX('Term investments'!$A:$A,ROW())&amp;""," "," "))</f>
        <v/>
      </c>
      <c r="B1481">
        <f>TRIM(SUBSTITUTE(INDEX('Term investments'!$B:$B,ROW())&amp;""," "," "))</f>
        <v/>
      </c>
      <c r="C1481">
        <f>TRIM(SUBSTITUTE(INDEX('Term investments'!$C:$C,ROW())&amp;""," "," "))</f>
        <v/>
      </c>
      <c r="D1481">
        <f>IFERROR(--INDEX('Term investments'!$D:$D,ROW()),0)</f>
        <v/>
      </c>
      <c r="E1481">
        <f>IFERROR(--INDEX('Term investments'!$E:$E,ROW()),0)</f>
        <v/>
      </c>
      <c r="F1481">
        <f>IFERROR(--INDEX('Term investments'!$F:$F,ROW()),0)</f>
        <v/>
      </c>
      <c r="G1481">
        <f>IFERROR(IF(--INDEX('Term investments'!$G:$G,ROW())&gt;=1,--INDEX('Term investments'!$G:$G,ROW())/100,--INDEX('Term investments'!$G:$G,ROW())),0)</f>
        <v/>
      </c>
      <c r="H1481">
        <f>IFERROR(--INDEX('Term investments'!$H:$H,ROW()),0)</f>
        <v/>
      </c>
      <c r="I1481">
        <f>IF(ISNUMBER(INDEX('Term investments'!$G:$G,ROW())),1,0)</f>
        <v/>
      </c>
      <c r="J1481">
        <f>TRIM(SUBSTITUTE(INDEX('Call accounts and MMFs'!$A:$A,ROW())&amp;""," "," "))</f>
        <v/>
      </c>
      <c r="K1481">
        <f>TRIM(SUBSTITUTE(INDEX('Call accounts and MMFs'!$B:$B,ROW())&amp;""," "," "))</f>
        <v/>
      </c>
      <c r="L1481">
        <f>TRIM(SUBSTITUTE(INDEX('Call accounts and MMFs'!$C:$C,ROW())&amp;""," "," "))</f>
        <v/>
      </c>
      <c r="M1481">
        <f>IFERROR(--INDEX('Call accounts and MMFs'!$D:$D,ROW()),0)</f>
        <v/>
      </c>
      <c r="N1481">
        <f>IFERROR(IF(--INDEX('Call accounts and MMFs'!$E:$E,ROW())&gt;=1,--INDEX('Call accounts and MMFs'!$E:$E,ROW())/100,--INDEX('Call accounts and MMFs'!$E:$E,ROW())),0)</f>
        <v/>
      </c>
      <c r="O1481">
        <f>IFERROR(--INDEX('Call accounts and MMFs'!$F:$F,ROW()),0)</f>
        <v/>
      </c>
      <c r="P1481">
        <f>IF(ISNUMBER(INDEX('Call accounts and MMFs'!$E:$E,ROW())),1,0)</f>
        <v/>
      </c>
      <c r="Q1481">
        <f>TRIM(SUBSTITUTE(INDEX('Pooled funds'!$B:$B,ROW())&amp;""," "," "))</f>
        <v/>
      </c>
      <c r="R1481">
        <f>IFERROR(--INDEX('Pooled funds'!$C:$C,ROW()),0)</f>
        <v/>
      </c>
      <c r="S1481">
        <f>IFERROR(--INDEX('Pooled funds'!$D:$D,ROW()),0)</f>
        <v/>
      </c>
      <c r="T1481">
        <f>IFERROR(IF(--INDEX('Pooled funds'!$E:$E,ROW())&gt;=1,--INDEX('Pooled funds'!$E:$E,ROW())/100,--INDEX('Pooled funds'!$E:$E,ROW())),0)</f>
        <v/>
      </c>
      <c r="U1481">
        <f>IF(ISNUMBER(INDEX('Pooled funds'!$E:$E,ROW())),1,0)</f>
        <v/>
      </c>
    </row>
    <row r="1482">
      <c r="A1482">
        <f>TRIM(SUBSTITUTE(INDEX('Term investments'!$A:$A,ROW())&amp;""," "," "))</f>
        <v/>
      </c>
      <c r="B1482">
        <f>TRIM(SUBSTITUTE(INDEX('Term investments'!$B:$B,ROW())&amp;""," "," "))</f>
        <v/>
      </c>
      <c r="C1482">
        <f>TRIM(SUBSTITUTE(INDEX('Term investments'!$C:$C,ROW())&amp;""," "," "))</f>
        <v/>
      </c>
      <c r="D1482">
        <f>IFERROR(--INDEX('Term investments'!$D:$D,ROW()),0)</f>
        <v/>
      </c>
      <c r="E1482">
        <f>IFERROR(--INDEX('Term investments'!$E:$E,ROW()),0)</f>
        <v/>
      </c>
      <c r="F1482">
        <f>IFERROR(--INDEX('Term investments'!$F:$F,ROW()),0)</f>
        <v/>
      </c>
      <c r="G1482">
        <f>IFERROR(IF(--INDEX('Term investments'!$G:$G,ROW())&gt;=1,--INDEX('Term investments'!$G:$G,ROW())/100,--INDEX('Term investments'!$G:$G,ROW())),0)</f>
        <v/>
      </c>
      <c r="H1482">
        <f>IFERROR(--INDEX('Term investments'!$H:$H,ROW()),0)</f>
        <v/>
      </c>
      <c r="I1482">
        <f>IF(ISNUMBER(INDEX('Term investments'!$G:$G,ROW())),1,0)</f>
        <v/>
      </c>
      <c r="J1482">
        <f>TRIM(SUBSTITUTE(INDEX('Call accounts and MMFs'!$A:$A,ROW())&amp;""," "," "))</f>
        <v/>
      </c>
      <c r="K1482">
        <f>TRIM(SUBSTITUTE(INDEX('Call accounts and MMFs'!$B:$B,ROW())&amp;""," "," "))</f>
        <v/>
      </c>
      <c r="L1482">
        <f>TRIM(SUBSTITUTE(INDEX('Call accounts and MMFs'!$C:$C,ROW())&amp;""," "," "))</f>
        <v/>
      </c>
      <c r="M1482">
        <f>IFERROR(--INDEX('Call accounts and MMFs'!$D:$D,ROW()),0)</f>
        <v/>
      </c>
      <c r="N1482">
        <f>IFERROR(IF(--INDEX('Call accounts and MMFs'!$E:$E,ROW())&gt;=1,--INDEX('Call accounts and MMFs'!$E:$E,ROW())/100,--INDEX('Call accounts and MMFs'!$E:$E,ROW())),0)</f>
        <v/>
      </c>
      <c r="O1482">
        <f>IFERROR(--INDEX('Call accounts and MMFs'!$F:$F,ROW()),0)</f>
        <v/>
      </c>
      <c r="P1482">
        <f>IF(ISNUMBER(INDEX('Call accounts and MMFs'!$E:$E,ROW())),1,0)</f>
        <v/>
      </c>
      <c r="Q1482">
        <f>TRIM(SUBSTITUTE(INDEX('Pooled funds'!$B:$B,ROW())&amp;""," "," "))</f>
        <v/>
      </c>
      <c r="R1482">
        <f>IFERROR(--INDEX('Pooled funds'!$C:$C,ROW()),0)</f>
        <v/>
      </c>
      <c r="S1482">
        <f>IFERROR(--INDEX('Pooled funds'!$D:$D,ROW()),0)</f>
        <v/>
      </c>
      <c r="T1482">
        <f>IFERROR(IF(--INDEX('Pooled funds'!$E:$E,ROW())&gt;=1,--INDEX('Pooled funds'!$E:$E,ROW())/100,--INDEX('Pooled funds'!$E:$E,ROW())),0)</f>
        <v/>
      </c>
      <c r="U1482">
        <f>IF(ISNUMBER(INDEX('Pooled funds'!$E:$E,ROW())),1,0)</f>
        <v/>
      </c>
    </row>
    <row r="1483">
      <c r="A1483">
        <f>TRIM(SUBSTITUTE(INDEX('Term investments'!$A:$A,ROW())&amp;""," "," "))</f>
        <v/>
      </c>
      <c r="B1483">
        <f>TRIM(SUBSTITUTE(INDEX('Term investments'!$B:$B,ROW())&amp;""," "," "))</f>
        <v/>
      </c>
      <c r="C1483">
        <f>TRIM(SUBSTITUTE(INDEX('Term investments'!$C:$C,ROW())&amp;""," "," "))</f>
        <v/>
      </c>
      <c r="D1483">
        <f>IFERROR(--INDEX('Term investments'!$D:$D,ROW()),0)</f>
        <v/>
      </c>
      <c r="E1483">
        <f>IFERROR(--INDEX('Term investments'!$E:$E,ROW()),0)</f>
        <v/>
      </c>
      <c r="F1483">
        <f>IFERROR(--INDEX('Term investments'!$F:$F,ROW()),0)</f>
        <v/>
      </c>
      <c r="G1483">
        <f>IFERROR(IF(--INDEX('Term investments'!$G:$G,ROW())&gt;=1,--INDEX('Term investments'!$G:$G,ROW())/100,--INDEX('Term investments'!$G:$G,ROW())),0)</f>
        <v/>
      </c>
      <c r="H1483">
        <f>IFERROR(--INDEX('Term investments'!$H:$H,ROW()),0)</f>
        <v/>
      </c>
      <c r="I1483">
        <f>IF(ISNUMBER(INDEX('Term investments'!$G:$G,ROW())),1,0)</f>
        <v/>
      </c>
      <c r="J1483">
        <f>TRIM(SUBSTITUTE(INDEX('Call accounts and MMFs'!$A:$A,ROW())&amp;""," "," "))</f>
        <v/>
      </c>
      <c r="K1483">
        <f>TRIM(SUBSTITUTE(INDEX('Call accounts and MMFs'!$B:$B,ROW())&amp;""," "," "))</f>
        <v/>
      </c>
      <c r="L1483">
        <f>TRIM(SUBSTITUTE(INDEX('Call accounts and MMFs'!$C:$C,ROW())&amp;""," "," "))</f>
        <v/>
      </c>
      <c r="M1483">
        <f>IFERROR(--INDEX('Call accounts and MMFs'!$D:$D,ROW()),0)</f>
        <v/>
      </c>
      <c r="N1483">
        <f>IFERROR(IF(--INDEX('Call accounts and MMFs'!$E:$E,ROW())&gt;=1,--INDEX('Call accounts and MMFs'!$E:$E,ROW())/100,--INDEX('Call accounts and MMFs'!$E:$E,ROW())),0)</f>
        <v/>
      </c>
      <c r="O1483">
        <f>IFERROR(--INDEX('Call accounts and MMFs'!$F:$F,ROW()),0)</f>
        <v/>
      </c>
      <c r="P1483">
        <f>IF(ISNUMBER(INDEX('Call accounts and MMFs'!$E:$E,ROW())),1,0)</f>
        <v/>
      </c>
      <c r="Q1483">
        <f>TRIM(SUBSTITUTE(INDEX('Pooled funds'!$B:$B,ROW())&amp;""," "," "))</f>
        <v/>
      </c>
      <c r="R1483">
        <f>IFERROR(--INDEX('Pooled funds'!$C:$C,ROW()),0)</f>
        <v/>
      </c>
      <c r="S1483">
        <f>IFERROR(--INDEX('Pooled funds'!$D:$D,ROW()),0)</f>
        <v/>
      </c>
      <c r="T1483">
        <f>IFERROR(IF(--INDEX('Pooled funds'!$E:$E,ROW())&gt;=1,--INDEX('Pooled funds'!$E:$E,ROW())/100,--INDEX('Pooled funds'!$E:$E,ROW())),0)</f>
        <v/>
      </c>
      <c r="U1483">
        <f>IF(ISNUMBER(INDEX('Pooled funds'!$E:$E,ROW())),1,0)</f>
        <v/>
      </c>
    </row>
    <row r="1484">
      <c r="A1484">
        <f>TRIM(SUBSTITUTE(INDEX('Term investments'!$A:$A,ROW())&amp;""," "," "))</f>
        <v/>
      </c>
      <c r="B1484">
        <f>TRIM(SUBSTITUTE(INDEX('Term investments'!$B:$B,ROW())&amp;""," "," "))</f>
        <v/>
      </c>
      <c r="C1484">
        <f>TRIM(SUBSTITUTE(INDEX('Term investments'!$C:$C,ROW())&amp;""," "," "))</f>
        <v/>
      </c>
      <c r="D1484">
        <f>IFERROR(--INDEX('Term investments'!$D:$D,ROW()),0)</f>
        <v/>
      </c>
      <c r="E1484">
        <f>IFERROR(--INDEX('Term investments'!$E:$E,ROW()),0)</f>
        <v/>
      </c>
      <c r="F1484">
        <f>IFERROR(--INDEX('Term investments'!$F:$F,ROW()),0)</f>
        <v/>
      </c>
      <c r="G1484">
        <f>IFERROR(IF(--INDEX('Term investments'!$G:$G,ROW())&gt;=1,--INDEX('Term investments'!$G:$G,ROW())/100,--INDEX('Term investments'!$G:$G,ROW())),0)</f>
        <v/>
      </c>
      <c r="H1484">
        <f>IFERROR(--INDEX('Term investments'!$H:$H,ROW()),0)</f>
        <v/>
      </c>
      <c r="I1484">
        <f>IF(ISNUMBER(INDEX('Term investments'!$G:$G,ROW())),1,0)</f>
        <v/>
      </c>
      <c r="J1484">
        <f>TRIM(SUBSTITUTE(INDEX('Call accounts and MMFs'!$A:$A,ROW())&amp;""," "," "))</f>
        <v/>
      </c>
      <c r="K1484">
        <f>TRIM(SUBSTITUTE(INDEX('Call accounts and MMFs'!$B:$B,ROW())&amp;""," "," "))</f>
        <v/>
      </c>
      <c r="L1484">
        <f>TRIM(SUBSTITUTE(INDEX('Call accounts and MMFs'!$C:$C,ROW())&amp;""," "," "))</f>
        <v/>
      </c>
      <c r="M1484">
        <f>IFERROR(--INDEX('Call accounts and MMFs'!$D:$D,ROW()),0)</f>
        <v/>
      </c>
      <c r="N1484">
        <f>IFERROR(IF(--INDEX('Call accounts and MMFs'!$E:$E,ROW())&gt;=1,--INDEX('Call accounts and MMFs'!$E:$E,ROW())/100,--INDEX('Call accounts and MMFs'!$E:$E,ROW())),0)</f>
        <v/>
      </c>
      <c r="O1484">
        <f>IFERROR(--INDEX('Call accounts and MMFs'!$F:$F,ROW()),0)</f>
        <v/>
      </c>
      <c r="P1484">
        <f>IF(ISNUMBER(INDEX('Call accounts and MMFs'!$E:$E,ROW())),1,0)</f>
        <v/>
      </c>
      <c r="Q1484">
        <f>TRIM(SUBSTITUTE(INDEX('Pooled funds'!$B:$B,ROW())&amp;""," "," "))</f>
        <v/>
      </c>
      <c r="R1484">
        <f>IFERROR(--INDEX('Pooled funds'!$C:$C,ROW()),0)</f>
        <v/>
      </c>
      <c r="S1484">
        <f>IFERROR(--INDEX('Pooled funds'!$D:$D,ROW()),0)</f>
        <v/>
      </c>
      <c r="T1484">
        <f>IFERROR(IF(--INDEX('Pooled funds'!$E:$E,ROW())&gt;=1,--INDEX('Pooled funds'!$E:$E,ROW())/100,--INDEX('Pooled funds'!$E:$E,ROW())),0)</f>
        <v/>
      </c>
      <c r="U1484">
        <f>IF(ISNUMBER(INDEX('Pooled funds'!$E:$E,ROW())),1,0)</f>
        <v/>
      </c>
    </row>
    <row r="1485">
      <c r="A1485">
        <f>TRIM(SUBSTITUTE(INDEX('Term investments'!$A:$A,ROW())&amp;""," "," "))</f>
        <v/>
      </c>
      <c r="B1485">
        <f>TRIM(SUBSTITUTE(INDEX('Term investments'!$B:$B,ROW())&amp;""," "," "))</f>
        <v/>
      </c>
      <c r="C1485">
        <f>TRIM(SUBSTITUTE(INDEX('Term investments'!$C:$C,ROW())&amp;""," "," "))</f>
        <v/>
      </c>
      <c r="D1485">
        <f>IFERROR(--INDEX('Term investments'!$D:$D,ROW()),0)</f>
        <v/>
      </c>
      <c r="E1485">
        <f>IFERROR(--INDEX('Term investments'!$E:$E,ROW()),0)</f>
        <v/>
      </c>
      <c r="F1485">
        <f>IFERROR(--INDEX('Term investments'!$F:$F,ROW()),0)</f>
        <v/>
      </c>
      <c r="G1485">
        <f>IFERROR(IF(--INDEX('Term investments'!$G:$G,ROW())&gt;=1,--INDEX('Term investments'!$G:$G,ROW())/100,--INDEX('Term investments'!$G:$G,ROW())),0)</f>
        <v/>
      </c>
      <c r="H1485">
        <f>IFERROR(--INDEX('Term investments'!$H:$H,ROW()),0)</f>
        <v/>
      </c>
      <c r="I1485">
        <f>IF(ISNUMBER(INDEX('Term investments'!$G:$G,ROW())),1,0)</f>
        <v/>
      </c>
      <c r="J1485">
        <f>TRIM(SUBSTITUTE(INDEX('Call accounts and MMFs'!$A:$A,ROW())&amp;""," "," "))</f>
        <v/>
      </c>
      <c r="K1485">
        <f>TRIM(SUBSTITUTE(INDEX('Call accounts and MMFs'!$B:$B,ROW())&amp;""," "," "))</f>
        <v/>
      </c>
      <c r="L1485">
        <f>TRIM(SUBSTITUTE(INDEX('Call accounts and MMFs'!$C:$C,ROW())&amp;""," "," "))</f>
        <v/>
      </c>
      <c r="M1485">
        <f>IFERROR(--INDEX('Call accounts and MMFs'!$D:$D,ROW()),0)</f>
        <v/>
      </c>
      <c r="N1485">
        <f>IFERROR(IF(--INDEX('Call accounts and MMFs'!$E:$E,ROW())&gt;=1,--INDEX('Call accounts and MMFs'!$E:$E,ROW())/100,--INDEX('Call accounts and MMFs'!$E:$E,ROW())),0)</f>
        <v/>
      </c>
      <c r="O1485">
        <f>IFERROR(--INDEX('Call accounts and MMFs'!$F:$F,ROW()),0)</f>
        <v/>
      </c>
      <c r="P1485">
        <f>IF(ISNUMBER(INDEX('Call accounts and MMFs'!$E:$E,ROW())),1,0)</f>
        <v/>
      </c>
      <c r="Q1485">
        <f>TRIM(SUBSTITUTE(INDEX('Pooled funds'!$B:$B,ROW())&amp;""," "," "))</f>
        <v/>
      </c>
      <c r="R1485">
        <f>IFERROR(--INDEX('Pooled funds'!$C:$C,ROW()),0)</f>
        <v/>
      </c>
      <c r="S1485">
        <f>IFERROR(--INDEX('Pooled funds'!$D:$D,ROW()),0)</f>
        <v/>
      </c>
      <c r="T1485">
        <f>IFERROR(IF(--INDEX('Pooled funds'!$E:$E,ROW())&gt;=1,--INDEX('Pooled funds'!$E:$E,ROW())/100,--INDEX('Pooled funds'!$E:$E,ROW())),0)</f>
        <v/>
      </c>
      <c r="U1485">
        <f>IF(ISNUMBER(INDEX('Pooled funds'!$E:$E,ROW())),1,0)</f>
        <v/>
      </c>
    </row>
    <row r="1486">
      <c r="A1486">
        <f>TRIM(SUBSTITUTE(INDEX('Term investments'!$A:$A,ROW())&amp;""," "," "))</f>
        <v/>
      </c>
      <c r="B1486">
        <f>TRIM(SUBSTITUTE(INDEX('Term investments'!$B:$B,ROW())&amp;""," "," "))</f>
        <v/>
      </c>
      <c r="C1486">
        <f>TRIM(SUBSTITUTE(INDEX('Term investments'!$C:$C,ROW())&amp;""," "," "))</f>
        <v/>
      </c>
      <c r="D1486">
        <f>IFERROR(--INDEX('Term investments'!$D:$D,ROW()),0)</f>
        <v/>
      </c>
      <c r="E1486">
        <f>IFERROR(--INDEX('Term investments'!$E:$E,ROW()),0)</f>
        <v/>
      </c>
      <c r="F1486">
        <f>IFERROR(--INDEX('Term investments'!$F:$F,ROW()),0)</f>
        <v/>
      </c>
      <c r="G1486">
        <f>IFERROR(IF(--INDEX('Term investments'!$G:$G,ROW())&gt;=1,--INDEX('Term investments'!$G:$G,ROW())/100,--INDEX('Term investments'!$G:$G,ROW())),0)</f>
        <v/>
      </c>
      <c r="H1486">
        <f>IFERROR(--INDEX('Term investments'!$H:$H,ROW()),0)</f>
        <v/>
      </c>
      <c r="I1486">
        <f>IF(ISNUMBER(INDEX('Term investments'!$G:$G,ROW())),1,0)</f>
        <v/>
      </c>
      <c r="J1486">
        <f>TRIM(SUBSTITUTE(INDEX('Call accounts and MMFs'!$A:$A,ROW())&amp;""," "," "))</f>
        <v/>
      </c>
      <c r="K1486">
        <f>TRIM(SUBSTITUTE(INDEX('Call accounts and MMFs'!$B:$B,ROW())&amp;""," "," "))</f>
        <v/>
      </c>
      <c r="L1486">
        <f>TRIM(SUBSTITUTE(INDEX('Call accounts and MMFs'!$C:$C,ROW())&amp;""," "," "))</f>
        <v/>
      </c>
      <c r="M1486">
        <f>IFERROR(--INDEX('Call accounts and MMFs'!$D:$D,ROW()),0)</f>
        <v/>
      </c>
      <c r="N1486">
        <f>IFERROR(IF(--INDEX('Call accounts and MMFs'!$E:$E,ROW())&gt;=1,--INDEX('Call accounts and MMFs'!$E:$E,ROW())/100,--INDEX('Call accounts and MMFs'!$E:$E,ROW())),0)</f>
        <v/>
      </c>
      <c r="O1486">
        <f>IFERROR(--INDEX('Call accounts and MMFs'!$F:$F,ROW()),0)</f>
        <v/>
      </c>
      <c r="P1486">
        <f>IF(ISNUMBER(INDEX('Call accounts and MMFs'!$E:$E,ROW())),1,0)</f>
        <v/>
      </c>
      <c r="Q1486">
        <f>TRIM(SUBSTITUTE(INDEX('Pooled funds'!$B:$B,ROW())&amp;""," "," "))</f>
        <v/>
      </c>
      <c r="R1486">
        <f>IFERROR(--INDEX('Pooled funds'!$C:$C,ROW()),0)</f>
        <v/>
      </c>
      <c r="S1486">
        <f>IFERROR(--INDEX('Pooled funds'!$D:$D,ROW()),0)</f>
        <v/>
      </c>
      <c r="T1486">
        <f>IFERROR(IF(--INDEX('Pooled funds'!$E:$E,ROW())&gt;=1,--INDEX('Pooled funds'!$E:$E,ROW())/100,--INDEX('Pooled funds'!$E:$E,ROW())),0)</f>
        <v/>
      </c>
      <c r="U1486">
        <f>IF(ISNUMBER(INDEX('Pooled funds'!$E:$E,ROW())),1,0)</f>
        <v/>
      </c>
    </row>
    <row r="1487">
      <c r="A1487">
        <f>TRIM(SUBSTITUTE(INDEX('Term investments'!$A:$A,ROW())&amp;""," "," "))</f>
        <v/>
      </c>
      <c r="B1487">
        <f>TRIM(SUBSTITUTE(INDEX('Term investments'!$B:$B,ROW())&amp;""," "," "))</f>
        <v/>
      </c>
      <c r="C1487">
        <f>TRIM(SUBSTITUTE(INDEX('Term investments'!$C:$C,ROW())&amp;""," "," "))</f>
        <v/>
      </c>
      <c r="D1487">
        <f>IFERROR(--INDEX('Term investments'!$D:$D,ROW()),0)</f>
        <v/>
      </c>
      <c r="E1487">
        <f>IFERROR(--INDEX('Term investments'!$E:$E,ROW()),0)</f>
        <v/>
      </c>
      <c r="F1487">
        <f>IFERROR(--INDEX('Term investments'!$F:$F,ROW()),0)</f>
        <v/>
      </c>
      <c r="G1487">
        <f>IFERROR(IF(--INDEX('Term investments'!$G:$G,ROW())&gt;=1,--INDEX('Term investments'!$G:$G,ROW())/100,--INDEX('Term investments'!$G:$G,ROW())),0)</f>
        <v/>
      </c>
      <c r="H1487">
        <f>IFERROR(--INDEX('Term investments'!$H:$H,ROW()),0)</f>
        <v/>
      </c>
      <c r="I1487">
        <f>IF(ISNUMBER(INDEX('Term investments'!$G:$G,ROW())),1,0)</f>
        <v/>
      </c>
      <c r="J1487">
        <f>TRIM(SUBSTITUTE(INDEX('Call accounts and MMFs'!$A:$A,ROW())&amp;""," "," "))</f>
        <v/>
      </c>
      <c r="K1487">
        <f>TRIM(SUBSTITUTE(INDEX('Call accounts and MMFs'!$B:$B,ROW())&amp;""," "," "))</f>
        <v/>
      </c>
      <c r="L1487">
        <f>TRIM(SUBSTITUTE(INDEX('Call accounts and MMFs'!$C:$C,ROW())&amp;""," "," "))</f>
        <v/>
      </c>
      <c r="M1487">
        <f>IFERROR(--INDEX('Call accounts and MMFs'!$D:$D,ROW()),0)</f>
        <v/>
      </c>
      <c r="N1487">
        <f>IFERROR(IF(--INDEX('Call accounts and MMFs'!$E:$E,ROW())&gt;=1,--INDEX('Call accounts and MMFs'!$E:$E,ROW())/100,--INDEX('Call accounts and MMFs'!$E:$E,ROW())),0)</f>
        <v/>
      </c>
      <c r="O1487">
        <f>IFERROR(--INDEX('Call accounts and MMFs'!$F:$F,ROW()),0)</f>
        <v/>
      </c>
      <c r="P1487">
        <f>IF(ISNUMBER(INDEX('Call accounts and MMFs'!$E:$E,ROW())),1,0)</f>
        <v/>
      </c>
      <c r="Q1487">
        <f>TRIM(SUBSTITUTE(INDEX('Pooled funds'!$B:$B,ROW())&amp;""," "," "))</f>
        <v/>
      </c>
      <c r="R1487">
        <f>IFERROR(--INDEX('Pooled funds'!$C:$C,ROW()),0)</f>
        <v/>
      </c>
      <c r="S1487">
        <f>IFERROR(--INDEX('Pooled funds'!$D:$D,ROW()),0)</f>
        <v/>
      </c>
      <c r="T1487">
        <f>IFERROR(IF(--INDEX('Pooled funds'!$E:$E,ROW())&gt;=1,--INDEX('Pooled funds'!$E:$E,ROW())/100,--INDEX('Pooled funds'!$E:$E,ROW())),0)</f>
        <v/>
      </c>
      <c r="U1487">
        <f>IF(ISNUMBER(INDEX('Pooled funds'!$E:$E,ROW())),1,0)</f>
        <v/>
      </c>
    </row>
    <row r="1488">
      <c r="A1488">
        <f>TRIM(SUBSTITUTE(INDEX('Term investments'!$A:$A,ROW())&amp;""," "," "))</f>
        <v/>
      </c>
      <c r="B1488">
        <f>TRIM(SUBSTITUTE(INDEX('Term investments'!$B:$B,ROW())&amp;""," "," "))</f>
        <v/>
      </c>
      <c r="C1488">
        <f>TRIM(SUBSTITUTE(INDEX('Term investments'!$C:$C,ROW())&amp;""," "," "))</f>
        <v/>
      </c>
      <c r="D1488">
        <f>IFERROR(--INDEX('Term investments'!$D:$D,ROW()),0)</f>
        <v/>
      </c>
      <c r="E1488">
        <f>IFERROR(--INDEX('Term investments'!$E:$E,ROW()),0)</f>
        <v/>
      </c>
      <c r="F1488">
        <f>IFERROR(--INDEX('Term investments'!$F:$F,ROW()),0)</f>
        <v/>
      </c>
      <c r="G1488">
        <f>IFERROR(IF(--INDEX('Term investments'!$G:$G,ROW())&gt;=1,--INDEX('Term investments'!$G:$G,ROW())/100,--INDEX('Term investments'!$G:$G,ROW())),0)</f>
        <v/>
      </c>
      <c r="H1488">
        <f>IFERROR(--INDEX('Term investments'!$H:$H,ROW()),0)</f>
        <v/>
      </c>
      <c r="I1488">
        <f>IF(ISNUMBER(INDEX('Term investments'!$G:$G,ROW())),1,0)</f>
        <v/>
      </c>
      <c r="J1488">
        <f>TRIM(SUBSTITUTE(INDEX('Call accounts and MMFs'!$A:$A,ROW())&amp;""," "," "))</f>
        <v/>
      </c>
      <c r="K1488">
        <f>TRIM(SUBSTITUTE(INDEX('Call accounts and MMFs'!$B:$B,ROW())&amp;""," "," "))</f>
        <v/>
      </c>
      <c r="L1488">
        <f>TRIM(SUBSTITUTE(INDEX('Call accounts and MMFs'!$C:$C,ROW())&amp;""," "," "))</f>
        <v/>
      </c>
      <c r="M1488">
        <f>IFERROR(--INDEX('Call accounts and MMFs'!$D:$D,ROW()),0)</f>
        <v/>
      </c>
      <c r="N1488">
        <f>IFERROR(IF(--INDEX('Call accounts and MMFs'!$E:$E,ROW())&gt;=1,--INDEX('Call accounts and MMFs'!$E:$E,ROW())/100,--INDEX('Call accounts and MMFs'!$E:$E,ROW())),0)</f>
        <v/>
      </c>
      <c r="O1488">
        <f>IFERROR(--INDEX('Call accounts and MMFs'!$F:$F,ROW()),0)</f>
        <v/>
      </c>
      <c r="P1488">
        <f>IF(ISNUMBER(INDEX('Call accounts and MMFs'!$E:$E,ROW())),1,0)</f>
        <v/>
      </c>
      <c r="Q1488">
        <f>TRIM(SUBSTITUTE(INDEX('Pooled funds'!$B:$B,ROW())&amp;""," "," "))</f>
        <v/>
      </c>
      <c r="R1488">
        <f>IFERROR(--INDEX('Pooled funds'!$C:$C,ROW()),0)</f>
        <v/>
      </c>
      <c r="S1488">
        <f>IFERROR(--INDEX('Pooled funds'!$D:$D,ROW()),0)</f>
        <v/>
      </c>
      <c r="T1488">
        <f>IFERROR(IF(--INDEX('Pooled funds'!$E:$E,ROW())&gt;=1,--INDEX('Pooled funds'!$E:$E,ROW())/100,--INDEX('Pooled funds'!$E:$E,ROW())),0)</f>
        <v/>
      </c>
      <c r="U1488">
        <f>IF(ISNUMBER(INDEX('Pooled funds'!$E:$E,ROW())),1,0)</f>
        <v/>
      </c>
    </row>
    <row r="1489">
      <c r="A1489">
        <f>TRIM(SUBSTITUTE(INDEX('Term investments'!$A:$A,ROW())&amp;""," "," "))</f>
        <v/>
      </c>
      <c r="B1489">
        <f>TRIM(SUBSTITUTE(INDEX('Term investments'!$B:$B,ROW())&amp;""," "," "))</f>
        <v/>
      </c>
      <c r="C1489">
        <f>TRIM(SUBSTITUTE(INDEX('Term investments'!$C:$C,ROW())&amp;""," "," "))</f>
        <v/>
      </c>
      <c r="D1489">
        <f>IFERROR(--INDEX('Term investments'!$D:$D,ROW()),0)</f>
        <v/>
      </c>
      <c r="E1489">
        <f>IFERROR(--INDEX('Term investments'!$E:$E,ROW()),0)</f>
        <v/>
      </c>
      <c r="F1489">
        <f>IFERROR(--INDEX('Term investments'!$F:$F,ROW()),0)</f>
        <v/>
      </c>
      <c r="G1489">
        <f>IFERROR(IF(--INDEX('Term investments'!$G:$G,ROW())&gt;=1,--INDEX('Term investments'!$G:$G,ROW())/100,--INDEX('Term investments'!$G:$G,ROW())),0)</f>
        <v/>
      </c>
      <c r="H1489">
        <f>IFERROR(--INDEX('Term investments'!$H:$H,ROW()),0)</f>
        <v/>
      </c>
      <c r="I1489">
        <f>IF(ISNUMBER(INDEX('Term investments'!$G:$G,ROW())),1,0)</f>
        <v/>
      </c>
      <c r="J1489">
        <f>TRIM(SUBSTITUTE(INDEX('Call accounts and MMFs'!$A:$A,ROW())&amp;""," "," "))</f>
        <v/>
      </c>
      <c r="K1489">
        <f>TRIM(SUBSTITUTE(INDEX('Call accounts and MMFs'!$B:$B,ROW())&amp;""," "," "))</f>
        <v/>
      </c>
      <c r="L1489">
        <f>TRIM(SUBSTITUTE(INDEX('Call accounts and MMFs'!$C:$C,ROW())&amp;""," "," "))</f>
        <v/>
      </c>
      <c r="M1489">
        <f>IFERROR(--INDEX('Call accounts and MMFs'!$D:$D,ROW()),0)</f>
        <v/>
      </c>
      <c r="N1489">
        <f>IFERROR(IF(--INDEX('Call accounts and MMFs'!$E:$E,ROW())&gt;=1,--INDEX('Call accounts and MMFs'!$E:$E,ROW())/100,--INDEX('Call accounts and MMFs'!$E:$E,ROW())),0)</f>
        <v/>
      </c>
      <c r="O1489">
        <f>IFERROR(--INDEX('Call accounts and MMFs'!$F:$F,ROW()),0)</f>
        <v/>
      </c>
      <c r="P1489">
        <f>IF(ISNUMBER(INDEX('Call accounts and MMFs'!$E:$E,ROW())),1,0)</f>
        <v/>
      </c>
      <c r="Q1489">
        <f>TRIM(SUBSTITUTE(INDEX('Pooled funds'!$B:$B,ROW())&amp;""," "," "))</f>
        <v/>
      </c>
      <c r="R1489">
        <f>IFERROR(--INDEX('Pooled funds'!$C:$C,ROW()),0)</f>
        <v/>
      </c>
      <c r="S1489">
        <f>IFERROR(--INDEX('Pooled funds'!$D:$D,ROW()),0)</f>
        <v/>
      </c>
      <c r="T1489">
        <f>IFERROR(IF(--INDEX('Pooled funds'!$E:$E,ROW())&gt;=1,--INDEX('Pooled funds'!$E:$E,ROW())/100,--INDEX('Pooled funds'!$E:$E,ROW())),0)</f>
        <v/>
      </c>
      <c r="U1489">
        <f>IF(ISNUMBER(INDEX('Pooled funds'!$E:$E,ROW())),1,0)</f>
        <v/>
      </c>
    </row>
    <row r="1490">
      <c r="A1490">
        <f>TRIM(SUBSTITUTE(INDEX('Term investments'!$A:$A,ROW())&amp;""," "," "))</f>
        <v/>
      </c>
      <c r="B1490">
        <f>TRIM(SUBSTITUTE(INDEX('Term investments'!$B:$B,ROW())&amp;""," "," "))</f>
        <v/>
      </c>
      <c r="C1490">
        <f>TRIM(SUBSTITUTE(INDEX('Term investments'!$C:$C,ROW())&amp;""," "," "))</f>
        <v/>
      </c>
      <c r="D1490">
        <f>IFERROR(--INDEX('Term investments'!$D:$D,ROW()),0)</f>
        <v/>
      </c>
      <c r="E1490">
        <f>IFERROR(--INDEX('Term investments'!$E:$E,ROW()),0)</f>
        <v/>
      </c>
      <c r="F1490">
        <f>IFERROR(--INDEX('Term investments'!$F:$F,ROW()),0)</f>
        <v/>
      </c>
      <c r="G1490">
        <f>IFERROR(IF(--INDEX('Term investments'!$G:$G,ROW())&gt;=1,--INDEX('Term investments'!$G:$G,ROW())/100,--INDEX('Term investments'!$G:$G,ROW())),0)</f>
        <v/>
      </c>
      <c r="H1490">
        <f>IFERROR(--INDEX('Term investments'!$H:$H,ROW()),0)</f>
        <v/>
      </c>
      <c r="I1490">
        <f>IF(ISNUMBER(INDEX('Term investments'!$G:$G,ROW())),1,0)</f>
        <v/>
      </c>
      <c r="J1490">
        <f>TRIM(SUBSTITUTE(INDEX('Call accounts and MMFs'!$A:$A,ROW())&amp;""," "," "))</f>
        <v/>
      </c>
      <c r="K1490">
        <f>TRIM(SUBSTITUTE(INDEX('Call accounts and MMFs'!$B:$B,ROW())&amp;""," "," "))</f>
        <v/>
      </c>
      <c r="L1490">
        <f>TRIM(SUBSTITUTE(INDEX('Call accounts and MMFs'!$C:$C,ROW())&amp;""," "," "))</f>
        <v/>
      </c>
      <c r="M1490">
        <f>IFERROR(--INDEX('Call accounts and MMFs'!$D:$D,ROW()),0)</f>
        <v/>
      </c>
      <c r="N1490">
        <f>IFERROR(IF(--INDEX('Call accounts and MMFs'!$E:$E,ROW())&gt;=1,--INDEX('Call accounts and MMFs'!$E:$E,ROW())/100,--INDEX('Call accounts and MMFs'!$E:$E,ROW())),0)</f>
        <v/>
      </c>
      <c r="O1490">
        <f>IFERROR(--INDEX('Call accounts and MMFs'!$F:$F,ROW()),0)</f>
        <v/>
      </c>
      <c r="P1490">
        <f>IF(ISNUMBER(INDEX('Call accounts and MMFs'!$E:$E,ROW())),1,0)</f>
        <v/>
      </c>
      <c r="Q1490">
        <f>TRIM(SUBSTITUTE(INDEX('Pooled funds'!$B:$B,ROW())&amp;""," "," "))</f>
        <v/>
      </c>
      <c r="R1490">
        <f>IFERROR(--INDEX('Pooled funds'!$C:$C,ROW()),0)</f>
        <v/>
      </c>
      <c r="S1490">
        <f>IFERROR(--INDEX('Pooled funds'!$D:$D,ROW()),0)</f>
        <v/>
      </c>
      <c r="T1490">
        <f>IFERROR(IF(--INDEX('Pooled funds'!$E:$E,ROW())&gt;=1,--INDEX('Pooled funds'!$E:$E,ROW())/100,--INDEX('Pooled funds'!$E:$E,ROW())),0)</f>
        <v/>
      </c>
      <c r="U1490">
        <f>IF(ISNUMBER(INDEX('Pooled funds'!$E:$E,ROW())),1,0)</f>
        <v/>
      </c>
    </row>
    <row r="1491">
      <c r="A1491">
        <f>TRIM(SUBSTITUTE(INDEX('Term investments'!$A:$A,ROW())&amp;""," "," "))</f>
        <v/>
      </c>
      <c r="B1491">
        <f>TRIM(SUBSTITUTE(INDEX('Term investments'!$B:$B,ROW())&amp;""," "," "))</f>
        <v/>
      </c>
      <c r="C1491">
        <f>TRIM(SUBSTITUTE(INDEX('Term investments'!$C:$C,ROW())&amp;""," "," "))</f>
        <v/>
      </c>
      <c r="D1491">
        <f>IFERROR(--INDEX('Term investments'!$D:$D,ROW()),0)</f>
        <v/>
      </c>
      <c r="E1491">
        <f>IFERROR(--INDEX('Term investments'!$E:$E,ROW()),0)</f>
        <v/>
      </c>
      <c r="F1491">
        <f>IFERROR(--INDEX('Term investments'!$F:$F,ROW()),0)</f>
        <v/>
      </c>
      <c r="G1491">
        <f>IFERROR(IF(--INDEX('Term investments'!$G:$G,ROW())&gt;=1,--INDEX('Term investments'!$G:$G,ROW())/100,--INDEX('Term investments'!$G:$G,ROW())),0)</f>
        <v/>
      </c>
      <c r="H1491">
        <f>IFERROR(--INDEX('Term investments'!$H:$H,ROW()),0)</f>
        <v/>
      </c>
      <c r="I1491">
        <f>IF(ISNUMBER(INDEX('Term investments'!$G:$G,ROW())),1,0)</f>
        <v/>
      </c>
      <c r="J1491">
        <f>TRIM(SUBSTITUTE(INDEX('Call accounts and MMFs'!$A:$A,ROW())&amp;""," "," "))</f>
        <v/>
      </c>
      <c r="K1491">
        <f>TRIM(SUBSTITUTE(INDEX('Call accounts and MMFs'!$B:$B,ROW())&amp;""," "," "))</f>
        <v/>
      </c>
      <c r="L1491">
        <f>TRIM(SUBSTITUTE(INDEX('Call accounts and MMFs'!$C:$C,ROW())&amp;""," "," "))</f>
        <v/>
      </c>
      <c r="M1491">
        <f>IFERROR(--INDEX('Call accounts and MMFs'!$D:$D,ROW()),0)</f>
        <v/>
      </c>
      <c r="N1491">
        <f>IFERROR(IF(--INDEX('Call accounts and MMFs'!$E:$E,ROW())&gt;=1,--INDEX('Call accounts and MMFs'!$E:$E,ROW())/100,--INDEX('Call accounts and MMFs'!$E:$E,ROW())),0)</f>
        <v/>
      </c>
      <c r="O1491">
        <f>IFERROR(--INDEX('Call accounts and MMFs'!$F:$F,ROW()),0)</f>
        <v/>
      </c>
      <c r="P1491">
        <f>IF(ISNUMBER(INDEX('Call accounts and MMFs'!$E:$E,ROW())),1,0)</f>
        <v/>
      </c>
      <c r="Q1491">
        <f>TRIM(SUBSTITUTE(INDEX('Pooled funds'!$B:$B,ROW())&amp;""," "," "))</f>
        <v/>
      </c>
      <c r="R1491">
        <f>IFERROR(--INDEX('Pooled funds'!$C:$C,ROW()),0)</f>
        <v/>
      </c>
      <c r="S1491">
        <f>IFERROR(--INDEX('Pooled funds'!$D:$D,ROW()),0)</f>
        <v/>
      </c>
      <c r="T1491">
        <f>IFERROR(IF(--INDEX('Pooled funds'!$E:$E,ROW())&gt;=1,--INDEX('Pooled funds'!$E:$E,ROW())/100,--INDEX('Pooled funds'!$E:$E,ROW())),0)</f>
        <v/>
      </c>
      <c r="U1491">
        <f>IF(ISNUMBER(INDEX('Pooled funds'!$E:$E,ROW())),1,0)</f>
        <v/>
      </c>
    </row>
    <row r="1492">
      <c r="A1492">
        <f>TRIM(SUBSTITUTE(INDEX('Term investments'!$A:$A,ROW())&amp;""," "," "))</f>
        <v/>
      </c>
      <c r="B1492">
        <f>TRIM(SUBSTITUTE(INDEX('Term investments'!$B:$B,ROW())&amp;""," "," "))</f>
        <v/>
      </c>
      <c r="C1492">
        <f>TRIM(SUBSTITUTE(INDEX('Term investments'!$C:$C,ROW())&amp;""," "," "))</f>
        <v/>
      </c>
      <c r="D1492">
        <f>IFERROR(--INDEX('Term investments'!$D:$D,ROW()),0)</f>
        <v/>
      </c>
      <c r="E1492">
        <f>IFERROR(--INDEX('Term investments'!$E:$E,ROW()),0)</f>
        <v/>
      </c>
      <c r="F1492">
        <f>IFERROR(--INDEX('Term investments'!$F:$F,ROW()),0)</f>
        <v/>
      </c>
      <c r="G1492">
        <f>IFERROR(IF(--INDEX('Term investments'!$G:$G,ROW())&gt;=1,--INDEX('Term investments'!$G:$G,ROW())/100,--INDEX('Term investments'!$G:$G,ROW())),0)</f>
        <v/>
      </c>
      <c r="H1492">
        <f>IFERROR(--INDEX('Term investments'!$H:$H,ROW()),0)</f>
        <v/>
      </c>
      <c r="I1492">
        <f>IF(ISNUMBER(INDEX('Term investments'!$G:$G,ROW())),1,0)</f>
        <v/>
      </c>
      <c r="J1492">
        <f>TRIM(SUBSTITUTE(INDEX('Call accounts and MMFs'!$A:$A,ROW())&amp;""," "," "))</f>
        <v/>
      </c>
      <c r="K1492">
        <f>TRIM(SUBSTITUTE(INDEX('Call accounts and MMFs'!$B:$B,ROW())&amp;""," "," "))</f>
        <v/>
      </c>
      <c r="L1492">
        <f>TRIM(SUBSTITUTE(INDEX('Call accounts and MMFs'!$C:$C,ROW())&amp;""," "," "))</f>
        <v/>
      </c>
      <c r="M1492">
        <f>IFERROR(--INDEX('Call accounts and MMFs'!$D:$D,ROW()),0)</f>
        <v/>
      </c>
      <c r="N1492">
        <f>IFERROR(IF(--INDEX('Call accounts and MMFs'!$E:$E,ROW())&gt;=1,--INDEX('Call accounts and MMFs'!$E:$E,ROW())/100,--INDEX('Call accounts and MMFs'!$E:$E,ROW())),0)</f>
        <v/>
      </c>
      <c r="O1492">
        <f>IFERROR(--INDEX('Call accounts and MMFs'!$F:$F,ROW()),0)</f>
        <v/>
      </c>
      <c r="P1492">
        <f>IF(ISNUMBER(INDEX('Call accounts and MMFs'!$E:$E,ROW())),1,0)</f>
        <v/>
      </c>
      <c r="Q1492">
        <f>TRIM(SUBSTITUTE(INDEX('Pooled funds'!$B:$B,ROW())&amp;""," "," "))</f>
        <v/>
      </c>
      <c r="R1492">
        <f>IFERROR(--INDEX('Pooled funds'!$C:$C,ROW()),0)</f>
        <v/>
      </c>
      <c r="S1492">
        <f>IFERROR(--INDEX('Pooled funds'!$D:$D,ROW()),0)</f>
        <v/>
      </c>
      <c r="T1492">
        <f>IFERROR(IF(--INDEX('Pooled funds'!$E:$E,ROW())&gt;=1,--INDEX('Pooled funds'!$E:$E,ROW())/100,--INDEX('Pooled funds'!$E:$E,ROW())),0)</f>
        <v/>
      </c>
      <c r="U1492">
        <f>IF(ISNUMBER(INDEX('Pooled funds'!$E:$E,ROW())),1,0)</f>
        <v/>
      </c>
    </row>
    <row r="1493">
      <c r="A1493">
        <f>TRIM(SUBSTITUTE(INDEX('Term investments'!$A:$A,ROW())&amp;""," "," "))</f>
        <v/>
      </c>
      <c r="B1493">
        <f>TRIM(SUBSTITUTE(INDEX('Term investments'!$B:$B,ROW())&amp;""," "," "))</f>
        <v/>
      </c>
      <c r="C1493">
        <f>TRIM(SUBSTITUTE(INDEX('Term investments'!$C:$C,ROW())&amp;""," "," "))</f>
        <v/>
      </c>
      <c r="D1493">
        <f>IFERROR(--INDEX('Term investments'!$D:$D,ROW()),0)</f>
        <v/>
      </c>
      <c r="E1493">
        <f>IFERROR(--INDEX('Term investments'!$E:$E,ROW()),0)</f>
        <v/>
      </c>
      <c r="F1493">
        <f>IFERROR(--INDEX('Term investments'!$F:$F,ROW()),0)</f>
        <v/>
      </c>
      <c r="G1493">
        <f>IFERROR(IF(--INDEX('Term investments'!$G:$G,ROW())&gt;=1,--INDEX('Term investments'!$G:$G,ROW())/100,--INDEX('Term investments'!$G:$G,ROW())),0)</f>
        <v/>
      </c>
      <c r="H1493">
        <f>IFERROR(--INDEX('Term investments'!$H:$H,ROW()),0)</f>
        <v/>
      </c>
      <c r="I1493">
        <f>IF(ISNUMBER(INDEX('Term investments'!$G:$G,ROW())),1,0)</f>
        <v/>
      </c>
      <c r="J1493">
        <f>TRIM(SUBSTITUTE(INDEX('Call accounts and MMFs'!$A:$A,ROW())&amp;""," "," "))</f>
        <v/>
      </c>
      <c r="K1493">
        <f>TRIM(SUBSTITUTE(INDEX('Call accounts and MMFs'!$B:$B,ROW())&amp;""," "," "))</f>
        <v/>
      </c>
      <c r="L1493">
        <f>TRIM(SUBSTITUTE(INDEX('Call accounts and MMFs'!$C:$C,ROW())&amp;""," "," "))</f>
        <v/>
      </c>
      <c r="M1493">
        <f>IFERROR(--INDEX('Call accounts and MMFs'!$D:$D,ROW()),0)</f>
        <v/>
      </c>
      <c r="N1493">
        <f>IFERROR(IF(--INDEX('Call accounts and MMFs'!$E:$E,ROW())&gt;=1,--INDEX('Call accounts and MMFs'!$E:$E,ROW())/100,--INDEX('Call accounts and MMFs'!$E:$E,ROW())),0)</f>
        <v/>
      </c>
      <c r="O1493">
        <f>IFERROR(--INDEX('Call accounts and MMFs'!$F:$F,ROW()),0)</f>
        <v/>
      </c>
      <c r="P1493">
        <f>IF(ISNUMBER(INDEX('Call accounts and MMFs'!$E:$E,ROW())),1,0)</f>
        <v/>
      </c>
      <c r="Q1493">
        <f>TRIM(SUBSTITUTE(INDEX('Pooled funds'!$B:$B,ROW())&amp;""," "," "))</f>
        <v/>
      </c>
      <c r="R1493">
        <f>IFERROR(--INDEX('Pooled funds'!$C:$C,ROW()),0)</f>
        <v/>
      </c>
      <c r="S1493">
        <f>IFERROR(--INDEX('Pooled funds'!$D:$D,ROW()),0)</f>
        <v/>
      </c>
      <c r="T1493">
        <f>IFERROR(IF(--INDEX('Pooled funds'!$E:$E,ROW())&gt;=1,--INDEX('Pooled funds'!$E:$E,ROW())/100,--INDEX('Pooled funds'!$E:$E,ROW())),0)</f>
        <v/>
      </c>
      <c r="U1493">
        <f>IF(ISNUMBER(INDEX('Pooled funds'!$E:$E,ROW())),1,0)</f>
        <v/>
      </c>
    </row>
    <row r="1494">
      <c r="A1494">
        <f>TRIM(SUBSTITUTE(INDEX('Term investments'!$A:$A,ROW())&amp;""," "," "))</f>
        <v/>
      </c>
      <c r="B1494">
        <f>TRIM(SUBSTITUTE(INDEX('Term investments'!$B:$B,ROW())&amp;""," "," "))</f>
        <v/>
      </c>
      <c r="C1494">
        <f>TRIM(SUBSTITUTE(INDEX('Term investments'!$C:$C,ROW())&amp;""," "," "))</f>
        <v/>
      </c>
      <c r="D1494">
        <f>IFERROR(--INDEX('Term investments'!$D:$D,ROW()),0)</f>
        <v/>
      </c>
      <c r="E1494">
        <f>IFERROR(--INDEX('Term investments'!$E:$E,ROW()),0)</f>
        <v/>
      </c>
      <c r="F1494">
        <f>IFERROR(--INDEX('Term investments'!$F:$F,ROW()),0)</f>
        <v/>
      </c>
      <c r="G1494">
        <f>IFERROR(IF(--INDEX('Term investments'!$G:$G,ROW())&gt;=1,--INDEX('Term investments'!$G:$G,ROW())/100,--INDEX('Term investments'!$G:$G,ROW())),0)</f>
        <v/>
      </c>
      <c r="H1494">
        <f>IFERROR(--INDEX('Term investments'!$H:$H,ROW()),0)</f>
        <v/>
      </c>
      <c r="I1494">
        <f>IF(ISNUMBER(INDEX('Term investments'!$G:$G,ROW())),1,0)</f>
        <v/>
      </c>
      <c r="J1494">
        <f>TRIM(SUBSTITUTE(INDEX('Call accounts and MMFs'!$A:$A,ROW())&amp;""," "," "))</f>
        <v/>
      </c>
      <c r="K1494">
        <f>TRIM(SUBSTITUTE(INDEX('Call accounts and MMFs'!$B:$B,ROW())&amp;""," "," "))</f>
        <v/>
      </c>
      <c r="L1494">
        <f>TRIM(SUBSTITUTE(INDEX('Call accounts and MMFs'!$C:$C,ROW())&amp;""," "," "))</f>
        <v/>
      </c>
      <c r="M1494">
        <f>IFERROR(--INDEX('Call accounts and MMFs'!$D:$D,ROW()),0)</f>
        <v/>
      </c>
      <c r="N1494">
        <f>IFERROR(IF(--INDEX('Call accounts and MMFs'!$E:$E,ROW())&gt;=1,--INDEX('Call accounts and MMFs'!$E:$E,ROW())/100,--INDEX('Call accounts and MMFs'!$E:$E,ROW())),0)</f>
        <v/>
      </c>
      <c r="O1494">
        <f>IFERROR(--INDEX('Call accounts and MMFs'!$F:$F,ROW()),0)</f>
        <v/>
      </c>
      <c r="P1494">
        <f>IF(ISNUMBER(INDEX('Call accounts and MMFs'!$E:$E,ROW())),1,0)</f>
        <v/>
      </c>
      <c r="Q1494">
        <f>TRIM(SUBSTITUTE(INDEX('Pooled funds'!$B:$B,ROW())&amp;""," "," "))</f>
        <v/>
      </c>
      <c r="R1494">
        <f>IFERROR(--INDEX('Pooled funds'!$C:$C,ROW()),0)</f>
        <v/>
      </c>
      <c r="S1494">
        <f>IFERROR(--INDEX('Pooled funds'!$D:$D,ROW()),0)</f>
        <v/>
      </c>
      <c r="T1494">
        <f>IFERROR(IF(--INDEX('Pooled funds'!$E:$E,ROW())&gt;=1,--INDEX('Pooled funds'!$E:$E,ROW())/100,--INDEX('Pooled funds'!$E:$E,ROW())),0)</f>
        <v/>
      </c>
      <c r="U1494">
        <f>IF(ISNUMBER(INDEX('Pooled funds'!$E:$E,ROW())),1,0)</f>
        <v/>
      </c>
    </row>
    <row r="1495">
      <c r="A1495">
        <f>TRIM(SUBSTITUTE(INDEX('Term investments'!$A:$A,ROW())&amp;""," "," "))</f>
        <v/>
      </c>
      <c r="B1495">
        <f>TRIM(SUBSTITUTE(INDEX('Term investments'!$B:$B,ROW())&amp;""," "," "))</f>
        <v/>
      </c>
      <c r="C1495">
        <f>TRIM(SUBSTITUTE(INDEX('Term investments'!$C:$C,ROW())&amp;""," "," "))</f>
        <v/>
      </c>
      <c r="D1495">
        <f>IFERROR(--INDEX('Term investments'!$D:$D,ROW()),0)</f>
        <v/>
      </c>
      <c r="E1495">
        <f>IFERROR(--INDEX('Term investments'!$E:$E,ROW()),0)</f>
        <v/>
      </c>
      <c r="F1495">
        <f>IFERROR(--INDEX('Term investments'!$F:$F,ROW()),0)</f>
        <v/>
      </c>
      <c r="G1495">
        <f>IFERROR(IF(--INDEX('Term investments'!$G:$G,ROW())&gt;=1,--INDEX('Term investments'!$G:$G,ROW())/100,--INDEX('Term investments'!$G:$G,ROW())),0)</f>
        <v/>
      </c>
      <c r="H1495">
        <f>IFERROR(--INDEX('Term investments'!$H:$H,ROW()),0)</f>
        <v/>
      </c>
      <c r="I1495">
        <f>IF(ISNUMBER(INDEX('Term investments'!$G:$G,ROW())),1,0)</f>
        <v/>
      </c>
      <c r="J1495">
        <f>TRIM(SUBSTITUTE(INDEX('Call accounts and MMFs'!$A:$A,ROW())&amp;""," "," "))</f>
        <v/>
      </c>
      <c r="K1495">
        <f>TRIM(SUBSTITUTE(INDEX('Call accounts and MMFs'!$B:$B,ROW())&amp;""," "," "))</f>
        <v/>
      </c>
      <c r="L1495">
        <f>TRIM(SUBSTITUTE(INDEX('Call accounts and MMFs'!$C:$C,ROW())&amp;""," "," "))</f>
        <v/>
      </c>
      <c r="M1495">
        <f>IFERROR(--INDEX('Call accounts and MMFs'!$D:$D,ROW()),0)</f>
        <v/>
      </c>
      <c r="N1495">
        <f>IFERROR(IF(--INDEX('Call accounts and MMFs'!$E:$E,ROW())&gt;=1,--INDEX('Call accounts and MMFs'!$E:$E,ROW())/100,--INDEX('Call accounts and MMFs'!$E:$E,ROW())),0)</f>
        <v/>
      </c>
      <c r="O1495">
        <f>IFERROR(--INDEX('Call accounts and MMFs'!$F:$F,ROW()),0)</f>
        <v/>
      </c>
      <c r="P1495">
        <f>IF(ISNUMBER(INDEX('Call accounts and MMFs'!$E:$E,ROW())),1,0)</f>
        <v/>
      </c>
      <c r="Q1495">
        <f>TRIM(SUBSTITUTE(INDEX('Pooled funds'!$B:$B,ROW())&amp;""," "," "))</f>
        <v/>
      </c>
      <c r="R1495">
        <f>IFERROR(--INDEX('Pooled funds'!$C:$C,ROW()),0)</f>
        <v/>
      </c>
      <c r="S1495">
        <f>IFERROR(--INDEX('Pooled funds'!$D:$D,ROW()),0)</f>
        <v/>
      </c>
      <c r="T1495">
        <f>IFERROR(IF(--INDEX('Pooled funds'!$E:$E,ROW())&gt;=1,--INDEX('Pooled funds'!$E:$E,ROW())/100,--INDEX('Pooled funds'!$E:$E,ROW())),0)</f>
        <v/>
      </c>
      <c r="U1495">
        <f>IF(ISNUMBER(INDEX('Pooled funds'!$E:$E,ROW())),1,0)</f>
        <v/>
      </c>
    </row>
    <row r="1496">
      <c r="A1496">
        <f>TRIM(SUBSTITUTE(INDEX('Term investments'!$A:$A,ROW())&amp;""," "," "))</f>
        <v/>
      </c>
      <c r="B1496">
        <f>TRIM(SUBSTITUTE(INDEX('Term investments'!$B:$B,ROW())&amp;""," "," "))</f>
        <v/>
      </c>
      <c r="C1496">
        <f>TRIM(SUBSTITUTE(INDEX('Term investments'!$C:$C,ROW())&amp;""," "," "))</f>
        <v/>
      </c>
      <c r="D1496">
        <f>IFERROR(--INDEX('Term investments'!$D:$D,ROW()),0)</f>
        <v/>
      </c>
      <c r="E1496">
        <f>IFERROR(--INDEX('Term investments'!$E:$E,ROW()),0)</f>
        <v/>
      </c>
      <c r="F1496">
        <f>IFERROR(--INDEX('Term investments'!$F:$F,ROW()),0)</f>
        <v/>
      </c>
      <c r="G1496">
        <f>IFERROR(IF(--INDEX('Term investments'!$G:$G,ROW())&gt;=1,--INDEX('Term investments'!$G:$G,ROW())/100,--INDEX('Term investments'!$G:$G,ROW())),0)</f>
        <v/>
      </c>
      <c r="H1496">
        <f>IFERROR(--INDEX('Term investments'!$H:$H,ROW()),0)</f>
        <v/>
      </c>
      <c r="I1496">
        <f>IF(ISNUMBER(INDEX('Term investments'!$G:$G,ROW())),1,0)</f>
        <v/>
      </c>
      <c r="J1496">
        <f>TRIM(SUBSTITUTE(INDEX('Call accounts and MMFs'!$A:$A,ROW())&amp;""," "," "))</f>
        <v/>
      </c>
      <c r="K1496">
        <f>TRIM(SUBSTITUTE(INDEX('Call accounts and MMFs'!$B:$B,ROW())&amp;""," "," "))</f>
        <v/>
      </c>
      <c r="L1496">
        <f>TRIM(SUBSTITUTE(INDEX('Call accounts and MMFs'!$C:$C,ROW())&amp;""," "," "))</f>
        <v/>
      </c>
      <c r="M1496">
        <f>IFERROR(--INDEX('Call accounts and MMFs'!$D:$D,ROW()),0)</f>
        <v/>
      </c>
      <c r="N1496">
        <f>IFERROR(IF(--INDEX('Call accounts and MMFs'!$E:$E,ROW())&gt;=1,--INDEX('Call accounts and MMFs'!$E:$E,ROW())/100,--INDEX('Call accounts and MMFs'!$E:$E,ROW())),0)</f>
        <v/>
      </c>
      <c r="O1496">
        <f>IFERROR(--INDEX('Call accounts and MMFs'!$F:$F,ROW()),0)</f>
        <v/>
      </c>
      <c r="P1496">
        <f>IF(ISNUMBER(INDEX('Call accounts and MMFs'!$E:$E,ROW())),1,0)</f>
        <v/>
      </c>
      <c r="Q1496">
        <f>TRIM(SUBSTITUTE(INDEX('Pooled funds'!$B:$B,ROW())&amp;""," "," "))</f>
        <v/>
      </c>
      <c r="R1496">
        <f>IFERROR(--INDEX('Pooled funds'!$C:$C,ROW()),0)</f>
        <v/>
      </c>
      <c r="S1496">
        <f>IFERROR(--INDEX('Pooled funds'!$D:$D,ROW()),0)</f>
        <v/>
      </c>
      <c r="T1496">
        <f>IFERROR(IF(--INDEX('Pooled funds'!$E:$E,ROW())&gt;=1,--INDEX('Pooled funds'!$E:$E,ROW())/100,--INDEX('Pooled funds'!$E:$E,ROW())),0)</f>
        <v/>
      </c>
      <c r="U1496">
        <f>IF(ISNUMBER(INDEX('Pooled funds'!$E:$E,ROW())),1,0)</f>
        <v/>
      </c>
    </row>
    <row r="1497">
      <c r="A1497">
        <f>TRIM(SUBSTITUTE(INDEX('Term investments'!$A:$A,ROW())&amp;""," "," "))</f>
        <v/>
      </c>
      <c r="B1497">
        <f>TRIM(SUBSTITUTE(INDEX('Term investments'!$B:$B,ROW())&amp;""," "," "))</f>
        <v/>
      </c>
      <c r="C1497">
        <f>TRIM(SUBSTITUTE(INDEX('Term investments'!$C:$C,ROW())&amp;""," "," "))</f>
        <v/>
      </c>
      <c r="D1497">
        <f>IFERROR(--INDEX('Term investments'!$D:$D,ROW()),0)</f>
        <v/>
      </c>
      <c r="E1497">
        <f>IFERROR(--INDEX('Term investments'!$E:$E,ROW()),0)</f>
        <v/>
      </c>
      <c r="F1497">
        <f>IFERROR(--INDEX('Term investments'!$F:$F,ROW()),0)</f>
        <v/>
      </c>
      <c r="G1497">
        <f>IFERROR(IF(--INDEX('Term investments'!$G:$G,ROW())&gt;=1,--INDEX('Term investments'!$G:$G,ROW())/100,--INDEX('Term investments'!$G:$G,ROW())),0)</f>
        <v/>
      </c>
      <c r="H1497">
        <f>IFERROR(--INDEX('Term investments'!$H:$H,ROW()),0)</f>
        <v/>
      </c>
      <c r="I1497">
        <f>IF(ISNUMBER(INDEX('Term investments'!$G:$G,ROW())),1,0)</f>
        <v/>
      </c>
      <c r="J1497">
        <f>TRIM(SUBSTITUTE(INDEX('Call accounts and MMFs'!$A:$A,ROW())&amp;""," "," "))</f>
        <v/>
      </c>
      <c r="K1497">
        <f>TRIM(SUBSTITUTE(INDEX('Call accounts and MMFs'!$B:$B,ROW())&amp;""," "," "))</f>
        <v/>
      </c>
      <c r="L1497">
        <f>TRIM(SUBSTITUTE(INDEX('Call accounts and MMFs'!$C:$C,ROW())&amp;""," "," "))</f>
        <v/>
      </c>
      <c r="M1497">
        <f>IFERROR(--INDEX('Call accounts and MMFs'!$D:$D,ROW()),0)</f>
        <v/>
      </c>
      <c r="N1497">
        <f>IFERROR(IF(--INDEX('Call accounts and MMFs'!$E:$E,ROW())&gt;=1,--INDEX('Call accounts and MMFs'!$E:$E,ROW())/100,--INDEX('Call accounts and MMFs'!$E:$E,ROW())),0)</f>
        <v/>
      </c>
      <c r="O1497">
        <f>IFERROR(--INDEX('Call accounts and MMFs'!$F:$F,ROW()),0)</f>
        <v/>
      </c>
      <c r="P1497">
        <f>IF(ISNUMBER(INDEX('Call accounts and MMFs'!$E:$E,ROW())),1,0)</f>
        <v/>
      </c>
      <c r="Q1497">
        <f>TRIM(SUBSTITUTE(INDEX('Pooled funds'!$B:$B,ROW())&amp;""," "," "))</f>
        <v/>
      </c>
      <c r="R1497">
        <f>IFERROR(--INDEX('Pooled funds'!$C:$C,ROW()),0)</f>
        <v/>
      </c>
      <c r="S1497">
        <f>IFERROR(--INDEX('Pooled funds'!$D:$D,ROW()),0)</f>
        <v/>
      </c>
      <c r="T1497">
        <f>IFERROR(IF(--INDEX('Pooled funds'!$E:$E,ROW())&gt;=1,--INDEX('Pooled funds'!$E:$E,ROW())/100,--INDEX('Pooled funds'!$E:$E,ROW())),0)</f>
        <v/>
      </c>
      <c r="U1497">
        <f>IF(ISNUMBER(INDEX('Pooled funds'!$E:$E,ROW())),1,0)</f>
        <v/>
      </c>
    </row>
    <row r="1498">
      <c r="A1498">
        <f>TRIM(SUBSTITUTE(INDEX('Term investments'!$A:$A,ROW())&amp;""," "," "))</f>
        <v/>
      </c>
      <c r="B1498">
        <f>TRIM(SUBSTITUTE(INDEX('Term investments'!$B:$B,ROW())&amp;""," "," "))</f>
        <v/>
      </c>
      <c r="C1498">
        <f>TRIM(SUBSTITUTE(INDEX('Term investments'!$C:$C,ROW())&amp;""," "," "))</f>
        <v/>
      </c>
      <c r="D1498">
        <f>IFERROR(--INDEX('Term investments'!$D:$D,ROW()),0)</f>
        <v/>
      </c>
      <c r="E1498">
        <f>IFERROR(--INDEX('Term investments'!$E:$E,ROW()),0)</f>
        <v/>
      </c>
      <c r="F1498">
        <f>IFERROR(--INDEX('Term investments'!$F:$F,ROW()),0)</f>
        <v/>
      </c>
      <c r="G1498">
        <f>IFERROR(IF(--INDEX('Term investments'!$G:$G,ROW())&gt;=1,--INDEX('Term investments'!$G:$G,ROW())/100,--INDEX('Term investments'!$G:$G,ROW())),0)</f>
        <v/>
      </c>
      <c r="H1498">
        <f>IFERROR(--INDEX('Term investments'!$H:$H,ROW()),0)</f>
        <v/>
      </c>
      <c r="I1498">
        <f>IF(ISNUMBER(INDEX('Term investments'!$G:$G,ROW())),1,0)</f>
        <v/>
      </c>
      <c r="J1498">
        <f>TRIM(SUBSTITUTE(INDEX('Call accounts and MMFs'!$A:$A,ROW())&amp;""," "," "))</f>
        <v/>
      </c>
      <c r="K1498">
        <f>TRIM(SUBSTITUTE(INDEX('Call accounts and MMFs'!$B:$B,ROW())&amp;""," "," "))</f>
        <v/>
      </c>
      <c r="L1498">
        <f>TRIM(SUBSTITUTE(INDEX('Call accounts and MMFs'!$C:$C,ROW())&amp;""," "," "))</f>
        <v/>
      </c>
      <c r="M1498">
        <f>IFERROR(--INDEX('Call accounts and MMFs'!$D:$D,ROW()),0)</f>
        <v/>
      </c>
      <c r="N1498">
        <f>IFERROR(IF(--INDEX('Call accounts and MMFs'!$E:$E,ROW())&gt;=1,--INDEX('Call accounts and MMFs'!$E:$E,ROW())/100,--INDEX('Call accounts and MMFs'!$E:$E,ROW())),0)</f>
        <v/>
      </c>
      <c r="O1498">
        <f>IFERROR(--INDEX('Call accounts and MMFs'!$F:$F,ROW()),0)</f>
        <v/>
      </c>
      <c r="P1498">
        <f>IF(ISNUMBER(INDEX('Call accounts and MMFs'!$E:$E,ROW())),1,0)</f>
        <v/>
      </c>
      <c r="Q1498">
        <f>TRIM(SUBSTITUTE(INDEX('Pooled funds'!$B:$B,ROW())&amp;""," "," "))</f>
        <v/>
      </c>
      <c r="R1498">
        <f>IFERROR(--INDEX('Pooled funds'!$C:$C,ROW()),0)</f>
        <v/>
      </c>
      <c r="S1498">
        <f>IFERROR(--INDEX('Pooled funds'!$D:$D,ROW()),0)</f>
        <v/>
      </c>
      <c r="T1498">
        <f>IFERROR(IF(--INDEX('Pooled funds'!$E:$E,ROW())&gt;=1,--INDEX('Pooled funds'!$E:$E,ROW())/100,--INDEX('Pooled funds'!$E:$E,ROW())),0)</f>
        <v/>
      </c>
      <c r="U1498">
        <f>IF(ISNUMBER(INDEX('Pooled funds'!$E:$E,ROW())),1,0)</f>
        <v/>
      </c>
    </row>
    <row r="1499">
      <c r="A1499">
        <f>TRIM(SUBSTITUTE(INDEX('Term investments'!$A:$A,ROW())&amp;""," "," "))</f>
        <v/>
      </c>
      <c r="B1499">
        <f>TRIM(SUBSTITUTE(INDEX('Term investments'!$B:$B,ROW())&amp;""," "," "))</f>
        <v/>
      </c>
      <c r="C1499">
        <f>TRIM(SUBSTITUTE(INDEX('Term investments'!$C:$C,ROW())&amp;""," "," "))</f>
        <v/>
      </c>
      <c r="D1499">
        <f>IFERROR(--INDEX('Term investments'!$D:$D,ROW()),0)</f>
        <v/>
      </c>
      <c r="E1499">
        <f>IFERROR(--INDEX('Term investments'!$E:$E,ROW()),0)</f>
        <v/>
      </c>
      <c r="F1499">
        <f>IFERROR(--INDEX('Term investments'!$F:$F,ROW()),0)</f>
        <v/>
      </c>
      <c r="G1499">
        <f>IFERROR(IF(--INDEX('Term investments'!$G:$G,ROW())&gt;=1,--INDEX('Term investments'!$G:$G,ROW())/100,--INDEX('Term investments'!$G:$G,ROW())),0)</f>
        <v/>
      </c>
      <c r="H1499">
        <f>IFERROR(--INDEX('Term investments'!$H:$H,ROW()),0)</f>
        <v/>
      </c>
      <c r="I1499">
        <f>IF(ISNUMBER(INDEX('Term investments'!$G:$G,ROW())),1,0)</f>
        <v/>
      </c>
      <c r="J1499">
        <f>TRIM(SUBSTITUTE(INDEX('Call accounts and MMFs'!$A:$A,ROW())&amp;""," "," "))</f>
        <v/>
      </c>
      <c r="K1499">
        <f>TRIM(SUBSTITUTE(INDEX('Call accounts and MMFs'!$B:$B,ROW())&amp;""," "," "))</f>
        <v/>
      </c>
      <c r="L1499">
        <f>TRIM(SUBSTITUTE(INDEX('Call accounts and MMFs'!$C:$C,ROW())&amp;""," "," "))</f>
        <v/>
      </c>
      <c r="M1499">
        <f>IFERROR(--INDEX('Call accounts and MMFs'!$D:$D,ROW()),0)</f>
        <v/>
      </c>
      <c r="N1499">
        <f>IFERROR(IF(--INDEX('Call accounts and MMFs'!$E:$E,ROW())&gt;=1,--INDEX('Call accounts and MMFs'!$E:$E,ROW())/100,--INDEX('Call accounts and MMFs'!$E:$E,ROW())),0)</f>
        <v/>
      </c>
      <c r="O1499">
        <f>IFERROR(--INDEX('Call accounts and MMFs'!$F:$F,ROW()),0)</f>
        <v/>
      </c>
      <c r="P1499">
        <f>IF(ISNUMBER(INDEX('Call accounts and MMFs'!$E:$E,ROW())),1,0)</f>
        <v/>
      </c>
      <c r="Q1499">
        <f>TRIM(SUBSTITUTE(INDEX('Pooled funds'!$B:$B,ROW())&amp;""," "," "))</f>
        <v/>
      </c>
      <c r="R1499">
        <f>IFERROR(--INDEX('Pooled funds'!$C:$C,ROW()),0)</f>
        <v/>
      </c>
      <c r="S1499">
        <f>IFERROR(--INDEX('Pooled funds'!$D:$D,ROW()),0)</f>
        <v/>
      </c>
      <c r="T1499">
        <f>IFERROR(IF(--INDEX('Pooled funds'!$E:$E,ROW())&gt;=1,--INDEX('Pooled funds'!$E:$E,ROW())/100,--INDEX('Pooled funds'!$E:$E,ROW())),0)</f>
        <v/>
      </c>
      <c r="U1499">
        <f>IF(ISNUMBER(INDEX('Pooled funds'!$E:$E,ROW())),1,0)</f>
        <v/>
      </c>
    </row>
    <row r="1500">
      <c r="A1500">
        <f>TRIM(SUBSTITUTE(INDEX('Term investments'!$A:$A,ROW())&amp;""," "," "))</f>
        <v/>
      </c>
      <c r="B1500">
        <f>TRIM(SUBSTITUTE(INDEX('Term investments'!$B:$B,ROW())&amp;""," "," "))</f>
        <v/>
      </c>
      <c r="C1500">
        <f>TRIM(SUBSTITUTE(INDEX('Term investments'!$C:$C,ROW())&amp;""," "," "))</f>
        <v/>
      </c>
      <c r="D1500">
        <f>IFERROR(--INDEX('Term investments'!$D:$D,ROW()),0)</f>
        <v/>
      </c>
      <c r="E1500">
        <f>IFERROR(--INDEX('Term investments'!$E:$E,ROW()),0)</f>
        <v/>
      </c>
      <c r="F1500">
        <f>IFERROR(--INDEX('Term investments'!$F:$F,ROW()),0)</f>
        <v/>
      </c>
      <c r="G1500">
        <f>IFERROR(IF(--INDEX('Term investments'!$G:$G,ROW())&gt;=1,--INDEX('Term investments'!$G:$G,ROW())/100,--INDEX('Term investments'!$G:$G,ROW())),0)</f>
        <v/>
      </c>
      <c r="H1500">
        <f>IFERROR(--INDEX('Term investments'!$H:$H,ROW()),0)</f>
        <v/>
      </c>
      <c r="I1500">
        <f>IF(ISNUMBER(INDEX('Term investments'!$G:$G,ROW())),1,0)</f>
        <v/>
      </c>
      <c r="J1500">
        <f>TRIM(SUBSTITUTE(INDEX('Call accounts and MMFs'!$A:$A,ROW())&amp;""," "," "))</f>
        <v/>
      </c>
      <c r="K1500">
        <f>TRIM(SUBSTITUTE(INDEX('Call accounts and MMFs'!$B:$B,ROW())&amp;""," "," "))</f>
        <v/>
      </c>
      <c r="L1500">
        <f>TRIM(SUBSTITUTE(INDEX('Call accounts and MMFs'!$C:$C,ROW())&amp;""," "," "))</f>
        <v/>
      </c>
      <c r="M1500">
        <f>IFERROR(--INDEX('Call accounts and MMFs'!$D:$D,ROW()),0)</f>
        <v/>
      </c>
      <c r="N1500">
        <f>IFERROR(IF(--INDEX('Call accounts and MMFs'!$E:$E,ROW())&gt;=1,--INDEX('Call accounts and MMFs'!$E:$E,ROW())/100,--INDEX('Call accounts and MMFs'!$E:$E,ROW())),0)</f>
        <v/>
      </c>
      <c r="O1500">
        <f>IFERROR(--INDEX('Call accounts and MMFs'!$F:$F,ROW()),0)</f>
        <v/>
      </c>
      <c r="P1500">
        <f>IF(ISNUMBER(INDEX('Call accounts and MMFs'!$E:$E,ROW())),1,0)</f>
        <v/>
      </c>
      <c r="Q1500">
        <f>TRIM(SUBSTITUTE(INDEX('Pooled funds'!$B:$B,ROW())&amp;""," "," "))</f>
        <v/>
      </c>
      <c r="R1500">
        <f>IFERROR(--INDEX('Pooled funds'!$C:$C,ROW()),0)</f>
        <v/>
      </c>
      <c r="S1500">
        <f>IFERROR(--INDEX('Pooled funds'!$D:$D,ROW()),0)</f>
        <v/>
      </c>
      <c r="T1500">
        <f>IFERROR(IF(--INDEX('Pooled funds'!$E:$E,ROW())&gt;=1,--INDEX('Pooled funds'!$E:$E,ROW())/100,--INDEX('Pooled funds'!$E:$E,ROW())),0)</f>
        <v/>
      </c>
      <c r="U1500">
        <f>IF(ISNUMBER(INDEX('Pooled funds'!$E:$E,ROW())),1,0)</f>
        <v/>
      </c>
    </row>
    <row r="1501">
      <c r="A1501">
        <f>TRIM(SUBSTITUTE(INDEX('Term investments'!$A:$A,ROW())&amp;""," "," "))</f>
        <v/>
      </c>
      <c r="B1501">
        <f>TRIM(SUBSTITUTE(INDEX('Term investments'!$B:$B,ROW())&amp;""," "," "))</f>
        <v/>
      </c>
      <c r="C1501">
        <f>TRIM(SUBSTITUTE(INDEX('Term investments'!$C:$C,ROW())&amp;""," "," "))</f>
        <v/>
      </c>
      <c r="D1501">
        <f>IFERROR(--INDEX('Term investments'!$D:$D,ROW()),0)</f>
        <v/>
      </c>
      <c r="E1501">
        <f>IFERROR(--INDEX('Term investments'!$E:$E,ROW()),0)</f>
        <v/>
      </c>
      <c r="F1501">
        <f>IFERROR(--INDEX('Term investments'!$F:$F,ROW()),0)</f>
        <v/>
      </c>
      <c r="G1501">
        <f>IFERROR(IF(--INDEX('Term investments'!$G:$G,ROW())&gt;=1,--INDEX('Term investments'!$G:$G,ROW())/100,--INDEX('Term investments'!$G:$G,ROW())),0)</f>
        <v/>
      </c>
      <c r="H1501">
        <f>IFERROR(--INDEX('Term investments'!$H:$H,ROW()),0)</f>
        <v/>
      </c>
      <c r="I1501">
        <f>IF(ISNUMBER(INDEX('Term investments'!$G:$G,ROW())),1,0)</f>
        <v/>
      </c>
      <c r="J1501">
        <f>TRIM(SUBSTITUTE(INDEX('Call accounts and MMFs'!$A:$A,ROW())&amp;""," "," "))</f>
        <v/>
      </c>
      <c r="K1501">
        <f>TRIM(SUBSTITUTE(INDEX('Call accounts and MMFs'!$B:$B,ROW())&amp;""," "," "))</f>
        <v/>
      </c>
      <c r="L1501">
        <f>TRIM(SUBSTITUTE(INDEX('Call accounts and MMFs'!$C:$C,ROW())&amp;""," "," "))</f>
        <v/>
      </c>
      <c r="M1501">
        <f>IFERROR(--INDEX('Call accounts and MMFs'!$D:$D,ROW()),0)</f>
        <v/>
      </c>
      <c r="N1501">
        <f>IFERROR(IF(--INDEX('Call accounts and MMFs'!$E:$E,ROW())&gt;=1,--INDEX('Call accounts and MMFs'!$E:$E,ROW())/100,--INDEX('Call accounts and MMFs'!$E:$E,ROW())),0)</f>
        <v/>
      </c>
      <c r="O1501">
        <f>IFERROR(--INDEX('Call accounts and MMFs'!$F:$F,ROW()),0)</f>
        <v/>
      </c>
      <c r="P1501">
        <f>IF(ISNUMBER(INDEX('Call accounts and MMFs'!$E:$E,ROW())),1,0)</f>
        <v/>
      </c>
      <c r="Q1501">
        <f>TRIM(SUBSTITUTE(INDEX('Pooled funds'!$B:$B,ROW())&amp;""," "," "))</f>
        <v/>
      </c>
      <c r="R1501">
        <f>IFERROR(--INDEX('Pooled funds'!$C:$C,ROW()),0)</f>
        <v/>
      </c>
      <c r="S1501">
        <f>IFERROR(--INDEX('Pooled funds'!$D:$D,ROW()),0)</f>
        <v/>
      </c>
      <c r="T1501">
        <f>IFERROR(IF(--INDEX('Pooled funds'!$E:$E,ROW())&gt;=1,--INDEX('Pooled funds'!$E:$E,ROW())/100,--INDEX('Pooled funds'!$E:$E,ROW())),0)</f>
        <v/>
      </c>
      <c r="U1501">
        <f>IF(ISNUMBER(INDEX('Pooled funds'!$E:$E,ROW())),1,0)</f>
        <v/>
      </c>
    </row>
    <row r="1502">
      <c r="A1502">
        <f>TRIM(SUBSTITUTE(INDEX('Term investments'!$A:$A,ROW())&amp;""," "," "))</f>
        <v/>
      </c>
      <c r="B1502">
        <f>TRIM(SUBSTITUTE(INDEX('Term investments'!$B:$B,ROW())&amp;""," "," "))</f>
        <v/>
      </c>
      <c r="C1502">
        <f>TRIM(SUBSTITUTE(INDEX('Term investments'!$C:$C,ROW())&amp;""," "," "))</f>
        <v/>
      </c>
      <c r="D1502">
        <f>IFERROR(--INDEX('Term investments'!$D:$D,ROW()),0)</f>
        <v/>
      </c>
      <c r="E1502">
        <f>IFERROR(--INDEX('Term investments'!$E:$E,ROW()),0)</f>
        <v/>
      </c>
      <c r="F1502">
        <f>IFERROR(--INDEX('Term investments'!$F:$F,ROW()),0)</f>
        <v/>
      </c>
      <c r="G1502">
        <f>IFERROR(IF(--INDEX('Term investments'!$G:$G,ROW())&gt;=1,--INDEX('Term investments'!$G:$G,ROW())/100,--INDEX('Term investments'!$G:$G,ROW())),0)</f>
        <v/>
      </c>
      <c r="H1502">
        <f>IFERROR(--INDEX('Term investments'!$H:$H,ROW()),0)</f>
        <v/>
      </c>
      <c r="I1502">
        <f>IF(ISNUMBER(INDEX('Term investments'!$G:$G,ROW())),1,0)</f>
        <v/>
      </c>
      <c r="J1502">
        <f>TRIM(SUBSTITUTE(INDEX('Call accounts and MMFs'!$A:$A,ROW())&amp;""," "," "))</f>
        <v/>
      </c>
      <c r="K1502">
        <f>TRIM(SUBSTITUTE(INDEX('Call accounts and MMFs'!$B:$B,ROW())&amp;""," "," "))</f>
        <v/>
      </c>
      <c r="L1502">
        <f>TRIM(SUBSTITUTE(INDEX('Call accounts and MMFs'!$C:$C,ROW())&amp;""," "," "))</f>
        <v/>
      </c>
      <c r="M1502">
        <f>IFERROR(--INDEX('Call accounts and MMFs'!$D:$D,ROW()),0)</f>
        <v/>
      </c>
      <c r="N1502">
        <f>IFERROR(IF(--INDEX('Call accounts and MMFs'!$E:$E,ROW())&gt;=1,--INDEX('Call accounts and MMFs'!$E:$E,ROW())/100,--INDEX('Call accounts and MMFs'!$E:$E,ROW())),0)</f>
        <v/>
      </c>
      <c r="O1502">
        <f>IFERROR(--INDEX('Call accounts and MMFs'!$F:$F,ROW()),0)</f>
        <v/>
      </c>
      <c r="P1502">
        <f>IF(ISNUMBER(INDEX('Call accounts and MMFs'!$E:$E,ROW())),1,0)</f>
        <v/>
      </c>
      <c r="Q1502">
        <f>TRIM(SUBSTITUTE(INDEX('Pooled funds'!$B:$B,ROW())&amp;""," "," "))</f>
        <v/>
      </c>
      <c r="R1502">
        <f>IFERROR(--INDEX('Pooled funds'!$C:$C,ROW()),0)</f>
        <v/>
      </c>
      <c r="S1502">
        <f>IFERROR(--INDEX('Pooled funds'!$D:$D,ROW()),0)</f>
        <v/>
      </c>
      <c r="T1502">
        <f>IFERROR(IF(--INDEX('Pooled funds'!$E:$E,ROW())&gt;=1,--INDEX('Pooled funds'!$E:$E,ROW())/100,--INDEX('Pooled funds'!$E:$E,ROW())),0)</f>
        <v/>
      </c>
      <c r="U1502">
        <f>IF(ISNUMBER(INDEX('Pooled funds'!$E:$E,ROW())),1,0)</f>
        <v/>
      </c>
    </row>
    <row r="1503">
      <c r="A1503">
        <f>TRIM(SUBSTITUTE(INDEX('Term investments'!$A:$A,ROW())&amp;""," "," "))</f>
        <v/>
      </c>
      <c r="B1503">
        <f>TRIM(SUBSTITUTE(INDEX('Term investments'!$B:$B,ROW())&amp;""," "," "))</f>
        <v/>
      </c>
      <c r="C1503">
        <f>TRIM(SUBSTITUTE(INDEX('Term investments'!$C:$C,ROW())&amp;""," "," "))</f>
        <v/>
      </c>
      <c r="D1503">
        <f>IFERROR(--INDEX('Term investments'!$D:$D,ROW()),0)</f>
        <v/>
      </c>
      <c r="E1503">
        <f>IFERROR(--INDEX('Term investments'!$E:$E,ROW()),0)</f>
        <v/>
      </c>
      <c r="F1503">
        <f>IFERROR(--INDEX('Term investments'!$F:$F,ROW()),0)</f>
        <v/>
      </c>
      <c r="G1503">
        <f>IFERROR(IF(--INDEX('Term investments'!$G:$G,ROW())&gt;=1,--INDEX('Term investments'!$G:$G,ROW())/100,--INDEX('Term investments'!$G:$G,ROW())),0)</f>
        <v/>
      </c>
      <c r="H1503">
        <f>IFERROR(--INDEX('Term investments'!$H:$H,ROW()),0)</f>
        <v/>
      </c>
      <c r="I1503">
        <f>IF(ISNUMBER(INDEX('Term investments'!$G:$G,ROW())),1,0)</f>
        <v/>
      </c>
      <c r="J1503">
        <f>TRIM(SUBSTITUTE(INDEX('Call accounts and MMFs'!$A:$A,ROW())&amp;""," "," "))</f>
        <v/>
      </c>
      <c r="K1503">
        <f>TRIM(SUBSTITUTE(INDEX('Call accounts and MMFs'!$B:$B,ROW())&amp;""," "," "))</f>
        <v/>
      </c>
      <c r="L1503">
        <f>TRIM(SUBSTITUTE(INDEX('Call accounts and MMFs'!$C:$C,ROW())&amp;""," "," "))</f>
        <v/>
      </c>
      <c r="M1503">
        <f>IFERROR(--INDEX('Call accounts and MMFs'!$D:$D,ROW()),0)</f>
        <v/>
      </c>
      <c r="N1503">
        <f>IFERROR(IF(--INDEX('Call accounts and MMFs'!$E:$E,ROW())&gt;=1,--INDEX('Call accounts and MMFs'!$E:$E,ROW())/100,--INDEX('Call accounts and MMFs'!$E:$E,ROW())),0)</f>
        <v/>
      </c>
      <c r="O1503">
        <f>IFERROR(--INDEX('Call accounts and MMFs'!$F:$F,ROW()),0)</f>
        <v/>
      </c>
      <c r="P1503">
        <f>IF(ISNUMBER(INDEX('Call accounts and MMFs'!$E:$E,ROW())),1,0)</f>
        <v/>
      </c>
      <c r="Q1503">
        <f>TRIM(SUBSTITUTE(INDEX('Pooled funds'!$B:$B,ROW())&amp;""," "," "))</f>
        <v/>
      </c>
      <c r="R1503">
        <f>IFERROR(--INDEX('Pooled funds'!$C:$C,ROW()),0)</f>
        <v/>
      </c>
      <c r="S1503">
        <f>IFERROR(--INDEX('Pooled funds'!$D:$D,ROW()),0)</f>
        <v/>
      </c>
      <c r="T1503">
        <f>IFERROR(IF(--INDEX('Pooled funds'!$E:$E,ROW())&gt;=1,--INDEX('Pooled funds'!$E:$E,ROW())/100,--INDEX('Pooled funds'!$E:$E,ROW())),0)</f>
        <v/>
      </c>
      <c r="U1503">
        <f>IF(ISNUMBER(INDEX('Pooled funds'!$E:$E,ROW())),1,0)</f>
        <v/>
      </c>
    </row>
    <row r="1504">
      <c r="A1504">
        <f>TRIM(SUBSTITUTE(INDEX('Term investments'!$A:$A,ROW())&amp;""," "," "))</f>
        <v/>
      </c>
      <c r="B1504">
        <f>TRIM(SUBSTITUTE(INDEX('Term investments'!$B:$B,ROW())&amp;""," "," "))</f>
        <v/>
      </c>
      <c r="C1504">
        <f>TRIM(SUBSTITUTE(INDEX('Term investments'!$C:$C,ROW())&amp;""," "," "))</f>
        <v/>
      </c>
      <c r="D1504">
        <f>IFERROR(--INDEX('Term investments'!$D:$D,ROW()),0)</f>
        <v/>
      </c>
      <c r="E1504">
        <f>IFERROR(--INDEX('Term investments'!$E:$E,ROW()),0)</f>
        <v/>
      </c>
      <c r="F1504">
        <f>IFERROR(--INDEX('Term investments'!$F:$F,ROW()),0)</f>
        <v/>
      </c>
      <c r="G1504">
        <f>IFERROR(IF(--INDEX('Term investments'!$G:$G,ROW())&gt;=1,--INDEX('Term investments'!$G:$G,ROW())/100,--INDEX('Term investments'!$G:$G,ROW())),0)</f>
        <v/>
      </c>
      <c r="H1504">
        <f>IFERROR(--INDEX('Term investments'!$H:$H,ROW()),0)</f>
        <v/>
      </c>
      <c r="I1504">
        <f>IF(ISNUMBER(INDEX('Term investments'!$G:$G,ROW())),1,0)</f>
        <v/>
      </c>
      <c r="J1504">
        <f>TRIM(SUBSTITUTE(INDEX('Call accounts and MMFs'!$A:$A,ROW())&amp;""," "," "))</f>
        <v/>
      </c>
      <c r="K1504">
        <f>TRIM(SUBSTITUTE(INDEX('Call accounts and MMFs'!$B:$B,ROW())&amp;""," "," "))</f>
        <v/>
      </c>
      <c r="L1504">
        <f>TRIM(SUBSTITUTE(INDEX('Call accounts and MMFs'!$C:$C,ROW())&amp;""," "," "))</f>
        <v/>
      </c>
      <c r="M1504">
        <f>IFERROR(--INDEX('Call accounts and MMFs'!$D:$D,ROW()),0)</f>
        <v/>
      </c>
      <c r="N1504">
        <f>IFERROR(IF(--INDEX('Call accounts and MMFs'!$E:$E,ROW())&gt;=1,--INDEX('Call accounts and MMFs'!$E:$E,ROW())/100,--INDEX('Call accounts and MMFs'!$E:$E,ROW())),0)</f>
        <v/>
      </c>
      <c r="O1504">
        <f>IFERROR(--INDEX('Call accounts and MMFs'!$F:$F,ROW()),0)</f>
        <v/>
      </c>
      <c r="P1504">
        <f>IF(ISNUMBER(INDEX('Call accounts and MMFs'!$E:$E,ROW())),1,0)</f>
        <v/>
      </c>
      <c r="Q1504">
        <f>TRIM(SUBSTITUTE(INDEX('Pooled funds'!$B:$B,ROW())&amp;""," "," "))</f>
        <v/>
      </c>
      <c r="R1504">
        <f>IFERROR(--INDEX('Pooled funds'!$C:$C,ROW()),0)</f>
        <v/>
      </c>
      <c r="S1504">
        <f>IFERROR(--INDEX('Pooled funds'!$D:$D,ROW()),0)</f>
        <v/>
      </c>
      <c r="T1504">
        <f>IFERROR(IF(--INDEX('Pooled funds'!$E:$E,ROW())&gt;=1,--INDEX('Pooled funds'!$E:$E,ROW())/100,--INDEX('Pooled funds'!$E:$E,ROW())),0)</f>
        <v/>
      </c>
      <c r="U1504">
        <f>IF(ISNUMBER(INDEX('Pooled funds'!$E:$E,ROW())),1,0)</f>
        <v/>
      </c>
    </row>
    <row r="1505">
      <c r="A1505">
        <f>TRIM(SUBSTITUTE(INDEX('Term investments'!$A:$A,ROW())&amp;""," "," "))</f>
        <v/>
      </c>
      <c r="B1505">
        <f>TRIM(SUBSTITUTE(INDEX('Term investments'!$B:$B,ROW())&amp;""," "," "))</f>
        <v/>
      </c>
      <c r="C1505">
        <f>TRIM(SUBSTITUTE(INDEX('Term investments'!$C:$C,ROW())&amp;""," "," "))</f>
        <v/>
      </c>
      <c r="D1505">
        <f>IFERROR(--INDEX('Term investments'!$D:$D,ROW()),0)</f>
        <v/>
      </c>
      <c r="E1505">
        <f>IFERROR(--INDEX('Term investments'!$E:$E,ROW()),0)</f>
        <v/>
      </c>
      <c r="F1505">
        <f>IFERROR(--INDEX('Term investments'!$F:$F,ROW()),0)</f>
        <v/>
      </c>
      <c r="G1505">
        <f>IFERROR(IF(--INDEX('Term investments'!$G:$G,ROW())&gt;=1,--INDEX('Term investments'!$G:$G,ROW())/100,--INDEX('Term investments'!$G:$G,ROW())),0)</f>
        <v/>
      </c>
      <c r="H1505">
        <f>IFERROR(--INDEX('Term investments'!$H:$H,ROW()),0)</f>
        <v/>
      </c>
      <c r="I1505">
        <f>IF(ISNUMBER(INDEX('Term investments'!$G:$G,ROW())),1,0)</f>
        <v/>
      </c>
      <c r="J1505">
        <f>TRIM(SUBSTITUTE(INDEX('Call accounts and MMFs'!$A:$A,ROW())&amp;""," "," "))</f>
        <v/>
      </c>
      <c r="K1505">
        <f>TRIM(SUBSTITUTE(INDEX('Call accounts and MMFs'!$B:$B,ROW())&amp;""," "," "))</f>
        <v/>
      </c>
      <c r="L1505">
        <f>TRIM(SUBSTITUTE(INDEX('Call accounts and MMFs'!$C:$C,ROW())&amp;""," "," "))</f>
        <v/>
      </c>
      <c r="M1505">
        <f>IFERROR(--INDEX('Call accounts and MMFs'!$D:$D,ROW()),0)</f>
        <v/>
      </c>
      <c r="N1505">
        <f>IFERROR(IF(--INDEX('Call accounts and MMFs'!$E:$E,ROW())&gt;=1,--INDEX('Call accounts and MMFs'!$E:$E,ROW())/100,--INDEX('Call accounts and MMFs'!$E:$E,ROW())),0)</f>
        <v/>
      </c>
      <c r="O1505">
        <f>IFERROR(--INDEX('Call accounts and MMFs'!$F:$F,ROW()),0)</f>
        <v/>
      </c>
      <c r="P1505">
        <f>IF(ISNUMBER(INDEX('Call accounts and MMFs'!$E:$E,ROW())),1,0)</f>
        <v/>
      </c>
      <c r="Q1505">
        <f>TRIM(SUBSTITUTE(INDEX('Pooled funds'!$B:$B,ROW())&amp;""," "," "))</f>
        <v/>
      </c>
      <c r="R1505">
        <f>IFERROR(--INDEX('Pooled funds'!$C:$C,ROW()),0)</f>
        <v/>
      </c>
      <c r="S1505">
        <f>IFERROR(--INDEX('Pooled funds'!$D:$D,ROW()),0)</f>
        <v/>
      </c>
      <c r="T1505">
        <f>IFERROR(IF(--INDEX('Pooled funds'!$E:$E,ROW())&gt;=1,--INDEX('Pooled funds'!$E:$E,ROW())/100,--INDEX('Pooled funds'!$E:$E,ROW())),0)</f>
        <v/>
      </c>
      <c r="U1505">
        <f>IF(ISNUMBER(INDEX('Pooled funds'!$E:$E,ROW())),1,0)</f>
        <v/>
      </c>
    </row>
    <row r="1506">
      <c r="A1506">
        <f>TRIM(SUBSTITUTE(INDEX('Term investments'!$A:$A,ROW())&amp;""," "," "))</f>
        <v/>
      </c>
      <c r="B1506">
        <f>TRIM(SUBSTITUTE(INDEX('Term investments'!$B:$B,ROW())&amp;""," "," "))</f>
        <v/>
      </c>
      <c r="C1506">
        <f>TRIM(SUBSTITUTE(INDEX('Term investments'!$C:$C,ROW())&amp;""," "," "))</f>
        <v/>
      </c>
      <c r="D1506">
        <f>IFERROR(--INDEX('Term investments'!$D:$D,ROW()),0)</f>
        <v/>
      </c>
      <c r="E1506">
        <f>IFERROR(--INDEX('Term investments'!$E:$E,ROW()),0)</f>
        <v/>
      </c>
      <c r="F1506">
        <f>IFERROR(--INDEX('Term investments'!$F:$F,ROW()),0)</f>
        <v/>
      </c>
      <c r="G1506">
        <f>IFERROR(IF(--INDEX('Term investments'!$G:$G,ROW())&gt;=1,--INDEX('Term investments'!$G:$G,ROW())/100,--INDEX('Term investments'!$G:$G,ROW())),0)</f>
        <v/>
      </c>
      <c r="H1506">
        <f>IFERROR(--INDEX('Term investments'!$H:$H,ROW()),0)</f>
        <v/>
      </c>
      <c r="I1506">
        <f>IF(ISNUMBER(INDEX('Term investments'!$G:$G,ROW())),1,0)</f>
        <v/>
      </c>
      <c r="J1506">
        <f>TRIM(SUBSTITUTE(INDEX('Call accounts and MMFs'!$A:$A,ROW())&amp;""," "," "))</f>
        <v/>
      </c>
      <c r="K1506">
        <f>TRIM(SUBSTITUTE(INDEX('Call accounts and MMFs'!$B:$B,ROW())&amp;""," "," "))</f>
        <v/>
      </c>
      <c r="L1506">
        <f>TRIM(SUBSTITUTE(INDEX('Call accounts and MMFs'!$C:$C,ROW())&amp;""," "," "))</f>
        <v/>
      </c>
      <c r="M1506">
        <f>IFERROR(--INDEX('Call accounts and MMFs'!$D:$D,ROW()),0)</f>
        <v/>
      </c>
      <c r="N1506">
        <f>IFERROR(IF(--INDEX('Call accounts and MMFs'!$E:$E,ROW())&gt;=1,--INDEX('Call accounts and MMFs'!$E:$E,ROW())/100,--INDEX('Call accounts and MMFs'!$E:$E,ROW())),0)</f>
        <v/>
      </c>
      <c r="O1506">
        <f>IFERROR(--INDEX('Call accounts and MMFs'!$F:$F,ROW()),0)</f>
        <v/>
      </c>
      <c r="P1506">
        <f>IF(ISNUMBER(INDEX('Call accounts and MMFs'!$E:$E,ROW())),1,0)</f>
        <v/>
      </c>
      <c r="Q1506">
        <f>TRIM(SUBSTITUTE(INDEX('Pooled funds'!$B:$B,ROW())&amp;""," "," "))</f>
        <v/>
      </c>
      <c r="R1506">
        <f>IFERROR(--INDEX('Pooled funds'!$C:$C,ROW()),0)</f>
        <v/>
      </c>
      <c r="S1506">
        <f>IFERROR(--INDEX('Pooled funds'!$D:$D,ROW()),0)</f>
        <v/>
      </c>
      <c r="T1506">
        <f>IFERROR(IF(--INDEX('Pooled funds'!$E:$E,ROW())&gt;=1,--INDEX('Pooled funds'!$E:$E,ROW())/100,--INDEX('Pooled funds'!$E:$E,ROW())),0)</f>
        <v/>
      </c>
      <c r="U1506">
        <f>IF(ISNUMBER(INDEX('Pooled funds'!$E:$E,ROW())),1,0)</f>
        <v/>
      </c>
    </row>
    <row r="1507">
      <c r="A1507">
        <f>TRIM(SUBSTITUTE(INDEX('Term investments'!$A:$A,ROW())&amp;""," "," "))</f>
        <v/>
      </c>
      <c r="B1507">
        <f>TRIM(SUBSTITUTE(INDEX('Term investments'!$B:$B,ROW())&amp;""," "," "))</f>
        <v/>
      </c>
      <c r="C1507">
        <f>TRIM(SUBSTITUTE(INDEX('Term investments'!$C:$C,ROW())&amp;""," "," "))</f>
        <v/>
      </c>
      <c r="D1507">
        <f>IFERROR(--INDEX('Term investments'!$D:$D,ROW()),0)</f>
        <v/>
      </c>
      <c r="E1507">
        <f>IFERROR(--INDEX('Term investments'!$E:$E,ROW()),0)</f>
        <v/>
      </c>
      <c r="F1507">
        <f>IFERROR(--INDEX('Term investments'!$F:$F,ROW()),0)</f>
        <v/>
      </c>
      <c r="G1507">
        <f>IFERROR(IF(--INDEX('Term investments'!$G:$G,ROW())&gt;=1,--INDEX('Term investments'!$G:$G,ROW())/100,--INDEX('Term investments'!$G:$G,ROW())),0)</f>
        <v/>
      </c>
      <c r="H1507">
        <f>IFERROR(--INDEX('Term investments'!$H:$H,ROW()),0)</f>
        <v/>
      </c>
      <c r="I1507">
        <f>IF(ISNUMBER(INDEX('Term investments'!$G:$G,ROW())),1,0)</f>
        <v/>
      </c>
      <c r="J1507">
        <f>TRIM(SUBSTITUTE(INDEX('Call accounts and MMFs'!$A:$A,ROW())&amp;""," "," "))</f>
        <v/>
      </c>
      <c r="K1507">
        <f>TRIM(SUBSTITUTE(INDEX('Call accounts and MMFs'!$B:$B,ROW())&amp;""," "," "))</f>
        <v/>
      </c>
      <c r="L1507">
        <f>TRIM(SUBSTITUTE(INDEX('Call accounts and MMFs'!$C:$C,ROW())&amp;""," "," "))</f>
        <v/>
      </c>
      <c r="M1507">
        <f>IFERROR(--INDEX('Call accounts and MMFs'!$D:$D,ROW()),0)</f>
        <v/>
      </c>
      <c r="N1507">
        <f>IFERROR(IF(--INDEX('Call accounts and MMFs'!$E:$E,ROW())&gt;=1,--INDEX('Call accounts and MMFs'!$E:$E,ROW())/100,--INDEX('Call accounts and MMFs'!$E:$E,ROW())),0)</f>
        <v/>
      </c>
      <c r="O1507">
        <f>IFERROR(--INDEX('Call accounts and MMFs'!$F:$F,ROW()),0)</f>
        <v/>
      </c>
      <c r="P1507">
        <f>IF(ISNUMBER(INDEX('Call accounts and MMFs'!$E:$E,ROW())),1,0)</f>
        <v/>
      </c>
      <c r="Q1507">
        <f>TRIM(SUBSTITUTE(INDEX('Pooled funds'!$B:$B,ROW())&amp;""," "," "))</f>
        <v/>
      </c>
      <c r="R1507">
        <f>IFERROR(--INDEX('Pooled funds'!$C:$C,ROW()),0)</f>
        <v/>
      </c>
      <c r="S1507">
        <f>IFERROR(--INDEX('Pooled funds'!$D:$D,ROW()),0)</f>
        <v/>
      </c>
      <c r="T1507">
        <f>IFERROR(IF(--INDEX('Pooled funds'!$E:$E,ROW())&gt;=1,--INDEX('Pooled funds'!$E:$E,ROW())/100,--INDEX('Pooled funds'!$E:$E,ROW())),0)</f>
        <v/>
      </c>
      <c r="U1507">
        <f>IF(ISNUMBER(INDEX('Pooled funds'!$E:$E,ROW())),1,0)</f>
        <v/>
      </c>
    </row>
    <row r="1508">
      <c r="A1508">
        <f>TRIM(SUBSTITUTE(INDEX('Term investments'!$A:$A,ROW())&amp;""," "," "))</f>
        <v/>
      </c>
      <c r="B1508">
        <f>TRIM(SUBSTITUTE(INDEX('Term investments'!$B:$B,ROW())&amp;""," "," "))</f>
        <v/>
      </c>
      <c r="C1508">
        <f>TRIM(SUBSTITUTE(INDEX('Term investments'!$C:$C,ROW())&amp;""," "," "))</f>
        <v/>
      </c>
      <c r="D1508">
        <f>IFERROR(--INDEX('Term investments'!$D:$D,ROW()),0)</f>
        <v/>
      </c>
      <c r="E1508">
        <f>IFERROR(--INDEX('Term investments'!$E:$E,ROW()),0)</f>
        <v/>
      </c>
      <c r="F1508">
        <f>IFERROR(--INDEX('Term investments'!$F:$F,ROW()),0)</f>
        <v/>
      </c>
      <c r="G1508">
        <f>IFERROR(IF(--INDEX('Term investments'!$G:$G,ROW())&gt;=1,--INDEX('Term investments'!$G:$G,ROW())/100,--INDEX('Term investments'!$G:$G,ROW())),0)</f>
        <v/>
      </c>
      <c r="H1508">
        <f>IFERROR(--INDEX('Term investments'!$H:$H,ROW()),0)</f>
        <v/>
      </c>
      <c r="I1508">
        <f>IF(ISNUMBER(INDEX('Term investments'!$G:$G,ROW())),1,0)</f>
        <v/>
      </c>
      <c r="J1508">
        <f>TRIM(SUBSTITUTE(INDEX('Call accounts and MMFs'!$A:$A,ROW())&amp;""," "," "))</f>
        <v/>
      </c>
      <c r="K1508">
        <f>TRIM(SUBSTITUTE(INDEX('Call accounts and MMFs'!$B:$B,ROW())&amp;""," "," "))</f>
        <v/>
      </c>
      <c r="L1508">
        <f>TRIM(SUBSTITUTE(INDEX('Call accounts and MMFs'!$C:$C,ROW())&amp;""," "," "))</f>
        <v/>
      </c>
      <c r="M1508">
        <f>IFERROR(--INDEX('Call accounts and MMFs'!$D:$D,ROW()),0)</f>
        <v/>
      </c>
      <c r="N1508">
        <f>IFERROR(IF(--INDEX('Call accounts and MMFs'!$E:$E,ROW())&gt;=1,--INDEX('Call accounts and MMFs'!$E:$E,ROW())/100,--INDEX('Call accounts and MMFs'!$E:$E,ROW())),0)</f>
        <v/>
      </c>
      <c r="O1508">
        <f>IFERROR(--INDEX('Call accounts and MMFs'!$F:$F,ROW()),0)</f>
        <v/>
      </c>
      <c r="P1508">
        <f>IF(ISNUMBER(INDEX('Call accounts and MMFs'!$E:$E,ROW())),1,0)</f>
        <v/>
      </c>
      <c r="Q1508">
        <f>TRIM(SUBSTITUTE(INDEX('Pooled funds'!$B:$B,ROW())&amp;""," "," "))</f>
        <v/>
      </c>
      <c r="R1508">
        <f>IFERROR(--INDEX('Pooled funds'!$C:$C,ROW()),0)</f>
        <v/>
      </c>
      <c r="S1508">
        <f>IFERROR(--INDEX('Pooled funds'!$D:$D,ROW()),0)</f>
        <v/>
      </c>
      <c r="T1508">
        <f>IFERROR(IF(--INDEX('Pooled funds'!$E:$E,ROW())&gt;=1,--INDEX('Pooled funds'!$E:$E,ROW())/100,--INDEX('Pooled funds'!$E:$E,ROW())),0)</f>
        <v/>
      </c>
      <c r="U1508">
        <f>IF(ISNUMBER(INDEX('Pooled funds'!$E:$E,ROW())),1,0)</f>
        <v/>
      </c>
    </row>
    <row r="1509">
      <c r="A1509">
        <f>TRIM(SUBSTITUTE(INDEX('Term investments'!$A:$A,ROW())&amp;""," "," "))</f>
        <v/>
      </c>
      <c r="B1509">
        <f>TRIM(SUBSTITUTE(INDEX('Term investments'!$B:$B,ROW())&amp;""," "," "))</f>
        <v/>
      </c>
      <c r="C1509">
        <f>TRIM(SUBSTITUTE(INDEX('Term investments'!$C:$C,ROW())&amp;""," "," "))</f>
        <v/>
      </c>
      <c r="D1509">
        <f>IFERROR(--INDEX('Term investments'!$D:$D,ROW()),0)</f>
        <v/>
      </c>
      <c r="E1509">
        <f>IFERROR(--INDEX('Term investments'!$E:$E,ROW()),0)</f>
        <v/>
      </c>
      <c r="F1509">
        <f>IFERROR(--INDEX('Term investments'!$F:$F,ROW()),0)</f>
        <v/>
      </c>
      <c r="G1509">
        <f>IFERROR(IF(--INDEX('Term investments'!$G:$G,ROW())&gt;=1,--INDEX('Term investments'!$G:$G,ROW())/100,--INDEX('Term investments'!$G:$G,ROW())),0)</f>
        <v/>
      </c>
      <c r="H1509">
        <f>IFERROR(--INDEX('Term investments'!$H:$H,ROW()),0)</f>
        <v/>
      </c>
      <c r="I1509">
        <f>IF(ISNUMBER(INDEX('Term investments'!$G:$G,ROW())),1,0)</f>
        <v/>
      </c>
      <c r="J1509">
        <f>TRIM(SUBSTITUTE(INDEX('Call accounts and MMFs'!$A:$A,ROW())&amp;""," "," "))</f>
        <v/>
      </c>
      <c r="K1509">
        <f>TRIM(SUBSTITUTE(INDEX('Call accounts and MMFs'!$B:$B,ROW())&amp;""," "," "))</f>
        <v/>
      </c>
      <c r="L1509">
        <f>TRIM(SUBSTITUTE(INDEX('Call accounts and MMFs'!$C:$C,ROW())&amp;""," "," "))</f>
        <v/>
      </c>
      <c r="M1509">
        <f>IFERROR(--INDEX('Call accounts and MMFs'!$D:$D,ROW()),0)</f>
        <v/>
      </c>
      <c r="N1509">
        <f>IFERROR(IF(--INDEX('Call accounts and MMFs'!$E:$E,ROW())&gt;=1,--INDEX('Call accounts and MMFs'!$E:$E,ROW())/100,--INDEX('Call accounts and MMFs'!$E:$E,ROW())),0)</f>
        <v/>
      </c>
      <c r="O1509">
        <f>IFERROR(--INDEX('Call accounts and MMFs'!$F:$F,ROW()),0)</f>
        <v/>
      </c>
      <c r="P1509">
        <f>IF(ISNUMBER(INDEX('Call accounts and MMFs'!$E:$E,ROW())),1,0)</f>
        <v/>
      </c>
      <c r="Q1509">
        <f>TRIM(SUBSTITUTE(INDEX('Pooled funds'!$B:$B,ROW())&amp;""," "," "))</f>
        <v/>
      </c>
      <c r="R1509">
        <f>IFERROR(--INDEX('Pooled funds'!$C:$C,ROW()),0)</f>
        <v/>
      </c>
      <c r="S1509">
        <f>IFERROR(--INDEX('Pooled funds'!$D:$D,ROW()),0)</f>
        <v/>
      </c>
      <c r="T1509">
        <f>IFERROR(IF(--INDEX('Pooled funds'!$E:$E,ROW())&gt;=1,--INDEX('Pooled funds'!$E:$E,ROW())/100,--INDEX('Pooled funds'!$E:$E,ROW())),0)</f>
        <v/>
      </c>
      <c r="U1509">
        <f>IF(ISNUMBER(INDEX('Pooled funds'!$E:$E,ROW())),1,0)</f>
        <v/>
      </c>
    </row>
    <row r="1510">
      <c r="A1510">
        <f>TRIM(SUBSTITUTE(INDEX('Term investments'!$A:$A,ROW())&amp;""," "," "))</f>
        <v/>
      </c>
      <c r="B1510">
        <f>TRIM(SUBSTITUTE(INDEX('Term investments'!$B:$B,ROW())&amp;""," "," "))</f>
        <v/>
      </c>
      <c r="C1510">
        <f>TRIM(SUBSTITUTE(INDEX('Term investments'!$C:$C,ROW())&amp;""," "," "))</f>
        <v/>
      </c>
      <c r="D1510">
        <f>IFERROR(--INDEX('Term investments'!$D:$D,ROW()),0)</f>
        <v/>
      </c>
      <c r="E1510">
        <f>IFERROR(--INDEX('Term investments'!$E:$E,ROW()),0)</f>
        <v/>
      </c>
      <c r="F1510">
        <f>IFERROR(--INDEX('Term investments'!$F:$F,ROW()),0)</f>
        <v/>
      </c>
      <c r="G1510">
        <f>IFERROR(IF(--INDEX('Term investments'!$G:$G,ROW())&gt;=1,--INDEX('Term investments'!$G:$G,ROW())/100,--INDEX('Term investments'!$G:$G,ROW())),0)</f>
        <v/>
      </c>
      <c r="H1510">
        <f>IFERROR(--INDEX('Term investments'!$H:$H,ROW()),0)</f>
        <v/>
      </c>
      <c r="I1510">
        <f>IF(ISNUMBER(INDEX('Term investments'!$G:$G,ROW())),1,0)</f>
        <v/>
      </c>
      <c r="J1510">
        <f>TRIM(SUBSTITUTE(INDEX('Call accounts and MMFs'!$A:$A,ROW())&amp;""," "," "))</f>
        <v/>
      </c>
      <c r="K1510">
        <f>TRIM(SUBSTITUTE(INDEX('Call accounts and MMFs'!$B:$B,ROW())&amp;""," "," "))</f>
        <v/>
      </c>
      <c r="L1510">
        <f>TRIM(SUBSTITUTE(INDEX('Call accounts and MMFs'!$C:$C,ROW())&amp;""," "," "))</f>
        <v/>
      </c>
      <c r="M1510">
        <f>IFERROR(--INDEX('Call accounts and MMFs'!$D:$D,ROW()),0)</f>
        <v/>
      </c>
      <c r="N1510">
        <f>IFERROR(IF(--INDEX('Call accounts and MMFs'!$E:$E,ROW())&gt;=1,--INDEX('Call accounts and MMFs'!$E:$E,ROW())/100,--INDEX('Call accounts and MMFs'!$E:$E,ROW())),0)</f>
        <v/>
      </c>
      <c r="O1510">
        <f>IFERROR(--INDEX('Call accounts and MMFs'!$F:$F,ROW()),0)</f>
        <v/>
      </c>
      <c r="P1510">
        <f>IF(ISNUMBER(INDEX('Call accounts and MMFs'!$E:$E,ROW())),1,0)</f>
        <v/>
      </c>
      <c r="Q1510">
        <f>TRIM(SUBSTITUTE(INDEX('Pooled funds'!$B:$B,ROW())&amp;""," "," "))</f>
        <v/>
      </c>
      <c r="R1510">
        <f>IFERROR(--INDEX('Pooled funds'!$C:$C,ROW()),0)</f>
        <v/>
      </c>
      <c r="S1510">
        <f>IFERROR(--INDEX('Pooled funds'!$D:$D,ROW()),0)</f>
        <v/>
      </c>
      <c r="T1510">
        <f>IFERROR(IF(--INDEX('Pooled funds'!$E:$E,ROW())&gt;=1,--INDEX('Pooled funds'!$E:$E,ROW())/100,--INDEX('Pooled funds'!$E:$E,ROW())),0)</f>
        <v/>
      </c>
      <c r="U1510">
        <f>IF(ISNUMBER(INDEX('Pooled funds'!$E:$E,ROW())),1,0)</f>
        <v/>
      </c>
    </row>
    <row r="1511">
      <c r="A1511">
        <f>TRIM(SUBSTITUTE(INDEX('Term investments'!$A:$A,ROW())&amp;""," "," "))</f>
        <v/>
      </c>
      <c r="B1511">
        <f>TRIM(SUBSTITUTE(INDEX('Term investments'!$B:$B,ROW())&amp;""," "," "))</f>
        <v/>
      </c>
      <c r="C1511">
        <f>TRIM(SUBSTITUTE(INDEX('Term investments'!$C:$C,ROW())&amp;""," "," "))</f>
        <v/>
      </c>
      <c r="D1511">
        <f>IFERROR(--INDEX('Term investments'!$D:$D,ROW()),0)</f>
        <v/>
      </c>
      <c r="E1511">
        <f>IFERROR(--INDEX('Term investments'!$E:$E,ROW()),0)</f>
        <v/>
      </c>
      <c r="F1511">
        <f>IFERROR(--INDEX('Term investments'!$F:$F,ROW()),0)</f>
        <v/>
      </c>
      <c r="G1511">
        <f>IFERROR(IF(--INDEX('Term investments'!$G:$G,ROW())&gt;=1,--INDEX('Term investments'!$G:$G,ROW())/100,--INDEX('Term investments'!$G:$G,ROW())),0)</f>
        <v/>
      </c>
      <c r="H1511">
        <f>IFERROR(--INDEX('Term investments'!$H:$H,ROW()),0)</f>
        <v/>
      </c>
      <c r="I1511">
        <f>IF(ISNUMBER(INDEX('Term investments'!$G:$G,ROW())),1,0)</f>
        <v/>
      </c>
      <c r="J1511">
        <f>TRIM(SUBSTITUTE(INDEX('Call accounts and MMFs'!$A:$A,ROW())&amp;""," "," "))</f>
        <v/>
      </c>
      <c r="K1511">
        <f>TRIM(SUBSTITUTE(INDEX('Call accounts and MMFs'!$B:$B,ROW())&amp;""," "," "))</f>
        <v/>
      </c>
      <c r="L1511">
        <f>TRIM(SUBSTITUTE(INDEX('Call accounts and MMFs'!$C:$C,ROW())&amp;""," "," "))</f>
        <v/>
      </c>
      <c r="M1511">
        <f>IFERROR(--INDEX('Call accounts and MMFs'!$D:$D,ROW()),0)</f>
        <v/>
      </c>
      <c r="N1511">
        <f>IFERROR(IF(--INDEX('Call accounts and MMFs'!$E:$E,ROW())&gt;=1,--INDEX('Call accounts and MMFs'!$E:$E,ROW())/100,--INDEX('Call accounts and MMFs'!$E:$E,ROW())),0)</f>
        <v/>
      </c>
      <c r="O1511">
        <f>IFERROR(--INDEX('Call accounts and MMFs'!$F:$F,ROW()),0)</f>
        <v/>
      </c>
      <c r="P1511">
        <f>IF(ISNUMBER(INDEX('Call accounts and MMFs'!$E:$E,ROW())),1,0)</f>
        <v/>
      </c>
      <c r="Q1511">
        <f>TRIM(SUBSTITUTE(INDEX('Pooled funds'!$B:$B,ROW())&amp;""," "," "))</f>
        <v/>
      </c>
      <c r="R1511">
        <f>IFERROR(--INDEX('Pooled funds'!$C:$C,ROW()),0)</f>
        <v/>
      </c>
      <c r="S1511">
        <f>IFERROR(--INDEX('Pooled funds'!$D:$D,ROW()),0)</f>
        <v/>
      </c>
      <c r="T1511">
        <f>IFERROR(IF(--INDEX('Pooled funds'!$E:$E,ROW())&gt;=1,--INDEX('Pooled funds'!$E:$E,ROW())/100,--INDEX('Pooled funds'!$E:$E,ROW())),0)</f>
        <v/>
      </c>
      <c r="U1511">
        <f>IF(ISNUMBER(INDEX('Pooled funds'!$E:$E,ROW())),1,0)</f>
        <v/>
      </c>
    </row>
    <row r="1512">
      <c r="A1512">
        <f>TRIM(SUBSTITUTE(INDEX('Term investments'!$A:$A,ROW())&amp;""," "," "))</f>
        <v/>
      </c>
      <c r="B1512">
        <f>TRIM(SUBSTITUTE(INDEX('Term investments'!$B:$B,ROW())&amp;""," "," "))</f>
        <v/>
      </c>
      <c r="C1512">
        <f>TRIM(SUBSTITUTE(INDEX('Term investments'!$C:$C,ROW())&amp;""," "," "))</f>
        <v/>
      </c>
      <c r="D1512">
        <f>IFERROR(--INDEX('Term investments'!$D:$D,ROW()),0)</f>
        <v/>
      </c>
      <c r="E1512">
        <f>IFERROR(--INDEX('Term investments'!$E:$E,ROW()),0)</f>
        <v/>
      </c>
      <c r="F1512">
        <f>IFERROR(--INDEX('Term investments'!$F:$F,ROW()),0)</f>
        <v/>
      </c>
      <c r="G1512">
        <f>IFERROR(IF(--INDEX('Term investments'!$G:$G,ROW())&gt;=1,--INDEX('Term investments'!$G:$G,ROW())/100,--INDEX('Term investments'!$G:$G,ROW())),0)</f>
        <v/>
      </c>
      <c r="H1512">
        <f>IFERROR(--INDEX('Term investments'!$H:$H,ROW()),0)</f>
        <v/>
      </c>
      <c r="I1512">
        <f>IF(ISNUMBER(INDEX('Term investments'!$G:$G,ROW())),1,0)</f>
        <v/>
      </c>
      <c r="J1512">
        <f>TRIM(SUBSTITUTE(INDEX('Call accounts and MMFs'!$A:$A,ROW())&amp;""," "," "))</f>
        <v/>
      </c>
      <c r="K1512">
        <f>TRIM(SUBSTITUTE(INDEX('Call accounts and MMFs'!$B:$B,ROW())&amp;""," "," "))</f>
        <v/>
      </c>
      <c r="L1512">
        <f>TRIM(SUBSTITUTE(INDEX('Call accounts and MMFs'!$C:$C,ROW())&amp;""," "," "))</f>
        <v/>
      </c>
      <c r="M1512">
        <f>IFERROR(--INDEX('Call accounts and MMFs'!$D:$D,ROW()),0)</f>
        <v/>
      </c>
      <c r="N1512">
        <f>IFERROR(IF(--INDEX('Call accounts and MMFs'!$E:$E,ROW())&gt;=1,--INDEX('Call accounts and MMFs'!$E:$E,ROW())/100,--INDEX('Call accounts and MMFs'!$E:$E,ROW())),0)</f>
        <v/>
      </c>
      <c r="O1512">
        <f>IFERROR(--INDEX('Call accounts and MMFs'!$F:$F,ROW()),0)</f>
        <v/>
      </c>
      <c r="P1512">
        <f>IF(ISNUMBER(INDEX('Call accounts and MMFs'!$E:$E,ROW())),1,0)</f>
        <v/>
      </c>
      <c r="Q1512">
        <f>TRIM(SUBSTITUTE(INDEX('Pooled funds'!$B:$B,ROW())&amp;""," "," "))</f>
        <v/>
      </c>
      <c r="R1512">
        <f>IFERROR(--INDEX('Pooled funds'!$C:$C,ROW()),0)</f>
        <v/>
      </c>
      <c r="S1512">
        <f>IFERROR(--INDEX('Pooled funds'!$D:$D,ROW()),0)</f>
        <v/>
      </c>
      <c r="T1512">
        <f>IFERROR(IF(--INDEX('Pooled funds'!$E:$E,ROW())&gt;=1,--INDEX('Pooled funds'!$E:$E,ROW())/100,--INDEX('Pooled funds'!$E:$E,ROW())),0)</f>
        <v/>
      </c>
      <c r="U1512">
        <f>IF(ISNUMBER(INDEX('Pooled funds'!$E:$E,ROW())),1,0)</f>
        <v/>
      </c>
    </row>
    <row r="1513">
      <c r="A1513">
        <f>TRIM(SUBSTITUTE(INDEX('Term investments'!$A:$A,ROW())&amp;""," "," "))</f>
        <v/>
      </c>
      <c r="B1513">
        <f>TRIM(SUBSTITUTE(INDEX('Term investments'!$B:$B,ROW())&amp;""," "," "))</f>
        <v/>
      </c>
      <c r="C1513">
        <f>TRIM(SUBSTITUTE(INDEX('Term investments'!$C:$C,ROW())&amp;""," "," "))</f>
        <v/>
      </c>
      <c r="D1513">
        <f>IFERROR(--INDEX('Term investments'!$D:$D,ROW()),0)</f>
        <v/>
      </c>
      <c r="E1513">
        <f>IFERROR(--INDEX('Term investments'!$E:$E,ROW()),0)</f>
        <v/>
      </c>
      <c r="F1513">
        <f>IFERROR(--INDEX('Term investments'!$F:$F,ROW()),0)</f>
        <v/>
      </c>
      <c r="G1513">
        <f>IFERROR(IF(--INDEX('Term investments'!$G:$G,ROW())&gt;=1,--INDEX('Term investments'!$G:$G,ROW())/100,--INDEX('Term investments'!$G:$G,ROW())),0)</f>
        <v/>
      </c>
      <c r="H1513">
        <f>IFERROR(--INDEX('Term investments'!$H:$H,ROW()),0)</f>
        <v/>
      </c>
      <c r="I1513">
        <f>IF(ISNUMBER(INDEX('Term investments'!$G:$G,ROW())),1,0)</f>
        <v/>
      </c>
      <c r="J1513">
        <f>TRIM(SUBSTITUTE(INDEX('Call accounts and MMFs'!$A:$A,ROW())&amp;""," "," "))</f>
        <v/>
      </c>
      <c r="K1513">
        <f>TRIM(SUBSTITUTE(INDEX('Call accounts and MMFs'!$B:$B,ROW())&amp;""," "," "))</f>
        <v/>
      </c>
      <c r="L1513">
        <f>TRIM(SUBSTITUTE(INDEX('Call accounts and MMFs'!$C:$C,ROW())&amp;""," "," "))</f>
        <v/>
      </c>
      <c r="M1513">
        <f>IFERROR(--INDEX('Call accounts and MMFs'!$D:$D,ROW()),0)</f>
        <v/>
      </c>
      <c r="N1513">
        <f>IFERROR(IF(--INDEX('Call accounts and MMFs'!$E:$E,ROW())&gt;=1,--INDEX('Call accounts and MMFs'!$E:$E,ROW())/100,--INDEX('Call accounts and MMFs'!$E:$E,ROW())),0)</f>
        <v/>
      </c>
      <c r="O1513">
        <f>IFERROR(--INDEX('Call accounts and MMFs'!$F:$F,ROW()),0)</f>
        <v/>
      </c>
      <c r="P1513">
        <f>IF(ISNUMBER(INDEX('Call accounts and MMFs'!$E:$E,ROW())),1,0)</f>
        <v/>
      </c>
      <c r="Q1513">
        <f>TRIM(SUBSTITUTE(INDEX('Pooled funds'!$B:$B,ROW())&amp;""," "," "))</f>
        <v/>
      </c>
      <c r="R1513">
        <f>IFERROR(--INDEX('Pooled funds'!$C:$C,ROW()),0)</f>
        <v/>
      </c>
      <c r="S1513">
        <f>IFERROR(--INDEX('Pooled funds'!$D:$D,ROW()),0)</f>
        <v/>
      </c>
      <c r="T1513">
        <f>IFERROR(IF(--INDEX('Pooled funds'!$E:$E,ROW())&gt;=1,--INDEX('Pooled funds'!$E:$E,ROW())/100,--INDEX('Pooled funds'!$E:$E,ROW())),0)</f>
        <v/>
      </c>
      <c r="U1513">
        <f>IF(ISNUMBER(INDEX('Pooled funds'!$E:$E,ROW())),1,0)</f>
        <v/>
      </c>
    </row>
    <row r="1514">
      <c r="A1514">
        <f>TRIM(SUBSTITUTE(INDEX('Term investments'!$A:$A,ROW())&amp;""," "," "))</f>
        <v/>
      </c>
      <c r="B1514">
        <f>TRIM(SUBSTITUTE(INDEX('Term investments'!$B:$B,ROW())&amp;""," "," "))</f>
        <v/>
      </c>
      <c r="C1514">
        <f>TRIM(SUBSTITUTE(INDEX('Term investments'!$C:$C,ROW())&amp;""," "," "))</f>
        <v/>
      </c>
      <c r="D1514">
        <f>IFERROR(--INDEX('Term investments'!$D:$D,ROW()),0)</f>
        <v/>
      </c>
      <c r="E1514">
        <f>IFERROR(--INDEX('Term investments'!$E:$E,ROW()),0)</f>
        <v/>
      </c>
      <c r="F1514">
        <f>IFERROR(--INDEX('Term investments'!$F:$F,ROW()),0)</f>
        <v/>
      </c>
      <c r="G1514">
        <f>IFERROR(IF(--INDEX('Term investments'!$G:$G,ROW())&gt;=1,--INDEX('Term investments'!$G:$G,ROW())/100,--INDEX('Term investments'!$G:$G,ROW())),0)</f>
        <v/>
      </c>
      <c r="H1514">
        <f>IFERROR(--INDEX('Term investments'!$H:$H,ROW()),0)</f>
        <v/>
      </c>
      <c r="I1514">
        <f>IF(ISNUMBER(INDEX('Term investments'!$G:$G,ROW())),1,0)</f>
        <v/>
      </c>
      <c r="J1514">
        <f>TRIM(SUBSTITUTE(INDEX('Call accounts and MMFs'!$A:$A,ROW())&amp;""," "," "))</f>
        <v/>
      </c>
      <c r="K1514">
        <f>TRIM(SUBSTITUTE(INDEX('Call accounts and MMFs'!$B:$B,ROW())&amp;""," "," "))</f>
        <v/>
      </c>
      <c r="L1514">
        <f>TRIM(SUBSTITUTE(INDEX('Call accounts and MMFs'!$C:$C,ROW())&amp;""," "," "))</f>
        <v/>
      </c>
      <c r="M1514">
        <f>IFERROR(--INDEX('Call accounts and MMFs'!$D:$D,ROW()),0)</f>
        <v/>
      </c>
      <c r="N1514">
        <f>IFERROR(IF(--INDEX('Call accounts and MMFs'!$E:$E,ROW())&gt;=1,--INDEX('Call accounts and MMFs'!$E:$E,ROW())/100,--INDEX('Call accounts and MMFs'!$E:$E,ROW())),0)</f>
        <v/>
      </c>
      <c r="O1514">
        <f>IFERROR(--INDEX('Call accounts and MMFs'!$F:$F,ROW()),0)</f>
        <v/>
      </c>
      <c r="P1514">
        <f>IF(ISNUMBER(INDEX('Call accounts and MMFs'!$E:$E,ROW())),1,0)</f>
        <v/>
      </c>
      <c r="Q1514">
        <f>TRIM(SUBSTITUTE(INDEX('Pooled funds'!$B:$B,ROW())&amp;""," "," "))</f>
        <v/>
      </c>
      <c r="R1514">
        <f>IFERROR(--INDEX('Pooled funds'!$C:$C,ROW()),0)</f>
        <v/>
      </c>
      <c r="S1514">
        <f>IFERROR(--INDEX('Pooled funds'!$D:$D,ROW()),0)</f>
        <v/>
      </c>
      <c r="T1514">
        <f>IFERROR(IF(--INDEX('Pooled funds'!$E:$E,ROW())&gt;=1,--INDEX('Pooled funds'!$E:$E,ROW())/100,--INDEX('Pooled funds'!$E:$E,ROW())),0)</f>
        <v/>
      </c>
      <c r="U1514">
        <f>IF(ISNUMBER(INDEX('Pooled funds'!$E:$E,ROW())),1,0)</f>
        <v/>
      </c>
    </row>
    <row r="1515">
      <c r="A1515">
        <f>TRIM(SUBSTITUTE(INDEX('Term investments'!$A:$A,ROW())&amp;""," "," "))</f>
        <v/>
      </c>
      <c r="B1515">
        <f>TRIM(SUBSTITUTE(INDEX('Term investments'!$B:$B,ROW())&amp;""," "," "))</f>
        <v/>
      </c>
      <c r="C1515">
        <f>TRIM(SUBSTITUTE(INDEX('Term investments'!$C:$C,ROW())&amp;""," "," "))</f>
        <v/>
      </c>
      <c r="D1515">
        <f>IFERROR(--INDEX('Term investments'!$D:$D,ROW()),0)</f>
        <v/>
      </c>
      <c r="E1515">
        <f>IFERROR(--INDEX('Term investments'!$E:$E,ROW()),0)</f>
        <v/>
      </c>
      <c r="F1515">
        <f>IFERROR(--INDEX('Term investments'!$F:$F,ROW()),0)</f>
        <v/>
      </c>
      <c r="G1515">
        <f>IFERROR(IF(--INDEX('Term investments'!$G:$G,ROW())&gt;=1,--INDEX('Term investments'!$G:$G,ROW())/100,--INDEX('Term investments'!$G:$G,ROW())),0)</f>
        <v/>
      </c>
      <c r="H1515">
        <f>IFERROR(--INDEX('Term investments'!$H:$H,ROW()),0)</f>
        <v/>
      </c>
      <c r="I1515">
        <f>IF(ISNUMBER(INDEX('Term investments'!$G:$G,ROW())),1,0)</f>
        <v/>
      </c>
      <c r="J1515">
        <f>TRIM(SUBSTITUTE(INDEX('Call accounts and MMFs'!$A:$A,ROW())&amp;""," "," "))</f>
        <v/>
      </c>
      <c r="K1515">
        <f>TRIM(SUBSTITUTE(INDEX('Call accounts and MMFs'!$B:$B,ROW())&amp;""," "," "))</f>
        <v/>
      </c>
      <c r="L1515">
        <f>TRIM(SUBSTITUTE(INDEX('Call accounts and MMFs'!$C:$C,ROW())&amp;""," "," "))</f>
        <v/>
      </c>
      <c r="M1515">
        <f>IFERROR(--INDEX('Call accounts and MMFs'!$D:$D,ROW()),0)</f>
        <v/>
      </c>
      <c r="N1515">
        <f>IFERROR(IF(--INDEX('Call accounts and MMFs'!$E:$E,ROW())&gt;=1,--INDEX('Call accounts and MMFs'!$E:$E,ROW())/100,--INDEX('Call accounts and MMFs'!$E:$E,ROW())),0)</f>
        <v/>
      </c>
      <c r="O1515">
        <f>IFERROR(--INDEX('Call accounts and MMFs'!$F:$F,ROW()),0)</f>
        <v/>
      </c>
      <c r="P1515">
        <f>IF(ISNUMBER(INDEX('Call accounts and MMFs'!$E:$E,ROW())),1,0)</f>
        <v/>
      </c>
      <c r="Q1515">
        <f>TRIM(SUBSTITUTE(INDEX('Pooled funds'!$B:$B,ROW())&amp;""," "," "))</f>
        <v/>
      </c>
      <c r="R1515">
        <f>IFERROR(--INDEX('Pooled funds'!$C:$C,ROW()),0)</f>
        <v/>
      </c>
      <c r="S1515">
        <f>IFERROR(--INDEX('Pooled funds'!$D:$D,ROW()),0)</f>
        <v/>
      </c>
      <c r="T1515">
        <f>IFERROR(IF(--INDEX('Pooled funds'!$E:$E,ROW())&gt;=1,--INDEX('Pooled funds'!$E:$E,ROW())/100,--INDEX('Pooled funds'!$E:$E,ROW())),0)</f>
        <v/>
      </c>
      <c r="U1515">
        <f>IF(ISNUMBER(INDEX('Pooled funds'!$E:$E,ROW())),1,0)</f>
        <v/>
      </c>
    </row>
    <row r="1516">
      <c r="A1516">
        <f>TRIM(SUBSTITUTE(INDEX('Term investments'!$A:$A,ROW())&amp;""," "," "))</f>
        <v/>
      </c>
      <c r="B1516">
        <f>TRIM(SUBSTITUTE(INDEX('Term investments'!$B:$B,ROW())&amp;""," "," "))</f>
        <v/>
      </c>
      <c r="C1516">
        <f>TRIM(SUBSTITUTE(INDEX('Term investments'!$C:$C,ROW())&amp;""," "," "))</f>
        <v/>
      </c>
      <c r="D1516">
        <f>IFERROR(--INDEX('Term investments'!$D:$D,ROW()),0)</f>
        <v/>
      </c>
      <c r="E1516">
        <f>IFERROR(--INDEX('Term investments'!$E:$E,ROW()),0)</f>
        <v/>
      </c>
      <c r="F1516">
        <f>IFERROR(--INDEX('Term investments'!$F:$F,ROW()),0)</f>
        <v/>
      </c>
      <c r="G1516">
        <f>IFERROR(IF(--INDEX('Term investments'!$G:$G,ROW())&gt;=1,--INDEX('Term investments'!$G:$G,ROW())/100,--INDEX('Term investments'!$G:$G,ROW())),0)</f>
        <v/>
      </c>
      <c r="H1516">
        <f>IFERROR(--INDEX('Term investments'!$H:$H,ROW()),0)</f>
        <v/>
      </c>
      <c r="I1516">
        <f>IF(ISNUMBER(INDEX('Term investments'!$G:$G,ROW())),1,0)</f>
        <v/>
      </c>
      <c r="J1516">
        <f>TRIM(SUBSTITUTE(INDEX('Call accounts and MMFs'!$A:$A,ROW())&amp;""," "," "))</f>
        <v/>
      </c>
      <c r="K1516">
        <f>TRIM(SUBSTITUTE(INDEX('Call accounts and MMFs'!$B:$B,ROW())&amp;""," "," "))</f>
        <v/>
      </c>
      <c r="L1516">
        <f>TRIM(SUBSTITUTE(INDEX('Call accounts and MMFs'!$C:$C,ROW())&amp;""," "," "))</f>
        <v/>
      </c>
      <c r="M1516">
        <f>IFERROR(--INDEX('Call accounts and MMFs'!$D:$D,ROW()),0)</f>
        <v/>
      </c>
      <c r="N1516">
        <f>IFERROR(IF(--INDEX('Call accounts and MMFs'!$E:$E,ROW())&gt;=1,--INDEX('Call accounts and MMFs'!$E:$E,ROW())/100,--INDEX('Call accounts and MMFs'!$E:$E,ROW())),0)</f>
        <v/>
      </c>
      <c r="O1516">
        <f>IFERROR(--INDEX('Call accounts and MMFs'!$F:$F,ROW()),0)</f>
        <v/>
      </c>
      <c r="P1516">
        <f>IF(ISNUMBER(INDEX('Call accounts and MMFs'!$E:$E,ROW())),1,0)</f>
        <v/>
      </c>
      <c r="Q1516">
        <f>TRIM(SUBSTITUTE(INDEX('Pooled funds'!$B:$B,ROW())&amp;""," "," "))</f>
        <v/>
      </c>
      <c r="R1516">
        <f>IFERROR(--INDEX('Pooled funds'!$C:$C,ROW()),0)</f>
        <v/>
      </c>
      <c r="S1516">
        <f>IFERROR(--INDEX('Pooled funds'!$D:$D,ROW()),0)</f>
        <v/>
      </c>
      <c r="T1516">
        <f>IFERROR(IF(--INDEX('Pooled funds'!$E:$E,ROW())&gt;=1,--INDEX('Pooled funds'!$E:$E,ROW())/100,--INDEX('Pooled funds'!$E:$E,ROW())),0)</f>
        <v/>
      </c>
      <c r="U1516">
        <f>IF(ISNUMBER(INDEX('Pooled funds'!$E:$E,ROW())),1,0)</f>
        <v/>
      </c>
    </row>
    <row r="1517">
      <c r="A1517">
        <f>TRIM(SUBSTITUTE(INDEX('Term investments'!$A:$A,ROW())&amp;""," "," "))</f>
        <v/>
      </c>
      <c r="B1517">
        <f>TRIM(SUBSTITUTE(INDEX('Term investments'!$B:$B,ROW())&amp;""," "," "))</f>
        <v/>
      </c>
      <c r="C1517">
        <f>TRIM(SUBSTITUTE(INDEX('Term investments'!$C:$C,ROW())&amp;""," "," "))</f>
        <v/>
      </c>
      <c r="D1517">
        <f>IFERROR(--INDEX('Term investments'!$D:$D,ROW()),0)</f>
        <v/>
      </c>
      <c r="E1517">
        <f>IFERROR(--INDEX('Term investments'!$E:$E,ROW()),0)</f>
        <v/>
      </c>
      <c r="F1517">
        <f>IFERROR(--INDEX('Term investments'!$F:$F,ROW()),0)</f>
        <v/>
      </c>
      <c r="G1517">
        <f>IFERROR(IF(--INDEX('Term investments'!$G:$G,ROW())&gt;=1,--INDEX('Term investments'!$G:$G,ROW())/100,--INDEX('Term investments'!$G:$G,ROW())),0)</f>
        <v/>
      </c>
      <c r="H1517">
        <f>IFERROR(--INDEX('Term investments'!$H:$H,ROW()),0)</f>
        <v/>
      </c>
      <c r="I1517">
        <f>IF(ISNUMBER(INDEX('Term investments'!$G:$G,ROW())),1,0)</f>
        <v/>
      </c>
      <c r="J1517">
        <f>TRIM(SUBSTITUTE(INDEX('Call accounts and MMFs'!$A:$A,ROW())&amp;""," "," "))</f>
        <v/>
      </c>
      <c r="K1517">
        <f>TRIM(SUBSTITUTE(INDEX('Call accounts and MMFs'!$B:$B,ROW())&amp;""," "," "))</f>
        <v/>
      </c>
      <c r="L1517">
        <f>TRIM(SUBSTITUTE(INDEX('Call accounts and MMFs'!$C:$C,ROW())&amp;""," "," "))</f>
        <v/>
      </c>
      <c r="M1517">
        <f>IFERROR(--INDEX('Call accounts and MMFs'!$D:$D,ROW()),0)</f>
        <v/>
      </c>
      <c r="N1517">
        <f>IFERROR(IF(--INDEX('Call accounts and MMFs'!$E:$E,ROW())&gt;=1,--INDEX('Call accounts and MMFs'!$E:$E,ROW())/100,--INDEX('Call accounts and MMFs'!$E:$E,ROW())),0)</f>
        <v/>
      </c>
      <c r="O1517">
        <f>IFERROR(--INDEX('Call accounts and MMFs'!$F:$F,ROW()),0)</f>
        <v/>
      </c>
      <c r="P1517">
        <f>IF(ISNUMBER(INDEX('Call accounts and MMFs'!$E:$E,ROW())),1,0)</f>
        <v/>
      </c>
      <c r="Q1517">
        <f>TRIM(SUBSTITUTE(INDEX('Pooled funds'!$B:$B,ROW())&amp;""," "," "))</f>
        <v/>
      </c>
      <c r="R1517">
        <f>IFERROR(--INDEX('Pooled funds'!$C:$C,ROW()),0)</f>
        <v/>
      </c>
      <c r="S1517">
        <f>IFERROR(--INDEX('Pooled funds'!$D:$D,ROW()),0)</f>
        <v/>
      </c>
      <c r="T1517">
        <f>IFERROR(IF(--INDEX('Pooled funds'!$E:$E,ROW())&gt;=1,--INDEX('Pooled funds'!$E:$E,ROW())/100,--INDEX('Pooled funds'!$E:$E,ROW())),0)</f>
        <v/>
      </c>
      <c r="U1517">
        <f>IF(ISNUMBER(INDEX('Pooled funds'!$E:$E,ROW())),1,0)</f>
        <v/>
      </c>
    </row>
    <row r="1518">
      <c r="A1518">
        <f>TRIM(SUBSTITUTE(INDEX('Term investments'!$A:$A,ROW())&amp;""," "," "))</f>
        <v/>
      </c>
      <c r="B1518">
        <f>TRIM(SUBSTITUTE(INDEX('Term investments'!$B:$B,ROW())&amp;""," "," "))</f>
        <v/>
      </c>
      <c r="C1518">
        <f>TRIM(SUBSTITUTE(INDEX('Term investments'!$C:$C,ROW())&amp;""," "," "))</f>
        <v/>
      </c>
      <c r="D1518">
        <f>IFERROR(--INDEX('Term investments'!$D:$D,ROW()),0)</f>
        <v/>
      </c>
      <c r="E1518">
        <f>IFERROR(--INDEX('Term investments'!$E:$E,ROW()),0)</f>
        <v/>
      </c>
      <c r="F1518">
        <f>IFERROR(--INDEX('Term investments'!$F:$F,ROW()),0)</f>
        <v/>
      </c>
      <c r="G1518">
        <f>IFERROR(IF(--INDEX('Term investments'!$G:$G,ROW())&gt;=1,--INDEX('Term investments'!$G:$G,ROW())/100,--INDEX('Term investments'!$G:$G,ROW())),0)</f>
        <v/>
      </c>
      <c r="H1518">
        <f>IFERROR(--INDEX('Term investments'!$H:$H,ROW()),0)</f>
        <v/>
      </c>
      <c r="I1518">
        <f>IF(ISNUMBER(INDEX('Term investments'!$G:$G,ROW())),1,0)</f>
        <v/>
      </c>
      <c r="J1518">
        <f>TRIM(SUBSTITUTE(INDEX('Call accounts and MMFs'!$A:$A,ROW())&amp;""," "," "))</f>
        <v/>
      </c>
      <c r="K1518">
        <f>TRIM(SUBSTITUTE(INDEX('Call accounts and MMFs'!$B:$B,ROW())&amp;""," "," "))</f>
        <v/>
      </c>
      <c r="L1518">
        <f>TRIM(SUBSTITUTE(INDEX('Call accounts and MMFs'!$C:$C,ROW())&amp;""," "," "))</f>
        <v/>
      </c>
      <c r="M1518">
        <f>IFERROR(--INDEX('Call accounts and MMFs'!$D:$D,ROW()),0)</f>
        <v/>
      </c>
      <c r="N1518">
        <f>IFERROR(IF(--INDEX('Call accounts and MMFs'!$E:$E,ROW())&gt;=1,--INDEX('Call accounts and MMFs'!$E:$E,ROW())/100,--INDEX('Call accounts and MMFs'!$E:$E,ROW())),0)</f>
        <v/>
      </c>
      <c r="O1518">
        <f>IFERROR(--INDEX('Call accounts and MMFs'!$F:$F,ROW()),0)</f>
        <v/>
      </c>
      <c r="P1518">
        <f>IF(ISNUMBER(INDEX('Call accounts and MMFs'!$E:$E,ROW())),1,0)</f>
        <v/>
      </c>
      <c r="Q1518">
        <f>TRIM(SUBSTITUTE(INDEX('Pooled funds'!$B:$B,ROW())&amp;""," "," "))</f>
        <v/>
      </c>
      <c r="R1518">
        <f>IFERROR(--INDEX('Pooled funds'!$C:$C,ROW()),0)</f>
        <v/>
      </c>
      <c r="S1518">
        <f>IFERROR(--INDEX('Pooled funds'!$D:$D,ROW()),0)</f>
        <v/>
      </c>
      <c r="T1518">
        <f>IFERROR(IF(--INDEX('Pooled funds'!$E:$E,ROW())&gt;=1,--INDEX('Pooled funds'!$E:$E,ROW())/100,--INDEX('Pooled funds'!$E:$E,ROW())),0)</f>
        <v/>
      </c>
      <c r="U1518">
        <f>IF(ISNUMBER(INDEX('Pooled funds'!$E:$E,ROW())),1,0)</f>
        <v/>
      </c>
    </row>
    <row r="1519">
      <c r="A1519">
        <f>TRIM(SUBSTITUTE(INDEX('Term investments'!$A:$A,ROW())&amp;""," "," "))</f>
        <v/>
      </c>
      <c r="B1519">
        <f>TRIM(SUBSTITUTE(INDEX('Term investments'!$B:$B,ROW())&amp;""," "," "))</f>
        <v/>
      </c>
      <c r="C1519">
        <f>TRIM(SUBSTITUTE(INDEX('Term investments'!$C:$C,ROW())&amp;""," "," "))</f>
        <v/>
      </c>
      <c r="D1519">
        <f>IFERROR(--INDEX('Term investments'!$D:$D,ROW()),0)</f>
        <v/>
      </c>
      <c r="E1519">
        <f>IFERROR(--INDEX('Term investments'!$E:$E,ROW()),0)</f>
        <v/>
      </c>
      <c r="F1519">
        <f>IFERROR(--INDEX('Term investments'!$F:$F,ROW()),0)</f>
        <v/>
      </c>
      <c r="G1519">
        <f>IFERROR(IF(--INDEX('Term investments'!$G:$G,ROW())&gt;=1,--INDEX('Term investments'!$G:$G,ROW())/100,--INDEX('Term investments'!$G:$G,ROW())),0)</f>
        <v/>
      </c>
      <c r="H1519">
        <f>IFERROR(--INDEX('Term investments'!$H:$H,ROW()),0)</f>
        <v/>
      </c>
      <c r="I1519">
        <f>IF(ISNUMBER(INDEX('Term investments'!$G:$G,ROW())),1,0)</f>
        <v/>
      </c>
      <c r="J1519">
        <f>TRIM(SUBSTITUTE(INDEX('Call accounts and MMFs'!$A:$A,ROW())&amp;""," "," "))</f>
        <v/>
      </c>
      <c r="K1519">
        <f>TRIM(SUBSTITUTE(INDEX('Call accounts and MMFs'!$B:$B,ROW())&amp;""," "," "))</f>
        <v/>
      </c>
      <c r="L1519">
        <f>TRIM(SUBSTITUTE(INDEX('Call accounts and MMFs'!$C:$C,ROW())&amp;""," "," "))</f>
        <v/>
      </c>
      <c r="M1519">
        <f>IFERROR(--INDEX('Call accounts and MMFs'!$D:$D,ROW()),0)</f>
        <v/>
      </c>
      <c r="N1519">
        <f>IFERROR(IF(--INDEX('Call accounts and MMFs'!$E:$E,ROW())&gt;=1,--INDEX('Call accounts and MMFs'!$E:$E,ROW())/100,--INDEX('Call accounts and MMFs'!$E:$E,ROW())),0)</f>
        <v/>
      </c>
      <c r="O1519">
        <f>IFERROR(--INDEX('Call accounts and MMFs'!$F:$F,ROW()),0)</f>
        <v/>
      </c>
      <c r="P1519">
        <f>IF(ISNUMBER(INDEX('Call accounts and MMFs'!$E:$E,ROW())),1,0)</f>
        <v/>
      </c>
      <c r="Q1519">
        <f>TRIM(SUBSTITUTE(INDEX('Pooled funds'!$B:$B,ROW())&amp;""," "," "))</f>
        <v/>
      </c>
      <c r="R1519">
        <f>IFERROR(--INDEX('Pooled funds'!$C:$C,ROW()),0)</f>
        <v/>
      </c>
      <c r="S1519">
        <f>IFERROR(--INDEX('Pooled funds'!$D:$D,ROW()),0)</f>
        <v/>
      </c>
      <c r="T1519">
        <f>IFERROR(IF(--INDEX('Pooled funds'!$E:$E,ROW())&gt;=1,--INDEX('Pooled funds'!$E:$E,ROW())/100,--INDEX('Pooled funds'!$E:$E,ROW())),0)</f>
        <v/>
      </c>
      <c r="U1519">
        <f>IF(ISNUMBER(INDEX('Pooled funds'!$E:$E,ROW())),1,0)</f>
        <v/>
      </c>
    </row>
    <row r="1520">
      <c r="A1520">
        <f>TRIM(SUBSTITUTE(INDEX('Term investments'!$A:$A,ROW())&amp;""," "," "))</f>
        <v/>
      </c>
      <c r="B1520">
        <f>TRIM(SUBSTITUTE(INDEX('Term investments'!$B:$B,ROW())&amp;""," "," "))</f>
        <v/>
      </c>
      <c r="C1520">
        <f>TRIM(SUBSTITUTE(INDEX('Term investments'!$C:$C,ROW())&amp;""," "," "))</f>
        <v/>
      </c>
      <c r="D1520">
        <f>IFERROR(--INDEX('Term investments'!$D:$D,ROW()),0)</f>
        <v/>
      </c>
      <c r="E1520">
        <f>IFERROR(--INDEX('Term investments'!$E:$E,ROW()),0)</f>
        <v/>
      </c>
      <c r="F1520">
        <f>IFERROR(--INDEX('Term investments'!$F:$F,ROW()),0)</f>
        <v/>
      </c>
      <c r="G1520">
        <f>IFERROR(IF(--INDEX('Term investments'!$G:$G,ROW())&gt;=1,--INDEX('Term investments'!$G:$G,ROW())/100,--INDEX('Term investments'!$G:$G,ROW())),0)</f>
        <v/>
      </c>
      <c r="H1520">
        <f>IFERROR(--INDEX('Term investments'!$H:$H,ROW()),0)</f>
        <v/>
      </c>
      <c r="I1520">
        <f>IF(ISNUMBER(INDEX('Term investments'!$G:$G,ROW())),1,0)</f>
        <v/>
      </c>
      <c r="J1520">
        <f>TRIM(SUBSTITUTE(INDEX('Call accounts and MMFs'!$A:$A,ROW())&amp;""," "," "))</f>
        <v/>
      </c>
      <c r="K1520">
        <f>TRIM(SUBSTITUTE(INDEX('Call accounts and MMFs'!$B:$B,ROW())&amp;""," "," "))</f>
        <v/>
      </c>
      <c r="L1520">
        <f>TRIM(SUBSTITUTE(INDEX('Call accounts and MMFs'!$C:$C,ROW())&amp;""," "," "))</f>
        <v/>
      </c>
      <c r="M1520">
        <f>IFERROR(--INDEX('Call accounts and MMFs'!$D:$D,ROW()),0)</f>
        <v/>
      </c>
      <c r="N1520">
        <f>IFERROR(IF(--INDEX('Call accounts and MMFs'!$E:$E,ROW())&gt;=1,--INDEX('Call accounts and MMFs'!$E:$E,ROW())/100,--INDEX('Call accounts and MMFs'!$E:$E,ROW())),0)</f>
        <v/>
      </c>
      <c r="O1520">
        <f>IFERROR(--INDEX('Call accounts and MMFs'!$F:$F,ROW()),0)</f>
        <v/>
      </c>
      <c r="P1520">
        <f>IF(ISNUMBER(INDEX('Call accounts and MMFs'!$E:$E,ROW())),1,0)</f>
        <v/>
      </c>
      <c r="Q1520">
        <f>TRIM(SUBSTITUTE(INDEX('Pooled funds'!$B:$B,ROW())&amp;""," "," "))</f>
        <v/>
      </c>
      <c r="R1520">
        <f>IFERROR(--INDEX('Pooled funds'!$C:$C,ROW()),0)</f>
        <v/>
      </c>
      <c r="S1520">
        <f>IFERROR(--INDEX('Pooled funds'!$D:$D,ROW()),0)</f>
        <v/>
      </c>
      <c r="T1520">
        <f>IFERROR(IF(--INDEX('Pooled funds'!$E:$E,ROW())&gt;=1,--INDEX('Pooled funds'!$E:$E,ROW())/100,--INDEX('Pooled funds'!$E:$E,ROW())),0)</f>
        <v/>
      </c>
      <c r="U1520">
        <f>IF(ISNUMBER(INDEX('Pooled funds'!$E:$E,ROW())),1,0)</f>
        <v/>
      </c>
    </row>
    <row r="1521">
      <c r="A1521">
        <f>TRIM(SUBSTITUTE(INDEX('Term investments'!$A:$A,ROW())&amp;""," "," "))</f>
        <v/>
      </c>
      <c r="B1521">
        <f>TRIM(SUBSTITUTE(INDEX('Term investments'!$B:$B,ROW())&amp;""," "," "))</f>
        <v/>
      </c>
      <c r="C1521">
        <f>TRIM(SUBSTITUTE(INDEX('Term investments'!$C:$C,ROW())&amp;""," "," "))</f>
        <v/>
      </c>
      <c r="D1521">
        <f>IFERROR(--INDEX('Term investments'!$D:$D,ROW()),0)</f>
        <v/>
      </c>
      <c r="E1521">
        <f>IFERROR(--INDEX('Term investments'!$E:$E,ROW()),0)</f>
        <v/>
      </c>
      <c r="F1521">
        <f>IFERROR(--INDEX('Term investments'!$F:$F,ROW()),0)</f>
        <v/>
      </c>
      <c r="G1521">
        <f>IFERROR(IF(--INDEX('Term investments'!$G:$G,ROW())&gt;=1,--INDEX('Term investments'!$G:$G,ROW())/100,--INDEX('Term investments'!$G:$G,ROW())),0)</f>
        <v/>
      </c>
      <c r="H1521">
        <f>IFERROR(--INDEX('Term investments'!$H:$H,ROW()),0)</f>
        <v/>
      </c>
      <c r="I1521">
        <f>IF(ISNUMBER(INDEX('Term investments'!$G:$G,ROW())),1,0)</f>
        <v/>
      </c>
      <c r="J1521">
        <f>TRIM(SUBSTITUTE(INDEX('Call accounts and MMFs'!$A:$A,ROW())&amp;""," "," "))</f>
        <v/>
      </c>
      <c r="K1521">
        <f>TRIM(SUBSTITUTE(INDEX('Call accounts and MMFs'!$B:$B,ROW())&amp;""," "," "))</f>
        <v/>
      </c>
      <c r="L1521">
        <f>TRIM(SUBSTITUTE(INDEX('Call accounts and MMFs'!$C:$C,ROW())&amp;""," "," "))</f>
        <v/>
      </c>
      <c r="M1521">
        <f>IFERROR(--INDEX('Call accounts and MMFs'!$D:$D,ROW()),0)</f>
        <v/>
      </c>
      <c r="N1521">
        <f>IFERROR(IF(--INDEX('Call accounts and MMFs'!$E:$E,ROW())&gt;=1,--INDEX('Call accounts and MMFs'!$E:$E,ROW())/100,--INDEX('Call accounts and MMFs'!$E:$E,ROW())),0)</f>
        <v/>
      </c>
      <c r="O1521">
        <f>IFERROR(--INDEX('Call accounts and MMFs'!$F:$F,ROW()),0)</f>
        <v/>
      </c>
      <c r="P1521">
        <f>IF(ISNUMBER(INDEX('Call accounts and MMFs'!$E:$E,ROW())),1,0)</f>
        <v/>
      </c>
      <c r="Q1521">
        <f>TRIM(SUBSTITUTE(INDEX('Pooled funds'!$B:$B,ROW())&amp;""," "," "))</f>
        <v/>
      </c>
      <c r="R1521">
        <f>IFERROR(--INDEX('Pooled funds'!$C:$C,ROW()),0)</f>
        <v/>
      </c>
      <c r="S1521">
        <f>IFERROR(--INDEX('Pooled funds'!$D:$D,ROW()),0)</f>
        <v/>
      </c>
      <c r="T1521">
        <f>IFERROR(IF(--INDEX('Pooled funds'!$E:$E,ROW())&gt;=1,--INDEX('Pooled funds'!$E:$E,ROW())/100,--INDEX('Pooled funds'!$E:$E,ROW())),0)</f>
        <v/>
      </c>
      <c r="U1521">
        <f>IF(ISNUMBER(INDEX('Pooled funds'!$E:$E,ROW())),1,0)</f>
        <v/>
      </c>
    </row>
    <row r="1522">
      <c r="A1522">
        <f>TRIM(SUBSTITUTE(INDEX('Term investments'!$A:$A,ROW())&amp;""," "," "))</f>
        <v/>
      </c>
      <c r="B1522">
        <f>TRIM(SUBSTITUTE(INDEX('Term investments'!$B:$B,ROW())&amp;""," "," "))</f>
        <v/>
      </c>
      <c r="C1522">
        <f>TRIM(SUBSTITUTE(INDEX('Term investments'!$C:$C,ROW())&amp;""," "," "))</f>
        <v/>
      </c>
      <c r="D1522">
        <f>IFERROR(--INDEX('Term investments'!$D:$D,ROW()),0)</f>
        <v/>
      </c>
      <c r="E1522">
        <f>IFERROR(--INDEX('Term investments'!$E:$E,ROW()),0)</f>
        <v/>
      </c>
      <c r="F1522">
        <f>IFERROR(--INDEX('Term investments'!$F:$F,ROW()),0)</f>
        <v/>
      </c>
      <c r="G1522">
        <f>IFERROR(IF(--INDEX('Term investments'!$G:$G,ROW())&gt;=1,--INDEX('Term investments'!$G:$G,ROW())/100,--INDEX('Term investments'!$G:$G,ROW())),0)</f>
        <v/>
      </c>
      <c r="H1522">
        <f>IFERROR(--INDEX('Term investments'!$H:$H,ROW()),0)</f>
        <v/>
      </c>
      <c r="I1522">
        <f>IF(ISNUMBER(INDEX('Term investments'!$G:$G,ROW())),1,0)</f>
        <v/>
      </c>
      <c r="J1522">
        <f>TRIM(SUBSTITUTE(INDEX('Call accounts and MMFs'!$A:$A,ROW())&amp;""," "," "))</f>
        <v/>
      </c>
      <c r="K1522">
        <f>TRIM(SUBSTITUTE(INDEX('Call accounts and MMFs'!$B:$B,ROW())&amp;""," "," "))</f>
        <v/>
      </c>
      <c r="L1522">
        <f>TRIM(SUBSTITUTE(INDEX('Call accounts and MMFs'!$C:$C,ROW())&amp;""," "," "))</f>
        <v/>
      </c>
      <c r="M1522">
        <f>IFERROR(--INDEX('Call accounts and MMFs'!$D:$D,ROW()),0)</f>
        <v/>
      </c>
      <c r="N1522">
        <f>IFERROR(IF(--INDEX('Call accounts and MMFs'!$E:$E,ROW())&gt;=1,--INDEX('Call accounts and MMFs'!$E:$E,ROW())/100,--INDEX('Call accounts and MMFs'!$E:$E,ROW())),0)</f>
        <v/>
      </c>
      <c r="O1522">
        <f>IFERROR(--INDEX('Call accounts and MMFs'!$F:$F,ROW()),0)</f>
        <v/>
      </c>
      <c r="P1522">
        <f>IF(ISNUMBER(INDEX('Call accounts and MMFs'!$E:$E,ROW())),1,0)</f>
        <v/>
      </c>
      <c r="Q1522">
        <f>TRIM(SUBSTITUTE(INDEX('Pooled funds'!$B:$B,ROW())&amp;""," "," "))</f>
        <v/>
      </c>
      <c r="R1522">
        <f>IFERROR(--INDEX('Pooled funds'!$C:$C,ROW()),0)</f>
        <v/>
      </c>
      <c r="S1522">
        <f>IFERROR(--INDEX('Pooled funds'!$D:$D,ROW()),0)</f>
        <v/>
      </c>
      <c r="T1522">
        <f>IFERROR(IF(--INDEX('Pooled funds'!$E:$E,ROW())&gt;=1,--INDEX('Pooled funds'!$E:$E,ROW())/100,--INDEX('Pooled funds'!$E:$E,ROW())),0)</f>
        <v/>
      </c>
      <c r="U1522">
        <f>IF(ISNUMBER(INDEX('Pooled funds'!$E:$E,ROW())),1,0)</f>
        <v/>
      </c>
    </row>
    <row r="1523">
      <c r="A1523">
        <f>TRIM(SUBSTITUTE(INDEX('Term investments'!$A:$A,ROW())&amp;""," "," "))</f>
        <v/>
      </c>
      <c r="B1523">
        <f>TRIM(SUBSTITUTE(INDEX('Term investments'!$B:$B,ROW())&amp;""," "," "))</f>
        <v/>
      </c>
      <c r="C1523">
        <f>TRIM(SUBSTITUTE(INDEX('Term investments'!$C:$C,ROW())&amp;""," "," "))</f>
        <v/>
      </c>
      <c r="D1523">
        <f>IFERROR(--INDEX('Term investments'!$D:$D,ROW()),0)</f>
        <v/>
      </c>
      <c r="E1523">
        <f>IFERROR(--INDEX('Term investments'!$E:$E,ROW()),0)</f>
        <v/>
      </c>
      <c r="F1523">
        <f>IFERROR(--INDEX('Term investments'!$F:$F,ROW()),0)</f>
        <v/>
      </c>
      <c r="G1523">
        <f>IFERROR(IF(--INDEX('Term investments'!$G:$G,ROW())&gt;=1,--INDEX('Term investments'!$G:$G,ROW())/100,--INDEX('Term investments'!$G:$G,ROW())),0)</f>
        <v/>
      </c>
      <c r="H1523">
        <f>IFERROR(--INDEX('Term investments'!$H:$H,ROW()),0)</f>
        <v/>
      </c>
      <c r="I1523">
        <f>IF(ISNUMBER(INDEX('Term investments'!$G:$G,ROW())),1,0)</f>
        <v/>
      </c>
      <c r="J1523">
        <f>TRIM(SUBSTITUTE(INDEX('Call accounts and MMFs'!$A:$A,ROW())&amp;""," "," "))</f>
        <v/>
      </c>
      <c r="K1523">
        <f>TRIM(SUBSTITUTE(INDEX('Call accounts and MMFs'!$B:$B,ROW())&amp;""," "," "))</f>
        <v/>
      </c>
      <c r="L1523">
        <f>TRIM(SUBSTITUTE(INDEX('Call accounts and MMFs'!$C:$C,ROW())&amp;""," "," "))</f>
        <v/>
      </c>
      <c r="M1523">
        <f>IFERROR(--INDEX('Call accounts and MMFs'!$D:$D,ROW()),0)</f>
        <v/>
      </c>
      <c r="N1523">
        <f>IFERROR(IF(--INDEX('Call accounts and MMFs'!$E:$E,ROW())&gt;=1,--INDEX('Call accounts and MMFs'!$E:$E,ROW())/100,--INDEX('Call accounts and MMFs'!$E:$E,ROW())),0)</f>
        <v/>
      </c>
      <c r="O1523">
        <f>IFERROR(--INDEX('Call accounts and MMFs'!$F:$F,ROW()),0)</f>
        <v/>
      </c>
      <c r="P1523">
        <f>IF(ISNUMBER(INDEX('Call accounts and MMFs'!$E:$E,ROW())),1,0)</f>
        <v/>
      </c>
      <c r="Q1523">
        <f>TRIM(SUBSTITUTE(INDEX('Pooled funds'!$B:$B,ROW())&amp;""," "," "))</f>
        <v/>
      </c>
      <c r="R1523">
        <f>IFERROR(--INDEX('Pooled funds'!$C:$C,ROW()),0)</f>
        <v/>
      </c>
      <c r="S1523">
        <f>IFERROR(--INDEX('Pooled funds'!$D:$D,ROW()),0)</f>
        <v/>
      </c>
      <c r="T1523">
        <f>IFERROR(IF(--INDEX('Pooled funds'!$E:$E,ROW())&gt;=1,--INDEX('Pooled funds'!$E:$E,ROW())/100,--INDEX('Pooled funds'!$E:$E,ROW())),0)</f>
        <v/>
      </c>
      <c r="U1523">
        <f>IF(ISNUMBER(INDEX('Pooled funds'!$E:$E,ROW())),1,0)</f>
        <v/>
      </c>
    </row>
    <row r="1524">
      <c r="A1524">
        <f>TRIM(SUBSTITUTE(INDEX('Term investments'!$A:$A,ROW())&amp;""," "," "))</f>
        <v/>
      </c>
      <c r="B1524">
        <f>TRIM(SUBSTITUTE(INDEX('Term investments'!$B:$B,ROW())&amp;""," "," "))</f>
        <v/>
      </c>
      <c r="C1524">
        <f>TRIM(SUBSTITUTE(INDEX('Term investments'!$C:$C,ROW())&amp;""," "," "))</f>
        <v/>
      </c>
      <c r="D1524">
        <f>IFERROR(--INDEX('Term investments'!$D:$D,ROW()),0)</f>
        <v/>
      </c>
      <c r="E1524">
        <f>IFERROR(--INDEX('Term investments'!$E:$E,ROW()),0)</f>
        <v/>
      </c>
      <c r="F1524">
        <f>IFERROR(--INDEX('Term investments'!$F:$F,ROW()),0)</f>
        <v/>
      </c>
      <c r="G1524">
        <f>IFERROR(IF(--INDEX('Term investments'!$G:$G,ROW())&gt;=1,--INDEX('Term investments'!$G:$G,ROW())/100,--INDEX('Term investments'!$G:$G,ROW())),0)</f>
        <v/>
      </c>
      <c r="H1524">
        <f>IFERROR(--INDEX('Term investments'!$H:$H,ROW()),0)</f>
        <v/>
      </c>
      <c r="I1524">
        <f>IF(ISNUMBER(INDEX('Term investments'!$G:$G,ROW())),1,0)</f>
        <v/>
      </c>
      <c r="J1524">
        <f>TRIM(SUBSTITUTE(INDEX('Call accounts and MMFs'!$A:$A,ROW())&amp;""," "," "))</f>
        <v/>
      </c>
      <c r="K1524">
        <f>TRIM(SUBSTITUTE(INDEX('Call accounts and MMFs'!$B:$B,ROW())&amp;""," "," "))</f>
        <v/>
      </c>
      <c r="L1524">
        <f>TRIM(SUBSTITUTE(INDEX('Call accounts and MMFs'!$C:$C,ROW())&amp;""," "," "))</f>
        <v/>
      </c>
      <c r="M1524">
        <f>IFERROR(--INDEX('Call accounts and MMFs'!$D:$D,ROW()),0)</f>
        <v/>
      </c>
      <c r="N1524">
        <f>IFERROR(IF(--INDEX('Call accounts and MMFs'!$E:$E,ROW())&gt;=1,--INDEX('Call accounts and MMFs'!$E:$E,ROW())/100,--INDEX('Call accounts and MMFs'!$E:$E,ROW())),0)</f>
        <v/>
      </c>
      <c r="O1524">
        <f>IFERROR(--INDEX('Call accounts and MMFs'!$F:$F,ROW()),0)</f>
        <v/>
      </c>
      <c r="P1524">
        <f>IF(ISNUMBER(INDEX('Call accounts and MMFs'!$E:$E,ROW())),1,0)</f>
        <v/>
      </c>
      <c r="Q1524">
        <f>TRIM(SUBSTITUTE(INDEX('Pooled funds'!$B:$B,ROW())&amp;""," "," "))</f>
        <v/>
      </c>
      <c r="R1524">
        <f>IFERROR(--INDEX('Pooled funds'!$C:$C,ROW()),0)</f>
        <v/>
      </c>
      <c r="S1524">
        <f>IFERROR(--INDEX('Pooled funds'!$D:$D,ROW()),0)</f>
        <v/>
      </c>
      <c r="T1524">
        <f>IFERROR(IF(--INDEX('Pooled funds'!$E:$E,ROW())&gt;=1,--INDEX('Pooled funds'!$E:$E,ROW())/100,--INDEX('Pooled funds'!$E:$E,ROW())),0)</f>
        <v/>
      </c>
      <c r="U1524">
        <f>IF(ISNUMBER(INDEX('Pooled funds'!$E:$E,ROW())),1,0)</f>
        <v/>
      </c>
    </row>
    <row r="1525">
      <c r="A1525">
        <f>TRIM(SUBSTITUTE(INDEX('Term investments'!$A:$A,ROW())&amp;""," "," "))</f>
        <v/>
      </c>
      <c r="B1525">
        <f>TRIM(SUBSTITUTE(INDEX('Term investments'!$B:$B,ROW())&amp;""," "," "))</f>
        <v/>
      </c>
      <c r="C1525">
        <f>TRIM(SUBSTITUTE(INDEX('Term investments'!$C:$C,ROW())&amp;""," "," "))</f>
        <v/>
      </c>
      <c r="D1525">
        <f>IFERROR(--INDEX('Term investments'!$D:$D,ROW()),0)</f>
        <v/>
      </c>
      <c r="E1525">
        <f>IFERROR(--INDEX('Term investments'!$E:$E,ROW()),0)</f>
        <v/>
      </c>
      <c r="F1525">
        <f>IFERROR(--INDEX('Term investments'!$F:$F,ROW()),0)</f>
        <v/>
      </c>
      <c r="G1525">
        <f>IFERROR(IF(--INDEX('Term investments'!$G:$G,ROW())&gt;=1,--INDEX('Term investments'!$G:$G,ROW())/100,--INDEX('Term investments'!$G:$G,ROW())),0)</f>
        <v/>
      </c>
      <c r="H1525">
        <f>IFERROR(--INDEX('Term investments'!$H:$H,ROW()),0)</f>
        <v/>
      </c>
      <c r="I1525">
        <f>IF(ISNUMBER(INDEX('Term investments'!$G:$G,ROW())),1,0)</f>
        <v/>
      </c>
      <c r="J1525">
        <f>TRIM(SUBSTITUTE(INDEX('Call accounts and MMFs'!$A:$A,ROW())&amp;""," "," "))</f>
        <v/>
      </c>
      <c r="K1525">
        <f>TRIM(SUBSTITUTE(INDEX('Call accounts and MMFs'!$B:$B,ROW())&amp;""," "," "))</f>
        <v/>
      </c>
      <c r="L1525">
        <f>TRIM(SUBSTITUTE(INDEX('Call accounts and MMFs'!$C:$C,ROW())&amp;""," "," "))</f>
        <v/>
      </c>
      <c r="M1525">
        <f>IFERROR(--INDEX('Call accounts and MMFs'!$D:$D,ROW()),0)</f>
        <v/>
      </c>
      <c r="N1525">
        <f>IFERROR(IF(--INDEX('Call accounts and MMFs'!$E:$E,ROW())&gt;=1,--INDEX('Call accounts and MMFs'!$E:$E,ROW())/100,--INDEX('Call accounts and MMFs'!$E:$E,ROW())),0)</f>
        <v/>
      </c>
      <c r="O1525">
        <f>IFERROR(--INDEX('Call accounts and MMFs'!$F:$F,ROW()),0)</f>
        <v/>
      </c>
      <c r="P1525">
        <f>IF(ISNUMBER(INDEX('Call accounts and MMFs'!$E:$E,ROW())),1,0)</f>
        <v/>
      </c>
      <c r="Q1525">
        <f>TRIM(SUBSTITUTE(INDEX('Pooled funds'!$B:$B,ROW())&amp;""," "," "))</f>
        <v/>
      </c>
      <c r="R1525">
        <f>IFERROR(--INDEX('Pooled funds'!$C:$C,ROW()),0)</f>
        <v/>
      </c>
      <c r="S1525">
        <f>IFERROR(--INDEX('Pooled funds'!$D:$D,ROW()),0)</f>
        <v/>
      </c>
      <c r="T1525">
        <f>IFERROR(IF(--INDEX('Pooled funds'!$E:$E,ROW())&gt;=1,--INDEX('Pooled funds'!$E:$E,ROW())/100,--INDEX('Pooled funds'!$E:$E,ROW())),0)</f>
        <v/>
      </c>
      <c r="U1525">
        <f>IF(ISNUMBER(INDEX('Pooled funds'!$E:$E,ROW())),1,0)</f>
        <v/>
      </c>
    </row>
    <row r="1526">
      <c r="A1526">
        <f>TRIM(SUBSTITUTE(INDEX('Term investments'!$A:$A,ROW())&amp;""," "," "))</f>
        <v/>
      </c>
      <c r="B1526">
        <f>TRIM(SUBSTITUTE(INDEX('Term investments'!$B:$B,ROW())&amp;""," "," "))</f>
        <v/>
      </c>
      <c r="C1526">
        <f>TRIM(SUBSTITUTE(INDEX('Term investments'!$C:$C,ROW())&amp;""," "," "))</f>
        <v/>
      </c>
      <c r="D1526">
        <f>IFERROR(--INDEX('Term investments'!$D:$D,ROW()),0)</f>
        <v/>
      </c>
      <c r="E1526">
        <f>IFERROR(--INDEX('Term investments'!$E:$E,ROW()),0)</f>
        <v/>
      </c>
      <c r="F1526">
        <f>IFERROR(--INDEX('Term investments'!$F:$F,ROW()),0)</f>
        <v/>
      </c>
      <c r="G1526">
        <f>IFERROR(IF(--INDEX('Term investments'!$G:$G,ROW())&gt;=1,--INDEX('Term investments'!$G:$G,ROW())/100,--INDEX('Term investments'!$G:$G,ROW())),0)</f>
        <v/>
      </c>
      <c r="H1526">
        <f>IFERROR(--INDEX('Term investments'!$H:$H,ROW()),0)</f>
        <v/>
      </c>
      <c r="I1526">
        <f>IF(ISNUMBER(INDEX('Term investments'!$G:$G,ROW())),1,0)</f>
        <v/>
      </c>
      <c r="J1526">
        <f>TRIM(SUBSTITUTE(INDEX('Call accounts and MMFs'!$A:$A,ROW())&amp;""," "," "))</f>
        <v/>
      </c>
      <c r="K1526">
        <f>TRIM(SUBSTITUTE(INDEX('Call accounts and MMFs'!$B:$B,ROW())&amp;""," "," "))</f>
        <v/>
      </c>
      <c r="L1526">
        <f>TRIM(SUBSTITUTE(INDEX('Call accounts and MMFs'!$C:$C,ROW())&amp;""," "," "))</f>
        <v/>
      </c>
      <c r="M1526">
        <f>IFERROR(--INDEX('Call accounts and MMFs'!$D:$D,ROW()),0)</f>
        <v/>
      </c>
      <c r="N1526">
        <f>IFERROR(IF(--INDEX('Call accounts and MMFs'!$E:$E,ROW())&gt;=1,--INDEX('Call accounts and MMFs'!$E:$E,ROW())/100,--INDEX('Call accounts and MMFs'!$E:$E,ROW())),0)</f>
        <v/>
      </c>
      <c r="O1526">
        <f>IFERROR(--INDEX('Call accounts and MMFs'!$F:$F,ROW()),0)</f>
        <v/>
      </c>
      <c r="P1526">
        <f>IF(ISNUMBER(INDEX('Call accounts and MMFs'!$E:$E,ROW())),1,0)</f>
        <v/>
      </c>
      <c r="Q1526">
        <f>TRIM(SUBSTITUTE(INDEX('Pooled funds'!$B:$B,ROW())&amp;""," "," "))</f>
        <v/>
      </c>
      <c r="R1526">
        <f>IFERROR(--INDEX('Pooled funds'!$C:$C,ROW()),0)</f>
        <v/>
      </c>
      <c r="S1526">
        <f>IFERROR(--INDEX('Pooled funds'!$D:$D,ROW()),0)</f>
        <v/>
      </c>
      <c r="T1526">
        <f>IFERROR(IF(--INDEX('Pooled funds'!$E:$E,ROW())&gt;=1,--INDEX('Pooled funds'!$E:$E,ROW())/100,--INDEX('Pooled funds'!$E:$E,ROW())),0)</f>
        <v/>
      </c>
      <c r="U1526">
        <f>IF(ISNUMBER(INDEX('Pooled funds'!$E:$E,ROW())),1,0)</f>
        <v/>
      </c>
    </row>
    <row r="1527">
      <c r="A1527">
        <f>TRIM(SUBSTITUTE(INDEX('Term investments'!$A:$A,ROW())&amp;""," "," "))</f>
        <v/>
      </c>
      <c r="B1527">
        <f>TRIM(SUBSTITUTE(INDEX('Term investments'!$B:$B,ROW())&amp;""," "," "))</f>
        <v/>
      </c>
      <c r="C1527">
        <f>TRIM(SUBSTITUTE(INDEX('Term investments'!$C:$C,ROW())&amp;""," "," "))</f>
        <v/>
      </c>
      <c r="D1527">
        <f>IFERROR(--INDEX('Term investments'!$D:$D,ROW()),0)</f>
        <v/>
      </c>
      <c r="E1527">
        <f>IFERROR(--INDEX('Term investments'!$E:$E,ROW()),0)</f>
        <v/>
      </c>
      <c r="F1527">
        <f>IFERROR(--INDEX('Term investments'!$F:$F,ROW()),0)</f>
        <v/>
      </c>
      <c r="G1527">
        <f>IFERROR(IF(--INDEX('Term investments'!$G:$G,ROW())&gt;=1,--INDEX('Term investments'!$G:$G,ROW())/100,--INDEX('Term investments'!$G:$G,ROW())),0)</f>
        <v/>
      </c>
      <c r="H1527">
        <f>IFERROR(--INDEX('Term investments'!$H:$H,ROW()),0)</f>
        <v/>
      </c>
      <c r="I1527">
        <f>IF(ISNUMBER(INDEX('Term investments'!$G:$G,ROW())),1,0)</f>
        <v/>
      </c>
      <c r="J1527">
        <f>TRIM(SUBSTITUTE(INDEX('Call accounts and MMFs'!$A:$A,ROW())&amp;""," "," "))</f>
        <v/>
      </c>
      <c r="K1527">
        <f>TRIM(SUBSTITUTE(INDEX('Call accounts and MMFs'!$B:$B,ROW())&amp;""," "," "))</f>
        <v/>
      </c>
      <c r="L1527">
        <f>TRIM(SUBSTITUTE(INDEX('Call accounts and MMFs'!$C:$C,ROW())&amp;""," "," "))</f>
        <v/>
      </c>
      <c r="M1527">
        <f>IFERROR(--INDEX('Call accounts and MMFs'!$D:$D,ROW()),0)</f>
        <v/>
      </c>
      <c r="N1527">
        <f>IFERROR(IF(--INDEX('Call accounts and MMFs'!$E:$E,ROW())&gt;=1,--INDEX('Call accounts and MMFs'!$E:$E,ROW())/100,--INDEX('Call accounts and MMFs'!$E:$E,ROW())),0)</f>
        <v/>
      </c>
      <c r="O1527">
        <f>IFERROR(--INDEX('Call accounts and MMFs'!$F:$F,ROW()),0)</f>
        <v/>
      </c>
      <c r="P1527">
        <f>IF(ISNUMBER(INDEX('Call accounts and MMFs'!$E:$E,ROW())),1,0)</f>
        <v/>
      </c>
      <c r="Q1527">
        <f>TRIM(SUBSTITUTE(INDEX('Pooled funds'!$B:$B,ROW())&amp;""," "," "))</f>
        <v/>
      </c>
      <c r="R1527">
        <f>IFERROR(--INDEX('Pooled funds'!$C:$C,ROW()),0)</f>
        <v/>
      </c>
      <c r="S1527">
        <f>IFERROR(--INDEX('Pooled funds'!$D:$D,ROW()),0)</f>
        <v/>
      </c>
      <c r="T1527">
        <f>IFERROR(IF(--INDEX('Pooled funds'!$E:$E,ROW())&gt;=1,--INDEX('Pooled funds'!$E:$E,ROW())/100,--INDEX('Pooled funds'!$E:$E,ROW())),0)</f>
        <v/>
      </c>
      <c r="U1527">
        <f>IF(ISNUMBER(INDEX('Pooled funds'!$E:$E,ROW())),1,0)</f>
        <v/>
      </c>
    </row>
    <row r="1528">
      <c r="A1528">
        <f>TRIM(SUBSTITUTE(INDEX('Term investments'!$A:$A,ROW())&amp;""," "," "))</f>
        <v/>
      </c>
      <c r="B1528">
        <f>TRIM(SUBSTITUTE(INDEX('Term investments'!$B:$B,ROW())&amp;""," "," "))</f>
        <v/>
      </c>
      <c r="C1528">
        <f>TRIM(SUBSTITUTE(INDEX('Term investments'!$C:$C,ROW())&amp;""," "," "))</f>
        <v/>
      </c>
      <c r="D1528">
        <f>IFERROR(--INDEX('Term investments'!$D:$D,ROW()),0)</f>
        <v/>
      </c>
      <c r="E1528">
        <f>IFERROR(--INDEX('Term investments'!$E:$E,ROW()),0)</f>
        <v/>
      </c>
      <c r="F1528">
        <f>IFERROR(--INDEX('Term investments'!$F:$F,ROW()),0)</f>
        <v/>
      </c>
      <c r="G1528">
        <f>IFERROR(IF(--INDEX('Term investments'!$G:$G,ROW())&gt;=1,--INDEX('Term investments'!$G:$G,ROW())/100,--INDEX('Term investments'!$G:$G,ROW())),0)</f>
        <v/>
      </c>
      <c r="H1528">
        <f>IFERROR(--INDEX('Term investments'!$H:$H,ROW()),0)</f>
        <v/>
      </c>
      <c r="I1528">
        <f>IF(ISNUMBER(INDEX('Term investments'!$G:$G,ROW())),1,0)</f>
        <v/>
      </c>
      <c r="J1528">
        <f>TRIM(SUBSTITUTE(INDEX('Call accounts and MMFs'!$A:$A,ROW())&amp;""," "," "))</f>
        <v/>
      </c>
      <c r="K1528">
        <f>TRIM(SUBSTITUTE(INDEX('Call accounts and MMFs'!$B:$B,ROW())&amp;""," "," "))</f>
        <v/>
      </c>
      <c r="L1528">
        <f>TRIM(SUBSTITUTE(INDEX('Call accounts and MMFs'!$C:$C,ROW())&amp;""," "," "))</f>
        <v/>
      </c>
      <c r="M1528">
        <f>IFERROR(--INDEX('Call accounts and MMFs'!$D:$D,ROW()),0)</f>
        <v/>
      </c>
      <c r="N1528">
        <f>IFERROR(IF(--INDEX('Call accounts and MMFs'!$E:$E,ROW())&gt;=1,--INDEX('Call accounts and MMFs'!$E:$E,ROW())/100,--INDEX('Call accounts and MMFs'!$E:$E,ROW())),0)</f>
        <v/>
      </c>
      <c r="O1528">
        <f>IFERROR(--INDEX('Call accounts and MMFs'!$F:$F,ROW()),0)</f>
        <v/>
      </c>
      <c r="P1528">
        <f>IF(ISNUMBER(INDEX('Call accounts and MMFs'!$E:$E,ROW())),1,0)</f>
        <v/>
      </c>
      <c r="Q1528">
        <f>TRIM(SUBSTITUTE(INDEX('Pooled funds'!$B:$B,ROW())&amp;""," "," "))</f>
        <v/>
      </c>
      <c r="R1528">
        <f>IFERROR(--INDEX('Pooled funds'!$C:$C,ROW()),0)</f>
        <v/>
      </c>
      <c r="S1528">
        <f>IFERROR(--INDEX('Pooled funds'!$D:$D,ROW()),0)</f>
        <v/>
      </c>
      <c r="T1528">
        <f>IFERROR(IF(--INDEX('Pooled funds'!$E:$E,ROW())&gt;=1,--INDEX('Pooled funds'!$E:$E,ROW())/100,--INDEX('Pooled funds'!$E:$E,ROW())),0)</f>
        <v/>
      </c>
      <c r="U1528">
        <f>IF(ISNUMBER(INDEX('Pooled funds'!$E:$E,ROW())),1,0)</f>
        <v/>
      </c>
    </row>
    <row r="1529">
      <c r="A1529">
        <f>TRIM(SUBSTITUTE(INDEX('Term investments'!$A:$A,ROW())&amp;""," "," "))</f>
        <v/>
      </c>
      <c r="B1529">
        <f>TRIM(SUBSTITUTE(INDEX('Term investments'!$B:$B,ROW())&amp;""," "," "))</f>
        <v/>
      </c>
      <c r="C1529">
        <f>TRIM(SUBSTITUTE(INDEX('Term investments'!$C:$C,ROW())&amp;""," "," "))</f>
        <v/>
      </c>
      <c r="D1529">
        <f>IFERROR(--INDEX('Term investments'!$D:$D,ROW()),0)</f>
        <v/>
      </c>
      <c r="E1529">
        <f>IFERROR(--INDEX('Term investments'!$E:$E,ROW()),0)</f>
        <v/>
      </c>
      <c r="F1529">
        <f>IFERROR(--INDEX('Term investments'!$F:$F,ROW()),0)</f>
        <v/>
      </c>
      <c r="G1529">
        <f>IFERROR(IF(--INDEX('Term investments'!$G:$G,ROW())&gt;=1,--INDEX('Term investments'!$G:$G,ROW())/100,--INDEX('Term investments'!$G:$G,ROW())),0)</f>
        <v/>
      </c>
      <c r="H1529">
        <f>IFERROR(--INDEX('Term investments'!$H:$H,ROW()),0)</f>
        <v/>
      </c>
      <c r="I1529">
        <f>IF(ISNUMBER(INDEX('Term investments'!$G:$G,ROW())),1,0)</f>
        <v/>
      </c>
      <c r="J1529">
        <f>TRIM(SUBSTITUTE(INDEX('Call accounts and MMFs'!$A:$A,ROW())&amp;""," "," "))</f>
        <v/>
      </c>
      <c r="K1529">
        <f>TRIM(SUBSTITUTE(INDEX('Call accounts and MMFs'!$B:$B,ROW())&amp;""," "," "))</f>
        <v/>
      </c>
      <c r="L1529">
        <f>TRIM(SUBSTITUTE(INDEX('Call accounts and MMFs'!$C:$C,ROW())&amp;""," "," "))</f>
        <v/>
      </c>
      <c r="M1529">
        <f>IFERROR(--INDEX('Call accounts and MMFs'!$D:$D,ROW()),0)</f>
        <v/>
      </c>
      <c r="N1529">
        <f>IFERROR(IF(--INDEX('Call accounts and MMFs'!$E:$E,ROW())&gt;=1,--INDEX('Call accounts and MMFs'!$E:$E,ROW())/100,--INDEX('Call accounts and MMFs'!$E:$E,ROW())),0)</f>
        <v/>
      </c>
      <c r="O1529">
        <f>IFERROR(--INDEX('Call accounts and MMFs'!$F:$F,ROW()),0)</f>
        <v/>
      </c>
      <c r="P1529">
        <f>IF(ISNUMBER(INDEX('Call accounts and MMFs'!$E:$E,ROW())),1,0)</f>
        <v/>
      </c>
      <c r="Q1529">
        <f>TRIM(SUBSTITUTE(INDEX('Pooled funds'!$B:$B,ROW())&amp;""," "," "))</f>
        <v/>
      </c>
      <c r="R1529">
        <f>IFERROR(--INDEX('Pooled funds'!$C:$C,ROW()),0)</f>
        <v/>
      </c>
      <c r="S1529">
        <f>IFERROR(--INDEX('Pooled funds'!$D:$D,ROW()),0)</f>
        <v/>
      </c>
      <c r="T1529">
        <f>IFERROR(IF(--INDEX('Pooled funds'!$E:$E,ROW())&gt;=1,--INDEX('Pooled funds'!$E:$E,ROW())/100,--INDEX('Pooled funds'!$E:$E,ROW())),0)</f>
        <v/>
      </c>
      <c r="U1529">
        <f>IF(ISNUMBER(INDEX('Pooled funds'!$E:$E,ROW())),1,0)</f>
        <v/>
      </c>
    </row>
    <row r="1530">
      <c r="A1530">
        <f>TRIM(SUBSTITUTE(INDEX('Term investments'!$A:$A,ROW())&amp;""," "," "))</f>
        <v/>
      </c>
      <c r="B1530">
        <f>TRIM(SUBSTITUTE(INDEX('Term investments'!$B:$B,ROW())&amp;""," "," "))</f>
        <v/>
      </c>
      <c r="C1530">
        <f>TRIM(SUBSTITUTE(INDEX('Term investments'!$C:$C,ROW())&amp;""," "," "))</f>
        <v/>
      </c>
      <c r="D1530">
        <f>IFERROR(--INDEX('Term investments'!$D:$D,ROW()),0)</f>
        <v/>
      </c>
      <c r="E1530">
        <f>IFERROR(--INDEX('Term investments'!$E:$E,ROW()),0)</f>
        <v/>
      </c>
      <c r="F1530">
        <f>IFERROR(--INDEX('Term investments'!$F:$F,ROW()),0)</f>
        <v/>
      </c>
      <c r="G1530">
        <f>IFERROR(IF(--INDEX('Term investments'!$G:$G,ROW())&gt;=1,--INDEX('Term investments'!$G:$G,ROW())/100,--INDEX('Term investments'!$G:$G,ROW())),0)</f>
        <v/>
      </c>
      <c r="H1530">
        <f>IFERROR(--INDEX('Term investments'!$H:$H,ROW()),0)</f>
        <v/>
      </c>
      <c r="I1530">
        <f>IF(ISNUMBER(INDEX('Term investments'!$G:$G,ROW())),1,0)</f>
        <v/>
      </c>
      <c r="J1530">
        <f>TRIM(SUBSTITUTE(INDEX('Call accounts and MMFs'!$A:$A,ROW())&amp;""," "," "))</f>
        <v/>
      </c>
      <c r="K1530">
        <f>TRIM(SUBSTITUTE(INDEX('Call accounts and MMFs'!$B:$B,ROW())&amp;""," "," "))</f>
        <v/>
      </c>
      <c r="L1530">
        <f>TRIM(SUBSTITUTE(INDEX('Call accounts and MMFs'!$C:$C,ROW())&amp;""," "," "))</f>
        <v/>
      </c>
      <c r="M1530">
        <f>IFERROR(--INDEX('Call accounts and MMFs'!$D:$D,ROW()),0)</f>
        <v/>
      </c>
      <c r="N1530">
        <f>IFERROR(IF(--INDEX('Call accounts and MMFs'!$E:$E,ROW())&gt;=1,--INDEX('Call accounts and MMFs'!$E:$E,ROW())/100,--INDEX('Call accounts and MMFs'!$E:$E,ROW())),0)</f>
        <v/>
      </c>
      <c r="O1530">
        <f>IFERROR(--INDEX('Call accounts and MMFs'!$F:$F,ROW()),0)</f>
        <v/>
      </c>
      <c r="P1530">
        <f>IF(ISNUMBER(INDEX('Call accounts and MMFs'!$E:$E,ROW())),1,0)</f>
        <v/>
      </c>
      <c r="Q1530">
        <f>TRIM(SUBSTITUTE(INDEX('Pooled funds'!$B:$B,ROW())&amp;""," "," "))</f>
        <v/>
      </c>
      <c r="R1530">
        <f>IFERROR(--INDEX('Pooled funds'!$C:$C,ROW()),0)</f>
        <v/>
      </c>
      <c r="S1530">
        <f>IFERROR(--INDEX('Pooled funds'!$D:$D,ROW()),0)</f>
        <v/>
      </c>
      <c r="T1530">
        <f>IFERROR(IF(--INDEX('Pooled funds'!$E:$E,ROW())&gt;=1,--INDEX('Pooled funds'!$E:$E,ROW())/100,--INDEX('Pooled funds'!$E:$E,ROW())),0)</f>
        <v/>
      </c>
      <c r="U1530">
        <f>IF(ISNUMBER(INDEX('Pooled funds'!$E:$E,ROW())),1,0)</f>
        <v/>
      </c>
    </row>
    <row r="1531">
      <c r="A1531">
        <f>TRIM(SUBSTITUTE(INDEX('Term investments'!$A:$A,ROW())&amp;""," "," "))</f>
        <v/>
      </c>
      <c r="B1531">
        <f>TRIM(SUBSTITUTE(INDEX('Term investments'!$B:$B,ROW())&amp;""," "," "))</f>
        <v/>
      </c>
      <c r="C1531">
        <f>TRIM(SUBSTITUTE(INDEX('Term investments'!$C:$C,ROW())&amp;""," "," "))</f>
        <v/>
      </c>
      <c r="D1531">
        <f>IFERROR(--INDEX('Term investments'!$D:$D,ROW()),0)</f>
        <v/>
      </c>
      <c r="E1531">
        <f>IFERROR(--INDEX('Term investments'!$E:$E,ROW()),0)</f>
        <v/>
      </c>
      <c r="F1531">
        <f>IFERROR(--INDEX('Term investments'!$F:$F,ROW()),0)</f>
        <v/>
      </c>
      <c r="G1531">
        <f>IFERROR(IF(--INDEX('Term investments'!$G:$G,ROW())&gt;=1,--INDEX('Term investments'!$G:$G,ROW())/100,--INDEX('Term investments'!$G:$G,ROW())),0)</f>
        <v/>
      </c>
      <c r="H1531">
        <f>IFERROR(--INDEX('Term investments'!$H:$H,ROW()),0)</f>
        <v/>
      </c>
      <c r="I1531">
        <f>IF(ISNUMBER(INDEX('Term investments'!$G:$G,ROW())),1,0)</f>
        <v/>
      </c>
      <c r="J1531">
        <f>TRIM(SUBSTITUTE(INDEX('Call accounts and MMFs'!$A:$A,ROW())&amp;""," "," "))</f>
        <v/>
      </c>
      <c r="K1531">
        <f>TRIM(SUBSTITUTE(INDEX('Call accounts and MMFs'!$B:$B,ROW())&amp;""," "," "))</f>
        <v/>
      </c>
      <c r="L1531">
        <f>TRIM(SUBSTITUTE(INDEX('Call accounts and MMFs'!$C:$C,ROW())&amp;""," "," "))</f>
        <v/>
      </c>
      <c r="M1531">
        <f>IFERROR(--INDEX('Call accounts and MMFs'!$D:$D,ROW()),0)</f>
        <v/>
      </c>
      <c r="N1531">
        <f>IFERROR(IF(--INDEX('Call accounts and MMFs'!$E:$E,ROW())&gt;=1,--INDEX('Call accounts and MMFs'!$E:$E,ROW())/100,--INDEX('Call accounts and MMFs'!$E:$E,ROW())),0)</f>
        <v/>
      </c>
      <c r="O1531">
        <f>IFERROR(--INDEX('Call accounts and MMFs'!$F:$F,ROW()),0)</f>
        <v/>
      </c>
      <c r="P1531">
        <f>IF(ISNUMBER(INDEX('Call accounts and MMFs'!$E:$E,ROW())),1,0)</f>
        <v/>
      </c>
      <c r="Q1531">
        <f>TRIM(SUBSTITUTE(INDEX('Pooled funds'!$B:$B,ROW())&amp;""," "," "))</f>
        <v/>
      </c>
      <c r="R1531">
        <f>IFERROR(--INDEX('Pooled funds'!$C:$C,ROW()),0)</f>
        <v/>
      </c>
      <c r="S1531">
        <f>IFERROR(--INDEX('Pooled funds'!$D:$D,ROW()),0)</f>
        <v/>
      </c>
      <c r="T1531">
        <f>IFERROR(IF(--INDEX('Pooled funds'!$E:$E,ROW())&gt;=1,--INDEX('Pooled funds'!$E:$E,ROW())/100,--INDEX('Pooled funds'!$E:$E,ROW())),0)</f>
        <v/>
      </c>
      <c r="U1531">
        <f>IF(ISNUMBER(INDEX('Pooled funds'!$E:$E,ROW())),1,0)</f>
        <v/>
      </c>
    </row>
    <row r="1532">
      <c r="A1532">
        <f>TRIM(SUBSTITUTE(INDEX('Term investments'!$A:$A,ROW())&amp;""," "," "))</f>
        <v/>
      </c>
      <c r="B1532">
        <f>TRIM(SUBSTITUTE(INDEX('Term investments'!$B:$B,ROW())&amp;""," "," "))</f>
        <v/>
      </c>
      <c r="C1532">
        <f>TRIM(SUBSTITUTE(INDEX('Term investments'!$C:$C,ROW())&amp;""," "," "))</f>
        <v/>
      </c>
      <c r="D1532">
        <f>IFERROR(--INDEX('Term investments'!$D:$D,ROW()),0)</f>
        <v/>
      </c>
      <c r="E1532">
        <f>IFERROR(--INDEX('Term investments'!$E:$E,ROW()),0)</f>
        <v/>
      </c>
      <c r="F1532">
        <f>IFERROR(--INDEX('Term investments'!$F:$F,ROW()),0)</f>
        <v/>
      </c>
      <c r="G1532">
        <f>IFERROR(IF(--INDEX('Term investments'!$G:$G,ROW())&gt;=1,--INDEX('Term investments'!$G:$G,ROW())/100,--INDEX('Term investments'!$G:$G,ROW())),0)</f>
        <v/>
      </c>
      <c r="H1532">
        <f>IFERROR(--INDEX('Term investments'!$H:$H,ROW()),0)</f>
        <v/>
      </c>
      <c r="I1532">
        <f>IF(ISNUMBER(INDEX('Term investments'!$G:$G,ROW())),1,0)</f>
        <v/>
      </c>
      <c r="J1532">
        <f>TRIM(SUBSTITUTE(INDEX('Call accounts and MMFs'!$A:$A,ROW())&amp;""," "," "))</f>
        <v/>
      </c>
      <c r="K1532">
        <f>TRIM(SUBSTITUTE(INDEX('Call accounts and MMFs'!$B:$B,ROW())&amp;""," "," "))</f>
        <v/>
      </c>
      <c r="L1532">
        <f>TRIM(SUBSTITUTE(INDEX('Call accounts and MMFs'!$C:$C,ROW())&amp;""," "," "))</f>
        <v/>
      </c>
      <c r="M1532">
        <f>IFERROR(--INDEX('Call accounts and MMFs'!$D:$D,ROW()),0)</f>
        <v/>
      </c>
      <c r="N1532">
        <f>IFERROR(IF(--INDEX('Call accounts and MMFs'!$E:$E,ROW())&gt;=1,--INDEX('Call accounts and MMFs'!$E:$E,ROW())/100,--INDEX('Call accounts and MMFs'!$E:$E,ROW())),0)</f>
        <v/>
      </c>
      <c r="O1532">
        <f>IFERROR(--INDEX('Call accounts and MMFs'!$F:$F,ROW()),0)</f>
        <v/>
      </c>
      <c r="P1532">
        <f>IF(ISNUMBER(INDEX('Call accounts and MMFs'!$E:$E,ROW())),1,0)</f>
        <v/>
      </c>
      <c r="Q1532">
        <f>TRIM(SUBSTITUTE(INDEX('Pooled funds'!$B:$B,ROW())&amp;""," "," "))</f>
        <v/>
      </c>
      <c r="R1532">
        <f>IFERROR(--INDEX('Pooled funds'!$C:$C,ROW()),0)</f>
        <v/>
      </c>
      <c r="S1532">
        <f>IFERROR(--INDEX('Pooled funds'!$D:$D,ROW()),0)</f>
        <v/>
      </c>
      <c r="T1532">
        <f>IFERROR(IF(--INDEX('Pooled funds'!$E:$E,ROW())&gt;=1,--INDEX('Pooled funds'!$E:$E,ROW())/100,--INDEX('Pooled funds'!$E:$E,ROW())),0)</f>
        <v/>
      </c>
      <c r="U1532">
        <f>IF(ISNUMBER(INDEX('Pooled funds'!$E:$E,ROW())),1,0)</f>
        <v/>
      </c>
    </row>
    <row r="1533">
      <c r="A1533">
        <f>TRIM(SUBSTITUTE(INDEX('Term investments'!$A:$A,ROW())&amp;""," "," "))</f>
        <v/>
      </c>
      <c r="B1533">
        <f>TRIM(SUBSTITUTE(INDEX('Term investments'!$B:$B,ROW())&amp;""," "," "))</f>
        <v/>
      </c>
      <c r="C1533">
        <f>TRIM(SUBSTITUTE(INDEX('Term investments'!$C:$C,ROW())&amp;""," "," "))</f>
        <v/>
      </c>
      <c r="D1533">
        <f>IFERROR(--INDEX('Term investments'!$D:$D,ROW()),0)</f>
        <v/>
      </c>
      <c r="E1533">
        <f>IFERROR(--INDEX('Term investments'!$E:$E,ROW()),0)</f>
        <v/>
      </c>
      <c r="F1533">
        <f>IFERROR(--INDEX('Term investments'!$F:$F,ROW()),0)</f>
        <v/>
      </c>
      <c r="G1533">
        <f>IFERROR(IF(--INDEX('Term investments'!$G:$G,ROW())&gt;=1,--INDEX('Term investments'!$G:$G,ROW())/100,--INDEX('Term investments'!$G:$G,ROW())),0)</f>
        <v/>
      </c>
      <c r="H1533">
        <f>IFERROR(--INDEX('Term investments'!$H:$H,ROW()),0)</f>
        <v/>
      </c>
      <c r="I1533">
        <f>IF(ISNUMBER(INDEX('Term investments'!$G:$G,ROW())),1,0)</f>
        <v/>
      </c>
      <c r="J1533">
        <f>TRIM(SUBSTITUTE(INDEX('Call accounts and MMFs'!$A:$A,ROW())&amp;""," "," "))</f>
        <v/>
      </c>
      <c r="K1533">
        <f>TRIM(SUBSTITUTE(INDEX('Call accounts and MMFs'!$B:$B,ROW())&amp;""," "," "))</f>
        <v/>
      </c>
      <c r="L1533">
        <f>TRIM(SUBSTITUTE(INDEX('Call accounts and MMFs'!$C:$C,ROW())&amp;""," "," "))</f>
        <v/>
      </c>
      <c r="M1533">
        <f>IFERROR(--INDEX('Call accounts and MMFs'!$D:$D,ROW()),0)</f>
        <v/>
      </c>
      <c r="N1533">
        <f>IFERROR(IF(--INDEX('Call accounts and MMFs'!$E:$E,ROW())&gt;=1,--INDEX('Call accounts and MMFs'!$E:$E,ROW())/100,--INDEX('Call accounts and MMFs'!$E:$E,ROW())),0)</f>
        <v/>
      </c>
      <c r="O1533">
        <f>IFERROR(--INDEX('Call accounts and MMFs'!$F:$F,ROW()),0)</f>
        <v/>
      </c>
      <c r="P1533">
        <f>IF(ISNUMBER(INDEX('Call accounts and MMFs'!$E:$E,ROW())),1,0)</f>
        <v/>
      </c>
      <c r="Q1533">
        <f>TRIM(SUBSTITUTE(INDEX('Pooled funds'!$B:$B,ROW())&amp;""," "," "))</f>
        <v/>
      </c>
      <c r="R1533">
        <f>IFERROR(--INDEX('Pooled funds'!$C:$C,ROW()),0)</f>
        <v/>
      </c>
      <c r="S1533">
        <f>IFERROR(--INDEX('Pooled funds'!$D:$D,ROW()),0)</f>
        <v/>
      </c>
      <c r="T1533">
        <f>IFERROR(IF(--INDEX('Pooled funds'!$E:$E,ROW())&gt;=1,--INDEX('Pooled funds'!$E:$E,ROW())/100,--INDEX('Pooled funds'!$E:$E,ROW())),0)</f>
        <v/>
      </c>
      <c r="U1533">
        <f>IF(ISNUMBER(INDEX('Pooled funds'!$E:$E,ROW())),1,0)</f>
        <v/>
      </c>
    </row>
    <row r="1534">
      <c r="A1534">
        <f>TRIM(SUBSTITUTE(INDEX('Term investments'!$A:$A,ROW())&amp;""," "," "))</f>
        <v/>
      </c>
      <c r="B1534">
        <f>TRIM(SUBSTITUTE(INDEX('Term investments'!$B:$B,ROW())&amp;""," "," "))</f>
        <v/>
      </c>
      <c r="C1534">
        <f>TRIM(SUBSTITUTE(INDEX('Term investments'!$C:$C,ROW())&amp;""," "," "))</f>
        <v/>
      </c>
      <c r="D1534">
        <f>IFERROR(--INDEX('Term investments'!$D:$D,ROW()),0)</f>
        <v/>
      </c>
      <c r="E1534">
        <f>IFERROR(--INDEX('Term investments'!$E:$E,ROW()),0)</f>
        <v/>
      </c>
      <c r="F1534">
        <f>IFERROR(--INDEX('Term investments'!$F:$F,ROW()),0)</f>
        <v/>
      </c>
      <c r="G1534">
        <f>IFERROR(IF(--INDEX('Term investments'!$G:$G,ROW())&gt;=1,--INDEX('Term investments'!$G:$G,ROW())/100,--INDEX('Term investments'!$G:$G,ROW())),0)</f>
        <v/>
      </c>
      <c r="H1534">
        <f>IFERROR(--INDEX('Term investments'!$H:$H,ROW()),0)</f>
        <v/>
      </c>
      <c r="I1534">
        <f>IF(ISNUMBER(INDEX('Term investments'!$G:$G,ROW())),1,0)</f>
        <v/>
      </c>
      <c r="J1534">
        <f>TRIM(SUBSTITUTE(INDEX('Call accounts and MMFs'!$A:$A,ROW())&amp;""," "," "))</f>
        <v/>
      </c>
      <c r="K1534">
        <f>TRIM(SUBSTITUTE(INDEX('Call accounts and MMFs'!$B:$B,ROW())&amp;""," "," "))</f>
        <v/>
      </c>
      <c r="L1534">
        <f>TRIM(SUBSTITUTE(INDEX('Call accounts and MMFs'!$C:$C,ROW())&amp;""," "," "))</f>
        <v/>
      </c>
      <c r="M1534">
        <f>IFERROR(--INDEX('Call accounts and MMFs'!$D:$D,ROW()),0)</f>
        <v/>
      </c>
      <c r="N1534">
        <f>IFERROR(IF(--INDEX('Call accounts and MMFs'!$E:$E,ROW())&gt;=1,--INDEX('Call accounts and MMFs'!$E:$E,ROW())/100,--INDEX('Call accounts and MMFs'!$E:$E,ROW())),0)</f>
        <v/>
      </c>
      <c r="O1534">
        <f>IFERROR(--INDEX('Call accounts and MMFs'!$F:$F,ROW()),0)</f>
        <v/>
      </c>
      <c r="P1534">
        <f>IF(ISNUMBER(INDEX('Call accounts and MMFs'!$E:$E,ROW())),1,0)</f>
        <v/>
      </c>
      <c r="Q1534">
        <f>TRIM(SUBSTITUTE(INDEX('Pooled funds'!$B:$B,ROW())&amp;""," "," "))</f>
        <v/>
      </c>
      <c r="R1534">
        <f>IFERROR(--INDEX('Pooled funds'!$C:$C,ROW()),0)</f>
        <v/>
      </c>
      <c r="S1534">
        <f>IFERROR(--INDEX('Pooled funds'!$D:$D,ROW()),0)</f>
        <v/>
      </c>
      <c r="T1534">
        <f>IFERROR(IF(--INDEX('Pooled funds'!$E:$E,ROW())&gt;=1,--INDEX('Pooled funds'!$E:$E,ROW())/100,--INDEX('Pooled funds'!$E:$E,ROW())),0)</f>
        <v/>
      </c>
      <c r="U1534">
        <f>IF(ISNUMBER(INDEX('Pooled funds'!$E:$E,ROW())),1,0)</f>
        <v/>
      </c>
    </row>
    <row r="1535">
      <c r="A1535">
        <f>TRIM(SUBSTITUTE(INDEX('Term investments'!$A:$A,ROW())&amp;""," "," "))</f>
        <v/>
      </c>
      <c r="B1535">
        <f>TRIM(SUBSTITUTE(INDEX('Term investments'!$B:$B,ROW())&amp;""," "," "))</f>
        <v/>
      </c>
      <c r="C1535">
        <f>TRIM(SUBSTITUTE(INDEX('Term investments'!$C:$C,ROW())&amp;""," "," "))</f>
        <v/>
      </c>
      <c r="D1535">
        <f>IFERROR(--INDEX('Term investments'!$D:$D,ROW()),0)</f>
        <v/>
      </c>
      <c r="E1535">
        <f>IFERROR(--INDEX('Term investments'!$E:$E,ROW()),0)</f>
        <v/>
      </c>
      <c r="F1535">
        <f>IFERROR(--INDEX('Term investments'!$F:$F,ROW()),0)</f>
        <v/>
      </c>
      <c r="G1535">
        <f>IFERROR(IF(--INDEX('Term investments'!$G:$G,ROW())&gt;=1,--INDEX('Term investments'!$G:$G,ROW())/100,--INDEX('Term investments'!$G:$G,ROW())),0)</f>
        <v/>
      </c>
      <c r="H1535">
        <f>IFERROR(--INDEX('Term investments'!$H:$H,ROW()),0)</f>
        <v/>
      </c>
      <c r="I1535">
        <f>IF(ISNUMBER(INDEX('Term investments'!$G:$G,ROW())),1,0)</f>
        <v/>
      </c>
      <c r="J1535">
        <f>TRIM(SUBSTITUTE(INDEX('Call accounts and MMFs'!$A:$A,ROW())&amp;""," "," "))</f>
        <v/>
      </c>
      <c r="K1535">
        <f>TRIM(SUBSTITUTE(INDEX('Call accounts and MMFs'!$B:$B,ROW())&amp;""," "," "))</f>
        <v/>
      </c>
      <c r="L1535">
        <f>TRIM(SUBSTITUTE(INDEX('Call accounts and MMFs'!$C:$C,ROW())&amp;""," "," "))</f>
        <v/>
      </c>
      <c r="M1535">
        <f>IFERROR(--INDEX('Call accounts and MMFs'!$D:$D,ROW()),0)</f>
        <v/>
      </c>
      <c r="N1535">
        <f>IFERROR(IF(--INDEX('Call accounts and MMFs'!$E:$E,ROW())&gt;=1,--INDEX('Call accounts and MMFs'!$E:$E,ROW())/100,--INDEX('Call accounts and MMFs'!$E:$E,ROW())),0)</f>
        <v/>
      </c>
      <c r="O1535">
        <f>IFERROR(--INDEX('Call accounts and MMFs'!$F:$F,ROW()),0)</f>
        <v/>
      </c>
      <c r="P1535">
        <f>IF(ISNUMBER(INDEX('Call accounts and MMFs'!$E:$E,ROW())),1,0)</f>
        <v/>
      </c>
      <c r="Q1535">
        <f>TRIM(SUBSTITUTE(INDEX('Pooled funds'!$B:$B,ROW())&amp;""," "," "))</f>
        <v/>
      </c>
      <c r="R1535">
        <f>IFERROR(--INDEX('Pooled funds'!$C:$C,ROW()),0)</f>
        <v/>
      </c>
      <c r="S1535">
        <f>IFERROR(--INDEX('Pooled funds'!$D:$D,ROW()),0)</f>
        <v/>
      </c>
      <c r="T1535">
        <f>IFERROR(IF(--INDEX('Pooled funds'!$E:$E,ROW())&gt;=1,--INDEX('Pooled funds'!$E:$E,ROW())/100,--INDEX('Pooled funds'!$E:$E,ROW())),0)</f>
        <v/>
      </c>
      <c r="U1535">
        <f>IF(ISNUMBER(INDEX('Pooled funds'!$E:$E,ROW())),1,0)</f>
        <v/>
      </c>
    </row>
    <row r="1536">
      <c r="A1536">
        <f>TRIM(SUBSTITUTE(INDEX('Term investments'!$A:$A,ROW())&amp;""," "," "))</f>
        <v/>
      </c>
      <c r="B1536">
        <f>TRIM(SUBSTITUTE(INDEX('Term investments'!$B:$B,ROW())&amp;""," "," "))</f>
        <v/>
      </c>
      <c r="C1536">
        <f>TRIM(SUBSTITUTE(INDEX('Term investments'!$C:$C,ROW())&amp;""," "," "))</f>
        <v/>
      </c>
      <c r="D1536">
        <f>IFERROR(--INDEX('Term investments'!$D:$D,ROW()),0)</f>
        <v/>
      </c>
      <c r="E1536">
        <f>IFERROR(--INDEX('Term investments'!$E:$E,ROW()),0)</f>
        <v/>
      </c>
      <c r="F1536">
        <f>IFERROR(--INDEX('Term investments'!$F:$F,ROW()),0)</f>
        <v/>
      </c>
      <c r="G1536">
        <f>IFERROR(IF(--INDEX('Term investments'!$G:$G,ROW())&gt;=1,--INDEX('Term investments'!$G:$G,ROW())/100,--INDEX('Term investments'!$G:$G,ROW())),0)</f>
        <v/>
      </c>
      <c r="H1536">
        <f>IFERROR(--INDEX('Term investments'!$H:$H,ROW()),0)</f>
        <v/>
      </c>
      <c r="I1536">
        <f>IF(ISNUMBER(INDEX('Term investments'!$G:$G,ROW())),1,0)</f>
        <v/>
      </c>
      <c r="J1536">
        <f>TRIM(SUBSTITUTE(INDEX('Call accounts and MMFs'!$A:$A,ROW())&amp;""," "," "))</f>
        <v/>
      </c>
      <c r="K1536">
        <f>TRIM(SUBSTITUTE(INDEX('Call accounts and MMFs'!$B:$B,ROW())&amp;""," "," "))</f>
        <v/>
      </c>
      <c r="L1536">
        <f>TRIM(SUBSTITUTE(INDEX('Call accounts and MMFs'!$C:$C,ROW())&amp;""," "," "))</f>
        <v/>
      </c>
      <c r="M1536">
        <f>IFERROR(--INDEX('Call accounts and MMFs'!$D:$D,ROW()),0)</f>
        <v/>
      </c>
      <c r="N1536">
        <f>IFERROR(IF(--INDEX('Call accounts and MMFs'!$E:$E,ROW())&gt;=1,--INDEX('Call accounts and MMFs'!$E:$E,ROW())/100,--INDEX('Call accounts and MMFs'!$E:$E,ROW())),0)</f>
        <v/>
      </c>
      <c r="O1536">
        <f>IFERROR(--INDEX('Call accounts and MMFs'!$F:$F,ROW()),0)</f>
        <v/>
      </c>
      <c r="P1536">
        <f>IF(ISNUMBER(INDEX('Call accounts and MMFs'!$E:$E,ROW())),1,0)</f>
        <v/>
      </c>
      <c r="Q1536">
        <f>TRIM(SUBSTITUTE(INDEX('Pooled funds'!$B:$B,ROW())&amp;""," "," "))</f>
        <v/>
      </c>
      <c r="R1536">
        <f>IFERROR(--INDEX('Pooled funds'!$C:$C,ROW()),0)</f>
        <v/>
      </c>
      <c r="S1536">
        <f>IFERROR(--INDEX('Pooled funds'!$D:$D,ROW()),0)</f>
        <v/>
      </c>
      <c r="T1536">
        <f>IFERROR(IF(--INDEX('Pooled funds'!$E:$E,ROW())&gt;=1,--INDEX('Pooled funds'!$E:$E,ROW())/100,--INDEX('Pooled funds'!$E:$E,ROW())),0)</f>
        <v/>
      </c>
      <c r="U1536">
        <f>IF(ISNUMBER(INDEX('Pooled funds'!$E:$E,ROW())),1,0)</f>
        <v/>
      </c>
    </row>
    <row r="1537">
      <c r="A1537">
        <f>TRIM(SUBSTITUTE(INDEX('Term investments'!$A:$A,ROW())&amp;""," "," "))</f>
        <v/>
      </c>
      <c r="B1537">
        <f>TRIM(SUBSTITUTE(INDEX('Term investments'!$B:$B,ROW())&amp;""," "," "))</f>
        <v/>
      </c>
      <c r="C1537">
        <f>TRIM(SUBSTITUTE(INDEX('Term investments'!$C:$C,ROW())&amp;""," "," "))</f>
        <v/>
      </c>
      <c r="D1537">
        <f>IFERROR(--INDEX('Term investments'!$D:$D,ROW()),0)</f>
        <v/>
      </c>
      <c r="E1537">
        <f>IFERROR(--INDEX('Term investments'!$E:$E,ROW()),0)</f>
        <v/>
      </c>
      <c r="F1537">
        <f>IFERROR(--INDEX('Term investments'!$F:$F,ROW()),0)</f>
        <v/>
      </c>
      <c r="G1537">
        <f>IFERROR(IF(--INDEX('Term investments'!$G:$G,ROW())&gt;=1,--INDEX('Term investments'!$G:$G,ROW())/100,--INDEX('Term investments'!$G:$G,ROW())),0)</f>
        <v/>
      </c>
      <c r="H1537">
        <f>IFERROR(--INDEX('Term investments'!$H:$H,ROW()),0)</f>
        <v/>
      </c>
      <c r="I1537">
        <f>IF(ISNUMBER(INDEX('Term investments'!$G:$G,ROW())),1,0)</f>
        <v/>
      </c>
      <c r="J1537">
        <f>TRIM(SUBSTITUTE(INDEX('Call accounts and MMFs'!$A:$A,ROW())&amp;""," "," "))</f>
        <v/>
      </c>
      <c r="K1537">
        <f>TRIM(SUBSTITUTE(INDEX('Call accounts and MMFs'!$B:$B,ROW())&amp;""," "," "))</f>
        <v/>
      </c>
      <c r="L1537">
        <f>TRIM(SUBSTITUTE(INDEX('Call accounts and MMFs'!$C:$C,ROW())&amp;""," "," "))</f>
        <v/>
      </c>
      <c r="M1537">
        <f>IFERROR(--INDEX('Call accounts and MMFs'!$D:$D,ROW()),0)</f>
        <v/>
      </c>
      <c r="N1537">
        <f>IFERROR(IF(--INDEX('Call accounts and MMFs'!$E:$E,ROW())&gt;=1,--INDEX('Call accounts and MMFs'!$E:$E,ROW())/100,--INDEX('Call accounts and MMFs'!$E:$E,ROW())),0)</f>
        <v/>
      </c>
      <c r="O1537">
        <f>IFERROR(--INDEX('Call accounts and MMFs'!$F:$F,ROW()),0)</f>
        <v/>
      </c>
      <c r="P1537">
        <f>IF(ISNUMBER(INDEX('Call accounts and MMFs'!$E:$E,ROW())),1,0)</f>
        <v/>
      </c>
      <c r="Q1537">
        <f>TRIM(SUBSTITUTE(INDEX('Pooled funds'!$B:$B,ROW())&amp;""," "," "))</f>
        <v/>
      </c>
      <c r="R1537">
        <f>IFERROR(--INDEX('Pooled funds'!$C:$C,ROW()),0)</f>
        <v/>
      </c>
      <c r="S1537">
        <f>IFERROR(--INDEX('Pooled funds'!$D:$D,ROW()),0)</f>
        <v/>
      </c>
      <c r="T1537">
        <f>IFERROR(IF(--INDEX('Pooled funds'!$E:$E,ROW())&gt;=1,--INDEX('Pooled funds'!$E:$E,ROW())/100,--INDEX('Pooled funds'!$E:$E,ROW())),0)</f>
        <v/>
      </c>
      <c r="U1537">
        <f>IF(ISNUMBER(INDEX('Pooled funds'!$E:$E,ROW())),1,0)</f>
        <v/>
      </c>
    </row>
    <row r="1538">
      <c r="A1538">
        <f>TRIM(SUBSTITUTE(INDEX('Term investments'!$A:$A,ROW())&amp;""," "," "))</f>
        <v/>
      </c>
      <c r="B1538">
        <f>TRIM(SUBSTITUTE(INDEX('Term investments'!$B:$B,ROW())&amp;""," "," "))</f>
        <v/>
      </c>
      <c r="C1538">
        <f>TRIM(SUBSTITUTE(INDEX('Term investments'!$C:$C,ROW())&amp;""," "," "))</f>
        <v/>
      </c>
      <c r="D1538">
        <f>IFERROR(--INDEX('Term investments'!$D:$D,ROW()),0)</f>
        <v/>
      </c>
      <c r="E1538">
        <f>IFERROR(--INDEX('Term investments'!$E:$E,ROW()),0)</f>
        <v/>
      </c>
      <c r="F1538">
        <f>IFERROR(--INDEX('Term investments'!$F:$F,ROW()),0)</f>
        <v/>
      </c>
      <c r="G1538">
        <f>IFERROR(IF(--INDEX('Term investments'!$G:$G,ROW())&gt;=1,--INDEX('Term investments'!$G:$G,ROW())/100,--INDEX('Term investments'!$G:$G,ROW())),0)</f>
        <v/>
      </c>
      <c r="H1538">
        <f>IFERROR(--INDEX('Term investments'!$H:$H,ROW()),0)</f>
        <v/>
      </c>
      <c r="I1538">
        <f>IF(ISNUMBER(INDEX('Term investments'!$G:$G,ROW())),1,0)</f>
        <v/>
      </c>
      <c r="J1538">
        <f>TRIM(SUBSTITUTE(INDEX('Call accounts and MMFs'!$A:$A,ROW())&amp;""," "," "))</f>
        <v/>
      </c>
      <c r="K1538">
        <f>TRIM(SUBSTITUTE(INDEX('Call accounts and MMFs'!$B:$B,ROW())&amp;""," "," "))</f>
        <v/>
      </c>
      <c r="L1538">
        <f>TRIM(SUBSTITUTE(INDEX('Call accounts and MMFs'!$C:$C,ROW())&amp;""," "," "))</f>
        <v/>
      </c>
      <c r="M1538">
        <f>IFERROR(--INDEX('Call accounts and MMFs'!$D:$D,ROW()),0)</f>
        <v/>
      </c>
      <c r="N1538">
        <f>IFERROR(IF(--INDEX('Call accounts and MMFs'!$E:$E,ROW())&gt;=1,--INDEX('Call accounts and MMFs'!$E:$E,ROW())/100,--INDEX('Call accounts and MMFs'!$E:$E,ROW())),0)</f>
        <v/>
      </c>
      <c r="O1538">
        <f>IFERROR(--INDEX('Call accounts and MMFs'!$F:$F,ROW()),0)</f>
        <v/>
      </c>
      <c r="P1538">
        <f>IF(ISNUMBER(INDEX('Call accounts and MMFs'!$E:$E,ROW())),1,0)</f>
        <v/>
      </c>
      <c r="Q1538">
        <f>TRIM(SUBSTITUTE(INDEX('Pooled funds'!$B:$B,ROW())&amp;""," "," "))</f>
        <v/>
      </c>
      <c r="R1538">
        <f>IFERROR(--INDEX('Pooled funds'!$C:$C,ROW()),0)</f>
        <v/>
      </c>
      <c r="S1538">
        <f>IFERROR(--INDEX('Pooled funds'!$D:$D,ROW()),0)</f>
        <v/>
      </c>
      <c r="T1538">
        <f>IFERROR(IF(--INDEX('Pooled funds'!$E:$E,ROW())&gt;=1,--INDEX('Pooled funds'!$E:$E,ROW())/100,--INDEX('Pooled funds'!$E:$E,ROW())),0)</f>
        <v/>
      </c>
      <c r="U1538">
        <f>IF(ISNUMBER(INDEX('Pooled funds'!$E:$E,ROW())),1,0)</f>
        <v/>
      </c>
    </row>
    <row r="1539">
      <c r="A1539">
        <f>TRIM(SUBSTITUTE(INDEX('Term investments'!$A:$A,ROW())&amp;""," "," "))</f>
        <v/>
      </c>
      <c r="B1539">
        <f>TRIM(SUBSTITUTE(INDEX('Term investments'!$B:$B,ROW())&amp;""," "," "))</f>
        <v/>
      </c>
      <c r="C1539">
        <f>TRIM(SUBSTITUTE(INDEX('Term investments'!$C:$C,ROW())&amp;""," "," "))</f>
        <v/>
      </c>
      <c r="D1539">
        <f>IFERROR(--INDEX('Term investments'!$D:$D,ROW()),0)</f>
        <v/>
      </c>
      <c r="E1539">
        <f>IFERROR(--INDEX('Term investments'!$E:$E,ROW()),0)</f>
        <v/>
      </c>
      <c r="F1539">
        <f>IFERROR(--INDEX('Term investments'!$F:$F,ROW()),0)</f>
        <v/>
      </c>
      <c r="G1539">
        <f>IFERROR(IF(--INDEX('Term investments'!$G:$G,ROW())&gt;=1,--INDEX('Term investments'!$G:$G,ROW())/100,--INDEX('Term investments'!$G:$G,ROW())),0)</f>
        <v/>
      </c>
      <c r="H1539">
        <f>IFERROR(--INDEX('Term investments'!$H:$H,ROW()),0)</f>
        <v/>
      </c>
      <c r="I1539">
        <f>IF(ISNUMBER(INDEX('Term investments'!$G:$G,ROW())),1,0)</f>
        <v/>
      </c>
      <c r="J1539">
        <f>TRIM(SUBSTITUTE(INDEX('Call accounts and MMFs'!$A:$A,ROW())&amp;""," "," "))</f>
        <v/>
      </c>
      <c r="K1539">
        <f>TRIM(SUBSTITUTE(INDEX('Call accounts and MMFs'!$B:$B,ROW())&amp;""," "," "))</f>
        <v/>
      </c>
      <c r="L1539">
        <f>TRIM(SUBSTITUTE(INDEX('Call accounts and MMFs'!$C:$C,ROW())&amp;""," "," "))</f>
        <v/>
      </c>
      <c r="M1539">
        <f>IFERROR(--INDEX('Call accounts and MMFs'!$D:$D,ROW()),0)</f>
        <v/>
      </c>
      <c r="N1539">
        <f>IFERROR(IF(--INDEX('Call accounts and MMFs'!$E:$E,ROW())&gt;=1,--INDEX('Call accounts and MMFs'!$E:$E,ROW())/100,--INDEX('Call accounts and MMFs'!$E:$E,ROW())),0)</f>
        <v/>
      </c>
      <c r="O1539">
        <f>IFERROR(--INDEX('Call accounts and MMFs'!$F:$F,ROW()),0)</f>
        <v/>
      </c>
      <c r="P1539">
        <f>IF(ISNUMBER(INDEX('Call accounts and MMFs'!$E:$E,ROW())),1,0)</f>
        <v/>
      </c>
      <c r="Q1539">
        <f>TRIM(SUBSTITUTE(INDEX('Pooled funds'!$B:$B,ROW())&amp;""," "," "))</f>
        <v/>
      </c>
      <c r="R1539">
        <f>IFERROR(--INDEX('Pooled funds'!$C:$C,ROW()),0)</f>
        <v/>
      </c>
      <c r="S1539">
        <f>IFERROR(--INDEX('Pooled funds'!$D:$D,ROW()),0)</f>
        <v/>
      </c>
      <c r="T1539">
        <f>IFERROR(IF(--INDEX('Pooled funds'!$E:$E,ROW())&gt;=1,--INDEX('Pooled funds'!$E:$E,ROW())/100,--INDEX('Pooled funds'!$E:$E,ROW())),0)</f>
        <v/>
      </c>
      <c r="U1539">
        <f>IF(ISNUMBER(INDEX('Pooled funds'!$E:$E,ROW())),1,0)</f>
        <v/>
      </c>
    </row>
    <row r="1540">
      <c r="A1540">
        <f>TRIM(SUBSTITUTE(INDEX('Term investments'!$A:$A,ROW())&amp;""," "," "))</f>
        <v/>
      </c>
      <c r="B1540">
        <f>TRIM(SUBSTITUTE(INDEX('Term investments'!$B:$B,ROW())&amp;""," "," "))</f>
        <v/>
      </c>
      <c r="C1540">
        <f>TRIM(SUBSTITUTE(INDEX('Term investments'!$C:$C,ROW())&amp;""," "," "))</f>
        <v/>
      </c>
      <c r="D1540">
        <f>IFERROR(--INDEX('Term investments'!$D:$D,ROW()),0)</f>
        <v/>
      </c>
      <c r="E1540">
        <f>IFERROR(--INDEX('Term investments'!$E:$E,ROW()),0)</f>
        <v/>
      </c>
      <c r="F1540">
        <f>IFERROR(--INDEX('Term investments'!$F:$F,ROW()),0)</f>
        <v/>
      </c>
      <c r="G1540">
        <f>IFERROR(IF(--INDEX('Term investments'!$G:$G,ROW())&gt;=1,--INDEX('Term investments'!$G:$G,ROW())/100,--INDEX('Term investments'!$G:$G,ROW())),0)</f>
        <v/>
      </c>
      <c r="H1540">
        <f>IFERROR(--INDEX('Term investments'!$H:$H,ROW()),0)</f>
        <v/>
      </c>
      <c r="I1540">
        <f>IF(ISNUMBER(INDEX('Term investments'!$G:$G,ROW())),1,0)</f>
        <v/>
      </c>
      <c r="J1540">
        <f>TRIM(SUBSTITUTE(INDEX('Call accounts and MMFs'!$A:$A,ROW())&amp;""," "," "))</f>
        <v/>
      </c>
      <c r="K1540">
        <f>TRIM(SUBSTITUTE(INDEX('Call accounts and MMFs'!$B:$B,ROW())&amp;""," "," "))</f>
        <v/>
      </c>
      <c r="L1540">
        <f>TRIM(SUBSTITUTE(INDEX('Call accounts and MMFs'!$C:$C,ROW())&amp;""," "," "))</f>
        <v/>
      </c>
      <c r="M1540">
        <f>IFERROR(--INDEX('Call accounts and MMFs'!$D:$D,ROW()),0)</f>
        <v/>
      </c>
      <c r="N1540">
        <f>IFERROR(IF(--INDEX('Call accounts and MMFs'!$E:$E,ROW())&gt;=1,--INDEX('Call accounts and MMFs'!$E:$E,ROW())/100,--INDEX('Call accounts and MMFs'!$E:$E,ROW())),0)</f>
        <v/>
      </c>
      <c r="O1540">
        <f>IFERROR(--INDEX('Call accounts and MMFs'!$F:$F,ROW()),0)</f>
        <v/>
      </c>
      <c r="P1540">
        <f>IF(ISNUMBER(INDEX('Call accounts and MMFs'!$E:$E,ROW())),1,0)</f>
        <v/>
      </c>
      <c r="Q1540">
        <f>TRIM(SUBSTITUTE(INDEX('Pooled funds'!$B:$B,ROW())&amp;""," "," "))</f>
        <v/>
      </c>
      <c r="R1540">
        <f>IFERROR(--INDEX('Pooled funds'!$C:$C,ROW()),0)</f>
        <v/>
      </c>
      <c r="S1540">
        <f>IFERROR(--INDEX('Pooled funds'!$D:$D,ROW()),0)</f>
        <v/>
      </c>
      <c r="T1540">
        <f>IFERROR(IF(--INDEX('Pooled funds'!$E:$E,ROW())&gt;=1,--INDEX('Pooled funds'!$E:$E,ROW())/100,--INDEX('Pooled funds'!$E:$E,ROW())),0)</f>
        <v/>
      </c>
      <c r="U1540">
        <f>IF(ISNUMBER(INDEX('Pooled funds'!$E:$E,ROW())),1,0)</f>
        <v/>
      </c>
    </row>
    <row r="1541">
      <c r="A1541">
        <f>TRIM(SUBSTITUTE(INDEX('Term investments'!$A:$A,ROW())&amp;""," "," "))</f>
        <v/>
      </c>
      <c r="B1541">
        <f>TRIM(SUBSTITUTE(INDEX('Term investments'!$B:$B,ROW())&amp;""," "," "))</f>
        <v/>
      </c>
      <c r="C1541">
        <f>TRIM(SUBSTITUTE(INDEX('Term investments'!$C:$C,ROW())&amp;""," "," "))</f>
        <v/>
      </c>
      <c r="D1541">
        <f>IFERROR(--INDEX('Term investments'!$D:$D,ROW()),0)</f>
        <v/>
      </c>
      <c r="E1541">
        <f>IFERROR(--INDEX('Term investments'!$E:$E,ROW()),0)</f>
        <v/>
      </c>
      <c r="F1541">
        <f>IFERROR(--INDEX('Term investments'!$F:$F,ROW()),0)</f>
        <v/>
      </c>
      <c r="G1541">
        <f>IFERROR(IF(--INDEX('Term investments'!$G:$G,ROW())&gt;=1,--INDEX('Term investments'!$G:$G,ROW())/100,--INDEX('Term investments'!$G:$G,ROW())),0)</f>
        <v/>
      </c>
      <c r="H1541">
        <f>IFERROR(--INDEX('Term investments'!$H:$H,ROW()),0)</f>
        <v/>
      </c>
      <c r="I1541">
        <f>IF(ISNUMBER(INDEX('Term investments'!$G:$G,ROW())),1,0)</f>
        <v/>
      </c>
      <c r="J1541">
        <f>TRIM(SUBSTITUTE(INDEX('Call accounts and MMFs'!$A:$A,ROW())&amp;""," "," "))</f>
        <v/>
      </c>
      <c r="K1541">
        <f>TRIM(SUBSTITUTE(INDEX('Call accounts and MMFs'!$B:$B,ROW())&amp;""," "," "))</f>
        <v/>
      </c>
      <c r="L1541">
        <f>TRIM(SUBSTITUTE(INDEX('Call accounts and MMFs'!$C:$C,ROW())&amp;""," "," "))</f>
        <v/>
      </c>
      <c r="M1541">
        <f>IFERROR(--INDEX('Call accounts and MMFs'!$D:$D,ROW()),0)</f>
        <v/>
      </c>
      <c r="N1541">
        <f>IFERROR(IF(--INDEX('Call accounts and MMFs'!$E:$E,ROW())&gt;=1,--INDEX('Call accounts and MMFs'!$E:$E,ROW())/100,--INDEX('Call accounts and MMFs'!$E:$E,ROW())),0)</f>
        <v/>
      </c>
      <c r="O1541">
        <f>IFERROR(--INDEX('Call accounts and MMFs'!$F:$F,ROW()),0)</f>
        <v/>
      </c>
      <c r="P1541">
        <f>IF(ISNUMBER(INDEX('Call accounts and MMFs'!$E:$E,ROW())),1,0)</f>
        <v/>
      </c>
      <c r="Q1541">
        <f>TRIM(SUBSTITUTE(INDEX('Pooled funds'!$B:$B,ROW())&amp;""," "," "))</f>
        <v/>
      </c>
      <c r="R1541">
        <f>IFERROR(--INDEX('Pooled funds'!$C:$C,ROW()),0)</f>
        <v/>
      </c>
      <c r="S1541">
        <f>IFERROR(--INDEX('Pooled funds'!$D:$D,ROW()),0)</f>
        <v/>
      </c>
      <c r="T1541">
        <f>IFERROR(IF(--INDEX('Pooled funds'!$E:$E,ROW())&gt;=1,--INDEX('Pooled funds'!$E:$E,ROW())/100,--INDEX('Pooled funds'!$E:$E,ROW())),0)</f>
        <v/>
      </c>
      <c r="U1541">
        <f>IF(ISNUMBER(INDEX('Pooled funds'!$E:$E,ROW())),1,0)</f>
        <v/>
      </c>
    </row>
    <row r="1542">
      <c r="A1542">
        <f>TRIM(SUBSTITUTE(INDEX('Term investments'!$A:$A,ROW())&amp;""," "," "))</f>
        <v/>
      </c>
      <c r="B1542">
        <f>TRIM(SUBSTITUTE(INDEX('Term investments'!$B:$B,ROW())&amp;""," "," "))</f>
        <v/>
      </c>
      <c r="C1542">
        <f>TRIM(SUBSTITUTE(INDEX('Term investments'!$C:$C,ROW())&amp;""," "," "))</f>
        <v/>
      </c>
      <c r="D1542">
        <f>IFERROR(--INDEX('Term investments'!$D:$D,ROW()),0)</f>
        <v/>
      </c>
      <c r="E1542">
        <f>IFERROR(--INDEX('Term investments'!$E:$E,ROW()),0)</f>
        <v/>
      </c>
      <c r="F1542">
        <f>IFERROR(--INDEX('Term investments'!$F:$F,ROW()),0)</f>
        <v/>
      </c>
      <c r="G1542">
        <f>IFERROR(IF(--INDEX('Term investments'!$G:$G,ROW())&gt;=1,--INDEX('Term investments'!$G:$G,ROW())/100,--INDEX('Term investments'!$G:$G,ROW())),0)</f>
        <v/>
      </c>
      <c r="H1542">
        <f>IFERROR(--INDEX('Term investments'!$H:$H,ROW()),0)</f>
        <v/>
      </c>
      <c r="I1542">
        <f>IF(ISNUMBER(INDEX('Term investments'!$G:$G,ROW())),1,0)</f>
        <v/>
      </c>
      <c r="J1542">
        <f>TRIM(SUBSTITUTE(INDEX('Call accounts and MMFs'!$A:$A,ROW())&amp;""," "," "))</f>
        <v/>
      </c>
      <c r="K1542">
        <f>TRIM(SUBSTITUTE(INDEX('Call accounts and MMFs'!$B:$B,ROW())&amp;""," "," "))</f>
        <v/>
      </c>
      <c r="L1542">
        <f>TRIM(SUBSTITUTE(INDEX('Call accounts and MMFs'!$C:$C,ROW())&amp;""," "," "))</f>
        <v/>
      </c>
      <c r="M1542">
        <f>IFERROR(--INDEX('Call accounts and MMFs'!$D:$D,ROW()),0)</f>
        <v/>
      </c>
      <c r="N1542">
        <f>IFERROR(IF(--INDEX('Call accounts and MMFs'!$E:$E,ROW())&gt;=1,--INDEX('Call accounts and MMFs'!$E:$E,ROW())/100,--INDEX('Call accounts and MMFs'!$E:$E,ROW())),0)</f>
        <v/>
      </c>
      <c r="O1542">
        <f>IFERROR(--INDEX('Call accounts and MMFs'!$F:$F,ROW()),0)</f>
        <v/>
      </c>
      <c r="P1542">
        <f>IF(ISNUMBER(INDEX('Call accounts and MMFs'!$E:$E,ROW())),1,0)</f>
        <v/>
      </c>
      <c r="Q1542">
        <f>TRIM(SUBSTITUTE(INDEX('Pooled funds'!$B:$B,ROW())&amp;""," "," "))</f>
        <v/>
      </c>
      <c r="R1542">
        <f>IFERROR(--INDEX('Pooled funds'!$C:$C,ROW()),0)</f>
        <v/>
      </c>
      <c r="S1542">
        <f>IFERROR(--INDEX('Pooled funds'!$D:$D,ROW()),0)</f>
        <v/>
      </c>
      <c r="T1542">
        <f>IFERROR(IF(--INDEX('Pooled funds'!$E:$E,ROW())&gt;=1,--INDEX('Pooled funds'!$E:$E,ROW())/100,--INDEX('Pooled funds'!$E:$E,ROW())),0)</f>
        <v/>
      </c>
      <c r="U1542">
        <f>IF(ISNUMBER(INDEX('Pooled funds'!$E:$E,ROW())),1,0)</f>
        <v/>
      </c>
    </row>
    <row r="1543">
      <c r="A1543">
        <f>TRIM(SUBSTITUTE(INDEX('Term investments'!$A:$A,ROW())&amp;""," "," "))</f>
        <v/>
      </c>
      <c r="B1543">
        <f>TRIM(SUBSTITUTE(INDEX('Term investments'!$B:$B,ROW())&amp;""," "," "))</f>
        <v/>
      </c>
      <c r="C1543">
        <f>TRIM(SUBSTITUTE(INDEX('Term investments'!$C:$C,ROW())&amp;""," "," "))</f>
        <v/>
      </c>
      <c r="D1543">
        <f>IFERROR(--INDEX('Term investments'!$D:$D,ROW()),0)</f>
        <v/>
      </c>
      <c r="E1543">
        <f>IFERROR(--INDEX('Term investments'!$E:$E,ROW()),0)</f>
        <v/>
      </c>
      <c r="F1543">
        <f>IFERROR(--INDEX('Term investments'!$F:$F,ROW()),0)</f>
        <v/>
      </c>
      <c r="G1543">
        <f>IFERROR(IF(--INDEX('Term investments'!$G:$G,ROW())&gt;=1,--INDEX('Term investments'!$G:$G,ROW())/100,--INDEX('Term investments'!$G:$G,ROW())),0)</f>
        <v/>
      </c>
      <c r="H1543">
        <f>IFERROR(--INDEX('Term investments'!$H:$H,ROW()),0)</f>
        <v/>
      </c>
      <c r="I1543">
        <f>IF(ISNUMBER(INDEX('Term investments'!$G:$G,ROW())),1,0)</f>
        <v/>
      </c>
      <c r="J1543">
        <f>TRIM(SUBSTITUTE(INDEX('Call accounts and MMFs'!$A:$A,ROW())&amp;""," "," "))</f>
        <v/>
      </c>
      <c r="K1543">
        <f>TRIM(SUBSTITUTE(INDEX('Call accounts and MMFs'!$B:$B,ROW())&amp;""," "," "))</f>
        <v/>
      </c>
      <c r="L1543">
        <f>TRIM(SUBSTITUTE(INDEX('Call accounts and MMFs'!$C:$C,ROW())&amp;""," "," "))</f>
        <v/>
      </c>
      <c r="M1543">
        <f>IFERROR(--INDEX('Call accounts and MMFs'!$D:$D,ROW()),0)</f>
        <v/>
      </c>
      <c r="N1543">
        <f>IFERROR(IF(--INDEX('Call accounts and MMFs'!$E:$E,ROW())&gt;=1,--INDEX('Call accounts and MMFs'!$E:$E,ROW())/100,--INDEX('Call accounts and MMFs'!$E:$E,ROW())),0)</f>
        <v/>
      </c>
      <c r="O1543">
        <f>IFERROR(--INDEX('Call accounts and MMFs'!$F:$F,ROW()),0)</f>
        <v/>
      </c>
      <c r="P1543">
        <f>IF(ISNUMBER(INDEX('Call accounts and MMFs'!$E:$E,ROW())),1,0)</f>
        <v/>
      </c>
      <c r="Q1543">
        <f>TRIM(SUBSTITUTE(INDEX('Pooled funds'!$B:$B,ROW())&amp;""," "," "))</f>
        <v/>
      </c>
      <c r="R1543">
        <f>IFERROR(--INDEX('Pooled funds'!$C:$C,ROW()),0)</f>
        <v/>
      </c>
      <c r="S1543">
        <f>IFERROR(--INDEX('Pooled funds'!$D:$D,ROW()),0)</f>
        <v/>
      </c>
      <c r="T1543">
        <f>IFERROR(IF(--INDEX('Pooled funds'!$E:$E,ROW())&gt;=1,--INDEX('Pooled funds'!$E:$E,ROW())/100,--INDEX('Pooled funds'!$E:$E,ROW())),0)</f>
        <v/>
      </c>
      <c r="U1543">
        <f>IF(ISNUMBER(INDEX('Pooled funds'!$E:$E,ROW())),1,0)</f>
        <v/>
      </c>
    </row>
    <row r="1544">
      <c r="A1544">
        <f>TRIM(SUBSTITUTE(INDEX('Term investments'!$A:$A,ROW())&amp;""," "," "))</f>
        <v/>
      </c>
      <c r="B1544">
        <f>TRIM(SUBSTITUTE(INDEX('Term investments'!$B:$B,ROW())&amp;""," "," "))</f>
        <v/>
      </c>
      <c r="C1544">
        <f>TRIM(SUBSTITUTE(INDEX('Term investments'!$C:$C,ROW())&amp;""," "," "))</f>
        <v/>
      </c>
      <c r="D1544">
        <f>IFERROR(--INDEX('Term investments'!$D:$D,ROW()),0)</f>
        <v/>
      </c>
      <c r="E1544">
        <f>IFERROR(--INDEX('Term investments'!$E:$E,ROW()),0)</f>
        <v/>
      </c>
      <c r="F1544">
        <f>IFERROR(--INDEX('Term investments'!$F:$F,ROW()),0)</f>
        <v/>
      </c>
      <c r="G1544">
        <f>IFERROR(IF(--INDEX('Term investments'!$G:$G,ROW())&gt;=1,--INDEX('Term investments'!$G:$G,ROW())/100,--INDEX('Term investments'!$G:$G,ROW())),0)</f>
        <v/>
      </c>
      <c r="H1544">
        <f>IFERROR(--INDEX('Term investments'!$H:$H,ROW()),0)</f>
        <v/>
      </c>
      <c r="I1544">
        <f>IF(ISNUMBER(INDEX('Term investments'!$G:$G,ROW())),1,0)</f>
        <v/>
      </c>
      <c r="J1544">
        <f>TRIM(SUBSTITUTE(INDEX('Call accounts and MMFs'!$A:$A,ROW())&amp;""," "," "))</f>
        <v/>
      </c>
      <c r="K1544">
        <f>TRIM(SUBSTITUTE(INDEX('Call accounts and MMFs'!$B:$B,ROW())&amp;""," "," "))</f>
        <v/>
      </c>
      <c r="L1544">
        <f>TRIM(SUBSTITUTE(INDEX('Call accounts and MMFs'!$C:$C,ROW())&amp;""," "," "))</f>
        <v/>
      </c>
      <c r="M1544">
        <f>IFERROR(--INDEX('Call accounts and MMFs'!$D:$D,ROW()),0)</f>
        <v/>
      </c>
      <c r="N1544">
        <f>IFERROR(IF(--INDEX('Call accounts and MMFs'!$E:$E,ROW())&gt;=1,--INDEX('Call accounts and MMFs'!$E:$E,ROW())/100,--INDEX('Call accounts and MMFs'!$E:$E,ROW())),0)</f>
        <v/>
      </c>
      <c r="O1544">
        <f>IFERROR(--INDEX('Call accounts and MMFs'!$F:$F,ROW()),0)</f>
        <v/>
      </c>
      <c r="P1544">
        <f>IF(ISNUMBER(INDEX('Call accounts and MMFs'!$E:$E,ROW())),1,0)</f>
        <v/>
      </c>
      <c r="Q1544">
        <f>TRIM(SUBSTITUTE(INDEX('Pooled funds'!$B:$B,ROW())&amp;""," "," "))</f>
        <v/>
      </c>
      <c r="R1544">
        <f>IFERROR(--INDEX('Pooled funds'!$C:$C,ROW()),0)</f>
        <v/>
      </c>
      <c r="S1544">
        <f>IFERROR(--INDEX('Pooled funds'!$D:$D,ROW()),0)</f>
        <v/>
      </c>
      <c r="T1544">
        <f>IFERROR(IF(--INDEX('Pooled funds'!$E:$E,ROW())&gt;=1,--INDEX('Pooled funds'!$E:$E,ROW())/100,--INDEX('Pooled funds'!$E:$E,ROW())),0)</f>
        <v/>
      </c>
      <c r="U1544">
        <f>IF(ISNUMBER(INDEX('Pooled funds'!$E:$E,ROW())),1,0)</f>
        <v/>
      </c>
    </row>
    <row r="1545">
      <c r="A1545">
        <f>TRIM(SUBSTITUTE(INDEX('Term investments'!$A:$A,ROW())&amp;""," "," "))</f>
        <v/>
      </c>
      <c r="B1545">
        <f>TRIM(SUBSTITUTE(INDEX('Term investments'!$B:$B,ROW())&amp;""," "," "))</f>
        <v/>
      </c>
      <c r="C1545">
        <f>TRIM(SUBSTITUTE(INDEX('Term investments'!$C:$C,ROW())&amp;""," "," "))</f>
        <v/>
      </c>
      <c r="D1545">
        <f>IFERROR(--INDEX('Term investments'!$D:$D,ROW()),0)</f>
        <v/>
      </c>
      <c r="E1545">
        <f>IFERROR(--INDEX('Term investments'!$E:$E,ROW()),0)</f>
        <v/>
      </c>
      <c r="F1545">
        <f>IFERROR(--INDEX('Term investments'!$F:$F,ROW()),0)</f>
        <v/>
      </c>
      <c r="G1545">
        <f>IFERROR(IF(--INDEX('Term investments'!$G:$G,ROW())&gt;=1,--INDEX('Term investments'!$G:$G,ROW())/100,--INDEX('Term investments'!$G:$G,ROW())),0)</f>
        <v/>
      </c>
      <c r="H1545">
        <f>IFERROR(--INDEX('Term investments'!$H:$H,ROW()),0)</f>
        <v/>
      </c>
      <c r="I1545">
        <f>IF(ISNUMBER(INDEX('Term investments'!$G:$G,ROW())),1,0)</f>
        <v/>
      </c>
      <c r="J1545">
        <f>TRIM(SUBSTITUTE(INDEX('Call accounts and MMFs'!$A:$A,ROW())&amp;""," "," "))</f>
        <v/>
      </c>
      <c r="K1545">
        <f>TRIM(SUBSTITUTE(INDEX('Call accounts and MMFs'!$B:$B,ROW())&amp;""," "," "))</f>
        <v/>
      </c>
      <c r="L1545">
        <f>TRIM(SUBSTITUTE(INDEX('Call accounts and MMFs'!$C:$C,ROW())&amp;""," "," "))</f>
        <v/>
      </c>
      <c r="M1545">
        <f>IFERROR(--INDEX('Call accounts and MMFs'!$D:$D,ROW()),0)</f>
        <v/>
      </c>
      <c r="N1545">
        <f>IFERROR(IF(--INDEX('Call accounts and MMFs'!$E:$E,ROW())&gt;=1,--INDEX('Call accounts and MMFs'!$E:$E,ROW())/100,--INDEX('Call accounts and MMFs'!$E:$E,ROW())),0)</f>
        <v/>
      </c>
      <c r="O1545">
        <f>IFERROR(--INDEX('Call accounts and MMFs'!$F:$F,ROW()),0)</f>
        <v/>
      </c>
      <c r="P1545">
        <f>IF(ISNUMBER(INDEX('Call accounts and MMFs'!$E:$E,ROW())),1,0)</f>
        <v/>
      </c>
      <c r="Q1545">
        <f>TRIM(SUBSTITUTE(INDEX('Pooled funds'!$B:$B,ROW())&amp;""," "," "))</f>
        <v/>
      </c>
      <c r="R1545">
        <f>IFERROR(--INDEX('Pooled funds'!$C:$C,ROW()),0)</f>
        <v/>
      </c>
      <c r="S1545">
        <f>IFERROR(--INDEX('Pooled funds'!$D:$D,ROW()),0)</f>
        <v/>
      </c>
      <c r="T1545">
        <f>IFERROR(IF(--INDEX('Pooled funds'!$E:$E,ROW())&gt;=1,--INDEX('Pooled funds'!$E:$E,ROW())/100,--INDEX('Pooled funds'!$E:$E,ROW())),0)</f>
        <v/>
      </c>
      <c r="U1545">
        <f>IF(ISNUMBER(INDEX('Pooled funds'!$E:$E,ROW())),1,0)</f>
        <v/>
      </c>
    </row>
    <row r="1546">
      <c r="A1546">
        <f>TRIM(SUBSTITUTE(INDEX('Term investments'!$A:$A,ROW())&amp;""," "," "))</f>
        <v/>
      </c>
      <c r="B1546">
        <f>TRIM(SUBSTITUTE(INDEX('Term investments'!$B:$B,ROW())&amp;""," "," "))</f>
        <v/>
      </c>
      <c r="C1546">
        <f>TRIM(SUBSTITUTE(INDEX('Term investments'!$C:$C,ROW())&amp;""," "," "))</f>
        <v/>
      </c>
      <c r="D1546">
        <f>IFERROR(--INDEX('Term investments'!$D:$D,ROW()),0)</f>
        <v/>
      </c>
      <c r="E1546">
        <f>IFERROR(--INDEX('Term investments'!$E:$E,ROW()),0)</f>
        <v/>
      </c>
      <c r="F1546">
        <f>IFERROR(--INDEX('Term investments'!$F:$F,ROW()),0)</f>
        <v/>
      </c>
      <c r="G1546">
        <f>IFERROR(IF(--INDEX('Term investments'!$G:$G,ROW())&gt;=1,--INDEX('Term investments'!$G:$G,ROW())/100,--INDEX('Term investments'!$G:$G,ROW())),0)</f>
        <v/>
      </c>
      <c r="H1546">
        <f>IFERROR(--INDEX('Term investments'!$H:$H,ROW()),0)</f>
        <v/>
      </c>
      <c r="I1546">
        <f>IF(ISNUMBER(INDEX('Term investments'!$G:$G,ROW())),1,0)</f>
        <v/>
      </c>
      <c r="J1546">
        <f>TRIM(SUBSTITUTE(INDEX('Call accounts and MMFs'!$A:$A,ROW())&amp;""," "," "))</f>
        <v/>
      </c>
      <c r="K1546">
        <f>TRIM(SUBSTITUTE(INDEX('Call accounts and MMFs'!$B:$B,ROW())&amp;""," "," "))</f>
        <v/>
      </c>
      <c r="L1546">
        <f>TRIM(SUBSTITUTE(INDEX('Call accounts and MMFs'!$C:$C,ROW())&amp;""," "," "))</f>
        <v/>
      </c>
      <c r="M1546">
        <f>IFERROR(--INDEX('Call accounts and MMFs'!$D:$D,ROW()),0)</f>
        <v/>
      </c>
      <c r="N1546">
        <f>IFERROR(IF(--INDEX('Call accounts and MMFs'!$E:$E,ROW())&gt;=1,--INDEX('Call accounts and MMFs'!$E:$E,ROW())/100,--INDEX('Call accounts and MMFs'!$E:$E,ROW())),0)</f>
        <v/>
      </c>
      <c r="O1546">
        <f>IFERROR(--INDEX('Call accounts and MMFs'!$F:$F,ROW()),0)</f>
        <v/>
      </c>
      <c r="P1546">
        <f>IF(ISNUMBER(INDEX('Call accounts and MMFs'!$E:$E,ROW())),1,0)</f>
        <v/>
      </c>
      <c r="Q1546">
        <f>TRIM(SUBSTITUTE(INDEX('Pooled funds'!$B:$B,ROW())&amp;""," "," "))</f>
        <v/>
      </c>
      <c r="R1546">
        <f>IFERROR(--INDEX('Pooled funds'!$C:$C,ROW()),0)</f>
        <v/>
      </c>
      <c r="S1546">
        <f>IFERROR(--INDEX('Pooled funds'!$D:$D,ROW()),0)</f>
        <v/>
      </c>
      <c r="T1546">
        <f>IFERROR(IF(--INDEX('Pooled funds'!$E:$E,ROW())&gt;=1,--INDEX('Pooled funds'!$E:$E,ROW())/100,--INDEX('Pooled funds'!$E:$E,ROW())),0)</f>
        <v/>
      </c>
      <c r="U1546">
        <f>IF(ISNUMBER(INDEX('Pooled funds'!$E:$E,ROW())),1,0)</f>
        <v/>
      </c>
    </row>
    <row r="1547">
      <c r="A1547">
        <f>TRIM(SUBSTITUTE(INDEX('Term investments'!$A:$A,ROW())&amp;""," "," "))</f>
        <v/>
      </c>
      <c r="B1547">
        <f>TRIM(SUBSTITUTE(INDEX('Term investments'!$B:$B,ROW())&amp;""," "," "))</f>
        <v/>
      </c>
      <c r="C1547">
        <f>TRIM(SUBSTITUTE(INDEX('Term investments'!$C:$C,ROW())&amp;""," "," "))</f>
        <v/>
      </c>
      <c r="D1547">
        <f>IFERROR(--INDEX('Term investments'!$D:$D,ROW()),0)</f>
        <v/>
      </c>
      <c r="E1547">
        <f>IFERROR(--INDEX('Term investments'!$E:$E,ROW()),0)</f>
        <v/>
      </c>
      <c r="F1547">
        <f>IFERROR(--INDEX('Term investments'!$F:$F,ROW()),0)</f>
        <v/>
      </c>
      <c r="G1547">
        <f>IFERROR(IF(--INDEX('Term investments'!$G:$G,ROW())&gt;=1,--INDEX('Term investments'!$G:$G,ROW())/100,--INDEX('Term investments'!$G:$G,ROW())),0)</f>
        <v/>
      </c>
      <c r="H1547">
        <f>IFERROR(--INDEX('Term investments'!$H:$H,ROW()),0)</f>
        <v/>
      </c>
      <c r="I1547">
        <f>IF(ISNUMBER(INDEX('Term investments'!$G:$G,ROW())),1,0)</f>
        <v/>
      </c>
      <c r="J1547">
        <f>TRIM(SUBSTITUTE(INDEX('Call accounts and MMFs'!$A:$A,ROW())&amp;""," "," "))</f>
        <v/>
      </c>
      <c r="K1547">
        <f>TRIM(SUBSTITUTE(INDEX('Call accounts and MMFs'!$B:$B,ROW())&amp;""," "," "))</f>
        <v/>
      </c>
      <c r="L1547">
        <f>TRIM(SUBSTITUTE(INDEX('Call accounts and MMFs'!$C:$C,ROW())&amp;""," "," "))</f>
        <v/>
      </c>
      <c r="M1547">
        <f>IFERROR(--INDEX('Call accounts and MMFs'!$D:$D,ROW()),0)</f>
        <v/>
      </c>
      <c r="N1547">
        <f>IFERROR(IF(--INDEX('Call accounts and MMFs'!$E:$E,ROW())&gt;=1,--INDEX('Call accounts and MMFs'!$E:$E,ROW())/100,--INDEX('Call accounts and MMFs'!$E:$E,ROW())),0)</f>
        <v/>
      </c>
      <c r="O1547">
        <f>IFERROR(--INDEX('Call accounts and MMFs'!$F:$F,ROW()),0)</f>
        <v/>
      </c>
      <c r="P1547">
        <f>IF(ISNUMBER(INDEX('Call accounts and MMFs'!$E:$E,ROW())),1,0)</f>
        <v/>
      </c>
      <c r="Q1547">
        <f>TRIM(SUBSTITUTE(INDEX('Pooled funds'!$B:$B,ROW())&amp;""," "," "))</f>
        <v/>
      </c>
      <c r="R1547">
        <f>IFERROR(--INDEX('Pooled funds'!$C:$C,ROW()),0)</f>
        <v/>
      </c>
      <c r="S1547">
        <f>IFERROR(--INDEX('Pooled funds'!$D:$D,ROW()),0)</f>
        <v/>
      </c>
      <c r="T1547">
        <f>IFERROR(IF(--INDEX('Pooled funds'!$E:$E,ROW())&gt;=1,--INDEX('Pooled funds'!$E:$E,ROW())/100,--INDEX('Pooled funds'!$E:$E,ROW())),0)</f>
        <v/>
      </c>
      <c r="U1547">
        <f>IF(ISNUMBER(INDEX('Pooled funds'!$E:$E,ROW())),1,0)</f>
        <v/>
      </c>
    </row>
    <row r="1548">
      <c r="A1548">
        <f>TRIM(SUBSTITUTE(INDEX('Term investments'!$A:$A,ROW())&amp;""," "," "))</f>
        <v/>
      </c>
      <c r="B1548">
        <f>TRIM(SUBSTITUTE(INDEX('Term investments'!$B:$B,ROW())&amp;""," "," "))</f>
        <v/>
      </c>
      <c r="C1548">
        <f>TRIM(SUBSTITUTE(INDEX('Term investments'!$C:$C,ROW())&amp;""," "," "))</f>
        <v/>
      </c>
      <c r="D1548">
        <f>IFERROR(--INDEX('Term investments'!$D:$D,ROW()),0)</f>
        <v/>
      </c>
      <c r="E1548">
        <f>IFERROR(--INDEX('Term investments'!$E:$E,ROW()),0)</f>
        <v/>
      </c>
      <c r="F1548">
        <f>IFERROR(--INDEX('Term investments'!$F:$F,ROW()),0)</f>
        <v/>
      </c>
      <c r="G1548">
        <f>IFERROR(IF(--INDEX('Term investments'!$G:$G,ROW())&gt;=1,--INDEX('Term investments'!$G:$G,ROW())/100,--INDEX('Term investments'!$G:$G,ROW())),0)</f>
        <v/>
      </c>
      <c r="H1548">
        <f>IFERROR(--INDEX('Term investments'!$H:$H,ROW()),0)</f>
        <v/>
      </c>
      <c r="I1548">
        <f>IF(ISNUMBER(INDEX('Term investments'!$G:$G,ROW())),1,0)</f>
        <v/>
      </c>
      <c r="J1548">
        <f>TRIM(SUBSTITUTE(INDEX('Call accounts and MMFs'!$A:$A,ROW())&amp;""," "," "))</f>
        <v/>
      </c>
      <c r="K1548">
        <f>TRIM(SUBSTITUTE(INDEX('Call accounts and MMFs'!$B:$B,ROW())&amp;""," "," "))</f>
        <v/>
      </c>
      <c r="L1548">
        <f>TRIM(SUBSTITUTE(INDEX('Call accounts and MMFs'!$C:$C,ROW())&amp;""," "," "))</f>
        <v/>
      </c>
      <c r="M1548">
        <f>IFERROR(--INDEX('Call accounts and MMFs'!$D:$D,ROW()),0)</f>
        <v/>
      </c>
      <c r="N1548">
        <f>IFERROR(IF(--INDEX('Call accounts and MMFs'!$E:$E,ROW())&gt;=1,--INDEX('Call accounts and MMFs'!$E:$E,ROW())/100,--INDEX('Call accounts and MMFs'!$E:$E,ROW())),0)</f>
        <v/>
      </c>
      <c r="O1548">
        <f>IFERROR(--INDEX('Call accounts and MMFs'!$F:$F,ROW()),0)</f>
        <v/>
      </c>
      <c r="P1548">
        <f>IF(ISNUMBER(INDEX('Call accounts and MMFs'!$E:$E,ROW())),1,0)</f>
        <v/>
      </c>
      <c r="Q1548">
        <f>TRIM(SUBSTITUTE(INDEX('Pooled funds'!$B:$B,ROW())&amp;""," "," "))</f>
        <v/>
      </c>
      <c r="R1548">
        <f>IFERROR(--INDEX('Pooled funds'!$C:$C,ROW()),0)</f>
        <v/>
      </c>
      <c r="S1548">
        <f>IFERROR(--INDEX('Pooled funds'!$D:$D,ROW()),0)</f>
        <v/>
      </c>
      <c r="T1548">
        <f>IFERROR(IF(--INDEX('Pooled funds'!$E:$E,ROW())&gt;=1,--INDEX('Pooled funds'!$E:$E,ROW())/100,--INDEX('Pooled funds'!$E:$E,ROW())),0)</f>
        <v/>
      </c>
      <c r="U1548">
        <f>IF(ISNUMBER(INDEX('Pooled funds'!$E:$E,ROW())),1,0)</f>
        <v/>
      </c>
    </row>
    <row r="1549">
      <c r="A1549">
        <f>TRIM(SUBSTITUTE(INDEX('Term investments'!$A:$A,ROW())&amp;""," "," "))</f>
        <v/>
      </c>
      <c r="B1549">
        <f>TRIM(SUBSTITUTE(INDEX('Term investments'!$B:$B,ROW())&amp;""," "," "))</f>
        <v/>
      </c>
      <c r="C1549">
        <f>TRIM(SUBSTITUTE(INDEX('Term investments'!$C:$C,ROW())&amp;""," "," "))</f>
        <v/>
      </c>
      <c r="D1549">
        <f>IFERROR(--INDEX('Term investments'!$D:$D,ROW()),0)</f>
        <v/>
      </c>
      <c r="E1549">
        <f>IFERROR(--INDEX('Term investments'!$E:$E,ROW()),0)</f>
        <v/>
      </c>
      <c r="F1549">
        <f>IFERROR(--INDEX('Term investments'!$F:$F,ROW()),0)</f>
        <v/>
      </c>
      <c r="G1549">
        <f>IFERROR(IF(--INDEX('Term investments'!$G:$G,ROW())&gt;=1,--INDEX('Term investments'!$G:$G,ROW())/100,--INDEX('Term investments'!$G:$G,ROW())),0)</f>
        <v/>
      </c>
      <c r="H1549">
        <f>IFERROR(--INDEX('Term investments'!$H:$H,ROW()),0)</f>
        <v/>
      </c>
      <c r="I1549">
        <f>IF(ISNUMBER(INDEX('Term investments'!$G:$G,ROW())),1,0)</f>
        <v/>
      </c>
      <c r="J1549">
        <f>TRIM(SUBSTITUTE(INDEX('Call accounts and MMFs'!$A:$A,ROW())&amp;""," "," "))</f>
        <v/>
      </c>
      <c r="K1549">
        <f>TRIM(SUBSTITUTE(INDEX('Call accounts and MMFs'!$B:$B,ROW())&amp;""," "," "))</f>
        <v/>
      </c>
      <c r="L1549">
        <f>TRIM(SUBSTITUTE(INDEX('Call accounts and MMFs'!$C:$C,ROW())&amp;""," "," "))</f>
        <v/>
      </c>
      <c r="M1549">
        <f>IFERROR(--INDEX('Call accounts and MMFs'!$D:$D,ROW()),0)</f>
        <v/>
      </c>
      <c r="N1549">
        <f>IFERROR(IF(--INDEX('Call accounts and MMFs'!$E:$E,ROW())&gt;=1,--INDEX('Call accounts and MMFs'!$E:$E,ROW())/100,--INDEX('Call accounts and MMFs'!$E:$E,ROW())),0)</f>
        <v/>
      </c>
      <c r="O1549">
        <f>IFERROR(--INDEX('Call accounts and MMFs'!$F:$F,ROW()),0)</f>
        <v/>
      </c>
      <c r="P1549">
        <f>IF(ISNUMBER(INDEX('Call accounts and MMFs'!$E:$E,ROW())),1,0)</f>
        <v/>
      </c>
      <c r="Q1549">
        <f>TRIM(SUBSTITUTE(INDEX('Pooled funds'!$B:$B,ROW())&amp;""," "," "))</f>
        <v/>
      </c>
      <c r="R1549">
        <f>IFERROR(--INDEX('Pooled funds'!$C:$C,ROW()),0)</f>
        <v/>
      </c>
      <c r="S1549">
        <f>IFERROR(--INDEX('Pooled funds'!$D:$D,ROW()),0)</f>
        <v/>
      </c>
      <c r="T1549">
        <f>IFERROR(IF(--INDEX('Pooled funds'!$E:$E,ROW())&gt;=1,--INDEX('Pooled funds'!$E:$E,ROW())/100,--INDEX('Pooled funds'!$E:$E,ROW())),0)</f>
        <v/>
      </c>
      <c r="U1549">
        <f>IF(ISNUMBER(INDEX('Pooled funds'!$E:$E,ROW())),1,0)</f>
        <v/>
      </c>
    </row>
    <row r="1550">
      <c r="A1550">
        <f>TRIM(SUBSTITUTE(INDEX('Term investments'!$A:$A,ROW())&amp;""," "," "))</f>
        <v/>
      </c>
      <c r="B1550">
        <f>TRIM(SUBSTITUTE(INDEX('Term investments'!$B:$B,ROW())&amp;""," "," "))</f>
        <v/>
      </c>
      <c r="C1550">
        <f>TRIM(SUBSTITUTE(INDEX('Term investments'!$C:$C,ROW())&amp;""," "," "))</f>
        <v/>
      </c>
      <c r="D1550">
        <f>IFERROR(--INDEX('Term investments'!$D:$D,ROW()),0)</f>
        <v/>
      </c>
      <c r="E1550">
        <f>IFERROR(--INDEX('Term investments'!$E:$E,ROW()),0)</f>
        <v/>
      </c>
      <c r="F1550">
        <f>IFERROR(--INDEX('Term investments'!$F:$F,ROW()),0)</f>
        <v/>
      </c>
      <c r="G1550">
        <f>IFERROR(IF(--INDEX('Term investments'!$G:$G,ROW())&gt;=1,--INDEX('Term investments'!$G:$G,ROW())/100,--INDEX('Term investments'!$G:$G,ROW())),0)</f>
        <v/>
      </c>
      <c r="H1550">
        <f>IFERROR(--INDEX('Term investments'!$H:$H,ROW()),0)</f>
        <v/>
      </c>
      <c r="I1550">
        <f>IF(ISNUMBER(INDEX('Term investments'!$G:$G,ROW())),1,0)</f>
        <v/>
      </c>
      <c r="J1550">
        <f>TRIM(SUBSTITUTE(INDEX('Call accounts and MMFs'!$A:$A,ROW())&amp;""," "," "))</f>
        <v/>
      </c>
      <c r="K1550">
        <f>TRIM(SUBSTITUTE(INDEX('Call accounts and MMFs'!$B:$B,ROW())&amp;""," "," "))</f>
        <v/>
      </c>
      <c r="L1550">
        <f>TRIM(SUBSTITUTE(INDEX('Call accounts and MMFs'!$C:$C,ROW())&amp;""," "," "))</f>
        <v/>
      </c>
      <c r="M1550">
        <f>IFERROR(--INDEX('Call accounts and MMFs'!$D:$D,ROW()),0)</f>
        <v/>
      </c>
      <c r="N1550">
        <f>IFERROR(IF(--INDEX('Call accounts and MMFs'!$E:$E,ROW())&gt;=1,--INDEX('Call accounts and MMFs'!$E:$E,ROW())/100,--INDEX('Call accounts and MMFs'!$E:$E,ROW())),0)</f>
        <v/>
      </c>
      <c r="O1550">
        <f>IFERROR(--INDEX('Call accounts and MMFs'!$F:$F,ROW()),0)</f>
        <v/>
      </c>
      <c r="P1550">
        <f>IF(ISNUMBER(INDEX('Call accounts and MMFs'!$E:$E,ROW())),1,0)</f>
        <v/>
      </c>
      <c r="Q1550">
        <f>TRIM(SUBSTITUTE(INDEX('Pooled funds'!$B:$B,ROW())&amp;""," "," "))</f>
        <v/>
      </c>
      <c r="R1550">
        <f>IFERROR(--INDEX('Pooled funds'!$C:$C,ROW()),0)</f>
        <v/>
      </c>
      <c r="S1550">
        <f>IFERROR(--INDEX('Pooled funds'!$D:$D,ROW()),0)</f>
        <v/>
      </c>
      <c r="T1550">
        <f>IFERROR(IF(--INDEX('Pooled funds'!$E:$E,ROW())&gt;=1,--INDEX('Pooled funds'!$E:$E,ROW())/100,--INDEX('Pooled funds'!$E:$E,ROW())),0)</f>
        <v/>
      </c>
      <c r="U1550">
        <f>IF(ISNUMBER(INDEX('Pooled funds'!$E:$E,ROW())),1,0)</f>
        <v/>
      </c>
    </row>
    <row r="1551">
      <c r="A1551">
        <f>TRIM(SUBSTITUTE(INDEX('Term investments'!$A:$A,ROW())&amp;""," "," "))</f>
        <v/>
      </c>
      <c r="B1551">
        <f>TRIM(SUBSTITUTE(INDEX('Term investments'!$B:$B,ROW())&amp;""," "," "))</f>
        <v/>
      </c>
      <c r="C1551">
        <f>TRIM(SUBSTITUTE(INDEX('Term investments'!$C:$C,ROW())&amp;""," "," "))</f>
        <v/>
      </c>
      <c r="D1551">
        <f>IFERROR(--INDEX('Term investments'!$D:$D,ROW()),0)</f>
        <v/>
      </c>
      <c r="E1551">
        <f>IFERROR(--INDEX('Term investments'!$E:$E,ROW()),0)</f>
        <v/>
      </c>
      <c r="F1551">
        <f>IFERROR(--INDEX('Term investments'!$F:$F,ROW()),0)</f>
        <v/>
      </c>
      <c r="G1551">
        <f>IFERROR(IF(--INDEX('Term investments'!$G:$G,ROW())&gt;=1,--INDEX('Term investments'!$G:$G,ROW())/100,--INDEX('Term investments'!$G:$G,ROW())),0)</f>
        <v/>
      </c>
      <c r="H1551">
        <f>IFERROR(--INDEX('Term investments'!$H:$H,ROW()),0)</f>
        <v/>
      </c>
      <c r="I1551">
        <f>IF(ISNUMBER(INDEX('Term investments'!$G:$G,ROW())),1,0)</f>
        <v/>
      </c>
      <c r="J1551">
        <f>TRIM(SUBSTITUTE(INDEX('Call accounts and MMFs'!$A:$A,ROW())&amp;""," "," "))</f>
        <v/>
      </c>
      <c r="K1551">
        <f>TRIM(SUBSTITUTE(INDEX('Call accounts and MMFs'!$B:$B,ROW())&amp;""," "," "))</f>
        <v/>
      </c>
      <c r="L1551">
        <f>TRIM(SUBSTITUTE(INDEX('Call accounts and MMFs'!$C:$C,ROW())&amp;""," "," "))</f>
        <v/>
      </c>
      <c r="M1551">
        <f>IFERROR(--INDEX('Call accounts and MMFs'!$D:$D,ROW()),0)</f>
        <v/>
      </c>
      <c r="N1551">
        <f>IFERROR(IF(--INDEX('Call accounts and MMFs'!$E:$E,ROW())&gt;=1,--INDEX('Call accounts and MMFs'!$E:$E,ROW())/100,--INDEX('Call accounts and MMFs'!$E:$E,ROW())),0)</f>
        <v/>
      </c>
      <c r="O1551">
        <f>IFERROR(--INDEX('Call accounts and MMFs'!$F:$F,ROW()),0)</f>
        <v/>
      </c>
      <c r="P1551">
        <f>IF(ISNUMBER(INDEX('Call accounts and MMFs'!$E:$E,ROW())),1,0)</f>
        <v/>
      </c>
      <c r="Q1551">
        <f>TRIM(SUBSTITUTE(INDEX('Pooled funds'!$B:$B,ROW())&amp;""," "," "))</f>
        <v/>
      </c>
      <c r="R1551">
        <f>IFERROR(--INDEX('Pooled funds'!$C:$C,ROW()),0)</f>
        <v/>
      </c>
      <c r="S1551">
        <f>IFERROR(--INDEX('Pooled funds'!$D:$D,ROW()),0)</f>
        <v/>
      </c>
      <c r="T1551">
        <f>IFERROR(IF(--INDEX('Pooled funds'!$E:$E,ROW())&gt;=1,--INDEX('Pooled funds'!$E:$E,ROW())/100,--INDEX('Pooled funds'!$E:$E,ROW())),0)</f>
        <v/>
      </c>
      <c r="U1551">
        <f>IF(ISNUMBER(INDEX('Pooled funds'!$E:$E,ROW())),1,0)</f>
        <v/>
      </c>
    </row>
    <row r="1552">
      <c r="A1552">
        <f>TRIM(SUBSTITUTE(INDEX('Term investments'!$A:$A,ROW())&amp;""," "," "))</f>
        <v/>
      </c>
      <c r="B1552">
        <f>TRIM(SUBSTITUTE(INDEX('Term investments'!$B:$B,ROW())&amp;""," "," "))</f>
        <v/>
      </c>
      <c r="C1552">
        <f>TRIM(SUBSTITUTE(INDEX('Term investments'!$C:$C,ROW())&amp;""," "," "))</f>
        <v/>
      </c>
      <c r="D1552">
        <f>IFERROR(--INDEX('Term investments'!$D:$D,ROW()),0)</f>
        <v/>
      </c>
      <c r="E1552">
        <f>IFERROR(--INDEX('Term investments'!$E:$E,ROW()),0)</f>
        <v/>
      </c>
      <c r="F1552">
        <f>IFERROR(--INDEX('Term investments'!$F:$F,ROW()),0)</f>
        <v/>
      </c>
      <c r="G1552">
        <f>IFERROR(IF(--INDEX('Term investments'!$G:$G,ROW())&gt;=1,--INDEX('Term investments'!$G:$G,ROW())/100,--INDEX('Term investments'!$G:$G,ROW())),0)</f>
        <v/>
      </c>
      <c r="H1552">
        <f>IFERROR(--INDEX('Term investments'!$H:$H,ROW()),0)</f>
        <v/>
      </c>
      <c r="I1552">
        <f>IF(ISNUMBER(INDEX('Term investments'!$G:$G,ROW())),1,0)</f>
        <v/>
      </c>
      <c r="J1552">
        <f>TRIM(SUBSTITUTE(INDEX('Call accounts and MMFs'!$A:$A,ROW())&amp;""," "," "))</f>
        <v/>
      </c>
      <c r="K1552">
        <f>TRIM(SUBSTITUTE(INDEX('Call accounts and MMFs'!$B:$B,ROW())&amp;""," "," "))</f>
        <v/>
      </c>
      <c r="L1552">
        <f>TRIM(SUBSTITUTE(INDEX('Call accounts and MMFs'!$C:$C,ROW())&amp;""," "," "))</f>
        <v/>
      </c>
      <c r="M1552">
        <f>IFERROR(--INDEX('Call accounts and MMFs'!$D:$D,ROW()),0)</f>
        <v/>
      </c>
      <c r="N1552">
        <f>IFERROR(IF(--INDEX('Call accounts and MMFs'!$E:$E,ROW())&gt;=1,--INDEX('Call accounts and MMFs'!$E:$E,ROW())/100,--INDEX('Call accounts and MMFs'!$E:$E,ROW())),0)</f>
        <v/>
      </c>
      <c r="O1552">
        <f>IFERROR(--INDEX('Call accounts and MMFs'!$F:$F,ROW()),0)</f>
        <v/>
      </c>
      <c r="P1552">
        <f>IF(ISNUMBER(INDEX('Call accounts and MMFs'!$E:$E,ROW())),1,0)</f>
        <v/>
      </c>
      <c r="Q1552">
        <f>TRIM(SUBSTITUTE(INDEX('Pooled funds'!$B:$B,ROW())&amp;""," "," "))</f>
        <v/>
      </c>
      <c r="R1552">
        <f>IFERROR(--INDEX('Pooled funds'!$C:$C,ROW()),0)</f>
        <v/>
      </c>
      <c r="S1552">
        <f>IFERROR(--INDEX('Pooled funds'!$D:$D,ROW()),0)</f>
        <v/>
      </c>
      <c r="T1552">
        <f>IFERROR(IF(--INDEX('Pooled funds'!$E:$E,ROW())&gt;=1,--INDEX('Pooled funds'!$E:$E,ROW())/100,--INDEX('Pooled funds'!$E:$E,ROW())),0)</f>
        <v/>
      </c>
      <c r="U1552">
        <f>IF(ISNUMBER(INDEX('Pooled funds'!$E:$E,ROW())),1,0)</f>
        <v/>
      </c>
    </row>
    <row r="1553">
      <c r="A1553">
        <f>TRIM(SUBSTITUTE(INDEX('Term investments'!$A:$A,ROW())&amp;""," "," "))</f>
        <v/>
      </c>
      <c r="B1553">
        <f>TRIM(SUBSTITUTE(INDEX('Term investments'!$B:$B,ROW())&amp;""," "," "))</f>
        <v/>
      </c>
      <c r="C1553">
        <f>TRIM(SUBSTITUTE(INDEX('Term investments'!$C:$C,ROW())&amp;""," "," "))</f>
        <v/>
      </c>
      <c r="D1553">
        <f>IFERROR(--INDEX('Term investments'!$D:$D,ROW()),0)</f>
        <v/>
      </c>
      <c r="E1553">
        <f>IFERROR(--INDEX('Term investments'!$E:$E,ROW()),0)</f>
        <v/>
      </c>
      <c r="F1553">
        <f>IFERROR(--INDEX('Term investments'!$F:$F,ROW()),0)</f>
        <v/>
      </c>
      <c r="G1553">
        <f>IFERROR(IF(--INDEX('Term investments'!$G:$G,ROW())&gt;=1,--INDEX('Term investments'!$G:$G,ROW())/100,--INDEX('Term investments'!$G:$G,ROW())),0)</f>
        <v/>
      </c>
      <c r="H1553">
        <f>IFERROR(--INDEX('Term investments'!$H:$H,ROW()),0)</f>
        <v/>
      </c>
      <c r="I1553">
        <f>IF(ISNUMBER(INDEX('Term investments'!$G:$G,ROW())),1,0)</f>
        <v/>
      </c>
      <c r="J1553">
        <f>TRIM(SUBSTITUTE(INDEX('Call accounts and MMFs'!$A:$A,ROW())&amp;""," "," "))</f>
        <v/>
      </c>
      <c r="K1553">
        <f>TRIM(SUBSTITUTE(INDEX('Call accounts and MMFs'!$B:$B,ROW())&amp;""," "," "))</f>
        <v/>
      </c>
      <c r="L1553">
        <f>TRIM(SUBSTITUTE(INDEX('Call accounts and MMFs'!$C:$C,ROW())&amp;""," "," "))</f>
        <v/>
      </c>
      <c r="M1553">
        <f>IFERROR(--INDEX('Call accounts and MMFs'!$D:$D,ROW()),0)</f>
        <v/>
      </c>
      <c r="N1553">
        <f>IFERROR(IF(--INDEX('Call accounts and MMFs'!$E:$E,ROW())&gt;=1,--INDEX('Call accounts and MMFs'!$E:$E,ROW())/100,--INDEX('Call accounts and MMFs'!$E:$E,ROW())),0)</f>
        <v/>
      </c>
      <c r="O1553">
        <f>IFERROR(--INDEX('Call accounts and MMFs'!$F:$F,ROW()),0)</f>
        <v/>
      </c>
      <c r="P1553">
        <f>IF(ISNUMBER(INDEX('Call accounts and MMFs'!$E:$E,ROW())),1,0)</f>
        <v/>
      </c>
      <c r="Q1553">
        <f>TRIM(SUBSTITUTE(INDEX('Pooled funds'!$B:$B,ROW())&amp;""," "," "))</f>
        <v/>
      </c>
      <c r="R1553">
        <f>IFERROR(--INDEX('Pooled funds'!$C:$C,ROW()),0)</f>
        <v/>
      </c>
      <c r="S1553">
        <f>IFERROR(--INDEX('Pooled funds'!$D:$D,ROW()),0)</f>
        <v/>
      </c>
      <c r="T1553">
        <f>IFERROR(IF(--INDEX('Pooled funds'!$E:$E,ROW())&gt;=1,--INDEX('Pooled funds'!$E:$E,ROW())/100,--INDEX('Pooled funds'!$E:$E,ROW())),0)</f>
        <v/>
      </c>
      <c r="U1553">
        <f>IF(ISNUMBER(INDEX('Pooled funds'!$E:$E,ROW())),1,0)</f>
        <v/>
      </c>
    </row>
    <row r="1554">
      <c r="A1554">
        <f>TRIM(SUBSTITUTE(INDEX('Term investments'!$A:$A,ROW())&amp;""," "," "))</f>
        <v/>
      </c>
      <c r="B1554">
        <f>TRIM(SUBSTITUTE(INDEX('Term investments'!$B:$B,ROW())&amp;""," "," "))</f>
        <v/>
      </c>
      <c r="C1554">
        <f>TRIM(SUBSTITUTE(INDEX('Term investments'!$C:$C,ROW())&amp;""," "," "))</f>
        <v/>
      </c>
      <c r="D1554">
        <f>IFERROR(--INDEX('Term investments'!$D:$D,ROW()),0)</f>
        <v/>
      </c>
      <c r="E1554">
        <f>IFERROR(--INDEX('Term investments'!$E:$E,ROW()),0)</f>
        <v/>
      </c>
      <c r="F1554">
        <f>IFERROR(--INDEX('Term investments'!$F:$F,ROW()),0)</f>
        <v/>
      </c>
      <c r="G1554">
        <f>IFERROR(IF(--INDEX('Term investments'!$G:$G,ROW())&gt;=1,--INDEX('Term investments'!$G:$G,ROW())/100,--INDEX('Term investments'!$G:$G,ROW())),0)</f>
        <v/>
      </c>
      <c r="H1554">
        <f>IFERROR(--INDEX('Term investments'!$H:$H,ROW()),0)</f>
        <v/>
      </c>
      <c r="I1554">
        <f>IF(ISNUMBER(INDEX('Term investments'!$G:$G,ROW())),1,0)</f>
        <v/>
      </c>
      <c r="J1554">
        <f>TRIM(SUBSTITUTE(INDEX('Call accounts and MMFs'!$A:$A,ROW())&amp;""," "," "))</f>
        <v/>
      </c>
      <c r="K1554">
        <f>TRIM(SUBSTITUTE(INDEX('Call accounts and MMFs'!$B:$B,ROW())&amp;""," "," "))</f>
        <v/>
      </c>
      <c r="L1554">
        <f>TRIM(SUBSTITUTE(INDEX('Call accounts and MMFs'!$C:$C,ROW())&amp;""," "," "))</f>
        <v/>
      </c>
      <c r="M1554">
        <f>IFERROR(--INDEX('Call accounts and MMFs'!$D:$D,ROW()),0)</f>
        <v/>
      </c>
      <c r="N1554">
        <f>IFERROR(IF(--INDEX('Call accounts and MMFs'!$E:$E,ROW())&gt;=1,--INDEX('Call accounts and MMFs'!$E:$E,ROW())/100,--INDEX('Call accounts and MMFs'!$E:$E,ROW())),0)</f>
        <v/>
      </c>
      <c r="O1554">
        <f>IFERROR(--INDEX('Call accounts and MMFs'!$F:$F,ROW()),0)</f>
        <v/>
      </c>
      <c r="P1554">
        <f>IF(ISNUMBER(INDEX('Call accounts and MMFs'!$E:$E,ROW())),1,0)</f>
        <v/>
      </c>
      <c r="Q1554">
        <f>TRIM(SUBSTITUTE(INDEX('Pooled funds'!$B:$B,ROW())&amp;""," "," "))</f>
        <v/>
      </c>
      <c r="R1554">
        <f>IFERROR(--INDEX('Pooled funds'!$C:$C,ROW()),0)</f>
        <v/>
      </c>
      <c r="S1554">
        <f>IFERROR(--INDEX('Pooled funds'!$D:$D,ROW()),0)</f>
        <v/>
      </c>
      <c r="T1554">
        <f>IFERROR(IF(--INDEX('Pooled funds'!$E:$E,ROW())&gt;=1,--INDEX('Pooled funds'!$E:$E,ROW())/100,--INDEX('Pooled funds'!$E:$E,ROW())),0)</f>
        <v/>
      </c>
      <c r="U1554">
        <f>IF(ISNUMBER(INDEX('Pooled funds'!$E:$E,ROW())),1,0)</f>
        <v/>
      </c>
    </row>
    <row r="1555">
      <c r="A1555">
        <f>TRIM(SUBSTITUTE(INDEX('Term investments'!$A:$A,ROW())&amp;""," "," "))</f>
        <v/>
      </c>
      <c r="B1555">
        <f>TRIM(SUBSTITUTE(INDEX('Term investments'!$B:$B,ROW())&amp;""," "," "))</f>
        <v/>
      </c>
      <c r="C1555">
        <f>TRIM(SUBSTITUTE(INDEX('Term investments'!$C:$C,ROW())&amp;""," "," "))</f>
        <v/>
      </c>
      <c r="D1555">
        <f>IFERROR(--INDEX('Term investments'!$D:$D,ROW()),0)</f>
        <v/>
      </c>
      <c r="E1555">
        <f>IFERROR(--INDEX('Term investments'!$E:$E,ROW()),0)</f>
        <v/>
      </c>
      <c r="F1555">
        <f>IFERROR(--INDEX('Term investments'!$F:$F,ROW()),0)</f>
        <v/>
      </c>
      <c r="G1555">
        <f>IFERROR(IF(--INDEX('Term investments'!$G:$G,ROW())&gt;=1,--INDEX('Term investments'!$G:$G,ROW())/100,--INDEX('Term investments'!$G:$G,ROW())),0)</f>
        <v/>
      </c>
      <c r="H1555">
        <f>IFERROR(--INDEX('Term investments'!$H:$H,ROW()),0)</f>
        <v/>
      </c>
      <c r="I1555">
        <f>IF(ISNUMBER(INDEX('Term investments'!$G:$G,ROW())),1,0)</f>
        <v/>
      </c>
      <c r="J1555">
        <f>TRIM(SUBSTITUTE(INDEX('Call accounts and MMFs'!$A:$A,ROW())&amp;""," "," "))</f>
        <v/>
      </c>
      <c r="K1555">
        <f>TRIM(SUBSTITUTE(INDEX('Call accounts and MMFs'!$B:$B,ROW())&amp;""," "," "))</f>
        <v/>
      </c>
      <c r="L1555">
        <f>TRIM(SUBSTITUTE(INDEX('Call accounts and MMFs'!$C:$C,ROW())&amp;""," "," "))</f>
        <v/>
      </c>
      <c r="M1555">
        <f>IFERROR(--INDEX('Call accounts and MMFs'!$D:$D,ROW()),0)</f>
        <v/>
      </c>
      <c r="N1555">
        <f>IFERROR(IF(--INDEX('Call accounts and MMFs'!$E:$E,ROW())&gt;=1,--INDEX('Call accounts and MMFs'!$E:$E,ROW())/100,--INDEX('Call accounts and MMFs'!$E:$E,ROW())),0)</f>
        <v/>
      </c>
      <c r="O1555">
        <f>IFERROR(--INDEX('Call accounts and MMFs'!$F:$F,ROW()),0)</f>
        <v/>
      </c>
      <c r="P1555">
        <f>IF(ISNUMBER(INDEX('Call accounts and MMFs'!$E:$E,ROW())),1,0)</f>
        <v/>
      </c>
      <c r="Q1555">
        <f>TRIM(SUBSTITUTE(INDEX('Pooled funds'!$B:$B,ROW())&amp;""," "," "))</f>
        <v/>
      </c>
      <c r="R1555">
        <f>IFERROR(--INDEX('Pooled funds'!$C:$C,ROW()),0)</f>
        <v/>
      </c>
      <c r="S1555">
        <f>IFERROR(--INDEX('Pooled funds'!$D:$D,ROW()),0)</f>
        <v/>
      </c>
      <c r="T1555">
        <f>IFERROR(IF(--INDEX('Pooled funds'!$E:$E,ROW())&gt;=1,--INDEX('Pooled funds'!$E:$E,ROW())/100,--INDEX('Pooled funds'!$E:$E,ROW())),0)</f>
        <v/>
      </c>
      <c r="U1555">
        <f>IF(ISNUMBER(INDEX('Pooled funds'!$E:$E,ROW())),1,0)</f>
        <v/>
      </c>
    </row>
    <row r="1556">
      <c r="A1556">
        <f>TRIM(SUBSTITUTE(INDEX('Term investments'!$A:$A,ROW())&amp;""," "," "))</f>
        <v/>
      </c>
      <c r="B1556">
        <f>TRIM(SUBSTITUTE(INDEX('Term investments'!$B:$B,ROW())&amp;""," "," "))</f>
        <v/>
      </c>
      <c r="C1556">
        <f>TRIM(SUBSTITUTE(INDEX('Term investments'!$C:$C,ROW())&amp;""," "," "))</f>
        <v/>
      </c>
      <c r="D1556">
        <f>IFERROR(--INDEX('Term investments'!$D:$D,ROW()),0)</f>
        <v/>
      </c>
      <c r="E1556">
        <f>IFERROR(--INDEX('Term investments'!$E:$E,ROW()),0)</f>
        <v/>
      </c>
      <c r="F1556">
        <f>IFERROR(--INDEX('Term investments'!$F:$F,ROW()),0)</f>
        <v/>
      </c>
      <c r="G1556">
        <f>IFERROR(IF(--INDEX('Term investments'!$G:$G,ROW())&gt;=1,--INDEX('Term investments'!$G:$G,ROW())/100,--INDEX('Term investments'!$G:$G,ROW())),0)</f>
        <v/>
      </c>
      <c r="H1556">
        <f>IFERROR(--INDEX('Term investments'!$H:$H,ROW()),0)</f>
        <v/>
      </c>
      <c r="I1556">
        <f>IF(ISNUMBER(INDEX('Term investments'!$G:$G,ROW())),1,0)</f>
        <v/>
      </c>
      <c r="J1556">
        <f>TRIM(SUBSTITUTE(INDEX('Call accounts and MMFs'!$A:$A,ROW())&amp;""," "," "))</f>
        <v/>
      </c>
      <c r="K1556">
        <f>TRIM(SUBSTITUTE(INDEX('Call accounts and MMFs'!$B:$B,ROW())&amp;""," "," "))</f>
        <v/>
      </c>
      <c r="L1556">
        <f>TRIM(SUBSTITUTE(INDEX('Call accounts and MMFs'!$C:$C,ROW())&amp;""," "," "))</f>
        <v/>
      </c>
      <c r="M1556">
        <f>IFERROR(--INDEX('Call accounts and MMFs'!$D:$D,ROW()),0)</f>
        <v/>
      </c>
      <c r="N1556">
        <f>IFERROR(IF(--INDEX('Call accounts and MMFs'!$E:$E,ROW())&gt;=1,--INDEX('Call accounts and MMFs'!$E:$E,ROW())/100,--INDEX('Call accounts and MMFs'!$E:$E,ROW())),0)</f>
        <v/>
      </c>
      <c r="O1556">
        <f>IFERROR(--INDEX('Call accounts and MMFs'!$F:$F,ROW()),0)</f>
        <v/>
      </c>
      <c r="P1556">
        <f>IF(ISNUMBER(INDEX('Call accounts and MMFs'!$E:$E,ROW())),1,0)</f>
        <v/>
      </c>
      <c r="Q1556">
        <f>TRIM(SUBSTITUTE(INDEX('Pooled funds'!$B:$B,ROW())&amp;""," "," "))</f>
        <v/>
      </c>
      <c r="R1556">
        <f>IFERROR(--INDEX('Pooled funds'!$C:$C,ROW()),0)</f>
        <v/>
      </c>
      <c r="S1556">
        <f>IFERROR(--INDEX('Pooled funds'!$D:$D,ROW()),0)</f>
        <v/>
      </c>
      <c r="T1556">
        <f>IFERROR(IF(--INDEX('Pooled funds'!$E:$E,ROW())&gt;=1,--INDEX('Pooled funds'!$E:$E,ROW())/100,--INDEX('Pooled funds'!$E:$E,ROW())),0)</f>
        <v/>
      </c>
      <c r="U1556">
        <f>IF(ISNUMBER(INDEX('Pooled funds'!$E:$E,ROW())),1,0)</f>
        <v/>
      </c>
    </row>
    <row r="1557">
      <c r="A1557">
        <f>TRIM(SUBSTITUTE(INDEX('Term investments'!$A:$A,ROW())&amp;""," "," "))</f>
        <v/>
      </c>
      <c r="B1557">
        <f>TRIM(SUBSTITUTE(INDEX('Term investments'!$B:$B,ROW())&amp;""," "," "))</f>
        <v/>
      </c>
      <c r="C1557">
        <f>TRIM(SUBSTITUTE(INDEX('Term investments'!$C:$C,ROW())&amp;""," "," "))</f>
        <v/>
      </c>
      <c r="D1557">
        <f>IFERROR(--INDEX('Term investments'!$D:$D,ROW()),0)</f>
        <v/>
      </c>
      <c r="E1557">
        <f>IFERROR(--INDEX('Term investments'!$E:$E,ROW()),0)</f>
        <v/>
      </c>
      <c r="F1557">
        <f>IFERROR(--INDEX('Term investments'!$F:$F,ROW()),0)</f>
        <v/>
      </c>
      <c r="G1557">
        <f>IFERROR(IF(--INDEX('Term investments'!$G:$G,ROW())&gt;=1,--INDEX('Term investments'!$G:$G,ROW())/100,--INDEX('Term investments'!$G:$G,ROW())),0)</f>
        <v/>
      </c>
      <c r="H1557">
        <f>IFERROR(--INDEX('Term investments'!$H:$H,ROW()),0)</f>
        <v/>
      </c>
      <c r="I1557">
        <f>IF(ISNUMBER(INDEX('Term investments'!$G:$G,ROW())),1,0)</f>
        <v/>
      </c>
      <c r="J1557">
        <f>TRIM(SUBSTITUTE(INDEX('Call accounts and MMFs'!$A:$A,ROW())&amp;""," "," "))</f>
        <v/>
      </c>
      <c r="K1557">
        <f>TRIM(SUBSTITUTE(INDEX('Call accounts and MMFs'!$B:$B,ROW())&amp;""," "," "))</f>
        <v/>
      </c>
      <c r="L1557">
        <f>TRIM(SUBSTITUTE(INDEX('Call accounts and MMFs'!$C:$C,ROW())&amp;""," "," "))</f>
        <v/>
      </c>
      <c r="M1557">
        <f>IFERROR(--INDEX('Call accounts and MMFs'!$D:$D,ROW()),0)</f>
        <v/>
      </c>
      <c r="N1557">
        <f>IFERROR(IF(--INDEX('Call accounts and MMFs'!$E:$E,ROW())&gt;=1,--INDEX('Call accounts and MMFs'!$E:$E,ROW())/100,--INDEX('Call accounts and MMFs'!$E:$E,ROW())),0)</f>
        <v/>
      </c>
      <c r="O1557">
        <f>IFERROR(--INDEX('Call accounts and MMFs'!$F:$F,ROW()),0)</f>
        <v/>
      </c>
      <c r="P1557">
        <f>IF(ISNUMBER(INDEX('Call accounts and MMFs'!$E:$E,ROW())),1,0)</f>
        <v/>
      </c>
      <c r="Q1557">
        <f>TRIM(SUBSTITUTE(INDEX('Pooled funds'!$B:$B,ROW())&amp;""," "," "))</f>
        <v/>
      </c>
      <c r="R1557">
        <f>IFERROR(--INDEX('Pooled funds'!$C:$C,ROW()),0)</f>
        <v/>
      </c>
      <c r="S1557">
        <f>IFERROR(--INDEX('Pooled funds'!$D:$D,ROW()),0)</f>
        <v/>
      </c>
      <c r="T1557">
        <f>IFERROR(IF(--INDEX('Pooled funds'!$E:$E,ROW())&gt;=1,--INDEX('Pooled funds'!$E:$E,ROW())/100,--INDEX('Pooled funds'!$E:$E,ROW())),0)</f>
        <v/>
      </c>
      <c r="U1557">
        <f>IF(ISNUMBER(INDEX('Pooled funds'!$E:$E,ROW())),1,0)</f>
        <v/>
      </c>
    </row>
    <row r="1558">
      <c r="A1558">
        <f>TRIM(SUBSTITUTE(INDEX('Term investments'!$A:$A,ROW())&amp;""," "," "))</f>
        <v/>
      </c>
      <c r="B1558">
        <f>TRIM(SUBSTITUTE(INDEX('Term investments'!$B:$B,ROW())&amp;""," "," "))</f>
        <v/>
      </c>
      <c r="C1558">
        <f>TRIM(SUBSTITUTE(INDEX('Term investments'!$C:$C,ROW())&amp;""," "," "))</f>
        <v/>
      </c>
      <c r="D1558">
        <f>IFERROR(--INDEX('Term investments'!$D:$D,ROW()),0)</f>
        <v/>
      </c>
      <c r="E1558">
        <f>IFERROR(--INDEX('Term investments'!$E:$E,ROW()),0)</f>
        <v/>
      </c>
      <c r="F1558">
        <f>IFERROR(--INDEX('Term investments'!$F:$F,ROW()),0)</f>
        <v/>
      </c>
      <c r="G1558">
        <f>IFERROR(IF(--INDEX('Term investments'!$G:$G,ROW())&gt;=1,--INDEX('Term investments'!$G:$G,ROW())/100,--INDEX('Term investments'!$G:$G,ROW())),0)</f>
        <v/>
      </c>
      <c r="H1558">
        <f>IFERROR(--INDEX('Term investments'!$H:$H,ROW()),0)</f>
        <v/>
      </c>
      <c r="I1558">
        <f>IF(ISNUMBER(INDEX('Term investments'!$G:$G,ROW())),1,0)</f>
        <v/>
      </c>
      <c r="J1558">
        <f>TRIM(SUBSTITUTE(INDEX('Call accounts and MMFs'!$A:$A,ROW())&amp;""," "," "))</f>
        <v/>
      </c>
      <c r="K1558">
        <f>TRIM(SUBSTITUTE(INDEX('Call accounts and MMFs'!$B:$B,ROW())&amp;""," "," "))</f>
        <v/>
      </c>
      <c r="L1558">
        <f>TRIM(SUBSTITUTE(INDEX('Call accounts and MMFs'!$C:$C,ROW())&amp;""," "," "))</f>
        <v/>
      </c>
      <c r="M1558">
        <f>IFERROR(--INDEX('Call accounts and MMFs'!$D:$D,ROW()),0)</f>
        <v/>
      </c>
      <c r="N1558">
        <f>IFERROR(IF(--INDEX('Call accounts and MMFs'!$E:$E,ROW())&gt;=1,--INDEX('Call accounts and MMFs'!$E:$E,ROW())/100,--INDEX('Call accounts and MMFs'!$E:$E,ROW())),0)</f>
        <v/>
      </c>
      <c r="O1558">
        <f>IFERROR(--INDEX('Call accounts and MMFs'!$F:$F,ROW()),0)</f>
        <v/>
      </c>
      <c r="P1558">
        <f>IF(ISNUMBER(INDEX('Call accounts and MMFs'!$E:$E,ROW())),1,0)</f>
        <v/>
      </c>
      <c r="Q1558">
        <f>TRIM(SUBSTITUTE(INDEX('Pooled funds'!$B:$B,ROW())&amp;""," "," "))</f>
        <v/>
      </c>
      <c r="R1558">
        <f>IFERROR(--INDEX('Pooled funds'!$C:$C,ROW()),0)</f>
        <v/>
      </c>
      <c r="S1558">
        <f>IFERROR(--INDEX('Pooled funds'!$D:$D,ROW()),0)</f>
        <v/>
      </c>
      <c r="T1558">
        <f>IFERROR(IF(--INDEX('Pooled funds'!$E:$E,ROW())&gt;=1,--INDEX('Pooled funds'!$E:$E,ROW())/100,--INDEX('Pooled funds'!$E:$E,ROW())),0)</f>
        <v/>
      </c>
      <c r="U1558">
        <f>IF(ISNUMBER(INDEX('Pooled funds'!$E:$E,ROW())),1,0)</f>
        <v/>
      </c>
    </row>
    <row r="1559">
      <c r="A1559">
        <f>TRIM(SUBSTITUTE(INDEX('Term investments'!$A:$A,ROW())&amp;""," "," "))</f>
        <v/>
      </c>
      <c r="B1559">
        <f>TRIM(SUBSTITUTE(INDEX('Term investments'!$B:$B,ROW())&amp;""," "," "))</f>
        <v/>
      </c>
      <c r="C1559">
        <f>TRIM(SUBSTITUTE(INDEX('Term investments'!$C:$C,ROW())&amp;""," "," "))</f>
        <v/>
      </c>
      <c r="D1559">
        <f>IFERROR(--INDEX('Term investments'!$D:$D,ROW()),0)</f>
        <v/>
      </c>
      <c r="E1559">
        <f>IFERROR(--INDEX('Term investments'!$E:$E,ROW()),0)</f>
        <v/>
      </c>
      <c r="F1559">
        <f>IFERROR(--INDEX('Term investments'!$F:$F,ROW()),0)</f>
        <v/>
      </c>
      <c r="G1559">
        <f>IFERROR(IF(--INDEX('Term investments'!$G:$G,ROW())&gt;=1,--INDEX('Term investments'!$G:$G,ROW())/100,--INDEX('Term investments'!$G:$G,ROW())),0)</f>
        <v/>
      </c>
      <c r="H1559">
        <f>IFERROR(--INDEX('Term investments'!$H:$H,ROW()),0)</f>
        <v/>
      </c>
      <c r="I1559">
        <f>IF(ISNUMBER(INDEX('Term investments'!$G:$G,ROW())),1,0)</f>
        <v/>
      </c>
      <c r="J1559">
        <f>TRIM(SUBSTITUTE(INDEX('Call accounts and MMFs'!$A:$A,ROW())&amp;""," "," "))</f>
        <v/>
      </c>
      <c r="K1559">
        <f>TRIM(SUBSTITUTE(INDEX('Call accounts and MMFs'!$B:$B,ROW())&amp;""," "," "))</f>
        <v/>
      </c>
      <c r="L1559">
        <f>TRIM(SUBSTITUTE(INDEX('Call accounts and MMFs'!$C:$C,ROW())&amp;""," "," "))</f>
        <v/>
      </c>
      <c r="M1559">
        <f>IFERROR(--INDEX('Call accounts and MMFs'!$D:$D,ROW()),0)</f>
        <v/>
      </c>
      <c r="N1559">
        <f>IFERROR(IF(--INDEX('Call accounts and MMFs'!$E:$E,ROW())&gt;=1,--INDEX('Call accounts and MMFs'!$E:$E,ROW())/100,--INDEX('Call accounts and MMFs'!$E:$E,ROW())),0)</f>
        <v/>
      </c>
      <c r="O1559">
        <f>IFERROR(--INDEX('Call accounts and MMFs'!$F:$F,ROW()),0)</f>
        <v/>
      </c>
      <c r="P1559">
        <f>IF(ISNUMBER(INDEX('Call accounts and MMFs'!$E:$E,ROW())),1,0)</f>
        <v/>
      </c>
      <c r="Q1559">
        <f>TRIM(SUBSTITUTE(INDEX('Pooled funds'!$B:$B,ROW())&amp;""," "," "))</f>
        <v/>
      </c>
      <c r="R1559">
        <f>IFERROR(--INDEX('Pooled funds'!$C:$C,ROW()),0)</f>
        <v/>
      </c>
      <c r="S1559">
        <f>IFERROR(--INDEX('Pooled funds'!$D:$D,ROW()),0)</f>
        <v/>
      </c>
      <c r="T1559">
        <f>IFERROR(IF(--INDEX('Pooled funds'!$E:$E,ROW())&gt;=1,--INDEX('Pooled funds'!$E:$E,ROW())/100,--INDEX('Pooled funds'!$E:$E,ROW())),0)</f>
        <v/>
      </c>
      <c r="U1559">
        <f>IF(ISNUMBER(INDEX('Pooled funds'!$E:$E,ROW())),1,0)</f>
        <v/>
      </c>
    </row>
    <row r="1560">
      <c r="A1560">
        <f>TRIM(SUBSTITUTE(INDEX('Term investments'!$A:$A,ROW())&amp;""," "," "))</f>
        <v/>
      </c>
      <c r="B1560">
        <f>TRIM(SUBSTITUTE(INDEX('Term investments'!$B:$B,ROW())&amp;""," "," "))</f>
        <v/>
      </c>
      <c r="C1560">
        <f>TRIM(SUBSTITUTE(INDEX('Term investments'!$C:$C,ROW())&amp;""," "," "))</f>
        <v/>
      </c>
      <c r="D1560">
        <f>IFERROR(--INDEX('Term investments'!$D:$D,ROW()),0)</f>
        <v/>
      </c>
      <c r="E1560">
        <f>IFERROR(--INDEX('Term investments'!$E:$E,ROW()),0)</f>
        <v/>
      </c>
      <c r="F1560">
        <f>IFERROR(--INDEX('Term investments'!$F:$F,ROW()),0)</f>
        <v/>
      </c>
      <c r="G1560">
        <f>IFERROR(IF(--INDEX('Term investments'!$G:$G,ROW())&gt;=1,--INDEX('Term investments'!$G:$G,ROW())/100,--INDEX('Term investments'!$G:$G,ROW())),0)</f>
        <v/>
      </c>
      <c r="H1560">
        <f>IFERROR(--INDEX('Term investments'!$H:$H,ROW()),0)</f>
        <v/>
      </c>
      <c r="I1560">
        <f>IF(ISNUMBER(INDEX('Term investments'!$G:$G,ROW())),1,0)</f>
        <v/>
      </c>
      <c r="J1560">
        <f>TRIM(SUBSTITUTE(INDEX('Call accounts and MMFs'!$A:$A,ROW())&amp;""," "," "))</f>
        <v/>
      </c>
      <c r="K1560">
        <f>TRIM(SUBSTITUTE(INDEX('Call accounts and MMFs'!$B:$B,ROW())&amp;""," "," "))</f>
        <v/>
      </c>
      <c r="L1560">
        <f>TRIM(SUBSTITUTE(INDEX('Call accounts and MMFs'!$C:$C,ROW())&amp;""," "," "))</f>
        <v/>
      </c>
      <c r="M1560">
        <f>IFERROR(--INDEX('Call accounts and MMFs'!$D:$D,ROW()),0)</f>
        <v/>
      </c>
      <c r="N1560">
        <f>IFERROR(IF(--INDEX('Call accounts and MMFs'!$E:$E,ROW())&gt;=1,--INDEX('Call accounts and MMFs'!$E:$E,ROW())/100,--INDEX('Call accounts and MMFs'!$E:$E,ROW())),0)</f>
        <v/>
      </c>
      <c r="O1560">
        <f>IFERROR(--INDEX('Call accounts and MMFs'!$F:$F,ROW()),0)</f>
        <v/>
      </c>
      <c r="P1560">
        <f>IF(ISNUMBER(INDEX('Call accounts and MMFs'!$E:$E,ROW())),1,0)</f>
        <v/>
      </c>
      <c r="Q1560">
        <f>TRIM(SUBSTITUTE(INDEX('Pooled funds'!$B:$B,ROW())&amp;""," "," "))</f>
        <v/>
      </c>
      <c r="R1560">
        <f>IFERROR(--INDEX('Pooled funds'!$C:$C,ROW()),0)</f>
        <v/>
      </c>
      <c r="S1560">
        <f>IFERROR(--INDEX('Pooled funds'!$D:$D,ROW()),0)</f>
        <v/>
      </c>
      <c r="T1560">
        <f>IFERROR(IF(--INDEX('Pooled funds'!$E:$E,ROW())&gt;=1,--INDEX('Pooled funds'!$E:$E,ROW())/100,--INDEX('Pooled funds'!$E:$E,ROW())),0)</f>
        <v/>
      </c>
      <c r="U1560">
        <f>IF(ISNUMBER(INDEX('Pooled funds'!$E:$E,ROW())),1,0)</f>
        <v/>
      </c>
    </row>
    <row r="1561">
      <c r="A1561">
        <f>TRIM(SUBSTITUTE(INDEX('Term investments'!$A:$A,ROW())&amp;""," "," "))</f>
        <v/>
      </c>
      <c r="B1561">
        <f>TRIM(SUBSTITUTE(INDEX('Term investments'!$B:$B,ROW())&amp;""," "," "))</f>
        <v/>
      </c>
      <c r="C1561">
        <f>TRIM(SUBSTITUTE(INDEX('Term investments'!$C:$C,ROW())&amp;""," "," "))</f>
        <v/>
      </c>
      <c r="D1561">
        <f>IFERROR(--INDEX('Term investments'!$D:$D,ROW()),0)</f>
        <v/>
      </c>
      <c r="E1561">
        <f>IFERROR(--INDEX('Term investments'!$E:$E,ROW()),0)</f>
        <v/>
      </c>
      <c r="F1561">
        <f>IFERROR(--INDEX('Term investments'!$F:$F,ROW()),0)</f>
        <v/>
      </c>
      <c r="G1561">
        <f>IFERROR(IF(--INDEX('Term investments'!$G:$G,ROW())&gt;=1,--INDEX('Term investments'!$G:$G,ROW())/100,--INDEX('Term investments'!$G:$G,ROW())),0)</f>
        <v/>
      </c>
      <c r="H1561">
        <f>IFERROR(--INDEX('Term investments'!$H:$H,ROW()),0)</f>
        <v/>
      </c>
      <c r="I1561">
        <f>IF(ISNUMBER(INDEX('Term investments'!$G:$G,ROW())),1,0)</f>
        <v/>
      </c>
      <c r="J1561">
        <f>TRIM(SUBSTITUTE(INDEX('Call accounts and MMFs'!$A:$A,ROW())&amp;""," "," "))</f>
        <v/>
      </c>
      <c r="K1561">
        <f>TRIM(SUBSTITUTE(INDEX('Call accounts and MMFs'!$B:$B,ROW())&amp;""," "," "))</f>
        <v/>
      </c>
      <c r="L1561">
        <f>TRIM(SUBSTITUTE(INDEX('Call accounts and MMFs'!$C:$C,ROW())&amp;""," "," "))</f>
        <v/>
      </c>
      <c r="M1561">
        <f>IFERROR(--INDEX('Call accounts and MMFs'!$D:$D,ROW()),0)</f>
        <v/>
      </c>
      <c r="N1561">
        <f>IFERROR(IF(--INDEX('Call accounts and MMFs'!$E:$E,ROW())&gt;=1,--INDEX('Call accounts and MMFs'!$E:$E,ROW())/100,--INDEX('Call accounts and MMFs'!$E:$E,ROW())),0)</f>
        <v/>
      </c>
      <c r="O1561">
        <f>IFERROR(--INDEX('Call accounts and MMFs'!$F:$F,ROW()),0)</f>
        <v/>
      </c>
      <c r="P1561">
        <f>IF(ISNUMBER(INDEX('Call accounts and MMFs'!$E:$E,ROW())),1,0)</f>
        <v/>
      </c>
      <c r="Q1561">
        <f>TRIM(SUBSTITUTE(INDEX('Pooled funds'!$B:$B,ROW())&amp;""," "," "))</f>
        <v/>
      </c>
      <c r="R1561">
        <f>IFERROR(--INDEX('Pooled funds'!$C:$C,ROW()),0)</f>
        <v/>
      </c>
      <c r="S1561">
        <f>IFERROR(--INDEX('Pooled funds'!$D:$D,ROW()),0)</f>
        <v/>
      </c>
      <c r="T1561">
        <f>IFERROR(IF(--INDEX('Pooled funds'!$E:$E,ROW())&gt;=1,--INDEX('Pooled funds'!$E:$E,ROW())/100,--INDEX('Pooled funds'!$E:$E,ROW())),0)</f>
        <v/>
      </c>
      <c r="U1561">
        <f>IF(ISNUMBER(INDEX('Pooled funds'!$E:$E,ROW())),1,0)</f>
        <v/>
      </c>
    </row>
    <row r="1562">
      <c r="A1562">
        <f>TRIM(SUBSTITUTE(INDEX('Term investments'!$A:$A,ROW())&amp;""," "," "))</f>
        <v/>
      </c>
      <c r="B1562">
        <f>TRIM(SUBSTITUTE(INDEX('Term investments'!$B:$B,ROW())&amp;""," "," "))</f>
        <v/>
      </c>
      <c r="C1562">
        <f>TRIM(SUBSTITUTE(INDEX('Term investments'!$C:$C,ROW())&amp;""," "," "))</f>
        <v/>
      </c>
      <c r="D1562">
        <f>IFERROR(--INDEX('Term investments'!$D:$D,ROW()),0)</f>
        <v/>
      </c>
      <c r="E1562">
        <f>IFERROR(--INDEX('Term investments'!$E:$E,ROW()),0)</f>
        <v/>
      </c>
      <c r="F1562">
        <f>IFERROR(--INDEX('Term investments'!$F:$F,ROW()),0)</f>
        <v/>
      </c>
      <c r="G1562">
        <f>IFERROR(IF(--INDEX('Term investments'!$G:$G,ROW())&gt;=1,--INDEX('Term investments'!$G:$G,ROW())/100,--INDEX('Term investments'!$G:$G,ROW())),0)</f>
        <v/>
      </c>
      <c r="H1562">
        <f>IFERROR(--INDEX('Term investments'!$H:$H,ROW()),0)</f>
        <v/>
      </c>
      <c r="I1562">
        <f>IF(ISNUMBER(INDEX('Term investments'!$G:$G,ROW())),1,0)</f>
        <v/>
      </c>
      <c r="J1562">
        <f>TRIM(SUBSTITUTE(INDEX('Call accounts and MMFs'!$A:$A,ROW())&amp;""," "," "))</f>
        <v/>
      </c>
      <c r="K1562">
        <f>TRIM(SUBSTITUTE(INDEX('Call accounts and MMFs'!$B:$B,ROW())&amp;""," "," "))</f>
        <v/>
      </c>
      <c r="L1562">
        <f>TRIM(SUBSTITUTE(INDEX('Call accounts and MMFs'!$C:$C,ROW())&amp;""," "," "))</f>
        <v/>
      </c>
      <c r="M1562">
        <f>IFERROR(--INDEX('Call accounts and MMFs'!$D:$D,ROW()),0)</f>
        <v/>
      </c>
      <c r="N1562">
        <f>IFERROR(IF(--INDEX('Call accounts and MMFs'!$E:$E,ROW())&gt;=1,--INDEX('Call accounts and MMFs'!$E:$E,ROW())/100,--INDEX('Call accounts and MMFs'!$E:$E,ROW())),0)</f>
        <v/>
      </c>
      <c r="O1562">
        <f>IFERROR(--INDEX('Call accounts and MMFs'!$F:$F,ROW()),0)</f>
        <v/>
      </c>
      <c r="P1562">
        <f>IF(ISNUMBER(INDEX('Call accounts and MMFs'!$E:$E,ROW())),1,0)</f>
        <v/>
      </c>
      <c r="Q1562">
        <f>TRIM(SUBSTITUTE(INDEX('Pooled funds'!$B:$B,ROW())&amp;""," "," "))</f>
        <v/>
      </c>
      <c r="R1562">
        <f>IFERROR(--INDEX('Pooled funds'!$C:$C,ROW()),0)</f>
        <v/>
      </c>
      <c r="S1562">
        <f>IFERROR(--INDEX('Pooled funds'!$D:$D,ROW()),0)</f>
        <v/>
      </c>
      <c r="T1562">
        <f>IFERROR(IF(--INDEX('Pooled funds'!$E:$E,ROW())&gt;=1,--INDEX('Pooled funds'!$E:$E,ROW())/100,--INDEX('Pooled funds'!$E:$E,ROW())),0)</f>
        <v/>
      </c>
      <c r="U1562">
        <f>IF(ISNUMBER(INDEX('Pooled funds'!$E:$E,ROW())),1,0)</f>
        <v/>
      </c>
    </row>
    <row r="1563">
      <c r="A1563">
        <f>TRIM(SUBSTITUTE(INDEX('Term investments'!$A:$A,ROW())&amp;""," "," "))</f>
        <v/>
      </c>
      <c r="B1563">
        <f>TRIM(SUBSTITUTE(INDEX('Term investments'!$B:$B,ROW())&amp;""," "," "))</f>
        <v/>
      </c>
      <c r="C1563">
        <f>TRIM(SUBSTITUTE(INDEX('Term investments'!$C:$C,ROW())&amp;""," "," "))</f>
        <v/>
      </c>
      <c r="D1563">
        <f>IFERROR(--INDEX('Term investments'!$D:$D,ROW()),0)</f>
        <v/>
      </c>
      <c r="E1563">
        <f>IFERROR(--INDEX('Term investments'!$E:$E,ROW()),0)</f>
        <v/>
      </c>
      <c r="F1563">
        <f>IFERROR(--INDEX('Term investments'!$F:$F,ROW()),0)</f>
        <v/>
      </c>
      <c r="G1563">
        <f>IFERROR(IF(--INDEX('Term investments'!$G:$G,ROW())&gt;=1,--INDEX('Term investments'!$G:$G,ROW())/100,--INDEX('Term investments'!$G:$G,ROW())),0)</f>
        <v/>
      </c>
      <c r="H1563">
        <f>IFERROR(--INDEX('Term investments'!$H:$H,ROW()),0)</f>
        <v/>
      </c>
      <c r="I1563">
        <f>IF(ISNUMBER(INDEX('Term investments'!$G:$G,ROW())),1,0)</f>
        <v/>
      </c>
      <c r="J1563">
        <f>TRIM(SUBSTITUTE(INDEX('Call accounts and MMFs'!$A:$A,ROW())&amp;""," "," "))</f>
        <v/>
      </c>
      <c r="K1563">
        <f>TRIM(SUBSTITUTE(INDEX('Call accounts and MMFs'!$B:$B,ROW())&amp;""," "," "))</f>
        <v/>
      </c>
      <c r="L1563">
        <f>TRIM(SUBSTITUTE(INDEX('Call accounts and MMFs'!$C:$C,ROW())&amp;""," "," "))</f>
        <v/>
      </c>
      <c r="M1563">
        <f>IFERROR(--INDEX('Call accounts and MMFs'!$D:$D,ROW()),0)</f>
        <v/>
      </c>
      <c r="N1563">
        <f>IFERROR(IF(--INDEX('Call accounts and MMFs'!$E:$E,ROW())&gt;=1,--INDEX('Call accounts and MMFs'!$E:$E,ROW())/100,--INDEX('Call accounts and MMFs'!$E:$E,ROW())),0)</f>
        <v/>
      </c>
      <c r="O1563">
        <f>IFERROR(--INDEX('Call accounts and MMFs'!$F:$F,ROW()),0)</f>
        <v/>
      </c>
      <c r="P1563">
        <f>IF(ISNUMBER(INDEX('Call accounts and MMFs'!$E:$E,ROW())),1,0)</f>
        <v/>
      </c>
      <c r="Q1563">
        <f>TRIM(SUBSTITUTE(INDEX('Pooled funds'!$B:$B,ROW())&amp;""," "," "))</f>
        <v/>
      </c>
      <c r="R1563">
        <f>IFERROR(--INDEX('Pooled funds'!$C:$C,ROW()),0)</f>
        <v/>
      </c>
      <c r="S1563">
        <f>IFERROR(--INDEX('Pooled funds'!$D:$D,ROW()),0)</f>
        <v/>
      </c>
      <c r="T1563">
        <f>IFERROR(IF(--INDEX('Pooled funds'!$E:$E,ROW())&gt;=1,--INDEX('Pooled funds'!$E:$E,ROW())/100,--INDEX('Pooled funds'!$E:$E,ROW())),0)</f>
        <v/>
      </c>
      <c r="U1563">
        <f>IF(ISNUMBER(INDEX('Pooled funds'!$E:$E,ROW())),1,0)</f>
        <v/>
      </c>
    </row>
    <row r="1564">
      <c r="A1564">
        <f>TRIM(SUBSTITUTE(INDEX('Term investments'!$A:$A,ROW())&amp;""," "," "))</f>
        <v/>
      </c>
      <c r="B1564">
        <f>TRIM(SUBSTITUTE(INDEX('Term investments'!$B:$B,ROW())&amp;""," "," "))</f>
        <v/>
      </c>
      <c r="C1564">
        <f>TRIM(SUBSTITUTE(INDEX('Term investments'!$C:$C,ROW())&amp;""," "," "))</f>
        <v/>
      </c>
      <c r="D1564">
        <f>IFERROR(--INDEX('Term investments'!$D:$D,ROW()),0)</f>
        <v/>
      </c>
      <c r="E1564">
        <f>IFERROR(--INDEX('Term investments'!$E:$E,ROW()),0)</f>
        <v/>
      </c>
      <c r="F1564">
        <f>IFERROR(--INDEX('Term investments'!$F:$F,ROW()),0)</f>
        <v/>
      </c>
      <c r="G1564">
        <f>IFERROR(IF(--INDEX('Term investments'!$G:$G,ROW())&gt;=1,--INDEX('Term investments'!$G:$G,ROW())/100,--INDEX('Term investments'!$G:$G,ROW())),0)</f>
        <v/>
      </c>
      <c r="H1564">
        <f>IFERROR(--INDEX('Term investments'!$H:$H,ROW()),0)</f>
        <v/>
      </c>
      <c r="I1564">
        <f>IF(ISNUMBER(INDEX('Term investments'!$G:$G,ROW())),1,0)</f>
        <v/>
      </c>
      <c r="J1564">
        <f>TRIM(SUBSTITUTE(INDEX('Call accounts and MMFs'!$A:$A,ROW())&amp;""," "," "))</f>
        <v/>
      </c>
      <c r="K1564">
        <f>TRIM(SUBSTITUTE(INDEX('Call accounts and MMFs'!$B:$B,ROW())&amp;""," "," "))</f>
        <v/>
      </c>
      <c r="L1564">
        <f>TRIM(SUBSTITUTE(INDEX('Call accounts and MMFs'!$C:$C,ROW())&amp;""," "," "))</f>
        <v/>
      </c>
      <c r="M1564">
        <f>IFERROR(--INDEX('Call accounts and MMFs'!$D:$D,ROW()),0)</f>
        <v/>
      </c>
      <c r="N1564">
        <f>IFERROR(IF(--INDEX('Call accounts and MMFs'!$E:$E,ROW())&gt;=1,--INDEX('Call accounts and MMFs'!$E:$E,ROW())/100,--INDEX('Call accounts and MMFs'!$E:$E,ROW())),0)</f>
        <v/>
      </c>
      <c r="O1564">
        <f>IFERROR(--INDEX('Call accounts and MMFs'!$F:$F,ROW()),0)</f>
        <v/>
      </c>
      <c r="P1564">
        <f>IF(ISNUMBER(INDEX('Call accounts and MMFs'!$E:$E,ROW())),1,0)</f>
        <v/>
      </c>
      <c r="Q1564">
        <f>TRIM(SUBSTITUTE(INDEX('Pooled funds'!$B:$B,ROW())&amp;""," "," "))</f>
        <v/>
      </c>
      <c r="R1564">
        <f>IFERROR(--INDEX('Pooled funds'!$C:$C,ROW()),0)</f>
        <v/>
      </c>
      <c r="S1564">
        <f>IFERROR(--INDEX('Pooled funds'!$D:$D,ROW()),0)</f>
        <v/>
      </c>
      <c r="T1564">
        <f>IFERROR(IF(--INDEX('Pooled funds'!$E:$E,ROW())&gt;=1,--INDEX('Pooled funds'!$E:$E,ROW())/100,--INDEX('Pooled funds'!$E:$E,ROW())),0)</f>
        <v/>
      </c>
      <c r="U1564">
        <f>IF(ISNUMBER(INDEX('Pooled funds'!$E:$E,ROW())),1,0)</f>
        <v/>
      </c>
    </row>
    <row r="1565">
      <c r="A1565">
        <f>TRIM(SUBSTITUTE(INDEX('Term investments'!$A:$A,ROW())&amp;""," "," "))</f>
        <v/>
      </c>
      <c r="B1565">
        <f>TRIM(SUBSTITUTE(INDEX('Term investments'!$B:$B,ROW())&amp;""," "," "))</f>
        <v/>
      </c>
      <c r="C1565">
        <f>TRIM(SUBSTITUTE(INDEX('Term investments'!$C:$C,ROW())&amp;""," "," "))</f>
        <v/>
      </c>
      <c r="D1565">
        <f>IFERROR(--INDEX('Term investments'!$D:$D,ROW()),0)</f>
        <v/>
      </c>
      <c r="E1565">
        <f>IFERROR(--INDEX('Term investments'!$E:$E,ROW()),0)</f>
        <v/>
      </c>
      <c r="F1565">
        <f>IFERROR(--INDEX('Term investments'!$F:$F,ROW()),0)</f>
        <v/>
      </c>
      <c r="G1565">
        <f>IFERROR(IF(--INDEX('Term investments'!$G:$G,ROW())&gt;=1,--INDEX('Term investments'!$G:$G,ROW())/100,--INDEX('Term investments'!$G:$G,ROW())),0)</f>
        <v/>
      </c>
      <c r="H1565">
        <f>IFERROR(--INDEX('Term investments'!$H:$H,ROW()),0)</f>
        <v/>
      </c>
      <c r="I1565">
        <f>IF(ISNUMBER(INDEX('Term investments'!$G:$G,ROW())),1,0)</f>
        <v/>
      </c>
      <c r="J1565">
        <f>TRIM(SUBSTITUTE(INDEX('Call accounts and MMFs'!$A:$A,ROW())&amp;""," "," "))</f>
        <v/>
      </c>
      <c r="K1565">
        <f>TRIM(SUBSTITUTE(INDEX('Call accounts and MMFs'!$B:$B,ROW())&amp;""," "," "))</f>
        <v/>
      </c>
      <c r="L1565">
        <f>TRIM(SUBSTITUTE(INDEX('Call accounts and MMFs'!$C:$C,ROW())&amp;""," "," "))</f>
        <v/>
      </c>
      <c r="M1565">
        <f>IFERROR(--INDEX('Call accounts and MMFs'!$D:$D,ROW()),0)</f>
        <v/>
      </c>
      <c r="N1565">
        <f>IFERROR(IF(--INDEX('Call accounts and MMFs'!$E:$E,ROW())&gt;=1,--INDEX('Call accounts and MMFs'!$E:$E,ROW())/100,--INDEX('Call accounts and MMFs'!$E:$E,ROW())),0)</f>
        <v/>
      </c>
      <c r="O1565">
        <f>IFERROR(--INDEX('Call accounts and MMFs'!$F:$F,ROW()),0)</f>
        <v/>
      </c>
      <c r="P1565">
        <f>IF(ISNUMBER(INDEX('Call accounts and MMFs'!$E:$E,ROW())),1,0)</f>
        <v/>
      </c>
      <c r="Q1565">
        <f>TRIM(SUBSTITUTE(INDEX('Pooled funds'!$B:$B,ROW())&amp;""," "," "))</f>
        <v/>
      </c>
      <c r="R1565">
        <f>IFERROR(--INDEX('Pooled funds'!$C:$C,ROW()),0)</f>
        <v/>
      </c>
      <c r="S1565">
        <f>IFERROR(--INDEX('Pooled funds'!$D:$D,ROW()),0)</f>
        <v/>
      </c>
      <c r="T1565">
        <f>IFERROR(IF(--INDEX('Pooled funds'!$E:$E,ROW())&gt;=1,--INDEX('Pooled funds'!$E:$E,ROW())/100,--INDEX('Pooled funds'!$E:$E,ROW())),0)</f>
        <v/>
      </c>
      <c r="U1565">
        <f>IF(ISNUMBER(INDEX('Pooled funds'!$E:$E,ROW())),1,0)</f>
        <v/>
      </c>
    </row>
    <row r="1566">
      <c r="A1566">
        <f>TRIM(SUBSTITUTE(INDEX('Term investments'!$A:$A,ROW())&amp;""," "," "))</f>
        <v/>
      </c>
      <c r="B1566">
        <f>TRIM(SUBSTITUTE(INDEX('Term investments'!$B:$B,ROW())&amp;""," "," "))</f>
        <v/>
      </c>
      <c r="C1566">
        <f>TRIM(SUBSTITUTE(INDEX('Term investments'!$C:$C,ROW())&amp;""," "," "))</f>
        <v/>
      </c>
      <c r="D1566">
        <f>IFERROR(--INDEX('Term investments'!$D:$D,ROW()),0)</f>
        <v/>
      </c>
      <c r="E1566">
        <f>IFERROR(--INDEX('Term investments'!$E:$E,ROW()),0)</f>
        <v/>
      </c>
      <c r="F1566">
        <f>IFERROR(--INDEX('Term investments'!$F:$F,ROW()),0)</f>
        <v/>
      </c>
      <c r="G1566">
        <f>IFERROR(IF(--INDEX('Term investments'!$G:$G,ROW())&gt;=1,--INDEX('Term investments'!$G:$G,ROW())/100,--INDEX('Term investments'!$G:$G,ROW())),0)</f>
        <v/>
      </c>
      <c r="H1566">
        <f>IFERROR(--INDEX('Term investments'!$H:$H,ROW()),0)</f>
        <v/>
      </c>
      <c r="I1566">
        <f>IF(ISNUMBER(INDEX('Term investments'!$G:$G,ROW())),1,0)</f>
        <v/>
      </c>
      <c r="J1566">
        <f>TRIM(SUBSTITUTE(INDEX('Call accounts and MMFs'!$A:$A,ROW())&amp;""," "," "))</f>
        <v/>
      </c>
      <c r="K1566">
        <f>TRIM(SUBSTITUTE(INDEX('Call accounts and MMFs'!$B:$B,ROW())&amp;""," "," "))</f>
        <v/>
      </c>
      <c r="L1566">
        <f>TRIM(SUBSTITUTE(INDEX('Call accounts and MMFs'!$C:$C,ROW())&amp;""," "," "))</f>
        <v/>
      </c>
      <c r="M1566">
        <f>IFERROR(--INDEX('Call accounts and MMFs'!$D:$D,ROW()),0)</f>
        <v/>
      </c>
      <c r="N1566">
        <f>IFERROR(IF(--INDEX('Call accounts and MMFs'!$E:$E,ROW())&gt;=1,--INDEX('Call accounts and MMFs'!$E:$E,ROW())/100,--INDEX('Call accounts and MMFs'!$E:$E,ROW())),0)</f>
        <v/>
      </c>
      <c r="O1566">
        <f>IFERROR(--INDEX('Call accounts and MMFs'!$F:$F,ROW()),0)</f>
        <v/>
      </c>
      <c r="P1566">
        <f>IF(ISNUMBER(INDEX('Call accounts and MMFs'!$E:$E,ROW())),1,0)</f>
        <v/>
      </c>
      <c r="Q1566">
        <f>TRIM(SUBSTITUTE(INDEX('Pooled funds'!$B:$B,ROW())&amp;""," "," "))</f>
        <v/>
      </c>
      <c r="R1566">
        <f>IFERROR(--INDEX('Pooled funds'!$C:$C,ROW()),0)</f>
        <v/>
      </c>
      <c r="S1566">
        <f>IFERROR(--INDEX('Pooled funds'!$D:$D,ROW()),0)</f>
        <v/>
      </c>
      <c r="T1566">
        <f>IFERROR(IF(--INDEX('Pooled funds'!$E:$E,ROW())&gt;=1,--INDEX('Pooled funds'!$E:$E,ROW())/100,--INDEX('Pooled funds'!$E:$E,ROW())),0)</f>
        <v/>
      </c>
      <c r="U1566">
        <f>IF(ISNUMBER(INDEX('Pooled funds'!$E:$E,ROW())),1,0)</f>
        <v/>
      </c>
    </row>
    <row r="1567">
      <c r="A1567">
        <f>TRIM(SUBSTITUTE(INDEX('Term investments'!$A:$A,ROW())&amp;""," "," "))</f>
        <v/>
      </c>
      <c r="B1567">
        <f>TRIM(SUBSTITUTE(INDEX('Term investments'!$B:$B,ROW())&amp;""," "," "))</f>
        <v/>
      </c>
      <c r="C1567">
        <f>TRIM(SUBSTITUTE(INDEX('Term investments'!$C:$C,ROW())&amp;""," "," "))</f>
        <v/>
      </c>
      <c r="D1567">
        <f>IFERROR(--INDEX('Term investments'!$D:$D,ROW()),0)</f>
        <v/>
      </c>
      <c r="E1567">
        <f>IFERROR(--INDEX('Term investments'!$E:$E,ROW()),0)</f>
        <v/>
      </c>
      <c r="F1567">
        <f>IFERROR(--INDEX('Term investments'!$F:$F,ROW()),0)</f>
        <v/>
      </c>
      <c r="G1567">
        <f>IFERROR(IF(--INDEX('Term investments'!$G:$G,ROW())&gt;=1,--INDEX('Term investments'!$G:$G,ROW())/100,--INDEX('Term investments'!$G:$G,ROW())),0)</f>
        <v/>
      </c>
      <c r="H1567">
        <f>IFERROR(--INDEX('Term investments'!$H:$H,ROW()),0)</f>
        <v/>
      </c>
      <c r="I1567">
        <f>IF(ISNUMBER(INDEX('Term investments'!$G:$G,ROW())),1,0)</f>
        <v/>
      </c>
      <c r="J1567">
        <f>TRIM(SUBSTITUTE(INDEX('Call accounts and MMFs'!$A:$A,ROW())&amp;""," "," "))</f>
        <v/>
      </c>
      <c r="K1567">
        <f>TRIM(SUBSTITUTE(INDEX('Call accounts and MMFs'!$B:$B,ROW())&amp;""," "," "))</f>
        <v/>
      </c>
      <c r="L1567">
        <f>TRIM(SUBSTITUTE(INDEX('Call accounts and MMFs'!$C:$C,ROW())&amp;""," "," "))</f>
        <v/>
      </c>
      <c r="M1567">
        <f>IFERROR(--INDEX('Call accounts and MMFs'!$D:$D,ROW()),0)</f>
        <v/>
      </c>
      <c r="N1567">
        <f>IFERROR(IF(--INDEX('Call accounts and MMFs'!$E:$E,ROW())&gt;=1,--INDEX('Call accounts and MMFs'!$E:$E,ROW())/100,--INDEX('Call accounts and MMFs'!$E:$E,ROW())),0)</f>
        <v/>
      </c>
      <c r="O1567">
        <f>IFERROR(--INDEX('Call accounts and MMFs'!$F:$F,ROW()),0)</f>
        <v/>
      </c>
      <c r="P1567">
        <f>IF(ISNUMBER(INDEX('Call accounts and MMFs'!$E:$E,ROW())),1,0)</f>
        <v/>
      </c>
      <c r="Q1567">
        <f>TRIM(SUBSTITUTE(INDEX('Pooled funds'!$B:$B,ROW())&amp;""," "," "))</f>
        <v/>
      </c>
      <c r="R1567">
        <f>IFERROR(--INDEX('Pooled funds'!$C:$C,ROW()),0)</f>
        <v/>
      </c>
      <c r="S1567">
        <f>IFERROR(--INDEX('Pooled funds'!$D:$D,ROW()),0)</f>
        <v/>
      </c>
      <c r="T1567">
        <f>IFERROR(IF(--INDEX('Pooled funds'!$E:$E,ROW())&gt;=1,--INDEX('Pooled funds'!$E:$E,ROW())/100,--INDEX('Pooled funds'!$E:$E,ROW())),0)</f>
        <v/>
      </c>
      <c r="U1567">
        <f>IF(ISNUMBER(INDEX('Pooled funds'!$E:$E,ROW())),1,0)</f>
        <v/>
      </c>
    </row>
    <row r="1568">
      <c r="A1568">
        <f>TRIM(SUBSTITUTE(INDEX('Term investments'!$A:$A,ROW())&amp;""," "," "))</f>
        <v/>
      </c>
      <c r="B1568">
        <f>TRIM(SUBSTITUTE(INDEX('Term investments'!$B:$B,ROW())&amp;""," "," "))</f>
        <v/>
      </c>
      <c r="C1568">
        <f>TRIM(SUBSTITUTE(INDEX('Term investments'!$C:$C,ROW())&amp;""," "," "))</f>
        <v/>
      </c>
      <c r="D1568">
        <f>IFERROR(--INDEX('Term investments'!$D:$D,ROW()),0)</f>
        <v/>
      </c>
      <c r="E1568">
        <f>IFERROR(--INDEX('Term investments'!$E:$E,ROW()),0)</f>
        <v/>
      </c>
      <c r="F1568">
        <f>IFERROR(--INDEX('Term investments'!$F:$F,ROW()),0)</f>
        <v/>
      </c>
      <c r="G1568">
        <f>IFERROR(IF(--INDEX('Term investments'!$G:$G,ROW())&gt;=1,--INDEX('Term investments'!$G:$G,ROW())/100,--INDEX('Term investments'!$G:$G,ROW())),0)</f>
        <v/>
      </c>
      <c r="H1568">
        <f>IFERROR(--INDEX('Term investments'!$H:$H,ROW()),0)</f>
        <v/>
      </c>
      <c r="I1568">
        <f>IF(ISNUMBER(INDEX('Term investments'!$G:$G,ROW())),1,0)</f>
        <v/>
      </c>
      <c r="J1568">
        <f>TRIM(SUBSTITUTE(INDEX('Call accounts and MMFs'!$A:$A,ROW())&amp;""," "," "))</f>
        <v/>
      </c>
      <c r="K1568">
        <f>TRIM(SUBSTITUTE(INDEX('Call accounts and MMFs'!$B:$B,ROW())&amp;""," "," "))</f>
        <v/>
      </c>
      <c r="L1568">
        <f>TRIM(SUBSTITUTE(INDEX('Call accounts and MMFs'!$C:$C,ROW())&amp;""," "," "))</f>
        <v/>
      </c>
      <c r="M1568">
        <f>IFERROR(--INDEX('Call accounts and MMFs'!$D:$D,ROW()),0)</f>
        <v/>
      </c>
      <c r="N1568">
        <f>IFERROR(IF(--INDEX('Call accounts and MMFs'!$E:$E,ROW())&gt;=1,--INDEX('Call accounts and MMFs'!$E:$E,ROW())/100,--INDEX('Call accounts and MMFs'!$E:$E,ROW())),0)</f>
        <v/>
      </c>
      <c r="O1568">
        <f>IFERROR(--INDEX('Call accounts and MMFs'!$F:$F,ROW()),0)</f>
        <v/>
      </c>
      <c r="P1568">
        <f>IF(ISNUMBER(INDEX('Call accounts and MMFs'!$E:$E,ROW())),1,0)</f>
        <v/>
      </c>
      <c r="Q1568">
        <f>TRIM(SUBSTITUTE(INDEX('Pooled funds'!$B:$B,ROW())&amp;""," "," "))</f>
        <v/>
      </c>
      <c r="R1568">
        <f>IFERROR(--INDEX('Pooled funds'!$C:$C,ROW()),0)</f>
        <v/>
      </c>
      <c r="S1568">
        <f>IFERROR(--INDEX('Pooled funds'!$D:$D,ROW()),0)</f>
        <v/>
      </c>
      <c r="T1568">
        <f>IFERROR(IF(--INDEX('Pooled funds'!$E:$E,ROW())&gt;=1,--INDEX('Pooled funds'!$E:$E,ROW())/100,--INDEX('Pooled funds'!$E:$E,ROW())),0)</f>
        <v/>
      </c>
      <c r="U1568">
        <f>IF(ISNUMBER(INDEX('Pooled funds'!$E:$E,ROW())),1,0)</f>
        <v/>
      </c>
    </row>
    <row r="1569">
      <c r="A1569">
        <f>TRIM(SUBSTITUTE(INDEX('Term investments'!$A:$A,ROW())&amp;""," "," "))</f>
        <v/>
      </c>
      <c r="B1569">
        <f>TRIM(SUBSTITUTE(INDEX('Term investments'!$B:$B,ROW())&amp;""," "," "))</f>
        <v/>
      </c>
      <c r="C1569">
        <f>TRIM(SUBSTITUTE(INDEX('Term investments'!$C:$C,ROW())&amp;""," "," "))</f>
        <v/>
      </c>
      <c r="D1569">
        <f>IFERROR(--INDEX('Term investments'!$D:$D,ROW()),0)</f>
        <v/>
      </c>
      <c r="E1569">
        <f>IFERROR(--INDEX('Term investments'!$E:$E,ROW()),0)</f>
        <v/>
      </c>
      <c r="F1569">
        <f>IFERROR(--INDEX('Term investments'!$F:$F,ROW()),0)</f>
        <v/>
      </c>
      <c r="G1569">
        <f>IFERROR(IF(--INDEX('Term investments'!$G:$G,ROW())&gt;=1,--INDEX('Term investments'!$G:$G,ROW())/100,--INDEX('Term investments'!$G:$G,ROW())),0)</f>
        <v/>
      </c>
      <c r="H1569">
        <f>IFERROR(--INDEX('Term investments'!$H:$H,ROW()),0)</f>
        <v/>
      </c>
      <c r="I1569">
        <f>IF(ISNUMBER(INDEX('Term investments'!$G:$G,ROW())),1,0)</f>
        <v/>
      </c>
      <c r="J1569">
        <f>TRIM(SUBSTITUTE(INDEX('Call accounts and MMFs'!$A:$A,ROW())&amp;""," "," "))</f>
        <v/>
      </c>
      <c r="K1569">
        <f>TRIM(SUBSTITUTE(INDEX('Call accounts and MMFs'!$B:$B,ROW())&amp;""," "," "))</f>
        <v/>
      </c>
      <c r="L1569">
        <f>TRIM(SUBSTITUTE(INDEX('Call accounts and MMFs'!$C:$C,ROW())&amp;""," "," "))</f>
        <v/>
      </c>
      <c r="M1569">
        <f>IFERROR(--INDEX('Call accounts and MMFs'!$D:$D,ROW()),0)</f>
        <v/>
      </c>
      <c r="N1569">
        <f>IFERROR(IF(--INDEX('Call accounts and MMFs'!$E:$E,ROW())&gt;=1,--INDEX('Call accounts and MMFs'!$E:$E,ROW())/100,--INDEX('Call accounts and MMFs'!$E:$E,ROW())),0)</f>
        <v/>
      </c>
      <c r="O1569">
        <f>IFERROR(--INDEX('Call accounts and MMFs'!$F:$F,ROW()),0)</f>
        <v/>
      </c>
      <c r="P1569">
        <f>IF(ISNUMBER(INDEX('Call accounts and MMFs'!$E:$E,ROW())),1,0)</f>
        <v/>
      </c>
      <c r="Q1569">
        <f>TRIM(SUBSTITUTE(INDEX('Pooled funds'!$B:$B,ROW())&amp;""," "," "))</f>
        <v/>
      </c>
      <c r="R1569">
        <f>IFERROR(--INDEX('Pooled funds'!$C:$C,ROW()),0)</f>
        <v/>
      </c>
      <c r="S1569">
        <f>IFERROR(--INDEX('Pooled funds'!$D:$D,ROW()),0)</f>
        <v/>
      </c>
      <c r="T1569">
        <f>IFERROR(IF(--INDEX('Pooled funds'!$E:$E,ROW())&gt;=1,--INDEX('Pooled funds'!$E:$E,ROW())/100,--INDEX('Pooled funds'!$E:$E,ROW())),0)</f>
        <v/>
      </c>
      <c r="U1569">
        <f>IF(ISNUMBER(INDEX('Pooled funds'!$E:$E,ROW())),1,0)</f>
        <v/>
      </c>
    </row>
    <row r="1570">
      <c r="A1570">
        <f>TRIM(SUBSTITUTE(INDEX('Term investments'!$A:$A,ROW())&amp;""," "," "))</f>
        <v/>
      </c>
      <c r="B1570">
        <f>TRIM(SUBSTITUTE(INDEX('Term investments'!$B:$B,ROW())&amp;""," "," "))</f>
        <v/>
      </c>
      <c r="C1570">
        <f>TRIM(SUBSTITUTE(INDEX('Term investments'!$C:$C,ROW())&amp;""," "," "))</f>
        <v/>
      </c>
      <c r="D1570">
        <f>IFERROR(--INDEX('Term investments'!$D:$D,ROW()),0)</f>
        <v/>
      </c>
      <c r="E1570">
        <f>IFERROR(--INDEX('Term investments'!$E:$E,ROW()),0)</f>
        <v/>
      </c>
      <c r="F1570">
        <f>IFERROR(--INDEX('Term investments'!$F:$F,ROW()),0)</f>
        <v/>
      </c>
      <c r="G1570">
        <f>IFERROR(IF(--INDEX('Term investments'!$G:$G,ROW())&gt;=1,--INDEX('Term investments'!$G:$G,ROW())/100,--INDEX('Term investments'!$G:$G,ROW())),0)</f>
        <v/>
      </c>
      <c r="H1570">
        <f>IFERROR(--INDEX('Term investments'!$H:$H,ROW()),0)</f>
        <v/>
      </c>
      <c r="I1570">
        <f>IF(ISNUMBER(INDEX('Term investments'!$G:$G,ROW())),1,0)</f>
        <v/>
      </c>
      <c r="J1570">
        <f>TRIM(SUBSTITUTE(INDEX('Call accounts and MMFs'!$A:$A,ROW())&amp;""," "," "))</f>
        <v/>
      </c>
      <c r="K1570">
        <f>TRIM(SUBSTITUTE(INDEX('Call accounts and MMFs'!$B:$B,ROW())&amp;""," "," "))</f>
        <v/>
      </c>
      <c r="L1570">
        <f>TRIM(SUBSTITUTE(INDEX('Call accounts and MMFs'!$C:$C,ROW())&amp;""," "," "))</f>
        <v/>
      </c>
      <c r="M1570">
        <f>IFERROR(--INDEX('Call accounts and MMFs'!$D:$D,ROW()),0)</f>
        <v/>
      </c>
      <c r="N1570">
        <f>IFERROR(IF(--INDEX('Call accounts and MMFs'!$E:$E,ROW())&gt;=1,--INDEX('Call accounts and MMFs'!$E:$E,ROW())/100,--INDEX('Call accounts and MMFs'!$E:$E,ROW())),0)</f>
        <v/>
      </c>
      <c r="O1570">
        <f>IFERROR(--INDEX('Call accounts and MMFs'!$F:$F,ROW()),0)</f>
        <v/>
      </c>
      <c r="P1570">
        <f>IF(ISNUMBER(INDEX('Call accounts and MMFs'!$E:$E,ROW())),1,0)</f>
        <v/>
      </c>
      <c r="Q1570">
        <f>TRIM(SUBSTITUTE(INDEX('Pooled funds'!$B:$B,ROW())&amp;""," "," "))</f>
        <v/>
      </c>
      <c r="R1570">
        <f>IFERROR(--INDEX('Pooled funds'!$C:$C,ROW()),0)</f>
        <v/>
      </c>
      <c r="S1570">
        <f>IFERROR(--INDEX('Pooled funds'!$D:$D,ROW()),0)</f>
        <v/>
      </c>
      <c r="T1570">
        <f>IFERROR(IF(--INDEX('Pooled funds'!$E:$E,ROW())&gt;=1,--INDEX('Pooled funds'!$E:$E,ROW())/100,--INDEX('Pooled funds'!$E:$E,ROW())),0)</f>
        <v/>
      </c>
      <c r="U1570">
        <f>IF(ISNUMBER(INDEX('Pooled funds'!$E:$E,ROW())),1,0)</f>
        <v/>
      </c>
    </row>
    <row r="1571">
      <c r="A1571">
        <f>TRIM(SUBSTITUTE(INDEX('Term investments'!$A:$A,ROW())&amp;""," "," "))</f>
        <v/>
      </c>
      <c r="B1571">
        <f>TRIM(SUBSTITUTE(INDEX('Term investments'!$B:$B,ROW())&amp;""," "," "))</f>
        <v/>
      </c>
      <c r="C1571">
        <f>TRIM(SUBSTITUTE(INDEX('Term investments'!$C:$C,ROW())&amp;""," "," "))</f>
        <v/>
      </c>
      <c r="D1571">
        <f>IFERROR(--INDEX('Term investments'!$D:$D,ROW()),0)</f>
        <v/>
      </c>
      <c r="E1571">
        <f>IFERROR(--INDEX('Term investments'!$E:$E,ROW()),0)</f>
        <v/>
      </c>
      <c r="F1571">
        <f>IFERROR(--INDEX('Term investments'!$F:$F,ROW()),0)</f>
        <v/>
      </c>
      <c r="G1571">
        <f>IFERROR(IF(--INDEX('Term investments'!$G:$G,ROW())&gt;=1,--INDEX('Term investments'!$G:$G,ROW())/100,--INDEX('Term investments'!$G:$G,ROW())),0)</f>
        <v/>
      </c>
      <c r="H1571">
        <f>IFERROR(--INDEX('Term investments'!$H:$H,ROW()),0)</f>
        <v/>
      </c>
      <c r="I1571">
        <f>IF(ISNUMBER(INDEX('Term investments'!$G:$G,ROW())),1,0)</f>
        <v/>
      </c>
      <c r="J1571">
        <f>TRIM(SUBSTITUTE(INDEX('Call accounts and MMFs'!$A:$A,ROW())&amp;""," "," "))</f>
        <v/>
      </c>
      <c r="K1571">
        <f>TRIM(SUBSTITUTE(INDEX('Call accounts and MMFs'!$B:$B,ROW())&amp;""," "," "))</f>
        <v/>
      </c>
      <c r="L1571">
        <f>TRIM(SUBSTITUTE(INDEX('Call accounts and MMFs'!$C:$C,ROW())&amp;""," "," "))</f>
        <v/>
      </c>
      <c r="M1571">
        <f>IFERROR(--INDEX('Call accounts and MMFs'!$D:$D,ROW()),0)</f>
        <v/>
      </c>
      <c r="N1571">
        <f>IFERROR(IF(--INDEX('Call accounts and MMFs'!$E:$E,ROW())&gt;=1,--INDEX('Call accounts and MMFs'!$E:$E,ROW())/100,--INDEX('Call accounts and MMFs'!$E:$E,ROW())),0)</f>
        <v/>
      </c>
      <c r="O1571">
        <f>IFERROR(--INDEX('Call accounts and MMFs'!$F:$F,ROW()),0)</f>
        <v/>
      </c>
      <c r="P1571">
        <f>IF(ISNUMBER(INDEX('Call accounts and MMFs'!$E:$E,ROW())),1,0)</f>
        <v/>
      </c>
      <c r="Q1571">
        <f>TRIM(SUBSTITUTE(INDEX('Pooled funds'!$B:$B,ROW())&amp;""," "," "))</f>
        <v/>
      </c>
      <c r="R1571">
        <f>IFERROR(--INDEX('Pooled funds'!$C:$C,ROW()),0)</f>
        <v/>
      </c>
      <c r="S1571">
        <f>IFERROR(--INDEX('Pooled funds'!$D:$D,ROW()),0)</f>
        <v/>
      </c>
      <c r="T1571">
        <f>IFERROR(IF(--INDEX('Pooled funds'!$E:$E,ROW())&gt;=1,--INDEX('Pooled funds'!$E:$E,ROW())/100,--INDEX('Pooled funds'!$E:$E,ROW())),0)</f>
        <v/>
      </c>
      <c r="U1571">
        <f>IF(ISNUMBER(INDEX('Pooled funds'!$E:$E,ROW())),1,0)</f>
        <v/>
      </c>
    </row>
    <row r="1572">
      <c r="A1572">
        <f>TRIM(SUBSTITUTE(INDEX('Term investments'!$A:$A,ROW())&amp;""," "," "))</f>
        <v/>
      </c>
      <c r="B1572">
        <f>TRIM(SUBSTITUTE(INDEX('Term investments'!$B:$B,ROW())&amp;""," "," "))</f>
        <v/>
      </c>
      <c r="C1572">
        <f>TRIM(SUBSTITUTE(INDEX('Term investments'!$C:$C,ROW())&amp;""," "," "))</f>
        <v/>
      </c>
      <c r="D1572">
        <f>IFERROR(--INDEX('Term investments'!$D:$D,ROW()),0)</f>
        <v/>
      </c>
      <c r="E1572">
        <f>IFERROR(--INDEX('Term investments'!$E:$E,ROW()),0)</f>
        <v/>
      </c>
      <c r="F1572">
        <f>IFERROR(--INDEX('Term investments'!$F:$F,ROW()),0)</f>
        <v/>
      </c>
      <c r="G1572">
        <f>IFERROR(IF(--INDEX('Term investments'!$G:$G,ROW())&gt;=1,--INDEX('Term investments'!$G:$G,ROW())/100,--INDEX('Term investments'!$G:$G,ROW())),0)</f>
        <v/>
      </c>
      <c r="H1572">
        <f>IFERROR(--INDEX('Term investments'!$H:$H,ROW()),0)</f>
        <v/>
      </c>
      <c r="I1572">
        <f>IF(ISNUMBER(INDEX('Term investments'!$G:$G,ROW())),1,0)</f>
        <v/>
      </c>
      <c r="J1572">
        <f>TRIM(SUBSTITUTE(INDEX('Call accounts and MMFs'!$A:$A,ROW())&amp;""," "," "))</f>
        <v/>
      </c>
      <c r="K1572">
        <f>TRIM(SUBSTITUTE(INDEX('Call accounts and MMFs'!$B:$B,ROW())&amp;""," "," "))</f>
        <v/>
      </c>
      <c r="L1572">
        <f>TRIM(SUBSTITUTE(INDEX('Call accounts and MMFs'!$C:$C,ROW())&amp;""," "," "))</f>
        <v/>
      </c>
      <c r="M1572">
        <f>IFERROR(--INDEX('Call accounts and MMFs'!$D:$D,ROW()),0)</f>
        <v/>
      </c>
      <c r="N1572">
        <f>IFERROR(IF(--INDEX('Call accounts and MMFs'!$E:$E,ROW())&gt;=1,--INDEX('Call accounts and MMFs'!$E:$E,ROW())/100,--INDEX('Call accounts and MMFs'!$E:$E,ROW())),0)</f>
        <v/>
      </c>
      <c r="O1572">
        <f>IFERROR(--INDEX('Call accounts and MMFs'!$F:$F,ROW()),0)</f>
        <v/>
      </c>
      <c r="P1572">
        <f>IF(ISNUMBER(INDEX('Call accounts and MMFs'!$E:$E,ROW())),1,0)</f>
        <v/>
      </c>
      <c r="Q1572">
        <f>TRIM(SUBSTITUTE(INDEX('Pooled funds'!$B:$B,ROW())&amp;""," "," "))</f>
        <v/>
      </c>
      <c r="R1572">
        <f>IFERROR(--INDEX('Pooled funds'!$C:$C,ROW()),0)</f>
        <v/>
      </c>
      <c r="S1572">
        <f>IFERROR(--INDEX('Pooled funds'!$D:$D,ROW()),0)</f>
        <v/>
      </c>
      <c r="T1572">
        <f>IFERROR(IF(--INDEX('Pooled funds'!$E:$E,ROW())&gt;=1,--INDEX('Pooled funds'!$E:$E,ROW())/100,--INDEX('Pooled funds'!$E:$E,ROW())),0)</f>
        <v/>
      </c>
      <c r="U1572">
        <f>IF(ISNUMBER(INDEX('Pooled funds'!$E:$E,ROW())),1,0)</f>
        <v/>
      </c>
    </row>
    <row r="1573">
      <c r="A1573">
        <f>TRIM(SUBSTITUTE(INDEX('Term investments'!$A:$A,ROW())&amp;""," "," "))</f>
        <v/>
      </c>
      <c r="B1573">
        <f>TRIM(SUBSTITUTE(INDEX('Term investments'!$B:$B,ROW())&amp;""," "," "))</f>
        <v/>
      </c>
      <c r="C1573">
        <f>TRIM(SUBSTITUTE(INDEX('Term investments'!$C:$C,ROW())&amp;""," "," "))</f>
        <v/>
      </c>
      <c r="D1573">
        <f>IFERROR(--INDEX('Term investments'!$D:$D,ROW()),0)</f>
        <v/>
      </c>
      <c r="E1573">
        <f>IFERROR(--INDEX('Term investments'!$E:$E,ROW()),0)</f>
        <v/>
      </c>
      <c r="F1573">
        <f>IFERROR(--INDEX('Term investments'!$F:$F,ROW()),0)</f>
        <v/>
      </c>
      <c r="G1573">
        <f>IFERROR(IF(--INDEX('Term investments'!$G:$G,ROW())&gt;=1,--INDEX('Term investments'!$G:$G,ROW())/100,--INDEX('Term investments'!$G:$G,ROW())),0)</f>
        <v/>
      </c>
      <c r="H1573">
        <f>IFERROR(--INDEX('Term investments'!$H:$H,ROW()),0)</f>
        <v/>
      </c>
      <c r="I1573">
        <f>IF(ISNUMBER(INDEX('Term investments'!$G:$G,ROW())),1,0)</f>
        <v/>
      </c>
      <c r="J1573">
        <f>TRIM(SUBSTITUTE(INDEX('Call accounts and MMFs'!$A:$A,ROW())&amp;""," "," "))</f>
        <v/>
      </c>
      <c r="K1573">
        <f>TRIM(SUBSTITUTE(INDEX('Call accounts and MMFs'!$B:$B,ROW())&amp;""," "," "))</f>
        <v/>
      </c>
      <c r="L1573">
        <f>TRIM(SUBSTITUTE(INDEX('Call accounts and MMFs'!$C:$C,ROW())&amp;""," "," "))</f>
        <v/>
      </c>
      <c r="M1573">
        <f>IFERROR(--INDEX('Call accounts and MMFs'!$D:$D,ROW()),0)</f>
        <v/>
      </c>
      <c r="N1573">
        <f>IFERROR(IF(--INDEX('Call accounts and MMFs'!$E:$E,ROW())&gt;=1,--INDEX('Call accounts and MMFs'!$E:$E,ROW())/100,--INDEX('Call accounts and MMFs'!$E:$E,ROW())),0)</f>
        <v/>
      </c>
      <c r="O1573">
        <f>IFERROR(--INDEX('Call accounts and MMFs'!$F:$F,ROW()),0)</f>
        <v/>
      </c>
      <c r="P1573">
        <f>IF(ISNUMBER(INDEX('Call accounts and MMFs'!$E:$E,ROW())),1,0)</f>
        <v/>
      </c>
      <c r="Q1573">
        <f>TRIM(SUBSTITUTE(INDEX('Pooled funds'!$B:$B,ROW())&amp;""," "," "))</f>
        <v/>
      </c>
      <c r="R1573">
        <f>IFERROR(--INDEX('Pooled funds'!$C:$C,ROW()),0)</f>
        <v/>
      </c>
      <c r="S1573">
        <f>IFERROR(--INDEX('Pooled funds'!$D:$D,ROW()),0)</f>
        <v/>
      </c>
      <c r="T1573">
        <f>IFERROR(IF(--INDEX('Pooled funds'!$E:$E,ROW())&gt;=1,--INDEX('Pooled funds'!$E:$E,ROW())/100,--INDEX('Pooled funds'!$E:$E,ROW())),0)</f>
        <v/>
      </c>
      <c r="U1573">
        <f>IF(ISNUMBER(INDEX('Pooled funds'!$E:$E,ROW())),1,0)</f>
        <v/>
      </c>
    </row>
    <row r="1574">
      <c r="A1574">
        <f>TRIM(SUBSTITUTE(INDEX('Term investments'!$A:$A,ROW())&amp;""," "," "))</f>
        <v/>
      </c>
      <c r="B1574">
        <f>TRIM(SUBSTITUTE(INDEX('Term investments'!$B:$B,ROW())&amp;""," "," "))</f>
        <v/>
      </c>
      <c r="C1574">
        <f>TRIM(SUBSTITUTE(INDEX('Term investments'!$C:$C,ROW())&amp;""," "," "))</f>
        <v/>
      </c>
      <c r="D1574">
        <f>IFERROR(--INDEX('Term investments'!$D:$D,ROW()),0)</f>
        <v/>
      </c>
      <c r="E1574">
        <f>IFERROR(--INDEX('Term investments'!$E:$E,ROW()),0)</f>
        <v/>
      </c>
      <c r="F1574">
        <f>IFERROR(--INDEX('Term investments'!$F:$F,ROW()),0)</f>
        <v/>
      </c>
      <c r="G1574">
        <f>IFERROR(IF(--INDEX('Term investments'!$G:$G,ROW())&gt;=1,--INDEX('Term investments'!$G:$G,ROW())/100,--INDEX('Term investments'!$G:$G,ROW())),0)</f>
        <v/>
      </c>
      <c r="H1574">
        <f>IFERROR(--INDEX('Term investments'!$H:$H,ROW()),0)</f>
        <v/>
      </c>
      <c r="I1574">
        <f>IF(ISNUMBER(INDEX('Term investments'!$G:$G,ROW())),1,0)</f>
        <v/>
      </c>
      <c r="J1574">
        <f>TRIM(SUBSTITUTE(INDEX('Call accounts and MMFs'!$A:$A,ROW())&amp;""," "," "))</f>
        <v/>
      </c>
      <c r="K1574">
        <f>TRIM(SUBSTITUTE(INDEX('Call accounts and MMFs'!$B:$B,ROW())&amp;""," "," "))</f>
        <v/>
      </c>
      <c r="L1574">
        <f>TRIM(SUBSTITUTE(INDEX('Call accounts and MMFs'!$C:$C,ROW())&amp;""," "," "))</f>
        <v/>
      </c>
      <c r="M1574">
        <f>IFERROR(--INDEX('Call accounts and MMFs'!$D:$D,ROW()),0)</f>
        <v/>
      </c>
      <c r="N1574">
        <f>IFERROR(IF(--INDEX('Call accounts and MMFs'!$E:$E,ROW())&gt;=1,--INDEX('Call accounts and MMFs'!$E:$E,ROW())/100,--INDEX('Call accounts and MMFs'!$E:$E,ROW())),0)</f>
        <v/>
      </c>
      <c r="O1574">
        <f>IFERROR(--INDEX('Call accounts and MMFs'!$F:$F,ROW()),0)</f>
        <v/>
      </c>
      <c r="P1574">
        <f>IF(ISNUMBER(INDEX('Call accounts and MMFs'!$E:$E,ROW())),1,0)</f>
        <v/>
      </c>
      <c r="Q1574">
        <f>TRIM(SUBSTITUTE(INDEX('Pooled funds'!$B:$B,ROW())&amp;""," "," "))</f>
        <v/>
      </c>
      <c r="R1574">
        <f>IFERROR(--INDEX('Pooled funds'!$C:$C,ROW()),0)</f>
        <v/>
      </c>
      <c r="S1574">
        <f>IFERROR(--INDEX('Pooled funds'!$D:$D,ROW()),0)</f>
        <v/>
      </c>
      <c r="T1574">
        <f>IFERROR(IF(--INDEX('Pooled funds'!$E:$E,ROW())&gt;=1,--INDEX('Pooled funds'!$E:$E,ROW())/100,--INDEX('Pooled funds'!$E:$E,ROW())),0)</f>
        <v/>
      </c>
      <c r="U1574">
        <f>IF(ISNUMBER(INDEX('Pooled funds'!$E:$E,ROW())),1,0)</f>
        <v/>
      </c>
    </row>
    <row r="1575">
      <c r="A1575">
        <f>TRIM(SUBSTITUTE(INDEX('Term investments'!$A:$A,ROW())&amp;""," "," "))</f>
        <v/>
      </c>
      <c r="B1575">
        <f>TRIM(SUBSTITUTE(INDEX('Term investments'!$B:$B,ROW())&amp;""," "," "))</f>
        <v/>
      </c>
      <c r="C1575">
        <f>TRIM(SUBSTITUTE(INDEX('Term investments'!$C:$C,ROW())&amp;""," "," "))</f>
        <v/>
      </c>
      <c r="D1575">
        <f>IFERROR(--INDEX('Term investments'!$D:$D,ROW()),0)</f>
        <v/>
      </c>
      <c r="E1575">
        <f>IFERROR(--INDEX('Term investments'!$E:$E,ROW()),0)</f>
        <v/>
      </c>
      <c r="F1575">
        <f>IFERROR(--INDEX('Term investments'!$F:$F,ROW()),0)</f>
        <v/>
      </c>
      <c r="G1575">
        <f>IFERROR(IF(--INDEX('Term investments'!$G:$G,ROW())&gt;=1,--INDEX('Term investments'!$G:$G,ROW())/100,--INDEX('Term investments'!$G:$G,ROW())),0)</f>
        <v/>
      </c>
      <c r="H1575">
        <f>IFERROR(--INDEX('Term investments'!$H:$H,ROW()),0)</f>
        <v/>
      </c>
      <c r="I1575">
        <f>IF(ISNUMBER(INDEX('Term investments'!$G:$G,ROW())),1,0)</f>
        <v/>
      </c>
      <c r="J1575">
        <f>TRIM(SUBSTITUTE(INDEX('Call accounts and MMFs'!$A:$A,ROW())&amp;""," "," "))</f>
        <v/>
      </c>
      <c r="K1575">
        <f>TRIM(SUBSTITUTE(INDEX('Call accounts and MMFs'!$B:$B,ROW())&amp;""," "," "))</f>
        <v/>
      </c>
      <c r="L1575">
        <f>TRIM(SUBSTITUTE(INDEX('Call accounts and MMFs'!$C:$C,ROW())&amp;""," "," "))</f>
        <v/>
      </c>
      <c r="M1575">
        <f>IFERROR(--INDEX('Call accounts and MMFs'!$D:$D,ROW()),0)</f>
        <v/>
      </c>
      <c r="N1575">
        <f>IFERROR(IF(--INDEX('Call accounts and MMFs'!$E:$E,ROW())&gt;=1,--INDEX('Call accounts and MMFs'!$E:$E,ROW())/100,--INDEX('Call accounts and MMFs'!$E:$E,ROW())),0)</f>
        <v/>
      </c>
      <c r="O1575">
        <f>IFERROR(--INDEX('Call accounts and MMFs'!$F:$F,ROW()),0)</f>
        <v/>
      </c>
      <c r="P1575">
        <f>IF(ISNUMBER(INDEX('Call accounts and MMFs'!$E:$E,ROW())),1,0)</f>
        <v/>
      </c>
      <c r="Q1575">
        <f>TRIM(SUBSTITUTE(INDEX('Pooled funds'!$B:$B,ROW())&amp;""," "," "))</f>
        <v/>
      </c>
      <c r="R1575">
        <f>IFERROR(--INDEX('Pooled funds'!$C:$C,ROW()),0)</f>
        <v/>
      </c>
      <c r="S1575">
        <f>IFERROR(--INDEX('Pooled funds'!$D:$D,ROW()),0)</f>
        <v/>
      </c>
      <c r="T1575">
        <f>IFERROR(IF(--INDEX('Pooled funds'!$E:$E,ROW())&gt;=1,--INDEX('Pooled funds'!$E:$E,ROW())/100,--INDEX('Pooled funds'!$E:$E,ROW())),0)</f>
        <v/>
      </c>
      <c r="U1575">
        <f>IF(ISNUMBER(INDEX('Pooled funds'!$E:$E,ROW())),1,0)</f>
        <v/>
      </c>
    </row>
    <row r="1576">
      <c r="A1576">
        <f>TRIM(SUBSTITUTE(INDEX('Term investments'!$A:$A,ROW())&amp;""," "," "))</f>
        <v/>
      </c>
      <c r="B1576">
        <f>TRIM(SUBSTITUTE(INDEX('Term investments'!$B:$B,ROW())&amp;""," "," "))</f>
        <v/>
      </c>
      <c r="C1576">
        <f>TRIM(SUBSTITUTE(INDEX('Term investments'!$C:$C,ROW())&amp;""," "," "))</f>
        <v/>
      </c>
      <c r="D1576">
        <f>IFERROR(--INDEX('Term investments'!$D:$D,ROW()),0)</f>
        <v/>
      </c>
      <c r="E1576">
        <f>IFERROR(--INDEX('Term investments'!$E:$E,ROW()),0)</f>
        <v/>
      </c>
      <c r="F1576">
        <f>IFERROR(--INDEX('Term investments'!$F:$F,ROW()),0)</f>
        <v/>
      </c>
      <c r="G1576">
        <f>IFERROR(IF(--INDEX('Term investments'!$G:$G,ROW())&gt;=1,--INDEX('Term investments'!$G:$G,ROW())/100,--INDEX('Term investments'!$G:$G,ROW())),0)</f>
        <v/>
      </c>
      <c r="H1576">
        <f>IFERROR(--INDEX('Term investments'!$H:$H,ROW()),0)</f>
        <v/>
      </c>
      <c r="I1576">
        <f>IF(ISNUMBER(INDEX('Term investments'!$G:$G,ROW())),1,0)</f>
        <v/>
      </c>
      <c r="J1576">
        <f>TRIM(SUBSTITUTE(INDEX('Call accounts and MMFs'!$A:$A,ROW())&amp;""," "," "))</f>
        <v/>
      </c>
      <c r="K1576">
        <f>TRIM(SUBSTITUTE(INDEX('Call accounts and MMFs'!$B:$B,ROW())&amp;""," "," "))</f>
        <v/>
      </c>
      <c r="L1576">
        <f>TRIM(SUBSTITUTE(INDEX('Call accounts and MMFs'!$C:$C,ROW())&amp;""," "," "))</f>
        <v/>
      </c>
      <c r="M1576">
        <f>IFERROR(--INDEX('Call accounts and MMFs'!$D:$D,ROW()),0)</f>
        <v/>
      </c>
      <c r="N1576">
        <f>IFERROR(IF(--INDEX('Call accounts and MMFs'!$E:$E,ROW())&gt;=1,--INDEX('Call accounts and MMFs'!$E:$E,ROW())/100,--INDEX('Call accounts and MMFs'!$E:$E,ROW())),0)</f>
        <v/>
      </c>
      <c r="O1576">
        <f>IFERROR(--INDEX('Call accounts and MMFs'!$F:$F,ROW()),0)</f>
        <v/>
      </c>
      <c r="P1576">
        <f>IF(ISNUMBER(INDEX('Call accounts and MMFs'!$E:$E,ROW())),1,0)</f>
        <v/>
      </c>
      <c r="Q1576">
        <f>TRIM(SUBSTITUTE(INDEX('Pooled funds'!$B:$B,ROW())&amp;""," "," "))</f>
        <v/>
      </c>
      <c r="R1576">
        <f>IFERROR(--INDEX('Pooled funds'!$C:$C,ROW()),0)</f>
        <v/>
      </c>
      <c r="S1576">
        <f>IFERROR(--INDEX('Pooled funds'!$D:$D,ROW()),0)</f>
        <v/>
      </c>
      <c r="T1576">
        <f>IFERROR(IF(--INDEX('Pooled funds'!$E:$E,ROW())&gt;=1,--INDEX('Pooled funds'!$E:$E,ROW())/100,--INDEX('Pooled funds'!$E:$E,ROW())),0)</f>
        <v/>
      </c>
      <c r="U1576">
        <f>IF(ISNUMBER(INDEX('Pooled funds'!$E:$E,ROW())),1,0)</f>
        <v/>
      </c>
    </row>
    <row r="1577">
      <c r="A1577">
        <f>TRIM(SUBSTITUTE(INDEX('Term investments'!$A:$A,ROW())&amp;""," "," "))</f>
        <v/>
      </c>
      <c r="B1577">
        <f>TRIM(SUBSTITUTE(INDEX('Term investments'!$B:$B,ROW())&amp;""," "," "))</f>
        <v/>
      </c>
      <c r="C1577">
        <f>TRIM(SUBSTITUTE(INDEX('Term investments'!$C:$C,ROW())&amp;""," "," "))</f>
        <v/>
      </c>
      <c r="D1577">
        <f>IFERROR(--INDEX('Term investments'!$D:$D,ROW()),0)</f>
        <v/>
      </c>
      <c r="E1577">
        <f>IFERROR(--INDEX('Term investments'!$E:$E,ROW()),0)</f>
        <v/>
      </c>
      <c r="F1577">
        <f>IFERROR(--INDEX('Term investments'!$F:$F,ROW()),0)</f>
        <v/>
      </c>
      <c r="G1577">
        <f>IFERROR(IF(--INDEX('Term investments'!$G:$G,ROW())&gt;=1,--INDEX('Term investments'!$G:$G,ROW())/100,--INDEX('Term investments'!$G:$G,ROW())),0)</f>
        <v/>
      </c>
      <c r="H1577">
        <f>IFERROR(--INDEX('Term investments'!$H:$H,ROW()),0)</f>
        <v/>
      </c>
      <c r="I1577">
        <f>IF(ISNUMBER(INDEX('Term investments'!$G:$G,ROW())),1,0)</f>
        <v/>
      </c>
      <c r="J1577">
        <f>TRIM(SUBSTITUTE(INDEX('Call accounts and MMFs'!$A:$A,ROW())&amp;""," "," "))</f>
        <v/>
      </c>
      <c r="K1577">
        <f>TRIM(SUBSTITUTE(INDEX('Call accounts and MMFs'!$B:$B,ROW())&amp;""," "," "))</f>
        <v/>
      </c>
      <c r="L1577">
        <f>TRIM(SUBSTITUTE(INDEX('Call accounts and MMFs'!$C:$C,ROW())&amp;""," "," "))</f>
        <v/>
      </c>
      <c r="M1577">
        <f>IFERROR(--INDEX('Call accounts and MMFs'!$D:$D,ROW()),0)</f>
        <v/>
      </c>
      <c r="N1577">
        <f>IFERROR(IF(--INDEX('Call accounts and MMFs'!$E:$E,ROW())&gt;=1,--INDEX('Call accounts and MMFs'!$E:$E,ROW())/100,--INDEX('Call accounts and MMFs'!$E:$E,ROW())),0)</f>
        <v/>
      </c>
      <c r="O1577">
        <f>IFERROR(--INDEX('Call accounts and MMFs'!$F:$F,ROW()),0)</f>
        <v/>
      </c>
      <c r="P1577">
        <f>IF(ISNUMBER(INDEX('Call accounts and MMFs'!$E:$E,ROW())),1,0)</f>
        <v/>
      </c>
      <c r="Q1577">
        <f>TRIM(SUBSTITUTE(INDEX('Pooled funds'!$B:$B,ROW())&amp;""," "," "))</f>
        <v/>
      </c>
      <c r="R1577">
        <f>IFERROR(--INDEX('Pooled funds'!$C:$C,ROW()),0)</f>
        <v/>
      </c>
      <c r="S1577">
        <f>IFERROR(--INDEX('Pooled funds'!$D:$D,ROW()),0)</f>
        <v/>
      </c>
      <c r="T1577">
        <f>IFERROR(IF(--INDEX('Pooled funds'!$E:$E,ROW())&gt;=1,--INDEX('Pooled funds'!$E:$E,ROW())/100,--INDEX('Pooled funds'!$E:$E,ROW())),0)</f>
        <v/>
      </c>
      <c r="U1577">
        <f>IF(ISNUMBER(INDEX('Pooled funds'!$E:$E,ROW())),1,0)</f>
        <v/>
      </c>
    </row>
    <row r="1578">
      <c r="A1578">
        <f>TRIM(SUBSTITUTE(INDEX('Term investments'!$A:$A,ROW())&amp;""," "," "))</f>
        <v/>
      </c>
      <c r="B1578">
        <f>TRIM(SUBSTITUTE(INDEX('Term investments'!$B:$B,ROW())&amp;""," "," "))</f>
        <v/>
      </c>
      <c r="C1578">
        <f>TRIM(SUBSTITUTE(INDEX('Term investments'!$C:$C,ROW())&amp;""," "," "))</f>
        <v/>
      </c>
      <c r="D1578">
        <f>IFERROR(--INDEX('Term investments'!$D:$D,ROW()),0)</f>
        <v/>
      </c>
      <c r="E1578">
        <f>IFERROR(--INDEX('Term investments'!$E:$E,ROW()),0)</f>
        <v/>
      </c>
      <c r="F1578">
        <f>IFERROR(--INDEX('Term investments'!$F:$F,ROW()),0)</f>
        <v/>
      </c>
      <c r="G1578">
        <f>IFERROR(IF(--INDEX('Term investments'!$G:$G,ROW())&gt;=1,--INDEX('Term investments'!$G:$G,ROW())/100,--INDEX('Term investments'!$G:$G,ROW())),0)</f>
        <v/>
      </c>
      <c r="H1578">
        <f>IFERROR(--INDEX('Term investments'!$H:$H,ROW()),0)</f>
        <v/>
      </c>
      <c r="I1578">
        <f>IF(ISNUMBER(INDEX('Term investments'!$G:$G,ROW())),1,0)</f>
        <v/>
      </c>
      <c r="J1578">
        <f>TRIM(SUBSTITUTE(INDEX('Call accounts and MMFs'!$A:$A,ROW())&amp;""," "," "))</f>
        <v/>
      </c>
      <c r="K1578">
        <f>TRIM(SUBSTITUTE(INDEX('Call accounts and MMFs'!$B:$B,ROW())&amp;""," "," "))</f>
        <v/>
      </c>
      <c r="L1578">
        <f>TRIM(SUBSTITUTE(INDEX('Call accounts and MMFs'!$C:$C,ROW())&amp;""," "," "))</f>
        <v/>
      </c>
      <c r="M1578">
        <f>IFERROR(--INDEX('Call accounts and MMFs'!$D:$D,ROW()),0)</f>
        <v/>
      </c>
      <c r="N1578">
        <f>IFERROR(IF(--INDEX('Call accounts and MMFs'!$E:$E,ROW())&gt;=1,--INDEX('Call accounts and MMFs'!$E:$E,ROW())/100,--INDEX('Call accounts and MMFs'!$E:$E,ROW())),0)</f>
        <v/>
      </c>
      <c r="O1578">
        <f>IFERROR(--INDEX('Call accounts and MMFs'!$F:$F,ROW()),0)</f>
        <v/>
      </c>
      <c r="P1578">
        <f>IF(ISNUMBER(INDEX('Call accounts and MMFs'!$E:$E,ROW())),1,0)</f>
        <v/>
      </c>
      <c r="Q1578">
        <f>TRIM(SUBSTITUTE(INDEX('Pooled funds'!$B:$B,ROW())&amp;""," "," "))</f>
        <v/>
      </c>
      <c r="R1578">
        <f>IFERROR(--INDEX('Pooled funds'!$C:$C,ROW()),0)</f>
        <v/>
      </c>
      <c r="S1578">
        <f>IFERROR(--INDEX('Pooled funds'!$D:$D,ROW()),0)</f>
        <v/>
      </c>
      <c r="T1578">
        <f>IFERROR(IF(--INDEX('Pooled funds'!$E:$E,ROW())&gt;=1,--INDEX('Pooled funds'!$E:$E,ROW())/100,--INDEX('Pooled funds'!$E:$E,ROW())),0)</f>
        <v/>
      </c>
      <c r="U1578">
        <f>IF(ISNUMBER(INDEX('Pooled funds'!$E:$E,ROW())),1,0)</f>
        <v/>
      </c>
    </row>
    <row r="1579">
      <c r="A1579">
        <f>TRIM(SUBSTITUTE(INDEX('Term investments'!$A:$A,ROW())&amp;""," "," "))</f>
        <v/>
      </c>
      <c r="B1579">
        <f>TRIM(SUBSTITUTE(INDEX('Term investments'!$B:$B,ROW())&amp;""," "," "))</f>
        <v/>
      </c>
      <c r="C1579">
        <f>TRIM(SUBSTITUTE(INDEX('Term investments'!$C:$C,ROW())&amp;""," "," "))</f>
        <v/>
      </c>
      <c r="D1579">
        <f>IFERROR(--INDEX('Term investments'!$D:$D,ROW()),0)</f>
        <v/>
      </c>
      <c r="E1579">
        <f>IFERROR(--INDEX('Term investments'!$E:$E,ROW()),0)</f>
        <v/>
      </c>
      <c r="F1579">
        <f>IFERROR(--INDEX('Term investments'!$F:$F,ROW()),0)</f>
        <v/>
      </c>
      <c r="G1579">
        <f>IFERROR(IF(--INDEX('Term investments'!$G:$G,ROW())&gt;=1,--INDEX('Term investments'!$G:$G,ROW())/100,--INDEX('Term investments'!$G:$G,ROW())),0)</f>
        <v/>
      </c>
      <c r="H1579">
        <f>IFERROR(--INDEX('Term investments'!$H:$H,ROW()),0)</f>
        <v/>
      </c>
      <c r="I1579">
        <f>IF(ISNUMBER(INDEX('Term investments'!$G:$G,ROW())),1,0)</f>
        <v/>
      </c>
      <c r="J1579">
        <f>TRIM(SUBSTITUTE(INDEX('Call accounts and MMFs'!$A:$A,ROW())&amp;""," "," "))</f>
        <v/>
      </c>
      <c r="K1579">
        <f>TRIM(SUBSTITUTE(INDEX('Call accounts and MMFs'!$B:$B,ROW())&amp;""," "," "))</f>
        <v/>
      </c>
      <c r="L1579">
        <f>TRIM(SUBSTITUTE(INDEX('Call accounts and MMFs'!$C:$C,ROW())&amp;""," "," "))</f>
        <v/>
      </c>
      <c r="M1579">
        <f>IFERROR(--INDEX('Call accounts and MMFs'!$D:$D,ROW()),0)</f>
        <v/>
      </c>
      <c r="N1579">
        <f>IFERROR(IF(--INDEX('Call accounts and MMFs'!$E:$E,ROW())&gt;=1,--INDEX('Call accounts and MMFs'!$E:$E,ROW())/100,--INDEX('Call accounts and MMFs'!$E:$E,ROW())),0)</f>
        <v/>
      </c>
      <c r="O1579">
        <f>IFERROR(--INDEX('Call accounts and MMFs'!$F:$F,ROW()),0)</f>
        <v/>
      </c>
      <c r="P1579">
        <f>IF(ISNUMBER(INDEX('Call accounts and MMFs'!$E:$E,ROW())),1,0)</f>
        <v/>
      </c>
      <c r="Q1579">
        <f>TRIM(SUBSTITUTE(INDEX('Pooled funds'!$B:$B,ROW())&amp;""," "," "))</f>
        <v/>
      </c>
      <c r="R1579">
        <f>IFERROR(--INDEX('Pooled funds'!$C:$C,ROW()),0)</f>
        <v/>
      </c>
      <c r="S1579">
        <f>IFERROR(--INDEX('Pooled funds'!$D:$D,ROW()),0)</f>
        <v/>
      </c>
      <c r="T1579">
        <f>IFERROR(IF(--INDEX('Pooled funds'!$E:$E,ROW())&gt;=1,--INDEX('Pooled funds'!$E:$E,ROW())/100,--INDEX('Pooled funds'!$E:$E,ROW())),0)</f>
        <v/>
      </c>
      <c r="U1579">
        <f>IF(ISNUMBER(INDEX('Pooled funds'!$E:$E,ROW())),1,0)</f>
        <v/>
      </c>
    </row>
    <row r="1580">
      <c r="A1580">
        <f>TRIM(SUBSTITUTE(INDEX('Term investments'!$A:$A,ROW())&amp;""," "," "))</f>
        <v/>
      </c>
      <c r="B1580">
        <f>TRIM(SUBSTITUTE(INDEX('Term investments'!$B:$B,ROW())&amp;""," "," "))</f>
        <v/>
      </c>
      <c r="C1580">
        <f>TRIM(SUBSTITUTE(INDEX('Term investments'!$C:$C,ROW())&amp;""," "," "))</f>
        <v/>
      </c>
      <c r="D1580">
        <f>IFERROR(--INDEX('Term investments'!$D:$D,ROW()),0)</f>
        <v/>
      </c>
      <c r="E1580">
        <f>IFERROR(--INDEX('Term investments'!$E:$E,ROW()),0)</f>
        <v/>
      </c>
      <c r="F1580">
        <f>IFERROR(--INDEX('Term investments'!$F:$F,ROW()),0)</f>
        <v/>
      </c>
      <c r="G1580">
        <f>IFERROR(IF(--INDEX('Term investments'!$G:$G,ROW())&gt;=1,--INDEX('Term investments'!$G:$G,ROW())/100,--INDEX('Term investments'!$G:$G,ROW())),0)</f>
        <v/>
      </c>
      <c r="H1580">
        <f>IFERROR(--INDEX('Term investments'!$H:$H,ROW()),0)</f>
        <v/>
      </c>
      <c r="I1580">
        <f>IF(ISNUMBER(INDEX('Term investments'!$G:$G,ROW())),1,0)</f>
        <v/>
      </c>
      <c r="J1580">
        <f>TRIM(SUBSTITUTE(INDEX('Call accounts and MMFs'!$A:$A,ROW())&amp;""," "," "))</f>
        <v/>
      </c>
      <c r="K1580">
        <f>TRIM(SUBSTITUTE(INDEX('Call accounts and MMFs'!$B:$B,ROW())&amp;""," "," "))</f>
        <v/>
      </c>
      <c r="L1580">
        <f>TRIM(SUBSTITUTE(INDEX('Call accounts and MMFs'!$C:$C,ROW())&amp;""," "," "))</f>
        <v/>
      </c>
      <c r="M1580">
        <f>IFERROR(--INDEX('Call accounts and MMFs'!$D:$D,ROW()),0)</f>
        <v/>
      </c>
      <c r="N1580">
        <f>IFERROR(IF(--INDEX('Call accounts and MMFs'!$E:$E,ROW())&gt;=1,--INDEX('Call accounts and MMFs'!$E:$E,ROW())/100,--INDEX('Call accounts and MMFs'!$E:$E,ROW())),0)</f>
        <v/>
      </c>
      <c r="O1580">
        <f>IFERROR(--INDEX('Call accounts and MMFs'!$F:$F,ROW()),0)</f>
        <v/>
      </c>
      <c r="P1580">
        <f>IF(ISNUMBER(INDEX('Call accounts and MMFs'!$E:$E,ROW())),1,0)</f>
        <v/>
      </c>
      <c r="Q1580">
        <f>TRIM(SUBSTITUTE(INDEX('Pooled funds'!$B:$B,ROW())&amp;""," "," "))</f>
        <v/>
      </c>
      <c r="R1580">
        <f>IFERROR(--INDEX('Pooled funds'!$C:$C,ROW()),0)</f>
        <v/>
      </c>
      <c r="S1580">
        <f>IFERROR(--INDEX('Pooled funds'!$D:$D,ROW()),0)</f>
        <v/>
      </c>
      <c r="T1580">
        <f>IFERROR(IF(--INDEX('Pooled funds'!$E:$E,ROW())&gt;=1,--INDEX('Pooled funds'!$E:$E,ROW())/100,--INDEX('Pooled funds'!$E:$E,ROW())),0)</f>
        <v/>
      </c>
      <c r="U1580">
        <f>IF(ISNUMBER(INDEX('Pooled funds'!$E:$E,ROW())),1,0)</f>
        <v/>
      </c>
    </row>
    <row r="1581">
      <c r="A1581">
        <f>TRIM(SUBSTITUTE(INDEX('Term investments'!$A:$A,ROW())&amp;""," "," "))</f>
        <v/>
      </c>
      <c r="B1581">
        <f>TRIM(SUBSTITUTE(INDEX('Term investments'!$B:$B,ROW())&amp;""," "," "))</f>
        <v/>
      </c>
      <c r="C1581">
        <f>TRIM(SUBSTITUTE(INDEX('Term investments'!$C:$C,ROW())&amp;""," "," "))</f>
        <v/>
      </c>
      <c r="D1581">
        <f>IFERROR(--INDEX('Term investments'!$D:$D,ROW()),0)</f>
        <v/>
      </c>
      <c r="E1581">
        <f>IFERROR(--INDEX('Term investments'!$E:$E,ROW()),0)</f>
        <v/>
      </c>
      <c r="F1581">
        <f>IFERROR(--INDEX('Term investments'!$F:$F,ROW()),0)</f>
        <v/>
      </c>
      <c r="G1581">
        <f>IFERROR(IF(--INDEX('Term investments'!$G:$G,ROW())&gt;=1,--INDEX('Term investments'!$G:$G,ROW())/100,--INDEX('Term investments'!$G:$G,ROW())),0)</f>
        <v/>
      </c>
      <c r="H1581">
        <f>IFERROR(--INDEX('Term investments'!$H:$H,ROW()),0)</f>
        <v/>
      </c>
      <c r="I1581">
        <f>IF(ISNUMBER(INDEX('Term investments'!$G:$G,ROW())),1,0)</f>
        <v/>
      </c>
      <c r="J1581">
        <f>TRIM(SUBSTITUTE(INDEX('Call accounts and MMFs'!$A:$A,ROW())&amp;""," "," "))</f>
        <v/>
      </c>
      <c r="K1581">
        <f>TRIM(SUBSTITUTE(INDEX('Call accounts and MMFs'!$B:$B,ROW())&amp;""," "," "))</f>
        <v/>
      </c>
      <c r="L1581">
        <f>TRIM(SUBSTITUTE(INDEX('Call accounts and MMFs'!$C:$C,ROW())&amp;""," "," "))</f>
        <v/>
      </c>
      <c r="M1581">
        <f>IFERROR(--INDEX('Call accounts and MMFs'!$D:$D,ROW()),0)</f>
        <v/>
      </c>
      <c r="N1581">
        <f>IFERROR(IF(--INDEX('Call accounts and MMFs'!$E:$E,ROW())&gt;=1,--INDEX('Call accounts and MMFs'!$E:$E,ROW())/100,--INDEX('Call accounts and MMFs'!$E:$E,ROW())),0)</f>
        <v/>
      </c>
      <c r="O1581">
        <f>IFERROR(--INDEX('Call accounts and MMFs'!$F:$F,ROW()),0)</f>
        <v/>
      </c>
      <c r="P1581">
        <f>IF(ISNUMBER(INDEX('Call accounts and MMFs'!$E:$E,ROW())),1,0)</f>
        <v/>
      </c>
      <c r="Q1581">
        <f>TRIM(SUBSTITUTE(INDEX('Pooled funds'!$B:$B,ROW())&amp;""," "," "))</f>
        <v/>
      </c>
      <c r="R1581">
        <f>IFERROR(--INDEX('Pooled funds'!$C:$C,ROW()),0)</f>
        <v/>
      </c>
      <c r="S1581">
        <f>IFERROR(--INDEX('Pooled funds'!$D:$D,ROW()),0)</f>
        <v/>
      </c>
      <c r="T1581">
        <f>IFERROR(IF(--INDEX('Pooled funds'!$E:$E,ROW())&gt;=1,--INDEX('Pooled funds'!$E:$E,ROW())/100,--INDEX('Pooled funds'!$E:$E,ROW())),0)</f>
        <v/>
      </c>
      <c r="U1581">
        <f>IF(ISNUMBER(INDEX('Pooled funds'!$E:$E,ROW())),1,0)</f>
        <v/>
      </c>
    </row>
    <row r="1582">
      <c r="A1582">
        <f>TRIM(SUBSTITUTE(INDEX('Term investments'!$A:$A,ROW())&amp;""," "," "))</f>
        <v/>
      </c>
      <c r="B1582">
        <f>TRIM(SUBSTITUTE(INDEX('Term investments'!$B:$B,ROW())&amp;""," "," "))</f>
        <v/>
      </c>
      <c r="C1582">
        <f>TRIM(SUBSTITUTE(INDEX('Term investments'!$C:$C,ROW())&amp;""," "," "))</f>
        <v/>
      </c>
      <c r="D1582">
        <f>IFERROR(--INDEX('Term investments'!$D:$D,ROW()),0)</f>
        <v/>
      </c>
      <c r="E1582">
        <f>IFERROR(--INDEX('Term investments'!$E:$E,ROW()),0)</f>
        <v/>
      </c>
      <c r="F1582">
        <f>IFERROR(--INDEX('Term investments'!$F:$F,ROW()),0)</f>
        <v/>
      </c>
      <c r="G1582">
        <f>IFERROR(IF(--INDEX('Term investments'!$G:$G,ROW())&gt;=1,--INDEX('Term investments'!$G:$G,ROW())/100,--INDEX('Term investments'!$G:$G,ROW())),0)</f>
        <v/>
      </c>
      <c r="H1582">
        <f>IFERROR(--INDEX('Term investments'!$H:$H,ROW()),0)</f>
        <v/>
      </c>
      <c r="I1582">
        <f>IF(ISNUMBER(INDEX('Term investments'!$G:$G,ROW())),1,0)</f>
        <v/>
      </c>
      <c r="J1582">
        <f>TRIM(SUBSTITUTE(INDEX('Call accounts and MMFs'!$A:$A,ROW())&amp;""," "," "))</f>
        <v/>
      </c>
      <c r="K1582">
        <f>TRIM(SUBSTITUTE(INDEX('Call accounts and MMFs'!$B:$B,ROW())&amp;""," "," "))</f>
        <v/>
      </c>
      <c r="L1582">
        <f>TRIM(SUBSTITUTE(INDEX('Call accounts and MMFs'!$C:$C,ROW())&amp;""," "," "))</f>
        <v/>
      </c>
      <c r="M1582">
        <f>IFERROR(--INDEX('Call accounts and MMFs'!$D:$D,ROW()),0)</f>
        <v/>
      </c>
      <c r="N1582">
        <f>IFERROR(IF(--INDEX('Call accounts and MMFs'!$E:$E,ROW())&gt;=1,--INDEX('Call accounts and MMFs'!$E:$E,ROW())/100,--INDEX('Call accounts and MMFs'!$E:$E,ROW())),0)</f>
        <v/>
      </c>
      <c r="O1582">
        <f>IFERROR(--INDEX('Call accounts and MMFs'!$F:$F,ROW()),0)</f>
        <v/>
      </c>
      <c r="P1582">
        <f>IF(ISNUMBER(INDEX('Call accounts and MMFs'!$E:$E,ROW())),1,0)</f>
        <v/>
      </c>
      <c r="Q1582">
        <f>TRIM(SUBSTITUTE(INDEX('Pooled funds'!$B:$B,ROW())&amp;""," "," "))</f>
        <v/>
      </c>
      <c r="R1582">
        <f>IFERROR(--INDEX('Pooled funds'!$C:$C,ROW()),0)</f>
        <v/>
      </c>
      <c r="S1582">
        <f>IFERROR(--INDEX('Pooled funds'!$D:$D,ROW()),0)</f>
        <v/>
      </c>
      <c r="T1582">
        <f>IFERROR(IF(--INDEX('Pooled funds'!$E:$E,ROW())&gt;=1,--INDEX('Pooled funds'!$E:$E,ROW())/100,--INDEX('Pooled funds'!$E:$E,ROW())),0)</f>
        <v/>
      </c>
      <c r="U1582">
        <f>IF(ISNUMBER(INDEX('Pooled funds'!$E:$E,ROW())),1,0)</f>
        <v/>
      </c>
    </row>
    <row r="1583">
      <c r="A1583">
        <f>TRIM(SUBSTITUTE(INDEX('Term investments'!$A:$A,ROW())&amp;""," "," "))</f>
        <v/>
      </c>
      <c r="B1583">
        <f>TRIM(SUBSTITUTE(INDEX('Term investments'!$B:$B,ROW())&amp;""," "," "))</f>
        <v/>
      </c>
      <c r="C1583">
        <f>TRIM(SUBSTITUTE(INDEX('Term investments'!$C:$C,ROW())&amp;""," "," "))</f>
        <v/>
      </c>
      <c r="D1583">
        <f>IFERROR(--INDEX('Term investments'!$D:$D,ROW()),0)</f>
        <v/>
      </c>
      <c r="E1583">
        <f>IFERROR(--INDEX('Term investments'!$E:$E,ROW()),0)</f>
        <v/>
      </c>
      <c r="F1583">
        <f>IFERROR(--INDEX('Term investments'!$F:$F,ROW()),0)</f>
        <v/>
      </c>
      <c r="G1583">
        <f>IFERROR(IF(--INDEX('Term investments'!$G:$G,ROW())&gt;=1,--INDEX('Term investments'!$G:$G,ROW())/100,--INDEX('Term investments'!$G:$G,ROW())),0)</f>
        <v/>
      </c>
      <c r="H1583">
        <f>IFERROR(--INDEX('Term investments'!$H:$H,ROW()),0)</f>
        <v/>
      </c>
      <c r="I1583">
        <f>IF(ISNUMBER(INDEX('Term investments'!$G:$G,ROW())),1,0)</f>
        <v/>
      </c>
      <c r="J1583">
        <f>TRIM(SUBSTITUTE(INDEX('Call accounts and MMFs'!$A:$A,ROW())&amp;""," "," "))</f>
        <v/>
      </c>
      <c r="K1583">
        <f>TRIM(SUBSTITUTE(INDEX('Call accounts and MMFs'!$B:$B,ROW())&amp;""," "," "))</f>
        <v/>
      </c>
      <c r="L1583">
        <f>TRIM(SUBSTITUTE(INDEX('Call accounts and MMFs'!$C:$C,ROW())&amp;""," "," "))</f>
        <v/>
      </c>
      <c r="M1583">
        <f>IFERROR(--INDEX('Call accounts and MMFs'!$D:$D,ROW()),0)</f>
        <v/>
      </c>
      <c r="N1583">
        <f>IFERROR(IF(--INDEX('Call accounts and MMFs'!$E:$E,ROW())&gt;=1,--INDEX('Call accounts and MMFs'!$E:$E,ROW())/100,--INDEX('Call accounts and MMFs'!$E:$E,ROW())),0)</f>
        <v/>
      </c>
      <c r="O1583">
        <f>IFERROR(--INDEX('Call accounts and MMFs'!$F:$F,ROW()),0)</f>
        <v/>
      </c>
      <c r="P1583">
        <f>IF(ISNUMBER(INDEX('Call accounts and MMFs'!$E:$E,ROW())),1,0)</f>
        <v/>
      </c>
      <c r="Q1583">
        <f>TRIM(SUBSTITUTE(INDEX('Pooled funds'!$B:$B,ROW())&amp;""," "," "))</f>
        <v/>
      </c>
      <c r="R1583">
        <f>IFERROR(--INDEX('Pooled funds'!$C:$C,ROW()),0)</f>
        <v/>
      </c>
      <c r="S1583">
        <f>IFERROR(--INDEX('Pooled funds'!$D:$D,ROW()),0)</f>
        <v/>
      </c>
      <c r="T1583">
        <f>IFERROR(IF(--INDEX('Pooled funds'!$E:$E,ROW())&gt;=1,--INDEX('Pooled funds'!$E:$E,ROW())/100,--INDEX('Pooled funds'!$E:$E,ROW())),0)</f>
        <v/>
      </c>
      <c r="U1583">
        <f>IF(ISNUMBER(INDEX('Pooled funds'!$E:$E,ROW())),1,0)</f>
        <v/>
      </c>
    </row>
    <row r="1584">
      <c r="A1584">
        <f>TRIM(SUBSTITUTE(INDEX('Term investments'!$A:$A,ROW())&amp;""," "," "))</f>
        <v/>
      </c>
      <c r="B1584">
        <f>TRIM(SUBSTITUTE(INDEX('Term investments'!$B:$B,ROW())&amp;""," "," "))</f>
        <v/>
      </c>
      <c r="C1584">
        <f>TRIM(SUBSTITUTE(INDEX('Term investments'!$C:$C,ROW())&amp;""," "," "))</f>
        <v/>
      </c>
      <c r="D1584">
        <f>IFERROR(--INDEX('Term investments'!$D:$D,ROW()),0)</f>
        <v/>
      </c>
      <c r="E1584">
        <f>IFERROR(--INDEX('Term investments'!$E:$E,ROW()),0)</f>
        <v/>
      </c>
      <c r="F1584">
        <f>IFERROR(--INDEX('Term investments'!$F:$F,ROW()),0)</f>
        <v/>
      </c>
      <c r="G1584">
        <f>IFERROR(IF(--INDEX('Term investments'!$G:$G,ROW())&gt;=1,--INDEX('Term investments'!$G:$G,ROW())/100,--INDEX('Term investments'!$G:$G,ROW())),0)</f>
        <v/>
      </c>
      <c r="H1584">
        <f>IFERROR(--INDEX('Term investments'!$H:$H,ROW()),0)</f>
        <v/>
      </c>
      <c r="I1584">
        <f>IF(ISNUMBER(INDEX('Term investments'!$G:$G,ROW())),1,0)</f>
        <v/>
      </c>
      <c r="J1584">
        <f>TRIM(SUBSTITUTE(INDEX('Call accounts and MMFs'!$A:$A,ROW())&amp;""," "," "))</f>
        <v/>
      </c>
      <c r="K1584">
        <f>TRIM(SUBSTITUTE(INDEX('Call accounts and MMFs'!$B:$B,ROW())&amp;""," "," "))</f>
        <v/>
      </c>
      <c r="L1584">
        <f>TRIM(SUBSTITUTE(INDEX('Call accounts and MMFs'!$C:$C,ROW())&amp;""," "," "))</f>
        <v/>
      </c>
      <c r="M1584">
        <f>IFERROR(--INDEX('Call accounts and MMFs'!$D:$D,ROW()),0)</f>
        <v/>
      </c>
      <c r="N1584">
        <f>IFERROR(IF(--INDEX('Call accounts and MMFs'!$E:$E,ROW())&gt;=1,--INDEX('Call accounts and MMFs'!$E:$E,ROW())/100,--INDEX('Call accounts and MMFs'!$E:$E,ROW())),0)</f>
        <v/>
      </c>
      <c r="O1584">
        <f>IFERROR(--INDEX('Call accounts and MMFs'!$F:$F,ROW()),0)</f>
        <v/>
      </c>
      <c r="P1584">
        <f>IF(ISNUMBER(INDEX('Call accounts and MMFs'!$E:$E,ROW())),1,0)</f>
        <v/>
      </c>
      <c r="Q1584">
        <f>TRIM(SUBSTITUTE(INDEX('Pooled funds'!$B:$B,ROW())&amp;""," "," "))</f>
        <v/>
      </c>
      <c r="R1584">
        <f>IFERROR(--INDEX('Pooled funds'!$C:$C,ROW()),0)</f>
        <v/>
      </c>
      <c r="S1584">
        <f>IFERROR(--INDEX('Pooled funds'!$D:$D,ROW()),0)</f>
        <v/>
      </c>
      <c r="T1584">
        <f>IFERROR(IF(--INDEX('Pooled funds'!$E:$E,ROW())&gt;=1,--INDEX('Pooled funds'!$E:$E,ROW())/100,--INDEX('Pooled funds'!$E:$E,ROW())),0)</f>
        <v/>
      </c>
      <c r="U1584">
        <f>IF(ISNUMBER(INDEX('Pooled funds'!$E:$E,ROW())),1,0)</f>
        <v/>
      </c>
    </row>
    <row r="1585">
      <c r="A1585">
        <f>TRIM(SUBSTITUTE(INDEX('Term investments'!$A:$A,ROW())&amp;""," "," "))</f>
        <v/>
      </c>
      <c r="B1585">
        <f>TRIM(SUBSTITUTE(INDEX('Term investments'!$B:$B,ROW())&amp;""," "," "))</f>
        <v/>
      </c>
      <c r="C1585">
        <f>TRIM(SUBSTITUTE(INDEX('Term investments'!$C:$C,ROW())&amp;""," "," "))</f>
        <v/>
      </c>
      <c r="D1585">
        <f>IFERROR(--INDEX('Term investments'!$D:$D,ROW()),0)</f>
        <v/>
      </c>
      <c r="E1585">
        <f>IFERROR(--INDEX('Term investments'!$E:$E,ROW()),0)</f>
        <v/>
      </c>
      <c r="F1585">
        <f>IFERROR(--INDEX('Term investments'!$F:$F,ROW()),0)</f>
        <v/>
      </c>
      <c r="G1585">
        <f>IFERROR(IF(--INDEX('Term investments'!$G:$G,ROW())&gt;=1,--INDEX('Term investments'!$G:$G,ROW())/100,--INDEX('Term investments'!$G:$G,ROW())),0)</f>
        <v/>
      </c>
      <c r="H1585">
        <f>IFERROR(--INDEX('Term investments'!$H:$H,ROW()),0)</f>
        <v/>
      </c>
      <c r="I1585">
        <f>IF(ISNUMBER(INDEX('Term investments'!$G:$G,ROW())),1,0)</f>
        <v/>
      </c>
      <c r="J1585">
        <f>TRIM(SUBSTITUTE(INDEX('Call accounts and MMFs'!$A:$A,ROW())&amp;""," "," "))</f>
        <v/>
      </c>
      <c r="K1585">
        <f>TRIM(SUBSTITUTE(INDEX('Call accounts and MMFs'!$B:$B,ROW())&amp;""," "," "))</f>
        <v/>
      </c>
      <c r="L1585">
        <f>TRIM(SUBSTITUTE(INDEX('Call accounts and MMFs'!$C:$C,ROW())&amp;""," "," "))</f>
        <v/>
      </c>
      <c r="M1585">
        <f>IFERROR(--INDEX('Call accounts and MMFs'!$D:$D,ROW()),0)</f>
        <v/>
      </c>
      <c r="N1585">
        <f>IFERROR(IF(--INDEX('Call accounts and MMFs'!$E:$E,ROW())&gt;=1,--INDEX('Call accounts and MMFs'!$E:$E,ROW())/100,--INDEX('Call accounts and MMFs'!$E:$E,ROW())),0)</f>
        <v/>
      </c>
      <c r="O1585">
        <f>IFERROR(--INDEX('Call accounts and MMFs'!$F:$F,ROW()),0)</f>
        <v/>
      </c>
      <c r="P1585">
        <f>IF(ISNUMBER(INDEX('Call accounts and MMFs'!$E:$E,ROW())),1,0)</f>
        <v/>
      </c>
      <c r="Q1585">
        <f>TRIM(SUBSTITUTE(INDEX('Pooled funds'!$B:$B,ROW())&amp;""," "," "))</f>
        <v/>
      </c>
      <c r="R1585">
        <f>IFERROR(--INDEX('Pooled funds'!$C:$C,ROW()),0)</f>
        <v/>
      </c>
      <c r="S1585">
        <f>IFERROR(--INDEX('Pooled funds'!$D:$D,ROW()),0)</f>
        <v/>
      </c>
      <c r="T1585">
        <f>IFERROR(IF(--INDEX('Pooled funds'!$E:$E,ROW())&gt;=1,--INDEX('Pooled funds'!$E:$E,ROW())/100,--INDEX('Pooled funds'!$E:$E,ROW())),0)</f>
        <v/>
      </c>
      <c r="U1585">
        <f>IF(ISNUMBER(INDEX('Pooled funds'!$E:$E,ROW())),1,0)</f>
        <v/>
      </c>
    </row>
    <row r="1586">
      <c r="A1586">
        <f>TRIM(SUBSTITUTE(INDEX('Term investments'!$A:$A,ROW())&amp;""," "," "))</f>
        <v/>
      </c>
      <c r="B1586">
        <f>TRIM(SUBSTITUTE(INDEX('Term investments'!$B:$B,ROW())&amp;""," "," "))</f>
        <v/>
      </c>
      <c r="C1586">
        <f>TRIM(SUBSTITUTE(INDEX('Term investments'!$C:$C,ROW())&amp;""," "," "))</f>
        <v/>
      </c>
      <c r="D1586">
        <f>IFERROR(--INDEX('Term investments'!$D:$D,ROW()),0)</f>
        <v/>
      </c>
      <c r="E1586">
        <f>IFERROR(--INDEX('Term investments'!$E:$E,ROW()),0)</f>
        <v/>
      </c>
      <c r="F1586">
        <f>IFERROR(--INDEX('Term investments'!$F:$F,ROW()),0)</f>
        <v/>
      </c>
      <c r="G1586">
        <f>IFERROR(IF(--INDEX('Term investments'!$G:$G,ROW())&gt;=1,--INDEX('Term investments'!$G:$G,ROW())/100,--INDEX('Term investments'!$G:$G,ROW())),0)</f>
        <v/>
      </c>
      <c r="H1586">
        <f>IFERROR(--INDEX('Term investments'!$H:$H,ROW()),0)</f>
        <v/>
      </c>
      <c r="I1586">
        <f>IF(ISNUMBER(INDEX('Term investments'!$G:$G,ROW())),1,0)</f>
        <v/>
      </c>
      <c r="J1586">
        <f>TRIM(SUBSTITUTE(INDEX('Call accounts and MMFs'!$A:$A,ROW())&amp;""," "," "))</f>
        <v/>
      </c>
      <c r="K1586">
        <f>TRIM(SUBSTITUTE(INDEX('Call accounts and MMFs'!$B:$B,ROW())&amp;""," "," "))</f>
        <v/>
      </c>
      <c r="L1586">
        <f>TRIM(SUBSTITUTE(INDEX('Call accounts and MMFs'!$C:$C,ROW())&amp;""," "," "))</f>
        <v/>
      </c>
      <c r="M1586">
        <f>IFERROR(--INDEX('Call accounts and MMFs'!$D:$D,ROW()),0)</f>
        <v/>
      </c>
      <c r="N1586">
        <f>IFERROR(IF(--INDEX('Call accounts and MMFs'!$E:$E,ROW())&gt;=1,--INDEX('Call accounts and MMFs'!$E:$E,ROW())/100,--INDEX('Call accounts and MMFs'!$E:$E,ROW())),0)</f>
        <v/>
      </c>
      <c r="O1586">
        <f>IFERROR(--INDEX('Call accounts and MMFs'!$F:$F,ROW()),0)</f>
        <v/>
      </c>
      <c r="P1586">
        <f>IF(ISNUMBER(INDEX('Call accounts and MMFs'!$E:$E,ROW())),1,0)</f>
        <v/>
      </c>
      <c r="Q1586">
        <f>TRIM(SUBSTITUTE(INDEX('Pooled funds'!$B:$B,ROW())&amp;""," "," "))</f>
        <v/>
      </c>
      <c r="R1586">
        <f>IFERROR(--INDEX('Pooled funds'!$C:$C,ROW()),0)</f>
        <v/>
      </c>
      <c r="S1586">
        <f>IFERROR(--INDEX('Pooled funds'!$D:$D,ROW()),0)</f>
        <v/>
      </c>
      <c r="T1586">
        <f>IFERROR(IF(--INDEX('Pooled funds'!$E:$E,ROW())&gt;=1,--INDEX('Pooled funds'!$E:$E,ROW())/100,--INDEX('Pooled funds'!$E:$E,ROW())),0)</f>
        <v/>
      </c>
      <c r="U1586">
        <f>IF(ISNUMBER(INDEX('Pooled funds'!$E:$E,ROW())),1,0)</f>
        <v/>
      </c>
    </row>
    <row r="1587">
      <c r="A1587">
        <f>TRIM(SUBSTITUTE(INDEX('Term investments'!$A:$A,ROW())&amp;""," "," "))</f>
        <v/>
      </c>
      <c r="B1587">
        <f>TRIM(SUBSTITUTE(INDEX('Term investments'!$B:$B,ROW())&amp;""," "," "))</f>
        <v/>
      </c>
      <c r="C1587">
        <f>TRIM(SUBSTITUTE(INDEX('Term investments'!$C:$C,ROW())&amp;""," "," "))</f>
        <v/>
      </c>
      <c r="D1587">
        <f>IFERROR(--INDEX('Term investments'!$D:$D,ROW()),0)</f>
        <v/>
      </c>
      <c r="E1587">
        <f>IFERROR(--INDEX('Term investments'!$E:$E,ROW()),0)</f>
        <v/>
      </c>
      <c r="F1587">
        <f>IFERROR(--INDEX('Term investments'!$F:$F,ROW()),0)</f>
        <v/>
      </c>
      <c r="G1587">
        <f>IFERROR(IF(--INDEX('Term investments'!$G:$G,ROW())&gt;=1,--INDEX('Term investments'!$G:$G,ROW())/100,--INDEX('Term investments'!$G:$G,ROW())),0)</f>
        <v/>
      </c>
      <c r="H1587">
        <f>IFERROR(--INDEX('Term investments'!$H:$H,ROW()),0)</f>
        <v/>
      </c>
      <c r="I1587">
        <f>IF(ISNUMBER(INDEX('Term investments'!$G:$G,ROW())),1,0)</f>
        <v/>
      </c>
      <c r="J1587">
        <f>TRIM(SUBSTITUTE(INDEX('Call accounts and MMFs'!$A:$A,ROW())&amp;""," "," "))</f>
        <v/>
      </c>
      <c r="K1587">
        <f>TRIM(SUBSTITUTE(INDEX('Call accounts and MMFs'!$B:$B,ROW())&amp;""," "," "))</f>
        <v/>
      </c>
      <c r="L1587">
        <f>TRIM(SUBSTITUTE(INDEX('Call accounts and MMFs'!$C:$C,ROW())&amp;""," "," "))</f>
        <v/>
      </c>
      <c r="M1587">
        <f>IFERROR(--INDEX('Call accounts and MMFs'!$D:$D,ROW()),0)</f>
        <v/>
      </c>
      <c r="N1587">
        <f>IFERROR(IF(--INDEX('Call accounts and MMFs'!$E:$E,ROW())&gt;=1,--INDEX('Call accounts and MMFs'!$E:$E,ROW())/100,--INDEX('Call accounts and MMFs'!$E:$E,ROW())),0)</f>
        <v/>
      </c>
      <c r="O1587">
        <f>IFERROR(--INDEX('Call accounts and MMFs'!$F:$F,ROW()),0)</f>
        <v/>
      </c>
      <c r="P1587">
        <f>IF(ISNUMBER(INDEX('Call accounts and MMFs'!$E:$E,ROW())),1,0)</f>
        <v/>
      </c>
      <c r="Q1587">
        <f>TRIM(SUBSTITUTE(INDEX('Pooled funds'!$B:$B,ROW())&amp;""," "," "))</f>
        <v/>
      </c>
      <c r="R1587">
        <f>IFERROR(--INDEX('Pooled funds'!$C:$C,ROW()),0)</f>
        <v/>
      </c>
      <c r="S1587">
        <f>IFERROR(--INDEX('Pooled funds'!$D:$D,ROW()),0)</f>
        <v/>
      </c>
      <c r="T1587">
        <f>IFERROR(IF(--INDEX('Pooled funds'!$E:$E,ROW())&gt;=1,--INDEX('Pooled funds'!$E:$E,ROW())/100,--INDEX('Pooled funds'!$E:$E,ROW())),0)</f>
        <v/>
      </c>
      <c r="U1587">
        <f>IF(ISNUMBER(INDEX('Pooled funds'!$E:$E,ROW())),1,0)</f>
        <v/>
      </c>
    </row>
    <row r="1588">
      <c r="A1588">
        <f>TRIM(SUBSTITUTE(INDEX('Term investments'!$A:$A,ROW())&amp;""," "," "))</f>
        <v/>
      </c>
      <c r="B1588">
        <f>TRIM(SUBSTITUTE(INDEX('Term investments'!$B:$B,ROW())&amp;""," "," "))</f>
        <v/>
      </c>
      <c r="C1588">
        <f>TRIM(SUBSTITUTE(INDEX('Term investments'!$C:$C,ROW())&amp;""," "," "))</f>
        <v/>
      </c>
      <c r="D1588">
        <f>IFERROR(--INDEX('Term investments'!$D:$D,ROW()),0)</f>
        <v/>
      </c>
      <c r="E1588">
        <f>IFERROR(--INDEX('Term investments'!$E:$E,ROW()),0)</f>
        <v/>
      </c>
      <c r="F1588">
        <f>IFERROR(--INDEX('Term investments'!$F:$F,ROW()),0)</f>
        <v/>
      </c>
      <c r="G1588">
        <f>IFERROR(IF(--INDEX('Term investments'!$G:$G,ROW())&gt;=1,--INDEX('Term investments'!$G:$G,ROW())/100,--INDEX('Term investments'!$G:$G,ROW())),0)</f>
        <v/>
      </c>
      <c r="H1588">
        <f>IFERROR(--INDEX('Term investments'!$H:$H,ROW()),0)</f>
        <v/>
      </c>
      <c r="I1588">
        <f>IF(ISNUMBER(INDEX('Term investments'!$G:$G,ROW())),1,0)</f>
        <v/>
      </c>
      <c r="J1588">
        <f>TRIM(SUBSTITUTE(INDEX('Call accounts and MMFs'!$A:$A,ROW())&amp;""," "," "))</f>
        <v/>
      </c>
      <c r="K1588">
        <f>TRIM(SUBSTITUTE(INDEX('Call accounts and MMFs'!$B:$B,ROW())&amp;""," "," "))</f>
        <v/>
      </c>
      <c r="L1588">
        <f>TRIM(SUBSTITUTE(INDEX('Call accounts and MMFs'!$C:$C,ROW())&amp;""," "," "))</f>
        <v/>
      </c>
      <c r="M1588">
        <f>IFERROR(--INDEX('Call accounts and MMFs'!$D:$D,ROW()),0)</f>
        <v/>
      </c>
      <c r="N1588">
        <f>IFERROR(IF(--INDEX('Call accounts and MMFs'!$E:$E,ROW())&gt;=1,--INDEX('Call accounts and MMFs'!$E:$E,ROW())/100,--INDEX('Call accounts and MMFs'!$E:$E,ROW())),0)</f>
        <v/>
      </c>
      <c r="O1588">
        <f>IFERROR(--INDEX('Call accounts and MMFs'!$F:$F,ROW()),0)</f>
        <v/>
      </c>
      <c r="P1588">
        <f>IF(ISNUMBER(INDEX('Call accounts and MMFs'!$E:$E,ROW())),1,0)</f>
        <v/>
      </c>
      <c r="Q1588">
        <f>TRIM(SUBSTITUTE(INDEX('Pooled funds'!$B:$B,ROW())&amp;""," "," "))</f>
        <v/>
      </c>
      <c r="R1588">
        <f>IFERROR(--INDEX('Pooled funds'!$C:$C,ROW()),0)</f>
        <v/>
      </c>
      <c r="S1588">
        <f>IFERROR(--INDEX('Pooled funds'!$D:$D,ROW()),0)</f>
        <v/>
      </c>
      <c r="T1588">
        <f>IFERROR(IF(--INDEX('Pooled funds'!$E:$E,ROW())&gt;=1,--INDEX('Pooled funds'!$E:$E,ROW())/100,--INDEX('Pooled funds'!$E:$E,ROW())),0)</f>
        <v/>
      </c>
      <c r="U1588">
        <f>IF(ISNUMBER(INDEX('Pooled funds'!$E:$E,ROW())),1,0)</f>
        <v/>
      </c>
    </row>
    <row r="1589">
      <c r="A1589">
        <f>TRIM(SUBSTITUTE(INDEX('Term investments'!$A:$A,ROW())&amp;""," "," "))</f>
        <v/>
      </c>
      <c r="B1589">
        <f>TRIM(SUBSTITUTE(INDEX('Term investments'!$B:$B,ROW())&amp;""," "," "))</f>
        <v/>
      </c>
      <c r="C1589">
        <f>TRIM(SUBSTITUTE(INDEX('Term investments'!$C:$C,ROW())&amp;""," "," "))</f>
        <v/>
      </c>
      <c r="D1589">
        <f>IFERROR(--INDEX('Term investments'!$D:$D,ROW()),0)</f>
        <v/>
      </c>
      <c r="E1589">
        <f>IFERROR(--INDEX('Term investments'!$E:$E,ROW()),0)</f>
        <v/>
      </c>
      <c r="F1589">
        <f>IFERROR(--INDEX('Term investments'!$F:$F,ROW()),0)</f>
        <v/>
      </c>
      <c r="G1589">
        <f>IFERROR(IF(--INDEX('Term investments'!$G:$G,ROW())&gt;=1,--INDEX('Term investments'!$G:$G,ROW())/100,--INDEX('Term investments'!$G:$G,ROW())),0)</f>
        <v/>
      </c>
      <c r="H1589">
        <f>IFERROR(--INDEX('Term investments'!$H:$H,ROW()),0)</f>
        <v/>
      </c>
      <c r="I1589">
        <f>IF(ISNUMBER(INDEX('Term investments'!$G:$G,ROW())),1,0)</f>
        <v/>
      </c>
      <c r="J1589">
        <f>TRIM(SUBSTITUTE(INDEX('Call accounts and MMFs'!$A:$A,ROW())&amp;""," "," "))</f>
        <v/>
      </c>
      <c r="K1589">
        <f>TRIM(SUBSTITUTE(INDEX('Call accounts and MMFs'!$B:$B,ROW())&amp;""," "," "))</f>
        <v/>
      </c>
      <c r="L1589">
        <f>TRIM(SUBSTITUTE(INDEX('Call accounts and MMFs'!$C:$C,ROW())&amp;""," "," "))</f>
        <v/>
      </c>
      <c r="M1589">
        <f>IFERROR(--INDEX('Call accounts and MMFs'!$D:$D,ROW()),0)</f>
        <v/>
      </c>
      <c r="N1589">
        <f>IFERROR(IF(--INDEX('Call accounts and MMFs'!$E:$E,ROW())&gt;=1,--INDEX('Call accounts and MMFs'!$E:$E,ROW())/100,--INDEX('Call accounts and MMFs'!$E:$E,ROW())),0)</f>
        <v/>
      </c>
      <c r="O1589">
        <f>IFERROR(--INDEX('Call accounts and MMFs'!$F:$F,ROW()),0)</f>
        <v/>
      </c>
      <c r="P1589">
        <f>IF(ISNUMBER(INDEX('Call accounts and MMFs'!$E:$E,ROW())),1,0)</f>
        <v/>
      </c>
      <c r="Q1589">
        <f>TRIM(SUBSTITUTE(INDEX('Pooled funds'!$B:$B,ROW())&amp;""," "," "))</f>
        <v/>
      </c>
      <c r="R1589">
        <f>IFERROR(--INDEX('Pooled funds'!$C:$C,ROW()),0)</f>
        <v/>
      </c>
      <c r="S1589">
        <f>IFERROR(--INDEX('Pooled funds'!$D:$D,ROW()),0)</f>
        <v/>
      </c>
      <c r="T1589">
        <f>IFERROR(IF(--INDEX('Pooled funds'!$E:$E,ROW())&gt;=1,--INDEX('Pooled funds'!$E:$E,ROW())/100,--INDEX('Pooled funds'!$E:$E,ROW())),0)</f>
        <v/>
      </c>
      <c r="U1589">
        <f>IF(ISNUMBER(INDEX('Pooled funds'!$E:$E,ROW())),1,0)</f>
        <v/>
      </c>
    </row>
    <row r="1590">
      <c r="A1590">
        <f>TRIM(SUBSTITUTE(INDEX('Term investments'!$A:$A,ROW())&amp;""," "," "))</f>
        <v/>
      </c>
      <c r="B1590">
        <f>TRIM(SUBSTITUTE(INDEX('Term investments'!$B:$B,ROW())&amp;""," "," "))</f>
        <v/>
      </c>
      <c r="C1590">
        <f>TRIM(SUBSTITUTE(INDEX('Term investments'!$C:$C,ROW())&amp;""," "," "))</f>
        <v/>
      </c>
      <c r="D1590">
        <f>IFERROR(--INDEX('Term investments'!$D:$D,ROW()),0)</f>
        <v/>
      </c>
      <c r="E1590">
        <f>IFERROR(--INDEX('Term investments'!$E:$E,ROW()),0)</f>
        <v/>
      </c>
      <c r="F1590">
        <f>IFERROR(--INDEX('Term investments'!$F:$F,ROW()),0)</f>
        <v/>
      </c>
      <c r="G1590">
        <f>IFERROR(IF(--INDEX('Term investments'!$G:$G,ROW())&gt;=1,--INDEX('Term investments'!$G:$G,ROW())/100,--INDEX('Term investments'!$G:$G,ROW())),0)</f>
        <v/>
      </c>
      <c r="H1590">
        <f>IFERROR(--INDEX('Term investments'!$H:$H,ROW()),0)</f>
        <v/>
      </c>
      <c r="I1590">
        <f>IF(ISNUMBER(INDEX('Term investments'!$G:$G,ROW())),1,0)</f>
        <v/>
      </c>
      <c r="J1590">
        <f>TRIM(SUBSTITUTE(INDEX('Call accounts and MMFs'!$A:$A,ROW())&amp;""," "," "))</f>
        <v/>
      </c>
      <c r="K1590">
        <f>TRIM(SUBSTITUTE(INDEX('Call accounts and MMFs'!$B:$B,ROW())&amp;""," "," "))</f>
        <v/>
      </c>
      <c r="L1590">
        <f>TRIM(SUBSTITUTE(INDEX('Call accounts and MMFs'!$C:$C,ROW())&amp;""," "," "))</f>
        <v/>
      </c>
      <c r="M1590">
        <f>IFERROR(--INDEX('Call accounts and MMFs'!$D:$D,ROW()),0)</f>
        <v/>
      </c>
      <c r="N1590">
        <f>IFERROR(IF(--INDEX('Call accounts and MMFs'!$E:$E,ROW())&gt;=1,--INDEX('Call accounts and MMFs'!$E:$E,ROW())/100,--INDEX('Call accounts and MMFs'!$E:$E,ROW())),0)</f>
        <v/>
      </c>
      <c r="O1590">
        <f>IFERROR(--INDEX('Call accounts and MMFs'!$F:$F,ROW()),0)</f>
        <v/>
      </c>
      <c r="P1590">
        <f>IF(ISNUMBER(INDEX('Call accounts and MMFs'!$E:$E,ROW())),1,0)</f>
        <v/>
      </c>
      <c r="Q1590">
        <f>TRIM(SUBSTITUTE(INDEX('Pooled funds'!$B:$B,ROW())&amp;""," "," "))</f>
        <v/>
      </c>
      <c r="R1590">
        <f>IFERROR(--INDEX('Pooled funds'!$C:$C,ROW()),0)</f>
        <v/>
      </c>
      <c r="S1590">
        <f>IFERROR(--INDEX('Pooled funds'!$D:$D,ROW()),0)</f>
        <v/>
      </c>
      <c r="T1590">
        <f>IFERROR(IF(--INDEX('Pooled funds'!$E:$E,ROW())&gt;=1,--INDEX('Pooled funds'!$E:$E,ROW())/100,--INDEX('Pooled funds'!$E:$E,ROW())),0)</f>
        <v/>
      </c>
      <c r="U1590">
        <f>IF(ISNUMBER(INDEX('Pooled funds'!$E:$E,ROW())),1,0)</f>
        <v/>
      </c>
    </row>
    <row r="1591">
      <c r="A1591">
        <f>TRIM(SUBSTITUTE(INDEX('Term investments'!$A:$A,ROW())&amp;""," "," "))</f>
        <v/>
      </c>
      <c r="B1591">
        <f>TRIM(SUBSTITUTE(INDEX('Term investments'!$B:$B,ROW())&amp;""," "," "))</f>
        <v/>
      </c>
      <c r="C1591">
        <f>TRIM(SUBSTITUTE(INDEX('Term investments'!$C:$C,ROW())&amp;""," "," "))</f>
        <v/>
      </c>
      <c r="D1591">
        <f>IFERROR(--INDEX('Term investments'!$D:$D,ROW()),0)</f>
        <v/>
      </c>
      <c r="E1591">
        <f>IFERROR(--INDEX('Term investments'!$E:$E,ROW()),0)</f>
        <v/>
      </c>
      <c r="F1591">
        <f>IFERROR(--INDEX('Term investments'!$F:$F,ROW()),0)</f>
        <v/>
      </c>
      <c r="G1591">
        <f>IFERROR(IF(--INDEX('Term investments'!$G:$G,ROW())&gt;=1,--INDEX('Term investments'!$G:$G,ROW())/100,--INDEX('Term investments'!$G:$G,ROW())),0)</f>
        <v/>
      </c>
      <c r="H1591">
        <f>IFERROR(--INDEX('Term investments'!$H:$H,ROW()),0)</f>
        <v/>
      </c>
      <c r="I1591">
        <f>IF(ISNUMBER(INDEX('Term investments'!$G:$G,ROW())),1,0)</f>
        <v/>
      </c>
      <c r="J1591">
        <f>TRIM(SUBSTITUTE(INDEX('Call accounts and MMFs'!$A:$A,ROW())&amp;""," "," "))</f>
        <v/>
      </c>
      <c r="K1591">
        <f>TRIM(SUBSTITUTE(INDEX('Call accounts and MMFs'!$B:$B,ROW())&amp;""," "," "))</f>
        <v/>
      </c>
      <c r="L1591">
        <f>TRIM(SUBSTITUTE(INDEX('Call accounts and MMFs'!$C:$C,ROW())&amp;""," "," "))</f>
        <v/>
      </c>
      <c r="M1591">
        <f>IFERROR(--INDEX('Call accounts and MMFs'!$D:$D,ROW()),0)</f>
        <v/>
      </c>
      <c r="N1591">
        <f>IFERROR(IF(--INDEX('Call accounts and MMFs'!$E:$E,ROW())&gt;=1,--INDEX('Call accounts and MMFs'!$E:$E,ROW())/100,--INDEX('Call accounts and MMFs'!$E:$E,ROW())),0)</f>
        <v/>
      </c>
      <c r="O1591">
        <f>IFERROR(--INDEX('Call accounts and MMFs'!$F:$F,ROW()),0)</f>
        <v/>
      </c>
      <c r="P1591">
        <f>IF(ISNUMBER(INDEX('Call accounts and MMFs'!$E:$E,ROW())),1,0)</f>
        <v/>
      </c>
      <c r="Q1591">
        <f>TRIM(SUBSTITUTE(INDEX('Pooled funds'!$B:$B,ROW())&amp;""," "," "))</f>
        <v/>
      </c>
      <c r="R1591">
        <f>IFERROR(--INDEX('Pooled funds'!$C:$C,ROW()),0)</f>
        <v/>
      </c>
      <c r="S1591">
        <f>IFERROR(--INDEX('Pooled funds'!$D:$D,ROW()),0)</f>
        <v/>
      </c>
      <c r="T1591">
        <f>IFERROR(IF(--INDEX('Pooled funds'!$E:$E,ROW())&gt;=1,--INDEX('Pooled funds'!$E:$E,ROW())/100,--INDEX('Pooled funds'!$E:$E,ROW())),0)</f>
        <v/>
      </c>
      <c r="U1591">
        <f>IF(ISNUMBER(INDEX('Pooled funds'!$E:$E,ROW())),1,0)</f>
        <v/>
      </c>
    </row>
    <row r="1592">
      <c r="A1592">
        <f>TRIM(SUBSTITUTE(INDEX('Term investments'!$A:$A,ROW())&amp;""," "," "))</f>
        <v/>
      </c>
      <c r="B1592">
        <f>TRIM(SUBSTITUTE(INDEX('Term investments'!$B:$B,ROW())&amp;""," "," "))</f>
        <v/>
      </c>
      <c r="C1592">
        <f>TRIM(SUBSTITUTE(INDEX('Term investments'!$C:$C,ROW())&amp;""," "," "))</f>
        <v/>
      </c>
      <c r="D1592">
        <f>IFERROR(--INDEX('Term investments'!$D:$D,ROW()),0)</f>
        <v/>
      </c>
      <c r="E1592">
        <f>IFERROR(--INDEX('Term investments'!$E:$E,ROW()),0)</f>
        <v/>
      </c>
      <c r="F1592">
        <f>IFERROR(--INDEX('Term investments'!$F:$F,ROW()),0)</f>
        <v/>
      </c>
      <c r="G1592">
        <f>IFERROR(IF(--INDEX('Term investments'!$G:$G,ROW())&gt;=1,--INDEX('Term investments'!$G:$G,ROW())/100,--INDEX('Term investments'!$G:$G,ROW())),0)</f>
        <v/>
      </c>
      <c r="H1592">
        <f>IFERROR(--INDEX('Term investments'!$H:$H,ROW()),0)</f>
        <v/>
      </c>
      <c r="I1592">
        <f>IF(ISNUMBER(INDEX('Term investments'!$G:$G,ROW())),1,0)</f>
        <v/>
      </c>
      <c r="J1592">
        <f>TRIM(SUBSTITUTE(INDEX('Call accounts and MMFs'!$A:$A,ROW())&amp;""," "," "))</f>
        <v/>
      </c>
      <c r="K1592">
        <f>TRIM(SUBSTITUTE(INDEX('Call accounts and MMFs'!$B:$B,ROW())&amp;""," "," "))</f>
        <v/>
      </c>
      <c r="L1592">
        <f>TRIM(SUBSTITUTE(INDEX('Call accounts and MMFs'!$C:$C,ROW())&amp;""," "," "))</f>
        <v/>
      </c>
      <c r="M1592">
        <f>IFERROR(--INDEX('Call accounts and MMFs'!$D:$D,ROW()),0)</f>
        <v/>
      </c>
      <c r="N1592">
        <f>IFERROR(IF(--INDEX('Call accounts and MMFs'!$E:$E,ROW())&gt;=1,--INDEX('Call accounts and MMFs'!$E:$E,ROW())/100,--INDEX('Call accounts and MMFs'!$E:$E,ROW())),0)</f>
        <v/>
      </c>
      <c r="O1592">
        <f>IFERROR(--INDEX('Call accounts and MMFs'!$F:$F,ROW()),0)</f>
        <v/>
      </c>
      <c r="P1592">
        <f>IF(ISNUMBER(INDEX('Call accounts and MMFs'!$E:$E,ROW())),1,0)</f>
        <v/>
      </c>
      <c r="Q1592">
        <f>TRIM(SUBSTITUTE(INDEX('Pooled funds'!$B:$B,ROW())&amp;""," "," "))</f>
        <v/>
      </c>
      <c r="R1592">
        <f>IFERROR(--INDEX('Pooled funds'!$C:$C,ROW()),0)</f>
        <v/>
      </c>
      <c r="S1592">
        <f>IFERROR(--INDEX('Pooled funds'!$D:$D,ROW()),0)</f>
        <v/>
      </c>
      <c r="T1592">
        <f>IFERROR(IF(--INDEX('Pooled funds'!$E:$E,ROW())&gt;=1,--INDEX('Pooled funds'!$E:$E,ROW())/100,--INDEX('Pooled funds'!$E:$E,ROW())),0)</f>
        <v/>
      </c>
      <c r="U1592">
        <f>IF(ISNUMBER(INDEX('Pooled funds'!$E:$E,ROW())),1,0)</f>
        <v/>
      </c>
    </row>
    <row r="1593">
      <c r="A1593">
        <f>TRIM(SUBSTITUTE(INDEX('Term investments'!$A:$A,ROW())&amp;""," "," "))</f>
        <v/>
      </c>
      <c r="B1593">
        <f>TRIM(SUBSTITUTE(INDEX('Term investments'!$B:$B,ROW())&amp;""," "," "))</f>
        <v/>
      </c>
      <c r="C1593">
        <f>TRIM(SUBSTITUTE(INDEX('Term investments'!$C:$C,ROW())&amp;""," "," "))</f>
        <v/>
      </c>
      <c r="D1593">
        <f>IFERROR(--INDEX('Term investments'!$D:$D,ROW()),0)</f>
        <v/>
      </c>
      <c r="E1593">
        <f>IFERROR(--INDEX('Term investments'!$E:$E,ROW()),0)</f>
        <v/>
      </c>
      <c r="F1593">
        <f>IFERROR(--INDEX('Term investments'!$F:$F,ROW()),0)</f>
        <v/>
      </c>
      <c r="G1593">
        <f>IFERROR(IF(--INDEX('Term investments'!$G:$G,ROW())&gt;=1,--INDEX('Term investments'!$G:$G,ROW())/100,--INDEX('Term investments'!$G:$G,ROW())),0)</f>
        <v/>
      </c>
      <c r="H1593">
        <f>IFERROR(--INDEX('Term investments'!$H:$H,ROW()),0)</f>
        <v/>
      </c>
      <c r="I1593">
        <f>IF(ISNUMBER(INDEX('Term investments'!$G:$G,ROW())),1,0)</f>
        <v/>
      </c>
      <c r="J1593">
        <f>TRIM(SUBSTITUTE(INDEX('Call accounts and MMFs'!$A:$A,ROW())&amp;""," "," "))</f>
        <v/>
      </c>
      <c r="K1593">
        <f>TRIM(SUBSTITUTE(INDEX('Call accounts and MMFs'!$B:$B,ROW())&amp;""," "," "))</f>
        <v/>
      </c>
      <c r="L1593">
        <f>TRIM(SUBSTITUTE(INDEX('Call accounts and MMFs'!$C:$C,ROW())&amp;""," "," "))</f>
        <v/>
      </c>
      <c r="M1593">
        <f>IFERROR(--INDEX('Call accounts and MMFs'!$D:$D,ROW()),0)</f>
        <v/>
      </c>
      <c r="N1593">
        <f>IFERROR(IF(--INDEX('Call accounts and MMFs'!$E:$E,ROW())&gt;=1,--INDEX('Call accounts and MMFs'!$E:$E,ROW())/100,--INDEX('Call accounts and MMFs'!$E:$E,ROW())),0)</f>
        <v/>
      </c>
      <c r="O1593">
        <f>IFERROR(--INDEX('Call accounts and MMFs'!$F:$F,ROW()),0)</f>
        <v/>
      </c>
      <c r="P1593">
        <f>IF(ISNUMBER(INDEX('Call accounts and MMFs'!$E:$E,ROW())),1,0)</f>
        <v/>
      </c>
      <c r="Q1593">
        <f>TRIM(SUBSTITUTE(INDEX('Pooled funds'!$B:$B,ROW())&amp;""," "," "))</f>
        <v/>
      </c>
      <c r="R1593">
        <f>IFERROR(--INDEX('Pooled funds'!$C:$C,ROW()),0)</f>
        <v/>
      </c>
      <c r="S1593">
        <f>IFERROR(--INDEX('Pooled funds'!$D:$D,ROW()),0)</f>
        <v/>
      </c>
      <c r="T1593">
        <f>IFERROR(IF(--INDEX('Pooled funds'!$E:$E,ROW())&gt;=1,--INDEX('Pooled funds'!$E:$E,ROW())/100,--INDEX('Pooled funds'!$E:$E,ROW())),0)</f>
        <v/>
      </c>
      <c r="U1593">
        <f>IF(ISNUMBER(INDEX('Pooled funds'!$E:$E,ROW())),1,0)</f>
        <v/>
      </c>
    </row>
    <row r="1594">
      <c r="A1594">
        <f>TRIM(SUBSTITUTE(INDEX('Term investments'!$A:$A,ROW())&amp;""," "," "))</f>
        <v/>
      </c>
      <c r="B1594">
        <f>TRIM(SUBSTITUTE(INDEX('Term investments'!$B:$B,ROW())&amp;""," "," "))</f>
        <v/>
      </c>
      <c r="C1594">
        <f>TRIM(SUBSTITUTE(INDEX('Term investments'!$C:$C,ROW())&amp;""," "," "))</f>
        <v/>
      </c>
      <c r="D1594">
        <f>IFERROR(--INDEX('Term investments'!$D:$D,ROW()),0)</f>
        <v/>
      </c>
      <c r="E1594">
        <f>IFERROR(--INDEX('Term investments'!$E:$E,ROW()),0)</f>
        <v/>
      </c>
      <c r="F1594">
        <f>IFERROR(--INDEX('Term investments'!$F:$F,ROW()),0)</f>
        <v/>
      </c>
      <c r="G1594">
        <f>IFERROR(IF(--INDEX('Term investments'!$G:$G,ROW())&gt;=1,--INDEX('Term investments'!$G:$G,ROW())/100,--INDEX('Term investments'!$G:$G,ROW())),0)</f>
        <v/>
      </c>
      <c r="H1594">
        <f>IFERROR(--INDEX('Term investments'!$H:$H,ROW()),0)</f>
        <v/>
      </c>
      <c r="I1594">
        <f>IF(ISNUMBER(INDEX('Term investments'!$G:$G,ROW())),1,0)</f>
        <v/>
      </c>
      <c r="J1594">
        <f>TRIM(SUBSTITUTE(INDEX('Call accounts and MMFs'!$A:$A,ROW())&amp;""," "," "))</f>
        <v/>
      </c>
      <c r="K1594">
        <f>TRIM(SUBSTITUTE(INDEX('Call accounts and MMFs'!$B:$B,ROW())&amp;""," "," "))</f>
        <v/>
      </c>
      <c r="L1594">
        <f>TRIM(SUBSTITUTE(INDEX('Call accounts and MMFs'!$C:$C,ROW())&amp;""," "," "))</f>
        <v/>
      </c>
      <c r="M1594">
        <f>IFERROR(--INDEX('Call accounts and MMFs'!$D:$D,ROW()),0)</f>
        <v/>
      </c>
      <c r="N1594">
        <f>IFERROR(IF(--INDEX('Call accounts and MMFs'!$E:$E,ROW())&gt;=1,--INDEX('Call accounts and MMFs'!$E:$E,ROW())/100,--INDEX('Call accounts and MMFs'!$E:$E,ROW())),0)</f>
        <v/>
      </c>
      <c r="O1594">
        <f>IFERROR(--INDEX('Call accounts and MMFs'!$F:$F,ROW()),0)</f>
        <v/>
      </c>
      <c r="P1594">
        <f>IF(ISNUMBER(INDEX('Call accounts and MMFs'!$E:$E,ROW())),1,0)</f>
        <v/>
      </c>
      <c r="Q1594">
        <f>TRIM(SUBSTITUTE(INDEX('Pooled funds'!$B:$B,ROW())&amp;""," "," "))</f>
        <v/>
      </c>
      <c r="R1594">
        <f>IFERROR(--INDEX('Pooled funds'!$C:$C,ROW()),0)</f>
        <v/>
      </c>
      <c r="S1594">
        <f>IFERROR(--INDEX('Pooled funds'!$D:$D,ROW()),0)</f>
        <v/>
      </c>
      <c r="T1594">
        <f>IFERROR(IF(--INDEX('Pooled funds'!$E:$E,ROW())&gt;=1,--INDEX('Pooled funds'!$E:$E,ROW())/100,--INDEX('Pooled funds'!$E:$E,ROW())),0)</f>
        <v/>
      </c>
      <c r="U1594">
        <f>IF(ISNUMBER(INDEX('Pooled funds'!$E:$E,ROW())),1,0)</f>
        <v/>
      </c>
    </row>
    <row r="1595">
      <c r="A1595">
        <f>TRIM(SUBSTITUTE(INDEX('Term investments'!$A:$A,ROW())&amp;""," "," "))</f>
        <v/>
      </c>
      <c r="B1595">
        <f>TRIM(SUBSTITUTE(INDEX('Term investments'!$B:$B,ROW())&amp;""," "," "))</f>
        <v/>
      </c>
      <c r="C1595">
        <f>TRIM(SUBSTITUTE(INDEX('Term investments'!$C:$C,ROW())&amp;""," "," "))</f>
        <v/>
      </c>
      <c r="D1595">
        <f>IFERROR(--INDEX('Term investments'!$D:$D,ROW()),0)</f>
        <v/>
      </c>
      <c r="E1595">
        <f>IFERROR(--INDEX('Term investments'!$E:$E,ROW()),0)</f>
        <v/>
      </c>
      <c r="F1595">
        <f>IFERROR(--INDEX('Term investments'!$F:$F,ROW()),0)</f>
        <v/>
      </c>
      <c r="G1595">
        <f>IFERROR(IF(--INDEX('Term investments'!$G:$G,ROW())&gt;=1,--INDEX('Term investments'!$G:$G,ROW())/100,--INDEX('Term investments'!$G:$G,ROW())),0)</f>
        <v/>
      </c>
      <c r="H1595">
        <f>IFERROR(--INDEX('Term investments'!$H:$H,ROW()),0)</f>
        <v/>
      </c>
      <c r="I1595">
        <f>IF(ISNUMBER(INDEX('Term investments'!$G:$G,ROW())),1,0)</f>
        <v/>
      </c>
      <c r="J1595">
        <f>TRIM(SUBSTITUTE(INDEX('Call accounts and MMFs'!$A:$A,ROW())&amp;""," "," "))</f>
        <v/>
      </c>
      <c r="K1595">
        <f>TRIM(SUBSTITUTE(INDEX('Call accounts and MMFs'!$B:$B,ROW())&amp;""," "," "))</f>
        <v/>
      </c>
      <c r="L1595">
        <f>TRIM(SUBSTITUTE(INDEX('Call accounts and MMFs'!$C:$C,ROW())&amp;""," "," "))</f>
        <v/>
      </c>
      <c r="M1595">
        <f>IFERROR(--INDEX('Call accounts and MMFs'!$D:$D,ROW()),0)</f>
        <v/>
      </c>
      <c r="N1595">
        <f>IFERROR(IF(--INDEX('Call accounts and MMFs'!$E:$E,ROW())&gt;=1,--INDEX('Call accounts and MMFs'!$E:$E,ROW())/100,--INDEX('Call accounts and MMFs'!$E:$E,ROW())),0)</f>
        <v/>
      </c>
      <c r="O1595">
        <f>IFERROR(--INDEX('Call accounts and MMFs'!$F:$F,ROW()),0)</f>
        <v/>
      </c>
      <c r="P1595">
        <f>IF(ISNUMBER(INDEX('Call accounts and MMFs'!$E:$E,ROW())),1,0)</f>
        <v/>
      </c>
      <c r="Q1595">
        <f>TRIM(SUBSTITUTE(INDEX('Pooled funds'!$B:$B,ROW())&amp;""," "," "))</f>
        <v/>
      </c>
      <c r="R1595">
        <f>IFERROR(--INDEX('Pooled funds'!$C:$C,ROW()),0)</f>
        <v/>
      </c>
      <c r="S1595">
        <f>IFERROR(--INDEX('Pooled funds'!$D:$D,ROW()),0)</f>
        <v/>
      </c>
      <c r="T1595">
        <f>IFERROR(IF(--INDEX('Pooled funds'!$E:$E,ROW())&gt;=1,--INDEX('Pooled funds'!$E:$E,ROW())/100,--INDEX('Pooled funds'!$E:$E,ROW())),0)</f>
        <v/>
      </c>
      <c r="U1595">
        <f>IF(ISNUMBER(INDEX('Pooled funds'!$E:$E,ROW())),1,0)</f>
        <v/>
      </c>
    </row>
    <row r="1596">
      <c r="A1596">
        <f>TRIM(SUBSTITUTE(INDEX('Term investments'!$A:$A,ROW())&amp;""," "," "))</f>
        <v/>
      </c>
      <c r="B1596">
        <f>TRIM(SUBSTITUTE(INDEX('Term investments'!$B:$B,ROW())&amp;""," "," "))</f>
        <v/>
      </c>
      <c r="C1596">
        <f>TRIM(SUBSTITUTE(INDEX('Term investments'!$C:$C,ROW())&amp;""," "," "))</f>
        <v/>
      </c>
      <c r="D1596">
        <f>IFERROR(--INDEX('Term investments'!$D:$D,ROW()),0)</f>
        <v/>
      </c>
      <c r="E1596">
        <f>IFERROR(--INDEX('Term investments'!$E:$E,ROW()),0)</f>
        <v/>
      </c>
      <c r="F1596">
        <f>IFERROR(--INDEX('Term investments'!$F:$F,ROW()),0)</f>
        <v/>
      </c>
      <c r="G1596">
        <f>IFERROR(IF(--INDEX('Term investments'!$G:$G,ROW())&gt;=1,--INDEX('Term investments'!$G:$G,ROW())/100,--INDEX('Term investments'!$G:$G,ROW())),0)</f>
        <v/>
      </c>
      <c r="H1596">
        <f>IFERROR(--INDEX('Term investments'!$H:$H,ROW()),0)</f>
        <v/>
      </c>
      <c r="I1596">
        <f>IF(ISNUMBER(INDEX('Term investments'!$G:$G,ROW())),1,0)</f>
        <v/>
      </c>
      <c r="J1596">
        <f>TRIM(SUBSTITUTE(INDEX('Call accounts and MMFs'!$A:$A,ROW())&amp;""," "," "))</f>
        <v/>
      </c>
      <c r="K1596">
        <f>TRIM(SUBSTITUTE(INDEX('Call accounts and MMFs'!$B:$B,ROW())&amp;""," "," "))</f>
        <v/>
      </c>
      <c r="L1596">
        <f>TRIM(SUBSTITUTE(INDEX('Call accounts and MMFs'!$C:$C,ROW())&amp;""," "," "))</f>
        <v/>
      </c>
      <c r="M1596">
        <f>IFERROR(--INDEX('Call accounts and MMFs'!$D:$D,ROW()),0)</f>
        <v/>
      </c>
      <c r="N1596">
        <f>IFERROR(IF(--INDEX('Call accounts and MMFs'!$E:$E,ROW())&gt;=1,--INDEX('Call accounts and MMFs'!$E:$E,ROW())/100,--INDEX('Call accounts and MMFs'!$E:$E,ROW())),0)</f>
        <v/>
      </c>
      <c r="O1596">
        <f>IFERROR(--INDEX('Call accounts and MMFs'!$F:$F,ROW()),0)</f>
        <v/>
      </c>
      <c r="P1596">
        <f>IF(ISNUMBER(INDEX('Call accounts and MMFs'!$E:$E,ROW())),1,0)</f>
        <v/>
      </c>
      <c r="Q1596">
        <f>TRIM(SUBSTITUTE(INDEX('Pooled funds'!$B:$B,ROW())&amp;""," "," "))</f>
        <v/>
      </c>
      <c r="R1596">
        <f>IFERROR(--INDEX('Pooled funds'!$C:$C,ROW()),0)</f>
        <v/>
      </c>
      <c r="S1596">
        <f>IFERROR(--INDEX('Pooled funds'!$D:$D,ROW()),0)</f>
        <v/>
      </c>
      <c r="T1596">
        <f>IFERROR(IF(--INDEX('Pooled funds'!$E:$E,ROW())&gt;=1,--INDEX('Pooled funds'!$E:$E,ROW())/100,--INDEX('Pooled funds'!$E:$E,ROW())),0)</f>
        <v/>
      </c>
      <c r="U1596">
        <f>IF(ISNUMBER(INDEX('Pooled funds'!$E:$E,ROW())),1,0)</f>
        <v/>
      </c>
    </row>
    <row r="1597">
      <c r="A1597">
        <f>TRIM(SUBSTITUTE(INDEX('Term investments'!$A:$A,ROW())&amp;""," "," "))</f>
        <v/>
      </c>
      <c r="B1597">
        <f>TRIM(SUBSTITUTE(INDEX('Term investments'!$B:$B,ROW())&amp;""," "," "))</f>
        <v/>
      </c>
      <c r="C1597">
        <f>TRIM(SUBSTITUTE(INDEX('Term investments'!$C:$C,ROW())&amp;""," "," "))</f>
        <v/>
      </c>
      <c r="D1597">
        <f>IFERROR(--INDEX('Term investments'!$D:$D,ROW()),0)</f>
        <v/>
      </c>
      <c r="E1597">
        <f>IFERROR(--INDEX('Term investments'!$E:$E,ROW()),0)</f>
        <v/>
      </c>
      <c r="F1597">
        <f>IFERROR(--INDEX('Term investments'!$F:$F,ROW()),0)</f>
        <v/>
      </c>
      <c r="G1597">
        <f>IFERROR(IF(--INDEX('Term investments'!$G:$G,ROW())&gt;=1,--INDEX('Term investments'!$G:$G,ROW())/100,--INDEX('Term investments'!$G:$G,ROW())),0)</f>
        <v/>
      </c>
      <c r="H1597">
        <f>IFERROR(--INDEX('Term investments'!$H:$H,ROW()),0)</f>
        <v/>
      </c>
      <c r="I1597">
        <f>IF(ISNUMBER(INDEX('Term investments'!$G:$G,ROW())),1,0)</f>
        <v/>
      </c>
      <c r="J1597">
        <f>TRIM(SUBSTITUTE(INDEX('Call accounts and MMFs'!$A:$A,ROW())&amp;""," "," "))</f>
        <v/>
      </c>
      <c r="K1597">
        <f>TRIM(SUBSTITUTE(INDEX('Call accounts and MMFs'!$B:$B,ROW())&amp;""," "," "))</f>
        <v/>
      </c>
      <c r="L1597">
        <f>TRIM(SUBSTITUTE(INDEX('Call accounts and MMFs'!$C:$C,ROW())&amp;""," "," "))</f>
        <v/>
      </c>
      <c r="M1597">
        <f>IFERROR(--INDEX('Call accounts and MMFs'!$D:$D,ROW()),0)</f>
        <v/>
      </c>
      <c r="N1597">
        <f>IFERROR(IF(--INDEX('Call accounts and MMFs'!$E:$E,ROW())&gt;=1,--INDEX('Call accounts and MMFs'!$E:$E,ROW())/100,--INDEX('Call accounts and MMFs'!$E:$E,ROW())),0)</f>
        <v/>
      </c>
      <c r="O1597">
        <f>IFERROR(--INDEX('Call accounts and MMFs'!$F:$F,ROW()),0)</f>
        <v/>
      </c>
      <c r="P1597">
        <f>IF(ISNUMBER(INDEX('Call accounts and MMFs'!$E:$E,ROW())),1,0)</f>
        <v/>
      </c>
      <c r="Q1597">
        <f>TRIM(SUBSTITUTE(INDEX('Pooled funds'!$B:$B,ROW())&amp;""," "," "))</f>
        <v/>
      </c>
      <c r="R1597">
        <f>IFERROR(--INDEX('Pooled funds'!$C:$C,ROW()),0)</f>
        <v/>
      </c>
      <c r="S1597">
        <f>IFERROR(--INDEX('Pooled funds'!$D:$D,ROW()),0)</f>
        <v/>
      </c>
      <c r="T1597">
        <f>IFERROR(IF(--INDEX('Pooled funds'!$E:$E,ROW())&gt;=1,--INDEX('Pooled funds'!$E:$E,ROW())/100,--INDEX('Pooled funds'!$E:$E,ROW())),0)</f>
        <v/>
      </c>
      <c r="U1597">
        <f>IF(ISNUMBER(INDEX('Pooled funds'!$E:$E,ROW())),1,0)</f>
        <v/>
      </c>
    </row>
    <row r="1598">
      <c r="A1598">
        <f>TRIM(SUBSTITUTE(INDEX('Term investments'!$A:$A,ROW())&amp;""," "," "))</f>
        <v/>
      </c>
      <c r="B1598">
        <f>TRIM(SUBSTITUTE(INDEX('Term investments'!$B:$B,ROW())&amp;""," "," "))</f>
        <v/>
      </c>
      <c r="C1598">
        <f>TRIM(SUBSTITUTE(INDEX('Term investments'!$C:$C,ROW())&amp;""," "," "))</f>
        <v/>
      </c>
      <c r="D1598">
        <f>IFERROR(--INDEX('Term investments'!$D:$D,ROW()),0)</f>
        <v/>
      </c>
      <c r="E1598">
        <f>IFERROR(--INDEX('Term investments'!$E:$E,ROW()),0)</f>
        <v/>
      </c>
      <c r="F1598">
        <f>IFERROR(--INDEX('Term investments'!$F:$F,ROW()),0)</f>
        <v/>
      </c>
      <c r="G1598">
        <f>IFERROR(IF(--INDEX('Term investments'!$G:$G,ROW())&gt;=1,--INDEX('Term investments'!$G:$G,ROW())/100,--INDEX('Term investments'!$G:$G,ROW())),0)</f>
        <v/>
      </c>
      <c r="H1598">
        <f>IFERROR(--INDEX('Term investments'!$H:$H,ROW()),0)</f>
        <v/>
      </c>
      <c r="I1598">
        <f>IF(ISNUMBER(INDEX('Term investments'!$G:$G,ROW())),1,0)</f>
        <v/>
      </c>
      <c r="J1598">
        <f>TRIM(SUBSTITUTE(INDEX('Call accounts and MMFs'!$A:$A,ROW())&amp;""," "," "))</f>
        <v/>
      </c>
      <c r="K1598">
        <f>TRIM(SUBSTITUTE(INDEX('Call accounts and MMFs'!$B:$B,ROW())&amp;""," "," "))</f>
        <v/>
      </c>
      <c r="L1598">
        <f>TRIM(SUBSTITUTE(INDEX('Call accounts and MMFs'!$C:$C,ROW())&amp;""," "," "))</f>
        <v/>
      </c>
      <c r="M1598">
        <f>IFERROR(--INDEX('Call accounts and MMFs'!$D:$D,ROW()),0)</f>
        <v/>
      </c>
      <c r="N1598">
        <f>IFERROR(IF(--INDEX('Call accounts and MMFs'!$E:$E,ROW())&gt;=1,--INDEX('Call accounts and MMFs'!$E:$E,ROW())/100,--INDEX('Call accounts and MMFs'!$E:$E,ROW())),0)</f>
        <v/>
      </c>
      <c r="O1598">
        <f>IFERROR(--INDEX('Call accounts and MMFs'!$F:$F,ROW()),0)</f>
        <v/>
      </c>
      <c r="P1598">
        <f>IF(ISNUMBER(INDEX('Call accounts and MMFs'!$E:$E,ROW())),1,0)</f>
        <v/>
      </c>
      <c r="Q1598">
        <f>TRIM(SUBSTITUTE(INDEX('Pooled funds'!$B:$B,ROW())&amp;""," "," "))</f>
        <v/>
      </c>
      <c r="R1598">
        <f>IFERROR(--INDEX('Pooled funds'!$C:$C,ROW()),0)</f>
        <v/>
      </c>
      <c r="S1598">
        <f>IFERROR(--INDEX('Pooled funds'!$D:$D,ROW()),0)</f>
        <v/>
      </c>
      <c r="T1598">
        <f>IFERROR(IF(--INDEX('Pooled funds'!$E:$E,ROW())&gt;=1,--INDEX('Pooled funds'!$E:$E,ROW())/100,--INDEX('Pooled funds'!$E:$E,ROW())),0)</f>
        <v/>
      </c>
      <c r="U1598">
        <f>IF(ISNUMBER(INDEX('Pooled funds'!$E:$E,ROW())),1,0)</f>
        <v/>
      </c>
    </row>
    <row r="1599">
      <c r="A1599">
        <f>TRIM(SUBSTITUTE(INDEX('Term investments'!$A:$A,ROW())&amp;""," "," "))</f>
        <v/>
      </c>
      <c r="B1599">
        <f>TRIM(SUBSTITUTE(INDEX('Term investments'!$B:$B,ROW())&amp;""," "," "))</f>
        <v/>
      </c>
      <c r="C1599">
        <f>TRIM(SUBSTITUTE(INDEX('Term investments'!$C:$C,ROW())&amp;""," "," "))</f>
        <v/>
      </c>
      <c r="D1599">
        <f>IFERROR(--INDEX('Term investments'!$D:$D,ROW()),0)</f>
        <v/>
      </c>
      <c r="E1599">
        <f>IFERROR(--INDEX('Term investments'!$E:$E,ROW()),0)</f>
        <v/>
      </c>
      <c r="F1599">
        <f>IFERROR(--INDEX('Term investments'!$F:$F,ROW()),0)</f>
        <v/>
      </c>
      <c r="G1599">
        <f>IFERROR(IF(--INDEX('Term investments'!$G:$G,ROW())&gt;=1,--INDEX('Term investments'!$G:$G,ROW())/100,--INDEX('Term investments'!$G:$G,ROW())),0)</f>
        <v/>
      </c>
      <c r="H1599">
        <f>IFERROR(--INDEX('Term investments'!$H:$H,ROW()),0)</f>
        <v/>
      </c>
      <c r="I1599">
        <f>IF(ISNUMBER(INDEX('Term investments'!$G:$G,ROW())),1,0)</f>
        <v/>
      </c>
      <c r="J1599">
        <f>TRIM(SUBSTITUTE(INDEX('Call accounts and MMFs'!$A:$A,ROW())&amp;""," "," "))</f>
        <v/>
      </c>
      <c r="K1599">
        <f>TRIM(SUBSTITUTE(INDEX('Call accounts and MMFs'!$B:$B,ROW())&amp;""," "," "))</f>
        <v/>
      </c>
      <c r="L1599">
        <f>TRIM(SUBSTITUTE(INDEX('Call accounts and MMFs'!$C:$C,ROW())&amp;""," "," "))</f>
        <v/>
      </c>
      <c r="M1599">
        <f>IFERROR(--INDEX('Call accounts and MMFs'!$D:$D,ROW()),0)</f>
        <v/>
      </c>
      <c r="N1599">
        <f>IFERROR(IF(--INDEX('Call accounts and MMFs'!$E:$E,ROW())&gt;=1,--INDEX('Call accounts and MMFs'!$E:$E,ROW())/100,--INDEX('Call accounts and MMFs'!$E:$E,ROW())),0)</f>
        <v/>
      </c>
      <c r="O1599">
        <f>IFERROR(--INDEX('Call accounts and MMFs'!$F:$F,ROW()),0)</f>
        <v/>
      </c>
      <c r="P1599">
        <f>IF(ISNUMBER(INDEX('Call accounts and MMFs'!$E:$E,ROW())),1,0)</f>
        <v/>
      </c>
      <c r="Q1599">
        <f>TRIM(SUBSTITUTE(INDEX('Pooled funds'!$B:$B,ROW())&amp;""," "," "))</f>
        <v/>
      </c>
      <c r="R1599">
        <f>IFERROR(--INDEX('Pooled funds'!$C:$C,ROW()),0)</f>
        <v/>
      </c>
      <c r="S1599">
        <f>IFERROR(--INDEX('Pooled funds'!$D:$D,ROW()),0)</f>
        <v/>
      </c>
      <c r="T1599">
        <f>IFERROR(IF(--INDEX('Pooled funds'!$E:$E,ROW())&gt;=1,--INDEX('Pooled funds'!$E:$E,ROW())/100,--INDEX('Pooled funds'!$E:$E,ROW())),0)</f>
        <v/>
      </c>
      <c r="U1599">
        <f>IF(ISNUMBER(INDEX('Pooled funds'!$E:$E,ROW())),1,0)</f>
        <v/>
      </c>
    </row>
    <row r="1600">
      <c r="A1600">
        <f>TRIM(SUBSTITUTE(INDEX('Term investments'!$A:$A,ROW())&amp;""," "," "))</f>
        <v/>
      </c>
      <c r="B1600">
        <f>TRIM(SUBSTITUTE(INDEX('Term investments'!$B:$B,ROW())&amp;""," "," "))</f>
        <v/>
      </c>
      <c r="C1600">
        <f>TRIM(SUBSTITUTE(INDEX('Term investments'!$C:$C,ROW())&amp;""," "," "))</f>
        <v/>
      </c>
      <c r="D1600">
        <f>IFERROR(--INDEX('Term investments'!$D:$D,ROW()),0)</f>
        <v/>
      </c>
      <c r="E1600">
        <f>IFERROR(--INDEX('Term investments'!$E:$E,ROW()),0)</f>
        <v/>
      </c>
      <c r="F1600">
        <f>IFERROR(--INDEX('Term investments'!$F:$F,ROW()),0)</f>
        <v/>
      </c>
      <c r="G1600">
        <f>IFERROR(IF(--INDEX('Term investments'!$G:$G,ROW())&gt;=1,--INDEX('Term investments'!$G:$G,ROW())/100,--INDEX('Term investments'!$G:$G,ROW())),0)</f>
        <v/>
      </c>
      <c r="H1600">
        <f>IFERROR(--INDEX('Term investments'!$H:$H,ROW()),0)</f>
        <v/>
      </c>
      <c r="I1600">
        <f>IF(ISNUMBER(INDEX('Term investments'!$G:$G,ROW())),1,0)</f>
        <v/>
      </c>
      <c r="J1600">
        <f>TRIM(SUBSTITUTE(INDEX('Call accounts and MMFs'!$A:$A,ROW())&amp;""," "," "))</f>
        <v/>
      </c>
      <c r="K1600">
        <f>TRIM(SUBSTITUTE(INDEX('Call accounts and MMFs'!$B:$B,ROW())&amp;""," "," "))</f>
        <v/>
      </c>
      <c r="L1600">
        <f>TRIM(SUBSTITUTE(INDEX('Call accounts and MMFs'!$C:$C,ROW())&amp;""," "," "))</f>
        <v/>
      </c>
      <c r="M1600">
        <f>IFERROR(--INDEX('Call accounts and MMFs'!$D:$D,ROW()),0)</f>
        <v/>
      </c>
      <c r="N1600">
        <f>IFERROR(IF(--INDEX('Call accounts and MMFs'!$E:$E,ROW())&gt;=1,--INDEX('Call accounts and MMFs'!$E:$E,ROW())/100,--INDEX('Call accounts and MMFs'!$E:$E,ROW())),0)</f>
        <v/>
      </c>
      <c r="O1600">
        <f>IFERROR(--INDEX('Call accounts and MMFs'!$F:$F,ROW()),0)</f>
        <v/>
      </c>
      <c r="P1600">
        <f>IF(ISNUMBER(INDEX('Call accounts and MMFs'!$E:$E,ROW())),1,0)</f>
        <v/>
      </c>
      <c r="Q1600">
        <f>TRIM(SUBSTITUTE(INDEX('Pooled funds'!$B:$B,ROW())&amp;""," "," "))</f>
        <v/>
      </c>
      <c r="R1600">
        <f>IFERROR(--INDEX('Pooled funds'!$C:$C,ROW()),0)</f>
        <v/>
      </c>
      <c r="S1600">
        <f>IFERROR(--INDEX('Pooled funds'!$D:$D,ROW()),0)</f>
        <v/>
      </c>
      <c r="T1600">
        <f>IFERROR(IF(--INDEX('Pooled funds'!$E:$E,ROW())&gt;=1,--INDEX('Pooled funds'!$E:$E,ROW())/100,--INDEX('Pooled funds'!$E:$E,ROW())),0)</f>
        <v/>
      </c>
      <c r="U1600">
        <f>IF(ISNUMBER(INDEX('Pooled funds'!$E:$E,ROW())),1,0)</f>
        <v/>
      </c>
    </row>
    <row r="1601">
      <c r="A1601">
        <f>TRIM(SUBSTITUTE(INDEX('Term investments'!$A:$A,ROW())&amp;""," "," "))</f>
        <v/>
      </c>
      <c r="B1601">
        <f>TRIM(SUBSTITUTE(INDEX('Term investments'!$B:$B,ROW())&amp;""," "," "))</f>
        <v/>
      </c>
      <c r="C1601">
        <f>TRIM(SUBSTITUTE(INDEX('Term investments'!$C:$C,ROW())&amp;""," "," "))</f>
        <v/>
      </c>
      <c r="D1601">
        <f>IFERROR(--INDEX('Term investments'!$D:$D,ROW()),0)</f>
        <v/>
      </c>
      <c r="E1601">
        <f>IFERROR(--INDEX('Term investments'!$E:$E,ROW()),0)</f>
        <v/>
      </c>
      <c r="F1601">
        <f>IFERROR(--INDEX('Term investments'!$F:$F,ROW()),0)</f>
        <v/>
      </c>
      <c r="G1601">
        <f>IFERROR(IF(--INDEX('Term investments'!$G:$G,ROW())&gt;=1,--INDEX('Term investments'!$G:$G,ROW())/100,--INDEX('Term investments'!$G:$G,ROW())),0)</f>
        <v/>
      </c>
      <c r="H1601">
        <f>IFERROR(--INDEX('Term investments'!$H:$H,ROW()),0)</f>
        <v/>
      </c>
      <c r="I1601">
        <f>IF(ISNUMBER(INDEX('Term investments'!$G:$G,ROW())),1,0)</f>
        <v/>
      </c>
      <c r="J1601">
        <f>TRIM(SUBSTITUTE(INDEX('Call accounts and MMFs'!$A:$A,ROW())&amp;""," "," "))</f>
        <v/>
      </c>
      <c r="K1601">
        <f>TRIM(SUBSTITUTE(INDEX('Call accounts and MMFs'!$B:$B,ROW())&amp;""," "," "))</f>
        <v/>
      </c>
      <c r="L1601">
        <f>TRIM(SUBSTITUTE(INDEX('Call accounts and MMFs'!$C:$C,ROW())&amp;""," "," "))</f>
        <v/>
      </c>
      <c r="M1601">
        <f>IFERROR(--INDEX('Call accounts and MMFs'!$D:$D,ROW()),0)</f>
        <v/>
      </c>
      <c r="N1601">
        <f>IFERROR(IF(--INDEX('Call accounts and MMFs'!$E:$E,ROW())&gt;=1,--INDEX('Call accounts and MMFs'!$E:$E,ROW())/100,--INDEX('Call accounts and MMFs'!$E:$E,ROW())),0)</f>
        <v/>
      </c>
      <c r="O1601">
        <f>IFERROR(--INDEX('Call accounts and MMFs'!$F:$F,ROW()),0)</f>
        <v/>
      </c>
      <c r="P1601">
        <f>IF(ISNUMBER(INDEX('Call accounts and MMFs'!$E:$E,ROW())),1,0)</f>
        <v/>
      </c>
      <c r="Q1601">
        <f>TRIM(SUBSTITUTE(INDEX('Pooled funds'!$B:$B,ROW())&amp;""," "," "))</f>
        <v/>
      </c>
      <c r="R1601">
        <f>IFERROR(--INDEX('Pooled funds'!$C:$C,ROW()),0)</f>
        <v/>
      </c>
      <c r="S1601">
        <f>IFERROR(--INDEX('Pooled funds'!$D:$D,ROW()),0)</f>
        <v/>
      </c>
      <c r="T1601">
        <f>IFERROR(IF(--INDEX('Pooled funds'!$E:$E,ROW())&gt;=1,--INDEX('Pooled funds'!$E:$E,ROW())/100,--INDEX('Pooled funds'!$E:$E,ROW())),0)</f>
        <v/>
      </c>
      <c r="U1601">
        <f>IF(ISNUMBER(INDEX('Pooled funds'!$E:$E,ROW())),1,0)</f>
        <v/>
      </c>
    </row>
    <row r="1602">
      <c r="A1602">
        <f>TRIM(SUBSTITUTE(INDEX('Term investments'!$A:$A,ROW())&amp;""," "," "))</f>
        <v/>
      </c>
      <c r="B1602">
        <f>TRIM(SUBSTITUTE(INDEX('Term investments'!$B:$B,ROW())&amp;""," "," "))</f>
        <v/>
      </c>
      <c r="C1602">
        <f>TRIM(SUBSTITUTE(INDEX('Term investments'!$C:$C,ROW())&amp;""," "," "))</f>
        <v/>
      </c>
      <c r="D1602">
        <f>IFERROR(--INDEX('Term investments'!$D:$D,ROW()),0)</f>
        <v/>
      </c>
      <c r="E1602">
        <f>IFERROR(--INDEX('Term investments'!$E:$E,ROW()),0)</f>
        <v/>
      </c>
      <c r="F1602">
        <f>IFERROR(--INDEX('Term investments'!$F:$F,ROW()),0)</f>
        <v/>
      </c>
      <c r="G1602">
        <f>IFERROR(IF(--INDEX('Term investments'!$G:$G,ROW())&gt;=1,--INDEX('Term investments'!$G:$G,ROW())/100,--INDEX('Term investments'!$G:$G,ROW())),0)</f>
        <v/>
      </c>
      <c r="H1602">
        <f>IFERROR(--INDEX('Term investments'!$H:$H,ROW()),0)</f>
        <v/>
      </c>
      <c r="I1602">
        <f>IF(ISNUMBER(INDEX('Term investments'!$G:$G,ROW())),1,0)</f>
        <v/>
      </c>
      <c r="J1602">
        <f>TRIM(SUBSTITUTE(INDEX('Call accounts and MMFs'!$A:$A,ROW())&amp;""," "," "))</f>
        <v/>
      </c>
      <c r="K1602">
        <f>TRIM(SUBSTITUTE(INDEX('Call accounts and MMFs'!$B:$B,ROW())&amp;""," "," "))</f>
        <v/>
      </c>
      <c r="L1602">
        <f>TRIM(SUBSTITUTE(INDEX('Call accounts and MMFs'!$C:$C,ROW())&amp;""," "," "))</f>
        <v/>
      </c>
      <c r="M1602">
        <f>IFERROR(--INDEX('Call accounts and MMFs'!$D:$D,ROW()),0)</f>
        <v/>
      </c>
      <c r="N1602">
        <f>IFERROR(IF(--INDEX('Call accounts and MMFs'!$E:$E,ROW())&gt;=1,--INDEX('Call accounts and MMFs'!$E:$E,ROW())/100,--INDEX('Call accounts and MMFs'!$E:$E,ROW())),0)</f>
        <v/>
      </c>
      <c r="O1602">
        <f>IFERROR(--INDEX('Call accounts and MMFs'!$F:$F,ROW()),0)</f>
        <v/>
      </c>
      <c r="P1602">
        <f>IF(ISNUMBER(INDEX('Call accounts and MMFs'!$E:$E,ROW())),1,0)</f>
        <v/>
      </c>
      <c r="Q1602">
        <f>TRIM(SUBSTITUTE(INDEX('Pooled funds'!$B:$B,ROW())&amp;""," "," "))</f>
        <v/>
      </c>
      <c r="R1602">
        <f>IFERROR(--INDEX('Pooled funds'!$C:$C,ROW()),0)</f>
        <v/>
      </c>
      <c r="S1602">
        <f>IFERROR(--INDEX('Pooled funds'!$D:$D,ROW()),0)</f>
        <v/>
      </c>
      <c r="T1602">
        <f>IFERROR(IF(--INDEX('Pooled funds'!$E:$E,ROW())&gt;=1,--INDEX('Pooled funds'!$E:$E,ROW())/100,--INDEX('Pooled funds'!$E:$E,ROW())),0)</f>
        <v/>
      </c>
      <c r="U1602">
        <f>IF(ISNUMBER(INDEX('Pooled funds'!$E:$E,ROW())),1,0)</f>
        <v/>
      </c>
    </row>
    <row r="1603">
      <c r="A1603">
        <f>TRIM(SUBSTITUTE(INDEX('Term investments'!$A:$A,ROW())&amp;""," "," "))</f>
        <v/>
      </c>
      <c r="B1603">
        <f>TRIM(SUBSTITUTE(INDEX('Term investments'!$B:$B,ROW())&amp;""," "," "))</f>
        <v/>
      </c>
      <c r="C1603">
        <f>TRIM(SUBSTITUTE(INDEX('Term investments'!$C:$C,ROW())&amp;""," "," "))</f>
        <v/>
      </c>
      <c r="D1603">
        <f>IFERROR(--INDEX('Term investments'!$D:$D,ROW()),0)</f>
        <v/>
      </c>
      <c r="E1603">
        <f>IFERROR(--INDEX('Term investments'!$E:$E,ROW()),0)</f>
        <v/>
      </c>
      <c r="F1603">
        <f>IFERROR(--INDEX('Term investments'!$F:$F,ROW()),0)</f>
        <v/>
      </c>
      <c r="G1603">
        <f>IFERROR(IF(--INDEX('Term investments'!$G:$G,ROW())&gt;=1,--INDEX('Term investments'!$G:$G,ROW())/100,--INDEX('Term investments'!$G:$G,ROW())),0)</f>
        <v/>
      </c>
      <c r="H1603">
        <f>IFERROR(--INDEX('Term investments'!$H:$H,ROW()),0)</f>
        <v/>
      </c>
      <c r="I1603">
        <f>IF(ISNUMBER(INDEX('Term investments'!$G:$G,ROW())),1,0)</f>
        <v/>
      </c>
      <c r="J1603">
        <f>TRIM(SUBSTITUTE(INDEX('Call accounts and MMFs'!$A:$A,ROW())&amp;""," "," "))</f>
        <v/>
      </c>
      <c r="K1603">
        <f>TRIM(SUBSTITUTE(INDEX('Call accounts and MMFs'!$B:$B,ROW())&amp;""," "," "))</f>
        <v/>
      </c>
      <c r="L1603">
        <f>TRIM(SUBSTITUTE(INDEX('Call accounts and MMFs'!$C:$C,ROW())&amp;""," "," "))</f>
        <v/>
      </c>
      <c r="M1603">
        <f>IFERROR(--INDEX('Call accounts and MMFs'!$D:$D,ROW()),0)</f>
        <v/>
      </c>
      <c r="N1603">
        <f>IFERROR(IF(--INDEX('Call accounts and MMFs'!$E:$E,ROW())&gt;=1,--INDEX('Call accounts and MMFs'!$E:$E,ROW())/100,--INDEX('Call accounts and MMFs'!$E:$E,ROW())),0)</f>
        <v/>
      </c>
      <c r="O1603">
        <f>IFERROR(--INDEX('Call accounts and MMFs'!$F:$F,ROW()),0)</f>
        <v/>
      </c>
      <c r="P1603">
        <f>IF(ISNUMBER(INDEX('Call accounts and MMFs'!$E:$E,ROW())),1,0)</f>
        <v/>
      </c>
      <c r="Q1603">
        <f>TRIM(SUBSTITUTE(INDEX('Pooled funds'!$B:$B,ROW())&amp;""," "," "))</f>
        <v/>
      </c>
      <c r="R1603">
        <f>IFERROR(--INDEX('Pooled funds'!$C:$C,ROW()),0)</f>
        <v/>
      </c>
      <c r="S1603">
        <f>IFERROR(--INDEX('Pooled funds'!$D:$D,ROW()),0)</f>
        <v/>
      </c>
      <c r="T1603">
        <f>IFERROR(IF(--INDEX('Pooled funds'!$E:$E,ROW())&gt;=1,--INDEX('Pooled funds'!$E:$E,ROW())/100,--INDEX('Pooled funds'!$E:$E,ROW())),0)</f>
        <v/>
      </c>
      <c r="U1603">
        <f>IF(ISNUMBER(INDEX('Pooled funds'!$E:$E,ROW())),1,0)</f>
        <v/>
      </c>
    </row>
    <row r="1604">
      <c r="A1604">
        <f>TRIM(SUBSTITUTE(INDEX('Term investments'!$A:$A,ROW())&amp;""," "," "))</f>
        <v/>
      </c>
      <c r="B1604">
        <f>TRIM(SUBSTITUTE(INDEX('Term investments'!$B:$B,ROW())&amp;""," "," "))</f>
        <v/>
      </c>
      <c r="C1604">
        <f>TRIM(SUBSTITUTE(INDEX('Term investments'!$C:$C,ROW())&amp;""," "," "))</f>
        <v/>
      </c>
      <c r="D1604">
        <f>IFERROR(--INDEX('Term investments'!$D:$D,ROW()),0)</f>
        <v/>
      </c>
      <c r="E1604">
        <f>IFERROR(--INDEX('Term investments'!$E:$E,ROW()),0)</f>
        <v/>
      </c>
      <c r="F1604">
        <f>IFERROR(--INDEX('Term investments'!$F:$F,ROW()),0)</f>
        <v/>
      </c>
      <c r="G1604">
        <f>IFERROR(IF(--INDEX('Term investments'!$G:$G,ROW())&gt;=1,--INDEX('Term investments'!$G:$G,ROW())/100,--INDEX('Term investments'!$G:$G,ROW())),0)</f>
        <v/>
      </c>
      <c r="H1604">
        <f>IFERROR(--INDEX('Term investments'!$H:$H,ROW()),0)</f>
        <v/>
      </c>
      <c r="I1604">
        <f>IF(ISNUMBER(INDEX('Term investments'!$G:$G,ROW())),1,0)</f>
        <v/>
      </c>
      <c r="J1604">
        <f>TRIM(SUBSTITUTE(INDEX('Call accounts and MMFs'!$A:$A,ROW())&amp;""," "," "))</f>
        <v/>
      </c>
      <c r="K1604">
        <f>TRIM(SUBSTITUTE(INDEX('Call accounts and MMFs'!$B:$B,ROW())&amp;""," "," "))</f>
        <v/>
      </c>
      <c r="L1604">
        <f>TRIM(SUBSTITUTE(INDEX('Call accounts and MMFs'!$C:$C,ROW())&amp;""," "," "))</f>
        <v/>
      </c>
      <c r="M1604">
        <f>IFERROR(--INDEX('Call accounts and MMFs'!$D:$D,ROW()),0)</f>
        <v/>
      </c>
      <c r="N1604">
        <f>IFERROR(IF(--INDEX('Call accounts and MMFs'!$E:$E,ROW())&gt;=1,--INDEX('Call accounts and MMFs'!$E:$E,ROW())/100,--INDEX('Call accounts and MMFs'!$E:$E,ROW())),0)</f>
        <v/>
      </c>
      <c r="O1604">
        <f>IFERROR(--INDEX('Call accounts and MMFs'!$F:$F,ROW()),0)</f>
        <v/>
      </c>
      <c r="P1604">
        <f>IF(ISNUMBER(INDEX('Call accounts and MMFs'!$E:$E,ROW())),1,0)</f>
        <v/>
      </c>
      <c r="Q1604">
        <f>TRIM(SUBSTITUTE(INDEX('Pooled funds'!$B:$B,ROW())&amp;""," "," "))</f>
        <v/>
      </c>
      <c r="R1604">
        <f>IFERROR(--INDEX('Pooled funds'!$C:$C,ROW()),0)</f>
        <v/>
      </c>
      <c r="S1604">
        <f>IFERROR(--INDEX('Pooled funds'!$D:$D,ROW()),0)</f>
        <v/>
      </c>
      <c r="T1604">
        <f>IFERROR(IF(--INDEX('Pooled funds'!$E:$E,ROW())&gt;=1,--INDEX('Pooled funds'!$E:$E,ROW())/100,--INDEX('Pooled funds'!$E:$E,ROW())),0)</f>
        <v/>
      </c>
      <c r="U1604">
        <f>IF(ISNUMBER(INDEX('Pooled funds'!$E:$E,ROW())),1,0)</f>
        <v/>
      </c>
    </row>
    <row r="1605">
      <c r="A1605">
        <f>TRIM(SUBSTITUTE(INDEX('Term investments'!$A:$A,ROW())&amp;""," "," "))</f>
        <v/>
      </c>
      <c r="B1605">
        <f>TRIM(SUBSTITUTE(INDEX('Term investments'!$B:$B,ROW())&amp;""," "," "))</f>
        <v/>
      </c>
      <c r="C1605">
        <f>TRIM(SUBSTITUTE(INDEX('Term investments'!$C:$C,ROW())&amp;""," "," "))</f>
        <v/>
      </c>
      <c r="D1605">
        <f>IFERROR(--INDEX('Term investments'!$D:$D,ROW()),0)</f>
        <v/>
      </c>
      <c r="E1605">
        <f>IFERROR(--INDEX('Term investments'!$E:$E,ROW()),0)</f>
        <v/>
      </c>
      <c r="F1605">
        <f>IFERROR(--INDEX('Term investments'!$F:$F,ROW()),0)</f>
        <v/>
      </c>
      <c r="G1605">
        <f>IFERROR(IF(--INDEX('Term investments'!$G:$G,ROW())&gt;=1,--INDEX('Term investments'!$G:$G,ROW())/100,--INDEX('Term investments'!$G:$G,ROW())),0)</f>
        <v/>
      </c>
      <c r="H1605">
        <f>IFERROR(--INDEX('Term investments'!$H:$H,ROW()),0)</f>
        <v/>
      </c>
      <c r="I1605">
        <f>IF(ISNUMBER(INDEX('Term investments'!$G:$G,ROW())),1,0)</f>
        <v/>
      </c>
      <c r="J1605">
        <f>TRIM(SUBSTITUTE(INDEX('Call accounts and MMFs'!$A:$A,ROW())&amp;""," "," "))</f>
        <v/>
      </c>
      <c r="K1605">
        <f>TRIM(SUBSTITUTE(INDEX('Call accounts and MMFs'!$B:$B,ROW())&amp;""," "," "))</f>
        <v/>
      </c>
      <c r="L1605">
        <f>TRIM(SUBSTITUTE(INDEX('Call accounts and MMFs'!$C:$C,ROW())&amp;""," "," "))</f>
        <v/>
      </c>
      <c r="M1605">
        <f>IFERROR(--INDEX('Call accounts and MMFs'!$D:$D,ROW()),0)</f>
        <v/>
      </c>
      <c r="N1605">
        <f>IFERROR(IF(--INDEX('Call accounts and MMFs'!$E:$E,ROW())&gt;=1,--INDEX('Call accounts and MMFs'!$E:$E,ROW())/100,--INDEX('Call accounts and MMFs'!$E:$E,ROW())),0)</f>
        <v/>
      </c>
      <c r="O1605">
        <f>IFERROR(--INDEX('Call accounts and MMFs'!$F:$F,ROW()),0)</f>
        <v/>
      </c>
      <c r="P1605">
        <f>IF(ISNUMBER(INDEX('Call accounts and MMFs'!$E:$E,ROW())),1,0)</f>
        <v/>
      </c>
      <c r="Q1605">
        <f>TRIM(SUBSTITUTE(INDEX('Pooled funds'!$B:$B,ROW())&amp;""," "," "))</f>
        <v/>
      </c>
      <c r="R1605">
        <f>IFERROR(--INDEX('Pooled funds'!$C:$C,ROW()),0)</f>
        <v/>
      </c>
      <c r="S1605">
        <f>IFERROR(--INDEX('Pooled funds'!$D:$D,ROW()),0)</f>
        <v/>
      </c>
      <c r="T1605">
        <f>IFERROR(IF(--INDEX('Pooled funds'!$E:$E,ROW())&gt;=1,--INDEX('Pooled funds'!$E:$E,ROW())/100,--INDEX('Pooled funds'!$E:$E,ROW())),0)</f>
        <v/>
      </c>
      <c r="U1605">
        <f>IF(ISNUMBER(INDEX('Pooled funds'!$E:$E,ROW())),1,0)</f>
        <v/>
      </c>
    </row>
    <row r="1606">
      <c r="A1606">
        <f>TRIM(SUBSTITUTE(INDEX('Term investments'!$A:$A,ROW())&amp;""," "," "))</f>
        <v/>
      </c>
      <c r="B1606">
        <f>TRIM(SUBSTITUTE(INDEX('Term investments'!$B:$B,ROW())&amp;""," "," "))</f>
        <v/>
      </c>
      <c r="C1606">
        <f>TRIM(SUBSTITUTE(INDEX('Term investments'!$C:$C,ROW())&amp;""," "," "))</f>
        <v/>
      </c>
      <c r="D1606">
        <f>IFERROR(--INDEX('Term investments'!$D:$D,ROW()),0)</f>
        <v/>
      </c>
      <c r="E1606">
        <f>IFERROR(--INDEX('Term investments'!$E:$E,ROW()),0)</f>
        <v/>
      </c>
      <c r="F1606">
        <f>IFERROR(--INDEX('Term investments'!$F:$F,ROW()),0)</f>
        <v/>
      </c>
      <c r="G1606">
        <f>IFERROR(IF(--INDEX('Term investments'!$G:$G,ROW())&gt;=1,--INDEX('Term investments'!$G:$G,ROW())/100,--INDEX('Term investments'!$G:$G,ROW())),0)</f>
        <v/>
      </c>
      <c r="H1606">
        <f>IFERROR(--INDEX('Term investments'!$H:$H,ROW()),0)</f>
        <v/>
      </c>
      <c r="I1606">
        <f>IF(ISNUMBER(INDEX('Term investments'!$G:$G,ROW())),1,0)</f>
        <v/>
      </c>
      <c r="J1606">
        <f>TRIM(SUBSTITUTE(INDEX('Call accounts and MMFs'!$A:$A,ROW())&amp;""," "," "))</f>
        <v/>
      </c>
      <c r="K1606">
        <f>TRIM(SUBSTITUTE(INDEX('Call accounts and MMFs'!$B:$B,ROW())&amp;""," "," "))</f>
        <v/>
      </c>
      <c r="L1606">
        <f>TRIM(SUBSTITUTE(INDEX('Call accounts and MMFs'!$C:$C,ROW())&amp;""," "," "))</f>
        <v/>
      </c>
      <c r="M1606">
        <f>IFERROR(--INDEX('Call accounts and MMFs'!$D:$D,ROW()),0)</f>
        <v/>
      </c>
      <c r="N1606">
        <f>IFERROR(IF(--INDEX('Call accounts and MMFs'!$E:$E,ROW())&gt;=1,--INDEX('Call accounts and MMFs'!$E:$E,ROW())/100,--INDEX('Call accounts and MMFs'!$E:$E,ROW())),0)</f>
        <v/>
      </c>
      <c r="O1606">
        <f>IFERROR(--INDEX('Call accounts and MMFs'!$F:$F,ROW()),0)</f>
        <v/>
      </c>
      <c r="P1606">
        <f>IF(ISNUMBER(INDEX('Call accounts and MMFs'!$E:$E,ROW())),1,0)</f>
        <v/>
      </c>
      <c r="Q1606">
        <f>TRIM(SUBSTITUTE(INDEX('Pooled funds'!$B:$B,ROW())&amp;""," "," "))</f>
        <v/>
      </c>
      <c r="R1606">
        <f>IFERROR(--INDEX('Pooled funds'!$C:$C,ROW()),0)</f>
        <v/>
      </c>
      <c r="S1606">
        <f>IFERROR(--INDEX('Pooled funds'!$D:$D,ROW()),0)</f>
        <v/>
      </c>
      <c r="T1606">
        <f>IFERROR(IF(--INDEX('Pooled funds'!$E:$E,ROW())&gt;=1,--INDEX('Pooled funds'!$E:$E,ROW())/100,--INDEX('Pooled funds'!$E:$E,ROW())),0)</f>
        <v/>
      </c>
      <c r="U1606">
        <f>IF(ISNUMBER(INDEX('Pooled funds'!$E:$E,ROW())),1,0)</f>
        <v/>
      </c>
    </row>
    <row r="1607">
      <c r="A1607">
        <f>TRIM(SUBSTITUTE(INDEX('Term investments'!$A:$A,ROW())&amp;""," "," "))</f>
        <v/>
      </c>
      <c r="B1607">
        <f>TRIM(SUBSTITUTE(INDEX('Term investments'!$B:$B,ROW())&amp;""," "," "))</f>
        <v/>
      </c>
      <c r="C1607">
        <f>TRIM(SUBSTITUTE(INDEX('Term investments'!$C:$C,ROW())&amp;""," "," "))</f>
        <v/>
      </c>
      <c r="D1607">
        <f>IFERROR(--INDEX('Term investments'!$D:$D,ROW()),0)</f>
        <v/>
      </c>
      <c r="E1607">
        <f>IFERROR(--INDEX('Term investments'!$E:$E,ROW()),0)</f>
        <v/>
      </c>
      <c r="F1607">
        <f>IFERROR(--INDEX('Term investments'!$F:$F,ROW()),0)</f>
        <v/>
      </c>
      <c r="G1607">
        <f>IFERROR(IF(--INDEX('Term investments'!$G:$G,ROW())&gt;=1,--INDEX('Term investments'!$G:$G,ROW())/100,--INDEX('Term investments'!$G:$G,ROW())),0)</f>
        <v/>
      </c>
      <c r="H1607">
        <f>IFERROR(--INDEX('Term investments'!$H:$H,ROW()),0)</f>
        <v/>
      </c>
      <c r="I1607">
        <f>IF(ISNUMBER(INDEX('Term investments'!$G:$G,ROW())),1,0)</f>
        <v/>
      </c>
      <c r="J1607">
        <f>TRIM(SUBSTITUTE(INDEX('Call accounts and MMFs'!$A:$A,ROW())&amp;""," "," "))</f>
        <v/>
      </c>
      <c r="K1607">
        <f>TRIM(SUBSTITUTE(INDEX('Call accounts and MMFs'!$B:$B,ROW())&amp;""," "," "))</f>
        <v/>
      </c>
      <c r="L1607">
        <f>TRIM(SUBSTITUTE(INDEX('Call accounts and MMFs'!$C:$C,ROW())&amp;""," "," "))</f>
        <v/>
      </c>
      <c r="M1607">
        <f>IFERROR(--INDEX('Call accounts and MMFs'!$D:$D,ROW()),0)</f>
        <v/>
      </c>
      <c r="N1607">
        <f>IFERROR(IF(--INDEX('Call accounts and MMFs'!$E:$E,ROW())&gt;=1,--INDEX('Call accounts and MMFs'!$E:$E,ROW())/100,--INDEX('Call accounts and MMFs'!$E:$E,ROW())),0)</f>
        <v/>
      </c>
      <c r="O1607">
        <f>IFERROR(--INDEX('Call accounts and MMFs'!$F:$F,ROW()),0)</f>
        <v/>
      </c>
      <c r="P1607">
        <f>IF(ISNUMBER(INDEX('Call accounts and MMFs'!$E:$E,ROW())),1,0)</f>
        <v/>
      </c>
      <c r="Q1607">
        <f>TRIM(SUBSTITUTE(INDEX('Pooled funds'!$B:$B,ROW())&amp;""," "," "))</f>
        <v/>
      </c>
      <c r="R1607">
        <f>IFERROR(--INDEX('Pooled funds'!$C:$C,ROW()),0)</f>
        <v/>
      </c>
      <c r="S1607">
        <f>IFERROR(--INDEX('Pooled funds'!$D:$D,ROW()),0)</f>
        <v/>
      </c>
      <c r="T1607">
        <f>IFERROR(IF(--INDEX('Pooled funds'!$E:$E,ROW())&gt;=1,--INDEX('Pooled funds'!$E:$E,ROW())/100,--INDEX('Pooled funds'!$E:$E,ROW())),0)</f>
        <v/>
      </c>
      <c r="U1607">
        <f>IF(ISNUMBER(INDEX('Pooled funds'!$E:$E,ROW())),1,0)</f>
        <v/>
      </c>
    </row>
    <row r="1608">
      <c r="A1608">
        <f>TRIM(SUBSTITUTE(INDEX('Term investments'!$A:$A,ROW())&amp;""," "," "))</f>
        <v/>
      </c>
      <c r="B1608">
        <f>TRIM(SUBSTITUTE(INDEX('Term investments'!$B:$B,ROW())&amp;""," "," "))</f>
        <v/>
      </c>
      <c r="C1608">
        <f>TRIM(SUBSTITUTE(INDEX('Term investments'!$C:$C,ROW())&amp;""," "," "))</f>
        <v/>
      </c>
      <c r="D1608">
        <f>IFERROR(--INDEX('Term investments'!$D:$D,ROW()),0)</f>
        <v/>
      </c>
      <c r="E1608">
        <f>IFERROR(--INDEX('Term investments'!$E:$E,ROW()),0)</f>
        <v/>
      </c>
      <c r="F1608">
        <f>IFERROR(--INDEX('Term investments'!$F:$F,ROW()),0)</f>
        <v/>
      </c>
      <c r="G1608">
        <f>IFERROR(IF(--INDEX('Term investments'!$G:$G,ROW())&gt;=1,--INDEX('Term investments'!$G:$G,ROW())/100,--INDEX('Term investments'!$G:$G,ROW())),0)</f>
        <v/>
      </c>
      <c r="H1608">
        <f>IFERROR(--INDEX('Term investments'!$H:$H,ROW()),0)</f>
        <v/>
      </c>
      <c r="I1608">
        <f>IF(ISNUMBER(INDEX('Term investments'!$G:$G,ROW())),1,0)</f>
        <v/>
      </c>
      <c r="J1608">
        <f>TRIM(SUBSTITUTE(INDEX('Call accounts and MMFs'!$A:$A,ROW())&amp;""," "," "))</f>
        <v/>
      </c>
      <c r="K1608">
        <f>TRIM(SUBSTITUTE(INDEX('Call accounts and MMFs'!$B:$B,ROW())&amp;""," "," "))</f>
        <v/>
      </c>
      <c r="L1608">
        <f>TRIM(SUBSTITUTE(INDEX('Call accounts and MMFs'!$C:$C,ROW())&amp;""," "," "))</f>
        <v/>
      </c>
      <c r="M1608">
        <f>IFERROR(--INDEX('Call accounts and MMFs'!$D:$D,ROW()),0)</f>
        <v/>
      </c>
      <c r="N1608">
        <f>IFERROR(IF(--INDEX('Call accounts and MMFs'!$E:$E,ROW())&gt;=1,--INDEX('Call accounts and MMFs'!$E:$E,ROW())/100,--INDEX('Call accounts and MMFs'!$E:$E,ROW())),0)</f>
        <v/>
      </c>
      <c r="O1608">
        <f>IFERROR(--INDEX('Call accounts and MMFs'!$F:$F,ROW()),0)</f>
        <v/>
      </c>
      <c r="P1608">
        <f>IF(ISNUMBER(INDEX('Call accounts and MMFs'!$E:$E,ROW())),1,0)</f>
        <v/>
      </c>
      <c r="Q1608">
        <f>TRIM(SUBSTITUTE(INDEX('Pooled funds'!$B:$B,ROW())&amp;""," "," "))</f>
        <v/>
      </c>
      <c r="R1608">
        <f>IFERROR(--INDEX('Pooled funds'!$C:$C,ROW()),0)</f>
        <v/>
      </c>
      <c r="S1608">
        <f>IFERROR(--INDEX('Pooled funds'!$D:$D,ROW()),0)</f>
        <v/>
      </c>
      <c r="T1608">
        <f>IFERROR(IF(--INDEX('Pooled funds'!$E:$E,ROW())&gt;=1,--INDEX('Pooled funds'!$E:$E,ROW())/100,--INDEX('Pooled funds'!$E:$E,ROW())),0)</f>
        <v/>
      </c>
      <c r="U1608">
        <f>IF(ISNUMBER(INDEX('Pooled funds'!$E:$E,ROW())),1,0)</f>
        <v/>
      </c>
    </row>
    <row r="1609">
      <c r="A1609">
        <f>TRIM(SUBSTITUTE(INDEX('Term investments'!$A:$A,ROW())&amp;""," "," "))</f>
        <v/>
      </c>
      <c r="B1609">
        <f>TRIM(SUBSTITUTE(INDEX('Term investments'!$B:$B,ROW())&amp;""," "," "))</f>
        <v/>
      </c>
      <c r="C1609">
        <f>TRIM(SUBSTITUTE(INDEX('Term investments'!$C:$C,ROW())&amp;""," "," "))</f>
        <v/>
      </c>
      <c r="D1609">
        <f>IFERROR(--INDEX('Term investments'!$D:$D,ROW()),0)</f>
        <v/>
      </c>
      <c r="E1609">
        <f>IFERROR(--INDEX('Term investments'!$E:$E,ROW()),0)</f>
        <v/>
      </c>
      <c r="F1609">
        <f>IFERROR(--INDEX('Term investments'!$F:$F,ROW()),0)</f>
        <v/>
      </c>
      <c r="G1609">
        <f>IFERROR(IF(--INDEX('Term investments'!$G:$G,ROW())&gt;=1,--INDEX('Term investments'!$G:$G,ROW())/100,--INDEX('Term investments'!$G:$G,ROW())),0)</f>
        <v/>
      </c>
      <c r="H1609">
        <f>IFERROR(--INDEX('Term investments'!$H:$H,ROW()),0)</f>
        <v/>
      </c>
      <c r="I1609">
        <f>IF(ISNUMBER(INDEX('Term investments'!$G:$G,ROW())),1,0)</f>
        <v/>
      </c>
      <c r="J1609">
        <f>TRIM(SUBSTITUTE(INDEX('Call accounts and MMFs'!$A:$A,ROW())&amp;""," "," "))</f>
        <v/>
      </c>
      <c r="K1609">
        <f>TRIM(SUBSTITUTE(INDEX('Call accounts and MMFs'!$B:$B,ROW())&amp;""," "," "))</f>
        <v/>
      </c>
      <c r="L1609">
        <f>TRIM(SUBSTITUTE(INDEX('Call accounts and MMFs'!$C:$C,ROW())&amp;""," "," "))</f>
        <v/>
      </c>
      <c r="M1609">
        <f>IFERROR(--INDEX('Call accounts and MMFs'!$D:$D,ROW()),0)</f>
        <v/>
      </c>
      <c r="N1609">
        <f>IFERROR(IF(--INDEX('Call accounts and MMFs'!$E:$E,ROW())&gt;=1,--INDEX('Call accounts and MMFs'!$E:$E,ROW())/100,--INDEX('Call accounts and MMFs'!$E:$E,ROW())),0)</f>
        <v/>
      </c>
      <c r="O1609">
        <f>IFERROR(--INDEX('Call accounts and MMFs'!$F:$F,ROW()),0)</f>
        <v/>
      </c>
      <c r="P1609">
        <f>IF(ISNUMBER(INDEX('Call accounts and MMFs'!$E:$E,ROW())),1,0)</f>
        <v/>
      </c>
      <c r="Q1609">
        <f>TRIM(SUBSTITUTE(INDEX('Pooled funds'!$B:$B,ROW())&amp;""," "," "))</f>
        <v/>
      </c>
      <c r="R1609">
        <f>IFERROR(--INDEX('Pooled funds'!$C:$C,ROW()),0)</f>
        <v/>
      </c>
      <c r="S1609">
        <f>IFERROR(--INDEX('Pooled funds'!$D:$D,ROW()),0)</f>
        <v/>
      </c>
      <c r="T1609">
        <f>IFERROR(IF(--INDEX('Pooled funds'!$E:$E,ROW())&gt;=1,--INDEX('Pooled funds'!$E:$E,ROW())/100,--INDEX('Pooled funds'!$E:$E,ROW())),0)</f>
        <v/>
      </c>
      <c r="U1609">
        <f>IF(ISNUMBER(INDEX('Pooled funds'!$E:$E,ROW())),1,0)</f>
        <v/>
      </c>
    </row>
    <row r="1610">
      <c r="A1610">
        <f>TRIM(SUBSTITUTE(INDEX('Term investments'!$A:$A,ROW())&amp;""," "," "))</f>
        <v/>
      </c>
      <c r="B1610">
        <f>TRIM(SUBSTITUTE(INDEX('Term investments'!$B:$B,ROW())&amp;""," "," "))</f>
        <v/>
      </c>
      <c r="C1610">
        <f>TRIM(SUBSTITUTE(INDEX('Term investments'!$C:$C,ROW())&amp;""," "," "))</f>
        <v/>
      </c>
      <c r="D1610">
        <f>IFERROR(--INDEX('Term investments'!$D:$D,ROW()),0)</f>
        <v/>
      </c>
      <c r="E1610">
        <f>IFERROR(--INDEX('Term investments'!$E:$E,ROW()),0)</f>
        <v/>
      </c>
      <c r="F1610">
        <f>IFERROR(--INDEX('Term investments'!$F:$F,ROW()),0)</f>
        <v/>
      </c>
      <c r="G1610">
        <f>IFERROR(IF(--INDEX('Term investments'!$G:$G,ROW())&gt;=1,--INDEX('Term investments'!$G:$G,ROW())/100,--INDEX('Term investments'!$G:$G,ROW())),0)</f>
        <v/>
      </c>
      <c r="H1610">
        <f>IFERROR(--INDEX('Term investments'!$H:$H,ROW()),0)</f>
        <v/>
      </c>
      <c r="I1610">
        <f>IF(ISNUMBER(INDEX('Term investments'!$G:$G,ROW())),1,0)</f>
        <v/>
      </c>
      <c r="J1610">
        <f>TRIM(SUBSTITUTE(INDEX('Call accounts and MMFs'!$A:$A,ROW())&amp;""," "," "))</f>
        <v/>
      </c>
      <c r="K1610">
        <f>TRIM(SUBSTITUTE(INDEX('Call accounts and MMFs'!$B:$B,ROW())&amp;""," "," "))</f>
        <v/>
      </c>
      <c r="L1610">
        <f>TRIM(SUBSTITUTE(INDEX('Call accounts and MMFs'!$C:$C,ROW())&amp;""," "," "))</f>
        <v/>
      </c>
      <c r="M1610">
        <f>IFERROR(--INDEX('Call accounts and MMFs'!$D:$D,ROW()),0)</f>
        <v/>
      </c>
      <c r="N1610">
        <f>IFERROR(IF(--INDEX('Call accounts and MMFs'!$E:$E,ROW())&gt;=1,--INDEX('Call accounts and MMFs'!$E:$E,ROW())/100,--INDEX('Call accounts and MMFs'!$E:$E,ROW())),0)</f>
        <v/>
      </c>
      <c r="O1610">
        <f>IFERROR(--INDEX('Call accounts and MMFs'!$F:$F,ROW()),0)</f>
        <v/>
      </c>
      <c r="P1610">
        <f>IF(ISNUMBER(INDEX('Call accounts and MMFs'!$E:$E,ROW())),1,0)</f>
        <v/>
      </c>
      <c r="Q1610">
        <f>TRIM(SUBSTITUTE(INDEX('Pooled funds'!$B:$B,ROW())&amp;""," "," "))</f>
        <v/>
      </c>
      <c r="R1610">
        <f>IFERROR(--INDEX('Pooled funds'!$C:$C,ROW()),0)</f>
        <v/>
      </c>
      <c r="S1610">
        <f>IFERROR(--INDEX('Pooled funds'!$D:$D,ROW()),0)</f>
        <v/>
      </c>
      <c r="T1610">
        <f>IFERROR(IF(--INDEX('Pooled funds'!$E:$E,ROW())&gt;=1,--INDEX('Pooled funds'!$E:$E,ROW())/100,--INDEX('Pooled funds'!$E:$E,ROW())),0)</f>
        <v/>
      </c>
      <c r="U1610">
        <f>IF(ISNUMBER(INDEX('Pooled funds'!$E:$E,ROW())),1,0)</f>
        <v/>
      </c>
    </row>
    <row r="1611">
      <c r="A1611">
        <f>TRIM(SUBSTITUTE(INDEX('Term investments'!$A:$A,ROW())&amp;""," "," "))</f>
        <v/>
      </c>
      <c r="B1611">
        <f>TRIM(SUBSTITUTE(INDEX('Term investments'!$B:$B,ROW())&amp;""," "," "))</f>
        <v/>
      </c>
      <c r="C1611">
        <f>TRIM(SUBSTITUTE(INDEX('Term investments'!$C:$C,ROW())&amp;""," "," "))</f>
        <v/>
      </c>
      <c r="D1611">
        <f>IFERROR(--INDEX('Term investments'!$D:$D,ROW()),0)</f>
        <v/>
      </c>
      <c r="E1611">
        <f>IFERROR(--INDEX('Term investments'!$E:$E,ROW()),0)</f>
        <v/>
      </c>
      <c r="F1611">
        <f>IFERROR(--INDEX('Term investments'!$F:$F,ROW()),0)</f>
        <v/>
      </c>
      <c r="G1611">
        <f>IFERROR(IF(--INDEX('Term investments'!$G:$G,ROW())&gt;=1,--INDEX('Term investments'!$G:$G,ROW())/100,--INDEX('Term investments'!$G:$G,ROW())),0)</f>
        <v/>
      </c>
      <c r="H1611">
        <f>IFERROR(--INDEX('Term investments'!$H:$H,ROW()),0)</f>
        <v/>
      </c>
      <c r="I1611">
        <f>IF(ISNUMBER(INDEX('Term investments'!$G:$G,ROW())),1,0)</f>
        <v/>
      </c>
      <c r="J1611">
        <f>TRIM(SUBSTITUTE(INDEX('Call accounts and MMFs'!$A:$A,ROW())&amp;""," "," "))</f>
        <v/>
      </c>
      <c r="K1611">
        <f>TRIM(SUBSTITUTE(INDEX('Call accounts and MMFs'!$B:$B,ROW())&amp;""," "," "))</f>
        <v/>
      </c>
      <c r="L1611">
        <f>TRIM(SUBSTITUTE(INDEX('Call accounts and MMFs'!$C:$C,ROW())&amp;""," "," "))</f>
        <v/>
      </c>
      <c r="M1611">
        <f>IFERROR(--INDEX('Call accounts and MMFs'!$D:$D,ROW()),0)</f>
        <v/>
      </c>
      <c r="N1611">
        <f>IFERROR(IF(--INDEX('Call accounts and MMFs'!$E:$E,ROW())&gt;=1,--INDEX('Call accounts and MMFs'!$E:$E,ROW())/100,--INDEX('Call accounts and MMFs'!$E:$E,ROW())),0)</f>
        <v/>
      </c>
      <c r="O1611">
        <f>IFERROR(--INDEX('Call accounts and MMFs'!$F:$F,ROW()),0)</f>
        <v/>
      </c>
      <c r="P1611">
        <f>IF(ISNUMBER(INDEX('Call accounts and MMFs'!$E:$E,ROW())),1,0)</f>
        <v/>
      </c>
      <c r="Q1611">
        <f>TRIM(SUBSTITUTE(INDEX('Pooled funds'!$B:$B,ROW())&amp;""," "," "))</f>
        <v/>
      </c>
      <c r="R1611">
        <f>IFERROR(--INDEX('Pooled funds'!$C:$C,ROW()),0)</f>
        <v/>
      </c>
      <c r="S1611">
        <f>IFERROR(--INDEX('Pooled funds'!$D:$D,ROW()),0)</f>
        <v/>
      </c>
      <c r="T1611">
        <f>IFERROR(IF(--INDEX('Pooled funds'!$E:$E,ROW())&gt;=1,--INDEX('Pooled funds'!$E:$E,ROW())/100,--INDEX('Pooled funds'!$E:$E,ROW())),0)</f>
        <v/>
      </c>
      <c r="U1611">
        <f>IF(ISNUMBER(INDEX('Pooled funds'!$E:$E,ROW())),1,0)</f>
        <v/>
      </c>
    </row>
    <row r="1612">
      <c r="A1612">
        <f>TRIM(SUBSTITUTE(INDEX('Term investments'!$A:$A,ROW())&amp;""," "," "))</f>
        <v/>
      </c>
      <c r="B1612">
        <f>TRIM(SUBSTITUTE(INDEX('Term investments'!$B:$B,ROW())&amp;""," "," "))</f>
        <v/>
      </c>
      <c r="C1612">
        <f>TRIM(SUBSTITUTE(INDEX('Term investments'!$C:$C,ROW())&amp;""," "," "))</f>
        <v/>
      </c>
      <c r="D1612">
        <f>IFERROR(--INDEX('Term investments'!$D:$D,ROW()),0)</f>
        <v/>
      </c>
      <c r="E1612">
        <f>IFERROR(--INDEX('Term investments'!$E:$E,ROW()),0)</f>
        <v/>
      </c>
      <c r="F1612">
        <f>IFERROR(--INDEX('Term investments'!$F:$F,ROW()),0)</f>
        <v/>
      </c>
      <c r="G1612">
        <f>IFERROR(IF(--INDEX('Term investments'!$G:$G,ROW())&gt;=1,--INDEX('Term investments'!$G:$G,ROW())/100,--INDEX('Term investments'!$G:$G,ROW())),0)</f>
        <v/>
      </c>
      <c r="H1612">
        <f>IFERROR(--INDEX('Term investments'!$H:$H,ROW()),0)</f>
        <v/>
      </c>
      <c r="I1612">
        <f>IF(ISNUMBER(INDEX('Term investments'!$G:$G,ROW())),1,0)</f>
        <v/>
      </c>
      <c r="J1612">
        <f>TRIM(SUBSTITUTE(INDEX('Call accounts and MMFs'!$A:$A,ROW())&amp;""," "," "))</f>
        <v/>
      </c>
      <c r="K1612">
        <f>TRIM(SUBSTITUTE(INDEX('Call accounts and MMFs'!$B:$B,ROW())&amp;""," "," "))</f>
        <v/>
      </c>
      <c r="L1612">
        <f>TRIM(SUBSTITUTE(INDEX('Call accounts and MMFs'!$C:$C,ROW())&amp;""," "," "))</f>
        <v/>
      </c>
      <c r="M1612">
        <f>IFERROR(--INDEX('Call accounts and MMFs'!$D:$D,ROW()),0)</f>
        <v/>
      </c>
      <c r="N1612">
        <f>IFERROR(IF(--INDEX('Call accounts and MMFs'!$E:$E,ROW())&gt;=1,--INDEX('Call accounts and MMFs'!$E:$E,ROW())/100,--INDEX('Call accounts and MMFs'!$E:$E,ROW())),0)</f>
        <v/>
      </c>
      <c r="O1612">
        <f>IFERROR(--INDEX('Call accounts and MMFs'!$F:$F,ROW()),0)</f>
        <v/>
      </c>
      <c r="P1612">
        <f>IF(ISNUMBER(INDEX('Call accounts and MMFs'!$E:$E,ROW())),1,0)</f>
        <v/>
      </c>
      <c r="Q1612">
        <f>TRIM(SUBSTITUTE(INDEX('Pooled funds'!$B:$B,ROW())&amp;""," "," "))</f>
        <v/>
      </c>
      <c r="R1612">
        <f>IFERROR(--INDEX('Pooled funds'!$C:$C,ROW()),0)</f>
        <v/>
      </c>
      <c r="S1612">
        <f>IFERROR(--INDEX('Pooled funds'!$D:$D,ROW()),0)</f>
        <v/>
      </c>
      <c r="T1612">
        <f>IFERROR(IF(--INDEX('Pooled funds'!$E:$E,ROW())&gt;=1,--INDEX('Pooled funds'!$E:$E,ROW())/100,--INDEX('Pooled funds'!$E:$E,ROW())),0)</f>
        <v/>
      </c>
      <c r="U1612">
        <f>IF(ISNUMBER(INDEX('Pooled funds'!$E:$E,ROW())),1,0)</f>
        <v/>
      </c>
    </row>
    <row r="1613">
      <c r="A1613">
        <f>TRIM(SUBSTITUTE(INDEX('Term investments'!$A:$A,ROW())&amp;""," "," "))</f>
        <v/>
      </c>
      <c r="B1613">
        <f>TRIM(SUBSTITUTE(INDEX('Term investments'!$B:$B,ROW())&amp;""," "," "))</f>
        <v/>
      </c>
      <c r="C1613">
        <f>TRIM(SUBSTITUTE(INDEX('Term investments'!$C:$C,ROW())&amp;""," "," "))</f>
        <v/>
      </c>
      <c r="D1613">
        <f>IFERROR(--INDEX('Term investments'!$D:$D,ROW()),0)</f>
        <v/>
      </c>
      <c r="E1613">
        <f>IFERROR(--INDEX('Term investments'!$E:$E,ROW()),0)</f>
        <v/>
      </c>
      <c r="F1613">
        <f>IFERROR(--INDEX('Term investments'!$F:$F,ROW()),0)</f>
        <v/>
      </c>
      <c r="G1613">
        <f>IFERROR(IF(--INDEX('Term investments'!$G:$G,ROW())&gt;=1,--INDEX('Term investments'!$G:$G,ROW())/100,--INDEX('Term investments'!$G:$G,ROW())),0)</f>
        <v/>
      </c>
      <c r="H1613">
        <f>IFERROR(--INDEX('Term investments'!$H:$H,ROW()),0)</f>
        <v/>
      </c>
      <c r="I1613">
        <f>IF(ISNUMBER(INDEX('Term investments'!$G:$G,ROW())),1,0)</f>
        <v/>
      </c>
      <c r="J1613">
        <f>TRIM(SUBSTITUTE(INDEX('Call accounts and MMFs'!$A:$A,ROW())&amp;""," "," "))</f>
        <v/>
      </c>
      <c r="K1613">
        <f>TRIM(SUBSTITUTE(INDEX('Call accounts and MMFs'!$B:$B,ROW())&amp;""," "," "))</f>
        <v/>
      </c>
      <c r="L1613">
        <f>TRIM(SUBSTITUTE(INDEX('Call accounts and MMFs'!$C:$C,ROW())&amp;""," "," "))</f>
        <v/>
      </c>
      <c r="M1613">
        <f>IFERROR(--INDEX('Call accounts and MMFs'!$D:$D,ROW()),0)</f>
        <v/>
      </c>
      <c r="N1613">
        <f>IFERROR(IF(--INDEX('Call accounts and MMFs'!$E:$E,ROW())&gt;=1,--INDEX('Call accounts and MMFs'!$E:$E,ROW())/100,--INDEX('Call accounts and MMFs'!$E:$E,ROW())),0)</f>
        <v/>
      </c>
      <c r="O1613">
        <f>IFERROR(--INDEX('Call accounts and MMFs'!$F:$F,ROW()),0)</f>
        <v/>
      </c>
      <c r="P1613">
        <f>IF(ISNUMBER(INDEX('Call accounts and MMFs'!$E:$E,ROW())),1,0)</f>
        <v/>
      </c>
      <c r="Q1613">
        <f>TRIM(SUBSTITUTE(INDEX('Pooled funds'!$B:$B,ROW())&amp;""," "," "))</f>
        <v/>
      </c>
      <c r="R1613">
        <f>IFERROR(--INDEX('Pooled funds'!$C:$C,ROW()),0)</f>
        <v/>
      </c>
      <c r="S1613">
        <f>IFERROR(--INDEX('Pooled funds'!$D:$D,ROW()),0)</f>
        <v/>
      </c>
      <c r="T1613">
        <f>IFERROR(IF(--INDEX('Pooled funds'!$E:$E,ROW())&gt;=1,--INDEX('Pooled funds'!$E:$E,ROW())/100,--INDEX('Pooled funds'!$E:$E,ROW())),0)</f>
        <v/>
      </c>
      <c r="U1613">
        <f>IF(ISNUMBER(INDEX('Pooled funds'!$E:$E,ROW())),1,0)</f>
        <v/>
      </c>
    </row>
    <row r="1614">
      <c r="A1614">
        <f>TRIM(SUBSTITUTE(INDEX('Term investments'!$A:$A,ROW())&amp;""," "," "))</f>
        <v/>
      </c>
      <c r="B1614">
        <f>TRIM(SUBSTITUTE(INDEX('Term investments'!$B:$B,ROW())&amp;""," "," "))</f>
        <v/>
      </c>
      <c r="C1614">
        <f>TRIM(SUBSTITUTE(INDEX('Term investments'!$C:$C,ROW())&amp;""," "," "))</f>
        <v/>
      </c>
      <c r="D1614">
        <f>IFERROR(--INDEX('Term investments'!$D:$D,ROW()),0)</f>
        <v/>
      </c>
      <c r="E1614">
        <f>IFERROR(--INDEX('Term investments'!$E:$E,ROW()),0)</f>
        <v/>
      </c>
      <c r="F1614">
        <f>IFERROR(--INDEX('Term investments'!$F:$F,ROW()),0)</f>
        <v/>
      </c>
      <c r="G1614">
        <f>IFERROR(IF(--INDEX('Term investments'!$G:$G,ROW())&gt;=1,--INDEX('Term investments'!$G:$G,ROW())/100,--INDEX('Term investments'!$G:$G,ROW())),0)</f>
        <v/>
      </c>
      <c r="H1614">
        <f>IFERROR(--INDEX('Term investments'!$H:$H,ROW()),0)</f>
        <v/>
      </c>
      <c r="I1614">
        <f>IF(ISNUMBER(INDEX('Term investments'!$G:$G,ROW())),1,0)</f>
        <v/>
      </c>
      <c r="J1614">
        <f>TRIM(SUBSTITUTE(INDEX('Call accounts and MMFs'!$A:$A,ROW())&amp;""," "," "))</f>
        <v/>
      </c>
      <c r="K1614">
        <f>TRIM(SUBSTITUTE(INDEX('Call accounts and MMFs'!$B:$B,ROW())&amp;""," "," "))</f>
        <v/>
      </c>
      <c r="L1614">
        <f>TRIM(SUBSTITUTE(INDEX('Call accounts and MMFs'!$C:$C,ROW())&amp;""," "," "))</f>
        <v/>
      </c>
      <c r="M1614">
        <f>IFERROR(--INDEX('Call accounts and MMFs'!$D:$D,ROW()),0)</f>
        <v/>
      </c>
      <c r="N1614">
        <f>IFERROR(IF(--INDEX('Call accounts and MMFs'!$E:$E,ROW())&gt;=1,--INDEX('Call accounts and MMFs'!$E:$E,ROW())/100,--INDEX('Call accounts and MMFs'!$E:$E,ROW())),0)</f>
        <v/>
      </c>
      <c r="O1614">
        <f>IFERROR(--INDEX('Call accounts and MMFs'!$F:$F,ROW()),0)</f>
        <v/>
      </c>
      <c r="P1614">
        <f>IF(ISNUMBER(INDEX('Call accounts and MMFs'!$E:$E,ROW())),1,0)</f>
        <v/>
      </c>
      <c r="Q1614">
        <f>TRIM(SUBSTITUTE(INDEX('Pooled funds'!$B:$B,ROW())&amp;""," "," "))</f>
        <v/>
      </c>
      <c r="R1614">
        <f>IFERROR(--INDEX('Pooled funds'!$C:$C,ROW()),0)</f>
        <v/>
      </c>
      <c r="S1614">
        <f>IFERROR(--INDEX('Pooled funds'!$D:$D,ROW()),0)</f>
        <v/>
      </c>
      <c r="T1614">
        <f>IFERROR(IF(--INDEX('Pooled funds'!$E:$E,ROW())&gt;=1,--INDEX('Pooled funds'!$E:$E,ROW())/100,--INDEX('Pooled funds'!$E:$E,ROW())),0)</f>
        <v/>
      </c>
      <c r="U1614">
        <f>IF(ISNUMBER(INDEX('Pooled funds'!$E:$E,ROW())),1,0)</f>
        <v/>
      </c>
    </row>
    <row r="1615">
      <c r="A1615">
        <f>TRIM(SUBSTITUTE(INDEX('Term investments'!$A:$A,ROW())&amp;""," "," "))</f>
        <v/>
      </c>
      <c r="B1615">
        <f>TRIM(SUBSTITUTE(INDEX('Term investments'!$B:$B,ROW())&amp;""," "," "))</f>
        <v/>
      </c>
      <c r="C1615">
        <f>TRIM(SUBSTITUTE(INDEX('Term investments'!$C:$C,ROW())&amp;""," "," "))</f>
        <v/>
      </c>
      <c r="D1615">
        <f>IFERROR(--INDEX('Term investments'!$D:$D,ROW()),0)</f>
        <v/>
      </c>
      <c r="E1615">
        <f>IFERROR(--INDEX('Term investments'!$E:$E,ROW()),0)</f>
        <v/>
      </c>
      <c r="F1615">
        <f>IFERROR(--INDEX('Term investments'!$F:$F,ROW()),0)</f>
        <v/>
      </c>
      <c r="G1615">
        <f>IFERROR(IF(--INDEX('Term investments'!$G:$G,ROW())&gt;=1,--INDEX('Term investments'!$G:$G,ROW())/100,--INDEX('Term investments'!$G:$G,ROW())),0)</f>
        <v/>
      </c>
      <c r="H1615">
        <f>IFERROR(--INDEX('Term investments'!$H:$H,ROW()),0)</f>
        <v/>
      </c>
      <c r="I1615">
        <f>IF(ISNUMBER(INDEX('Term investments'!$G:$G,ROW())),1,0)</f>
        <v/>
      </c>
      <c r="J1615">
        <f>TRIM(SUBSTITUTE(INDEX('Call accounts and MMFs'!$A:$A,ROW())&amp;""," "," "))</f>
        <v/>
      </c>
      <c r="K1615">
        <f>TRIM(SUBSTITUTE(INDEX('Call accounts and MMFs'!$B:$B,ROW())&amp;""," "," "))</f>
        <v/>
      </c>
      <c r="L1615">
        <f>TRIM(SUBSTITUTE(INDEX('Call accounts and MMFs'!$C:$C,ROW())&amp;""," "," "))</f>
        <v/>
      </c>
      <c r="M1615">
        <f>IFERROR(--INDEX('Call accounts and MMFs'!$D:$D,ROW()),0)</f>
        <v/>
      </c>
      <c r="N1615">
        <f>IFERROR(IF(--INDEX('Call accounts and MMFs'!$E:$E,ROW())&gt;=1,--INDEX('Call accounts and MMFs'!$E:$E,ROW())/100,--INDEX('Call accounts and MMFs'!$E:$E,ROW())),0)</f>
        <v/>
      </c>
      <c r="O1615">
        <f>IFERROR(--INDEX('Call accounts and MMFs'!$F:$F,ROW()),0)</f>
        <v/>
      </c>
      <c r="P1615">
        <f>IF(ISNUMBER(INDEX('Call accounts and MMFs'!$E:$E,ROW())),1,0)</f>
        <v/>
      </c>
      <c r="Q1615">
        <f>TRIM(SUBSTITUTE(INDEX('Pooled funds'!$B:$B,ROW())&amp;""," "," "))</f>
        <v/>
      </c>
      <c r="R1615">
        <f>IFERROR(--INDEX('Pooled funds'!$C:$C,ROW()),0)</f>
        <v/>
      </c>
      <c r="S1615">
        <f>IFERROR(--INDEX('Pooled funds'!$D:$D,ROW()),0)</f>
        <v/>
      </c>
      <c r="T1615">
        <f>IFERROR(IF(--INDEX('Pooled funds'!$E:$E,ROW())&gt;=1,--INDEX('Pooled funds'!$E:$E,ROW())/100,--INDEX('Pooled funds'!$E:$E,ROW())),0)</f>
        <v/>
      </c>
      <c r="U1615">
        <f>IF(ISNUMBER(INDEX('Pooled funds'!$E:$E,ROW())),1,0)</f>
        <v/>
      </c>
    </row>
    <row r="1616">
      <c r="A1616">
        <f>TRIM(SUBSTITUTE(INDEX('Term investments'!$A:$A,ROW())&amp;""," "," "))</f>
        <v/>
      </c>
      <c r="B1616">
        <f>TRIM(SUBSTITUTE(INDEX('Term investments'!$B:$B,ROW())&amp;""," "," "))</f>
        <v/>
      </c>
      <c r="C1616">
        <f>TRIM(SUBSTITUTE(INDEX('Term investments'!$C:$C,ROW())&amp;""," "," "))</f>
        <v/>
      </c>
      <c r="D1616">
        <f>IFERROR(--INDEX('Term investments'!$D:$D,ROW()),0)</f>
        <v/>
      </c>
      <c r="E1616">
        <f>IFERROR(--INDEX('Term investments'!$E:$E,ROW()),0)</f>
        <v/>
      </c>
      <c r="F1616">
        <f>IFERROR(--INDEX('Term investments'!$F:$F,ROW()),0)</f>
        <v/>
      </c>
      <c r="G1616">
        <f>IFERROR(IF(--INDEX('Term investments'!$G:$G,ROW())&gt;=1,--INDEX('Term investments'!$G:$G,ROW())/100,--INDEX('Term investments'!$G:$G,ROW())),0)</f>
        <v/>
      </c>
      <c r="H1616">
        <f>IFERROR(--INDEX('Term investments'!$H:$H,ROW()),0)</f>
        <v/>
      </c>
      <c r="I1616">
        <f>IF(ISNUMBER(INDEX('Term investments'!$G:$G,ROW())),1,0)</f>
        <v/>
      </c>
      <c r="J1616">
        <f>TRIM(SUBSTITUTE(INDEX('Call accounts and MMFs'!$A:$A,ROW())&amp;""," "," "))</f>
        <v/>
      </c>
      <c r="K1616">
        <f>TRIM(SUBSTITUTE(INDEX('Call accounts and MMFs'!$B:$B,ROW())&amp;""," "," "))</f>
        <v/>
      </c>
      <c r="L1616">
        <f>TRIM(SUBSTITUTE(INDEX('Call accounts and MMFs'!$C:$C,ROW())&amp;""," "," "))</f>
        <v/>
      </c>
      <c r="M1616">
        <f>IFERROR(--INDEX('Call accounts and MMFs'!$D:$D,ROW()),0)</f>
        <v/>
      </c>
      <c r="N1616">
        <f>IFERROR(IF(--INDEX('Call accounts and MMFs'!$E:$E,ROW())&gt;=1,--INDEX('Call accounts and MMFs'!$E:$E,ROW())/100,--INDEX('Call accounts and MMFs'!$E:$E,ROW())),0)</f>
        <v/>
      </c>
      <c r="O1616">
        <f>IFERROR(--INDEX('Call accounts and MMFs'!$F:$F,ROW()),0)</f>
        <v/>
      </c>
      <c r="P1616">
        <f>IF(ISNUMBER(INDEX('Call accounts and MMFs'!$E:$E,ROW())),1,0)</f>
        <v/>
      </c>
      <c r="Q1616">
        <f>TRIM(SUBSTITUTE(INDEX('Pooled funds'!$B:$B,ROW())&amp;""," "," "))</f>
        <v/>
      </c>
      <c r="R1616">
        <f>IFERROR(--INDEX('Pooled funds'!$C:$C,ROW()),0)</f>
        <v/>
      </c>
      <c r="S1616">
        <f>IFERROR(--INDEX('Pooled funds'!$D:$D,ROW()),0)</f>
        <v/>
      </c>
      <c r="T1616">
        <f>IFERROR(IF(--INDEX('Pooled funds'!$E:$E,ROW())&gt;=1,--INDEX('Pooled funds'!$E:$E,ROW())/100,--INDEX('Pooled funds'!$E:$E,ROW())),0)</f>
        <v/>
      </c>
      <c r="U1616">
        <f>IF(ISNUMBER(INDEX('Pooled funds'!$E:$E,ROW())),1,0)</f>
        <v/>
      </c>
    </row>
    <row r="1617">
      <c r="A1617">
        <f>TRIM(SUBSTITUTE(INDEX('Term investments'!$A:$A,ROW())&amp;""," "," "))</f>
        <v/>
      </c>
      <c r="B1617">
        <f>TRIM(SUBSTITUTE(INDEX('Term investments'!$B:$B,ROW())&amp;""," "," "))</f>
        <v/>
      </c>
      <c r="C1617">
        <f>TRIM(SUBSTITUTE(INDEX('Term investments'!$C:$C,ROW())&amp;""," "," "))</f>
        <v/>
      </c>
      <c r="D1617">
        <f>IFERROR(--INDEX('Term investments'!$D:$D,ROW()),0)</f>
        <v/>
      </c>
      <c r="E1617">
        <f>IFERROR(--INDEX('Term investments'!$E:$E,ROW()),0)</f>
        <v/>
      </c>
      <c r="F1617">
        <f>IFERROR(--INDEX('Term investments'!$F:$F,ROW()),0)</f>
        <v/>
      </c>
      <c r="G1617">
        <f>IFERROR(IF(--INDEX('Term investments'!$G:$G,ROW())&gt;=1,--INDEX('Term investments'!$G:$G,ROW())/100,--INDEX('Term investments'!$G:$G,ROW())),0)</f>
        <v/>
      </c>
      <c r="H1617">
        <f>IFERROR(--INDEX('Term investments'!$H:$H,ROW()),0)</f>
        <v/>
      </c>
      <c r="I1617">
        <f>IF(ISNUMBER(INDEX('Term investments'!$G:$G,ROW())),1,0)</f>
        <v/>
      </c>
      <c r="J1617">
        <f>TRIM(SUBSTITUTE(INDEX('Call accounts and MMFs'!$A:$A,ROW())&amp;""," "," "))</f>
        <v/>
      </c>
      <c r="K1617">
        <f>TRIM(SUBSTITUTE(INDEX('Call accounts and MMFs'!$B:$B,ROW())&amp;""," "," "))</f>
        <v/>
      </c>
      <c r="L1617">
        <f>TRIM(SUBSTITUTE(INDEX('Call accounts and MMFs'!$C:$C,ROW())&amp;""," "," "))</f>
        <v/>
      </c>
      <c r="M1617">
        <f>IFERROR(--INDEX('Call accounts and MMFs'!$D:$D,ROW()),0)</f>
        <v/>
      </c>
      <c r="N1617">
        <f>IFERROR(IF(--INDEX('Call accounts and MMFs'!$E:$E,ROW())&gt;=1,--INDEX('Call accounts and MMFs'!$E:$E,ROW())/100,--INDEX('Call accounts and MMFs'!$E:$E,ROW())),0)</f>
        <v/>
      </c>
      <c r="O1617">
        <f>IFERROR(--INDEX('Call accounts and MMFs'!$F:$F,ROW()),0)</f>
        <v/>
      </c>
      <c r="P1617">
        <f>IF(ISNUMBER(INDEX('Call accounts and MMFs'!$E:$E,ROW())),1,0)</f>
        <v/>
      </c>
      <c r="Q1617">
        <f>TRIM(SUBSTITUTE(INDEX('Pooled funds'!$B:$B,ROW())&amp;""," "," "))</f>
        <v/>
      </c>
      <c r="R1617">
        <f>IFERROR(--INDEX('Pooled funds'!$C:$C,ROW()),0)</f>
        <v/>
      </c>
      <c r="S1617">
        <f>IFERROR(--INDEX('Pooled funds'!$D:$D,ROW()),0)</f>
        <v/>
      </c>
      <c r="T1617">
        <f>IFERROR(IF(--INDEX('Pooled funds'!$E:$E,ROW())&gt;=1,--INDEX('Pooled funds'!$E:$E,ROW())/100,--INDEX('Pooled funds'!$E:$E,ROW())),0)</f>
        <v/>
      </c>
      <c r="U1617">
        <f>IF(ISNUMBER(INDEX('Pooled funds'!$E:$E,ROW())),1,0)</f>
        <v/>
      </c>
    </row>
    <row r="1618">
      <c r="A1618">
        <f>TRIM(SUBSTITUTE(INDEX('Term investments'!$A:$A,ROW())&amp;""," "," "))</f>
        <v/>
      </c>
      <c r="B1618">
        <f>TRIM(SUBSTITUTE(INDEX('Term investments'!$B:$B,ROW())&amp;""," "," "))</f>
        <v/>
      </c>
      <c r="C1618">
        <f>TRIM(SUBSTITUTE(INDEX('Term investments'!$C:$C,ROW())&amp;""," "," "))</f>
        <v/>
      </c>
      <c r="D1618">
        <f>IFERROR(--INDEX('Term investments'!$D:$D,ROW()),0)</f>
        <v/>
      </c>
      <c r="E1618">
        <f>IFERROR(--INDEX('Term investments'!$E:$E,ROW()),0)</f>
        <v/>
      </c>
      <c r="F1618">
        <f>IFERROR(--INDEX('Term investments'!$F:$F,ROW()),0)</f>
        <v/>
      </c>
      <c r="G1618">
        <f>IFERROR(IF(--INDEX('Term investments'!$G:$G,ROW())&gt;=1,--INDEX('Term investments'!$G:$G,ROW())/100,--INDEX('Term investments'!$G:$G,ROW())),0)</f>
        <v/>
      </c>
      <c r="H1618">
        <f>IFERROR(--INDEX('Term investments'!$H:$H,ROW()),0)</f>
        <v/>
      </c>
      <c r="I1618">
        <f>IF(ISNUMBER(INDEX('Term investments'!$G:$G,ROW())),1,0)</f>
        <v/>
      </c>
      <c r="J1618">
        <f>TRIM(SUBSTITUTE(INDEX('Call accounts and MMFs'!$A:$A,ROW())&amp;""," "," "))</f>
        <v/>
      </c>
      <c r="K1618">
        <f>TRIM(SUBSTITUTE(INDEX('Call accounts and MMFs'!$B:$B,ROW())&amp;""," "," "))</f>
        <v/>
      </c>
      <c r="L1618">
        <f>TRIM(SUBSTITUTE(INDEX('Call accounts and MMFs'!$C:$C,ROW())&amp;""," "," "))</f>
        <v/>
      </c>
      <c r="M1618">
        <f>IFERROR(--INDEX('Call accounts and MMFs'!$D:$D,ROW()),0)</f>
        <v/>
      </c>
      <c r="N1618">
        <f>IFERROR(IF(--INDEX('Call accounts and MMFs'!$E:$E,ROW())&gt;=1,--INDEX('Call accounts and MMFs'!$E:$E,ROW())/100,--INDEX('Call accounts and MMFs'!$E:$E,ROW())),0)</f>
        <v/>
      </c>
      <c r="O1618">
        <f>IFERROR(--INDEX('Call accounts and MMFs'!$F:$F,ROW()),0)</f>
        <v/>
      </c>
      <c r="P1618">
        <f>IF(ISNUMBER(INDEX('Call accounts and MMFs'!$E:$E,ROW())),1,0)</f>
        <v/>
      </c>
      <c r="Q1618">
        <f>TRIM(SUBSTITUTE(INDEX('Pooled funds'!$B:$B,ROW())&amp;""," "," "))</f>
        <v/>
      </c>
      <c r="R1618">
        <f>IFERROR(--INDEX('Pooled funds'!$C:$C,ROW()),0)</f>
        <v/>
      </c>
      <c r="S1618">
        <f>IFERROR(--INDEX('Pooled funds'!$D:$D,ROW()),0)</f>
        <v/>
      </c>
      <c r="T1618">
        <f>IFERROR(IF(--INDEX('Pooled funds'!$E:$E,ROW())&gt;=1,--INDEX('Pooled funds'!$E:$E,ROW())/100,--INDEX('Pooled funds'!$E:$E,ROW())),0)</f>
        <v/>
      </c>
      <c r="U1618">
        <f>IF(ISNUMBER(INDEX('Pooled funds'!$E:$E,ROW())),1,0)</f>
        <v/>
      </c>
    </row>
    <row r="1619">
      <c r="A1619">
        <f>TRIM(SUBSTITUTE(INDEX('Term investments'!$A:$A,ROW())&amp;""," "," "))</f>
        <v/>
      </c>
      <c r="B1619">
        <f>TRIM(SUBSTITUTE(INDEX('Term investments'!$B:$B,ROW())&amp;""," "," "))</f>
        <v/>
      </c>
      <c r="C1619">
        <f>TRIM(SUBSTITUTE(INDEX('Term investments'!$C:$C,ROW())&amp;""," "," "))</f>
        <v/>
      </c>
      <c r="D1619">
        <f>IFERROR(--INDEX('Term investments'!$D:$D,ROW()),0)</f>
        <v/>
      </c>
      <c r="E1619">
        <f>IFERROR(--INDEX('Term investments'!$E:$E,ROW()),0)</f>
        <v/>
      </c>
      <c r="F1619">
        <f>IFERROR(--INDEX('Term investments'!$F:$F,ROW()),0)</f>
        <v/>
      </c>
      <c r="G1619">
        <f>IFERROR(IF(--INDEX('Term investments'!$G:$G,ROW())&gt;=1,--INDEX('Term investments'!$G:$G,ROW())/100,--INDEX('Term investments'!$G:$G,ROW())),0)</f>
        <v/>
      </c>
      <c r="H1619">
        <f>IFERROR(--INDEX('Term investments'!$H:$H,ROW()),0)</f>
        <v/>
      </c>
      <c r="I1619">
        <f>IF(ISNUMBER(INDEX('Term investments'!$G:$G,ROW())),1,0)</f>
        <v/>
      </c>
      <c r="J1619">
        <f>TRIM(SUBSTITUTE(INDEX('Call accounts and MMFs'!$A:$A,ROW())&amp;""," "," "))</f>
        <v/>
      </c>
      <c r="K1619">
        <f>TRIM(SUBSTITUTE(INDEX('Call accounts and MMFs'!$B:$B,ROW())&amp;""," "," "))</f>
        <v/>
      </c>
      <c r="L1619">
        <f>TRIM(SUBSTITUTE(INDEX('Call accounts and MMFs'!$C:$C,ROW())&amp;""," "," "))</f>
        <v/>
      </c>
      <c r="M1619">
        <f>IFERROR(--INDEX('Call accounts and MMFs'!$D:$D,ROW()),0)</f>
        <v/>
      </c>
      <c r="N1619">
        <f>IFERROR(IF(--INDEX('Call accounts and MMFs'!$E:$E,ROW())&gt;=1,--INDEX('Call accounts and MMFs'!$E:$E,ROW())/100,--INDEX('Call accounts and MMFs'!$E:$E,ROW())),0)</f>
        <v/>
      </c>
      <c r="O1619">
        <f>IFERROR(--INDEX('Call accounts and MMFs'!$F:$F,ROW()),0)</f>
        <v/>
      </c>
      <c r="P1619">
        <f>IF(ISNUMBER(INDEX('Call accounts and MMFs'!$E:$E,ROW())),1,0)</f>
        <v/>
      </c>
      <c r="Q1619">
        <f>TRIM(SUBSTITUTE(INDEX('Pooled funds'!$B:$B,ROW())&amp;""," "," "))</f>
        <v/>
      </c>
      <c r="R1619">
        <f>IFERROR(--INDEX('Pooled funds'!$C:$C,ROW()),0)</f>
        <v/>
      </c>
      <c r="S1619">
        <f>IFERROR(--INDEX('Pooled funds'!$D:$D,ROW()),0)</f>
        <v/>
      </c>
      <c r="T1619">
        <f>IFERROR(IF(--INDEX('Pooled funds'!$E:$E,ROW())&gt;=1,--INDEX('Pooled funds'!$E:$E,ROW())/100,--INDEX('Pooled funds'!$E:$E,ROW())),0)</f>
        <v/>
      </c>
      <c r="U1619">
        <f>IF(ISNUMBER(INDEX('Pooled funds'!$E:$E,ROW())),1,0)</f>
        <v/>
      </c>
    </row>
    <row r="1620">
      <c r="A1620">
        <f>TRIM(SUBSTITUTE(INDEX('Term investments'!$A:$A,ROW())&amp;""," "," "))</f>
        <v/>
      </c>
      <c r="B1620">
        <f>TRIM(SUBSTITUTE(INDEX('Term investments'!$B:$B,ROW())&amp;""," "," "))</f>
        <v/>
      </c>
      <c r="C1620">
        <f>TRIM(SUBSTITUTE(INDEX('Term investments'!$C:$C,ROW())&amp;""," "," "))</f>
        <v/>
      </c>
      <c r="D1620">
        <f>IFERROR(--INDEX('Term investments'!$D:$D,ROW()),0)</f>
        <v/>
      </c>
      <c r="E1620">
        <f>IFERROR(--INDEX('Term investments'!$E:$E,ROW()),0)</f>
        <v/>
      </c>
      <c r="F1620">
        <f>IFERROR(--INDEX('Term investments'!$F:$F,ROW()),0)</f>
        <v/>
      </c>
      <c r="G1620">
        <f>IFERROR(IF(--INDEX('Term investments'!$G:$G,ROW())&gt;=1,--INDEX('Term investments'!$G:$G,ROW())/100,--INDEX('Term investments'!$G:$G,ROW())),0)</f>
        <v/>
      </c>
      <c r="H1620">
        <f>IFERROR(--INDEX('Term investments'!$H:$H,ROW()),0)</f>
        <v/>
      </c>
      <c r="I1620">
        <f>IF(ISNUMBER(INDEX('Term investments'!$G:$G,ROW())),1,0)</f>
        <v/>
      </c>
      <c r="J1620">
        <f>TRIM(SUBSTITUTE(INDEX('Call accounts and MMFs'!$A:$A,ROW())&amp;""," "," "))</f>
        <v/>
      </c>
      <c r="K1620">
        <f>TRIM(SUBSTITUTE(INDEX('Call accounts and MMFs'!$B:$B,ROW())&amp;""," "," "))</f>
        <v/>
      </c>
      <c r="L1620">
        <f>TRIM(SUBSTITUTE(INDEX('Call accounts and MMFs'!$C:$C,ROW())&amp;""," "," "))</f>
        <v/>
      </c>
      <c r="M1620">
        <f>IFERROR(--INDEX('Call accounts and MMFs'!$D:$D,ROW()),0)</f>
        <v/>
      </c>
      <c r="N1620">
        <f>IFERROR(IF(--INDEX('Call accounts and MMFs'!$E:$E,ROW())&gt;=1,--INDEX('Call accounts and MMFs'!$E:$E,ROW())/100,--INDEX('Call accounts and MMFs'!$E:$E,ROW())),0)</f>
        <v/>
      </c>
      <c r="O1620">
        <f>IFERROR(--INDEX('Call accounts and MMFs'!$F:$F,ROW()),0)</f>
        <v/>
      </c>
      <c r="P1620">
        <f>IF(ISNUMBER(INDEX('Call accounts and MMFs'!$E:$E,ROW())),1,0)</f>
        <v/>
      </c>
      <c r="Q1620">
        <f>TRIM(SUBSTITUTE(INDEX('Pooled funds'!$B:$B,ROW())&amp;""," "," "))</f>
        <v/>
      </c>
      <c r="R1620">
        <f>IFERROR(--INDEX('Pooled funds'!$C:$C,ROW()),0)</f>
        <v/>
      </c>
      <c r="S1620">
        <f>IFERROR(--INDEX('Pooled funds'!$D:$D,ROW()),0)</f>
        <v/>
      </c>
      <c r="T1620">
        <f>IFERROR(IF(--INDEX('Pooled funds'!$E:$E,ROW())&gt;=1,--INDEX('Pooled funds'!$E:$E,ROW())/100,--INDEX('Pooled funds'!$E:$E,ROW())),0)</f>
        <v/>
      </c>
      <c r="U1620">
        <f>IF(ISNUMBER(INDEX('Pooled funds'!$E:$E,ROW())),1,0)</f>
        <v/>
      </c>
    </row>
    <row r="1621">
      <c r="A1621">
        <f>TRIM(SUBSTITUTE(INDEX('Term investments'!$A:$A,ROW())&amp;""," "," "))</f>
        <v/>
      </c>
      <c r="B1621">
        <f>TRIM(SUBSTITUTE(INDEX('Term investments'!$B:$B,ROW())&amp;""," "," "))</f>
        <v/>
      </c>
      <c r="C1621">
        <f>TRIM(SUBSTITUTE(INDEX('Term investments'!$C:$C,ROW())&amp;""," "," "))</f>
        <v/>
      </c>
      <c r="D1621">
        <f>IFERROR(--INDEX('Term investments'!$D:$D,ROW()),0)</f>
        <v/>
      </c>
      <c r="E1621">
        <f>IFERROR(--INDEX('Term investments'!$E:$E,ROW()),0)</f>
        <v/>
      </c>
      <c r="F1621">
        <f>IFERROR(--INDEX('Term investments'!$F:$F,ROW()),0)</f>
        <v/>
      </c>
      <c r="G1621">
        <f>IFERROR(IF(--INDEX('Term investments'!$G:$G,ROW())&gt;=1,--INDEX('Term investments'!$G:$G,ROW())/100,--INDEX('Term investments'!$G:$G,ROW())),0)</f>
        <v/>
      </c>
      <c r="H1621">
        <f>IFERROR(--INDEX('Term investments'!$H:$H,ROW()),0)</f>
        <v/>
      </c>
      <c r="I1621">
        <f>IF(ISNUMBER(INDEX('Term investments'!$G:$G,ROW())),1,0)</f>
        <v/>
      </c>
      <c r="J1621">
        <f>TRIM(SUBSTITUTE(INDEX('Call accounts and MMFs'!$A:$A,ROW())&amp;""," "," "))</f>
        <v/>
      </c>
      <c r="K1621">
        <f>TRIM(SUBSTITUTE(INDEX('Call accounts and MMFs'!$B:$B,ROW())&amp;""," "," "))</f>
        <v/>
      </c>
      <c r="L1621">
        <f>TRIM(SUBSTITUTE(INDEX('Call accounts and MMFs'!$C:$C,ROW())&amp;""," "," "))</f>
        <v/>
      </c>
      <c r="M1621">
        <f>IFERROR(--INDEX('Call accounts and MMFs'!$D:$D,ROW()),0)</f>
        <v/>
      </c>
      <c r="N1621">
        <f>IFERROR(IF(--INDEX('Call accounts and MMFs'!$E:$E,ROW())&gt;=1,--INDEX('Call accounts and MMFs'!$E:$E,ROW())/100,--INDEX('Call accounts and MMFs'!$E:$E,ROW())),0)</f>
        <v/>
      </c>
      <c r="O1621">
        <f>IFERROR(--INDEX('Call accounts and MMFs'!$F:$F,ROW()),0)</f>
        <v/>
      </c>
      <c r="P1621">
        <f>IF(ISNUMBER(INDEX('Call accounts and MMFs'!$E:$E,ROW())),1,0)</f>
        <v/>
      </c>
      <c r="Q1621">
        <f>TRIM(SUBSTITUTE(INDEX('Pooled funds'!$B:$B,ROW())&amp;""," "," "))</f>
        <v/>
      </c>
      <c r="R1621">
        <f>IFERROR(--INDEX('Pooled funds'!$C:$C,ROW()),0)</f>
        <v/>
      </c>
      <c r="S1621">
        <f>IFERROR(--INDEX('Pooled funds'!$D:$D,ROW()),0)</f>
        <v/>
      </c>
      <c r="T1621">
        <f>IFERROR(IF(--INDEX('Pooled funds'!$E:$E,ROW())&gt;=1,--INDEX('Pooled funds'!$E:$E,ROW())/100,--INDEX('Pooled funds'!$E:$E,ROW())),0)</f>
        <v/>
      </c>
      <c r="U1621">
        <f>IF(ISNUMBER(INDEX('Pooled funds'!$E:$E,ROW())),1,0)</f>
        <v/>
      </c>
    </row>
    <row r="1622">
      <c r="A1622">
        <f>TRIM(SUBSTITUTE(INDEX('Term investments'!$A:$A,ROW())&amp;""," "," "))</f>
        <v/>
      </c>
      <c r="B1622">
        <f>TRIM(SUBSTITUTE(INDEX('Term investments'!$B:$B,ROW())&amp;""," "," "))</f>
        <v/>
      </c>
      <c r="C1622">
        <f>TRIM(SUBSTITUTE(INDEX('Term investments'!$C:$C,ROW())&amp;""," "," "))</f>
        <v/>
      </c>
      <c r="D1622">
        <f>IFERROR(--INDEX('Term investments'!$D:$D,ROW()),0)</f>
        <v/>
      </c>
      <c r="E1622">
        <f>IFERROR(--INDEX('Term investments'!$E:$E,ROW()),0)</f>
        <v/>
      </c>
      <c r="F1622">
        <f>IFERROR(--INDEX('Term investments'!$F:$F,ROW()),0)</f>
        <v/>
      </c>
      <c r="G1622">
        <f>IFERROR(IF(--INDEX('Term investments'!$G:$G,ROW())&gt;=1,--INDEX('Term investments'!$G:$G,ROW())/100,--INDEX('Term investments'!$G:$G,ROW())),0)</f>
        <v/>
      </c>
      <c r="H1622">
        <f>IFERROR(--INDEX('Term investments'!$H:$H,ROW()),0)</f>
        <v/>
      </c>
      <c r="I1622">
        <f>IF(ISNUMBER(INDEX('Term investments'!$G:$G,ROW())),1,0)</f>
        <v/>
      </c>
      <c r="J1622">
        <f>TRIM(SUBSTITUTE(INDEX('Call accounts and MMFs'!$A:$A,ROW())&amp;""," "," "))</f>
        <v/>
      </c>
      <c r="K1622">
        <f>TRIM(SUBSTITUTE(INDEX('Call accounts and MMFs'!$B:$B,ROW())&amp;""," "," "))</f>
        <v/>
      </c>
      <c r="L1622">
        <f>TRIM(SUBSTITUTE(INDEX('Call accounts and MMFs'!$C:$C,ROW())&amp;""," "," "))</f>
        <v/>
      </c>
      <c r="M1622">
        <f>IFERROR(--INDEX('Call accounts and MMFs'!$D:$D,ROW()),0)</f>
        <v/>
      </c>
      <c r="N1622">
        <f>IFERROR(IF(--INDEX('Call accounts and MMFs'!$E:$E,ROW())&gt;=1,--INDEX('Call accounts and MMFs'!$E:$E,ROW())/100,--INDEX('Call accounts and MMFs'!$E:$E,ROW())),0)</f>
        <v/>
      </c>
      <c r="O1622">
        <f>IFERROR(--INDEX('Call accounts and MMFs'!$F:$F,ROW()),0)</f>
        <v/>
      </c>
      <c r="P1622">
        <f>IF(ISNUMBER(INDEX('Call accounts and MMFs'!$E:$E,ROW())),1,0)</f>
        <v/>
      </c>
      <c r="Q1622">
        <f>TRIM(SUBSTITUTE(INDEX('Pooled funds'!$B:$B,ROW())&amp;""," "," "))</f>
        <v/>
      </c>
      <c r="R1622">
        <f>IFERROR(--INDEX('Pooled funds'!$C:$C,ROW()),0)</f>
        <v/>
      </c>
      <c r="S1622">
        <f>IFERROR(--INDEX('Pooled funds'!$D:$D,ROW()),0)</f>
        <v/>
      </c>
      <c r="T1622">
        <f>IFERROR(IF(--INDEX('Pooled funds'!$E:$E,ROW())&gt;=1,--INDEX('Pooled funds'!$E:$E,ROW())/100,--INDEX('Pooled funds'!$E:$E,ROW())),0)</f>
        <v/>
      </c>
      <c r="U1622">
        <f>IF(ISNUMBER(INDEX('Pooled funds'!$E:$E,ROW())),1,0)</f>
        <v/>
      </c>
    </row>
    <row r="1623">
      <c r="A1623">
        <f>TRIM(SUBSTITUTE(INDEX('Term investments'!$A:$A,ROW())&amp;""," "," "))</f>
        <v/>
      </c>
      <c r="B1623">
        <f>TRIM(SUBSTITUTE(INDEX('Term investments'!$B:$B,ROW())&amp;""," "," "))</f>
        <v/>
      </c>
      <c r="C1623">
        <f>TRIM(SUBSTITUTE(INDEX('Term investments'!$C:$C,ROW())&amp;""," "," "))</f>
        <v/>
      </c>
      <c r="D1623">
        <f>IFERROR(--INDEX('Term investments'!$D:$D,ROW()),0)</f>
        <v/>
      </c>
      <c r="E1623">
        <f>IFERROR(--INDEX('Term investments'!$E:$E,ROW()),0)</f>
        <v/>
      </c>
      <c r="F1623">
        <f>IFERROR(--INDEX('Term investments'!$F:$F,ROW()),0)</f>
        <v/>
      </c>
      <c r="G1623">
        <f>IFERROR(IF(--INDEX('Term investments'!$G:$G,ROW())&gt;=1,--INDEX('Term investments'!$G:$G,ROW())/100,--INDEX('Term investments'!$G:$G,ROW())),0)</f>
        <v/>
      </c>
      <c r="H1623">
        <f>IFERROR(--INDEX('Term investments'!$H:$H,ROW()),0)</f>
        <v/>
      </c>
      <c r="I1623">
        <f>IF(ISNUMBER(INDEX('Term investments'!$G:$G,ROW())),1,0)</f>
        <v/>
      </c>
      <c r="J1623">
        <f>TRIM(SUBSTITUTE(INDEX('Call accounts and MMFs'!$A:$A,ROW())&amp;""," "," "))</f>
        <v/>
      </c>
      <c r="K1623">
        <f>TRIM(SUBSTITUTE(INDEX('Call accounts and MMFs'!$B:$B,ROW())&amp;""," "," "))</f>
        <v/>
      </c>
      <c r="L1623">
        <f>TRIM(SUBSTITUTE(INDEX('Call accounts and MMFs'!$C:$C,ROW())&amp;""," "," "))</f>
        <v/>
      </c>
      <c r="M1623">
        <f>IFERROR(--INDEX('Call accounts and MMFs'!$D:$D,ROW()),0)</f>
        <v/>
      </c>
      <c r="N1623">
        <f>IFERROR(IF(--INDEX('Call accounts and MMFs'!$E:$E,ROW())&gt;=1,--INDEX('Call accounts and MMFs'!$E:$E,ROW())/100,--INDEX('Call accounts and MMFs'!$E:$E,ROW())),0)</f>
        <v/>
      </c>
      <c r="O1623">
        <f>IFERROR(--INDEX('Call accounts and MMFs'!$F:$F,ROW()),0)</f>
        <v/>
      </c>
      <c r="P1623">
        <f>IF(ISNUMBER(INDEX('Call accounts and MMFs'!$E:$E,ROW())),1,0)</f>
        <v/>
      </c>
      <c r="Q1623">
        <f>TRIM(SUBSTITUTE(INDEX('Pooled funds'!$B:$B,ROW())&amp;""," "," "))</f>
        <v/>
      </c>
      <c r="R1623">
        <f>IFERROR(--INDEX('Pooled funds'!$C:$C,ROW()),0)</f>
        <v/>
      </c>
      <c r="S1623">
        <f>IFERROR(--INDEX('Pooled funds'!$D:$D,ROW()),0)</f>
        <v/>
      </c>
      <c r="T1623">
        <f>IFERROR(IF(--INDEX('Pooled funds'!$E:$E,ROW())&gt;=1,--INDEX('Pooled funds'!$E:$E,ROW())/100,--INDEX('Pooled funds'!$E:$E,ROW())),0)</f>
        <v/>
      </c>
      <c r="U1623">
        <f>IF(ISNUMBER(INDEX('Pooled funds'!$E:$E,ROW())),1,0)</f>
        <v/>
      </c>
    </row>
    <row r="1624">
      <c r="A1624">
        <f>TRIM(SUBSTITUTE(INDEX('Term investments'!$A:$A,ROW())&amp;""," "," "))</f>
        <v/>
      </c>
      <c r="B1624">
        <f>TRIM(SUBSTITUTE(INDEX('Term investments'!$B:$B,ROW())&amp;""," "," "))</f>
        <v/>
      </c>
      <c r="C1624">
        <f>TRIM(SUBSTITUTE(INDEX('Term investments'!$C:$C,ROW())&amp;""," "," "))</f>
        <v/>
      </c>
      <c r="D1624">
        <f>IFERROR(--INDEX('Term investments'!$D:$D,ROW()),0)</f>
        <v/>
      </c>
      <c r="E1624">
        <f>IFERROR(--INDEX('Term investments'!$E:$E,ROW()),0)</f>
        <v/>
      </c>
      <c r="F1624">
        <f>IFERROR(--INDEX('Term investments'!$F:$F,ROW()),0)</f>
        <v/>
      </c>
      <c r="G1624">
        <f>IFERROR(IF(--INDEX('Term investments'!$G:$G,ROW())&gt;=1,--INDEX('Term investments'!$G:$G,ROW())/100,--INDEX('Term investments'!$G:$G,ROW())),0)</f>
        <v/>
      </c>
      <c r="H1624">
        <f>IFERROR(--INDEX('Term investments'!$H:$H,ROW()),0)</f>
        <v/>
      </c>
      <c r="I1624">
        <f>IF(ISNUMBER(INDEX('Term investments'!$G:$G,ROW())),1,0)</f>
        <v/>
      </c>
      <c r="J1624">
        <f>TRIM(SUBSTITUTE(INDEX('Call accounts and MMFs'!$A:$A,ROW())&amp;""," "," "))</f>
        <v/>
      </c>
      <c r="K1624">
        <f>TRIM(SUBSTITUTE(INDEX('Call accounts and MMFs'!$B:$B,ROW())&amp;""," "," "))</f>
        <v/>
      </c>
      <c r="L1624">
        <f>TRIM(SUBSTITUTE(INDEX('Call accounts and MMFs'!$C:$C,ROW())&amp;""," "," "))</f>
        <v/>
      </c>
      <c r="M1624">
        <f>IFERROR(--INDEX('Call accounts and MMFs'!$D:$D,ROW()),0)</f>
        <v/>
      </c>
      <c r="N1624">
        <f>IFERROR(IF(--INDEX('Call accounts and MMFs'!$E:$E,ROW())&gt;=1,--INDEX('Call accounts and MMFs'!$E:$E,ROW())/100,--INDEX('Call accounts and MMFs'!$E:$E,ROW())),0)</f>
        <v/>
      </c>
      <c r="O1624">
        <f>IFERROR(--INDEX('Call accounts and MMFs'!$F:$F,ROW()),0)</f>
        <v/>
      </c>
      <c r="P1624">
        <f>IF(ISNUMBER(INDEX('Call accounts and MMFs'!$E:$E,ROW())),1,0)</f>
        <v/>
      </c>
      <c r="Q1624">
        <f>TRIM(SUBSTITUTE(INDEX('Pooled funds'!$B:$B,ROW())&amp;""," "," "))</f>
        <v/>
      </c>
      <c r="R1624">
        <f>IFERROR(--INDEX('Pooled funds'!$C:$C,ROW()),0)</f>
        <v/>
      </c>
      <c r="S1624">
        <f>IFERROR(--INDEX('Pooled funds'!$D:$D,ROW()),0)</f>
        <v/>
      </c>
      <c r="T1624">
        <f>IFERROR(IF(--INDEX('Pooled funds'!$E:$E,ROW())&gt;=1,--INDEX('Pooled funds'!$E:$E,ROW())/100,--INDEX('Pooled funds'!$E:$E,ROW())),0)</f>
        <v/>
      </c>
      <c r="U1624">
        <f>IF(ISNUMBER(INDEX('Pooled funds'!$E:$E,ROW())),1,0)</f>
        <v/>
      </c>
    </row>
    <row r="1625">
      <c r="A1625">
        <f>TRIM(SUBSTITUTE(INDEX('Term investments'!$A:$A,ROW())&amp;""," "," "))</f>
        <v/>
      </c>
      <c r="B1625">
        <f>TRIM(SUBSTITUTE(INDEX('Term investments'!$B:$B,ROW())&amp;""," "," "))</f>
        <v/>
      </c>
      <c r="C1625">
        <f>TRIM(SUBSTITUTE(INDEX('Term investments'!$C:$C,ROW())&amp;""," "," "))</f>
        <v/>
      </c>
      <c r="D1625">
        <f>IFERROR(--INDEX('Term investments'!$D:$D,ROW()),0)</f>
        <v/>
      </c>
      <c r="E1625">
        <f>IFERROR(--INDEX('Term investments'!$E:$E,ROW()),0)</f>
        <v/>
      </c>
      <c r="F1625">
        <f>IFERROR(--INDEX('Term investments'!$F:$F,ROW()),0)</f>
        <v/>
      </c>
      <c r="G1625">
        <f>IFERROR(IF(--INDEX('Term investments'!$G:$G,ROW())&gt;=1,--INDEX('Term investments'!$G:$G,ROW())/100,--INDEX('Term investments'!$G:$G,ROW())),0)</f>
        <v/>
      </c>
      <c r="H1625">
        <f>IFERROR(--INDEX('Term investments'!$H:$H,ROW()),0)</f>
        <v/>
      </c>
      <c r="I1625">
        <f>IF(ISNUMBER(INDEX('Term investments'!$G:$G,ROW())),1,0)</f>
        <v/>
      </c>
      <c r="J1625">
        <f>TRIM(SUBSTITUTE(INDEX('Call accounts and MMFs'!$A:$A,ROW())&amp;""," "," "))</f>
        <v/>
      </c>
      <c r="K1625">
        <f>TRIM(SUBSTITUTE(INDEX('Call accounts and MMFs'!$B:$B,ROW())&amp;""," "," "))</f>
        <v/>
      </c>
      <c r="L1625">
        <f>TRIM(SUBSTITUTE(INDEX('Call accounts and MMFs'!$C:$C,ROW())&amp;""," "," "))</f>
        <v/>
      </c>
      <c r="M1625">
        <f>IFERROR(--INDEX('Call accounts and MMFs'!$D:$D,ROW()),0)</f>
        <v/>
      </c>
      <c r="N1625">
        <f>IFERROR(IF(--INDEX('Call accounts and MMFs'!$E:$E,ROW())&gt;=1,--INDEX('Call accounts and MMFs'!$E:$E,ROW())/100,--INDEX('Call accounts and MMFs'!$E:$E,ROW())),0)</f>
        <v/>
      </c>
      <c r="O1625">
        <f>IFERROR(--INDEX('Call accounts and MMFs'!$F:$F,ROW()),0)</f>
        <v/>
      </c>
      <c r="P1625">
        <f>IF(ISNUMBER(INDEX('Call accounts and MMFs'!$E:$E,ROW())),1,0)</f>
        <v/>
      </c>
      <c r="Q1625">
        <f>TRIM(SUBSTITUTE(INDEX('Pooled funds'!$B:$B,ROW())&amp;""," "," "))</f>
        <v/>
      </c>
      <c r="R1625">
        <f>IFERROR(--INDEX('Pooled funds'!$C:$C,ROW()),0)</f>
        <v/>
      </c>
      <c r="S1625">
        <f>IFERROR(--INDEX('Pooled funds'!$D:$D,ROW()),0)</f>
        <v/>
      </c>
      <c r="T1625">
        <f>IFERROR(IF(--INDEX('Pooled funds'!$E:$E,ROW())&gt;=1,--INDEX('Pooled funds'!$E:$E,ROW())/100,--INDEX('Pooled funds'!$E:$E,ROW())),0)</f>
        <v/>
      </c>
      <c r="U1625">
        <f>IF(ISNUMBER(INDEX('Pooled funds'!$E:$E,ROW())),1,0)</f>
        <v/>
      </c>
    </row>
    <row r="1626">
      <c r="A1626">
        <f>TRIM(SUBSTITUTE(INDEX('Term investments'!$A:$A,ROW())&amp;""," "," "))</f>
        <v/>
      </c>
      <c r="B1626">
        <f>TRIM(SUBSTITUTE(INDEX('Term investments'!$B:$B,ROW())&amp;""," "," "))</f>
        <v/>
      </c>
      <c r="C1626">
        <f>TRIM(SUBSTITUTE(INDEX('Term investments'!$C:$C,ROW())&amp;""," "," "))</f>
        <v/>
      </c>
      <c r="D1626">
        <f>IFERROR(--INDEX('Term investments'!$D:$D,ROW()),0)</f>
        <v/>
      </c>
      <c r="E1626">
        <f>IFERROR(--INDEX('Term investments'!$E:$E,ROW()),0)</f>
        <v/>
      </c>
      <c r="F1626">
        <f>IFERROR(--INDEX('Term investments'!$F:$F,ROW()),0)</f>
        <v/>
      </c>
      <c r="G1626">
        <f>IFERROR(IF(--INDEX('Term investments'!$G:$G,ROW())&gt;=1,--INDEX('Term investments'!$G:$G,ROW())/100,--INDEX('Term investments'!$G:$G,ROW())),0)</f>
        <v/>
      </c>
      <c r="H1626">
        <f>IFERROR(--INDEX('Term investments'!$H:$H,ROW()),0)</f>
        <v/>
      </c>
      <c r="I1626">
        <f>IF(ISNUMBER(INDEX('Term investments'!$G:$G,ROW())),1,0)</f>
        <v/>
      </c>
      <c r="J1626">
        <f>TRIM(SUBSTITUTE(INDEX('Call accounts and MMFs'!$A:$A,ROW())&amp;""," "," "))</f>
        <v/>
      </c>
      <c r="K1626">
        <f>TRIM(SUBSTITUTE(INDEX('Call accounts and MMFs'!$B:$B,ROW())&amp;""," "," "))</f>
        <v/>
      </c>
      <c r="L1626">
        <f>TRIM(SUBSTITUTE(INDEX('Call accounts and MMFs'!$C:$C,ROW())&amp;""," "," "))</f>
        <v/>
      </c>
      <c r="M1626">
        <f>IFERROR(--INDEX('Call accounts and MMFs'!$D:$D,ROW()),0)</f>
        <v/>
      </c>
      <c r="N1626">
        <f>IFERROR(IF(--INDEX('Call accounts and MMFs'!$E:$E,ROW())&gt;=1,--INDEX('Call accounts and MMFs'!$E:$E,ROW())/100,--INDEX('Call accounts and MMFs'!$E:$E,ROW())),0)</f>
        <v/>
      </c>
      <c r="O1626">
        <f>IFERROR(--INDEX('Call accounts and MMFs'!$F:$F,ROW()),0)</f>
        <v/>
      </c>
      <c r="P1626">
        <f>IF(ISNUMBER(INDEX('Call accounts and MMFs'!$E:$E,ROW())),1,0)</f>
        <v/>
      </c>
      <c r="Q1626">
        <f>TRIM(SUBSTITUTE(INDEX('Pooled funds'!$B:$B,ROW())&amp;""," "," "))</f>
        <v/>
      </c>
      <c r="R1626">
        <f>IFERROR(--INDEX('Pooled funds'!$C:$C,ROW()),0)</f>
        <v/>
      </c>
      <c r="S1626">
        <f>IFERROR(--INDEX('Pooled funds'!$D:$D,ROW()),0)</f>
        <v/>
      </c>
      <c r="T1626">
        <f>IFERROR(IF(--INDEX('Pooled funds'!$E:$E,ROW())&gt;=1,--INDEX('Pooled funds'!$E:$E,ROW())/100,--INDEX('Pooled funds'!$E:$E,ROW())),0)</f>
        <v/>
      </c>
      <c r="U1626">
        <f>IF(ISNUMBER(INDEX('Pooled funds'!$E:$E,ROW())),1,0)</f>
        <v/>
      </c>
    </row>
    <row r="1627">
      <c r="A1627">
        <f>TRIM(SUBSTITUTE(INDEX('Term investments'!$A:$A,ROW())&amp;""," "," "))</f>
        <v/>
      </c>
      <c r="B1627">
        <f>TRIM(SUBSTITUTE(INDEX('Term investments'!$B:$B,ROW())&amp;""," "," "))</f>
        <v/>
      </c>
      <c r="C1627">
        <f>TRIM(SUBSTITUTE(INDEX('Term investments'!$C:$C,ROW())&amp;""," "," "))</f>
        <v/>
      </c>
      <c r="D1627">
        <f>IFERROR(--INDEX('Term investments'!$D:$D,ROW()),0)</f>
        <v/>
      </c>
      <c r="E1627">
        <f>IFERROR(--INDEX('Term investments'!$E:$E,ROW()),0)</f>
        <v/>
      </c>
      <c r="F1627">
        <f>IFERROR(--INDEX('Term investments'!$F:$F,ROW()),0)</f>
        <v/>
      </c>
      <c r="G1627">
        <f>IFERROR(IF(--INDEX('Term investments'!$G:$G,ROW())&gt;=1,--INDEX('Term investments'!$G:$G,ROW())/100,--INDEX('Term investments'!$G:$G,ROW())),0)</f>
        <v/>
      </c>
      <c r="H1627">
        <f>IFERROR(--INDEX('Term investments'!$H:$H,ROW()),0)</f>
        <v/>
      </c>
      <c r="I1627">
        <f>IF(ISNUMBER(INDEX('Term investments'!$G:$G,ROW())),1,0)</f>
        <v/>
      </c>
      <c r="J1627">
        <f>TRIM(SUBSTITUTE(INDEX('Call accounts and MMFs'!$A:$A,ROW())&amp;""," "," "))</f>
        <v/>
      </c>
      <c r="K1627">
        <f>TRIM(SUBSTITUTE(INDEX('Call accounts and MMFs'!$B:$B,ROW())&amp;""," "," "))</f>
        <v/>
      </c>
      <c r="L1627">
        <f>TRIM(SUBSTITUTE(INDEX('Call accounts and MMFs'!$C:$C,ROW())&amp;""," "," "))</f>
        <v/>
      </c>
      <c r="M1627">
        <f>IFERROR(--INDEX('Call accounts and MMFs'!$D:$D,ROW()),0)</f>
        <v/>
      </c>
      <c r="N1627">
        <f>IFERROR(IF(--INDEX('Call accounts and MMFs'!$E:$E,ROW())&gt;=1,--INDEX('Call accounts and MMFs'!$E:$E,ROW())/100,--INDEX('Call accounts and MMFs'!$E:$E,ROW())),0)</f>
        <v/>
      </c>
      <c r="O1627">
        <f>IFERROR(--INDEX('Call accounts and MMFs'!$F:$F,ROW()),0)</f>
        <v/>
      </c>
      <c r="P1627">
        <f>IF(ISNUMBER(INDEX('Call accounts and MMFs'!$E:$E,ROW())),1,0)</f>
        <v/>
      </c>
      <c r="Q1627">
        <f>TRIM(SUBSTITUTE(INDEX('Pooled funds'!$B:$B,ROW())&amp;""," "," "))</f>
        <v/>
      </c>
      <c r="R1627">
        <f>IFERROR(--INDEX('Pooled funds'!$C:$C,ROW()),0)</f>
        <v/>
      </c>
      <c r="S1627">
        <f>IFERROR(--INDEX('Pooled funds'!$D:$D,ROW()),0)</f>
        <v/>
      </c>
      <c r="T1627">
        <f>IFERROR(IF(--INDEX('Pooled funds'!$E:$E,ROW())&gt;=1,--INDEX('Pooled funds'!$E:$E,ROW())/100,--INDEX('Pooled funds'!$E:$E,ROW())),0)</f>
        <v/>
      </c>
      <c r="U1627">
        <f>IF(ISNUMBER(INDEX('Pooled funds'!$E:$E,ROW())),1,0)</f>
        <v/>
      </c>
    </row>
    <row r="1628">
      <c r="A1628">
        <f>TRIM(SUBSTITUTE(INDEX('Term investments'!$A:$A,ROW())&amp;""," "," "))</f>
        <v/>
      </c>
      <c r="B1628">
        <f>TRIM(SUBSTITUTE(INDEX('Term investments'!$B:$B,ROW())&amp;""," "," "))</f>
        <v/>
      </c>
      <c r="C1628">
        <f>TRIM(SUBSTITUTE(INDEX('Term investments'!$C:$C,ROW())&amp;""," "," "))</f>
        <v/>
      </c>
      <c r="D1628">
        <f>IFERROR(--INDEX('Term investments'!$D:$D,ROW()),0)</f>
        <v/>
      </c>
      <c r="E1628">
        <f>IFERROR(--INDEX('Term investments'!$E:$E,ROW()),0)</f>
        <v/>
      </c>
      <c r="F1628">
        <f>IFERROR(--INDEX('Term investments'!$F:$F,ROW()),0)</f>
        <v/>
      </c>
      <c r="G1628">
        <f>IFERROR(IF(--INDEX('Term investments'!$G:$G,ROW())&gt;=1,--INDEX('Term investments'!$G:$G,ROW())/100,--INDEX('Term investments'!$G:$G,ROW())),0)</f>
        <v/>
      </c>
      <c r="H1628">
        <f>IFERROR(--INDEX('Term investments'!$H:$H,ROW()),0)</f>
        <v/>
      </c>
      <c r="I1628">
        <f>IF(ISNUMBER(INDEX('Term investments'!$G:$G,ROW())),1,0)</f>
        <v/>
      </c>
      <c r="J1628">
        <f>TRIM(SUBSTITUTE(INDEX('Call accounts and MMFs'!$A:$A,ROW())&amp;""," "," "))</f>
        <v/>
      </c>
      <c r="K1628">
        <f>TRIM(SUBSTITUTE(INDEX('Call accounts and MMFs'!$B:$B,ROW())&amp;""," "," "))</f>
        <v/>
      </c>
      <c r="L1628">
        <f>TRIM(SUBSTITUTE(INDEX('Call accounts and MMFs'!$C:$C,ROW())&amp;""," "," "))</f>
        <v/>
      </c>
      <c r="M1628">
        <f>IFERROR(--INDEX('Call accounts and MMFs'!$D:$D,ROW()),0)</f>
        <v/>
      </c>
      <c r="N1628">
        <f>IFERROR(IF(--INDEX('Call accounts and MMFs'!$E:$E,ROW())&gt;=1,--INDEX('Call accounts and MMFs'!$E:$E,ROW())/100,--INDEX('Call accounts and MMFs'!$E:$E,ROW())),0)</f>
        <v/>
      </c>
      <c r="O1628">
        <f>IFERROR(--INDEX('Call accounts and MMFs'!$F:$F,ROW()),0)</f>
        <v/>
      </c>
      <c r="P1628">
        <f>IF(ISNUMBER(INDEX('Call accounts and MMFs'!$E:$E,ROW())),1,0)</f>
        <v/>
      </c>
      <c r="Q1628">
        <f>TRIM(SUBSTITUTE(INDEX('Pooled funds'!$B:$B,ROW())&amp;""," "," "))</f>
        <v/>
      </c>
      <c r="R1628">
        <f>IFERROR(--INDEX('Pooled funds'!$C:$C,ROW()),0)</f>
        <v/>
      </c>
      <c r="S1628">
        <f>IFERROR(--INDEX('Pooled funds'!$D:$D,ROW()),0)</f>
        <v/>
      </c>
      <c r="T1628">
        <f>IFERROR(IF(--INDEX('Pooled funds'!$E:$E,ROW())&gt;=1,--INDEX('Pooled funds'!$E:$E,ROW())/100,--INDEX('Pooled funds'!$E:$E,ROW())),0)</f>
        <v/>
      </c>
      <c r="U1628">
        <f>IF(ISNUMBER(INDEX('Pooled funds'!$E:$E,ROW())),1,0)</f>
        <v/>
      </c>
    </row>
    <row r="1629">
      <c r="A1629">
        <f>TRIM(SUBSTITUTE(INDEX('Term investments'!$A:$A,ROW())&amp;""," "," "))</f>
        <v/>
      </c>
      <c r="B1629">
        <f>TRIM(SUBSTITUTE(INDEX('Term investments'!$B:$B,ROW())&amp;""," "," "))</f>
        <v/>
      </c>
      <c r="C1629">
        <f>TRIM(SUBSTITUTE(INDEX('Term investments'!$C:$C,ROW())&amp;""," "," "))</f>
        <v/>
      </c>
      <c r="D1629">
        <f>IFERROR(--INDEX('Term investments'!$D:$D,ROW()),0)</f>
        <v/>
      </c>
      <c r="E1629">
        <f>IFERROR(--INDEX('Term investments'!$E:$E,ROW()),0)</f>
        <v/>
      </c>
      <c r="F1629">
        <f>IFERROR(--INDEX('Term investments'!$F:$F,ROW()),0)</f>
        <v/>
      </c>
      <c r="G1629">
        <f>IFERROR(IF(--INDEX('Term investments'!$G:$G,ROW())&gt;=1,--INDEX('Term investments'!$G:$G,ROW())/100,--INDEX('Term investments'!$G:$G,ROW())),0)</f>
        <v/>
      </c>
      <c r="H1629">
        <f>IFERROR(--INDEX('Term investments'!$H:$H,ROW()),0)</f>
        <v/>
      </c>
      <c r="I1629">
        <f>IF(ISNUMBER(INDEX('Term investments'!$G:$G,ROW())),1,0)</f>
        <v/>
      </c>
      <c r="J1629">
        <f>TRIM(SUBSTITUTE(INDEX('Call accounts and MMFs'!$A:$A,ROW())&amp;""," "," "))</f>
        <v/>
      </c>
      <c r="K1629">
        <f>TRIM(SUBSTITUTE(INDEX('Call accounts and MMFs'!$B:$B,ROW())&amp;""," "," "))</f>
        <v/>
      </c>
      <c r="L1629">
        <f>TRIM(SUBSTITUTE(INDEX('Call accounts and MMFs'!$C:$C,ROW())&amp;""," "," "))</f>
        <v/>
      </c>
      <c r="M1629">
        <f>IFERROR(--INDEX('Call accounts and MMFs'!$D:$D,ROW()),0)</f>
        <v/>
      </c>
      <c r="N1629">
        <f>IFERROR(IF(--INDEX('Call accounts and MMFs'!$E:$E,ROW())&gt;=1,--INDEX('Call accounts and MMFs'!$E:$E,ROW())/100,--INDEX('Call accounts and MMFs'!$E:$E,ROW())),0)</f>
        <v/>
      </c>
      <c r="O1629">
        <f>IFERROR(--INDEX('Call accounts and MMFs'!$F:$F,ROW()),0)</f>
        <v/>
      </c>
      <c r="P1629">
        <f>IF(ISNUMBER(INDEX('Call accounts and MMFs'!$E:$E,ROW())),1,0)</f>
        <v/>
      </c>
      <c r="Q1629">
        <f>TRIM(SUBSTITUTE(INDEX('Pooled funds'!$B:$B,ROW())&amp;""," "," "))</f>
        <v/>
      </c>
      <c r="R1629">
        <f>IFERROR(--INDEX('Pooled funds'!$C:$C,ROW()),0)</f>
        <v/>
      </c>
      <c r="S1629">
        <f>IFERROR(--INDEX('Pooled funds'!$D:$D,ROW()),0)</f>
        <v/>
      </c>
      <c r="T1629">
        <f>IFERROR(IF(--INDEX('Pooled funds'!$E:$E,ROW())&gt;=1,--INDEX('Pooled funds'!$E:$E,ROW())/100,--INDEX('Pooled funds'!$E:$E,ROW())),0)</f>
        <v/>
      </c>
      <c r="U1629">
        <f>IF(ISNUMBER(INDEX('Pooled funds'!$E:$E,ROW())),1,0)</f>
        <v/>
      </c>
    </row>
    <row r="1630">
      <c r="A1630">
        <f>TRIM(SUBSTITUTE(INDEX('Term investments'!$A:$A,ROW())&amp;""," "," "))</f>
        <v/>
      </c>
      <c r="B1630">
        <f>TRIM(SUBSTITUTE(INDEX('Term investments'!$B:$B,ROW())&amp;""," "," "))</f>
        <v/>
      </c>
      <c r="C1630">
        <f>TRIM(SUBSTITUTE(INDEX('Term investments'!$C:$C,ROW())&amp;""," "," "))</f>
        <v/>
      </c>
      <c r="D1630">
        <f>IFERROR(--INDEX('Term investments'!$D:$D,ROW()),0)</f>
        <v/>
      </c>
      <c r="E1630">
        <f>IFERROR(--INDEX('Term investments'!$E:$E,ROW()),0)</f>
        <v/>
      </c>
      <c r="F1630">
        <f>IFERROR(--INDEX('Term investments'!$F:$F,ROW()),0)</f>
        <v/>
      </c>
      <c r="G1630">
        <f>IFERROR(IF(--INDEX('Term investments'!$G:$G,ROW())&gt;=1,--INDEX('Term investments'!$G:$G,ROW())/100,--INDEX('Term investments'!$G:$G,ROW())),0)</f>
        <v/>
      </c>
      <c r="H1630">
        <f>IFERROR(--INDEX('Term investments'!$H:$H,ROW()),0)</f>
        <v/>
      </c>
      <c r="I1630">
        <f>IF(ISNUMBER(INDEX('Term investments'!$G:$G,ROW())),1,0)</f>
        <v/>
      </c>
      <c r="J1630">
        <f>TRIM(SUBSTITUTE(INDEX('Call accounts and MMFs'!$A:$A,ROW())&amp;""," "," "))</f>
        <v/>
      </c>
      <c r="K1630">
        <f>TRIM(SUBSTITUTE(INDEX('Call accounts and MMFs'!$B:$B,ROW())&amp;""," "," "))</f>
        <v/>
      </c>
      <c r="L1630">
        <f>TRIM(SUBSTITUTE(INDEX('Call accounts and MMFs'!$C:$C,ROW())&amp;""," "," "))</f>
        <v/>
      </c>
      <c r="M1630">
        <f>IFERROR(--INDEX('Call accounts and MMFs'!$D:$D,ROW()),0)</f>
        <v/>
      </c>
      <c r="N1630">
        <f>IFERROR(IF(--INDEX('Call accounts and MMFs'!$E:$E,ROW())&gt;=1,--INDEX('Call accounts and MMFs'!$E:$E,ROW())/100,--INDEX('Call accounts and MMFs'!$E:$E,ROW())),0)</f>
        <v/>
      </c>
      <c r="O1630">
        <f>IFERROR(--INDEX('Call accounts and MMFs'!$F:$F,ROW()),0)</f>
        <v/>
      </c>
      <c r="P1630">
        <f>IF(ISNUMBER(INDEX('Call accounts and MMFs'!$E:$E,ROW())),1,0)</f>
        <v/>
      </c>
      <c r="Q1630">
        <f>TRIM(SUBSTITUTE(INDEX('Pooled funds'!$B:$B,ROW())&amp;""," "," "))</f>
        <v/>
      </c>
      <c r="R1630">
        <f>IFERROR(--INDEX('Pooled funds'!$C:$C,ROW()),0)</f>
        <v/>
      </c>
      <c r="S1630">
        <f>IFERROR(--INDEX('Pooled funds'!$D:$D,ROW()),0)</f>
        <v/>
      </c>
      <c r="T1630">
        <f>IFERROR(IF(--INDEX('Pooled funds'!$E:$E,ROW())&gt;=1,--INDEX('Pooled funds'!$E:$E,ROW())/100,--INDEX('Pooled funds'!$E:$E,ROW())),0)</f>
        <v/>
      </c>
      <c r="U1630">
        <f>IF(ISNUMBER(INDEX('Pooled funds'!$E:$E,ROW())),1,0)</f>
        <v/>
      </c>
    </row>
    <row r="1631">
      <c r="A1631">
        <f>TRIM(SUBSTITUTE(INDEX('Term investments'!$A:$A,ROW())&amp;""," "," "))</f>
        <v/>
      </c>
      <c r="B1631">
        <f>TRIM(SUBSTITUTE(INDEX('Term investments'!$B:$B,ROW())&amp;""," "," "))</f>
        <v/>
      </c>
      <c r="C1631">
        <f>TRIM(SUBSTITUTE(INDEX('Term investments'!$C:$C,ROW())&amp;""," "," "))</f>
        <v/>
      </c>
      <c r="D1631">
        <f>IFERROR(--INDEX('Term investments'!$D:$D,ROW()),0)</f>
        <v/>
      </c>
      <c r="E1631">
        <f>IFERROR(--INDEX('Term investments'!$E:$E,ROW()),0)</f>
        <v/>
      </c>
      <c r="F1631">
        <f>IFERROR(--INDEX('Term investments'!$F:$F,ROW()),0)</f>
        <v/>
      </c>
      <c r="G1631">
        <f>IFERROR(IF(--INDEX('Term investments'!$G:$G,ROW())&gt;=1,--INDEX('Term investments'!$G:$G,ROW())/100,--INDEX('Term investments'!$G:$G,ROW())),0)</f>
        <v/>
      </c>
      <c r="H1631">
        <f>IFERROR(--INDEX('Term investments'!$H:$H,ROW()),0)</f>
        <v/>
      </c>
      <c r="I1631">
        <f>IF(ISNUMBER(INDEX('Term investments'!$G:$G,ROW())),1,0)</f>
        <v/>
      </c>
      <c r="J1631">
        <f>TRIM(SUBSTITUTE(INDEX('Call accounts and MMFs'!$A:$A,ROW())&amp;""," "," "))</f>
        <v/>
      </c>
      <c r="K1631">
        <f>TRIM(SUBSTITUTE(INDEX('Call accounts and MMFs'!$B:$B,ROW())&amp;""," "," "))</f>
        <v/>
      </c>
      <c r="L1631">
        <f>TRIM(SUBSTITUTE(INDEX('Call accounts and MMFs'!$C:$C,ROW())&amp;""," "," "))</f>
        <v/>
      </c>
      <c r="M1631">
        <f>IFERROR(--INDEX('Call accounts and MMFs'!$D:$D,ROW()),0)</f>
        <v/>
      </c>
      <c r="N1631">
        <f>IFERROR(IF(--INDEX('Call accounts and MMFs'!$E:$E,ROW())&gt;=1,--INDEX('Call accounts and MMFs'!$E:$E,ROW())/100,--INDEX('Call accounts and MMFs'!$E:$E,ROW())),0)</f>
        <v/>
      </c>
      <c r="O1631">
        <f>IFERROR(--INDEX('Call accounts and MMFs'!$F:$F,ROW()),0)</f>
        <v/>
      </c>
      <c r="P1631">
        <f>IF(ISNUMBER(INDEX('Call accounts and MMFs'!$E:$E,ROW())),1,0)</f>
        <v/>
      </c>
      <c r="Q1631">
        <f>TRIM(SUBSTITUTE(INDEX('Pooled funds'!$B:$B,ROW())&amp;""," "," "))</f>
        <v/>
      </c>
      <c r="R1631">
        <f>IFERROR(--INDEX('Pooled funds'!$C:$C,ROW()),0)</f>
        <v/>
      </c>
      <c r="S1631">
        <f>IFERROR(--INDEX('Pooled funds'!$D:$D,ROW()),0)</f>
        <v/>
      </c>
      <c r="T1631">
        <f>IFERROR(IF(--INDEX('Pooled funds'!$E:$E,ROW())&gt;=1,--INDEX('Pooled funds'!$E:$E,ROW())/100,--INDEX('Pooled funds'!$E:$E,ROW())),0)</f>
        <v/>
      </c>
      <c r="U1631">
        <f>IF(ISNUMBER(INDEX('Pooled funds'!$E:$E,ROW())),1,0)</f>
        <v/>
      </c>
    </row>
    <row r="1632">
      <c r="A1632">
        <f>TRIM(SUBSTITUTE(INDEX('Term investments'!$A:$A,ROW())&amp;""," "," "))</f>
        <v/>
      </c>
      <c r="B1632">
        <f>TRIM(SUBSTITUTE(INDEX('Term investments'!$B:$B,ROW())&amp;""," "," "))</f>
        <v/>
      </c>
      <c r="C1632">
        <f>TRIM(SUBSTITUTE(INDEX('Term investments'!$C:$C,ROW())&amp;""," "," "))</f>
        <v/>
      </c>
      <c r="D1632">
        <f>IFERROR(--INDEX('Term investments'!$D:$D,ROW()),0)</f>
        <v/>
      </c>
      <c r="E1632">
        <f>IFERROR(--INDEX('Term investments'!$E:$E,ROW()),0)</f>
        <v/>
      </c>
      <c r="F1632">
        <f>IFERROR(--INDEX('Term investments'!$F:$F,ROW()),0)</f>
        <v/>
      </c>
      <c r="G1632">
        <f>IFERROR(IF(--INDEX('Term investments'!$G:$G,ROW())&gt;=1,--INDEX('Term investments'!$G:$G,ROW())/100,--INDEX('Term investments'!$G:$G,ROW())),0)</f>
        <v/>
      </c>
      <c r="H1632">
        <f>IFERROR(--INDEX('Term investments'!$H:$H,ROW()),0)</f>
        <v/>
      </c>
      <c r="I1632">
        <f>IF(ISNUMBER(INDEX('Term investments'!$G:$G,ROW())),1,0)</f>
        <v/>
      </c>
      <c r="J1632">
        <f>TRIM(SUBSTITUTE(INDEX('Call accounts and MMFs'!$A:$A,ROW())&amp;""," "," "))</f>
        <v/>
      </c>
      <c r="K1632">
        <f>TRIM(SUBSTITUTE(INDEX('Call accounts and MMFs'!$B:$B,ROW())&amp;""," "," "))</f>
        <v/>
      </c>
      <c r="L1632">
        <f>TRIM(SUBSTITUTE(INDEX('Call accounts and MMFs'!$C:$C,ROW())&amp;""," "," "))</f>
        <v/>
      </c>
      <c r="M1632">
        <f>IFERROR(--INDEX('Call accounts and MMFs'!$D:$D,ROW()),0)</f>
        <v/>
      </c>
      <c r="N1632">
        <f>IFERROR(IF(--INDEX('Call accounts and MMFs'!$E:$E,ROW())&gt;=1,--INDEX('Call accounts and MMFs'!$E:$E,ROW())/100,--INDEX('Call accounts and MMFs'!$E:$E,ROW())),0)</f>
        <v/>
      </c>
      <c r="O1632">
        <f>IFERROR(--INDEX('Call accounts and MMFs'!$F:$F,ROW()),0)</f>
        <v/>
      </c>
      <c r="P1632">
        <f>IF(ISNUMBER(INDEX('Call accounts and MMFs'!$E:$E,ROW())),1,0)</f>
        <v/>
      </c>
      <c r="Q1632">
        <f>TRIM(SUBSTITUTE(INDEX('Pooled funds'!$B:$B,ROW())&amp;""," "," "))</f>
        <v/>
      </c>
      <c r="R1632">
        <f>IFERROR(--INDEX('Pooled funds'!$C:$C,ROW()),0)</f>
        <v/>
      </c>
      <c r="S1632">
        <f>IFERROR(--INDEX('Pooled funds'!$D:$D,ROW()),0)</f>
        <v/>
      </c>
      <c r="T1632">
        <f>IFERROR(IF(--INDEX('Pooled funds'!$E:$E,ROW())&gt;=1,--INDEX('Pooled funds'!$E:$E,ROW())/100,--INDEX('Pooled funds'!$E:$E,ROW())),0)</f>
        <v/>
      </c>
      <c r="U1632">
        <f>IF(ISNUMBER(INDEX('Pooled funds'!$E:$E,ROW())),1,0)</f>
        <v/>
      </c>
    </row>
    <row r="1633">
      <c r="A1633">
        <f>TRIM(SUBSTITUTE(INDEX('Term investments'!$A:$A,ROW())&amp;""," "," "))</f>
        <v/>
      </c>
      <c r="B1633">
        <f>TRIM(SUBSTITUTE(INDEX('Term investments'!$B:$B,ROW())&amp;""," "," "))</f>
        <v/>
      </c>
      <c r="C1633">
        <f>TRIM(SUBSTITUTE(INDEX('Term investments'!$C:$C,ROW())&amp;""," "," "))</f>
        <v/>
      </c>
      <c r="D1633">
        <f>IFERROR(--INDEX('Term investments'!$D:$D,ROW()),0)</f>
        <v/>
      </c>
      <c r="E1633">
        <f>IFERROR(--INDEX('Term investments'!$E:$E,ROW()),0)</f>
        <v/>
      </c>
      <c r="F1633">
        <f>IFERROR(--INDEX('Term investments'!$F:$F,ROW()),0)</f>
        <v/>
      </c>
      <c r="G1633">
        <f>IFERROR(IF(--INDEX('Term investments'!$G:$G,ROW())&gt;=1,--INDEX('Term investments'!$G:$G,ROW())/100,--INDEX('Term investments'!$G:$G,ROW())),0)</f>
        <v/>
      </c>
      <c r="H1633">
        <f>IFERROR(--INDEX('Term investments'!$H:$H,ROW()),0)</f>
        <v/>
      </c>
      <c r="I1633">
        <f>IF(ISNUMBER(INDEX('Term investments'!$G:$G,ROW())),1,0)</f>
        <v/>
      </c>
      <c r="J1633">
        <f>TRIM(SUBSTITUTE(INDEX('Call accounts and MMFs'!$A:$A,ROW())&amp;""," "," "))</f>
        <v/>
      </c>
      <c r="K1633">
        <f>TRIM(SUBSTITUTE(INDEX('Call accounts and MMFs'!$B:$B,ROW())&amp;""," "," "))</f>
        <v/>
      </c>
      <c r="L1633">
        <f>TRIM(SUBSTITUTE(INDEX('Call accounts and MMFs'!$C:$C,ROW())&amp;""," "," "))</f>
        <v/>
      </c>
      <c r="M1633">
        <f>IFERROR(--INDEX('Call accounts and MMFs'!$D:$D,ROW()),0)</f>
        <v/>
      </c>
      <c r="N1633">
        <f>IFERROR(IF(--INDEX('Call accounts and MMFs'!$E:$E,ROW())&gt;=1,--INDEX('Call accounts and MMFs'!$E:$E,ROW())/100,--INDEX('Call accounts and MMFs'!$E:$E,ROW())),0)</f>
        <v/>
      </c>
      <c r="O1633">
        <f>IFERROR(--INDEX('Call accounts and MMFs'!$F:$F,ROW()),0)</f>
        <v/>
      </c>
      <c r="P1633">
        <f>IF(ISNUMBER(INDEX('Call accounts and MMFs'!$E:$E,ROW())),1,0)</f>
        <v/>
      </c>
      <c r="Q1633">
        <f>TRIM(SUBSTITUTE(INDEX('Pooled funds'!$B:$B,ROW())&amp;""," "," "))</f>
        <v/>
      </c>
      <c r="R1633">
        <f>IFERROR(--INDEX('Pooled funds'!$C:$C,ROW()),0)</f>
        <v/>
      </c>
      <c r="S1633">
        <f>IFERROR(--INDEX('Pooled funds'!$D:$D,ROW()),0)</f>
        <v/>
      </c>
      <c r="T1633">
        <f>IFERROR(IF(--INDEX('Pooled funds'!$E:$E,ROW())&gt;=1,--INDEX('Pooled funds'!$E:$E,ROW())/100,--INDEX('Pooled funds'!$E:$E,ROW())),0)</f>
        <v/>
      </c>
      <c r="U1633">
        <f>IF(ISNUMBER(INDEX('Pooled funds'!$E:$E,ROW())),1,0)</f>
        <v/>
      </c>
    </row>
    <row r="1634">
      <c r="A1634">
        <f>TRIM(SUBSTITUTE(INDEX('Term investments'!$A:$A,ROW())&amp;""," "," "))</f>
        <v/>
      </c>
      <c r="B1634">
        <f>TRIM(SUBSTITUTE(INDEX('Term investments'!$B:$B,ROW())&amp;""," "," "))</f>
        <v/>
      </c>
      <c r="C1634">
        <f>TRIM(SUBSTITUTE(INDEX('Term investments'!$C:$C,ROW())&amp;""," "," "))</f>
        <v/>
      </c>
      <c r="D1634">
        <f>IFERROR(--INDEX('Term investments'!$D:$D,ROW()),0)</f>
        <v/>
      </c>
      <c r="E1634">
        <f>IFERROR(--INDEX('Term investments'!$E:$E,ROW()),0)</f>
        <v/>
      </c>
      <c r="F1634">
        <f>IFERROR(--INDEX('Term investments'!$F:$F,ROW()),0)</f>
        <v/>
      </c>
      <c r="G1634">
        <f>IFERROR(IF(--INDEX('Term investments'!$G:$G,ROW())&gt;=1,--INDEX('Term investments'!$G:$G,ROW())/100,--INDEX('Term investments'!$G:$G,ROW())),0)</f>
        <v/>
      </c>
      <c r="H1634">
        <f>IFERROR(--INDEX('Term investments'!$H:$H,ROW()),0)</f>
        <v/>
      </c>
      <c r="I1634">
        <f>IF(ISNUMBER(INDEX('Term investments'!$G:$G,ROW())),1,0)</f>
        <v/>
      </c>
      <c r="J1634">
        <f>TRIM(SUBSTITUTE(INDEX('Call accounts and MMFs'!$A:$A,ROW())&amp;""," "," "))</f>
        <v/>
      </c>
      <c r="K1634">
        <f>TRIM(SUBSTITUTE(INDEX('Call accounts and MMFs'!$B:$B,ROW())&amp;""," "," "))</f>
        <v/>
      </c>
      <c r="L1634">
        <f>TRIM(SUBSTITUTE(INDEX('Call accounts and MMFs'!$C:$C,ROW())&amp;""," "," "))</f>
        <v/>
      </c>
      <c r="M1634">
        <f>IFERROR(--INDEX('Call accounts and MMFs'!$D:$D,ROW()),0)</f>
        <v/>
      </c>
      <c r="N1634">
        <f>IFERROR(IF(--INDEX('Call accounts and MMFs'!$E:$E,ROW())&gt;=1,--INDEX('Call accounts and MMFs'!$E:$E,ROW())/100,--INDEX('Call accounts and MMFs'!$E:$E,ROW())),0)</f>
        <v/>
      </c>
      <c r="O1634">
        <f>IFERROR(--INDEX('Call accounts and MMFs'!$F:$F,ROW()),0)</f>
        <v/>
      </c>
      <c r="P1634">
        <f>IF(ISNUMBER(INDEX('Call accounts and MMFs'!$E:$E,ROW())),1,0)</f>
        <v/>
      </c>
      <c r="Q1634">
        <f>TRIM(SUBSTITUTE(INDEX('Pooled funds'!$B:$B,ROW())&amp;""," "," "))</f>
        <v/>
      </c>
      <c r="R1634">
        <f>IFERROR(--INDEX('Pooled funds'!$C:$C,ROW()),0)</f>
        <v/>
      </c>
      <c r="S1634">
        <f>IFERROR(--INDEX('Pooled funds'!$D:$D,ROW()),0)</f>
        <v/>
      </c>
      <c r="T1634">
        <f>IFERROR(IF(--INDEX('Pooled funds'!$E:$E,ROW())&gt;=1,--INDEX('Pooled funds'!$E:$E,ROW())/100,--INDEX('Pooled funds'!$E:$E,ROW())),0)</f>
        <v/>
      </c>
      <c r="U1634">
        <f>IF(ISNUMBER(INDEX('Pooled funds'!$E:$E,ROW())),1,0)</f>
        <v/>
      </c>
    </row>
    <row r="1635">
      <c r="A1635">
        <f>TRIM(SUBSTITUTE(INDEX('Term investments'!$A:$A,ROW())&amp;""," "," "))</f>
        <v/>
      </c>
      <c r="B1635">
        <f>TRIM(SUBSTITUTE(INDEX('Term investments'!$B:$B,ROW())&amp;""," "," "))</f>
        <v/>
      </c>
      <c r="C1635">
        <f>TRIM(SUBSTITUTE(INDEX('Term investments'!$C:$C,ROW())&amp;""," "," "))</f>
        <v/>
      </c>
      <c r="D1635">
        <f>IFERROR(--INDEX('Term investments'!$D:$D,ROW()),0)</f>
        <v/>
      </c>
      <c r="E1635">
        <f>IFERROR(--INDEX('Term investments'!$E:$E,ROW()),0)</f>
        <v/>
      </c>
      <c r="F1635">
        <f>IFERROR(--INDEX('Term investments'!$F:$F,ROW()),0)</f>
        <v/>
      </c>
      <c r="G1635">
        <f>IFERROR(IF(--INDEX('Term investments'!$G:$G,ROW())&gt;=1,--INDEX('Term investments'!$G:$G,ROW())/100,--INDEX('Term investments'!$G:$G,ROW())),0)</f>
        <v/>
      </c>
      <c r="H1635">
        <f>IFERROR(--INDEX('Term investments'!$H:$H,ROW()),0)</f>
        <v/>
      </c>
      <c r="I1635">
        <f>IF(ISNUMBER(INDEX('Term investments'!$G:$G,ROW())),1,0)</f>
        <v/>
      </c>
      <c r="J1635">
        <f>TRIM(SUBSTITUTE(INDEX('Call accounts and MMFs'!$A:$A,ROW())&amp;""," "," "))</f>
        <v/>
      </c>
      <c r="K1635">
        <f>TRIM(SUBSTITUTE(INDEX('Call accounts and MMFs'!$B:$B,ROW())&amp;""," "," "))</f>
        <v/>
      </c>
      <c r="L1635">
        <f>TRIM(SUBSTITUTE(INDEX('Call accounts and MMFs'!$C:$C,ROW())&amp;""," "," "))</f>
        <v/>
      </c>
      <c r="M1635">
        <f>IFERROR(--INDEX('Call accounts and MMFs'!$D:$D,ROW()),0)</f>
        <v/>
      </c>
      <c r="N1635">
        <f>IFERROR(IF(--INDEX('Call accounts and MMFs'!$E:$E,ROW())&gt;=1,--INDEX('Call accounts and MMFs'!$E:$E,ROW())/100,--INDEX('Call accounts and MMFs'!$E:$E,ROW())),0)</f>
        <v/>
      </c>
      <c r="O1635">
        <f>IFERROR(--INDEX('Call accounts and MMFs'!$F:$F,ROW()),0)</f>
        <v/>
      </c>
      <c r="P1635">
        <f>IF(ISNUMBER(INDEX('Call accounts and MMFs'!$E:$E,ROW())),1,0)</f>
        <v/>
      </c>
      <c r="Q1635">
        <f>TRIM(SUBSTITUTE(INDEX('Pooled funds'!$B:$B,ROW())&amp;""," "," "))</f>
        <v/>
      </c>
      <c r="R1635">
        <f>IFERROR(--INDEX('Pooled funds'!$C:$C,ROW()),0)</f>
        <v/>
      </c>
      <c r="S1635">
        <f>IFERROR(--INDEX('Pooled funds'!$D:$D,ROW()),0)</f>
        <v/>
      </c>
      <c r="T1635">
        <f>IFERROR(IF(--INDEX('Pooled funds'!$E:$E,ROW())&gt;=1,--INDEX('Pooled funds'!$E:$E,ROW())/100,--INDEX('Pooled funds'!$E:$E,ROW())),0)</f>
        <v/>
      </c>
      <c r="U1635">
        <f>IF(ISNUMBER(INDEX('Pooled funds'!$E:$E,ROW())),1,0)</f>
        <v/>
      </c>
    </row>
    <row r="1636">
      <c r="A1636">
        <f>TRIM(SUBSTITUTE(INDEX('Term investments'!$A:$A,ROW())&amp;""," "," "))</f>
        <v/>
      </c>
      <c r="B1636">
        <f>TRIM(SUBSTITUTE(INDEX('Term investments'!$B:$B,ROW())&amp;""," "," "))</f>
        <v/>
      </c>
      <c r="C1636">
        <f>TRIM(SUBSTITUTE(INDEX('Term investments'!$C:$C,ROW())&amp;""," "," "))</f>
        <v/>
      </c>
      <c r="D1636">
        <f>IFERROR(--INDEX('Term investments'!$D:$D,ROW()),0)</f>
        <v/>
      </c>
      <c r="E1636">
        <f>IFERROR(--INDEX('Term investments'!$E:$E,ROW()),0)</f>
        <v/>
      </c>
      <c r="F1636">
        <f>IFERROR(--INDEX('Term investments'!$F:$F,ROW()),0)</f>
        <v/>
      </c>
      <c r="G1636">
        <f>IFERROR(IF(--INDEX('Term investments'!$G:$G,ROW())&gt;=1,--INDEX('Term investments'!$G:$G,ROW())/100,--INDEX('Term investments'!$G:$G,ROW())),0)</f>
        <v/>
      </c>
      <c r="H1636">
        <f>IFERROR(--INDEX('Term investments'!$H:$H,ROW()),0)</f>
        <v/>
      </c>
      <c r="I1636">
        <f>IF(ISNUMBER(INDEX('Term investments'!$G:$G,ROW())),1,0)</f>
        <v/>
      </c>
      <c r="J1636">
        <f>TRIM(SUBSTITUTE(INDEX('Call accounts and MMFs'!$A:$A,ROW())&amp;""," "," "))</f>
        <v/>
      </c>
      <c r="K1636">
        <f>TRIM(SUBSTITUTE(INDEX('Call accounts and MMFs'!$B:$B,ROW())&amp;""," "," "))</f>
        <v/>
      </c>
      <c r="L1636">
        <f>TRIM(SUBSTITUTE(INDEX('Call accounts and MMFs'!$C:$C,ROW())&amp;""," "," "))</f>
        <v/>
      </c>
      <c r="M1636">
        <f>IFERROR(--INDEX('Call accounts and MMFs'!$D:$D,ROW()),0)</f>
        <v/>
      </c>
      <c r="N1636">
        <f>IFERROR(IF(--INDEX('Call accounts and MMFs'!$E:$E,ROW())&gt;=1,--INDEX('Call accounts and MMFs'!$E:$E,ROW())/100,--INDEX('Call accounts and MMFs'!$E:$E,ROW())),0)</f>
        <v/>
      </c>
      <c r="O1636">
        <f>IFERROR(--INDEX('Call accounts and MMFs'!$F:$F,ROW()),0)</f>
        <v/>
      </c>
      <c r="P1636">
        <f>IF(ISNUMBER(INDEX('Call accounts and MMFs'!$E:$E,ROW())),1,0)</f>
        <v/>
      </c>
      <c r="Q1636">
        <f>TRIM(SUBSTITUTE(INDEX('Pooled funds'!$B:$B,ROW())&amp;""," "," "))</f>
        <v/>
      </c>
      <c r="R1636">
        <f>IFERROR(--INDEX('Pooled funds'!$C:$C,ROW()),0)</f>
        <v/>
      </c>
      <c r="S1636">
        <f>IFERROR(--INDEX('Pooled funds'!$D:$D,ROW()),0)</f>
        <v/>
      </c>
      <c r="T1636">
        <f>IFERROR(IF(--INDEX('Pooled funds'!$E:$E,ROW())&gt;=1,--INDEX('Pooled funds'!$E:$E,ROW())/100,--INDEX('Pooled funds'!$E:$E,ROW())),0)</f>
        <v/>
      </c>
      <c r="U1636">
        <f>IF(ISNUMBER(INDEX('Pooled funds'!$E:$E,ROW())),1,0)</f>
        <v/>
      </c>
    </row>
    <row r="1637">
      <c r="A1637">
        <f>TRIM(SUBSTITUTE(INDEX('Term investments'!$A:$A,ROW())&amp;""," "," "))</f>
        <v/>
      </c>
      <c r="B1637">
        <f>TRIM(SUBSTITUTE(INDEX('Term investments'!$B:$B,ROW())&amp;""," "," "))</f>
        <v/>
      </c>
      <c r="C1637">
        <f>TRIM(SUBSTITUTE(INDEX('Term investments'!$C:$C,ROW())&amp;""," "," "))</f>
        <v/>
      </c>
      <c r="D1637">
        <f>IFERROR(--INDEX('Term investments'!$D:$D,ROW()),0)</f>
        <v/>
      </c>
      <c r="E1637">
        <f>IFERROR(--INDEX('Term investments'!$E:$E,ROW()),0)</f>
        <v/>
      </c>
      <c r="F1637">
        <f>IFERROR(--INDEX('Term investments'!$F:$F,ROW()),0)</f>
        <v/>
      </c>
      <c r="G1637">
        <f>IFERROR(IF(--INDEX('Term investments'!$G:$G,ROW())&gt;=1,--INDEX('Term investments'!$G:$G,ROW())/100,--INDEX('Term investments'!$G:$G,ROW())),0)</f>
        <v/>
      </c>
      <c r="H1637">
        <f>IFERROR(--INDEX('Term investments'!$H:$H,ROW()),0)</f>
        <v/>
      </c>
      <c r="I1637">
        <f>IF(ISNUMBER(INDEX('Term investments'!$G:$G,ROW())),1,0)</f>
        <v/>
      </c>
      <c r="J1637">
        <f>TRIM(SUBSTITUTE(INDEX('Call accounts and MMFs'!$A:$A,ROW())&amp;""," "," "))</f>
        <v/>
      </c>
      <c r="K1637">
        <f>TRIM(SUBSTITUTE(INDEX('Call accounts and MMFs'!$B:$B,ROW())&amp;""," "," "))</f>
        <v/>
      </c>
      <c r="L1637">
        <f>TRIM(SUBSTITUTE(INDEX('Call accounts and MMFs'!$C:$C,ROW())&amp;""," "," "))</f>
        <v/>
      </c>
      <c r="M1637">
        <f>IFERROR(--INDEX('Call accounts and MMFs'!$D:$D,ROW()),0)</f>
        <v/>
      </c>
      <c r="N1637">
        <f>IFERROR(IF(--INDEX('Call accounts and MMFs'!$E:$E,ROW())&gt;=1,--INDEX('Call accounts and MMFs'!$E:$E,ROW())/100,--INDEX('Call accounts and MMFs'!$E:$E,ROW())),0)</f>
        <v/>
      </c>
      <c r="O1637">
        <f>IFERROR(--INDEX('Call accounts and MMFs'!$F:$F,ROW()),0)</f>
        <v/>
      </c>
      <c r="P1637">
        <f>IF(ISNUMBER(INDEX('Call accounts and MMFs'!$E:$E,ROW())),1,0)</f>
        <v/>
      </c>
      <c r="Q1637">
        <f>TRIM(SUBSTITUTE(INDEX('Pooled funds'!$B:$B,ROW())&amp;""," "," "))</f>
        <v/>
      </c>
      <c r="R1637">
        <f>IFERROR(--INDEX('Pooled funds'!$C:$C,ROW()),0)</f>
        <v/>
      </c>
      <c r="S1637">
        <f>IFERROR(--INDEX('Pooled funds'!$D:$D,ROW()),0)</f>
        <v/>
      </c>
      <c r="T1637">
        <f>IFERROR(IF(--INDEX('Pooled funds'!$E:$E,ROW())&gt;=1,--INDEX('Pooled funds'!$E:$E,ROW())/100,--INDEX('Pooled funds'!$E:$E,ROW())),0)</f>
        <v/>
      </c>
      <c r="U1637">
        <f>IF(ISNUMBER(INDEX('Pooled funds'!$E:$E,ROW())),1,0)</f>
        <v/>
      </c>
    </row>
    <row r="1638">
      <c r="A1638">
        <f>TRIM(SUBSTITUTE(INDEX('Term investments'!$A:$A,ROW())&amp;""," "," "))</f>
        <v/>
      </c>
      <c r="B1638">
        <f>TRIM(SUBSTITUTE(INDEX('Term investments'!$B:$B,ROW())&amp;""," "," "))</f>
        <v/>
      </c>
      <c r="C1638">
        <f>TRIM(SUBSTITUTE(INDEX('Term investments'!$C:$C,ROW())&amp;""," "," "))</f>
        <v/>
      </c>
      <c r="D1638">
        <f>IFERROR(--INDEX('Term investments'!$D:$D,ROW()),0)</f>
        <v/>
      </c>
      <c r="E1638">
        <f>IFERROR(--INDEX('Term investments'!$E:$E,ROW()),0)</f>
        <v/>
      </c>
      <c r="F1638">
        <f>IFERROR(--INDEX('Term investments'!$F:$F,ROW()),0)</f>
        <v/>
      </c>
      <c r="G1638">
        <f>IFERROR(IF(--INDEX('Term investments'!$G:$G,ROW())&gt;=1,--INDEX('Term investments'!$G:$G,ROW())/100,--INDEX('Term investments'!$G:$G,ROW())),0)</f>
        <v/>
      </c>
      <c r="H1638">
        <f>IFERROR(--INDEX('Term investments'!$H:$H,ROW()),0)</f>
        <v/>
      </c>
      <c r="I1638">
        <f>IF(ISNUMBER(INDEX('Term investments'!$G:$G,ROW())),1,0)</f>
        <v/>
      </c>
      <c r="J1638">
        <f>TRIM(SUBSTITUTE(INDEX('Call accounts and MMFs'!$A:$A,ROW())&amp;""," "," "))</f>
        <v/>
      </c>
      <c r="K1638">
        <f>TRIM(SUBSTITUTE(INDEX('Call accounts and MMFs'!$B:$B,ROW())&amp;""," "," "))</f>
        <v/>
      </c>
      <c r="L1638">
        <f>TRIM(SUBSTITUTE(INDEX('Call accounts and MMFs'!$C:$C,ROW())&amp;""," "," "))</f>
        <v/>
      </c>
      <c r="M1638">
        <f>IFERROR(--INDEX('Call accounts and MMFs'!$D:$D,ROW()),0)</f>
        <v/>
      </c>
      <c r="N1638">
        <f>IFERROR(IF(--INDEX('Call accounts and MMFs'!$E:$E,ROW())&gt;=1,--INDEX('Call accounts and MMFs'!$E:$E,ROW())/100,--INDEX('Call accounts and MMFs'!$E:$E,ROW())),0)</f>
        <v/>
      </c>
      <c r="O1638">
        <f>IFERROR(--INDEX('Call accounts and MMFs'!$F:$F,ROW()),0)</f>
        <v/>
      </c>
      <c r="P1638">
        <f>IF(ISNUMBER(INDEX('Call accounts and MMFs'!$E:$E,ROW())),1,0)</f>
        <v/>
      </c>
      <c r="Q1638">
        <f>TRIM(SUBSTITUTE(INDEX('Pooled funds'!$B:$B,ROW())&amp;""," "," "))</f>
        <v/>
      </c>
      <c r="R1638">
        <f>IFERROR(--INDEX('Pooled funds'!$C:$C,ROW()),0)</f>
        <v/>
      </c>
      <c r="S1638">
        <f>IFERROR(--INDEX('Pooled funds'!$D:$D,ROW()),0)</f>
        <v/>
      </c>
      <c r="T1638">
        <f>IFERROR(IF(--INDEX('Pooled funds'!$E:$E,ROW())&gt;=1,--INDEX('Pooled funds'!$E:$E,ROW())/100,--INDEX('Pooled funds'!$E:$E,ROW())),0)</f>
        <v/>
      </c>
      <c r="U1638">
        <f>IF(ISNUMBER(INDEX('Pooled funds'!$E:$E,ROW())),1,0)</f>
        <v/>
      </c>
    </row>
    <row r="1639">
      <c r="A1639">
        <f>TRIM(SUBSTITUTE(INDEX('Term investments'!$A:$A,ROW())&amp;""," "," "))</f>
        <v/>
      </c>
      <c r="B1639">
        <f>TRIM(SUBSTITUTE(INDEX('Term investments'!$B:$B,ROW())&amp;""," "," "))</f>
        <v/>
      </c>
      <c r="C1639">
        <f>TRIM(SUBSTITUTE(INDEX('Term investments'!$C:$C,ROW())&amp;""," "," "))</f>
        <v/>
      </c>
      <c r="D1639">
        <f>IFERROR(--INDEX('Term investments'!$D:$D,ROW()),0)</f>
        <v/>
      </c>
      <c r="E1639">
        <f>IFERROR(--INDEX('Term investments'!$E:$E,ROW()),0)</f>
        <v/>
      </c>
      <c r="F1639">
        <f>IFERROR(--INDEX('Term investments'!$F:$F,ROW()),0)</f>
        <v/>
      </c>
      <c r="G1639">
        <f>IFERROR(IF(--INDEX('Term investments'!$G:$G,ROW())&gt;=1,--INDEX('Term investments'!$G:$G,ROW())/100,--INDEX('Term investments'!$G:$G,ROW())),0)</f>
        <v/>
      </c>
      <c r="H1639">
        <f>IFERROR(--INDEX('Term investments'!$H:$H,ROW()),0)</f>
        <v/>
      </c>
      <c r="I1639">
        <f>IF(ISNUMBER(INDEX('Term investments'!$G:$G,ROW())),1,0)</f>
        <v/>
      </c>
      <c r="J1639">
        <f>TRIM(SUBSTITUTE(INDEX('Call accounts and MMFs'!$A:$A,ROW())&amp;""," "," "))</f>
        <v/>
      </c>
      <c r="K1639">
        <f>TRIM(SUBSTITUTE(INDEX('Call accounts and MMFs'!$B:$B,ROW())&amp;""," "," "))</f>
        <v/>
      </c>
      <c r="L1639">
        <f>TRIM(SUBSTITUTE(INDEX('Call accounts and MMFs'!$C:$C,ROW())&amp;""," "," "))</f>
        <v/>
      </c>
      <c r="M1639">
        <f>IFERROR(--INDEX('Call accounts and MMFs'!$D:$D,ROW()),0)</f>
        <v/>
      </c>
      <c r="N1639">
        <f>IFERROR(IF(--INDEX('Call accounts and MMFs'!$E:$E,ROW())&gt;=1,--INDEX('Call accounts and MMFs'!$E:$E,ROW())/100,--INDEX('Call accounts and MMFs'!$E:$E,ROW())),0)</f>
        <v/>
      </c>
      <c r="O1639">
        <f>IFERROR(--INDEX('Call accounts and MMFs'!$F:$F,ROW()),0)</f>
        <v/>
      </c>
      <c r="P1639">
        <f>IF(ISNUMBER(INDEX('Call accounts and MMFs'!$E:$E,ROW())),1,0)</f>
        <v/>
      </c>
      <c r="Q1639">
        <f>TRIM(SUBSTITUTE(INDEX('Pooled funds'!$B:$B,ROW())&amp;""," "," "))</f>
        <v/>
      </c>
      <c r="R1639">
        <f>IFERROR(--INDEX('Pooled funds'!$C:$C,ROW()),0)</f>
        <v/>
      </c>
      <c r="S1639">
        <f>IFERROR(--INDEX('Pooled funds'!$D:$D,ROW()),0)</f>
        <v/>
      </c>
      <c r="T1639">
        <f>IFERROR(IF(--INDEX('Pooled funds'!$E:$E,ROW())&gt;=1,--INDEX('Pooled funds'!$E:$E,ROW())/100,--INDEX('Pooled funds'!$E:$E,ROW())),0)</f>
        <v/>
      </c>
      <c r="U1639">
        <f>IF(ISNUMBER(INDEX('Pooled funds'!$E:$E,ROW())),1,0)</f>
        <v/>
      </c>
    </row>
    <row r="1640">
      <c r="A1640">
        <f>TRIM(SUBSTITUTE(INDEX('Term investments'!$A:$A,ROW())&amp;""," "," "))</f>
        <v/>
      </c>
      <c r="B1640">
        <f>TRIM(SUBSTITUTE(INDEX('Term investments'!$B:$B,ROW())&amp;""," "," "))</f>
        <v/>
      </c>
      <c r="C1640">
        <f>TRIM(SUBSTITUTE(INDEX('Term investments'!$C:$C,ROW())&amp;""," "," "))</f>
        <v/>
      </c>
      <c r="D1640">
        <f>IFERROR(--INDEX('Term investments'!$D:$D,ROW()),0)</f>
        <v/>
      </c>
      <c r="E1640">
        <f>IFERROR(--INDEX('Term investments'!$E:$E,ROW()),0)</f>
        <v/>
      </c>
      <c r="F1640">
        <f>IFERROR(--INDEX('Term investments'!$F:$F,ROW()),0)</f>
        <v/>
      </c>
      <c r="G1640">
        <f>IFERROR(IF(--INDEX('Term investments'!$G:$G,ROW())&gt;=1,--INDEX('Term investments'!$G:$G,ROW())/100,--INDEX('Term investments'!$G:$G,ROW())),0)</f>
        <v/>
      </c>
      <c r="H1640">
        <f>IFERROR(--INDEX('Term investments'!$H:$H,ROW()),0)</f>
        <v/>
      </c>
      <c r="I1640">
        <f>IF(ISNUMBER(INDEX('Term investments'!$G:$G,ROW())),1,0)</f>
        <v/>
      </c>
      <c r="J1640">
        <f>TRIM(SUBSTITUTE(INDEX('Call accounts and MMFs'!$A:$A,ROW())&amp;""," "," "))</f>
        <v/>
      </c>
      <c r="K1640">
        <f>TRIM(SUBSTITUTE(INDEX('Call accounts and MMFs'!$B:$B,ROW())&amp;""," "," "))</f>
        <v/>
      </c>
      <c r="L1640">
        <f>TRIM(SUBSTITUTE(INDEX('Call accounts and MMFs'!$C:$C,ROW())&amp;""," "," "))</f>
        <v/>
      </c>
      <c r="M1640">
        <f>IFERROR(--INDEX('Call accounts and MMFs'!$D:$D,ROW()),0)</f>
        <v/>
      </c>
      <c r="N1640">
        <f>IFERROR(IF(--INDEX('Call accounts and MMFs'!$E:$E,ROW())&gt;=1,--INDEX('Call accounts and MMFs'!$E:$E,ROW())/100,--INDEX('Call accounts and MMFs'!$E:$E,ROW())),0)</f>
        <v/>
      </c>
      <c r="O1640">
        <f>IFERROR(--INDEX('Call accounts and MMFs'!$F:$F,ROW()),0)</f>
        <v/>
      </c>
      <c r="P1640">
        <f>IF(ISNUMBER(INDEX('Call accounts and MMFs'!$E:$E,ROW())),1,0)</f>
        <v/>
      </c>
      <c r="Q1640">
        <f>TRIM(SUBSTITUTE(INDEX('Pooled funds'!$B:$B,ROW())&amp;""," "," "))</f>
        <v/>
      </c>
      <c r="R1640">
        <f>IFERROR(--INDEX('Pooled funds'!$C:$C,ROW()),0)</f>
        <v/>
      </c>
      <c r="S1640">
        <f>IFERROR(--INDEX('Pooled funds'!$D:$D,ROW()),0)</f>
        <v/>
      </c>
      <c r="T1640">
        <f>IFERROR(IF(--INDEX('Pooled funds'!$E:$E,ROW())&gt;=1,--INDEX('Pooled funds'!$E:$E,ROW())/100,--INDEX('Pooled funds'!$E:$E,ROW())),0)</f>
        <v/>
      </c>
      <c r="U1640">
        <f>IF(ISNUMBER(INDEX('Pooled funds'!$E:$E,ROW())),1,0)</f>
        <v/>
      </c>
    </row>
    <row r="1641">
      <c r="A1641">
        <f>TRIM(SUBSTITUTE(INDEX('Term investments'!$A:$A,ROW())&amp;""," "," "))</f>
        <v/>
      </c>
      <c r="B1641">
        <f>TRIM(SUBSTITUTE(INDEX('Term investments'!$B:$B,ROW())&amp;""," "," "))</f>
        <v/>
      </c>
      <c r="C1641">
        <f>TRIM(SUBSTITUTE(INDEX('Term investments'!$C:$C,ROW())&amp;""," "," "))</f>
        <v/>
      </c>
      <c r="D1641">
        <f>IFERROR(--INDEX('Term investments'!$D:$D,ROW()),0)</f>
        <v/>
      </c>
      <c r="E1641">
        <f>IFERROR(--INDEX('Term investments'!$E:$E,ROW()),0)</f>
        <v/>
      </c>
      <c r="F1641">
        <f>IFERROR(--INDEX('Term investments'!$F:$F,ROW()),0)</f>
        <v/>
      </c>
      <c r="G1641">
        <f>IFERROR(IF(--INDEX('Term investments'!$G:$G,ROW())&gt;=1,--INDEX('Term investments'!$G:$G,ROW())/100,--INDEX('Term investments'!$G:$G,ROW())),0)</f>
        <v/>
      </c>
      <c r="H1641">
        <f>IFERROR(--INDEX('Term investments'!$H:$H,ROW()),0)</f>
        <v/>
      </c>
      <c r="I1641">
        <f>IF(ISNUMBER(INDEX('Term investments'!$G:$G,ROW())),1,0)</f>
        <v/>
      </c>
      <c r="J1641">
        <f>TRIM(SUBSTITUTE(INDEX('Call accounts and MMFs'!$A:$A,ROW())&amp;""," "," "))</f>
        <v/>
      </c>
      <c r="K1641">
        <f>TRIM(SUBSTITUTE(INDEX('Call accounts and MMFs'!$B:$B,ROW())&amp;""," "," "))</f>
        <v/>
      </c>
      <c r="L1641">
        <f>TRIM(SUBSTITUTE(INDEX('Call accounts and MMFs'!$C:$C,ROW())&amp;""," "," "))</f>
        <v/>
      </c>
      <c r="M1641">
        <f>IFERROR(--INDEX('Call accounts and MMFs'!$D:$D,ROW()),0)</f>
        <v/>
      </c>
      <c r="N1641">
        <f>IFERROR(IF(--INDEX('Call accounts and MMFs'!$E:$E,ROW())&gt;=1,--INDEX('Call accounts and MMFs'!$E:$E,ROW())/100,--INDEX('Call accounts and MMFs'!$E:$E,ROW())),0)</f>
        <v/>
      </c>
      <c r="O1641">
        <f>IFERROR(--INDEX('Call accounts and MMFs'!$F:$F,ROW()),0)</f>
        <v/>
      </c>
      <c r="P1641">
        <f>IF(ISNUMBER(INDEX('Call accounts and MMFs'!$E:$E,ROW())),1,0)</f>
        <v/>
      </c>
      <c r="Q1641">
        <f>TRIM(SUBSTITUTE(INDEX('Pooled funds'!$B:$B,ROW())&amp;""," "," "))</f>
        <v/>
      </c>
      <c r="R1641">
        <f>IFERROR(--INDEX('Pooled funds'!$C:$C,ROW()),0)</f>
        <v/>
      </c>
      <c r="S1641">
        <f>IFERROR(--INDEX('Pooled funds'!$D:$D,ROW()),0)</f>
        <v/>
      </c>
      <c r="T1641">
        <f>IFERROR(IF(--INDEX('Pooled funds'!$E:$E,ROW())&gt;=1,--INDEX('Pooled funds'!$E:$E,ROW())/100,--INDEX('Pooled funds'!$E:$E,ROW())),0)</f>
        <v/>
      </c>
      <c r="U1641">
        <f>IF(ISNUMBER(INDEX('Pooled funds'!$E:$E,ROW())),1,0)</f>
        <v/>
      </c>
    </row>
    <row r="1642">
      <c r="A1642">
        <f>TRIM(SUBSTITUTE(INDEX('Term investments'!$A:$A,ROW())&amp;""," "," "))</f>
        <v/>
      </c>
      <c r="B1642">
        <f>TRIM(SUBSTITUTE(INDEX('Term investments'!$B:$B,ROW())&amp;""," "," "))</f>
        <v/>
      </c>
      <c r="C1642">
        <f>TRIM(SUBSTITUTE(INDEX('Term investments'!$C:$C,ROW())&amp;""," "," "))</f>
        <v/>
      </c>
      <c r="D1642">
        <f>IFERROR(--INDEX('Term investments'!$D:$D,ROW()),0)</f>
        <v/>
      </c>
      <c r="E1642">
        <f>IFERROR(--INDEX('Term investments'!$E:$E,ROW()),0)</f>
        <v/>
      </c>
      <c r="F1642">
        <f>IFERROR(--INDEX('Term investments'!$F:$F,ROW()),0)</f>
        <v/>
      </c>
      <c r="G1642">
        <f>IFERROR(IF(--INDEX('Term investments'!$G:$G,ROW())&gt;=1,--INDEX('Term investments'!$G:$G,ROW())/100,--INDEX('Term investments'!$G:$G,ROW())),0)</f>
        <v/>
      </c>
      <c r="H1642">
        <f>IFERROR(--INDEX('Term investments'!$H:$H,ROW()),0)</f>
        <v/>
      </c>
      <c r="I1642">
        <f>IF(ISNUMBER(INDEX('Term investments'!$G:$G,ROW())),1,0)</f>
        <v/>
      </c>
      <c r="J1642">
        <f>TRIM(SUBSTITUTE(INDEX('Call accounts and MMFs'!$A:$A,ROW())&amp;""," "," "))</f>
        <v/>
      </c>
      <c r="K1642">
        <f>TRIM(SUBSTITUTE(INDEX('Call accounts and MMFs'!$B:$B,ROW())&amp;""," "," "))</f>
        <v/>
      </c>
      <c r="L1642">
        <f>TRIM(SUBSTITUTE(INDEX('Call accounts and MMFs'!$C:$C,ROW())&amp;""," "," "))</f>
        <v/>
      </c>
      <c r="M1642">
        <f>IFERROR(--INDEX('Call accounts and MMFs'!$D:$D,ROW()),0)</f>
        <v/>
      </c>
      <c r="N1642">
        <f>IFERROR(IF(--INDEX('Call accounts and MMFs'!$E:$E,ROW())&gt;=1,--INDEX('Call accounts and MMFs'!$E:$E,ROW())/100,--INDEX('Call accounts and MMFs'!$E:$E,ROW())),0)</f>
        <v/>
      </c>
      <c r="O1642">
        <f>IFERROR(--INDEX('Call accounts and MMFs'!$F:$F,ROW()),0)</f>
        <v/>
      </c>
      <c r="P1642">
        <f>IF(ISNUMBER(INDEX('Call accounts and MMFs'!$E:$E,ROW())),1,0)</f>
        <v/>
      </c>
      <c r="Q1642">
        <f>TRIM(SUBSTITUTE(INDEX('Pooled funds'!$B:$B,ROW())&amp;""," "," "))</f>
        <v/>
      </c>
      <c r="R1642">
        <f>IFERROR(--INDEX('Pooled funds'!$C:$C,ROW()),0)</f>
        <v/>
      </c>
      <c r="S1642">
        <f>IFERROR(--INDEX('Pooled funds'!$D:$D,ROW()),0)</f>
        <v/>
      </c>
      <c r="T1642">
        <f>IFERROR(IF(--INDEX('Pooled funds'!$E:$E,ROW())&gt;=1,--INDEX('Pooled funds'!$E:$E,ROW())/100,--INDEX('Pooled funds'!$E:$E,ROW())),0)</f>
        <v/>
      </c>
      <c r="U1642">
        <f>IF(ISNUMBER(INDEX('Pooled funds'!$E:$E,ROW())),1,0)</f>
        <v/>
      </c>
    </row>
    <row r="1643">
      <c r="A1643">
        <f>TRIM(SUBSTITUTE(INDEX('Term investments'!$A:$A,ROW())&amp;""," "," "))</f>
        <v/>
      </c>
      <c r="B1643">
        <f>TRIM(SUBSTITUTE(INDEX('Term investments'!$B:$B,ROW())&amp;""," "," "))</f>
        <v/>
      </c>
      <c r="C1643">
        <f>TRIM(SUBSTITUTE(INDEX('Term investments'!$C:$C,ROW())&amp;""," "," "))</f>
        <v/>
      </c>
      <c r="D1643">
        <f>IFERROR(--INDEX('Term investments'!$D:$D,ROW()),0)</f>
        <v/>
      </c>
      <c r="E1643">
        <f>IFERROR(--INDEX('Term investments'!$E:$E,ROW()),0)</f>
        <v/>
      </c>
      <c r="F1643">
        <f>IFERROR(--INDEX('Term investments'!$F:$F,ROW()),0)</f>
        <v/>
      </c>
      <c r="G1643">
        <f>IFERROR(IF(--INDEX('Term investments'!$G:$G,ROW())&gt;=1,--INDEX('Term investments'!$G:$G,ROW())/100,--INDEX('Term investments'!$G:$G,ROW())),0)</f>
        <v/>
      </c>
      <c r="H1643">
        <f>IFERROR(--INDEX('Term investments'!$H:$H,ROW()),0)</f>
        <v/>
      </c>
      <c r="I1643">
        <f>IF(ISNUMBER(INDEX('Term investments'!$G:$G,ROW())),1,0)</f>
        <v/>
      </c>
      <c r="J1643">
        <f>TRIM(SUBSTITUTE(INDEX('Call accounts and MMFs'!$A:$A,ROW())&amp;""," "," "))</f>
        <v/>
      </c>
      <c r="K1643">
        <f>TRIM(SUBSTITUTE(INDEX('Call accounts and MMFs'!$B:$B,ROW())&amp;""," "," "))</f>
        <v/>
      </c>
      <c r="L1643">
        <f>TRIM(SUBSTITUTE(INDEX('Call accounts and MMFs'!$C:$C,ROW())&amp;""," "," "))</f>
        <v/>
      </c>
      <c r="M1643">
        <f>IFERROR(--INDEX('Call accounts and MMFs'!$D:$D,ROW()),0)</f>
        <v/>
      </c>
      <c r="N1643">
        <f>IFERROR(IF(--INDEX('Call accounts and MMFs'!$E:$E,ROW())&gt;=1,--INDEX('Call accounts and MMFs'!$E:$E,ROW())/100,--INDEX('Call accounts and MMFs'!$E:$E,ROW())),0)</f>
        <v/>
      </c>
      <c r="O1643">
        <f>IFERROR(--INDEX('Call accounts and MMFs'!$F:$F,ROW()),0)</f>
        <v/>
      </c>
      <c r="P1643">
        <f>IF(ISNUMBER(INDEX('Call accounts and MMFs'!$E:$E,ROW())),1,0)</f>
        <v/>
      </c>
      <c r="Q1643">
        <f>TRIM(SUBSTITUTE(INDEX('Pooled funds'!$B:$B,ROW())&amp;""," "," "))</f>
        <v/>
      </c>
      <c r="R1643">
        <f>IFERROR(--INDEX('Pooled funds'!$C:$C,ROW()),0)</f>
        <v/>
      </c>
      <c r="S1643">
        <f>IFERROR(--INDEX('Pooled funds'!$D:$D,ROW()),0)</f>
        <v/>
      </c>
      <c r="T1643">
        <f>IFERROR(IF(--INDEX('Pooled funds'!$E:$E,ROW())&gt;=1,--INDEX('Pooled funds'!$E:$E,ROW())/100,--INDEX('Pooled funds'!$E:$E,ROW())),0)</f>
        <v/>
      </c>
      <c r="U1643">
        <f>IF(ISNUMBER(INDEX('Pooled funds'!$E:$E,ROW())),1,0)</f>
        <v/>
      </c>
    </row>
    <row r="1644">
      <c r="A1644">
        <f>TRIM(SUBSTITUTE(INDEX('Term investments'!$A:$A,ROW())&amp;""," "," "))</f>
        <v/>
      </c>
      <c r="B1644">
        <f>TRIM(SUBSTITUTE(INDEX('Term investments'!$B:$B,ROW())&amp;""," "," "))</f>
        <v/>
      </c>
      <c r="C1644">
        <f>TRIM(SUBSTITUTE(INDEX('Term investments'!$C:$C,ROW())&amp;""," "," "))</f>
        <v/>
      </c>
      <c r="D1644">
        <f>IFERROR(--INDEX('Term investments'!$D:$D,ROW()),0)</f>
        <v/>
      </c>
      <c r="E1644">
        <f>IFERROR(--INDEX('Term investments'!$E:$E,ROW()),0)</f>
        <v/>
      </c>
      <c r="F1644">
        <f>IFERROR(--INDEX('Term investments'!$F:$F,ROW()),0)</f>
        <v/>
      </c>
      <c r="G1644">
        <f>IFERROR(IF(--INDEX('Term investments'!$G:$G,ROW())&gt;=1,--INDEX('Term investments'!$G:$G,ROW())/100,--INDEX('Term investments'!$G:$G,ROW())),0)</f>
        <v/>
      </c>
      <c r="H1644">
        <f>IFERROR(--INDEX('Term investments'!$H:$H,ROW()),0)</f>
        <v/>
      </c>
      <c r="I1644">
        <f>IF(ISNUMBER(INDEX('Term investments'!$G:$G,ROW())),1,0)</f>
        <v/>
      </c>
      <c r="J1644">
        <f>TRIM(SUBSTITUTE(INDEX('Call accounts and MMFs'!$A:$A,ROW())&amp;""," "," "))</f>
        <v/>
      </c>
      <c r="K1644">
        <f>TRIM(SUBSTITUTE(INDEX('Call accounts and MMFs'!$B:$B,ROW())&amp;""," "," "))</f>
        <v/>
      </c>
      <c r="L1644">
        <f>TRIM(SUBSTITUTE(INDEX('Call accounts and MMFs'!$C:$C,ROW())&amp;""," "," "))</f>
        <v/>
      </c>
      <c r="M1644">
        <f>IFERROR(--INDEX('Call accounts and MMFs'!$D:$D,ROW()),0)</f>
        <v/>
      </c>
      <c r="N1644">
        <f>IFERROR(IF(--INDEX('Call accounts and MMFs'!$E:$E,ROW())&gt;=1,--INDEX('Call accounts and MMFs'!$E:$E,ROW())/100,--INDEX('Call accounts and MMFs'!$E:$E,ROW())),0)</f>
        <v/>
      </c>
      <c r="O1644">
        <f>IFERROR(--INDEX('Call accounts and MMFs'!$F:$F,ROW()),0)</f>
        <v/>
      </c>
      <c r="P1644">
        <f>IF(ISNUMBER(INDEX('Call accounts and MMFs'!$E:$E,ROW())),1,0)</f>
        <v/>
      </c>
      <c r="Q1644">
        <f>TRIM(SUBSTITUTE(INDEX('Pooled funds'!$B:$B,ROW())&amp;""," "," "))</f>
        <v/>
      </c>
      <c r="R1644">
        <f>IFERROR(--INDEX('Pooled funds'!$C:$C,ROW()),0)</f>
        <v/>
      </c>
      <c r="S1644">
        <f>IFERROR(--INDEX('Pooled funds'!$D:$D,ROW()),0)</f>
        <v/>
      </c>
      <c r="T1644">
        <f>IFERROR(IF(--INDEX('Pooled funds'!$E:$E,ROW())&gt;=1,--INDEX('Pooled funds'!$E:$E,ROW())/100,--INDEX('Pooled funds'!$E:$E,ROW())),0)</f>
        <v/>
      </c>
      <c r="U1644">
        <f>IF(ISNUMBER(INDEX('Pooled funds'!$E:$E,ROW())),1,0)</f>
        <v/>
      </c>
    </row>
    <row r="1645">
      <c r="A1645">
        <f>TRIM(SUBSTITUTE(INDEX('Term investments'!$A:$A,ROW())&amp;""," "," "))</f>
        <v/>
      </c>
      <c r="B1645">
        <f>TRIM(SUBSTITUTE(INDEX('Term investments'!$B:$B,ROW())&amp;""," "," "))</f>
        <v/>
      </c>
      <c r="C1645">
        <f>TRIM(SUBSTITUTE(INDEX('Term investments'!$C:$C,ROW())&amp;""," "," "))</f>
        <v/>
      </c>
      <c r="D1645">
        <f>IFERROR(--INDEX('Term investments'!$D:$D,ROW()),0)</f>
        <v/>
      </c>
      <c r="E1645">
        <f>IFERROR(--INDEX('Term investments'!$E:$E,ROW()),0)</f>
        <v/>
      </c>
      <c r="F1645">
        <f>IFERROR(--INDEX('Term investments'!$F:$F,ROW()),0)</f>
        <v/>
      </c>
      <c r="G1645">
        <f>IFERROR(IF(--INDEX('Term investments'!$G:$G,ROW())&gt;=1,--INDEX('Term investments'!$G:$G,ROW())/100,--INDEX('Term investments'!$G:$G,ROW())),0)</f>
        <v/>
      </c>
      <c r="H1645">
        <f>IFERROR(--INDEX('Term investments'!$H:$H,ROW()),0)</f>
        <v/>
      </c>
      <c r="I1645">
        <f>IF(ISNUMBER(INDEX('Term investments'!$G:$G,ROW())),1,0)</f>
        <v/>
      </c>
      <c r="J1645">
        <f>TRIM(SUBSTITUTE(INDEX('Call accounts and MMFs'!$A:$A,ROW())&amp;""," "," "))</f>
        <v/>
      </c>
      <c r="K1645">
        <f>TRIM(SUBSTITUTE(INDEX('Call accounts and MMFs'!$B:$B,ROW())&amp;""," "," "))</f>
        <v/>
      </c>
      <c r="L1645">
        <f>TRIM(SUBSTITUTE(INDEX('Call accounts and MMFs'!$C:$C,ROW())&amp;""," "," "))</f>
        <v/>
      </c>
      <c r="M1645">
        <f>IFERROR(--INDEX('Call accounts and MMFs'!$D:$D,ROW()),0)</f>
        <v/>
      </c>
      <c r="N1645">
        <f>IFERROR(IF(--INDEX('Call accounts and MMFs'!$E:$E,ROW())&gt;=1,--INDEX('Call accounts and MMFs'!$E:$E,ROW())/100,--INDEX('Call accounts and MMFs'!$E:$E,ROW())),0)</f>
        <v/>
      </c>
      <c r="O1645">
        <f>IFERROR(--INDEX('Call accounts and MMFs'!$F:$F,ROW()),0)</f>
        <v/>
      </c>
      <c r="P1645">
        <f>IF(ISNUMBER(INDEX('Call accounts and MMFs'!$E:$E,ROW())),1,0)</f>
        <v/>
      </c>
      <c r="Q1645">
        <f>TRIM(SUBSTITUTE(INDEX('Pooled funds'!$B:$B,ROW())&amp;""," "," "))</f>
        <v/>
      </c>
      <c r="R1645">
        <f>IFERROR(--INDEX('Pooled funds'!$C:$C,ROW()),0)</f>
        <v/>
      </c>
      <c r="S1645">
        <f>IFERROR(--INDEX('Pooled funds'!$D:$D,ROW()),0)</f>
        <v/>
      </c>
      <c r="T1645">
        <f>IFERROR(IF(--INDEX('Pooled funds'!$E:$E,ROW())&gt;=1,--INDEX('Pooled funds'!$E:$E,ROW())/100,--INDEX('Pooled funds'!$E:$E,ROW())),0)</f>
        <v/>
      </c>
      <c r="U1645">
        <f>IF(ISNUMBER(INDEX('Pooled funds'!$E:$E,ROW())),1,0)</f>
        <v/>
      </c>
    </row>
    <row r="1646">
      <c r="A1646">
        <f>TRIM(SUBSTITUTE(INDEX('Term investments'!$A:$A,ROW())&amp;""," "," "))</f>
        <v/>
      </c>
      <c r="B1646">
        <f>TRIM(SUBSTITUTE(INDEX('Term investments'!$B:$B,ROW())&amp;""," "," "))</f>
        <v/>
      </c>
      <c r="C1646">
        <f>TRIM(SUBSTITUTE(INDEX('Term investments'!$C:$C,ROW())&amp;""," "," "))</f>
        <v/>
      </c>
      <c r="D1646">
        <f>IFERROR(--INDEX('Term investments'!$D:$D,ROW()),0)</f>
        <v/>
      </c>
      <c r="E1646">
        <f>IFERROR(--INDEX('Term investments'!$E:$E,ROW()),0)</f>
        <v/>
      </c>
      <c r="F1646">
        <f>IFERROR(--INDEX('Term investments'!$F:$F,ROW()),0)</f>
        <v/>
      </c>
      <c r="G1646">
        <f>IFERROR(IF(--INDEX('Term investments'!$G:$G,ROW())&gt;=1,--INDEX('Term investments'!$G:$G,ROW())/100,--INDEX('Term investments'!$G:$G,ROW())),0)</f>
        <v/>
      </c>
      <c r="H1646">
        <f>IFERROR(--INDEX('Term investments'!$H:$H,ROW()),0)</f>
        <v/>
      </c>
      <c r="I1646">
        <f>IF(ISNUMBER(INDEX('Term investments'!$G:$G,ROW())),1,0)</f>
        <v/>
      </c>
      <c r="J1646">
        <f>TRIM(SUBSTITUTE(INDEX('Call accounts and MMFs'!$A:$A,ROW())&amp;""," "," "))</f>
        <v/>
      </c>
      <c r="K1646">
        <f>TRIM(SUBSTITUTE(INDEX('Call accounts and MMFs'!$B:$B,ROW())&amp;""," "," "))</f>
        <v/>
      </c>
      <c r="L1646">
        <f>TRIM(SUBSTITUTE(INDEX('Call accounts and MMFs'!$C:$C,ROW())&amp;""," "," "))</f>
        <v/>
      </c>
      <c r="M1646">
        <f>IFERROR(--INDEX('Call accounts and MMFs'!$D:$D,ROW()),0)</f>
        <v/>
      </c>
      <c r="N1646">
        <f>IFERROR(IF(--INDEX('Call accounts and MMFs'!$E:$E,ROW())&gt;=1,--INDEX('Call accounts and MMFs'!$E:$E,ROW())/100,--INDEX('Call accounts and MMFs'!$E:$E,ROW())),0)</f>
        <v/>
      </c>
      <c r="O1646">
        <f>IFERROR(--INDEX('Call accounts and MMFs'!$F:$F,ROW()),0)</f>
        <v/>
      </c>
      <c r="P1646">
        <f>IF(ISNUMBER(INDEX('Call accounts and MMFs'!$E:$E,ROW())),1,0)</f>
        <v/>
      </c>
      <c r="Q1646">
        <f>TRIM(SUBSTITUTE(INDEX('Pooled funds'!$B:$B,ROW())&amp;""," "," "))</f>
        <v/>
      </c>
      <c r="R1646">
        <f>IFERROR(--INDEX('Pooled funds'!$C:$C,ROW()),0)</f>
        <v/>
      </c>
      <c r="S1646">
        <f>IFERROR(--INDEX('Pooled funds'!$D:$D,ROW()),0)</f>
        <v/>
      </c>
      <c r="T1646">
        <f>IFERROR(IF(--INDEX('Pooled funds'!$E:$E,ROW())&gt;=1,--INDEX('Pooled funds'!$E:$E,ROW())/100,--INDEX('Pooled funds'!$E:$E,ROW())),0)</f>
        <v/>
      </c>
      <c r="U1646">
        <f>IF(ISNUMBER(INDEX('Pooled funds'!$E:$E,ROW())),1,0)</f>
        <v/>
      </c>
    </row>
    <row r="1647">
      <c r="A1647">
        <f>TRIM(SUBSTITUTE(INDEX('Term investments'!$A:$A,ROW())&amp;""," "," "))</f>
        <v/>
      </c>
      <c r="B1647">
        <f>TRIM(SUBSTITUTE(INDEX('Term investments'!$B:$B,ROW())&amp;""," "," "))</f>
        <v/>
      </c>
      <c r="C1647">
        <f>TRIM(SUBSTITUTE(INDEX('Term investments'!$C:$C,ROW())&amp;""," "," "))</f>
        <v/>
      </c>
      <c r="D1647">
        <f>IFERROR(--INDEX('Term investments'!$D:$D,ROW()),0)</f>
        <v/>
      </c>
      <c r="E1647">
        <f>IFERROR(--INDEX('Term investments'!$E:$E,ROW()),0)</f>
        <v/>
      </c>
      <c r="F1647">
        <f>IFERROR(--INDEX('Term investments'!$F:$F,ROW()),0)</f>
        <v/>
      </c>
      <c r="G1647">
        <f>IFERROR(IF(--INDEX('Term investments'!$G:$G,ROW())&gt;=1,--INDEX('Term investments'!$G:$G,ROW())/100,--INDEX('Term investments'!$G:$G,ROW())),0)</f>
        <v/>
      </c>
      <c r="H1647">
        <f>IFERROR(--INDEX('Term investments'!$H:$H,ROW()),0)</f>
        <v/>
      </c>
      <c r="I1647">
        <f>IF(ISNUMBER(INDEX('Term investments'!$G:$G,ROW())),1,0)</f>
        <v/>
      </c>
      <c r="J1647">
        <f>TRIM(SUBSTITUTE(INDEX('Call accounts and MMFs'!$A:$A,ROW())&amp;""," "," "))</f>
        <v/>
      </c>
      <c r="K1647">
        <f>TRIM(SUBSTITUTE(INDEX('Call accounts and MMFs'!$B:$B,ROW())&amp;""," "," "))</f>
        <v/>
      </c>
      <c r="L1647">
        <f>TRIM(SUBSTITUTE(INDEX('Call accounts and MMFs'!$C:$C,ROW())&amp;""," "," "))</f>
        <v/>
      </c>
      <c r="M1647">
        <f>IFERROR(--INDEX('Call accounts and MMFs'!$D:$D,ROW()),0)</f>
        <v/>
      </c>
      <c r="N1647">
        <f>IFERROR(IF(--INDEX('Call accounts and MMFs'!$E:$E,ROW())&gt;=1,--INDEX('Call accounts and MMFs'!$E:$E,ROW())/100,--INDEX('Call accounts and MMFs'!$E:$E,ROW())),0)</f>
        <v/>
      </c>
      <c r="O1647">
        <f>IFERROR(--INDEX('Call accounts and MMFs'!$F:$F,ROW()),0)</f>
        <v/>
      </c>
      <c r="P1647">
        <f>IF(ISNUMBER(INDEX('Call accounts and MMFs'!$E:$E,ROW())),1,0)</f>
        <v/>
      </c>
      <c r="Q1647">
        <f>TRIM(SUBSTITUTE(INDEX('Pooled funds'!$B:$B,ROW())&amp;""," "," "))</f>
        <v/>
      </c>
      <c r="R1647">
        <f>IFERROR(--INDEX('Pooled funds'!$C:$C,ROW()),0)</f>
        <v/>
      </c>
      <c r="S1647">
        <f>IFERROR(--INDEX('Pooled funds'!$D:$D,ROW()),0)</f>
        <v/>
      </c>
      <c r="T1647">
        <f>IFERROR(IF(--INDEX('Pooled funds'!$E:$E,ROW())&gt;=1,--INDEX('Pooled funds'!$E:$E,ROW())/100,--INDEX('Pooled funds'!$E:$E,ROW())),0)</f>
        <v/>
      </c>
      <c r="U1647">
        <f>IF(ISNUMBER(INDEX('Pooled funds'!$E:$E,ROW())),1,0)</f>
        <v/>
      </c>
    </row>
    <row r="1648">
      <c r="A1648">
        <f>TRIM(SUBSTITUTE(INDEX('Term investments'!$A:$A,ROW())&amp;""," "," "))</f>
        <v/>
      </c>
      <c r="B1648">
        <f>TRIM(SUBSTITUTE(INDEX('Term investments'!$B:$B,ROW())&amp;""," "," "))</f>
        <v/>
      </c>
      <c r="C1648">
        <f>TRIM(SUBSTITUTE(INDEX('Term investments'!$C:$C,ROW())&amp;""," "," "))</f>
        <v/>
      </c>
      <c r="D1648">
        <f>IFERROR(--INDEX('Term investments'!$D:$D,ROW()),0)</f>
        <v/>
      </c>
      <c r="E1648">
        <f>IFERROR(--INDEX('Term investments'!$E:$E,ROW()),0)</f>
        <v/>
      </c>
      <c r="F1648">
        <f>IFERROR(--INDEX('Term investments'!$F:$F,ROW()),0)</f>
        <v/>
      </c>
      <c r="G1648">
        <f>IFERROR(IF(--INDEX('Term investments'!$G:$G,ROW())&gt;=1,--INDEX('Term investments'!$G:$G,ROW())/100,--INDEX('Term investments'!$G:$G,ROW())),0)</f>
        <v/>
      </c>
      <c r="H1648">
        <f>IFERROR(--INDEX('Term investments'!$H:$H,ROW()),0)</f>
        <v/>
      </c>
      <c r="I1648">
        <f>IF(ISNUMBER(INDEX('Term investments'!$G:$G,ROW())),1,0)</f>
        <v/>
      </c>
      <c r="J1648">
        <f>TRIM(SUBSTITUTE(INDEX('Call accounts and MMFs'!$A:$A,ROW())&amp;""," "," "))</f>
        <v/>
      </c>
      <c r="K1648">
        <f>TRIM(SUBSTITUTE(INDEX('Call accounts and MMFs'!$B:$B,ROW())&amp;""," "," "))</f>
        <v/>
      </c>
      <c r="L1648">
        <f>TRIM(SUBSTITUTE(INDEX('Call accounts and MMFs'!$C:$C,ROW())&amp;""," "," "))</f>
        <v/>
      </c>
      <c r="M1648">
        <f>IFERROR(--INDEX('Call accounts and MMFs'!$D:$D,ROW()),0)</f>
        <v/>
      </c>
      <c r="N1648">
        <f>IFERROR(IF(--INDEX('Call accounts and MMFs'!$E:$E,ROW())&gt;=1,--INDEX('Call accounts and MMFs'!$E:$E,ROW())/100,--INDEX('Call accounts and MMFs'!$E:$E,ROW())),0)</f>
        <v/>
      </c>
      <c r="O1648">
        <f>IFERROR(--INDEX('Call accounts and MMFs'!$F:$F,ROW()),0)</f>
        <v/>
      </c>
      <c r="P1648">
        <f>IF(ISNUMBER(INDEX('Call accounts and MMFs'!$E:$E,ROW())),1,0)</f>
        <v/>
      </c>
      <c r="Q1648">
        <f>TRIM(SUBSTITUTE(INDEX('Pooled funds'!$B:$B,ROW())&amp;""," "," "))</f>
        <v/>
      </c>
      <c r="R1648">
        <f>IFERROR(--INDEX('Pooled funds'!$C:$C,ROW()),0)</f>
        <v/>
      </c>
      <c r="S1648">
        <f>IFERROR(--INDEX('Pooled funds'!$D:$D,ROW()),0)</f>
        <v/>
      </c>
      <c r="T1648">
        <f>IFERROR(IF(--INDEX('Pooled funds'!$E:$E,ROW())&gt;=1,--INDEX('Pooled funds'!$E:$E,ROW())/100,--INDEX('Pooled funds'!$E:$E,ROW())),0)</f>
        <v/>
      </c>
      <c r="U1648">
        <f>IF(ISNUMBER(INDEX('Pooled funds'!$E:$E,ROW())),1,0)</f>
        <v/>
      </c>
    </row>
    <row r="1649">
      <c r="A1649">
        <f>TRIM(SUBSTITUTE(INDEX('Term investments'!$A:$A,ROW())&amp;""," "," "))</f>
        <v/>
      </c>
      <c r="B1649">
        <f>TRIM(SUBSTITUTE(INDEX('Term investments'!$B:$B,ROW())&amp;""," "," "))</f>
        <v/>
      </c>
      <c r="C1649">
        <f>TRIM(SUBSTITUTE(INDEX('Term investments'!$C:$C,ROW())&amp;""," "," "))</f>
        <v/>
      </c>
      <c r="D1649">
        <f>IFERROR(--INDEX('Term investments'!$D:$D,ROW()),0)</f>
        <v/>
      </c>
      <c r="E1649">
        <f>IFERROR(--INDEX('Term investments'!$E:$E,ROW()),0)</f>
        <v/>
      </c>
      <c r="F1649">
        <f>IFERROR(--INDEX('Term investments'!$F:$F,ROW()),0)</f>
        <v/>
      </c>
      <c r="G1649">
        <f>IFERROR(IF(--INDEX('Term investments'!$G:$G,ROW())&gt;=1,--INDEX('Term investments'!$G:$G,ROW())/100,--INDEX('Term investments'!$G:$G,ROW())),0)</f>
        <v/>
      </c>
      <c r="H1649">
        <f>IFERROR(--INDEX('Term investments'!$H:$H,ROW()),0)</f>
        <v/>
      </c>
      <c r="I1649">
        <f>IF(ISNUMBER(INDEX('Term investments'!$G:$G,ROW())),1,0)</f>
        <v/>
      </c>
      <c r="J1649">
        <f>TRIM(SUBSTITUTE(INDEX('Call accounts and MMFs'!$A:$A,ROW())&amp;""," "," "))</f>
        <v/>
      </c>
      <c r="K1649">
        <f>TRIM(SUBSTITUTE(INDEX('Call accounts and MMFs'!$B:$B,ROW())&amp;""," "," "))</f>
        <v/>
      </c>
      <c r="L1649">
        <f>TRIM(SUBSTITUTE(INDEX('Call accounts and MMFs'!$C:$C,ROW())&amp;""," "," "))</f>
        <v/>
      </c>
      <c r="M1649">
        <f>IFERROR(--INDEX('Call accounts and MMFs'!$D:$D,ROW()),0)</f>
        <v/>
      </c>
      <c r="N1649">
        <f>IFERROR(IF(--INDEX('Call accounts and MMFs'!$E:$E,ROW())&gt;=1,--INDEX('Call accounts and MMFs'!$E:$E,ROW())/100,--INDEX('Call accounts and MMFs'!$E:$E,ROW())),0)</f>
        <v/>
      </c>
      <c r="O1649">
        <f>IFERROR(--INDEX('Call accounts and MMFs'!$F:$F,ROW()),0)</f>
        <v/>
      </c>
      <c r="P1649">
        <f>IF(ISNUMBER(INDEX('Call accounts and MMFs'!$E:$E,ROW())),1,0)</f>
        <v/>
      </c>
      <c r="Q1649">
        <f>TRIM(SUBSTITUTE(INDEX('Pooled funds'!$B:$B,ROW())&amp;""," "," "))</f>
        <v/>
      </c>
      <c r="R1649">
        <f>IFERROR(--INDEX('Pooled funds'!$C:$C,ROW()),0)</f>
        <v/>
      </c>
      <c r="S1649">
        <f>IFERROR(--INDEX('Pooled funds'!$D:$D,ROW()),0)</f>
        <v/>
      </c>
      <c r="T1649">
        <f>IFERROR(IF(--INDEX('Pooled funds'!$E:$E,ROW())&gt;=1,--INDEX('Pooled funds'!$E:$E,ROW())/100,--INDEX('Pooled funds'!$E:$E,ROW())),0)</f>
        <v/>
      </c>
      <c r="U1649">
        <f>IF(ISNUMBER(INDEX('Pooled funds'!$E:$E,ROW())),1,0)</f>
        <v/>
      </c>
    </row>
    <row r="1650">
      <c r="A1650">
        <f>TRIM(SUBSTITUTE(INDEX('Term investments'!$A:$A,ROW())&amp;""," "," "))</f>
        <v/>
      </c>
      <c r="B1650">
        <f>TRIM(SUBSTITUTE(INDEX('Term investments'!$B:$B,ROW())&amp;""," "," "))</f>
        <v/>
      </c>
      <c r="C1650">
        <f>TRIM(SUBSTITUTE(INDEX('Term investments'!$C:$C,ROW())&amp;""," "," "))</f>
        <v/>
      </c>
      <c r="D1650">
        <f>IFERROR(--INDEX('Term investments'!$D:$D,ROW()),0)</f>
        <v/>
      </c>
      <c r="E1650">
        <f>IFERROR(--INDEX('Term investments'!$E:$E,ROW()),0)</f>
        <v/>
      </c>
      <c r="F1650">
        <f>IFERROR(--INDEX('Term investments'!$F:$F,ROW()),0)</f>
        <v/>
      </c>
      <c r="G1650">
        <f>IFERROR(IF(--INDEX('Term investments'!$G:$G,ROW())&gt;=1,--INDEX('Term investments'!$G:$G,ROW())/100,--INDEX('Term investments'!$G:$G,ROW())),0)</f>
        <v/>
      </c>
      <c r="H1650">
        <f>IFERROR(--INDEX('Term investments'!$H:$H,ROW()),0)</f>
        <v/>
      </c>
      <c r="I1650">
        <f>IF(ISNUMBER(INDEX('Term investments'!$G:$G,ROW())),1,0)</f>
        <v/>
      </c>
      <c r="J1650">
        <f>TRIM(SUBSTITUTE(INDEX('Call accounts and MMFs'!$A:$A,ROW())&amp;""," "," "))</f>
        <v/>
      </c>
      <c r="K1650">
        <f>TRIM(SUBSTITUTE(INDEX('Call accounts and MMFs'!$B:$B,ROW())&amp;""," "," "))</f>
        <v/>
      </c>
      <c r="L1650">
        <f>TRIM(SUBSTITUTE(INDEX('Call accounts and MMFs'!$C:$C,ROW())&amp;""," "," "))</f>
        <v/>
      </c>
      <c r="M1650">
        <f>IFERROR(--INDEX('Call accounts and MMFs'!$D:$D,ROW()),0)</f>
        <v/>
      </c>
      <c r="N1650">
        <f>IFERROR(IF(--INDEX('Call accounts and MMFs'!$E:$E,ROW())&gt;=1,--INDEX('Call accounts and MMFs'!$E:$E,ROW())/100,--INDEX('Call accounts and MMFs'!$E:$E,ROW())),0)</f>
        <v/>
      </c>
      <c r="O1650">
        <f>IFERROR(--INDEX('Call accounts and MMFs'!$F:$F,ROW()),0)</f>
        <v/>
      </c>
      <c r="P1650">
        <f>IF(ISNUMBER(INDEX('Call accounts and MMFs'!$E:$E,ROW())),1,0)</f>
        <v/>
      </c>
      <c r="Q1650">
        <f>TRIM(SUBSTITUTE(INDEX('Pooled funds'!$B:$B,ROW())&amp;""," "," "))</f>
        <v/>
      </c>
      <c r="R1650">
        <f>IFERROR(--INDEX('Pooled funds'!$C:$C,ROW()),0)</f>
        <v/>
      </c>
      <c r="S1650">
        <f>IFERROR(--INDEX('Pooled funds'!$D:$D,ROW()),0)</f>
        <v/>
      </c>
      <c r="T1650">
        <f>IFERROR(IF(--INDEX('Pooled funds'!$E:$E,ROW())&gt;=1,--INDEX('Pooled funds'!$E:$E,ROW())/100,--INDEX('Pooled funds'!$E:$E,ROW())),0)</f>
        <v/>
      </c>
      <c r="U1650">
        <f>IF(ISNUMBER(INDEX('Pooled funds'!$E:$E,ROW())),1,0)</f>
        <v/>
      </c>
    </row>
    <row r="1651">
      <c r="A1651">
        <f>TRIM(SUBSTITUTE(INDEX('Term investments'!$A:$A,ROW())&amp;""," "," "))</f>
        <v/>
      </c>
      <c r="B1651">
        <f>TRIM(SUBSTITUTE(INDEX('Term investments'!$B:$B,ROW())&amp;""," "," "))</f>
        <v/>
      </c>
      <c r="C1651">
        <f>TRIM(SUBSTITUTE(INDEX('Term investments'!$C:$C,ROW())&amp;""," "," "))</f>
        <v/>
      </c>
      <c r="D1651">
        <f>IFERROR(--INDEX('Term investments'!$D:$D,ROW()),0)</f>
        <v/>
      </c>
      <c r="E1651">
        <f>IFERROR(--INDEX('Term investments'!$E:$E,ROW()),0)</f>
        <v/>
      </c>
      <c r="F1651">
        <f>IFERROR(--INDEX('Term investments'!$F:$F,ROW()),0)</f>
        <v/>
      </c>
      <c r="G1651">
        <f>IFERROR(IF(--INDEX('Term investments'!$G:$G,ROW())&gt;=1,--INDEX('Term investments'!$G:$G,ROW())/100,--INDEX('Term investments'!$G:$G,ROW())),0)</f>
        <v/>
      </c>
      <c r="H1651">
        <f>IFERROR(--INDEX('Term investments'!$H:$H,ROW()),0)</f>
        <v/>
      </c>
      <c r="I1651">
        <f>IF(ISNUMBER(INDEX('Term investments'!$G:$G,ROW())),1,0)</f>
        <v/>
      </c>
      <c r="J1651">
        <f>TRIM(SUBSTITUTE(INDEX('Call accounts and MMFs'!$A:$A,ROW())&amp;""," "," "))</f>
        <v/>
      </c>
      <c r="K1651">
        <f>TRIM(SUBSTITUTE(INDEX('Call accounts and MMFs'!$B:$B,ROW())&amp;""," "," "))</f>
        <v/>
      </c>
      <c r="L1651">
        <f>TRIM(SUBSTITUTE(INDEX('Call accounts and MMFs'!$C:$C,ROW())&amp;""," "," "))</f>
        <v/>
      </c>
      <c r="M1651">
        <f>IFERROR(--INDEX('Call accounts and MMFs'!$D:$D,ROW()),0)</f>
        <v/>
      </c>
      <c r="N1651">
        <f>IFERROR(IF(--INDEX('Call accounts and MMFs'!$E:$E,ROW())&gt;=1,--INDEX('Call accounts and MMFs'!$E:$E,ROW())/100,--INDEX('Call accounts and MMFs'!$E:$E,ROW())),0)</f>
        <v/>
      </c>
      <c r="O1651">
        <f>IFERROR(--INDEX('Call accounts and MMFs'!$F:$F,ROW()),0)</f>
        <v/>
      </c>
      <c r="P1651">
        <f>IF(ISNUMBER(INDEX('Call accounts and MMFs'!$E:$E,ROW())),1,0)</f>
        <v/>
      </c>
      <c r="Q1651">
        <f>TRIM(SUBSTITUTE(INDEX('Pooled funds'!$B:$B,ROW())&amp;""," "," "))</f>
        <v/>
      </c>
      <c r="R1651">
        <f>IFERROR(--INDEX('Pooled funds'!$C:$C,ROW()),0)</f>
        <v/>
      </c>
      <c r="S1651">
        <f>IFERROR(--INDEX('Pooled funds'!$D:$D,ROW()),0)</f>
        <v/>
      </c>
      <c r="T1651">
        <f>IFERROR(IF(--INDEX('Pooled funds'!$E:$E,ROW())&gt;=1,--INDEX('Pooled funds'!$E:$E,ROW())/100,--INDEX('Pooled funds'!$E:$E,ROW())),0)</f>
        <v/>
      </c>
      <c r="U1651">
        <f>IF(ISNUMBER(INDEX('Pooled funds'!$E:$E,ROW())),1,0)</f>
        <v/>
      </c>
    </row>
    <row r="1652">
      <c r="A1652">
        <f>TRIM(SUBSTITUTE(INDEX('Term investments'!$A:$A,ROW())&amp;""," "," "))</f>
        <v/>
      </c>
      <c r="B1652">
        <f>TRIM(SUBSTITUTE(INDEX('Term investments'!$B:$B,ROW())&amp;""," "," "))</f>
        <v/>
      </c>
      <c r="C1652">
        <f>TRIM(SUBSTITUTE(INDEX('Term investments'!$C:$C,ROW())&amp;""," "," "))</f>
        <v/>
      </c>
      <c r="D1652">
        <f>IFERROR(--INDEX('Term investments'!$D:$D,ROW()),0)</f>
        <v/>
      </c>
      <c r="E1652">
        <f>IFERROR(--INDEX('Term investments'!$E:$E,ROW()),0)</f>
        <v/>
      </c>
      <c r="F1652">
        <f>IFERROR(--INDEX('Term investments'!$F:$F,ROW()),0)</f>
        <v/>
      </c>
      <c r="G1652">
        <f>IFERROR(IF(--INDEX('Term investments'!$G:$G,ROW())&gt;=1,--INDEX('Term investments'!$G:$G,ROW())/100,--INDEX('Term investments'!$G:$G,ROW())),0)</f>
        <v/>
      </c>
      <c r="H1652">
        <f>IFERROR(--INDEX('Term investments'!$H:$H,ROW()),0)</f>
        <v/>
      </c>
      <c r="I1652">
        <f>IF(ISNUMBER(INDEX('Term investments'!$G:$G,ROW())),1,0)</f>
        <v/>
      </c>
      <c r="J1652">
        <f>TRIM(SUBSTITUTE(INDEX('Call accounts and MMFs'!$A:$A,ROW())&amp;""," "," "))</f>
        <v/>
      </c>
      <c r="K1652">
        <f>TRIM(SUBSTITUTE(INDEX('Call accounts and MMFs'!$B:$B,ROW())&amp;""," "," "))</f>
        <v/>
      </c>
      <c r="L1652">
        <f>TRIM(SUBSTITUTE(INDEX('Call accounts and MMFs'!$C:$C,ROW())&amp;""," "," "))</f>
        <v/>
      </c>
      <c r="M1652">
        <f>IFERROR(--INDEX('Call accounts and MMFs'!$D:$D,ROW()),0)</f>
        <v/>
      </c>
      <c r="N1652">
        <f>IFERROR(IF(--INDEX('Call accounts and MMFs'!$E:$E,ROW())&gt;=1,--INDEX('Call accounts and MMFs'!$E:$E,ROW())/100,--INDEX('Call accounts and MMFs'!$E:$E,ROW())),0)</f>
        <v/>
      </c>
      <c r="O1652">
        <f>IFERROR(--INDEX('Call accounts and MMFs'!$F:$F,ROW()),0)</f>
        <v/>
      </c>
      <c r="P1652">
        <f>IF(ISNUMBER(INDEX('Call accounts and MMFs'!$E:$E,ROW())),1,0)</f>
        <v/>
      </c>
      <c r="Q1652">
        <f>TRIM(SUBSTITUTE(INDEX('Pooled funds'!$B:$B,ROW())&amp;""," "," "))</f>
        <v/>
      </c>
      <c r="R1652">
        <f>IFERROR(--INDEX('Pooled funds'!$C:$C,ROW()),0)</f>
        <v/>
      </c>
      <c r="S1652">
        <f>IFERROR(--INDEX('Pooled funds'!$D:$D,ROW()),0)</f>
        <v/>
      </c>
      <c r="T1652">
        <f>IFERROR(IF(--INDEX('Pooled funds'!$E:$E,ROW())&gt;=1,--INDEX('Pooled funds'!$E:$E,ROW())/100,--INDEX('Pooled funds'!$E:$E,ROW())),0)</f>
        <v/>
      </c>
      <c r="U1652">
        <f>IF(ISNUMBER(INDEX('Pooled funds'!$E:$E,ROW())),1,0)</f>
        <v/>
      </c>
    </row>
    <row r="1653">
      <c r="A1653">
        <f>TRIM(SUBSTITUTE(INDEX('Term investments'!$A:$A,ROW())&amp;""," "," "))</f>
        <v/>
      </c>
      <c r="B1653">
        <f>TRIM(SUBSTITUTE(INDEX('Term investments'!$B:$B,ROW())&amp;""," "," "))</f>
        <v/>
      </c>
      <c r="C1653">
        <f>TRIM(SUBSTITUTE(INDEX('Term investments'!$C:$C,ROW())&amp;""," "," "))</f>
        <v/>
      </c>
      <c r="D1653">
        <f>IFERROR(--INDEX('Term investments'!$D:$D,ROW()),0)</f>
        <v/>
      </c>
      <c r="E1653">
        <f>IFERROR(--INDEX('Term investments'!$E:$E,ROW()),0)</f>
        <v/>
      </c>
      <c r="F1653">
        <f>IFERROR(--INDEX('Term investments'!$F:$F,ROW()),0)</f>
        <v/>
      </c>
      <c r="G1653">
        <f>IFERROR(IF(--INDEX('Term investments'!$G:$G,ROW())&gt;=1,--INDEX('Term investments'!$G:$G,ROW())/100,--INDEX('Term investments'!$G:$G,ROW())),0)</f>
        <v/>
      </c>
      <c r="H1653">
        <f>IFERROR(--INDEX('Term investments'!$H:$H,ROW()),0)</f>
        <v/>
      </c>
      <c r="I1653">
        <f>IF(ISNUMBER(INDEX('Term investments'!$G:$G,ROW())),1,0)</f>
        <v/>
      </c>
      <c r="J1653">
        <f>TRIM(SUBSTITUTE(INDEX('Call accounts and MMFs'!$A:$A,ROW())&amp;""," "," "))</f>
        <v/>
      </c>
      <c r="K1653">
        <f>TRIM(SUBSTITUTE(INDEX('Call accounts and MMFs'!$B:$B,ROW())&amp;""," "," "))</f>
        <v/>
      </c>
      <c r="L1653">
        <f>TRIM(SUBSTITUTE(INDEX('Call accounts and MMFs'!$C:$C,ROW())&amp;""," "," "))</f>
        <v/>
      </c>
      <c r="M1653">
        <f>IFERROR(--INDEX('Call accounts and MMFs'!$D:$D,ROW()),0)</f>
        <v/>
      </c>
      <c r="N1653">
        <f>IFERROR(IF(--INDEX('Call accounts and MMFs'!$E:$E,ROW())&gt;=1,--INDEX('Call accounts and MMFs'!$E:$E,ROW())/100,--INDEX('Call accounts and MMFs'!$E:$E,ROW())),0)</f>
        <v/>
      </c>
      <c r="O1653">
        <f>IFERROR(--INDEX('Call accounts and MMFs'!$F:$F,ROW()),0)</f>
        <v/>
      </c>
      <c r="P1653">
        <f>IF(ISNUMBER(INDEX('Call accounts and MMFs'!$E:$E,ROW())),1,0)</f>
        <v/>
      </c>
      <c r="Q1653">
        <f>TRIM(SUBSTITUTE(INDEX('Pooled funds'!$B:$B,ROW())&amp;""," "," "))</f>
        <v/>
      </c>
      <c r="R1653">
        <f>IFERROR(--INDEX('Pooled funds'!$C:$C,ROW()),0)</f>
        <v/>
      </c>
      <c r="S1653">
        <f>IFERROR(--INDEX('Pooled funds'!$D:$D,ROW()),0)</f>
        <v/>
      </c>
      <c r="T1653">
        <f>IFERROR(IF(--INDEX('Pooled funds'!$E:$E,ROW())&gt;=1,--INDEX('Pooled funds'!$E:$E,ROW())/100,--INDEX('Pooled funds'!$E:$E,ROW())),0)</f>
        <v/>
      </c>
      <c r="U1653">
        <f>IF(ISNUMBER(INDEX('Pooled funds'!$E:$E,ROW())),1,0)</f>
        <v/>
      </c>
    </row>
    <row r="1654">
      <c r="A1654">
        <f>TRIM(SUBSTITUTE(INDEX('Term investments'!$A:$A,ROW())&amp;""," "," "))</f>
        <v/>
      </c>
      <c r="B1654">
        <f>TRIM(SUBSTITUTE(INDEX('Term investments'!$B:$B,ROW())&amp;""," "," "))</f>
        <v/>
      </c>
      <c r="C1654">
        <f>TRIM(SUBSTITUTE(INDEX('Term investments'!$C:$C,ROW())&amp;""," "," "))</f>
        <v/>
      </c>
      <c r="D1654">
        <f>IFERROR(--INDEX('Term investments'!$D:$D,ROW()),0)</f>
        <v/>
      </c>
      <c r="E1654">
        <f>IFERROR(--INDEX('Term investments'!$E:$E,ROW()),0)</f>
        <v/>
      </c>
      <c r="F1654">
        <f>IFERROR(--INDEX('Term investments'!$F:$F,ROW()),0)</f>
        <v/>
      </c>
      <c r="G1654">
        <f>IFERROR(IF(--INDEX('Term investments'!$G:$G,ROW())&gt;=1,--INDEX('Term investments'!$G:$G,ROW())/100,--INDEX('Term investments'!$G:$G,ROW())),0)</f>
        <v/>
      </c>
      <c r="H1654">
        <f>IFERROR(--INDEX('Term investments'!$H:$H,ROW()),0)</f>
        <v/>
      </c>
      <c r="I1654">
        <f>IF(ISNUMBER(INDEX('Term investments'!$G:$G,ROW())),1,0)</f>
        <v/>
      </c>
      <c r="J1654">
        <f>TRIM(SUBSTITUTE(INDEX('Call accounts and MMFs'!$A:$A,ROW())&amp;""," "," "))</f>
        <v/>
      </c>
      <c r="K1654">
        <f>TRIM(SUBSTITUTE(INDEX('Call accounts and MMFs'!$B:$B,ROW())&amp;""," "," "))</f>
        <v/>
      </c>
      <c r="L1654">
        <f>TRIM(SUBSTITUTE(INDEX('Call accounts and MMFs'!$C:$C,ROW())&amp;""," "," "))</f>
        <v/>
      </c>
      <c r="M1654">
        <f>IFERROR(--INDEX('Call accounts and MMFs'!$D:$D,ROW()),0)</f>
        <v/>
      </c>
      <c r="N1654">
        <f>IFERROR(IF(--INDEX('Call accounts and MMFs'!$E:$E,ROW())&gt;=1,--INDEX('Call accounts and MMFs'!$E:$E,ROW())/100,--INDEX('Call accounts and MMFs'!$E:$E,ROW())),0)</f>
        <v/>
      </c>
      <c r="O1654">
        <f>IFERROR(--INDEX('Call accounts and MMFs'!$F:$F,ROW()),0)</f>
        <v/>
      </c>
      <c r="P1654">
        <f>IF(ISNUMBER(INDEX('Call accounts and MMFs'!$E:$E,ROW())),1,0)</f>
        <v/>
      </c>
      <c r="Q1654">
        <f>TRIM(SUBSTITUTE(INDEX('Pooled funds'!$B:$B,ROW())&amp;""," "," "))</f>
        <v/>
      </c>
      <c r="R1654">
        <f>IFERROR(--INDEX('Pooled funds'!$C:$C,ROW()),0)</f>
        <v/>
      </c>
      <c r="S1654">
        <f>IFERROR(--INDEX('Pooled funds'!$D:$D,ROW()),0)</f>
        <v/>
      </c>
      <c r="T1654">
        <f>IFERROR(IF(--INDEX('Pooled funds'!$E:$E,ROW())&gt;=1,--INDEX('Pooled funds'!$E:$E,ROW())/100,--INDEX('Pooled funds'!$E:$E,ROW())),0)</f>
        <v/>
      </c>
      <c r="U1654">
        <f>IF(ISNUMBER(INDEX('Pooled funds'!$E:$E,ROW())),1,0)</f>
        <v/>
      </c>
    </row>
    <row r="1655">
      <c r="A1655">
        <f>TRIM(SUBSTITUTE(INDEX('Term investments'!$A:$A,ROW())&amp;""," "," "))</f>
        <v/>
      </c>
      <c r="B1655">
        <f>TRIM(SUBSTITUTE(INDEX('Term investments'!$B:$B,ROW())&amp;""," "," "))</f>
        <v/>
      </c>
      <c r="C1655">
        <f>TRIM(SUBSTITUTE(INDEX('Term investments'!$C:$C,ROW())&amp;""," "," "))</f>
        <v/>
      </c>
      <c r="D1655">
        <f>IFERROR(--INDEX('Term investments'!$D:$D,ROW()),0)</f>
        <v/>
      </c>
      <c r="E1655">
        <f>IFERROR(--INDEX('Term investments'!$E:$E,ROW()),0)</f>
        <v/>
      </c>
      <c r="F1655">
        <f>IFERROR(--INDEX('Term investments'!$F:$F,ROW()),0)</f>
        <v/>
      </c>
      <c r="G1655">
        <f>IFERROR(IF(--INDEX('Term investments'!$G:$G,ROW())&gt;=1,--INDEX('Term investments'!$G:$G,ROW())/100,--INDEX('Term investments'!$G:$G,ROW())),0)</f>
        <v/>
      </c>
      <c r="H1655">
        <f>IFERROR(--INDEX('Term investments'!$H:$H,ROW()),0)</f>
        <v/>
      </c>
      <c r="I1655">
        <f>IF(ISNUMBER(INDEX('Term investments'!$G:$G,ROW())),1,0)</f>
        <v/>
      </c>
      <c r="J1655">
        <f>TRIM(SUBSTITUTE(INDEX('Call accounts and MMFs'!$A:$A,ROW())&amp;""," "," "))</f>
        <v/>
      </c>
      <c r="K1655">
        <f>TRIM(SUBSTITUTE(INDEX('Call accounts and MMFs'!$B:$B,ROW())&amp;""," "," "))</f>
        <v/>
      </c>
      <c r="L1655">
        <f>TRIM(SUBSTITUTE(INDEX('Call accounts and MMFs'!$C:$C,ROW())&amp;""," "," "))</f>
        <v/>
      </c>
      <c r="M1655">
        <f>IFERROR(--INDEX('Call accounts and MMFs'!$D:$D,ROW()),0)</f>
        <v/>
      </c>
      <c r="N1655">
        <f>IFERROR(IF(--INDEX('Call accounts and MMFs'!$E:$E,ROW())&gt;=1,--INDEX('Call accounts and MMFs'!$E:$E,ROW())/100,--INDEX('Call accounts and MMFs'!$E:$E,ROW())),0)</f>
        <v/>
      </c>
      <c r="O1655">
        <f>IFERROR(--INDEX('Call accounts and MMFs'!$F:$F,ROW()),0)</f>
        <v/>
      </c>
      <c r="P1655">
        <f>IF(ISNUMBER(INDEX('Call accounts and MMFs'!$E:$E,ROW())),1,0)</f>
        <v/>
      </c>
      <c r="Q1655">
        <f>TRIM(SUBSTITUTE(INDEX('Pooled funds'!$B:$B,ROW())&amp;""," "," "))</f>
        <v/>
      </c>
      <c r="R1655">
        <f>IFERROR(--INDEX('Pooled funds'!$C:$C,ROW()),0)</f>
        <v/>
      </c>
      <c r="S1655">
        <f>IFERROR(--INDEX('Pooled funds'!$D:$D,ROW()),0)</f>
        <v/>
      </c>
      <c r="T1655">
        <f>IFERROR(IF(--INDEX('Pooled funds'!$E:$E,ROW())&gt;=1,--INDEX('Pooled funds'!$E:$E,ROW())/100,--INDEX('Pooled funds'!$E:$E,ROW())),0)</f>
        <v/>
      </c>
      <c r="U1655">
        <f>IF(ISNUMBER(INDEX('Pooled funds'!$E:$E,ROW())),1,0)</f>
        <v/>
      </c>
    </row>
    <row r="1656">
      <c r="A1656">
        <f>TRIM(SUBSTITUTE(INDEX('Term investments'!$A:$A,ROW())&amp;""," "," "))</f>
        <v/>
      </c>
      <c r="B1656">
        <f>TRIM(SUBSTITUTE(INDEX('Term investments'!$B:$B,ROW())&amp;""," "," "))</f>
        <v/>
      </c>
      <c r="C1656">
        <f>TRIM(SUBSTITUTE(INDEX('Term investments'!$C:$C,ROW())&amp;""," "," "))</f>
        <v/>
      </c>
      <c r="D1656">
        <f>IFERROR(--INDEX('Term investments'!$D:$D,ROW()),0)</f>
        <v/>
      </c>
      <c r="E1656">
        <f>IFERROR(--INDEX('Term investments'!$E:$E,ROW()),0)</f>
        <v/>
      </c>
      <c r="F1656">
        <f>IFERROR(--INDEX('Term investments'!$F:$F,ROW()),0)</f>
        <v/>
      </c>
      <c r="G1656">
        <f>IFERROR(IF(--INDEX('Term investments'!$G:$G,ROW())&gt;=1,--INDEX('Term investments'!$G:$G,ROW())/100,--INDEX('Term investments'!$G:$G,ROW())),0)</f>
        <v/>
      </c>
      <c r="H1656">
        <f>IFERROR(--INDEX('Term investments'!$H:$H,ROW()),0)</f>
        <v/>
      </c>
      <c r="I1656">
        <f>IF(ISNUMBER(INDEX('Term investments'!$G:$G,ROW())),1,0)</f>
        <v/>
      </c>
      <c r="J1656">
        <f>TRIM(SUBSTITUTE(INDEX('Call accounts and MMFs'!$A:$A,ROW())&amp;""," "," "))</f>
        <v/>
      </c>
      <c r="K1656">
        <f>TRIM(SUBSTITUTE(INDEX('Call accounts and MMFs'!$B:$B,ROW())&amp;""," "," "))</f>
        <v/>
      </c>
      <c r="L1656">
        <f>TRIM(SUBSTITUTE(INDEX('Call accounts and MMFs'!$C:$C,ROW())&amp;""," "," "))</f>
        <v/>
      </c>
      <c r="M1656">
        <f>IFERROR(--INDEX('Call accounts and MMFs'!$D:$D,ROW()),0)</f>
        <v/>
      </c>
      <c r="N1656">
        <f>IFERROR(IF(--INDEX('Call accounts and MMFs'!$E:$E,ROW())&gt;=1,--INDEX('Call accounts and MMFs'!$E:$E,ROW())/100,--INDEX('Call accounts and MMFs'!$E:$E,ROW())),0)</f>
        <v/>
      </c>
      <c r="O1656">
        <f>IFERROR(--INDEX('Call accounts and MMFs'!$F:$F,ROW()),0)</f>
        <v/>
      </c>
      <c r="P1656">
        <f>IF(ISNUMBER(INDEX('Call accounts and MMFs'!$E:$E,ROW())),1,0)</f>
        <v/>
      </c>
      <c r="Q1656">
        <f>TRIM(SUBSTITUTE(INDEX('Pooled funds'!$B:$B,ROW())&amp;""," "," "))</f>
        <v/>
      </c>
      <c r="R1656">
        <f>IFERROR(--INDEX('Pooled funds'!$C:$C,ROW()),0)</f>
        <v/>
      </c>
      <c r="S1656">
        <f>IFERROR(--INDEX('Pooled funds'!$D:$D,ROW()),0)</f>
        <v/>
      </c>
      <c r="T1656">
        <f>IFERROR(IF(--INDEX('Pooled funds'!$E:$E,ROW())&gt;=1,--INDEX('Pooled funds'!$E:$E,ROW())/100,--INDEX('Pooled funds'!$E:$E,ROW())),0)</f>
        <v/>
      </c>
      <c r="U1656">
        <f>IF(ISNUMBER(INDEX('Pooled funds'!$E:$E,ROW())),1,0)</f>
        <v/>
      </c>
    </row>
    <row r="1657">
      <c r="A1657">
        <f>TRIM(SUBSTITUTE(INDEX('Term investments'!$A:$A,ROW())&amp;""," "," "))</f>
        <v/>
      </c>
      <c r="B1657">
        <f>TRIM(SUBSTITUTE(INDEX('Term investments'!$B:$B,ROW())&amp;""," "," "))</f>
        <v/>
      </c>
      <c r="C1657">
        <f>TRIM(SUBSTITUTE(INDEX('Term investments'!$C:$C,ROW())&amp;""," "," "))</f>
        <v/>
      </c>
      <c r="D1657">
        <f>IFERROR(--INDEX('Term investments'!$D:$D,ROW()),0)</f>
        <v/>
      </c>
      <c r="E1657">
        <f>IFERROR(--INDEX('Term investments'!$E:$E,ROW()),0)</f>
        <v/>
      </c>
      <c r="F1657">
        <f>IFERROR(--INDEX('Term investments'!$F:$F,ROW()),0)</f>
        <v/>
      </c>
      <c r="G1657">
        <f>IFERROR(IF(--INDEX('Term investments'!$G:$G,ROW())&gt;=1,--INDEX('Term investments'!$G:$G,ROW())/100,--INDEX('Term investments'!$G:$G,ROW())),0)</f>
        <v/>
      </c>
      <c r="H1657">
        <f>IFERROR(--INDEX('Term investments'!$H:$H,ROW()),0)</f>
        <v/>
      </c>
      <c r="I1657">
        <f>IF(ISNUMBER(INDEX('Term investments'!$G:$G,ROW())),1,0)</f>
        <v/>
      </c>
      <c r="J1657">
        <f>TRIM(SUBSTITUTE(INDEX('Call accounts and MMFs'!$A:$A,ROW())&amp;""," "," "))</f>
        <v/>
      </c>
      <c r="K1657">
        <f>TRIM(SUBSTITUTE(INDEX('Call accounts and MMFs'!$B:$B,ROW())&amp;""," "," "))</f>
        <v/>
      </c>
      <c r="L1657">
        <f>TRIM(SUBSTITUTE(INDEX('Call accounts and MMFs'!$C:$C,ROW())&amp;""," "," "))</f>
        <v/>
      </c>
      <c r="M1657">
        <f>IFERROR(--INDEX('Call accounts and MMFs'!$D:$D,ROW()),0)</f>
        <v/>
      </c>
      <c r="N1657">
        <f>IFERROR(IF(--INDEX('Call accounts and MMFs'!$E:$E,ROW())&gt;=1,--INDEX('Call accounts and MMFs'!$E:$E,ROW())/100,--INDEX('Call accounts and MMFs'!$E:$E,ROW())),0)</f>
        <v/>
      </c>
      <c r="O1657">
        <f>IFERROR(--INDEX('Call accounts and MMFs'!$F:$F,ROW()),0)</f>
        <v/>
      </c>
      <c r="P1657">
        <f>IF(ISNUMBER(INDEX('Call accounts and MMFs'!$E:$E,ROW())),1,0)</f>
        <v/>
      </c>
      <c r="Q1657">
        <f>TRIM(SUBSTITUTE(INDEX('Pooled funds'!$B:$B,ROW())&amp;""," "," "))</f>
        <v/>
      </c>
      <c r="R1657">
        <f>IFERROR(--INDEX('Pooled funds'!$C:$C,ROW()),0)</f>
        <v/>
      </c>
      <c r="S1657">
        <f>IFERROR(--INDEX('Pooled funds'!$D:$D,ROW()),0)</f>
        <v/>
      </c>
      <c r="T1657">
        <f>IFERROR(IF(--INDEX('Pooled funds'!$E:$E,ROW())&gt;=1,--INDEX('Pooled funds'!$E:$E,ROW())/100,--INDEX('Pooled funds'!$E:$E,ROW())),0)</f>
        <v/>
      </c>
      <c r="U1657">
        <f>IF(ISNUMBER(INDEX('Pooled funds'!$E:$E,ROW())),1,0)</f>
        <v/>
      </c>
    </row>
    <row r="1658">
      <c r="A1658">
        <f>TRIM(SUBSTITUTE(INDEX('Term investments'!$A:$A,ROW())&amp;""," "," "))</f>
        <v/>
      </c>
      <c r="B1658">
        <f>TRIM(SUBSTITUTE(INDEX('Term investments'!$B:$B,ROW())&amp;""," "," "))</f>
        <v/>
      </c>
      <c r="C1658">
        <f>TRIM(SUBSTITUTE(INDEX('Term investments'!$C:$C,ROW())&amp;""," "," "))</f>
        <v/>
      </c>
      <c r="D1658">
        <f>IFERROR(--INDEX('Term investments'!$D:$D,ROW()),0)</f>
        <v/>
      </c>
      <c r="E1658">
        <f>IFERROR(--INDEX('Term investments'!$E:$E,ROW()),0)</f>
        <v/>
      </c>
      <c r="F1658">
        <f>IFERROR(--INDEX('Term investments'!$F:$F,ROW()),0)</f>
        <v/>
      </c>
      <c r="G1658">
        <f>IFERROR(IF(--INDEX('Term investments'!$G:$G,ROW())&gt;=1,--INDEX('Term investments'!$G:$G,ROW())/100,--INDEX('Term investments'!$G:$G,ROW())),0)</f>
        <v/>
      </c>
      <c r="H1658">
        <f>IFERROR(--INDEX('Term investments'!$H:$H,ROW()),0)</f>
        <v/>
      </c>
      <c r="I1658">
        <f>IF(ISNUMBER(INDEX('Term investments'!$G:$G,ROW())),1,0)</f>
        <v/>
      </c>
      <c r="J1658">
        <f>TRIM(SUBSTITUTE(INDEX('Call accounts and MMFs'!$A:$A,ROW())&amp;""," "," "))</f>
        <v/>
      </c>
      <c r="K1658">
        <f>TRIM(SUBSTITUTE(INDEX('Call accounts and MMFs'!$B:$B,ROW())&amp;""," "," "))</f>
        <v/>
      </c>
      <c r="L1658">
        <f>TRIM(SUBSTITUTE(INDEX('Call accounts and MMFs'!$C:$C,ROW())&amp;""," "," "))</f>
        <v/>
      </c>
      <c r="M1658">
        <f>IFERROR(--INDEX('Call accounts and MMFs'!$D:$D,ROW()),0)</f>
        <v/>
      </c>
      <c r="N1658">
        <f>IFERROR(IF(--INDEX('Call accounts and MMFs'!$E:$E,ROW())&gt;=1,--INDEX('Call accounts and MMFs'!$E:$E,ROW())/100,--INDEX('Call accounts and MMFs'!$E:$E,ROW())),0)</f>
        <v/>
      </c>
      <c r="O1658">
        <f>IFERROR(--INDEX('Call accounts and MMFs'!$F:$F,ROW()),0)</f>
        <v/>
      </c>
      <c r="P1658">
        <f>IF(ISNUMBER(INDEX('Call accounts and MMFs'!$E:$E,ROW())),1,0)</f>
        <v/>
      </c>
      <c r="Q1658">
        <f>TRIM(SUBSTITUTE(INDEX('Pooled funds'!$B:$B,ROW())&amp;""," "," "))</f>
        <v/>
      </c>
      <c r="R1658">
        <f>IFERROR(--INDEX('Pooled funds'!$C:$C,ROW()),0)</f>
        <v/>
      </c>
      <c r="S1658">
        <f>IFERROR(--INDEX('Pooled funds'!$D:$D,ROW()),0)</f>
        <v/>
      </c>
      <c r="T1658">
        <f>IFERROR(IF(--INDEX('Pooled funds'!$E:$E,ROW())&gt;=1,--INDEX('Pooled funds'!$E:$E,ROW())/100,--INDEX('Pooled funds'!$E:$E,ROW())),0)</f>
        <v/>
      </c>
      <c r="U1658">
        <f>IF(ISNUMBER(INDEX('Pooled funds'!$E:$E,ROW())),1,0)</f>
        <v/>
      </c>
    </row>
    <row r="1659">
      <c r="A1659">
        <f>TRIM(SUBSTITUTE(INDEX('Term investments'!$A:$A,ROW())&amp;""," "," "))</f>
        <v/>
      </c>
      <c r="B1659">
        <f>TRIM(SUBSTITUTE(INDEX('Term investments'!$B:$B,ROW())&amp;""," "," "))</f>
        <v/>
      </c>
      <c r="C1659">
        <f>TRIM(SUBSTITUTE(INDEX('Term investments'!$C:$C,ROW())&amp;""," "," "))</f>
        <v/>
      </c>
      <c r="D1659">
        <f>IFERROR(--INDEX('Term investments'!$D:$D,ROW()),0)</f>
        <v/>
      </c>
      <c r="E1659">
        <f>IFERROR(--INDEX('Term investments'!$E:$E,ROW()),0)</f>
        <v/>
      </c>
      <c r="F1659">
        <f>IFERROR(--INDEX('Term investments'!$F:$F,ROW()),0)</f>
        <v/>
      </c>
      <c r="G1659">
        <f>IFERROR(IF(--INDEX('Term investments'!$G:$G,ROW())&gt;=1,--INDEX('Term investments'!$G:$G,ROW())/100,--INDEX('Term investments'!$G:$G,ROW())),0)</f>
        <v/>
      </c>
      <c r="H1659">
        <f>IFERROR(--INDEX('Term investments'!$H:$H,ROW()),0)</f>
        <v/>
      </c>
      <c r="I1659">
        <f>IF(ISNUMBER(INDEX('Term investments'!$G:$G,ROW())),1,0)</f>
        <v/>
      </c>
      <c r="J1659">
        <f>TRIM(SUBSTITUTE(INDEX('Call accounts and MMFs'!$A:$A,ROW())&amp;""," "," "))</f>
        <v/>
      </c>
      <c r="K1659">
        <f>TRIM(SUBSTITUTE(INDEX('Call accounts and MMFs'!$B:$B,ROW())&amp;""," "," "))</f>
        <v/>
      </c>
      <c r="L1659">
        <f>TRIM(SUBSTITUTE(INDEX('Call accounts and MMFs'!$C:$C,ROW())&amp;""," "," "))</f>
        <v/>
      </c>
      <c r="M1659">
        <f>IFERROR(--INDEX('Call accounts and MMFs'!$D:$D,ROW()),0)</f>
        <v/>
      </c>
      <c r="N1659">
        <f>IFERROR(IF(--INDEX('Call accounts and MMFs'!$E:$E,ROW())&gt;=1,--INDEX('Call accounts and MMFs'!$E:$E,ROW())/100,--INDEX('Call accounts and MMFs'!$E:$E,ROW())),0)</f>
        <v/>
      </c>
      <c r="O1659">
        <f>IFERROR(--INDEX('Call accounts and MMFs'!$F:$F,ROW()),0)</f>
        <v/>
      </c>
      <c r="P1659">
        <f>IF(ISNUMBER(INDEX('Call accounts and MMFs'!$E:$E,ROW())),1,0)</f>
        <v/>
      </c>
      <c r="Q1659">
        <f>TRIM(SUBSTITUTE(INDEX('Pooled funds'!$B:$B,ROW())&amp;""," "," "))</f>
        <v/>
      </c>
      <c r="R1659">
        <f>IFERROR(--INDEX('Pooled funds'!$C:$C,ROW()),0)</f>
        <v/>
      </c>
      <c r="S1659">
        <f>IFERROR(--INDEX('Pooled funds'!$D:$D,ROW()),0)</f>
        <v/>
      </c>
      <c r="T1659">
        <f>IFERROR(IF(--INDEX('Pooled funds'!$E:$E,ROW())&gt;=1,--INDEX('Pooled funds'!$E:$E,ROW())/100,--INDEX('Pooled funds'!$E:$E,ROW())),0)</f>
        <v/>
      </c>
      <c r="U1659">
        <f>IF(ISNUMBER(INDEX('Pooled funds'!$E:$E,ROW())),1,0)</f>
        <v/>
      </c>
    </row>
    <row r="1660">
      <c r="A1660">
        <f>TRIM(SUBSTITUTE(INDEX('Term investments'!$A:$A,ROW())&amp;""," "," "))</f>
        <v/>
      </c>
      <c r="B1660">
        <f>TRIM(SUBSTITUTE(INDEX('Term investments'!$B:$B,ROW())&amp;""," "," "))</f>
        <v/>
      </c>
      <c r="C1660">
        <f>TRIM(SUBSTITUTE(INDEX('Term investments'!$C:$C,ROW())&amp;""," "," "))</f>
        <v/>
      </c>
      <c r="D1660">
        <f>IFERROR(--INDEX('Term investments'!$D:$D,ROW()),0)</f>
        <v/>
      </c>
      <c r="E1660">
        <f>IFERROR(--INDEX('Term investments'!$E:$E,ROW()),0)</f>
        <v/>
      </c>
      <c r="F1660">
        <f>IFERROR(--INDEX('Term investments'!$F:$F,ROW()),0)</f>
        <v/>
      </c>
      <c r="G1660">
        <f>IFERROR(IF(--INDEX('Term investments'!$G:$G,ROW())&gt;=1,--INDEX('Term investments'!$G:$G,ROW())/100,--INDEX('Term investments'!$G:$G,ROW())),0)</f>
        <v/>
      </c>
      <c r="H1660">
        <f>IFERROR(--INDEX('Term investments'!$H:$H,ROW()),0)</f>
        <v/>
      </c>
      <c r="I1660">
        <f>IF(ISNUMBER(INDEX('Term investments'!$G:$G,ROW())),1,0)</f>
        <v/>
      </c>
      <c r="J1660">
        <f>TRIM(SUBSTITUTE(INDEX('Call accounts and MMFs'!$A:$A,ROW())&amp;""," "," "))</f>
        <v/>
      </c>
      <c r="K1660">
        <f>TRIM(SUBSTITUTE(INDEX('Call accounts and MMFs'!$B:$B,ROW())&amp;""," "," "))</f>
        <v/>
      </c>
      <c r="L1660">
        <f>TRIM(SUBSTITUTE(INDEX('Call accounts and MMFs'!$C:$C,ROW())&amp;""," "," "))</f>
        <v/>
      </c>
      <c r="M1660">
        <f>IFERROR(--INDEX('Call accounts and MMFs'!$D:$D,ROW()),0)</f>
        <v/>
      </c>
      <c r="N1660">
        <f>IFERROR(IF(--INDEX('Call accounts and MMFs'!$E:$E,ROW())&gt;=1,--INDEX('Call accounts and MMFs'!$E:$E,ROW())/100,--INDEX('Call accounts and MMFs'!$E:$E,ROW())),0)</f>
        <v/>
      </c>
      <c r="O1660">
        <f>IFERROR(--INDEX('Call accounts and MMFs'!$F:$F,ROW()),0)</f>
        <v/>
      </c>
      <c r="P1660">
        <f>IF(ISNUMBER(INDEX('Call accounts and MMFs'!$E:$E,ROW())),1,0)</f>
        <v/>
      </c>
      <c r="Q1660">
        <f>TRIM(SUBSTITUTE(INDEX('Pooled funds'!$B:$B,ROW())&amp;""," "," "))</f>
        <v/>
      </c>
      <c r="R1660">
        <f>IFERROR(--INDEX('Pooled funds'!$C:$C,ROW()),0)</f>
        <v/>
      </c>
      <c r="S1660">
        <f>IFERROR(--INDEX('Pooled funds'!$D:$D,ROW()),0)</f>
        <v/>
      </c>
      <c r="T1660">
        <f>IFERROR(IF(--INDEX('Pooled funds'!$E:$E,ROW())&gt;=1,--INDEX('Pooled funds'!$E:$E,ROW())/100,--INDEX('Pooled funds'!$E:$E,ROW())),0)</f>
        <v/>
      </c>
      <c r="U1660">
        <f>IF(ISNUMBER(INDEX('Pooled funds'!$E:$E,ROW())),1,0)</f>
        <v/>
      </c>
    </row>
    <row r="1661">
      <c r="A1661">
        <f>TRIM(SUBSTITUTE(INDEX('Term investments'!$A:$A,ROW())&amp;""," "," "))</f>
        <v/>
      </c>
      <c r="B1661">
        <f>TRIM(SUBSTITUTE(INDEX('Term investments'!$B:$B,ROW())&amp;""," "," "))</f>
        <v/>
      </c>
      <c r="C1661">
        <f>TRIM(SUBSTITUTE(INDEX('Term investments'!$C:$C,ROW())&amp;""," "," "))</f>
        <v/>
      </c>
      <c r="D1661">
        <f>IFERROR(--INDEX('Term investments'!$D:$D,ROW()),0)</f>
        <v/>
      </c>
      <c r="E1661">
        <f>IFERROR(--INDEX('Term investments'!$E:$E,ROW()),0)</f>
        <v/>
      </c>
      <c r="F1661">
        <f>IFERROR(--INDEX('Term investments'!$F:$F,ROW()),0)</f>
        <v/>
      </c>
      <c r="G1661">
        <f>IFERROR(IF(--INDEX('Term investments'!$G:$G,ROW())&gt;=1,--INDEX('Term investments'!$G:$G,ROW())/100,--INDEX('Term investments'!$G:$G,ROW())),0)</f>
        <v/>
      </c>
      <c r="H1661">
        <f>IFERROR(--INDEX('Term investments'!$H:$H,ROW()),0)</f>
        <v/>
      </c>
      <c r="I1661">
        <f>IF(ISNUMBER(INDEX('Term investments'!$G:$G,ROW())),1,0)</f>
        <v/>
      </c>
      <c r="J1661">
        <f>TRIM(SUBSTITUTE(INDEX('Call accounts and MMFs'!$A:$A,ROW())&amp;""," "," "))</f>
        <v/>
      </c>
      <c r="K1661">
        <f>TRIM(SUBSTITUTE(INDEX('Call accounts and MMFs'!$B:$B,ROW())&amp;""," "," "))</f>
        <v/>
      </c>
      <c r="L1661">
        <f>TRIM(SUBSTITUTE(INDEX('Call accounts and MMFs'!$C:$C,ROW())&amp;""," "," "))</f>
        <v/>
      </c>
      <c r="M1661">
        <f>IFERROR(--INDEX('Call accounts and MMFs'!$D:$D,ROW()),0)</f>
        <v/>
      </c>
      <c r="N1661">
        <f>IFERROR(IF(--INDEX('Call accounts and MMFs'!$E:$E,ROW())&gt;=1,--INDEX('Call accounts and MMFs'!$E:$E,ROW())/100,--INDEX('Call accounts and MMFs'!$E:$E,ROW())),0)</f>
        <v/>
      </c>
      <c r="O1661">
        <f>IFERROR(--INDEX('Call accounts and MMFs'!$F:$F,ROW()),0)</f>
        <v/>
      </c>
      <c r="P1661">
        <f>IF(ISNUMBER(INDEX('Call accounts and MMFs'!$E:$E,ROW())),1,0)</f>
        <v/>
      </c>
      <c r="Q1661">
        <f>TRIM(SUBSTITUTE(INDEX('Pooled funds'!$B:$B,ROW())&amp;""," "," "))</f>
        <v/>
      </c>
      <c r="R1661">
        <f>IFERROR(--INDEX('Pooled funds'!$C:$C,ROW()),0)</f>
        <v/>
      </c>
      <c r="S1661">
        <f>IFERROR(--INDEX('Pooled funds'!$D:$D,ROW()),0)</f>
        <v/>
      </c>
      <c r="T1661">
        <f>IFERROR(IF(--INDEX('Pooled funds'!$E:$E,ROW())&gt;=1,--INDEX('Pooled funds'!$E:$E,ROW())/100,--INDEX('Pooled funds'!$E:$E,ROW())),0)</f>
        <v/>
      </c>
      <c r="U1661">
        <f>IF(ISNUMBER(INDEX('Pooled funds'!$E:$E,ROW())),1,0)</f>
        <v/>
      </c>
    </row>
    <row r="1662">
      <c r="A1662">
        <f>TRIM(SUBSTITUTE(INDEX('Term investments'!$A:$A,ROW())&amp;""," "," "))</f>
        <v/>
      </c>
      <c r="B1662">
        <f>TRIM(SUBSTITUTE(INDEX('Term investments'!$B:$B,ROW())&amp;""," "," "))</f>
        <v/>
      </c>
      <c r="C1662">
        <f>TRIM(SUBSTITUTE(INDEX('Term investments'!$C:$C,ROW())&amp;""," "," "))</f>
        <v/>
      </c>
      <c r="D1662">
        <f>IFERROR(--INDEX('Term investments'!$D:$D,ROW()),0)</f>
        <v/>
      </c>
      <c r="E1662">
        <f>IFERROR(--INDEX('Term investments'!$E:$E,ROW()),0)</f>
        <v/>
      </c>
      <c r="F1662">
        <f>IFERROR(--INDEX('Term investments'!$F:$F,ROW()),0)</f>
        <v/>
      </c>
      <c r="G1662">
        <f>IFERROR(IF(--INDEX('Term investments'!$G:$G,ROW())&gt;=1,--INDEX('Term investments'!$G:$G,ROW())/100,--INDEX('Term investments'!$G:$G,ROW())),0)</f>
        <v/>
      </c>
      <c r="H1662">
        <f>IFERROR(--INDEX('Term investments'!$H:$H,ROW()),0)</f>
        <v/>
      </c>
      <c r="I1662">
        <f>IF(ISNUMBER(INDEX('Term investments'!$G:$G,ROW())),1,0)</f>
        <v/>
      </c>
      <c r="J1662">
        <f>TRIM(SUBSTITUTE(INDEX('Call accounts and MMFs'!$A:$A,ROW())&amp;""," "," "))</f>
        <v/>
      </c>
      <c r="K1662">
        <f>TRIM(SUBSTITUTE(INDEX('Call accounts and MMFs'!$B:$B,ROW())&amp;""," "," "))</f>
        <v/>
      </c>
      <c r="L1662">
        <f>TRIM(SUBSTITUTE(INDEX('Call accounts and MMFs'!$C:$C,ROW())&amp;""," "," "))</f>
        <v/>
      </c>
      <c r="M1662">
        <f>IFERROR(--INDEX('Call accounts and MMFs'!$D:$D,ROW()),0)</f>
        <v/>
      </c>
      <c r="N1662">
        <f>IFERROR(IF(--INDEX('Call accounts and MMFs'!$E:$E,ROW())&gt;=1,--INDEX('Call accounts and MMFs'!$E:$E,ROW())/100,--INDEX('Call accounts and MMFs'!$E:$E,ROW())),0)</f>
        <v/>
      </c>
      <c r="O1662">
        <f>IFERROR(--INDEX('Call accounts and MMFs'!$F:$F,ROW()),0)</f>
        <v/>
      </c>
      <c r="P1662">
        <f>IF(ISNUMBER(INDEX('Call accounts and MMFs'!$E:$E,ROW())),1,0)</f>
        <v/>
      </c>
      <c r="Q1662">
        <f>TRIM(SUBSTITUTE(INDEX('Pooled funds'!$B:$B,ROW())&amp;""," "," "))</f>
        <v/>
      </c>
      <c r="R1662">
        <f>IFERROR(--INDEX('Pooled funds'!$C:$C,ROW()),0)</f>
        <v/>
      </c>
      <c r="S1662">
        <f>IFERROR(--INDEX('Pooled funds'!$D:$D,ROW()),0)</f>
        <v/>
      </c>
      <c r="T1662">
        <f>IFERROR(IF(--INDEX('Pooled funds'!$E:$E,ROW())&gt;=1,--INDEX('Pooled funds'!$E:$E,ROW())/100,--INDEX('Pooled funds'!$E:$E,ROW())),0)</f>
        <v/>
      </c>
      <c r="U1662">
        <f>IF(ISNUMBER(INDEX('Pooled funds'!$E:$E,ROW())),1,0)</f>
        <v/>
      </c>
    </row>
    <row r="1663">
      <c r="A1663">
        <f>TRIM(SUBSTITUTE(INDEX('Term investments'!$A:$A,ROW())&amp;""," "," "))</f>
        <v/>
      </c>
      <c r="B1663">
        <f>TRIM(SUBSTITUTE(INDEX('Term investments'!$B:$B,ROW())&amp;""," "," "))</f>
        <v/>
      </c>
      <c r="C1663">
        <f>TRIM(SUBSTITUTE(INDEX('Term investments'!$C:$C,ROW())&amp;""," "," "))</f>
        <v/>
      </c>
      <c r="D1663">
        <f>IFERROR(--INDEX('Term investments'!$D:$D,ROW()),0)</f>
        <v/>
      </c>
      <c r="E1663">
        <f>IFERROR(--INDEX('Term investments'!$E:$E,ROW()),0)</f>
        <v/>
      </c>
      <c r="F1663">
        <f>IFERROR(--INDEX('Term investments'!$F:$F,ROW()),0)</f>
        <v/>
      </c>
      <c r="G1663">
        <f>IFERROR(IF(--INDEX('Term investments'!$G:$G,ROW())&gt;=1,--INDEX('Term investments'!$G:$G,ROW())/100,--INDEX('Term investments'!$G:$G,ROW())),0)</f>
        <v/>
      </c>
      <c r="H1663">
        <f>IFERROR(--INDEX('Term investments'!$H:$H,ROW()),0)</f>
        <v/>
      </c>
      <c r="I1663">
        <f>IF(ISNUMBER(INDEX('Term investments'!$G:$G,ROW())),1,0)</f>
        <v/>
      </c>
      <c r="J1663">
        <f>TRIM(SUBSTITUTE(INDEX('Call accounts and MMFs'!$A:$A,ROW())&amp;""," "," "))</f>
        <v/>
      </c>
      <c r="K1663">
        <f>TRIM(SUBSTITUTE(INDEX('Call accounts and MMFs'!$B:$B,ROW())&amp;""," "," "))</f>
        <v/>
      </c>
      <c r="L1663">
        <f>TRIM(SUBSTITUTE(INDEX('Call accounts and MMFs'!$C:$C,ROW())&amp;""," "," "))</f>
        <v/>
      </c>
      <c r="M1663">
        <f>IFERROR(--INDEX('Call accounts and MMFs'!$D:$D,ROW()),0)</f>
        <v/>
      </c>
      <c r="N1663">
        <f>IFERROR(IF(--INDEX('Call accounts and MMFs'!$E:$E,ROW())&gt;=1,--INDEX('Call accounts and MMFs'!$E:$E,ROW())/100,--INDEX('Call accounts and MMFs'!$E:$E,ROW())),0)</f>
        <v/>
      </c>
      <c r="O1663">
        <f>IFERROR(--INDEX('Call accounts and MMFs'!$F:$F,ROW()),0)</f>
        <v/>
      </c>
      <c r="P1663">
        <f>IF(ISNUMBER(INDEX('Call accounts and MMFs'!$E:$E,ROW())),1,0)</f>
        <v/>
      </c>
      <c r="Q1663">
        <f>TRIM(SUBSTITUTE(INDEX('Pooled funds'!$B:$B,ROW())&amp;""," "," "))</f>
        <v/>
      </c>
      <c r="R1663">
        <f>IFERROR(--INDEX('Pooled funds'!$C:$C,ROW()),0)</f>
        <v/>
      </c>
      <c r="S1663">
        <f>IFERROR(--INDEX('Pooled funds'!$D:$D,ROW()),0)</f>
        <v/>
      </c>
      <c r="T1663">
        <f>IFERROR(IF(--INDEX('Pooled funds'!$E:$E,ROW())&gt;=1,--INDEX('Pooled funds'!$E:$E,ROW())/100,--INDEX('Pooled funds'!$E:$E,ROW())),0)</f>
        <v/>
      </c>
      <c r="U1663">
        <f>IF(ISNUMBER(INDEX('Pooled funds'!$E:$E,ROW())),1,0)</f>
        <v/>
      </c>
    </row>
    <row r="1664">
      <c r="A1664">
        <f>TRIM(SUBSTITUTE(INDEX('Term investments'!$A:$A,ROW())&amp;""," "," "))</f>
        <v/>
      </c>
      <c r="B1664">
        <f>TRIM(SUBSTITUTE(INDEX('Term investments'!$B:$B,ROW())&amp;""," "," "))</f>
        <v/>
      </c>
      <c r="C1664">
        <f>TRIM(SUBSTITUTE(INDEX('Term investments'!$C:$C,ROW())&amp;""," "," "))</f>
        <v/>
      </c>
      <c r="D1664">
        <f>IFERROR(--INDEX('Term investments'!$D:$D,ROW()),0)</f>
        <v/>
      </c>
      <c r="E1664">
        <f>IFERROR(--INDEX('Term investments'!$E:$E,ROW()),0)</f>
        <v/>
      </c>
      <c r="F1664">
        <f>IFERROR(--INDEX('Term investments'!$F:$F,ROW()),0)</f>
        <v/>
      </c>
      <c r="G1664">
        <f>IFERROR(IF(--INDEX('Term investments'!$G:$G,ROW())&gt;=1,--INDEX('Term investments'!$G:$G,ROW())/100,--INDEX('Term investments'!$G:$G,ROW())),0)</f>
        <v/>
      </c>
      <c r="H1664">
        <f>IFERROR(--INDEX('Term investments'!$H:$H,ROW()),0)</f>
        <v/>
      </c>
      <c r="I1664">
        <f>IF(ISNUMBER(INDEX('Term investments'!$G:$G,ROW())),1,0)</f>
        <v/>
      </c>
      <c r="J1664">
        <f>TRIM(SUBSTITUTE(INDEX('Call accounts and MMFs'!$A:$A,ROW())&amp;""," "," "))</f>
        <v/>
      </c>
      <c r="K1664">
        <f>TRIM(SUBSTITUTE(INDEX('Call accounts and MMFs'!$B:$B,ROW())&amp;""," "," "))</f>
        <v/>
      </c>
      <c r="L1664">
        <f>TRIM(SUBSTITUTE(INDEX('Call accounts and MMFs'!$C:$C,ROW())&amp;""," "," "))</f>
        <v/>
      </c>
      <c r="M1664">
        <f>IFERROR(--INDEX('Call accounts and MMFs'!$D:$D,ROW()),0)</f>
        <v/>
      </c>
      <c r="N1664">
        <f>IFERROR(IF(--INDEX('Call accounts and MMFs'!$E:$E,ROW())&gt;=1,--INDEX('Call accounts and MMFs'!$E:$E,ROW())/100,--INDEX('Call accounts and MMFs'!$E:$E,ROW())),0)</f>
        <v/>
      </c>
      <c r="O1664">
        <f>IFERROR(--INDEX('Call accounts and MMFs'!$F:$F,ROW()),0)</f>
        <v/>
      </c>
      <c r="P1664">
        <f>IF(ISNUMBER(INDEX('Call accounts and MMFs'!$E:$E,ROW())),1,0)</f>
        <v/>
      </c>
      <c r="Q1664">
        <f>TRIM(SUBSTITUTE(INDEX('Pooled funds'!$B:$B,ROW())&amp;""," "," "))</f>
        <v/>
      </c>
      <c r="R1664">
        <f>IFERROR(--INDEX('Pooled funds'!$C:$C,ROW()),0)</f>
        <v/>
      </c>
      <c r="S1664">
        <f>IFERROR(--INDEX('Pooled funds'!$D:$D,ROW()),0)</f>
        <v/>
      </c>
      <c r="T1664">
        <f>IFERROR(IF(--INDEX('Pooled funds'!$E:$E,ROW())&gt;=1,--INDEX('Pooled funds'!$E:$E,ROW())/100,--INDEX('Pooled funds'!$E:$E,ROW())),0)</f>
        <v/>
      </c>
      <c r="U1664">
        <f>IF(ISNUMBER(INDEX('Pooled funds'!$E:$E,ROW())),1,0)</f>
        <v/>
      </c>
    </row>
    <row r="1665">
      <c r="A1665">
        <f>TRIM(SUBSTITUTE(INDEX('Term investments'!$A:$A,ROW())&amp;""," "," "))</f>
        <v/>
      </c>
      <c r="B1665">
        <f>TRIM(SUBSTITUTE(INDEX('Term investments'!$B:$B,ROW())&amp;""," "," "))</f>
        <v/>
      </c>
      <c r="C1665">
        <f>TRIM(SUBSTITUTE(INDEX('Term investments'!$C:$C,ROW())&amp;""," "," "))</f>
        <v/>
      </c>
      <c r="D1665">
        <f>IFERROR(--INDEX('Term investments'!$D:$D,ROW()),0)</f>
        <v/>
      </c>
      <c r="E1665">
        <f>IFERROR(--INDEX('Term investments'!$E:$E,ROW()),0)</f>
        <v/>
      </c>
      <c r="F1665">
        <f>IFERROR(--INDEX('Term investments'!$F:$F,ROW()),0)</f>
        <v/>
      </c>
      <c r="G1665">
        <f>IFERROR(IF(--INDEX('Term investments'!$G:$G,ROW())&gt;=1,--INDEX('Term investments'!$G:$G,ROW())/100,--INDEX('Term investments'!$G:$G,ROW())),0)</f>
        <v/>
      </c>
      <c r="H1665">
        <f>IFERROR(--INDEX('Term investments'!$H:$H,ROW()),0)</f>
        <v/>
      </c>
      <c r="I1665">
        <f>IF(ISNUMBER(INDEX('Term investments'!$G:$G,ROW())),1,0)</f>
        <v/>
      </c>
      <c r="J1665">
        <f>TRIM(SUBSTITUTE(INDEX('Call accounts and MMFs'!$A:$A,ROW())&amp;""," "," "))</f>
        <v/>
      </c>
      <c r="K1665">
        <f>TRIM(SUBSTITUTE(INDEX('Call accounts and MMFs'!$B:$B,ROW())&amp;""," "," "))</f>
        <v/>
      </c>
      <c r="L1665">
        <f>TRIM(SUBSTITUTE(INDEX('Call accounts and MMFs'!$C:$C,ROW())&amp;""," "," "))</f>
        <v/>
      </c>
      <c r="M1665">
        <f>IFERROR(--INDEX('Call accounts and MMFs'!$D:$D,ROW()),0)</f>
        <v/>
      </c>
      <c r="N1665">
        <f>IFERROR(IF(--INDEX('Call accounts and MMFs'!$E:$E,ROW())&gt;=1,--INDEX('Call accounts and MMFs'!$E:$E,ROW())/100,--INDEX('Call accounts and MMFs'!$E:$E,ROW())),0)</f>
        <v/>
      </c>
      <c r="O1665">
        <f>IFERROR(--INDEX('Call accounts and MMFs'!$F:$F,ROW()),0)</f>
        <v/>
      </c>
      <c r="P1665">
        <f>IF(ISNUMBER(INDEX('Call accounts and MMFs'!$E:$E,ROW())),1,0)</f>
        <v/>
      </c>
      <c r="Q1665">
        <f>TRIM(SUBSTITUTE(INDEX('Pooled funds'!$B:$B,ROW())&amp;""," "," "))</f>
        <v/>
      </c>
      <c r="R1665">
        <f>IFERROR(--INDEX('Pooled funds'!$C:$C,ROW()),0)</f>
        <v/>
      </c>
      <c r="S1665">
        <f>IFERROR(--INDEX('Pooled funds'!$D:$D,ROW()),0)</f>
        <v/>
      </c>
      <c r="T1665">
        <f>IFERROR(IF(--INDEX('Pooled funds'!$E:$E,ROW())&gt;=1,--INDEX('Pooled funds'!$E:$E,ROW())/100,--INDEX('Pooled funds'!$E:$E,ROW())),0)</f>
        <v/>
      </c>
      <c r="U1665">
        <f>IF(ISNUMBER(INDEX('Pooled funds'!$E:$E,ROW())),1,0)</f>
        <v/>
      </c>
    </row>
    <row r="1666">
      <c r="A1666">
        <f>TRIM(SUBSTITUTE(INDEX('Term investments'!$A:$A,ROW())&amp;""," "," "))</f>
        <v/>
      </c>
      <c r="B1666">
        <f>TRIM(SUBSTITUTE(INDEX('Term investments'!$B:$B,ROW())&amp;""," "," "))</f>
        <v/>
      </c>
      <c r="C1666">
        <f>TRIM(SUBSTITUTE(INDEX('Term investments'!$C:$C,ROW())&amp;""," "," "))</f>
        <v/>
      </c>
      <c r="D1666">
        <f>IFERROR(--INDEX('Term investments'!$D:$D,ROW()),0)</f>
        <v/>
      </c>
      <c r="E1666">
        <f>IFERROR(--INDEX('Term investments'!$E:$E,ROW()),0)</f>
        <v/>
      </c>
      <c r="F1666">
        <f>IFERROR(--INDEX('Term investments'!$F:$F,ROW()),0)</f>
        <v/>
      </c>
      <c r="G1666">
        <f>IFERROR(IF(--INDEX('Term investments'!$G:$G,ROW())&gt;=1,--INDEX('Term investments'!$G:$G,ROW())/100,--INDEX('Term investments'!$G:$G,ROW())),0)</f>
        <v/>
      </c>
      <c r="H1666">
        <f>IFERROR(--INDEX('Term investments'!$H:$H,ROW()),0)</f>
        <v/>
      </c>
      <c r="I1666">
        <f>IF(ISNUMBER(INDEX('Term investments'!$G:$G,ROW())),1,0)</f>
        <v/>
      </c>
      <c r="J1666">
        <f>TRIM(SUBSTITUTE(INDEX('Call accounts and MMFs'!$A:$A,ROW())&amp;""," "," "))</f>
        <v/>
      </c>
      <c r="K1666">
        <f>TRIM(SUBSTITUTE(INDEX('Call accounts and MMFs'!$B:$B,ROW())&amp;""," "," "))</f>
        <v/>
      </c>
      <c r="L1666">
        <f>TRIM(SUBSTITUTE(INDEX('Call accounts and MMFs'!$C:$C,ROW())&amp;""," "," "))</f>
        <v/>
      </c>
      <c r="M1666">
        <f>IFERROR(--INDEX('Call accounts and MMFs'!$D:$D,ROW()),0)</f>
        <v/>
      </c>
      <c r="N1666">
        <f>IFERROR(IF(--INDEX('Call accounts and MMFs'!$E:$E,ROW())&gt;=1,--INDEX('Call accounts and MMFs'!$E:$E,ROW())/100,--INDEX('Call accounts and MMFs'!$E:$E,ROW())),0)</f>
        <v/>
      </c>
      <c r="O1666">
        <f>IFERROR(--INDEX('Call accounts and MMFs'!$F:$F,ROW()),0)</f>
        <v/>
      </c>
      <c r="P1666">
        <f>IF(ISNUMBER(INDEX('Call accounts and MMFs'!$E:$E,ROW())),1,0)</f>
        <v/>
      </c>
      <c r="Q1666">
        <f>TRIM(SUBSTITUTE(INDEX('Pooled funds'!$B:$B,ROW())&amp;""," "," "))</f>
        <v/>
      </c>
      <c r="R1666">
        <f>IFERROR(--INDEX('Pooled funds'!$C:$C,ROW()),0)</f>
        <v/>
      </c>
      <c r="S1666">
        <f>IFERROR(--INDEX('Pooled funds'!$D:$D,ROW()),0)</f>
        <v/>
      </c>
      <c r="T1666">
        <f>IFERROR(IF(--INDEX('Pooled funds'!$E:$E,ROW())&gt;=1,--INDEX('Pooled funds'!$E:$E,ROW())/100,--INDEX('Pooled funds'!$E:$E,ROW())),0)</f>
        <v/>
      </c>
      <c r="U1666">
        <f>IF(ISNUMBER(INDEX('Pooled funds'!$E:$E,ROW())),1,0)</f>
        <v/>
      </c>
    </row>
    <row r="1667">
      <c r="A1667">
        <f>TRIM(SUBSTITUTE(INDEX('Term investments'!$A:$A,ROW())&amp;""," "," "))</f>
        <v/>
      </c>
      <c r="B1667">
        <f>TRIM(SUBSTITUTE(INDEX('Term investments'!$B:$B,ROW())&amp;""," "," "))</f>
        <v/>
      </c>
      <c r="C1667">
        <f>TRIM(SUBSTITUTE(INDEX('Term investments'!$C:$C,ROW())&amp;""," "," "))</f>
        <v/>
      </c>
      <c r="D1667">
        <f>IFERROR(--INDEX('Term investments'!$D:$D,ROW()),0)</f>
        <v/>
      </c>
      <c r="E1667">
        <f>IFERROR(--INDEX('Term investments'!$E:$E,ROW()),0)</f>
        <v/>
      </c>
      <c r="F1667">
        <f>IFERROR(--INDEX('Term investments'!$F:$F,ROW()),0)</f>
        <v/>
      </c>
      <c r="G1667">
        <f>IFERROR(IF(--INDEX('Term investments'!$G:$G,ROW())&gt;=1,--INDEX('Term investments'!$G:$G,ROW())/100,--INDEX('Term investments'!$G:$G,ROW())),0)</f>
        <v/>
      </c>
      <c r="H1667">
        <f>IFERROR(--INDEX('Term investments'!$H:$H,ROW()),0)</f>
        <v/>
      </c>
      <c r="I1667">
        <f>IF(ISNUMBER(INDEX('Term investments'!$G:$G,ROW())),1,0)</f>
        <v/>
      </c>
      <c r="J1667">
        <f>TRIM(SUBSTITUTE(INDEX('Call accounts and MMFs'!$A:$A,ROW())&amp;""," "," "))</f>
        <v/>
      </c>
      <c r="K1667">
        <f>TRIM(SUBSTITUTE(INDEX('Call accounts and MMFs'!$B:$B,ROW())&amp;""," "," "))</f>
        <v/>
      </c>
      <c r="L1667">
        <f>TRIM(SUBSTITUTE(INDEX('Call accounts and MMFs'!$C:$C,ROW())&amp;""," "," "))</f>
        <v/>
      </c>
      <c r="M1667">
        <f>IFERROR(--INDEX('Call accounts and MMFs'!$D:$D,ROW()),0)</f>
        <v/>
      </c>
      <c r="N1667">
        <f>IFERROR(IF(--INDEX('Call accounts and MMFs'!$E:$E,ROW())&gt;=1,--INDEX('Call accounts and MMFs'!$E:$E,ROW())/100,--INDEX('Call accounts and MMFs'!$E:$E,ROW())),0)</f>
        <v/>
      </c>
      <c r="O1667">
        <f>IFERROR(--INDEX('Call accounts and MMFs'!$F:$F,ROW()),0)</f>
        <v/>
      </c>
      <c r="P1667">
        <f>IF(ISNUMBER(INDEX('Call accounts and MMFs'!$E:$E,ROW())),1,0)</f>
        <v/>
      </c>
      <c r="Q1667">
        <f>TRIM(SUBSTITUTE(INDEX('Pooled funds'!$B:$B,ROW())&amp;""," "," "))</f>
        <v/>
      </c>
      <c r="R1667">
        <f>IFERROR(--INDEX('Pooled funds'!$C:$C,ROW()),0)</f>
        <v/>
      </c>
      <c r="S1667">
        <f>IFERROR(--INDEX('Pooled funds'!$D:$D,ROW()),0)</f>
        <v/>
      </c>
      <c r="T1667">
        <f>IFERROR(IF(--INDEX('Pooled funds'!$E:$E,ROW())&gt;=1,--INDEX('Pooled funds'!$E:$E,ROW())/100,--INDEX('Pooled funds'!$E:$E,ROW())),0)</f>
        <v/>
      </c>
      <c r="U1667">
        <f>IF(ISNUMBER(INDEX('Pooled funds'!$E:$E,ROW())),1,0)</f>
        <v/>
      </c>
    </row>
    <row r="1668">
      <c r="A1668">
        <f>TRIM(SUBSTITUTE(INDEX('Term investments'!$A:$A,ROW())&amp;""," "," "))</f>
        <v/>
      </c>
      <c r="B1668">
        <f>TRIM(SUBSTITUTE(INDEX('Term investments'!$B:$B,ROW())&amp;""," "," "))</f>
        <v/>
      </c>
      <c r="C1668">
        <f>TRIM(SUBSTITUTE(INDEX('Term investments'!$C:$C,ROW())&amp;""," "," "))</f>
        <v/>
      </c>
      <c r="D1668">
        <f>IFERROR(--INDEX('Term investments'!$D:$D,ROW()),0)</f>
        <v/>
      </c>
      <c r="E1668">
        <f>IFERROR(--INDEX('Term investments'!$E:$E,ROW()),0)</f>
        <v/>
      </c>
      <c r="F1668">
        <f>IFERROR(--INDEX('Term investments'!$F:$F,ROW()),0)</f>
        <v/>
      </c>
      <c r="G1668">
        <f>IFERROR(IF(--INDEX('Term investments'!$G:$G,ROW())&gt;=1,--INDEX('Term investments'!$G:$G,ROW())/100,--INDEX('Term investments'!$G:$G,ROW())),0)</f>
        <v/>
      </c>
      <c r="H1668">
        <f>IFERROR(--INDEX('Term investments'!$H:$H,ROW()),0)</f>
        <v/>
      </c>
      <c r="I1668">
        <f>IF(ISNUMBER(INDEX('Term investments'!$G:$G,ROW())),1,0)</f>
        <v/>
      </c>
      <c r="J1668">
        <f>TRIM(SUBSTITUTE(INDEX('Call accounts and MMFs'!$A:$A,ROW())&amp;""," "," "))</f>
        <v/>
      </c>
      <c r="K1668">
        <f>TRIM(SUBSTITUTE(INDEX('Call accounts and MMFs'!$B:$B,ROW())&amp;""," "," "))</f>
        <v/>
      </c>
      <c r="L1668">
        <f>TRIM(SUBSTITUTE(INDEX('Call accounts and MMFs'!$C:$C,ROW())&amp;""," "," "))</f>
        <v/>
      </c>
      <c r="M1668">
        <f>IFERROR(--INDEX('Call accounts and MMFs'!$D:$D,ROW()),0)</f>
        <v/>
      </c>
      <c r="N1668">
        <f>IFERROR(IF(--INDEX('Call accounts and MMFs'!$E:$E,ROW())&gt;=1,--INDEX('Call accounts and MMFs'!$E:$E,ROW())/100,--INDEX('Call accounts and MMFs'!$E:$E,ROW())),0)</f>
        <v/>
      </c>
      <c r="O1668">
        <f>IFERROR(--INDEX('Call accounts and MMFs'!$F:$F,ROW()),0)</f>
        <v/>
      </c>
      <c r="P1668">
        <f>IF(ISNUMBER(INDEX('Call accounts and MMFs'!$E:$E,ROW())),1,0)</f>
        <v/>
      </c>
      <c r="Q1668">
        <f>TRIM(SUBSTITUTE(INDEX('Pooled funds'!$B:$B,ROW())&amp;""," "," "))</f>
        <v/>
      </c>
      <c r="R1668">
        <f>IFERROR(--INDEX('Pooled funds'!$C:$C,ROW()),0)</f>
        <v/>
      </c>
      <c r="S1668">
        <f>IFERROR(--INDEX('Pooled funds'!$D:$D,ROW()),0)</f>
        <v/>
      </c>
      <c r="T1668">
        <f>IFERROR(IF(--INDEX('Pooled funds'!$E:$E,ROW())&gt;=1,--INDEX('Pooled funds'!$E:$E,ROW())/100,--INDEX('Pooled funds'!$E:$E,ROW())),0)</f>
        <v/>
      </c>
      <c r="U1668">
        <f>IF(ISNUMBER(INDEX('Pooled funds'!$E:$E,ROW())),1,0)</f>
        <v/>
      </c>
    </row>
    <row r="1669">
      <c r="A1669">
        <f>TRIM(SUBSTITUTE(INDEX('Term investments'!$A:$A,ROW())&amp;""," "," "))</f>
        <v/>
      </c>
      <c r="B1669">
        <f>TRIM(SUBSTITUTE(INDEX('Term investments'!$B:$B,ROW())&amp;""," "," "))</f>
        <v/>
      </c>
      <c r="C1669">
        <f>TRIM(SUBSTITUTE(INDEX('Term investments'!$C:$C,ROW())&amp;""," "," "))</f>
        <v/>
      </c>
      <c r="D1669">
        <f>IFERROR(--INDEX('Term investments'!$D:$D,ROW()),0)</f>
        <v/>
      </c>
      <c r="E1669">
        <f>IFERROR(--INDEX('Term investments'!$E:$E,ROW()),0)</f>
        <v/>
      </c>
      <c r="F1669">
        <f>IFERROR(--INDEX('Term investments'!$F:$F,ROW()),0)</f>
        <v/>
      </c>
      <c r="G1669">
        <f>IFERROR(IF(--INDEX('Term investments'!$G:$G,ROW())&gt;=1,--INDEX('Term investments'!$G:$G,ROW())/100,--INDEX('Term investments'!$G:$G,ROW())),0)</f>
        <v/>
      </c>
      <c r="H1669">
        <f>IFERROR(--INDEX('Term investments'!$H:$H,ROW()),0)</f>
        <v/>
      </c>
      <c r="I1669">
        <f>IF(ISNUMBER(INDEX('Term investments'!$G:$G,ROW())),1,0)</f>
        <v/>
      </c>
      <c r="J1669">
        <f>TRIM(SUBSTITUTE(INDEX('Call accounts and MMFs'!$A:$A,ROW())&amp;""," "," "))</f>
        <v/>
      </c>
      <c r="K1669">
        <f>TRIM(SUBSTITUTE(INDEX('Call accounts and MMFs'!$B:$B,ROW())&amp;""," "," "))</f>
        <v/>
      </c>
      <c r="L1669">
        <f>TRIM(SUBSTITUTE(INDEX('Call accounts and MMFs'!$C:$C,ROW())&amp;""," "," "))</f>
        <v/>
      </c>
      <c r="M1669">
        <f>IFERROR(--INDEX('Call accounts and MMFs'!$D:$D,ROW()),0)</f>
        <v/>
      </c>
      <c r="N1669">
        <f>IFERROR(IF(--INDEX('Call accounts and MMFs'!$E:$E,ROW())&gt;=1,--INDEX('Call accounts and MMFs'!$E:$E,ROW())/100,--INDEX('Call accounts and MMFs'!$E:$E,ROW())),0)</f>
        <v/>
      </c>
      <c r="O1669">
        <f>IFERROR(--INDEX('Call accounts and MMFs'!$F:$F,ROW()),0)</f>
        <v/>
      </c>
      <c r="P1669">
        <f>IF(ISNUMBER(INDEX('Call accounts and MMFs'!$E:$E,ROW())),1,0)</f>
        <v/>
      </c>
      <c r="Q1669">
        <f>TRIM(SUBSTITUTE(INDEX('Pooled funds'!$B:$B,ROW())&amp;""," "," "))</f>
        <v/>
      </c>
      <c r="R1669">
        <f>IFERROR(--INDEX('Pooled funds'!$C:$C,ROW()),0)</f>
        <v/>
      </c>
      <c r="S1669">
        <f>IFERROR(--INDEX('Pooled funds'!$D:$D,ROW()),0)</f>
        <v/>
      </c>
      <c r="T1669">
        <f>IFERROR(IF(--INDEX('Pooled funds'!$E:$E,ROW())&gt;=1,--INDEX('Pooled funds'!$E:$E,ROW())/100,--INDEX('Pooled funds'!$E:$E,ROW())),0)</f>
        <v/>
      </c>
      <c r="U1669">
        <f>IF(ISNUMBER(INDEX('Pooled funds'!$E:$E,ROW())),1,0)</f>
        <v/>
      </c>
    </row>
    <row r="1670">
      <c r="A1670">
        <f>TRIM(SUBSTITUTE(INDEX('Term investments'!$A:$A,ROW())&amp;""," "," "))</f>
        <v/>
      </c>
      <c r="B1670">
        <f>TRIM(SUBSTITUTE(INDEX('Term investments'!$B:$B,ROW())&amp;""," "," "))</f>
        <v/>
      </c>
      <c r="C1670">
        <f>TRIM(SUBSTITUTE(INDEX('Term investments'!$C:$C,ROW())&amp;""," "," "))</f>
        <v/>
      </c>
      <c r="D1670">
        <f>IFERROR(--INDEX('Term investments'!$D:$D,ROW()),0)</f>
        <v/>
      </c>
      <c r="E1670">
        <f>IFERROR(--INDEX('Term investments'!$E:$E,ROW()),0)</f>
        <v/>
      </c>
      <c r="F1670">
        <f>IFERROR(--INDEX('Term investments'!$F:$F,ROW()),0)</f>
        <v/>
      </c>
      <c r="G1670">
        <f>IFERROR(IF(--INDEX('Term investments'!$G:$G,ROW())&gt;=1,--INDEX('Term investments'!$G:$G,ROW())/100,--INDEX('Term investments'!$G:$G,ROW())),0)</f>
        <v/>
      </c>
      <c r="H1670">
        <f>IFERROR(--INDEX('Term investments'!$H:$H,ROW()),0)</f>
        <v/>
      </c>
      <c r="I1670">
        <f>IF(ISNUMBER(INDEX('Term investments'!$G:$G,ROW())),1,0)</f>
        <v/>
      </c>
      <c r="J1670">
        <f>TRIM(SUBSTITUTE(INDEX('Call accounts and MMFs'!$A:$A,ROW())&amp;""," "," "))</f>
        <v/>
      </c>
      <c r="K1670">
        <f>TRIM(SUBSTITUTE(INDEX('Call accounts and MMFs'!$B:$B,ROW())&amp;""," "," "))</f>
        <v/>
      </c>
      <c r="L1670">
        <f>TRIM(SUBSTITUTE(INDEX('Call accounts and MMFs'!$C:$C,ROW())&amp;""," "," "))</f>
        <v/>
      </c>
      <c r="M1670">
        <f>IFERROR(--INDEX('Call accounts and MMFs'!$D:$D,ROW()),0)</f>
        <v/>
      </c>
      <c r="N1670">
        <f>IFERROR(IF(--INDEX('Call accounts and MMFs'!$E:$E,ROW())&gt;=1,--INDEX('Call accounts and MMFs'!$E:$E,ROW())/100,--INDEX('Call accounts and MMFs'!$E:$E,ROW())),0)</f>
        <v/>
      </c>
      <c r="O1670">
        <f>IFERROR(--INDEX('Call accounts and MMFs'!$F:$F,ROW()),0)</f>
        <v/>
      </c>
      <c r="P1670">
        <f>IF(ISNUMBER(INDEX('Call accounts and MMFs'!$E:$E,ROW())),1,0)</f>
        <v/>
      </c>
      <c r="Q1670">
        <f>TRIM(SUBSTITUTE(INDEX('Pooled funds'!$B:$B,ROW())&amp;""," "," "))</f>
        <v/>
      </c>
      <c r="R1670">
        <f>IFERROR(--INDEX('Pooled funds'!$C:$C,ROW()),0)</f>
        <v/>
      </c>
      <c r="S1670">
        <f>IFERROR(--INDEX('Pooled funds'!$D:$D,ROW()),0)</f>
        <v/>
      </c>
      <c r="T1670">
        <f>IFERROR(IF(--INDEX('Pooled funds'!$E:$E,ROW())&gt;=1,--INDEX('Pooled funds'!$E:$E,ROW())/100,--INDEX('Pooled funds'!$E:$E,ROW())),0)</f>
        <v/>
      </c>
      <c r="U1670">
        <f>IF(ISNUMBER(INDEX('Pooled funds'!$E:$E,ROW())),1,0)</f>
        <v/>
      </c>
    </row>
    <row r="1671">
      <c r="A1671">
        <f>TRIM(SUBSTITUTE(INDEX('Term investments'!$A:$A,ROW())&amp;""," "," "))</f>
        <v/>
      </c>
      <c r="B1671">
        <f>TRIM(SUBSTITUTE(INDEX('Term investments'!$B:$B,ROW())&amp;""," "," "))</f>
        <v/>
      </c>
      <c r="C1671">
        <f>TRIM(SUBSTITUTE(INDEX('Term investments'!$C:$C,ROW())&amp;""," "," "))</f>
        <v/>
      </c>
      <c r="D1671">
        <f>IFERROR(--INDEX('Term investments'!$D:$D,ROW()),0)</f>
        <v/>
      </c>
      <c r="E1671">
        <f>IFERROR(--INDEX('Term investments'!$E:$E,ROW()),0)</f>
        <v/>
      </c>
      <c r="F1671">
        <f>IFERROR(--INDEX('Term investments'!$F:$F,ROW()),0)</f>
        <v/>
      </c>
      <c r="G1671">
        <f>IFERROR(IF(--INDEX('Term investments'!$G:$G,ROW())&gt;=1,--INDEX('Term investments'!$G:$G,ROW())/100,--INDEX('Term investments'!$G:$G,ROW())),0)</f>
        <v/>
      </c>
      <c r="H1671">
        <f>IFERROR(--INDEX('Term investments'!$H:$H,ROW()),0)</f>
        <v/>
      </c>
      <c r="I1671">
        <f>IF(ISNUMBER(INDEX('Term investments'!$G:$G,ROW())),1,0)</f>
        <v/>
      </c>
      <c r="J1671">
        <f>TRIM(SUBSTITUTE(INDEX('Call accounts and MMFs'!$A:$A,ROW())&amp;""," "," "))</f>
        <v/>
      </c>
      <c r="K1671">
        <f>TRIM(SUBSTITUTE(INDEX('Call accounts and MMFs'!$B:$B,ROW())&amp;""," "," "))</f>
        <v/>
      </c>
      <c r="L1671">
        <f>TRIM(SUBSTITUTE(INDEX('Call accounts and MMFs'!$C:$C,ROW())&amp;""," "," "))</f>
        <v/>
      </c>
      <c r="M1671">
        <f>IFERROR(--INDEX('Call accounts and MMFs'!$D:$D,ROW()),0)</f>
        <v/>
      </c>
      <c r="N1671">
        <f>IFERROR(IF(--INDEX('Call accounts and MMFs'!$E:$E,ROW())&gt;=1,--INDEX('Call accounts and MMFs'!$E:$E,ROW())/100,--INDEX('Call accounts and MMFs'!$E:$E,ROW())),0)</f>
        <v/>
      </c>
      <c r="O1671">
        <f>IFERROR(--INDEX('Call accounts and MMFs'!$F:$F,ROW()),0)</f>
        <v/>
      </c>
      <c r="P1671">
        <f>IF(ISNUMBER(INDEX('Call accounts and MMFs'!$E:$E,ROW())),1,0)</f>
        <v/>
      </c>
      <c r="Q1671">
        <f>TRIM(SUBSTITUTE(INDEX('Pooled funds'!$B:$B,ROW())&amp;""," "," "))</f>
        <v/>
      </c>
      <c r="R1671">
        <f>IFERROR(--INDEX('Pooled funds'!$C:$C,ROW()),0)</f>
        <v/>
      </c>
      <c r="S1671">
        <f>IFERROR(--INDEX('Pooled funds'!$D:$D,ROW()),0)</f>
        <v/>
      </c>
      <c r="T1671">
        <f>IFERROR(IF(--INDEX('Pooled funds'!$E:$E,ROW())&gt;=1,--INDEX('Pooled funds'!$E:$E,ROW())/100,--INDEX('Pooled funds'!$E:$E,ROW())),0)</f>
        <v/>
      </c>
      <c r="U1671">
        <f>IF(ISNUMBER(INDEX('Pooled funds'!$E:$E,ROW())),1,0)</f>
        <v/>
      </c>
    </row>
    <row r="1672">
      <c r="A1672">
        <f>TRIM(SUBSTITUTE(INDEX('Term investments'!$A:$A,ROW())&amp;""," "," "))</f>
        <v/>
      </c>
      <c r="B1672">
        <f>TRIM(SUBSTITUTE(INDEX('Term investments'!$B:$B,ROW())&amp;""," "," "))</f>
        <v/>
      </c>
      <c r="C1672">
        <f>TRIM(SUBSTITUTE(INDEX('Term investments'!$C:$C,ROW())&amp;""," "," "))</f>
        <v/>
      </c>
      <c r="D1672">
        <f>IFERROR(--INDEX('Term investments'!$D:$D,ROW()),0)</f>
        <v/>
      </c>
      <c r="E1672">
        <f>IFERROR(--INDEX('Term investments'!$E:$E,ROW()),0)</f>
        <v/>
      </c>
      <c r="F1672">
        <f>IFERROR(--INDEX('Term investments'!$F:$F,ROW()),0)</f>
        <v/>
      </c>
      <c r="G1672">
        <f>IFERROR(IF(--INDEX('Term investments'!$G:$G,ROW())&gt;=1,--INDEX('Term investments'!$G:$G,ROW())/100,--INDEX('Term investments'!$G:$G,ROW())),0)</f>
        <v/>
      </c>
      <c r="H1672">
        <f>IFERROR(--INDEX('Term investments'!$H:$H,ROW()),0)</f>
        <v/>
      </c>
      <c r="I1672">
        <f>IF(ISNUMBER(INDEX('Term investments'!$G:$G,ROW())),1,0)</f>
        <v/>
      </c>
      <c r="J1672">
        <f>TRIM(SUBSTITUTE(INDEX('Call accounts and MMFs'!$A:$A,ROW())&amp;""," "," "))</f>
        <v/>
      </c>
      <c r="K1672">
        <f>TRIM(SUBSTITUTE(INDEX('Call accounts and MMFs'!$B:$B,ROW())&amp;""," "," "))</f>
        <v/>
      </c>
      <c r="L1672">
        <f>TRIM(SUBSTITUTE(INDEX('Call accounts and MMFs'!$C:$C,ROW())&amp;""," "," "))</f>
        <v/>
      </c>
      <c r="M1672">
        <f>IFERROR(--INDEX('Call accounts and MMFs'!$D:$D,ROW()),0)</f>
        <v/>
      </c>
      <c r="N1672">
        <f>IFERROR(IF(--INDEX('Call accounts and MMFs'!$E:$E,ROW())&gt;=1,--INDEX('Call accounts and MMFs'!$E:$E,ROW())/100,--INDEX('Call accounts and MMFs'!$E:$E,ROW())),0)</f>
        <v/>
      </c>
      <c r="O1672">
        <f>IFERROR(--INDEX('Call accounts and MMFs'!$F:$F,ROW()),0)</f>
        <v/>
      </c>
      <c r="P1672">
        <f>IF(ISNUMBER(INDEX('Call accounts and MMFs'!$E:$E,ROW())),1,0)</f>
        <v/>
      </c>
      <c r="Q1672">
        <f>TRIM(SUBSTITUTE(INDEX('Pooled funds'!$B:$B,ROW())&amp;""," "," "))</f>
        <v/>
      </c>
      <c r="R1672">
        <f>IFERROR(--INDEX('Pooled funds'!$C:$C,ROW()),0)</f>
        <v/>
      </c>
      <c r="S1672">
        <f>IFERROR(--INDEX('Pooled funds'!$D:$D,ROW()),0)</f>
        <v/>
      </c>
      <c r="T1672">
        <f>IFERROR(IF(--INDEX('Pooled funds'!$E:$E,ROW())&gt;=1,--INDEX('Pooled funds'!$E:$E,ROW())/100,--INDEX('Pooled funds'!$E:$E,ROW())),0)</f>
        <v/>
      </c>
      <c r="U1672">
        <f>IF(ISNUMBER(INDEX('Pooled funds'!$E:$E,ROW())),1,0)</f>
        <v/>
      </c>
    </row>
    <row r="1673">
      <c r="A1673">
        <f>TRIM(SUBSTITUTE(INDEX('Term investments'!$A:$A,ROW())&amp;""," "," "))</f>
        <v/>
      </c>
      <c r="B1673">
        <f>TRIM(SUBSTITUTE(INDEX('Term investments'!$B:$B,ROW())&amp;""," "," "))</f>
        <v/>
      </c>
      <c r="C1673">
        <f>TRIM(SUBSTITUTE(INDEX('Term investments'!$C:$C,ROW())&amp;""," "," "))</f>
        <v/>
      </c>
      <c r="D1673">
        <f>IFERROR(--INDEX('Term investments'!$D:$D,ROW()),0)</f>
        <v/>
      </c>
      <c r="E1673">
        <f>IFERROR(--INDEX('Term investments'!$E:$E,ROW()),0)</f>
        <v/>
      </c>
      <c r="F1673">
        <f>IFERROR(--INDEX('Term investments'!$F:$F,ROW()),0)</f>
        <v/>
      </c>
      <c r="G1673">
        <f>IFERROR(IF(--INDEX('Term investments'!$G:$G,ROW())&gt;=1,--INDEX('Term investments'!$G:$G,ROW())/100,--INDEX('Term investments'!$G:$G,ROW())),0)</f>
        <v/>
      </c>
      <c r="H1673">
        <f>IFERROR(--INDEX('Term investments'!$H:$H,ROW()),0)</f>
        <v/>
      </c>
      <c r="I1673">
        <f>IF(ISNUMBER(INDEX('Term investments'!$G:$G,ROW())),1,0)</f>
        <v/>
      </c>
      <c r="J1673">
        <f>TRIM(SUBSTITUTE(INDEX('Call accounts and MMFs'!$A:$A,ROW())&amp;""," "," "))</f>
        <v/>
      </c>
      <c r="K1673">
        <f>TRIM(SUBSTITUTE(INDEX('Call accounts and MMFs'!$B:$B,ROW())&amp;""," "," "))</f>
        <v/>
      </c>
      <c r="L1673">
        <f>TRIM(SUBSTITUTE(INDEX('Call accounts and MMFs'!$C:$C,ROW())&amp;""," "," "))</f>
        <v/>
      </c>
      <c r="M1673">
        <f>IFERROR(--INDEX('Call accounts and MMFs'!$D:$D,ROW()),0)</f>
        <v/>
      </c>
      <c r="N1673">
        <f>IFERROR(IF(--INDEX('Call accounts and MMFs'!$E:$E,ROW())&gt;=1,--INDEX('Call accounts and MMFs'!$E:$E,ROW())/100,--INDEX('Call accounts and MMFs'!$E:$E,ROW())),0)</f>
        <v/>
      </c>
      <c r="O1673">
        <f>IFERROR(--INDEX('Call accounts and MMFs'!$F:$F,ROW()),0)</f>
        <v/>
      </c>
      <c r="P1673">
        <f>IF(ISNUMBER(INDEX('Call accounts and MMFs'!$E:$E,ROW())),1,0)</f>
        <v/>
      </c>
      <c r="Q1673">
        <f>TRIM(SUBSTITUTE(INDEX('Pooled funds'!$B:$B,ROW())&amp;""," "," "))</f>
        <v/>
      </c>
      <c r="R1673">
        <f>IFERROR(--INDEX('Pooled funds'!$C:$C,ROW()),0)</f>
        <v/>
      </c>
      <c r="S1673">
        <f>IFERROR(--INDEX('Pooled funds'!$D:$D,ROW()),0)</f>
        <v/>
      </c>
      <c r="T1673">
        <f>IFERROR(IF(--INDEX('Pooled funds'!$E:$E,ROW())&gt;=1,--INDEX('Pooled funds'!$E:$E,ROW())/100,--INDEX('Pooled funds'!$E:$E,ROW())),0)</f>
        <v/>
      </c>
      <c r="U1673">
        <f>IF(ISNUMBER(INDEX('Pooled funds'!$E:$E,ROW())),1,0)</f>
        <v/>
      </c>
    </row>
    <row r="1674">
      <c r="A1674">
        <f>TRIM(SUBSTITUTE(INDEX('Term investments'!$A:$A,ROW())&amp;""," "," "))</f>
        <v/>
      </c>
      <c r="B1674">
        <f>TRIM(SUBSTITUTE(INDEX('Term investments'!$B:$B,ROW())&amp;""," "," "))</f>
        <v/>
      </c>
      <c r="C1674">
        <f>TRIM(SUBSTITUTE(INDEX('Term investments'!$C:$C,ROW())&amp;""," "," "))</f>
        <v/>
      </c>
      <c r="D1674">
        <f>IFERROR(--INDEX('Term investments'!$D:$D,ROW()),0)</f>
        <v/>
      </c>
      <c r="E1674">
        <f>IFERROR(--INDEX('Term investments'!$E:$E,ROW()),0)</f>
        <v/>
      </c>
      <c r="F1674">
        <f>IFERROR(--INDEX('Term investments'!$F:$F,ROW()),0)</f>
        <v/>
      </c>
      <c r="G1674">
        <f>IFERROR(IF(--INDEX('Term investments'!$G:$G,ROW())&gt;=1,--INDEX('Term investments'!$G:$G,ROW())/100,--INDEX('Term investments'!$G:$G,ROW())),0)</f>
        <v/>
      </c>
      <c r="H1674">
        <f>IFERROR(--INDEX('Term investments'!$H:$H,ROW()),0)</f>
        <v/>
      </c>
      <c r="I1674">
        <f>IF(ISNUMBER(INDEX('Term investments'!$G:$G,ROW())),1,0)</f>
        <v/>
      </c>
      <c r="J1674">
        <f>TRIM(SUBSTITUTE(INDEX('Call accounts and MMFs'!$A:$A,ROW())&amp;""," "," "))</f>
        <v/>
      </c>
      <c r="K1674">
        <f>TRIM(SUBSTITUTE(INDEX('Call accounts and MMFs'!$B:$B,ROW())&amp;""," "," "))</f>
        <v/>
      </c>
      <c r="L1674">
        <f>TRIM(SUBSTITUTE(INDEX('Call accounts and MMFs'!$C:$C,ROW())&amp;""," "," "))</f>
        <v/>
      </c>
      <c r="M1674">
        <f>IFERROR(--INDEX('Call accounts and MMFs'!$D:$D,ROW()),0)</f>
        <v/>
      </c>
      <c r="N1674">
        <f>IFERROR(IF(--INDEX('Call accounts and MMFs'!$E:$E,ROW())&gt;=1,--INDEX('Call accounts and MMFs'!$E:$E,ROW())/100,--INDEX('Call accounts and MMFs'!$E:$E,ROW())),0)</f>
        <v/>
      </c>
      <c r="O1674">
        <f>IFERROR(--INDEX('Call accounts and MMFs'!$F:$F,ROW()),0)</f>
        <v/>
      </c>
      <c r="P1674">
        <f>IF(ISNUMBER(INDEX('Call accounts and MMFs'!$E:$E,ROW())),1,0)</f>
        <v/>
      </c>
      <c r="Q1674">
        <f>TRIM(SUBSTITUTE(INDEX('Pooled funds'!$B:$B,ROW())&amp;""," "," "))</f>
        <v/>
      </c>
      <c r="R1674">
        <f>IFERROR(--INDEX('Pooled funds'!$C:$C,ROW()),0)</f>
        <v/>
      </c>
      <c r="S1674">
        <f>IFERROR(--INDEX('Pooled funds'!$D:$D,ROW()),0)</f>
        <v/>
      </c>
      <c r="T1674">
        <f>IFERROR(IF(--INDEX('Pooled funds'!$E:$E,ROW())&gt;=1,--INDEX('Pooled funds'!$E:$E,ROW())/100,--INDEX('Pooled funds'!$E:$E,ROW())),0)</f>
        <v/>
      </c>
      <c r="U1674">
        <f>IF(ISNUMBER(INDEX('Pooled funds'!$E:$E,ROW())),1,0)</f>
        <v/>
      </c>
    </row>
    <row r="1675">
      <c r="A1675">
        <f>TRIM(SUBSTITUTE(INDEX('Term investments'!$A:$A,ROW())&amp;""," "," "))</f>
        <v/>
      </c>
      <c r="B1675">
        <f>TRIM(SUBSTITUTE(INDEX('Term investments'!$B:$B,ROW())&amp;""," "," "))</f>
        <v/>
      </c>
      <c r="C1675">
        <f>TRIM(SUBSTITUTE(INDEX('Term investments'!$C:$C,ROW())&amp;""," "," "))</f>
        <v/>
      </c>
      <c r="D1675">
        <f>IFERROR(--INDEX('Term investments'!$D:$D,ROW()),0)</f>
        <v/>
      </c>
      <c r="E1675">
        <f>IFERROR(--INDEX('Term investments'!$E:$E,ROW()),0)</f>
        <v/>
      </c>
      <c r="F1675">
        <f>IFERROR(--INDEX('Term investments'!$F:$F,ROW()),0)</f>
        <v/>
      </c>
      <c r="G1675">
        <f>IFERROR(IF(--INDEX('Term investments'!$G:$G,ROW())&gt;=1,--INDEX('Term investments'!$G:$G,ROW())/100,--INDEX('Term investments'!$G:$G,ROW())),0)</f>
        <v/>
      </c>
      <c r="H1675">
        <f>IFERROR(--INDEX('Term investments'!$H:$H,ROW()),0)</f>
        <v/>
      </c>
      <c r="I1675">
        <f>IF(ISNUMBER(INDEX('Term investments'!$G:$G,ROW())),1,0)</f>
        <v/>
      </c>
      <c r="J1675">
        <f>TRIM(SUBSTITUTE(INDEX('Call accounts and MMFs'!$A:$A,ROW())&amp;""," "," "))</f>
        <v/>
      </c>
      <c r="K1675">
        <f>TRIM(SUBSTITUTE(INDEX('Call accounts and MMFs'!$B:$B,ROW())&amp;""," "," "))</f>
        <v/>
      </c>
      <c r="L1675">
        <f>TRIM(SUBSTITUTE(INDEX('Call accounts and MMFs'!$C:$C,ROW())&amp;""," "," "))</f>
        <v/>
      </c>
      <c r="M1675">
        <f>IFERROR(--INDEX('Call accounts and MMFs'!$D:$D,ROW()),0)</f>
        <v/>
      </c>
      <c r="N1675">
        <f>IFERROR(IF(--INDEX('Call accounts and MMFs'!$E:$E,ROW())&gt;=1,--INDEX('Call accounts and MMFs'!$E:$E,ROW())/100,--INDEX('Call accounts and MMFs'!$E:$E,ROW())),0)</f>
        <v/>
      </c>
      <c r="O1675">
        <f>IFERROR(--INDEX('Call accounts and MMFs'!$F:$F,ROW()),0)</f>
        <v/>
      </c>
      <c r="P1675">
        <f>IF(ISNUMBER(INDEX('Call accounts and MMFs'!$E:$E,ROW())),1,0)</f>
        <v/>
      </c>
      <c r="Q1675">
        <f>TRIM(SUBSTITUTE(INDEX('Pooled funds'!$B:$B,ROW())&amp;""," "," "))</f>
        <v/>
      </c>
      <c r="R1675">
        <f>IFERROR(--INDEX('Pooled funds'!$C:$C,ROW()),0)</f>
        <v/>
      </c>
      <c r="S1675">
        <f>IFERROR(--INDEX('Pooled funds'!$D:$D,ROW()),0)</f>
        <v/>
      </c>
      <c r="T1675">
        <f>IFERROR(IF(--INDEX('Pooled funds'!$E:$E,ROW())&gt;=1,--INDEX('Pooled funds'!$E:$E,ROW())/100,--INDEX('Pooled funds'!$E:$E,ROW())),0)</f>
        <v/>
      </c>
      <c r="U1675">
        <f>IF(ISNUMBER(INDEX('Pooled funds'!$E:$E,ROW())),1,0)</f>
        <v/>
      </c>
    </row>
    <row r="1676">
      <c r="A1676">
        <f>TRIM(SUBSTITUTE(INDEX('Term investments'!$A:$A,ROW())&amp;""," "," "))</f>
        <v/>
      </c>
      <c r="B1676">
        <f>TRIM(SUBSTITUTE(INDEX('Term investments'!$B:$B,ROW())&amp;""," "," "))</f>
        <v/>
      </c>
      <c r="C1676">
        <f>TRIM(SUBSTITUTE(INDEX('Term investments'!$C:$C,ROW())&amp;""," "," "))</f>
        <v/>
      </c>
      <c r="D1676">
        <f>IFERROR(--INDEX('Term investments'!$D:$D,ROW()),0)</f>
        <v/>
      </c>
      <c r="E1676">
        <f>IFERROR(--INDEX('Term investments'!$E:$E,ROW()),0)</f>
        <v/>
      </c>
      <c r="F1676">
        <f>IFERROR(--INDEX('Term investments'!$F:$F,ROW()),0)</f>
        <v/>
      </c>
      <c r="G1676">
        <f>IFERROR(IF(--INDEX('Term investments'!$G:$G,ROW())&gt;=1,--INDEX('Term investments'!$G:$G,ROW())/100,--INDEX('Term investments'!$G:$G,ROW())),0)</f>
        <v/>
      </c>
      <c r="H1676">
        <f>IFERROR(--INDEX('Term investments'!$H:$H,ROW()),0)</f>
        <v/>
      </c>
      <c r="I1676">
        <f>IF(ISNUMBER(INDEX('Term investments'!$G:$G,ROW())),1,0)</f>
        <v/>
      </c>
      <c r="J1676">
        <f>TRIM(SUBSTITUTE(INDEX('Call accounts and MMFs'!$A:$A,ROW())&amp;""," "," "))</f>
        <v/>
      </c>
      <c r="K1676">
        <f>TRIM(SUBSTITUTE(INDEX('Call accounts and MMFs'!$B:$B,ROW())&amp;""," "," "))</f>
        <v/>
      </c>
      <c r="L1676">
        <f>TRIM(SUBSTITUTE(INDEX('Call accounts and MMFs'!$C:$C,ROW())&amp;""," "," "))</f>
        <v/>
      </c>
      <c r="M1676">
        <f>IFERROR(--INDEX('Call accounts and MMFs'!$D:$D,ROW()),0)</f>
        <v/>
      </c>
      <c r="N1676">
        <f>IFERROR(IF(--INDEX('Call accounts and MMFs'!$E:$E,ROW())&gt;=1,--INDEX('Call accounts and MMFs'!$E:$E,ROW())/100,--INDEX('Call accounts and MMFs'!$E:$E,ROW())),0)</f>
        <v/>
      </c>
      <c r="O1676">
        <f>IFERROR(--INDEX('Call accounts and MMFs'!$F:$F,ROW()),0)</f>
        <v/>
      </c>
      <c r="P1676">
        <f>IF(ISNUMBER(INDEX('Call accounts and MMFs'!$E:$E,ROW())),1,0)</f>
        <v/>
      </c>
      <c r="Q1676">
        <f>TRIM(SUBSTITUTE(INDEX('Pooled funds'!$B:$B,ROW())&amp;""," "," "))</f>
        <v/>
      </c>
      <c r="R1676">
        <f>IFERROR(--INDEX('Pooled funds'!$C:$C,ROW()),0)</f>
        <v/>
      </c>
      <c r="S1676">
        <f>IFERROR(--INDEX('Pooled funds'!$D:$D,ROW()),0)</f>
        <v/>
      </c>
      <c r="T1676">
        <f>IFERROR(IF(--INDEX('Pooled funds'!$E:$E,ROW())&gt;=1,--INDEX('Pooled funds'!$E:$E,ROW())/100,--INDEX('Pooled funds'!$E:$E,ROW())),0)</f>
        <v/>
      </c>
      <c r="U1676">
        <f>IF(ISNUMBER(INDEX('Pooled funds'!$E:$E,ROW())),1,0)</f>
        <v/>
      </c>
    </row>
    <row r="1677">
      <c r="A1677">
        <f>TRIM(SUBSTITUTE(INDEX('Term investments'!$A:$A,ROW())&amp;""," "," "))</f>
        <v/>
      </c>
      <c r="B1677">
        <f>TRIM(SUBSTITUTE(INDEX('Term investments'!$B:$B,ROW())&amp;""," "," "))</f>
        <v/>
      </c>
      <c r="C1677">
        <f>TRIM(SUBSTITUTE(INDEX('Term investments'!$C:$C,ROW())&amp;""," "," "))</f>
        <v/>
      </c>
      <c r="D1677">
        <f>IFERROR(--INDEX('Term investments'!$D:$D,ROW()),0)</f>
        <v/>
      </c>
      <c r="E1677">
        <f>IFERROR(--INDEX('Term investments'!$E:$E,ROW()),0)</f>
        <v/>
      </c>
      <c r="F1677">
        <f>IFERROR(--INDEX('Term investments'!$F:$F,ROW()),0)</f>
        <v/>
      </c>
      <c r="G1677">
        <f>IFERROR(IF(--INDEX('Term investments'!$G:$G,ROW())&gt;=1,--INDEX('Term investments'!$G:$G,ROW())/100,--INDEX('Term investments'!$G:$G,ROW())),0)</f>
        <v/>
      </c>
      <c r="H1677">
        <f>IFERROR(--INDEX('Term investments'!$H:$H,ROW()),0)</f>
        <v/>
      </c>
      <c r="I1677">
        <f>IF(ISNUMBER(INDEX('Term investments'!$G:$G,ROW())),1,0)</f>
        <v/>
      </c>
      <c r="J1677">
        <f>TRIM(SUBSTITUTE(INDEX('Call accounts and MMFs'!$A:$A,ROW())&amp;""," "," "))</f>
        <v/>
      </c>
      <c r="K1677">
        <f>TRIM(SUBSTITUTE(INDEX('Call accounts and MMFs'!$B:$B,ROW())&amp;""," "," "))</f>
        <v/>
      </c>
      <c r="L1677">
        <f>TRIM(SUBSTITUTE(INDEX('Call accounts and MMFs'!$C:$C,ROW())&amp;""," "," "))</f>
        <v/>
      </c>
      <c r="M1677">
        <f>IFERROR(--INDEX('Call accounts and MMFs'!$D:$D,ROW()),0)</f>
        <v/>
      </c>
      <c r="N1677">
        <f>IFERROR(IF(--INDEX('Call accounts and MMFs'!$E:$E,ROW())&gt;=1,--INDEX('Call accounts and MMFs'!$E:$E,ROW())/100,--INDEX('Call accounts and MMFs'!$E:$E,ROW())),0)</f>
        <v/>
      </c>
      <c r="O1677">
        <f>IFERROR(--INDEX('Call accounts and MMFs'!$F:$F,ROW()),0)</f>
        <v/>
      </c>
      <c r="P1677">
        <f>IF(ISNUMBER(INDEX('Call accounts and MMFs'!$E:$E,ROW())),1,0)</f>
        <v/>
      </c>
      <c r="Q1677">
        <f>TRIM(SUBSTITUTE(INDEX('Pooled funds'!$B:$B,ROW())&amp;""," "," "))</f>
        <v/>
      </c>
      <c r="R1677">
        <f>IFERROR(--INDEX('Pooled funds'!$C:$C,ROW()),0)</f>
        <v/>
      </c>
      <c r="S1677">
        <f>IFERROR(--INDEX('Pooled funds'!$D:$D,ROW()),0)</f>
        <v/>
      </c>
      <c r="T1677">
        <f>IFERROR(IF(--INDEX('Pooled funds'!$E:$E,ROW())&gt;=1,--INDEX('Pooled funds'!$E:$E,ROW())/100,--INDEX('Pooled funds'!$E:$E,ROW())),0)</f>
        <v/>
      </c>
      <c r="U1677">
        <f>IF(ISNUMBER(INDEX('Pooled funds'!$E:$E,ROW())),1,0)</f>
        <v/>
      </c>
    </row>
    <row r="1678">
      <c r="A1678">
        <f>TRIM(SUBSTITUTE(INDEX('Term investments'!$A:$A,ROW())&amp;""," "," "))</f>
        <v/>
      </c>
      <c r="B1678">
        <f>TRIM(SUBSTITUTE(INDEX('Term investments'!$B:$B,ROW())&amp;""," "," "))</f>
        <v/>
      </c>
      <c r="C1678">
        <f>TRIM(SUBSTITUTE(INDEX('Term investments'!$C:$C,ROW())&amp;""," "," "))</f>
        <v/>
      </c>
      <c r="D1678">
        <f>IFERROR(--INDEX('Term investments'!$D:$D,ROW()),0)</f>
        <v/>
      </c>
      <c r="E1678">
        <f>IFERROR(--INDEX('Term investments'!$E:$E,ROW()),0)</f>
        <v/>
      </c>
      <c r="F1678">
        <f>IFERROR(--INDEX('Term investments'!$F:$F,ROW()),0)</f>
        <v/>
      </c>
      <c r="G1678">
        <f>IFERROR(IF(--INDEX('Term investments'!$G:$G,ROW())&gt;=1,--INDEX('Term investments'!$G:$G,ROW())/100,--INDEX('Term investments'!$G:$G,ROW())),0)</f>
        <v/>
      </c>
      <c r="H1678">
        <f>IFERROR(--INDEX('Term investments'!$H:$H,ROW()),0)</f>
        <v/>
      </c>
      <c r="I1678">
        <f>IF(ISNUMBER(INDEX('Term investments'!$G:$G,ROW())),1,0)</f>
        <v/>
      </c>
      <c r="J1678">
        <f>TRIM(SUBSTITUTE(INDEX('Call accounts and MMFs'!$A:$A,ROW())&amp;""," "," "))</f>
        <v/>
      </c>
      <c r="K1678">
        <f>TRIM(SUBSTITUTE(INDEX('Call accounts and MMFs'!$B:$B,ROW())&amp;""," "," "))</f>
        <v/>
      </c>
      <c r="L1678">
        <f>TRIM(SUBSTITUTE(INDEX('Call accounts and MMFs'!$C:$C,ROW())&amp;""," "," "))</f>
        <v/>
      </c>
      <c r="M1678">
        <f>IFERROR(--INDEX('Call accounts and MMFs'!$D:$D,ROW()),0)</f>
        <v/>
      </c>
      <c r="N1678">
        <f>IFERROR(IF(--INDEX('Call accounts and MMFs'!$E:$E,ROW())&gt;=1,--INDEX('Call accounts and MMFs'!$E:$E,ROW())/100,--INDEX('Call accounts and MMFs'!$E:$E,ROW())),0)</f>
        <v/>
      </c>
      <c r="O1678">
        <f>IFERROR(--INDEX('Call accounts and MMFs'!$F:$F,ROW()),0)</f>
        <v/>
      </c>
      <c r="P1678">
        <f>IF(ISNUMBER(INDEX('Call accounts and MMFs'!$E:$E,ROW())),1,0)</f>
        <v/>
      </c>
      <c r="Q1678">
        <f>TRIM(SUBSTITUTE(INDEX('Pooled funds'!$B:$B,ROW())&amp;""," "," "))</f>
        <v/>
      </c>
      <c r="R1678">
        <f>IFERROR(--INDEX('Pooled funds'!$C:$C,ROW()),0)</f>
        <v/>
      </c>
      <c r="S1678">
        <f>IFERROR(--INDEX('Pooled funds'!$D:$D,ROW()),0)</f>
        <v/>
      </c>
      <c r="T1678">
        <f>IFERROR(IF(--INDEX('Pooled funds'!$E:$E,ROW())&gt;=1,--INDEX('Pooled funds'!$E:$E,ROW())/100,--INDEX('Pooled funds'!$E:$E,ROW())),0)</f>
        <v/>
      </c>
      <c r="U1678">
        <f>IF(ISNUMBER(INDEX('Pooled funds'!$E:$E,ROW())),1,0)</f>
        <v/>
      </c>
    </row>
    <row r="1679">
      <c r="A1679">
        <f>TRIM(SUBSTITUTE(INDEX('Term investments'!$A:$A,ROW())&amp;""," "," "))</f>
        <v/>
      </c>
      <c r="B1679">
        <f>TRIM(SUBSTITUTE(INDEX('Term investments'!$B:$B,ROW())&amp;""," "," "))</f>
        <v/>
      </c>
      <c r="C1679">
        <f>TRIM(SUBSTITUTE(INDEX('Term investments'!$C:$C,ROW())&amp;""," "," "))</f>
        <v/>
      </c>
      <c r="D1679">
        <f>IFERROR(--INDEX('Term investments'!$D:$D,ROW()),0)</f>
        <v/>
      </c>
      <c r="E1679">
        <f>IFERROR(--INDEX('Term investments'!$E:$E,ROW()),0)</f>
        <v/>
      </c>
      <c r="F1679">
        <f>IFERROR(--INDEX('Term investments'!$F:$F,ROW()),0)</f>
        <v/>
      </c>
      <c r="G1679">
        <f>IFERROR(IF(--INDEX('Term investments'!$G:$G,ROW())&gt;=1,--INDEX('Term investments'!$G:$G,ROW())/100,--INDEX('Term investments'!$G:$G,ROW())),0)</f>
        <v/>
      </c>
      <c r="H1679">
        <f>IFERROR(--INDEX('Term investments'!$H:$H,ROW()),0)</f>
        <v/>
      </c>
      <c r="I1679">
        <f>IF(ISNUMBER(INDEX('Term investments'!$G:$G,ROW())),1,0)</f>
        <v/>
      </c>
      <c r="J1679">
        <f>TRIM(SUBSTITUTE(INDEX('Call accounts and MMFs'!$A:$A,ROW())&amp;""," "," "))</f>
        <v/>
      </c>
      <c r="K1679">
        <f>TRIM(SUBSTITUTE(INDEX('Call accounts and MMFs'!$B:$B,ROW())&amp;""," "," "))</f>
        <v/>
      </c>
      <c r="L1679">
        <f>TRIM(SUBSTITUTE(INDEX('Call accounts and MMFs'!$C:$C,ROW())&amp;""," "," "))</f>
        <v/>
      </c>
      <c r="M1679">
        <f>IFERROR(--INDEX('Call accounts and MMFs'!$D:$D,ROW()),0)</f>
        <v/>
      </c>
      <c r="N1679">
        <f>IFERROR(IF(--INDEX('Call accounts and MMFs'!$E:$E,ROW())&gt;=1,--INDEX('Call accounts and MMFs'!$E:$E,ROW())/100,--INDEX('Call accounts and MMFs'!$E:$E,ROW())),0)</f>
        <v/>
      </c>
      <c r="O1679">
        <f>IFERROR(--INDEX('Call accounts and MMFs'!$F:$F,ROW()),0)</f>
        <v/>
      </c>
      <c r="P1679">
        <f>IF(ISNUMBER(INDEX('Call accounts and MMFs'!$E:$E,ROW())),1,0)</f>
        <v/>
      </c>
      <c r="Q1679">
        <f>TRIM(SUBSTITUTE(INDEX('Pooled funds'!$B:$B,ROW())&amp;""," "," "))</f>
        <v/>
      </c>
      <c r="R1679">
        <f>IFERROR(--INDEX('Pooled funds'!$C:$C,ROW()),0)</f>
        <v/>
      </c>
      <c r="S1679">
        <f>IFERROR(--INDEX('Pooled funds'!$D:$D,ROW()),0)</f>
        <v/>
      </c>
      <c r="T1679">
        <f>IFERROR(IF(--INDEX('Pooled funds'!$E:$E,ROW())&gt;=1,--INDEX('Pooled funds'!$E:$E,ROW())/100,--INDEX('Pooled funds'!$E:$E,ROW())),0)</f>
        <v/>
      </c>
      <c r="U1679">
        <f>IF(ISNUMBER(INDEX('Pooled funds'!$E:$E,ROW())),1,0)</f>
        <v/>
      </c>
    </row>
    <row r="1680">
      <c r="A1680">
        <f>TRIM(SUBSTITUTE(INDEX('Term investments'!$A:$A,ROW())&amp;""," "," "))</f>
        <v/>
      </c>
      <c r="B1680">
        <f>TRIM(SUBSTITUTE(INDEX('Term investments'!$B:$B,ROW())&amp;""," "," "))</f>
        <v/>
      </c>
      <c r="C1680">
        <f>TRIM(SUBSTITUTE(INDEX('Term investments'!$C:$C,ROW())&amp;""," "," "))</f>
        <v/>
      </c>
      <c r="D1680">
        <f>IFERROR(--INDEX('Term investments'!$D:$D,ROW()),0)</f>
        <v/>
      </c>
      <c r="E1680">
        <f>IFERROR(--INDEX('Term investments'!$E:$E,ROW()),0)</f>
        <v/>
      </c>
      <c r="F1680">
        <f>IFERROR(--INDEX('Term investments'!$F:$F,ROW()),0)</f>
        <v/>
      </c>
      <c r="G1680">
        <f>IFERROR(IF(--INDEX('Term investments'!$G:$G,ROW())&gt;=1,--INDEX('Term investments'!$G:$G,ROW())/100,--INDEX('Term investments'!$G:$G,ROW())),0)</f>
        <v/>
      </c>
      <c r="H1680">
        <f>IFERROR(--INDEX('Term investments'!$H:$H,ROW()),0)</f>
        <v/>
      </c>
      <c r="I1680">
        <f>IF(ISNUMBER(INDEX('Term investments'!$G:$G,ROW())),1,0)</f>
        <v/>
      </c>
      <c r="J1680">
        <f>TRIM(SUBSTITUTE(INDEX('Call accounts and MMFs'!$A:$A,ROW())&amp;""," "," "))</f>
        <v/>
      </c>
      <c r="K1680">
        <f>TRIM(SUBSTITUTE(INDEX('Call accounts and MMFs'!$B:$B,ROW())&amp;""," "," "))</f>
        <v/>
      </c>
      <c r="L1680">
        <f>TRIM(SUBSTITUTE(INDEX('Call accounts and MMFs'!$C:$C,ROW())&amp;""," "," "))</f>
        <v/>
      </c>
      <c r="M1680">
        <f>IFERROR(--INDEX('Call accounts and MMFs'!$D:$D,ROW()),0)</f>
        <v/>
      </c>
      <c r="N1680">
        <f>IFERROR(IF(--INDEX('Call accounts and MMFs'!$E:$E,ROW())&gt;=1,--INDEX('Call accounts and MMFs'!$E:$E,ROW())/100,--INDEX('Call accounts and MMFs'!$E:$E,ROW())),0)</f>
        <v/>
      </c>
      <c r="O1680">
        <f>IFERROR(--INDEX('Call accounts and MMFs'!$F:$F,ROW()),0)</f>
        <v/>
      </c>
      <c r="P1680">
        <f>IF(ISNUMBER(INDEX('Call accounts and MMFs'!$E:$E,ROW())),1,0)</f>
        <v/>
      </c>
      <c r="Q1680">
        <f>TRIM(SUBSTITUTE(INDEX('Pooled funds'!$B:$B,ROW())&amp;""," "," "))</f>
        <v/>
      </c>
      <c r="R1680">
        <f>IFERROR(--INDEX('Pooled funds'!$C:$C,ROW()),0)</f>
        <v/>
      </c>
      <c r="S1680">
        <f>IFERROR(--INDEX('Pooled funds'!$D:$D,ROW()),0)</f>
        <v/>
      </c>
      <c r="T1680">
        <f>IFERROR(IF(--INDEX('Pooled funds'!$E:$E,ROW())&gt;=1,--INDEX('Pooled funds'!$E:$E,ROW())/100,--INDEX('Pooled funds'!$E:$E,ROW())),0)</f>
        <v/>
      </c>
      <c r="U1680">
        <f>IF(ISNUMBER(INDEX('Pooled funds'!$E:$E,ROW())),1,0)</f>
        <v/>
      </c>
    </row>
    <row r="1681">
      <c r="A1681">
        <f>TRIM(SUBSTITUTE(INDEX('Term investments'!$A:$A,ROW())&amp;""," "," "))</f>
        <v/>
      </c>
      <c r="B1681">
        <f>TRIM(SUBSTITUTE(INDEX('Term investments'!$B:$B,ROW())&amp;""," "," "))</f>
        <v/>
      </c>
      <c r="C1681">
        <f>TRIM(SUBSTITUTE(INDEX('Term investments'!$C:$C,ROW())&amp;""," "," "))</f>
        <v/>
      </c>
      <c r="D1681">
        <f>IFERROR(--INDEX('Term investments'!$D:$D,ROW()),0)</f>
        <v/>
      </c>
      <c r="E1681">
        <f>IFERROR(--INDEX('Term investments'!$E:$E,ROW()),0)</f>
        <v/>
      </c>
      <c r="F1681">
        <f>IFERROR(--INDEX('Term investments'!$F:$F,ROW()),0)</f>
        <v/>
      </c>
      <c r="G1681">
        <f>IFERROR(IF(--INDEX('Term investments'!$G:$G,ROW())&gt;=1,--INDEX('Term investments'!$G:$G,ROW())/100,--INDEX('Term investments'!$G:$G,ROW())),0)</f>
        <v/>
      </c>
      <c r="H1681">
        <f>IFERROR(--INDEX('Term investments'!$H:$H,ROW()),0)</f>
        <v/>
      </c>
      <c r="I1681">
        <f>IF(ISNUMBER(INDEX('Term investments'!$G:$G,ROW())),1,0)</f>
        <v/>
      </c>
      <c r="J1681">
        <f>TRIM(SUBSTITUTE(INDEX('Call accounts and MMFs'!$A:$A,ROW())&amp;""," "," "))</f>
        <v/>
      </c>
      <c r="K1681">
        <f>TRIM(SUBSTITUTE(INDEX('Call accounts and MMFs'!$B:$B,ROW())&amp;""," "," "))</f>
        <v/>
      </c>
      <c r="L1681">
        <f>TRIM(SUBSTITUTE(INDEX('Call accounts and MMFs'!$C:$C,ROW())&amp;""," "," "))</f>
        <v/>
      </c>
      <c r="M1681">
        <f>IFERROR(--INDEX('Call accounts and MMFs'!$D:$D,ROW()),0)</f>
        <v/>
      </c>
      <c r="N1681">
        <f>IFERROR(IF(--INDEX('Call accounts and MMFs'!$E:$E,ROW())&gt;=1,--INDEX('Call accounts and MMFs'!$E:$E,ROW())/100,--INDEX('Call accounts and MMFs'!$E:$E,ROW())),0)</f>
        <v/>
      </c>
      <c r="O1681">
        <f>IFERROR(--INDEX('Call accounts and MMFs'!$F:$F,ROW()),0)</f>
        <v/>
      </c>
      <c r="P1681">
        <f>IF(ISNUMBER(INDEX('Call accounts and MMFs'!$E:$E,ROW())),1,0)</f>
        <v/>
      </c>
      <c r="Q1681">
        <f>TRIM(SUBSTITUTE(INDEX('Pooled funds'!$B:$B,ROW())&amp;""," "," "))</f>
        <v/>
      </c>
      <c r="R1681">
        <f>IFERROR(--INDEX('Pooled funds'!$C:$C,ROW()),0)</f>
        <v/>
      </c>
      <c r="S1681">
        <f>IFERROR(--INDEX('Pooled funds'!$D:$D,ROW()),0)</f>
        <v/>
      </c>
      <c r="T1681">
        <f>IFERROR(IF(--INDEX('Pooled funds'!$E:$E,ROW())&gt;=1,--INDEX('Pooled funds'!$E:$E,ROW())/100,--INDEX('Pooled funds'!$E:$E,ROW())),0)</f>
        <v/>
      </c>
      <c r="U1681">
        <f>IF(ISNUMBER(INDEX('Pooled funds'!$E:$E,ROW())),1,0)</f>
        <v/>
      </c>
    </row>
    <row r="1682">
      <c r="A1682">
        <f>TRIM(SUBSTITUTE(INDEX('Term investments'!$A:$A,ROW())&amp;""," "," "))</f>
        <v/>
      </c>
      <c r="B1682">
        <f>TRIM(SUBSTITUTE(INDEX('Term investments'!$B:$B,ROW())&amp;""," "," "))</f>
        <v/>
      </c>
      <c r="C1682">
        <f>TRIM(SUBSTITUTE(INDEX('Term investments'!$C:$C,ROW())&amp;""," "," "))</f>
        <v/>
      </c>
      <c r="D1682">
        <f>IFERROR(--INDEX('Term investments'!$D:$D,ROW()),0)</f>
        <v/>
      </c>
      <c r="E1682">
        <f>IFERROR(--INDEX('Term investments'!$E:$E,ROW()),0)</f>
        <v/>
      </c>
      <c r="F1682">
        <f>IFERROR(--INDEX('Term investments'!$F:$F,ROW()),0)</f>
        <v/>
      </c>
      <c r="G1682">
        <f>IFERROR(IF(--INDEX('Term investments'!$G:$G,ROW())&gt;=1,--INDEX('Term investments'!$G:$G,ROW())/100,--INDEX('Term investments'!$G:$G,ROW())),0)</f>
        <v/>
      </c>
      <c r="H1682">
        <f>IFERROR(--INDEX('Term investments'!$H:$H,ROW()),0)</f>
        <v/>
      </c>
      <c r="I1682">
        <f>IF(ISNUMBER(INDEX('Term investments'!$G:$G,ROW())),1,0)</f>
        <v/>
      </c>
      <c r="J1682">
        <f>TRIM(SUBSTITUTE(INDEX('Call accounts and MMFs'!$A:$A,ROW())&amp;""," "," "))</f>
        <v/>
      </c>
      <c r="K1682">
        <f>TRIM(SUBSTITUTE(INDEX('Call accounts and MMFs'!$B:$B,ROW())&amp;""," "," "))</f>
        <v/>
      </c>
      <c r="L1682">
        <f>TRIM(SUBSTITUTE(INDEX('Call accounts and MMFs'!$C:$C,ROW())&amp;""," "," "))</f>
        <v/>
      </c>
      <c r="M1682">
        <f>IFERROR(--INDEX('Call accounts and MMFs'!$D:$D,ROW()),0)</f>
        <v/>
      </c>
      <c r="N1682">
        <f>IFERROR(IF(--INDEX('Call accounts and MMFs'!$E:$E,ROW())&gt;=1,--INDEX('Call accounts and MMFs'!$E:$E,ROW())/100,--INDEX('Call accounts and MMFs'!$E:$E,ROW())),0)</f>
        <v/>
      </c>
      <c r="O1682">
        <f>IFERROR(--INDEX('Call accounts and MMFs'!$F:$F,ROW()),0)</f>
        <v/>
      </c>
      <c r="P1682">
        <f>IF(ISNUMBER(INDEX('Call accounts and MMFs'!$E:$E,ROW())),1,0)</f>
        <v/>
      </c>
      <c r="Q1682">
        <f>TRIM(SUBSTITUTE(INDEX('Pooled funds'!$B:$B,ROW())&amp;""," "," "))</f>
        <v/>
      </c>
      <c r="R1682">
        <f>IFERROR(--INDEX('Pooled funds'!$C:$C,ROW()),0)</f>
        <v/>
      </c>
      <c r="S1682">
        <f>IFERROR(--INDEX('Pooled funds'!$D:$D,ROW()),0)</f>
        <v/>
      </c>
      <c r="T1682">
        <f>IFERROR(IF(--INDEX('Pooled funds'!$E:$E,ROW())&gt;=1,--INDEX('Pooled funds'!$E:$E,ROW())/100,--INDEX('Pooled funds'!$E:$E,ROW())),0)</f>
        <v/>
      </c>
      <c r="U1682">
        <f>IF(ISNUMBER(INDEX('Pooled funds'!$E:$E,ROW())),1,0)</f>
        <v/>
      </c>
    </row>
    <row r="1683">
      <c r="A1683">
        <f>TRIM(SUBSTITUTE(INDEX('Term investments'!$A:$A,ROW())&amp;""," "," "))</f>
        <v/>
      </c>
      <c r="B1683">
        <f>TRIM(SUBSTITUTE(INDEX('Term investments'!$B:$B,ROW())&amp;""," "," "))</f>
        <v/>
      </c>
      <c r="C1683">
        <f>TRIM(SUBSTITUTE(INDEX('Term investments'!$C:$C,ROW())&amp;""," "," "))</f>
        <v/>
      </c>
      <c r="D1683">
        <f>IFERROR(--INDEX('Term investments'!$D:$D,ROW()),0)</f>
        <v/>
      </c>
      <c r="E1683">
        <f>IFERROR(--INDEX('Term investments'!$E:$E,ROW()),0)</f>
        <v/>
      </c>
      <c r="F1683">
        <f>IFERROR(--INDEX('Term investments'!$F:$F,ROW()),0)</f>
        <v/>
      </c>
      <c r="G1683">
        <f>IFERROR(IF(--INDEX('Term investments'!$G:$G,ROW())&gt;=1,--INDEX('Term investments'!$G:$G,ROW())/100,--INDEX('Term investments'!$G:$G,ROW())),0)</f>
        <v/>
      </c>
      <c r="H1683">
        <f>IFERROR(--INDEX('Term investments'!$H:$H,ROW()),0)</f>
        <v/>
      </c>
      <c r="I1683">
        <f>IF(ISNUMBER(INDEX('Term investments'!$G:$G,ROW())),1,0)</f>
        <v/>
      </c>
      <c r="J1683">
        <f>TRIM(SUBSTITUTE(INDEX('Call accounts and MMFs'!$A:$A,ROW())&amp;""," "," "))</f>
        <v/>
      </c>
      <c r="K1683">
        <f>TRIM(SUBSTITUTE(INDEX('Call accounts and MMFs'!$B:$B,ROW())&amp;""," "," "))</f>
        <v/>
      </c>
      <c r="L1683">
        <f>TRIM(SUBSTITUTE(INDEX('Call accounts and MMFs'!$C:$C,ROW())&amp;""," "," "))</f>
        <v/>
      </c>
      <c r="M1683">
        <f>IFERROR(--INDEX('Call accounts and MMFs'!$D:$D,ROW()),0)</f>
        <v/>
      </c>
      <c r="N1683">
        <f>IFERROR(IF(--INDEX('Call accounts and MMFs'!$E:$E,ROW())&gt;=1,--INDEX('Call accounts and MMFs'!$E:$E,ROW())/100,--INDEX('Call accounts and MMFs'!$E:$E,ROW())),0)</f>
        <v/>
      </c>
      <c r="O1683">
        <f>IFERROR(--INDEX('Call accounts and MMFs'!$F:$F,ROW()),0)</f>
        <v/>
      </c>
      <c r="P1683">
        <f>IF(ISNUMBER(INDEX('Call accounts and MMFs'!$E:$E,ROW())),1,0)</f>
        <v/>
      </c>
      <c r="Q1683">
        <f>TRIM(SUBSTITUTE(INDEX('Pooled funds'!$B:$B,ROW())&amp;""," "," "))</f>
        <v/>
      </c>
      <c r="R1683">
        <f>IFERROR(--INDEX('Pooled funds'!$C:$C,ROW()),0)</f>
        <v/>
      </c>
      <c r="S1683">
        <f>IFERROR(--INDEX('Pooled funds'!$D:$D,ROW()),0)</f>
        <v/>
      </c>
      <c r="T1683">
        <f>IFERROR(IF(--INDEX('Pooled funds'!$E:$E,ROW())&gt;=1,--INDEX('Pooled funds'!$E:$E,ROW())/100,--INDEX('Pooled funds'!$E:$E,ROW())),0)</f>
        <v/>
      </c>
      <c r="U1683">
        <f>IF(ISNUMBER(INDEX('Pooled funds'!$E:$E,ROW())),1,0)</f>
        <v/>
      </c>
    </row>
    <row r="1684">
      <c r="A1684">
        <f>TRIM(SUBSTITUTE(INDEX('Term investments'!$A:$A,ROW())&amp;""," "," "))</f>
        <v/>
      </c>
      <c r="B1684">
        <f>TRIM(SUBSTITUTE(INDEX('Term investments'!$B:$B,ROW())&amp;""," "," "))</f>
        <v/>
      </c>
      <c r="C1684">
        <f>TRIM(SUBSTITUTE(INDEX('Term investments'!$C:$C,ROW())&amp;""," "," "))</f>
        <v/>
      </c>
      <c r="D1684">
        <f>IFERROR(--INDEX('Term investments'!$D:$D,ROW()),0)</f>
        <v/>
      </c>
      <c r="E1684">
        <f>IFERROR(--INDEX('Term investments'!$E:$E,ROW()),0)</f>
        <v/>
      </c>
      <c r="F1684">
        <f>IFERROR(--INDEX('Term investments'!$F:$F,ROW()),0)</f>
        <v/>
      </c>
      <c r="G1684">
        <f>IFERROR(IF(--INDEX('Term investments'!$G:$G,ROW())&gt;=1,--INDEX('Term investments'!$G:$G,ROW())/100,--INDEX('Term investments'!$G:$G,ROW())),0)</f>
        <v/>
      </c>
      <c r="H1684">
        <f>IFERROR(--INDEX('Term investments'!$H:$H,ROW()),0)</f>
        <v/>
      </c>
      <c r="I1684">
        <f>IF(ISNUMBER(INDEX('Term investments'!$G:$G,ROW())),1,0)</f>
        <v/>
      </c>
      <c r="J1684">
        <f>TRIM(SUBSTITUTE(INDEX('Call accounts and MMFs'!$A:$A,ROW())&amp;""," "," "))</f>
        <v/>
      </c>
      <c r="K1684">
        <f>TRIM(SUBSTITUTE(INDEX('Call accounts and MMFs'!$B:$B,ROW())&amp;""," "," "))</f>
        <v/>
      </c>
      <c r="L1684">
        <f>TRIM(SUBSTITUTE(INDEX('Call accounts and MMFs'!$C:$C,ROW())&amp;""," "," "))</f>
        <v/>
      </c>
      <c r="M1684">
        <f>IFERROR(--INDEX('Call accounts and MMFs'!$D:$D,ROW()),0)</f>
        <v/>
      </c>
      <c r="N1684">
        <f>IFERROR(IF(--INDEX('Call accounts and MMFs'!$E:$E,ROW())&gt;=1,--INDEX('Call accounts and MMFs'!$E:$E,ROW())/100,--INDEX('Call accounts and MMFs'!$E:$E,ROW())),0)</f>
        <v/>
      </c>
      <c r="O1684">
        <f>IFERROR(--INDEX('Call accounts and MMFs'!$F:$F,ROW()),0)</f>
        <v/>
      </c>
      <c r="P1684">
        <f>IF(ISNUMBER(INDEX('Call accounts and MMFs'!$E:$E,ROW())),1,0)</f>
        <v/>
      </c>
      <c r="Q1684">
        <f>TRIM(SUBSTITUTE(INDEX('Pooled funds'!$B:$B,ROW())&amp;""," "," "))</f>
        <v/>
      </c>
      <c r="R1684">
        <f>IFERROR(--INDEX('Pooled funds'!$C:$C,ROW()),0)</f>
        <v/>
      </c>
      <c r="S1684">
        <f>IFERROR(--INDEX('Pooled funds'!$D:$D,ROW()),0)</f>
        <v/>
      </c>
      <c r="T1684">
        <f>IFERROR(IF(--INDEX('Pooled funds'!$E:$E,ROW())&gt;=1,--INDEX('Pooled funds'!$E:$E,ROW())/100,--INDEX('Pooled funds'!$E:$E,ROW())),0)</f>
        <v/>
      </c>
      <c r="U1684">
        <f>IF(ISNUMBER(INDEX('Pooled funds'!$E:$E,ROW())),1,0)</f>
        <v/>
      </c>
    </row>
    <row r="1685">
      <c r="A1685">
        <f>TRIM(SUBSTITUTE(INDEX('Term investments'!$A:$A,ROW())&amp;""," "," "))</f>
        <v/>
      </c>
      <c r="B1685">
        <f>TRIM(SUBSTITUTE(INDEX('Term investments'!$B:$B,ROW())&amp;""," "," "))</f>
        <v/>
      </c>
      <c r="C1685">
        <f>TRIM(SUBSTITUTE(INDEX('Term investments'!$C:$C,ROW())&amp;""," "," "))</f>
        <v/>
      </c>
      <c r="D1685">
        <f>IFERROR(--INDEX('Term investments'!$D:$D,ROW()),0)</f>
        <v/>
      </c>
      <c r="E1685">
        <f>IFERROR(--INDEX('Term investments'!$E:$E,ROW()),0)</f>
        <v/>
      </c>
      <c r="F1685">
        <f>IFERROR(--INDEX('Term investments'!$F:$F,ROW()),0)</f>
        <v/>
      </c>
      <c r="G1685">
        <f>IFERROR(IF(--INDEX('Term investments'!$G:$G,ROW())&gt;=1,--INDEX('Term investments'!$G:$G,ROW())/100,--INDEX('Term investments'!$G:$G,ROW())),0)</f>
        <v/>
      </c>
      <c r="H1685">
        <f>IFERROR(--INDEX('Term investments'!$H:$H,ROW()),0)</f>
        <v/>
      </c>
      <c r="I1685">
        <f>IF(ISNUMBER(INDEX('Term investments'!$G:$G,ROW())),1,0)</f>
        <v/>
      </c>
      <c r="J1685">
        <f>TRIM(SUBSTITUTE(INDEX('Call accounts and MMFs'!$A:$A,ROW())&amp;""," "," "))</f>
        <v/>
      </c>
      <c r="K1685">
        <f>TRIM(SUBSTITUTE(INDEX('Call accounts and MMFs'!$B:$B,ROW())&amp;""," "," "))</f>
        <v/>
      </c>
      <c r="L1685">
        <f>TRIM(SUBSTITUTE(INDEX('Call accounts and MMFs'!$C:$C,ROW())&amp;""," "," "))</f>
        <v/>
      </c>
      <c r="M1685">
        <f>IFERROR(--INDEX('Call accounts and MMFs'!$D:$D,ROW()),0)</f>
        <v/>
      </c>
      <c r="N1685">
        <f>IFERROR(IF(--INDEX('Call accounts and MMFs'!$E:$E,ROW())&gt;=1,--INDEX('Call accounts and MMFs'!$E:$E,ROW())/100,--INDEX('Call accounts and MMFs'!$E:$E,ROW())),0)</f>
        <v/>
      </c>
      <c r="O1685">
        <f>IFERROR(--INDEX('Call accounts and MMFs'!$F:$F,ROW()),0)</f>
        <v/>
      </c>
      <c r="P1685">
        <f>IF(ISNUMBER(INDEX('Call accounts and MMFs'!$E:$E,ROW())),1,0)</f>
        <v/>
      </c>
      <c r="Q1685">
        <f>TRIM(SUBSTITUTE(INDEX('Pooled funds'!$B:$B,ROW())&amp;""," "," "))</f>
        <v/>
      </c>
      <c r="R1685">
        <f>IFERROR(--INDEX('Pooled funds'!$C:$C,ROW()),0)</f>
        <v/>
      </c>
      <c r="S1685">
        <f>IFERROR(--INDEX('Pooled funds'!$D:$D,ROW()),0)</f>
        <v/>
      </c>
      <c r="T1685">
        <f>IFERROR(IF(--INDEX('Pooled funds'!$E:$E,ROW())&gt;=1,--INDEX('Pooled funds'!$E:$E,ROW())/100,--INDEX('Pooled funds'!$E:$E,ROW())),0)</f>
        <v/>
      </c>
      <c r="U1685">
        <f>IF(ISNUMBER(INDEX('Pooled funds'!$E:$E,ROW())),1,0)</f>
        <v/>
      </c>
    </row>
    <row r="1686">
      <c r="A1686">
        <f>TRIM(SUBSTITUTE(INDEX('Term investments'!$A:$A,ROW())&amp;""," "," "))</f>
        <v/>
      </c>
      <c r="B1686">
        <f>TRIM(SUBSTITUTE(INDEX('Term investments'!$B:$B,ROW())&amp;""," "," "))</f>
        <v/>
      </c>
      <c r="C1686">
        <f>TRIM(SUBSTITUTE(INDEX('Term investments'!$C:$C,ROW())&amp;""," "," "))</f>
        <v/>
      </c>
      <c r="D1686">
        <f>IFERROR(--INDEX('Term investments'!$D:$D,ROW()),0)</f>
        <v/>
      </c>
      <c r="E1686">
        <f>IFERROR(--INDEX('Term investments'!$E:$E,ROW()),0)</f>
        <v/>
      </c>
      <c r="F1686">
        <f>IFERROR(--INDEX('Term investments'!$F:$F,ROW()),0)</f>
        <v/>
      </c>
      <c r="G1686">
        <f>IFERROR(IF(--INDEX('Term investments'!$G:$G,ROW())&gt;=1,--INDEX('Term investments'!$G:$G,ROW())/100,--INDEX('Term investments'!$G:$G,ROW())),0)</f>
        <v/>
      </c>
      <c r="H1686">
        <f>IFERROR(--INDEX('Term investments'!$H:$H,ROW()),0)</f>
        <v/>
      </c>
      <c r="I1686">
        <f>IF(ISNUMBER(INDEX('Term investments'!$G:$G,ROW())),1,0)</f>
        <v/>
      </c>
      <c r="J1686">
        <f>TRIM(SUBSTITUTE(INDEX('Call accounts and MMFs'!$A:$A,ROW())&amp;""," "," "))</f>
        <v/>
      </c>
      <c r="K1686">
        <f>TRIM(SUBSTITUTE(INDEX('Call accounts and MMFs'!$B:$B,ROW())&amp;""," "," "))</f>
        <v/>
      </c>
      <c r="L1686">
        <f>TRIM(SUBSTITUTE(INDEX('Call accounts and MMFs'!$C:$C,ROW())&amp;""," "," "))</f>
        <v/>
      </c>
      <c r="M1686">
        <f>IFERROR(--INDEX('Call accounts and MMFs'!$D:$D,ROW()),0)</f>
        <v/>
      </c>
      <c r="N1686">
        <f>IFERROR(IF(--INDEX('Call accounts and MMFs'!$E:$E,ROW())&gt;=1,--INDEX('Call accounts and MMFs'!$E:$E,ROW())/100,--INDEX('Call accounts and MMFs'!$E:$E,ROW())),0)</f>
        <v/>
      </c>
      <c r="O1686">
        <f>IFERROR(--INDEX('Call accounts and MMFs'!$F:$F,ROW()),0)</f>
        <v/>
      </c>
      <c r="P1686">
        <f>IF(ISNUMBER(INDEX('Call accounts and MMFs'!$E:$E,ROW())),1,0)</f>
        <v/>
      </c>
      <c r="Q1686">
        <f>TRIM(SUBSTITUTE(INDEX('Pooled funds'!$B:$B,ROW())&amp;""," "," "))</f>
        <v/>
      </c>
      <c r="R1686">
        <f>IFERROR(--INDEX('Pooled funds'!$C:$C,ROW()),0)</f>
        <v/>
      </c>
      <c r="S1686">
        <f>IFERROR(--INDEX('Pooled funds'!$D:$D,ROW()),0)</f>
        <v/>
      </c>
      <c r="T1686">
        <f>IFERROR(IF(--INDEX('Pooled funds'!$E:$E,ROW())&gt;=1,--INDEX('Pooled funds'!$E:$E,ROW())/100,--INDEX('Pooled funds'!$E:$E,ROW())),0)</f>
        <v/>
      </c>
      <c r="U1686">
        <f>IF(ISNUMBER(INDEX('Pooled funds'!$E:$E,ROW())),1,0)</f>
        <v/>
      </c>
    </row>
    <row r="1687">
      <c r="A1687">
        <f>TRIM(SUBSTITUTE(INDEX('Term investments'!$A:$A,ROW())&amp;""," "," "))</f>
        <v/>
      </c>
      <c r="B1687">
        <f>TRIM(SUBSTITUTE(INDEX('Term investments'!$B:$B,ROW())&amp;""," "," "))</f>
        <v/>
      </c>
      <c r="C1687">
        <f>TRIM(SUBSTITUTE(INDEX('Term investments'!$C:$C,ROW())&amp;""," "," "))</f>
        <v/>
      </c>
      <c r="D1687">
        <f>IFERROR(--INDEX('Term investments'!$D:$D,ROW()),0)</f>
        <v/>
      </c>
      <c r="E1687">
        <f>IFERROR(--INDEX('Term investments'!$E:$E,ROW()),0)</f>
        <v/>
      </c>
      <c r="F1687">
        <f>IFERROR(--INDEX('Term investments'!$F:$F,ROW()),0)</f>
        <v/>
      </c>
      <c r="G1687">
        <f>IFERROR(IF(--INDEX('Term investments'!$G:$G,ROW())&gt;=1,--INDEX('Term investments'!$G:$G,ROW())/100,--INDEX('Term investments'!$G:$G,ROW())),0)</f>
        <v/>
      </c>
      <c r="H1687">
        <f>IFERROR(--INDEX('Term investments'!$H:$H,ROW()),0)</f>
        <v/>
      </c>
      <c r="I1687">
        <f>IF(ISNUMBER(INDEX('Term investments'!$G:$G,ROW())),1,0)</f>
        <v/>
      </c>
      <c r="J1687">
        <f>TRIM(SUBSTITUTE(INDEX('Call accounts and MMFs'!$A:$A,ROW())&amp;""," "," "))</f>
        <v/>
      </c>
      <c r="K1687">
        <f>TRIM(SUBSTITUTE(INDEX('Call accounts and MMFs'!$B:$B,ROW())&amp;""," "," "))</f>
        <v/>
      </c>
      <c r="L1687">
        <f>TRIM(SUBSTITUTE(INDEX('Call accounts and MMFs'!$C:$C,ROW())&amp;""," "," "))</f>
        <v/>
      </c>
      <c r="M1687">
        <f>IFERROR(--INDEX('Call accounts and MMFs'!$D:$D,ROW()),0)</f>
        <v/>
      </c>
      <c r="N1687">
        <f>IFERROR(IF(--INDEX('Call accounts and MMFs'!$E:$E,ROW())&gt;=1,--INDEX('Call accounts and MMFs'!$E:$E,ROW())/100,--INDEX('Call accounts and MMFs'!$E:$E,ROW())),0)</f>
        <v/>
      </c>
      <c r="O1687">
        <f>IFERROR(--INDEX('Call accounts and MMFs'!$F:$F,ROW()),0)</f>
        <v/>
      </c>
      <c r="P1687">
        <f>IF(ISNUMBER(INDEX('Call accounts and MMFs'!$E:$E,ROW())),1,0)</f>
        <v/>
      </c>
      <c r="Q1687">
        <f>TRIM(SUBSTITUTE(INDEX('Pooled funds'!$B:$B,ROW())&amp;""," "," "))</f>
        <v/>
      </c>
      <c r="R1687">
        <f>IFERROR(--INDEX('Pooled funds'!$C:$C,ROW()),0)</f>
        <v/>
      </c>
      <c r="S1687">
        <f>IFERROR(--INDEX('Pooled funds'!$D:$D,ROW()),0)</f>
        <v/>
      </c>
      <c r="T1687">
        <f>IFERROR(IF(--INDEX('Pooled funds'!$E:$E,ROW())&gt;=1,--INDEX('Pooled funds'!$E:$E,ROW())/100,--INDEX('Pooled funds'!$E:$E,ROW())),0)</f>
        <v/>
      </c>
      <c r="U1687">
        <f>IF(ISNUMBER(INDEX('Pooled funds'!$E:$E,ROW())),1,0)</f>
        <v/>
      </c>
    </row>
    <row r="1688">
      <c r="A1688">
        <f>TRIM(SUBSTITUTE(INDEX('Term investments'!$A:$A,ROW())&amp;""," "," "))</f>
        <v/>
      </c>
      <c r="B1688">
        <f>TRIM(SUBSTITUTE(INDEX('Term investments'!$B:$B,ROW())&amp;""," "," "))</f>
        <v/>
      </c>
      <c r="C1688">
        <f>TRIM(SUBSTITUTE(INDEX('Term investments'!$C:$C,ROW())&amp;""," "," "))</f>
        <v/>
      </c>
      <c r="D1688">
        <f>IFERROR(--INDEX('Term investments'!$D:$D,ROW()),0)</f>
        <v/>
      </c>
      <c r="E1688">
        <f>IFERROR(--INDEX('Term investments'!$E:$E,ROW()),0)</f>
        <v/>
      </c>
      <c r="F1688">
        <f>IFERROR(--INDEX('Term investments'!$F:$F,ROW()),0)</f>
        <v/>
      </c>
      <c r="G1688">
        <f>IFERROR(IF(--INDEX('Term investments'!$G:$G,ROW())&gt;=1,--INDEX('Term investments'!$G:$G,ROW())/100,--INDEX('Term investments'!$G:$G,ROW())),0)</f>
        <v/>
      </c>
      <c r="H1688">
        <f>IFERROR(--INDEX('Term investments'!$H:$H,ROW()),0)</f>
        <v/>
      </c>
      <c r="I1688">
        <f>IF(ISNUMBER(INDEX('Term investments'!$G:$G,ROW())),1,0)</f>
        <v/>
      </c>
      <c r="J1688">
        <f>TRIM(SUBSTITUTE(INDEX('Call accounts and MMFs'!$A:$A,ROW())&amp;""," "," "))</f>
        <v/>
      </c>
      <c r="K1688">
        <f>TRIM(SUBSTITUTE(INDEX('Call accounts and MMFs'!$B:$B,ROW())&amp;""," "," "))</f>
        <v/>
      </c>
      <c r="L1688">
        <f>TRIM(SUBSTITUTE(INDEX('Call accounts and MMFs'!$C:$C,ROW())&amp;""," "," "))</f>
        <v/>
      </c>
      <c r="M1688">
        <f>IFERROR(--INDEX('Call accounts and MMFs'!$D:$D,ROW()),0)</f>
        <v/>
      </c>
      <c r="N1688">
        <f>IFERROR(IF(--INDEX('Call accounts and MMFs'!$E:$E,ROW())&gt;=1,--INDEX('Call accounts and MMFs'!$E:$E,ROW())/100,--INDEX('Call accounts and MMFs'!$E:$E,ROW())),0)</f>
        <v/>
      </c>
      <c r="O1688">
        <f>IFERROR(--INDEX('Call accounts and MMFs'!$F:$F,ROW()),0)</f>
        <v/>
      </c>
      <c r="P1688">
        <f>IF(ISNUMBER(INDEX('Call accounts and MMFs'!$E:$E,ROW())),1,0)</f>
        <v/>
      </c>
      <c r="Q1688">
        <f>TRIM(SUBSTITUTE(INDEX('Pooled funds'!$B:$B,ROW())&amp;""," "," "))</f>
        <v/>
      </c>
      <c r="R1688">
        <f>IFERROR(--INDEX('Pooled funds'!$C:$C,ROW()),0)</f>
        <v/>
      </c>
      <c r="S1688">
        <f>IFERROR(--INDEX('Pooled funds'!$D:$D,ROW()),0)</f>
        <v/>
      </c>
      <c r="T1688">
        <f>IFERROR(IF(--INDEX('Pooled funds'!$E:$E,ROW())&gt;=1,--INDEX('Pooled funds'!$E:$E,ROW())/100,--INDEX('Pooled funds'!$E:$E,ROW())),0)</f>
        <v/>
      </c>
      <c r="U1688">
        <f>IF(ISNUMBER(INDEX('Pooled funds'!$E:$E,ROW())),1,0)</f>
        <v/>
      </c>
    </row>
    <row r="1689">
      <c r="A1689">
        <f>TRIM(SUBSTITUTE(INDEX('Term investments'!$A:$A,ROW())&amp;""," "," "))</f>
        <v/>
      </c>
      <c r="B1689">
        <f>TRIM(SUBSTITUTE(INDEX('Term investments'!$B:$B,ROW())&amp;""," "," "))</f>
        <v/>
      </c>
      <c r="C1689">
        <f>TRIM(SUBSTITUTE(INDEX('Term investments'!$C:$C,ROW())&amp;""," "," "))</f>
        <v/>
      </c>
      <c r="D1689">
        <f>IFERROR(--INDEX('Term investments'!$D:$D,ROW()),0)</f>
        <v/>
      </c>
      <c r="E1689">
        <f>IFERROR(--INDEX('Term investments'!$E:$E,ROW()),0)</f>
        <v/>
      </c>
      <c r="F1689">
        <f>IFERROR(--INDEX('Term investments'!$F:$F,ROW()),0)</f>
        <v/>
      </c>
      <c r="G1689">
        <f>IFERROR(IF(--INDEX('Term investments'!$G:$G,ROW())&gt;=1,--INDEX('Term investments'!$G:$G,ROW())/100,--INDEX('Term investments'!$G:$G,ROW())),0)</f>
        <v/>
      </c>
      <c r="H1689">
        <f>IFERROR(--INDEX('Term investments'!$H:$H,ROW()),0)</f>
        <v/>
      </c>
      <c r="I1689">
        <f>IF(ISNUMBER(INDEX('Term investments'!$G:$G,ROW())),1,0)</f>
        <v/>
      </c>
      <c r="J1689">
        <f>TRIM(SUBSTITUTE(INDEX('Call accounts and MMFs'!$A:$A,ROW())&amp;""," "," "))</f>
        <v/>
      </c>
      <c r="K1689">
        <f>TRIM(SUBSTITUTE(INDEX('Call accounts and MMFs'!$B:$B,ROW())&amp;""," "," "))</f>
        <v/>
      </c>
      <c r="L1689">
        <f>TRIM(SUBSTITUTE(INDEX('Call accounts and MMFs'!$C:$C,ROW())&amp;""," "," "))</f>
        <v/>
      </c>
      <c r="M1689">
        <f>IFERROR(--INDEX('Call accounts and MMFs'!$D:$D,ROW()),0)</f>
        <v/>
      </c>
      <c r="N1689">
        <f>IFERROR(IF(--INDEX('Call accounts and MMFs'!$E:$E,ROW())&gt;=1,--INDEX('Call accounts and MMFs'!$E:$E,ROW())/100,--INDEX('Call accounts and MMFs'!$E:$E,ROW())),0)</f>
        <v/>
      </c>
      <c r="O1689">
        <f>IFERROR(--INDEX('Call accounts and MMFs'!$F:$F,ROW()),0)</f>
        <v/>
      </c>
      <c r="P1689">
        <f>IF(ISNUMBER(INDEX('Call accounts and MMFs'!$E:$E,ROW())),1,0)</f>
        <v/>
      </c>
      <c r="Q1689">
        <f>TRIM(SUBSTITUTE(INDEX('Pooled funds'!$B:$B,ROW())&amp;""," "," "))</f>
        <v/>
      </c>
      <c r="R1689">
        <f>IFERROR(--INDEX('Pooled funds'!$C:$C,ROW()),0)</f>
        <v/>
      </c>
      <c r="S1689">
        <f>IFERROR(--INDEX('Pooled funds'!$D:$D,ROW()),0)</f>
        <v/>
      </c>
      <c r="T1689">
        <f>IFERROR(IF(--INDEX('Pooled funds'!$E:$E,ROW())&gt;=1,--INDEX('Pooled funds'!$E:$E,ROW())/100,--INDEX('Pooled funds'!$E:$E,ROW())),0)</f>
        <v/>
      </c>
      <c r="U1689">
        <f>IF(ISNUMBER(INDEX('Pooled funds'!$E:$E,ROW())),1,0)</f>
        <v/>
      </c>
    </row>
    <row r="1690">
      <c r="A1690">
        <f>TRIM(SUBSTITUTE(INDEX('Term investments'!$A:$A,ROW())&amp;""," "," "))</f>
        <v/>
      </c>
      <c r="B1690">
        <f>TRIM(SUBSTITUTE(INDEX('Term investments'!$B:$B,ROW())&amp;""," "," "))</f>
        <v/>
      </c>
      <c r="C1690">
        <f>TRIM(SUBSTITUTE(INDEX('Term investments'!$C:$C,ROW())&amp;""," "," "))</f>
        <v/>
      </c>
      <c r="D1690">
        <f>IFERROR(--INDEX('Term investments'!$D:$D,ROW()),0)</f>
        <v/>
      </c>
      <c r="E1690">
        <f>IFERROR(--INDEX('Term investments'!$E:$E,ROW()),0)</f>
        <v/>
      </c>
      <c r="F1690">
        <f>IFERROR(--INDEX('Term investments'!$F:$F,ROW()),0)</f>
        <v/>
      </c>
      <c r="G1690">
        <f>IFERROR(IF(--INDEX('Term investments'!$G:$G,ROW())&gt;=1,--INDEX('Term investments'!$G:$G,ROW())/100,--INDEX('Term investments'!$G:$G,ROW())),0)</f>
        <v/>
      </c>
      <c r="H1690">
        <f>IFERROR(--INDEX('Term investments'!$H:$H,ROW()),0)</f>
        <v/>
      </c>
      <c r="I1690">
        <f>IF(ISNUMBER(INDEX('Term investments'!$G:$G,ROW())),1,0)</f>
        <v/>
      </c>
      <c r="J1690">
        <f>TRIM(SUBSTITUTE(INDEX('Call accounts and MMFs'!$A:$A,ROW())&amp;""," "," "))</f>
        <v/>
      </c>
      <c r="K1690">
        <f>TRIM(SUBSTITUTE(INDEX('Call accounts and MMFs'!$B:$B,ROW())&amp;""," "," "))</f>
        <v/>
      </c>
      <c r="L1690">
        <f>TRIM(SUBSTITUTE(INDEX('Call accounts and MMFs'!$C:$C,ROW())&amp;""," "," "))</f>
        <v/>
      </c>
      <c r="M1690">
        <f>IFERROR(--INDEX('Call accounts and MMFs'!$D:$D,ROW()),0)</f>
        <v/>
      </c>
      <c r="N1690">
        <f>IFERROR(IF(--INDEX('Call accounts and MMFs'!$E:$E,ROW())&gt;=1,--INDEX('Call accounts and MMFs'!$E:$E,ROW())/100,--INDEX('Call accounts and MMFs'!$E:$E,ROW())),0)</f>
        <v/>
      </c>
      <c r="O1690">
        <f>IFERROR(--INDEX('Call accounts and MMFs'!$F:$F,ROW()),0)</f>
        <v/>
      </c>
      <c r="P1690">
        <f>IF(ISNUMBER(INDEX('Call accounts and MMFs'!$E:$E,ROW())),1,0)</f>
        <v/>
      </c>
      <c r="Q1690">
        <f>TRIM(SUBSTITUTE(INDEX('Pooled funds'!$B:$B,ROW())&amp;""," "," "))</f>
        <v/>
      </c>
      <c r="R1690">
        <f>IFERROR(--INDEX('Pooled funds'!$C:$C,ROW()),0)</f>
        <v/>
      </c>
      <c r="S1690">
        <f>IFERROR(--INDEX('Pooled funds'!$D:$D,ROW()),0)</f>
        <v/>
      </c>
      <c r="T1690">
        <f>IFERROR(IF(--INDEX('Pooled funds'!$E:$E,ROW())&gt;=1,--INDEX('Pooled funds'!$E:$E,ROW())/100,--INDEX('Pooled funds'!$E:$E,ROW())),0)</f>
        <v/>
      </c>
      <c r="U1690">
        <f>IF(ISNUMBER(INDEX('Pooled funds'!$E:$E,ROW())),1,0)</f>
        <v/>
      </c>
    </row>
    <row r="1691">
      <c r="A1691">
        <f>TRIM(SUBSTITUTE(INDEX('Term investments'!$A:$A,ROW())&amp;""," "," "))</f>
        <v/>
      </c>
      <c r="B1691">
        <f>TRIM(SUBSTITUTE(INDEX('Term investments'!$B:$B,ROW())&amp;""," "," "))</f>
        <v/>
      </c>
      <c r="C1691">
        <f>TRIM(SUBSTITUTE(INDEX('Term investments'!$C:$C,ROW())&amp;""," "," "))</f>
        <v/>
      </c>
      <c r="D1691">
        <f>IFERROR(--INDEX('Term investments'!$D:$D,ROW()),0)</f>
        <v/>
      </c>
      <c r="E1691">
        <f>IFERROR(--INDEX('Term investments'!$E:$E,ROW()),0)</f>
        <v/>
      </c>
      <c r="F1691">
        <f>IFERROR(--INDEX('Term investments'!$F:$F,ROW()),0)</f>
        <v/>
      </c>
      <c r="G1691">
        <f>IFERROR(IF(--INDEX('Term investments'!$G:$G,ROW())&gt;=1,--INDEX('Term investments'!$G:$G,ROW())/100,--INDEX('Term investments'!$G:$G,ROW())),0)</f>
        <v/>
      </c>
      <c r="H1691">
        <f>IFERROR(--INDEX('Term investments'!$H:$H,ROW()),0)</f>
        <v/>
      </c>
      <c r="I1691">
        <f>IF(ISNUMBER(INDEX('Term investments'!$G:$G,ROW())),1,0)</f>
        <v/>
      </c>
      <c r="J1691">
        <f>TRIM(SUBSTITUTE(INDEX('Call accounts and MMFs'!$A:$A,ROW())&amp;""," "," "))</f>
        <v/>
      </c>
      <c r="K1691">
        <f>TRIM(SUBSTITUTE(INDEX('Call accounts and MMFs'!$B:$B,ROW())&amp;""," "," "))</f>
        <v/>
      </c>
      <c r="L1691">
        <f>TRIM(SUBSTITUTE(INDEX('Call accounts and MMFs'!$C:$C,ROW())&amp;""," "," "))</f>
        <v/>
      </c>
      <c r="M1691">
        <f>IFERROR(--INDEX('Call accounts and MMFs'!$D:$D,ROW()),0)</f>
        <v/>
      </c>
      <c r="N1691">
        <f>IFERROR(IF(--INDEX('Call accounts and MMFs'!$E:$E,ROW())&gt;=1,--INDEX('Call accounts and MMFs'!$E:$E,ROW())/100,--INDEX('Call accounts and MMFs'!$E:$E,ROW())),0)</f>
        <v/>
      </c>
      <c r="O1691">
        <f>IFERROR(--INDEX('Call accounts and MMFs'!$F:$F,ROW()),0)</f>
        <v/>
      </c>
      <c r="P1691">
        <f>IF(ISNUMBER(INDEX('Call accounts and MMFs'!$E:$E,ROW())),1,0)</f>
        <v/>
      </c>
      <c r="Q1691">
        <f>TRIM(SUBSTITUTE(INDEX('Pooled funds'!$B:$B,ROW())&amp;""," "," "))</f>
        <v/>
      </c>
      <c r="R1691">
        <f>IFERROR(--INDEX('Pooled funds'!$C:$C,ROW()),0)</f>
        <v/>
      </c>
      <c r="S1691">
        <f>IFERROR(--INDEX('Pooled funds'!$D:$D,ROW()),0)</f>
        <v/>
      </c>
      <c r="T1691">
        <f>IFERROR(IF(--INDEX('Pooled funds'!$E:$E,ROW())&gt;=1,--INDEX('Pooled funds'!$E:$E,ROW())/100,--INDEX('Pooled funds'!$E:$E,ROW())),0)</f>
        <v/>
      </c>
      <c r="U1691">
        <f>IF(ISNUMBER(INDEX('Pooled funds'!$E:$E,ROW())),1,0)</f>
        <v/>
      </c>
    </row>
    <row r="1692">
      <c r="A1692">
        <f>TRIM(SUBSTITUTE(INDEX('Term investments'!$A:$A,ROW())&amp;""," "," "))</f>
        <v/>
      </c>
      <c r="B1692">
        <f>TRIM(SUBSTITUTE(INDEX('Term investments'!$B:$B,ROW())&amp;""," "," "))</f>
        <v/>
      </c>
      <c r="C1692">
        <f>TRIM(SUBSTITUTE(INDEX('Term investments'!$C:$C,ROW())&amp;""," "," "))</f>
        <v/>
      </c>
      <c r="D1692">
        <f>IFERROR(--INDEX('Term investments'!$D:$D,ROW()),0)</f>
        <v/>
      </c>
      <c r="E1692">
        <f>IFERROR(--INDEX('Term investments'!$E:$E,ROW()),0)</f>
        <v/>
      </c>
      <c r="F1692">
        <f>IFERROR(--INDEX('Term investments'!$F:$F,ROW()),0)</f>
        <v/>
      </c>
      <c r="G1692">
        <f>IFERROR(IF(--INDEX('Term investments'!$G:$G,ROW())&gt;=1,--INDEX('Term investments'!$G:$G,ROW())/100,--INDEX('Term investments'!$G:$G,ROW())),0)</f>
        <v/>
      </c>
      <c r="H1692">
        <f>IFERROR(--INDEX('Term investments'!$H:$H,ROW()),0)</f>
        <v/>
      </c>
      <c r="I1692">
        <f>IF(ISNUMBER(INDEX('Term investments'!$G:$G,ROW())),1,0)</f>
        <v/>
      </c>
      <c r="J1692">
        <f>TRIM(SUBSTITUTE(INDEX('Call accounts and MMFs'!$A:$A,ROW())&amp;""," "," "))</f>
        <v/>
      </c>
      <c r="K1692">
        <f>TRIM(SUBSTITUTE(INDEX('Call accounts and MMFs'!$B:$B,ROW())&amp;""," "," "))</f>
        <v/>
      </c>
      <c r="L1692">
        <f>TRIM(SUBSTITUTE(INDEX('Call accounts and MMFs'!$C:$C,ROW())&amp;""," "," "))</f>
        <v/>
      </c>
      <c r="M1692">
        <f>IFERROR(--INDEX('Call accounts and MMFs'!$D:$D,ROW()),0)</f>
        <v/>
      </c>
      <c r="N1692">
        <f>IFERROR(IF(--INDEX('Call accounts and MMFs'!$E:$E,ROW())&gt;=1,--INDEX('Call accounts and MMFs'!$E:$E,ROW())/100,--INDEX('Call accounts and MMFs'!$E:$E,ROW())),0)</f>
        <v/>
      </c>
      <c r="O1692">
        <f>IFERROR(--INDEX('Call accounts and MMFs'!$F:$F,ROW()),0)</f>
        <v/>
      </c>
      <c r="P1692">
        <f>IF(ISNUMBER(INDEX('Call accounts and MMFs'!$E:$E,ROW())),1,0)</f>
        <v/>
      </c>
      <c r="Q1692">
        <f>TRIM(SUBSTITUTE(INDEX('Pooled funds'!$B:$B,ROW())&amp;""," "," "))</f>
        <v/>
      </c>
      <c r="R1692">
        <f>IFERROR(--INDEX('Pooled funds'!$C:$C,ROW()),0)</f>
        <v/>
      </c>
      <c r="S1692">
        <f>IFERROR(--INDEX('Pooled funds'!$D:$D,ROW()),0)</f>
        <v/>
      </c>
      <c r="T1692">
        <f>IFERROR(IF(--INDEX('Pooled funds'!$E:$E,ROW())&gt;=1,--INDEX('Pooled funds'!$E:$E,ROW())/100,--INDEX('Pooled funds'!$E:$E,ROW())),0)</f>
        <v/>
      </c>
      <c r="U1692">
        <f>IF(ISNUMBER(INDEX('Pooled funds'!$E:$E,ROW())),1,0)</f>
        <v/>
      </c>
    </row>
    <row r="1693">
      <c r="A1693">
        <f>TRIM(SUBSTITUTE(INDEX('Term investments'!$A:$A,ROW())&amp;""," "," "))</f>
        <v/>
      </c>
      <c r="B1693">
        <f>TRIM(SUBSTITUTE(INDEX('Term investments'!$B:$B,ROW())&amp;""," "," "))</f>
        <v/>
      </c>
      <c r="C1693">
        <f>TRIM(SUBSTITUTE(INDEX('Term investments'!$C:$C,ROW())&amp;""," "," "))</f>
        <v/>
      </c>
      <c r="D1693">
        <f>IFERROR(--INDEX('Term investments'!$D:$D,ROW()),0)</f>
        <v/>
      </c>
      <c r="E1693">
        <f>IFERROR(--INDEX('Term investments'!$E:$E,ROW()),0)</f>
        <v/>
      </c>
      <c r="F1693">
        <f>IFERROR(--INDEX('Term investments'!$F:$F,ROW()),0)</f>
        <v/>
      </c>
      <c r="G1693">
        <f>IFERROR(IF(--INDEX('Term investments'!$G:$G,ROW())&gt;=1,--INDEX('Term investments'!$G:$G,ROW())/100,--INDEX('Term investments'!$G:$G,ROW())),0)</f>
        <v/>
      </c>
      <c r="H1693">
        <f>IFERROR(--INDEX('Term investments'!$H:$H,ROW()),0)</f>
        <v/>
      </c>
      <c r="I1693">
        <f>IF(ISNUMBER(INDEX('Term investments'!$G:$G,ROW())),1,0)</f>
        <v/>
      </c>
      <c r="J1693">
        <f>TRIM(SUBSTITUTE(INDEX('Call accounts and MMFs'!$A:$A,ROW())&amp;""," "," "))</f>
        <v/>
      </c>
      <c r="K1693">
        <f>TRIM(SUBSTITUTE(INDEX('Call accounts and MMFs'!$B:$B,ROW())&amp;""," "," "))</f>
        <v/>
      </c>
      <c r="L1693">
        <f>TRIM(SUBSTITUTE(INDEX('Call accounts and MMFs'!$C:$C,ROW())&amp;""," "," "))</f>
        <v/>
      </c>
      <c r="M1693">
        <f>IFERROR(--INDEX('Call accounts and MMFs'!$D:$D,ROW()),0)</f>
        <v/>
      </c>
      <c r="N1693">
        <f>IFERROR(IF(--INDEX('Call accounts and MMFs'!$E:$E,ROW())&gt;=1,--INDEX('Call accounts and MMFs'!$E:$E,ROW())/100,--INDEX('Call accounts and MMFs'!$E:$E,ROW())),0)</f>
        <v/>
      </c>
      <c r="O1693">
        <f>IFERROR(--INDEX('Call accounts and MMFs'!$F:$F,ROW()),0)</f>
        <v/>
      </c>
      <c r="P1693">
        <f>IF(ISNUMBER(INDEX('Call accounts and MMFs'!$E:$E,ROW())),1,0)</f>
        <v/>
      </c>
      <c r="Q1693">
        <f>TRIM(SUBSTITUTE(INDEX('Pooled funds'!$B:$B,ROW())&amp;""," "," "))</f>
        <v/>
      </c>
      <c r="R1693">
        <f>IFERROR(--INDEX('Pooled funds'!$C:$C,ROW()),0)</f>
        <v/>
      </c>
      <c r="S1693">
        <f>IFERROR(--INDEX('Pooled funds'!$D:$D,ROW()),0)</f>
        <v/>
      </c>
      <c r="T1693">
        <f>IFERROR(IF(--INDEX('Pooled funds'!$E:$E,ROW())&gt;=1,--INDEX('Pooled funds'!$E:$E,ROW())/100,--INDEX('Pooled funds'!$E:$E,ROW())),0)</f>
        <v/>
      </c>
      <c r="U1693">
        <f>IF(ISNUMBER(INDEX('Pooled funds'!$E:$E,ROW())),1,0)</f>
        <v/>
      </c>
    </row>
    <row r="1694">
      <c r="A1694">
        <f>TRIM(SUBSTITUTE(INDEX('Term investments'!$A:$A,ROW())&amp;""," "," "))</f>
        <v/>
      </c>
      <c r="B1694">
        <f>TRIM(SUBSTITUTE(INDEX('Term investments'!$B:$B,ROW())&amp;""," "," "))</f>
        <v/>
      </c>
      <c r="C1694">
        <f>TRIM(SUBSTITUTE(INDEX('Term investments'!$C:$C,ROW())&amp;""," "," "))</f>
        <v/>
      </c>
      <c r="D1694">
        <f>IFERROR(--INDEX('Term investments'!$D:$D,ROW()),0)</f>
        <v/>
      </c>
      <c r="E1694">
        <f>IFERROR(--INDEX('Term investments'!$E:$E,ROW()),0)</f>
        <v/>
      </c>
      <c r="F1694">
        <f>IFERROR(--INDEX('Term investments'!$F:$F,ROW()),0)</f>
        <v/>
      </c>
      <c r="G1694">
        <f>IFERROR(IF(--INDEX('Term investments'!$G:$G,ROW())&gt;=1,--INDEX('Term investments'!$G:$G,ROW())/100,--INDEX('Term investments'!$G:$G,ROW())),0)</f>
        <v/>
      </c>
      <c r="H1694">
        <f>IFERROR(--INDEX('Term investments'!$H:$H,ROW()),0)</f>
        <v/>
      </c>
      <c r="I1694">
        <f>IF(ISNUMBER(INDEX('Term investments'!$G:$G,ROW())),1,0)</f>
        <v/>
      </c>
      <c r="J1694">
        <f>TRIM(SUBSTITUTE(INDEX('Call accounts and MMFs'!$A:$A,ROW())&amp;""," "," "))</f>
        <v/>
      </c>
      <c r="K1694">
        <f>TRIM(SUBSTITUTE(INDEX('Call accounts and MMFs'!$B:$B,ROW())&amp;""," "," "))</f>
        <v/>
      </c>
      <c r="L1694">
        <f>TRIM(SUBSTITUTE(INDEX('Call accounts and MMFs'!$C:$C,ROW())&amp;""," "," "))</f>
        <v/>
      </c>
      <c r="M1694">
        <f>IFERROR(--INDEX('Call accounts and MMFs'!$D:$D,ROW()),0)</f>
        <v/>
      </c>
      <c r="N1694">
        <f>IFERROR(IF(--INDEX('Call accounts and MMFs'!$E:$E,ROW())&gt;=1,--INDEX('Call accounts and MMFs'!$E:$E,ROW())/100,--INDEX('Call accounts and MMFs'!$E:$E,ROW())),0)</f>
        <v/>
      </c>
      <c r="O1694">
        <f>IFERROR(--INDEX('Call accounts and MMFs'!$F:$F,ROW()),0)</f>
        <v/>
      </c>
      <c r="P1694">
        <f>IF(ISNUMBER(INDEX('Call accounts and MMFs'!$E:$E,ROW())),1,0)</f>
        <v/>
      </c>
      <c r="Q1694">
        <f>TRIM(SUBSTITUTE(INDEX('Pooled funds'!$B:$B,ROW())&amp;""," "," "))</f>
        <v/>
      </c>
      <c r="R1694">
        <f>IFERROR(--INDEX('Pooled funds'!$C:$C,ROW()),0)</f>
        <v/>
      </c>
      <c r="S1694">
        <f>IFERROR(--INDEX('Pooled funds'!$D:$D,ROW()),0)</f>
        <v/>
      </c>
      <c r="T1694">
        <f>IFERROR(IF(--INDEX('Pooled funds'!$E:$E,ROW())&gt;=1,--INDEX('Pooled funds'!$E:$E,ROW())/100,--INDEX('Pooled funds'!$E:$E,ROW())),0)</f>
        <v/>
      </c>
      <c r="U1694">
        <f>IF(ISNUMBER(INDEX('Pooled funds'!$E:$E,ROW())),1,0)</f>
        <v/>
      </c>
    </row>
    <row r="1695">
      <c r="A1695">
        <f>TRIM(SUBSTITUTE(INDEX('Term investments'!$A:$A,ROW())&amp;""," "," "))</f>
        <v/>
      </c>
      <c r="B1695">
        <f>TRIM(SUBSTITUTE(INDEX('Term investments'!$B:$B,ROW())&amp;""," "," "))</f>
        <v/>
      </c>
      <c r="C1695">
        <f>TRIM(SUBSTITUTE(INDEX('Term investments'!$C:$C,ROW())&amp;""," "," "))</f>
        <v/>
      </c>
      <c r="D1695">
        <f>IFERROR(--INDEX('Term investments'!$D:$D,ROW()),0)</f>
        <v/>
      </c>
      <c r="E1695">
        <f>IFERROR(--INDEX('Term investments'!$E:$E,ROW()),0)</f>
        <v/>
      </c>
      <c r="F1695">
        <f>IFERROR(--INDEX('Term investments'!$F:$F,ROW()),0)</f>
        <v/>
      </c>
      <c r="G1695">
        <f>IFERROR(IF(--INDEX('Term investments'!$G:$G,ROW())&gt;=1,--INDEX('Term investments'!$G:$G,ROW())/100,--INDEX('Term investments'!$G:$G,ROW())),0)</f>
        <v/>
      </c>
      <c r="H1695">
        <f>IFERROR(--INDEX('Term investments'!$H:$H,ROW()),0)</f>
        <v/>
      </c>
      <c r="I1695">
        <f>IF(ISNUMBER(INDEX('Term investments'!$G:$G,ROW())),1,0)</f>
        <v/>
      </c>
      <c r="J1695">
        <f>TRIM(SUBSTITUTE(INDEX('Call accounts and MMFs'!$A:$A,ROW())&amp;""," "," "))</f>
        <v/>
      </c>
      <c r="K1695">
        <f>TRIM(SUBSTITUTE(INDEX('Call accounts and MMFs'!$B:$B,ROW())&amp;""," "," "))</f>
        <v/>
      </c>
      <c r="L1695">
        <f>TRIM(SUBSTITUTE(INDEX('Call accounts and MMFs'!$C:$C,ROW())&amp;""," "," "))</f>
        <v/>
      </c>
      <c r="M1695">
        <f>IFERROR(--INDEX('Call accounts and MMFs'!$D:$D,ROW()),0)</f>
        <v/>
      </c>
      <c r="N1695">
        <f>IFERROR(IF(--INDEX('Call accounts and MMFs'!$E:$E,ROW())&gt;=1,--INDEX('Call accounts and MMFs'!$E:$E,ROW())/100,--INDEX('Call accounts and MMFs'!$E:$E,ROW())),0)</f>
        <v/>
      </c>
      <c r="O1695">
        <f>IFERROR(--INDEX('Call accounts and MMFs'!$F:$F,ROW()),0)</f>
        <v/>
      </c>
      <c r="P1695">
        <f>IF(ISNUMBER(INDEX('Call accounts and MMFs'!$E:$E,ROW())),1,0)</f>
        <v/>
      </c>
      <c r="Q1695">
        <f>TRIM(SUBSTITUTE(INDEX('Pooled funds'!$B:$B,ROW())&amp;""," "," "))</f>
        <v/>
      </c>
      <c r="R1695">
        <f>IFERROR(--INDEX('Pooled funds'!$C:$C,ROW()),0)</f>
        <v/>
      </c>
      <c r="S1695">
        <f>IFERROR(--INDEX('Pooled funds'!$D:$D,ROW()),0)</f>
        <v/>
      </c>
      <c r="T1695">
        <f>IFERROR(IF(--INDEX('Pooled funds'!$E:$E,ROW())&gt;=1,--INDEX('Pooled funds'!$E:$E,ROW())/100,--INDEX('Pooled funds'!$E:$E,ROW())),0)</f>
        <v/>
      </c>
      <c r="U1695">
        <f>IF(ISNUMBER(INDEX('Pooled funds'!$E:$E,ROW())),1,0)</f>
        <v/>
      </c>
    </row>
    <row r="1696">
      <c r="A1696">
        <f>TRIM(SUBSTITUTE(INDEX('Term investments'!$A:$A,ROW())&amp;""," "," "))</f>
        <v/>
      </c>
      <c r="B1696">
        <f>TRIM(SUBSTITUTE(INDEX('Term investments'!$B:$B,ROW())&amp;""," "," "))</f>
        <v/>
      </c>
      <c r="C1696">
        <f>TRIM(SUBSTITUTE(INDEX('Term investments'!$C:$C,ROW())&amp;""," "," "))</f>
        <v/>
      </c>
      <c r="D1696">
        <f>IFERROR(--INDEX('Term investments'!$D:$D,ROW()),0)</f>
        <v/>
      </c>
      <c r="E1696">
        <f>IFERROR(--INDEX('Term investments'!$E:$E,ROW()),0)</f>
        <v/>
      </c>
      <c r="F1696">
        <f>IFERROR(--INDEX('Term investments'!$F:$F,ROW()),0)</f>
        <v/>
      </c>
      <c r="G1696">
        <f>IFERROR(IF(--INDEX('Term investments'!$G:$G,ROW())&gt;=1,--INDEX('Term investments'!$G:$G,ROW())/100,--INDEX('Term investments'!$G:$G,ROW())),0)</f>
        <v/>
      </c>
      <c r="H1696">
        <f>IFERROR(--INDEX('Term investments'!$H:$H,ROW()),0)</f>
        <v/>
      </c>
      <c r="I1696">
        <f>IF(ISNUMBER(INDEX('Term investments'!$G:$G,ROW())),1,0)</f>
        <v/>
      </c>
      <c r="J1696">
        <f>TRIM(SUBSTITUTE(INDEX('Call accounts and MMFs'!$A:$A,ROW())&amp;""," "," "))</f>
        <v/>
      </c>
      <c r="K1696">
        <f>TRIM(SUBSTITUTE(INDEX('Call accounts and MMFs'!$B:$B,ROW())&amp;""," "," "))</f>
        <v/>
      </c>
      <c r="L1696">
        <f>TRIM(SUBSTITUTE(INDEX('Call accounts and MMFs'!$C:$C,ROW())&amp;""," "," "))</f>
        <v/>
      </c>
      <c r="M1696">
        <f>IFERROR(--INDEX('Call accounts and MMFs'!$D:$D,ROW()),0)</f>
        <v/>
      </c>
      <c r="N1696">
        <f>IFERROR(IF(--INDEX('Call accounts and MMFs'!$E:$E,ROW())&gt;=1,--INDEX('Call accounts and MMFs'!$E:$E,ROW())/100,--INDEX('Call accounts and MMFs'!$E:$E,ROW())),0)</f>
        <v/>
      </c>
      <c r="O1696">
        <f>IFERROR(--INDEX('Call accounts and MMFs'!$F:$F,ROW()),0)</f>
        <v/>
      </c>
      <c r="P1696">
        <f>IF(ISNUMBER(INDEX('Call accounts and MMFs'!$E:$E,ROW())),1,0)</f>
        <v/>
      </c>
      <c r="Q1696">
        <f>TRIM(SUBSTITUTE(INDEX('Pooled funds'!$B:$B,ROW())&amp;""," "," "))</f>
        <v/>
      </c>
      <c r="R1696">
        <f>IFERROR(--INDEX('Pooled funds'!$C:$C,ROW()),0)</f>
        <v/>
      </c>
      <c r="S1696">
        <f>IFERROR(--INDEX('Pooled funds'!$D:$D,ROW()),0)</f>
        <v/>
      </c>
      <c r="T1696">
        <f>IFERROR(IF(--INDEX('Pooled funds'!$E:$E,ROW())&gt;=1,--INDEX('Pooled funds'!$E:$E,ROW())/100,--INDEX('Pooled funds'!$E:$E,ROW())),0)</f>
        <v/>
      </c>
      <c r="U1696">
        <f>IF(ISNUMBER(INDEX('Pooled funds'!$E:$E,ROW())),1,0)</f>
        <v/>
      </c>
    </row>
    <row r="1697">
      <c r="A1697">
        <f>TRIM(SUBSTITUTE(INDEX('Term investments'!$A:$A,ROW())&amp;""," "," "))</f>
        <v/>
      </c>
      <c r="B1697">
        <f>TRIM(SUBSTITUTE(INDEX('Term investments'!$B:$B,ROW())&amp;""," "," "))</f>
        <v/>
      </c>
      <c r="C1697">
        <f>TRIM(SUBSTITUTE(INDEX('Term investments'!$C:$C,ROW())&amp;""," "," "))</f>
        <v/>
      </c>
      <c r="D1697">
        <f>IFERROR(--INDEX('Term investments'!$D:$D,ROW()),0)</f>
        <v/>
      </c>
      <c r="E1697">
        <f>IFERROR(--INDEX('Term investments'!$E:$E,ROW()),0)</f>
        <v/>
      </c>
      <c r="F1697">
        <f>IFERROR(--INDEX('Term investments'!$F:$F,ROW()),0)</f>
        <v/>
      </c>
      <c r="G1697">
        <f>IFERROR(IF(--INDEX('Term investments'!$G:$G,ROW())&gt;=1,--INDEX('Term investments'!$G:$G,ROW())/100,--INDEX('Term investments'!$G:$G,ROW())),0)</f>
        <v/>
      </c>
      <c r="H1697">
        <f>IFERROR(--INDEX('Term investments'!$H:$H,ROW()),0)</f>
        <v/>
      </c>
      <c r="I1697">
        <f>IF(ISNUMBER(INDEX('Term investments'!$G:$G,ROW())),1,0)</f>
        <v/>
      </c>
      <c r="J1697">
        <f>TRIM(SUBSTITUTE(INDEX('Call accounts and MMFs'!$A:$A,ROW())&amp;""," "," "))</f>
        <v/>
      </c>
      <c r="K1697">
        <f>TRIM(SUBSTITUTE(INDEX('Call accounts and MMFs'!$B:$B,ROW())&amp;""," "," "))</f>
        <v/>
      </c>
      <c r="L1697">
        <f>TRIM(SUBSTITUTE(INDEX('Call accounts and MMFs'!$C:$C,ROW())&amp;""," "," "))</f>
        <v/>
      </c>
      <c r="M1697">
        <f>IFERROR(--INDEX('Call accounts and MMFs'!$D:$D,ROW()),0)</f>
        <v/>
      </c>
      <c r="N1697">
        <f>IFERROR(IF(--INDEX('Call accounts and MMFs'!$E:$E,ROW())&gt;=1,--INDEX('Call accounts and MMFs'!$E:$E,ROW())/100,--INDEX('Call accounts and MMFs'!$E:$E,ROW())),0)</f>
        <v/>
      </c>
      <c r="O1697">
        <f>IFERROR(--INDEX('Call accounts and MMFs'!$F:$F,ROW()),0)</f>
        <v/>
      </c>
      <c r="P1697">
        <f>IF(ISNUMBER(INDEX('Call accounts and MMFs'!$E:$E,ROW())),1,0)</f>
        <v/>
      </c>
      <c r="Q1697">
        <f>TRIM(SUBSTITUTE(INDEX('Pooled funds'!$B:$B,ROW())&amp;""," "," "))</f>
        <v/>
      </c>
      <c r="R1697">
        <f>IFERROR(--INDEX('Pooled funds'!$C:$C,ROW()),0)</f>
        <v/>
      </c>
      <c r="S1697">
        <f>IFERROR(--INDEX('Pooled funds'!$D:$D,ROW()),0)</f>
        <v/>
      </c>
      <c r="T1697">
        <f>IFERROR(IF(--INDEX('Pooled funds'!$E:$E,ROW())&gt;=1,--INDEX('Pooled funds'!$E:$E,ROW())/100,--INDEX('Pooled funds'!$E:$E,ROW())),0)</f>
        <v/>
      </c>
      <c r="U1697">
        <f>IF(ISNUMBER(INDEX('Pooled funds'!$E:$E,ROW())),1,0)</f>
        <v/>
      </c>
    </row>
    <row r="1698">
      <c r="A1698">
        <f>TRIM(SUBSTITUTE(INDEX('Term investments'!$A:$A,ROW())&amp;""," "," "))</f>
        <v/>
      </c>
      <c r="B1698">
        <f>TRIM(SUBSTITUTE(INDEX('Term investments'!$B:$B,ROW())&amp;""," "," "))</f>
        <v/>
      </c>
      <c r="C1698">
        <f>TRIM(SUBSTITUTE(INDEX('Term investments'!$C:$C,ROW())&amp;""," "," "))</f>
        <v/>
      </c>
      <c r="D1698">
        <f>IFERROR(--INDEX('Term investments'!$D:$D,ROW()),0)</f>
        <v/>
      </c>
      <c r="E1698">
        <f>IFERROR(--INDEX('Term investments'!$E:$E,ROW()),0)</f>
        <v/>
      </c>
      <c r="F1698">
        <f>IFERROR(--INDEX('Term investments'!$F:$F,ROW()),0)</f>
        <v/>
      </c>
      <c r="G1698">
        <f>IFERROR(IF(--INDEX('Term investments'!$G:$G,ROW())&gt;=1,--INDEX('Term investments'!$G:$G,ROW())/100,--INDEX('Term investments'!$G:$G,ROW())),0)</f>
        <v/>
      </c>
      <c r="H1698">
        <f>IFERROR(--INDEX('Term investments'!$H:$H,ROW()),0)</f>
        <v/>
      </c>
      <c r="I1698">
        <f>IF(ISNUMBER(INDEX('Term investments'!$G:$G,ROW())),1,0)</f>
        <v/>
      </c>
      <c r="J1698">
        <f>TRIM(SUBSTITUTE(INDEX('Call accounts and MMFs'!$A:$A,ROW())&amp;""," "," "))</f>
        <v/>
      </c>
      <c r="K1698">
        <f>TRIM(SUBSTITUTE(INDEX('Call accounts and MMFs'!$B:$B,ROW())&amp;""," "," "))</f>
        <v/>
      </c>
      <c r="L1698">
        <f>TRIM(SUBSTITUTE(INDEX('Call accounts and MMFs'!$C:$C,ROW())&amp;""," "," "))</f>
        <v/>
      </c>
      <c r="M1698">
        <f>IFERROR(--INDEX('Call accounts and MMFs'!$D:$D,ROW()),0)</f>
        <v/>
      </c>
      <c r="N1698">
        <f>IFERROR(IF(--INDEX('Call accounts and MMFs'!$E:$E,ROW())&gt;=1,--INDEX('Call accounts and MMFs'!$E:$E,ROW())/100,--INDEX('Call accounts and MMFs'!$E:$E,ROW())),0)</f>
        <v/>
      </c>
      <c r="O1698">
        <f>IFERROR(--INDEX('Call accounts and MMFs'!$F:$F,ROW()),0)</f>
        <v/>
      </c>
      <c r="P1698">
        <f>IF(ISNUMBER(INDEX('Call accounts and MMFs'!$E:$E,ROW())),1,0)</f>
        <v/>
      </c>
      <c r="Q1698">
        <f>TRIM(SUBSTITUTE(INDEX('Pooled funds'!$B:$B,ROW())&amp;""," "," "))</f>
        <v/>
      </c>
      <c r="R1698">
        <f>IFERROR(--INDEX('Pooled funds'!$C:$C,ROW()),0)</f>
        <v/>
      </c>
      <c r="S1698">
        <f>IFERROR(--INDEX('Pooled funds'!$D:$D,ROW()),0)</f>
        <v/>
      </c>
      <c r="T1698">
        <f>IFERROR(IF(--INDEX('Pooled funds'!$E:$E,ROW())&gt;=1,--INDEX('Pooled funds'!$E:$E,ROW())/100,--INDEX('Pooled funds'!$E:$E,ROW())),0)</f>
        <v/>
      </c>
      <c r="U1698">
        <f>IF(ISNUMBER(INDEX('Pooled funds'!$E:$E,ROW())),1,0)</f>
        <v/>
      </c>
    </row>
    <row r="1699">
      <c r="A1699">
        <f>TRIM(SUBSTITUTE(INDEX('Term investments'!$A:$A,ROW())&amp;""," "," "))</f>
        <v/>
      </c>
      <c r="B1699">
        <f>TRIM(SUBSTITUTE(INDEX('Term investments'!$B:$B,ROW())&amp;""," "," "))</f>
        <v/>
      </c>
      <c r="C1699">
        <f>TRIM(SUBSTITUTE(INDEX('Term investments'!$C:$C,ROW())&amp;""," "," "))</f>
        <v/>
      </c>
      <c r="D1699">
        <f>IFERROR(--INDEX('Term investments'!$D:$D,ROW()),0)</f>
        <v/>
      </c>
      <c r="E1699">
        <f>IFERROR(--INDEX('Term investments'!$E:$E,ROW()),0)</f>
        <v/>
      </c>
      <c r="F1699">
        <f>IFERROR(--INDEX('Term investments'!$F:$F,ROW()),0)</f>
        <v/>
      </c>
      <c r="G1699">
        <f>IFERROR(IF(--INDEX('Term investments'!$G:$G,ROW())&gt;=1,--INDEX('Term investments'!$G:$G,ROW())/100,--INDEX('Term investments'!$G:$G,ROW())),0)</f>
        <v/>
      </c>
      <c r="H1699">
        <f>IFERROR(--INDEX('Term investments'!$H:$H,ROW()),0)</f>
        <v/>
      </c>
      <c r="I1699">
        <f>IF(ISNUMBER(INDEX('Term investments'!$G:$G,ROW())),1,0)</f>
        <v/>
      </c>
      <c r="J1699">
        <f>TRIM(SUBSTITUTE(INDEX('Call accounts and MMFs'!$A:$A,ROW())&amp;""," "," "))</f>
        <v/>
      </c>
      <c r="K1699">
        <f>TRIM(SUBSTITUTE(INDEX('Call accounts and MMFs'!$B:$B,ROW())&amp;""," "," "))</f>
        <v/>
      </c>
      <c r="L1699">
        <f>TRIM(SUBSTITUTE(INDEX('Call accounts and MMFs'!$C:$C,ROW())&amp;""," "," "))</f>
        <v/>
      </c>
      <c r="M1699">
        <f>IFERROR(--INDEX('Call accounts and MMFs'!$D:$D,ROW()),0)</f>
        <v/>
      </c>
      <c r="N1699">
        <f>IFERROR(IF(--INDEX('Call accounts and MMFs'!$E:$E,ROW())&gt;=1,--INDEX('Call accounts and MMFs'!$E:$E,ROW())/100,--INDEX('Call accounts and MMFs'!$E:$E,ROW())),0)</f>
        <v/>
      </c>
      <c r="O1699">
        <f>IFERROR(--INDEX('Call accounts and MMFs'!$F:$F,ROW()),0)</f>
        <v/>
      </c>
      <c r="P1699">
        <f>IF(ISNUMBER(INDEX('Call accounts and MMFs'!$E:$E,ROW())),1,0)</f>
        <v/>
      </c>
      <c r="Q1699">
        <f>TRIM(SUBSTITUTE(INDEX('Pooled funds'!$B:$B,ROW())&amp;""," "," "))</f>
        <v/>
      </c>
      <c r="R1699">
        <f>IFERROR(--INDEX('Pooled funds'!$C:$C,ROW()),0)</f>
        <v/>
      </c>
      <c r="S1699">
        <f>IFERROR(--INDEX('Pooled funds'!$D:$D,ROW()),0)</f>
        <v/>
      </c>
      <c r="T1699">
        <f>IFERROR(IF(--INDEX('Pooled funds'!$E:$E,ROW())&gt;=1,--INDEX('Pooled funds'!$E:$E,ROW())/100,--INDEX('Pooled funds'!$E:$E,ROW())),0)</f>
        <v/>
      </c>
      <c r="U1699">
        <f>IF(ISNUMBER(INDEX('Pooled funds'!$E:$E,ROW())),1,0)</f>
        <v/>
      </c>
    </row>
    <row r="1700">
      <c r="A1700">
        <f>TRIM(SUBSTITUTE(INDEX('Term investments'!$A:$A,ROW())&amp;""," "," "))</f>
        <v/>
      </c>
      <c r="B1700">
        <f>TRIM(SUBSTITUTE(INDEX('Term investments'!$B:$B,ROW())&amp;""," "," "))</f>
        <v/>
      </c>
      <c r="C1700">
        <f>TRIM(SUBSTITUTE(INDEX('Term investments'!$C:$C,ROW())&amp;""," "," "))</f>
        <v/>
      </c>
      <c r="D1700">
        <f>IFERROR(--INDEX('Term investments'!$D:$D,ROW()),0)</f>
        <v/>
      </c>
      <c r="E1700">
        <f>IFERROR(--INDEX('Term investments'!$E:$E,ROW()),0)</f>
        <v/>
      </c>
      <c r="F1700">
        <f>IFERROR(--INDEX('Term investments'!$F:$F,ROW()),0)</f>
        <v/>
      </c>
      <c r="G1700">
        <f>IFERROR(IF(--INDEX('Term investments'!$G:$G,ROW())&gt;=1,--INDEX('Term investments'!$G:$G,ROW())/100,--INDEX('Term investments'!$G:$G,ROW())),0)</f>
        <v/>
      </c>
      <c r="H1700">
        <f>IFERROR(--INDEX('Term investments'!$H:$H,ROW()),0)</f>
        <v/>
      </c>
      <c r="I1700">
        <f>IF(ISNUMBER(INDEX('Term investments'!$G:$G,ROW())),1,0)</f>
        <v/>
      </c>
      <c r="J1700">
        <f>TRIM(SUBSTITUTE(INDEX('Call accounts and MMFs'!$A:$A,ROW())&amp;""," "," "))</f>
        <v/>
      </c>
      <c r="K1700">
        <f>TRIM(SUBSTITUTE(INDEX('Call accounts and MMFs'!$B:$B,ROW())&amp;""," "," "))</f>
        <v/>
      </c>
      <c r="L1700">
        <f>TRIM(SUBSTITUTE(INDEX('Call accounts and MMFs'!$C:$C,ROW())&amp;""," "," "))</f>
        <v/>
      </c>
      <c r="M1700">
        <f>IFERROR(--INDEX('Call accounts and MMFs'!$D:$D,ROW()),0)</f>
        <v/>
      </c>
      <c r="N1700">
        <f>IFERROR(IF(--INDEX('Call accounts and MMFs'!$E:$E,ROW())&gt;=1,--INDEX('Call accounts and MMFs'!$E:$E,ROW())/100,--INDEX('Call accounts and MMFs'!$E:$E,ROW())),0)</f>
        <v/>
      </c>
      <c r="O1700">
        <f>IFERROR(--INDEX('Call accounts and MMFs'!$F:$F,ROW()),0)</f>
        <v/>
      </c>
      <c r="P1700">
        <f>IF(ISNUMBER(INDEX('Call accounts and MMFs'!$E:$E,ROW())),1,0)</f>
        <v/>
      </c>
      <c r="Q1700">
        <f>TRIM(SUBSTITUTE(INDEX('Pooled funds'!$B:$B,ROW())&amp;""," "," "))</f>
        <v/>
      </c>
      <c r="R1700">
        <f>IFERROR(--INDEX('Pooled funds'!$C:$C,ROW()),0)</f>
        <v/>
      </c>
      <c r="S1700">
        <f>IFERROR(--INDEX('Pooled funds'!$D:$D,ROW()),0)</f>
        <v/>
      </c>
      <c r="T1700">
        <f>IFERROR(IF(--INDEX('Pooled funds'!$E:$E,ROW())&gt;=1,--INDEX('Pooled funds'!$E:$E,ROW())/100,--INDEX('Pooled funds'!$E:$E,ROW())),0)</f>
        <v/>
      </c>
      <c r="U1700">
        <f>IF(ISNUMBER(INDEX('Pooled funds'!$E:$E,ROW())),1,0)</f>
        <v/>
      </c>
    </row>
    <row r="1701">
      <c r="A1701">
        <f>TRIM(SUBSTITUTE(INDEX('Term investments'!$A:$A,ROW())&amp;""," "," "))</f>
        <v/>
      </c>
      <c r="B1701">
        <f>TRIM(SUBSTITUTE(INDEX('Term investments'!$B:$B,ROW())&amp;""," "," "))</f>
        <v/>
      </c>
      <c r="C1701">
        <f>TRIM(SUBSTITUTE(INDEX('Term investments'!$C:$C,ROW())&amp;""," "," "))</f>
        <v/>
      </c>
      <c r="D1701">
        <f>IFERROR(--INDEX('Term investments'!$D:$D,ROW()),0)</f>
        <v/>
      </c>
      <c r="E1701">
        <f>IFERROR(--INDEX('Term investments'!$E:$E,ROW()),0)</f>
        <v/>
      </c>
      <c r="F1701">
        <f>IFERROR(--INDEX('Term investments'!$F:$F,ROW()),0)</f>
        <v/>
      </c>
      <c r="G1701">
        <f>IFERROR(IF(--INDEX('Term investments'!$G:$G,ROW())&gt;=1,--INDEX('Term investments'!$G:$G,ROW())/100,--INDEX('Term investments'!$G:$G,ROW())),0)</f>
        <v/>
      </c>
      <c r="H1701">
        <f>IFERROR(--INDEX('Term investments'!$H:$H,ROW()),0)</f>
        <v/>
      </c>
      <c r="I1701">
        <f>IF(ISNUMBER(INDEX('Term investments'!$G:$G,ROW())),1,0)</f>
        <v/>
      </c>
      <c r="J1701">
        <f>TRIM(SUBSTITUTE(INDEX('Call accounts and MMFs'!$A:$A,ROW())&amp;""," "," "))</f>
        <v/>
      </c>
      <c r="K1701">
        <f>TRIM(SUBSTITUTE(INDEX('Call accounts and MMFs'!$B:$B,ROW())&amp;""," "," "))</f>
        <v/>
      </c>
      <c r="L1701">
        <f>TRIM(SUBSTITUTE(INDEX('Call accounts and MMFs'!$C:$C,ROW())&amp;""," "," "))</f>
        <v/>
      </c>
      <c r="M1701">
        <f>IFERROR(--INDEX('Call accounts and MMFs'!$D:$D,ROW()),0)</f>
        <v/>
      </c>
      <c r="N1701">
        <f>IFERROR(IF(--INDEX('Call accounts and MMFs'!$E:$E,ROW())&gt;=1,--INDEX('Call accounts and MMFs'!$E:$E,ROW())/100,--INDEX('Call accounts and MMFs'!$E:$E,ROW())),0)</f>
        <v/>
      </c>
      <c r="O1701">
        <f>IFERROR(--INDEX('Call accounts and MMFs'!$F:$F,ROW()),0)</f>
        <v/>
      </c>
      <c r="P1701">
        <f>IF(ISNUMBER(INDEX('Call accounts and MMFs'!$E:$E,ROW())),1,0)</f>
        <v/>
      </c>
      <c r="Q1701">
        <f>TRIM(SUBSTITUTE(INDEX('Pooled funds'!$B:$B,ROW())&amp;""," "," "))</f>
        <v/>
      </c>
      <c r="R1701">
        <f>IFERROR(--INDEX('Pooled funds'!$C:$C,ROW()),0)</f>
        <v/>
      </c>
      <c r="S1701">
        <f>IFERROR(--INDEX('Pooled funds'!$D:$D,ROW()),0)</f>
        <v/>
      </c>
      <c r="T1701">
        <f>IFERROR(IF(--INDEX('Pooled funds'!$E:$E,ROW())&gt;=1,--INDEX('Pooled funds'!$E:$E,ROW())/100,--INDEX('Pooled funds'!$E:$E,ROW())),0)</f>
        <v/>
      </c>
      <c r="U1701">
        <f>IF(ISNUMBER(INDEX('Pooled funds'!$E:$E,ROW())),1,0)</f>
        <v/>
      </c>
    </row>
    <row r="1702">
      <c r="A1702">
        <f>TRIM(SUBSTITUTE(INDEX('Term investments'!$A:$A,ROW())&amp;""," "," "))</f>
        <v/>
      </c>
      <c r="B1702">
        <f>TRIM(SUBSTITUTE(INDEX('Term investments'!$B:$B,ROW())&amp;""," "," "))</f>
        <v/>
      </c>
      <c r="C1702">
        <f>TRIM(SUBSTITUTE(INDEX('Term investments'!$C:$C,ROW())&amp;""," "," "))</f>
        <v/>
      </c>
      <c r="D1702">
        <f>IFERROR(--INDEX('Term investments'!$D:$D,ROW()),0)</f>
        <v/>
      </c>
      <c r="E1702">
        <f>IFERROR(--INDEX('Term investments'!$E:$E,ROW()),0)</f>
        <v/>
      </c>
      <c r="F1702">
        <f>IFERROR(--INDEX('Term investments'!$F:$F,ROW()),0)</f>
        <v/>
      </c>
      <c r="G1702">
        <f>IFERROR(IF(--INDEX('Term investments'!$G:$G,ROW())&gt;=1,--INDEX('Term investments'!$G:$G,ROW())/100,--INDEX('Term investments'!$G:$G,ROW())),0)</f>
        <v/>
      </c>
      <c r="H1702">
        <f>IFERROR(--INDEX('Term investments'!$H:$H,ROW()),0)</f>
        <v/>
      </c>
      <c r="I1702">
        <f>IF(ISNUMBER(INDEX('Term investments'!$G:$G,ROW())),1,0)</f>
        <v/>
      </c>
      <c r="J1702">
        <f>TRIM(SUBSTITUTE(INDEX('Call accounts and MMFs'!$A:$A,ROW())&amp;""," "," "))</f>
        <v/>
      </c>
      <c r="K1702">
        <f>TRIM(SUBSTITUTE(INDEX('Call accounts and MMFs'!$B:$B,ROW())&amp;""," "," "))</f>
        <v/>
      </c>
      <c r="L1702">
        <f>TRIM(SUBSTITUTE(INDEX('Call accounts and MMFs'!$C:$C,ROW())&amp;""," "," "))</f>
        <v/>
      </c>
      <c r="M1702">
        <f>IFERROR(--INDEX('Call accounts and MMFs'!$D:$D,ROW()),0)</f>
        <v/>
      </c>
      <c r="N1702">
        <f>IFERROR(IF(--INDEX('Call accounts and MMFs'!$E:$E,ROW())&gt;=1,--INDEX('Call accounts and MMFs'!$E:$E,ROW())/100,--INDEX('Call accounts and MMFs'!$E:$E,ROW())),0)</f>
        <v/>
      </c>
      <c r="O1702">
        <f>IFERROR(--INDEX('Call accounts and MMFs'!$F:$F,ROW()),0)</f>
        <v/>
      </c>
      <c r="P1702">
        <f>IF(ISNUMBER(INDEX('Call accounts and MMFs'!$E:$E,ROW())),1,0)</f>
        <v/>
      </c>
      <c r="Q1702">
        <f>TRIM(SUBSTITUTE(INDEX('Pooled funds'!$B:$B,ROW())&amp;""," "," "))</f>
        <v/>
      </c>
      <c r="R1702">
        <f>IFERROR(--INDEX('Pooled funds'!$C:$C,ROW()),0)</f>
        <v/>
      </c>
      <c r="S1702">
        <f>IFERROR(--INDEX('Pooled funds'!$D:$D,ROW()),0)</f>
        <v/>
      </c>
      <c r="T1702">
        <f>IFERROR(IF(--INDEX('Pooled funds'!$E:$E,ROW())&gt;=1,--INDEX('Pooled funds'!$E:$E,ROW())/100,--INDEX('Pooled funds'!$E:$E,ROW())),0)</f>
        <v/>
      </c>
      <c r="U1702">
        <f>IF(ISNUMBER(INDEX('Pooled funds'!$E:$E,ROW())),1,0)</f>
        <v/>
      </c>
    </row>
    <row r="1703">
      <c r="A1703">
        <f>TRIM(SUBSTITUTE(INDEX('Term investments'!$A:$A,ROW())&amp;""," "," "))</f>
        <v/>
      </c>
      <c r="B1703">
        <f>TRIM(SUBSTITUTE(INDEX('Term investments'!$B:$B,ROW())&amp;""," "," "))</f>
        <v/>
      </c>
      <c r="C1703">
        <f>TRIM(SUBSTITUTE(INDEX('Term investments'!$C:$C,ROW())&amp;""," "," "))</f>
        <v/>
      </c>
      <c r="D1703">
        <f>IFERROR(--INDEX('Term investments'!$D:$D,ROW()),0)</f>
        <v/>
      </c>
      <c r="E1703">
        <f>IFERROR(--INDEX('Term investments'!$E:$E,ROW()),0)</f>
        <v/>
      </c>
      <c r="F1703">
        <f>IFERROR(--INDEX('Term investments'!$F:$F,ROW()),0)</f>
        <v/>
      </c>
      <c r="G1703">
        <f>IFERROR(IF(--INDEX('Term investments'!$G:$G,ROW())&gt;=1,--INDEX('Term investments'!$G:$G,ROW())/100,--INDEX('Term investments'!$G:$G,ROW())),0)</f>
        <v/>
      </c>
      <c r="H1703">
        <f>IFERROR(--INDEX('Term investments'!$H:$H,ROW()),0)</f>
        <v/>
      </c>
      <c r="I1703">
        <f>IF(ISNUMBER(INDEX('Term investments'!$G:$G,ROW())),1,0)</f>
        <v/>
      </c>
      <c r="J1703">
        <f>TRIM(SUBSTITUTE(INDEX('Call accounts and MMFs'!$A:$A,ROW())&amp;""," "," "))</f>
        <v/>
      </c>
      <c r="K1703">
        <f>TRIM(SUBSTITUTE(INDEX('Call accounts and MMFs'!$B:$B,ROW())&amp;""," "," "))</f>
        <v/>
      </c>
      <c r="L1703">
        <f>TRIM(SUBSTITUTE(INDEX('Call accounts and MMFs'!$C:$C,ROW())&amp;""," "," "))</f>
        <v/>
      </c>
      <c r="M1703">
        <f>IFERROR(--INDEX('Call accounts and MMFs'!$D:$D,ROW()),0)</f>
        <v/>
      </c>
      <c r="N1703">
        <f>IFERROR(IF(--INDEX('Call accounts and MMFs'!$E:$E,ROW())&gt;=1,--INDEX('Call accounts and MMFs'!$E:$E,ROW())/100,--INDEX('Call accounts and MMFs'!$E:$E,ROW())),0)</f>
        <v/>
      </c>
      <c r="O1703">
        <f>IFERROR(--INDEX('Call accounts and MMFs'!$F:$F,ROW()),0)</f>
        <v/>
      </c>
      <c r="P1703">
        <f>IF(ISNUMBER(INDEX('Call accounts and MMFs'!$E:$E,ROW())),1,0)</f>
        <v/>
      </c>
      <c r="Q1703">
        <f>TRIM(SUBSTITUTE(INDEX('Pooled funds'!$B:$B,ROW())&amp;""," "," "))</f>
        <v/>
      </c>
      <c r="R1703">
        <f>IFERROR(--INDEX('Pooled funds'!$C:$C,ROW()),0)</f>
        <v/>
      </c>
      <c r="S1703">
        <f>IFERROR(--INDEX('Pooled funds'!$D:$D,ROW()),0)</f>
        <v/>
      </c>
      <c r="T1703">
        <f>IFERROR(IF(--INDEX('Pooled funds'!$E:$E,ROW())&gt;=1,--INDEX('Pooled funds'!$E:$E,ROW())/100,--INDEX('Pooled funds'!$E:$E,ROW())),0)</f>
        <v/>
      </c>
      <c r="U1703">
        <f>IF(ISNUMBER(INDEX('Pooled funds'!$E:$E,ROW())),1,0)</f>
        <v/>
      </c>
    </row>
    <row r="1704">
      <c r="A1704">
        <f>TRIM(SUBSTITUTE(INDEX('Term investments'!$A:$A,ROW())&amp;""," "," "))</f>
        <v/>
      </c>
      <c r="B1704">
        <f>TRIM(SUBSTITUTE(INDEX('Term investments'!$B:$B,ROW())&amp;""," "," "))</f>
        <v/>
      </c>
      <c r="C1704">
        <f>TRIM(SUBSTITUTE(INDEX('Term investments'!$C:$C,ROW())&amp;""," "," "))</f>
        <v/>
      </c>
      <c r="D1704">
        <f>IFERROR(--INDEX('Term investments'!$D:$D,ROW()),0)</f>
        <v/>
      </c>
      <c r="E1704">
        <f>IFERROR(--INDEX('Term investments'!$E:$E,ROW()),0)</f>
        <v/>
      </c>
      <c r="F1704">
        <f>IFERROR(--INDEX('Term investments'!$F:$F,ROW()),0)</f>
        <v/>
      </c>
      <c r="G1704">
        <f>IFERROR(IF(--INDEX('Term investments'!$G:$G,ROW())&gt;=1,--INDEX('Term investments'!$G:$G,ROW())/100,--INDEX('Term investments'!$G:$G,ROW())),0)</f>
        <v/>
      </c>
      <c r="H1704">
        <f>IFERROR(--INDEX('Term investments'!$H:$H,ROW()),0)</f>
        <v/>
      </c>
      <c r="I1704">
        <f>IF(ISNUMBER(INDEX('Term investments'!$G:$G,ROW())),1,0)</f>
        <v/>
      </c>
      <c r="J1704">
        <f>TRIM(SUBSTITUTE(INDEX('Call accounts and MMFs'!$A:$A,ROW())&amp;""," "," "))</f>
        <v/>
      </c>
      <c r="K1704">
        <f>TRIM(SUBSTITUTE(INDEX('Call accounts and MMFs'!$B:$B,ROW())&amp;""," "," "))</f>
        <v/>
      </c>
      <c r="L1704">
        <f>TRIM(SUBSTITUTE(INDEX('Call accounts and MMFs'!$C:$C,ROW())&amp;""," "," "))</f>
        <v/>
      </c>
      <c r="M1704">
        <f>IFERROR(--INDEX('Call accounts and MMFs'!$D:$D,ROW()),0)</f>
        <v/>
      </c>
      <c r="N1704">
        <f>IFERROR(IF(--INDEX('Call accounts and MMFs'!$E:$E,ROW())&gt;=1,--INDEX('Call accounts and MMFs'!$E:$E,ROW())/100,--INDEX('Call accounts and MMFs'!$E:$E,ROW())),0)</f>
        <v/>
      </c>
      <c r="O1704">
        <f>IFERROR(--INDEX('Call accounts and MMFs'!$F:$F,ROW()),0)</f>
        <v/>
      </c>
      <c r="P1704">
        <f>IF(ISNUMBER(INDEX('Call accounts and MMFs'!$E:$E,ROW())),1,0)</f>
        <v/>
      </c>
      <c r="Q1704">
        <f>TRIM(SUBSTITUTE(INDEX('Pooled funds'!$B:$B,ROW())&amp;""," "," "))</f>
        <v/>
      </c>
      <c r="R1704">
        <f>IFERROR(--INDEX('Pooled funds'!$C:$C,ROW()),0)</f>
        <v/>
      </c>
      <c r="S1704">
        <f>IFERROR(--INDEX('Pooled funds'!$D:$D,ROW()),0)</f>
        <v/>
      </c>
      <c r="T1704">
        <f>IFERROR(IF(--INDEX('Pooled funds'!$E:$E,ROW())&gt;=1,--INDEX('Pooled funds'!$E:$E,ROW())/100,--INDEX('Pooled funds'!$E:$E,ROW())),0)</f>
        <v/>
      </c>
      <c r="U1704">
        <f>IF(ISNUMBER(INDEX('Pooled funds'!$E:$E,ROW())),1,0)</f>
        <v/>
      </c>
    </row>
    <row r="1705">
      <c r="A1705">
        <f>TRIM(SUBSTITUTE(INDEX('Term investments'!$A:$A,ROW())&amp;""," "," "))</f>
        <v/>
      </c>
      <c r="B1705">
        <f>TRIM(SUBSTITUTE(INDEX('Term investments'!$B:$B,ROW())&amp;""," "," "))</f>
        <v/>
      </c>
      <c r="C1705">
        <f>TRIM(SUBSTITUTE(INDEX('Term investments'!$C:$C,ROW())&amp;""," "," "))</f>
        <v/>
      </c>
      <c r="D1705">
        <f>IFERROR(--INDEX('Term investments'!$D:$D,ROW()),0)</f>
        <v/>
      </c>
      <c r="E1705">
        <f>IFERROR(--INDEX('Term investments'!$E:$E,ROW()),0)</f>
        <v/>
      </c>
      <c r="F1705">
        <f>IFERROR(--INDEX('Term investments'!$F:$F,ROW()),0)</f>
        <v/>
      </c>
      <c r="G1705">
        <f>IFERROR(IF(--INDEX('Term investments'!$G:$G,ROW())&gt;=1,--INDEX('Term investments'!$G:$G,ROW())/100,--INDEX('Term investments'!$G:$G,ROW())),0)</f>
        <v/>
      </c>
      <c r="H1705">
        <f>IFERROR(--INDEX('Term investments'!$H:$H,ROW()),0)</f>
        <v/>
      </c>
      <c r="I1705">
        <f>IF(ISNUMBER(INDEX('Term investments'!$G:$G,ROW())),1,0)</f>
        <v/>
      </c>
      <c r="J1705">
        <f>TRIM(SUBSTITUTE(INDEX('Call accounts and MMFs'!$A:$A,ROW())&amp;""," "," "))</f>
        <v/>
      </c>
      <c r="K1705">
        <f>TRIM(SUBSTITUTE(INDEX('Call accounts and MMFs'!$B:$B,ROW())&amp;""," "," "))</f>
        <v/>
      </c>
      <c r="L1705">
        <f>TRIM(SUBSTITUTE(INDEX('Call accounts and MMFs'!$C:$C,ROW())&amp;""," "," "))</f>
        <v/>
      </c>
      <c r="M1705">
        <f>IFERROR(--INDEX('Call accounts and MMFs'!$D:$D,ROW()),0)</f>
        <v/>
      </c>
      <c r="N1705">
        <f>IFERROR(IF(--INDEX('Call accounts and MMFs'!$E:$E,ROW())&gt;=1,--INDEX('Call accounts and MMFs'!$E:$E,ROW())/100,--INDEX('Call accounts and MMFs'!$E:$E,ROW())),0)</f>
        <v/>
      </c>
      <c r="O1705">
        <f>IFERROR(--INDEX('Call accounts and MMFs'!$F:$F,ROW()),0)</f>
        <v/>
      </c>
      <c r="P1705">
        <f>IF(ISNUMBER(INDEX('Call accounts and MMFs'!$E:$E,ROW())),1,0)</f>
        <v/>
      </c>
      <c r="Q1705">
        <f>TRIM(SUBSTITUTE(INDEX('Pooled funds'!$B:$B,ROW())&amp;""," "," "))</f>
        <v/>
      </c>
      <c r="R1705">
        <f>IFERROR(--INDEX('Pooled funds'!$C:$C,ROW()),0)</f>
        <v/>
      </c>
      <c r="S1705">
        <f>IFERROR(--INDEX('Pooled funds'!$D:$D,ROW()),0)</f>
        <v/>
      </c>
      <c r="T1705">
        <f>IFERROR(IF(--INDEX('Pooled funds'!$E:$E,ROW())&gt;=1,--INDEX('Pooled funds'!$E:$E,ROW())/100,--INDEX('Pooled funds'!$E:$E,ROW())),0)</f>
        <v/>
      </c>
      <c r="U1705">
        <f>IF(ISNUMBER(INDEX('Pooled funds'!$E:$E,ROW())),1,0)</f>
        <v/>
      </c>
    </row>
    <row r="1706">
      <c r="A1706">
        <f>TRIM(SUBSTITUTE(INDEX('Term investments'!$A:$A,ROW())&amp;""," "," "))</f>
        <v/>
      </c>
      <c r="B1706">
        <f>TRIM(SUBSTITUTE(INDEX('Term investments'!$B:$B,ROW())&amp;""," "," "))</f>
        <v/>
      </c>
      <c r="C1706">
        <f>TRIM(SUBSTITUTE(INDEX('Term investments'!$C:$C,ROW())&amp;""," "," "))</f>
        <v/>
      </c>
      <c r="D1706">
        <f>IFERROR(--INDEX('Term investments'!$D:$D,ROW()),0)</f>
        <v/>
      </c>
      <c r="E1706">
        <f>IFERROR(--INDEX('Term investments'!$E:$E,ROW()),0)</f>
        <v/>
      </c>
      <c r="F1706">
        <f>IFERROR(--INDEX('Term investments'!$F:$F,ROW()),0)</f>
        <v/>
      </c>
      <c r="G1706">
        <f>IFERROR(IF(--INDEX('Term investments'!$G:$G,ROW())&gt;=1,--INDEX('Term investments'!$G:$G,ROW())/100,--INDEX('Term investments'!$G:$G,ROW())),0)</f>
        <v/>
      </c>
      <c r="H1706">
        <f>IFERROR(--INDEX('Term investments'!$H:$H,ROW()),0)</f>
        <v/>
      </c>
      <c r="I1706">
        <f>IF(ISNUMBER(INDEX('Term investments'!$G:$G,ROW())),1,0)</f>
        <v/>
      </c>
      <c r="J1706">
        <f>TRIM(SUBSTITUTE(INDEX('Call accounts and MMFs'!$A:$A,ROW())&amp;""," "," "))</f>
        <v/>
      </c>
      <c r="K1706">
        <f>TRIM(SUBSTITUTE(INDEX('Call accounts and MMFs'!$B:$B,ROW())&amp;""," "," "))</f>
        <v/>
      </c>
      <c r="L1706">
        <f>TRIM(SUBSTITUTE(INDEX('Call accounts and MMFs'!$C:$C,ROW())&amp;""," "," "))</f>
        <v/>
      </c>
      <c r="M1706">
        <f>IFERROR(--INDEX('Call accounts and MMFs'!$D:$D,ROW()),0)</f>
        <v/>
      </c>
      <c r="N1706">
        <f>IFERROR(IF(--INDEX('Call accounts and MMFs'!$E:$E,ROW())&gt;=1,--INDEX('Call accounts and MMFs'!$E:$E,ROW())/100,--INDEX('Call accounts and MMFs'!$E:$E,ROW())),0)</f>
        <v/>
      </c>
      <c r="O1706">
        <f>IFERROR(--INDEX('Call accounts and MMFs'!$F:$F,ROW()),0)</f>
        <v/>
      </c>
      <c r="P1706">
        <f>IF(ISNUMBER(INDEX('Call accounts and MMFs'!$E:$E,ROW())),1,0)</f>
        <v/>
      </c>
      <c r="Q1706">
        <f>TRIM(SUBSTITUTE(INDEX('Pooled funds'!$B:$B,ROW())&amp;""," "," "))</f>
        <v/>
      </c>
      <c r="R1706">
        <f>IFERROR(--INDEX('Pooled funds'!$C:$C,ROW()),0)</f>
        <v/>
      </c>
      <c r="S1706">
        <f>IFERROR(--INDEX('Pooled funds'!$D:$D,ROW()),0)</f>
        <v/>
      </c>
      <c r="T1706">
        <f>IFERROR(IF(--INDEX('Pooled funds'!$E:$E,ROW())&gt;=1,--INDEX('Pooled funds'!$E:$E,ROW())/100,--INDEX('Pooled funds'!$E:$E,ROW())),0)</f>
        <v/>
      </c>
      <c r="U1706">
        <f>IF(ISNUMBER(INDEX('Pooled funds'!$E:$E,ROW())),1,0)</f>
        <v/>
      </c>
    </row>
    <row r="1707">
      <c r="A1707">
        <f>TRIM(SUBSTITUTE(INDEX('Term investments'!$A:$A,ROW())&amp;""," "," "))</f>
        <v/>
      </c>
      <c r="B1707">
        <f>TRIM(SUBSTITUTE(INDEX('Term investments'!$B:$B,ROW())&amp;""," "," "))</f>
        <v/>
      </c>
      <c r="C1707">
        <f>TRIM(SUBSTITUTE(INDEX('Term investments'!$C:$C,ROW())&amp;""," "," "))</f>
        <v/>
      </c>
      <c r="D1707">
        <f>IFERROR(--INDEX('Term investments'!$D:$D,ROW()),0)</f>
        <v/>
      </c>
      <c r="E1707">
        <f>IFERROR(--INDEX('Term investments'!$E:$E,ROW()),0)</f>
        <v/>
      </c>
      <c r="F1707">
        <f>IFERROR(--INDEX('Term investments'!$F:$F,ROW()),0)</f>
        <v/>
      </c>
      <c r="G1707">
        <f>IFERROR(IF(--INDEX('Term investments'!$G:$G,ROW())&gt;=1,--INDEX('Term investments'!$G:$G,ROW())/100,--INDEX('Term investments'!$G:$G,ROW())),0)</f>
        <v/>
      </c>
      <c r="H1707">
        <f>IFERROR(--INDEX('Term investments'!$H:$H,ROW()),0)</f>
        <v/>
      </c>
      <c r="I1707">
        <f>IF(ISNUMBER(INDEX('Term investments'!$G:$G,ROW())),1,0)</f>
        <v/>
      </c>
      <c r="J1707">
        <f>TRIM(SUBSTITUTE(INDEX('Call accounts and MMFs'!$A:$A,ROW())&amp;""," "," "))</f>
        <v/>
      </c>
      <c r="K1707">
        <f>TRIM(SUBSTITUTE(INDEX('Call accounts and MMFs'!$B:$B,ROW())&amp;""," "," "))</f>
        <v/>
      </c>
      <c r="L1707">
        <f>TRIM(SUBSTITUTE(INDEX('Call accounts and MMFs'!$C:$C,ROW())&amp;""," "," "))</f>
        <v/>
      </c>
      <c r="M1707">
        <f>IFERROR(--INDEX('Call accounts and MMFs'!$D:$D,ROW()),0)</f>
        <v/>
      </c>
      <c r="N1707">
        <f>IFERROR(IF(--INDEX('Call accounts and MMFs'!$E:$E,ROW())&gt;=1,--INDEX('Call accounts and MMFs'!$E:$E,ROW())/100,--INDEX('Call accounts and MMFs'!$E:$E,ROW())),0)</f>
        <v/>
      </c>
      <c r="O1707">
        <f>IFERROR(--INDEX('Call accounts and MMFs'!$F:$F,ROW()),0)</f>
        <v/>
      </c>
      <c r="P1707">
        <f>IF(ISNUMBER(INDEX('Call accounts and MMFs'!$E:$E,ROW())),1,0)</f>
        <v/>
      </c>
      <c r="Q1707">
        <f>TRIM(SUBSTITUTE(INDEX('Pooled funds'!$B:$B,ROW())&amp;""," "," "))</f>
        <v/>
      </c>
      <c r="R1707">
        <f>IFERROR(--INDEX('Pooled funds'!$C:$C,ROW()),0)</f>
        <v/>
      </c>
      <c r="S1707">
        <f>IFERROR(--INDEX('Pooled funds'!$D:$D,ROW()),0)</f>
        <v/>
      </c>
      <c r="T1707">
        <f>IFERROR(IF(--INDEX('Pooled funds'!$E:$E,ROW())&gt;=1,--INDEX('Pooled funds'!$E:$E,ROW())/100,--INDEX('Pooled funds'!$E:$E,ROW())),0)</f>
        <v/>
      </c>
      <c r="U1707">
        <f>IF(ISNUMBER(INDEX('Pooled funds'!$E:$E,ROW())),1,0)</f>
        <v/>
      </c>
    </row>
    <row r="1708">
      <c r="A1708">
        <f>TRIM(SUBSTITUTE(INDEX('Term investments'!$A:$A,ROW())&amp;""," "," "))</f>
        <v/>
      </c>
      <c r="B1708">
        <f>TRIM(SUBSTITUTE(INDEX('Term investments'!$B:$B,ROW())&amp;""," "," "))</f>
        <v/>
      </c>
      <c r="C1708">
        <f>TRIM(SUBSTITUTE(INDEX('Term investments'!$C:$C,ROW())&amp;""," "," "))</f>
        <v/>
      </c>
      <c r="D1708">
        <f>IFERROR(--INDEX('Term investments'!$D:$D,ROW()),0)</f>
        <v/>
      </c>
      <c r="E1708">
        <f>IFERROR(--INDEX('Term investments'!$E:$E,ROW()),0)</f>
        <v/>
      </c>
      <c r="F1708">
        <f>IFERROR(--INDEX('Term investments'!$F:$F,ROW()),0)</f>
        <v/>
      </c>
      <c r="G1708">
        <f>IFERROR(IF(--INDEX('Term investments'!$G:$G,ROW())&gt;=1,--INDEX('Term investments'!$G:$G,ROW())/100,--INDEX('Term investments'!$G:$G,ROW())),0)</f>
        <v/>
      </c>
      <c r="H1708">
        <f>IFERROR(--INDEX('Term investments'!$H:$H,ROW()),0)</f>
        <v/>
      </c>
      <c r="I1708">
        <f>IF(ISNUMBER(INDEX('Term investments'!$G:$G,ROW())),1,0)</f>
        <v/>
      </c>
      <c r="J1708">
        <f>TRIM(SUBSTITUTE(INDEX('Call accounts and MMFs'!$A:$A,ROW())&amp;""," "," "))</f>
        <v/>
      </c>
      <c r="K1708">
        <f>TRIM(SUBSTITUTE(INDEX('Call accounts and MMFs'!$B:$B,ROW())&amp;""," "," "))</f>
        <v/>
      </c>
      <c r="L1708">
        <f>TRIM(SUBSTITUTE(INDEX('Call accounts and MMFs'!$C:$C,ROW())&amp;""," "," "))</f>
        <v/>
      </c>
      <c r="M1708">
        <f>IFERROR(--INDEX('Call accounts and MMFs'!$D:$D,ROW()),0)</f>
        <v/>
      </c>
      <c r="N1708">
        <f>IFERROR(IF(--INDEX('Call accounts and MMFs'!$E:$E,ROW())&gt;=1,--INDEX('Call accounts and MMFs'!$E:$E,ROW())/100,--INDEX('Call accounts and MMFs'!$E:$E,ROW())),0)</f>
        <v/>
      </c>
      <c r="O1708">
        <f>IFERROR(--INDEX('Call accounts and MMFs'!$F:$F,ROW()),0)</f>
        <v/>
      </c>
      <c r="P1708">
        <f>IF(ISNUMBER(INDEX('Call accounts and MMFs'!$E:$E,ROW())),1,0)</f>
        <v/>
      </c>
      <c r="Q1708">
        <f>TRIM(SUBSTITUTE(INDEX('Pooled funds'!$B:$B,ROW())&amp;""," "," "))</f>
        <v/>
      </c>
      <c r="R1708">
        <f>IFERROR(--INDEX('Pooled funds'!$C:$C,ROW()),0)</f>
        <v/>
      </c>
      <c r="S1708">
        <f>IFERROR(--INDEX('Pooled funds'!$D:$D,ROW()),0)</f>
        <v/>
      </c>
      <c r="T1708">
        <f>IFERROR(IF(--INDEX('Pooled funds'!$E:$E,ROW())&gt;=1,--INDEX('Pooled funds'!$E:$E,ROW())/100,--INDEX('Pooled funds'!$E:$E,ROW())),0)</f>
        <v/>
      </c>
      <c r="U1708">
        <f>IF(ISNUMBER(INDEX('Pooled funds'!$E:$E,ROW())),1,0)</f>
        <v/>
      </c>
    </row>
    <row r="1709">
      <c r="A1709">
        <f>TRIM(SUBSTITUTE(INDEX('Term investments'!$A:$A,ROW())&amp;""," "," "))</f>
        <v/>
      </c>
      <c r="B1709">
        <f>TRIM(SUBSTITUTE(INDEX('Term investments'!$B:$B,ROW())&amp;""," "," "))</f>
        <v/>
      </c>
      <c r="C1709">
        <f>TRIM(SUBSTITUTE(INDEX('Term investments'!$C:$C,ROW())&amp;""," "," "))</f>
        <v/>
      </c>
      <c r="D1709">
        <f>IFERROR(--INDEX('Term investments'!$D:$D,ROW()),0)</f>
        <v/>
      </c>
      <c r="E1709">
        <f>IFERROR(--INDEX('Term investments'!$E:$E,ROW()),0)</f>
        <v/>
      </c>
      <c r="F1709">
        <f>IFERROR(--INDEX('Term investments'!$F:$F,ROW()),0)</f>
        <v/>
      </c>
      <c r="G1709">
        <f>IFERROR(IF(--INDEX('Term investments'!$G:$G,ROW())&gt;=1,--INDEX('Term investments'!$G:$G,ROW())/100,--INDEX('Term investments'!$G:$G,ROW())),0)</f>
        <v/>
      </c>
      <c r="H1709">
        <f>IFERROR(--INDEX('Term investments'!$H:$H,ROW()),0)</f>
        <v/>
      </c>
      <c r="I1709">
        <f>IF(ISNUMBER(INDEX('Term investments'!$G:$G,ROW())),1,0)</f>
        <v/>
      </c>
      <c r="J1709">
        <f>TRIM(SUBSTITUTE(INDEX('Call accounts and MMFs'!$A:$A,ROW())&amp;""," "," "))</f>
        <v/>
      </c>
      <c r="K1709">
        <f>TRIM(SUBSTITUTE(INDEX('Call accounts and MMFs'!$B:$B,ROW())&amp;""," "," "))</f>
        <v/>
      </c>
      <c r="L1709">
        <f>TRIM(SUBSTITUTE(INDEX('Call accounts and MMFs'!$C:$C,ROW())&amp;""," "," "))</f>
        <v/>
      </c>
      <c r="M1709">
        <f>IFERROR(--INDEX('Call accounts and MMFs'!$D:$D,ROW()),0)</f>
        <v/>
      </c>
      <c r="N1709">
        <f>IFERROR(IF(--INDEX('Call accounts and MMFs'!$E:$E,ROW())&gt;=1,--INDEX('Call accounts and MMFs'!$E:$E,ROW())/100,--INDEX('Call accounts and MMFs'!$E:$E,ROW())),0)</f>
        <v/>
      </c>
      <c r="O1709">
        <f>IFERROR(--INDEX('Call accounts and MMFs'!$F:$F,ROW()),0)</f>
        <v/>
      </c>
      <c r="P1709">
        <f>IF(ISNUMBER(INDEX('Call accounts and MMFs'!$E:$E,ROW())),1,0)</f>
        <v/>
      </c>
      <c r="Q1709">
        <f>TRIM(SUBSTITUTE(INDEX('Pooled funds'!$B:$B,ROW())&amp;""," "," "))</f>
        <v/>
      </c>
      <c r="R1709">
        <f>IFERROR(--INDEX('Pooled funds'!$C:$C,ROW()),0)</f>
        <v/>
      </c>
      <c r="S1709">
        <f>IFERROR(--INDEX('Pooled funds'!$D:$D,ROW()),0)</f>
        <v/>
      </c>
      <c r="T1709">
        <f>IFERROR(IF(--INDEX('Pooled funds'!$E:$E,ROW())&gt;=1,--INDEX('Pooled funds'!$E:$E,ROW())/100,--INDEX('Pooled funds'!$E:$E,ROW())),0)</f>
        <v/>
      </c>
      <c r="U1709">
        <f>IF(ISNUMBER(INDEX('Pooled funds'!$E:$E,ROW())),1,0)</f>
        <v/>
      </c>
    </row>
    <row r="1710">
      <c r="A1710">
        <f>TRIM(SUBSTITUTE(INDEX('Term investments'!$A:$A,ROW())&amp;""," "," "))</f>
        <v/>
      </c>
      <c r="B1710">
        <f>TRIM(SUBSTITUTE(INDEX('Term investments'!$B:$B,ROW())&amp;""," "," "))</f>
        <v/>
      </c>
      <c r="C1710">
        <f>TRIM(SUBSTITUTE(INDEX('Term investments'!$C:$C,ROW())&amp;""," "," "))</f>
        <v/>
      </c>
      <c r="D1710">
        <f>IFERROR(--INDEX('Term investments'!$D:$D,ROW()),0)</f>
        <v/>
      </c>
      <c r="E1710">
        <f>IFERROR(--INDEX('Term investments'!$E:$E,ROW()),0)</f>
        <v/>
      </c>
      <c r="F1710">
        <f>IFERROR(--INDEX('Term investments'!$F:$F,ROW()),0)</f>
        <v/>
      </c>
      <c r="G1710">
        <f>IFERROR(IF(--INDEX('Term investments'!$G:$G,ROW())&gt;=1,--INDEX('Term investments'!$G:$G,ROW())/100,--INDEX('Term investments'!$G:$G,ROW())),0)</f>
        <v/>
      </c>
      <c r="H1710">
        <f>IFERROR(--INDEX('Term investments'!$H:$H,ROW()),0)</f>
        <v/>
      </c>
      <c r="I1710">
        <f>IF(ISNUMBER(INDEX('Term investments'!$G:$G,ROW())),1,0)</f>
        <v/>
      </c>
      <c r="J1710">
        <f>TRIM(SUBSTITUTE(INDEX('Call accounts and MMFs'!$A:$A,ROW())&amp;""," "," "))</f>
        <v/>
      </c>
      <c r="K1710">
        <f>TRIM(SUBSTITUTE(INDEX('Call accounts and MMFs'!$B:$B,ROW())&amp;""," "," "))</f>
        <v/>
      </c>
      <c r="L1710">
        <f>TRIM(SUBSTITUTE(INDEX('Call accounts and MMFs'!$C:$C,ROW())&amp;""," "," "))</f>
        <v/>
      </c>
      <c r="M1710">
        <f>IFERROR(--INDEX('Call accounts and MMFs'!$D:$D,ROW()),0)</f>
        <v/>
      </c>
      <c r="N1710">
        <f>IFERROR(IF(--INDEX('Call accounts and MMFs'!$E:$E,ROW())&gt;=1,--INDEX('Call accounts and MMFs'!$E:$E,ROW())/100,--INDEX('Call accounts and MMFs'!$E:$E,ROW())),0)</f>
        <v/>
      </c>
      <c r="O1710">
        <f>IFERROR(--INDEX('Call accounts and MMFs'!$F:$F,ROW()),0)</f>
        <v/>
      </c>
      <c r="P1710">
        <f>IF(ISNUMBER(INDEX('Call accounts and MMFs'!$E:$E,ROW())),1,0)</f>
        <v/>
      </c>
      <c r="Q1710">
        <f>TRIM(SUBSTITUTE(INDEX('Pooled funds'!$B:$B,ROW())&amp;""," "," "))</f>
        <v/>
      </c>
      <c r="R1710">
        <f>IFERROR(--INDEX('Pooled funds'!$C:$C,ROW()),0)</f>
        <v/>
      </c>
      <c r="S1710">
        <f>IFERROR(--INDEX('Pooled funds'!$D:$D,ROW()),0)</f>
        <v/>
      </c>
      <c r="T1710">
        <f>IFERROR(IF(--INDEX('Pooled funds'!$E:$E,ROW())&gt;=1,--INDEX('Pooled funds'!$E:$E,ROW())/100,--INDEX('Pooled funds'!$E:$E,ROW())),0)</f>
        <v/>
      </c>
      <c r="U1710">
        <f>IF(ISNUMBER(INDEX('Pooled funds'!$E:$E,ROW())),1,0)</f>
        <v/>
      </c>
    </row>
    <row r="1711">
      <c r="A1711">
        <f>TRIM(SUBSTITUTE(INDEX('Term investments'!$A:$A,ROW())&amp;""," "," "))</f>
        <v/>
      </c>
      <c r="B1711">
        <f>TRIM(SUBSTITUTE(INDEX('Term investments'!$B:$B,ROW())&amp;""," "," "))</f>
        <v/>
      </c>
      <c r="C1711">
        <f>TRIM(SUBSTITUTE(INDEX('Term investments'!$C:$C,ROW())&amp;""," "," "))</f>
        <v/>
      </c>
      <c r="D1711">
        <f>IFERROR(--INDEX('Term investments'!$D:$D,ROW()),0)</f>
        <v/>
      </c>
      <c r="E1711">
        <f>IFERROR(--INDEX('Term investments'!$E:$E,ROW()),0)</f>
        <v/>
      </c>
      <c r="F1711">
        <f>IFERROR(--INDEX('Term investments'!$F:$F,ROW()),0)</f>
        <v/>
      </c>
      <c r="G1711">
        <f>IFERROR(IF(--INDEX('Term investments'!$G:$G,ROW())&gt;=1,--INDEX('Term investments'!$G:$G,ROW())/100,--INDEX('Term investments'!$G:$G,ROW())),0)</f>
        <v/>
      </c>
      <c r="H1711">
        <f>IFERROR(--INDEX('Term investments'!$H:$H,ROW()),0)</f>
        <v/>
      </c>
      <c r="I1711">
        <f>IF(ISNUMBER(INDEX('Term investments'!$G:$G,ROW())),1,0)</f>
        <v/>
      </c>
      <c r="J1711">
        <f>TRIM(SUBSTITUTE(INDEX('Call accounts and MMFs'!$A:$A,ROW())&amp;""," "," "))</f>
        <v/>
      </c>
      <c r="K1711">
        <f>TRIM(SUBSTITUTE(INDEX('Call accounts and MMFs'!$B:$B,ROW())&amp;""," "," "))</f>
        <v/>
      </c>
      <c r="L1711">
        <f>TRIM(SUBSTITUTE(INDEX('Call accounts and MMFs'!$C:$C,ROW())&amp;""," "," "))</f>
        <v/>
      </c>
      <c r="M1711">
        <f>IFERROR(--INDEX('Call accounts and MMFs'!$D:$D,ROW()),0)</f>
        <v/>
      </c>
      <c r="N1711">
        <f>IFERROR(IF(--INDEX('Call accounts and MMFs'!$E:$E,ROW())&gt;=1,--INDEX('Call accounts and MMFs'!$E:$E,ROW())/100,--INDEX('Call accounts and MMFs'!$E:$E,ROW())),0)</f>
        <v/>
      </c>
      <c r="O1711">
        <f>IFERROR(--INDEX('Call accounts and MMFs'!$F:$F,ROW()),0)</f>
        <v/>
      </c>
      <c r="P1711">
        <f>IF(ISNUMBER(INDEX('Call accounts and MMFs'!$E:$E,ROW())),1,0)</f>
        <v/>
      </c>
      <c r="Q1711">
        <f>TRIM(SUBSTITUTE(INDEX('Pooled funds'!$B:$B,ROW())&amp;""," "," "))</f>
        <v/>
      </c>
      <c r="R1711">
        <f>IFERROR(--INDEX('Pooled funds'!$C:$C,ROW()),0)</f>
        <v/>
      </c>
      <c r="S1711">
        <f>IFERROR(--INDEX('Pooled funds'!$D:$D,ROW()),0)</f>
        <v/>
      </c>
      <c r="T1711">
        <f>IFERROR(IF(--INDEX('Pooled funds'!$E:$E,ROW())&gt;=1,--INDEX('Pooled funds'!$E:$E,ROW())/100,--INDEX('Pooled funds'!$E:$E,ROW())),0)</f>
        <v/>
      </c>
      <c r="U1711">
        <f>IF(ISNUMBER(INDEX('Pooled funds'!$E:$E,ROW())),1,0)</f>
        <v/>
      </c>
    </row>
    <row r="1712">
      <c r="A1712">
        <f>TRIM(SUBSTITUTE(INDEX('Term investments'!$A:$A,ROW())&amp;""," "," "))</f>
        <v/>
      </c>
      <c r="B1712">
        <f>TRIM(SUBSTITUTE(INDEX('Term investments'!$B:$B,ROW())&amp;""," "," "))</f>
        <v/>
      </c>
      <c r="C1712">
        <f>TRIM(SUBSTITUTE(INDEX('Term investments'!$C:$C,ROW())&amp;""," "," "))</f>
        <v/>
      </c>
      <c r="D1712">
        <f>IFERROR(--INDEX('Term investments'!$D:$D,ROW()),0)</f>
        <v/>
      </c>
      <c r="E1712">
        <f>IFERROR(--INDEX('Term investments'!$E:$E,ROW()),0)</f>
        <v/>
      </c>
      <c r="F1712">
        <f>IFERROR(--INDEX('Term investments'!$F:$F,ROW()),0)</f>
        <v/>
      </c>
      <c r="G1712">
        <f>IFERROR(IF(--INDEX('Term investments'!$G:$G,ROW())&gt;=1,--INDEX('Term investments'!$G:$G,ROW())/100,--INDEX('Term investments'!$G:$G,ROW())),0)</f>
        <v/>
      </c>
      <c r="H1712">
        <f>IFERROR(--INDEX('Term investments'!$H:$H,ROW()),0)</f>
        <v/>
      </c>
      <c r="I1712">
        <f>IF(ISNUMBER(INDEX('Term investments'!$G:$G,ROW())),1,0)</f>
        <v/>
      </c>
      <c r="J1712">
        <f>TRIM(SUBSTITUTE(INDEX('Call accounts and MMFs'!$A:$A,ROW())&amp;""," "," "))</f>
        <v/>
      </c>
      <c r="K1712">
        <f>TRIM(SUBSTITUTE(INDEX('Call accounts and MMFs'!$B:$B,ROW())&amp;""," "," "))</f>
        <v/>
      </c>
      <c r="L1712">
        <f>TRIM(SUBSTITUTE(INDEX('Call accounts and MMFs'!$C:$C,ROW())&amp;""," "," "))</f>
        <v/>
      </c>
      <c r="M1712">
        <f>IFERROR(--INDEX('Call accounts and MMFs'!$D:$D,ROW()),0)</f>
        <v/>
      </c>
      <c r="N1712">
        <f>IFERROR(IF(--INDEX('Call accounts and MMFs'!$E:$E,ROW())&gt;=1,--INDEX('Call accounts and MMFs'!$E:$E,ROW())/100,--INDEX('Call accounts and MMFs'!$E:$E,ROW())),0)</f>
        <v/>
      </c>
      <c r="O1712">
        <f>IFERROR(--INDEX('Call accounts and MMFs'!$F:$F,ROW()),0)</f>
        <v/>
      </c>
      <c r="P1712">
        <f>IF(ISNUMBER(INDEX('Call accounts and MMFs'!$E:$E,ROW())),1,0)</f>
        <v/>
      </c>
      <c r="Q1712">
        <f>TRIM(SUBSTITUTE(INDEX('Pooled funds'!$B:$B,ROW())&amp;""," "," "))</f>
        <v/>
      </c>
      <c r="R1712">
        <f>IFERROR(--INDEX('Pooled funds'!$C:$C,ROW()),0)</f>
        <v/>
      </c>
      <c r="S1712">
        <f>IFERROR(--INDEX('Pooled funds'!$D:$D,ROW()),0)</f>
        <v/>
      </c>
      <c r="T1712">
        <f>IFERROR(IF(--INDEX('Pooled funds'!$E:$E,ROW())&gt;=1,--INDEX('Pooled funds'!$E:$E,ROW())/100,--INDEX('Pooled funds'!$E:$E,ROW())),0)</f>
        <v/>
      </c>
      <c r="U1712">
        <f>IF(ISNUMBER(INDEX('Pooled funds'!$E:$E,ROW())),1,0)</f>
        <v/>
      </c>
    </row>
    <row r="1713">
      <c r="A1713">
        <f>TRIM(SUBSTITUTE(INDEX('Term investments'!$A:$A,ROW())&amp;""," "," "))</f>
        <v/>
      </c>
      <c r="B1713">
        <f>TRIM(SUBSTITUTE(INDEX('Term investments'!$B:$B,ROW())&amp;""," "," "))</f>
        <v/>
      </c>
      <c r="C1713">
        <f>TRIM(SUBSTITUTE(INDEX('Term investments'!$C:$C,ROW())&amp;""," "," "))</f>
        <v/>
      </c>
      <c r="D1713">
        <f>IFERROR(--INDEX('Term investments'!$D:$D,ROW()),0)</f>
        <v/>
      </c>
      <c r="E1713">
        <f>IFERROR(--INDEX('Term investments'!$E:$E,ROW()),0)</f>
        <v/>
      </c>
      <c r="F1713">
        <f>IFERROR(--INDEX('Term investments'!$F:$F,ROW()),0)</f>
        <v/>
      </c>
      <c r="G1713">
        <f>IFERROR(IF(--INDEX('Term investments'!$G:$G,ROW())&gt;=1,--INDEX('Term investments'!$G:$G,ROW())/100,--INDEX('Term investments'!$G:$G,ROW())),0)</f>
        <v/>
      </c>
      <c r="H1713">
        <f>IFERROR(--INDEX('Term investments'!$H:$H,ROW()),0)</f>
        <v/>
      </c>
      <c r="I1713">
        <f>IF(ISNUMBER(INDEX('Term investments'!$G:$G,ROW())),1,0)</f>
        <v/>
      </c>
      <c r="J1713">
        <f>TRIM(SUBSTITUTE(INDEX('Call accounts and MMFs'!$A:$A,ROW())&amp;""," "," "))</f>
        <v/>
      </c>
      <c r="K1713">
        <f>TRIM(SUBSTITUTE(INDEX('Call accounts and MMFs'!$B:$B,ROW())&amp;""," "," "))</f>
        <v/>
      </c>
      <c r="L1713">
        <f>TRIM(SUBSTITUTE(INDEX('Call accounts and MMFs'!$C:$C,ROW())&amp;""," "," "))</f>
        <v/>
      </c>
      <c r="M1713">
        <f>IFERROR(--INDEX('Call accounts and MMFs'!$D:$D,ROW()),0)</f>
        <v/>
      </c>
      <c r="N1713">
        <f>IFERROR(IF(--INDEX('Call accounts and MMFs'!$E:$E,ROW())&gt;=1,--INDEX('Call accounts and MMFs'!$E:$E,ROW())/100,--INDEX('Call accounts and MMFs'!$E:$E,ROW())),0)</f>
        <v/>
      </c>
      <c r="O1713">
        <f>IFERROR(--INDEX('Call accounts and MMFs'!$F:$F,ROW()),0)</f>
        <v/>
      </c>
      <c r="P1713">
        <f>IF(ISNUMBER(INDEX('Call accounts and MMFs'!$E:$E,ROW())),1,0)</f>
        <v/>
      </c>
      <c r="Q1713">
        <f>TRIM(SUBSTITUTE(INDEX('Pooled funds'!$B:$B,ROW())&amp;""," "," "))</f>
        <v/>
      </c>
      <c r="R1713">
        <f>IFERROR(--INDEX('Pooled funds'!$C:$C,ROW()),0)</f>
        <v/>
      </c>
      <c r="S1713">
        <f>IFERROR(--INDEX('Pooled funds'!$D:$D,ROW()),0)</f>
        <v/>
      </c>
      <c r="T1713">
        <f>IFERROR(IF(--INDEX('Pooled funds'!$E:$E,ROW())&gt;=1,--INDEX('Pooled funds'!$E:$E,ROW())/100,--INDEX('Pooled funds'!$E:$E,ROW())),0)</f>
        <v/>
      </c>
      <c r="U1713">
        <f>IF(ISNUMBER(INDEX('Pooled funds'!$E:$E,ROW())),1,0)</f>
        <v/>
      </c>
    </row>
    <row r="1714">
      <c r="A1714">
        <f>TRIM(SUBSTITUTE(INDEX('Term investments'!$A:$A,ROW())&amp;""," "," "))</f>
        <v/>
      </c>
      <c r="B1714">
        <f>TRIM(SUBSTITUTE(INDEX('Term investments'!$B:$B,ROW())&amp;""," "," "))</f>
        <v/>
      </c>
      <c r="C1714">
        <f>TRIM(SUBSTITUTE(INDEX('Term investments'!$C:$C,ROW())&amp;""," "," "))</f>
        <v/>
      </c>
      <c r="D1714">
        <f>IFERROR(--INDEX('Term investments'!$D:$D,ROW()),0)</f>
        <v/>
      </c>
      <c r="E1714">
        <f>IFERROR(--INDEX('Term investments'!$E:$E,ROW()),0)</f>
        <v/>
      </c>
      <c r="F1714">
        <f>IFERROR(--INDEX('Term investments'!$F:$F,ROW()),0)</f>
        <v/>
      </c>
      <c r="G1714">
        <f>IFERROR(IF(--INDEX('Term investments'!$G:$G,ROW())&gt;=1,--INDEX('Term investments'!$G:$G,ROW())/100,--INDEX('Term investments'!$G:$G,ROW())),0)</f>
        <v/>
      </c>
      <c r="H1714">
        <f>IFERROR(--INDEX('Term investments'!$H:$H,ROW()),0)</f>
        <v/>
      </c>
      <c r="I1714">
        <f>IF(ISNUMBER(INDEX('Term investments'!$G:$G,ROW())),1,0)</f>
        <v/>
      </c>
      <c r="J1714">
        <f>TRIM(SUBSTITUTE(INDEX('Call accounts and MMFs'!$A:$A,ROW())&amp;""," "," "))</f>
        <v/>
      </c>
      <c r="K1714">
        <f>TRIM(SUBSTITUTE(INDEX('Call accounts and MMFs'!$B:$B,ROW())&amp;""," "," "))</f>
        <v/>
      </c>
      <c r="L1714">
        <f>TRIM(SUBSTITUTE(INDEX('Call accounts and MMFs'!$C:$C,ROW())&amp;""," "," "))</f>
        <v/>
      </c>
      <c r="M1714">
        <f>IFERROR(--INDEX('Call accounts and MMFs'!$D:$D,ROW()),0)</f>
        <v/>
      </c>
      <c r="N1714">
        <f>IFERROR(IF(--INDEX('Call accounts and MMFs'!$E:$E,ROW())&gt;=1,--INDEX('Call accounts and MMFs'!$E:$E,ROW())/100,--INDEX('Call accounts and MMFs'!$E:$E,ROW())),0)</f>
        <v/>
      </c>
      <c r="O1714">
        <f>IFERROR(--INDEX('Call accounts and MMFs'!$F:$F,ROW()),0)</f>
        <v/>
      </c>
      <c r="P1714">
        <f>IF(ISNUMBER(INDEX('Call accounts and MMFs'!$E:$E,ROW())),1,0)</f>
        <v/>
      </c>
      <c r="Q1714">
        <f>TRIM(SUBSTITUTE(INDEX('Pooled funds'!$B:$B,ROW())&amp;""," "," "))</f>
        <v/>
      </c>
      <c r="R1714">
        <f>IFERROR(--INDEX('Pooled funds'!$C:$C,ROW()),0)</f>
        <v/>
      </c>
      <c r="S1714">
        <f>IFERROR(--INDEX('Pooled funds'!$D:$D,ROW()),0)</f>
        <v/>
      </c>
      <c r="T1714">
        <f>IFERROR(IF(--INDEX('Pooled funds'!$E:$E,ROW())&gt;=1,--INDEX('Pooled funds'!$E:$E,ROW())/100,--INDEX('Pooled funds'!$E:$E,ROW())),0)</f>
        <v/>
      </c>
      <c r="U1714">
        <f>IF(ISNUMBER(INDEX('Pooled funds'!$E:$E,ROW())),1,0)</f>
        <v/>
      </c>
    </row>
    <row r="1715">
      <c r="A1715">
        <f>TRIM(SUBSTITUTE(INDEX('Term investments'!$A:$A,ROW())&amp;""," "," "))</f>
        <v/>
      </c>
      <c r="B1715">
        <f>TRIM(SUBSTITUTE(INDEX('Term investments'!$B:$B,ROW())&amp;""," "," "))</f>
        <v/>
      </c>
      <c r="C1715">
        <f>TRIM(SUBSTITUTE(INDEX('Term investments'!$C:$C,ROW())&amp;""," "," "))</f>
        <v/>
      </c>
      <c r="D1715">
        <f>IFERROR(--INDEX('Term investments'!$D:$D,ROW()),0)</f>
        <v/>
      </c>
      <c r="E1715">
        <f>IFERROR(--INDEX('Term investments'!$E:$E,ROW()),0)</f>
        <v/>
      </c>
      <c r="F1715">
        <f>IFERROR(--INDEX('Term investments'!$F:$F,ROW()),0)</f>
        <v/>
      </c>
      <c r="G1715">
        <f>IFERROR(IF(--INDEX('Term investments'!$G:$G,ROW())&gt;=1,--INDEX('Term investments'!$G:$G,ROW())/100,--INDEX('Term investments'!$G:$G,ROW())),0)</f>
        <v/>
      </c>
      <c r="H1715">
        <f>IFERROR(--INDEX('Term investments'!$H:$H,ROW()),0)</f>
        <v/>
      </c>
      <c r="I1715">
        <f>IF(ISNUMBER(INDEX('Term investments'!$G:$G,ROW())),1,0)</f>
        <v/>
      </c>
      <c r="J1715">
        <f>TRIM(SUBSTITUTE(INDEX('Call accounts and MMFs'!$A:$A,ROW())&amp;""," "," "))</f>
        <v/>
      </c>
      <c r="K1715">
        <f>TRIM(SUBSTITUTE(INDEX('Call accounts and MMFs'!$B:$B,ROW())&amp;""," "," "))</f>
        <v/>
      </c>
      <c r="L1715">
        <f>TRIM(SUBSTITUTE(INDEX('Call accounts and MMFs'!$C:$C,ROW())&amp;""," "," "))</f>
        <v/>
      </c>
      <c r="M1715">
        <f>IFERROR(--INDEX('Call accounts and MMFs'!$D:$D,ROW()),0)</f>
        <v/>
      </c>
      <c r="N1715">
        <f>IFERROR(IF(--INDEX('Call accounts and MMFs'!$E:$E,ROW())&gt;=1,--INDEX('Call accounts and MMFs'!$E:$E,ROW())/100,--INDEX('Call accounts and MMFs'!$E:$E,ROW())),0)</f>
        <v/>
      </c>
      <c r="O1715">
        <f>IFERROR(--INDEX('Call accounts and MMFs'!$F:$F,ROW()),0)</f>
        <v/>
      </c>
      <c r="P1715">
        <f>IF(ISNUMBER(INDEX('Call accounts and MMFs'!$E:$E,ROW())),1,0)</f>
        <v/>
      </c>
      <c r="Q1715">
        <f>TRIM(SUBSTITUTE(INDEX('Pooled funds'!$B:$B,ROW())&amp;""," "," "))</f>
        <v/>
      </c>
      <c r="R1715">
        <f>IFERROR(--INDEX('Pooled funds'!$C:$C,ROW()),0)</f>
        <v/>
      </c>
      <c r="S1715">
        <f>IFERROR(--INDEX('Pooled funds'!$D:$D,ROW()),0)</f>
        <v/>
      </c>
      <c r="T1715">
        <f>IFERROR(IF(--INDEX('Pooled funds'!$E:$E,ROW())&gt;=1,--INDEX('Pooled funds'!$E:$E,ROW())/100,--INDEX('Pooled funds'!$E:$E,ROW())),0)</f>
        <v/>
      </c>
      <c r="U1715">
        <f>IF(ISNUMBER(INDEX('Pooled funds'!$E:$E,ROW())),1,0)</f>
        <v/>
      </c>
    </row>
    <row r="1716">
      <c r="A1716">
        <f>TRIM(SUBSTITUTE(INDEX('Term investments'!$A:$A,ROW())&amp;""," "," "))</f>
        <v/>
      </c>
      <c r="B1716">
        <f>TRIM(SUBSTITUTE(INDEX('Term investments'!$B:$B,ROW())&amp;""," "," "))</f>
        <v/>
      </c>
      <c r="C1716">
        <f>TRIM(SUBSTITUTE(INDEX('Term investments'!$C:$C,ROW())&amp;""," "," "))</f>
        <v/>
      </c>
      <c r="D1716">
        <f>IFERROR(--INDEX('Term investments'!$D:$D,ROW()),0)</f>
        <v/>
      </c>
      <c r="E1716">
        <f>IFERROR(--INDEX('Term investments'!$E:$E,ROW()),0)</f>
        <v/>
      </c>
      <c r="F1716">
        <f>IFERROR(--INDEX('Term investments'!$F:$F,ROW()),0)</f>
        <v/>
      </c>
      <c r="G1716">
        <f>IFERROR(IF(--INDEX('Term investments'!$G:$G,ROW())&gt;=1,--INDEX('Term investments'!$G:$G,ROW())/100,--INDEX('Term investments'!$G:$G,ROW())),0)</f>
        <v/>
      </c>
      <c r="H1716">
        <f>IFERROR(--INDEX('Term investments'!$H:$H,ROW()),0)</f>
        <v/>
      </c>
      <c r="I1716">
        <f>IF(ISNUMBER(INDEX('Term investments'!$G:$G,ROW())),1,0)</f>
        <v/>
      </c>
      <c r="J1716">
        <f>TRIM(SUBSTITUTE(INDEX('Call accounts and MMFs'!$A:$A,ROW())&amp;""," "," "))</f>
        <v/>
      </c>
      <c r="K1716">
        <f>TRIM(SUBSTITUTE(INDEX('Call accounts and MMFs'!$B:$B,ROW())&amp;""," "," "))</f>
        <v/>
      </c>
      <c r="L1716">
        <f>TRIM(SUBSTITUTE(INDEX('Call accounts and MMFs'!$C:$C,ROW())&amp;""," "," "))</f>
        <v/>
      </c>
      <c r="M1716">
        <f>IFERROR(--INDEX('Call accounts and MMFs'!$D:$D,ROW()),0)</f>
        <v/>
      </c>
      <c r="N1716">
        <f>IFERROR(IF(--INDEX('Call accounts and MMFs'!$E:$E,ROW())&gt;=1,--INDEX('Call accounts and MMFs'!$E:$E,ROW())/100,--INDEX('Call accounts and MMFs'!$E:$E,ROW())),0)</f>
        <v/>
      </c>
      <c r="O1716">
        <f>IFERROR(--INDEX('Call accounts and MMFs'!$F:$F,ROW()),0)</f>
        <v/>
      </c>
      <c r="P1716">
        <f>IF(ISNUMBER(INDEX('Call accounts and MMFs'!$E:$E,ROW())),1,0)</f>
        <v/>
      </c>
      <c r="Q1716">
        <f>TRIM(SUBSTITUTE(INDEX('Pooled funds'!$B:$B,ROW())&amp;""," "," "))</f>
        <v/>
      </c>
      <c r="R1716">
        <f>IFERROR(--INDEX('Pooled funds'!$C:$C,ROW()),0)</f>
        <v/>
      </c>
      <c r="S1716">
        <f>IFERROR(--INDEX('Pooled funds'!$D:$D,ROW()),0)</f>
        <v/>
      </c>
      <c r="T1716">
        <f>IFERROR(IF(--INDEX('Pooled funds'!$E:$E,ROW())&gt;=1,--INDEX('Pooled funds'!$E:$E,ROW())/100,--INDEX('Pooled funds'!$E:$E,ROW())),0)</f>
        <v/>
      </c>
      <c r="U1716">
        <f>IF(ISNUMBER(INDEX('Pooled funds'!$E:$E,ROW())),1,0)</f>
        <v/>
      </c>
    </row>
    <row r="1717">
      <c r="A1717">
        <f>TRIM(SUBSTITUTE(INDEX('Term investments'!$A:$A,ROW())&amp;""," "," "))</f>
        <v/>
      </c>
      <c r="B1717">
        <f>TRIM(SUBSTITUTE(INDEX('Term investments'!$B:$B,ROW())&amp;""," "," "))</f>
        <v/>
      </c>
      <c r="C1717">
        <f>TRIM(SUBSTITUTE(INDEX('Term investments'!$C:$C,ROW())&amp;""," "," "))</f>
        <v/>
      </c>
      <c r="D1717">
        <f>IFERROR(--INDEX('Term investments'!$D:$D,ROW()),0)</f>
        <v/>
      </c>
      <c r="E1717">
        <f>IFERROR(--INDEX('Term investments'!$E:$E,ROW()),0)</f>
        <v/>
      </c>
      <c r="F1717">
        <f>IFERROR(--INDEX('Term investments'!$F:$F,ROW()),0)</f>
        <v/>
      </c>
      <c r="G1717">
        <f>IFERROR(IF(--INDEX('Term investments'!$G:$G,ROW())&gt;=1,--INDEX('Term investments'!$G:$G,ROW())/100,--INDEX('Term investments'!$G:$G,ROW())),0)</f>
        <v/>
      </c>
      <c r="H1717">
        <f>IFERROR(--INDEX('Term investments'!$H:$H,ROW()),0)</f>
        <v/>
      </c>
      <c r="I1717">
        <f>IF(ISNUMBER(INDEX('Term investments'!$G:$G,ROW())),1,0)</f>
        <v/>
      </c>
      <c r="J1717">
        <f>TRIM(SUBSTITUTE(INDEX('Call accounts and MMFs'!$A:$A,ROW())&amp;""," "," "))</f>
        <v/>
      </c>
      <c r="K1717">
        <f>TRIM(SUBSTITUTE(INDEX('Call accounts and MMFs'!$B:$B,ROW())&amp;""," "," "))</f>
        <v/>
      </c>
      <c r="L1717">
        <f>TRIM(SUBSTITUTE(INDEX('Call accounts and MMFs'!$C:$C,ROW())&amp;""," "," "))</f>
        <v/>
      </c>
      <c r="M1717">
        <f>IFERROR(--INDEX('Call accounts and MMFs'!$D:$D,ROW()),0)</f>
        <v/>
      </c>
      <c r="N1717">
        <f>IFERROR(IF(--INDEX('Call accounts and MMFs'!$E:$E,ROW())&gt;=1,--INDEX('Call accounts and MMFs'!$E:$E,ROW())/100,--INDEX('Call accounts and MMFs'!$E:$E,ROW())),0)</f>
        <v/>
      </c>
      <c r="O1717">
        <f>IFERROR(--INDEX('Call accounts and MMFs'!$F:$F,ROW()),0)</f>
        <v/>
      </c>
      <c r="P1717">
        <f>IF(ISNUMBER(INDEX('Call accounts and MMFs'!$E:$E,ROW())),1,0)</f>
        <v/>
      </c>
      <c r="Q1717">
        <f>TRIM(SUBSTITUTE(INDEX('Pooled funds'!$B:$B,ROW())&amp;""," "," "))</f>
        <v/>
      </c>
      <c r="R1717">
        <f>IFERROR(--INDEX('Pooled funds'!$C:$C,ROW()),0)</f>
        <v/>
      </c>
      <c r="S1717">
        <f>IFERROR(--INDEX('Pooled funds'!$D:$D,ROW()),0)</f>
        <v/>
      </c>
      <c r="T1717">
        <f>IFERROR(IF(--INDEX('Pooled funds'!$E:$E,ROW())&gt;=1,--INDEX('Pooled funds'!$E:$E,ROW())/100,--INDEX('Pooled funds'!$E:$E,ROW())),0)</f>
        <v/>
      </c>
      <c r="U1717">
        <f>IF(ISNUMBER(INDEX('Pooled funds'!$E:$E,ROW())),1,0)</f>
        <v/>
      </c>
    </row>
    <row r="1718">
      <c r="A1718">
        <f>TRIM(SUBSTITUTE(INDEX('Term investments'!$A:$A,ROW())&amp;""," "," "))</f>
        <v/>
      </c>
      <c r="B1718">
        <f>TRIM(SUBSTITUTE(INDEX('Term investments'!$B:$B,ROW())&amp;""," "," "))</f>
        <v/>
      </c>
      <c r="C1718">
        <f>TRIM(SUBSTITUTE(INDEX('Term investments'!$C:$C,ROW())&amp;""," "," "))</f>
        <v/>
      </c>
      <c r="D1718">
        <f>IFERROR(--INDEX('Term investments'!$D:$D,ROW()),0)</f>
        <v/>
      </c>
      <c r="E1718">
        <f>IFERROR(--INDEX('Term investments'!$E:$E,ROW()),0)</f>
        <v/>
      </c>
      <c r="F1718">
        <f>IFERROR(--INDEX('Term investments'!$F:$F,ROW()),0)</f>
        <v/>
      </c>
      <c r="G1718">
        <f>IFERROR(IF(--INDEX('Term investments'!$G:$G,ROW())&gt;=1,--INDEX('Term investments'!$G:$G,ROW())/100,--INDEX('Term investments'!$G:$G,ROW())),0)</f>
        <v/>
      </c>
      <c r="H1718">
        <f>IFERROR(--INDEX('Term investments'!$H:$H,ROW()),0)</f>
        <v/>
      </c>
      <c r="I1718">
        <f>IF(ISNUMBER(INDEX('Term investments'!$G:$G,ROW())),1,0)</f>
        <v/>
      </c>
      <c r="J1718">
        <f>TRIM(SUBSTITUTE(INDEX('Call accounts and MMFs'!$A:$A,ROW())&amp;""," "," "))</f>
        <v/>
      </c>
      <c r="K1718">
        <f>TRIM(SUBSTITUTE(INDEX('Call accounts and MMFs'!$B:$B,ROW())&amp;""," "," "))</f>
        <v/>
      </c>
      <c r="L1718">
        <f>TRIM(SUBSTITUTE(INDEX('Call accounts and MMFs'!$C:$C,ROW())&amp;""," "," "))</f>
        <v/>
      </c>
      <c r="M1718">
        <f>IFERROR(--INDEX('Call accounts and MMFs'!$D:$D,ROW()),0)</f>
        <v/>
      </c>
      <c r="N1718">
        <f>IFERROR(IF(--INDEX('Call accounts and MMFs'!$E:$E,ROW())&gt;=1,--INDEX('Call accounts and MMFs'!$E:$E,ROW())/100,--INDEX('Call accounts and MMFs'!$E:$E,ROW())),0)</f>
        <v/>
      </c>
      <c r="O1718">
        <f>IFERROR(--INDEX('Call accounts and MMFs'!$F:$F,ROW()),0)</f>
        <v/>
      </c>
      <c r="P1718">
        <f>IF(ISNUMBER(INDEX('Call accounts and MMFs'!$E:$E,ROW())),1,0)</f>
        <v/>
      </c>
      <c r="Q1718">
        <f>TRIM(SUBSTITUTE(INDEX('Pooled funds'!$B:$B,ROW())&amp;""," "," "))</f>
        <v/>
      </c>
      <c r="R1718">
        <f>IFERROR(--INDEX('Pooled funds'!$C:$C,ROW()),0)</f>
        <v/>
      </c>
      <c r="S1718">
        <f>IFERROR(--INDEX('Pooled funds'!$D:$D,ROW()),0)</f>
        <v/>
      </c>
      <c r="T1718">
        <f>IFERROR(IF(--INDEX('Pooled funds'!$E:$E,ROW())&gt;=1,--INDEX('Pooled funds'!$E:$E,ROW())/100,--INDEX('Pooled funds'!$E:$E,ROW())),0)</f>
        <v/>
      </c>
      <c r="U1718">
        <f>IF(ISNUMBER(INDEX('Pooled funds'!$E:$E,ROW())),1,0)</f>
        <v/>
      </c>
    </row>
    <row r="1719">
      <c r="A1719">
        <f>TRIM(SUBSTITUTE(INDEX('Term investments'!$A:$A,ROW())&amp;""," "," "))</f>
        <v/>
      </c>
      <c r="B1719">
        <f>TRIM(SUBSTITUTE(INDEX('Term investments'!$B:$B,ROW())&amp;""," "," "))</f>
        <v/>
      </c>
      <c r="C1719">
        <f>TRIM(SUBSTITUTE(INDEX('Term investments'!$C:$C,ROW())&amp;""," "," "))</f>
        <v/>
      </c>
      <c r="D1719">
        <f>IFERROR(--INDEX('Term investments'!$D:$D,ROW()),0)</f>
        <v/>
      </c>
      <c r="E1719">
        <f>IFERROR(--INDEX('Term investments'!$E:$E,ROW()),0)</f>
        <v/>
      </c>
      <c r="F1719">
        <f>IFERROR(--INDEX('Term investments'!$F:$F,ROW()),0)</f>
        <v/>
      </c>
      <c r="G1719">
        <f>IFERROR(IF(--INDEX('Term investments'!$G:$G,ROW())&gt;=1,--INDEX('Term investments'!$G:$G,ROW())/100,--INDEX('Term investments'!$G:$G,ROW())),0)</f>
        <v/>
      </c>
      <c r="H1719">
        <f>IFERROR(--INDEX('Term investments'!$H:$H,ROW()),0)</f>
        <v/>
      </c>
      <c r="I1719">
        <f>IF(ISNUMBER(INDEX('Term investments'!$G:$G,ROW())),1,0)</f>
        <v/>
      </c>
      <c r="J1719">
        <f>TRIM(SUBSTITUTE(INDEX('Call accounts and MMFs'!$A:$A,ROW())&amp;""," "," "))</f>
        <v/>
      </c>
      <c r="K1719">
        <f>TRIM(SUBSTITUTE(INDEX('Call accounts and MMFs'!$B:$B,ROW())&amp;""," "," "))</f>
        <v/>
      </c>
      <c r="L1719">
        <f>TRIM(SUBSTITUTE(INDEX('Call accounts and MMFs'!$C:$C,ROW())&amp;""," "," "))</f>
        <v/>
      </c>
      <c r="M1719">
        <f>IFERROR(--INDEX('Call accounts and MMFs'!$D:$D,ROW()),0)</f>
        <v/>
      </c>
      <c r="N1719">
        <f>IFERROR(IF(--INDEX('Call accounts and MMFs'!$E:$E,ROW())&gt;=1,--INDEX('Call accounts and MMFs'!$E:$E,ROW())/100,--INDEX('Call accounts and MMFs'!$E:$E,ROW())),0)</f>
        <v/>
      </c>
      <c r="O1719">
        <f>IFERROR(--INDEX('Call accounts and MMFs'!$F:$F,ROW()),0)</f>
        <v/>
      </c>
      <c r="P1719">
        <f>IF(ISNUMBER(INDEX('Call accounts and MMFs'!$E:$E,ROW())),1,0)</f>
        <v/>
      </c>
      <c r="Q1719">
        <f>TRIM(SUBSTITUTE(INDEX('Pooled funds'!$B:$B,ROW())&amp;""," "," "))</f>
        <v/>
      </c>
      <c r="R1719">
        <f>IFERROR(--INDEX('Pooled funds'!$C:$C,ROW()),0)</f>
        <v/>
      </c>
      <c r="S1719">
        <f>IFERROR(--INDEX('Pooled funds'!$D:$D,ROW()),0)</f>
        <v/>
      </c>
      <c r="T1719">
        <f>IFERROR(IF(--INDEX('Pooled funds'!$E:$E,ROW())&gt;=1,--INDEX('Pooled funds'!$E:$E,ROW())/100,--INDEX('Pooled funds'!$E:$E,ROW())),0)</f>
        <v/>
      </c>
      <c r="U1719">
        <f>IF(ISNUMBER(INDEX('Pooled funds'!$E:$E,ROW())),1,0)</f>
        <v/>
      </c>
    </row>
    <row r="1720">
      <c r="A1720">
        <f>TRIM(SUBSTITUTE(INDEX('Term investments'!$A:$A,ROW())&amp;""," "," "))</f>
        <v/>
      </c>
      <c r="B1720">
        <f>TRIM(SUBSTITUTE(INDEX('Term investments'!$B:$B,ROW())&amp;""," "," "))</f>
        <v/>
      </c>
      <c r="C1720">
        <f>TRIM(SUBSTITUTE(INDEX('Term investments'!$C:$C,ROW())&amp;""," "," "))</f>
        <v/>
      </c>
      <c r="D1720">
        <f>IFERROR(--INDEX('Term investments'!$D:$D,ROW()),0)</f>
        <v/>
      </c>
      <c r="E1720">
        <f>IFERROR(--INDEX('Term investments'!$E:$E,ROW()),0)</f>
        <v/>
      </c>
      <c r="F1720">
        <f>IFERROR(--INDEX('Term investments'!$F:$F,ROW()),0)</f>
        <v/>
      </c>
      <c r="G1720">
        <f>IFERROR(IF(--INDEX('Term investments'!$G:$G,ROW())&gt;=1,--INDEX('Term investments'!$G:$G,ROW())/100,--INDEX('Term investments'!$G:$G,ROW())),0)</f>
        <v/>
      </c>
      <c r="H1720">
        <f>IFERROR(--INDEX('Term investments'!$H:$H,ROW()),0)</f>
        <v/>
      </c>
      <c r="I1720">
        <f>IF(ISNUMBER(INDEX('Term investments'!$G:$G,ROW())),1,0)</f>
        <v/>
      </c>
      <c r="J1720">
        <f>TRIM(SUBSTITUTE(INDEX('Call accounts and MMFs'!$A:$A,ROW())&amp;""," "," "))</f>
        <v/>
      </c>
      <c r="K1720">
        <f>TRIM(SUBSTITUTE(INDEX('Call accounts and MMFs'!$B:$B,ROW())&amp;""," "," "))</f>
        <v/>
      </c>
      <c r="L1720">
        <f>TRIM(SUBSTITUTE(INDEX('Call accounts and MMFs'!$C:$C,ROW())&amp;""," "," "))</f>
        <v/>
      </c>
      <c r="M1720">
        <f>IFERROR(--INDEX('Call accounts and MMFs'!$D:$D,ROW()),0)</f>
        <v/>
      </c>
      <c r="N1720">
        <f>IFERROR(IF(--INDEX('Call accounts and MMFs'!$E:$E,ROW())&gt;=1,--INDEX('Call accounts and MMFs'!$E:$E,ROW())/100,--INDEX('Call accounts and MMFs'!$E:$E,ROW())),0)</f>
        <v/>
      </c>
      <c r="O1720">
        <f>IFERROR(--INDEX('Call accounts and MMFs'!$F:$F,ROW()),0)</f>
        <v/>
      </c>
      <c r="P1720">
        <f>IF(ISNUMBER(INDEX('Call accounts and MMFs'!$E:$E,ROW())),1,0)</f>
        <v/>
      </c>
      <c r="Q1720">
        <f>TRIM(SUBSTITUTE(INDEX('Pooled funds'!$B:$B,ROW())&amp;""," "," "))</f>
        <v/>
      </c>
      <c r="R1720">
        <f>IFERROR(--INDEX('Pooled funds'!$C:$C,ROW()),0)</f>
        <v/>
      </c>
      <c r="S1720">
        <f>IFERROR(--INDEX('Pooled funds'!$D:$D,ROW()),0)</f>
        <v/>
      </c>
      <c r="T1720">
        <f>IFERROR(IF(--INDEX('Pooled funds'!$E:$E,ROW())&gt;=1,--INDEX('Pooled funds'!$E:$E,ROW())/100,--INDEX('Pooled funds'!$E:$E,ROW())),0)</f>
        <v/>
      </c>
      <c r="U1720">
        <f>IF(ISNUMBER(INDEX('Pooled funds'!$E:$E,ROW())),1,0)</f>
        <v/>
      </c>
    </row>
    <row r="1721">
      <c r="A1721">
        <f>TRIM(SUBSTITUTE(INDEX('Term investments'!$A:$A,ROW())&amp;""," "," "))</f>
        <v/>
      </c>
      <c r="B1721">
        <f>TRIM(SUBSTITUTE(INDEX('Term investments'!$B:$B,ROW())&amp;""," "," "))</f>
        <v/>
      </c>
      <c r="C1721">
        <f>TRIM(SUBSTITUTE(INDEX('Term investments'!$C:$C,ROW())&amp;""," "," "))</f>
        <v/>
      </c>
      <c r="D1721">
        <f>IFERROR(--INDEX('Term investments'!$D:$D,ROW()),0)</f>
        <v/>
      </c>
      <c r="E1721">
        <f>IFERROR(--INDEX('Term investments'!$E:$E,ROW()),0)</f>
        <v/>
      </c>
      <c r="F1721">
        <f>IFERROR(--INDEX('Term investments'!$F:$F,ROW()),0)</f>
        <v/>
      </c>
      <c r="G1721">
        <f>IFERROR(IF(--INDEX('Term investments'!$G:$G,ROW())&gt;=1,--INDEX('Term investments'!$G:$G,ROW())/100,--INDEX('Term investments'!$G:$G,ROW())),0)</f>
        <v/>
      </c>
      <c r="H1721">
        <f>IFERROR(--INDEX('Term investments'!$H:$H,ROW()),0)</f>
        <v/>
      </c>
      <c r="I1721">
        <f>IF(ISNUMBER(INDEX('Term investments'!$G:$G,ROW())),1,0)</f>
        <v/>
      </c>
      <c r="J1721">
        <f>TRIM(SUBSTITUTE(INDEX('Call accounts and MMFs'!$A:$A,ROW())&amp;""," "," "))</f>
        <v/>
      </c>
      <c r="K1721">
        <f>TRIM(SUBSTITUTE(INDEX('Call accounts and MMFs'!$B:$B,ROW())&amp;""," "," "))</f>
        <v/>
      </c>
      <c r="L1721">
        <f>TRIM(SUBSTITUTE(INDEX('Call accounts and MMFs'!$C:$C,ROW())&amp;""," "," "))</f>
        <v/>
      </c>
      <c r="M1721">
        <f>IFERROR(--INDEX('Call accounts and MMFs'!$D:$D,ROW()),0)</f>
        <v/>
      </c>
      <c r="N1721">
        <f>IFERROR(IF(--INDEX('Call accounts and MMFs'!$E:$E,ROW())&gt;=1,--INDEX('Call accounts and MMFs'!$E:$E,ROW())/100,--INDEX('Call accounts and MMFs'!$E:$E,ROW())),0)</f>
        <v/>
      </c>
      <c r="O1721">
        <f>IFERROR(--INDEX('Call accounts and MMFs'!$F:$F,ROW()),0)</f>
        <v/>
      </c>
      <c r="P1721">
        <f>IF(ISNUMBER(INDEX('Call accounts and MMFs'!$E:$E,ROW())),1,0)</f>
        <v/>
      </c>
      <c r="Q1721">
        <f>TRIM(SUBSTITUTE(INDEX('Pooled funds'!$B:$B,ROW())&amp;""," "," "))</f>
        <v/>
      </c>
      <c r="R1721">
        <f>IFERROR(--INDEX('Pooled funds'!$C:$C,ROW()),0)</f>
        <v/>
      </c>
      <c r="S1721">
        <f>IFERROR(--INDEX('Pooled funds'!$D:$D,ROW()),0)</f>
        <v/>
      </c>
      <c r="T1721">
        <f>IFERROR(IF(--INDEX('Pooled funds'!$E:$E,ROW())&gt;=1,--INDEX('Pooled funds'!$E:$E,ROW())/100,--INDEX('Pooled funds'!$E:$E,ROW())),0)</f>
        <v/>
      </c>
      <c r="U1721">
        <f>IF(ISNUMBER(INDEX('Pooled funds'!$E:$E,ROW())),1,0)</f>
        <v/>
      </c>
    </row>
    <row r="1722">
      <c r="A1722">
        <f>TRIM(SUBSTITUTE(INDEX('Term investments'!$A:$A,ROW())&amp;""," "," "))</f>
        <v/>
      </c>
      <c r="B1722">
        <f>TRIM(SUBSTITUTE(INDEX('Term investments'!$B:$B,ROW())&amp;""," "," "))</f>
        <v/>
      </c>
      <c r="C1722">
        <f>TRIM(SUBSTITUTE(INDEX('Term investments'!$C:$C,ROW())&amp;""," "," "))</f>
        <v/>
      </c>
      <c r="D1722">
        <f>IFERROR(--INDEX('Term investments'!$D:$D,ROW()),0)</f>
        <v/>
      </c>
      <c r="E1722">
        <f>IFERROR(--INDEX('Term investments'!$E:$E,ROW()),0)</f>
        <v/>
      </c>
      <c r="F1722">
        <f>IFERROR(--INDEX('Term investments'!$F:$F,ROW()),0)</f>
        <v/>
      </c>
      <c r="G1722">
        <f>IFERROR(IF(--INDEX('Term investments'!$G:$G,ROW())&gt;=1,--INDEX('Term investments'!$G:$G,ROW())/100,--INDEX('Term investments'!$G:$G,ROW())),0)</f>
        <v/>
      </c>
      <c r="H1722">
        <f>IFERROR(--INDEX('Term investments'!$H:$H,ROW()),0)</f>
        <v/>
      </c>
      <c r="I1722">
        <f>IF(ISNUMBER(INDEX('Term investments'!$G:$G,ROW())),1,0)</f>
        <v/>
      </c>
      <c r="J1722">
        <f>TRIM(SUBSTITUTE(INDEX('Call accounts and MMFs'!$A:$A,ROW())&amp;""," "," "))</f>
        <v/>
      </c>
      <c r="K1722">
        <f>TRIM(SUBSTITUTE(INDEX('Call accounts and MMFs'!$B:$B,ROW())&amp;""," "," "))</f>
        <v/>
      </c>
      <c r="L1722">
        <f>TRIM(SUBSTITUTE(INDEX('Call accounts and MMFs'!$C:$C,ROW())&amp;""," "," "))</f>
        <v/>
      </c>
      <c r="M1722">
        <f>IFERROR(--INDEX('Call accounts and MMFs'!$D:$D,ROW()),0)</f>
        <v/>
      </c>
      <c r="N1722">
        <f>IFERROR(IF(--INDEX('Call accounts and MMFs'!$E:$E,ROW())&gt;=1,--INDEX('Call accounts and MMFs'!$E:$E,ROW())/100,--INDEX('Call accounts and MMFs'!$E:$E,ROW())),0)</f>
        <v/>
      </c>
      <c r="O1722">
        <f>IFERROR(--INDEX('Call accounts and MMFs'!$F:$F,ROW()),0)</f>
        <v/>
      </c>
      <c r="P1722">
        <f>IF(ISNUMBER(INDEX('Call accounts and MMFs'!$E:$E,ROW())),1,0)</f>
        <v/>
      </c>
      <c r="Q1722">
        <f>TRIM(SUBSTITUTE(INDEX('Pooled funds'!$B:$B,ROW())&amp;""," "," "))</f>
        <v/>
      </c>
      <c r="R1722">
        <f>IFERROR(--INDEX('Pooled funds'!$C:$C,ROW()),0)</f>
        <v/>
      </c>
      <c r="S1722">
        <f>IFERROR(--INDEX('Pooled funds'!$D:$D,ROW()),0)</f>
        <v/>
      </c>
      <c r="T1722">
        <f>IFERROR(IF(--INDEX('Pooled funds'!$E:$E,ROW())&gt;=1,--INDEX('Pooled funds'!$E:$E,ROW())/100,--INDEX('Pooled funds'!$E:$E,ROW())),0)</f>
        <v/>
      </c>
      <c r="U1722">
        <f>IF(ISNUMBER(INDEX('Pooled funds'!$E:$E,ROW())),1,0)</f>
        <v/>
      </c>
    </row>
    <row r="1723">
      <c r="A1723">
        <f>TRIM(SUBSTITUTE(INDEX('Term investments'!$A:$A,ROW())&amp;""," "," "))</f>
        <v/>
      </c>
      <c r="B1723">
        <f>TRIM(SUBSTITUTE(INDEX('Term investments'!$B:$B,ROW())&amp;""," "," "))</f>
        <v/>
      </c>
      <c r="C1723">
        <f>TRIM(SUBSTITUTE(INDEX('Term investments'!$C:$C,ROW())&amp;""," "," "))</f>
        <v/>
      </c>
      <c r="D1723">
        <f>IFERROR(--INDEX('Term investments'!$D:$D,ROW()),0)</f>
        <v/>
      </c>
      <c r="E1723">
        <f>IFERROR(--INDEX('Term investments'!$E:$E,ROW()),0)</f>
        <v/>
      </c>
      <c r="F1723">
        <f>IFERROR(--INDEX('Term investments'!$F:$F,ROW()),0)</f>
        <v/>
      </c>
      <c r="G1723">
        <f>IFERROR(IF(--INDEX('Term investments'!$G:$G,ROW())&gt;=1,--INDEX('Term investments'!$G:$G,ROW())/100,--INDEX('Term investments'!$G:$G,ROW())),0)</f>
        <v/>
      </c>
      <c r="H1723">
        <f>IFERROR(--INDEX('Term investments'!$H:$H,ROW()),0)</f>
        <v/>
      </c>
      <c r="I1723">
        <f>IF(ISNUMBER(INDEX('Term investments'!$G:$G,ROW())),1,0)</f>
        <v/>
      </c>
      <c r="J1723">
        <f>TRIM(SUBSTITUTE(INDEX('Call accounts and MMFs'!$A:$A,ROW())&amp;""," "," "))</f>
        <v/>
      </c>
      <c r="K1723">
        <f>TRIM(SUBSTITUTE(INDEX('Call accounts and MMFs'!$B:$B,ROW())&amp;""," "," "))</f>
        <v/>
      </c>
      <c r="L1723">
        <f>TRIM(SUBSTITUTE(INDEX('Call accounts and MMFs'!$C:$C,ROW())&amp;""," "," "))</f>
        <v/>
      </c>
      <c r="M1723">
        <f>IFERROR(--INDEX('Call accounts and MMFs'!$D:$D,ROW()),0)</f>
        <v/>
      </c>
      <c r="N1723">
        <f>IFERROR(IF(--INDEX('Call accounts and MMFs'!$E:$E,ROW())&gt;=1,--INDEX('Call accounts and MMFs'!$E:$E,ROW())/100,--INDEX('Call accounts and MMFs'!$E:$E,ROW())),0)</f>
        <v/>
      </c>
      <c r="O1723">
        <f>IFERROR(--INDEX('Call accounts and MMFs'!$F:$F,ROW()),0)</f>
        <v/>
      </c>
      <c r="P1723">
        <f>IF(ISNUMBER(INDEX('Call accounts and MMFs'!$E:$E,ROW())),1,0)</f>
        <v/>
      </c>
      <c r="Q1723">
        <f>TRIM(SUBSTITUTE(INDEX('Pooled funds'!$B:$B,ROW())&amp;""," "," "))</f>
        <v/>
      </c>
      <c r="R1723">
        <f>IFERROR(--INDEX('Pooled funds'!$C:$C,ROW()),0)</f>
        <v/>
      </c>
      <c r="S1723">
        <f>IFERROR(--INDEX('Pooled funds'!$D:$D,ROW()),0)</f>
        <v/>
      </c>
      <c r="T1723">
        <f>IFERROR(IF(--INDEX('Pooled funds'!$E:$E,ROW())&gt;=1,--INDEX('Pooled funds'!$E:$E,ROW())/100,--INDEX('Pooled funds'!$E:$E,ROW())),0)</f>
        <v/>
      </c>
      <c r="U1723">
        <f>IF(ISNUMBER(INDEX('Pooled funds'!$E:$E,ROW())),1,0)</f>
        <v/>
      </c>
    </row>
    <row r="1724">
      <c r="A1724">
        <f>TRIM(SUBSTITUTE(INDEX('Term investments'!$A:$A,ROW())&amp;""," "," "))</f>
        <v/>
      </c>
      <c r="B1724">
        <f>TRIM(SUBSTITUTE(INDEX('Term investments'!$B:$B,ROW())&amp;""," "," "))</f>
        <v/>
      </c>
      <c r="C1724">
        <f>TRIM(SUBSTITUTE(INDEX('Term investments'!$C:$C,ROW())&amp;""," "," "))</f>
        <v/>
      </c>
      <c r="D1724">
        <f>IFERROR(--INDEX('Term investments'!$D:$D,ROW()),0)</f>
        <v/>
      </c>
      <c r="E1724">
        <f>IFERROR(--INDEX('Term investments'!$E:$E,ROW()),0)</f>
        <v/>
      </c>
      <c r="F1724">
        <f>IFERROR(--INDEX('Term investments'!$F:$F,ROW()),0)</f>
        <v/>
      </c>
      <c r="G1724">
        <f>IFERROR(IF(--INDEX('Term investments'!$G:$G,ROW())&gt;=1,--INDEX('Term investments'!$G:$G,ROW())/100,--INDEX('Term investments'!$G:$G,ROW())),0)</f>
        <v/>
      </c>
      <c r="H1724">
        <f>IFERROR(--INDEX('Term investments'!$H:$H,ROW()),0)</f>
        <v/>
      </c>
      <c r="I1724">
        <f>IF(ISNUMBER(INDEX('Term investments'!$G:$G,ROW())),1,0)</f>
        <v/>
      </c>
      <c r="J1724">
        <f>TRIM(SUBSTITUTE(INDEX('Call accounts and MMFs'!$A:$A,ROW())&amp;""," "," "))</f>
        <v/>
      </c>
      <c r="K1724">
        <f>TRIM(SUBSTITUTE(INDEX('Call accounts and MMFs'!$B:$B,ROW())&amp;""," "," "))</f>
        <v/>
      </c>
      <c r="L1724">
        <f>TRIM(SUBSTITUTE(INDEX('Call accounts and MMFs'!$C:$C,ROW())&amp;""," "," "))</f>
        <v/>
      </c>
      <c r="M1724">
        <f>IFERROR(--INDEX('Call accounts and MMFs'!$D:$D,ROW()),0)</f>
        <v/>
      </c>
      <c r="N1724">
        <f>IFERROR(IF(--INDEX('Call accounts and MMFs'!$E:$E,ROW())&gt;=1,--INDEX('Call accounts and MMFs'!$E:$E,ROW())/100,--INDEX('Call accounts and MMFs'!$E:$E,ROW())),0)</f>
        <v/>
      </c>
      <c r="O1724">
        <f>IFERROR(--INDEX('Call accounts and MMFs'!$F:$F,ROW()),0)</f>
        <v/>
      </c>
      <c r="P1724">
        <f>IF(ISNUMBER(INDEX('Call accounts and MMFs'!$E:$E,ROW())),1,0)</f>
        <v/>
      </c>
      <c r="Q1724">
        <f>TRIM(SUBSTITUTE(INDEX('Pooled funds'!$B:$B,ROW())&amp;""," "," "))</f>
        <v/>
      </c>
      <c r="R1724">
        <f>IFERROR(--INDEX('Pooled funds'!$C:$C,ROW()),0)</f>
        <v/>
      </c>
      <c r="S1724">
        <f>IFERROR(--INDEX('Pooled funds'!$D:$D,ROW()),0)</f>
        <v/>
      </c>
      <c r="T1724">
        <f>IFERROR(IF(--INDEX('Pooled funds'!$E:$E,ROW())&gt;=1,--INDEX('Pooled funds'!$E:$E,ROW())/100,--INDEX('Pooled funds'!$E:$E,ROW())),0)</f>
        <v/>
      </c>
      <c r="U1724">
        <f>IF(ISNUMBER(INDEX('Pooled funds'!$E:$E,ROW())),1,0)</f>
        <v/>
      </c>
    </row>
    <row r="1725">
      <c r="A1725">
        <f>TRIM(SUBSTITUTE(INDEX('Term investments'!$A:$A,ROW())&amp;""," "," "))</f>
        <v/>
      </c>
      <c r="B1725">
        <f>TRIM(SUBSTITUTE(INDEX('Term investments'!$B:$B,ROW())&amp;""," "," "))</f>
        <v/>
      </c>
      <c r="C1725">
        <f>TRIM(SUBSTITUTE(INDEX('Term investments'!$C:$C,ROW())&amp;""," "," "))</f>
        <v/>
      </c>
      <c r="D1725">
        <f>IFERROR(--INDEX('Term investments'!$D:$D,ROW()),0)</f>
        <v/>
      </c>
      <c r="E1725">
        <f>IFERROR(--INDEX('Term investments'!$E:$E,ROW()),0)</f>
        <v/>
      </c>
      <c r="F1725">
        <f>IFERROR(--INDEX('Term investments'!$F:$F,ROW()),0)</f>
        <v/>
      </c>
      <c r="G1725">
        <f>IFERROR(IF(--INDEX('Term investments'!$G:$G,ROW())&gt;=1,--INDEX('Term investments'!$G:$G,ROW())/100,--INDEX('Term investments'!$G:$G,ROW())),0)</f>
        <v/>
      </c>
      <c r="H1725">
        <f>IFERROR(--INDEX('Term investments'!$H:$H,ROW()),0)</f>
        <v/>
      </c>
      <c r="I1725">
        <f>IF(ISNUMBER(INDEX('Term investments'!$G:$G,ROW())),1,0)</f>
        <v/>
      </c>
      <c r="J1725">
        <f>TRIM(SUBSTITUTE(INDEX('Call accounts and MMFs'!$A:$A,ROW())&amp;""," "," "))</f>
        <v/>
      </c>
      <c r="K1725">
        <f>TRIM(SUBSTITUTE(INDEX('Call accounts and MMFs'!$B:$B,ROW())&amp;""," "," "))</f>
        <v/>
      </c>
      <c r="L1725">
        <f>TRIM(SUBSTITUTE(INDEX('Call accounts and MMFs'!$C:$C,ROW())&amp;""," "," "))</f>
        <v/>
      </c>
      <c r="M1725">
        <f>IFERROR(--INDEX('Call accounts and MMFs'!$D:$D,ROW()),0)</f>
        <v/>
      </c>
      <c r="N1725">
        <f>IFERROR(IF(--INDEX('Call accounts and MMFs'!$E:$E,ROW())&gt;=1,--INDEX('Call accounts and MMFs'!$E:$E,ROW())/100,--INDEX('Call accounts and MMFs'!$E:$E,ROW())),0)</f>
        <v/>
      </c>
      <c r="O1725">
        <f>IFERROR(--INDEX('Call accounts and MMFs'!$F:$F,ROW()),0)</f>
        <v/>
      </c>
      <c r="P1725">
        <f>IF(ISNUMBER(INDEX('Call accounts and MMFs'!$E:$E,ROW())),1,0)</f>
        <v/>
      </c>
      <c r="Q1725">
        <f>TRIM(SUBSTITUTE(INDEX('Pooled funds'!$B:$B,ROW())&amp;""," "," "))</f>
        <v/>
      </c>
      <c r="R1725">
        <f>IFERROR(--INDEX('Pooled funds'!$C:$C,ROW()),0)</f>
        <v/>
      </c>
      <c r="S1725">
        <f>IFERROR(--INDEX('Pooled funds'!$D:$D,ROW()),0)</f>
        <v/>
      </c>
      <c r="T1725">
        <f>IFERROR(IF(--INDEX('Pooled funds'!$E:$E,ROW())&gt;=1,--INDEX('Pooled funds'!$E:$E,ROW())/100,--INDEX('Pooled funds'!$E:$E,ROW())),0)</f>
        <v/>
      </c>
      <c r="U1725">
        <f>IF(ISNUMBER(INDEX('Pooled funds'!$E:$E,ROW())),1,0)</f>
        <v/>
      </c>
    </row>
    <row r="1726">
      <c r="A1726">
        <f>TRIM(SUBSTITUTE(INDEX('Term investments'!$A:$A,ROW())&amp;""," "," "))</f>
        <v/>
      </c>
      <c r="B1726">
        <f>TRIM(SUBSTITUTE(INDEX('Term investments'!$B:$B,ROW())&amp;""," "," "))</f>
        <v/>
      </c>
      <c r="C1726">
        <f>TRIM(SUBSTITUTE(INDEX('Term investments'!$C:$C,ROW())&amp;""," "," "))</f>
        <v/>
      </c>
      <c r="D1726">
        <f>IFERROR(--INDEX('Term investments'!$D:$D,ROW()),0)</f>
        <v/>
      </c>
      <c r="E1726">
        <f>IFERROR(--INDEX('Term investments'!$E:$E,ROW()),0)</f>
        <v/>
      </c>
      <c r="F1726">
        <f>IFERROR(--INDEX('Term investments'!$F:$F,ROW()),0)</f>
        <v/>
      </c>
      <c r="G1726">
        <f>IFERROR(IF(--INDEX('Term investments'!$G:$G,ROW())&gt;=1,--INDEX('Term investments'!$G:$G,ROW())/100,--INDEX('Term investments'!$G:$G,ROW())),0)</f>
        <v/>
      </c>
      <c r="H1726">
        <f>IFERROR(--INDEX('Term investments'!$H:$H,ROW()),0)</f>
        <v/>
      </c>
      <c r="I1726">
        <f>IF(ISNUMBER(INDEX('Term investments'!$G:$G,ROW())),1,0)</f>
        <v/>
      </c>
      <c r="J1726">
        <f>TRIM(SUBSTITUTE(INDEX('Call accounts and MMFs'!$A:$A,ROW())&amp;""," "," "))</f>
        <v/>
      </c>
      <c r="K1726">
        <f>TRIM(SUBSTITUTE(INDEX('Call accounts and MMFs'!$B:$B,ROW())&amp;""," "," "))</f>
        <v/>
      </c>
      <c r="L1726">
        <f>TRIM(SUBSTITUTE(INDEX('Call accounts and MMFs'!$C:$C,ROW())&amp;""," "," "))</f>
        <v/>
      </c>
      <c r="M1726">
        <f>IFERROR(--INDEX('Call accounts and MMFs'!$D:$D,ROW()),0)</f>
        <v/>
      </c>
      <c r="N1726">
        <f>IFERROR(IF(--INDEX('Call accounts and MMFs'!$E:$E,ROW())&gt;=1,--INDEX('Call accounts and MMFs'!$E:$E,ROW())/100,--INDEX('Call accounts and MMFs'!$E:$E,ROW())),0)</f>
        <v/>
      </c>
      <c r="O1726">
        <f>IFERROR(--INDEX('Call accounts and MMFs'!$F:$F,ROW()),0)</f>
        <v/>
      </c>
      <c r="P1726">
        <f>IF(ISNUMBER(INDEX('Call accounts and MMFs'!$E:$E,ROW())),1,0)</f>
        <v/>
      </c>
      <c r="Q1726">
        <f>TRIM(SUBSTITUTE(INDEX('Pooled funds'!$B:$B,ROW())&amp;""," "," "))</f>
        <v/>
      </c>
      <c r="R1726">
        <f>IFERROR(--INDEX('Pooled funds'!$C:$C,ROW()),0)</f>
        <v/>
      </c>
      <c r="S1726">
        <f>IFERROR(--INDEX('Pooled funds'!$D:$D,ROW()),0)</f>
        <v/>
      </c>
      <c r="T1726">
        <f>IFERROR(IF(--INDEX('Pooled funds'!$E:$E,ROW())&gt;=1,--INDEX('Pooled funds'!$E:$E,ROW())/100,--INDEX('Pooled funds'!$E:$E,ROW())),0)</f>
        <v/>
      </c>
      <c r="U1726">
        <f>IF(ISNUMBER(INDEX('Pooled funds'!$E:$E,ROW())),1,0)</f>
        <v/>
      </c>
    </row>
    <row r="1727">
      <c r="A1727">
        <f>TRIM(SUBSTITUTE(INDEX('Term investments'!$A:$A,ROW())&amp;""," "," "))</f>
        <v/>
      </c>
      <c r="B1727">
        <f>TRIM(SUBSTITUTE(INDEX('Term investments'!$B:$B,ROW())&amp;""," "," "))</f>
        <v/>
      </c>
      <c r="C1727">
        <f>TRIM(SUBSTITUTE(INDEX('Term investments'!$C:$C,ROW())&amp;""," "," "))</f>
        <v/>
      </c>
      <c r="D1727">
        <f>IFERROR(--INDEX('Term investments'!$D:$D,ROW()),0)</f>
        <v/>
      </c>
      <c r="E1727">
        <f>IFERROR(--INDEX('Term investments'!$E:$E,ROW()),0)</f>
        <v/>
      </c>
      <c r="F1727">
        <f>IFERROR(--INDEX('Term investments'!$F:$F,ROW()),0)</f>
        <v/>
      </c>
      <c r="G1727">
        <f>IFERROR(IF(--INDEX('Term investments'!$G:$G,ROW())&gt;=1,--INDEX('Term investments'!$G:$G,ROW())/100,--INDEX('Term investments'!$G:$G,ROW())),0)</f>
        <v/>
      </c>
      <c r="H1727">
        <f>IFERROR(--INDEX('Term investments'!$H:$H,ROW()),0)</f>
        <v/>
      </c>
      <c r="I1727">
        <f>IF(ISNUMBER(INDEX('Term investments'!$G:$G,ROW())),1,0)</f>
        <v/>
      </c>
      <c r="J1727">
        <f>TRIM(SUBSTITUTE(INDEX('Call accounts and MMFs'!$A:$A,ROW())&amp;""," "," "))</f>
        <v/>
      </c>
      <c r="K1727">
        <f>TRIM(SUBSTITUTE(INDEX('Call accounts and MMFs'!$B:$B,ROW())&amp;""," "," "))</f>
        <v/>
      </c>
      <c r="L1727">
        <f>TRIM(SUBSTITUTE(INDEX('Call accounts and MMFs'!$C:$C,ROW())&amp;""," "," "))</f>
        <v/>
      </c>
      <c r="M1727">
        <f>IFERROR(--INDEX('Call accounts and MMFs'!$D:$D,ROW()),0)</f>
        <v/>
      </c>
      <c r="N1727">
        <f>IFERROR(IF(--INDEX('Call accounts and MMFs'!$E:$E,ROW())&gt;=1,--INDEX('Call accounts and MMFs'!$E:$E,ROW())/100,--INDEX('Call accounts and MMFs'!$E:$E,ROW())),0)</f>
        <v/>
      </c>
      <c r="O1727">
        <f>IFERROR(--INDEX('Call accounts and MMFs'!$F:$F,ROW()),0)</f>
        <v/>
      </c>
      <c r="P1727">
        <f>IF(ISNUMBER(INDEX('Call accounts and MMFs'!$E:$E,ROW())),1,0)</f>
        <v/>
      </c>
      <c r="Q1727">
        <f>TRIM(SUBSTITUTE(INDEX('Pooled funds'!$B:$B,ROW())&amp;""," "," "))</f>
        <v/>
      </c>
      <c r="R1727">
        <f>IFERROR(--INDEX('Pooled funds'!$C:$C,ROW()),0)</f>
        <v/>
      </c>
      <c r="S1727">
        <f>IFERROR(--INDEX('Pooled funds'!$D:$D,ROW()),0)</f>
        <v/>
      </c>
      <c r="T1727">
        <f>IFERROR(IF(--INDEX('Pooled funds'!$E:$E,ROW())&gt;=1,--INDEX('Pooled funds'!$E:$E,ROW())/100,--INDEX('Pooled funds'!$E:$E,ROW())),0)</f>
        <v/>
      </c>
      <c r="U1727">
        <f>IF(ISNUMBER(INDEX('Pooled funds'!$E:$E,ROW())),1,0)</f>
        <v/>
      </c>
    </row>
    <row r="1728">
      <c r="A1728">
        <f>TRIM(SUBSTITUTE(INDEX('Term investments'!$A:$A,ROW())&amp;""," "," "))</f>
        <v/>
      </c>
      <c r="B1728">
        <f>TRIM(SUBSTITUTE(INDEX('Term investments'!$B:$B,ROW())&amp;""," "," "))</f>
        <v/>
      </c>
      <c r="C1728">
        <f>TRIM(SUBSTITUTE(INDEX('Term investments'!$C:$C,ROW())&amp;""," "," "))</f>
        <v/>
      </c>
      <c r="D1728">
        <f>IFERROR(--INDEX('Term investments'!$D:$D,ROW()),0)</f>
        <v/>
      </c>
      <c r="E1728">
        <f>IFERROR(--INDEX('Term investments'!$E:$E,ROW()),0)</f>
        <v/>
      </c>
      <c r="F1728">
        <f>IFERROR(--INDEX('Term investments'!$F:$F,ROW()),0)</f>
        <v/>
      </c>
      <c r="G1728">
        <f>IFERROR(IF(--INDEX('Term investments'!$G:$G,ROW())&gt;=1,--INDEX('Term investments'!$G:$G,ROW())/100,--INDEX('Term investments'!$G:$G,ROW())),0)</f>
        <v/>
      </c>
      <c r="H1728">
        <f>IFERROR(--INDEX('Term investments'!$H:$H,ROW()),0)</f>
        <v/>
      </c>
      <c r="I1728">
        <f>IF(ISNUMBER(INDEX('Term investments'!$G:$G,ROW())),1,0)</f>
        <v/>
      </c>
      <c r="J1728">
        <f>TRIM(SUBSTITUTE(INDEX('Call accounts and MMFs'!$A:$A,ROW())&amp;""," "," "))</f>
        <v/>
      </c>
      <c r="K1728">
        <f>TRIM(SUBSTITUTE(INDEX('Call accounts and MMFs'!$B:$B,ROW())&amp;""," "," "))</f>
        <v/>
      </c>
      <c r="L1728">
        <f>TRIM(SUBSTITUTE(INDEX('Call accounts and MMFs'!$C:$C,ROW())&amp;""," "," "))</f>
        <v/>
      </c>
      <c r="M1728">
        <f>IFERROR(--INDEX('Call accounts and MMFs'!$D:$D,ROW()),0)</f>
        <v/>
      </c>
      <c r="N1728">
        <f>IFERROR(IF(--INDEX('Call accounts and MMFs'!$E:$E,ROW())&gt;=1,--INDEX('Call accounts and MMFs'!$E:$E,ROW())/100,--INDEX('Call accounts and MMFs'!$E:$E,ROW())),0)</f>
        <v/>
      </c>
      <c r="O1728">
        <f>IFERROR(--INDEX('Call accounts and MMFs'!$F:$F,ROW()),0)</f>
        <v/>
      </c>
      <c r="P1728">
        <f>IF(ISNUMBER(INDEX('Call accounts and MMFs'!$E:$E,ROW())),1,0)</f>
        <v/>
      </c>
      <c r="Q1728">
        <f>TRIM(SUBSTITUTE(INDEX('Pooled funds'!$B:$B,ROW())&amp;""," "," "))</f>
        <v/>
      </c>
      <c r="R1728">
        <f>IFERROR(--INDEX('Pooled funds'!$C:$C,ROW()),0)</f>
        <v/>
      </c>
      <c r="S1728">
        <f>IFERROR(--INDEX('Pooled funds'!$D:$D,ROW()),0)</f>
        <v/>
      </c>
      <c r="T1728">
        <f>IFERROR(IF(--INDEX('Pooled funds'!$E:$E,ROW())&gt;=1,--INDEX('Pooled funds'!$E:$E,ROW())/100,--INDEX('Pooled funds'!$E:$E,ROW())),0)</f>
        <v/>
      </c>
      <c r="U1728">
        <f>IF(ISNUMBER(INDEX('Pooled funds'!$E:$E,ROW())),1,0)</f>
        <v/>
      </c>
    </row>
    <row r="1729">
      <c r="A1729">
        <f>TRIM(SUBSTITUTE(INDEX('Term investments'!$A:$A,ROW())&amp;""," "," "))</f>
        <v/>
      </c>
      <c r="B1729">
        <f>TRIM(SUBSTITUTE(INDEX('Term investments'!$B:$B,ROW())&amp;""," "," "))</f>
        <v/>
      </c>
      <c r="C1729">
        <f>TRIM(SUBSTITUTE(INDEX('Term investments'!$C:$C,ROW())&amp;""," "," "))</f>
        <v/>
      </c>
      <c r="D1729">
        <f>IFERROR(--INDEX('Term investments'!$D:$D,ROW()),0)</f>
        <v/>
      </c>
      <c r="E1729">
        <f>IFERROR(--INDEX('Term investments'!$E:$E,ROW()),0)</f>
        <v/>
      </c>
      <c r="F1729">
        <f>IFERROR(--INDEX('Term investments'!$F:$F,ROW()),0)</f>
        <v/>
      </c>
      <c r="G1729">
        <f>IFERROR(IF(--INDEX('Term investments'!$G:$G,ROW())&gt;=1,--INDEX('Term investments'!$G:$G,ROW())/100,--INDEX('Term investments'!$G:$G,ROW())),0)</f>
        <v/>
      </c>
      <c r="H1729">
        <f>IFERROR(--INDEX('Term investments'!$H:$H,ROW()),0)</f>
        <v/>
      </c>
      <c r="I1729">
        <f>IF(ISNUMBER(INDEX('Term investments'!$G:$G,ROW())),1,0)</f>
        <v/>
      </c>
      <c r="J1729">
        <f>TRIM(SUBSTITUTE(INDEX('Call accounts and MMFs'!$A:$A,ROW())&amp;""," "," "))</f>
        <v/>
      </c>
      <c r="K1729">
        <f>TRIM(SUBSTITUTE(INDEX('Call accounts and MMFs'!$B:$B,ROW())&amp;""," "," "))</f>
        <v/>
      </c>
      <c r="L1729">
        <f>TRIM(SUBSTITUTE(INDEX('Call accounts and MMFs'!$C:$C,ROW())&amp;""," "," "))</f>
        <v/>
      </c>
      <c r="M1729">
        <f>IFERROR(--INDEX('Call accounts and MMFs'!$D:$D,ROW()),0)</f>
        <v/>
      </c>
      <c r="N1729">
        <f>IFERROR(IF(--INDEX('Call accounts and MMFs'!$E:$E,ROW())&gt;=1,--INDEX('Call accounts and MMFs'!$E:$E,ROW())/100,--INDEX('Call accounts and MMFs'!$E:$E,ROW())),0)</f>
        <v/>
      </c>
      <c r="O1729">
        <f>IFERROR(--INDEX('Call accounts and MMFs'!$F:$F,ROW()),0)</f>
        <v/>
      </c>
      <c r="P1729">
        <f>IF(ISNUMBER(INDEX('Call accounts and MMFs'!$E:$E,ROW())),1,0)</f>
        <v/>
      </c>
      <c r="Q1729">
        <f>TRIM(SUBSTITUTE(INDEX('Pooled funds'!$B:$B,ROW())&amp;""," "," "))</f>
        <v/>
      </c>
      <c r="R1729">
        <f>IFERROR(--INDEX('Pooled funds'!$C:$C,ROW()),0)</f>
        <v/>
      </c>
      <c r="S1729">
        <f>IFERROR(--INDEX('Pooled funds'!$D:$D,ROW()),0)</f>
        <v/>
      </c>
      <c r="T1729">
        <f>IFERROR(IF(--INDEX('Pooled funds'!$E:$E,ROW())&gt;=1,--INDEX('Pooled funds'!$E:$E,ROW())/100,--INDEX('Pooled funds'!$E:$E,ROW())),0)</f>
        <v/>
      </c>
      <c r="U1729">
        <f>IF(ISNUMBER(INDEX('Pooled funds'!$E:$E,ROW())),1,0)</f>
        <v/>
      </c>
    </row>
    <row r="1730">
      <c r="A1730">
        <f>TRIM(SUBSTITUTE(INDEX('Term investments'!$A:$A,ROW())&amp;""," "," "))</f>
        <v/>
      </c>
      <c r="B1730">
        <f>TRIM(SUBSTITUTE(INDEX('Term investments'!$B:$B,ROW())&amp;""," "," "))</f>
        <v/>
      </c>
      <c r="C1730">
        <f>TRIM(SUBSTITUTE(INDEX('Term investments'!$C:$C,ROW())&amp;""," "," "))</f>
        <v/>
      </c>
      <c r="D1730">
        <f>IFERROR(--INDEX('Term investments'!$D:$D,ROW()),0)</f>
        <v/>
      </c>
      <c r="E1730">
        <f>IFERROR(--INDEX('Term investments'!$E:$E,ROW()),0)</f>
        <v/>
      </c>
      <c r="F1730">
        <f>IFERROR(--INDEX('Term investments'!$F:$F,ROW()),0)</f>
        <v/>
      </c>
      <c r="G1730">
        <f>IFERROR(IF(--INDEX('Term investments'!$G:$G,ROW())&gt;=1,--INDEX('Term investments'!$G:$G,ROW())/100,--INDEX('Term investments'!$G:$G,ROW())),0)</f>
        <v/>
      </c>
      <c r="H1730">
        <f>IFERROR(--INDEX('Term investments'!$H:$H,ROW()),0)</f>
        <v/>
      </c>
      <c r="I1730">
        <f>IF(ISNUMBER(INDEX('Term investments'!$G:$G,ROW())),1,0)</f>
        <v/>
      </c>
      <c r="J1730">
        <f>TRIM(SUBSTITUTE(INDEX('Call accounts and MMFs'!$A:$A,ROW())&amp;""," "," "))</f>
        <v/>
      </c>
      <c r="K1730">
        <f>TRIM(SUBSTITUTE(INDEX('Call accounts and MMFs'!$B:$B,ROW())&amp;""," "," "))</f>
        <v/>
      </c>
      <c r="L1730">
        <f>TRIM(SUBSTITUTE(INDEX('Call accounts and MMFs'!$C:$C,ROW())&amp;""," "," "))</f>
        <v/>
      </c>
      <c r="M1730">
        <f>IFERROR(--INDEX('Call accounts and MMFs'!$D:$D,ROW()),0)</f>
        <v/>
      </c>
      <c r="N1730">
        <f>IFERROR(IF(--INDEX('Call accounts and MMFs'!$E:$E,ROW())&gt;=1,--INDEX('Call accounts and MMFs'!$E:$E,ROW())/100,--INDEX('Call accounts and MMFs'!$E:$E,ROW())),0)</f>
        <v/>
      </c>
      <c r="O1730">
        <f>IFERROR(--INDEX('Call accounts and MMFs'!$F:$F,ROW()),0)</f>
        <v/>
      </c>
      <c r="P1730">
        <f>IF(ISNUMBER(INDEX('Call accounts and MMFs'!$E:$E,ROW())),1,0)</f>
        <v/>
      </c>
      <c r="Q1730">
        <f>TRIM(SUBSTITUTE(INDEX('Pooled funds'!$B:$B,ROW())&amp;""," "," "))</f>
        <v/>
      </c>
      <c r="R1730">
        <f>IFERROR(--INDEX('Pooled funds'!$C:$C,ROW()),0)</f>
        <v/>
      </c>
      <c r="S1730">
        <f>IFERROR(--INDEX('Pooled funds'!$D:$D,ROW()),0)</f>
        <v/>
      </c>
      <c r="T1730">
        <f>IFERROR(IF(--INDEX('Pooled funds'!$E:$E,ROW())&gt;=1,--INDEX('Pooled funds'!$E:$E,ROW())/100,--INDEX('Pooled funds'!$E:$E,ROW())),0)</f>
        <v/>
      </c>
      <c r="U1730">
        <f>IF(ISNUMBER(INDEX('Pooled funds'!$E:$E,ROW())),1,0)</f>
        <v/>
      </c>
    </row>
    <row r="1731">
      <c r="A1731">
        <f>TRIM(SUBSTITUTE(INDEX('Term investments'!$A:$A,ROW())&amp;""," "," "))</f>
        <v/>
      </c>
      <c r="B1731">
        <f>TRIM(SUBSTITUTE(INDEX('Term investments'!$B:$B,ROW())&amp;""," "," "))</f>
        <v/>
      </c>
      <c r="C1731">
        <f>TRIM(SUBSTITUTE(INDEX('Term investments'!$C:$C,ROW())&amp;""," "," "))</f>
        <v/>
      </c>
      <c r="D1731">
        <f>IFERROR(--INDEX('Term investments'!$D:$D,ROW()),0)</f>
        <v/>
      </c>
      <c r="E1731">
        <f>IFERROR(--INDEX('Term investments'!$E:$E,ROW()),0)</f>
        <v/>
      </c>
      <c r="F1731">
        <f>IFERROR(--INDEX('Term investments'!$F:$F,ROW()),0)</f>
        <v/>
      </c>
      <c r="G1731">
        <f>IFERROR(IF(--INDEX('Term investments'!$G:$G,ROW())&gt;=1,--INDEX('Term investments'!$G:$G,ROW())/100,--INDEX('Term investments'!$G:$G,ROW())),0)</f>
        <v/>
      </c>
      <c r="H1731">
        <f>IFERROR(--INDEX('Term investments'!$H:$H,ROW()),0)</f>
        <v/>
      </c>
      <c r="I1731">
        <f>IF(ISNUMBER(INDEX('Term investments'!$G:$G,ROW())),1,0)</f>
        <v/>
      </c>
      <c r="J1731">
        <f>TRIM(SUBSTITUTE(INDEX('Call accounts and MMFs'!$A:$A,ROW())&amp;""," "," "))</f>
        <v/>
      </c>
      <c r="K1731">
        <f>TRIM(SUBSTITUTE(INDEX('Call accounts and MMFs'!$B:$B,ROW())&amp;""," "," "))</f>
        <v/>
      </c>
      <c r="L1731">
        <f>TRIM(SUBSTITUTE(INDEX('Call accounts and MMFs'!$C:$C,ROW())&amp;""," "," "))</f>
        <v/>
      </c>
      <c r="M1731">
        <f>IFERROR(--INDEX('Call accounts and MMFs'!$D:$D,ROW()),0)</f>
        <v/>
      </c>
      <c r="N1731">
        <f>IFERROR(IF(--INDEX('Call accounts and MMFs'!$E:$E,ROW())&gt;=1,--INDEX('Call accounts and MMFs'!$E:$E,ROW())/100,--INDEX('Call accounts and MMFs'!$E:$E,ROW())),0)</f>
        <v/>
      </c>
      <c r="O1731">
        <f>IFERROR(--INDEX('Call accounts and MMFs'!$F:$F,ROW()),0)</f>
        <v/>
      </c>
      <c r="P1731">
        <f>IF(ISNUMBER(INDEX('Call accounts and MMFs'!$E:$E,ROW())),1,0)</f>
        <v/>
      </c>
      <c r="Q1731">
        <f>TRIM(SUBSTITUTE(INDEX('Pooled funds'!$B:$B,ROW())&amp;""," "," "))</f>
        <v/>
      </c>
      <c r="R1731">
        <f>IFERROR(--INDEX('Pooled funds'!$C:$C,ROW()),0)</f>
        <v/>
      </c>
      <c r="S1731">
        <f>IFERROR(--INDEX('Pooled funds'!$D:$D,ROW()),0)</f>
        <v/>
      </c>
      <c r="T1731">
        <f>IFERROR(IF(--INDEX('Pooled funds'!$E:$E,ROW())&gt;=1,--INDEX('Pooled funds'!$E:$E,ROW())/100,--INDEX('Pooled funds'!$E:$E,ROW())),0)</f>
        <v/>
      </c>
      <c r="U1731">
        <f>IF(ISNUMBER(INDEX('Pooled funds'!$E:$E,ROW())),1,0)</f>
        <v/>
      </c>
    </row>
    <row r="1732">
      <c r="A1732">
        <f>TRIM(SUBSTITUTE(INDEX('Term investments'!$A:$A,ROW())&amp;""," "," "))</f>
        <v/>
      </c>
      <c r="B1732">
        <f>TRIM(SUBSTITUTE(INDEX('Term investments'!$B:$B,ROW())&amp;""," "," "))</f>
        <v/>
      </c>
      <c r="C1732">
        <f>TRIM(SUBSTITUTE(INDEX('Term investments'!$C:$C,ROW())&amp;""," "," "))</f>
        <v/>
      </c>
      <c r="D1732">
        <f>IFERROR(--INDEX('Term investments'!$D:$D,ROW()),0)</f>
        <v/>
      </c>
      <c r="E1732">
        <f>IFERROR(--INDEX('Term investments'!$E:$E,ROW()),0)</f>
        <v/>
      </c>
      <c r="F1732">
        <f>IFERROR(--INDEX('Term investments'!$F:$F,ROW()),0)</f>
        <v/>
      </c>
      <c r="G1732">
        <f>IFERROR(IF(--INDEX('Term investments'!$G:$G,ROW())&gt;=1,--INDEX('Term investments'!$G:$G,ROW())/100,--INDEX('Term investments'!$G:$G,ROW())),0)</f>
        <v/>
      </c>
      <c r="H1732">
        <f>IFERROR(--INDEX('Term investments'!$H:$H,ROW()),0)</f>
        <v/>
      </c>
      <c r="I1732">
        <f>IF(ISNUMBER(INDEX('Term investments'!$G:$G,ROW())),1,0)</f>
        <v/>
      </c>
      <c r="J1732">
        <f>TRIM(SUBSTITUTE(INDEX('Call accounts and MMFs'!$A:$A,ROW())&amp;""," "," "))</f>
        <v/>
      </c>
      <c r="K1732">
        <f>TRIM(SUBSTITUTE(INDEX('Call accounts and MMFs'!$B:$B,ROW())&amp;""," "," "))</f>
        <v/>
      </c>
      <c r="L1732">
        <f>TRIM(SUBSTITUTE(INDEX('Call accounts and MMFs'!$C:$C,ROW())&amp;""," "," "))</f>
        <v/>
      </c>
      <c r="M1732">
        <f>IFERROR(--INDEX('Call accounts and MMFs'!$D:$D,ROW()),0)</f>
        <v/>
      </c>
      <c r="N1732">
        <f>IFERROR(IF(--INDEX('Call accounts and MMFs'!$E:$E,ROW())&gt;=1,--INDEX('Call accounts and MMFs'!$E:$E,ROW())/100,--INDEX('Call accounts and MMFs'!$E:$E,ROW())),0)</f>
        <v/>
      </c>
      <c r="O1732">
        <f>IFERROR(--INDEX('Call accounts and MMFs'!$F:$F,ROW()),0)</f>
        <v/>
      </c>
      <c r="P1732">
        <f>IF(ISNUMBER(INDEX('Call accounts and MMFs'!$E:$E,ROW())),1,0)</f>
        <v/>
      </c>
      <c r="Q1732">
        <f>TRIM(SUBSTITUTE(INDEX('Pooled funds'!$B:$B,ROW())&amp;""," "," "))</f>
        <v/>
      </c>
      <c r="R1732">
        <f>IFERROR(--INDEX('Pooled funds'!$C:$C,ROW()),0)</f>
        <v/>
      </c>
      <c r="S1732">
        <f>IFERROR(--INDEX('Pooled funds'!$D:$D,ROW()),0)</f>
        <v/>
      </c>
      <c r="T1732">
        <f>IFERROR(IF(--INDEX('Pooled funds'!$E:$E,ROW())&gt;=1,--INDEX('Pooled funds'!$E:$E,ROW())/100,--INDEX('Pooled funds'!$E:$E,ROW())),0)</f>
        <v/>
      </c>
      <c r="U1732">
        <f>IF(ISNUMBER(INDEX('Pooled funds'!$E:$E,ROW())),1,0)</f>
        <v/>
      </c>
    </row>
    <row r="1733">
      <c r="A1733">
        <f>TRIM(SUBSTITUTE(INDEX('Term investments'!$A:$A,ROW())&amp;""," "," "))</f>
        <v/>
      </c>
      <c r="B1733">
        <f>TRIM(SUBSTITUTE(INDEX('Term investments'!$B:$B,ROW())&amp;""," "," "))</f>
        <v/>
      </c>
      <c r="C1733">
        <f>TRIM(SUBSTITUTE(INDEX('Term investments'!$C:$C,ROW())&amp;""," "," "))</f>
        <v/>
      </c>
      <c r="D1733">
        <f>IFERROR(--INDEX('Term investments'!$D:$D,ROW()),0)</f>
        <v/>
      </c>
      <c r="E1733">
        <f>IFERROR(--INDEX('Term investments'!$E:$E,ROW()),0)</f>
        <v/>
      </c>
      <c r="F1733">
        <f>IFERROR(--INDEX('Term investments'!$F:$F,ROW()),0)</f>
        <v/>
      </c>
      <c r="G1733">
        <f>IFERROR(IF(--INDEX('Term investments'!$G:$G,ROW())&gt;=1,--INDEX('Term investments'!$G:$G,ROW())/100,--INDEX('Term investments'!$G:$G,ROW())),0)</f>
        <v/>
      </c>
      <c r="H1733">
        <f>IFERROR(--INDEX('Term investments'!$H:$H,ROW()),0)</f>
        <v/>
      </c>
      <c r="I1733">
        <f>IF(ISNUMBER(INDEX('Term investments'!$G:$G,ROW())),1,0)</f>
        <v/>
      </c>
      <c r="J1733">
        <f>TRIM(SUBSTITUTE(INDEX('Call accounts and MMFs'!$A:$A,ROW())&amp;""," "," "))</f>
        <v/>
      </c>
      <c r="K1733">
        <f>TRIM(SUBSTITUTE(INDEX('Call accounts and MMFs'!$B:$B,ROW())&amp;""," "," "))</f>
        <v/>
      </c>
      <c r="L1733">
        <f>TRIM(SUBSTITUTE(INDEX('Call accounts and MMFs'!$C:$C,ROW())&amp;""," "," "))</f>
        <v/>
      </c>
      <c r="M1733">
        <f>IFERROR(--INDEX('Call accounts and MMFs'!$D:$D,ROW()),0)</f>
        <v/>
      </c>
      <c r="N1733">
        <f>IFERROR(IF(--INDEX('Call accounts and MMFs'!$E:$E,ROW())&gt;=1,--INDEX('Call accounts and MMFs'!$E:$E,ROW())/100,--INDEX('Call accounts and MMFs'!$E:$E,ROW())),0)</f>
        <v/>
      </c>
      <c r="O1733">
        <f>IFERROR(--INDEX('Call accounts and MMFs'!$F:$F,ROW()),0)</f>
        <v/>
      </c>
      <c r="P1733">
        <f>IF(ISNUMBER(INDEX('Call accounts and MMFs'!$E:$E,ROW())),1,0)</f>
        <v/>
      </c>
      <c r="Q1733">
        <f>TRIM(SUBSTITUTE(INDEX('Pooled funds'!$B:$B,ROW())&amp;""," "," "))</f>
        <v/>
      </c>
      <c r="R1733">
        <f>IFERROR(--INDEX('Pooled funds'!$C:$C,ROW()),0)</f>
        <v/>
      </c>
      <c r="S1733">
        <f>IFERROR(--INDEX('Pooled funds'!$D:$D,ROW()),0)</f>
        <v/>
      </c>
      <c r="T1733">
        <f>IFERROR(IF(--INDEX('Pooled funds'!$E:$E,ROW())&gt;=1,--INDEX('Pooled funds'!$E:$E,ROW())/100,--INDEX('Pooled funds'!$E:$E,ROW())),0)</f>
        <v/>
      </c>
      <c r="U1733">
        <f>IF(ISNUMBER(INDEX('Pooled funds'!$E:$E,ROW())),1,0)</f>
        <v/>
      </c>
    </row>
    <row r="1734">
      <c r="A1734">
        <f>TRIM(SUBSTITUTE(INDEX('Term investments'!$A:$A,ROW())&amp;""," "," "))</f>
        <v/>
      </c>
      <c r="B1734">
        <f>TRIM(SUBSTITUTE(INDEX('Term investments'!$B:$B,ROW())&amp;""," "," "))</f>
        <v/>
      </c>
      <c r="C1734">
        <f>TRIM(SUBSTITUTE(INDEX('Term investments'!$C:$C,ROW())&amp;""," "," "))</f>
        <v/>
      </c>
      <c r="D1734">
        <f>IFERROR(--INDEX('Term investments'!$D:$D,ROW()),0)</f>
        <v/>
      </c>
      <c r="E1734">
        <f>IFERROR(--INDEX('Term investments'!$E:$E,ROW()),0)</f>
        <v/>
      </c>
      <c r="F1734">
        <f>IFERROR(--INDEX('Term investments'!$F:$F,ROW()),0)</f>
        <v/>
      </c>
      <c r="G1734">
        <f>IFERROR(IF(--INDEX('Term investments'!$G:$G,ROW())&gt;=1,--INDEX('Term investments'!$G:$G,ROW())/100,--INDEX('Term investments'!$G:$G,ROW())),0)</f>
        <v/>
      </c>
      <c r="H1734">
        <f>IFERROR(--INDEX('Term investments'!$H:$H,ROW()),0)</f>
        <v/>
      </c>
      <c r="I1734">
        <f>IF(ISNUMBER(INDEX('Term investments'!$G:$G,ROW())),1,0)</f>
        <v/>
      </c>
      <c r="J1734">
        <f>TRIM(SUBSTITUTE(INDEX('Call accounts and MMFs'!$A:$A,ROW())&amp;""," "," "))</f>
        <v/>
      </c>
      <c r="K1734">
        <f>TRIM(SUBSTITUTE(INDEX('Call accounts and MMFs'!$B:$B,ROW())&amp;""," "," "))</f>
        <v/>
      </c>
      <c r="L1734">
        <f>TRIM(SUBSTITUTE(INDEX('Call accounts and MMFs'!$C:$C,ROW())&amp;""," "," "))</f>
        <v/>
      </c>
      <c r="M1734">
        <f>IFERROR(--INDEX('Call accounts and MMFs'!$D:$D,ROW()),0)</f>
        <v/>
      </c>
      <c r="N1734">
        <f>IFERROR(IF(--INDEX('Call accounts and MMFs'!$E:$E,ROW())&gt;=1,--INDEX('Call accounts and MMFs'!$E:$E,ROW())/100,--INDEX('Call accounts and MMFs'!$E:$E,ROW())),0)</f>
        <v/>
      </c>
      <c r="O1734">
        <f>IFERROR(--INDEX('Call accounts and MMFs'!$F:$F,ROW()),0)</f>
        <v/>
      </c>
      <c r="P1734">
        <f>IF(ISNUMBER(INDEX('Call accounts and MMFs'!$E:$E,ROW())),1,0)</f>
        <v/>
      </c>
      <c r="Q1734">
        <f>TRIM(SUBSTITUTE(INDEX('Pooled funds'!$B:$B,ROW())&amp;""," "," "))</f>
        <v/>
      </c>
      <c r="R1734">
        <f>IFERROR(--INDEX('Pooled funds'!$C:$C,ROW()),0)</f>
        <v/>
      </c>
      <c r="S1734">
        <f>IFERROR(--INDEX('Pooled funds'!$D:$D,ROW()),0)</f>
        <v/>
      </c>
      <c r="T1734">
        <f>IFERROR(IF(--INDEX('Pooled funds'!$E:$E,ROW())&gt;=1,--INDEX('Pooled funds'!$E:$E,ROW())/100,--INDEX('Pooled funds'!$E:$E,ROW())),0)</f>
        <v/>
      </c>
      <c r="U1734">
        <f>IF(ISNUMBER(INDEX('Pooled funds'!$E:$E,ROW())),1,0)</f>
        <v/>
      </c>
    </row>
    <row r="1735">
      <c r="A1735">
        <f>TRIM(SUBSTITUTE(INDEX('Term investments'!$A:$A,ROW())&amp;""," "," "))</f>
        <v/>
      </c>
      <c r="B1735">
        <f>TRIM(SUBSTITUTE(INDEX('Term investments'!$B:$B,ROW())&amp;""," "," "))</f>
        <v/>
      </c>
      <c r="C1735">
        <f>TRIM(SUBSTITUTE(INDEX('Term investments'!$C:$C,ROW())&amp;""," "," "))</f>
        <v/>
      </c>
      <c r="D1735">
        <f>IFERROR(--INDEX('Term investments'!$D:$D,ROW()),0)</f>
        <v/>
      </c>
      <c r="E1735">
        <f>IFERROR(--INDEX('Term investments'!$E:$E,ROW()),0)</f>
        <v/>
      </c>
      <c r="F1735">
        <f>IFERROR(--INDEX('Term investments'!$F:$F,ROW()),0)</f>
        <v/>
      </c>
      <c r="G1735">
        <f>IFERROR(IF(--INDEX('Term investments'!$G:$G,ROW())&gt;=1,--INDEX('Term investments'!$G:$G,ROW())/100,--INDEX('Term investments'!$G:$G,ROW())),0)</f>
        <v/>
      </c>
      <c r="H1735">
        <f>IFERROR(--INDEX('Term investments'!$H:$H,ROW()),0)</f>
        <v/>
      </c>
      <c r="I1735">
        <f>IF(ISNUMBER(INDEX('Term investments'!$G:$G,ROW())),1,0)</f>
        <v/>
      </c>
      <c r="J1735">
        <f>TRIM(SUBSTITUTE(INDEX('Call accounts and MMFs'!$A:$A,ROW())&amp;""," "," "))</f>
        <v/>
      </c>
      <c r="K1735">
        <f>TRIM(SUBSTITUTE(INDEX('Call accounts and MMFs'!$B:$B,ROW())&amp;""," "," "))</f>
        <v/>
      </c>
      <c r="L1735">
        <f>TRIM(SUBSTITUTE(INDEX('Call accounts and MMFs'!$C:$C,ROW())&amp;""," "," "))</f>
        <v/>
      </c>
      <c r="M1735">
        <f>IFERROR(--INDEX('Call accounts and MMFs'!$D:$D,ROW()),0)</f>
        <v/>
      </c>
      <c r="N1735">
        <f>IFERROR(IF(--INDEX('Call accounts and MMFs'!$E:$E,ROW())&gt;=1,--INDEX('Call accounts and MMFs'!$E:$E,ROW())/100,--INDEX('Call accounts and MMFs'!$E:$E,ROW())),0)</f>
        <v/>
      </c>
      <c r="O1735">
        <f>IFERROR(--INDEX('Call accounts and MMFs'!$F:$F,ROW()),0)</f>
        <v/>
      </c>
      <c r="P1735">
        <f>IF(ISNUMBER(INDEX('Call accounts and MMFs'!$E:$E,ROW())),1,0)</f>
        <v/>
      </c>
      <c r="Q1735">
        <f>TRIM(SUBSTITUTE(INDEX('Pooled funds'!$B:$B,ROW())&amp;""," "," "))</f>
        <v/>
      </c>
      <c r="R1735">
        <f>IFERROR(--INDEX('Pooled funds'!$C:$C,ROW()),0)</f>
        <v/>
      </c>
      <c r="S1735">
        <f>IFERROR(--INDEX('Pooled funds'!$D:$D,ROW()),0)</f>
        <v/>
      </c>
      <c r="T1735">
        <f>IFERROR(IF(--INDEX('Pooled funds'!$E:$E,ROW())&gt;=1,--INDEX('Pooled funds'!$E:$E,ROW())/100,--INDEX('Pooled funds'!$E:$E,ROW())),0)</f>
        <v/>
      </c>
      <c r="U1735">
        <f>IF(ISNUMBER(INDEX('Pooled funds'!$E:$E,ROW())),1,0)</f>
        <v/>
      </c>
    </row>
    <row r="1736">
      <c r="A1736">
        <f>TRIM(SUBSTITUTE(INDEX('Term investments'!$A:$A,ROW())&amp;""," "," "))</f>
        <v/>
      </c>
      <c r="B1736">
        <f>TRIM(SUBSTITUTE(INDEX('Term investments'!$B:$B,ROW())&amp;""," "," "))</f>
        <v/>
      </c>
      <c r="C1736">
        <f>TRIM(SUBSTITUTE(INDEX('Term investments'!$C:$C,ROW())&amp;""," "," "))</f>
        <v/>
      </c>
      <c r="D1736">
        <f>IFERROR(--INDEX('Term investments'!$D:$D,ROW()),0)</f>
        <v/>
      </c>
      <c r="E1736">
        <f>IFERROR(--INDEX('Term investments'!$E:$E,ROW()),0)</f>
        <v/>
      </c>
      <c r="F1736">
        <f>IFERROR(--INDEX('Term investments'!$F:$F,ROW()),0)</f>
        <v/>
      </c>
      <c r="G1736">
        <f>IFERROR(IF(--INDEX('Term investments'!$G:$G,ROW())&gt;=1,--INDEX('Term investments'!$G:$G,ROW())/100,--INDEX('Term investments'!$G:$G,ROW())),0)</f>
        <v/>
      </c>
      <c r="H1736">
        <f>IFERROR(--INDEX('Term investments'!$H:$H,ROW()),0)</f>
        <v/>
      </c>
      <c r="I1736">
        <f>IF(ISNUMBER(INDEX('Term investments'!$G:$G,ROW())),1,0)</f>
        <v/>
      </c>
      <c r="J1736">
        <f>TRIM(SUBSTITUTE(INDEX('Call accounts and MMFs'!$A:$A,ROW())&amp;""," "," "))</f>
        <v/>
      </c>
      <c r="K1736">
        <f>TRIM(SUBSTITUTE(INDEX('Call accounts and MMFs'!$B:$B,ROW())&amp;""," "," "))</f>
        <v/>
      </c>
      <c r="L1736">
        <f>TRIM(SUBSTITUTE(INDEX('Call accounts and MMFs'!$C:$C,ROW())&amp;""," "," "))</f>
        <v/>
      </c>
      <c r="M1736">
        <f>IFERROR(--INDEX('Call accounts and MMFs'!$D:$D,ROW()),0)</f>
        <v/>
      </c>
      <c r="N1736">
        <f>IFERROR(IF(--INDEX('Call accounts and MMFs'!$E:$E,ROW())&gt;=1,--INDEX('Call accounts and MMFs'!$E:$E,ROW())/100,--INDEX('Call accounts and MMFs'!$E:$E,ROW())),0)</f>
        <v/>
      </c>
      <c r="O1736">
        <f>IFERROR(--INDEX('Call accounts and MMFs'!$F:$F,ROW()),0)</f>
        <v/>
      </c>
      <c r="P1736">
        <f>IF(ISNUMBER(INDEX('Call accounts and MMFs'!$E:$E,ROW())),1,0)</f>
        <v/>
      </c>
      <c r="Q1736">
        <f>TRIM(SUBSTITUTE(INDEX('Pooled funds'!$B:$B,ROW())&amp;""," "," "))</f>
        <v/>
      </c>
      <c r="R1736">
        <f>IFERROR(--INDEX('Pooled funds'!$C:$C,ROW()),0)</f>
        <v/>
      </c>
      <c r="S1736">
        <f>IFERROR(--INDEX('Pooled funds'!$D:$D,ROW()),0)</f>
        <v/>
      </c>
      <c r="T1736">
        <f>IFERROR(IF(--INDEX('Pooled funds'!$E:$E,ROW())&gt;=1,--INDEX('Pooled funds'!$E:$E,ROW())/100,--INDEX('Pooled funds'!$E:$E,ROW())),0)</f>
        <v/>
      </c>
      <c r="U1736">
        <f>IF(ISNUMBER(INDEX('Pooled funds'!$E:$E,ROW())),1,0)</f>
        <v/>
      </c>
    </row>
    <row r="1737">
      <c r="A1737">
        <f>TRIM(SUBSTITUTE(INDEX('Term investments'!$A:$A,ROW())&amp;""," "," "))</f>
        <v/>
      </c>
      <c r="B1737">
        <f>TRIM(SUBSTITUTE(INDEX('Term investments'!$B:$B,ROW())&amp;""," "," "))</f>
        <v/>
      </c>
      <c r="C1737">
        <f>TRIM(SUBSTITUTE(INDEX('Term investments'!$C:$C,ROW())&amp;""," "," "))</f>
        <v/>
      </c>
      <c r="D1737">
        <f>IFERROR(--INDEX('Term investments'!$D:$D,ROW()),0)</f>
        <v/>
      </c>
      <c r="E1737">
        <f>IFERROR(--INDEX('Term investments'!$E:$E,ROW()),0)</f>
        <v/>
      </c>
      <c r="F1737">
        <f>IFERROR(--INDEX('Term investments'!$F:$F,ROW()),0)</f>
        <v/>
      </c>
      <c r="G1737">
        <f>IFERROR(IF(--INDEX('Term investments'!$G:$G,ROW())&gt;=1,--INDEX('Term investments'!$G:$G,ROW())/100,--INDEX('Term investments'!$G:$G,ROW())),0)</f>
        <v/>
      </c>
      <c r="H1737">
        <f>IFERROR(--INDEX('Term investments'!$H:$H,ROW()),0)</f>
        <v/>
      </c>
      <c r="I1737">
        <f>IF(ISNUMBER(INDEX('Term investments'!$G:$G,ROW())),1,0)</f>
        <v/>
      </c>
      <c r="J1737">
        <f>TRIM(SUBSTITUTE(INDEX('Call accounts and MMFs'!$A:$A,ROW())&amp;""," "," "))</f>
        <v/>
      </c>
      <c r="K1737">
        <f>TRIM(SUBSTITUTE(INDEX('Call accounts and MMFs'!$B:$B,ROW())&amp;""," "," "))</f>
        <v/>
      </c>
      <c r="L1737">
        <f>TRIM(SUBSTITUTE(INDEX('Call accounts and MMFs'!$C:$C,ROW())&amp;""," "," "))</f>
        <v/>
      </c>
      <c r="M1737">
        <f>IFERROR(--INDEX('Call accounts and MMFs'!$D:$D,ROW()),0)</f>
        <v/>
      </c>
      <c r="N1737">
        <f>IFERROR(IF(--INDEX('Call accounts and MMFs'!$E:$E,ROW())&gt;=1,--INDEX('Call accounts and MMFs'!$E:$E,ROW())/100,--INDEX('Call accounts and MMFs'!$E:$E,ROW())),0)</f>
        <v/>
      </c>
      <c r="O1737">
        <f>IFERROR(--INDEX('Call accounts and MMFs'!$F:$F,ROW()),0)</f>
        <v/>
      </c>
      <c r="P1737">
        <f>IF(ISNUMBER(INDEX('Call accounts and MMFs'!$E:$E,ROW())),1,0)</f>
        <v/>
      </c>
      <c r="Q1737">
        <f>TRIM(SUBSTITUTE(INDEX('Pooled funds'!$B:$B,ROW())&amp;""," "," "))</f>
        <v/>
      </c>
      <c r="R1737">
        <f>IFERROR(--INDEX('Pooled funds'!$C:$C,ROW()),0)</f>
        <v/>
      </c>
      <c r="S1737">
        <f>IFERROR(--INDEX('Pooled funds'!$D:$D,ROW()),0)</f>
        <v/>
      </c>
      <c r="T1737">
        <f>IFERROR(IF(--INDEX('Pooled funds'!$E:$E,ROW())&gt;=1,--INDEX('Pooled funds'!$E:$E,ROW())/100,--INDEX('Pooled funds'!$E:$E,ROW())),0)</f>
        <v/>
      </c>
      <c r="U1737">
        <f>IF(ISNUMBER(INDEX('Pooled funds'!$E:$E,ROW())),1,0)</f>
        <v/>
      </c>
    </row>
    <row r="1738">
      <c r="A1738">
        <f>TRIM(SUBSTITUTE(INDEX('Term investments'!$A:$A,ROW())&amp;""," "," "))</f>
        <v/>
      </c>
      <c r="B1738">
        <f>TRIM(SUBSTITUTE(INDEX('Term investments'!$B:$B,ROW())&amp;""," "," "))</f>
        <v/>
      </c>
      <c r="C1738">
        <f>TRIM(SUBSTITUTE(INDEX('Term investments'!$C:$C,ROW())&amp;""," "," "))</f>
        <v/>
      </c>
      <c r="D1738">
        <f>IFERROR(--INDEX('Term investments'!$D:$D,ROW()),0)</f>
        <v/>
      </c>
      <c r="E1738">
        <f>IFERROR(--INDEX('Term investments'!$E:$E,ROW()),0)</f>
        <v/>
      </c>
      <c r="F1738">
        <f>IFERROR(--INDEX('Term investments'!$F:$F,ROW()),0)</f>
        <v/>
      </c>
      <c r="G1738">
        <f>IFERROR(IF(--INDEX('Term investments'!$G:$G,ROW())&gt;=1,--INDEX('Term investments'!$G:$G,ROW())/100,--INDEX('Term investments'!$G:$G,ROW())),0)</f>
        <v/>
      </c>
      <c r="H1738">
        <f>IFERROR(--INDEX('Term investments'!$H:$H,ROW()),0)</f>
        <v/>
      </c>
      <c r="I1738">
        <f>IF(ISNUMBER(INDEX('Term investments'!$G:$G,ROW())),1,0)</f>
        <v/>
      </c>
      <c r="J1738">
        <f>TRIM(SUBSTITUTE(INDEX('Call accounts and MMFs'!$A:$A,ROW())&amp;""," "," "))</f>
        <v/>
      </c>
      <c r="K1738">
        <f>TRIM(SUBSTITUTE(INDEX('Call accounts and MMFs'!$B:$B,ROW())&amp;""," "," "))</f>
        <v/>
      </c>
      <c r="L1738">
        <f>TRIM(SUBSTITUTE(INDEX('Call accounts and MMFs'!$C:$C,ROW())&amp;""," "," "))</f>
        <v/>
      </c>
      <c r="M1738">
        <f>IFERROR(--INDEX('Call accounts and MMFs'!$D:$D,ROW()),0)</f>
        <v/>
      </c>
      <c r="N1738">
        <f>IFERROR(IF(--INDEX('Call accounts and MMFs'!$E:$E,ROW())&gt;=1,--INDEX('Call accounts and MMFs'!$E:$E,ROW())/100,--INDEX('Call accounts and MMFs'!$E:$E,ROW())),0)</f>
        <v/>
      </c>
      <c r="O1738">
        <f>IFERROR(--INDEX('Call accounts and MMFs'!$F:$F,ROW()),0)</f>
        <v/>
      </c>
      <c r="P1738">
        <f>IF(ISNUMBER(INDEX('Call accounts and MMFs'!$E:$E,ROW())),1,0)</f>
        <v/>
      </c>
      <c r="Q1738">
        <f>TRIM(SUBSTITUTE(INDEX('Pooled funds'!$B:$B,ROW())&amp;""," "," "))</f>
        <v/>
      </c>
      <c r="R1738">
        <f>IFERROR(--INDEX('Pooled funds'!$C:$C,ROW()),0)</f>
        <v/>
      </c>
      <c r="S1738">
        <f>IFERROR(--INDEX('Pooled funds'!$D:$D,ROW()),0)</f>
        <v/>
      </c>
      <c r="T1738">
        <f>IFERROR(IF(--INDEX('Pooled funds'!$E:$E,ROW())&gt;=1,--INDEX('Pooled funds'!$E:$E,ROW())/100,--INDEX('Pooled funds'!$E:$E,ROW())),0)</f>
        <v/>
      </c>
      <c r="U1738">
        <f>IF(ISNUMBER(INDEX('Pooled funds'!$E:$E,ROW())),1,0)</f>
        <v/>
      </c>
    </row>
    <row r="1739">
      <c r="A1739">
        <f>TRIM(SUBSTITUTE(INDEX('Term investments'!$A:$A,ROW())&amp;""," "," "))</f>
        <v/>
      </c>
      <c r="B1739">
        <f>TRIM(SUBSTITUTE(INDEX('Term investments'!$B:$B,ROW())&amp;""," "," "))</f>
        <v/>
      </c>
      <c r="C1739">
        <f>TRIM(SUBSTITUTE(INDEX('Term investments'!$C:$C,ROW())&amp;""," "," "))</f>
        <v/>
      </c>
      <c r="D1739">
        <f>IFERROR(--INDEX('Term investments'!$D:$D,ROW()),0)</f>
        <v/>
      </c>
      <c r="E1739">
        <f>IFERROR(--INDEX('Term investments'!$E:$E,ROW()),0)</f>
        <v/>
      </c>
      <c r="F1739">
        <f>IFERROR(--INDEX('Term investments'!$F:$F,ROW()),0)</f>
        <v/>
      </c>
      <c r="G1739">
        <f>IFERROR(IF(--INDEX('Term investments'!$G:$G,ROW())&gt;=1,--INDEX('Term investments'!$G:$G,ROW())/100,--INDEX('Term investments'!$G:$G,ROW())),0)</f>
        <v/>
      </c>
      <c r="H1739">
        <f>IFERROR(--INDEX('Term investments'!$H:$H,ROW()),0)</f>
        <v/>
      </c>
      <c r="I1739">
        <f>IF(ISNUMBER(INDEX('Term investments'!$G:$G,ROW())),1,0)</f>
        <v/>
      </c>
      <c r="J1739">
        <f>TRIM(SUBSTITUTE(INDEX('Call accounts and MMFs'!$A:$A,ROW())&amp;""," "," "))</f>
        <v/>
      </c>
      <c r="K1739">
        <f>TRIM(SUBSTITUTE(INDEX('Call accounts and MMFs'!$B:$B,ROW())&amp;""," "," "))</f>
        <v/>
      </c>
      <c r="L1739">
        <f>TRIM(SUBSTITUTE(INDEX('Call accounts and MMFs'!$C:$C,ROW())&amp;""," "," "))</f>
        <v/>
      </c>
      <c r="M1739">
        <f>IFERROR(--INDEX('Call accounts and MMFs'!$D:$D,ROW()),0)</f>
        <v/>
      </c>
      <c r="N1739">
        <f>IFERROR(IF(--INDEX('Call accounts and MMFs'!$E:$E,ROW())&gt;=1,--INDEX('Call accounts and MMFs'!$E:$E,ROW())/100,--INDEX('Call accounts and MMFs'!$E:$E,ROW())),0)</f>
        <v/>
      </c>
      <c r="O1739">
        <f>IFERROR(--INDEX('Call accounts and MMFs'!$F:$F,ROW()),0)</f>
        <v/>
      </c>
      <c r="P1739">
        <f>IF(ISNUMBER(INDEX('Call accounts and MMFs'!$E:$E,ROW())),1,0)</f>
        <v/>
      </c>
      <c r="Q1739">
        <f>TRIM(SUBSTITUTE(INDEX('Pooled funds'!$B:$B,ROW())&amp;""," "," "))</f>
        <v/>
      </c>
      <c r="R1739">
        <f>IFERROR(--INDEX('Pooled funds'!$C:$C,ROW()),0)</f>
        <v/>
      </c>
      <c r="S1739">
        <f>IFERROR(--INDEX('Pooled funds'!$D:$D,ROW()),0)</f>
        <v/>
      </c>
      <c r="T1739">
        <f>IFERROR(IF(--INDEX('Pooled funds'!$E:$E,ROW())&gt;=1,--INDEX('Pooled funds'!$E:$E,ROW())/100,--INDEX('Pooled funds'!$E:$E,ROW())),0)</f>
        <v/>
      </c>
      <c r="U1739">
        <f>IF(ISNUMBER(INDEX('Pooled funds'!$E:$E,ROW())),1,0)</f>
        <v/>
      </c>
    </row>
    <row r="1740">
      <c r="A1740">
        <f>TRIM(SUBSTITUTE(INDEX('Term investments'!$A:$A,ROW())&amp;""," "," "))</f>
        <v/>
      </c>
      <c r="B1740">
        <f>TRIM(SUBSTITUTE(INDEX('Term investments'!$B:$B,ROW())&amp;""," "," "))</f>
        <v/>
      </c>
      <c r="C1740">
        <f>TRIM(SUBSTITUTE(INDEX('Term investments'!$C:$C,ROW())&amp;""," "," "))</f>
        <v/>
      </c>
      <c r="D1740">
        <f>IFERROR(--INDEX('Term investments'!$D:$D,ROW()),0)</f>
        <v/>
      </c>
      <c r="E1740">
        <f>IFERROR(--INDEX('Term investments'!$E:$E,ROW()),0)</f>
        <v/>
      </c>
      <c r="F1740">
        <f>IFERROR(--INDEX('Term investments'!$F:$F,ROW()),0)</f>
        <v/>
      </c>
      <c r="G1740">
        <f>IFERROR(IF(--INDEX('Term investments'!$G:$G,ROW())&gt;=1,--INDEX('Term investments'!$G:$G,ROW())/100,--INDEX('Term investments'!$G:$G,ROW())),0)</f>
        <v/>
      </c>
      <c r="H1740">
        <f>IFERROR(--INDEX('Term investments'!$H:$H,ROW()),0)</f>
        <v/>
      </c>
      <c r="I1740">
        <f>IF(ISNUMBER(INDEX('Term investments'!$G:$G,ROW())),1,0)</f>
        <v/>
      </c>
      <c r="J1740">
        <f>TRIM(SUBSTITUTE(INDEX('Call accounts and MMFs'!$A:$A,ROW())&amp;""," "," "))</f>
        <v/>
      </c>
      <c r="K1740">
        <f>TRIM(SUBSTITUTE(INDEX('Call accounts and MMFs'!$B:$B,ROW())&amp;""," "," "))</f>
        <v/>
      </c>
      <c r="L1740">
        <f>TRIM(SUBSTITUTE(INDEX('Call accounts and MMFs'!$C:$C,ROW())&amp;""," "," "))</f>
        <v/>
      </c>
      <c r="M1740">
        <f>IFERROR(--INDEX('Call accounts and MMFs'!$D:$D,ROW()),0)</f>
        <v/>
      </c>
      <c r="N1740">
        <f>IFERROR(IF(--INDEX('Call accounts and MMFs'!$E:$E,ROW())&gt;=1,--INDEX('Call accounts and MMFs'!$E:$E,ROW())/100,--INDEX('Call accounts and MMFs'!$E:$E,ROW())),0)</f>
        <v/>
      </c>
      <c r="O1740">
        <f>IFERROR(--INDEX('Call accounts and MMFs'!$F:$F,ROW()),0)</f>
        <v/>
      </c>
      <c r="P1740">
        <f>IF(ISNUMBER(INDEX('Call accounts and MMFs'!$E:$E,ROW())),1,0)</f>
        <v/>
      </c>
      <c r="Q1740">
        <f>TRIM(SUBSTITUTE(INDEX('Pooled funds'!$B:$B,ROW())&amp;""," "," "))</f>
        <v/>
      </c>
      <c r="R1740">
        <f>IFERROR(--INDEX('Pooled funds'!$C:$C,ROW()),0)</f>
        <v/>
      </c>
      <c r="S1740">
        <f>IFERROR(--INDEX('Pooled funds'!$D:$D,ROW()),0)</f>
        <v/>
      </c>
      <c r="T1740">
        <f>IFERROR(IF(--INDEX('Pooled funds'!$E:$E,ROW())&gt;=1,--INDEX('Pooled funds'!$E:$E,ROW())/100,--INDEX('Pooled funds'!$E:$E,ROW())),0)</f>
        <v/>
      </c>
      <c r="U1740">
        <f>IF(ISNUMBER(INDEX('Pooled funds'!$E:$E,ROW())),1,0)</f>
        <v/>
      </c>
    </row>
    <row r="1741">
      <c r="A1741">
        <f>TRIM(SUBSTITUTE(INDEX('Term investments'!$A:$A,ROW())&amp;""," "," "))</f>
        <v/>
      </c>
      <c r="B1741">
        <f>TRIM(SUBSTITUTE(INDEX('Term investments'!$B:$B,ROW())&amp;""," "," "))</f>
        <v/>
      </c>
      <c r="C1741">
        <f>TRIM(SUBSTITUTE(INDEX('Term investments'!$C:$C,ROW())&amp;""," "," "))</f>
        <v/>
      </c>
      <c r="D1741">
        <f>IFERROR(--INDEX('Term investments'!$D:$D,ROW()),0)</f>
        <v/>
      </c>
      <c r="E1741">
        <f>IFERROR(--INDEX('Term investments'!$E:$E,ROW()),0)</f>
        <v/>
      </c>
      <c r="F1741">
        <f>IFERROR(--INDEX('Term investments'!$F:$F,ROW()),0)</f>
        <v/>
      </c>
      <c r="G1741">
        <f>IFERROR(IF(--INDEX('Term investments'!$G:$G,ROW())&gt;=1,--INDEX('Term investments'!$G:$G,ROW())/100,--INDEX('Term investments'!$G:$G,ROW())),0)</f>
        <v/>
      </c>
      <c r="H1741">
        <f>IFERROR(--INDEX('Term investments'!$H:$H,ROW()),0)</f>
        <v/>
      </c>
      <c r="I1741">
        <f>IF(ISNUMBER(INDEX('Term investments'!$G:$G,ROW())),1,0)</f>
        <v/>
      </c>
      <c r="J1741">
        <f>TRIM(SUBSTITUTE(INDEX('Call accounts and MMFs'!$A:$A,ROW())&amp;""," "," "))</f>
        <v/>
      </c>
      <c r="K1741">
        <f>TRIM(SUBSTITUTE(INDEX('Call accounts and MMFs'!$B:$B,ROW())&amp;""," "," "))</f>
        <v/>
      </c>
      <c r="L1741">
        <f>TRIM(SUBSTITUTE(INDEX('Call accounts and MMFs'!$C:$C,ROW())&amp;""," "," "))</f>
        <v/>
      </c>
      <c r="M1741">
        <f>IFERROR(--INDEX('Call accounts and MMFs'!$D:$D,ROW()),0)</f>
        <v/>
      </c>
      <c r="N1741">
        <f>IFERROR(IF(--INDEX('Call accounts and MMFs'!$E:$E,ROW())&gt;=1,--INDEX('Call accounts and MMFs'!$E:$E,ROW())/100,--INDEX('Call accounts and MMFs'!$E:$E,ROW())),0)</f>
        <v/>
      </c>
      <c r="O1741">
        <f>IFERROR(--INDEX('Call accounts and MMFs'!$F:$F,ROW()),0)</f>
        <v/>
      </c>
      <c r="P1741">
        <f>IF(ISNUMBER(INDEX('Call accounts and MMFs'!$E:$E,ROW())),1,0)</f>
        <v/>
      </c>
      <c r="Q1741">
        <f>TRIM(SUBSTITUTE(INDEX('Pooled funds'!$B:$B,ROW())&amp;""," "," "))</f>
        <v/>
      </c>
      <c r="R1741">
        <f>IFERROR(--INDEX('Pooled funds'!$C:$C,ROW()),0)</f>
        <v/>
      </c>
      <c r="S1741">
        <f>IFERROR(--INDEX('Pooled funds'!$D:$D,ROW()),0)</f>
        <v/>
      </c>
      <c r="T1741">
        <f>IFERROR(IF(--INDEX('Pooled funds'!$E:$E,ROW())&gt;=1,--INDEX('Pooled funds'!$E:$E,ROW())/100,--INDEX('Pooled funds'!$E:$E,ROW())),0)</f>
        <v/>
      </c>
      <c r="U1741">
        <f>IF(ISNUMBER(INDEX('Pooled funds'!$E:$E,ROW())),1,0)</f>
        <v/>
      </c>
    </row>
    <row r="1742">
      <c r="A1742">
        <f>TRIM(SUBSTITUTE(INDEX('Term investments'!$A:$A,ROW())&amp;""," "," "))</f>
        <v/>
      </c>
      <c r="B1742">
        <f>TRIM(SUBSTITUTE(INDEX('Term investments'!$B:$B,ROW())&amp;""," "," "))</f>
        <v/>
      </c>
      <c r="C1742">
        <f>TRIM(SUBSTITUTE(INDEX('Term investments'!$C:$C,ROW())&amp;""," "," "))</f>
        <v/>
      </c>
      <c r="D1742">
        <f>IFERROR(--INDEX('Term investments'!$D:$D,ROW()),0)</f>
        <v/>
      </c>
      <c r="E1742">
        <f>IFERROR(--INDEX('Term investments'!$E:$E,ROW()),0)</f>
        <v/>
      </c>
      <c r="F1742">
        <f>IFERROR(--INDEX('Term investments'!$F:$F,ROW()),0)</f>
        <v/>
      </c>
      <c r="G1742">
        <f>IFERROR(IF(--INDEX('Term investments'!$G:$G,ROW())&gt;=1,--INDEX('Term investments'!$G:$G,ROW())/100,--INDEX('Term investments'!$G:$G,ROW())),0)</f>
        <v/>
      </c>
      <c r="H1742">
        <f>IFERROR(--INDEX('Term investments'!$H:$H,ROW()),0)</f>
        <v/>
      </c>
      <c r="I1742">
        <f>IF(ISNUMBER(INDEX('Term investments'!$G:$G,ROW())),1,0)</f>
        <v/>
      </c>
      <c r="J1742">
        <f>TRIM(SUBSTITUTE(INDEX('Call accounts and MMFs'!$A:$A,ROW())&amp;""," "," "))</f>
        <v/>
      </c>
      <c r="K1742">
        <f>TRIM(SUBSTITUTE(INDEX('Call accounts and MMFs'!$B:$B,ROW())&amp;""," "," "))</f>
        <v/>
      </c>
      <c r="L1742">
        <f>TRIM(SUBSTITUTE(INDEX('Call accounts and MMFs'!$C:$C,ROW())&amp;""," "," "))</f>
        <v/>
      </c>
      <c r="M1742">
        <f>IFERROR(--INDEX('Call accounts and MMFs'!$D:$D,ROW()),0)</f>
        <v/>
      </c>
      <c r="N1742">
        <f>IFERROR(IF(--INDEX('Call accounts and MMFs'!$E:$E,ROW())&gt;=1,--INDEX('Call accounts and MMFs'!$E:$E,ROW())/100,--INDEX('Call accounts and MMFs'!$E:$E,ROW())),0)</f>
        <v/>
      </c>
      <c r="O1742">
        <f>IFERROR(--INDEX('Call accounts and MMFs'!$F:$F,ROW()),0)</f>
        <v/>
      </c>
      <c r="P1742">
        <f>IF(ISNUMBER(INDEX('Call accounts and MMFs'!$E:$E,ROW())),1,0)</f>
        <v/>
      </c>
      <c r="Q1742">
        <f>TRIM(SUBSTITUTE(INDEX('Pooled funds'!$B:$B,ROW())&amp;""," "," "))</f>
        <v/>
      </c>
      <c r="R1742">
        <f>IFERROR(--INDEX('Pooled funds'!$C:$C,ROW()),0)</f>
        <v/>
      </c>
      <c r="S1742">
        <f>IFERROR(--INDEX('Pooled funds'!$D:$D,ROW()),0)</f>
        <v/>
      </c>
      <c r="T1742">
        <f>IFERROR(IF(--INDEX('Pooled funds'!$E:$E,ROW())&gt;=1,--INDEX('Pooled funds'!$E:$E,ROW())/100,--INDEX('Pooled funds'!$E:$E,ROW())),0)</f>
        <v/>
      </c>
      <c r="U1742">
        <f>IF(ISNUMBER(INDEX('Pooled funds'!$E:$E,ROW())),1,0)</f>
        <v/>
      </c>
    </row>
    <row r="1743">
      <c r="A1743">
        <f>TRIM(SUBSTITUTE(INDEX('Term investments'!$A:$A,ROW())&amp;""," "," "))</f>
        <v/>
      </c>
      <c r="B1743">
        <f>TRIM(SUBSTITUTE(INDEX('Term investments'!$B:$B,ROW())&amp;""," "," "))</f>
        <v/>
      </c>
      <c r="C1743">
        <f>TRIM(SUBSTITUTE(INDEX('Term investments'!$C:$C,ROW())&amp;""," "," "))</f>
        <v/>
      </c>
      <c r="D1743">
        <f>IFERROR(--INDEX('Term investments'!$D:$D,ROW()),0)</f>
        <v/>
      </c>
      <c r="E1743">
        <f>IFERROR(--INDEX('Term investments'!$E:$E,ROW()),0)</f>
        <v/>
      </c>
      <c r="F1743">
        <f>IFERROR(--INDEX('Term investments'!$F:$F,ROW()),0)</f>
        <v/>
      </c>
      <c r="G1743">
        <f>IFERROR(IF(--INDEX('Term investments'!$G:$G,ROW())&gt;=1,--INDEX('Term investments'!$G:$G,ROW())/100,--INDEX('Term investments'!$G:$G,ROW())),0)</f>
        <v/>
      </c>
      <c r="H1743">
        <f>IFERROR(--INDEX('Term investments'!$H:$H,ROW()),0)</f>
        <v/>
      </c>
      <c r="I1743">
        <f>IF(ISNUMBER(INDEX('Term investments'!$G:$G,ROW())),1,0)</f>
        <v/>
      </c>
      <c r="J1743">
        <f>TRIM(SUBSTITUTE(INDEX('Call accounts and MMFs'!$A:$A,ROW())&amp;""," "," "))</f>
        <v/>
      </c>
      <c r="K1743">
        <f>TRIM(SUBSTITUTE(INDEX('Call accounts and MMFs'!$B:$B,ROW())&amp;""," "," "))</f>
        <v/>
      </c>
      <c r="L1743">
        <f>TRIM(SUBSTITUTE(INDEX('Call accounts and MMFs'!$C:$C,ROW())&amp;""," "," "))</f>
        <v/>
      </c>
      <c r="M1743">
        <f>IFERROR(--INDEX('Call accounts and MMFs'!$D:$D,ROW()),0)</f>
        <v/>
      </c>
      <c r="N1743">
        <f>IFERROR(IF(--INDEX('Call accounts and MMFs'!$E:$E,ROW())&gt;=1,--INDEX('Call accounts and MMFs'!$E:$E,ROW())/100,--INDEX('Call accounts and MMFs'!$E:$E,ROW())),0)</f>
        <v/>
      </c>
      <c r="O1743">
        <f>IFERROR(--INDEX('Call accounts and MMFs'!$F:$F,ROW()),0)</f>
        <v/>
      </c>
      <c r="P1743">
        <f>IF(ISNUMBER(INDEX('Call accounts and MMFs'!$E:$E,ROW())),1,0)</f>
        <v/>
      </c>
      <c r="Q1743">
        <f>TRIM(SUBSTITUTE(INDEX('Pooled funds'!$B:$B,ROW())&amp;""," "," "))</f>
        <v/>
      </c>
      <c r="R1743">
        <f>IFERROR(--INDEX('Pooled funds'!$C:$C,ROW()),0)</f>
        <v/>
      </c>
      <c r="S1743">
        <f>IFERROR(--INDEX('Pooled funds'!$D:$D,ROW()),0)</f>
        <v/>
      </c>
      <c r="T1743">
        <f>IFERROR(IF(--INDEX('Pooled funds'!$E:$E,ROW())&gt;=1,--INDEX('Pooled funds'!$E:$E,ROW())/100,--INDEX('Pooled funds'!$E:$E,ROW())),0)</f>
        <v/>
      </c>
      <c r="U1743">
        <f>IF(ISNUMBER(INDEX('Pooled funds'!$E:$E,ROW())),1,0)</f>
        <v/>
      </c>
    </row>
    <row r="1744">
      <c r="A1744">
        <f>TRIM(SUBSTITUTE(INDEX('Term investments'!$A:$A,ROW())&amp;""," "," "))</f>
        <v/>
      </c>
      <c r="B1744">
        <f>TRIM(SUBSTITUTE(INDEX('Term investments'!$B:$B,ROW())&amp;""," "," "))</f>
        <v/>
      </c>
      <c r="C1744">
        <f>TRIM(SUBSTITUTE(INDEX('Term investments'!$C:$C,ROW())&amp;""," "," "))</f>
        <v/>
      </c>
      <c r="D1744">
        <f>IFERROR(--INDEX('Term investments'!$D:$D,ROW()),0)</f>
        <v/>
      </c>
      <c r="E1744">
        <f>IFERROR(--INDEX('Term investments'!$E:$E,ROW()),0)</f>
        <v/>
      </c>
      <c r="F1744">
        <f>IFERROR(--INDEX('Term investments'!$F:$F,ROW()),0)</f>
        <v/>
      </c>
      <c r="G1744">
        <f>IFERROR(IF(--INDEX('Term investments'!$G:$G,ROW())&gt;=1,--INDEX('Term investments'!$G:$G,ROW())/100,--INDEX('Term investments'!$G:$G,ROW())),0)</f>
        <v/>
      </c>
      <c r="H1744">
        <f>IFERROR(--INDEX('Term investments'!$H:$H,ROW()),0)</f>
        <v/>
      </c>
      <c r="I1744">
        <f>IF(ISNUMBER(INDEX('Term investments'!$G:$G,ROW())),1,0)</f>
        <v/>
      </c>
      <c r="J1744">
        <f>TRIM(SUBSTITUTE(INDEX('Call accounts and MMFs'!$A:$A,ROW())&amp;""," "," "))</f>
        <v/>
      </c>
      <c r="K1744">
        <f>TRIM(SUBSTITUTE(INDEX('Call accounts and MMFs'!$B:$B,ROW())&amp;""," "," "))</f>
        <v/>
      </c>
      <c r="L1744">
        <f>TRIM(SUBSTITUTE(INDEX('Call accounts and MMFs'!$C:$C,ROW())&amp;""," "," "))</f>
        <v/>
      </c>
      <c r="M1744">
        <f>IFERROR(--INDEX('Call accounts and MMFs'!$D:$D,ROW()),0)</f>
        <v/>
      </c>
      <c r="N1744">
        <f>IFERROR(IF(--INDEX('Call accounts and MMFs'!$E:$E,ROW())&gt;=1,--INDEX('Call accounts and MMFs'!$E:$E,ROW())/100,--INDEX('Call accounts and MMFs'!$E:$E,ROW())),0)</f>
        <v/>
      </c>
      <c r="O1744">
        <f>IFERROR(--INDEX('Call accounts and MMFs'!$F:$F,ROW()),0)</f>
        <v/>
      </c>
      <c r="P1744">
        <f>IF(ISNUMBER(INDEX('Call accounts and MMFs'!$E:$E,ROW())),1,0)</f>
        <v/>
      </c>
      <c r="Q1744">
        <f>TRIM(SUBSTITUTE(INDEX('Pooled funds'!$B:$B,ROW())&amp;""," "," "))</f>
        <v/>
      </c>
      <c r="R1744">
        <f>IFERROR(--INDEX('Pooled funds'!$C:$C,ROW()),0)</f>
        <v/>
      </c>
      <c r="S1744">
        <f>IFERROR(--INDEX('Pooled funds'!$D:$D,ROW()),0)</f>
        <v/>
      </c>
      <c r="T1744">
        <f>IFERROR(IF(--INDEX('Pooled funds'!$E:$E,ROW())&gt;=1,--INDEX('Pooled funds'!$E:$E,ROW())/100,--INDEX('Pooled funds'!$E:$E,ROW())),0)</f>
        <v/>
      </c>
      <c r="U1744">
        <f>IF(ISNUMBER(INDEX('Pooled funds'!$E:$E,ROW())),1,0)</f>
        <v/>
      </c>
    </row>
    <row r="1745">
      <c r="A1745">
        <f>TRIM(SUBSTITUTE(INDEX('Term investments'!$A:$A,ROW())&amp;""," "," "))</f>
        <v/>
      </c>
      <c r="B1745">
        <f>TRIM(SUBSTITUTE(INDEX('Term investments'!$B:$B,ROW())&amp;""," "," "))</f>
        <v/>
      </c>
      <c r="C1745">
        <f>TRIM(SUBSTITUTE(INDEX('Term investments'!$C:$C,ROW())&amp;""," "," "))</f>
        <v/>
      </c>
      <c r="D1745">
        <f>IFERROR(--INDEX('Term investments'!$D:$D,ROW()),0)</f>
        <v/>
      </c>
      <c r="E1745">
        <f>IFERROR(--INDEX('Term investments'!$E:$E,ROW()),0)</f>
        <v/>
      </c>
      <c r="F1745">
        <f>IFERROR(--INDEX('Term investments'!$F:$F,ROW()),0)</f>
        <v/>
      </c>
      <c r="G1745">
        <f>IFERROR(IF(--INDEX('Term investments'!$G:$G,ROW())&gt;=1,--INDEX('Term investments'!$G:$G,ROW())/100,--INDEX('Term investments'!$G:$G,ROW())),0)</f>
        <v/>
      </c>
      <c r="H1745">
        <f>IFERROR(--INDEX('Term investments'!$H:$H,ROW()),0)</f>
        <v/>
      </c>
      <c r="I1745">
        <f>IF(ISNUMBER(INDEX('Term investments'!$G:$G,ROW())),1,0)</f>
        <v/>
      </c>
      <c r="J1745">
        <f>TRIM(SUBSTITUTE(INDEX('Call accounts and MMFs'!$A:$A,ROW())&amp;""," "," "))</f>
        <v/>
      </c>
      <c r="K1745">
        <f>TRIM(SUBSTITUTE(INDEX('Call accounts and MMFs'!$B:$B,ROW())&amp;""," "," "))</f>
        <v/>
      </c>
      <c r="L1745">
        <f>TRIM(SUBSTITUTE(INDEX('Call accounts and MMFs'!$C:$C,ROW())&amp;""," "," "))</f>
        <v/>
      </c>
      <c r="M1745">
        <f>IFERROR(--INDEX('Call accounts and MMFs'!$D:$D,ROW()),0)</f>
        <v/>
      </c>
      <c r="N1745">
        <f>IFERROR(IF(--INDEX('Call accounts and MMFs'!$E:$E,ROW())&gt;=1,--INDEX('Call accounts and MMFs'!$E:$E,ROW())/100,--INDEX('Call accounts and MMFs'!$E:$E,ROW())),0)</f>
        <v/>
      </c>
      <c r="O1745">
        <f>IFERROR(--INDEX('Call accounts and MMFs'!$F:$F,ROW()),0)</f>
        <v/>
      </c>
      <c r="P1745">
        <f>IF(ISNUMBER(INDEX('Call accounts and MMFs'!$E:$E,ROW())),1,0)</f>
        <v/>
      </c>
      <c r="Q1745">
        <f>TRIM(SUBSTITUTE(INDEX('Pooled funds'!$B:$B,ROW())&amp;""," "," "))</f>
        <v/>
      </c>
      <c r="R1745">
        <f>IFERROR(--INDEX('Pooled funds'!$C:$C,ROW()),0)</f>
        <v/>
      </c>
      <c r="S1745">
        <f>IFERROR(--INDEX('Pooled funds'!$D:$D,ROW()),0)</f>
        <v/>
      </c>
      <c r="T1745">
        <f>IFERROR(IF(--INDEX('Pooled funds'!$E:$E,ROW())&gt;=1,--INDEX('Pooled funds'!$E:$E,ROW())/100,--INDEX('Pooled funds'!$E:$E,ROW())),0)</f>
        <v/>
      </c>
      <c r="U1745">
        <f>IF(ISNUMBER(INDEX('Pooled funds'!$E:$E,ROW())),1,0)</f>
        <v/>
      </c>
    </row>
    <row r="1746">
      <c r="A1746">
        <f>TRIM(SUBSTITUTE(INDEX('Term investments'!$A:$A,ROW())&amp;""," "," "))</f>
        <v/>
      </c>
      <c r="B1746">
        <f>TRIM(SUBSTITUTE(INDEX('Term investments'!$B:$B,ROW())&amp;""," "," "))</f>
        <v/>
      </c>
      <c r="C1746">
        <f>TRIM(SUBSTITUTE(INDEX('Term investments'!$C:$C,ROW())&amp;""," "," "))</f>
        <v/>
      </c>
      <c r="D1746">
        <f>IFERROR(--INDEX('Term investments'!$D:$D,ROW()),0)</f>
        <v/>
      </c>
      <c r="E1746">
        <f>IFERROR(--INDEX('Term investments'!$E:$E,ROW()),0)</f>
        <v/>
      </c>
      <c r="F1746">
        <f>IFERROR(--INDEX('Term investments'!$F:$F,ROW()),0)</f>
        <v/>
      </c>
      <c r="G1746">
        <f>IFERROR(IF(--INDEX('Term investments'!$G:$G,ROW())&gt;=1,--INDEX('Term investments'!$G:$G,ROW())/100,--INDEX('Term investments'!$G:$G,ROW())),0)</f>
        <v/>
      </c>
      <c r="H1746">
        <f>IFERROR(--INDEX('Term investments'!$H:$H,ROW()),0)</f>
        <v/>
      </c>
      <c r="I1746">
        <f>IF(ISNUMBER(INDEX('Term investments'!$G:$G,ROW())),1,0)</f>
        <v/>
      </c>
      <c r="J1746">
        <f>TRIM(SUBSTITUTE(INDEX('Call accounts and MMFs'!$A:$A,ROW())&amp;""," "," "))</f>
        <v/>
      </c>
      <c r="K1746">
        <f>TRIM(SUBSTITUTE(INDEX('Call accounts and MMFs'!$B:$B,ROW())&amp;""," "," "))</f>
        <v/>
      </c>
      <c r="L1746">
        <f>TRIM(SUBSTITUTE(INDEX('Call accounts and MMFs'!$C:$C,ROW())&amp;""," "," "))</f>
        <v/>
      </c>
      <c r="M1746">
        <f>IFERROR(--INDEX('Call accounts and MMFs'!$D:$D,ROW()),0)</f>
        <v/>
      </c>
      <c r="N1746">
        <f>IFERROR(IF(--INDEX('Call accounts and MMFs'!$E:$E,ROW())&gt;=1,--INDEX('Call accounts and MMFs'!$E:$E,ROW())/100,--INDEX('Call accounts and MMFs'!$E:$E,ROW())),0)</f>
        <v/>
      </c>
      <c r="O1746">
        <f>IFERROR(--INDEX('Call accounts and MMFs'!$F:$F,ROW()),0)</f>
        <v/>
      </c>
      <c r="P1746">
        <f>IF(ISNUMBER(INDEX('Call accounts and MMFs'!$E:$E,ROW())),1,0)</f>
        <v/>
      </c>
      <c r="Q1746">
        <f>TRIM(SUBSTITUTE(INDEX('Pooled funds'!$B:$B,ROW())&amp;""," "," "))</f>
        <v/>
      </c>
      <c r="R1746">
        <f>IFERROR(--INDEX('Pooled funds'!$C:$C,ROW()),0)</f>
        <v/>
      </c>
      <c r="S1746">
        <f>IFERROR(--INDEX('Pooled funds'!$D:$D,ROW()),0)</f>
        <v/>
      </c>
      <c r="T1746">
        <f>IFERROR(IF(--INDEX('Pooled funds'!$E:$E,ROW())&gt;=1,--INDEX('Pooled funds'!$E:$E,ROW())/100,--INDEX('Pooled funds'!$E:$E,ROW())),0)</f>
        <v/>
      </c>
      <c r="U1746">
        <f>IF(ISNUMBER(INDEX('Pooled funds'!$E:$E,ROW())),1,0)</f>
        <v/>
      </c>
    </row>
    <row r="1747">
      <c r="A1747">
        <f>TRIM(SUBSTITUTE(INDEX('Term investments'!$A:$A,ROW())&amp;""," "," "))</f>
        <v/>
      </c>
      <c r="B1747">
        <f>TRIM(SUBSTITUTE(INDEX('Term investments'!$B:$B,ROW())&amp;""," "," "))</f>
        <v/>
      </c>
      <c r="C1747">
        <f>TRIM(SUBSTITUTE(INDEX('Term investments'!$C:$C,ROW())&amp;""," "," "))</f>
        <v/>
      </c>
      <c r="D1747">
        <f>IFERROR(--INDEX('Term investments'!$D:$D,ROW()),0)</f>
        <v/>
      </c>
      <c r="E1747">
        <f>IFERROR(--INDEX('Term investments'!$E:$E,ROW()),0)</f>
        <v/>
      </c>
      <c r="F1747">
        <f>IFERROR(--INDEX('Term investments'!$F:$F,ROW()),0)</f>
        <v/>
      </c>
      <c r="G1747">
        <f>IFERROR(IF(--INDEX('Term investments'!$G:$G,ROW())&gt;=1,--INDEX('Term investments'!$G:$G,ROW())/100,--INDEX('Term investments'!$G:$G,ROW())),0)</f>
        <v/>
      </c>
      <c r="H1747">
        <f>IFERROR(--INDEX('Term investments'!$H:$H,ROW()),0)</f>
        <v/>
      </c>
      <c r="I1747">
        <f>IF(ISNUMBER(INDEX('Term investments'!$G:$G,ROW())),1,0)</f>
        <v/>
      </c>
      <c r="J1747">
        <f>TRIM(SUBSTITUTE(INDEX('Call accounts and MMFs'!$A:$A,ROW())&amp;""," "," "))</f>
        <v/>
      </c>
      <c r="K1747">
        <f>TRIM(SUBSTITUTE(INDEX('Call accounts and MMFs'!$B:$B,ROW())&amp;""," "," "))</f>
        <v/>
      </c>
      <c r="L1747">
        <f>TRIM(SUBSTITUTE(INDEX('Call accounts and MMFs'!$C:$C,ROW())&amp;""," "," "))</f>
        <v/>
      </c>
      <c r="M1747">
        <f>IFERROR(--INDEX('Call accounts and MMFs'!$D:$D,ROW()),0)</f>
        <v/>
      </c>
      <c r="N1747">
        <f>IFERROR(IF(--INDEX('Call accounts and MMFs'!$E:$E,ROW())&gt;=1,--INDEX('Call accounts and MMFs'!$E:$E,ROW())/100,--INDEX('Call accounts and MMFs'!$E:$E,ROW())),0)</f>
        <v/>
      </c>
      <c r="O1747">
        <f>IFERROR(--INDEX('Call accounts and MMFs'!$F:$F,ROW()),0)</f>
        <v/>
      </c>
      <c r="P1747">
        <f>IF(ISNUMBER(INDEX('Call accounts and MMFs'!$E:$E,ROW())),1,0)</f>
        <v/>
      </c>
      <c r="Q1747">
        <f>TRIM(SUBSTITUTE(INDEX('Pooled funds'!$B:$B,ROW())&amp;""," "," "))</f>
        <v/>
      </c>
      <c r="R1747">
        <f>IFERROR(--INDEX('Pooled funds'!$C:$C,ROW()),0)</f>
        <v/>
      </c>
      <c r="S1747">
        <f>IFERROR(--INDEX('Pooled funds'!$D:$D,ROW()),0)</f>
        <v/>
      </c>
      <c r="T1747">
        <f>IFERROR(IF(--INDEX('Pooled funds'!$E:$E,ROW())&gt;=1,--INDEX('Pooled funds'!$E:$E,ROW())/100,--INDEX('Pooled funds'!$E:$E,ROW())),0)</f>
        <v/>
      </c>
      <c r="U1747">
        <f>IF(ISNUMBER(INDEX('Pooled funds'!$E:$E,ROW())),1,0)</f>
        <v/>
      </c>
    </row>
    <row r="1748">
      <c r="A1748">
        <f>TRIM(SUBSTITUTE(INDEX('Term investments'!$A:$A,ROW())&amp;""," "," "))</f>
        <v/>
      </c>
      <c r="B1748">
        <f>TRIM(SUBSTITUTE(INDEX('Term investments'!$B:$B,ROW())&amp;""," "," "))</f>
        <v/>
      </c>
      <c r="C1748">
        <f>TRIM(SUBSTITUTE(INDEX('Term investments'!$C:$C,ROW())&amp;""," "," "))</f>
        <v/>
      </c>
      <c r="D1748">
        <f>IFERROR(--INDEX('Term investments'!$D:$D,ROW()),0)</f>
        <v/>
      </c>
      <c r="E1748">
        <f>IFERROR(--INDEX('Term investments'!$E:$E,ROW()),0)</f>
        <v/>
      </c>
      <c r="F1748">
        <f>IFERROR(--INDEX('Term investments'!$F:$F,ROW()),0)</f>
        <v/>
      </c>
      <c r="G1748">
        <f>IFERROR(IF(--INDEX('Term investments'!$G:$G,ROW())&gt;=1,--INDEX('Term investments'!$G:$G,ROW())/100,--INDEX('Term investments'!$G:$G,ROW())),0)</f>
        <v/>
      </c>
      <c r="H1748">
        <f>IFERROR(--INDEX('Term investments'!$H:$H,ROW()),0)</f>
        <v/>
      </c>
      <c r="I1748">
        <f>IF(ISNUMBER(INDEX('Term investments'!$G:$G,ROW())),1,0)</f>
        <v/>
      </c>
      <c r="J1748">
        <f>TRIM(SUBSTITUTE(INDEX('Call accounts and MMFs'!$A:$A,ROW())&amp;""," "," "))</f>
        <v/>
      </c>
      <c r="K1748">
        <f>TRIM(SUBSTITUTE(INDEX('Call accounts and MMFs'!$B:$B,ROW())&amp;""," "," "))</f>
        <v/>
      </c>
      <c r="L1748">
        <f>TRIM(SUBSTITUTE(INDEX('Call accounts and MMFs'!$C:$C,ROW())&amp;""," "," "))</f>
        <v/>
      </c>
      <c r="M1748">
        <f>IFERROR(--INDEX('Call accounts and MMFs'!$D:$D,ROW()),0)</f>
        <v/>
      </c>
      <c r="N1748">
        <f>IFERROR(IF(--INDEX('Call accounts and MMFs'!$E:$E,ROW())&gt;=1,--INDEX('Call accounts and MMFs'!$E:$E,ROW())/100,--INDEX('Call accounts and MMFs'!$E:$E,ROW())),0)</f>
        <v/>
      </c>
      <c r="O1748">
        <f>IFERROR(--INDEX('Call accounts and MMFs'!$F:$F,ROW()),0)</f>
        <v/>
      </c>
      <c r="P1748">
        <f>IF(ISNUMBER(INDEX('Call accounts and MMFs'!$E:$E,ROW())),1,0)</f>
        <v/>
      </c>
      <c r="Q1748">
        <f>TRIM(SUBSTITUTE(INDEX('Pooled funds'!$B:$B,ROW())&amp;""," "," "))</f>
        <v/>
      </c>
      <c r="R1748">
        <f>IFERROR(--INDEX('Pooled funds'!$C:$C,ROW()),0)</f>
        <v/>
      </c>
      <c r="S1748">
        <f>IFERROR(--INDEX('Pooled funds'!$D:$D,ROW()),0)</f>
        <v/>
      </c>
      <c r="T1748">
        <f>IFERROR(IF(--INDEX('Pooled funds'!$E:$E,ROW())&gt;=1,--INDEX('Pooled funds'!$E:$E,ROW())/100,--INDEX('Pooled funds'!$E:$E,ROW())),0)</f>
        <v/>
      </c>
      <c r="U1748">
        <f>IF(ISNUMBER(INDEX('Pooled funds'!$E:$E,ROW())),1,0)</f>
        <v/>
      </c>
    </row>
    <row r="1749">
      <c r="A1749">
        <f>TRIM(SUBSTITUTE(INDEX('Term investments'!$A:$A,ROW())&amp;""," "," "))</f>
        <v/>
      </c>
      <c r="B1749">
        <f>TRIM(SUBSTITUTE(INDEX('Term investments'!$B:$B,ROW())&amp;""," "," "))</f>
        <v/>
      </c>
      <c r="C1749">
        <f>TRIM(SUBSTITUTE(INDEX('Term investments'!$C:$C,ROW())&amp;""," "," "))</f>
        <v/>
      </c>
      <c r="D1749">
        <f>IFERROR(--INDEX('Term investments'!$D:$D,ROW()),0)</f>
        <v/>
      </c>
      <c r="E1749">
        <f>IFERROR(--INDEX('Term investments'!$E:$E,ROW()),0)</f>
        <v/>
      </c>
      <c r="F1749">
        <f>IFERROR(--INDEX('Term investments'!$F:$F,ROW()),0)</f>
        <v/>
      </c>
      <c r="G1749">
        <f>IFERROR(IF(--INDEX('Term investments'!$G:$G,ROW())&gt;=1,--INDEX('Term investments'!$G:$G,ROW())/100,--INDEX('Term investments'!$G:$G,ROW())),0)</f>
        <v/>
      </c>
      <c r="H1749">
        <f>IFERROR(--INDEX('Term investments'!$H:$H,ROW()),0)</f>
        <v/>
      </c>
      <c r="I1749">
        <f>IF(ISNUMBER(INDEX('Term investments'!$G:$G,ROW())),1,0)</f>
        <v/>
      </c>
      <c r="J1749">
        <f>TRIM(SUBSTITUTE(INDEX('Call accounts and MMFs'!$A:$A,ROW())&amp;""," "," "))</f>
        <v/>
      </c>
      <c r="K1749">
        <f>TRIM(SUBSTITUTE(INDEX('Call accounts and MMFs'!$B:$B,ROW())&amp;""," "," "))</f>
        <v/>
      </c>
      <c r="L1749">
        <f>TRIM(SUBSTITUTE(INDEX('Call accounts and MMFs'!$C:$C,ROW())&amp;""," "," "))</f>
        <v/>
      </c>
      <c r="M1749">
        <f>IFERROR(--INDEX('Call accounts and MMFs'!$D:$D,ROW()),0)</f>
        <v/>
      </c>
      <c r="N1749">
        <f>IFERROR(IF(--INDEX('Call accounts and MMFs'!$E:$E,ROW())&gt;=1,--INDEX('Call accounts and MMFs'!$E:$E,ROW())/100,--INDEX('Call accounts and MMFs'!$E:$E,ROW())),0)</f>
        <v/>
      </c>
      <c r="O1749">
        <f>IFERROR(--INDEX('Call accounts and MMFs'!$F:$F,ROW()),0)</f>
        <v/>
      </c>
      <c r="P1749">
        <f>IF(ISNUMBER(INDEX('Call accounts and MMFs'!$E:$E,ROW())),1,0)</f>
        <v/>
      </c>
      <c r="Q1749">
        <f>TRIM(SUBSTITUTE(INDEX('Pooled funds'!$B:$B,ROW())&amp;""," "," "))</f>
        <v/>
      </c>
      <c r="R1749">
        <f>IFERROR(--INDEX('Pooled funds'!$C:$C,ROW()),0)</f>
        <v/>
      </c>
      <c r="S1749">
        <f>IFERROR(--INDEX('Pooled funds'!$D:$D,ROW()),0)</f>
        <v/>
      </c>
      <c r="T1749">
        <f>IFERROR(IF(--INDEX('Pooled funds'!$E:$E,ROW())&gt;=1,--INDEX('Pooled funds'!$E:$E,ROW())/100,--INDEX('Pooled funds'!$E:$E,ROW())),0)</f>
        <v/>
      </c>
      <c r="U1749">
        <f>IF(ISNUMBER(INDEX('Pooled funds'!$E:$E,ROW())),1,0)</f>
        <v/>
      </c>
    </row>
    <row r="1750">
      <c r="A1750">
        <f>TRIM(SUBSTITUTE(INDEX('Term investments'!$A:$A,ROW())&amp;""," "," "))</f>
        <v/>
      </c>
      <c r="B1750">
        <f>TRIM(SUBSTITUTE(INDEX('Term investments'!$B:$B,ROW())&amp;""," "," "))</f>
        <v/>
      </c>
      <c r="C1750">
        <f>TRIM(SUBSTITUTE(INDEX('Term investments'!$C:$C,ROW())&amp;""," "," "))</f>
        <v/>
      </c>
      <c r="D1750">
        <f>IFERROR(--INDEX('Term investments'!$D:$D,ROW()),0)</f>
        <v/>
      </c>
      <c r="E1750">
        <f>IFERROR(--INDEX('Term investments'!$E:$E,ROW()),0)</f>
        <v/>
      </c>
      <c r="F1750">
        <f>IFERROR(--INDEX('Term investments'!$F:$F,ROW()),0)</f>
        <v/>
      </c>
      <c r="G1750">
        <f>IFERROR(IF(--INDEX('Term investments'!$G:$G,ROW())&gt;=1,--INDEX('Term investments'!$G:$G,ROW())/100,--INDEX('Term investments'!$G:$G,ROW())),0)</f>
        <v/>
      </c>
      <c r="H1750">
        <f>IFERROR(--INDEX('Term investments'!$H:$H,ROW()),0)</f>
        <v/>
      </c>
      <c r="I1750">
        <f>IF(ISNUMBER(INDEX('Term investments'!$G:$G,ROW())),1,0)</f>
        <v/>
      </c>
      <c r="J1750">
        <f>TRIM(SUBSTITUTE(INDEX('Call accounts and MMFs'!$A:$A,ROW())&amp;""," "," "))</f>
        <v/>
      </c>
      <c r="K1750">
        <f>TRIM(SUBSTITUTE(INDEX('Call accounts and MMFs'!$B:$B,ROW())&amp;""," "," "))</f>
        <v/>
      </c>
      <c r="L1750">
        <f>TRIM(SUBSTITUTE(INDEX('Call accounts and MMFs'!$C:$C,ROW())&amp;""," "," "))</f>
        <v/>
      </c>
      <c r="M1750">
        <f>IFERROR(--INDEX('Call accounts and MMFs'!$D:$D,ROW()),0)</f>
        <v/>
      </c>
      <c r="N1750">
        <f>IFERROR(IF(--INDEX('Call accounts and MMFs'!$E:$E,ROW())&gt;=1,--INDEX('Call accounts and MMFs'!$E:$E,ROW())/100,--INDEX('Call accounts and MMFs'!$E:$E,ROW())),0)</f>
        <v/>
      </c>
      <c r="O1750">
        <f>IFERROR(--INDEX('Call accounts and MMFs'!$F:$F,ROW()),0)</f>
        <v/>
      </c>
      <c r="P1750">
        <f>IF(ISNUMBER(INDEX('Call accounts and MMFs'!$E:$E,ROW())),1,0)</f>
        <v/>
      </c>
      <c r="Q1750">
        <f>TRIM(SUBSTITUTE(INDEX('Pooled funds'!$B:$B,ROW())&amp;""," "," "))</f>
        <v/>
      </c>
      <c r="R1750">
        <f>IFERROR(--INDEX('Pooled funds'!$C:$C,ROW()),0)</f>
        <v/>
      </c>
      <c r="S1750">
        <f>IFERROR(--INDEX('Pooled funds'!$D:$D,ROW()),0)</f>
        <v/>
      </c>
      <c r="T1750">
        <f>IFERROR(IF(--INDEX('Pooled funds'!$E:$E,ROW())&gt;=1,--INDEX('Pooled funds'!$E:$E,ROW())/100,--INDEX('Pooled funds'!$E:$E,ROW())),0)</f>
        <v/>
      </c>
      <c r="U1750">
        <f>IF(ISNUMBER(INDEX('Pooled funds'!$E:$E,ROW())),1,0)</f>
        <v/>
      </c>
    </row>
    <row r="1751">
      <c r="A1751">
        <f>TRIM(SUBSTITUTE(INDEX('Term investments'!$A:$A,ROW())&amp;""," "," "))</f>
        <v/>
      </c>
      <c r="B1751">
        <f>TRIM(SUBSTITUTE(INDEX('Term investments'!$B:$B,ROW())&amp;""," "," "))</f>
        <v/>
      </c>
      <c r="C1751">
        <f>TRIM(SUBSTITUTE(INDEX('Term investments'!$C:$C,ROW())&amp;""," "," "))</f>
        <v/>
      </c>
      <c r="D1751">
        <f>IFERROR(--INDEX('Term investments'!$D:$D,ROW()),0)</f>
        <v/>
      </c>
      <c r="E1751">
        <f>IFERROR(--INDEX('Term investments'!$E:$E,ROW()),0)</f>
        <v/>
      </c>
      <c r="F1751">
        <f>IFERROR(--INDEX('Term investments'!$F:$F,ROW()),0)</f>
        <v/>
      </c>
      <c r="G1751">
        <f>IFERROR(IF(--INDEX('Term investments'!$G:$G,ROW())&gt;=1,--INDEX('Term investments'!$G:$G,ROW())/100,--INDEX('Term investments'!$G:$G,ROW())),0)</f>
        <v/>
      </c>
      <c r="H1751">
        <f>IFERROR(--INDEX('Term investments'!$H:$H,ROW()),0)</f>
        <v/>
      </c>
      <c r="I1751">
        <f>IF(ISNUMBER(INDEX('Term investments'!$G:$G,ROW())),1,0)</f>
        <v/>
      </c>
      <c r="J1751">
        <f>TRIM(SUBSTITUTE(INDEX('Call accounts and MMFs'!$A:$A,ROW())&amp;""," "," "))</f>
        <v/>
      </c>
      <c r="K1751">
        <f>TRIM(SUBSTITUTE(INDEX('Call accounts and MMFs'!$B:$B,ROW())&amp;""," "," "))</f>
        <v/>
      </c>
      <c r="L1751">
        <f>TRIM(SUBSTITUTE(INDEX('Call accounts and MMFs'!$C:$C,ROW())&amp;""," "," "))</f>
        <v/>
      </c>
      <c r="M1751">
        <f>IFERROR(--INDEX('Call accounts and MMFs'!$D:$D,ROW()),0)</f>
        <v/>
      </c>
      <c r="N1751">
        <f>IFERROR(IF(--INDEX('Call accounts and MMFs'!$E:$E,ROW())&gt;=1,--INDEX('Call accounts and MMFs'!$E:$E,ROW())/100,--INDEX('Call accounts and MMFs'!$E:$E,ROW())),0)</f>
        <v/>
      </c>
      <c r="O1751">
        <f>IFERROR(--INDEX('Call accounts and MMFs'!$F:$F,ROW()),0)</f>
        <v/>
      </c>
      <c r="P1751">
        <f>IF(ISNUMBER(INDEX('Call accounts and MMFs'!$E:$E,ROW())),1,0)</f>
        <v/>
      </c>
      <c r="Q1751">
        <f>TRIM(SUBSTITUTE(INDEX('Pooled funds'!$B:$B,ROW())&amp;""," "," "))</f>
        <v/>
      </c>
      <c r="R1751">
        <f>IFERROR(--INDEX('Pooled funds'!$C:$C,ROW()),0)</f>
        <v/>
      </c>
      <c r="S1751">
        <f>IFERROR(--INDEX('Pooled funds'!$D:$D,ROW()),0)</f>
        <v/>
      </c>
      <c r="T1751">
        <f>IFERROR(IF(--INDEX('Pooled funds'!$E:$E,ROW())&gt;=1,--INDEX('Pooled funds'!$E:$E,ROW())/100,--INDEX('Pooled funds'!$E:$E,ROW())),0)</f>
        <v/>
      </c>
      <c r="U1751">
        <f>IF(ISNUMBER(INDEX('Pooled funds'!$E:$E,ROW())),1,0)</f>
        <v/>
      </c>
    </row>
    <row r="1752">
      <c r="A1752">
        <f>TRIM(SUBSTITUTE(INDEX('Term investments'!$A:$A,ROW())&amp;""," "," "))</f>
        <v/>
      </c>
      <c r="B1752">
        <f>TRIM(SUBSTITUTE(INDEX('Term investments'!$B:$B,ROW())&amp;""," "," "))</f>
        <v/>
      </c>
      <c r="C1752">
        <f>TRIM(SUBSTITUTE(INDEX('Term investments'!$C:$C,ROW())&amp;""," "," "))</f>
        <v/>
      </c>
      <c r="D1752">
        <f>IFERROR(--INDEX('Term investments'!$D:$D,ROW()),0)</f>
        <v/>
      </c>
      <c r="E1752">
        <f>IFERROR(--INDEX('Term investments'!$E:$E,ROW()),0)</f>
        <v/>
      </c>
      <c r="F1752">
        <f>IFERROR(--INDEX('Term investments'!$F:$F,ROW()),0)</f>
        <v/>
      </c>
      <c r="G1752">
        <f>IFERROR(IF(--INDEX('Term investments'!$G:$G,ROW())&gt;=1,--INDEX('Term investments'!$G:$G,ROW())/100,--INDEX('Term investments'!$G:$G,ROW())),0)</f>
        <v/>
      </c>
      <c r="H1752">
        <f>IFERROR(--INDEX('Term investments'!$H:$H,ROW()),0)</f>
        <v/>
      </c>
      <c r="I1752">
        <f>IF(ISNUMBER(INDEX('Term investments'!$G:$G,ROW())),1,0)</f>
        <v/>
      </c>
      <c r="J1752">
        <f>TRIM(SUBSTITUTE(INDEX('Call accounts and MMFs'!$A:$A,ROW())&amp;""," "," "))</f>
        <v/>
      </c>
      <c r="K1752">
        <f>TRIM(SUBSTITUTE(INDEX('Call accounts and MMFs'!$B:$B,ROW())&amp;""," "," "))</f>
        <v/>
      </c>
      <c r="L1752">
        <f>TRIM(SUBSTITUTE(INDEX('Call accounts and MMFs'!$C:$C,ROW())&amp;""," "," "))</f>
        <v/>
      </c>
      <c r="M1752">
        <f>IFERROR(--INDEX('Call accounts and MMFs'!$D:$D,ROW()),0)</f>
        <v/>
      </c>
      <c r="N1752">
        <f>IFERROR(IF(--INDEX('Call accounts and MMFs'!$E:$E,ROW())&gt;=1,--INDEX('Call accounts and MMFs'!$E:$E,ROW())/100,--INDEX('Call accounts and MMFs'!$E:$E,ROW())),0)</f>
        <v/>
      </c>
      <c r="O1752">
        <f>IFERROR(--INDEX('Call accounts and MMFs'!$F:$F,ROW()),0)</f>
        <v/>
      </c>
      <c r="P1752">
        <f>IF(ISNUMBER(INDEX('Call accounts and MMFs'!$E:$E,ROW())),1,0)</f>
        <v/>
      </c>
      <c r="Q1752">
        <f>TRIM(SUBSTITUTE(INDEX('Pooled funds'!$B:$B,ROW())&amp;""," "," "))</f>
        <v/>
      </c>
      <c r="R1752">
        <f>IFERROR(--INDEX('Pooled funds'!$C:$C,ROW()),0)</f>
        <v/>
      </c>
      <c r="S1752">
        <f>IFERROR(--INDEX('Pooled funds'!$D:$D,ROW()),0)</f>
        <v/>
      </c>
      <c r="T1752">
        <f>IFERROR(IF(--INDEX('Pooled funds'!$E:$E,ROW())&gt;=1,--INDEX('Pooled funds'!$E:$E,ROW())/100,--INDEX('Pooled funds'!$E:$E,ROW())),0)</f>
        <v/>
      </c>
      <c r="U1752">
        <f>IF(ISNUMBER(INDEX('Pooled funds'!$E:$E,ROW())),1,0)</f>
        <v/>
      </c>
    </row>
    <row r="1753">
      <c r="A1753">
        <f>TRIM(SUBSTITUTE(INDEX('Term investments'!$A:$A,ROW())&amp;""," "," "))</f>
        <v/>
      </c>
      <c r="B1753">
        <f>TRIM(SUBSTITUTE(INDEX('Term investments'!$B:$B,ROW())&amp;""," "," "))</f>
        <v/>
      </c>
      <c r="C1753">
        <f>TRIM(SUBSTITUTE(INDEX('Term investments'!$C:$C,ROW())&amp;""," "," "))</f>
        <v/>
      </c>
      <c r="D1753">
        <f>IFERROR(--INDEX('Term investments'!$D:$D,ROW()),0)</f>
        <v/>
      </c>
      <c r="E1753">
        <f>IFERROR(--INDEX('Term investments'!$E:$E,ROW()),0)</f>
        <v/>
      </c>
      <c r="F1753">
        <f>IFERROR(--INDEX('Term investments'!$F:$F,ROW()),0)</f>
        <v/>
      </c>
      <c r="G1753">
        <f>IFERROR(IF(--INDEX('Term investments'!$G:$G,ROW())&gt;=1,--INDEX('Term investments'!$G:$G,ROW())/100,--INDEX('Term investments'!$G:$G,ROW())),0)</f>
        <v/>
      </c>
      <c r="H1753">
        <f>IFERROR(--INDEX('Term investments'!$H:$H,ROW()),0)</f>
        <v/>
      </c>
      <c r="I1753">
        <f>IF(ISNUMBER(INDEX('Term investments'!$G:$G,ROW())),1,0)</f>
        <v/>
      </c>
      <c r="J1753">
        <f>TRIM(SUBSTITUTE(INDEX('Call accounts and MMFs'!$A:$A,ROW())&amp;""," "," "))</f>
        <v/>
      </c>
      <c r="K1753">
        <f>TRIM(SUBSTITUTE(INDEX('Call accounts and MMFs'!$B:$B,ROW())&amp;""," "," "))</f>
        <v/>
      </c>
      <c r="L1753">
        <f>TRIM(SUBSTITUTE(INDEX('Call accounts and MMFs'!$C:$C,ROW())&amp;""," "," "))</f>
        <v/>
      </c>
      <c r="M1753">
        <f>IFERROR(--INDEX('Call accounts and MMFs'!$D:$D,ROW()),0)</f>
        <v/>
      </c>
      <c r="N1753">
        <f>IFERROR(IF(--INDEX('Call accounts and MMFs'!$E:$E,ROW())&gt;=1,--INDEX('Call accounts and MMFs'!$E:$E,ROW())/100,--INDEX('Call accounts and MMFs'!$E:$E,ROW())),0)</f>
        <v/>
      </c>
      <c r="O1753">
        <f>IFERROR(--INDEX('Call accounts and MMFs'!$F:$F,ROW()),0)</f>
        <v/>
      </c>
      <c r="P1753">
        <f>IF(ISNUMBER(INDEX('Call accounts and MMFs'!$E:$E,ROW())),1,0)</f>
        <v/>
      </c>
      <c r="Q1753">
        <f>TRIM(SUBSTITUTE(INDEX('Pooled funds'!$B:$B,ROW())&amp;""," "," "))</f>
        <v/>
      </c>
      <c r="R1753">
        <f>IFERROR(--INDEX('Pooled funds'!$C:$C,ROW()),0)</f>
        <v/>
      </c>
      <c r="S1753">
        <f>IFERROR(--INDEX('Pooled funds'!$D:$D,ROW()),0)</f>
        <v/>
      </c>
      <c r="T1753">
        <f>IFERROR(IF(--INDEX('Pooled funds'!$E:$E,ROW())&gt;=1,--INDEX('Pooled funds'!$E:$E,ROW())/100,--INDEX('Pooled funds'!$E:$E,ROW())),0)</f>
        <v/>
      </c>
      <c r="U1753">
        <f>IF(ISNUMBER(INDEX('Pooled funds'!$E:$E,ROW())),1,0)</f>
        <v/>
      </c>
    </row>
    <row r="1754">
      <c r="A1754">
        <f>TRIM(SUBSTITUTE(INDEX('Term investments'!$A:$A,ROW())&amp;""," "," "))</f>
        <v/>
      </c>
      <c r="B1754">
        <f>TRIM(SUBSTITUTE(INDEX('Term investments'!$B:$B,ROW())&amp;""," "," "))</f>
        <v/>
      </c>
      <c r="C1754">
        <f>TRIM(SUBSTITUTE(INDEX('Term investments'!$C:$C,ROW())&amp;""," "," "))</f>
        <v/>
      </c>
      <c r="D1754">
        <f>IFERROR(--INDEX('Term investments'!$D:$D,ROW()),0)</f>
        <v/>
      </c>
      <c r="E1754">
        <f>IFERROR(--INDEX('Term investments'!$E:$E,ROW()),0)</f>
        <v/>
      </c>
      <c r="F1754">
        <f>IFERROR(--INDEX('Term investments'!$F:$F,ROW()),0)</f>
        <v/>
      </c>
      <c r="G1754">
        <f>IFERROR(IF(--INDEX('Term investments'!$G:$G,ROW())&gt;=1,--INDEX('Term investments'!$G:$G,ROW())/100,--INDEX('Term investments'!$G:$G,ROW())),0)</f>
        <v/>
      </c>
      <c r="H1754">
        <f>IFERROR(--INDEX('Term investments'!$H:$H,ROW()),0)</f>
        <v/>
      </c>
      <c r="I1754">
        <f>IF(ISNUMBER(INDEX('Term investments'!$G:$G,ROW())),1,0)</f>
        <v/>
      </c>
      <c r="J1754">
        <f>TRIM(SUBSTITUTE(INDEX('Call accounts and MMFs'!$A:$A,ROW())&amp;""," "," "))</f>
        <v/>
      </c>
      <c r="K1754">
        <f>TRIM(SUBSTITUTE(INDEX('Call accounts and MMFs'!$B:$B,ROW())&amp;""," "," "))</f>
        <v/>
      </c>
      <c r="L1754">
        <f>TRIM(SUBSTITUTE(INDEX('Call accounts and MMFs'!$C:$C,ROW())&amp;""," "," "))</f>
        <v/>
      </c>
      <c r="M1754">
        <f>IFERROR(--INDEX('Call accounts and MMFs'!$D:$D,ROW()),0)</f>
        <v/>
      </c>
      <c r="N1754">
        <f>IFERROR(IF(--INDEX('Call accounts and MMFs'!$E:$E,ROW())&gt;=1,--INDEX('Call accounts and MMFs'!$E:$E,ROW())/100,--INDEX('Call accounts and MMFs'!$E:$E,ROW())),0)</f>
        <v/>
      </c>
      <c r="O1754">
        <f>IFERROR(--INDEX('Call accounts and MMFs'!$F:$F,ROW()),0)</f>
        <v/>
      </c>
      <c r="P1754">
        <f>IF(ISNUMBER(INDEX('Call accounts and MMFs'!$E:$E,ROW())),1,0)</f>
        <v/>
      </c>
      <c r="Q1754">
        <f>TRIM(SUBSTITUTE(INDEX('Pooled funds'!$B:$B,ROW())&amp;""," "," "))</f>
        <v/>
      </c>
      <c r="R1754">
        <f>IFERROR(--INDEX('Pooled funds'!$C:$C,ROW()),0)</f>
        <v/>
      </c>
      <c r="S1754">
        <f>IFERROR(--INDEX('Pooled funds'!$D:$D,ROW()),0)</f>
        <v/>
      </c>
      <c r="T1754">
        <f>IFERROR(IF(--INDEX('Pooled funds'!$E:$E,ROW())&gt;=1,--INDEX('Pooled funds'!$E:$E,ROW())/100,--INDEX('Pooled funds'!$E:$E,ROW())),0)</f>
        <v/>
      </c>
      <c r="U1754">
        <f>IF(ISNUMBER(INDEX('Pooled funds'!$E:$E,ROW())),1,0)</f>
        <v/>
      </c>
    </row>
    <row r="1755">
      <c r="A1755">
        <f>TRIM(SUBSTITUTE(INDEX('Term investments'!$A:$A,ROW())&amp;""," "," "))</f>
        <v/>
      </c>
      <c r="B1755">
        <f>TRIM(SUBSTITUTE(INDEX('Term investments'!$B:$B,ROW())&amp;""," "," "))</f>
        <v/>
      </c>
      <c r="C1755">
        <f>TRIM(SUBSTITUTE(INDEX('Term investments'!$C:$C,ROW())&amp;""," "," "))</f>
        <v/>
      </c>
      <c r="D1755">
        <f>IFERROR(--INDEX('Term investments'!$D:$D,ROW()),0)</f>
        <v/>
      </c>
      <c r="E1755">
        <f>IFERROR(--INDEX('Term investments'!$E:$E,ROW()),0)</f>
        <v/>
      </c>
      <c r="F1755">
        <f>IFERROR(--INDEX('Term investments'!$F:$F,ROW()),0)</f>
        <v/>
      </c>
      <c r="G1755">
        <f>IFERROR(IF(--INDEX('Term investments'!$G:$G,ROW())&gt;=1,--INDEX('Term investments'!$G:$G,ROW())/100,--INDEX('Term investments'!$G:$G,ROW())),0)</f>
        <v/>
      </c>
      <c r="H1755">
        <f>IFERROR(--INDEX('Term investments'!$H:$H,ROW()),0)</f>
        <v/>
      </c>
      <c r="I1755">
        <f>IF(ISNUMBER(INDEX('Term investments'!$G:$G,ROW())),1,0)</f>
        <v/>
      </c>
      <c r="J1755">
        <f>TRIM(SUBSTITUTE(INDEX('Call accounts and MMFs'!$A:$A,ROW())&amp;""," "," "))</f>
        <v/>
      </c>
      <c r="K1755">
        <f>TRIM(SUBSTITUTE(INDEX('Call accounts and MMFs'!$B:$B,ROW())&amp;""," "," "))</f>
        <v/>
      </c>
      <c r="L1755">
        <f>TRIM(SUBSTITUTE(INDEX('Call accounts and MMFs'!$C:$C,ROW())&amp;""," "," "))</f>
        <v/>
      </c>
      <c r="M1755">
        <f>IFERROR(--INDEX('Call accounts and MMFs'!$D:$D,ROW()),0)</f>
        <v/>
      </c>
      <c r="N1755">
        <f>IFERROR(IF(--INDEX('Call accounts and MMFs'!$E:$E,ROW())&gt;=1,--INDEX('Call accounts and MMFs'!$E:$E,ROW())/100,--INDEX('Call accounts and MMFs'!$E:$E,ROW())),0)</f>
        <v/>
      </c>
      <c r="O1755">
        <f>IFERROR(--INDEX('Call accounts and MMFs'!$F:$F,ROW()),0)</f>
        <v/>
      </c>
      <c r="P1755">
        <f>IF(ISNUMBER(INDEX('Call accounts and MMFs'!$E:$E,ROW())),1,0)</f>
        <v/>
      </c>
      <c r="Q1755">
        <f>TRIM(SUBSTITUTE(INDEX('Pooled funds'!$B:$B,ROW())&amp;""," "," "))</f>
        <v/>
      </c>
      <c r="R1755">
        <f>IFERROR(--INDEX('Pooled funds'!$C:$C,ROW()),0)</f>
        <v/>
      </c>
      <c r="S1755">
        <f>IFERROR(--INDEX('Pooled funds'!$D:$D,ROW()),0)</f>
        <v/>
      </c>
      <c r="T1755">
        <f>IFERROR(IF(--INDEX('Pooled funds'!$E:$E,ROW())&gt;=1,--INDEX('Pooled funds'!$E:$E,ROW())/100,--INDEX('Pooled funds'!$E:$E,ROW())),0)</f>
        <v/>
      </c>
      <c r="U1755">
        <f>IF(ISNUMBER(INDEX('Pooled funds'!$E:$E,ROW())),1,0)</f>
        <v/>
      </c>
    </row>
    <row r="1756">
      <c r="A1756">
        <f>TRIM(SUBSTITUTE(INDEX('Term investments'!$A:$A,ROW())&amp;""," "," "))</f>
        <v/>
      </c>
      <c r="B1756">
        <f>TRIM(SUBSTITUTE(INDEX('Term investments'!$B:$B,ROW())&amp;""," "," "))</f>
        <v/>
      </c>
      <c r="C1756">
        <f>TRIM(SUBSTITUTE(INDEX('Term investments'!$C:$C,ROW())&amp;""," "," "))</f>
        <v/>
      </c>
      <c r="D1756">
        <f>IFERROR(--INDEX('Term investments'!$D:$D,ROW()),0)</f>
        <v/>
      </c>
      <c r="E1756">
        <f>IFERROR(--INDEX('Term investments'!$E:$E,ROW()),0)</f>
        <v/>
      </c>
      <c r="F1756">
        <f>IFERROR(--INDEX('Term investments'!$F:$F,ROW()),0)</f>
        <v/>
      </c>
      <c r="G1756">
        <f>IFERROR(IF(--INDEX('Term investments'!$G:$G,ROW())&gt;=1,--INDEX('Term investments'!$G:$G,ROW())/100,--INDEX('Term investments'!$G:$G,ROW())),0)</f>
        <v/>
      </c>
      <c r="H1756">
        <f>IFERROR(--INDEX('Term investments'!$H:$H,ROW()),0)</f>
        <v/>
      </c>
      <c r="I1756">
        <f>IF(ISNUMBER(INDEX('Term investments'!$G:$G,ROW())),1,0)</f>
        <v/>
      </c>
      <c r="J1756">
        <f>TRIM(SUBSTITUTE(INDEX('Call accounts and MMFs'!$A:$A,ROW())&amp;""," "," "))</f>
        <v/>
      </c>
      <c r="K1756">
        <f>TRIM(SUBSTITUTE(INDEX('Call accounts and MMFs'!$B:$B,ROW())&amp;""," "," "))</f>
        <v/>
      </c>
      <c r="L1756">
        <f>TRIM(SUBSTITUTE(INDEX('Call accounts and MMFs'!$C:$C,ROW())&amp;""," "," "))</f>
        <v/>
      </c>
      <c r="M1756">
        <f>IFERROR(--INDEX('Call accounts and MMFs'!$D:$D,ROW()),0)</f>
        <v/>
      </c>
      <c r="N1756">
        <f>IFERROR(IF(--INDEX('Call accounts and MMFs'!$E:$E,ROW())&gt;=1,--INDEX('Call accounts and MMFs'!$E:$E,ROW())/100,--INDEX('Call accounts and MMFs'!$E:$E,ROW())),0)</f>
        <v/>
      </c>
      <c r="O1756">
        <f>IFERROR(--INDEX('Call accounts and MMFs'!$F:$F,ROW()),0)</f>
        <v/>
      </c>
      <c r="P1756">
        <f>IF(ISNUMBER(INDEX('Call accounts and MMFs'!$E:$E,ROW())),1,0)</f>
        <v/>
      </c>
      <c r="Q1756">
        <f>TRIM(SUBSTITUTE(INDEX('Pooled funds'!$B:$B,ROW())&amp;""," "," "))</f>
        <v/>
      </c>
      <c r="R1756">
        <f>IFERROR(--INDEX('Pooled funds'!$C:$C,ROW()),0)</f>
        <v/>
      </c>
      <c r="S1756">
        <f>IFERROR(--INDEX('Pooled funds'!$D:$D,ROW()),0)</f>
        <v/>
      </c>
      <c r="T1756">
        <f>IFERROR(IF(--INDEX('Pooled funds'!$E:$E,ROW())&gt;=1,--INDEX('Pooled funds'!$E:$E,ROW())/100,--INDEX('Pooled funds'!$E:$E,ROW())),0)</f>
        <v/>
      </c>
      <c r="U1756">
        <f>IF(ISNUMBER(INDEX('Pooled funds'!$E:$E,ROW())),1,0)</f>
        <v/>
      </c>
    </row>
    <row r="1757">
      <c r="A1757">
        <f>TRIM(SUBSTITUTE(INDEX('Term investments'!$A:$A,ROW())&amp;""," "," "))</f>
        <v/>
      </c>
      <c r="B1757">
        <f>TRIM(SUBSTITUTE(INDEX('Term investments'!$B:$B,ROW())&amp;""," "," "))</f>
        <v/>
      </c>
      <c r="C1757">
        <f>TRIM(SUBSTITUTE(INDEX('Term investments'!$C:$C,ROW())&amp;""," "," "))</f>
        <v/>
      </c>
      <c r="D1757">
        <f>IFERROR(--INDEX('Term investments'!$D:$D,ROW()),0)</f>
        <v/>
      </c>
      <c r="E1757">
        <f>IFERROR(--INDEX('Term investments'!$E:$E,ROW()),0)</f>
        <v/>
      </c>
      <c r="F1757">
        <f>IFERROR(--INDEX('Term investments'!$F:$F,ROW()),0)</f>
        <v/>
      </c>
      <c r="G1757">
        <f>IFERROR(IF(--INDEX('Term investments'!$G:$G,ROW())&gt;=1,--INDEX('Term investments'!$G:$G,ROW())/100,--INDEX('Term investments'!$G:$G,ROW())),0)</f>
        <v/>
      </c>
      <c r="H1757">
        <f>IFERROR(--INDEX('Term investments'!$H:$H,ROW()),0)</f>
        <v/>
      </c>
      <c r="I1757">
        <f>IF(ISNUMBER(INDEX('Term investments'!$G:$G,ROW())),1,0)</f>
        <v/>
      </c>
      <c r="J1757">
        <f>TRIM(SUBSTITUTE(INDEX('Call accounts and MMFs'!$A:$A,ROW())&amp;""," "," "))</f>
        <v/>
      </c>
      <c r="K1757">
        <f>TRIM(SUBSTITUTE(INDEX('Call accounts and MMFs'!$B:$B,ROW())&amp;""," "," "))</f>
        <v/>
      </c>
      <c r="L1757">
        <f>TRIM(SUBSTITUTE(INDEX('Call accounts and MMFs'!$C:$C,ROW())&amp;""," "," "))</f>
        <v/>
      </c>
      <c r="M1757">
        <f>IFERROR(--INDEX('Call accounts and MMFs'!$D:$D,ROW()),0)</f>
        <v/>
      </c>
      <c r="N1757">
        <f>IFERROR(IF(--INDEX('Call accounts and MMFs'!$E:$E,ROW())&gt;=1,--INDEX('Call accounts and MMFs'!$E:$E,ROW())/100,--INDEX('Call accounts and MMFs'!$E:$E,ROW())),0)</f>
        <v/>
      </c>
      <c r="O1757">
        <f>IFERROR(--INDEX('Call accounts and MMFs'!$F:$F,ROW()),0)</f>
        <v/>
      </c>
      <c r="P1757">
        <f>IF(ISNUMBER(INDEX('Call accounts and MMFs'!$E:$E,ROW())),1,0)</f>
        <v/>
      </c>
      <c r="Q1757">
        <f>TRIM(SUBSTITUTE(INDEX('Pooled funds'!$B:$B,ROW())&amp;""," "," "))</f>
        <v/>
      </c>
      <c r="R1757">
        <f>IFERROR(--INDEX('Pooled funds'!$C:$C,ROW()),0)</f>
        <v/>
      </c>
      <c r="S1757">
        <f>IFERROR(--INDEX('Pooled funds'!$D:$D,ROW()),0)</f>
        <v/>
      </c>
      <c r="T1757">
        <f>IFERROR(IF(--INDEX('Pooled funds'!$E:$E,ROW())&gt;=1,--INDEX('Pooled funds'!$E:$E,ROW())/100,--INDEX('Pooled funds'!$E:$E,ROW())),0)</f>
        <v/>
      </c>
      <c r="U1757">
        <f>IF(ISNUMBER(INDEX('Pooled funds'!$E:$E,ROW())),1,0)</f>
        <v/>
      </c>
    </row>
    <row r="1758">
      <c r="A1758">
        <f>TRIM(SUBSTITUTE(INDEX('Term investments'!$A:$A,ROW())&amp;""," "," "))</f>
        <v/>
      </c>
      <c r="B1758">
        <f>TRIM(SUBSTITUTE(INDEX('Term investments'!$B:$B,ROW())&amp;""," "," "))</f>
        <v/>
      </c>
      <c r="C1758">
        <f>TRIM(SUBSTITUTE(INDEX('Term investments'!$C:$C,ROW())&amp;""," "," "))</f>
        <v/>
      </c>
      <c r="D1758">
        <f>IFERROR(--INDEX('Term investments'!$D:$D,ROW()),0)</f>
        <v/>
      </c>
      <c r="E1758">
        <f>IFERROR(--INDEX('Term investments'!$E:$E,ROW()),0)</f>
        <v/>
      </c>
      <c r="F1758">
        <f>IFERROR(--INDEX('Term investments'!$F:$F,ROW()),0)</f>
        <v/>
      </c>
      <c r="G1758">
        <f>IFERROR(IF(--INDEX('Term investments'!$G:$G,ROW())&gt;=1,--INDEX('Term investments'!$G:$G,ROW())/100,--INDEX('Term investments'!$G:$G,ROW())),0)</f>
        <v/>
      </c>
      <c r="H1758">
        <f>IFERROR(--INDEX('Term investments'!$H:$H,ROW()),0)</f>
        <v/>
      </c>
      <c r="I1758">
        <f>IF(ISNUMBER(INDEX('Term investments'!$G:$G,ROW())),1,0)</f>
        <v/>
      </c>
      <c r="J1758">
        <f>TRIM(SUBSTITUTE(INDEX('Call accounts and MMFs'!$A:$A,ROW())&amp;""," "," "))</f>
        <v/>
      </c>
      <c r="K1758">
        <f>TRIM(SUBSTITUTE(INDEX('Call accounts and MMFs'!$B:$B,ROW())&amp;""," "," "))</f>
        <v/>
      </c>
      <c r="L1758">
        <f>TRIM(SUBSTITUTE(INDEX('Call accounts and MMFs'!$C:$C,ROW())&amp;""," "," "))</f>
        <v/>
      </c>
      <c r="M1758">
        <f>IFERROR(--INDEX('Call accounts and MMFs'!$D:$D,ROW()),0)</f>
        <v/>
      </c>
      <c r="N1758">
        <f>IFERROR(IF(--INDEX('Call accounts and MMFs'!$E:$E,ROW())&gt;=1,--INDEX('Call accounts and MMFs'!$E:$E,ROW())/100,--INDEX('Call accounts and MMFs'!$E:$E,ROW())),0)</f>
        <v/>
      </c>
      <c r="O1758">
        <f>IFERROR(--INDEX('Call accounts and MMFs'!$F:$F,ROW()),0)</f>
        <v/>
      </c>
      <c r="P1758">
        <f>IF(ISNUMBER(INDEX('Call accounts and MMFs'!$E:$E,ROW())),1,0)</f>
        <v/>
      </c>
      <c r="Q1758">
        <f>TRIM(SUBSTITUTE(INDEX('Pooled funds'!$B:$B,ROW())&amp;""," "," "))</f>
        <v/>
      </c>
      <c r="R1758">
        <f>IFERROR(--INDEX('Pooled funds'!$C:$C,ROW()),0)</f>
        <v/>
      </c>
      <c r="S1758">
        <f>IFERROR(--INDEX('Pooled funds'!$D:$D,ROW()),0)</f>
        <v/>
      </c>
      <c r="T1758">
        <f>IFERROR(IF(--INDEX('Pooled funds'!$E:$E,ROW())&gt;=1,--INDEX('Pooled funds'!$E:$E,ROW())/100,--INDEX('Pooled funds'!$E:$E,ROW())),0)</f>
        <v/>
      </c>
      <c r="U1758">
        <f>IF(ISNUMBER(INDEX('Pooled funds'!$E:$E,ROW())),1,0)</f>
        <v/>
      </c>
    </row>
    <row r="1759">
      <c r="A1759">
        <f>TRIM(SUBSTITUTE(INDEX('Term investments'!$A:$A,ROW())&amp;""," "," "))</f>
        <v/>
      </c>
      <c r="B1759">
        <f>TRIM(SUBSTITUTE(INDEX('Term investments'!$B:$B,ROW())&amp;""," "," "))</f>
        <v/>
      </c>
      <c r="C1759">
        <f>TRIM(SUBSTITUTE(INDEX('Term investments'!$C:$C,ROW())&amp;""," "," "))</f>
        <v/>
      </c>
      <c r="D1759">
        <f>IFERROR(--INDEX('Term investments'!$D:$D,ROW()),0)</f>
        <v/>
      </c>
      <c r="E1759">
        <f>IFERROR(--INDEX('Term investments'!$E:$E,ROW()),0)</f>
        <v/>
      </c>
      <c r="F1759">
        <f>IFERROR(--INDEX('Term investments'!$F:$F,ROW()),0)</f>
        <v/>
      </c>
      <c r="G1759">
        <f>IFERROR(IF(--INDEX('Term investments'!$G:$G,ROW())&gt;=1,--INDEX('Term investments'!$G:$G,ROW())/100,--INDEX('Term investments'!$G:$G,ROW())),0)</f>
        <v/>
      </c>
      <c r="H1759">
        <f>IFERROR(--INDEX('Term investments'!$H:$H,ROW()),0)</f>
        <v/>
      </c>
      <c r="I1759">
        <f>IF(ISNUMBER(INDEX('Term investments'!$G:$G,ROW())),1,0)</f>
        <v/>
      </c>
      <c r="J1759">
        <f>TRIM(SUBSTITUTE(INDEX('Call accounts and MMFs'!$A:$A,ROW())&amp;""," "," "))</f>
        <v/>
      </c>
      <c r="K1759">
        <f>TRIM(SUBSTITUTE(INDEX('Call accounts and MMFs'!$B:$B,ROW())&amp;""," "," "))</f>
        <v/>
      </c>
      <c r="L1759">
        <f>TRIM(SUBSTITUTE(INDEX('Call accounts and MMFs'!$C:$C,ROW())&amp;""," "," "))</f>
        <v/>
      </c>
      <c r="M1759">
        <f>IFERROR(--INDEX('Call accounts and MMFs'!$D:$D,ROW()),0)</f>
        <v/>
      </c>
      <c r="N1759">
        <f>IFERROR(IF(--INDEX('Call accounts and MMFs'!$E:$E,ROW())&gt;=1,--INDEX('Call accounts and MMFs'!$E:$E,ROW())/100,--INDEX('Call accounts and MMFs'!$E:$E,ROW())),0)</f>
        <v/>
      </c>
      <c r="O1759">
        <f>IFERROR(--INDEX('Call accounts and MMFs'!$F:$F,ROW()),0)</f>
        <v/>
      </c>
      <c r="P1759">
        <f>IF(ISNUMBER(INDEX('Call accounts and MMFs'!$E:$E,ROW())),1,0)</f>
        <v/>
      </c>
      <c r="Q1759">
        <f>TRIM(SUBSTITUTE(INDEX('Pooled funds'!$B:$B,ROW())&amp;""," "," "))</f>
        <v/>
      </c>
      <c r="R1759">
        <f>IFERROR(--INDEX('Pooled funds'!$C:$C,ROW()),0)</f>
        <v/>
      </c>
      <c r="S1759">
        <f>IFERROR(--INDEX('Pooled funds'!$D:$D,ROW()),0)</f>
        <v/>
      </c>
      <c r="T1759">
        <f>IFERROR(IF(--INDEX('Pooled funds'!$E:$E,ROW())&gt;=1,--INDEX('Pooled funds'!$E:$E,ROW())/100,--INDEX('Pooled funds'!$E:$E,ROW())),0)</f>
        <v/>
      </c>
      <c r="U1759">
        <f>IF(ISNUMBER(INDEX('Pooled funds'!$E:$E,ROW())),1,0)</f>
        <v/>
      </c>
    </row>
    <row r="1760">
      <c r="A1760">
        <f>TRIM(SUBSTITUTE(INDEX('Term investments'!$A:$A,ROW())&amp;""," "," "))</f>
        <v/>
      </c>
      <c r="B1760">
        <f>TRIM(SUBSTITUTE(INDEX('Term investments'!$B:$B,ROW())&amp;""," "," "))</f>
        <v/>
      </c>
      <c r="C1760">
        <f>TRIM(SUBSTITUTE(INDEX('Term investments'!$C:$C,ROW())&amp;""," "," "))</f>
        <v/>
      </c>
      <c r="D1760">
        <f>IFERROR(--INDEX('Term investments'!$D:$D,ROW()),0)</f>
        <v/>
      </c>
      <c r="E1760">
        <f>IFERROR(--INDEX('Term investments'!$E:$E,ROW()),0)</f>
        <v/>
      </c>
      <c r="F1760">
        <f>IFERROR(--INDEX('Term investments'!$F:$F,ROW()),0)</f>
        <v/>
      </c>
      <c r="G1760">
        <f>IFERROR(IF(--INDEX('Term investments'!$G:$G,ROW())&gt;=1,--INDEX('Term investments'!$G:$G,ROW())/100,--INDEX('Term investments'!$G:$G,ROW())),0)</f>
        <v/>
      </c>
      <c r="H1760">
        <f>IFERROR(--INDEX('Term investments'!$H:$H,ROW()),0)</f>
        <v/>
      </c>
      <c r="I1760">
        <f>IF(ISNUMBER(INDEX('Term investments'!$G:$G,ROW())),1,0)</f>
        <v/>
      </c>
      <c r="J1760">
        <f>TRIM(SUBSTITUTE(INDEX('Call accounts and MMFs'!$A:$A,ROW())&amp;""," "," "))</f>
        <v/>
      </c>
      <c r="K1760">
        <f>TRIM(SUBSTITUTE(INDEX('Call accounts and MMFs'!$B:$B,ROW())&amp;""," "," "))</f>
        <v/>
      </c>
      <c r="L1760">
        <f>TRIM(SUBSTITUTE(INDEX('Call accounts and MMFs'!$C:$C,ROW())&amp;""," "," "))</f>
        <v/>
      </c>
      <c r="M1760">
        <f>IFERROR(--INDEX('Call accounts and MMFs'!$D:$D,ROW()),0)</f>
        <v/>
      </c>
      <c r="N1760">
        <f>IFERROR(IF(--INDEX('Call accounts and MMFs'!$E:$E,ROW())&gt;=1,--INDEX('Call accounts and MMFs'!$E:$E,ROW())/100,--INDEX('Call accounts and MMFs'!$E:$E,ROW())),0)</f>
        <v/>
      </c>
      <c r="O1760">
        <f>IFERROR(--INDEX('Call accounts and MMFs'!$F:$F,ROW()),0)</f>
        <v/>
      </c>
      <c r="P1760">
        <f>IF(ISNUMBER(INDEX('Call accounts and MMFs'!$E:$E,ROW())),1,0)</f>
        <v/>
      </c>
      <c r="Q1760">
        <f>TRIM(SUBSTITUTE(INDEX('Pooled funds'!$B:$B,ROW())&amp;""," "," "))</f>
        <v/>
      </c>
      <c r="R1760">
        <f>IFERROR(--INDEX('Pooled funds'!$C:$C,ROW()),0)</f>
        <v/>
      </c>
      <c r="S1760">
        <f>IFERROR(--INDEX('Pooled funds'!$D:$D,ROW()),0)</f>
        <v/>
      </c>
      <c r="T1760">
        <f>IFERROR(IF(--INDEX('Pooled funds'!$E:$E,ROW())&gt;=1,--INDEX('Pooled funds'!$E:$E,ROW())/100,--INDEX('Pooled funds'!$E:$E,ROW())),0)</f>
        <v/>
      </c>
      <c r="U1760">
        <f>IF(ISNUMBER(INDEX('Pooled funds'!$E:$E,ROW())),1,0)</f>
        <v/>
      </c>
    </row>
    <row r="1761">
      <c r="A1761">
        <f>TRIM(SUBSTITUTE(INDEX('Term investments'!$A:$A,ROW())&amp;""," "," "))</f>
        <v/>
      </c>
      <c r="B1761">
        <f>TRIM(SUBSTITUTE(INDEX('Term investments'!$B:$B,ROW())&amp;""," "," "))</f>
        <v/>
      </c>
      <c r="C1761">
        <f>TRIM(SUBSTITUTE(INDEX('Term investments'!$C:$C,ROW())&amp;""," "," "))</f>
        <v/>
      </c>
      <c r="D1761">
        <f>IFERROR(--INDEX('Term investments'!$D:$D,ROW()),0)</f>
        <v/>
      </c>
      <c r="E1761">
        <f>IFERROR(--INDEX('Term investments'!$E:$E,ROW()),0)</f>
        <v/>
      </c>
      <c r="F1761">
        <f>IFERROR(--INDEX('Term investments'!$F:$F,ROW()),0)</f>
        <v/>
      </c>
      <c r="G1761">
        <f>IFERROR(IF(--INDEX('Term investments'!$G:$G,ROW())&gt;=1,--INDEX('Term investments'!$G:$G,ROW())/100,--INDEX('Term investments'!$G:$G,ROW())),0)</f>
        <v/>
      </c>
      <c r="H1761">
        <f>IFERROR(--INDEX('Term investments'!$H:$H,ROW()),0)</f>
        <v/>
      </c>
      <c r="I1761">
        <f>IF(ISNUMBER(INDEX('Term investments'!$G:$G,ROW())),1,0)</f>
        <v/>
      </c>
      <c r="J1761">
        <f>TRIM(SUBSTITUTE(INDEX('Call accounts and MMFs'!$A:$A,ROW())&amp;""," "," "))</f>
        <v/>
      </c>
      <c r="K1761">
        <f>TRIM(SUBSTITUTE(INDEX('Call accounts and MMFs'!$B:$B,ROW())&amp;""," "," "))</f>
        <v/>
      </c>
      <c r="L1761">
        <f>TRIM(SUBSTITUTE(INDEX('Call accounts and MMFs'!$C:$C,ROW())&amp;""," "," "))</f>
        <v/>
      </c>
      <c r="M1761">
        <f>IFERROR(--INDEX('Call accounts and MMFs'!$D:$D,ROW()),0)</f>
        <v/>
      </c>
      <c r="N1761">
        <f>IFERROR(IF(--INDEX('Call accounts and MMFs'!$E:$E,ROW())&gt;=1,--INDEX('Call accounts and MMFs'!$E:$E,ROW())/100,--INDEX('Call accounts and MMFs'!$E:$E,ROW())),0)</f>
        <v/>
      </c>
      <c r="O1761">
        <f>IFERROR(--INDEX('Call accounts and MMFs'!$F:$F,ROW()),0)</f>
        <v/>
      </c>
      <c r="P1761">
        <f>IF(ISNUMBER(INDEX('Call accounts and MMFs'!$E:$E,ROW())),1,0)</f>
        <v/>
      </c>
      <c r="Q1761">
        <f>TRIM(SUBSTITUTE(INDEX('Pooled funds'!$B:$B,ROW())&amp;""," "," "))</f>
        <v/>
      </c>
      <c r="R1761">
        <f>IFERROR(--INDEX('Pooled funds'!$C:$C,ROW()),0)</f>
        <v/>
      </c>
      <c r="S1761">
        <f>IFERROR(--INDEX('Pooled funds'!$D:$D,ROW()),0)</f>
        <v/>
      </c>
      <c r="T1761">
        <f>IFERROR(IF(--INDEX('Pooled funds'!$E:$E,ROW())&gt;=1,--INDEX('Pooled funds'!$E:$E,ROW())/100,--INDEX('Pooled funds'!$E:$E,ROW())),0)</f>
        <v/>
      </c>
      <c r="U1761">
        <f>IF(ISNUMBER(INDEX('Pooled funds'!$E:$E,ROW())),1,0)</f>
        <v/>
      </c>
    </row>
    <row r="1762">
      <c r="A1762">
        <f>TRIM(SUBSTITUTE(INDEX('Term investments'!$A:$A,ROW())&amp;""," "," "))</f>
        <v/>
      </c>
      <c r="B1762">
        <f>TRIM(SUBSTITUTE(INDEX('Term investments'!$B:$B,ROW())&amp;""," "," "))</f>
        <v/>
      </c>
      <c r="C1762">
        <f>TRIM(SUBSTITUTE(INDEX('Term investments'!$C:$C,ROW())&amp;""," "," "))</f>
        <v/>
      </c>
      <c r="D1762">
        <f>IFERROR(--INDEX('Term investments'!$D:$D,ROW()),0)</f>
        <v/>
      </c>
      <c r="E1762">
        <f>IFERROR(--INDEX('Term investments'!$E:$E,ROW()),0)</f>
        <v/>
      </c>
      <c r="F1762">
        <f>IFERROR(--INDEX('Term investments'!$F:$F,ROW()),0)</f>
        <v/>
      </c>
      <c r="G1762">
        <f>IFERROR(IF(--INDEX('Term investments'!$G:$G,ROW())&gt;=1,--INDEX('Term investments'!$G:$G,ROW())/100,--INDEX('Term investments'!$G:$G,ROW())),0)</f>
        <v/>
      </c>
      <c r="H1762">
        <f>IFERROR(--INDEX('Term investments'!$H:$H,ROW()),0)</f>
        <v/>
      </c>
      <c r="I1762">
        <f>IF(ISNUMBER(INDEX('Term investments'!$G:$G,ROW())),1,0)</f>
        <v/>
      </c>
      <c r="J1762">
        <f>TRIM(SUBSTITUTE(INDEX('Call accounts and MMFs'!$A:$A,ROW())&amp;""," "," "))</f>
        <v/>
      </c>
      <c r="K1762">
        <f>TRIM(SUBSTITUTE(INDEX('Call accounts and MMFs'!$B:$B,ROW())&amp;""," "," "))</f>
        <v/>
      </c>
      <c r="L1762">
        <f>TRIM(SUBSTITUTE(INDEX('Call accounts and MMFs'!$C:$C,ROW())&amp;""," "," "))</f>
        <v/>
      </c>
      <c r="M1762">
        <f>IFERROR(--INDEX('Call accounts and MMFs'!$D:$D,ROW()),0)</f>
        <v/>
      </c>
      <c r="N1762">
        <f>IFERROR(IF(--INDEX('Call accounts and MMFs'!$E:$E,ROW())&gt;=1,--INDEX('Call accounts and MMFs'!$E:$E,ROW())/100,--INDEX('Call accounts and MMFs'!$E:$E,ROW())),0)</f>
        <v/>
      </c>
      <c r="O1762">
        <f>IFERROR(--INDEX('Call accounts and MMFs'!$F:$F,ROW()),0)</f>
        <v/>
      </c>
      <c r="P1762">
        <f>IF(ISNUMBER(INDEX('Call accounts and MMFs'!$E:$E,ROW())),1,0)</f>
        <v/>
      </c>
      <c r="Q1762">
        <f>TRIM(SUBSTITUTE(INDEX('Pooled funds'!$B:$B,ROW())&amp;""," "," "))</f>
        <v/>
      </c>
      <c r="R1762">
        <f>IFERROR(--INDEX('Pooled funds'!$C:$C,ROW()),0)</f>
        <v/>
      </c>
      <c r="S1762">
        <f>IFERROR(--INDEX('Pooled funds'!$D:$D,ROW()),0)</f>
        <v/>
      </c>
      <c r="T1762">
        <f>IFERROR(IF(--INDEX('Pooled funds'!$E:$E,ROW())&gt;=1,--INDEX('Pooled funds'!$E:$E,ROW())/100,--INDEX('Pooled funds'!$E:$E,ROW())),0)</f>
        <v/>
      </c>
      <c r="U1762">
        <f>IF(ISNUMBER(INDEX('Pooled funds'!$E:$E,ROW())),1,0)</f>
        <v/>
      </c>
    </row>
    <row r="1763">
      <c r="A1763">
        <f>TRIM(SUBSTITUTE(INDEX('Term investments'!$A:$A,ROW())&amp;""," "," "))</f>
        <v/>
      </c>
      <c r="B1763">
        <f>TRIM(SUBSTITUTE(INDEX('Term investments'!$B:$B,ROW())&amp;""," "," "))</f>
        <v/>
      </c>
      <c r="C1763">
        <f>TRIM(SUBSTITUTE(INDEX('Term investments'!$C:$C,ROW())&amp;""," "," "))</f>
        <v/>
      </c>
      <c r="D1763">
        <f>IFERROR(--INDEX('Term investments'!$D:$D,ROW()),0)</f>
        <v/>
      </c>
      <c r="E1763">
        <f>IFERROR(--INDEX('Term investments'!$E:$E,ROW()),0)</f>
        <v/>
      </c>
      <c r="F1763">
        <f>IFERROR(--INDEX('Term investments'!$F:$F,ROW()),0)</f>
        <v/>
      </c>
      <c r="G1763">
        <f>IFERROR(IF(--INDEX('Term investments'!$G:$G,ROW())&gt;=1,--INDEX('Term investments'!$G:$G,ROW())/100,--INDEX('Term investments'!$G:$G,ROW())),0)</f>
        <v/>
      </c>
      <c r="H1763">
        <f>IFERROR(--INDEX('Term investments'!$H:$H,ROW()),0)</f>
        <v/>
      </c>
      <c r="I1763">
        <f>IF(ISNUMBER(INDEX('Term investments'!$G:$G,ROW())),1,0)</f>
        <v/>
      </c>
      <c r="J1763">
        <f>TRIM(SUBSTITUTE(INDEX('Call accounts and MMFs'!$A:$A,ROW())&amp;""," "," "))</f>
        <v/>
      </c>
      <c r="K1763">
        <f>TRIM(SUBSTITUTE(INDEX('Call accounts and MMFs'!$B:$B,ROW())&amp;""," "," "))</f>
        <v/>
      </c>
      <c r="L1763">
        <f>TRIM(SUBSTITUTE(INDEX('Call accounts and MMFs'!$C:$C,ROW())&amp;""," "," "))</f>
        <v/>
      </c>
      <c r="M1763">
        <f>IFERROR(--INDEX('Call accounts and MMFs'!$D:$D,ROW()),0)</f>
        <v/>
      </c>
      <c r="N1763">
        <f>IFERROR(IF(--INDEX('Call accounts and MMFs'!$E:$E,ROW())&gt;=1,--INDEX('Call accounts and MMFs'!$E:$E,ROW())/100,--INDEX('Call accounts and MMFs'!$E:$E,ROW())),0)</f>
        <v/>
      </c>
      <c r="O1763">
        <f>IFERROR(--INDEX('Call accounts and MMFs'!$F:$F,ROW()),0)</f>
        <v/>
      </c>
      <c r="P1763">
        <f>IF(ISNUMBER(INDEX('Call accounts and MMFs'!$E:$E,ROW())),1,0)</f>
        <v/>
      </c>
      <c r="Q1763">
        <f>TRIM(SUBSTITUTE(INDEX('Pooled funds'!$B:$B,ROW())&amp;""," "," "))</f>
        <v/>
      </c>
      <c r="R1763">
        <f>IFERROR(--INDEX('Pooled funds'!$C:$C,ROW()),0)</f>
        <v/>
      </c>
      <c r="S1763">
        <f>IFERROR(--INDEX('Pooled funds'!$D:$D,ROW()),0)</f>
        <v/>
      </c>
      <c r="T1763">
        <f>IFERROR(IF(--INDEX('Pooled funds'!$E:$E,ROW())&gt;=1,--INDEX('Pooled funds'!$E:$E,ROW())/100,--INDEX('Pooled funds'!$E:$E,ROW())),0)</f>
        <v/>
      </c>
      <c r="U1763">
        <f>IF(ISNUMBER(INDEX('Pooled funds'!$E:$E,ROW())),1,0)</f>
        <v/>
      </c>
    </row>
    <row r="1764">
      <c r="A1764">
        <f>TRIM(SUBSTITUTE(INDEX('Term investments'!$A:$A,ROW())&amp;""," "," "))</f>
        <v/>
      </c>
      <c r="B1764">
        <f>TRIM(SUBSTITUTE(INDEX('Term investments'!$B:$B,ROW())&amp;""," "," "))</f>
        <v/>
      </c>
      <c r="C1764">
        <f>TRIM(SUBSTITUTE(INDEX('Term investments'!$C:$C,ROW())&amp;""," "," "))</f>
        <v/>
      </c>
      <c r="D1764">
        <f>IFERROR(--INDEX('Term investments'!$D:$D,ROW()),0)</f>
        <v/>
      </c>
      <c r="E1764">
        <f>IFERROR(--INDEX('Term investments'!$E:$E,ROW()),0)</f>
        <v/>
      </c>
      <c r="F1764">
        <f>IFERROR(--INDEX('Term investments'!$F:$F,ROW()),0)</f>
        <v/>
      </c>
      <c r="G1764">
        <f>IFERROR(IF(--INDEX('Term investments'!$G:$G,ROW())&gt;=1,--INDEX('Term investments'!$G:$G,ROW())/100,--INDEX('Term investments'!$G:$G,ROW())),0)</f>
        <v/>
      </c>
      <c r="H1764">
        <f>IFERROR(--INDEX('Term investments'!$H:$H,ROW()),0)</f>
        <v/>
      </c>
      <c r="I1764">
        <f>IF(ISNUMBER(INDEX('Term investments'!$G:$G,ROW())),1,0)</f>
        <v/>
      </c>
      <c r="J1764">
        <f>TRIM(SUBSTITUTE(INDEX('Call accounts and MMFs'!$A:$A,ROW())&amp;""," "," "))</f>
        <v/>
      </c>
      <c r="K1764">
        <f>TRIM(SUBSTITUTE(INDEX('Call accounts and MMFs'!$B:$B,ROW())&amp;""," "," "))</f>
        <v/>
      </c>
      <c r="L1764">
        <f>TRIM(SUBSTITUTE(INDEX('Call accounts and MMFs'!$C:$C,ROW())&amp;""," "," "))</f>
        <v/>
      </c>
      <c r="M1764">
        <f>IFERROR(--INDEX('Call accounts and MMFs'!$D:$D,ROW()),0)</f>
        <v/>
      </c>
      <c r="N1764">
        <f>IFERROR(IF(--INDEX('Call accounts and MMFs'!$E:$E,ROW())&gt;=1,--INDEX('Call accounts and MMFs'!$E:$E,ROW())/100,--INDEX('Call accounts and MMFs'!$E:$E,ROW())),0)</f>
        <v/>
      </c>
      <c r="O1764">
        <f>IFERROR(--INDEX('Call accounts and MMFs'!$F:$F,ROW()),0)</f>
        <v/>
      </c>
      <c r="P1764">
        <f>IF(ISNUMBER(INDEX('Call accounts and MMFs'!$E:$E,ROW())),1,0)</f>
        <v/>
      </c>
      <c r="Q1764">
        <f>TRIM(SUBSTITUTE(INDEX('Pooled funds'!$B:$B,ROW())&amp;""," "," "))</f>
        <v/>
      </c>
      <c r="R1764">
        <f>IFERROR(--INDEX('Pooled funds'!$C:$C,ROW()),0)</f>
        <v/>
      </c>
      <c r="S1764">
        <f>IFERROR(--INDEX('Pooled funds'!$D:$D,ROW()),0)</f>
        <v/>
      </c>
      <c r="T1764">
        <f>IFERROR(IF(--INDEX('Pooled funds'!$E:$E,ROW())&gt;=1,--INDEX('Pooled funds'!$E:$E,ROW())/100,--INDEX('Pooled funds'!$E:$E,ROW())),0)</f>
        <v/>
      </c>
      <c r="U1764">
        <f>IF(ISNUMBER(INDEX('Pooled funds'!$E:$E,ROW())),1,0)</f>
        <v/>
      </c>
    </row>
    <row r="1765">
      <c r="A1765">
        <f>TRIM(SUBSTITUTE(INDEX('Term investments'!$A:$A,ROW())&amp;""," "," "))</f>
        <v/>
      </c>
      <c r="B1765">
        <f>TRIM(SUBSTITUTE(INDEX('Term investments'!$B:$B,ROW())&amp;""," "," "))</f>
        <v/>
      </c>
      <c r="C1765">
        <f>TRIM(SUBSTITUTE(INDEX('Term investments'!$C:$C,ROW())&amp;""," "," "))</f>
        <v/>
      </c>
      <c r="D1765">
        <f>IFERROR(--INDEX('Term investments'!$D:$D,ROW()),0)</f>
        <v/>
      </c>
      <c r="E1765">
        <f>IFERROR(--INDEX('Term investments'!$E:$E,ROW()),0)</f>
        <v/>
      </c>
      <c r="F1765">
        <f>IFERROR(--INDEX('Term investments'!$F:$F,ROW()),0)</f>
        <v/>
      </c>
      <c r="G1765">
        <f>IFERROR(IF(--INDEX('Term investments'!$G:$G,ROW())&gt;=1,--INDEX('Term investments'!$G:$G,ROW())/100,--INDEX('Term investments'!$G:$G,ROW())),0)</f>
        <v/>
      </c>
      <c r="H1765">
        <f>IFERROR(--INDEX('Term investments'!$H:$H,ROW()),0)</f>
        <v/>
      </c>
      <c r="I1765">
        <f>IF(ISNUMBER(INDEX('Term investments'!$G:$G,ROW())),1,0)</f>
        <v/>
      </c>
      <c r="J1765">
        <f>TRIM(SUBSTITUTE(INDEX('Call accounts and MMFs'!$A:$A,ROW())&amp;""," "," "))</f>
        <v/>
      </c>
      <c r="K1765">
        <f>TRIM(SUBSTITUTE(INDEX('Call accounts and MMFs'!$B:$B,ROW())&amp;""," "," "))</f>
        <v/>
      </c>
      <c r="L1765">
        <f>TRIM(SUBSTITUTE(INDEX('Call accounts and MMFs'!$C:$C,ROW())&amp;""," "," "))</f>
        <v/>
      </c>
      <c r="M1765">
        <f>IFERROR(--INDEX('Call accounts and MMFs'!$D:$D,ROW()),0)</f>
        <v/>
      </c>
      <c r="N1765">
        <f>IFERROR(IF(--INDEX('Call accounts and MMFs'!$E:$E,ROW())&gt;=1,--INDEX('Call accounts and MMFs'!$E:$E,ROW())/100,--INDEX('Call accounts and MMFs'!$E:$E,ROW())),0)</f>
        <v/>
      </c>
      <c r="O1765">
        <f>IFERROR(--INDEX('Call accounts and MMFs'!$F:$F,ROW()),0)</f>
        <v/>
      </c>
      <c r="P1765">
        <f>IF(ISNUMBER(INDEX('Call accounts and MMFs'!$E:$E,ROW())),1,0)</f>
        <v/>
      </c>
      <c r="Q1765">
        <f>TRIM(SUBSTITUTE(INDEX('Pooled funds'!$B:$B,ROW())&amp;""," "," "))</f>
        <v/>
      </c>
      <c r="R1765">
        <f>IFERROR(--INDEX('Pooled funds'!$C:$C,ROW()),0)</f>
        <v/>
      </c>
      <c r="S1765">
        <f>IFERROR(--INDEX('Pooled funds'!$D:$D,ROW()),0)</f>
        <v/>
      </c>
      <c r="T1765">
        <f>IFERROR(IF(--INDEX('Pooled funds'!$E:$E,ROW())&gt;=1,--INDEX('Pooled funds'!$E:$E,ROW())/100,--INDEX('Pooled funds'!$E:$E,ROW())),0)</f>
        <v/>
      </c>
      <c r="U1765">
        <f>IF(ISNUMBER(INDEX('Pooled funds'!$E:$E,ROW())),1,0)</f>
        <v/>
      </c>
    </row>
    <row r="1766">
      <c r="A1766">
        <f>TRIM(SUBSTITUTE(INDEX('Term investments'!$A:$A,ROW())&amp;""," "," "))</f>
        <v/>
      </c>
      <c r="B1766">
        <f>TRIM(SUBSTITUTE(INDEX('Term investments'!$B:$B,ROW())&amp;""," "," "))</f>
        <v/>
      </c>
      <c r="C1766">
        <f>TRIM(SUBSTITUTE(INDEX('Term investments'!$C:$C,ROW())&amp;""," "," "))</f>
        <v/>
      </c>
      <c r="D1766">
        <f>IFERROR(--INDEX('Term investments'!$D:$D,ROW()),0)</f>
        <v/>
      </c>
      <c r="E1766">
        <f>IFERROR(--INDEX('Term investments'!$E:$E,ROW()),0)</f>
        <v/>
      </c>
      <c r="F1766">
        <f>IFERROR(--INDEX('Term investments'!$F:$F,ROW()),0)</f>
        <v/>
      </c>
      <c r="G1766">
        <f>IFERROR(IF(--INDEX('Term investments'!$G:$G,ROW())&gt;=1,--INDEX('Term investments'!$G:$G,ROW())/100,--INDEX('Term investments'!$G:$G,ROW())),0)</f>
        <v/>
      </c>
      <c r="H1766">
        <f>IFERROR(--INDEX('Term investments'!$H:$H,ROW()),0)</f>
        <v/>
      </c>
      <c r="I1766">
        <f>IF(ISNUMBER(INDEX('Term investments'!$G:$G,ROW())),1,0)</f>
        <v/>
      </c>
      <c r="J1766">
        <f>TRIM(SUBSTITUTE(INDEX('Call accounts and MMFs'!$A:$A,ROW())&amp;""," "," "))</f>
        <v/>
      </c>
      <c r="K1766">
        <f>TRIM(SUBSTITUTE(INDEX('Call accounts and MMFs'!$B:$B,ROW())&amp;""," "," "))</f>
        <v/>
      </c>
      <c r="L1766">
        <f>TRIM(SUBSTITUTE(INDEX('Call accounts and MMFs'!$C:$C,ROW())&amp;""," "," "))</f>
        <v/>
      </c>
      <c r="M1766">
        <f>IFERROR(--INDEX('Call accounts and MMFs'!$D:$D,ROW()),0)</f>
        <v/>
      </c>
      <c r="N1766">
        <f>IFERROR(IF(--INDEX('Call accounts and MMFs'!$E:$E,ROW())&gt;=1,--INDEX('Call accounts and MMFs'!$E:$E,ROW())/100,--INDEX('Call accounts and MMFs'!$E:$E,ROW())),0)</f>
        <v/>
      </c>
      <c r="O1766">
        <f>IFERROR(--INDEX('Call accounts and MMFs'!$F:$F,ROW()),0)</f>
        <v/>
      </c>
      <c r="P1766">
        <f>IF(ISNUMBER(INDEX('Call accounts and MMFs'!$E:$E,ROW())),1,0)</f>
        <v/>
      </c>
      <c r="Q1766">
        <f>TRIM(SUBSTITUTE(INDEX('Pooled funds'!$B:$B,ROW())&amp;""," "," "))</f>
        <v/>
      </c>
      <c r="R1766">
        <f>IFERROR(--INDEX('Pooled funds'!$C:$C,ROW()),0)</f>
        <v/>
      </c>
      <c r="S1766">
        <f>IFERROR(--INDEX('Pooled funds'!$D:$D,ROW()),0)</f>
        <v/>
      </c>
      <c r="T1766">
        <f>IFERROR(IF(--INDEX('Pooled funds'!$E:$E,ROW())&gt;=1,--INDEX('Pooled funds'!$E:$E,ROW())/100,--INDEX('Pooled funds'!$E:$E,ROW())),0)</f>
        <v/>
      </c>
      <c r="U1766">
        <f>IF(ISNUMBER(INDEX('Pooled funds'!$E:$E,ROW())),1,0)</f>
        <v/>
      </c>
    </row>
    <row r="1767">
      <c r="A1767">
        <f>TRIM(SUBSTITUTE(INDEX('Term investments'!$A:$A,ROW())&amp;""," "," "))</f>
        <v/>
      </c>
      <c r="B1767">
        <f>TRIM(SUBSTITUTE(INDEX('Term investments'!$B:$B,ROW())&amp;""," "," "))</f>
        <v/>
      </c>
      <c r="C1767">
        <f>TRIM(SUBSTITUTE(INDEX('Term investments'!$C:$C,ROW())&amp;""," "," "))</f>
        <v/>
      </c>
      <c r="D1767">
        <f>IFERROR(--INDEX('Term investments'!$D:$D,ROW()),0)</f>
        <v/>
      </c>
      <c r="E1767">
        <f>IFERROR(--INDEX('Term investments'!$E:$E,ROW()),0)</f>
        <v/>
      </c>
      <c r="F1767">
        <f>IFERROR(--INDEX('Term investments'!$F:$F,ROW()),0)</f>
        <v/>
      </c>
      <c r="G1767">
        <f>IFERROR(IF(--INDEX('Term investments'!$G:$G,ROW())&gt;=1,--INDEX('Term investments'!$G:$G,ROW())/100,--INDEX('Term investments'!$G:$G,ROW())),0)</f>
        <v/>
      </c>
      <c r="H1767">
        <f>IFERROR(--INDEX('Term investments'!$H:$H,ROW()),0)</f>
        <v/>
      </c>
      <c r="I1767">
        <f>IF(ISNUMBER(INDEX('Term investments'!$G:$G,ROW())),1,0)</f>
        <v/>
      </c>
      <c r="J1767">
        <f>TRIM(SUBSTITUTE(INDEX('Call accounts and MMFs'!$A:$A,ROW())&amp;""," "," "))</f>
        <v/>
      </c>
      <c r="K1767">
        <f>TRIM(SUBSTITUTE(INDEX('Call accounts and MMFs'!$B:$B,ROW())&amp;""," "," "))</f>
        <v/>
      </c>
      <c r="L1767">
        <f>TRIM(SUBSTITUTE(INDEX('Call accounts and MMFs'!$C:$C,ROW())&amp;""," "," "))</f>
        <v/>
      </c>
      <c r="M1767">
        <f>IFERROR(--INDEX('Call accounts and MMFs'!$D:$D,ROW()),0)</f>
        <v/>
      </c>
      <c r="N1767">
        <f>IFERROR(IF(--INDEX('Call accounts and MMFs'!$E:$E,ROW())&gt;=1,--INDEX('Call accounts and MMFs'!$E:$E,ROW())/100,--INDEX('Call accounts and MMFs'!$E:$E,ROW())),0)</f>
        <v/>
      </c>
      <c r="O1767">
        <f>IFERROR(--INDEX('Call accounts and MMFs'!$F:$F,ROW()),0)</f>
        <v/>
      </c>
      <c r="P1767">
        <f>IF(ISNUMBER(INDEX('Call accounts and MMFs'!$E:$E,ROW())),1,0)</f>
        <v/>
      </c>
      <c r="Q1767">
        <f>TRIM(SUBSTITUTE(INDEX('Pooled funds'!$B:$B,ROW())&amp;""," "," "))</f>
        <v/>
      </c>
      <c r="R1767">
        <f>IFERROR(--INDEX('Pooled funds'!$C:$C,ROW()),0)</f>
        <v/>
      </c>
      <c r="S1767">
        <f>IFERROR(--INDEX('Pooled funds'!$D:$D,ROW()),0)</f>
        <v/>
      </c>
      <c r="T1767">
        <f>IFERROR(IF(--INDEX('Pooled funds'!$E:$E,ROW())&gt;=1,--INDEX('Pooled funds'!$E:$E,ROW())/100,--INDEX('Pooled funds'!$E:$E,ROW())),0)</f>
        <v/>
      </c>
      <c r="U1767">
        <f>IF(ISNUMBER(INDEX('Pooled funds'!$E:$E,ROW())),1,0)</f>
        <v/>
      </c>
    </row>
    <row r="1768">
      <c r="A1768">
        <f>TRIM(SUBSTITUTE(INDEX('Term investments'!$A:$A,ROW())&amp;""," "," "))</f>
        <v/>
      </c>
      <c r="B1768">
        <f>TRIM(SUBSTITUTE(INDEX('Term investments'!$B:$B,ROW())&amp;""," "," "))</f>
        <v/>
      </c>
      <c r="C1768">
        <f>TRIM(SUBSTITUTE(INDEX('Term investments'!$C:$C,ROW())&amp;""," "," "))</f>
        <v/>
      </c>
      <c r="D1768">
        <f>IFERROR(--INDEX('Term investments'!$D:$D,ROW()),0)</f>
        <v/>
      </c>
      <c r="E1768">
        <f>IFERROR(--INDEX('Term investments'!$E:$E,ROW()),0)</f>
        <v/>
      </c>
      <c r="F1768">
        <f>IFERROR(--INDEX('Term investments'!$F:$F,ROW()),0)</f>
        <v/>
      </c>
      <c r="G1768">
        <f>IFERROR(IF(--INDEX('Term investments'!$G:$G,ROW())&gt;=1,--INDEX('Term investments'!$G:$G,ROW())/100,--INDEX('Term investments'!$G:$G,ROW())),0)</f>
        <v/>
      </c>
      <c r="H1768">
        <f>IFERROR(--INDEX('Term investments'!$H:$H,ROW()),0)</f>
        <v/>
      </c>
      <c r="I1768">
        <f>IF(ISNUMBER(INDEX('Term investments'!$G:$G,ROW())),1,0)</f>
        <v/>
      </c>
      <c r="J1768">
        <f>TRIM(SUBSTITUTE(INDEX('Call accounts and MMFs'!$A:$A,ROW())&amp;""," "," "))</f>
        <v/>
      </c>
      <c r="K1768">
        <f>TRIM(SUBSTITUTE(INDEX('Call accounts and MMFs'!$B:$B,ROW())&amp;""," "," "))</f>
        <v/>
      </c>
      <c r="L1768">
        <f>TRIM(SUBSTITUTE(INDEX('Call accounts and MMFs'!$C:$C,ROW())&amp;""," "," "))</f>
        <v/>
      </c>
      <c r="M1768">
        <f>IFERROR(--INDEX('Call accounts and MMFs'!$D:$D,ROW()),0)</f>
        <v/>
      </c>
      <c r="N1768">
        <f>IFERROR(IF(--INDEX('Call accounts and MMFs'!$E:$E,ROW())&gt;=1,--INDEX('Call accounts and MMFs'!$E:$E,ROW())/100,--INDEX('Call accounts and MMFs'!$E:$E,ROW())),0)</f>
        <v/>
      </c>
      <c r="O1768">
        <f>IFERROR(--INDEX('Call accounts and MMFs'!$F:$F,ROW()),0)</f>
        <v/>
      </c>
      <c r="P1768">
        <f>IF(ISNUMBER(INDEX('Call accounts and MMFs'!$E:$E,ROW())),1,0)</f>
        <v/>
      </c>
      <c r="Q1768">
        <f>TRIM(SUBSTITUTE(INDEX('Pooled funds'!$B:$B,ROW())&amp;""," "," "))</f>
        <v/>
      </c>
      <c r="R1768">
        <f>IFERROR(--INDEX('Pooled funds'!$C:$C,ROW()),0)</f>
        <v/>
      </c>
      <c r="S1768">
        <f>IFERROR(--INDEX('Pooled funds'!$D:$D,ROW()),0)</f>
        <v/>
      </c>
      <c r="T1768">
        <f>IFERROR(IF(--INDEX('Pooled funds'!$E:$E,ROW())&gt;=1,--INDEX('Pooled funds'!$E:$E,ROW())/100,--INDEX('Pooled funds'!$E:$E,ROW())),0)</f>
        <v/>
      </c>
      <c r="U1768">
        <f>IF(ISNUMBER(INDEX('Pooled funds'!$E:$E,ROW())),1,0)</f>
        <v/>
      </c>
    </row>
    <row r="1769">
      <c r="A1769">
        <f>TRIM(SUBSTITUTE(INDEX('Term investments'!$A:$A,ROW())&amp;""," "," "))</f>
        <v/>
      </c>
      <c r="B1769">
        <f>TRIM(SUBSTITUTE(INDEX('Term investments'!$B:$B,ROW())&amp;""," "," "))</f>
        <v/>
      </c>
      <c r="C1769">
        <f>TRIM(SUBSTITUTE(INDEX('Term investments'!$C:$C,ROW())&amp;""," "," "))</f>
        <v/>
      </c>
      <c r="D1769">
        <f>IFERROR(--INDEX('Term investments'!$D:$D,ROW()),0)</f>
        <v/>
      </c>
      <c r="E1769">
        <f>IFERROR(--INDEX('Term investments'!$E:$E,ROW()),0)</f>
        <v/>
      </c>
      <c r="F1769">
        <f>IFERROR(--INDEX('Term investments'!$F:$F,ROW()),0)</f>
        <v/>
      </c>
      <c r="G1769">
        <f>IFERROR(IF(--INDEX('Term investments'!$G:$G,ROW())&gt;=1,--INDEX('Term investments'!$G:$G,ROW())/100,--INDEX('Term investments'!$G:$G,ROW())),0)</f>
        <v/>
      </c>
      <c r="H1769">
        <f>IFERROR(--INDEX('Term investments'!$H:$H,ROW()),0)</f>
        <v/>
      </c>
      <c r="I1769">
        <f>IF(ISNUMBER(INDEX('Term investments'!$G:$G,ROW())),1,0)</f>
        <v/>
      </c>
      <c r="J1769">
        <f>TRIM(SUBSTITUTE(INDEX('Call accounts and MMFs'!$A:$A,ROW())&amp;""," "," "))</f>
        <v/>
      </c>
      <c r="K1769">
        <f>TRIM(SUBSTITUTE(INDEX('Call accounts and MMFs'!$B:$B,ROW())&amp;""," "," "))</f>
        <v/>
      </c>
      <c r="L1769">
        <f>TRIM(SUBSTITUTE(INDEX('Call accounts and MMFs'!$C:$C,ROW())&amp;""," "," "))</f>
        <v/>
      </c>
      <c r="M1769">
        <f>IFERROR(--INDEX('Call accounts and MMFs'!$D:$D,ROW()),0)</f>
        <v/>
      </c>
      <c r="N1769">
        <f>IFERROR(IF(--INDEX('Call accounts and MMFs'!$E:$E,ROW())&gt;=1,--INDEX('Call accounts and MMFs'!$E:$E,ROW())/100,--INDEX('Call accounts and MMFs'!$E:$E,ROW())),0)</f>
        <v/>
      </c>
      <c r="O1769">
        <f>IFERROR(--INDEX('Call accounts and MMFs'!$F:$F,ROW()),0)</f>
        <v/>
      </c>
      <c r="P1769">
        <f>IF(ISNUMBER(INDEX('Call accounts and MMFs'!$E:$E,ROW())),1,0)</f>
        <v/>
      </c>
      <c r="Q1769">
        <f>TRIM(SUBSTITUTE(INDEX('Pooled funds'!$B:$B,ROW())&amp;""," "," "))</f>
        <v/>
      </c>
      <c r="R1769">
        <f>IFERROR(--INDEX('Pooled funds'!$C:$C,ROW()),0)</f>
        <v/>
      </c>
      <c r="S1769">
        <f>IFERROR(--INDEX('Pooled funds'!$D:$D,ROW()),0)</f>
        <v/>
      </c>
      <c r="T1769">
        <f>IFERROR(IF(--INDEX('Pooled funds'!$E:$E,ROW())&gt;=1,--INDEX('Pooled funds'!$E:$E,ROW())/100,--INDEX('Pooled funds'!$E:$E,ROW())),0)</f>
        <v/>
      </c>
      <c r="U1769">
        <f>IF(ISNUMBER(INDEX('Pooled funds'!$E:$E,ROW())),1,0)</f>
        <v/>
      </c>
    </row>
    <row r="1770">
      <c r="A1770">
        <f>TRIM(SUBSTITUTE(INDEX('Term investments'!$A:$A,ROW())&amp;""," "," "))</f>
        <v/>
      </c>
      <c r="B1770">
        <f>TRIM(SUBSTITUTE(INDEX('Term investments'!$B:$B,ROW())&amp;""," "," "))</f>
        <v/>
      </c>
      <c r="C1770">
        <f>TRIM(SUBSTITUTE(INDEX('Term investments'!$C:$C,ROW())&amp;""," "," "))</f>
        <v/>
      </c>
      <c r="D1770">
        <f>IFERROR(--INDEX('Term investments'!$D:$D,ROW()),0)</f>
        <v/>
      </c>
      <c r="E1770">
        <f>IFERROR(--INDEX('Term investments'!$E:$E,ROW()),0)</f>
        <v/>
      </c>
      <c r="F1770">
        <f>IFERROR(--INDEX('Term investments'!$F:$F,ROW()),0)</f>
        <v/>
      </c>
      <c r="G1770">
        <f>IFERROR(IF(--INDEX('Term investments'!$G:$G,ROW())&gt;=1,--INDEX('Term investments'!$G:$G,ROW())/100,--INDEX('Term investments'!$G:$G,ROW())),0)</f>
        <v/>
      </c>
      <c r="H1770">
        <f>IFERROR(--INDEX('Term investments'!$H:$H,ROW()),0)</f>
        <v/>
      </c>
      <c r="I1770">
        <f>IF(ISNUMBER(INDEX('Term investments'!$G:$G,ROW())),1,0)</f>
        <v/>
      </c>
      <c r="J1770">
        <f>TRIM(SUBSTITUTE(INDEX('Call accounts and MMFs'!$A:$A,ROW())&amp;""," "," "))</f>
        <v/>
      </c>
      <c r="K1770">
        <f>TRIM(SUBSTITUTE(INDEX('Call accounts and MMFs'!$B:$B,ROW())&amp;""," "," "))</f>
        <v/>
      </c>
      <c r="L1770">
        <f>TRIM(SUBSTITUTE(INDEX('Call accounts and MMFs'!$C:$C,ROW())&amp;""," "," "))</f>
        <v/>
      </c>
      <c r="M1770">
        <f>IFERROR(--INDEX('Call accounts and MMFs'!$D:$D,ROW()),0)</f>
        <v/>
      </c>
      <c r="N1770">
        <f>IFERROR(IF(--INDEX('Call accounts and MMFs'!$E:$E,ROW())&gt;=1,--INDEX('Call accounts and MMFs'!$E:$E,ROW())/100,--INDEX('Call accounts and MMFs'!$E:$E,ROW())),0)</f>
        <v/>
      </c>
      <c r="O1770">
        <f>IFERROR(--INDEX('Call accounts and MMFs'!$F:$F,ROW()),0)</f>
        <v/>
      </c>
      <c r="P1770">
        <f>IF(ISNUMBER(INDEX('Call accounts and MMFs'!$E:$E,ROW())),1,0)</f>
        <v/>
      </c>
      <c r="Q1770">
        <f>TRIM(SUBSTITUTE(INDEX('Pooled funds'!$B:$B,ROW())&amp;""," "," "))</f>
        <v/>
      </c>
      <c r="R1770">
        <f>IFERROR(--INDEX('Pooled funds'!$C:$C,ROW()),0)</f>
        <v/>
      </c>
      <c r="S1770">
        <f>IFERROR(--INDEX('Pooled funds'!$D:$D,ROW()),0)</f>
        <v/>
      </c>
      <c r="T1770">
        <f>IFERROR(IF(--INDEX('Pooled funds'!$E:$E,ROW())&gt;=1,--INDEX('Pooled funds'!$E:$E,ROW())/100,--INDEX('Pooled funds'!$E:$E,ROW())),0)</f>
        <v/>
      </c>
      <c r="U1770">
        <f>IF(ISNUMBER(INDEX('Pooled funds'!$E:$E,ROW())),1,0)</f>
        <v/>
      </c>
    </row>
    <row r="1771">
      <c r="A1771">
        <f>TRIM(SUBSTITUTE(INDEX('Term investments'!$A:$A,ROW())&amp;""," "," "))</f>
        <v/>
      </c>
      <c r="B1771">
        <f>TRIM(SUBSTITUTE(INDEX('Term investments'!$B:$B,ROW())&amp;""," "," "))</f>
        <v/>
      </c>
      <c r="C1771">
        <f>TRIM(SUBSTITUTE(INDEX('Term investments'!$C:$C,ROW())&amp;""," "," "))</f>
        <v/>
      </c>
      <c r="D1771">
        <f>IFERROR(--INDEX('Term investments'!$D:$D,ROW()),0)</f>
        <v/>
      </c>
      <c r="E1771">
        <f>IFERROR(--INDEX('Term investments'!$E:$E,ROW()),0)</f>
        <v/>
      </c>
      <c r="F1771">
        <f>IFERROR(--INDEX('Term investments'!$F:$F,ROW()),0)</f>
        <v/>
      </c>
      <c r="G1771">
        <f>IFERROR(IF(--INDEX('Term investments'!$G:$G,ROW())&gt;=1,--INDEX('Term investments'!$G:$G,ROW())/100,--INDEX('Term investments'!$G:$G,ROW())),0)</f>
        <v/>
      </c>
      <c r="H1771">
        <f>IFERROR(--INDEX('Term investments'!$H:$H,ROW()),0)</f>
        <v/>
      </c>
      <c r="I1771">
        <f>IF(ISNUMBER(INDEX('Term investments'!$G:$G,ROW())),1,0)</f>
        <v/>
      </c>
      <c r="J1771">
        <f>TRIM(SUBSTITUTE(INDEX('Call accounts and MMFs'!$A:$A,ROW())&amp;""," "," "))</f>
        <v/>
      </c>
      <c r="K1771">
        <f>TRIM(SUBSTITUTE(INDEX('Call accounts and MMFs'!$B:$B,ROW())&amp;""," "," "))</f>
        <v/>
      </c>
      <c r="L1771">
        <f>TRIM(SUBSTITUTE(INDEX('Call accounts and MMFs'!$C:$C,ROW())&amp;""," "," "))</f>
        <v/>
      </c>
      <c r="M1771">
        <f>IFERROR(--INDEX('Call accounts and MMFs'!$D:$D,ROW()),0)</f>
        <v/>
      </c>
      <c r="N1771">
        <f>IFERROR(IF(--INDEX('Call accounts and MMFs'!$E:$E,ROW())&gt;=1,--INDEX('Call accounts and MMFs'!$E:$E,ROW())/100,--INDEX('Call accounts and MMFs'!$E:$E,ROW())),0)</f>
        <v/>
      </c>
      <c r="O1771">
        <f>IFERROR(--INDEX('Call accounts and MMFs'!$F:$F,ROW()),0)</f>
        <v/>
      </c>
      <c r="P1771">
        <f>IF(ISNUMBER(INDEX('Call accounts and MMFs'!$E:$E,ROW())),1,0)</f>
        <v/>
      </c>
      <c r="Q1771">
        <f>TRIM(SUBSTITUTE(INDEX('Pooled funds'!$B:$B,ROW())&amp;""," "," "))</f>
        <v/>
      </c>
      <c r="R1771">
        <f>IFERROR(--INDEX('Pooled funds'!$C:$C,ROW()),0)</f>
        <v/>
      </c>
      <c r="S1771">
        <f>IFERROR(--INDEX('Pooled funds'!$D:$D,ROW()),0)</f>
        <v/>
      </c>
      <c r="T1771">
        <f>IFERROR(IF(--INDEX('Pooled funds'!$E:$E,ROW())&gt;=1,--INDEX('Pooled funds'!$E:$E,ROW())/100,--INDEX('Pooled funds'!$E:$E,ROW())),0)</f>
        <v/>
      </c>
      <c r="U1771">
        <f>IF(ISNUMBER(INDEX('Pooled funds'!$E:$E,ROW())),1,0)</f>
        <v/>
      </c>
    </row>
    <row r="1772">
      <c r="A1772">
        <f>TRIM(SUBSTITUTE(INDEX('Term investments'!$A:$A,ROW())&amp;""," "," "))</f>
        <v/>
      </c>
      <c r="B1772">
        <f>TRIM(SUBSTITUTE(INDEX('Term investments'!$B:$B,ROW())&amp;""," "," "))</f>
        <v/>
      </c>
      <c r="C1772">
        <f>TRIM(SUBSTITUTE(INDEX('Term investments'!$C:$C,ROW())&amp;""," "," "))</f>
        <v/>
      </c>
      <c r="D1772">
        <f>IFERROR(--INDEX('Term investments'!$D:$D,ROW()),0)</f>
        <v/>
      </c>
      <c r="E1772">
        <f>IFERROR(--INDEX('Term investments'!$E:$E,ROW()),0)</f>
        <v/>
      </c>
      <c r="F1772">
        <f>IFERROR(--INDEX('Term investments'!$F:$F,ROW()),0)</f>
        <v/>
      </c>
      <c r="G1772">
        <f>IFERROR(IF(--INDEX('Term investments'!$G:$G,ROW())&gt;=1,--INDEX('Term investments'!$G:$G,ROW())/100,--INDEX('Term investments'!$G:$G,ROW())),0)</f>
        <v/>
      </c>
      <c r="H1772">
        <f>IFERROR(--INDEX('Term investments'!$H:$H,ROW()),0)</f>
        <v/>
      </c>
      <c r="I1772">
        <f>IF(ISNUMBER(INDEX('Term investments'!$G:$G,ROW())),1,0)</f>
        <v/>
      </c>
      <c r="J1772">
        <f>TRIM(SUBSTITUTE(INDEX('Call accounts and MMFs'!$A:$A,ROW())&amp;""," "," "))</f>
        <v/>
      </c>
      <c r="K1772">
        <f>TRIM(SUBSTITUTE(INDEX('Call accounts and MMFs'!$B:$B,ROW())&amp;""," "," "))</f>
        <v/>
      </c>
      <c r="L1772">
        <f>TRIM(SUBSTITUTE(INDEX('Call accounts and MMFs'!$C:$C,ROW())&amp;""," "," "))</f>
        <v/>
      </c>
      <c r="M1772">
        <f>IFERROR(--INDEX('Call accounts and MMFs'!$D:$D,ROW()),0)</f>
        <v/>
      </c>
      <c r="N1772">
        <f>IFERROR(IF(--INDEX('Call accounts and MMFs'!$E:$E,ROW())&gt;=1,--INDEX('Call accounts and MMFs'!$E:$E,ROW())/100,--INDEX('Call accounts and MMFs'!$E:$E,ROW())),0)</f>
        <v/>
      </c>
      <c r="O1772">
        <f>IFERROR(--INDEX('Call accounts and MMFs'!$F:$F,ROW()),0)</f>
        <v/>
      </c>
      <c r="P1772">
        <f>IF(ISNUMBER(INDEX('Call accounts and MMFs'!$E:$E,ROW())),1,0)</f>
        <v/>
      </c>
      <c r="Q1772">
        <f>TRIM(SUBSTITUTE(INDEX('Pooled funds'!$B:$B,ROW())&amp;""," "," "))</f>
        <v/>
      </c>
      <c r="R1772">
        <f>IFERROR(--INDEX('Pooled funds'!$C:$C,ROW()),0)</f>
        <v/>
      </c>
      <c r="S1772">
        <f>IFERROR(--INDEX('Pooled funds'!$D:$D,ROW()),0)</f>
        <v/>
      </c>
      <c r="T1772">
        <f>IFERROR(IF(--INDEX('Pooled funds'!$E:$E,ROW())&gt;=1,--INDEX('Pooled funds'!$E:$E,ROW())/100,--INDEX('Pooled funds'!$E:$E,ROW())),0)</f>
        <v/>
      </c>
      <c r="U1772">
        <f>IF(ISNUMBER(INDEX('Pooled funds'!$E:$E,ROW())),1,0)</f>
        <v/>
      </c>
    </row>
    <row r="1773">
      <c r="A1773">
        <f>TRIM(SUBSTITUTE(INDEX('Term investments'!$A:$A,ROW())&amp;""," "," "))</f>
        <v/>
      </c>
      <c r="B1773">
        <f>TRIM(SUBSTITUTE(INDEX('Term investments'!$B:$B,ROW())&amp;""," "," "))</f>
        <v/>
      </c>
      <c r="C1773">
        <f>TRIM(SUBSTITUTE(INDEX('Term investments'!$C:$C,ROW())&amp;""," "," "))</f>
        <v/>
      </c>
      <c r="D1773">
        <f>IFERROR(--INDEX('Term investments'!$D:$D,ROW()),0)</f>
        <v/>
      </c>
      <c r="E1773">
        <f>IFERROR(--INDEX('Term investments'!$E:$E,ROW()),0)</f>
        <v/>
      </c>
      <c r="F1773">
        <f>IFERROR(--INDEX('Term investments'!$F:$F,ROW()),0)</f>
        <v/>
      </c>
      <c r="G1773">
        <f>IFERROR(IF(--INDEX('Term investments'!$G:$G,ROW())&gt;=1,--INDEX('Term investments'!$G:$G,ROW())/100,--INDEX('Term investments'!$G:$G,ROW())),0)</f>
        <v/>
      </c>
      <c r="H1773">
        <f>IFERROR(--INDEX('Term investments'!$H:$H,ROW()),0)</f>
        <v/>
      </c>
      <c r="I1773">
        <f>IF(ISNUMBER(INDEX('Term investments'!$G:$G,ROW())),1,0)</f>
        <v/>
      </c>
      <c r="J1773">
        <f>TRIM(SUBSTITUTE(INDEX('Call accounts and MMFs'!$A:$A,ROW())&amp;""," "," "))</f>
        <v/>
      </c>
      <c r="K1773">
        <f>TRIM(SUBSTITUTE(INDEX('Call accounts and MMFs'!$B:$B,ROW())&amp;""," "," "))</f>
        <v/>
      </c>
      <c r="L1773">
        <f>TRIM(SUBSTITUTE(INDEX('Call accounts and MMFs'!$C:$C,ROW())&amp;""," "," "))</f>
        <v/>
      </c>
      <c r="M1773">
        <f>IFERROR(--INDEX('Call accounts and MMFs'!$D:$D,ROW()),0)</f>
        <v/>
      </c>
      <c r="N1773">
        <f>IFERROR(IF(--INDEX('Call accounts and MMFs'!$E:$E,ROW())&gt;=1,--INDEX('Call accounts and MMFs'!$E:$E,ROW())/100,--INDEX('Call accounts and MMFs'!$E:$E,ROW())),0)</f>
        <v/>
      </c>
      <c r="O1773">
        <f>IFERROR(--INDEX('Call accounts and MMFs'!$F:$F,ROW()),0)</f>
        <v/>
      </c>
      <c r="P1773">
        <f>IF(ISNUMBER(INDEX('Call accounts and MMFs'!$E:$E,ROW())),1,0)</f>
        <v/>
      </c>
      <c r="Q1773">
        <f>TRIM(SUBSTITUTE(INDEX('Pooled funds'!$B:$B,ROW())&amp;""," "," "))</f>
        <v/>
      </c>
      <c r="R1773">
        <f>IFERROR(--INDEX('Pooled funds'!$C:$C,ROW()),0)</f>
        <v/>
      </c>
      <c r="S1773">
        <f>IFERROR(--INDEX('Pooled funds'!$D:$D,ROW()),0)</f>
        <v/>
      </c>
      <c r="T1773">
        <f>IFERROR(IF(--INDEX('Pooled funds'!$E:$E,ROW())&gt;=1,--INDEX('Pooled funds'!$E:$E,ROW())/100,--INDEX('Pooled funds'!$E:$E,ROW())),0)</f>
        <v/>
      </c>
      <c r="U1773">
        <f>IF(ISNUMBER(INDEX('Pooled funds'!$E:$E,ROW())),1,0)</f>
        <v/>
      </c>
    </row>
    <row r="1774">
      <c r="A1774">
        <f>TRIM(SUBSTITUTE(INDEX('Term investments'!$A:$A,ROW())&amp;""," "," "))</f>
        <v/>
      </c>
      <c r="B1774">
        <f>TRIM(SUBSTITUTE(INDEX('Term investments'!$B:$B,ROW())&amp;""," "," "))</f>
        <v/>
      </c>
      <c r="C1774">
        <f>TRIM(SUBSTITUTE(INDEX('Term investments'!$C:$C,ROW())&amp;""," "," "))</f>
        <v/>
      </c>
      <c r="D1774">
        <f>IFERROR(--INDEX('Term investments'!$D:$D,ROW()),0)</f>
        <v/>
      </c>
      <c r="E1774">
        <f>IFERROR(--INDEX('Term investments'!$E:$E,ROW()),0)</f>
        <v/>
      </c>
      <c r="F1774">
        <f>IFERROR(--INDEX('Term investments'!$F:$F,ROW()),0)</f>
        <v/>
      </c>
      <c r="G1774">
        <f>IFERROR(IF(--INDEX('Term investments'!$G:$G,ROW())&gt;=1,--INDEX('Term investments'!$G:$G,ROW())/100,--INDEX('Term investments'!$G:$G,ROW())),0)</f>
        <v/>
      </c>
      <c r="H1774">
        <f>IFERROR(--INDEX('Term investments'!$H:$H,ROW()),0)</f>
        <v/>
      </c>
      <c r="I1774">
        <f>IF(ISNUMBER(INDEX('Term investments'!$G:$G,ROW())),1,0)</f>
        <v/>
      </c>
      <c r="J1774">
        <f>TRIM(SUBSTITUTE(INDEX('Call accounts and MMFs'!$A:$A,ROW())&amp;""," "," "))</f>
        <v/>
      </c>
      <c r="K1774">
        <f>TRIM(SUBSTITUTE(INDEX('Call accounts and MMFs'!$B:$B,ROW())&amp;""," "," "))</f>
        <v/>
      </c>
      <c r="L1774">
        <f>TRIM(SUBSTITUTE(INDEX('Call accounts and MMFs'!$C:$C,ROW())&amp;""," "," "))</f>
        <v/>
      </c>
      <c r="M1774">
        <f>IFERROR(--INDEX('Call accounts and MMFs'!$D:$D,ROW()),0)</f>
        <v/>
      </c>
      <c r="N1774">
        <f>IFERROR(IF(--INDEX('Call accounts and MMFs'!$E:$E,ROW())&gt;=1,--INDEX('Call accounts and MMFs'!$E:$E,ROW())/100,--INDEX('Call accounts and MMFs'!$E:$E,ROW())),0)</f>
        <v/>
      </c>
      <c r="O1774">
        <f>IFERROR(--INDEX('Call accounts and MMFs'!$F:$F,ROW()),0)</f>
        <v/>
      </c>
      <c r="P1774">
        <f>IF(ISNUMBER(INDEX('Call accounts and MMFs'!$E:$E,ROW())),1,0)</f>
        <v/>
      </c>
      <c r="Q1774">
        <f>TRIM(SUBSTITUTE(INDEX('Pooled funds'!$B:$B,ROW())&amp;""," "," "))</f>
        <v/>
      </c>
      <c r="R1774">
        <f>IFERROR(--INDEX('Pooled funds'!$C:$C,ROW()),0)</f>
        <v/>
      </c>
      <c r="S1774">
        <f>IFERROR(--INDEX('Pooled funds'!$D:$D,ROW()),0)</f>
        <v/>
      </c>
      <c r="T1774">
        <f>IFERROR(IF(--INDEX('Pooled funds'!$E:$E,ROW())&gt;=1,--INDEX('Pooled funds'!$E:$E,ROW())/100,--INDEX('Pooled funds'!$E:$E,ROW())),0)</f>
        <v/>
      </c>
      <c r="U1774">
        <f>IF(ISNUMBER(INDEX('Pooled funds'!$E:$E,ROW())),1,0)</f>
        <v/>
      </c>
    </row>
    <row r="1775">
      <c r="A1775">
        <f>TRIM(SUBSTITUTE(INDEX('Term investments'!$A:$A,ROW())&amp;""," "," "))</f>
        <v/>
      </c>
      <c r="B1775">
        <f>TRIM(SUBSTITUTE(INDEX('Term investments'!$B:$B,ROW())&amp;""," "," "))</f>
        <v/>
      </c>
      <c r="C1775">
        <f>TRIM(SUBSTITUTE(INDEX('Term investments'!$C:$C,ROW())&amp;""," "," "))</f>
        <v/>
      </c>
      <c r="D1775">
        <f>IFERROR(--INDEX('Term investments'!$D:$D,ROW()),0)</f>
        <v/>
      </c>
      <c r="E1775">
        <f>IFERROR(--INDEX('Term investments'!$E:$E,ROW()),0)</f>
        <v/>
      </c>
      <c r="F1775">
        <f>IFERROR(--INDEX('Term investments'!$F:$F,ROW()),0)</f>
        <v/>
      </c>
      <c r="G1775">
        <f>IFERROR(IF(--INDEX('Term investments'!$G:$G,ROW())&gt;=1,--INDEX('Term investments'!$G:$G,ROW())/100,--INDEX('Term investments'!$G:$G,ROW())),0)</f>
        <v/>
      </c>
      <c r="H1775">
        <f>IFERROR(--INDEX('Term investments'!$H:$H,ROW()),0)</f>
        <v/>
      </c>
      <c r="I1775">
        <f>IF(ISNUMBER(INDEX('Term investments'!$G:$G,ROW())),1,0)</f>
        <v/>
      </c>
      <c r="J1775">
        <f>TRIM(SUBSTITUTE(INDEX('Call accounts and MMFs'!$A:$A,ROW())&amp;""," "," "))</f>
        <v/>
      </c>
      <c r="K1775">
        <f>TRIM(SUBSTITUTE(INDEX('Call accounts and MMFs'!$B:$B,ROW())&amp;""," "," "))</f>
        <v/>
      </c>
      <c r="L1775">
        <f>TRIM(SUBSTITUTE(INDEX('Call accounts and MMFs'!$C:$C,ROW())&amp;""," "," "))</f>
        <v/>
      </c>
      <c r="M1775">
        <f>IFERROR(--INDEX('Call accounts and MMFs'!$D:$D,ROW()),0)</f>
        <v/>
      </c>
      <c r="N1775">
        <f>IFERROR(IF(--INDEX('Call accounts and MMFs'!$E:$E,ROW())&gt;=1,--INDEX('Call accounts and MMFs'!$E:$E,ROW())/100,--INDEX('Call accounts and MMFs'!$E:$E,ROW())),0)</f>
        <v/>
      </c>
      <c r="O1775">
        <f>IFERROR(--INDEX('Call accounts and MMFs'!$F:$F,ROW()),0)</f>
        <v/>
      </c>
      <c r="P1775">
        <f>IF(ISNUMBER(INDEX('Call accounts and MMFs'!$E:$E,ROW())),1,0)</f>
        <v/>
      </c>
      <c r="Q1775">
        <f>TRIM(SUBSTITUTE(INDEX('Pooled funds'!$B:$B,ROW())&amp;""," "," "))</f>
        <v/>
      </c>
      <c r="R1775">
        <f>IFERROR(--INDEX('Pooled funds'!$C:$C,ROW()),0)</f>
        <v/>
      </c>
      <c r="S1775">
        <f>IFERROR(--INDEX('Pooled funds'!$D:$D,ROW()),0)</f>
        <v/>
      </c>
      <c r="T1775">
        <f>IFERROR(IF(--INDEX('Pooled funds'!$E:$E,ROW())&gt;=1,--INDEX('Pooled funds'!$E:$E,ROW())/100,--INDEX('Pooled funds'!$E:$E,ROW())),0)</f>
        <v/>
      </c>
      <c r="U1775">
        <f>IF(ISNUMBER(INDEX('Pooled funds'!$E:$E,ROW())),1,0)</f>
        <v/>
      </c>
    </row>
    <row r="1776">
      <c r="A1776">
        <f>TRIM(SUBSTITUTE(INDEX('Term investments'!$A:$A,ROW())&amp;""," "," "))</f>
        <v/>
      </c>
      <c r="B1776">
        <f>TRIM(SUBSTITUTE(INDEX('Term investments'!$B:$B,ROW())&amp;""," "," "))</f>
        <v/>
      </c>
      <c r="C1776">
        <f>TRIM(SUBSTITUTE(INDEX('Term investments'!$C:$C,ROW())&amp;""," "," "))</f>
        <v/>
      </c>
      <c r="D1776">
        <f>IFERROR(--INDEX('Term investments'!$D:$D,ROW()),0)</f>
        <v/>
      </c>
      <c r="E1776">
        <f>IFERROR(--INDEX('Term investments'!$E:$E,ROW()),0)</f>
        <v/>
      </c>
      <c r="F1776">
        <f>IFERROR(--INDEX('Term investments'!$F:$F,ROW()),0)</f>
        <v/>
      </c>
      <c r="G1776">
        <f>IFERROR(IF(--INDEX('Term investments'!$G:$G,ROW())&gt;=1,--INDEX('Term investments'!$G:$G,ROW())/100,--INDEX('Term investments'!$G:$G,ROW())),0)</f>
        <v/>
      </c>
      <c r="H1776">
        <f>IFERROR(--INDEX('Term investments'!$H:$H,ROW()),0)</f>
        <v/>
      </c>
      <c r="I1776">
        <f>IF(ISNUMBER(INDEX('Term investments'!$G:$G,ROW())),1,0)</f>
        <v/>
      </c>
      <c r="J1776">
        <f>TRIM(SUBSTITUTE(INDEX('Call accounts and MMFs'!$A:$A,ROW())&amp;""," "," "))</f>
        <v/>
      </c>
      <c r="K1776">
        <f>TRIM(SUBSTITUTE(INDEX('Call accounts and MMFs'!$B:$B,ROW())&amp;""," "," "))</f>
        <v/>
      </c>
      <c r="L1776">
        <f>TRIM(SUBSTITUTE(INDEX('Call accounts and MMFs'!$C:$C,ROW())&amp;""," "," "))</f>
        <v/>
      </c>
      <c r="M1776">
        <f>IFERROR(--INDEX('Call accounts and MMFs'!$D:$D,ROW()),0)</f>
        <v/>
      </c>
      <c r="N1776">
        <f>IFERROR(IF(--INDEX('Call accounts and MMFs'!$E:$E,ROW())&gt;=1,--INDEX('Call accounts and MMFs'!$E:$E,ROW())/100,--INDEX('Call accounts and MMFs'!$E:$E,ROW())),0)</f>
        <v/>
      </c>
      <c r="O1776">
        <f>IFERROR(--INDEX('Call accounts and MMFs'!$F:$F,ROW()),0)</f>
        <v/>
      </c>
      <c r="P1776">
        <f>IF(ISNUMBER(INDEX('Call accounts and MMFs'!$E:$E,ROW())),1,0)</f>
        <v/>
      </c>
      <c r="Q1776">
        <f>TRIM(SUBSTITUTE(INDEX('Pooled funds'!$B:$B,ROW())&amp;""," "," "))</f>
        <v/>
      </c>
      <c r="R1776">
        <f>IFERROR(--INDEX('Pooled funds'!$C:$C,ROW()),0)</f>
        <v/>
      </c>
      <c r="S1776">
        <f>IFERROR(--INDEX('Pooled funds'!$D:$D,ROW()),0)</f>
        <v/>
      </c>
      <c r="T1776">
        <f>IFERROR(IF(--INDEX('Pooled funds'!$E:$E,ROW())&gt;=1,--INDEX('Pooled funds'!$E:$E,ROW())/100,--INDEX('Pooled funds'!$E:$E,ROW())),0)</f>
        <v/>
      </c>
      <c r="U1776">
        <f>IF(ISNUMBER(INDEX('Pooled funds'!$E:$E,ROW())),1,0)</f>
        <v/>
      </c>
    </row>
    <row r="1777">
      <c r="A1777">
        <f>TRIM(SUBSTITUTE(INDEX('Term investments'!$A:$A,ROW())&amp;""," "," "))</f>
        <v/>
      </c>
      <c r="B1777">
        <f>TRIM(SUBSTITUTE(INDEX('Term investments'!$B:$B,ROW())&amp;""," "," "))</f>
        <v/>
      </c>
      <c r="C1777">
        <f>TRIM(SUBSTITUTE(INDEX('Term investments'!$C:$C,ROW())&amp;""," "," "))</f>
        <v/>
      </c>
      <c r="D1777">
        <f>IFERROR(--INDEX('Term investments'!$D:$D,ROW()),0)</f>
        <v/>
      </c>
      <c r="E1777">
        <f>IFERROR(--INDEX('Term investments'!$E:$E,ROW()),0)</f>
        <v/>
      </c>
      <c r="F1777">
        <f>IFERROR(--INDEX('Term investments'!$F:$F,ROW()),0)</f>
        <v/>
      </c>
      <c r="G1777">
        <f>IFERROR(IF(--INDEX('Term investments'!$G:$G,ROW())&gt;=1,--INDEX('Term investments'!$G:$G,ROW())/100,--INDEX('Term investments'!$G:$G,ROW())),0)</f>
        <v/>
      </c>
      <c r="H1777">
        <f>IFERROR(--INDEX('Term investments'!$H:$H,ROW()),0)</f>
        <v/>
      </c>
      <c r="I1777">
        <f>IF(ISNUMBER(INDEX('Term investments'!$G:$G,ROW())),1,0)</f>
        <v/>
      </c>
      <c r="J1777">
        <f>TRIM(SUBSTITUTE(INDEX('Call accounts and MMFs'!$A:$A,ROW())&amp;""," "," "))</f>
        <v/>
      </c>
      <c r="K1777">
        <f>TRIM(SUBSTITUTE(INDEX('Call accounts and MMFs'!$B:$B,ROW())&amp;""," "," "))</f>
        <v/>
      </c>
      <c r="L1777">
        <f>TRIM(SUBSTITUTE(INDEX('Call accounts and MMFs'!$C:$C,ROW())&amp;""," "," "))</f>
        <v/>
      </c>
      <c r="M1777">
        <f>IFERROR(--INDEX('Call accounts and MMFs'!$D:$D,ROW()),0)</f>
        <v/>
      </c>
      <c r="N1777">
        <f>IFERROR(IF(--INDEX('Call accounts and MMFs'!$E:$E,ROW())&gt;=1,--INDEX('Call accounts and MMFs'!$E:$E,ROW())/100,--INDEX('Call accounts and MMFs'!$E:$E,ROW())),0)</f>
        <v/>
      </c>
      <c r="O1777">
        <f>IFERROR(--INDEX('Call accounts and MMFs'!$F:$F,ROW()),0)</f>
        <v/>
      </c>
      <c r="P1777">
        <f>IF(ISNUMBER(INDEX('Call accounts and MMFs'!$E:$E,ROW())),1,0)</f>
        <v/>
      </c>
      <c r="Q1777">
        <f>TRIM(SUBSTITUTE(INDEX('Pooled funds'!$B:$B,ROW())&amp;""," "," "))</f>
        <v/>
      </c>
      <c r="R1777">
        <f>IFERROR(--INDEX('Pooled funds'!$C:$C,ROW()),0)</f>
        <v/>
      </c>
      <c r="S1777">
        <f>IFERROR(--INDEX('Pooled funds'!$D:$D,ROW()),0)</f>
        <v/>
      </c>
      <c r="T1777">
        <f>IFERROR(IF(--INDEX('Pooled funds'!$E:$E,ROW())&gt;=1,--INDEX('Pooled funds'!$E:$E,ROW())/100,--INDEX('Pooled funds'!$E:$E,ROW())),0)</f>
        <v/>
      </c>
      <c r="U1777">
        <f>IF(ISNUMBER(INDEX('Pooled funds'!$E:$E,ROW())),1,0)</f>
        <v/>
      </c>
    </row>
    <row r="1778">
      <c r="A1778">
        <f>TRIM(SUBSTITUTE(INDEX('Term investments'!$A:$A,ROW())&amp;""," "," "))</f>
        <v/>
      </c>
      <c r="B1778">
        <f>TRIM(SUBSTITUTE(INDEX('Term investments'!$B:$B,ROW())&amp;""," "," "))</f>
        <v/>
      </c>
      <c r="C1778">
        <f>TRIM(SUBSTITUTE(INDEX('Term investments'!$C:$C,ROW())&amp;""," "," "))</f>
        <v/>
      </c>
      <c r="D1778">
        <f>IFERROR(--INDEX('Term investments'!$D:$D,ROW()),0)</f>
        <v/>
      </c>
      <c r="E1778">
        <f>IFERROR(--INDEX('Term investments'!$E:$E,ROW()),0)</f>
        <v/>
      </c>
      <c r="F1778">
        <f>IFERROR(--INDEX('Term investments'!$F:$F,ROW()),0)</f>
        <v/>
      </c>
      <c r="G1778">
        <f>IFERROR(IF(--INDEX('Term investments'!$G:$G,ROW())&gt;=1,--INDEX('Term investments'!$G:$G,ROW())/100,--INDEX('Term investments'!$G:$G,ROW())),0)</f>
        <v/>
      </c>
      <c r="H1778">
        <f>IFERROR(--INDEX('Term investments'!$H:$H,ROW()),0)</f>
        <v/>
      </c>
      <c r="I1778">
        <f>IF(ISNUMBER(INDEX('Term investments'!$G:$G,ROW())),1,0)</f>
        <v/>
      </c>
      <c r="J1778">
        <f>TRIM(SUBSTITUTE(INDEX('Call accounts and MMFs'!$A:$A,ROW())&amp;""," "," "))</f>
        <v/>
      </c>
      <c r="K1778">
        <f>TRIM(SUBSTITUTE(INDEX('Call accounts and MMFs'!$B:$B,ROW())&amp;""," "," "))</f>
        <v/>
      </c>
      <c r="L1778">
        <f>TRIM(SUBSTITUTE(INDEX('Call accounts and MMFs'!$C:$C,ROW())&amp;""," "," "))</f>
        <v/>
      </c>
      <c r="M1778">
        <f>IFERROR(--INDEX('Call accounts and MMFs'!$D:$D,ROW()),0)</f>
        <v/>
      </c>
      <c r="N1778">
        <f>IFERROR(IF(--INDEX('Call accounts and MMFs'!$E:$E,ROW())&gt;=1,--INDEX('Call accounts and MMFs'!$E:$E,ROW())/100,--INDEX('Call accounts and MMFs'!$E:$E,ROW())),0)</f>
        <v/>
      </c>
      <c r="O1778">
        <f>IFERROR(--INDEX('Call accounts and MMFs'!$F:$F,ROW()),0)</f>
        <v/>
      </c>
      <c r="P1778">
        <f>IF(ISNUMBER(INDEX('Call accounts and MMFs'!$E:$E,ROW())),1,0)</f>
        <v/>
      </c>
      <c r="Q1778">
        <f>TRIM(SUBSTITUTE(INDEX('Pooled funds'!$B:$B,ROW())&amp;""," "," "))</f>
        <v/>
      </c>
      <c r="R1778">
        <f>IFERROR(--INDEX('Pooled funds'!$C:$C,ROW()),0)</f>
        <v/>
      </c>
      <c r="S1778">
        <f>IFERROR(--INDEX('Pooled funds'!$D:$D,ROW()),0)</f>
        <v/>
      </c>
      <c r="T1778">
        <f>IFERROR(IF(--INDEX('Pooled funds'!$E:$E,ROW())&gt;=1,--INDEX('Pooled funds'!$E:$E,ROW())/100,--INDEX('Pooled funds'!$E:$E,ROW())),0)</f>
        <v/>
      </c>
      <c r="U1778">
        <f>IF(ISNUMBER(INDEX('Pooled funds'!$E:$E,ROW())),1,0)</f>
        <v/>
      </c>
    </row>
    <row r="1779">
      <c r="A1779">
        <f>TRIM(SUBSTITUTE(INDEX('Term investments'!$A:$A,ROW())&amp;""," "," "))</f>
        <v/>
      </c>
      <c r="B1779">
        <f>TRIM(SUBSTITUTE(INDEX('Term investments'!$B:$B,ROW())&amp;""," "," "))</f>
        <v/>
      </c>
      <c r="C1779">
        <f>TRIM(SUBSTITUTE(INDEX('Term investments'!$C:$C,ROW())&amp;""," "," "))</f>
        <v/>
      </c>
      <c r="D1779">
        <f>IFERROR(--INDEX('Term investments'!$D:$D,ROW()),0)</f>
        <v/>
      </c>
      <c r="E1779">
        <f>IFERROR(--INDEX('Term investments'!$E:$E,ROW()),0)</f>
        <v/>
      </c>
      <c r="F1779">
        <f>IFERROR(--INDEX('Term investments'!$F:$F,ROW()),0)</f>
        <v/>
      </c>
      <c r="G1779">
        <f>IFERROR(IF(--INDEX('Term investments'!$G:$G,ROW())&gt;=1,--INDEX('Term investments'!$G:$G,ROW())/100,--INDEX('Term investments'!$G:$G,ROW())),0)</f>
        <v/>
      </c>
      <c r="H1779">
        <f>IFERROR(--INDEX('Term investments'!$H:$H,ROW()),0)</f>
        <v/>
      </c>
      <c r="I1779">
        <f>IF(ISNUMBER(INDEX('Term investments'!$G:$G,ROW())),1,0)</f>
        <v/>
      </c>
      <c r="J1779">
        <f>TRIM(SUBSTITUTE(INDEX('Call accounts and MMFs'!$A:$A,ROW())&amp;""," "," "))</f>
        <v/>
      </c>
      <c r="K1779">
        <f>TRIM(SUBSTITUTE(INDEX('Call accounts and MMFs'!$B:$B,ROW())&amp;""," "," "))</f>
        <v/>
      </c>
      <c r="L1779">
        <f>TRIM(SUBSTITUTE(INDEX('Call accounts and MMFs'!$C:$C,ROW())&amp;""," "," "))</f>
        <v/>
      </c>
      <c r="M1779">
        <f>IFERROR(--INDEX('Call accounts and MMFs'!$D:$D,ROW()),0)</f>
        <v/>
      </c>
      <c r="N1779">
        <f>IFERROR(IF(--INDEX('Call accounts and MMFs'!$E:$E,ROW())&gt;=1,--INDEX('Call accounts and MMFs'!$E:$E,ROW())/100,--INDEX('Call accounts and MMFs'!$E:$E,ROW())),0)</f>
        <v/>
      </c>
      <c r="O1779">
        <f>IFERROR(--INDEX('Call accounts and MMFs'!$F:$F,ROW()),0)</f>
        <v/>
      </c>
      <c r="P1779">
        <f>IF(ISNUMBER(INDEX('Call accounts and MMFs'!$E:$E,ROW())),1,0)</f>
        <v/>
      </c>
      <c r="Q1779">
        <f>TRIM(SUBSTITUTE(INDEX('Pooled funds'!$B:$B,ROW())&amp;""," "," "))</f>
        <v/>
      </c>
      <c r="R1779">
        <f>IFERROR(--INDEX('Pooled funds'!$C:$C,ROW()),0)</f>
        <v/>
      </c>
      <c r="S1779">
        <f>IFERROR(--INDEX('Pooled funds'!$D:$D,ROW()),0)</f>
        <v/>
      </c>
      <c r="T1779">
        <f>IFERROR(IF(--INDEX('Pooled funds'!$E:$E,ROW())&gt;=1,--INDEX('Pooled funds'!$E:$E,ROW())/100,--INDEX('Pooled funds'!$E:$E,ROW())),0)</f>
        <v/>
      </c>
      <c r="U1779">
        <f>IF(ISNUMBER(INDEX('Pooled funds'!$E:$E,ROW())),1,0)</f>
        <v/>
      </c>
    </row>
    <row r="1780">
      <c r="A1780">
        <f>TRIM(SUBSTITUTE(INDEX('Term investments'!$A:$A,ROW())&amp;""," "," "))</f>
        <v/>
      </c>
      <c r="B1780">
        <f>TRIM(SUBSTITUTE(INDEX('Term investments'!$B:$B,ROW())&amp;""," "," "))</f>
        <v/>
      </c>
      <c r="C1780">
        <f>TRIM(SUBSTITUTE(INDEX('Term investments'!$C:$C,ROW())&amp;""," "," "))</f>
        <v/>
      </c>
      <c r="D1780">
        <f>IFERROR(--INDEX('Term investments'!$D:$D,ROW()),0)</f>
        <v/>
      </c>
      <c r="E1780">
        <f>IFERROR(--INDEX('Term investments'!$E:$E,ROW()),0)</f>
        <v/>
      </c>
      <c r="F1780">
        <f>IFERROR(--INDEX('Term investments'!$F:$F,ROW()),0)</f>
        <v/>
      </c>
      <c r="G1780">
        <f>IFERROR(IF(--INDEX('Term investments'!$G:$G,ROW())&gt;=1,--INDEX('Term investments'!$G:$G,ROW())/100,--INDEX('Term investments'!$G:$G,ROW())),0)</f>
        <v/>
      </c>
      <c r="H1780">
        <f>IFERROR(--INDEX('Term investments'!$H:$H,ROW()),0)</f>
        <v/>
      </c>
      <c r="I1780">
        <f>IF(ISNUMBER(INDEX('Term investments'!$G:$G,ROW())),1,0)</f>
        <v/>
      </c>
      <c r="J1780">
        <f>TRIM(SUBSTITUTE(INDEX('Call accounts and MMFs'!$A:$A,ROW())&amp;""," "," "))</f>
        <v/>
      </c>
      <c r="K1780">
        <f>TRIM(SUBSTITUTE(INDEX('Call accounts and MMFs'!$B:$B,ROW())&amp;""," "," "))</f>
        <v/>
      </c>
      <c r="L1780">
        <f>TRIM(SUBSTITUTE(INDEX('Call accounts and MMFs'!$C:$C,ROW())&amp;""," "," "))</f>
        <v/>
      </c>
      <c r="M1780">
        <f>IFERROR(--INDEX('Call accounts and MMFs'!$D:$D,ROW()),0)</f>
        <v/>
      </c>
      <c r="N1780">
        <f>IFERROR(IF(--INDEX('Call accounts and MMFs'!$E:$E,ROW())&gt;=1,--INDEX('Call accounts and MMFs'!$E:$E,ROW())/100,--INDEX('Call accounts and MMFs'!$E:$E,ROW())),0)</f>
        <v/>
      </c>
      <c r="O1780">
        <f>IFERROR(--INDEX('Call accounts and MMFs'!$F:$F,ROW()),0)</f>
        <v/>
      </c>
      <c r="P1780">
        <f>IF(ISNUMBER(INDEX('Call accounts and MMFs'!$E:$E,ROW())),1,0)</f>
        <v/>
      </c>
      <c r="Q1780">
        <f>TRIM(SUBSTITUTE(INDEX('Pooled funds'!$B:$B,ROW())&amp;""," "," "))</f>
        <v/>
      </c>
      <c r="R1780">
        <f>IFERROR(--INDEX('Pooled funds'!$C:$C,ROW()),0)</f>
        <v/>
      </c>
      <c r="S1780">
        <f>IFERROR(--INDEX('Pooled funds'!$D:$D,ROW()),0)</f>
        <v/>
      </c>
      <c r="T1780">
        <f>IFERROR(IF(--INDEX('Pooled funds'!$E:$E,ROW())&gt;=1,--INDEX('Pooled funds'!$E:$E,ROW())/100,--INDEX('Pooled funds'!$E:$E,ROW())),0)</f>
        <v/>
      </c>
      <c r="U1780">
        <f>IF(ISNUMBER(INDEX('Pooled funds'!$E:$E,ROW())),1,0)</f>
        <v/>
      </c>
    </row>
    <row r="1781">
      <c r="A1781">
        <f>TRIM(SUBSTITUTE(INDEX('Term investments'!$A:$A,ROW())&amp;""," "," "))</f>
        <v/>
      </c>
      <c r="B1781">
        <f>TRIM(SUBSTITUTE(INDEX('Term investments'!$B:$B,ROW())&amp;""," "," "))</f>
        <v/>
      </c>
      <c r="C1781">
        <f>TRIM(SUBSTITUTE(INDEX('Term investments'!$C:$C,ROW())&amp;""," "," "))</f>
        <v/>
      </c>
      <c r="D1781">
        <f>IFERROR(--INDEX('Term investments'!$D:$D,ROW()),0)</f>
        <v/>
      </c>
      <c r="E1781">
        <f>IFERROR(--INDEX('Term investments'!$E:$E,ROW()),0)</f>
        <v/>
      </c>
      <c r="F1781">
        <f>IFERROR(--INDEX('Term investments'!$F:$F,ROW()),0)</f>
        <v/>
      </c>
      <c r="G1781">
        <f>IFERROR(IF(--INDEX('Term investments'!$G:$G,ROW())&gt;=1,--INDEX('Term investments'!$G:$G,ROW())/100,--INDEX('Term investments'!$G:$G,ROW())),0)</f>
        <v/>
      </c>
      <c r="H1781">
        <f>IFERROR(--INDEX('Term investments'!$H:$H,ROW()),0)</f>
        <v/>
      </c>
      <c r="I1781">
        <f>IF(ISNUMBER(INDEX('Term investments'!$G:$G,ROW())),1,0)</f>
        <v/>
      </c>
      <c r="J1781">
        <f>TRIM(SUBSTITUTE(INDEX('Call accounts and MMFs'!$A:$A,ROW())&amp;""," "," "))</f>
        <v/>
      </c>
      <c r="K1781">
        <f>TRIM(SUBSTITUTE(INDEX('Call accounts and MMFs'!$B:$B,ROW())&amp;""," "," "))</f>
        <v/>
      </c>
      <c r="L1781">
        <f>TRIM(SUBSTITUTE(INDEX('Call accounts and MMFs'!$C:$C,ROW())&amp;""," "," "))</f>
        <v/>
      </c>
      <c r="M1781">
        <f>IFERROR(--INDEX('Call accounts and MMFs'!$D:$D,ROW()),0)</f>
        <v/>
      </c>
      <c r="N1781">
        <f>IFERROR(IF(--INDEX('Call accounts and MMFs'!$E:$E,ROW())&gt;=1,--INDEX('Call accounts and MMFs'!$E:$E,ROW())/100,--INDEX('Call accounts and MMFs'!$E:$E,ROW())),0)</f>
        <v/>
      </c>
      <c r="O1781">
        <f>IFERROR(--INDEX('Call accounts and MMFs'!$F:$F,ROW()),0)</f>
        <v/>
      </c>
      <c r="P1781">
        <f>IF(ISNUMBER(INDEX('Call accounts and MMFs'!$E:$E,ROW())),1,0)</f>
        <v/>
      </c>
      <c r="Q1781">
        <f>TRIM(SUBSTITUTE(INDEX('Pooled funds'!$B:$B,ROW())&amp;""," "," "))</f>
        <v/>
      </c>
      <c r="R1781">
        <f>IFERROR(--INDEX('Pooled funds'!$C:$C,ROW()),0)</f>
        <v/>
      </c>
      <c r="S1781">
        <f>IFERROR(--INDEX('Pooled funds'!$D:$D,ROW()),0)</f>
        <v/>
      </c>
      <c r="T1781">
        <f>IFERROR(IF(--INDEX('Pooled funds'!$E:$E,ROW())&gt;=1,--INDEX('Pooled funds'!$E:$E,ROW())/100,--INDEX('Pooled funds'!$E:$E,ROW())),0)</f>
        <v/>
      </c>
      <c r="U1781">
        <f>IF(ISNUMBER(INDEX('Pooled funds'!$E:$E,ROW())),1,0)</f>
        <v/>
      </c>
    </row>
    <row r="1782">
      <c r="A1782">
        <f>TRIM(SUBSTITUTE(INDEX('Term investments'!$A:$A,ROW())&amp;""," "," "))</f>
        <v/>
      </c>
      <c r="B1782">
        <f>TRIM(SUBSTITUTE(INDEX('Term investments'!$B:$B,ROW())&amp;""," "," "))</f>
        <v/>
      </c>
      <c r="C1782">
        <f>TRIM(SUBSTITUTE(INDEX('Term investments'!$C:$C,ROW())&amp;""," "," "))</f>
        <v/>
      </c>
      <c r="D1782">
        <f>IFERROR(--INDEX('Term investments'!$D:$D,ROW()),0)</f>
        <v/>
      </c>
      <c r="E1782">
        <f>IFERROR(--INDEX('Term investments'!$E:$E,ROW()),0)</f>
        <v/>
      </c>
      <c r="F1782">
        <f>IFERROR(--INDEX('Term investments'!$F:$F,ROW()),0)</f>
        <v/>
      </c>
      <c r="G1782">
        <f>IFERROR(IF(--INDEX('Term investments'!$G:$G,ROW())&gt;=1,--INDEX('Term investments'!$G:$G,ROW())/100,--INDEX('Term investments'!$G:$G,ROW())),0)</f>
        <v/>
      </c>
      <c r="H1782">
        <f>IFERROR(--INDEX('Term investments'!$H:$H,ROW()),0)</f>
        <v/>
      </c>
      <c r="I1782">
        <f>IF(ISNUMBER(INDEX('Term investments'!$G:$G,ROW())),1,0)</f>
        <v/>
      </c>
      <c r="J1782">
        <f>TRIM(SUBSTITUTE(INDEX('Call accounts and MMFs'!$A:$A,ROW())&amp;""," "," "))</f>
        <v/>
      </c>
      <c r="K1782">
        <f>TRIM(SUBSTITUTE(INDEX('Call accounts and MMFs'!$B:$B,ROW())&amp;""," "," "))</f>
        <v/>
      </c>
      <c r="L1782">
        <f>TRIM(SUBSTITUTE(INDEX('Call accounts and MMFs'!$C:$C,ROW())&amp;""," "," "))</f>
        <v/>
      </c>
      <c r="M1782">
        <f>IFERROR(--INDEX('Call accounts and MMFs'!$D:$D,ROW()),0)</f>
        <v/>
      </c>
      <c r="N1782">
        <f>IFERROR(IF(--INDEX('Call accounts and MMFs'!$E:$E,ROW())&gt;=1,--INDEX('Call accounts and MMFs'!$E:$E,ROW())/100,--INDEX('Call accounts and MMFs'!$E:$E,ROW())),0)</f>
        <v/>
      </c>
      <c r="O1782">
        <f>IFERROR(--INDEX('Call accounts and MMFs'!$F:$F,ROW()),0)</f>
        <v/>
      </c>
      <c r="P1782">
        <f>IF(ISNUMBER(INDEX('Call accounts and MMFs'!$E:$E,ROW())),1,0)</f>
        <v/>
      </c>
      <c r="Q1782">
        <f>TRIM(SUBSTITUTE(INDEX('Pooled funds'!$B:$B,ROW())&amp;""," "," "))</f>
        <v/>
      </c>
      <c r="R1782">
        <f>IFERROR(--INDEX('Pooled funds'!$C:$C,ROW()),0)</f>
        <v/>
      </c>
      <c r="S1782">
        <f>IFERROR(--INDEX('Pooled funds'!$D:$D,ROW()),0)</f>
        <v/>
      </c>
      <c r="T1782">
        <f>IFERROR(IF(--INDEX('Pooled funds'!$E:$E,ROW())&gt;=1,--INDEX('Pooled funds'!$E:$E,ROW())/100,--INDEX('Pooled funds'!$E:$E,ROW())),0)</f>
        <v/>
      </c>
      <c r="U1782">
        <f>IF(ISNUMBER(INDEX('Pooled funds'!$E:$E,ROW())),1,0)</f>
        <v/>
      </c>
    </row>
    <row r="1783">
      <c r="A1783">
        <f>TRIM(SUBSTITUTE(INDEX('Term investments'!$A:$A,ROW())&amp;""," "," "))</f>
        <v/>
      </c>
      <c r="B1783">
        <f>TRIM(SUBSTITUTE(INDEX('Term investments'!$B:$B,ROW())&amp;""," "," "))</f>
        <v/>
      </c>
      <c r="C1783">
        <f>TRIM(SUBSTITUTE(INDEX('Term investments'!$C:$C,ROW())&amp;""," "," "))</f>
        <v/>
      </c>
      <c r="D1783">
        <f>IFERROR(--INDEX('Term investments'!$D:$D,ROW()),0)</f>
        <v/>
      </c>
      <c r="E1783">
        <f>IFERROR(--INDEX('Term investments'!$E:$E,ROW()),0)</f>
        <v/>
      </c>
      <c r="F1783">
        <f>IFERROR(--INDEX('Term investments'!$F:$F,ROW()),0)</f>
        <v/>
      </c>
      <c r="G1783">
        <f>IFERROR(IF(--INDEX('Term investments'!$G:$G,ROW())&gt;=1,--INDEX('Term investments'!$G:$G,ROW())/100,--INDEX('Term investments'!$G:$G,ROW())),0)</f>
        <v/>
      </c>
      <c r="H1783">
        <f>IFERROR(--INDEX('Term investments'!$H:$H,ROW()),0)</f>
        <v/>
      </c>
      <c r="I1783">
        <f>IF(ISNUMBER(INDEX('Term investments'!$G:$G,ROW())),1,0)</f>
        <v/>
      </c>
      <c r="J1783">
        <f>TRIM(SUBSTITUTE(INDEX('Call accounts and MMFs'!$A:$A,ROW())&amp;""," "," "))</f>
        <v/>
      </c>
      <c r="K1783">
        <f>TRIM(SUBSTITUTE(INDEX('Call accounts and MMFs'!$B:$B,ROW())&amp;""," "," "))</f>
        <v/>
      </c>
      <c r="L1783">
        <f>TRIM(SUBSTITUTE(INDEX('Call accounts and MMFs'!$C:$C,ROW())&amp;""," "," "))</f>
        <v/>
      </c>
      <c r="M1783">
        <f>IFERROR(--INDEX('Call accounts and MMFs'!$D:$D,ROW()),0)</f>
        <v/>
      </c>
      <c r="N1783">
        <f>IFERROR(IF(--INDEX('Call accounts and MMFs'!$E:$E,ROW())&gt;=1,--INDEX('Call accounts and MMFs'!$E:$E,ROW())/100,--INDEX('Call accounts and MMFs'!$E:$E,ROW())),0)</f>
        <v/>
      </c>
      <c r="O1783">
        <f>IFERROR(--INDEX('Call accounts and MMFs'!$F:$F,ROW()),0)</f>
        <v/>
      </c>
      <c r="P1783">
        <f>IF(ISNUMBER(INDEX('Call accounts and MMFs'!$E:$E,ROW())),1,0)</f>
        <v/>
      </c>
      <c r="Q1783">
        <f>TRIM(SUBSTITUTE(INDEX('Pooled funds'!$B:$B,ROW())&amp;""," "," "))</f>
        <v/>
      </c>
      <c r="R1783">
        <f>IFERROR(--INDEX('Pooled funds'!$C:$C,ROW()),0)</f>
        <v/>
      </c>
      <c r="S1783">
        <f>IFERROR(--INDEX('Pooled funds'!$D:$D,ROW()),0)</f>
        <v/>
      </c>
      <c r="T1783">
        <f>IFERROR(IF(--INDEX('Pooled funds'!$E:$E,ROW())&gt;=1,--INDEX('Pooled funds'!$E:$E,ROW())/100,--INDEX('Pooled funds'!$E:$E,ROW())),0)</f>
        <v/>
      </c>
      <c r="U1783">
        <f>IF(ISNUMBER(INDEX('Pooled funds'!$E:$E,ROW())),1,0)</f>
        <v/>
      </c>
    </row>
    <row r="1784">
      <c r="A1784">
        <f>TRIM(SUBSTITUTE(INDEX('Term investments'!$A:$A,ROW())&amp;""," "," "))</f>
        <v/>
      </c>
      <c r="B1784">
        <f>TRIM(SUBSTITUTE(INDEX('Term investments'!$B:$B,ROW())&amp;""," "," "))</f>
        <v/>
      </c>
      <c r="C1784">
        <f>TRIM(SUBSTITUTE(INDEX('Term investments'!$C:$C,ROW())&amp;""," "," "))</f>
        <v/>
      </c>
      <c r="D1784">
        <f>IFERROR(--INDEX('Term investments'!$D:$D,ROW()),0)</f>
        <v/>
      </c>
      <c r="E1784">
        <f>IFERROR(--INDEX('Term investments'!$E:$E,ROW()),0)</f>
        <v/>
      </c>
      <c r="F1784">
        <f>IFERROR(--INDEX('Term investments'!$F:$F,ROW()),0)</f>
        <v/>
      </c>
      <c r="G1784">
        <f>IFERROR(IF(--INDEX('Term investments'!$G:$G,ROW())&gt;=1,--INDEX('Term investments'!$G:$G,ROW())/100,--INDEX('Term investments'!$G:$G,ROW())),0)</f>
        <v/>
      </c>
      <c r="H1784">
        <f>IFERROR(--INDEX('Term investments'!$H:$H,ROW()),0)</f>
        <v/>
      </c>
      <c r="I1784">
        <f>IF(ISNUMBER(INDEX('Term investments'!$G:$G,ROW())),1,0)</f>
        <v/>
      </c>
      <c r="J1784">
        <f>TRIM(SUBSTITUTE(INDEX('Call accounts and MMFs'!$A:$A,ROW())&amp;""," "," "))</f>
        <v/>
      </c>
      <c r="K1784">
        <f>TRIM(SUBSTITUTE(INDEX('Call accounts and MMFs'!$B:$B,ROW())&amp;""," "," "))</f>
        <v/>
      </c>
      <c r="L1784">
        <f>TRIM(SUBSTITUTE(INDEX('Call accounts and MMFs'!$C:$C,ROW())&amp;""," "," "))</f>
        <v/>
      </c>
      <c r="M1784">
        <f>IFERROR(--INDEX('Call accounts and MMFs'!$D:$D,ROW()),0)</f>
        <v/>
      </c>
      <c r="N1784">
        <f>IFERROR(IF(--INDEX('Call accounts and MMFs'!$E:$E,ROW())&gt;=1,--INDEX('Call accounts and MMFs'!$E:$E,ROW())/100,--INDEX('Call accounts and MMFs'!$E:$E,ROW())),0)</f>
        <v/>
      </c>
      <c r="O1784">
        <f>IFERROR(--INDEX('Call accounts and MMFs'!$F:$F,ROW()),0)</f>
        <v/>
      </c>
      <c r="P1784">
        <f>IF(ISNUMBER(INDEX('Call accounts and MMFs'!$E:$E,ROW())),1,0)</f>
        <v/>
      </c>
      <c r="Q1784">
        <f>TRIM(SUBSTITUTE(INDEX('Pooled funds'!$B:$B,ROW())&amp;""," "," "))</f>
        <v/>
      </c>
      <c r="R1784">
        <f>IFERROR(--INDEX('Pooled funds'!$C:$C,ROW()),0)</f>
        <v/>
      </c>
      <c r="S1784">
        <f>IFERROR(--INDEX('Pooled funds'!$D:$D,ROW()),0)</f>
        <v/>
      </c>
      <c r="T1784">
        <f>IFERROR(IF(--INDEX('Pooled funds'!$E:$E,ROW())&gt;=1,--INDEX('Pooled funds'!$E:$E,ROW())/100,--INDEX('Pooled funds'!$E:$E,ROW())),0)</f>
        <v/>
      </c>
      <c r="U1784">
        <f>IF(ISNUMBER(INDEX('Pooled funds'!$E:$E,ROW())),1,0)</f>
        <v/>
      </c>
    </row>
    <row r="1785">
      <c r="A1785">
        <f>TRIM(SUBSTITUTE(INDEX('Term investments'!$A:$A,ROW())&amp;""," "," "))</f>
        <v/>
      </c>
      <c r="B1785">
        <f>TRIM(SUBSTITUTE(INDEX('Term investments'!$B:$B,ROW())&amp;""," "," "))</f>
        <v/>
      </c>
      <c r="C1785">
        <f>TRIM(SUBSTITUTE(INDEX('Term investments'!$C:$C,ROW())&amp;""," "," "))</f>
        <v/>
      </c>
      <c r="D1785">
        <f>IFERROR(--INDEX('Term investments'!$D:$D,ROW()),0)</f>
        <v/>
      </c>
      <c r="E1785">
        <f>IFERROR(--INDEX('Term investments'!$E:$E,ROW()),0)</f>
        <v/>
      </c>
      <c r="F1785">
        <f>IFERROR(--INDEX('Term investments'!$F:$F,ROW()),0)</f>
        <v/>
      </c>
      <c r="G1785">
        <f>IFERROR(IF(--INDEX('Term investments'!$G:$G,ROW())&gt;=1,--INDEX('Term investments'!$G:$G,ROW())/100,--INDEX('Term investments'!$G:$G,ROW())),0)</f>
        <v/>
      </c>
      <c r="H1785">
        <f>IFERROR(--INDEX('Term investments'!$H:$H,ROW()),0)</f>
        <v/>
      </c>
      <c r="I1785">
        <f>IF(ISNUMBER(INDEX('Term investments'!$G:$G,ROW())),1,0)</f>
        <v/>
      </c>
      <c r="J1785">
        <f>TRIM(SUBSTITUTE(INDEX('Call accounts and MMFs'!$A:$A,ROW())&amp;""," "," "))</f>
        <v/>
      </c>
      <c r="K1785">
        <f>TRIM(SUBSTITUTE(INDEX('Call accounts and MMFs'!$B:$B,ROW())&amp;""," "," "))</f>
        <v/>
      </c>
      <c r="L1785">
        <f>TRIM(SUBSTITUTE(INDEX('Call accounts and MMFs'!$C:$C,ROW())&amp;""," "," "))</f>
        <v/>
      </c>
      <c r="M1785">
        <f>IFERROR(--INDEX('Call accounts and MMFs'!$D:$D,ROW()),0)</f>
        <v/>
      </c>
      <c r="N1785">
        <f>IFERROR(IF(--INDEX('Call accounts and MMFs'!$E:$E,ROW())&gt;=1,--INDEX('Call accounts and MMFs'!$E:$E,ROW())/100,--INDEX('Call accounts and MMFs'!$E:$E,ROW())),0)</f>
        <v/>
      </c>
      <c r="O1785">
        <f>IFERROR(--INDEX('Call accounts and MMFs'!$F:$F,ROW()),0)</f>
        <v/>
      </c>
      <c r="P1785">
        <f>IF(ISNUMBER(INDEX('Call accounts and MMFs'!$E:$E,ROW())),1,0)</f>
        <v/>
      </c>
      <c r="Q1785">
        <f>TRIM(SUBSTITUTE(INDEX('Pooled funds'!$B:$B,ROW())&amp;""," "," "))</f>
        <v/>
      </c>
      <c r="R1785">
        <f>IFERROR(--INDEX('Pooled funds'!$C:$C,ROW()),0)</f>
        <v/>
      </c>
      <c r="S1785">
        <f>IFERROR(--INDEX('Pooled funds'!$D:$D,ROW()),0)</f>
        <v/>
      </c>
      <c r="T1785">
        <f>IFERROR(IF(--INDEX('Pooled funds'!$E:$E,ROW())&gt;=1,--INDEX('Pooled funds'!$E:$E,ROW())/100,--INDEX('Pooled funds'!$E:$E,ROW())),0)</f>
        <v/>
      </c>
      <c r="U1785">
        <f>IF(ISNUMBER(INDEX('Pooled funds'!$E:$E,ROW())),1,0)</f>
        <v/>
      </c>
    </row>
    <row r="1786">
      <c r="A1786">
        <f>TRIM(SUBSTITUTE(INDEX('Term investments'!$A:$A,ROW())&amp;""," "," "))</f>
        <v/>
      </c>
      <c r="B1786">
        <f>TRIM(SUBSTITUTE(INDEX('Term investments'!$B:$B,ROW())&amp;""," "," "))</f>
        <v/>
      </c>
      <c r="C1786">
        <f>TRIM(SUBSTITUTE(INDEX('Term investments'!$C:$C,ROW())&amp;""," "," "))</f>
        <v/>
      </c>
      <c r="D1786">
        <f>IFERROR(--INDEX('Term investments'!$D:$D,ROW()),0)</f>
        <v/>
      </c>
      <c r="E1786">
        <f>IFERROR(--INDEX('Term investments'!$E:$E,ROW()),0)</f>
        <v/>
      </c>
      <c r="F1786">
        <f>IFERROR(--INDEX('Term investments'!$F:$F,ROW()),0)</f>
        <v/>
      </c>
      <c r="G1786">
        <f>IFERROR(IF(--INDEX('Term investments'!$G:$G,ROW())&gt;=1,--INDEX('Term investments'!$G:$G,ROW())/100,--INDEX('Term investments'!$G:$G,ROW())),0)</f>
        <v/>
      </c>
      <c r="H1786">
        <f>IFERROR(--INDEX('Term investments'!$H:$H,ROW()),0)</f>
        <v/>
      </c>
      <c r="I1786">
        <f>IF(ISNUMBER(INDEX('Term investments'!$G:$G,ROW())),1,0)</f>
        <v/>
      </c>
      <c r="J1786">
        <f>TRIM(SUBSTITUTE(INDEX('Call accounts and MMFs'!$A:$A,ROW())&amp;""," "," "))</f>
        <v/>
      </c>
      <c r="K1786">
        <f>TRIM(SUBSTITUTE(INDEX('Call accounts and MMFs'!$B:$B,ROW())&amp;""," "," "))</f>
        <v/>
      </c>
      <c r="L1786">
        <f>TRIM(SUBSTITUTE(INDEX('Call accounts and MMFs'!$C:$C,ROW())&amp;""," "," "))</f>
        <v/>
      </c>
      <c r="M1786">
        <f>IFERROR(--INDEX('Call accounts and MMFs'!$D:$D,ROW()),0)</f>
        <v/>
      </c>
      <c r="N1786">
        <f>IFERROR(IF(--INDEX('Call accounts and MMFs'!$E:$E,ROW())&gt;=1,--INDEX('Call accounts and MMFs'!$E:$E,ROW())/100,--INDEX('Call accounts and MMFs'!$E:$E,ROW())),0)</f>
        <v/>
      </c>
      <c r="O1786">
        <f>IFERROR(--INDEX('Call accounts and MMFs'!$F:$F,ROW()),0)</f>
        <v/>
      </c>
      <c r="P1786">
        <f>IF(ISNUMBER(INDEX('Call accounts and MMFs'!$E:$E,ROW())),1,0)</f>
        <v/>
      </c>
      <c r="Q1786">
        <f>TRIM(SUBSTITUTE(INDEX('Pooled funds'!$B:$B,ROW())&amp;""," "," "))</f>
        <v/>
      </c>
      <c r="R1786">
        <f>IFERROR(--INDEX('Pooled funds'!$C:$C,ROW()),0)</f>
        <v/>
      </c>
      <c r="S1786">
        <f>IFERROR(--INDEX('Pooled funds'!$D:$D,ROW()),0)</f>
        <v/>
      </c>
      <c r="T1786">
        <f>IFERROR(IF(--INDEX('Pooled funds'!$E:$E,ROW())&gt;=1,--INDEX('Pooled funds'!$E:$E,ROW())/100,--INDEX('Pooled funds'!$E:$E,ROW())),0)</f>
        <v/>
      </c>
      <c r="U1786">
        <f>IF(ISNUMBER(INDEX('Pooled funds'!$E:$E,ROW())),1,0)</f>
        <v/>
      </c>
    </row>
    <row r="1787">
      <c r="A1787">
        <f>TRIM(SUBSTITUTE(INDEX('Term investments'!$A:$A,ROW())&amp;""," "," "))</f>
        <v/>
      </c>
      <c r="B1787">
        <f>TRIM(SUBSTITUTE(INDEX('Term investments'!$B:$B,ROW())&amp;""," "," "))</f>
        <v/>
      </c>
      <c r="C1787">
        <f>TRIM(SUBSTITUTE(INDEX('Term investments'!$C:$C,ROW())&amp;""," "," "))</f>
        <v/>
      </c>
      <c r="D1787">
        <f>IFERROR(--INDEX('Term investments'!$D:$D,ROW()),0)</f>
        <v/>
      </c>
      <c r="E1787">
        <f>IFERROR(--INDEX('Term investments'!$E:$E,ROW()),0)</f>
        <v/>
      </c>
      <c r="F1787">
        <f>IFERROR(--INDEX('Term investments'!$F:$F,ROW()),0)</f>
        <v/>
      </c>
      <c r="G1787">
        <f>IFERROR(IF(--INDEX('Term investments'!$G:$G,ROW())&gt;=1,--INDEX('Term investments'!$G:$G,ROW())/100,--INDEX('Term investments'!$G:$G,ROW())),0)</f>
        <v/>
      </c>
      <c r="H1787">
        <f>IFERROR(--INDEX('Term investments'!$H:$H,ROW()),0)</f>
        <v/>
      </c>
      <c r="I1787">
        <f>IF(ISNUMBER(INDEX('Term investments'!$G:$G,ROW())),1,0)</f>
        <v/>
      </c>
      <c r="J1787">
        <f>TRIM(SUBSTITUTE(INDEX('Call accounts and MMFs'!$A:$A,ROW())&amp;""," "," "))</f>
        <v/>
      </c>
      <c r="K1787">
        <f>TRIM(SUBSTITUTE(INDEX('Call accounts and MMFs'!$B:$B,ROW())&amp;""," "," "))</f>
        <v/>
      </c>
      <c r="L1787">
        <f>TRIM(SUBSTITUTE(INDEX('Call accounts and MMFs'!$C:$C,ROW())&amp;""," "," "))</f>
        <v/>
      </c>
      <c r="M1787">
        <f>IFERROR(--INDEX('Call accounts and MMFs'!$D:$D,ROW()),0)</f>
        <v/>
      </c>
      <c r="N1787">
        <f>IFERROR(IF(--INDEX('Call accounts and MMFs'!$E:$E,ROW())&gt;=1,--INDEX('Call accounts and MMFs'!$E:$E,ROW())/100,--INDEX('Call accounts and MMFs'!$E:$E,ROW())),0)</f>
        <v/>
      </c>
      <c r="O1787">
        <f>IFERROR(--INDEX('Call accounts and MMFs'!$F:$F,ROW()),0)</f>
        <v/>
      </c>
      <c r="P1787">
        <f>IF(ISNUMBER(INDEX('Call accounts and MMFs'!$E:$E,ROW())),1,0)</f>
        <v/>
      </c>
      <c r="Q1787">
        <f>TRIM(SUBSTITUTE(INDEX('Pooled funds'!$B:$B,ROW())&amp;""," "," "))</f>
        <v/>
      </c>
      <c r="R1787">
        <f>IFERROR(--INDEX('Pooled funds'!$C:$C,ROW()),0)</f>
        <v/>
      </c>
      <c r="S1787">
        <f>IFERROR(--INDEX('Pooled funds'!$D:$D,ROW()),0)</f>
        <v/>
      </c>
      <c r="T1787">
        <f>IFERROR(IF(--INDEX('Pooled funds'!$E:$E,ROW())&gt;=1,--INDEX('Pooled funds'!$E:$E,ROW())/100,--INDEX('Pooled funds'!$E:$E,ROW())),0)</f>
        <v/>
      </c>
      <c r="U1787">
        <f>IF(ISNUMBER(INDEX('Pooled funds'!$E:$E,ROW())),1,0)</f>
        <v/>
      </c>
    </row>
    <row r="1788">
      <c r="A1788">
        <f>TRIM(SUBSTITUTE(INDEX('Term investments'!$A:$A,ROW())&amp;""," "," "))</f>
        <v/>
      </c>
      <c r="B1788">
        <f>TRIM(SUBSTITUTE(INDEX('Term investments'!$B:$B,ROW())&amp;""," "," "))</f>
        <v/>
      </c>
      <c r="C1788">
        <f>TRIM(SUBSTITUTE(INDEX('Term investments'!$C:$C,ROW())&amp;""," "," "))</f>
        <v/>
      </c>
      <c r="D1788">
        <f>IFERROR(--INDEX('Term investments'!$D:$D,ROW()),0)</f>
        <v/>
      </c>
      <c r="E1788">
        <f>IFERROR(--INDEX('Term investments'!$E:$E,ROW()),0)</f>
        <v/>
      </c>
      <c r="F1788">
        <f>IFERROR(--INDEX('Term investments'!$F:$F,ROW()),0)</f>
        <v/>
      </c>
      <c r="G1788">
        <f>IFERROR(IF(--INDEX('Term investments'!$G:$G,ROW())&gt;=1,--INDEX('Term investments'!$G:$G,ROW())/100,--INDEX('Term investments'!$G:$G,ROW())),0)</f>
        <v/>
      </c>
      <c r="H1788">
        <f>IFERROR(--INDEX('Term investments'!$H:$H,ROW()),0)</f>
        <v/>
      </c>
      <c r="I1788">
        <f>IF(ISNUMBER(INDEX('Term investments'!$G:$G,ROW())),1,0)</f>
        <v/>
      </c>
      <c r="J1788">
        <f>TRIM(SUBSTITUTE(INDEX('Call accounts and MMFs'!$A:$A,ROW())&amp;""," "," "))</f>
        <v/>
      </c>
      <c r="K1788">
        <f>TRIM(SUBSTITUTE(INDEX('Call accounts and MMFs'!$B:$B,ROW())&amp;""," "," "))</f>
        <v/>
      </c>
      <c r="L1788">
        <f>TRIM(SUBSTITUTE(INDEX('Call accounts and MMFs'!$C:$C,ROW())&amp;""," "," "))</f>
        <v/>
      </c>
      <c r="M1788">
        <f>IFERROR(--INDEX('Call accounts and MMFs'!$D:$D,ROW()),0)</f>
        <v/>
      </c>
      <c r="N1788">
        <f>IFERROR(IF(--INDEX('Call accounts and MMFs'!$E:$E,ROW())&gt;=1,--INDEX('Call accounts and MMFs'!$E:$E,ROW())/100,--INDEX('Call accounts and MMFs'!$E:$E,ROW())),0)</f>
        <v/>
      </c>
      <c r="O1788">
        <f>IFERROR(--INDEX('Call accounts and MMFs'!$F:$F,ROW()),0)</f>
        <v/>
      </c>
      <c r="P1788">
        <f>IF(ISNUMBER(INDEX('Call accounts and MMFs'!$E:$E,ROW())),1,0)</f>
        <v/>
      </c>
      <c r="Q1788">
        <f>TRIM(SUBSTITUTE(INDEX('Pooled funds'!$B:$B,ROW())&amp;""," "," "))</f>
        <v/>
      </c>
      <c r="R1788">
        <f>IFERROR(--INDEX('Pooled funds'!$C:$C,ROW()),0)</f>
        <v/>
      </c>
      <c r="S1788">
        <f>IFERROR(--INDEX('Pooled funds'!$D:$D,ROW()),0)</f>
        <v/>
      </c>
      <c r="T1788">
        <f>IFERROR(IF(--INDEX('Pooled funds'!$E:$E,ROW())&gt;=1,--INDEX('Pooled funds'!$E:$E,ROW())/100,--INDEX('Pooled funds'!$E:$E,ROW())),0)</f>
        <v/>
      </c>
      <c r="U1788">
        <f>IF(ISNUMBER(INDEX('Pooled funds'!$E:$E,ROW())),1,0)</f>
        <v/>
      </c>
    </row>
    <row r="1789">
      <c r="A1789">
        <f>TRIM(SUBSTITUTE(INDEX('Term investments'!$A:$A,ROW())&amp;""," "," "))</f>
        <v/>
      </c>
      <c r="B1789">
        <f>TRIM(SUBSTITUTE(INDEX('Term investments'!$B:$B,ROW())&amp;""," "," "))</f>
        <v/>
      </c>
      <c r="C1789">
        <f>TRIM(SUBSTITUTE(INDEX('Term investments'!$C:$C,ROW())&amp;""," "," "))</f>
        <v/>
      </c>
      <c r="D1789">
        <f>IFERROR(--INDEX('Term investments'!$D:$D,ROW()),0)</f>
        <v/>
      </c>
      <c r="E1789">
        <f>IFERROR(--INDEX('Term investments'!$E:$E,ROW()),0)</f>
        <v/>
      </c>
      <c r="F1789">
        <f>IFERROR(--INDEX('Term investments'!$F:$F,ROW()),0)</f>
        <v/>
      </c>
      <c r="G1789">
        <f>IFERROR(IF(--INDEX('Term investments'!$G:$G,ROW())&gt;=1,--INDEX('Term investments'!$G:$G,ROW())/100,--INDEX('Term investments'!$G:$G,ROW())),0)</f>
        <v/>
      </c>
      <c r="H1789">
        <f>IFERROR(--INDEX('Term investments'!$H:$H,ROW()),0)</f>
        <v/>
      </c>
      <c r="I1789">
        <f>IF(ISNUMBER(INDEX('Term investments'!$G:$G,ROW())),1,0)</f>
        <v/>
      </c>
      <c r="J1789">
        <f>TRIM(SUBSTITUTE(INDEX('Call accounts and MMFs'!$A:$A,ROW())&amp;""," "," "))</f>
        <v/>
      </c>
      <c r="K1789">
        <f>TRIM(SUBSTITUTE(INDEX('Call accounts and MMFs'!$B:$B,ROW())&amp;""," "," "))</f>
        <v/>
      </c>
      <c r="L1789">
        <f>TRIM(SUBSTITUTE(INDEX('Call accounts and MMFs'!$C:$C,ROW())&amp;""," "," "))</f>
        <v/>
      </c>
      <c r="M1789">
        <f>IFERROR(--INDEX('Call accounts and MMFs'!$D:$D,ROW()),0)</f>
        <v/>
      </c>
      <c r="N1789">
        <f>IFERROR(IF(--INDEX('Call accounts and MMFs'!$E:$E,ROW())&gt;=1,--INDEX('Call accounts and MMFs'!$E:$E,ROW())/100,--INDEX('Call accounts and MMFs'!$E:$E,ROW())),0)</f>
        <v/>
      </c>
      <c r="O1789">
        <f>IFERROR(--INDEX('Call accounts and MMFs'!$F:$F,ROW()),0)</f>
        <v/>
      </c>
      <c r="P1789">
        <f>IF(ISNUMBER(INDEX('Call accounts and MMFs'!$E:$E,ROW())),1,0)</f>
        <v/>
      </c>
      <c r="Q1789">
        <f>TRIM(SUBSTITUTE(INDEX('Pooled funds'!$B:$B,ROW())&amp;""," "," "))</f>
        <v/>
      </c>
      <c r="R1789">
        <f>IFERROR(--INDEX('Pooled funds'!$C:$C,ROW()),0)</f>
        <v/>
      </c>
      <c r="S1789">
        <f>IFERROR(--INDEX('Pooled funds'!$D:$D,ROW()),0)</f>
        <v/>
      </c>
      <c r="T1789">
        <f>IFERROR(IF(--INDEX('Pooled funds'!$E:$E,ROW())&gt;=1,--INDEX('Pooled funds'!$E:$E,ROW())/100,--INDEX('Pooled funds'!$E:$E,ROW())),0)</f>
        <v/>
      </c>
      <c r="U1789">
        <f>IF(ISNUMBER(INDEX('Pooled funds'!$E:$E,ROW())),1,0)</f>
        <v/>
      </c>
    </row>
    <row r="1790">
      <c r="A1790">
        <f>TRIM(SUBSTITUTE(INDEX('Term investments'!$A:$A,ROW())&amp;""," "," "))</f>
        <v/>
      </c>
      <c r="B1790">
        <f>TRIM(SUBSTITUTE(INDEX('Term investments'!$B:$B,ROW())&amp;""," "," "))</f>
        <v/>
      </c>
      <c r="C1790">
        <f>TRIM(SUBSTITUTE(INDEX('Term investments'!$C:$C,ROW())&amp;""," "," "))</f>
        <v/>
      </c>
      <c r="D1790">
        <f>IFERROR(--INDEX('Term investments'!$D:$D,ROW()),0)</f>
        <v/>
      </c>
      <c r="E1790">
        <f>IFERROR(--INDEX('Term investments'!$E:$E,ROW()),0)</f>
        <v/>
      </c>
      <c r="F1790">
        <f>IFERROR(--INDEX('Term investments'!$F:$F,ROW()),0)</f>
        <v/>
      </c>
      <c r="G1790">
        <f>IFERROR(IF(--INDEX('Term investments'!$G:$G,ROW())&gt;=1,--INDEX('Term investments'!$G:$G,ROW())/100,--INDEX('Term investments'!$G:$G,ROW())),0)</f>
        <v/>
      </c>
      <c r="H1790">
        <f>IFERROR(--INDEX('Term investments'!$H:$H,ROW()),0)</f>
        <v/>
      </c>
      <c r="I1790">
        <f>IF(ISNUMBER(INDEX('Term investments'!$G:$G,ROW())),1,0)</f>
        <v/>
      </c>
      <c r="J1790">
        <f>TRIM(SUBSTITUTE(INDEX('Call accounts and MMFs'!$A:$A,ROW())&amp;""," "," "))</f>
        <v/>
      </c>
      <c r="K1790">
        <f>TRIM(SUBSTITUTE(INDEX('Call accounts and MMFs'!$B:$B,ROW())&amp;""," "," "))</f>
        <v/>
      </c>
      <c r="L1790">
        <f>TRIM(SUBSTITUTE(INDEX('Call accounts and MMFs'!$C:$C,ROW())&amp;""," "," "))</f>
        <v/>
      </c>
      <c r="M1790">
        <f>IFERROR(--INDEX('Call accounts and MMFs'!$D:$D,ROW()),0)</f>
        <v/>
      </c>
      <c r="N1790">
        <f>IFERROR(IF(--INDEX('Call accounts and MMFs'!$E:$E,ROW())&gt;=1,--INDEX('Call accounts and MMFs'!$E:$E,ROW())/100,--INDEX('Call accounts and MMFs'!$E:$E,ROW())),0)</f>
        <v/>
      </c>
      <c r="O1790">
        <f>IFERROR(--INDEX('Call accounts and MMFs'!$F:$F,ROW()),0)</f>
        <v/>
      </c>
      <c r="P1790">
        <f>IF(ISNUMBER(INDEX('Call accounts and MMFs'!$E:$E,ROW())),1,0)</f>
        <v/>
      </c>
      <c r="Q1790">
        <f>TRIM(SUBSTITUTE(INDEX('Pooled funds'!$B:$B,ROW())&amp;""," "," "))</f>
        <v/>
      </c>
      <c r="R1790">
        <f>IFERROR(--INDEX('Pooled funds'!$C:$C,ROW()),0)</f>
        <v/>
      </c>
      <c r="S1790">
        <f>IFERROR(--INDEX('Pooled funds'!$D:$D,ROW()),0)</f>
        <v/>
      </c>
      <c r="T1790">
        <f>IFERROR(IF(--INDEX('Pooled funds'!$E:$E,ROW())&gt;=1,--INDEX('Pooled funds'!$E:$E,ROW())/100,--INDEX('Pooled funds'!$E:$E,ROW())),0)</f>
        <v/>
      </c>
      <c r="U1790">
        <f>IF(ISNUMBER(INDEX('Pooled funds'!$E:$E,ROW())),1,0)</f>
        <v/>
      </c>
    </row>
    <row r="1791">
      <c r="A1791">
        <f>TRIM(SUBSTITUTE(INDEX('Term investments'!$A:$A,ROW())&amp;""," "," "))</f>
        <v/>
      </c>
      <c r="B1791">
        <f>TRIM(SUBSTITUTE(INDEX('Term investments'!$B:$B,ROW())&amp;""," "," "))</f>
        <v/>
      </c>
      <c r="C1791">
        <f>TRIM(SUBSTITUTE(INDEX('Term investments'!$C:$C,ROW())&amp;""," "," "))</f>
        <v/>
      </c>
      <c r="D1791">
        <f>IFERROR(--INDEX('Term investments'!$D:$D,ROW()),0)</f>
        <v/>
      </c>
      <c r="E1791">
        <f>IFERROR(--INDEX('Term investments'!$E:$E,ROW()),0)</f>
        <v/>
      </c>
      <c r="F1791">
        <f>IFERROR(--INDEX('Term investments'!$F:$F,ROW()),0)</f>
        <v/>
      </c>
      <c r="G1791">
        <f>IFERROR(IF(--INDEX('Term investments'!$G:$G,ROW())&gt;=1,--INDEX('Term investments'!$G:$G,ROW())/100,--INDEX('Term investments'!$G:$G,ROW())),0)</f>
        <v/>
      </c>
      <c r="H1791">
        <f>IFERROR(--INDEX('Term investments'!$H:$H,ROW()),0)</f>
        <v/>
      </c>
      <c r="I1791">
        <f>IF(ISNUMBER(INDEX('Term investments'!$G:$G,ROW())),1,0)</f>
        <v/>
      </c>
      <c r="J1791">
        <f>TRIM(SUBSTITUTE(INDEX('Call accounts and MMFs'!$A:$A,ROW())&amp;""," "," "))</f>
        <v/>
      </c>
      <c r="K1791">
        <f>TRIM(SUBSTITUTE(INDEX('Call accounts and MMFs'!$B:$B,ROW())&amp;""," "," "))</f>
        <v/>
      </c>
      <c r="L1791">
        <f>TRIM(SUBSTITUTE(INDEX('Call accounts and MMFs'!$C:$C,ROW())&amp;""," "," "))</f>
        <v/>
      </c>
      <c r="M1791">
        <f>IFERROR(--INDEX('Call accounts and MMFs'!$D:$D,ROW()),0)</f>
        <v/>
      </c>
      <c r="N1791">
        <f>IFERROR(IF(--INDEX('Call accounts and MMFs'!$E:$E,ROW())&gt;=1,--INDEX('Call accounts and MMFs'!$E:$E,ROW())/100,--INDEX('Call accounts and MMFs'!$E:$E,ROW())),0)</f>
        <v/>
      </c>
      <c r="O1791">
        <f>IFERROR(--INDEX('Call accounts and MMFs'!$F:$F,ROW()),0)</f>
        <v/>
      </c>
      <c r="P1791">
        <f>IF(ISNUMBER(INDEX('Call accounts and MMFs'!$E:$E,ROW())),1,0)</f>
        <v/>
      </c>
      <c r="Q1791">
        <f>TRIM(SUBSTITUTE(INDEX('Pooled funds'!$B:$B,ROW())&amp;""," "," "))</f>
        <v/>
      </c>
      <c r="R1791">
        <f>IFERROR(--INDEX('Pooled funds'!$C:$C,ROW()),0)</f>
        <v/>
      </c>
      <c r="S1791">
        <f>IFERROR(--INDEX('Pooled funds'!$D:$D,ROW()),0)</f>
        <v/>
      </c>
      <c r="T1791">
        <f>IFERROR(IF(--INDEX('Pooled funds'!$E:$E,ROW())&gt;=1,--INDEX('Pooled funds'!$E:$E,ROW())/100,--INDEX('Pooled funds'!$E:$E,ROW())),0)</f>
        <v/>
      </c>
      <c r="U1791">
        <f>IF(ISNUMBER(INDEX('Pooled funds'!$E:$E,ROW())),1,0)</f>
        <v/>
      </c>
    </row>
    <row r="1792">
      <c r="A1792">
        <f>TRIM(SUBSTITUTE(INDEX('Term investments'!$A:$A,ROW())&amp;""," "," "))</f>
        <v/>
      </c>
      <c r="B1792">
        <f>TRIM(SUBSTITUTE(INDEX('Term investments'!$B:$B,ROW())&amp;""," "," "))</f>
        <v/>
      </c>
      <c r="C1792">
        <f>TRIM(SUBSTITUTE(INDEX('Term investments'!$C:$C,ROW())&amp;""," "," "))</f>
        <v/>
      </c>
      <c r="D1792">
        <f>IFERROR(--INDEX('Term investments'!$D:$D,ROW()),0)</f>
        <v/>
      </c>
      <c r="E1792">
        <f>IFERROR(--INDEX('Term investments'!$E:$E,ROW()),0)</f>
        <v/>
      </c>
      <c r="F1792">
        <f>IFERROR(--INDEX('Term investments'!$F:$F,ROW()),0)</f>
        <v/>
      </c>
      <c r="G1792">
        <f>IFERROR(IF(--INDEX('Term investments'!$G:$G,ROW())&gt;=1,--INDEX('Term investments'!$G:$G,ROW())/100,--INDEX('Term investments'!$G:$G,ROW())),0)</f>
        <v/>
      </c>
      <c r="H1792">
        <f>IFERROR(--INDEX('Term investments'!$H:$H,ROW()),0)</f>
        <v/>
      </c>
      <c r="I1792">
        <f>IF(ISNUMBER(INDEX('Term investments'!$G:$G,ROW())),1,0)</f>
        <v/>
      </c>
      <c r="J1792">
        <f>TRIM(SUBSTITUTE(INDEX('Call accounts and MMFs'!$A:$A,ROW())&amp;""," "," "))</f>
        <v/>
      </c>
      <c r="K1792">
        <f>TRIM(SUBSTITUTE(INDEX('Call accounts and MMFs'!$B:$B,ROW())&amp;""," "," "))</f>
        <v/>
      </c>
      <c r="L1792">
        <f>TRIM(SUBSTITUTE(INDEX('Call accounts and MMFs'!$C:$C,ROW())&amp;""," "," "))</f>
        <v/>
      </c>
      <c r="M1792">
        <f>IFERROR(--INDEX('Call accounts and MMFs'!$D:$D,ROW()),0)</f>
        <v/>
      </c>
      <c r="N1792">
        <f>IFERROR(IF(--INDEX('Call accounts and MMFs'!$E:$E,ROW())&gt;=1,--INDEX('Call accounts and MMFs'!$E:$E,ROW())/100,--INDEX('Call accounts and MMFs'!$E:$E,ROW())),0)</f>
        <v/>
      </c>
      <c r="O1792">
        <f>IFERROR(--INDEX('Call accounts and MMFs'!$F:$F,ROW()),0)</f>
        <v/>
      </c>
      <c r="P1792">
        <f>IF(ISNUMBER(INDEX('Call accounts and MMFs'!$E:$E,ROW())),1,0)</f>
        <v/>
      </c>
      <c r="Q1792">
        <f>TRIM(SUBSTITUTE(INDEX('Pooled funds'!$B:$B,ROW())&amp;""," "," "))</f>
        <v/>
      </c>
      <c r="R1792">
        <f>IFERROR(--INDEX('Pooled funds'!$C:$C,ROW()),0)</f>
        <v/>
      </c>
      <c r="S1792">
        <f>IFERROR(--INDEX('Pooled funds'!$D:$D,ROW()),0)</f>
        <v/>
      </c>
      <c r="T1792">
        <f>IFERROR(IF(--INDEX('Pooled funds'!$E:$E,ROW())&gt;=1,--INDEX('Pooled funds'!$E:$E,ROW())/100,--INDEX('Pooled funds'!$E:$E,ROW())),0)</f>
        <v/>
      </c>
      <c r="U1792">
        <f>IF(ISNUMBER(INDEX('Pooled funds'!$E:$E,ROW())),1,0)</f>
        <v/>
      </c>
    </row>
    <row r="1793">
      <c r="A1793">
        <f>TRIM(SUBSTITUTE(INDEX('Term investments'!$A:$A,ROW())&amp;""," "," "))</f>
        <v/>
      </c>
      <c r="B1793">
        <f>TRIM(SUBSTITUTE(INDEX('Term investments'!$B:$B,ROW())&amp;""," "," "))</f>
        <v/>
      </c>
      <c r="C1793">
        <f>TRIM(SUBSTITUTE(INDEX('Term investments'!$C:$C,ROW())&amp;""," "," "))</f>
        <v/>
      </c>
      <c r="D1793">
        <f>IFERROR(--INDEX('Term investments'!$D:$D,ROW()),0)</f>
        <v/>
      </c>
      <c r="E1793">
        <f>IFERROR(--INDEX('Term investments'!$E:$E,ROW()),0)</f>
        <v/>
      </c>
      <c r="F1793">
        <f>IFERROR(--INDEX('Term investments'!$F:$F,ROW()),0)</f>
        <v/>
      </c>
      <c r="G1793">
        <f>IFERROR(IF(--INDEX('Term investments'!$G:$G,ROW())&gt;=1,--INDEX('Term investments'!$G:$G,ROW())/100,--INDEX('Term investments'!$G:$G,ROW())),0)</f>
        <v/>
      </c>
      <c r="H1793">
        <f>IFERROR(--INDEX('Term investments'!$H:$H,ROW()),0)</f>
        <v/>
      </c>
      <c r="I1793">
        <f>IF(ISNUMBER(INDEX('Term investments'!$G:$G,ROW())),1,0)</f>
        <v/>
      </c>
      <c r="J1793">
        <f>TRIM(SUBSTITUTE(INDEX('Call accounts and MMFs'!$A:$A,ROW())&amp;""," "," "))</f>
        <v/>
      </c>
      <c r="K1793">
        <f>TRIM(SUBSTITUTE(INDEX('Call accounts and MMFs'!$B:$B,ROW())&amp;""," "," "))</f>
        <v/>
      </c>
      <c r="L1793">
        <f>TRIM(SUBSTITUTE(INDEX('Call accounts and MMFs'!$C:$C,ROW())&amp;""," "," "))</f>
        <v/>
      </c>
      <c r="M1793">
        <f>IFERROR(--INDEX('Call accounts and MMFs'!$D:$D,ROW()),0)</f>
        <v/>
      </c>
      <c r="N1793">
        <f>IFERROR(IF(--INDEX('Call accounts and MMFs'!$E:$E,ROW())&gt;=1,--INDEX('Call accounts and MMFs'!$E:$E,ROW())/100,--INDEX('Call accounts and MMFs'!$E:$E,ROW())),0)</f>
        <v/>
      </c>
      <c r="O1793">
        <f>IFERROR(--INDEX('Call accounts and MMFs'!$F:$F,ROW()),0)</f>
        <v/>
      </c>
      <c r="P1793">
        <f>IF(ISNUMBER(INDEX('Call accounts and MMFs'!$E:$E,ROW())),1,0)</f>
        <v/>
      </c>
      <c r="Q1793">
        <f>TRIM(SUBSTITUTE(INDEX('Pooled funds'!$B:$B,ROW())&amp;""," "," "))</f>
        <v/>
      </c>
      <c r="R1793">
        <f>IFERROR(--INDEX('Pooled funds'!$C:$C,ROW()),0)</f>
        <v/>
      </c>
      <c r="S1793">
        <f>IFERROR(--INDEX('Pooled funds'!$D:$D,ROW()),0)</f>
        <v/>
      </c>
      <c r="T1793">
        <f>IFERROR(IF(--INDEX('Pooled funds'!$E:$E,ROW())&gt;=1,--INDEX('Pooled funds'!$E:$E,ROW())/100,--INDEX('Pooled funds'!$E:$E,ROW())),0)</f>
        <v/>
      </c>
      <c r="U1793">
        <f>IF(ISNUMBER(INDEX('Pooled funds'!$E:$E,ROW())),1,0)</f>
        <v/>
      </c>
    </row>
    <row r="1794">
      <c r="A1794">
        <f>TRIM(SUBSTITUTE(INDEX('Term investments'!$A:$A,ROW())&amp;""," "," "))</f>
        <v/>
      </c>
      <c r="B1794">
        <f>TRIM(SUBSTITUTE(INDEX('Term investments'!$B:$B,ROW())&amp;""," "," "))</f>
        <v/>
      </c>
      <c r="C1794">
        <f>TRIM(SUBSTITUTE(INDEX('Term investments'!$C:$C,ROW())&amp;""," "," "))</f>
        <v/>
      </c>
      <c r="D1794">
        <f>IFERROR(--INDEX('Term investments'!$D:$D,ROW()),0)</f>
        <v/>
      </c>
      <c r="E1794">
        <f>IFERROR(--INDEX('Term investments'!$E:$E,ROW()),0)</f>
        <v/>
      </c>
      <c r="F1794">
        <f>IFERROR(--INDEX('Term investments'!$F:$F,ROW()),0)</f>
        <v/>
      </c>
      <c r="G1794">
        <f>IFERROR(IF(--INDEX('Term investments'!$G:$G,ROW())&gt;=1,--INDEX('Term investments'!$G:$G,ROW())/100,--INDEX('Term investments'!$G:$G,ROW())),0)</f>
        <v/>
      </c>
      <c r="H1794">
        <f>IFERROR(--INDEX('Term investments'!$H:$H,ROW()),0)</f>
        <v/>
      </c>
      <c r="I1794">
        <f>IF(ISNUMBER(INDEX('Term investments'!$G:$G,ROW())),1,0)</f>
        <v/>
      </c>
      <c r="J1794">
        <f>TRIM(SUBSTITUTE(INDEX('Call accounts and MMFs'!$A:$A,ROW())&amp;""," "," "))</f>
        <v/>
      </c>
      <c r="K1794">
        <f>TRIM(SUBSTITUTE(INDEX('Call accounts and MMFs'!$B:$B,ROW())&amp;""," "," "))</f>
        <v/>
      </c>
      <c r="L1794">
        <f>TRIM(SUBSTITUTE(INDEX('Call accounts and MMFs'!$C:$C,ROW())&amp;""," "," "))</f>
        <v/>
      </c>
      <c r="M1794">
        <f>IFERROR(--INDEX('Call accounts and MMFs'!$D:$D,ROW()),0)</f>
        <v/>
      </c>
      <c r="N1794">
        <f>IFERROR(IF(--INDEX('Call accounts and MMFs'!$E:$E,ROW())&gt;=1,--INDEX('Call accounts and MMFs'!$E:$E,ROW())/100,--INDEX('Call accounts and MMFs'!$E:$E,ROW())),0)</f>
        <v/>
      </c>
      <c r="O1794">
        <f>IFERROR(--INDEX('Call accounts and MMFs'!$F:$F,ROW()),0)</f>
        <v/>
      </c>
      <c r="P1794">
        <f>IF(ISNUMBER(INDEX('Call accounts and MMFs'!$E:$E,ROW())),1,0)</f>
        <v/>
      </c>
      <c r="Q1794">
        <f>TRIM(SUBSTITUTE(INDEX('Pooled funds'!$B:$B,ROW())&amp;""," "," "))</f>
        <v/>
      </c>
      <c r="R1794">
        <f>IFERROR(--INDEX('Pooled funds'!$C:$C,ROW()),0)</f>
        <v/>
      </c>
      <c r="S1794">
        <f>IFERROR(--INDEX('Pooled funds'!$D:$D,ROW()),0)</f>
        <v/>
      </c>
      <c r="T1794">
        <f>IFERROR(IF(--INDEX('Pooled funds'!$E:$E,ROW())&gt;=1,--INDEX('Pooled funds'!$E:$E,ROW())/100,--INDEX('Pooled funds'!$E:$E,ROW())),0)</f>
        <v/>
      </c>
      <c r="U1794">
        <f>IF(ISNUMBER(INDEX('Pooled funds'!$E:$E,ROW())),1,0)</f>
        <v/>
      </c>
    </row>
    <row r="1795">
      <c r="A1795">
        <f>TRIM(SUBSTITUTE(INDEX('Term investments'!$A:$A,ROW())&amp;""," "," "))</f>
        <v/>
      </c>
      <c r="B1795">
        <f>TRIM(SUBSTITUTE(INDEX('Term investments'!$B:$B,ROW())&amp;""," "," "))</f>
        <v/>
      </c>
      <c r="C1795">
        <f>TRIM(SUBSTITUTE(INDEX('Term investments'!$C:$C,ROW())&amp;""," "," "))</f>
        <v/>
      </c>
      <c r="D1795">
        <f>IFERROR(--INDEX('Term investments'!$D:$D,ROW()),0)</f>
        <v/>
      </c>
      <c r="E1795">
        <f>IFERROR(--INDEX('Term investments'!$E:$E,ROW()),0)</f>
        <v/>
      </c>
      <c r="F1795">
        <f>IFERROR(--INDEX('Term investments'!$F:$F,ROW()),0)</f>
        <v/>
      </c>
      <c r="G1795">
        <f>IFERROR(IF(--INDEX('Term investments'!$G:$G,ROW())&gt;=1,--INDEX('Term investments'!$G:$G,ROW())/100,--INDEX('Term investments'!$G:$G,ROW())),0)</f>
        <v/>
      </c>
      <c r="H1795">
        <f>IFERROR(--INDEX('Term investments'!$H:$H,ROW()),0)</f>
        <v/>
      </c>
      <c r="I1795">
        <f>IF(ISNUMBER(INDEX('Term investments'!$G:$G,ROW())),1,0)</f>
        <v/>
      </c>
      <c r="J1795">
        <f>TRIM(SUBSTITUTE(INDEX('Call accounts and MMFs'!$A:$A,ROW())&amp;""," "," "))</f>
        <v/>
      </c>
      <c r="K1795">
        <f>TRIM(SUBSTITUTE(INDEX('Call accounts and MMFs'!$B:$B,ROW())&amp;""," "," "))</f>
        <v/>
      </c>
      <c r="L1795">
        <f>TRIM(SUBSTITUTE(INDEX('Call accounts and MMFs'!$C:$C,ROW())&amp;""," "," "))</f>
        <v/>
      </c>
      <c r="M1795">
        <f>IFERROR(--INDEX('Call accounts and MMFs'!$D:$D,ROW()),0)</f>
        <v/>
      </c>
      <c r="N1795">
        <f>IFERROR(IF(--INDEX('Call accounts and MMFs'!$E:$E,ROW())&gt;=1,--INDEX('Call accounts and MMFs'!$E:$E,ROW())/100,--INDEX('Call accounts and MMFs'!$E:$E,ROW())),0)</f>
        <v/>
      </c>
      <c r="O1795">
        <f>IFERROR(--INDEX('Call accounts and MMFs'!$F:$F,ROW()),0)</f>
        <v/>
      </c>
      <c r="P1795">
        <f>IF(ISNUMBER(INDEX('Call accounts and MMFs'!$E:$E,ROW())),1,0)</f>
        <v/>
      </c>
      <c r="Q1795">
        <f>TRIM(SUBSTITUTE(INDEX('Pooled funds'!$B:$B,ROW())&amp;""," "," "))</f>
        <v/>
      </c>
      <c r="R1795">
        <f>IFERROR(--INDEX('Pooled funds'!$C:$C,ROW()),0)</f>
        <v/>
      </c>
      <c r="S1795">
        <f>IFERROR(--INDEX('Pooled funds'!$D:$D,ROW()),0)</f>
        <v/>
      </c>
      <c r="T1795">
        <f>IFERROR(IF(--INDEX('Pooled funds'!$E:$E,ROW())&gt;=1,--INDEX('Pooled funds'!$E:$E,ROW())/100,--INDEX('Pooled funds'!$E:$E,ROW())),0)</f>
        <v/>
      </c>
      <c r="U1795">
        <f>IF(ISNUMBER(INDEX('Pooled funds'!$E:$E,ROW())),1,0)</f>
        <v/>
      </c>
    </row>
    <row r="1796">
      <c r="A1796">
        <f>TRIM(SUBSTITUTE(INDEX('Term investments'!$A:$A,ROW())&amp;""," "," "))</f>
        <v/>
      </c>
      <c r="B1796">
        <f>TRIM(SUBSTITUTE(INDEX('Term investments'!$B:$B,ROW())&amp;""," "," "))</f>
        <v/>
      </c>
      <c r="C1796">
        <f>TRIM(SUBSTITUTE(INDEX('Term investments'!$C:$C,ROW())&amp;""," "," "))</f>
        <v/>
      </c>
      <c r="D1796">
        <f>IFERROR(--INDEX('Term investments'!$D:$D,ROW()),0)</f>
        <v/>
      </c>
      <c r="E1796">
        <f>IFERROR(--INDEX('Term investments'!$E:$E,ROW()),0)</f>
        <v/>
      </c>
      <c r="F1796">
        <f>IFERROR(--INDEX('Term investments'!$F:$F,ROW()),0)</f>
        <v/>
      </c>
      <c r="G1796">
        <f>IFERROR(IF(--INDEX('Term investments'!$G:$G,ROW())&gt;=1,--INDEX('Term investments'!$G:$G,ROW())/100,--INDEX('Term investments'!$G:$G,ROW())),0)</f>
        <v/>
      </c>
      <c r="H1796">
        <f>IFERROR(--INDEX('Term investments'!$H:$H,ROW()),0)</f>
        <v/>
      </c>
      <c r="I1796">
        <f>IF(ISNUMBER(INDEX('Term investments'!$G:$G,ROW())),1,0)</f>
        <v/>
      </c>
      <c r="J1796">
        <f>TRIM(SUBSTITUTE(INDEX('Call accounts and MMFs'!$A:$A,ROW())&amp;""," "," "))</f>
        <v/>
      </c>
      <c r="K1796">
        <f>TRIM(SUBSTITUTE(INDEX('Call accounts and MMFs'!$B:$B,ROW())&amp;""," "," "))</f>
        <v/>
      </c>
      <c r="L1796">
        <f>TRIM(SUBSTITUTE(INDEX('Call accounts and MMFs'!$C:$C,ROW())&amp;""," "," "))</f>
        <v/>
      </c>
      <c r="M1796">
        <f>IFERROR(--INDEX('Call accounts and MMFs'!$D:$D,ROW()),0)</f>
        <v/>
      </c>
      <c r="N1796">
        <f>IFERROR(IF(--INDEX('Call accounts and MMFs'!$E:$E,ROW())&gt;=1,--INDEX('Call accounts and MMFs'!$E:$E,ROW())/100,--INDEX('Call accounts and MMFs'!$E:$E,ROW())),0)</f>
        <v/>
      </c>
      <c r="O1796">
        <f>IFERROR(--INDEX('Call accounts and MMFs'!$F:$F,ROW()),0)</f>
        <v/>
      </c>
      <c r="P1796">
        <f>IF(ISNUMBER(INDEX('Call accounts and MMFs'!$E:$E,ROW())),1,0)</f>
        <v/>
      </c>
      <c r="Q1796">
        <f>TRIM(SUBSTITUTE(INDEX('Pooled funds'!$B:$B,ROW())&amp;""," "," "))</f>
        <v/>
      </c>
      <c r="R1796">
        <f>IFERROR(--INDEX('Pooled funds'!$C:$C,ROW()),0)</f>
        <v/>
      </c>
      <c r="S1796">
        <f>IFERROR(--INDEX('Pooled funds'!$D:$D,ROW()),0)</f>
        <v/>
      </c>
      <c r="T1796">
        <f>IFERROR(IF(--INDEX('Pooled funds'!$E:$E,ROW())&gt;=1,--INDEX('Pooled funds'!$E:$E,ROW())/100,--INDEX('Pooled funds'!$E:$E,ROW())),0)</f>
        <v/>
      </c>
      <c r="U1796">
        <f>IF(ISNUMBER(INDEX('Pooled funds'!$E:$E,ROW())),1,0)</f>
        <v/>
      </c>
    </row>
    <row r="1797">
      <c r="A1797">
        <f>TRIM(SUBSTITUTE(INDEX('Term investments'!$A:$A,ROW())&amp;""," "," "))</f>
        <v/>
      </c>
      <c r="B1797">
        <f>TRIM(SUBSTITUTE(INDEX('Term investments'!$B:$B,ROW())&amp;""," "," "))</f>
        <v/>
      </c>
      <c r="C1797">
        <f>TRIM(SUBSTITUTE(INDEX('Term investments'!$C:$C,ROW())&amp;""," "," "))</f>
        <v/>
      </c>
      <c r="D1797">
        <f>IFERROR(--INDEX('Term investments'!$D:$D,ROW()),0)</f>
        <v/>
      </c>
      <c r="E1797">
        <f>IFERROR(--INDEX('Term investments'!$E:$E,ROW()),0)</f>
        <v/>
      </c>
      <c r="F1797">
        <f>IFERROR(--INDEX('Term investments'!$F:$F,ROW()),0)</f>
        <v/>
      </c>
      <c r="G1797">
        <f>IFERROR(IF(--INDEX('Term investments'!$G:$G,ROW())&gt;=1,--INDEX('Term investments'!$G:$G,ROW())/100,--INDEX('Term investments'!$G:$G,ROW())),0)</f>
        <v/>
      </c>
      <c r="H1797">
        <f>IFERROR(--INDEX('Term investments'!$H:$H,ROW()),0)</f>
        <v/>
      </c>
      <c r="I1797">
        <f>IF(ISNUMBER(INDEX('Term investments'!$G:$G,ROW())),1,0)</f>
        <v/>
      </c>
      <c r="J1797">
        <f>TRIM(SUBSTITUTE(INDEX('Call accounts and MMFs'!$A:$A,ROW())&amp;""," "," "))</f>
        <v/>
      </c>
      <c r="K1797">
        <f>TRIM(SUBSTITUTE(INDEX('Call accounts and MMFs'!$B:$B,ROW())&amp;""," "," "))</f>
        <v/>
      </c>
      <c r="L1797">
        <f>TRIM(SUBSTITUTE(INDEX('Call accounts and MMFs'!$C:$C,ROW())&amp;""," "," "))</f>
        <v/>
      </c>
      <c r="M1797">
        <f>IFERROR(--INDEX('Call accounts and MMFs'!$D:$D,ROW()),0)</f>
        <v/>
      </c>
      <c r="N1797">
        <f>IFERROR(IF(--INDEX('Call accounts and MMFs'!$E:$E,ROW())&gt;=1,--INDEX('Call accounts and MMFs'!$E:$E,ROW())/100,--INDEX('Call accounts and MMFs'!$E:$E,ROW())),0)</f>
        <v/>
      </c>
      <c r="O1797">
        <f>IFERROR(--INDEX('Call accounts and MMFs'!$F:$F,ROW()),0)</f>
        <v/>
      </c>
      <c r="P1797">
        <f>IF(ISNUMBER(INDEX('Call accounts and MMFs'!$E:$E,ROW())),1,0)</f>
        <v/>
      </c>
      <c r="Q1797">
        <f>TRIM(SUBSTITUTE(INDEX('Pooled funds'!$B:$B,ROW())&amp;""," "," "))</f>
        <v/>
      </c>
      <c r="R1797">
        <f>IFERROR(--INDEX('Pooled funds'!$C:$C,ROW()),0)</f>
        <v/>
      </c>
      <c r="S1797">
        <f>IFERROR(--INDEX('Pooled funds'!$D:$D,ROW()),0)</f>
        <v/>
      </c>
      <c r="T1797">
        <f>IFERROR(IF(--INDEX('Pooled funds'!$E:$E,ROW())&gt;=1,--INDEX('Pooled funds'!$E:$E,ROW())/100,--INDEX('Pooled funds'!$E:$E,ROW())),0)</f>
        <v/>
      </c>
      <c r="U1797">
        <f>IF(ISNUMBER(INDEX('Pooled funds'!$E:$E,ROW())),1,0)</f>
        <v/>
      </c>
    </row>
    <row r="1798">
      <c r="A1798">
        <f>TRIM(SUBSTITUTE(INDEX('Term investments'!$A:$A,ROW())&amp;""," "," "))</f>
        <v/>
      </c>
      <c r="B1798">
        <f>TRIM(SUBSTITUTE(INDEX('Term investments'!$B:$B,ROW())&amp;""," "," "))</f>
        <v/>
      </c>
      <c r="C1798">
        <f>TRIM(SUBSTITUTE(INDEX('Term investments'!$C:$C,ROW())&amp;""," "," "))</f>
        <v/>
      </c>
      <c r="D1798">
        <f>IFERROR(--INDEX('Term investments'!$D:$D,ROW()),0)</f>
        <v/>
      </c>
      <c r="E1798">
        <f>IFERROR(--INDEX('Term investments'!$E:$E,ROW()),0)</f>
        <v/>
      </c>
      <c r="F1798">
        <f>IFERROR(--INDEX('Term investments'!$F:$F,ROW()),0)</f>
        <v/>
      </c>
      <c r="G1798">
        <f>IFERROR(IF(--INDEX('Term investments'!$G:$G,ROW())&gt;=1,--INDEX('Term investments'!$G:$G,ROW())/100,--INDEX('Term investments'!$G:$G,ROW())),0)</f>
        <v/>
      </c>
      <c r="H1798">
        <f>IFERROR(--INDEX('Term investments'!$H:$H,ROW()),0)</f>
        <v/>
      </c>
      <c r="I1798">
        <f>IF(ISNUMBER(INDEX('Term investments'!$G:$G,ROW())),1,0)</f>
        <v/>
      </c>
      <c r="J1798">
        <f>TRIM(SUBSTITUTE(INDEX('Call accounts and MMFs'!$A:$A,ROW())&amp;""," "," "))</f>
        <v/>
      </c>
      <c r="K1798">
        <f>TRIM(SUBSTITUTE(INDEX('Call accounts and MMFs'!$B:$B,ROW())&amp;""," "," "))</f>
        <v/>
      </c>
      <c r="L1798">
        <f>TRIM(SUBSTITUTE(INDEX('Call accounts and MMFs'!$C:$C,ROW())&amp;""," "," "))</f>
        <v/>
      </c>
      <c r="M1798">
        <f>IFERROR(--INDEX('Call accounts and MMFs'!$D:$D,ROW()),0)</f>
        <v/>
      </c>
      <c r="N1798">
        <f>IFERROR(IF(--INDEX('Call accounts and MMFs'!$E:$E,ROW())&gt;=1,--INDEX('Call accounts and MMFs'!$E:$E,ROW())/100,--INDEX('Call accounts and MMFs'!$E:$E,ROW())),0)</f>
        <v/>
      </c>
      <c r="O1798">
        <f>IFERROR(--INDEX('Call accounts and MMFs'!$F:$F,ROW()),0)</f>
        <v/>
      </c>
      <c r="P1798">
        <f>IF(ISNUMBER(INDEX('Call accounts and MMFs'!$E:$E,ROW())),1,0)</f>
        <v/>
      </c>
      <c r="Q1798">
        <f>TRIM(SUBSTITUTE(INDEX('Pooled funds'!$B:$B,ROW())&amp;""," "," "))</f>
        <v/>
      </c>
      <c r="R1798">
        <f>IFERROR(--INDEX('Pooled funds'!$C:$C,ROW()),0)</f>
        <v/>
      </c>
      <c r="S1798">
        <f>IFERROR(--INDEX('Pooled funds'!$D:$D,ROW()),0)</f>
        <v/>
      </c>
      <c r="T1798">
        <f>IFERROR(IF(--INDEX('Pooled funds'!$E:$E,ROW())&gt;=1,--INDEX('Pooled funds'!$E:$E,ROW())/100,--INDEX('Pooled funds'!$E:$E,ROW())),0)</f>
        <v/>
      </c>
      <c r="U1798">
        <f>IF(ISNUMBER(INDEX('Pooled funds'!$E:$E,ROW())),1,0)</f>
        <v/>
      </c>
    </row>
    <row r="1799">
      <c r="A1799">
        <f>TRIM(SUBSTITUTE(INDEX('Term investments'!$A:$A,ROW())&amp;""," "," "))</f>
        <v/>
      </c>
      <c r="B1799">
        <f>TRIM(SUBSTITUTE(INDEX('Term investments'!$B:$B,ROW())&amp;""," "," "))</f>
        <v/>
      </c>
      <c r="C1799">
        <f>TRIM(SUBSTITUTE(INDEX('Term investments'!$C:$C,ROW())&amp;""," "," "))</f>
        <v/>
      </c>
      <c r="D1799">
        <f>IFERROR(--INDEX('Term investments'!$D:$D,ROW()),0)</f>
        <v/>
      </c>
      <c r="E1799">
        <f>IFERROR(--INDEX('Term investments'!$E:$E,ROW()),0)</f>
        <v/>
      </c>
      <c r="F1799">
        <f>IFERROR(--INDEX('Term investments'!$F:$F,ROW()),0)</f>
        <v/>
      </c>
      <c r="G1799">
        <f>IFERROR(IF(--INDEX('Term investments'!$G:$G,ROW())&gt;=1,--INDEX('Term investments'!$G:$G,ROW())/100,--INDEX('Term investments'!$G:$G,ROW())),0)</f>
        <v/>
      </c>
      <c r="H1799">
        <f>IFERROR(--INDEX('Term investments'!$H:$H,ROW()),0)</f>
        <v/>
      </c>
      <c r="I1799">
        <f>IF(ISNUMBER(INDEX('Term investments'!$G:$G,ROW())),1,0)</f>
        <v/>
      </c>
      <c r="J1799">
        <f>TRIM(SUBSTITUTE(INDEX('Call accounts and MMFs'!$A:$A,ROW())&amp;""," "," "))</f>
        <v/>
      </c>
      <c r="K1799">
        <f>TRIM(SUBSTITUTE(INDEX('Call accounts and MMFs'!$B:$B,ROW())&amp;""," "," "))</f>
        <v/>
      </c>
      <c r="L1799">
        <f>TRIM(SUBSTITUTE(INDEX('Call accounts and MMFs'!$C:$C,ROW())&amp;""," "," "))</f>
        <v/>
      </c>
      <c r="M1799">
        <f>IFERROR(--INDEX('Call accounts and MMFs'!$D:$D,ROW()),0)</f>
        <v/>
      </c>
      <c r="N1799">
        <f>IFERROR(IF(--INDEX('Call accounts and MMFs'!$E:$E,ROW())&gt;=1,--INDEX('Call accounts and MMFs'!$E:$E,ROW())/100,--INDEX('Call accounts and MMFs'!$E:$E,ROW())),0)</f>
        <v/>
      </c>
      <c r="O1799">
        <f>IFERROR(--INDEX('Call accounts and MMFs'!$F:$F,ROW()),0)</f>
        <v/>
      </c>
      <c r="P1799">
        <f>IF(ISNUMBER(INDEX('Call accounts and MMFs'!$E:$E,ROW())),1,0)</f>
        <v/>
      </c>
      <c r="Q1799">
        <f>TRIM(SUBSTITUTE(INDEX('Pooled funds'!$B:$B,ROW())&amp;""," "," "))</f>
        <v/>
      </c>
      <c r="R1799">
        <f>IFERROR(--INDEX('Pooled funds'!$C:$C,ROW()),0)</f>
        <v/>
      </c>
      <c r="S1799">
        <f>IFERROR(--INDEX('Pooled funds'!$D:$D,ROW()),0)</f>
        <v/>
      </c>
      <c r="T1799">
        <f>IFERROR(IF(--INDEX('Pooled funds'!$E:$E,ROW())&gt;=1,--INDEX('Pooled funds'!$E:$E,ROW())/100,--INDEX('Pooled funds'!$E:$E,ROW())),0)</f>
        <v/>
      </c>
      <c r="U1799">
        <f>IF(ISNUMBER(INDEX('Pooled funds'!$E:$E,ROW())),1,0)</f>
        <v/>
      </c>
    </row>
    <row r="1800">
      <c r="A1800">
        <f>TRIM(SUBSTITUTE(INDEX('Term investments'!$A:$A,ROW())&amp;""," "," "))</f>
        <v/>
      </c>
      <c r="B1800">
        <f>TRIM(SUBSTITUTE(INDEX('Term investments'!$B:$B,ROW())&amp;""," "," "))</f>
        <v/>
      </c>
      <c r="C1800">
        <f>TRIM(SUBSTITUTE(INDEX('Term investments'!$C:$C,ROW())&amp;""," "," "))</f>
        <v/>
      </c>
      <c r="D1800">
        <f>IFERROR(--INDEX('Term investments'!$D:$D,ROW()),0)</f>
        <v/>
      </c>
      <c r="E1800">
        <f>IFERROR(--INDEX('Term investments'!$E:$E,ROW()),0)</f>
        <v/>
      </c>
      <c r="F1800">
        <f>IFERROR(--INDEX('Term investments'!$F:$F,ROW()),0)</f>
        <v/>
      </c>
      <c r="G1800">
        <f>IFERROR(IF(--INDEX('Term investments'!$G:$G,ROW())&gt;=1,--INDEX('Term investments'!$G:$G,ROW())/100,--INDEX('Term investments'!$G:$G,ROW())),0)</f>
        <v/>
      </c>
      <c r="H1800">
        <f>IFERROR(--INDEX('Term investments'!$H:$H,ROW()),0)</f>
        <v/>
      </c>
      <c r="I1800">
        <f>IF(ISNUMBER(INDEX('Term investments'!$G:$G,ROW())),1,0)</f>
        <v/>
      </c>
      <c r="J1800">
        <f>TRIM(SUBSTITUTE(INDEX('Call accounts and MMFs'!$A:$A,ROW())&amp;""," "," "))</f>
        <v/>
      </c>
      <c r="K1800">
        <f>TRIM(SUBSTITUTE(INDEX('Call accounts and MMFs'!$B:$B,ROW())&amp;""," "," "))</f>
        <v/>
      </c>
      <c r="L1800">
        <f>TRIM(SUBSTITUTE(INDEX('Call accounts and MMFs'!$C:$C,ROW())&amp;""," "," "))</f>
        <v/>
      </c>
      <c r="M1800">
        <f>IFERROR(--INDEX('Call accounts and MMFs'!$D:$D,ROW()),0)</f>
        <v/>
      </c>
      <c r="N1800">
        <f>IFERROR(IF(--INDEX('Call accounts and MMFs'!$E:$E,ROW())&gt;=1,--INDEX('Call accounts and MMFs'!$E:$E,ROW())/100,--INDEX('Call accounts and MMFs'!$E:$E,ROW())),0)</f>
        <v/>
      </c>
      <c r="O1800">
        <f>IFERROR(--INDEX('Call accounts and MMFs'!$F:$F,ROW()),0)</f>
        <v/>
      </c>
      <c r="P1800">
        <f>IF(ISNUMBER(INDEX('Call accounts and MMFs'!$E:$E,ROW())),1,0)</f>
        <v/>
      </c>
      <c r="Q1800">
        <f>TRIM(SUBSTITUTE(INDEX('Pooled funds'!$B:$B,ROW())&amp;""," "," "))</f>
        <v/>
      </c>
      <c r="R1800">
        <f>IFERROR(--INDEX('Pooled funds'!$C:$C,ROW()),0)</f>
        <v/>
      </c>
      <c r="S1800">
        <f>IFERROR(--INDEX('Pooled funds'!$D:$D,ROW()),0)</f>
        <v/>
      </c>
      <c r="T1800">
        <f>IFERROR(IF(--INDEX('Pooled funds'!$E:$E,ROW())&gt;=1,--INDEX('Pooled funds'!$E:$E,ROW())/100,--INDEX('Pooled funds'!$E:$E,ROW())),0)</f>
        <v/>
      </c>
      <c r="U1800">
        <f>IF(ISNUMBER(INDEX('Pooled funds'!$E:$E,ROW())),1,0)</f>
        <v/>
      </c>
    </row>
    <row r="1801">
      <c r="A1801">
        <f>TRIM(SUBSTITUTE(INDEX('Term investments'!$A:$A,ROW())&amp;""," "," "))</f>
        <v/>
      </c>
      <c r="B1801">
        <f>TRIM(SUBSTITUTE(INDEX('Term investments'!$B:$B,ROW())&amp;""," "," "))</f>
        <v/>
      </c>
      <c r="C1801">
        <f>TRIM(SUBSTITUTE(INDEX('Term investments'!$C:$C,ROW())&amp;""," "," "))</f>
        <v/>
      </c>
      <c r="D1801">
        <f>IFERROR(--INDEX('Term investments'!$D:$D,ROW()),0)</f>
        <v/>
      </c>
      <c r="E1801">
        <f>IFERROR(--INDEX('Term investments'!$E:$E,ROW()),0)</f>
        <v/>
      </c>
      <c r="F1801">
        <f>IFERROR(--INDEX('Term investments'!$F:$F,ROW()),0)</f>
        <v/>
      </c>
      <c r="G1801">
        <f>IFERROR(IF(--INDEX('Term investments'!$G:$G,ROW())&gt;=1,--INDEX('Term investments'!$G:$G,ROW())/100,--INDEX('Term investments'!$G:$G,ROW())),0)</f>
        <v/>
      </c>
      <c r="H1801">
        <f>IFERROR(--INDEX('Term investments'!$H:$H,ROW()),0)</f>
        <v/>
      </c>
      <c r="I1801">
        <f>IF(ISNUMBER(INDEX('Term investments'!$G:$G,ROW())),1,0)</f>
        <v/>
      </c>
      <c r="J1801">
        <f>TRIM(SUBSTITUTE(INDEX('Call accounts and MMFs'!$A:$A,ROW())&amp;""," "," "))</f>
        <v/>
      </c>
      <c r="K1801">
        <f>TRIM(SUBSTITUTE(INDEX('Call accounts and MMFs'!$B:$B,ROW())&amp;""," "," "))</f>
        <v/>
      </c>
      <c r="L1801">
        <f>TRIM(SUBSTITUTE(INDEX('Call accounts and MMFs'!$C:$C,ROW())&amp;""," "," "))</f>
        <v/>
      </c>
      <c r="M1801">
        <f>IFERROR(--INDEX('Call accounts and MMFs'!$D:$D,ROW()),0)</f>
        <v/>
      </c>
      <c r="N1801">
        <f>IFERROR(IF(--INDEX('Call accounts and MMFs'!$E:$E,ROW())&gt;=1,--INDEX('Call accounts and MMFs'!$E:$E,ROW())/100,--INDEX('Call accounts and MMFs'!$E:$E,ROW())),0)</f>
        <v/>
      </c>
      <c r="O1801">
        <f>IFERROR(--INDEX('Call accounts and MMFs'!$F:$F,ROW()),0)</f>
        <v/>
      </c>
      <c r="P1801">
        <f>IF(ISNUMBER(INDEX('Call accounts and MMFs'!$E:$E,ROW())),1,0)</f>
        <v/>
      </c>
      <c r="Q1801">
        <f>TRIM(SUBSTITUTE(INDEX('Pooled funds'!$B:$B,ROW())&amp;""," "," "))</f>
        <v/>
      </c>
      <c r="R1801">
        <f>IFERROR(--INDEX('Pooled funds'!$C:$C,ROW()),0)</f>
        <v/>
      </c>
      <c r="S1801">
        <f>IFERROR(--INDEX('Pooled funds'!$D:$D,ROW()),0)</f>
        <v/>
      </c>
      <c r="T1801">
        <f>IFERROR(IF(--INDEX('Pooled funds'!$E:$E,ROW())&gt;=1,--INDEX('Pooled funds'!$E:$E,ROW())/100,--INDEX('Pooled funds'!$E:$E,ROW())),0)</f>
        <v/>
      </c>
      <c r="U1801">
        <f>IF(ISNUMBER(INDEX('Pooled funds'!$E:$E,ROW())),1,0)</f>
        <v/>
      </c>
    </row>
    <row r="1802">
      <c r="A1802">
        <f>TRIM(SUBSTITUTE(INDEX('Term investments'!$A:$A,ROW())&amp;""," "," "))</f>
        <v/>
      </c>
      <c r="B1802">
        <f>TRIM(SUBSTITUTE(INDEX('Term investments'!$B:$B,ROW())&amp;""," "," "))</f>
        <v/>
      </c>
      <c r="C1802">
        <f>TRIM(SUBSTITUTE(INDEX('Term investments'!$C:$C,ROW())&amp;""," "," "))</f>
        <v/>
      </c>
      <c r="D1802">
        <f>IFERROR(--INDEX('Term investments'!$D:$D,ROW()),0)</f>
        <v/>
      </c>
      <c r="E1802">
        <f>IFERROR(--INDEX('Term investments'!$E:$E,ROW()),0)</f>
        <v/>
      </c>
      <c r="F1802">
        <f>IFERROR(--INDEX('Term investments'!$F:$F,ROW()),0)</f>
        <v/>
      </c>
      <c r="G1802">
        <f>IFERROR(IF(--INDEX('Term investments'!$G:$G,ROW())&gt;=1,--INDEX('Term investments'!$G:$G,ROW())/100,--INDEX('Term investments'!$G:$G,ROW())),0)</f>
        <v/>
      </c>
      <c r="H1802">
        <f>IFERROR(--INDEX('Term investments'!$H:$H,ROW()),0)</f>
        <v/>
      </c>
      <c r="I1802">
        <f>IF(ISNUMBER(INDEX('Term investments'!$G:$G,ROW())),1,0)</f>
        <v/>
      </c>
      <c r="J1802">
        <f>TRIM(SUBSTITUTE(INDEX('Call accounts and MMFs'!$A:$A,ROW())&amp;""," "," "))</f>
        <v/>
      </c>
      <c r="K1802">
        <f>TRIM(SUBSTITUTE(INDEX('Call accounts and MMFs'!$B:$B,ROW())&amp;""," "," "))</f>
        <v/>
      </c>
      <c r="L1802">
        <f>TRIM(SUBSTITUTE(INDEX('Call accounts and MMFs'!$C:$C,ROW())&amp;""," "," "))</f>
        <v/>
      </c>
      <c r="M1802">
        <f>IFERROR(--INDEX('Call accounts and MMFs'!$D:$D,ROW()),0)</f>
        <v/>
      </c>
      <c r="N1802">
        <f>IFERROR(IF(--INDEX('Call accounts and MMFs'!$E:$E,ROW())&gt;=1,--INDEX('Call accounts and MMFs'!$E:$E,ROW())/100,--INDEX('Call accounts and MMFs'!$E:$E,ROW())),0)</f>
        <v/>
      </c>
      <c r="O1802">
        <f>IFERROR(--INDEX('Call accounts and MMFs'!$F:$F,ROW()),0)</f>
        <v/>
      </c>
      <c r="P1802">
        <f>IF(ISNUMBER(INDEX('Call accounts and MMFs'!$E:$E,ROW())),1,0)</f>
        <v/>
      </c>
      <c r="Q1802">
        <f>TRIM(SUBSTITUTE(INDEX('Pooled funds'!$B:$B,ROW())&amp;""," "," "))</f>
        <v/>
      </c>
      <c r="R1802">
        <f>IFERROR(--INDEX('Pooled funds'!$C:$C,ROW()),0)</f>
        <v/>
      </c>
      <c r="S1802">
        <f>IFERROR(--INDEX('Pooled funds'!$D:$D,ROW()),0)</f>
        <v/>
      </c>
      <c r="T1802">
        <f>IFERROR(IF(--INDEX('Pooled funds'!$E:$E,ROW())&gt;=1,--INDEX('Pooled funds'!$E:$E,ROW())/100,--INDEX('Pooled funds'!$E:$E,ROW())),0)</f>
        <v/>
      </c>
      <c r="U1802">
        <f>IF(ISNUMBER(INDEX('Pooled funds'!$E:$E,ROW())),1,0)</f>
        <v/>
      </c>
    </row>
    <row r="1803">
      <c r="A1803">
        <f>TRIM(SUBSTITUTE(INDEX('Term investments'!$A:$A,ROW())&amp;""," "," "))</f>
        <v/>
      </c>
      <c r="B1803">
        <f>TRIM(SUBSTITUTE(INDEX('Term investments'!$B:$B,ROW())&amp;""," "," "))</f>
        <v/>
      </c>
      <c r="C1803">
        <f>TRIM(SUBSTITUTE(INDEX('Term investments'!$C:$C,ROW())&amp;""," "," "))</f>
        <v/>
      </c>
      <c r="D1803">
        <f>IFERROR(--INDEX('Term investments'!$D:$D,ROW()),0)</f>
        <v/>
      </c>
      <c r="E1803">
        <f>IFERROR(--INDEX('Term investments'!$E:$E,ROW()),0)</f>
        <v/>
      </c>
      <c r="F1803">
        <f>IFERROR(--INDEX('Term investments'!$F:$F,ROW()),0)</f>
        <v/>
      </c>
      <c r="G1803">
        <f>IFERROR(IF(--INDEX('Term investments'!$G:$G,ROW())&gt;=1,--INDEX('Term investments'!$G:$G,ROW())/100,--INDEX('Term investments'!$G:$G,ROW())),0)</f>
        <v/>
      </c>
      <c r="H1803">
        <f>IFERROR(--INDEX('Term investments'!$H:$H,ROW()),0)</f>
        <v/>
      </c>
      <c r="I1803">
        <f>IF(ISNUMBER(INDEX('Term investments'!$G:$G,ROW())),1,0)</f>
        <v/>
      </c>
      <c r="J1803">
        <f>TRIM(SUBSTITUTE(INDEX('Call accounts and MMFs'!$A:$A,ROW())&amp;""," "," "))</f>
        <v/>
      </c>
      <c r="K1803">
        <f>TRIM(SUBSTITUTE(INDEX('Call accounts and MMFs'!$B:$B,ROW())&amp;""," "," "))</f>
        <v/>
      </c>
      <c r="L1803">
        <f>TRIM(SUBSTITUTE(INDEX('Call accounts and MMFs'!$C:$C,ROW())&amp;""," "," "))</f>
        <v/>
      </c>
      <c r="M1803">
        <f>IFERROR(--INDEX('Call accounts and MMFs'!$D:$D,ROW()),0)</f>
        <v/>
      </c>
      <c r="N1803">
        <f>IFERROR(IF(--INDEX('Call accounts and MMFs'!$E:$E,ROW())&gt;=1,--INDEX('Call accounts and MMFs'!$E:$E,ROW())/100,--INDEX('Call accounts and MMFs'!$E:$E,ROW())),0)</f>
        <v/>
      </c>
      <c r="O1803">
        <f>IFERROR(--INDEX('Call accounts and MMFs'!$F:$F,ROW()),0)</f>
        <v/>
      </c>
      <c r="P1803">
        <f>IF(ISNUMBER(INDEX('Call accounts and MMFs'!$E:$E,ROW())),1,0)</f>
        <v/>
      </c>
      <c r="Q1803">
        <f>TRIM(SUBSTITUTE(INDEX('Pooled funds'!$B:$B,ROW())&amp;""," "," "))</f>
        <v/>
      </c>
      <c r="R1803">
        <f>IFERROR(--INDEX('Pooled funds'!$C:$C,ROW()),0)</f>
        <v/>
      </c>
      <c r="S1803">
        <f>IFERROR(--INDEX('Pooled funds'!$D:$D,ROW()),0)</f>
        <v/>
      </c>
      <c r="T1803">
        <f>IFERROR(IF(--INDEX('Pooled funds'!$E:$E,ROW())&gt;=1,--INDEX('Pooled funds'!$E:$E,ROW())/100,--INDEX('Pooled funds'!$E:$E,ROW())),0)</f>
        <v/>
      </c>
      <c r="U1803">
        <f>IF(ISNUMBER(INDEX('Pooled funds'!$E:$E,ROW())),1,0)</f>
        <v/>
      </c>
    </row>
    <row r="1804">
      <c r="A1804">
        <f>TRIM(SUBSTITUTE(INDEX('Term investments'!$A:$A,ROW())&amp;""," "," "))</f>
        <v/>
      </c>
      <c r="B1804">
        <f>TRIM(SUBSTITUTE(INDEX('Term investments'!$B:$B,ROW())&amp;""," "," "))</f>
        <v/>
      </c>
      <c r="C1804">
        <f>TRIM(SUBSTITUTE(INDEX('Term investments'!$C:$C,ROW())&amp;""," "," "))</f>
        <v/>
      </c>
      <c r="D1804">
        <f>IFERROR(--INDEX('Term investments'!$D:$D,ROW()),0)</f>
        <v/>
      </c>
      <c r="E1804">
        <f>IFERROR(--INDEX('Term investments'!$E:$E,ROW()),0)</f>
        <v/>
      </c>
      <c r="F1804">
        <f>IFERROR(--INDEX('Term investments'!$F:$F,ROW()),0)</f>
        <v/>
      </c>
      <c r="G1804">
        <f>IFERROR(IF(--INDEX('Term investments'!$G:$G,ROW())&gt;=1,--INDEX('Term investments'!$G:$G,ROW())/100,--INDEX('Term investments'!$G:$G,ROW())),0)</f>
        <v/>
      </c>
      <c r="H1804">
        <f>IFERROR(--INDEX('Term investments'!$H:$H,ROW()),0)</f>
        <v/>
      </c>
      <c r="I1804">
        <f>IF(ISNUMBER(INDEX('Term investments'!$G:$G,ROW())),1,0)</f>
        <v/>
      </c>
      <c r="J1804">
        <f>TRIM(SUBSTITUTE(INDEX('Call accounts and MMFs'!$A:$A,ROW())&amp;""," "," "))</f>
        <v/>
      </c>
      <c r="K1804">
        <f>TRIM(SUBSTITUTE(INDEX('Call accounts and MMFs'!$B:$B,ROW())&amp;""," "," "))</f>
        <v/>
      </c>
      <c r="L1804">
        <f>TRIM(SUBSTITUTE(INDEX('Call accounts and MMFs'!$C:$C,ROW())&amp;""," "," "))</f>
        <v/>
      </c>
      <c r="M1804">
        <f>IFERROR(--INDEX('Call accounts and MMFs'!$D:$D,ROW()),0)</f>
        <v/>
      </c>
      <c r="N1804">
        <f>IFERROR(IF(--INDEX('Call accounts and MMFs'!$E:$E,ROW())&gt;=1,--INDEX('Call accounts and MMFs'!$E:$E,ROW())/100,--INDEX('Call accounts and MMFs'!$E:$E,ROW())),0)</f>
        <v/>
      </c>
      <c r="O1804">
        <f>IFERROR(--INDEX('Call accounts and MMFs'!$F:$F,ROW()),0)</f>
        <v/>
      </c>
      <c r="P1804">
        <f>IF(ISNUMBER(INDEX('Call accounts and MMFs'!$E:$E,ROW())),1,0)</f>
        <v/>
      </c>
      <c r="Q1804">
        <f>TRIM(SUBSTITUTE(INDEX('Pooled funds'!$B:$B,ROW())&amp;""," "," "))</f>
        <v/>
      </c>
      <c r="R1804">
        <f>IFERROR(--INDEX('Pooled funds'!$C:$C,ROW()),0)</f>
        <v/>
      </c>
      <c r="S1804">
        <f>IFERROR(--INDEX('Pooled funds'!$D:$D,ROW()),0)</f>
        <v/>
      </c>
      <c r="T1804">
        <f>IFERROR(IF(--INDEX('Pooled funds'!$E:$E,ROW())&gt;=1,--INDEX('Pooled funds'!$E:$E,ROW())/100,--INDEX('Pooled funds'!$E:$E,ROW())),0)</f>
        <v/>
      </c>
      <c r="U1804">
        <f>IF(ISNUMBER(INDEX('Pooled funds'!$E:$E,ROW())),1,0)</f>
        <v/>
      </c>
    </row>
    <row r="1805">
      <c r="A1805">
        <f>TRIM(SUBSTITUTE(INDEX('Term investments'!$A:$A,ROW())&amp;""," "," "))</f>
        <v/>
      </c>
      <c r="B1805">
        <f>TRIM(SUBSTITUTE(INDEX('Term investments'!$B:$B,ROW())&amp;""," "," "))</f>
        <v/>
      </c>
      <c r="C1805">
        <f>TRIM(SUBSTITUTE(INDEX('Term investments'!$C:$C,ROW())&amp;""," "," "))</f>
        <v/>
      </c>
      <c r="D1805">
        <f>IFERROR(--INDEX('Term investments'!$D:$D,ROW()),0)</f>
        <v/>
      </c>
      <c r="E1805">
        <f>IFERROR(--INDEX('Term investments'!$E:$E,ROW()),0)</f>
        <v/>
      </c>
      <c r="F1805">
        <f>IFERROR(--INDEX('Term investments'!$F:$F,ROW()),0)</f>
        <v/>
      </c>
      <c r="G1805">
        <f>IFERROR(IF(--INDEX('Term investments'!$G:$G,ROW())&gt;=1,--INDEX('Term investments'!$G:$G,ROW())/100,--INDEX('Term investments'!$G:$G,ROW())),0)</f>
        <v/>
      </c>
      <c r="H1805">
        <f>IFERROR(--INDEX('Term investments'!$H:$H,ROW()),0)</f>
        <v/>
      </c>
      <c r="I1805">
        <f>IF(ISNUMBER(INDEX('Term investments'!$G:$G,ROW())),1,0)</f>
        <v/>
      </c>
      <c r="J1805">
        <f>TRIM(SUBSTITUTE(INDEX('Call accounts and MMFs'!$A:$A,ROW())&amp;""," "," "))</f>
        <v/>
      </c>
      <c r="K1805">
        <f>TRIM(SUBSTITUTE(INDEX('Call accounts and MMFs'!$B:$B,ROW())&amp;""," "," "))</f>
        <v/>
      </c>
      <c r="L1805">
        <f>TRIM(SUBSTITUTE(INDEX('Call accounts and MMFs'!$C:$C,ROW())&amp;""," "," "))</f>
        <v/>
      </c>
      <c r="M1805">
        <f>IFERROR(--INDEX('Call accounts and MMFs'!$D:$D,ROW()),0)</f>
        <v/>
      </c>
      <c r="N1805">
        <f>IFERROR(IF(--INDEX('Call accounts and MMFs'!$E:$E,ROW())&gt;=1,--INDEX('Call accounts and MMFs'!$E:$E,ROW())/100,--INDEX('Call accounts and MMFs'!$E:$E,ROW())),0)</f>
        <v/>
      </c>
      <c r="O1805">
        <f>IFERROR(--INDEX('Call accounts and MMFs'!$F:$F,ROW()),0)</f>
        <v/>
      </c>
      <c r="P1805">
        <f>IF(ISNUMBER(INDEX('Call accounts and MMFs'!$E:$E,ROW())),1,0)</f>
        <v/>
      </c>
      <c r="Q1805">
        <f>TRIM(SUBSTITUTE(INDEX('Pooled funds'!$B:$B,ROW())&amp;""," "," "))</f>
        <v/>
      </c>
      <c r="R1805">
        <f>IFERROR(--INDEX('Pooled funds'!$C:$C,ROW()),0)</f>
        <v/>
      </c>
      <c r="S1805">
        <f>IFERROR(--INDEX('Pooled funds'!$D:$D,ROW()),0)</f>
        <v/>
      </c>
      <c r="T1805">
        <f>IFERROR(IF(--INDEX('Pooled funds'!$E:$E,ROW())&gt;=1,--INDEX('Pooled funds'!$E:$E,ROW())/100,--INDEX('Pooled funds'!$E:$E,ROW())),0)</f>
        <v/>
      </c>
      <c r="U1805">
        <f>IF(ISNUMBER(INDEX('Pooled funds'!$E:$E,ROW())),1,0)</f>
        <v/>
      </c>
    </row>
    <row r="1806">
      <c r="A1806">
        <f>TRIM(SUBSTITUTE(INDEX('Term investments'!$A:$A,ROW())&amp;""," "," "))</f>
        <v/>
      </c>
      <c r="B1806">
        <f>TRIM(SUBSTITUTE(INDEX('Term investments'!$B:$B,ROW())&amp;""," "," "))</f>
        <v/>
      </c>
      <c r="C1806">
        <f>TRIM(SUBSTITUTE(INDEX('Term investments'!$C:$C,ROW())&amp;""," "," "))</f>
        <v/>
      </c>
      <c r="D1806">
        <f>IFERROR(--INDEX('Term investments'!$D:$D,ROW()),0)</f>
        <v/>
      </c>
      <c r="E1806">
        <f>IFERROR(--INDEX('Term investments'!$E:$E,ROW()),0)</f>
        <v/>
      </c>
      <c r="F1806">
        <f>IFERROR(--INDEX('Term investments'!$F:$F,ROW()),0)</f>
        <v/>
      </c>
      <c r="G1806">
        <f>IFERROR(IF(--INDEX('Term investments'!$G:$G,ROW())&gt;=1,--INDEX('Term investments'!$G:$G,ROW())/100,--INDEX('Term investments'!$G:$G,ROW())),0)</f>
        <v/>
      </c>
      <c r="H1806">
        <f>IFERROR(--INDEX('Term investments'!$H:$H,ROW()),0)</f>
        <v/>
      </c>
      <c r="I1806">
        <f>IF(ISNUMBER(INDEX('Term investments'!$G:$G,ROW())),1,0)</f>
        <v/>
      </c>
      <c r="J1806">
        <f>TRIM(SUBSTITUTE(INDEX('Call accounts and MMFs'!$A:$A,ROW())&amp;""," "," "))</f>
        <v/>
      </c>
      <c r="K1806">
        <f>TRIM(SUBSTITUTE(INDEX('Call accounts and MMFs'!$B:$B,ROW())&amp;""," "," "))</f>
        <v/>
      </c>
      <c r="L1806">
        <f>TRIM(SUBSTITUTE(INDEX('Call accounts and MMFs'!$C:$C,ROW())&amp;""," "," "))</f>
        <v/>
      </c>
      <c r="M1806">
        <f>IFERROR(--INDEX('Call accounts and MMFs'!$D:$D,ROW()),0)</f>
        <v/>
      </c>
      <c r="N1806">
        <f>IFERROR(IF(--INDEX('Call accounts and MMFs'!$E:$E,ROW())&gt;=1,--INDEX('Call accounts and MMFs'!$E:$E,ROW())/100,--INDEX('Call accounts and MMFs'!$E:$E,ROW())),0)</f>
        <v/>
      </c>
      <c r="O1806">
        <f>IFERROR(--INDEX('Call accounts and MMFs'!$F:$F,ROW()),0)</f>
        <v/>
      </c>
      <c r="P1806">
        <f>IF(ISNUMBER(INDEX('Call accounts and MMFs'!$E:$E,ROW())),1,0)</f>
        <v/>
      </c>
      <c r="Q1806">
        <f>TRIM(SUBSTITUTE(INDEX('Pooled funds'!$B:$B,ROW())&amp;""," "," "))</f>
        <v/>
      </c>
      <c r="R1806">
        <f>IFERROR(--INDEX('Pooled funds'!$C:$C,ROW()),0)</f>
        <v/>
      </c>
      <c r="S1806">
        <f>IFERROR(--INDEX('Pooled funds'!$D:$D,ROW()),0)</f>
        <v/>
      </c>
      <c r="T1806">
        <f>IFERROR(IF(--INDEX('Pooled funds'!$E:$E,ROW())&gt;=1,--INDEX('Pooled funds'!$E:$E,ROW())/100,--INDEX('Pooled funds'!$E:$E,ROW())),0)</f>
        <v/>
      </c>
      <c r="U1806">
        <f>IF(ISNUMBER(INDEX('Pooled funds'!$E:$E,ROW())),1,0)</f>
        <v/>
      </c>
    </row>
    <row r="1807">
      <c r="A1807">
        <f>TRIM(SUBSTITUTE(INDEX('Term investments'!$A:$A,ROW())&amp;""," "," "))</f>
        <v/>
      </c>
      <c r="B1807">
        <f>TRIM(SUBSTITUTE(INDEX('Term investments'!$B:$B,ROW())&amp;""," "," "))</f>
        <v/>
      </c>
      <c r="C1807">
        <f>TRIM(SUBSTITUTE(INDEX('Term investments'!$C:$C,ROW())&amp;""," "," "))</f>
        <v/>
      </c>
      <c r="D1807">
        <f>IFERROR(--INDEX('Term investments'!$D:$D,ROW()),0)</f>
        <v/>
      </c>
      <c r="E1807">
        <f>IFERROR(--INDEX('Term investments'!$E:$E,ROW()),0)</f>
        <v/>
      </c>
      <c r="F1807">
        <f>IFERROR(--INDEX('Term investments'!$F:$F,ROW()),0)</f>
        <v/>
      </c>
      <c r="G1807">
        <f>IFERROR(IF(--INDEX('Term investments'!$G:$G,ROW())&gt;=1,--INDEX('Term investments'!$G:$G,ROW())/100,--INDEX('Term investments'!$G:$G,ROW())),0)</f>
        <v/>
      </c>
      <c r="H1807">
        <f>IFERROR(--INDEX('Term investments'!$H:$H,ROW()),0)</f>
        <v/>
      </c>
      <c r="I1807">
        <f>IF(ISNUMBER(INDEX('Term investments'!$G:$G,ROW())),1,0)</f>
        <v/>
      </c>
      <c r="J1807">
        <f>TRIM(SUBSTITUTE(INDEX('Call accounts and MMFs'!$A:$A,ROW())&amp;""," "," "))</f>
        <v/>
      </c>
      <c r="K1807">
        <f>TRIM(SUBSTITUTE(INDEX('Call accounts and MMFs'!$B:$B,ROW())&amp;""," "," "))</f>
        <v/>
      </c>
      <c r="L1807">
        <f>TRIM(SUBSTITUTE(INDEX('Call accounts and MMFs'!$C:$C,ROW())&amp;""," "," "))</f>
        <v/>
      </c>
      <c r="M1807">
        <f>IFERROR(--INDEX('Call accounts and MMFs'!$D:$D,ROW()),0)</f>
        <v/>
      </c>
      <c r="N1807">
        <f>IFERROR(IF(--INDEX('Call accounts and MMFs'!$E:$E,ROW())&gt;=1,--INDEX('Call accounts and MMFs'!$E:$E,ROW())/100,--INDEX('Call accounts and MMFs'!$E:$E,ROW())),0)</f>
        <v/>
      </c>
      <c r="O1807">
        <f>IFERROR(--INDEX('Call accounts and MMFs'!$F:$F,ROW()),0)</f>
        <v/>
      </c>
      <c r="P1807">
        <f>IF(ISNUMBER(INDEX('Call accounts and MMFs'!$E:$E,ROW())),1,0)</f>
        <v/>
      </c>
      <c r="Q1807">
        <f>TRIM(SUBSTITUTE(INDEX('Pooled funds'!$B:$B,ROW())&amp;""," "," "))</f>
        <v/>
      </c>
      <c r="R1807">
        <f>IFERROR(--INDEX('Pooled funds'!$C:$C,ROW()),0)</f>
        <v/>
      </c>
      <c r="S1807">
        <f>IFERROR(--INDEX('Pooled funds'!$D:$D,ROW()),0)</f>
        <v/>
      </c>
      <c r="T1807">
        <f>IFERROR(IF(--INDEX('Pooled funds'!$E:$E,ROW())&gt;=1,--INDEX('Pooled funds'!$E:$E,ROW())/100,--INDEX('Pooled funds'!$E:$E,ROW())),0)</f>
        <v/>
      </c>
      <c r="U1807">
        <f>IF(ISNUMBER(INDEX('Pooled funds'!$E:$E,ROW())),1,0)</f>
        <v/>
      </c>
    </row>
    <row r="1808">
      <c r="A1808">
        <f>TRIM(SUBSTITUTE(INDEX('Term investments'!$A:$A,ROW())&amp;""," "," "))</f>
        <v/>
      </c>
      <c r="B1808">
        <f>TRIM(SUBSTITUTE(INDEX('Term investments'!$B:$B,ROW())&amp;""," "," "))</f>
        <v/>
      </c>
      <c r="C1808">
        <f>TRIM(SUBSTITUTE(INDEX('Term investments'!$C:$C,ROW())&amp;""," "," "))</f>
        <v/>
      </c>
      <c r="D1808">
        <f>IFERROR(--INDEX('Term investments'!$D:$D,ROW()),0)</f>
        <v/>
      </c>
      <c r="E1808">
        <f>IFERROR(--INDEX('Term investments'!$E:$E,ROW()),0)</f>
        <v/>
      </c>
      <c r="F1808">
        <f>IFERROR(--INDEX('Term investments'!$F:$F,ROW()),0)</f>
        <v/>
      </c>
      <c r="G1808">
        <f>IFERROR(IF(--INDEX('Term investments'!$G:$G,ROW())&gt;=1,--INDEX('Term investments'!$G:$G,ROW())/100,--INDEX('Term investments'!$G:$G,ROW())),0)</f>
        <v/>
      </c>
      <c r="H1808">
        <f>IFERROR(--INDEX('Term investments'!$H:$H,ROW()),0)</f>
        <v/>
      </c>
      <c r="I1808">
        <f>IF(ISNUMBER(INDEX('Term investments'!$G:$G,ROW())),1,0)</f>
        <v/>
      </c>
      <c r="J1808">
        <f>TRIM(SUBSTITUTE(INDEX('Call accounts and MMFs'!$A:$A,ROW())&amp;""," "," "))</f>
        <v/>
      </c>
      <c r="K1808">
        <f>TRIM(SUBSTITUTE(INDEX('Call accounts and MMFs'!$B:$B,ROW())&amp;""," "," "))</f>
        <v/>
      </c>
      <c r="L1808">
        <f>TRIM(SUBSTITUTE(INDEX('Call accounts and MMFs'!$C:$C,ROW())&amp;""," "," "))</f>
        <v/>
      </c>
      <c r="M1808">
        <f>IFERROR(--INDEX('Call accounts and MMFs'!$D:$D,ROW()),0)</f>
        <v/>
      </c>
      <c r="N1808">
        <f>IFERROR(IF(--INDEX('Call accounts and MMFs'!$E:$E,ROW())&gt;=1,--INDEX('Call accounts and MMFs'!$E:$E,ROW())/100,--INDEX('Call accounts and MMFs'!$E:$E,ROW())),0)</f>
        <v/>
      </c>
      <c r="O1808">
        <f>IFERROR(--INDEX('Call accounts and MMFs'!$F:$F,ROW()),0)</f>
        <v/>
      </c>
      <c r="P1808">
        <f>IF(ISNUMBER(INDEX('Call accounts and MMFs'!$E:$E,ROW())),1,0)</f>
        <v/>
      </c>
      <c r="Q1808">
        <f>TRIM(SUBSTITUTE(INDEX('Pooled funds'!$B:$B,ROW())&amp;""," "," "))</f>
        <v/>
      </c>
      <c r="R1808">
        <f>IFERROR(--INDEX('Pooled funds'!$C:$C,ROW()),0)</f>
        <v/>
      </c>
      <c r="S1808">
        <f>IFERROR(--INDEX('Pooled funds'!$D:$D,ROW()),0)</f>
        <v/>
      </c>
      <c r="T1808">
        <f>IFERROR(IF(--INDEX('Pooled funds'!$E:$E,ROW())&gt;=1,--INDEX('Pooled funds'!$E:$E,ROW())/100,--INDEX('Pooled funds'!$E:$E,ROW())),0)</f>
        <v/>
      </c>
      <c r="U1808">
        <f>IF(ISNUMBER(INDEX('Pooled funds'!$E:$E,ROW())),1,0)</f>
        <v/>
      </c>
    </row>
    <row r="1809">
      <c r="A1809">
        <f>TRIM(SUBSTITUTE(INDEX('Term investments'!$A:$A,ROW())&amp;""," "," "))</f>
        <v/>
      </c>
      <c r="B1809">
        <f>TRIM(SUBSTITUTE(INDEX('Term investments'!$B:$B,ROW())&amp;""," "," "))</f>
        <v/>
      </c>
      <c r="C1809">
        <f>TRIM(SUBSTITUTE(INDEX('Term investments'!$C:$C,ROW())&amp;""," "," "))</f>
        <v/>
      </c>
      <c r="D1809">
        <f>IFERROR(--INDEX('Term investments'!$D:$D,ROW()),0)</f>
        <v/>
      </c>
      <c r="E1809">
        <f>IFERROR(--INDEX('Term investments'!$E:$E,ROW()),0)</f>
        <v/>
      </c>
      <c r="F1809">
        <f>IFERROR(--INDEX('Term investments'!$F:$F,ROW()),0)</f>
        <v/>
      </c>
      <c r="G1809">
        <f>IFERROR(IF(--INDEX('Term investments'!$G:$G,ROW())&gt;=1,--INDEX('Term investments'!$G:$G,ROW())/100,--INDEX('Term investments'!$G:$G,ROW())),0)</f>
        <v/>
      </c>
      <c r="H1809">
        <f>IFERROR(--INDEX('Term investments'!$H:$H,ROW()),0)</f>
        <v/>
      </c>
      <c r="I1809">
        <f>IF(ISNUMBER(INDEX('Term investments'!$G:$G,ROW())),1,0)</f>
        <v/>
      </c>
      <c r="J1809">
        <f>TRIM(SUBSTITUTE(INDEX('Call accounts and MMFs'!$A:$A,ROW())&amp;""," "," "))</f>
        <v/>
      </c>
      <c r="K1809">
        <f>TRIM(SUBSTITUTE(INDEX('Call accounts and MMFs'!$B:$B,ROW())&amp;""," "," "))</f>
        <v/>
      </c>
      <c r="L1809">
        <f>TRIM(SUBSTITUTE(INDEX('Call accounts and MMFs'!$C:$C,ROW())&amp;""," "," "))</f>
        <v/>
      </c>
      <c r="M1809">
        <f>IFERROR(--INDEX('Call accounts and MMFs'!$D:$D,ROW()),0)</f>
        <v/>
      </c>
      <c r="N1809">
        <f>IFERROR(IF(--INDEX('Call accounts and MMFs'!$E:$E,ROW())&gt;=1,--INDEX('Call accounts and MMFs'!$E:$E,ROW())/100,--INDEX('Call accounts and MMFs'!$E:$E,ROW())),0)</f>
        <v/>
      </c>
      <c r="O1809">
        <f>IFERROR(--INDEX('Call accounts and MMFs'!$F:$F,ROW()),0)</f>
        <v/>
      </c>
      <c r="P1809">
        <f>IF(ISNUMBER(INDEX('Call accounts and MMFs'!$E:$E,ROW())),1,0)</f>
        <v/>
      </c>
      <c r="Q1809">
        <f>TRIM(SUBSTITUTE(INDEX('Pooled funds'!$B:$B,ROW())&amp;""," "," "))</f>
        <v/>
      </c>
      <c r="R1809">
        <f>IFERROR(--INDEX('Pooled funds'!$C:$C,ROW()),0)</f>
        <v/>
      </c>
      <c r="S1809">
        <f>IFERROR(--INDEX('Pooled funds'!$D:$D,ROW()),0)</f>
        <v/>
      </c>
      <c r="T1809">
        <f>IFERROR(IF(--INDEX('Pooled funds'!$E:$E,ROW())&gt;=1,--INDEX('Pooled funds'!$E:$E,ROW())/100,--INDEX('Pooled funds'!$E:$E,ROW())),0)</f>
        <v/>
      </c>
      <c r="U1809">
        <f>IF(ISNUMBER(INDEX('Pooled funds'!$E:$E,ROW())),1,0)</f>
        <v/>
      </c>
    </row>
    <row r="1810">
      <c r="A1810">
        <f>TRIM(SUBSTITUTE(INDEX('Term investments'!$A:$A,ROW())&amp;""," "," "))</f>
        <v/>
      </c>
      <c r="B1810">
        <f>TRIM(SUBSTITUTE(INDEX('Term investments'!$B:$B,ROW())&amp;""," "," "))</f>
        <v/>
      </c>
      <c r="C1810">
        <f>TRIM(SUBSTITUTE(INDEX('Term investments'!$C:$C,ROW())&amp;""," "," "))</f>
        <v/>
      </c>
      <c r="D1810">
        <f>IFERROR(--INDEX('Term investments'!$D:$D,ROW()),0)</f>
        <v/>
      </c>
      <c r="E1810">
        <f>IFERROR(--INDEX('Term investments'!$E:$E,ROW()),0)</f>
        <v/>
      </c>
      <c r="F1810">
        <f>IFERROR(--INDEX('Term investments'!$F:$F,ROW()),0)</f>
        <v/>
      </c>
      <c r="G1810">
        <f>IFERROR(IF(--INDEX('Term investments'!$G:$G,ROW())&gt;=1,--INDEX('Term investments'!$G:$G,ROW())/100,--INDEX('Term investments'!$G:$G,ROW())),0)</f>
        <v/>
      </c>
      <c r="H1810">
        <f>IFERROR(--INDEX('Term investments'!$H:$H,ROW()),0)</f>
        <v/>
      </c>
      <c r="I1810">
        <f>IF(ISNUMBER(INDEX('Term investments'!$G:$G,ROW())),1,0)</f>
        <v/>
      </c>
      <c r="J1810">
        <f>TRIM(SUBSTITUTE(INDEX('Call accounts and MMFs'!$A:$A,ROW())&amp;""," "," "))</f>
        <v/>
      </c>
      <c r="K1810">
        <f>TRIM(SUBSTITUTE(INDEX('Call accounts and MMFs'!$B:$B,ROW())&amp;""," "," "))</f>
        <v/>
      </c>
      <c r="L1810">
        <f>TRIM(SUBSTITUTE(INDEX('Call accounts and MMFs'!$C:$C,ROW())&amp;""," "," "))</f>
        <v/>
      </c>
      <c r="M1810">
        <f>IFERROR(--INDEX('Call accounts and MMFs'!$D:$D,ROW()),0)</f>
        <v/>
      </c>
      <c r="N1810">
        <f>IFERROR(IF(--INDEX('Call accounts and MMFs'!$E:$E,ROW())&gt;=1,--INDEX('Call accounts and MMFs'!$E:$E,ROW())/100,--INDEX('Call accounts and MMFs'!$E:$E,ROW())),0)</f>
        <v/>
      </c>
      <c r="O1810">
        <f>IFERROR(--INDEX('Call accounts and MMFs'!$F:$F,ROW()),0)</f>
        <v/>
      </c>
      <c r="P1810">
        <f>IF(ISNUMBER(INDEX('Call accounts and MMFs'!$E:$E,ROW())),1,0)</f>
        <v/>
      </c>
      <c r="Q1810">
        <f>TRIM(SUBSTITUTE(INDEX('Pooled funds'!$B:$B,ROW())&amp;""," "," "))</f>
        <v/>
      </c>
      <c r="R1810">
        <f>IFERROR(--INDEX('Pooled funds'!$C:$C,ROW()),0)</f>
        <v/>
      </c>
      <c r="S1810">
        <f>IFERROR(--INDEX('Pooled funds'!$D:$D,ROW()),0)</f>
        <v/>
      </c>
      <c r="T1810">
        <f>IFERROR(IF(--INDEX('Pooled funds'!$E:$E,ROW())&gt;=1,--INDEX('Pooled funds'!$E:$E,ROW())/100,--INDEX('Pooled funds'!$E:$E,ROW())),0)</f>
        <v/>
      </c>
      <c r="U1810">
        <f>IF(ISNUMBER(INDEX('Pooled funds'!$E:$E,ROW())),1,0)</f>
        <v/>
      </c>
    </row>
    <row r="1811">
      <c r="A1811">
        <f>TRIM(SUBSTITUTE(INDEX('Term investments'!$A:$A,ROW())&amp;""," "," "))</f>
        <v/>
      </c>
      <c r="B1811">
        <f>TRIM(SUBSTITUTE(INDEX('Term investments'!$B:$B,ROW())&amp;""," "," "))</f>
        <v/>
      </c>
      <c r="C1811">
        <f>TRIM(SUBSTITUTE(INDEX('Term investments'!$C:$C,ROW())&amp;""," "," "))</f>
        <v/>
      </c>
      <c r="D1811">
        <f>IFERROR(--INDEX('Term investments'!$D:$D,ROW()),0)</f>
        <v/>
      </c>
      <c r="E1811">
        <f>IFERROR(--INDEX('Term investments'!$E:$E,ROW()),0)</f>
        <v/>
      </c>
      <c r="F1811">
        <f>IFERROR(--INDEX('Term investments'!$F:$F,ROW()),0)</f>
        <v/>
      </c>
      <c r="G1811">
        <f>IFERROR(IF(--INDEX('Term investments'!$G:$G,ROW())&gt;=1,--INDEX('Term investments'!$G:$G,ROW())/100,--INDEX('Term investments'!$G:$G,ROW())),0)</f>
        <v/>
      </c>
      <c r="H1811">
        <f>IFERROR(--INDEX('Term investments'!$H:$H,ROW()),0)</f>
        <v/>
      </c>
      <c r="I1811">
        <f>IF(ISNUMBER(INDEX('Term investments'!$G:$G,ROW())),1,0)</f>
        <v/>
      </c>
      <c r="J1811">
        <f>TRIM(SUBSTITUTE(INDEX('Call accounts and MMFs'!$A:$A,ROW())&amp;""," "," "))</f>
        <v/>
      </c>
      <c r="K1811">
        <f>TRIM(SUBSTITUTE(INDEX('Call accounts and MMFs'!$B:$B,ROW())&amp;""," "," "))</f>
        <v/>
      </c>
      <c r="L1811">
        <f>TRIM(SUBSTITUTE(INDEX('Call accounts and MMFs'!$C:$C,ROW())&amp;""," "," "))</f>
        <v/>
      </c>
      <c r="M1811">
        <f>IFERROR(--INDEX('Call accounts and MMFs'!$D:$D,ROW()),0)</f>
        <v/>
      </c>
      <c r="N1811">
        <f>IFERROR(IF(--INDEX('Call accounts and MMFs'!$E:$E,ROW())&gt;=1,--INDEX('Call accounts and MMFs'!$E:$E,ROW())/100,--INDEX('Call accounts and MMFs'!$E:$E,ROW())),0)</f>
        <v/>
      </c>
      <c r="O1811">
        <f>IFERROR(--INDEX('Call accounts and MMFs'!$F:$F,ROW()),0)</f>
        <v/>
      </c>
      <c r="P1811">
        <f>IF(ISNUMBER(INDEX('Call accounts and MMFs'!$E:$E,ROW())),1,0)</f>
        <v/>
      </c>
      <c r="Q1811">
        <f>TRIM(SUBSTITUTE(INDEX('Pooled funds'!$B:$B,ROW())&amp;""," "," "))</f>
        <v/>
      </c>
      <c r="R1811">
        <f>IFERROR(--INDEX('Pooled funds'!$C:$C,ROW()),0)</f>
        <v/>
      </c>
      <c r="S1811">
        <f>IFERROR(--INDEX('Pooled funds'!$D:$D,ROW()),0)</f>
        <v/>
      </c>
      <c r="T1811">
        <f>IFERROR(IF(--INDEX('Pooled funds'!$E:$E,ROW())&gt;=1,--INDEX('Pooled funds'!$E:$E,ROW())/100,--INDEX('Pooled funds'!$E:$E,ROW())),0)</f>
        <v/>
      </c>
      <c r="U1811">
        <f>IF(ISNUMBER(INDEX('Pooled funds'!$E:$E,ROW())),1,0)</f>
        <v/>
      </c>
    </row>
    <row r="1812">
      <c r="A1812">
        <f>TRIM(SUBSTITUTE(INDEX('Term investments'!$A:$A,ROW())&amp;""," "," "))</f>
        <v/>
      </c>
      <c r="B1812">
        <f>TRIM(SUBSTITUTE(INDEX('Term investments'!$B:$B,ROW())&amp;""," "," "))</f>
        <v/>
      </c>
      <c r="C1812">
        <f>TRIM(SUBSTITUTE(INDEX('Term investments'!$C:$C,ROW())&amp;""," "," "))</f>
        <v/>
      </c>
      <c r="D1812">
        <f>IFERROR(--INDEX('Term investments'!$D:$D,ROW()),0)</f>
        <v/>
      </c>
      <c r="E1812">
        <f>IFERROR(--INDEX('Term investments'!$E:$E,ROW()),0)</f>
        <v/>
      </c>
      <c r="F1812">
        <f>IFERROR(--INDEX('Term investments'!$F:$F,ROW()),0)</f>
        <v/>
      </c>
      <c r="G1812">
        <f>IFERROR(IF(--INDEX('Term investments'!$G:$G,ROW())&gt;=1,--INDEX('Term investments'!$G:$G,ROW())/100,--INDEX('Term investments'!$G:$G,ROW())),0)</f>
        <v/>
      </c>
      <c r="H1812">
        <f>IFERROR(--INDEX('Term investments'!$H:$H,ROW()),0)</f>
        <v/>
      </c>
      <c r="I1812">
        <f>IF(ISNUMBER(INDEX('Term investments'!$G:$G,ROW())),1,0)</f>
        <v/>
      </c>
      <c r="J1812">
        <f>TRIM(SUBSTITUTE(INDEX('Call accounts and MMFs'!$A:$A,ROW())&amp;""," "," "))</f>
        <v/>
      </c>
      <c r="K1812">
        <f>TRIM(SUBSTITUTE(INDEX('Call accounts and MMFs'!$B:$B,ROW())&amp;""," "," "))</f>
        <v/>
      </c>
      <c r="L1812">
        <f>TRIM(SUBSTITUTE(INDEX('Call accounts and MMFs'!$C:$C,ROW())&amp;""," "," "))</f>
        <v/>
      </c>
      <c r="M1812">
        <f>IFERROR(--INDEX('Call accounts and MMFs'!$D:$D,ROW()),0)</f>
        <v/>
      </c>
      <c r="N1812">
        <f>IFERROR(IF(--INDEX('Call accounts and MMFs'!$E:$E,ROW())&gt;=1,--INDEX('Call accounts and MMFs'!$E:$E,ROW())/100,--INDEX('Call accounts and MMFs'!$E:$E,ROW())),0)</f>
        <v/>
      </c>
      <c r="O1812">
        <f>IFERROR(--INDEX('Call accounts and MMFs'!$F:$F,ROW()),0)</f>
        <v/>
      </c>
      <c r="P1812">
        <f>IF(ISNUMBER(INDEX('Call accounts and MMFs'!$E:$E,ROW())),1,0)</f>
        <v/>
      </c>
      <c r="Q1812">
        <f>TRIM(SUBSTITUTE(INDEX('Pooled funds'!$B:$B,ROW())&amp;""," "," "))</f>
        <v/>
      </c>
      <c r="R1812">
        <f>IFERROR(--INDEX('Pooled funds'!$C:$C,ROW()),0)</f>
        <v/>
      </c>
      <c r="S1812">
        <f>IFERROR(--INDEX('Pooled funds'!$D:$D,ROW()),0)</f>
        <v/>
      </c>
      <c r="T1812">
        <f>IFERROR(IF(--INDEX('Pooled funds'!$E:$E,ROW())&gt;=1,--INDEX('Pooled funds'!$E:$E,ROW())/100,--INDEX('Pooled funds'!$E:$E,ROW())),0)</f>
        <v/>
      </c>
      <c r="U1812">
        <f>IF(ISNUMBER(INDEX('Pooled funds'!$E:$E,ROW())),1,0)</f>
        <v/>
      </c>
    </row>
    <row r="1813">
      <c r="A1813">
        <f>TRIM(SUBSTITUTE(INDEX('Term investments'!$A:$A,ROW())&amp;""," "," "))</f>
        <v/>
      </c>
      <c r="B1813">
        <f>TRIM(SUBSTITUTE(INDEX('Term investments'!$B:$B,ROW())&amp;""," "," "))</f>
        <v/>
      </c>
      <c r="C1813">
        <f>TRIM(SUBSTITUTE(INDEX('Term investments'!$C:$C,ROW())&amp;""," "," "))</f>
        <v/>
      </c>
      <c r="D1813">
        <f>IFERROR(--INDEX('Term investments'!$D:$D,ROW()),0)</f>
        <v/>
      </c>
      <c r="E1813">
        <f>IFERROR(--INDEX('Term investments'!$E:$E,ROW()),0)</f>
        <v/>
      </c>
      <c r="F1813">
        <f>IFERROR(--INDEX('Term investments'!$F:$F,ROW()),0)</f>
        <v/>
      </c>
      <c r="G1813">
        <f>IFERROR(IF(--INDEX('Term investments'!$G:$G,ROW())&gt;=1,--INDEX('Term investments'!$G:$G,ROW())/100,--INDEX('Term investments'!$G:$G,ROW())),0)</f>
        <v/>
      </c>
      <c r="H1813">
        <f>IFERROR(--INDEX('Term investments'!$H:$H,ROW()),0)</f>
        <v/>
      </c>
      <c r="I1813">
        <f>IF(ISNUMBER(INDEX('Term investments'!$G:$G,ROW())),1,0)</f>
        <v/>
      </c>
      <c r="J1813">
        <f>TRIM(SUBSTITUTE(INDEX('Call accounts and MMFs'!$A:$A,ROW())&amp;""," "," "))</f>
        <v/>
      </c>
      <c r="K1813">
        <f>TRIM(SUBSTITUTE(INDEX('Call accounts and MMFs'!$B:$B,ROW())&amp;""," "," "))</f>
        <v/>
      </c>
      <c r="L1813">
        <f>TRIM(SUBSTITUTE(INDEX('Call accounts and MMFs'!$C:$C,ROW())&amp;""," "," "))</f>
        <v/>
      </c>
      <c r="M1813">
        <f>IFERROR(--INDEX('Call accounts and MMFs'!$D:$D,ROW()),0)</f>
        <v/>
      </c>
      <c r="N1813">
        <f>IFERROR(IF(--INDEX('Call accounts and MMFs'!$E:$E,ROW())&gt;=1,--INDEX('Call accounts and MMFs'!$E:$E,ROW())/100,--INDEX('Call accounts and MMFs'!$E:$E,ROW())),0)</f>
        <v/>
      </c>
      <c r="O1813">
        <f>IFERROR(--INDEX('Call accounts and MMFs'!$F:$F,ROW()),0)</f>
        <v/>
      </c>
      <c r="P1813">
        <f>IF(ISNUMBER(INDEX('Call accounts and MMFs'!$E:$E,ROW())),1,0)</f>
        <v/>
      </c>
      <c r="Q1813">
        <f>TRIM(SUBSTITUTE(INDEX('Pooled funds'!$B:$B,ROW())&amp;""," "," "))</f>
        <v/>
      </c>
      <c r="R1813">
        <f>IFERROR(--INDEX('Pooled funds'!$C:$C,ROW()),0)</f>
        <v/>
      </c>
      <c r="S1813">
        <f>IFERROR(--INDEX('Pooled funds'!$D:$D,ROW()),0)</f>
        <v/>
      </c>
      <c r="T1813">
        <f>IFERROR(IF(--INDEX('Pooled funds'!$E:$E,ROW())&gt;=1,--INDEX('Pooled funds'!$E:$E,ROW())/100,--INDEX('Pooled funds'!$E:$E,ROW())),0)</f>
        <v/>
      </c>
      <c r="U1813">
        <f>IF(ISNUMBER(INDEX('Pooled funds'!$E:$E,ROW())),1,0)</f>
        <v/>
      </c>
    </row>
    <row r="1814">
      <c r="A1814">
        <f>TRIM(SUBSTITUTE(INDEX('Term investments'!$A:$A,ROW())&amp;""," "," "))</f>
        <v/>
      </c>
      <c r="B1814">
        <f>TRIM(SUBSTITUTE(INDEX('Term investments'!$B:$B,ROW())&amp;""," "," "))</f>
        <v/>
      </c>
      <c r="C1814">
        <f>TRIM(SUBSTITUTE(INDEX('Term investments'!$C:$C,ROW())&amp;""," "," "))</f>
        <v/>
      </c>
      <c r="D1814">
        <f>IFERROR(--INDEX('Term investments'!$D:$D,ROW()),0)</f>
        <v/>
      </c>
      <c r="E1814">
        <f>IFERROR(--INDEX('Term investments'!$E:$E,ROW()),0)</f>
        <v/>
      </c>
      <c r="F1814">
        <f>IFERROR(--INDEX('Term investments'!$F:$F,ROW()),0)</f>
        <v/>
      </c>
      <c r="G1814">
        <f>IFERROR(IF(--INDEX('Term investments'!$G:$G,ROW())&gt;=1,--INDEX('Term investments'!$G:$G,ROW())/100,--INDEX('Term investments'!$G:$G,ROW())),0)</f>
        <v/>
      </c>
      <c r="H1814">
        <f>IFERROR(--INDEX('Term investments'!$H:$H,ROW()),0)</f>
        <v/>
      </c>
      <c r="I1814">
        <f>IF(ISNUMBER(INDEX('Term investments'!$G:$G,ROW())),1,0)</f>
        <v/>
      </c>
      <c r="J1814">
        <f>TRIM(SUBSTITUTE(INDEX('Call accounts and MMFs'!$A:$A,ROW())&amp;""," "," "))</f>
        <v/>
      </c>
      <c r="K1814">
        <f>TRIM(SUBSTITUTE(INDEX('Call accounts and MMFs'!$B:$B,ROW())&amp;""," "," "))</f>
        <v/>
      </c>
      <c r="L1814">
        <f>TRIM(SUBSTITUTE(INDEX('Call accounts and MMFs'!$C:$C,ROW())&amp;""," "," "))</f>
        <v/>
      </c>
      <c r="M1814">
        <f>IFERROR(--INDEX('Call accounts and MMFs'!$D:$D,ROW()),0)</f>
        <v/>
      </c>
      <c r="N1814">
        <f>IFERROR(IF(--INDEX('Call accounts and MMFs'!$E:$E,ROW())&gt;=1,--INDEX('Call accounts and MMFs'!$E:$E,ROW())/100,--INDEX('Call accounts and MMFs'!$E:$E,ROW())),0)</f>
        <v/>
      </c>
      <c r="O1814">
        <f>IFERROR(--INDEX('Call accounts and MMFs'!$F:$F,ROW()),0)</f>
        <v/>
      </c>
      <c r="P1814">
        <f>IF(ISNUMBER(INDEX('Call accounts and MMFs'!$E:$E,ROW())),1,0)</f>
        <v/>
      </c>
      <c r="Q1814">
        <f>TRIM(SUBSTITUTE(INDEX('Pooled funds'!$B:$B,ROW())&amp;""," "," "))</f>
        <v/>
      </c>
      <c r="R1814">
        <f>IFERROR(--INDEX('Pooled funds'!$C:$C,ROW()),0)</f>
        <v/>
      </c>
      <c r="S1814">
        <f>IFERROR(--INDEX('Pooled funds'!$D:$D,ROW()),0)</f>
        <v/>
      </c>
      <c r="T1814">
        <f>IFERROR(IF(--INDEX('Pooled funds'!$E:$E,ROW())&gt;=1,--INDEX('Pooled funds'!$E:$E,ROW())/100,--INDEX('Pooled funds'!$E:$E,ROW())),0)</f>
        <v/>
      </c>
      <c r="U1814">
        <f>IF(ISNUMBER(INDEX('Pooled funds'!$E:$E,ROW())),1,0)</f>
        <v/>
      </c>
    </row>
    <row r="1815">
      <c r="A1815">
        <f>TRIM(SUBSTITUTE(INDEX('Term investments'!$A:$A,ROW())&amp;""," "," "))</f>
        <v/>
      </c>
      <c r="B1815">
        <f>TRIM(SUBSTITUTE(INDEX('Term investments'!$B:$B,ROW())&amp;""," "," "))</f>
        <v/>
      </c>
      <c r="C1815">
        <f>TRIM(SUBSTITUTE(INDEX('Term investments'!$C:$C,ROW())&amp;""," "," "))</f>
        <v/>
      </c>
      <c r="D1815">
        <f>IFERROR(--INDEX('Term investments'!$D:$D,ROW()),0)</f>
        <v/>
      </c>
      <c r="E1815">
        <f>IFERROR(--INDEX('Term investments'!$E:$E,ROW()),0)</f>
        <v/>
      </c>
      <c r="F1815">
        <f>IFERROR(--INDEX('Term investments'!$F:$F,ROW()),0)</f>
        <v/>
      </c>
      <c r="G1815">
        <f>IFERROR(IF(--INDEX('Term investments'!$G:$G,ROW())&gt;=1,--INDEX('Term investments'!$G:$G,ROW())/100,--INDEX('Term investments'!$G:$G,ROW())),0)</f>
        <v/>
      </c>
      <c r="H1815">
        <f>IFERROR(--INDEX('Term investments'!$H:$H,ROW()),0)</f>
        <v/>
      </c>
      <c r="I1815">
        <f>IF(ISNUMBER(INDEX('Term investments'!$G:$G,ROW())),1,0)</f>
        <v/>
      </c>
      <c r="J1815">
        <f>TRIM(SUBSTITUTE(INDEX('Call accounts and MMFs'!$A:$A,ROW())&amp;""," "," "))</f>
        <v/>
      </c>
      <c r="K1815">
        <f>TRIM(SUBSTITUTE(INDEX('Call accounts and MMFs'!$B:$B,ROW())&amp;""," "," "))</f>
        <v/>
      </c>
      <c r="L1815">
        <f>TRIM(SUBSTITUTE(INDEX('Call accounts and MMFs'!$C:$C,ROW())&amp;""," "," "))</f>
        <v/>
      </c>
      <c r="M1815">
        <f>IFERROR(--INDEX('Call accounts and MMFs'!$D:$D,ROW()),0)</f>
        <v/>
      </c>
      <c r="N1815">
        <f>IFERROR(IF(--INDEX('Call accounts and MMFs'!$E:$E,ROW())&gt;=1,--INDEX('Call accounts and MMFs'!$E:$E,ROW())/100,--INDEX('Call accounts and MMFs'!$E:$E,ROW())),0)</f>
        <v/>
      </c>
      <c r="O1815">
        <f>IFERROR(--INDEX('Call accounts and MMFs'!$F:$F,ROW()),0)</f>
        <v/>
      </c>
      <c r="P1815">
        <f>IF(ISNUMBER(INDEX('Call accounts and MMFs'!$E:$E,ROW())),1,0)</f>
        <v/>
      </c>
      <c r="Q1815">
        <f>TRIM(SUBSTITUTE(INDEX('Pooled funds'!$B:$B,ROW())&amp;""," "," "))</f>
        <v/>
      </c>
      <c r="R1815">
        <f>IFERROR(--INDEX('Pooled funds'!$C:$C,ROW()),0)</f>
        <v/>
      </c>
      <c r="S1815">
        <f>IFERROR(--INDEX('Pooled funds'!$D:$D,ROW()),0)</f>
        <v/>
      </c>
      <c r="T1815">
        <f>IFERROR(IF(--INDEX('Pooled funds'!$E:$E,ROW())&gt;=1,--INDEX('Pooled funds'!$E:$E,ROW())/100,--INDEX('Pooled funds'!$E:$E,ROW())),0)</f>
        <v/>
      </c>
      <c r="U1815">
        <f>IF(ISNUMBER(INDEX('Pooled funds'!$E:$E,ROW())),1,0)</f>
        <v/>
      </c>
    </row>
    <row r="1816">
      <c r="A1816">
        <f>TRIM(SUBSTITUTE(INDEX('Term investments'!$A:$A,ROW())&amp;""," "," "))</f>
        <v/>
      </c>
      <c r="B1816">
        <f>TRIM(SUBSTITUTE(INDEX('Term investments'!$B:$B,ROW())&amp;""," "," "))</f>
        <v/>
      </c>
      <c r="C1816">
        <f>TRIM(SUBSTITUTE(INDEX('Term investments'!$C:$C,ROW())&amp;""," "," "))</f>
        <v/>
      </c>
      <c r="D1816">
        <f>IFERROR(--INDEX('Term investments'!$D:$D,ROW()),0)</f>
        <v/>
      </c>
      <c r="E1816">
        <f>IFERROR(--INDEX('Term investments'!$E:$E,ROW()),0)</f>
        <v/>
      </c>
      <c r="F1816">
        <f>IFERROR(--INDEX('Term investments'!$F:$F,ROW()),0)</f>
        <v/>
      </c>
      <c r="G1816">
        <f>IFERROR(IF(--INDEX('Term investments'!$G:$G,ROW())&gt;=1,--INDEX('Term investments'!$G:$G,ROW())/100,--INDEX('Term investments'!$G:$G,ROW())),0)</f>
        <v/>
      </c>
      <c r="H1816">
        <f>IFERROR(--INDEX('Term investments'!$H:$H,ROW()),0)</f>
        <v/>
      </c>
      <c r="I1816">
        <f>IF(ISNUMBER(INDEX('Term investments'!$G:$G,ROW())),1,0)</f>
        <v/>
      </c>
      <c r="J1816">
        <f>TRIM(SUBSTITUTE(INDEX('Call accounts and MMFs'!$A:$A,ROW())&amp;""," "," "))</f>
        <v/>
      </c>
      <c r="K1816">
        <f>TRIM(SUBSTITUTE(INDEX('Call accounts and MMFs'!$B:$B,ROW())&amp;""," "," "))</f>
        <v/>
      </c>
      <c r="L1816">
        <f>TRIM(SUBSTITUTE(INDEX('Call accounts and MMFs'!$C:$C,ROW())&amp;""," "," "))</f>
        <v/>
      </c>
      <c r="M1816">
        <f>IFERROR(--INDEX('Call accounts and MMFs'!$D:$D,ROW()),0)</f>
        <v/>
      </c>
      <c r="N1816">
        <f>IFERROR(IF(--INDEX('Call accounts and MMFs'!$E:$E,ROW())&gt;=1,--INDEX('Call accounts and MMFs'!$E:$E,ROW())/100,--INDEX('Call accounts and MMFs'!$E:$E,ROW())),0)</f>
        <v/>
      </c>
      <c r="O1816">
        <f>IFERROR(--INDEX('Call accounts and MMFs'!$F:$F,ROW()),0)</f>
        <v/>
      </c>
      <c r="P1816">
        <f>IF(ISNUMBER(INDEX('Call accounts and MMFs'!$E:$E,ROW())),1,0)</f>
        <v/>
      </c>
      <c r="Q1816">
        <f>TRIM(SUBSTITUTE(INDEX('Pooled funds'!$B:$B,ROW())&amp;""," "," "))</f>
        <v/>
      </c>
      <c r="R1816">
        <f>IFERROR(--INDEX('Pooled funds'!$C:$C,ROW()),0)</f>
        <v/>
      </c>
      <c r="S1816">
        <f>IFERROR(--INDEX('Pooled funds'!$D:$D,ROW()),0)</f>
        <v/>
      </c>
      <c r="T1816">
        <f>IFERROR(IF(--INDEX('Pooled funds'!$E:$E,ROW())&gt;=1,--INDEX('Pooled funds'!$E:$E,ROW())/100,--INDEX('Pooled funds'!$E:$E,ROW())),0)</f>
        <v/>
      </c>
      <c r="U1816">
        <f>IF(ISNUMBER(INDEX('Pooled funds'!$E:$E,ROW())),1,0)</f>
        <v/>
      </c>
    </row>
    <row r="1817">
      <c r="A1817">
        <f>TRIM(SUBSTITUTE(INDEX('Term investments'!$A:$A,ROW())&amp;""," "," "))</f>
        <v/>
      </c>
      <c r="B1817">
        <f>TRIM(SUBSTITUTE(INDEX('Term investments'!$B:$B,ROW())&amp;""," "," "))</f>
        <v/>
      </c>
      <c r="C1817">
        <f>TRIM(SUBSTITUTE(INDEX('Term investments'!$C:$C,ROW())&amp;""," "," "))</f>
        <v/>
      </c>
      <c r="D1817">
        <f>IFERROR(--INDEX('Term investments'!$D:$D,ROW()),0)</f>
        <v/>
      </c>
      <c r="E1817">
        <f>IFERROR(--INDEX('Term investments'!$E:$E,ROW()),0)</f>
        <v/>
      </c>
      <c r="F1817">
        <f>IFERROR(--INDEX('Term investments'!$F:$F,ROW()),0)</f>
        <v/>
      </c>
      <c r="G1817">
        <f>IFERROR(IF(--INDEX('Term investments'!$G:$G,ROW())&gt;=1,--INDEX('Term investments'!$G:$G,ROW())/100,--INDEX('Term investments'!$G:$G,ROW())),0)</f>
        <v/>
      </c>
      <c r="H1817">
        <f>IFERROR(--INDEX('Term investments'!$H:$H,ROW()),0)</f>
        <v/>
      </c>
      <c r="I1817">
        <f>IF(ISNUMBER(INDEX('Term investments'!$G:$G,ROW())),1,0)</f>
        <v/>
      </c>
      <c r="J1817">
        <f>TRIM(SUBSTITUTE(INDEX('Call accounts and MMFs'!$A:$A,ROW())&amp;""," "," "))</f>
        <v/>
      </c>
      <c r="K1817">
        <f>TRIM(SUBSTITUTE(INDEX('Call accounts and MMFs'!$B:$B,ROW())&amp;""," "," "))</f>
        <v/>
      </c>
      <c r="L1817">
        <f>TRIM(SUBSTITUTE(INDEX('Call accounts and MMFs'!$C:$C,ROW())&amp;""," "," "))</f>
        <v/>
      </c>
      <c r="M1817">
        <f>IFERROR(--INDEX('Call accounts and MMFs'!$D:$D,ROW()),0)</f>
        <v/>
      </c>
      <c r="N1817">
        <f>IFERROR(IF(--INDEX('Call accounts and MMFs'!$E:$E,ROW())&gt;=1,--INDEX('Call accounts and MMFs'!$E:$E,ROW())/100,--INDEX('Call accounts and MMFs'!$E:$E,ROW())),0)</f>
        <v/>
      </c>
      <c r="O1817">
        <f>IFERROR(--INDEX('Call accounts and MMFs'!$F:$F,ROW()),0)</f>
        <v/>
      </c>
      <c r="P1817">
        <f>IF(ISNUMBER(INDEX('Call accounts and MMFs'!$E:$E,ROW())),1,0)</f>
        <v/>
      </c>
      <c r="Q1817">
        <f>TRIM(SUBSTITUTE(INDEX('Pooled funds'!$B:$B,ROW())&amp;""," "," "))</f>
        <v/>
      </c>
      <c r="R1817">
        <f>IFERROR(--INDEX('Pooled funds'!$C:$C,ROW()),0)</f>
        <v/>
      </c>
      <c r="S1817">
        <f>IFERROR(--INDEX('Pooled funds'!$D:$D,ROW()),0)</f>
        <v/>
      </c>
      <c r="T1817">
        <f>IFERROR(IF(--INDEX('Pooled funds'!$E:$E,ROW())&gt;=1,--INDEX('Pooled funds'!$E:$E,ROW())/100,--INDEX('Pooled funds'!$E:$E,ROW())),0)</f>
        <v/>
      </c>
      <c r="U1817">
        <f>IF(ISNUMBER(INDEX('Pooled funds'!$E:$E,ROW())),1,0)</f>
        <v/>
      </c>
    </row>
    <row r="1818">
      <c r="A1818">
        <f>TRIM(SUBSTITUTE(INDEX('Term investments'!$A:$A,ROW())&amp;""," "," "))</f>
        <v/>
      </c>
      <c r="B1818">
        <f>TRIM(SUBSTITUTE(INDEX('Term investments'!$B:$B,ROW())&amp;""," "," "))</f>
        <v/>
      </c>
      <c r="C1818">
        <f>TRIM(SUBSTITUTE(INDEX('Term investments'!$C:$C,ROW())&amp;""," "," "))</f>
        <v/>
      </c>
      <c r="D1818">
        <f>IFERROR(--INDEX('Term investments'!$D:$D,ROW()),0)</f>
        <v/>
      </c>
      <c r="E1818">
        <f>IFERROR(--INDEX('Term investments'!$E:$E,ROW()),0)</f>
        <v/>
      </c>
      <c r="F1818">
        <f>IFERROR(--INDEX('Term investments'!$F:$F,ROW()),0)</f>
        <v/>
      </c>
      <c r="G1818">
        <f>IFERROR(IF(--INDEX('Term investments'!$G:$G,ROW())&gt;=1,--INDEX('Term investments'!$G:$G,ROW())/100,--INDEX('Term investments'!$G:$G,ROW())),0)</f>
        <v/>
      </c>
      <c r="H1818">
        <f>IFERROR(--INDEX('Term investments'!$H:$H,ROW()),0)</f>
        <v/>
      </c>
      <c r="I1818">
        <f>IF(ISNUMBER(INDEX('Term investments'!$G:$G,ROW())),1,0)</f>
        <v/>
      </c>
      <c r="J1818">
        <f>TRIM(SUBSTITUTE(INDEX('Call accounts and MMFs'!$A:$A,ROW())&amp;""," "," "))</f>
        <v/>
      </c>
      <c r="K1818">
        <f>TRIM(SUBSTITUTE(INDEX('Call accounts and MMFs'!$B:$B,ROW())&amp;""," "," "))</f>
        <v/>
      </c>
      <c r="L1818">
        <f>TRIM(SUBSTITUTE(INDEX('Call accounts and MMFs'!$C:$C,ROW())&amp;""," "," "))</f>
        <v/>
      </c>
      <c r="M1818">
        <f>IFERROR(--INDEX('Call accounts and MMFs'!$D:$D,ROW()),0)</f>
        <v/>
      </c>
      <c r="N1818">
        <f>IFERROR(IF(--INDEX('Call accounts and MMFs'!$E:$E,ROW())&gt;=1,--INDEX('Call accounts and MMFs'!$E:$E,ROW())/100,--INDEX('Call accounts and MMFs'!$E:$E,ROW())),0)</f>
        <v/>
      </c>
      <c r="O1818">
        <f>IFERROR(--INDEX('Call accounts and MMFs'!$F:$F,ROW()),0)</f>
        <v/>
      </c>
      <c r="P1818">
        <f>IF(ISNUMBER(INDEX('Call accounts and MMFs'!$E:$E,ROW())),1,0)</f>
        <v/>
      </c>
      <c r="Q1818">
        <f>TRIM(SUBSTITUTE(INDEX('Pooled funds'!$B:$B,ROW())&amp;""," "," "))</f>
        <v/>
      </c>
      <c r="R1818">
        <f>IFERROR(--INDEX('Pooled funds'!$C:$C,ROW()),0)</f>
        <v/>
      </c>
      <c r="S1818">
        <f>IFERROR(--INDEX('Pooled funds'!$D:$D,ROW()),0)</f>
        <v/>
      </c>
      <c r="T1818">
        <f>IFERROR(IF(--INDEX('Pooled funds'!$E:$E,ROW())&gt;=1,--INDEX('Pooled funds'!$E:$E,ROW())/100,--INDEX('Pooled funds'!$E:$E,ROW())),0)</f>
        <v/>
      </c>
      <c r="U1818">
        <f>IF(ISNUMBER(INDEX('Pooled funds'!$E:$E,ROW())),1,0)</f>
        <v/>
      </c>
    </row>
    <row r="1819">
      <c r="A1819">
        <f>TRIM(SUBSTITUTE(INDEX('Term investments'!$A:$A,ROW())&amp;""," "," "))</f>
        <v/>
      </c>
      <c r="B1819">
        <f>TRIM(SUBSTITUTE(INDEX('Term investments'!$B:$B,ROW())&amp;""," "," "))</f>
        <v/>
      </c>
      <c r="C1819">
        <f>TRIM(SUBSTITUTE(INDEX('Term investments'!$C:$C,ROW())&amp;""," "," "))</f>
        <v/>
      </c>
      <c r="D1819">
        <f>IFERROR(--INDEX('Term investments'!$D:$D,ROW()),0)</f>
        <v/>
      </c>
      <c r="E1819">
        <f>IFERROR(--INDEX('Term investments'!$E:$E,ROW()),0)</f>
        <v/>
      </c>
      <c r="F1819">
        <f>IFERROR(--INDEX('Term investments'!$F:$F,ROW()),0)</f>
        <v/>
      </c>
      <c r="G1819">
        <f>IFERROR(IF(--INDEX('Term investments'!$G:$G,ROW())&gt;=1,--INDEX('Term investments'!$G:$G,ROW())/100,--INDEX('Term investments'!$G:$G,ROW())),0)</f>
        <v/>
      </c>
      <c r="H1819">
        <f>IFERROR(--INDEX('Term investments'!$H:$H,ROW()),0)</f>
        <v/>
      </c>
      <c r="I1819">
        <f>IF(ISNUMBER(INDEX('Term investments'!$G:$G,ROW())),1,0)</f>
        <v/>
      </c>
      <c r="J1819">
        <f>TRIM(SUBSTITUTE(INDEX('Call accounts and MMFs'!$A:$A,ROW())&amp;""," "," "))</f>
        <v/>
      </c>
      <c r="K1819">
        <f>TRIM(SUBSTITUTE(INDEX('Call accounts and MMFs'!$B:$B,ROW())&amp;""," "," "))</f>
        <v/>
      </c>
      <c r="L1819">
        <f>TRIM(SUBSTITUTE(INDEX('Call accounts and MMFs'!$C:$C,ROW())&amp;""," "," "))</f>
        <v/>
      </c>
      <c r="M1819">
        <f>IFERROR(--INDEX('Call accounts and MMFs'!$D:$D,ROW()),0)</f>
        <v/>
      </c>
      <c r="N1819">
        <f>IFERROR(IF(--INDEX('Call accounts and MMFs'!$E:$E,ROW())&gt;=1,--INDEX('Call accounts and MMFs'!$E:$E,ROW())/100,--INDEX('Call accounts and MMFs'!$E:$E,ROW())),0)</f>
        <v/>
      </c>
      <c r="O1819">
        <f>IFERROR(--INDEX('Call accounts and MMFs'!$F:$F,ROW()),0)</f>
        <v/>
      </c>
      <c r="P1819">
        <f>IF(ISNUMBER(INDEX('Call accounts and MMFs'!$E:$E,ROW())),1,0)</f>
        <v/>
      </c>
      <c r="Q1819">
        <f>TRIM(SUBSTITUTE(INDEX('Pooled funds'!$B:$B,ROW())&amp;""," "," "))</f>
        <v/>
      </c>
      <c r="R1819">
        <f>IFERROR(--INDEX('Pooled funds'!$C:$C,ROW()),0)</f>
        <v/>
      </c>
      <c r="S1819">
        <f>IFERROR(--INDEX('Pooled funds'!$D:$D,ROW()),0)</f>
        <v/>
      </c>
      <c r="T1819">
        <f>IFERROR(IF(--INDEX('Pooled funds'!$E:$E,ROW())&gt;=1,--INDEX('Pooled funds'!$E:$E,ROW())/100,--INDEX('Pooled funds'!$E:$E,ROW())),0)</f>
        <v/>
      </c>
      <c r="U1819">
        <f>IF(ISNUMBER(INDEX('Pooled funds'!$E:$E,ROW())),1,0)</f>
        <v/>
      </c>
    </row>
    <row r="1820">
      <c r="A1820">
        <f>TRIM(SUBSTITUTE(INDEX('Term investments'!$A:$A,ROW())&amp;""," "," "))</f>
        <v/>
      </c>
      <c r="B1820">
        <f>TRIM(SUBSTITUTE(INDEX('Term investments'!$B:$B,ROW())&amp;""," "," "))</f>
        <v/>
      </c>
      <c r="C1820">
        <f>TRIM(SUBSTITUTE(INDEX('Term investments'!$C:$C,ROW())&amp;""," "," "))</f>
        <v/>
      </c>
      <c r="D1820">
        <f>IFERROR(--INDEX('Term investments'!$D:$D,ROW()),0)</f>
        <v/>
      </c>
      <c r="E1820">
        <f>IFERROR(--INDEX('Term investments'!$E:$E,ROW()),0)</f>
        <v/>
      </c>
      <c r="F1820">
        <f>IFERROR(--INDEX('Term investments'!$F:$F,ROW()),0)</f>
        <v/>
      </c>
      <c r="G1820">
        <f>IFERROR(IF(--INDEX('Term investments'!$G:$G,ROW())&gt;=1,--INDEX('Term investments'!$G:$G,ROW())/100,--INDEX('Term investments'!$G:$G,ROW())),0)</f>
        <v/>
      </c>
      <c r="H1820">
        <f>IFERROR(--INDEX('Term investments'!$H:$H,ROW()),0)</f>
        <v/>
      </c>
      <c r="I1820">
        <f>IF(ISNUMBER(INDEX('Term investments'!$G:$G,ROW())),1,0)</f>
        <v/>
      </c>
      <c r="J1820">
        <f>TRIM(SUBSTITUTE(INDEX('Call accounts and MMFs'!$A:$A,ROW())&amp;""," "," "))</f>
        <v/>
      </c>
      <c r="K1820">
        <f>TRIM(SUBSTITUTE(INDEX('Call accounts and MMFs'!$B:$B,ROW())&amp;""," "," "))</f>
        <v/>
      </c>
      <c r="L1820">
        <f>TRIM(SUBSTITUTE(INDEX('Call accounts and MMFs'!$C:$C,ROW())&amp;""," "," "))</f>
        <v/>
      </c>
      <c r="M1820">
        <f>IFERROR(--INDEX('Call accounts and MMFs'!$D:$D,ROW()),0)</f>
        <v/>
      </c>
      <c r="N1820">
        <f>IFERROR(IF(--INDEX('Call accounts and MMFs'!$E:$E,ROW())&gt;=1,--INDEX('Call accounts and MMFs'!$E:$E,ROW())/100,--INDEX('Call accounts and MMFs'!$E:$E,ROW())),0)</f>
        <v/>
      </c>
      <c r="O1820">
        <f>IFERROR(--INDEX('Call accounts and MMFs'!$F:$F,ROW()),0)</f>
        <v/>
      </c>
      <c r="P1820">
        <f>IF(ISNUMBER(INDEX('Call accounts and MMFs'!$E:$E,ROW())),1,0)</f>
        <v/>
      </c>
      <c r="Q1820">
        <f>TRIM(SUBSTITUTE(INDEX('Pooled funds'!$B:$B,ROW())&amp;""," "," "))</f>
        <v/>
      </c>
      <c r="R1820">
        <f>IFERROR(--INDEX('Pooled funds'!$C:$C,ROW()),0)</f>
        <v/>
      </c>
      <c r="S1820">
        <f>IFERROR(--INDEX('Pooled funds'!$D:$D,ROW()),0)</f>
        <v/>
      </c>
      <c r="T1820">
        <f>IFERROR(IF(--INDEX('Pooled funds'!$E:$E,ROW())&gt;=1,--INDEX('Pooled funds'!$E:$E,ROW())/100,--INDEX('Pooled funds'!$E:$E,ROW())),0)</f>
        <v/>
      </c>
      <c r="U1820">
        <f>IF(ISNUMBER(INDEX('Pooled funds'!$E:$E,ROW())),1,0)</f>
        <v/>
      </c>
    </row>
    <row r="1821">
      <c r="A1821">
        <f>TRIM(SUBSTITUTE(INDEX('Term investments'!$A:$A,ROW())&amp;""," "," "))</f>
        <v/>
      </c>
      <c r="B1821">
        <f>TRIM(SUBSTITUTE(INDEX('Term investments'!$B:$B,ROW())&amp;""," "," "))</f>
        <v/>
      </c>
      <c r="C1821">
        <f>TRIM(SUBSTITUTE(INDEX('Term investments'!$C:$C,ROW())&amp;""," "," "))</f>
        <v/>
      </c>
      <c r="D1821">
        <f>IFERROR(--INDEX('Term investments'!$D:$D,ROW()),0)</f>
        <v/>
      </c>
      <c r="E1821">
        <f>IFERROR(--INDEX('Term investments'!$E:$E,ROW()),0)</f>
        <v/>
      </c>
      <c r="F1821">
        <f>IFERROR(--INDEX('Term investments'!$F:$F,ROW()),0)</f>
        <v/>
      </c>
      <c r="G1821">
        <f>IFERROR(IF(--INDEX('Term investments'!$G:$G,ROW())&gt;=1,--INDEX('Term investments'!$G:$G,ROW())/100,--INDEX('Term investments'!$G:$G,ROW())),0)</f>
        <v/>
      </c>
      <c r="H1821">
        <f>IFERROR(--INDEX('Term investments'!$H:$H,ROW()),0)</f>
        <v/>
      </c>
      <c r="I1821">
        <f>IF(ISNUMBER(INDEX('Term investments'!$G:$G,ROW())),1,0)</f>
        <v/>
      </c>
      <c r="J1821">
        <f>TRIM(SUBSTITUTE(INDEX('Call accounts and MMFs'!$A:$A,ROW())&amp;""," "," "))</f>
        <v/>
      </c>
      <c r="K1821">
        <f>TRIM(SUBSTITUTE(INDEX('Call accounts and MMFs'!$B:$B,ROW())&amp;""," "," "))</f>
        <v/>
      </c>
      <c r="L1821">
        <f>TRIM(SUBSTITUTE(INDEX('Call accounts and MMFs'!$C:$C,ROW())&amp;""," "," "))</f>
        <v/>
      </c>
      <c r="M1821">
        <f>IFERROR(--INDEX('Call accounts and MMFs'!$D:$D,ROW()),0)</f>
        <v/>
      </c>
      <c r="N1821">
        <f>IFERROR(IF(--INDEX('Call accounts and MMFs'!$E:$E,ROW())&gt;=1,--INDEX('Call accounts and MMFs'!$E:$E,ROW())/100,--INDEX('Call accounts and MMFs'!$E:$E,ROW())),0)</f>
        <v/>
      </c>
      <c r="O1821">
        <f>IFERROR(--INDEX('Call accounts and MMFs'!$F:$F,ROW()),0)</f>
        <v/>
      </c>
      <c r="P1821">
        <f>IF(ISNUMBER(INDEX('Call accounts and MMFs'!$E:$E,ROW())),1,0)</f>
        <v/>
      </c>
      <c r="Q1821">
        <f>TRIM(SUBSTITUTE(INDEX('Pooled funds'!$B:$B,ROW())&amp;""," "," "))</f>
        <v/>
      </c>
      <c r="R1821">
        <f>IFERROR(--INDEX('Pooled funds'!$C:$C,ROW()),0)</f>
        <v/>
      </c>
      <c r="S1821">
        <f>IFERROR(--INDEX('Pooled funds'!$D:$D,ROW()),0)</f>
        <v/>
      </c>
      <c r="T1821">
        <f>IFERROR(IF(--INDEX('Pooled funds'!$E:$E,ROW())&gt;=1,--INDEX('Pooled funds'!$E:$E,ROW())/100,--INDEX('Pooled funds'!$E:$E,ROW())),0)</f>
        <v/>
      </c>
      <c r="U1821">
        <f>IF(ISNUMBER(INDEX('Pooled funds'!$E:$E,ROW())),1,0)</f>
        <v/>
      </c>
    </row>
    <row r="1822">
      <c r="A1822">
        <f>TRIM(SUBSTITUTE(INDEX('Term investments'!$A:$A,ROW())&amp;""," "," "))</f>
        <v/>
      </c>
      <c r="B1822">
        <f>TRIM(SUBSTITUTE(INDEX('Term investments'!$B:$B,ROW())&amp;""," "," "))</f>
        <v/>
      </c>
      <c r="C1822">
        <f>TRIM(SUBSTITUTE(INDEX('Term investments'!$C:$C,ROW())&amp;""," "," "))</f>
        <v/>
      </c>
      <c r="D1822">
        <f>IFERROR(--INDEX('Term investments'!$D:$D,ROW()),0)</f>
        <v/>
      </c>
      <c r="E1822">
        <f>IFERROR(--INDEX('Term investments'!$E:$E,ROW()),0)</f>
        <v/>
      </c>
      <c r="F1822">
        <f>IFERROR(--INDEX('Term investments'!$F:$F,ROW()),0)</f>
        <v/>
      </c>
      <c r="G1822">
        <f>IFERROR(IF(--INDEX('Term investments'!$G:$G,ROW())&gt;=1,--INDEX('Term investments'!$G:$G,ROW())/100,--INDEX('Term investments'!$G:$G,ROW())),0)</f>
        <v/>
      </c>
      <c r="H1822">
        <f>IFERROR(--INDEX('Term investments'!$H:$H,ROW()),0)</f>
        <v/>
      </c>
      <c r="I1822">
        <f>IF(ISNUMBER(INDEX('Term investments'!$G:$G,ROW())),1,0)</f>
        <v/>
      </c>
      <c r="J1822">
        <f>TRIM(SUBSTITUTE(INDEX('Call accounts and MMFs'!$A:$A,ROW())&amp;""," "," "))</f>
        <v/>
      </c>
      <c r="K1822">
        <f>TRIM(SUBSTITUTE(INDEX('Call accounts and MMFs'!$B:$B,ROW())&amp;""," "," "))</f>
        <v/>
      </c>
      <c r="L1822">
        <f>TRIM(SUBSTITUTE(INDEX('Call accounts and MMFs'!$C:$C,ROW())&amp;""," "," "))</f>
        <v/>
      </c>
      <c r="M1822">
        <f>IFERROR(--INDEX('Call accounts and MMFs'!$D:$D,ROW()),0)</f>
        <v/>
      </c>
      <c r="N1822">
        <f>IFERROR(IF(--INDEX('Call accounts and MMFs'!$E:$E,ROW())&gt;=1,--INDEX('Call accounts and MMFs'!$E:$E,ROW())/100,--INDEX('Call accounts and MMFs'!$E:$E,ROW())),0)</f>
        <v/>
      </c>
      <c r="O1822">
        <f>IFERROR(--INDEX('Call accounts and MMFs'!$F:$F,ROW()),0)</f>
        <v/>
      </c>
      <c r="P1822">
        <f>IF(ISNUMBER(INDEX('Call accounts and MMFs'!$E:$E,ROW())),1,0)</f>
        <v/>
      </c>
      <c r="Q1822">
        <f>TRIM(SUBSTITUTE(INDEX('Pooled funds'!$B:$B,ROW())&amp;""," "," "))</f>
        <v/>
      </c>
      <c r="R1822">
        <f>IFERROR(--INDEX('Pooled funds'!$C:$C,ROW()),0)</f>
        <v/>
      </c>
      <c r="S1822">
        <f>IFERROR(--INDEX('Pooled funds'!$D:$D,ROW()),0)</f>
        <v/>
      </c>
      <c r="T1822">
        <f>IFERROR(IF(--INDEX('Pooled funds'!$E:$E,ROW())&gt;=1,--INDEX('Pooled funds'!$E:$E,ROW())/100,--INDEX('Pooled funds'!$E:$E,ROW())),0)</f>
        <v/>
      </c>
      <c r="U1822">
        <f>IF(ISNUMBER(INDEX('Pooled funds'!$E:$E,ROW())),1,0)</f>
        <v/>
      </c>
    </row>
    <row r="1823">
      <c r="A1823">
        <f>TRIM(SUBSTITUTE(INDEX('Term investments'!$A:$A,ROW())&amp;""," "," "))</f>
        <v/>
      </c>
      <c r="B1823">
        <f>TRIM(SUBSTITUTE(INDEX('Term investments'!$B:$B,ROW())&amp;""," "," "))</f>
        <v/>
      </c>
      <c r="C1823">
        <f>TRIM(SUBSTITUTE(INDEX('Term investments'!$C:$C,ROW())&amp;""," "," "))</f>
        <v/>
      </c>
      <c r="D1823">
        <f>IFERROR(--INDEX('Term investments'!$D:$D,ROW()),0)</f>
        <v/>
      </c>
      <c r="E1823">
        <f>IFERROR(--INDEX('Term investments'!$E:$E,ROW()),0)</f>
        <v/>
      </c>
      <c r="F1823">
        <f>IFERROR(--INDEX('Term investments'!$F:$F,ROW()),0)</f>
        <v/>
      </c>
      <c r="G1823">
        <f>IFERROR(IF(--INDEX('Term investments'!$G:$G,ROW())&gt;=1,--INDEX('Term investments'!$G:$G,ROW())/100,--INDEX('Term investments'!$G:$G,ROW())),0)</f>
        <v/>
      </c>
      <c r="H1823">
        <f>IFERROR(--INDEX('Term investments'!$H:$H,ROW()),0)</f>
        <v/>
      </c>
      <c r="I1823">
        <f>IF(ISNUMBER(INDEX('Term investments'!$G:$G,ROW())),1,0)</f>
        <v/>
      </c>
      <c r="J1823">
        <f>TRIM(SUBSTITUTE(INDEX('Call accounts and MMFs'!$A:$A,ROW())&amp;""," "," "))</f>
        <v/>
      </c>
      <c r="K1823">
        <f>TRIM(SUBSTITUTE(INDEX('Call accounts and MMFs'!$B:$B,ROW())&amp;""," "," "))</f>
        <v/>
      </c>
      <c r="L1823">
        <f>TRIM(SUBSTITUTE(INDEX('Call accounts and MMFs'!$C:$C,ROW())&amp;""," "," "))</f>
        <v/>
      </c>
      <c r="M1823">
        <f>IFERROR(--INDEX('Call accounts and MMFs'!$D:$D,ROW()),0)</f>
        <v/>
      </c>
      <c r="N1823">
        <f>IFERROR(IF(--INDEX('Call accounts and MMFs'!$E:$E,ROW())&gt;=1,--INDEX('Call accounts and MMFs'!$E:$E,ROW())/100,--INDEX('Call accounts and MMFs'!$E:$E,ROW())),0)</f>
        <v/>
      </c>
      <c r="O1823">
        <f>IFERROR(--INDEX('Call accounts and MMFs'!$F:$F,ROW()),0)</f>
        <v/>
      </c>
      <c r="P1823">
        <f>IF(ISNUMBER(INDEX('Call accounts and MMFs'!$E:$E,ROW())),1,0)</f>
        <v/>
      </c>
      <c r="Q1823">
        <f>TRIM(SUBSTITUTE(INDEX('Pooled funds'!$B:$B,ROW())&amp;""," "," "))</f>
        <v/>
      </c>
      <c r="R1823">
        <f>IFERROR(--INDEX('Pooled funds'!$C:$C,ROW()),0)</f>
        <v/>
      </c>
      <c r="S1823">
        <f>IFERROR(--INDEX('Pooled funds'!$D:$D,ROW()),0)</f>
        <v/>
      </c>
      <c r="T1823">
        <f>IFERROR(IF(--INDEX('Pooled funds'!$E:$E,ROW())&gt;=1,--INDEX('Pooled funds'!$E:$E,ROW())/100,--INDEX('Pooled funds'!$E:$E,ROW())),0)</f>
        <v/>
      </c>
      <c r="U1823">
        <f>IF(ISNUMBER(INDEX('Pooled funds'!$E:$E,ROW())),1,0)</f>
        <v/>
      </c>
    </row>
    <row r="1824">
      <c r="A1824">
        <f>TRIM(SUBSTITUTE(INDEX('Term investments'!$A:$A,ROW())&amp;""," "," "))</f>
        <v/>
      </c>
      <c r="B1824">
        <f>TRIM(SUBSTITUTE(INDEX('Term investments'!$B:$B,ROW())&amp;""," "," "))</f>
        <v/>
      </c>
      <c r="C1824">
        <f>TRIM(SUBSTITUTE(INDEX('Term investments'!$C:$C,ROW())&amp;""," "," "))</f>
        <v/>
      </c>
      <c r="D1824">
        <f>IFERROR(--INDEX('Term investments'!$D:$D,ROW()),0)</f>
        <v/>
      </c>
      <c r="E1824">
        <f>IFERROR(--INDEX('Term investments'!$E:$E,ROW()),0)</f>
        <v/>
      </c>
      <c r="F1824">
        <f>IFERROR(--INDEX('Term investments'!$F:$F,ROW()),0)</f>
        <v/>
      </c>
      <c r="G1824">
        <f>IFERROR(IF(--INDEX('Term investments'!$G:$G,ROW())&gt;=1,--INDEX('Term investments'!$G:$G,ROW())/100,--INDEX('Term investments'!$G:$G,ROW())),0)</f>
        <v/>
      </c>
      <c r="H1824">
        <f>IFERROR(--INDEX('Term investments'!$H:$H,ROW()),0)</f>
        <v/>
      </c>
      <c r="I1824">
        <f>IF(ISNUMBER(INDEX('Term investments'!$G:$G,ROW())),1,0)</f>
        <v/>
      </c>
      <c r="J1824">
        <f>TRIM(SUBSTITUTE(INDEX('Call accounts and MMFs'!$A:$A,ROW())&amp;""," "," "))</f>
        <v/>
      </c>
      <c r="K1824">
        <f>TRIM(SUBSTITUTE(INDEX('Call accounts and MMFs'!$B:$B,ROW())&amp;""," "," "))</f>
        <v/>
      </c>
      <c r="L1824">
        <f>TRIM(SUBSTITUTE(INDEX('Call accounts and MMFs'!$C:$C,ROW())&amp;""," "," "))</f>
        <v/>
      </c>
      <c r="M1824">
        <f>IFERROR(--INDEX('Call accounts and MMFs'!$D:$D,ROW()),0)</f>
        <v/>
      </c>
      <c r="N1824">
        <f>IFERROR(IF(--INDEX('Call accounts and MMFs'!$E:$E,ROW())&gt;=1,--INDEX('Call accounts and MMFs'!$E:$E,ROW())/100,--INDEX('Call accounts and MMFs'!$E:$E,ROW())),0)</f>
        <v/>
      </c>
      <c r="O1824">
        <f>IFERROR(--INDEX('Call accounts and MMFs'!$F:$F,ROW()),0)</f>
        <v/>
      </c>
      <c r="P1824">
        <f>IF(ISNUMBER(INDEX('Call accounts and MMFs'!$E:$E,ROW())),1,0)</f>
        <v/>
      </c>
      <c r="Q1824">
        <f>TRIM(SUBSTITUTE(INDEX('Pooled funds'!$B:$B,ROW())&amp;""," "," "))</f>
        <v/>
      </c>
      <c r="R1824">
        <f>IFERROR(--INDEX('Pooled funds'!$C:$C,ROW()),0)</f>
        <v/>
      </c>
      <c r="S1824">
        <f>IFERROR(--INDEX('Pooled funds'!$D:$D,ROW()),0)</f>
        <v/>
      </c>
      <c r="T1824">
        <f>IFERROR(IF(--INDEX('Pooled funds'!$E:$E,ROW())&gt;=1,--INDEX('Pooled funds'!$E:$E,ROW())/100,--INDEX('Pooled funds'!$E:$E,ROW())),0)</f>
        <v/>
      </c>
      <c r="U1824">
        <f>IF(ISNUMBER(INDEX('Pooled funds'!$E:$E,ROW())),1,0)</f>
        <v/>
      </c>
    </row>
    <row r="1825">
      <c r="A1825">
        <f>TRIM(SUBSTITUTE(INDEX('Term investments'!$A:$A,ROW())&amp;""," "," "))</f>
        <v/>
      </c>
      <c r="B1825">
        <f>TRIM(SUBSTITUTE(INDEX('Term investments'!$B:$B,ROW())&amp;""," "," "))</f>
        <v/>
      </c>
      <c r="C1825">
        <f>TRIM(SUBSTITUTE(INDEX('Term investments'!$C:$C,ROW())&amp;""," "," "))</f>
        <v/>
      </c>
      <c r="D1825">
        <f>IFERROR(--INDEX('Term investments'!$D:$D,ROW()),0)</f>
        <v/>
      </c>
      <c r="E1825">
        <f>IFERROR(--INDEX('Term investments'!$E:$E,ROW()),0)</f>
        <v/>
      </c>
      <c r="F1825">
        <f>IFERROR(--INDEX('Term investments'!$F:$F,ROW()),0)</f>
        <v/>
      </c>
      <c r="G1825">
        <f>IFERROR(IF(--INDEX('Term investments'!$G:$G,ROW())&gt;=1,--INDEX('Term investments'!$G:$G,ROW())/100,--INDEX('Term investments'!$G:$G,ROW())),0)</f>
        <v/>
      </c>
      <c r="H1825">
        <f>IFERROR(--INDEX('Term investments'!$H:$H,ROW()),0)</f>
        <v/>
      </c>
      <c r="I1825">
        <f>IF(ISNUMBER(INDEX('Term investments'!$G:$G,ROW())),1,0)</f>
        <v/>
      </c>
      <c r="J1825">
        <f>TRIM(SUBSTITUTE(INDEX('Call accounts and MMFs'!$A:$A,ROW())&amp;""," "," "))</f>
        <v/>
      </c>
      <c r="K1825">
        <f>TRIM(SUBSTITUTE(INDEX('Call accounts and MMFs'!$B:$B,ROW())&amp;""," "," "))</f>
        <v/>
      </c>
      <c r="L1825">
        <f>TRIM(SUBSTITUTE(INDEX('Call accounts and MMFs'!$C:$C,ROW())&amp;""," "," "))</f>
        <v/>
      </c>
      <c r="M1825">
        <f>IFERROR(--INDEX('Call accounts and MMFs'!$D:$D,ROW()),0)</f>
        <v/>
      </c>
      <c r="N1825">
        <f>IFERROR(IF(--INDEX('Call accounts and MMFs'!$E:$E,ROW())&gt;=1,--INDEX('Call accounts and MMFs'!$E:$E,ROW())/100,--INDEX('Call accounts and MMFs'!$E:$E,ROW())),0)</f>
        <v/>
      </c>
      <c r="O1825">
        <f>IFERROR(--INDEX('Call accounts and MMFs'!$F:$F,ROW()),0)</f>
        <v/>
      </c>
      <c r="P1825">
        <f>IF(ISNUMBER(INDEX('Call accounts and MMFs'!$E:$E,ROW())),1,0)</f>
        <v/>
      </c>
      <c r="Q1825">
        <f>TRIM(SUBSTITUTE(INDEX('Pooled funds'!$B:$B,ROW())&amp;""," "," "))</f>
        <v/>
      </c>
      <c r="R1825">
        <f>IFERROR(--INDEX('Pooled funds'!$C:$C,ROW()),0)</f>
        <v/>
      </c>
      <c r="S1825">
        <f>IFERROR(--INDEX('Pooled funds'!$D:$D,ROW()),0)</f>
        <v/>
      </c>
      <c r="T1825">
        <f>IFERROR(IF(--INDEX('Pooled funds'!$E:$E,ROW())&gt;=1,--INDEX('Pooled funds'!$E:$E,ROW())/100,--INDEX('Pooled funds'!$E:$E,ROW())),0)</f>
        <v/>
      </c>
      <c r="U1825">
        <f>IF(ISNUMBER(INDEX('Pooled funds'!$E:$E,ROW())),1,0)</f>
        <v/>
      </c>
    </row>
    <row r="1826">
      <c r="A1826">
        <f>TRIM(SUBSTITUTE(INDEX('Term investments'!$A:$A,ROW())&amp;""," "," "))</f>
        <v/>
      </c>
      <c r="B1826">
        <f>TRIM(SUBSTITUTE(INDEX('Term investments'!$B:$B,ROW())&amp;""," "," "))</f>
        <v/>
      </c>
      <c r="C1826">
        <f>TRIM(SUBSTITUTE(INDEX('Term investments'!$C:$C,ROW())&amp;""," "," "))</f>
        <v/>
      </c>
      <c r="D1826">
        <f>IFERROR(--INDEX('Term investments'!$D:$D,ROW()),0)</f>
        <v/>
      </c>
      <c r="E1826">
        <f>IFERROR(--INDEX('Term investments'!$E:$E,ROW()),0)</f>
        <v/>
      </c>
      <c r="F1826">
        <f>IFERROR(--INDEX('Term investments'!$F:$F,ROW()),0)</f>
        <v/>
      </c>
      <c r="G1826">
        <f>IFERROR(IF(--INDEX('Term investments'!$G:$G,ROW())&gt;=1,--INDEX('Term investments'!$G:$G,ROW())/100,--INDEX('Term investments'!$G:$G,ROW())),0)</f>
        <v/>
      </c>
      <c r="H1826">
        <f>IFERROR(--INDEX('Term investments'!$H:$H,ROW()),0)</f>
        <v/>
      </c>
      <c r="I1826">
        <f>IF(ISNUMBER(INDEX('Term investments'!$G:$G,ROW())),1,0)</f>
        <v/>
      </c>
      <c r="J1826">
        <f>TRIM(SUBSTITUTE(INDEX('Call accounts and MMFs'!$A:$A,ROW())&amp;""," "," "))</f>
        <v/>
      </c>
      <c r="K1826">
        <f>TRIM(SUBSTITUTE(INDEX('Call accounts and MMFs'!$B:$B,ROW())&amp;""," "," "))</f>
        <v/>
      </c>
      <c r="L1826">
        <f>TRIM(SUBSTITUTE(INDEX('Call accounts and MMFs'!$C:$C,ROW())&amp;""," "," "))</f>
        <v/>
      </c>
      <c r="M1826">
        <f>IFERROR(--INDEX('Call accounts and MMFs'!$D:$D,ROW()),0)</f>
        <v/>
      </c>
      <c r="N1826">
        <f>IFERROR(IF(--INDEX('Call accounts and MMFs'!$E:$E,ROW())&gt;=1,--INDEX('Call accounts and MMFs'!$E:$E,ROW())/100,--INDEX('Call accounts and MMFs'!$E:$E,ROW())),0)</f>
        <v/>
      </c>
      <c r="O1826">
        <f>IFERROR(--INDEX('Call accounts and MMFs'!$F:$F,ROW()),0)</f>
        <v/>
      </c>
      <c r="P1826">
        <f>IF(ISNUMBER(INDEX('Call accounts and MMFs'!$E:$E,ROW())),1,0)</f>
        <v/>
      </c>
      <c r="Q1826">
        <f>TRIM(SUBSTITUTE(INDEX('Pooled funds'!$B:$B,ROW())&amp;""," "," "))</f>
        <v/>
      </c>
      <c r="R1826">
        <f>IFERROR(--INDEX('Pooled funds'!$C:$C,ROW()),0)</f>
        <v/>
      </c>
      <c r="S1826">
        <f>IFERROR(--INDEX('Pooled funds'!$D:$D,ROW()),0)</f>
        <v/>
      </c>
      <c r="T1826">
        <f>IFERROR(IF(--INDEX('Pooled funds'!$E:$E,ROW())&gt;=1,--INDEX('Pooled funds'!$E:$E,ROW())/100,--INDEX('Pooled funds'!$E:$E,ROW())),0)</f>
        <v/>
      </c>
      <c r="U1826">
        <f>IF(ISNUMBER(INDEX('Pooled funds'!$E:$E,ROW())),1,0)</f>
        <v/>
      </c>
    </row>
    <row r="1827">
      <c r="A1827">
        <f>TRIM(SUBSTITUTE(INDEX('Term investments'!$A:$A,ROW())&amp;""," "," "))</f>
        <v/>
      </c>
      <c r="B1827">
        <f>TRIM(SUBSTITUTE(INDEX('Term investments'!$B:$B,ROW())&amp;""," "," "))</f>
        <v/>
      </c>
      <c r="C1827">
        <f>TRIM(SUBSTITUTE(INDEX('Term investments'!$C:$C,ROW())&amp;""," "," "))</f>
        <v/>
      </c>
      <c r="D1827">
        <f>IFERROR(--INDEX('Term investments'!$D:$D,ROW()),0)</f>
        <v/>
      </c>
      <c r="E1827">
        <f>IFERROR(--INDEX('Term investments'!$E:$E,ROW()),0)</f>
        <v/>
      </c>
      <c r="F1827">
        <f>IFERROR(--INDEX('Term investments'!$F:$F,ROW()),0)</f>
        <v/>
      </c>
      <c r="G1827">
        <f>IFERROR(IF(--INDEX('Term investments'!$G:$G,ROW())&gt;=1,--INDEX('Term investments'!$G:$G,ROW())/100,--INDEX('Term investments'!$G:$G,ROW())),0)</f>
        <v/>
      </c>
      <c r="H1827">
        <f>IFERROR(--INDEX('Term investments'!$H:$H,ROW()),0)</f>
        <v/>
      </c>
      <c r="I1827">
        <f>IF(ISNUMBER(INDEX('Term investments'!$G:$G,ROW())),1,0)</f>
        <v/>
      </c>
      <c r="J1827">
        <f>TRIM(SUBSTITUTE(INDEX('Call accounts and MMFs'!$A:$A,ROW())&amp;""," "," "))</f>
        <v/>
      </c>
      <c r="K1827">
        <f>TRIM(SUBSTITUTE(INDEX('Call accounts and MMFs'!$B:$B,ROW())&amp;""," "," "))</f>
        <v/>
      </c>
      <c r="L1827">
        <f>TRIM(SUBSTITUTE(INDEX('Call accounts and MMFs'!$C:$C,ROW())&amp;""," "," "))</f>
        <v/>
      </c>
      <c r="M1827">
        <f>IFERROR(--INDEX('Call accounts and MMFs'!$D:$D,ROW()),0)</f>
        <v/>
      </c>
      <c r="N1827">
        <f>IFERROR(IF(--INDEX('Call accounts and MMFs'!$E:$E,ROW())&gt;=1,--INDEX('Call accounts and MMFs'!$E:$E,ROW())/100,--INDEX('Call accounts and MMFs'!$E:$E,ROW())),0)</f>
        <v/>
      </c>
      <c r="O1827">
        <f>IFERROR(--INDEX('Call accounts and MMFs'!$F:$F,ROW()),0)</f>
        <v/>
      </c>
      <c r="P1827">
        <f>IF(ISNUMBER(INDEX('Call accounts and MMFs'!$E:$E,ROW())),1,0)</f>
        <v/>
      </c>
      <c r="Q1827">
        <f>TRIM(SUBSTITUTE(INDEX('Pooled funds'!$B:$B,ROW())&amp;""," "," "))</f>
        <v/>
      </c>
      <c r="R1827">
        <f>IFERROR(--INDEX('Pooled funds'!$C:$C,ROW()),0)</f>
        <v/>
      </c>
      <c r="S1827">
        <f>IFERROR(--INDEX('Pooled funds'!$D:$D,ROW()),0)</f>
        <v/>
      </c>
      <c r="T1827">
        <f>IFERROR(IF(--INDEX('Pooled funds'!$E:$E,ROW())&gt;=1,--INDEX('Pooled funds'!$E:$E,ROW())/100,--INDEX('Pooled funds'!$E:$E,ROW())),0)</f>
        <v/>
      </c>
      <c r="U1827">
        <f>IF(ISNUMBER(INDEX('Pooled funds'!$E:$E,ROW())),1,0)</f>
        <v/>
      </c>
    </row>
    <row r="1828">
      <c r="A1828">
        <f>TRIM(SUBSTITUTE(INDEX('Term investments'!$A:$A,ROW())&amp;""," "," "))</f>
        <v/>
      </c>
      <c r="B1828">
        <f>TRIM(SUBSTITUTE(INDEX('Term investments'!$B:$B,ROW())&amp;""," "," "))</f>
        <v/>
      </c>
      <c r="C1828">
        <f>TRIM(SUBSTITUTE(INDEX('Term investments'!$C:$C,ROW())&amp;""," "," "))</f>
        <v/>
      </c>
      <c r="D1828">
        <f>IFERROR(--INDEX('Term investments'!$D:$D,ROW()),0)</f>
        <v/>
      </c>
      <c r="E1828">
        <f>IFERROR(--INDEX('Term investments'!$E:$E,ROW()),0)</f>
        <v/>
      </c>
      <c r="F1828">
        <f>IFERROR(--INDEX('Term investments'!$F:$F,ROW()),0)</f>
        <v/>
      </c>
      <c r="G1828">
        <f>IFERROR(IF(--INDEX('Term investments'!$G:$G,ROW())&gt;=1,--INDEX('Term investments'!$G:$G,ROW())/100,--INDEX('Term investments'!$G:$G,ROW())),0)</f>
        <v/>
      </c>
      <c r="H1828">
        <f>IFERROR(--INDEX('Term investments'!$H:$H,ROW()),0)</f>
        <v/>
      </c>
      <c r="I1828">
        <f>IF(ISNUMBER(INDEX('Term investments'!$G:$G,ROW())),1,0)</f>
        <v/>
      </c>
      <c r="J1828">
        <f>TRIM(SUBSTITUTE(INDEX('Call accounts and MMFs'!$A:$A,ROW())&amp;""," "," "))</f>
        <v/>
      </c>
      <c r="K1828">
        <f>TRIM(SUBSTITUTE(INDEX('Call accounts and MMFs'!$B:$B,ROW())&amp;""," "," "))</f>
        <v/>
      </c>
      <c r="L1828">
        <f>TRIM(SUBSTITUTE(INDEX('Call accounts and MMFs'!$C:$C,ROW())&amp;""," "," "))</f>
        <v/>
      </c>
      <c r="M1828">
        <f>IFERROR(--INDEX('Call accounts and MMFs'!$D:$D,ROW()),0)</f>
        <v/>
      </c>
      <c r="N1828">
        <f>IFERROR(IF(--INDEX('Call accounts and MMFs'!$E:$E,ROW())&gt;=1,--INDEX('Call accounts and MMFs'!$E:$E,ROW())/100,--INDEX('Call accounts and MMFs'!$E:$E,ROW())),0)</f>
        <v/>
      </c>
      <c r="O1828">
        <f>IFERROR(--INDEX('Call accounts and MMFs'!$F:$F,ROW()),0)</f>
        <v/>
      </c>
      <c r="P1828">
        <f>IF(ISNUMBER(INDEX('Call accounts and MMFs'!$E:$E,ROW())),1,0)</f>
        <v/>
      </c>
      <c r="Q1828">
        <f>TRIM(SUBSTITUTE(INDEX('Pooled funds'!$B:$B,ROW())&amp;""," "," "))</f>
        <v/>
      </c>
      <c r="R1828">
        <f>IFERROR(--INDEX('Pooled funds'!$C:$C,ROW()),0)</f>
        <v/>
      </c>
      <c r="S1828">
        <f>IFERROR(--INDEX('Pooled funds'!$D:$D,ROW()),0)</f>
        <v/>
      </c>
      <c r="T1828">
        <f>IFERROR(IF(--INDEX('Pooled funds'!$E:$E,ROW())&gt;=1,--INDEX('Pooled funds'!$E:$E,ROW())/100,--INDEX('Pooled funds'!$E:$E,ROW())),0)</f>
        <v/>
      </c>
      <c r="U1828">
        <f>IF(ISNUMBER(INDEX('Pooled funds'!$E:$E,ROW())),1,0)</f>
        <v/>
      </c>
    </row>
    <row r="1829">
      <c r="A1829">
        <f>TRIM(SUBSTITUTE(INDEX('Term investments'!$A:$A,ROW())&amp;""," "," "))</f>
        <v/>
      </c>
      <c r="B1829">
        <f>TRIM(SUBSTITUTE(INDEX('Term investments'!$B:$B,ROW())&amp;""," "," "))</f>
        <v/>
      </c>
      <c r="C1829">
        <f>TRIM(SUBSTITUTE(INDEX('Term investments'!$C:$C,ROW())&amp;""," "," "))</f>
        <v/>
      </c>
      <c r="D1829">
        <f>IFERROR(--INDEX('Term investments'!$D:$D,ROW()),0)</f>
        <v/>
      </c>
      <c r="E1829">
        <f>IFERROR(--INDEX('Term investments'!$E:$E,ROW()),0)</f>
        <v/>
      </c>
      <c r="F1829">
        <f>IFERROR(--INDEX('Term investments'!$F:$F,ROW()),0)</f>
        <v/>
      </c>
      <c r="G1829">
        <f>IFERROR(IF(--INDEX('Term investments'!$G:$G,ROW())&gt;=1,--INDEX('Term investments'!$G:$G,ROW())/100,--INDEX('Term investments'!$G:$G,ROW())),0)</f>
        <v/>
      </c>
      <c r="H1829">
        <f>IFERROR(--INDEX('Term investments'!$H:$H,ROW()),0)</f>
        <v/>
      </c>
      <c r="I1829">
        <f>IF(ISNUMBER(INDEX('Term investments'!$G:$G,ROW())),1,0)</f>
        <v/>
      </c>
      <c r="J1829">
        <f>TRIM(SUBSTITUTE(INDEX('Call accounts and MMFs'!$A:$A,ROW())&amp;""," "," "))</f>
        <v/>
      </c>
      <c r="K1829">
        <f>TRIM(SUBSTITUTE(INDEX('Call accounts and MMFs'!$B:$B,ROW())&amp;""," "," "))</f>
        <v/>
      </c>
      <c r="L1829">
        <f>TRIM(SUBSTITUTE(INDEX('Call accounts and MMFs'!$C:$C,ROW())&amp;""," "," "))</f>
        <v/>
      </c>
      <c r="M1829">
        <f>IFERROR(--INDEX('Call accounts and MMFs'!$D:$D,ROW()),0)</f>
        <v/>
      </c>
      <c r="N1829">
        <f>IFERROR(IF(--INDEX('Call accounts and MMFs'!$E:$E,ROW())&gt;=1,--INDEX('Call accounts and MMFs'!$E:$E,ROW())/100,--INDEX('Call accounts and MMFs'!$E:$E,ROW())),0)</f>
        <v/>
      </c>
      <c r="O1829">
        <f>IFERROR(--INDEX('Call accounts and MMFs'!$F:$F,ROW()),0)</f>
        <v/>
      </c>
      <c r="P1829">
        <f>IF(ISNUMBER(INDEX('Call accounts and MMFs'!$E:$E,ROW())),1,0)</f>
        <v/>
      </c>
      <c r="Q1829">
        <f>TRIM(SUBSTITUTE(INDEX('Pooled funds'!$B:$B,ROW())&amp;""," "," "))</f>
        <v/>
      </c>
      <c r="R1829">
        <f>IFERROR(--INDEX('Pooled funds'!$C:$C,ROW()),0)</f>
        <v/>
      </c>
      <c r="S1829">
        <f>IFERROR(--INDEX('Pooled funds'!$D:$D,ROW()),0)</f>
        <v/>
      </c>
      <c r="T1829">
        <f>IFERROR(IF(--INDEX('Pooled funds'!$E:$E,ROW())&gt;=1,--INDEX('Pooled funds'!$E:$E,ROW())/100,--INDEX('Pooled funds'!$E:$E,ROW())),0)</f>
        <v/>
      </c>
      <c r="U1829">
        <f>IF(ISNUMBER(INDEX('Pooled funds'!$E:$E,ROW())),1,0)</f>
        <v/>
      </c>
    </row>
    <row r="1830">
      <c r="A1830">
        <f>TRIM(SUBSTITUTE(INDEX('Term investments'!$A:$A,ROW())&amp;""," "," "))</f>
        <v/>
      </c>
      <c r="B1830">
        <f>TRIM(SUBSTITUTE(INDEX('Term investments'!$B:$B,ROW())&amp;""," "," "))</f>
        <v/>
      </c>
      <c r="C1830">
        <f>TRIM(SUBSTITUTE(INDEX('Term investments'!$C:$C,ROW())&amp;""," "," "))</f>
        <v/>
      </c>
      <c r="D1830">
        <f>IFERROR(--INDEX('Term investments'!$D:$D,ROW()),0)</f>
        <v/>
      </c>
      <c r="E1830">
        <f>IFERROR(--INDEX('Term investments'!$E:$E,ROW()),0)</f>
        <v/>
      </c>
      <c r="F1830">
        <f>IFERROR(--INDEX('Term investments'!$F:$F,ROW()),0)</f>
        <v/>
      </c>
      <c r="G1830">
        <f>IFERROR(IF(--INDEX('Term investments'!$G:$G,ROW())&gt;=1,--INDEX('Term investments'!$G:$G,ROW())/100,--INDEX('Term investments'!$G:$G,ROW())),0)</f>
        <v/>
      </c>
      <c r="H1830">
        <f>IFERROR(--INDEX('Term investments'!$H:$H,ROW()),0)</f>
        <v/>
      </c>
      <c r="I1830">
        <f>IF(ISNUMBER(INDEX('Term investments'!$G:$G,ROW())),1,0)</f>
        <v/>
      </c>
      <c r="J1830">
        <f>TRIM(SUBSTITUTE(INDEX('Call accounts and MMFs'!$A:$A,ROW())&amp;""," "," "))</f>
        <v/>
      </c>
      <c r="K1830">
        <f>TRIM(SUBSTITUTE(INDEX('Call accounts and MMFs'!$B:$B,ROW())&amp;""," "," "))</f>
        <v/>
      </c>
      <c r="L1830">
        <f>TRIM(SUBSTITUTE(INDEX('Call accounts and MMFs'!$C:$C,ROW())&amp;""," "," "))</f>
        <v/>
      </c>
      <c r="M1830">
        <f>IFERROR(--INDEX('Call accounts and MMFs'!$D:$D,ROW()),0)</f>
        <v/>
      </c>
      <c r="N1830">
        <f>IFERROR(IF(--INDEX('Call accounts and MMFs'!$E:$E,ROW())&gt;=1,--INDEX('Call accounts and MMFs'!$E:$E,ROW())/100,--INDEX('Call accounts and MMFs'!$E:$E,ROW())),0)</f>
        <v/>
      </c>
      <c r="O1830">
        <f>IFERROR(--INDEX('Call accounts and MMFs'!$F:$F,ROW()),0)</f>
        <v/>
      </c>
      <c r="P1830">
        <f>IF(ISNUMBER(INDEX('Call accounts and MMFs'!$E:$E,ROW())),1,0)</f>
        <v/>
      </c>
      <c r="Q1830">
        <f>TRIM(SUBSTITUTE(INDEX('Pooled funds'!$B:$B,ROW())&amp;""," "," "))</f>
        <v/>
      </c>
      <c r="R1830">
        <f>IFERROR(--INDEX('Pooled funds'!$C:$C,ROW()),0)</f>
        <v/>
      </c>
      <c r="S1830">
        <f>IFERROR(--INDEX('Pooled funds'!$D:$D,ROW()),0)</f>
        <v/>
      </c>
      <c r="T1830">
        <f>IFERROR(IF(--INDEX('Pooled funds'!$E:$E,ROW())&gt;=1,--INDEX('Pooled funds'!$E:$E,ROW())/100,--INDEX('Pooled funds'!$E:$E,ROW())),0)</f>
        <v/>
      </c>
      <c r="U1830">
        <f>IF(ISNUMBER(INDEX('Pooled funds'!$E:$E,ROW())),1,0)</f>
        <v/>
      </c>
    </row>
    <row r="1831">
      <c r="A1831">
        <f>TRIM(SUBSTITUTE(INDEX('Term investments'!$A:$A,ROW())&amp;""," "," "))</f>
        <v/>
      </c>
      <c r="B1831">
        <f>TRIM(SUBSTITUTE(INDEX('Term investments'!$B:$B,ROW())&amp;""," "," "))</f>
        <v/>
      </c>
      <c r="C1831">
        <f>TRIM(SUBSTITUTE(INDEX('Term investments'!$C:$C,ROW())&amp;""," "," "))</f>
        <v/>
      </c>
      <c r="D1831">
        <f>IFERROR(--INDEX('Term investments'!$D:$D,ROW()),0)</f>
        <v/>
      </c>
      <c r="E1831">
        <f>IFERROR(--INDEX('Term investments'!$E:$E,ROW()),0)</f>
        <v/>
      </c>
      <c r="F1831">
        <f>IFERROR(--INDEX('Term investments'!$F:$F,ROW()),0)</f>
        <v/>
      </c>
      <c r="G1831">
        <f>IFERROR(IF(--INDEX('Term investments'!$G:$G,ROW())&gt;=1,--INDEX('Term investments'!$G:$G,ROW())/100,--INDEX('Term investments'!$G:$G,ROW())),0)</f>
        <v/>
      </c>
      <c r="H1831">
        <f>IFERROR(--INDEX('Term investments'!$H:$H,ROW()),0)</f>
        <v/>
      </c>
      <c r="I1831">
        <f>IF(ISNUMBER(INDEX('Term investments'!$G:$G,ROW())),1,0)</f>
        <v/>
      </c>
      <c r="J1831">
        <f>TRIM(SUBSTITUTE(INDEX('Call accounts and MMFs'!$A:$A,ROW())&amp;""," "," "))</f>
        <v/>
      </c>
      <c r="K1831">
        <f>TRIM(SUBSTITUTE(INDEX('Call accounts and MMFs'!$B:$B,ROW())&amp;""," "," "))</f>
        <v/>
      </c>
      <c r="L1831">
        <f>TRIM(SUBSTITUTE(INDEX('Call accounts and MMFs'!$C:$C,ROW())&amp;""," "," "))</f>
        <v/>
      </c>
      <c r="M1831">
        <f>IFERROR(--INDEX('Call accounts and MMFs'!$D:$D,ROW()),0)</f>
        <v/>
      </c>
      <c r="N1831">
        <f>IFERROR(IF(--INDEX('Call accounts and MMFs'!$E:$E,ROW())&gt;=1,--INDEX('Call accounts and MMFs'!$E:$E,ROW())/100,--INDEX('Call accounts and MMFs'!$E:$E,ROW())),0)</f>
        <v/>
      </c>
      <c r="O1831">
        <f>IFERROR(--INDEX('Call accounts and MMFs'!$F:$F,ROW()),0)</f>
        <v/>
      </c>
      <c r="P1831">
        <f>IF(ISNUMBER(INDEX('Call accounts and MMFs'!$E:$E,ROW())),1,0)</f>
        <v/>
      </c>
      <c r="Q1831">
        <f>TRIM(SUBSTITUTE(INDEX('Pooled funds'!$B:$B,ROW())&amp;""," "," "))</f>
        <v/>
      </c>
      <c r="R1831">
        <f>IFERROR(--INDEX('Pooled funds'!$C:$C,ROW()),0)</f>
        <v/>
      </c>
      <c r="S1831">
        <f>IFERROR(--INDEX('Pooled funds'!$D:$D,ROW()),0)</f>
        <v/>
      </c>
      <c r="T1831">
        <f>IFERROR(IF(--INDEX('Pooled funds'!$E:$E,ROW())&gt;=1,--INDEX('Pooled funds'!$E:$E,ROW())/100,--INDEX('Pooled funds'!$E:$E,ROW())),0)</f>
        <v/>
      </c>
      <c r="U1831">
        <f>IF(ISNUMBER(INDEX('Pooled funds'!$E:$E,ROW())),1,0)</f>
        <v/>
      </c>
    </row>
    <row r="1832">
      <c r="A1832">
        <f>TRIM(SUBSTITUTE(INDEX('Term investments'!$A:$A,ROW())&amp;""," "," "))</f>
        <v/>
      </c>
      <c r="B1832">
        <f>TRIM(SUBSTITUTE(INDEX('Term investments'!$B:$B,ROW())&amp;""," "," "))</f>
        <v/>
      </c>
      <c r="C1832">
        <f>TRIM(SUBSTITUTE(INDEX('Term investments'!$C:$C,ROW())&amp;""," "," "))</f>
        <v/>
      </c>
      <c r="D1832">
        <f>IFERROR(--INDEX('Term investments'!$D:$D,ROW()),0)</f>
        <v/>
      </c>
      <c r="E1832">
        <f>IFERROR(--INDEX('Term investments'!$E:$E,ROW()),0)</f>
        <v/>
      </c>
      <c r="F1832">
        <f>IFERROR(--INDEX('Term investments'!$F:$F,ROW()),0)</f>
        <v/>
      </c>
      <c r="G1832">
        <f>IFERROR(IF(--INDEX('Term investments'!$G:$G,ROW())&gt;=1,--INDEX('Term investments'!$G:$G,ROW())/100,--INDEX('Term investments'!$G:$G,ROW())),0)</f>
        <v/>
      </c>
      <c r="H1832">
        <f>IFERROR(--INDEX('Term investments'!$H:$H,ROW()),0)</f>
        <v/>
      </c>
      <c r="I1832">
        <f>IF(ISNUMBER(INDEX('Term investments'!$G:$G,ROW())),1,0)</f>
        <v/>
      </c>
      <c r="J1832">
        <f>TRIM(SUBSTITUTE(INDEX('Call accounts and MMFs'!$A:$A,ROW())&amp;""," "," "))</f>
        <v/>
      </c>
      <c r="K1832">
        <f>TRIM(SUBSTITUTE(INDEX('Call accounts and MMFs'!$B:$B,ROW())&amp;""," "," "))</f>
        <v/>
      </c>
      <c r="L1832">
        <f>TRIM(SUBSTITUTE(INDEX('Call accounts and MMFs'!$C:$C,ROW())&amp;""," "," "))</f>
        <v/>
      </c>
      <c r="M1832">
        <f>IFERROR(--INDEX('Call accounts and MMFs'!$D:$D,ROW()),0)</f>
        <v/>
      </c>
      <c r="N1832">
        <f>IFERROR(IF(--INDEX('Call accounts and MMFs'!$E:$E,ROW())&gt;=1,--INDEX('Call accounts and MMFs'!$E:$E,ROW())/100,--INDEX('Call accounts and MMFs'!$E:$E,ROW())),0)</f>
        <v/>
      </c>
      <c r="O1832">
        <f>IFERROR(--INDEX('Call accounts and MMFs'!$F:$F,ROW()),0)</f>
        <v/>
      </c>
      <c r="P1832">
        <f>IF(ISNUMBER(INDEX('Call accounts and MMFs'!$E:$E,ROW())),1,0)</f>
        <v/>
      </c>
      <c r="Q1832">
        <f>TRIM(SUBSTITUTE(INDEX('Pooled funds'!$B:$B,ROW())&amp;""," "," "))</f>
        <v/>
      </c>
      <c r="R1832">
        <f>IFERROR(--INDEX('Pooled funds'!$C:$C,ROW()),0)</f>
        <v/>
      </c>
      <c r="S1832">
        <f>IFERROR(--INDEX('Pooled funds'!$D:$D,ROW()),0)</f>
        <v/>
      </c>
      <c r="T1832">
        <f>IFERROR(IF(--INDEX('Pooled funds'!$E:$E,ROW())&gt;=1,--INDEX('Pooled funds'!$E:$E,ROW())/100,--INDEX('Pooled funds'!$E:$E,ROW())),0)</f>
        <v/>
      </c>
      <c r="U1832">
        <f>IF(ISNUMBER(INDEX('Pooled funds'!$E:$E,ROW())),1,0)</f>
        <v/>
      </c>
    </row>
    <row r="1833">
      <c r="A1833">
        <f>TRIM(SUBSTITUTE(INDEX('Term investments'!$A:$A,ROW())&amp;""," "," "))</f>
        <v/>
      </c>
      <c r="B1833">
        <f>TRIM(SUBSTITUTE(INDEX('Term investments'!$B:$B,ROW())&amp;""," "," "))</f>
        <v/>
      </c>
      <c r="C1833">
        <f>TRIM(SUBSTITUTE(INDEX('Term investments'!$C:$C,ROW())&amp;""," "," "))</f>
        <v/>
      </c>
      <c r="D1833">
        <f>IFERROR(--INDEX('Term investments'!$D:$D,ROW()),0)</f>
        <v/>
      </c>
      <c r="E1833">
        <f>IFERROR(--INDEX('Term investments'!$E:$E,ROW()),0)</f>
        <v/>
      </c>
      <c r="F1833">
        <f>IFERROR(--INDEX('Term investments'!$F:$F,ROW()),0)</f>
        <v/>
      </c>
      <c r="G1833">
        <f>IFERROR(IF(--INDEX('Term investments'!$G:$G,ROW())&gt;=1,--INDEX('Term investments'!$G:$G,ROW())/100,--INDEX('Term investments'!$G:$G,ROW())),0)</f>
        <v/>
      </c>
      <c r="H1833">
        <f>IFERROR(--INDEX('Term investments'!$H:$H,ROW()),0)</f>
        <v/>
      </c>
      <c r="I1833">
        <f>IF(ISNUMBER(INDEX('Term investments'!$G:$G,ROW())),1,0)</f>
        <v/>
      </c>
      <c r="J1833">
        <f>TRIM(SUBSTITUTE(INDEX('Call accounts and MMFs'!$A:$A,ROW())&amp;""," "," "))</f>
        <v/>
      </c>
      <c r="K1833">
        <f>TRIM(SUBSTITUTE(INDEX('Call accounts and MMFs'!$B:$B,ROW())&amp;""," "," "))</f>
        <v/>
      </c>
      <c r="L1833">
        <f>TRIM(SUBSTITUTE(INDEX('Call accounts and MMFs'!$C:$C,ROW())&amp;""," "," "))</f>
        <v/>
      </c>
      <c r="M1833">
        <f>IFERROR(--INDEX('Call accounts and MMFs'!$D:$D,ROW()),0)</f>
        <v/>
      </c>
      <c r="N1833">
        <f>IFERROR(IF(--INDEX('Call accounts and MMFs'!$E:$E,ROW())&gt;=1,--INDEX('Call accounts and MMFs'!$E:$E,ROW())/100,--INDEX('Call accounts and MMFs'!$E:$E,ROW())),0)</f>
        <v/>
      </c>
      <c r="O1833">
        <f>IFERROR(--INDEX('Call accounts and MMFs'!$F:$F,ROW()),0)</f>
        <v/>
      </c>
      <c r="P1833">
        <f>IF(ISNUMBER(INDEX('Call accounts and MMFs'!$E:$E,ROW())),1,0)</f>
        <v/>
      </c>
      <c r="Q1833">
        <f>TRIM(SUBSTITUTE(INDEX('Pooled funds'!$B:$B,ROW())&amp;""," "," "))</f>
        <v/>
      </c>
      <c r="R1833">
        <f>IFERROR(--INDEX('Pooled funds'!$C:$C,ROW()),0)</f>
        <v/>
      </c>
      <c r="S1833">
        <f>IFERROR(--INDEX('Pooled funds'!$D:$D,ROW()),0)</f>
        <v/>
      </c>
      <c r="T1833">
        <f>IFERROR(IF(--INDEX('Pooled funds'!$E:$E,ROW())&gt;=1,--INDEX('Pooled funds'!$E:$E,ROW())/100,--INDEX('Pooled funds'!$E:$E,ROW())),0)</f>
        <v/>
      </c>
      <c r="U1833">
        <f>IF(ISNUMBER(INDEX('Pooled funds'!$E:$E,ROW())),1,0)</f>
        <v/>
      </c>
    </row>
    <row r="1834">
      <c r="A1834">
        <f>TRIM(SUBSTITUTE(INDEX('Term investments'!$A:$A,ROW())&amp;""," "," "))</f>
        <v/>
      </c>
      <c r="B1834">
        <f>TRIM(SUBSTITUTE(INDEX('Term investments'!$B:$B,ROW())&amp;""," "," "))</f>
        <v/>
      </c>
      <c r="C1834">
        <f>TRIM(SUBSTITUTE(INDEX('Term investments'!$C:$C,ROW())&amp;""," "," "))</f>
        <v/>
      </c>
      <c r="D1834">
        <f>IFERROR(--INDEX('Term investments'!$D:$D,ROW()),0)</f>
        <v/>
      </c>
      <c r="E1834">
        <f>IFERROR(--INDEX('Term investments'!$E:$E,ROW()),0)</f>
        <v/>
      </c>
      <c r="F1834">
        <f>IFERROR(--INDEX('Term investments'!$F:$F,ROW()),0)</f>
        <v/>
      </c>
      <c r="G1834">
        <f>IFERROR(IF(--INDEX('Term investments'!$G:$G,ROW())&gt;=1,--INDEX('Term investments'!$G:$G,ROW())/100,--INDEX('Term investments'!$G:$G,ROW())),0)</f>
        <v/>
      </c>
      <c r="H1834">
        <f>IFERROR(--INDEX('Term investments'!$H:$H,ROW()),0)</f>
        <v/>
      </c>
      <c r="I1834">
        <f>IF(ISNUMBER(INDEX('Term investments'!$G:$G,ROW())),1,0)</f>
        <v/>
      </c>
      <c r="J1834">
        <f>TRIM(SUBSTITUTE(INDEX('Call accounts and MMFs'!$A:$A,ROW())&amp;""," "," "))</f>
        <v/>
      </c>
      <c r="K1834">
        <f>TRIM(SUBSTITUTE(INDEX('Call accounts and MMFs'!$B:$B,ROW())&amp;""," "," "))</f>
        <v/>
      </c>
      <c r="L1834">
        <f>TRIM(SUBSTITUTE(INDEX('Call accounts and MMFs'!$C:$C,ROW())&amp;""," "," "))</f>
        <v/>
      </c>
      <c r="M1834">
        <f>IFERROR(--INDEX('Call accounts and MMFs'!$D:$D,ROW()),0)</f>
        <v/>
      </c>
      <c r="N1834">
        <f>IFERROR(IF(--INDEX('Call accounts and MMFs'!$E:$E,ROW())&gt;=1,--INDEX('Call accounts and MMFs'!$E:$E,ROW())/100,--INDEX('Call accounts and MMFs'!$E:$E,ROW())),0)</f>
        <v/>
      </c>
      <c r="O1834">
        <f>IFERROR(--INDEX('Call accounts and MMFs'!$F:$F,ROW()),0)</f>
        <v/>
      </c>
      <c r="P1834">
        <f>IF(ISNUMBER(INDEX('Call accounts and MMFs'!$E:$E,ROW())),1,0)</f>
        <v/>
      </c>
      <c r="Q1834">
        <f>TRIM(SUBSTITUTE(INDEX('Pooled funds'!$B:$B,ROW())&amp;""," "," "))</f>
        <v/>
      </c>
      <c r="R1834">
        <f>IFERROR(--INDEX('Pooled funds'!$C:$C,ROW()),0)</f>
        <v/>
      </c>
      <c r="S1834">
        <f>IFERROR(--INDEX('Pooled funds'!$D:$D,ROW()),0)</f>
        <v/>
      </c>
      <c r="T1834">
        <f>IFERROR(IF(--INDEX('Pooled funds'!$E:$E,ROW())&gt;=1,--INDEX('Pooled funds'!$E:$E,ROW())/100,--INDEX('Pooled funds'!$E:$E,ROW())),0)</f>
        <v/>
      </c>
      <c r="U1834">
        <f>IF(ISNUMBER(INDEX('Pooled funds'!$E:$E,ROW())),1,0)</f>
        <v/>
      </c>
    </row>
    <row r="1835">
      <c r="A1835">
        <f>TRIM(SUBSTITUTE(INDEX('Term investments'!$A:$A,ROW())&amp;""," "," "))</f>
        <v/>
      </c>
      <c r="B1835">
        <f>TRIM(SUBSTITUTE(INDEX('Term investments'!$B:$B,ROW())&amp;""," "," "))</f>
        <v/>
      </c>
      <c r="C1835">
        <f>TRIM(SUBSTITUTE(INDEX('Term investments'!$C:$C,ROW())&amp;""," "," "))</f>
        <v/>
      </c>
      <c r="D1835">
        <f>IFERROR(--INDEX('Term investments'!$D:$D,ROW()),0)</f>
        <v/>
      </c>
      <c r="E1835">
        <f>IFERROR(--INDEX('Term investments'!$E:$E,ROW()),0)</f>
        <v/>
      </c>
      <c r="F1835">
        <f>IFERROR(--INDEX('Term investments'!$F:$F,ROW()),0)</f>
        <v/>
      </c>
      <c r="G1835">
        <f>IFERROR(IF(--INDEX('Term investments'!$G:$G,ROW())&gt;=1,--INDEX('Term investments'!$G:$G,ROW())/100,--INDEX('Term investments'!$G:$G,ROW())),0)</f>
        <v/>
      </c>
      <c r="H1835">
        <f>IFERROR(--INDEX('Term investments'!$H:$H,ROW()),0)</f>
        <v/>
      </c>
      <c r="I1835">
        <f>IF(ISNUMBER(INDEX('Term investments'!$G:$G,ROW())),1,0)</f>
        <v/>
      </c>
      <c r="J1835">
        <f>TRIM(SUBSTITUTE(INDEX('Call accounts and MMFs'!$A:$A,ROW())&amp;""," "," "))</f>
        <v/>
      </c>
      <c r="K1835">
        <f>TRIM(SUBSTITUTE(INDEX('Call accounts and MMFs'!$B:$B,ROW())&amp;""," "," "))</f>
        <v/>
      </c>
      <c r="L1835">
        <f>TRIM(SUBSTITUTE(INDEX('Call accounts and MMFs'!$C:$C,ROW())&amp;""," "," "))</f>
        <v/>
      </c>
      <c r="M1835">
        <f>IFERROR(--INDEX('Call accounts and MMFs'!$D:$D,ROW()),0)</f>
        <v/>
      </c>
      <c r="N1835">
        <f>IFERROR(IF(--INDEX('Call accounts and MMFs'!$E:$E,ROW())&gt;=1,--INDEX('Call accounts and MMFs'!$E:$E,ROW())/100,--INDEX('Call accounts and MMFs'!$E:$E,ROW())),0)</f>
        <v/>
      </c>
      <c r="O1835">
        <f>IFERROR(--INDEX('Call accounts and MMFs'!$F:$F,ROW()),0)</f>
        <v/>
      </c>
      <c r="P1835">
        <f>IF(ISNUMBER(INDEX('Call accounts and MMFs'!$E:$E,ROW())),1,0)</f>
        <v/>
      </c>
      <c r="Q1835">
        <f>TRIM(SUBSTITUTE(INDEX('Pooled funds'!$B:$B,ROW())&amp;""," "," "))</f>
        <v/>
      </c>
      <c r="R1835">
        <f>IFERROR(--INDEX('Pooled funds'!$C:$C,ROW()),0)</f>
        <v/>
      </c>
      <c r="S1835">
        <f>IFERROR(--INDEX('Pooled funds'!$D:$D,ROW()),0)</f>
        <v/>
      </c>
      <c r="T1835">
        <f>IFERROR(IF(--INDEX('Pooled funds'!$E:$E,ROW())&gt;=1,--INDEX('Pooled funds'!$E:$E,ROW())/100,--INDEX('Pooled funds'!$E:$E,ROW())),0)</f>
        <v/>
      </c>
      <c r="U1835">
        <f>IF(ISNUMBER(INDEX('Pooled funds'!$E:$E,ROW())),1,0)</f>
        <v/>
      </c>
    </row>
    <row r="1836">
      <c r="A1836">
        <f>TRIM(SUBSTITUTE(INDEX('Term investments'!$A:$A,ROW())&amp;""," "," "))</f>
        <v/>
      </c>
      <c r="B1836">
        <f>TRIM(SUBSTITUTE(INDEX('Term investments'!$B:$B,ROW())&amp;""," "," "))</f>
        <v/>
      </c>
      <c r="C1836">
        <f>TRIM(SUBSTITUTE(INDEX('Term investments'!$C:$C,ROW())&amp;""," "," "))</f>
        <v/>
      </c>
      <c r="D1836">
        <f>IFERROR(--INDEX('Term investments'!$D:$D,ROW()),0)</f>
        <v/>
      </c>
      <c r="E1836">
        <f>IFERROR(--INDEX('Term investments'!$E:$E,ROW()),0)</f>
        <v/>
      </c>
      <c r="F1836">
        <f>IFERROR(--INDEX('Term investments'!$F:$F,ROW()),0)</f>
        <v/>
      </c>
      <c r="G1836">
        <f>IFERROR(IF(--INDEX('Term investments'!$G:$G,ROW())&gt;=1,--INDEX('Term investments'!$G:$G,ROW())/100,--INDEX('Term investments'!$G:$G,ROW())),0)</f>
        <v/>
      </c>
      <c r="H1836">
        <f>IFERROR(--INDEX('Term investments'!$H:$H,ROW()),0)</f>
        <v/>
      </c>
      <c r="I1836">
        <f>IF(ISNUMBER(INDEX('Term investments'!$G:$G,ROW())),1,0)</f>
        <v/>
      </c>
      <c r="J1836">
        <f>TRIM(SUBSTITUTE(INDEX('Call accounts and MMFs'!$A:$A,ROW())&amp;""," "," "))</f>
        <v/>
      </c>
      <c r="K1836">
        <f>TRIM(SUBSTITUTE(INDEX('Call accounts and MMFs'!$B:$B,ROW())&amp;""," "," "))</f>
        <v/>
      </c>
      <c r="L1836">
        <f>TRIM(SUBSTITUTE(INDEX('Call accounts and MMFs'!$C:$C,ROW())&amp;""," "," "))</f>
        <v/>
      </c>
      <c r="M1836">
        <f>IFERROR(--INDEX('Call accounts and MMFs'!$D:$D,ROW()),0)</f>
        <v/>
      </c>
      <c r="N1836">
        <f>IFERROR(IF(--INDEX('Call accounts and MMFs'!$E:$E,ROW())&gt;=1,--INDEX('Call accounts and MMFs'!$E:$E,ROW())/100,--INDEX('Call accounts and MMFs'!$E:$E,ROW())),0)</f>
        <v/>
      </c>
      <c r="O1836">
        <f>IFERROR(--INDEX('Call accounts and MMFs'!$F:$F,ROW()),0)</f>
        <v/>
      </c>
      <c r="P1836">
        <f>IF(ISNUMBER(INDEX('Call accounts and MMFs'!$E:$E,ROW())),1,0)</f>
        <v/>
      </c>
      <c r="Q1836">
        <f>TRIM(SUBSTITUTE(INDEX('Pooled funds'!$B:$B,ROW())&amp;""," "," "))</f>
        <v/>
      </c>
      <c r="R1836">
        <f>IFERROR(--INDEX('Pooled funds'!$C:$C,ROW()),0)</f>
        <v/>
      </c>
      <c r="S1836">
        <f>IFERROR(--INDEX('Pooled funds'!$D:$D,ROW()),0)</f>
        <v/>
      </c>
      <c r="T1836">
        <f>IFERROR(IF(--INDEX('Pooled funds'!$E:$E,ROW())&gt;=1,--INDEX('Pooled funds'!$E:$E,ROW())/100,--INDEX('Pooled funds'!$E:$E,ROW())),0)</f>
        <v/>
      </c>
      <c r="U1836">
        <f>IF(ISNUMBER(INDEX('Pooled funds'!$E:$E,ROW())),1,0)</f>
        <v/>
      </c>
    </row>
    <row r="1837">
      <c r="A1837">
        <f>TRIM(SUBSTITUTE(INDEX('Term investments'!$A:$A,ROW())&amp;""," "," "))</f>
        <v/>
      </c>
      <c r="B1837">
        <f>TRIM(SUBSTITUTE(INDEX('Term investments'!$B:$B,ROW())&amp;""," "," "))</f>
        <v/>
      </c>
      <c r="C1837">
        <f>TRIM(SUBSTITUTE(INDEX('Term investments'!$C:$C,ROW())&amp;""," "," "))</f>
        <v/>
      </c>
      <c r="D1837">
        <f>IFERROR(--INDEX('Term investments'!$D:$D,ROW()),0)</f>
        <v/>
      </c>
      <c r="E1837">
        <f>IFERROR(--INDEX('Term investments'!$E:$E,ROW()),0)</f>
        <v/>
      </c>
      <c r="F1837">
        <f>IFERROR(--INDEX('Term investments'!$F:$F,ROW()),0)</f>
        <v/>
      </c>
      <c r="G1837">
        <f>IFERROR(IF(--INDEX('Term investments'!$G:$G,ROW())&gt;=1,--INDEX('Term investments'!$G:$G,ROW())/100,--INDEX('Term investments'!$G:$G,ROW())),0)</f>
        <v/>
      </c>
      <c r="H1837">
        <f>IFERROR(--INDEX('Term investments'!$H:$H,ROW()),0)</f>
        <v/>
      </c>
      <c r="I1837">
        <f>IF(ISNUMBER(INDEX('Term investments'!$G:$G,ROW())),1,0)</f>
        <v/>
      </c>
      <c r="J1837">
        <f>TRIM(SUBSTITUTE(INDEX('Call accounts and MMFs'!$A:$A,ROW())&amp;""," "," "))</f>
        <v/>
      </c>
      <c r="K1837">
        <f>TRIM(SUBSTITUTE(INDEX('Call accounts and MMFs'!$B:$B,ROW())&amp;""," "," "))</f>
        <v/>
      </c>
      <c r="L1837">
        <f>TRIM(SUBSTITUTE(INDEX('Call accounts and MMFs'!$C:$C,ROW())&amp;""," "," "))</f>
        <v/>
      </c>
      <c r="M1837">
        <f>IFERROR(--INDEX('Call accounts and MMFs'!$D:$D,ROW()),0)</f>
        <v/>
      </c>
      <c r="N1837">
        <f>IFERROR(IF(--INDEX('Call accounts and MMFs'!$E:$E,ROW())&gt;=1,--INDEX('Call accounts and MMFs'!$E:$E,ROW())/100,--INDEX('Call accounts and MMFs'!$E:$E,ROW())),0)</f>
        <v/>
      </c>
      <c r="O1837">
        <f>IFERROR(--INDEX('Call accounts and MMFs'!$F:$F,ROW()),0)</f>
        <v/>
      </c>
      <c r="P1837">
        <f>IF(ISNUMBER(INDEX('Call accounts and MMFs'!$E:$E,ROW())),1,0)</f>
        <v/>
      </c>
      <c r="Q1837">
        <f>TRIM(SUBSTITUTE(INDEX('Pooled funds'!$B:$B,ROW())&amp;""," "," "))</f>
        <v/>
      </c>
      <c r="R1837">
        <f>IFERROR(--INDEX('Pooled funds'!$C:$C,ROW()),0)</f>
        <v/>
      </c>
      <c r="S1837">
        <f>IFERROR(--INDEX('Pooled funds'!$D:$D,ROW()),0)</f>
        <v/>
      </c>
      <c r="T1837">
        <f>IFERROR(IF(--INDEX('Pooled funds'!$E:$E,ROW())&gt;=1,--INDEX('Pooled funds'!$E:$E,ROW())/100,--INDEX('Pooled funds'!$E:$E,ROW())),0)</f>
        <v/>
      </c>
      <c r="U1837">
        <f>IF(ISNUMBER(INDEX('Pooled funds'!$E:$E,ROW())),1,0)</f>
        <v/>
      </c>
    </row>
    <row r="1838">
      <c r="A1838">
        <f>TRIM(SUBSTITUTE(INDEX('Term investments'!$A:$A,ROW())&amp;""," "," "))</f>
        <v/>
      </c>
      <c r="B1838">
        <f>TRIM(SUBSTITUTE(INDEX('Term investments'!$B:$B,ROW())&amp;""," "," "))</f>
        <v/>
      </c>
      <c r="C1838">
        <f>TRIM(SUBSTITUTE(INDEX('Term investments'!$C:$C,ROW())&amp;""," "," "))</f>
        <v/>
      </c>
      <c r="D1838">
        <f>IFERROR(--INDEX('Term investments'!$D:$D,ROW()),0)</f>
        <v/>
      </c>
      <c r="E1838">
        <f>IFERROR(--INDEX('Term investments'!$E:$E,ROW()),0)</f>
        <v/>
      </c>
      <c r="F1838">
        <f>IFERROR(--INDEX('Term investments'!$F:$F,ROW()),0)</f>
        <v/>
      </c>
      <c r="G1838">
        <f>IFERROR(IF(--INDEX('Term investments'!$G:$G,ROW())&gt;=1,--INDEX('Term investments'!$G:$G,ROW())/100,--INDEX('Term investments'!$G:$G,ROW())),0)</f>
        <v/>
      </c>
      <c r="H1838">
        <f>IFERROR(--INDEX('Term investments'!$H:$H,ROW()),0)</f>
        <v/>
      </c>
      <c r="I1838">
        <f>IF(ISNUMBER(INDEX('Term investments'!$G:$G,ROW())),1,0)</f>
        <v/>
      </c>
      <c r="J1838">
        <f>TRIM(SUBSTITUTE(INDEX('Call accounts and MMFs'!$A:$A,ROW())&amp;""," "," "))</f>
        <v/>
      </c>
      <c r="K1838">
        <f>TRIM(SUBSTITUTE(INDEX('Call accounts and MMFs'!$B:$B,ROW())&amp;""," "," "))</f>
        <v/>
      </c>
      <c r="L1838">
        <f>TRIM(SUBSTITUTE(INDEX('Call accounts and MMFs'!$C:$C,ROW())&amp;""," "," "))</f>
        <v/>
      </c>
      <c r="M1838">
        <f>IFERROR(--INDEX('Call accounts and MMFs'!$D:$D,ROW()),0)</f>
        <v/>
      </c>
      <c r="N1838">
        <f>IFERROR(IF(--INDEX('Call accounts and MMFs'!$E:$E,ROW())&gt;=1,--INDEX('Call accounts and MMFs'!$E:$E,ROW())/100,--INDEX('Call accounts and MMFs'!$E:$E,ROW())),0)</f>
        <v/>
      </c>
      <c r="O1838">
        <f>IFERROR(--INDEX('Call accounts and MMFs'!$F:$F,ROW()),0)</f>
        <v/>
      </c>
      <c r="P1838">
        <f>IF(ISNUMBER(INDEX('Call accounts and MMFs'!$E:$E,ROW())),1,0)</f>
        <v/>
      </c>
      <c r="Q1838">
        <f>TRIM(SUBSTITUTE(INDEX('Pooled funds'!$B:$B,ROW())&amp;""," "," "))</f>
        <v/>
      </c>
      <c r="R1838">
        <f>IFERROR(--INDEX('Pooled funds'!$C:$C,ROW()),0)</f>
        <v/>
      </c>
      <c r="S1838">
        <f>IFERROR(--INDEX('Pooled funds'!$D:$D,ROW()),0)</f>
        <v/>
      </c>
      <c r="T1838">
        <f>IFERROR(IF(--INDEX('Pooled funds'!$E:$E,ROW())&gt;=1,--INDEX('Pooled funds'!$E:$E,ROW())/100,--INDEX('Pooled funds'!$E:$E,ROW())),0)</f>
        <v/>
      </c>
      <c r="U1838">
        <f>IF(ISNUMBER(INDEX('Pooled funds'!$E:$E,ROW())),1,0)</f>
        <v/>
      </c>
    </row>
    <row r="1839">
      <c r="A1839">
        <f>TRIM(SUBSTITUTE(INDEX('Term investments'!$A:$A,ROW())&amp;""," "," "))</f>
        <v/>
      </c>
      <c r="B1839">
        <f>TRIM(SUBSTITUTE(INDEX('Term investments'!$B:$B,ROW())&amp;""," "," "))</f>
        <v/>
      </c>
      <c r="C1839">
        <f>TRIM(SUBSTITUTE(INDEX('Term investments'!$C:$C,ROW())&amp;""," "," "))</f>
        <v/>
      </c>
      <c r="D1839">
        <f>IFERROR(--INDEX('Term investments'!$D:$D,ROW()),0)</f>
        <v/>
      </c>
      <c r="E1839">
        <f>IFERROR(--INDEX('Term investments'!$E:$E,ROW()),0)</f>
        <v/>
      </c>
      <c r="F1839">
        <f>IFERROR(--INDEX('Term investments'!$F:$F,ROW()),0)</f>
        <v/>
      </c>
      <c r="G1839">
        <f>IFERROR(IF(--INDEX('Term investments'!$G:$G,ROW())&gt;=1,--INDEX('Term investments'!$G:$G,ROW())/100,--INDEX('Term investments'!$G:$G,ROW())),0)</f>
        <v/>
      </c>
      <c r="H1839">
        <f>IFERROR(--INDEX('Term investments'!$H:$H,ROW()),0)</f>
        <v/>
      </c>
      <c r="I1839">
        <f>IF(ISNUMBER(INDEX('Term investments'!$G:$G,ROW())),1,0)</f>
        <v/>
      </c>
      <c r="J1839">
        <f>TRIM(SUBSTITUTE(INDEX('Call accounts and MMFs'!$A:$A,ROW())&amp;""," "," "))</f>
        <v/>
      </c>
      <c r="K1839">
        <f>TRIM(SUBSTITUTE(INDEX('Call accounts and MMFs'!$B:$B,ROW())&amp;""," "," "))</f>
        <v/>
      </c>
      <c r="L1839">
        <f>TRIM(SUBSTITUTE(INDEX('Call accounts and MMFs'!$C:$C,ROW())&amp;""," "," "))</f>
        <v/>
      </c>
      <c r="M1839">
        <f>IFERROR(--INDEX('Call accounts and MMFs'!$D:$D,ROW()),0)</f>
        <v/>
      </c>
      <c r="N1839">
        <f>IFERROR(IF(--INDEX('Call accounts and MMFs'!$E:$E,ROW())&gt;=1,--INDEX('Call accounts and MMFs'!$E:$E,ROW())/100,--INDEX('Call accounts and MMFs'!$E:$E,ROW())),0)</f>
        <v/>
      </c>
      <c r="O1839">
        <f>IFERROR(--INDEX('Call accounts and MMFs'!$F:$F,ROW()),0)</f>
        <v/>
      </c>
      <c r="P1839">
        <f>IF(ISNUMBER(INDEX('Call accounts and MMFs'!$E:$E,ROW())),1,0)</f>
        <v/>
      </c>
      <c r="Q1839">
        <f>TRIM(SUBSTITUTE(INDEX('Pooled funds'!$B:$B,ROW())&amp;""," "," "))</f>
        <v/>
      </c>
      <c r="R1839">
        <f>IFERROR(--INDEX('Pooled funds'!$C:$C,ROW()),0)</f>
        <v/>
      </c>
      <c r="S1839">
        <f>IFERROR(--INDEX('Pooled funds'!$D:$D,ROW()),0)</f>
        <v/>
      </c>
      <c r="T1839">
        <f>IFERROR(IF(--INDEX('Pooled funds'!$E:$E,ROW())&gt;=1,--INDEX('Pooled funds'!$E:$E,ROW())/100,--INDEX('Pooled funds'!$E:$E,ROW())),0)</f>
        <v/>
      </c>
      <c r="U1839">
        <f>IF(ISNUMBER(INDEX('Pooled funds'!$E:$E,ROW())),1,0)</f>
        <v/>
      </c>
    </row>
    <row r="1840">
      <c r="A1840">
        <f>TRIM(SUBSTITUTE(INDEX('Term investments'!$A:$A,ROW())&amp;""," "," "))</f>
        <v/>
      </c>
      <c r="B1840">
        <f>TRIM(SUBSTITUTE(INDEX('Term investments'!$B:$B,ROW())&amp;""," "," "))</f>
        <v/>
      </c>
      <c r="C1840">
        <f>TRIM(SUBSTITUTE(INDEX('Term investments'!$C:$C,ROW())&amp;""," "," "))</f>
        <v/>
      </c>
      <c r="D1840">
        <f>IFERROR(--INDEX('Term investments'!$D:$D,ROW()),0)</f>
        <v/>
      </c>
      <c r="E1840">
        <f>IFERROR(--INDEX('Term investments'!$E:$E,ROW()),0)</f>
        <v/>
      </c>
      <c r="F1840">
        <f>IFERROR(--INDEX('Term investments'!$F:$F,ROW()),0)</f>
        <v/>
      </c>
      <c r="G1840">
        <f>IFERROR(IF(--INDEX('Term investments'!$G:$G,ROW())&gt;=1,--INDEX('Term investments'!$G:$G,ROW())/100,--INDEX('Term investments'!$G:$G,ROW())),0)</f>
        <v/>
      </c>
      <c r="H1840">
        <f>IFERROR(--INDEX('Term investments'!$H:$H,ROW()),0)</f>
        <v/>
      </c>
      <c r="I1840">
        <f>IF(ISNUMBER(INDEX('Term investments'!$G:$G,ROW())),1,0)</f>
        <v/>
      </c>
      <c r="J1840">
        <f>TRIM(SUBSTITUTE(INDEX('Call accounts and MMFs'!$A:$A,ROW())&amp;""," "," "))</f>
        <v/>
      </c>
      <c r="K1840">
        <f>TRIM(SUBSTITUTE(INDEX('Call accounts and MMFs'!$B:$B,ROW())&amp;""," "," "))</f>
        <v/>
      </c>
      <c r="L1840">
        <f>TRIM(SUBSTITUTE(INDEX('Call accounts and MMFs'!$C:$C,ROW())&amp;""," "," "))</f>
        <v/>
      </c>
      <c r="M1840">
        <f>IFERROR(--INDEX('Call accounts and MMFs'!$D:$D,ROW()),0)</f>
        <v/>
      </c>
      <c r="N1840">
        <f>IFERROR(IF(--INDEX('Call accounts and MMFs'!$E:$E,ROW())&gt;=1,--INDEX('Call accounts and MMFs'!$E:$E,ROW())/100,--INDEX('Call accounts and MMFs'!$E:$E,ROW())),0)</f>
        <v/>
      </c>
      <c r="O1840">
        <f>IFERROR(--INDEX('Call accounts and MMFs'!$F:$F,ROW()),0)</f>
        <v/>
      </c>
      <c r="P1840">
        <f>IF(ISNUMBER(INDEX('Call accounts and MMFs'!$E:$E,ROW())),1,0)</f>
        <v/>
      </c>
      <c r="Q1840">
        <f>TRIM(SUBSTITUTE(INDEX('Pooled funds'!$B:$B,ROW())&amp;""," "," "))</f>
        <v/>
      </c>
      <c r="R1840">
        <f>IFERROR(--INDEX('Pooled funds'!$C:$C,ROW()),0)</f>
        <v/>
      </c>
      <c r="S1840">
        <f>IFERROR(--INDEX('Pooled funds'!$D:$D,ROW()),0)</f>
        <v/>
      </c>
      <c r="T1840">
        <f>IFERROR(IF(--INDEX('Pooled funds'!$E:$E,ROW())&gt;=1,--INDEX('Pooled funds'!$E:$E,ROW())/100,--INDEX('Pooled funds'!$E:$E,ROW())),0)</f>
        <v/>
      </c>
      <c r="U1840">
        <f>IF(ISNUMBER(INDEX('Pooled funds'!$E:$E,ROW())),1,0)</f>
        <v/>
      </c>
    </row>
    <row r="1841">
      <c r="A1841">
        <f>TRIM(SUBSTITUTE(INDEX('Term investments'!$A:$A,ROW())&amp;""," "," "))</f>
        <v/>
      </c>
      <c r="B1841">
        <f>TRIM(SUBSTITUTE(INDEX('Term investments'!$B:$B,ROW())&amp;""," "," "))</f>
        <v/>
      </c>
      <c r="C1841">
        <f>TRIM(SUBSTITUTE(INDEX('Term investments'!$C:$C,ROW())&amp;""," "," "))</f>
        <v/>
      </c>
      <c r="D1841">
        <f>IFERROR(--INDEX('Term investments'!$D:$D,ROW()),0)</f>
        <v/>
      </c>
      <c r="E1841">
        <f>IFERROR(--INDEX('Term investments'!$E:$E,ROW()),0)</f>
        <v/>
      </c>
      <c r="F1841">
        <f>IFERROR(--INDEX('Term investments'!$F:$F,ROW()),0)</f>
        <v/>
      </c>
      <c r="G1841">
        <f>IFERROR(IF(--INDEX('Term investments'!$G:$G,ROW())&gt;=1,--INDEX('Term investments'!$G:$G,ROW())/100,--INDEX('Term investments'!$G:$G,ROW())),0)</f>
        <v/>
      </c>
      <c r="H1841">
        <f>IFERROR(--INDEX('Term investments'!$H:$H,ROW()),0)</f>
        <v/>
      </c>
      <c r="I1841">
        <f>IF(ISNUMBER(INDEX('Term investments'!$G:$G,ROW())),1,0)</f>
        <v/>
      </c>
      <c r="J1841">
        <f>TRIM(SUBSTITUTE(INDEX('Call accounts and MMFs'!$A:$A,ROW())&amp;""," "," "))</f>
        <v/>
      </c>
      <c r="K1841">
        <f>TRIM(SUBSTITUTE(INDEX('Call accounts and MMFs'!$B:$B,ROW())&amp;""," "," "))</f>
        <v/>
      </c>
      <c r="L1841">
        <f>TRIM(SUBSTITUTE(INDEX('Call accounts and MMFs'!$C:$C,ROW())&amp;""," "," "))</f>
        <v/>
      </c>
      <c r="M1841">
        <f>IFERROR(--INDEX('Call accounts and MMFs'!$D:$D,ROW()),0)</f>
        <v/>
      </c>
      <c r="N1841">
        <f>IFERROR(IF(--INDEX('Call accounts and MMFs'!$E:$E,ROW())&gt;=1,--INDEX('Call accounts and MMFs'!$E:$E,ROW())/100,--INDEX('Call accounts and MMFs'!$E:$E,ROW())),0)</f>
        <v/>
      </c>
      <c r="O1841">
        <f>IFERROR(--INDEX('Call accounts and MMFs'!$F:$F,ROW()),0)</f>
        <v/>
      </c>
      <c r="P1841">
        <f>IF(ISNUMBER(INDEX('Call accounts and MMFs'!$E:$E,ROW())),1,0)</f>
        <v/>
      </c>
      <c r="Q1841">
        <f>TRIM(SUBSTITUTE(INDEX('Pooled funds'!$B:$B,ROW())&amp;""," "," "))</f>
        <v/>
      </c>
      <c r="R1841">
        <f>IFERROR(--INDEX('Pooled funds'!$C:$C,ROW()),0)</f>
        <v/>
      </c>
      <c r="S1841">
        <f>IFERROR(--INDEX('Pooled funds'!$D:$D,ROW()),0)</f>
        <v/>
      </c>
      <c r="T1841">
        <f>IFERROR(IF(--INDEX('Pooled funds'!$E:$E,ROW())&gt;=1,--INDEX('Pooled funds'!$E:$E,ROW())/100,--INDEX('Pooled funds'!$E:$E,ROW())),0)</f>
        <v/>
      </c>
      <c r="U1841">
        <f>IF(ISNUMBER(INDEX('Pooled funds'!$E:$E,ROW())),1,0)</f>
        <v/>
      </c>
    </row>
    <row r="1842">
      <c r="A1842">
        <f>TRIM(SUBSTITUTE(INDEX('Term investments'!$A:$A,ROW())&amp;""," "," "))</f>
        <v/>
      </c>
      <c r="B1842">
        <f>TRIM(SUBSTITUTE(INDEX('Term investments'!$B:$B,ROW())&amp;""," "," "))</f>
        <v/>
      </c>
      <c r="C1842">
        <f>TRIM(SUBSTITUTE(INDEX('Term investments'!$C:$C,ROW())&amp;""," "," "))</f>
        <v/>
      </c>
      <c r="D1842">
        <f>IFERROR(--INDEX('Term investments'!$D:$D,ROW()),0)</f>
        <v/>
      </c>
      <c r="E1842">
        <f>IFERROR(--INDEX('Term investments'!$E:$E,ROW()),0)</f>
        <v/>
      </c>
      <c r="F1842">
        <f>IFERROR(--INDEX('Term investments'!$F:$F,ROW()),0)</f>
        <v/>
      </c>
      <c r="G1842">
        <f>IFERROR(IF(--INDEX('Term investments'!$G:$G,ROW())&gt;=1,--INDEX('Term investments'!$G:$G,ROW())/100,--INDEX('Term investments'!$G:$G,ROW())),0)</f>
        <v/>
      </c>
      <c r="H1842">
        <f>IFERROR(--INDEX('Term investments'!$H:$H,ROW()),0)</f>
        <v/>
      </c>
      <c r="I1842">
        <f>IF(ISNUMBER(INDEX('Term investments'!$G:$G,ROW())),1,0)</f>
        <v/>
      </c>
      <c r="J1842">
        <f>TRIM(SUBSTITUTE(INDEX('Call accounts and MMFs'!$A:$A,ROW())&amp;""," "," "))</f>
        <v/>
      </c>
      <c r="K1842">
        <f>TRIM(SUBSTITUTE(INDEX('Call accounts and MMFs'!$B:$B,ROW())&amp;""," "," "))</f>
        <v/>
      </c>
      <c r="L1842">
        <f>TRIM(SUBSTITUTE(INDEX('Call accounts and MMFs'!$C:$C,ROW())&amp;""," "," "))</f>
        <v/>
      </c>
      <c r="M1842">
        <f>IFERROR(--INDEX('Call accounts and MMFs'!$D:$D,ROW()),0)</f>
        <v/>
      </c>
      <c r="N1842">
        <f>IFERROR(IF(--INDEX('Call accounts and MMFs'!$E:$E,ROW())&gt;=1,--INDEX('Call accounts and MMFs'!$E:$E,ROW())/100,--INDEX('Call accounts and MMFs'!$E:$E,ROW())),0)</f>
        <v/>
      </c>
      <c r="O1842">
        <f>IFERROR(--INDEX('Call accounts and MMFs'!$F:$F,ROW()),0)</f>
        <v/>
      </c>
      <c r="P1842">
        <f>IF(ISNUMBER(INDEX('Call accounts and MMFs'!$E:$E,ROW())),1,0)</f>
        <v/>
      </c>
      <c r="Q1842">
        <f>TRIM(SUBSTITUTE(INDEX('Pooled funds'!$B:$B,ROW())&amp;""," "," "))</f>
        <v/>
      </c>
      <c r="R1842">
        <f>IFERROR(--INDEX('Pooled funds'!$C:$C,ROW()),0)</f>
        <v/>
      </c>
      <c r="S1842">
        <f>IFERROR(--INDEX('Pooled funds'!$D:$D,ROW()),0)</f>
        <v/>
      </c>
      <c r="T1842">
        <f>IFERROR(IF(--INDEX('Pooled funds'!$E:$E,ROW())&gt;=1,--INDEX('Pooled funds'!$E:$E,ROW())/100,--INDEX('Pooled funds'!$E:$E,ROW())),0)</f>
        <v/>
      </c>
      <c r="U1842">
        <f>IF(ISNUMBER(INDEX('Pooled funds'!$E:$E,ROW())),1,0)</f>
        <v/>
      </c>
    </row>
    <row r="1843">
      <c r="A1843">
        <f>TRIM(SUBSTITUTE(INDEX('Term investments'!$A:$A,ROW())&amp;""," "," "))</f>
        <v/>
      </c>
      <c r="B1843">
        <f>TRIM(SUBSTITUTE(INDEX('Term investments'!$B:$B,ROW())&amp;""," "," "))</f>
        <v/>
      </c>
      <c r="C1843">
        <f>TRIM(SUBSTITUTE(INDEX('Term investments'!$C:$C,ROW())&amp;""," "," "))</f>
        <v/>
      </c>
      <c r="D1843">
        <f>IFERROR(--INDEX('Term investments'!$D:$D,ROW()),0)</f>
        <v/>
      </c>
      <c r="E1843">
        <f>IFERROR(--INDEX('Term investments'!$E:$E,ROW()),0)</f>
        <v/>
      </c>
      <c r="F1843">
        <f>IFERROR(--INDEX('Term investments'!$F:$F,ROW()),0)</f>
        <v/>
      </c>
      <c r="G1843">
        <f>IFERROR(IF(--INDEX('Term investments'!$G:$G,ROW())&gt;=1,--INDEX('Term investments'!$G:$G,ROW())/100,--INDEX('Term investments'!$G:$G,ROW())),0)</f>
        <v/>
      </c>
      <c r="H1843">
        <f>IFERROR(--INDEX('Term investments'!$H:$H,ROW()),0)</f>
        <v/>
      </c>
      <c r="I1843">
        <f>IF(ISNUMBER(INDEX('Term investments'!$G:$G,ROW())),1,0)</f>
        <v/>
      </c>
      <c r="J1843">
        <f>TRIM(SUBSTITUTE(INDEX('Call accounts and MMFs'!$A:$A,ROW())&amp;""," "," "))</f>
        <v/>
      </c>
      <c r="K1843">
        <f>TRIM(SUBSTITUTE(INDEX('Call accounts and MMFs'!$B:$B,ROW())&amp;""," "," "))</f>
        <v/>
      </c>
      <c r="L1843">
        <f>TRIM(SUBSTITUTE(INDEX('Call accounts and MMFs'!$C:$C,ROW())&amp;""," "," "))</f>
        <v/>
      </c>
      <c r="M1843">
        <f>IFERROR(--INDEX('Call accounts and MMFs'!$D:$D,ROW()),0)</f>
        <v/>
      </c>
      <c r="N1843">
        <f>IFERROR(IF(--INDEX('Call accounts and MMFs'!$E:$E,ROW())&gt;=1,--INDEX('Call accounts and MMFs'!$E:$E,ROW())/100,--INDEX('Call accounts and MMFs'!$E:$E,ROW())),0)</f>
        <v/>
      </c>
      <c r="O1843">
        <f>IFERROR(--INDEX('Call accounts and MMFs'!$F:$F,ROW()),0)</f>
        <v/>
      </c>
      <c r="P1843">
        <f>IF(ISNUMBER(INDEX('Call accounts and MMFs'!$E:$E,ROW())),1,0)</f>
        <v/>
      </c>
      <c r="Q1843">
        <f>TRIM(SUBSTITUTE(INDEX('Pooled funds'!$B:$B,ROW())&amp;""," "," "))</f>
        <v/>
      </c>
      <c r="R1843">
        <f>IFERROR(--INDEX('Pooled funds'!$C:$C,ROW()),0)</f>
        <v/>
      </c>
      <c r="S1843">
        <f>IFERROR(--INDEX('Pooled funds'!$D:$D,ROW()),0)</f>
        <v/>
      </c>
      <c r="T1843">
        <f>IFERROR(IF(--INDEX('Pooled funds'!$E:$E,ROW())&gt;=1,--INDEX('Pooled funds'!$E:$E,ROW())/100,--INDEX('Pooled funds'!$E:$E,ROW())),0)</f>
        <v/>
      </c>
      <c r="U1843">
        <f>IF(ISNUMBER(INDEX('Pooled funds'!$E:$E,ROW())),1,0)</f>
        <v/>
      </c>
    </row>
    <row r="1844">
      <c r="A1844">
        <f>TRIM(SUBSTITUTE(INDEX('Term investments'!$A:$A,ROW())&amp;""," "," "))</f>
        <v/>
      </c>
      <c r="B1844">
        <f>TRIM(SUBSTITUTE(INDEX('Term investments'!$B:$B,ROW())&amp;""," "," "))</f>
        <v/>
      </c>
      <c r="C1844">
        <f>TRIM(SUBSTITUTE(INDEX('Term investments'!$C:$C,ROW())&amp;""," "," "))</f>
        <v/>
      </c>
      <c r="D1844">
        <f>IFERROR(--INDEX('Term investments'!$D:$D,ROW()),0)</f>
        <v/>
      </c>
      <c r="E1844">
        <f>IFERROR(--INDEX('Term investments'!$E:$E,ROW()),0)</f>
        <v/>
      </c>
      <c r="F1844">
        <f>IFERROR(--INDEX('Term investments'!$F:$F,ROW()),0)</f>
        <v/>
      </c>
      <c r="G1844">
        <f>IFERROR(IF(--INDEX('Term investments'!$G:$G,ROW())&gt;=1,--INDEX('Term investments'!$G:$G,ROW())/100,--INDEX('Term investments'!$G:$G,ROW())),0)</f>
        <v/>
      </c>
      <c r="H1844">
        <f>IFERROR(--INDEX('Term investments'!$H:$H,ROW()),0)</f>
        <v/>
      </c>
      <c r="I1844">
        <f>IF(ISNUMBER(INDEX('Term investments'!$G:$G,ROW())),1,0)</f>
        <v/>
      </c>
      <c r="J1844">
        <f>TRIM(SUBSTITUTE(INDEX('Call accounts and MMFs'!$A:$A,ROW())&amp;""," "," "))</f>
        <v/>
      </c>
      <c r="K1844">
        <f>TRIM(SUBSTITUTE(INDEX('Call accounts and MMFs'!$B:$B,ROW())&amp;""," "," "))</f>
        <v/>
      </c>
      <c r="L1844">
        <f>TRIM(SUBSTITUTE(INDEX('Call accounts and MMFs'!$C:$C,ROW())&amp;""," "," "))</f>
        <v/>
      </c>
      <c r="M1844">
        <f>IFERROR(--INDEX('Call accounts and MMFs'!$D:$D,ROW()),0)</f>
        <v/>
      </c>
      <c r="N1844">
        <f>IFERROR(IF(--INDEX('Call accounts and MMFs'!$E:$E,ROW())&gt;=1,--INDEX('Call accounts and MMFs'!$E:$E,ROW())/100,--INDEX('Call accounts and MMFs'!$E:$E,ROW())),0)</f>
        <v/>
      </c>
      <c r="O1844">
        <f>IFERROR(--INDEX('Call accounts and MMFs'!$F:$F,ROW()),0)</f>
        <v/>
      </c>
      <c r="P1844">
        <f>IF(ISNUMBER(INDEX('Call accounts and MMFs'!$E:$E,ROW())),1,0)</f>
        <v/>
      </c>
      <c r="Q1844">
        <f>TRIM(SUBSTITUTE(INDEX('Pooled funds'!$B:$B,ROW())&amp;""," "," "))</f>
        <v/>
      </c>
      <c r="R1844">
        <f>IFERROR(--INDEX('Pooled funds'!$C:$C,ROW()),0)</f>
        <v/>
      </c>
      <c r="S1844">
        <f>IFERROR(--INDEX('Pooled funds'!$D:$D,ROW()),0)</f>
        <v/>
      </c>
      <c r="T1844">
        <f>IFERROR(IF(--INDEX('Pooled funds'!$E:$E,ROW())&gt;=1,--INDEX('Pooled funds'!$E:$E,ROW())/100,--INDEX('Pooled funds'!$E:$E,ROW())),0)</f>
        <v/>
      </c>
      <c r="U1844">
        <f>IF(ISNUMBER(INDEX('Pooled funds'!$E:$E,ROW())),1,0)</f>
        <v/>
      </c>
    </row>
    <row r="1845">
      <c r="A1845">
        <f>TRIM(SUBSTITUTE(INDEX('Term investments'!$A:$A,ROW())&amp;""," "," "))</f>
        <v/>
      </c>
      <c r="B1845">
        <f>TRIM(SUBSTITUTE(INDEX('Term investments'!$B:$B,ROW())&amp;""," "," "))</f>
        <v/>
      </c>
      <c r="C1845">
        <f>TRIM(SUBSTITUTE(INDEX('Term investments'!$C:$C,ROW())&amp;""," "," "))</f>
        <v/>
      </c>
      <c r="D1845">
        <f>IFERROR(--INDEX('Term investments'!$D:$D,ROW()),0)</f>
        <v/>
      </c>
      <c r="E1845">
        <f>IFERROR(--INDEX('Term investments'!$E:$E,ROW()),0)</f>
        <v/>
      </c>
      <c r="F1845">
        <f>IFERROR(--INDEX('Term investments'!$F:$F,ROW()),0)</f>
        <v/>
      </c>
      <c r="G1845">
        <f>IFERROR(IF(--INDEX('Term investments'!$G:$G,ROW())&gt;=1,--INDEX('Term investments'!$G:$G,ROW())/100,--INDEX('Term investments'!$G:$G,ROW())),0)</f>
        <v/>
      </c>
      <c r="H1845">
        <f>IFERROR(--INDEX('Term investments'!$H:$H,ROW()),0)</f>
        <v/>
      </c>
      <c r="I1845">
        <f>IF(ISNUMBER(INDEX('Term investments'!$G:$G,ROW())),1,0)</f>
        <v/>
      </c>
      <c r="J1845">
        <f>TRIM(SUBSTITUTE(INDEX('Call accounts and MMFs'!$A:$A,ROW())&amp;""," "," "))</f>
        <v/>
      </c>
      <c r="K1845">
        <f>TRIM(SUBSTITUTE(INDEX('Call accounts and MMFs'!$B:$B,ROW())&amp;""," "," "))</f>
        <v/>
      </c>
      <c r="L1845">
        <f>TRIM(SUBSTITUTE(INDEX('Call accounts and MMFs'!$C:$C,ROW())&amp;""," "," "))</f>
        <v/>
      </c>
      <c r="M1845">
        <f>IFERROR(--INDEX('Call accounts and MMFs'!$D:$D,ROW()),0)</f>
        <v/>
      </c>
      <c r="N1845">
        <f>IFERROR(IF(--INDEX('Call accounts and MMFs'!$E:$E,ROW())&gt;=1,--INDEX('Call accounts and MMFs'!$E:$E,ROW())/100,--INDEX('Call accounts and MMFs'!$E:$E,ROW())),0)</f>
        <v/>
      </c>
      <c r="O1845">
        <f>IFERROR(--INDEX('Call accounts and MMFs'!$F:$F,ROW()),0)</f>
        <v/>
      </c>
      <c r="P1845">
        <f>IF(ISNUMBER(INDEX('Call accounts and MMFs'!$E:$E,ROW())),1,0)</f>
        <v/>
      </c>
      <c r="Q1845">
        <f>TRIM(SUBSTITUTE(INDEX('Pooled funds'!$B:$B,ROW())&amp;""," "," "))</f>
        <v/>
      </c>
      <c r="R1845">
        <f>IFERROR(--INDEX('Pooled funds'!$C:$C,ROW()),0)</f>
        <v/>
      </c>
      <c r="S1845">
        <f>IFERROR(--INDEX('Pooled funds'!$D:$D,ROW()),0)</f>
        <v/>
      </c>
      <c r="T1845">
        <f>IFERROR(IF(--INDEX('Pooled funds'!$E:$E,ROW())&gt;=1,--INDEX('Pooled funds'!$E:$E,ROW())/100,--INDEX('Pooled funds'!$E:$E,ROW())),0)</f>
        <v/>
      </c>
      <c r="U1845">
        <f>IF(ISNUMBER(INDEX('Pooled funds'!$E:$E,ROW())),1,0)</f>
        <v/>
      </c>
    </row>
    <row r="1846">
      <c r="A1846">
        <f>TRIM(SUBSTITUTE(INDEX('Term investments'!$A:$A,ROW())&amp;""," "," "))</f>
        <v/>
      </c>
      <c r="B1846">
        <f>TRIM(SUBSTITUTE(INDEX('Term investments'!$B:$B,ROW())&amp;""," "," "))</f>
        <v/>
      </c>
      <c r="C1846">
        <f>TRIM(SUBSTITUTE(INDEX('Term investments'!$C:$C,ROW())&amp;""," "," "))</f>
        <v/>
      </c>
      <c r="D1846">
        <f>IFERROR(--INDEX('Term investments'!$D:$D,ROW()),0)</f>
        <v/>
      </c>
      <c r="E1846">
        <f>IFERROR(--INDEX('Term investments'!$E:$E,ROW()),0)</f>
        <v/>
      </c>
      <c r="F1846">
        <f>IFERROR(--INDEX('Term investments'!$F:$F,ROW()),0)</f>
        <v/>
      </c>
      <c r="G1846">
        <f>IFERROR(IF(--INDEX('Term investments'!$G:$G,ROW())&gt;=1,--INDEX('Term investments'!$G:$G,ROW())/100,--INDEX('Term investments'!$G:$G,ROW())),0)</f>
        <v/>
      </c>
      <c r="H1846">
        <f>IFERROR(--INDEX('Term investments'!$H:$H,ROW()),0)</f>
        <v/>
      </c>
      <c r="I1846">
        <f>IF(ISNUMBER(INDEX('Term investments'!$G:$G,ROW())),1,0)</f>
        <v/>
      </c>
      <c r="J1846">
        <f>TRIM(SUBSTITUTE(INDEX('Call accounts and MMFs'!$A:$A,ROW())&amp;""," "," "))</f>
        <v/>
      </c>
      <c r="K1846">
        <f>TRIM(SUBSTITUTE(INDEX('Call accounts and MMFs'!$B:$B,ROW())&amp;""," "," "))</f>
        <v/>
      </c>
      <c r="L1846">
        <f>TRIM(SUBSTITUTE(INDEX('Call accounts and MMFs'!$C:$C,ROW())&amp;""," "," "))</f>
        <v/>
      </c>
      <c r="M1846">
        <f>IFERROR(--INDEX('Call accounts and MMFs'!$D:$D,ROW()),0)</f>
        <v/>
      </c>
      <c r="N1846">
        <f>IFERROR(IF(--INDEX('Call accounts and MMFs'!$E:$E,ROW())&gt;=1,--INDEX('Call accounts and MMFs'!$E:$E,ROW())/100,--INDEX('Call accounts and MMFs'!$E:$E,ROW())),0)</f>
        <v/>
      </c>
      <c r="O1846">
        <f>IFERROR(--INDEX('Call accounts and MMFs'!$F:$F,ROW()),0)</f>
        <v/>
      </c>
      <c r="P1846">
        <f>IF(ISNUMBER(INDEX('Call accounts and MMFs'!$E:$E,ROW())),1,0)</f>
        <v/>
      </c>
      <c r="Q1846">
        <f>TRIM(SUBSTITUTE(INDEX('Pooled funds'!$B:$B,ROW())&amp;""," "," "))</f>
        <v/>
      </c>
      <c r="R1846">
        <f>IFERROR(--INDEX('Pooled funds'!$C:$C,ROW()),0)</f>
        <v/>
      </c>
      <c r="S1846">
        <f>IFERROR(--INDEX('Pooled funds'!$D:$D,ROW()),0)</f>
        <v/>
      </c>
      <c r="T1846">
        <f>IFERROR(IF(--INDEX('Pooled funds'!$E:$E,ROW())&gt;=1,--INDEX('Pooled funds'!$E:$E,ROW())/100,--INDEX('Pooled funds'!$E:$E,ROW())),0)</f>
        <v/>
      </c>
      <c r="U1846">
        <f>IF(ISNUMBER(INDEX('Pooled funds'!$E:$E,ROW())),1,0)</f>
        <v/>
      </c>
    </row>
    <row r="1847">
      <c r="A1847">
        <f>TRIM(SUBSTITUTE(INDEX('Term investments'!$A:$A,ROW())&amp;""," "," "))</f>
        <v/>
      </c>
      <c r="B1847">
        <f>TRIM(SUBSTITUTE(INDEX('Term investments'!$B:$B,ROW())&amp;""," "," "))</f>
        <v/>
      </c>
      <c r="C1847">
        <f>TRIM(SUBSTITUTE(INDEX('Term investments'!$C:$C,ROW())&amp;""," "," "))</f>
        <v/>
      </c>
      <c r="D1847">
        <f>IFERROR(--INDEX('Term investments'!$D:$D,ROW()),0)</f>
        <v/>
      </c>
      <c r="E1847">
        <f>IFERROR(--INDEX('Term investments'!$E:$E,ROW()),0)</f>
        <v/>
      </c>
      <c r="F1847">
        <f>IFERROR(--INDEX('Term investments'!$F:$F,ROW()),0)</f>
        <v/>
      </c>
      <c r="G1847">
        <f>IFERROR(IF(--INDEX('Term investments'!$G:$G,ROW())&gt;=1,--INDEX('Term investments'!$G:$G,ROW())/100,--INDEX('Term investments'!$G:$G,ROW())),0)</f>
        <v/>
      </c>
      <c r="H1847">
        <f>IFERROR(--INDEX('Term investments'!$H:$H,ROW()),0)</f>
        <v/>
      </c>
      <c r="I1847">
        <f>IF(ISNUMBER(INDEX('Term investments'!$G:$G,ROW())),1,0)</f>
        <v/>
      </c>
      <c r="J1847">
        <f>TRIM(SUBSTITUTE(INDEX('Call accounts and MMFs'!$A:$A,ROW())&amp;""," "," "))</f>
        <v/>
      </c>
      <c r="K1847">
        <f>TRIM(SUBSTITUTE(INDEX('Call accounts and MMFs'!$B:$B,ROW())&amp;""," "," "))</f>
        <v/>
      </c>
      <c r="L1847">
        <f>TRIM(SUBSTITUTE(INDEX('Call accounts and MMFs'!$C:$C,ROW())&amp;""," "," "))</f>
        <v/>
      </c>
      <c r="M1847">
        <f>IFERROR(--INDEX('Call accounts and MMFs'!$D:$D,ROW()),0)</f>
        <v/>
      </c>
      <c r="N1847">
        <f>IFERROR(IF(--INDEX('Call accounts and MMFs'!$E:$E,ROW())&gt;=1,--INDEX('Call accounts and MMFs'!$E:$E,ROW())/100,--INDEX('Call accounts and MMFs'!$E:$E,ROW())),0)</f>
        <v/>
      </c>
      <c r="O1847">
        <f>IFERROR(--INDEX('Call accounts and MMFs'!$F:$F,ROW()),0)</f>
        <v/>
      </c>
      <c r="P1847">
        <f>IF(ISNUMBER(INDEX('Call accounts and MMFs'!$E:$E,ROW())),1,0)</f>
        <v/>
      </c>
      <c r="Q1847">
        <f>TRIM(SUBSTITUTE(INDEX('Pooled funds'!$B:$B,ROW())&amp;""," "," "))</f>
        <v/>
      </c>
      <c r="R1847">
        <f>IFERROR(--INDEX('Pooled funds'!$C:$C,ROW()),0)</f>
        <v/>
      </c>
      <c r="S1847">
        <f>IFERROR(--INDEX('Pooled funds'!$D:$D,ROW()),0)</f>
        <v/>
      </c>
      <c r="T1847">
        <f>IFERROR(IF(--INDEX('Pooled funds'!$E:$E,ROW())&gt;=1,--INDEX('Pooled funds'!$E:$E,ROW())/100,--INDEX('Pooled funds'!$E:$E,ROW())),0)</f>
        <v/>
      </c>
      <c r="U1847">
        <f>IF(ISNUMBER(INDEX('Pooled funds'!$E:$E,ROW())),1,0)</f>
        <v/>
      </c>
    </row>
    <row r="1848">
      <c r="A1848">
        <f>TRIM(SUBSTITUTE(INDEX('Term investments'!$A:$A,ROW())&amp;""," "," "))</f>
        <v/>
      </c>
      <c r="B1848">
        <f>TRIM(SUBSTITUTE(INDEX('Term investments'!$B:$B,ROW())&amp;""," "," "))</f>
        <v/>
      </c>
      <c r="C1848">
        <f>TRIM(SUBSTITUTE(INDEX('Term investments'!$C:$C,ROW())&amp;""," "," "))</f>
        <v/>
      </c>
      <c r="D1848">
        <f>IFERROR(--INDEX('Term investments'!$D:$D,ROW()),0)</f>
        <v/>
      </c>
      <c r="E1848">
        <f>IFERROR(--INDEX('Term investments'!$E:$E,ROW()),0)</f>
        <v/>
      </c>
      <c r="F1848">
        <f>IFERROR(--INDEX('Term investments'!$F:$F,ROW()),0)</f>
        <v/>
      </c>
      <c r="G1848">
        <f>IFERROR(IF(--INDEX('Term investments'!$G:$G,ROW())&gt;=1,--INDEX('Term investments'!$G:$G,ROW())/100,--INDEX('Term investments'!$G:$G,ROW())),0)</f>
        <v/>
      </c>
      <c r="H1848">
        <f>IFERROR(--INDEX('Term investments'!$H:$H,ROW()),0)</f>
        <v/>
      </c>
      <c r="I1848">
        <f>IF(ISNUMBER(INDEX('Term investments'!$G:$G,ROW())),1,0)</f>
        <v/>
      </c>
      <c r="J1848">
        <f>TRIM(SUBSTITUTE(INDEX('Call accounts and MMFs'!$A:$A,ROW())&amp;""," "," "))</f>
        <v/>
      </c>
      <c r="K1848">
        <f>TRIM(SUBSTITUTE(INDEX('Call accounts and MMFs'!$B:$B,ROW())&amp;""," "," "))</f>
        <v/>
      </c>
      <c r="L1848">
        <f>TRIM(SUBSTITUTE(INDEX('Call accounts and MMFs'!$C:$C,ROW())&amp;""," "," "))</f>
        <v/>
      </c>
      <c r="M1848">
        <f>IFERROR(--INDEX('Call accounts and MMFs'!$D:$D,ROW()),0)</f>
        <v/>
      </c>
      <c r="N1848">
        <f>IFERROR(IF(--INDEX('Call accounts and MMFs'!$E:$E,ROW())&gt;=1,--INDEX('Call accounts and MMFs'!$E:$E,ROW())/100,--INDEX('Call accounts and MMFs'!$E:$E,ROW())),0)</f>
        <v/>
      </c>
      <c r="O1848">
        <f>IFERROR(--INDEX('Call accounts and MMFs'!$F:$F,ROW()),0)</f>
        <v/>
      </c>
      <c r="P1848">
        <f>IF(ISNUMBER(INDEX('Call accounts and MMFs'!$E:$E,ROW())),1,0)</f>
        <v/>
      </c>
      <c r="Q1848">
        <f>TRIM(SUBSTITUTE(INDEX('Pooled funds'!$B:$B,ROW())&amp;""," "," "))</f>
        <v/>
      </c>
      <c r="R1848">
        <f>IFERROR(--INDEX('Pooled funds'!$C:$C,ROW()),0)</f>
        <v/>
      </c>
      <c r="S1848">
        <f>IFERROR(--INDEX('Pooled funds'!$D:$D,ROW()),0)</f>
        <v/>
      </c>
      <c r="T1848">
        <f>IFERROR(IF(--INDEX('Pooled funds'!$E:$E,ROW())&gt;=1,--INDEX('Pooled funds'!$E:$E,ROW())/100,--INDEX('Pooled funds'!$E:$E,ROW())),0)</f>
        <v/>
      </c>
      <c r="U1848">
        <f>IF(ISNUMBER(INDEX('Pooled funds'!$E:$E,ROW())),1,0)</f>
        <v/>
      </c>
    </row>
    <row r="1849">
      <c r="A1849">
        <f>TRIM(SUBSTITUTE(INDEX('Term investments'!$A:$A,ROW())&amp;""," "," "))</f>
        <v/>
      </c>
      <c r="B1849">
        <f>TRIM(SUBSTITUTE(INDEX('Term investments'!$B:$B,ROW())&amp;""," "," "))</f>
        <v/>
      </c>
      <c r="C1849">
        <f>TRIM(SUBSTITUTE(INDEX('Term investments'!$C:$C,ROW())&amp;""," "," "))</f>
        <v/>
      </c>
      <c r="D1849">
        <f>IFERROR(--INDEX('Term investments'!$D:$D,ROW()),0)</f>
        <v/>
      </c>
      <c r="E1849">
        <f>IFERROR(--INDEX('Term investments'!$E:$E,ROW()),0)</f>
        <v/>
      </c>
      <c r="F1849">
        <f>IFERROR(--INDEX('Term investments'!$F:$F,ROW()),0)</f>
        <v/>
      </c>
      <c r="G1849">
        <f>IFERROR(IF(--INDEX('Term investments'!$G:$G,ROW())&gt;=1,--INDEX('Term investments'!$G:$G,ROW())/100,--INDEX('Term investments'!$G:$G,ROW())),0)</f>
        <v/>
      </c>
      <c r="H1849">
        <f>IFERROR(--INDEX('Term investments'!$H:$H,ROW()),0)</f>
        <v/>
      </c>
      <c r="I1849">
        <f>IF(ISNUMBER(INDEX('Term investments'!$G:$G,ROW())),1,0)</f>
        <v/>
      </c>
      <c r="J1849">
        <f>TRIM(SUBSTITUTE(INDEX('Call accounts and MMFs'!$A:$A,ROW())&amp;""," "," "))</f>
        <v/>
      </c>
      <c r="K1849">
        <f>TRIM(SUBSTITUTE(INDEX('Call accounts and MMFs'!$B:$B,ROW())&amp;""," "," "))</f>
        <v/>
      </c>
      <c r="L1849">
        <f>TRIM(SUBSTITUTE(INDEX('Call accounts and MMFs'!$C:$C,ROW())&amp;""," "," "))</f>
        <v/>
      </c>
      <c r="M1849">
        <f>IFERROR(--INDEX('Call accounts and MMFs'!$D:$D,ROW()),0)</f>
        <v/>
      </c>
      <c r="N1849">
        <f>IFERROR(IF(--INDEX('Call accounts and MMFs'!$E:$E,ROW())&gt;=1,--INDEX('Call accounts and MMFs'!$E:$E,ROW())/100,--INDEX('Call accounts and MMFs'!$E:$E,ROW())),0)</f>
        <v/>
      </c>
      <c r="O1849">
        <f>IFERROR(--INDEX('Call accounts and MMFs'!$F:$F,ROW()),0)</f>
        <v/>
      </c>
      <c r="P1849">
        <f>IF(ISNUMBER(INDEX('Call accounts and MMFs'!$E:$E,ROW())),1,0)</f>
        <v/>
      </c>
      <c r="Q1849">
        <f>TRIM(SUBSTITUTE(INDEX('Pooled funds'!$B:$B,ROW())&amp;""," "," "))</f>
        <v/>
      </c>
      <c r="R1849">
        <f>IFERROR(--INDEX('Pooled funds'!$C:$C,ROW()),0)</f>
        <v/>
      </c>
      <c r="S1849">
        <f>IFERROR(--INDEX('Pooled funds'!$D:$D,ROW()),0)</f>
        <v/>
      </c>
      <c r="T1849">
        <f>IFERROR(IF(--INDEX('Pooled funds'!$E:$E,ROW())&gt;=1,--INDEX('Pooled funds'!$E:$E,ROW())/100,--INDEX('Pooled funds'!$E:$E,ROW())),0)</f>
        <v/>
      </c>
      <c r="U1849">
        <f>IF(ISNUMBER(INDEX('Pooled funds'!$E:$E,ROW())),1,0)</f>
        <v/>
      </c>
    </row>
    <row r="1850">
      <c r="A1850">
        <f>TRIM(SUBSTITUTE(INDEX('Term investments'!$A:$A,ROW())&amp;""," "," "))</f>
        <v/>
      </c>
      <c r="B1850">
        <f>TRIM(SUBSTITUTE(INDEX('Term investments'!$B:$B,ROW())&amp;""," "," "))</f>
        <v/>
      </c>
      <c r="C1850">
        <f>TRIM(SUBSTITUTE(INDEX('Term investments'!$C:$C,ROW())&amp;""," "," "))</f>
        <v/>
      </c>
      <c r="D1850">
        <f>IFERROR(--INDEX('Term investments'!$D:$D,ROW()),0)</f>
        <v/>
      </c>
      <c r="E1850">
        <f>IFERROR(--INDEX('Term investments'!$E:$E,ROW()),0)</f>
        <v/>
      </c>
      <c r="F1850">
        <f>IFERROR(--INDEX('Term investments'!$F:$F,ROW()),0)</f>
        <v/>
      </c>
      <c r="G1850">
        <f>IFERROR(IF(--INDEX('Term investments'!$G:$G,ROW())&gt;=1,--INDEX('Term investments'!$G:$G,ROW())/100,--INDEX('Term investments'!$G:$G,ROW())),0)</f>
        <v/>
      </c>
      <c r="H1850">
        <f>IFERROR(--INDEX('Term investments'!$H:$H,ROW()),0)</f>
        <v/>
      </c>
      <c r="I1850">
        <f>IF(ISNUMBER(INDEX('Term investments'!$G:$G,ROW())),1,0)</f>
        <v/>
      </c>
      <c r="J1850">
        <f>TRIM(SUBSTITUTE(INDEX('Call accounts and MMFs'!$A:$A,ROW())&amp;""," "," "))</f>
        <v/>
      </c>
      <c r="K1850">
        <f>TRIM(SUBSTITUTE(INDEX('Call accounts and MMFs'!$B:$B,ROW())&amp;""," "," "))</f>
        <v/>
      </c>
      <c r="L1850">
        <f>TRIM(SUBSTITUTE(INDEX('Call accounts and MMFs'!$C:$C,ROW())&amp;""," "," "))</f>
        <v/>
      </c>
      <c r="M1850">
        <f>IFERROR(--INDEX('Call accounts and MMFs'!$D:$D,ROW()),0)</f>
        <v/>
      </c>
      <c r="N1850">
        <f>IFERROR(IF(--INDEX('Call accounts and MMFs'!$E:$E,ROW())&gt;=1,--INDEX('Call accounts and MMFs'!$E:$E,ROW())/100,--INDEX('Call accounts and MMFs'!$E:$E,ROW())),0)</f>
        <v/>
      </c>
      <c r="O1850">
        <f>IFERROR(--INDEX('Call accounts and MMFs'!$F:$F,ROW()),0)</f>
        <v/>
      </c>
      <c r="P1850">
        <f>IF(ISNUMBER(INDEX('Call accounts and MMFs'!$E:$E,ROW())),1,0)</f>
        <v/>
      </c>
      <c r="Q1850">
        <f>TRIM(SUBSTITUTE(INDEX('Pooled funds'!$B:$B,ROW())&amp;""," "," "))</f>
        <v/>
      </c>
      <c r="R1850">
        <f>IFERROR(--INDEX('Pooled funds'!$C:$C,ROW()),0)</f>
        <v/>
      </c>
      <c r="S1850">
        <f>IFERROR(--INDEX('Pooled funds'!$D:$D,ROW()),0)</f>
        <v/>
      </c>
      <c r="T1850">
        <f>IFERROR(IF(--INDEX('Pooled funds'!$E:$E,ROW())&gt;=1,--INDEX('Pooled funds'!$E:$E,ROW())/100,--INDEX('Pooled funds'!$E:$E,ROW())),0)</f>
        <v/>
      </c>
      <c r="U1850">
        <f>IF(ISNUMBER(INDEX('Pooled funds'!$E:$E,ROW())),1,0)</f>
        <v/>
      </c>
    </row>
    <row r="1851">
      <c r="A1851">
        <f>TRIM(SUBSTITUTE(INDEX('Term investments'!$A:$A,ROW())&amp;""," "," "))</f>
        <v/>
      </c>
      <c r="B1851">
        <f>TRIM(SUBSTITUTE(INDEX('Term investments'!$B:$B,ROW())&amp;""," "," "))</f>
        <v/>
      </c>
      <c r="C1851">
        <f>TRIM(SUBSTITUTE(INDEX('Term investments'!$C:$C,ROW())&amp;""," "," "))</f>
        <v/>
      </c>
      <c r="D1851">
        <f>IFERROR(--INDEX('Term investments'!$D:$D,ROW()),0)</f>
        <v/>
      </c>
      <c r="E1851">
        <f>IFERROR(--INDEX('Term investments'!$E:$E,ROW()),0)</f>
        <v/>
      </c>
      <c r="F1851">
        <f>IFERROR(--INDEX('Term investments'!$F:$F,ROW()),0)</f>
        <v/>
      </c>
      <c r="G1851">
        <f>IFERROR(IF(--INDEX('Term investments'!$G:$G,ROW())&gt;=1,--INDEX('Term investments'!$G:$G,ROW())/100,--INDEX('Term investments'!$G:$G,ROW())),0)</f>
        <v/>
      </c>
      <c r="H1851">
        <f>IFERROR(--INDEX('Term investments'!$H:$H,ROW()),0)</f>
        <v/>
      </c>
      <c r="I1851">
        <f>IF(ISNUMBER(INDEX('Term investments'!$G:$G,ROW())),1,0)</f>
        <v/>
      </c>
      <c r="J1851">
        <f>TRIM(SUBSTITUTE(INDEX('Call accounts and MMFs'!$A:$A,ROW())&amp;""," "," "))</f>
        <v/>
      </c>
      <c r="K1851">
        <f>TRIM(SUBSTITUTE(INDEX('Call accounts and MMFs'!$B:$B,ROW())&amp;""," "," "))</f>
        <v/>
      </c>
      <c r="L1851">
        <f>TRIM(SUBSTITUTE(INDEX('Call accounts and MMFs'!$C:$C,ROW())&amp;""," "," "))</f>
        <v/>
      </c>
      <c r="M1851">
        <f>IFERROR(--INDEX('Call accounts and MMFs'!$D:$D,ROW()),0)</f>
        <v/>
      </c>
      <c r="N1851">
        <f>IFERROR(IF(--INDEX('Call accounts and MMFs'!$E:$E,ROW())&gt;=1,--INDEX('Call accounts and MMFs'!$E:$E,ROW())/100,--INDEX('Call accounts and MMFs'!$E:$E,ROW())),0)</f>
        <v/>
      </c>
      <c r="O1851">
        <f>IFERROR(--INDEX('Call accounts and MMFs'!$F:$F,ROW()),0)</f>
        <v/>
      </c>
      <c r="P1851">
        <f>IF(ISNUMBER(INDEX('Call accounts and MMFs'!$E:$E,ROW())),1,0)</f>
        <v/>
      </c>
      <c r="Q1851">
        <f>TRIM(SUBSTITUTE(INDEX('Pooled funds'!$B:$B,ROW())&amp;""," "," "))</f>
        <v/>
      </c>
      <c r="R1851">
        <f>IFERROR(--INDEX('Pooled funds'!$C:$C,ROW()),0)</f>
        <v/>
      </c>
      <c r="S1851">
        <f>IFERROR(--INDEX('Pooled funds'!$D:$D,ROW()),0)</f>
        <v/>
      </c>
      <c r="T1851">
        <f>IFERROR(IF(--INDEX('Pooled funds'!$E:$E,ROW())&gt;=1,--INDEX('Pooled funds'!$E:$E,ROW())/100,--INDEX('Pooled funds'!$E:$E,ROW())),0)</f>
        <v/>
      </c>
      <c r="U1851">
        <f>IF(ISNUMBER(INDEX('Pooled funds'!$E:$E,ROW())),1,0)</f>
        <v/>
      </c>
    </row>
    <row r="1852">
      <c r="A1852">
        <f>TRIM(SUBSTITUTE(INDEX('Term investments'!$A:$A,ROW())&amp;""," "," "))</f>
        <v/>
      </c>
      <c r="B1852">
        <f>TRIM(SUBSTITUTE(INDEX('Term investments'!$B:$B,ROW())&amp;""," "," "))</f>
        <v/>
      </c>
      <c r="C1852">
        <f>TRIM(SUBSTITUTE(INDEX('Term investments'!$C:$C,ROW())&amp;""," "," "))</f>
        <v/>
      </c>
      <c r="D1852">
        <f>IFERROR(--INDEX('Term investments'!$D:$D,ROW()),0)</f>
        <v/>
      </c>
      <c r="E1852">
        <f>IFERROR(--INDEX('Term investments'!$E:$E,ROW()),0)</f>
        <v/>
      </c>
      <c r="F1852">
        <f>IFERROR(--INDEX('Term investments'!$F:$F,ROW()),0)</f>
        <v/>
      </c>
      <c r="G1852">
        <f>IFERROR(IF(--INDEX('Term investments'!$G:$G,ROW())&gt;=1,--INDEX('Term investments'!$G:$G,ROW())/100,--INDEX('Term investments'!$G:$G,ROW())),0)</f>
        <v/>
      </c>
      <c r="H1852">
        <f>IFERROR(--INDEX('Term investments'!$H:$H,ROW()),0)</f>
        <v/>
      </c>
      <c r="I1852">
        <f>IF(ISNUMBER(INDEX('Term investments'!$G:$G,ROW())),1,0)</f>
        <v/>
      </c>
      <c r="J1852">
        <f>TRIM(SUBSTITUTE(INDEX('Call accounts and MMFs'!$A:$A,ROW())&amp;""," "," "))</f>
        <v/>
      </c>
      <c r="K1852">
        <f>TRIM(SUBSTITUTE(INDEX('Call accounts and MMFs'!$B:$B,ROW())&amp;""," "," "))</f>
        <v/>
      </c>
      <c r="L1852">
        <f>TRIM(SUBSTITUTE(INDEX('Call accounts and MMFs'!$C:$C,ROW())&amp;""," "," "))</f>
        <v/>
      </c>
      <c r="M1852">
        <f>IFERROR(--INDEX('Call accounts and MMFs'!$D:$D,ROW()),0)</f>
        <v/>
      </c>
      <c r="N1852">
        <f>IFERROR(IF(--INDEX('Call accounts and MMFs'!$E:$E,ROW())&gt;=1,--INDEX('Call accounts and MMFs'!$E:$E,ROW())/100,--INDEX('Call accounts and MMFs'!$E:$E,ROW())),0)</f>
        <v/>
      </c>
      <c r="O1852">
        <f>IFERROR(--INDEX('Call accounts and MMFs'!$F:$F,ROW()),0)</f>
        <v/>
      </c>
      <c r="P1852">
        <f>IF(ISNUMBER(INDEX('Call accounts and MMFs'!$E:$E,ROW())),1,0)</f>
        <v/>
      </c>
      <c r="Q1852">
        <f>TRIM(SUBSTITUTE(INDEX('Pooled funds'!$B:$B,ROW())&amp;""," "," "))</f>
        <v/>
      </c>
      <c r="R1852">
        <f>IFERROR(--INDEX('Pooled funds'!$C:$C,ROW()),0)</f>
        <v/>
      </c>
      <c r="S1852">
        <f>IFERROR(--INDEX('Pooled funds'!$D:$D,ROW()),0)</f>
        <v/>
      </c>
      <c r="T1852">
        <f>IFERROR(IF(--INDEX('Pooled funds'!$E:$E,ROW())&gt;=1,--INDEX('Pooled funds'!$E:$E,ROW())/100,--INDEX('Pooled funds'!$E:$E,ROW())),0)</f>
        <v/>
      </c>
      <c r="U1852">
        <f>IF(ISNUMBER(INDEX('Pooled funds'!$E:$E,ROW())),1,0)</f>
        <v/>
      </c>
    </row>
    <row r="1853">
      <c r="A1853">
        <f>TRIM(SUBSTITUTE(INDEX('Term investments'!$A:$A,ROW())&amp;""," "," "))</f>
        <v/>
      </c>
      <c r="B1853">
        <f>TRIM(SUBSTITUTE(INDEX('Term investments'!$B:$B,ROW())&amp;""," "," "))</f>
        <v/>
      </c>
      <c r="C1853">
        <f>TRIM(SUBSTITUTE(INDEX('Term investments'!$C:$C,ROW())&amp;""," "," "))</f>
        <v/>
      </c>
      <c r="D1853">
        <f>IFERROR(--INDEX('Term investments'!$D:$D,ROW()),0)</f>
        <v/>
      </c>
      <c r="E1853">
        <f>IFERROR(--INDEX('Term investments'!$E:$E,ROW()),0)</f>
        <v/>
      </c>
      <c r="F1853">
        <f>IFERROR(--INDEX('Term investments'!$F:$F,ROW()),0)</f>
        <v/>
      </c>
      <c r="G1853">
        <f>IFERROR(IF(--INDEX('Term investments'!$G:$G,ROW())&gt;=1,--INDEX('Term investments'!$G:$G,ROW())/100,--INDEX('Term investments'!$G:$G,ROW())),0)</f>
        <v/>
      </c>
      <c r="H1853">
        <f>IFERROR(--INDEX('Term investments'!$H:$H,ROW()),0)</f>
        <v/>
      </c>
      <c r="I1853">
        <f>IF(ISNUMBER(INDEX('Term investments'!$G:$G,ROW())),1,0)</f>
        <v/>
      </c>
      <c r="J1853">
        <f>TRIM(SUBSTITUTE(INDEX('Call accounts and MMFs'!$A:$A,ROW())&amp;""," "," "))</f>
        <v/>
      </c>
      <c r="K1853">
        <f>TRIM(SUBSTITUTE(INDEX('Call accounts and MMFs'!$B:$B,ROW())&amp;""," "," "))</f>
        <v/>
      </c>
      <c r="L1853">
        <f>TRIM(SUBSTITUTE(INDEX('Call accounts and MMFs'!$C:$C,ROW())&amp;""," "," "))</f>
        <v/>
      </c>
      <c r="M1853">
        <f>IFERROR(--INDEX('Call accounts and MMFs'!$D:$D,ROW()),0)</f>
        <v/>
      </c>
      <c r="N1853">
        <f>IFERROR(IF(--INDEX('Call accounts and MMFs'!$E:$E,ROW())&gt;=1,--INDEX('Call accounts and MMFs'!$E:$E,ROW())/100,--INDEX('Call accounts and MMFs'!$E:$E,ROW())),0)</f>
        <v/>
      </c>
      <c r="O1853">
        <f>IFERROR(--INDEX('Call accounts and MMFs'!$F:$F,ROW()),0)</f>
        <v/>
      </c>
      <c r="P1853">
        <f>IF(ISNUMBER(INDEX('Call accounts and MMFs'!$E:$E,ROW())),1,0)</f>
        <v/>
      </c>
      <c r="Q1853">
        <f>TRIM(SUBSTITUTE(INDEX('Pooled funds'!$B:$B,ROW())&amp;""," "," "))</f>
        <v/>
      </c>
      <c r="R1853">
        <f>IFERROR(--INDEX('Pooled funds'!$C:$C,ROW()),0)</f>
        <v/>
      </c>
      <c r="S1853">
        <f>IFERROR(--INDEX('Pooled funds'!$D:$D,ROW()),0)</f>
        <v/>
      </c>
      <c r="T1853">
        <f>IFERROR(IF(--INDEX('Pooled funds'!$E:$E,ROW())&gt;=1,--INDEX('Pooled funds'!$E:$E,ROW())/100,--INDEX('Pooled funds'!$E:$E,ROW())),0)</f>
        <v/>
      </c>
      <c r="U1853">
        <f>IF(ISNUMBER(INDEX('Pooled funds'!$E:$E,ROW())),1,0)</f>
        <v/>
      </c>
    </row>
    <row r="1854">
      <c r="A1854">
        <f>TRIM(SUBSTITUTE(INDEX('Term investments'!$A:$A,ROW())&amp;""," "," "))</f>
        <v/>
      </c>
      <c r="B1854">
        <f>TRIM(SUBSTITUTE(INDEX('Term investments'!$B:$B,ROW())&amp;""," "," "))</f>
        <v/>
      </c>
      <c r="C1854">
        <f>TRIM(SUBSTITUTE(INDEX('Term investments'!$C:$C,ROW())&amp;""," "," "))</f>
        <v/>
      </c>
      <c r="D1854">
        <f>IFERROR(--INDEX('Term investments'!$D:$D,ROW()),0)</f>
        <v/>
      </c>
      <c r="E1854">
        <f>IFERROR(--INDEX('Term investments'!$E:$E,ROW()),0)</f>
        <v/>
      </c>
      <c r="F1854">
        <f>IFERROR(--INDEX('Term investments'!$F:$F,ROW()),0)</f>
        <v/>
      </c>
      <c r="G1854">
        <f>IFERROR(IF(--INDEX('Term investments'!$G:$G,ROW())&gt;=1,--INDEX('Term investments'!$G:$G,ROW())/100,--INDEX('Term investments'!$G:$G,ROW())),0)</f>
        <v/>
      </c>
      <c r="H1854">
        <f>IFERROR(--INDEX('Term investments'!$H:$H,ROW()),0)</f>
        <v/>
      </c>
      <c r="I1854">
        <f>IF(ISNUMBER(INDEX('Term investments'!$G:$G,ROW())),1,0)</f>
        <v/>
      </c>
      <c r="J1854">
        <f>TRIM(SUBSTITUTE(INDEX('Call accounts and MMFs'!$A:$A,ROW())&amp;""," "," "))</f>
        <v/>
      </c>
      <c r="K1854">
        <f>TRIM(SUBSTITUTE(INDEX('Call accounts and MMFs'!$B:$B,ROW())&amp;""," "," "))</f>
        <v/>
      </c>
      <c r="L1854">
        <f>TRIM(SUBSTITUTE(INDEX('Call accounts and MMFs'!$C:$C,ROW())&amp;""," "," "))</f>
        <v/>
      </c>
      <c r="M1854">
        <f>IFERROR(--INDEX('Call accounts and MMFs'!$D:$D,ROW()),0)</f>
        <v/>
      </c>
      <c r="N1854">
        <f>IFERROR(IF(--INDEX('Call accounts and MMFs'!$E:$E,ROW())&gt;=1,--INDEX('Call accounts and MMFs'!$E:$E,ROW())/100,--INDEX('Call accounts and MMFs'!$E:$E,ROW())),0)</f>
        <v/>
      </c>
      <c r="O1854">
        <f>IFERROR(--INDEX('Call accounts and MMFs'!$F:$F,ROW()),0)</f>
        <v/>
      </c>
      <c r="P1854">
        <f>IF(ISNUMBER(INDEX('Call accounts and MMFs'!$E:$E,ROW())),1,0)</f>
        <v/>
      </c>
      <c r="Q1854">
        <f>TRIM(SUBSTITUTE(INDEX('Pooled funds'!$B:$B,ROW())&amp;""," "," "))</f>
        <v/>
      </c>
      <c r="R1854">
        <f>IFERROR(--INDEX('Pooled funds'!$C:$C,ROW()),0)</f>
        <v/>
      </c>
      <c r="S1854">
        <f>IFERROR(--INDEX('Pooled funds'!$D:$D,ROW()),0)</f>
        <v/>
      </c>
      <c r="T1854">
        <f>IFERROR(IF(--INDEX('Pooled funds'!$E:$E,ROW())&gt;=1,--INDEX('Pooled funds'!$E:$E,ROW())/100,--INDEX('Pooled funds'!$E:$E,ROW())),0)</f>
        <v/>
      </c>
      <c r="U1854">
        <f>IF(ISNUMBER(INDEX('Pooled funds'!$E:$E,ROW())),1,0)</f>
        <v/>
      </c>
    </row>
    <row r="1855">
      <c r="A1855">
        <f>TRIM(SUBSTITUTE(INDEX('Term investments'!$A:$A,ROW())&amp;""," "," "))</f>
        <v/>
      </c>
      <c r="B1855">
        <f>TRIM(SUBSTITUTE(INDEX('Term investments'!$B:$B,ROW())&amp;""," "," "))</f>
        <v/>
      </c>
      <c r="C1855">
        <f>TRIM(SUBSTITUTE(INDEX('Term investments'!$C:$C,ROW())&amp;""," "," "))</f>
        <v/>
      </c>
      <c r="D1855">
        <f>IFERROR(--INDEX('Term investments'!$D:$D,ROW()),0)</f>
        <v/>
      </c>
      <c r="E1855">
        <f>IFERROR(--INDEX('Term investments'!$E:$E,ROW()),0)</f>
        <v/>
      </c>
      <c r="F1855">
        <f>IFERROR(--INDEX('Term investments'!$F:$F,ROW()),0)</f>
        <v/>
      </c>
      <c r="G1855">
        <f>IFERROR(IF(--INDEX('Term investments'!$G:$G,ROW())&gt;=1,--INDEX('Term investments'!$G:$G,ROW())/100,--INDEX('Term investments'!$G:$G,ROW())),0)</f>
        <v/>
      </c>
      <c r="H1855">
        <f>IFERROR(--INDEX('Term investments'!$H:$H,ROW()),0)</f>
        <v/>
      </c>
      <c r="I1855">
        <f>IF(ISNUMBER(INDEX('Term investments'!$G:$G,ROW())),1,0)</f>
        <v/>
      </c>
      <c r="J1855">
        <f>TRIM(SUBSTITUTE(INDEX('Call accounts and MMFs'!$A:$A,ROW())&amp;""," "," "))</f>
        <v/>
      </c>
      <c r="K1855">
        <f>TRIM(SUBSTITUTE(INDEX('Call accounts and MMFs'!$B:$B,ROW())&amp;""," "," "))</f>
        <v/>
      </c>
      <c r="L1855">
        <f>TRIM(SUBSTITUTE(INDEX('Call accounts and MMFs'!$C:$C,ROW())&amp;""," "," "))</f>
        <v/>
      </c>
      <c r="M1855">
        <f>IFERROR(--INDEX('Call accounts and MMFs'!$D:$D,ROW()),0)</f>
        <v/>
      </c>
      <c r="N1855">
        <f>IFERROR(IF(--INDEX('Call accounts and MMFs'!$E:$E,ROW())&gt;=1,--INDEX('Call accounts and MMFs'!$E:$E,ROW())/100,--INDEX('Call accounts and MMFs'!$E:$E,ROW())),0)</f>
        <v/>
      </c>
      <c r="O1855">
        <f>IFERROR(--INDEX('Call accounts and MMFs'!$F:$F,ROW()),0)</f>
        <v/>
      </c>
      <c r="P1855">
        <f>IF(ISNUMBER(INDEX('Call accounts and MMFs'!$E:$E,ROW())),1,0)</f>
        <v/>
      </c>
      <c r="Q1855">
        <f>TRIM(SUBSTITUTE(INDEX('Pooled funds'!$B:$B,ROW())&amp;""," "," "))</f>
        <v/>
      </c>
      <c r="R1855">
        <f>IFERROR(--INDEX('Pooled funds'!$C:$C,ROW()),0)</f>
        <v/>
      </c>
      <c r="S1855">
        <f>IFERROR(--INDEX('Pooled funds'!$D:$D,ROW()),0)</f>
        <v/>
      </c>
      <c r="T1855">
        <f>IFERROR(IF(--INDEX('Pooled funds'!$E:$E,ROW())&gt;=1,--INDEX('Pooled funds'!$E:$E,ROW())/100,--INDEX('Pooled funds'!$E:$E,ROW())),0)</f>
        <v/>
      </c>
      <c r="U1855">
        <f>IF(ISNUMBER(INDEX('Pooled funds'!$E:$E,ROW())),1,0)</f>
        <v/>
      </c>
    </row>
    <row r="1856">
      <c r="A1856">
        <f>TRIM(SUBSTITUTE(INDEX('Term investments'!$A:$A,ROW())&amp;""," "," "))</f>
        <v/>
      </c>
      <c r="B1856">
        <f>TRIM(SUBSTITUTE(INDEX('Term investments'!$B:$B,ROW())&amp;""," "," "))</f>
        <v/>
      </c>
      <c r="C1856">
        <f>TRIM(SUBSTITUTE(INDEX('Term investments'!$C:$C,ROW())&amp;""," "," "))</f>
        <v/>
      </c>
      <c r="D1856">
        <f>IFERROR(--INDEX('Term investments'!$D:$D,ROW()),0)</f>
        <v/>
      </c>
      <c r="E1856">
        <f>IFERROR(--INDEX('Term investments'!$E:$E,ROW()),0)</f>
        <v/>
      </c>
      <c r="F1856">
        <f>IFERROR(--INDEX('Term investments'!$F:$F,ROW()),0)</f>
        <v/>
      </c>
      <c r="G1856">
        <f>IFERROR(IF(--INDEX('Term investments'!$G:$G,ROW())&gt;=1,--INDEX('Term investments'!$G:$G,ROW())/100,--INDEX('Term investments'!$G:$G,ROW())),0)</f>
        <v/>
      </c>
      <c r="H1856">
        <f>IFERROR(--INDEX('Term investments'!$H:$H,ROW()),0)</f>
        <v/>
      </c>
      <c r="I1856">
        <f>IF(ISNUMBER(INDEX('Term investments'!$G:$G,ROW())),1,0)</f>
        <v/>
      </c>
      <c r="J1856">
        <f>TRIM(SUBSTITUTE(INDEX('Call accounts and MMFs'!$A:$A,ROW())&amp;""," "," "))</f>
        <v/>
      </c>
      <c r="K1856">
        <f>TRIM(SUBSTITUTE(INDEX('Call accounts and MMFs'!$B:$B,ROW())&amp;""," "," "))</f>
        <v/>
      </c>
      <c r="L1856">
        <f>TRIM(SUBSTITUTE(INDEX('Call accounts and MMFs'!$C:$C,ROW())&amp;""," "," "))</f>
        <v/>
      </c>
      <c r="M1856">
        <f>IFERROR(--INDEX('Call accounts and MMFs'!$D:$D,ROW()),0)</f>
        <v/>
      </c>
      <c r="N1856">
        <f>IFERROR(IF(--INDEX('Call accounts and MMFs'!$E:$E,ROW())&gt;=1,--INDEX('Call accounts and MMFs'!$E:$E,ROW())/100,--INDEX('Call accounts and MMFs'!$E:$E,ROW())),0)</f>
        <v/>
      </c>
      <c r="O1856">
        <f>IFERROR(--INDEX('Call accounts and MMFs'!$F:$F,ROW()),0)</f>
        <v/>
      </c>
      <c r="P1856">
        <f>IF(ISNUMBER(INDEX('Call accounts and MMFs'!$E:$E,ROW())),1,0)</f>
        <v/>
      </c>
      <c r="Q1856">
        <f>TRIM(SUBSTITUTE(INDEX('Pooled funds'!$B:$B,ROW())&amp;""," "," "))</f>
        <v/>
      </c>
      <c r="R1856">
        <f>IFERROR(--INDEX('Pooled funds'!$C:$C,ROW()),0)</f>
        <v/>
      </c>
      <c r="S1856">
        <f>IFERROR(--INDEX('Pooled funds'!$D:$D,ROW()),0)</f>
        <v/>
      </c>
      <c r="T1856">
        <f>IFERROR(IF(--INDEX('Pooled funds'!$E:$E,ROW())&gt;=1,--INDEX('Pooled funds'!$E:$E,ROW())/100,--INDEX('Pooled funds'!$E:$E,ROW())),0)</f>
        <v/>
      </c>
      <c r="U1856">
        <f>IF(ISNUMBER(INDEX('Pooled funds'!$E:$E,ROW())),1,0)</f>
        <v/>
      </c>
    </row>
    <row r="1857">
      <c r="A1857">
        <f>TRIM(SUBSTITUTE(INDEX('Term investments'!$A:$A,ROW())&amp;""," "," "))</f>
        <v/>
      </c>
      <c r="B1857">
        <f>TRIM(SUBSTITUTE(INDEX('Term investments'!$B:$B,ROW())&amp;""," "," "))</f>
        <v/>
      </c>
      <c r="C1857">
        <f>TRIM(SUBSTITUTE(INDEX('Term investments'!$C:$C,ROW())&amp;""," "," "))</f>
        <v/>
      </c>
      <c r="D1857">
        <f>IFERROR(--INDEX('Term investments'!$D:$D,ROW()),0)</f>
        <v/>
      </c>
      <c r="E1857">
        <f>IFERROR(--INDEX('Term investments'!$E:$E,ROW()),0)</f>
        <v/>
      </c>
      <c r="F1857">
        <f>IFERROR(--INDEX('Term investments'!$F:$F,ROW()),0)</f>
        <v/>
      </c>
      <c r="G1857">
        <f>IFERROR(IF(--INDEX('Term investments'!$G:$G,ROW())&gt;=1,--INDEX('Term investments'!$G:$G,ROW())/100,--INDEX('Term investments'!$G:$G,ROW())),0)</f>
        <v/>
      </c>
      <c r="H1857">
        <f>IFERROR(--INDEX('Term investments'!$H:$H,ROW()),0)</f>
        <v/>
      </c>
      <c r="I1857">
        <f>IF(ISNUMBER(INDEX('Term investments'!$G:$G,ROW())),1,0)</f>
        <v/>
      </c>
      <c r="J1857">
        <f>TRIM(SUBSTITUTE(INDEX('Call accounts and MMFs'!$A:$A,ROW())&amp;""," "," "))</f>
        <v/>
      </c>
      <c r="K1857">
        <f>TRIM(SUBSTITUTE(INDEX('Call accounts and MMFs'!$B:$B,ROW())&amp;""," "," "))</f>
        <v/>
      </c>
      <c r="L1857">
        <f>TRIM(SUBSTITUTE(INDEX('Call accounts and MMFs'!$C:$C,ROW())&amp;""," "," "))</f>
        <v/>
      </c>
      <c r="M1857">
        <f>IFERROR(--INDEX('Call accounts and MMFs'!$D:$D,ROW()),0)</f>
        <v/>
      </c>
      <c r="N1857">
        <f>IFERROR(IF(--INDEX('Call accounts and MMFs'!$E:$E,ROW())&gt;=1,--INDEX('Call accounts and MMFs'!$E:$E,ROW())/100,--INDEX('Call accounts and MMFs'!$E:$E,ROW())),0)</f>
        <v/>
      </c>
      <c r="O1857">
        <f>IFERROR(--INDEX('Call accounts and MMFs'!$F:$F,ROW()),0)</f>
        <v/>
      </c>
      <c r="P1857">
        <f>IF(ISNUMBER(INDEX('Call accounts and MMFs'!$E:$E,ROW())),1,0)</f>
        <v/>
      </c>
      <c r="Q1857">
        <f>TRIM(SUBSTITUTE(INDEX('Pooled funds'!$B:$B,ROW())&amp;""," "," "))</f>
        <v/>
      </c>
      <c r="R1857">
        <f>IFERROR(--INDEX('Pooled funds'!$C:$C,ROW()),0)</f>
        <v/>
      </c>
      <c r="S1857">
        <f>IFERROR(--INDEX('Pooled funds'!$D:$D,ROW()),0)</f>
        <v/>
      </c>
      <c r="T1857">
        <f>IFERROR(IF(--INDEX('Pooled funds'!$E:$E,ROW())&gt;=1,--INDEX('Pooled funds'!$E:$E,ROW())/100,--INDEX('Pooled funds'!$E:$E,ROW())),0)</f>
        <v/>
      </c>
      <c r="U1857">
        <f>IF(ISNUMBER(INDEX('Pooled funds'!$E:$E,ROW())),1,0)</f>
        <v/>
      </c>
    </row>
    <row r="1858">
      <c r="A1858">
        <f>TRIM(SUBSTITUTE(INDEX('Term investments'!$A:$A,ROW())&amp;""," "," "))</f>
        <v/>
      </c>
      <c r="B1858">
        <f>TRIM(SUBSTITUTE(INDEX('Term investments'!$B:$B,ROW())&amp;""," "," "))</f>
        <v/>
      </c>
      <c r="C1858">
        <f>TRIM(SUBSTITUTE(INDEX('Term investments'!$C:$C,ROW())&amp;""," "," "))</f>
        <v/>
      </c>
      <c r="D1858">
        <f>IFERROR(--INDEX('Term investments'!$D:$D,ROW()),0)</f>
        <v/>
      </c>
      <c r="E1858">
        <f>IFERROR(--INDEX('Term investments'!$E:$E,ROW()),0)</f>
        <v/>
      </c>
      <c r="F1858">
        <f>IFERROR(--INDEX('Term investments'!$F:$F,ROW()),0)</f>
        <v/>
      </c>
      <c r="G1858">
        <f>IFERROR(IF(--INDEX('Term investments'!$G:$G,ROW())&gt;=1,--INDEX('Term investments'!$G:$G,ROW())/100,--INDEX('Term investments'!$G:$G,ROW())),0)</f>
        <v/>
      </c>
      <c r="H1858">
        <f>IFERROR(--INDEX('Term investments'!$H:$H,ROW()),0)</f>
        <v/>
      </c>
      <c r="I1858">
        <f>IF(ISNUMBER(INDEX('Term investments'!$G:$G,ROW())),1,0)</f>
        <v/>
      </c>
      <c r="J1858">
        <f>TRIM(SUBSTITUTE(INDEX('Call accounts and MMFs'!$A:$A,ROW())&amp;""," "," "))</f>
        <v/>
      </c>
      <c r="K1858">
        <f>TRIM(SUBSTITUTE(INDEX('Call accounts and MMFs'!$B:$B,ROW())&amp;""," "," "))</f>
        <v/>
      </c>
      <c r="L1858">
        <f>TRIM(SUBSTITUTE(INDEX('Call accounts and MMFs'!$C:$C,ROW())&amp;""," "," "))</f>
        <v/>
      </c>
      <c r="M1858">
        <f>IFERROR(--INDEX('Call accounts and MMFs'!$D:$D,ROW()),0)</f>
        <v/>
      </c>
      <c r="N1858">
        <f>IFERROR(IF(--INDEX('Call accounts and MMFs'!$E:$E,ROW())&gt;=1,--INDEX('Call accounts and MMFs'!$E:$E,ROW())/100,--INDEX('Call accounts and MMFs'!$E:$E,ROW())),0)</f>
        <v/>
      </c>
      <c r="O1858">
        <f>IFERROR(--INDEX('Call accounts and MMFs'!$F:$F,ROW()),0)</f>
        <v/>
      </c>
      <c r="P1858">
        <f>IF(ISNUMBER(INDEX('Call accounts and MMFs'!$E:$E,ROW())),1,0)</f>
        <v/>
      </c>
      <c r="Q1858">
        <f>TRIM(SUBSTITUTE(INDEX('Pooled funds'!$B:$B,ROW())&amp;""," "," "))</f>
        <v/>
      </c>
      <c r="R1858">
        <f>IFERROR(--INDEX('Pooled funds'!$C:$C,ROW()),0)</f>
        <v/>
      </c>
      <c r="S1858">
        <f>IFERROR(--INDEX('Pooled funds'!$D:$D,ROW()),0)</f>
        <v/>
      </c>
      <c r="T1858">
        <f>IFERROR(IF(--INDEX('Pooled funds'!$E:$E,ROW())&gt;=1,--INDEX('Pooled funds'!$E:$E,ROW())/100,--INDEX('Pooled funds'!$E:$E,ROW())),0)</f>
        <v/>
      </c>
      <c r="U1858">
        <f>IF(ISNUMBER(INDEX('Pooled funds'!$E:$E,ROW())),1,0)</f>
        <v/>
      </c>
    </row>
    <row r="1859">
      <c r="A1859">
        <f>TRIM(SUBSTITUTE(INDEX('Term investments'!$A:$A,ROW())&amp;""," "," "))</f>
        <v/>
      </c>
      <c r="B1859">
        <f>TRIM(SUBSTITUTE(INDEX('Term investments'!$B:$B,ROW())&amp;""," "," "))</f>
        <v/>
      </c>
      <c r="C1859">
        <f>TRIM(SUBSTITUTE(INDEX('Term investments'!$C:$C,ROW())&amp;""," "," "))</f>
        <v/>
      </c>
      <c r="D1859">
        <f>IFERROR(--INDEX('Term investments'!$D:$D,ROW()),0)</f>
        <v/>
      </c>
      <c r="E1859">
        <f>IFERROR(--INDEX('Term investments'!$E:$E,ROW()),0)</f>
        <v/>
      </c>
      <c r="F1859">
        <f>IFERROR(--INDEX('Term investments'!$F:$F,ROW()),0)</f>
        <v/>
      </c>
      <c r="G1859">
        <f>IFERROR(IF(--INDEX('Term investments'!$G:$G,ROW())&gt;=1,--INDEX('Term investments'!$G:$G,ROW())/100,--INDEX('Term investments'!$G:$G,ROW())),0)</f>
        <v/>
      </c>
      <c r="H1859">
        <f>IFERROR(--INDEX('Term investments'!$H:$H,ROW()),0)</f>
        <v/>
      </c>
      <c r="I1859">
        <f>IF(ISNUMBER(INDEX('Term investments'!$G:$G,ROW())),1,0)</f>
        <v/>
      </c>
      <c r="J1859">
        <f>TRIM(SUBSTITUTE(INDEX('Call accounts and MMFs'!$A:$A,ROW())&amp;""," "," "))</f>
        <v/>
      </c>
      <c r="K1859">
        <f>TRIM(SUBSTITUTE(INDEX('Call accounts and MMFs'!$B:$B,ROW())&amp;""," "," "))</f>
        <v/>
      </c>
      <c r="L1859">
        <f>TRIM(SUBSTITUTE(INDEX('Call accounts and MMFs'!$C:$C,ROW())&amp;""," "," "))</f>
        <v/>
      </c>
      <c r="M1859">
        <f>IFERROR(--INDEX('Call accounts and MMFs'!$D:$D,ROW()),0)</f>
        <v/>
      </c>
      <c r="N1859">
        <f>IFERROR(IF(--INDEX('Call accounts and MMFs'!$E:$E,ROW())&gt;=1,--INDEX('Call accounts and MMFs'!$E:$E,ROW())/100,--INDEX('Call accounts and MMFs'!$E:$E,ROW())),0)</f>
        <v/>
      </c>
      <c r="O1859">
        <f>IFERROR(--INDEX('Call accounts and MMFs'!$F:$F,ROW()),0)</f>
        <v/>
      </c>
      <c r="P1859">
        <f>IF(ISNUMBER(INDEX('Call accounts and MMFs'!$E:$E,ROW())),1,0)</f>
        <v/>
      </c>
      <c r="Q1859">
        <f>TRIM(SUBSTITUTE(INDEX('Pooled funds'!$B:$B,ROW())&amp;""," "," "))</f>
        <v/>
      </c>
      <c r="R1859">
        <f>IFERROR(--INDEX('Pooled funds'!$C:$C,ROW()),0)</f>
        <v/>
      </c>
      <c r="S1859">
        <f>IFERROR(--INDEX('Pooled funds'!$D:$D,ROW()),0)</f>
        <v/>
      </c>
      <c r="T1859">
        <f>IFERROR(IF(--INDEX('Pooled funds'!$E:$E,ROW())&gt;=1,--INDEX('Pooled funds'!$E:$E,ROW())/100,--INDEX('Pooled funds'!$E:$E,ROW())),0)</f>
        <v/>
      </c>
      <c r="U1859">
        <f>IF(ISNUMBER(INDEX('Pooled funds'!$E:$E,ROW())),1,0)</f>
        <v/>
      </c>
    </row>
    <row r="1860">
      <c r="A1860">
        <f>TRIM(SUBSTITUTE(INDEX('Term investments'!$A:$A,ROW())&amp;""," "," "))</f>
        <v/>
      </c>
      <c r="B1860">
        <f>TRIM(SUBSTITUTE(INDEX('Term investments'!$B:$B,ROW())&amp;""," "," "))</f>
        <v/>
      </c>
      <c r="C1860">
        <f>TRIM(SUBSTITUTE(INDEX('Term investments'!$C:$C,ROW())&amp;""," "," "))</f>
        <v/>
      </c>
      <c r="D1860">
        <f>IFERROR(--INDEX('Term investments'!$D:$D,ROW()),0)</f>
        <v/>
      </c>
      <c r="E1860">
        <f>IFERROR(--INDEX('Term investments'!$E:$E,ROW()),0)</f>
        <v/>
      </c>
      <c r="F1860">
        <f>IFERROR(--INDEX('Term investments'!$F:$F,ROW()),0)</f>
        <v/>
      </c>
      <c r="G1860">
        <f>IFERROR(IF(--INDEX('Term investments'!$G:$G,ROW())&gt;=1,--INDEX('Term investments'!$G:$G,ROW())/100,--INDEX('Term investments'!$G:$G,ROW())),0)</f>
        <v/>
      </c>
      <c r="H1860">
        <f>IFERROR(--INDEX('Term investments'!$H:$H,ROW()),0)</f>
        <v/>
      </c>
      <c r="I1860">
        <f>IF(ISNUMBER(INDEX('Term investments'!$G:$G,ROW())),1,0)</f>
        <v/>
      </c>
      <c r="J1860">
        <f>TRIM(SUBSTITUTE(INDEX('Call accounts and MMFs'!$A:$A,ROW())&amp;""," "," "))</f>
        <v/>
      </c>
      <c r="K1860">
        <f>TRIM(SUBSTITUTE(INDEX('Call accounts and MMFs'!$B:$B,ROW())&amp;""," "," "))</f>
        <v/>
      </c>
      <c r="L1860">
        <f>TRIM(SUBSTITUTE(INDEX('Call accounts and MMFs'!$C:$C,ROW())&amp;""," "," "))</f>
        <v/>
      </c>
      <c r="M1860">
        <f>IFERROR(--INDEX('Call accounts and MMFs'!$D:$D,ROW()),0)</f>
        <v/>
      </c>
      <c r="N1860">
        <f>IFERROR(IF(--INDEX('Call accounts and MMFs'!$E:$E,ROW())&gt;=1,--INDEX('Call accounts and MMFs'!$E:$E,ROW())/100,--INDEX('Call accounts and MMFs'!$E:$E,ROW())),0)</f>
        <v/>
      </c>
      <c r="O1860">
        <f>IFERROR(--INDEX('Call accounts and MMFs'!$F:$F,ROW()),0)</f>
        <v/>
      </c>
      <c r="P1860">
        <f>IF(ISNUMBER(INDEX('Call accounts and MMFs'!$E:$E,ROW())),1,0)</f>
        <v/>
      </c>
      <c r="Q1860">
        <f>TRIM(SUBSTITUTE(INDEX('Pooled funds'!$B:$B,ROW())&amp;""," "," "))</f>
        <v/>
      </c>
      <c r="R1860">
        <f>IFERROR(--INDEX('Pooled funds'!$C:$C,ROW()),0)</f>
        <v/>
      </c>
      <c r="S1860">
        <f>IFERROR(--INDEX('Pooled funds'!$D:$D,ROW()),0)</f>
        <v/>
      </c>
      <c r="T1860">
        <f>IFERROR(IF(--INDEX('Pooled funds'!$E:$E,ROW())&gt;=1,--INDEX('Pooled funds'!$E:$E,ROW())/100,--INDEX('Pooled funds'!$E:$E,ROW())),0)</f>
        <v/>
      </c>
      <c r="U1860">
        <f>IF(ISNUMBER(INDEX('Pooled funds'!$E:$E,ROW())),1,0)</f>
        <v/>
      </c>
    </row>
    <row r="1861">
      <c r="A1861">
        <f>TRIM(SUBSTITUTE(INDEX('Term investments'!$A:$A,ROW())&amp;""," "," "))</f>
        <v/>
      </c>
      <c r="B1861">
        <f>TRIM(SUBSTITUTE(INDEX('Term investments'!$B:$B,ROW())&amp;""," "," "))</f>
        <v/>
      </c>
      <c r="C1861">
        <f>TRIM(SUBSTITUTE(INDEX('Term investments'!$C:$C,ROW())&amp;""," "," "))</f>
        <v/>
      </c>
      <c r="D1861">
        <f>IFERROR(--INDEX('Term investments'!$D:$D,ROW()),0)</f>
        <v/>
      </c>
      <c r="E1861">
        <f>IFERROR(--INDEX('Term investments'!$E:$E,ROW()),0)</f>
        <v/>
      </c>
      <c r="F1861">
        <f>IFERROR(--INDEX('Term investments'!$F:$F,ROW()),0)</f>
        <v/>
      </c>
      <c r="G1861">
        <f>IFERROR(IF(--INDEX('Term investments'!$G:$G,ROW())&gt;=1,--INDEX('Term investments'!$G:$G,ROW())/100,--INDEX('Term investments'!$G:$G,ROW())),0)</f>
        <v/>
      </c>
      <c r="H1861">
        <f>IFERROR(--INDEX('Term investments'!$H:$H,ROW()),0)</f>
        <v/>
      </c>
      <c r="I1861">
        <f>IF(ISNUMBER(INDEX('Term investments'!$G:$G,ROW())),1,0)</f>
        <v/>
      </c>
      <c r="J1861">
        <f>TRIM(SUBSTITUTE(INDEX('Call accounts and MMFs'!$A:$A,ROW())&amp;""," "," "))</f>
        <v/>
      </c>
      <c r="K1861">
        <f>TRIM(SUBSTITUTE(INDEX('Call accounts and MMFs'!$B:$B,ROW())&amp;""," "," "))</f>
        <v/>
      </c>
      <c r="L1861">
        <f>TRIM(SUBSTITUTE(INDEX('Call accounts and MMFs'!$C:$C,ROW())&amp;""," "," "))</f>
        <v/>
      </c>
      <c r="M1861">
        <f>IFERROR(--INDEX('Call accounts and MMFs'!$D:$D,ROW()),0)</f>
        <v/>
      </c>
      <c r="N1861">
        <f>IFERROR(IF(--INDEX('Call accounts and MMFs'!$E:$E,ROW())&gt;=1,--INDEX('Call accounts and MMFs'!$E:$E,ROW())/100,--INDEX('Call accounts and MMFs'!$E:$E,ROW())),0)</f>
        <v/>
      </c>
      <c r="O1861">
        <f>IFERROR(--INDEX('Call accounts and MMFs'!$F:$F,ROW()),0)</f>
        <v/>
      </c>
      <c r="P1861">
        <f>IF(ISNUMBER(INDEX('Call accounts and MMFs'!$E:$E,ROW())),1,0)</f>
        <v/>
      </c>
      <c r="Q1861">
        <f>TRIM(SUBSTITUTE(INDEX('Pooled funds'!$B:$B,ROW())&amp;""," "," "))</f>
        <v/>
      </c>
      <c r="R1861">
        <f>IFERROR(--INDEX('Pooled funds'!$C:$C,ROW()),0)</f>
        <v/>
      </c>
      <c r="S1861">
        <f>IFERROR(--INDEX('Pooled funds'!$D:$D,ROW()),0)</f>
        <v/>
      </c>
      <c r="T1861">
        <f>IFERROR(IF(--INDEX('Pooled funds'!$E:$E,ROW())&gt;=1,--INDEX('Pooled funds'!$E:$E,ROW())/100,--INDEX('Pooled funds'!$E:$E,ROW())),0)</f>
        <v/>
      </c>
      <c r="U1861">
        <f>IF(ISNUMBER(INDEX('Pooled funds'!$E:$E,ROW())),1,0)</f>
        <v/>
      </c>
    </row>
    <row r="1862">
      <c r="A1862">
        <f>TRIM(SUBSTITUTE(INDEX('Term investments'!$A:$A,ROW())&amp;""," "," "))</f>
        <v/>
      </c>
      <c r="B1862">
        <f>TRIM(SUBSTITUTE(INDEX('Term investments'!$B:$B,ROW())&amp;""," "," "))</f>
        <v/>
      </c>
      <c r="C1862">
        <f>TRIM(SUBSTITUTE(INDEX('Term investments'!$C:$C,ROW())&amp;""," "," "))</f>
        <v/>
      </c>
      <c r="D1862">
        <f>IFERROR(--INDEX('Term investments'!$D:$D,ROW()),0)</f>
        <v/>
      </c>
      <c r="E1862">
        <f>IFERROR(--INDEX('Term investments'!$E:$E,ROW()),0)</f>
        <v/>
      </c>
      <c r="F1862">
        <f>IFERROR(--INDEX('Term investments'!$F:$F,ROW()),0)</f>
        <v/>
      </c>
      <c r="G1862">
        <f>IFERROR(IF(--INDEX('Term investments'!$G:$G,ROW())&gt;=1,--INDEX('Term investments'!$G:$G,ROW())/100,--INDEX('Term investments'!$G:$G,ROW())),0)</f>
        <v/>
      </c>
      <c r="H1862">
        <f>IFERROR(--INDEX('Term investments'!$H:$H,ROW()),0)</f>
        <v/>
      </c>
      <c r="I1862">
        <f>IF(ISNUMBER(INDEX('Term investments'!$G:$G,ROW())),1,0)</f>
        <v/>
      </c>
      <c r="J1862">
        <f>TRIM(SUBSTITUTE(INDEX('Call accounts and MMFs'!$A:$A,ROW())&amp;""," "," "))</f>
        <v/>
      </c>
      <c r="K1862">
        <f>TRIM(SUBSTITUTE(INDEX('Call accounts and MMFs'!$B:$B,ROW())&amp;""," "," "))</f>
        <v/>
      </c>
      <c r="L1862">
        <f>TRIM(SUBSTITUTE(INDEX('Call accounts and MMFs'!$C:$C,ROW())&amp;""," "," "))</f>
        <v/>
      </c>
      <c r="M1862">
        <f>IFERROR(--INDEX('Call accounts and MMFs'!$D:$D,ROW()),0)</f>
        <v/>
      </c>
      <c r="N1862">
        <f>IFERROR(IF(--INDEX('Call accounts and MMFs'!$E:$E,ROW())&gt;=1,--INDEX('Call accounts and MMFs'!$E:$E,ROW())/100,--INDEX('Call accounts and MMFs'!$E:$E,ROW())),0)</f>
        <v/>
      </c>
      <c r="O1862">
        <f>IFERROR(--INDEX('Call accounts and MMFs'!$F:$F,ROW()),0)</f>
        <v/>
      </c>
      <c r="P1862">
        <f>IF(ISNUMBER(INDEX('Call accounts and MMFs'!$E:$E,ROW())),1,0)</f>
        <v/>
      </c>
      <c r="Q1862">
        <f>TRIM(SUBSTITUTE(INDEX('Pooled funds'!$B:$B,ROW())&amp;""," "," "))</f>
        <v/>
      </c>
      <c r="R1862">
        <f>IFERROR(--INDEX('Pooled funds'!$C:$C,ROW()),0)</f>
        <v/>
      </c>
      <c r="S1862">
        <f>IFERROR(--INDEX('Pooled funds'!$D:$D,ROW()),0)</f>
        <v/>
      </c>
      <c r="T1862">
        <f>IFERROR(IF(--INDEX('Pooled funds'!$E:$E,ROW())&gt;=1,--INDEX('Pooled funds'!$E:$E,ROW())/100,--INDEX('Pooled funds'!$E:$E,ROW())),0)</f>
        <v/>
      </c>
      <c r="U1862">
        <f>IF(ISNUMBER(INDEX('Pooled funds'!$E:$E,ROW())),1,0)</f>
        <v/>
      </c>
    </row>
    <row r="1863">
      <c r="A1863">
        <f>TRIM(SUBSTITUTE(INDEX('Term investments'!$A:$A,ROW())&amp;""," "," "))</f>
        <v/>
      </c>
      <c r="B1863">
        <f>TRIM(SUBSTITUTE(INDEX('Term investments'!$B:$B,ROW())&amp;""," "," "))</f>
        <v/>
      </c>
      <c r="C1863">
        <f>TRIM(SUBSTITUTE(INDEX('Term investments'!$C:$C,ROW())&amp;""," "," "))</f>
        <v/>
      </c>
      <c r="D1863">
        <f>IFERROR(--INDEX('Term investments'!$D:$D,ROW()),0)</f>
        <v/>
      </c>
      <c r="E1863">
        <f>IFERROR(--INDEX('Term investments'!$E:$E,ROW()),0)</f>
        <v/>
      </c>
      <c r="F1863">
        <f>IFERROR(--INDEX('Term investments'!$F:$F,ROW()),0)</f>
        <v/>
      </c>
      <c r="G1863">
        <f>IFERROR(IF(--INDEX('Term investments'!$G:$G,ROW())&gt;=1,--INDEX('Term investments'!$G:$G,ROW())/100,--INDEX('Term investments'!$G:$G,ROW())),0)</f>
        <v/>
      </c>
      <c r="H1863">
        <f>IFERROR(--INDEX('Term investments'!$H:$H,ROW()),0)</f>
        <v/>
      </c>
      <c r="I1863">
        <f>IF(ISNUMBER(INDEX('Term investments'!$G:$G,ROW())),1,0)</f>
        <v/>
      </c>
      <c r="J1863">
        <f>TRIM(SUBSTITUTE(INDEX('Call accounts and MMFs'!$A:$A,ROW())&amp;""," "," "))</f>
        <v/>
      </c>
      <c r="K1863">
        <f>TRIM(SUBSTITUTE(INDEX('Call accounts and MMFs'!$B:$B,ROW())&amp;""," "," "))</f>
        <v/>
      </c>
      <c r="L1863">
        <f>TRIM(SUBSTITUTE(INDEX('Call accounts and MMFs'!$C:$C,ROW())&amp;""," "," "))</f>
        <v/>
      </c>
      <c r="M1863">
        <f>IFERROR(--INDEX('Call accounts and MMFs'!$D:$D,ROW()),0)</f>
        <v/>
      </c>
      <c r="N1863">
        <f>IFERROR(IF(--INDEX('Call accounts and MMFs'!$E:$E,ROW())&gt;=1,--INDEX('Call accounts and MMFs'!$E:$E,ROW())/100,--INDEX('Call accounts and MMFs'!$E:$E,ROW())),0)</f>
        <v/>
      </c>
      <c r="O1863">
        <f>IFERROR(--INDEX('Call accounts and MMFs'!$F:$F,ROW()),0)</f>
        <v/>
      </c>
      <c r="P1863">
        <f>IF(ISNUMBER(INDEX('Call accounts and MMFs'!$E:$E,ROW())),1,0)</f>
        <v/>
      </c>
      <c r="Q1863">
        <f>TRIM(SUBSTITUTE(INDEX('Pooled funds'!$B:$B,ROW())&amp;""," "," "))</f>
        <v/>
      </c>
      <c r="R1863">
        <f>IFERROR(--INDEX('Pooled funds'!$C:$C,ROW()),0)</f>
        <v/>
      </c>
      <c r="S1863">
        <f>IFERROR(--INDEX('Pooled funds'!$D:$D,ROW()),0)</f>
        <v/>
      </c>
      <c r="T1863">
        <f>IFERROR(IF(--INDEX('Pooled funds'!$E:$E,ROW())&gt;=1,--INDEX('Pooled funds'!$E:$E,ROW())/100,--INDEX('Pooled funds'!$E:$E,ROW())),0)</f>
        <v/>
      </c>
      <c r="U1863">
        <f>IF(ISNUMBER(INDEX('Pooled funds'!$E:$E,ROW())),1,0)</f>
        <v/>
      </c>
    </row>
    <row r="1864">
      <c r="A1864">
        <f>TRIM(SUBSTITUTE(INDEX('Term investments'!$A:$A,ROW())&amp;""," "," "))</f>
        <v/>
      </c>
      <c r="B1864">
        <f>TRIM(SUBSTITUTE(INDEX('Term investments'!$B:$B,ROW())&amp;""," "," "))</f>
        <v/>
      </c>
      <c r="C1864">
        <f>TRIM(SUBSTITUTE(INDEX('Term investments'!$C:$C,ROW())&amp;""," "," "))</f>
        <v/>
      </c>
      <c r="D1864">
        <f>IFERROR(--INDEX('Term investments'!$D:$D,ROW()),0)</f>
        <v/>
      </c>
      <c r="E1864">
        <f>IFERROR(--INDEX('Term investments'!$E:$E,ROW()),0)</f>
        <v/>
      </c>
      <c r="F1864">
        <f>IFERROR(--INDEX('Term investments'!$F:$F,ROW()),0)</f>
        <v/>
      </c>
      <c r="G1864">
        <f>IFERROR(IF(--INDEX('Term investments'!$G:$G,ROW())&gt;=1,--INDEX('Term investments'!$G:$G,ROW())/100,--INDEX('Term investments'!$G:$G,ROW())),0)</f>
        <v/>
      </c>
      <c r="H1864">
        <f>IFERROR(--INDEX('Term investments'!$H:$H,ROW()),0)</f>
        <v/>
      </c>
      <c r="I1864">
        <f>IF(ISNUMBER(INDEX('Term investments'!$G:$G,ROW())),1,0)</f>
        <v/>
      </c>
      <c r="J1864">
        <f>TRIM(SUBSTITUTE(INDEX('Call accounts and MMFs'!$A:$A,ROW())&amp;""," "," "))</f>
        <v/>
      </c>
      <c r="K1864">
        <f>TRIM(SUBSTITUTE(INDEX('Call accounts and MMFs'!$B:$B,ROW())&amp;""," "," "))</f>
        <v/>
      </c>
      <c r="L1864">
        <f>TRIM(SUBSTITUTE(INDEX('Call accounts and MMFs'!$C:$C,ROW())&amp;""," "," "))</f>
        <v/>
      </c>
      <c r="M1864">
        <f>IFERROR(--INDEX('Call accounts and MMFs'!$D:$D,ROW()),0)</f>
        <v/>
      </c>
      <c r="N1864">
        <f>IFERROR(IF(--INDEX('Call accounts and MMFs'!$E:$E,ROW())&gt;=1,--INDEX('Call accounts and MMFs'!$E:$E,ROW())/100,--INDEX('Call accounts and MMFs'!$E:$E,ROW())),0)</f>
        <v/>
      </c>
      <c r="O1864">
        <f>IFERROR(--INDEX('Call accounts and MMFs'!$F:$F,ROW()),0)</f>
        <v/>
      </c>
      <c r="P1864">
        <f>IF(ISNUMBER(INDEX('Call accounts and MMFs'!$E:$E,ROW())),1,0)</f>
        <v/>
      </c>
      <c r="Q1864">
        <f>TRIM(SUBSTITUTE(INDEX('Pooled funds'!$B:$B,ROW())&amp;""," "," "))</f>
        <v/>
      </c>
      <c r="R1864">
        <f>IFERROR(--INDEX('Pooled funds'!$C:$C,ROW()),0)</f>
        <v/>
      </c>
      <c r="S1864">
        <f>IFERROR(--INDEX('Pooled funds'!$D:$D,ROW()),0)</f>
        <v/>
      </c>
      <c r="T1864">
        <f>IFERROR(IF(--INDEX('Pooled funds'!$E:$E,ROW())&gt;=1,--INDEX('Pooled funds'!$E:$E,ROW())/100,--INDEX('Pooled funds'!$E:$E,ROW())),0)</f>
        <v/>
      </c>
      <c r="U1864">
        <f>IF(ISNUMBER(INDEX('Pooled funds'!$E:$E,ROW())),1,0)</f>
        <v/>
      </c>
    </row>
    <row r="1865">
      <c r="A1865">
        <f>TRIM(SUBSTITUTE(INDEX('Term investments'!$A:$A,ROW())&amp;""," "," "))</f>
        <v/>
      </c>
      <c r="B1865">
        <f>TRIM(SUBSTITUTE(INDEX('Term investments'!$B:$B,ROW())&amp;""," "," "))</f>
        <v/>
      </c>
      <c r="C1865">
        <f>TRIM(SUBSTITUTE(INDEX('Term investments'!$C:$C,ROW())&amp;""," "," "))</f>
        <v/>
      </c>
      <c r="D1865">
        <f>IFERROR(--INDEX('Term investments'!$D:$D,ROW()),0)</f>
        <v/>
      </c>
      <c r="E1865">
        <f>IFERROR(--INDEX('Term investments'!$E:$E,ROW()),0)</f>
        <v/>
      </c>
      <c r="F1865">
        <f>IFERROR(--INDEX('Term investments'!$F:$F,ROW()),0)</f>
        <v/>
      </c>
      <c r="G1865">
        <f>IFERROR(IF(--INDEX('Term investments'!$G:$G,ROW())&gt;=1,--INDEX('Term investments'!$G:$G,ROW())/100,--INDEX('Term investments'!$G:$G,ROW())),0)</f>
        <v/>
      </c>
      <c r="H1865">
        <f>IFERROR(--INDEX('Term investments'!$H:$H,ROW()),0)</f>
        <v/>
      </c>
      <c r="I1865">
        <f>IF(ISNUMBER(INDEX('Term investments'!$G:$G,ROW())),1,0)</f>
        <v/>
      </c>
      <c r="J1865">
        <f>TRIM(SUBSTITUTE(INDEX('Call accounts and MMFs'!$A:$A,ROW())&amp;""," "," "))</f>
        <v/>
      </c>
      <c r="K1865">
        <f>TRIM(SUBSTITUTE(INDEX('Call accounts and MMFs'!$B:$B,ROW())&amp;""," "," "))</f>
        <v/>
      </c>
      <c r="L1865">
        <f>TRIM(SUBSTITUTE(INDEX('Call accounts and MMFs'!$C:$C,ROW())&amp;""," "," "))</f>
        <v/>
      </c>
      <c r="M1865">
        <f>IFERROR(--INDEX('Call accounts and MMFs'!$D:$D,ROW()),0)</f>
        <v/>
      </c>
      <c r="N1865">
        <f>IFERROR(IF(--INDEX('Call accounts and MMFs'!$E:$E,ROW())&gt;=1,--INDEX('Call accounts and MMFs'!$E:$E,ROW())/100,--INDEX('Call accounts and MMFs'!$E:$E,ROW())),0)</f>
        <v/>
      </c>
      <c r="O1865">
        <f>IFERROR(--INDEX('Call accounts and MMFs'!$F:$F,ROW()),0)</f>
        <v/>
      </c>
      <c r="P1865">
        <f>IF(ISNUMBER(INDEX('Call accounts and MMFs'!$E:$E,ROW())),1,0)</f>
        <v/>
      </c>
      <c r="Q1865">
        <f>TRIM(SUBSTITUTE(INDEX('Pooled funds'!$B:$B,ROW())&amp;""," "," "))</f>
        <v/>
      </c>
      <c r="R1865">
        <f>IFERROR(--INDEX('Pooled funds'!$C:$C,ROW()),0)</f>
        <v/>
      </c>
      <c r="S1865">
        <f>IFERROR(--INDEX('Pooled funds'!$D:$D,ROW()),0)</f>
        <v/>
      </c>
      <c r="T1865">
        <f>IFERROR(IF(--INDEX('Pooled funds'!$E:$E,ROW())&gt;=1,--INDEX('Pooled funds'!$E:$E,ROW())/100,--INDEX('Pooled funds'!$E:$E,ROW())),0)</f>
        <v/>
      </c>
      <c r="U1865">
        <f>IF(ISNUMBER(INDEX('Pooled funds'!$E:$E,ROW())),1,0)</f>
        <v/>
      </c>
    </row>
    <row r="1866">
      <c r="A1866">
        <f>TRIM(SUBSTITUTE(INDEX('Term investments'!$A:$A,ROW())&amp;""," "," "))</f>
        <v/>
      </c>
      <c r="B1866">
        <f>TRIM(SUBSTITUTE(INDEX('Term investments'!$B:$B,ROW())&amp;""," "," "))</f>
        <v/>
      </c>
      <c r="C1866">
        <f>TRIM(SUBSTITUTE(INDEX('Term investments'!$C:$C,ROW())&amp;""," "," "))</f>
        <v/>
      </c>
      <c r="D1866">
        <f>IFERROR(--INDEX('Term investments'!$D:$D,ROW()),0)</f>
        <v/>
      </c>
      <c r="E1866">
        <f>IFERROR(--INDEX('Term investments'!$E:$E,ROW()),0)</f>
        <v/>
      </c>
      <c r="F1866">
        <f>IFERROR(--INDEX('Term investments'!$F:$F,ROW()),0)</f>
        <v/>
      </c>
      <c r="G1866">
        <f>IFERROR(IF(--INDEX('Term investments'!$G:$G,ROW())&gt;=1,--INDEX('Term investments'!$G:$G,ROW())/100,--INDEX('Term investments'!$G:$G,ROW())),0)</f>
        <v/>
      </c>
      <c r="H1866">
        <f>IFERROR(--INDEX('Term investments'!$H:$H,ROW()),0)</f>
        <v/>
      </c>
      <c r="I1866">
        <f>IF(ISNUMBER(INDEX('Term investments'!$G:$G,ROW())),1,0)</f>
        <v/>
      </c>
      <c r="J1866">
        <f>TRIM(SUBSTITUTE(INDEX('Call accounts and MMFs'!$A:$A,ROW())&amp;""," "," "))</f>
        <v/>
      </c>
      <c r="K1866">
        <f>TRIM(SUBSTITUTE(INDEX('Call accounts and MMFs'!$B:$B,ROW())&amp;""," "," "))</f>
        <v/>
      </c>
      <c r="L1866">
        <f>TRIM(SUBSTITUTE(INDEX('Call accounts and MMFs'!$C:$C,ROW())&amp;""," "," "))</f>
        <v/>
      </c>
      <c r="M1866">
        <f>IFERROR(--INDEX('Call accounts and MMFs'!$D:$D,ROW()),0)</f>
        <v/>
      </c>
      <c r="N1866">
        <f>IFERROR(IF(--INDEX('Call accounts and MMFs'!$E:$E,ROW())&gt;=1,--INDEX('Call accounts and MMFs'!$E:$E,ROW())/100,--INDEX('Call accounts and MMFs'!$E:$E,ROW())),0)</f>
        <v/>
      </c>
      <c r="O1866">
        <f>IFERROR(--INDEX('Call accounts and MMFs'!$F:$F,ROW()),0)</f>
        <v/>
      </c>
      <c r="P1866">
        <f>IF(ISNUMBER(INDEX('Call accounts and MMFs'!$E:$E,ROW())),1,0)</f>
        <v/>
      </c>
      <c r="Q1866">
        <f>TRIM(SUBSTITUTE(INDEX('Pooled funds'!$B:$B,ROW())&amp;""," "," "))</f>
        <v/>
      </c>
      <c r="R1866">
        <f>IFERROR(--INDEX('Pooled funds'!$C:$C,ROW()),0)</f>
        <v/>
      </c>
      <c r="S1866">
        <f>IFERROR(--INDEX('Pooled funds'!$D:$D,ROW()),0)</f>
        <v/>
      </c>
      <c r="T1866">
        <f>IFERROR(IF(--INDEX('Pooled funds'!$E:$E,ROW())&gt;=1,--INDEX('Pooled funds'!$E:$E,ROW())/100,--INDEX('Pooled funds'!$E:$E,ROW())),0)</f>
        <v/>
      </c>
      <c r="U1866">
        <f>IF(ISNUMBER(INDEX('Pooled funds'!$E:$E,ROW())),1,0)</f>
        <v/>
      </c>
    </row>
    <row r="1867">
      <c r="A1867">
        <f>TRIM(SUBSTITUTE(INDEX('Term investments'!$A:$A,ROW())&amp;""," "," "))</f>
        <v/>
      </c>
      <c r="B1867">
        <f>TRIM(SUBSTITUTE(INDEX('Term investments'!$B:$B,ROW())&amp;""," "," "))</f>
        <v/>
      </c>
      <c r="C1867">
        <f>TRIM(SUBSTITUTE(INDEX('Term investments'!$C:$C,ROW())&amp;""," "," "))</f>
        <v/>
      </c>
      <c r="D1867">
        <f>IFERROR(--INDEX('Term investments'!$D:$D,ROW()),0)</f>
        <v/>
      </c>
      <c r="E1867">
        <f>IFERROR(--INDEX('Term investments'!$E:$E,ROW()),0)</f>
        <v/>
      </c>
      <c r="F1867">
        <f>IFERROR(--INDEX('Term investments'!$F:$F,ROW()),0)</f>
        <v/>
      </c>
      <c r="G1867">
        <f>IFERROR(IF(--INDEX('Term investments'!$G:$G,ROW())&gt;=1,--INDEX('Term investments'!$G:$G,ROW())/100,--INDEX('Term investments'!$G:$G,ROW())),0)</f>
        <v/>
      </c>
      <c r="H1867">
        <f>IFERROR(--INDEX('Term investments'!$H:$H,ROW()),0)</f>
        <v/>
      </c>
      <c r="I1867">
        <f>IF(ISNUMBER(INDEX('Term investments'!$G:$G,ROW())),1,0)</f>
        <v/>
      </c>
      <c r="J1867">
        <f>TRIM(SUBSTITUTE(INDEX('Call accounts and MMFs'!$A:$A,ROW())&amp;""," "," "))</f>
        <v/>
      </c>
      <c r="K1867">
        <f>TRIM(SUBSTITUTE(INDEX('Call accounts and MMFs'!$B:$B,ROW())&amp;""," "," "))</f>
        <v/>
      </c>
      <c r="L1867">
        <f>TRIM(SUBSTITUTE(INDEX('Call accounts and MMFs'!$C:$C,ROW())&amp;""," "," "))</f>
        <v/>
      </c>
      <c r="M1867">
        <f>IFERROR(--INDEX('Call accounts and MMFs'!$D:$D,ROW()),0)</f>
        <v/>
      </c>
      <c r="N1867">
        <f>IFERROR(IF(--INDEX('Call accounts and MMFs'!$E:$E,ROW())&gt;=1,--INDEX('Call accounts and MMFs'!$E:$E,ROW())/100,--INDEX('Call accounts and MMFs'!$E:$E,ROW())),0)</f>
        <v/>
      </c>
      <c r="O1867">
        <f>IFERROR(--INDEX('Call accounts and MMFs'!$F:$F,ROW()),0)</f>
        <v/>
      </c>
      <c r="P1867">
        <f>IF(ISNUMBER(INDEX('Call accounts and MMFs'!$E:$E,ROW())),1,0)</f>
        <v/>
      </c>
      <c r="Q1867">
        <f>TRIM(SUBSTITUTE(INDEX('Pooled funds'!$B:$B,ROW())&amp;""," "," "))</f>
        <v/>
      </c>
      <c r="R1867">
        <f>IFERROR(--INDEX('Pooled funds'!$C:$C,ROW()),0)</f>
        <v/>
      </c>
      <c r="S1867">
        <f>IFERROR(--INDEX('Pooled funds'!$D:$D,ROW()),0)</f>
        <v/>
      </c>
      <c r="T1867">
        <f>IFERROR(IF(--INDEX('Pooled funds'!$E:$E,ROW())&gt;=1,--INDEX('Pooled funds'!$E:$E,ROW())/100,--INDEX('Pooled funds'!$E:$E,ROW())),0)</f>
        <v/>
      </c>
      <c r="U1867">
        <f>IF(ISNUMBER(INDEX('Pooled funds'!$E:$E,ROW())),1,0)</f>
        <v/>
      </c>
    </row>
    <row r="1868">
      <c r="A1868">
        <f>TRIM(SUBSTITUTE(INDEX('Term investments'!$A:$A,ROW())&amp;""," "," "))</f>
        <v/>
      </c>
      <c r="B1868">
        <f>TRIM(SUBSTITUTE(INDEX('Term investments'!$B:$B,ROW())&amp;""," "," "))</f>
        <v/>
      </c>
      <c r="C1868">
        <f>TRIM(SUBSTITUTE(INDEX('Term investments'!$C:$C,ROW())&amp;""," "," "))</f>
        <v/>
      </c>
      <c r="D1868">
        <f>IFERROR(--INDEX('Term investments'!$D:$D,ROW()),0)</f>
        <v/>
      </c>
      <c r="E1868">
        <f>IFERROR(--INDEX('Term investments'!$E:$E,ROW()),0)</f>
        <v/>
      </c>
      <c r="F1868">
        <f>IFERROR(--INDEX('Term investments'!$F:$F,ROW()),0)</f>
        <v/>
      </c>
      <c r="G1868">
        <f>IFERROR(IF(--INDEX('Term investments'!$G:$G,ROW())&gt;=1,--INDEX('Term investments'!$G:$G,ROW())/100,--INDEX('Term investments'!$G:$G,ROW())),0)</f>
        <v/>
      </c>
      <c r="H1868">
        <f>IFERROR(--INDEX('Term investments'!$H:$H,ROW()),0)</f>
        <v/>
      </c>
      <c r="I1868">
        <f>IF(ISNUMBER(INDEX('Term investments'!$G:$G,ROW())),1,0)</f>
        <v/>
      </c>
      <c r="J1868">
        <f>TRIM(SUBSTITUTE(INDEX('Call accounts and MMFs'!$A:$A,ROW())&amp;""," "," "))</f>
        <v/>
      </c>
      <c r="K1868">
        <f>TRIM(SUBSTITUTE(INDEX('Call accounts and MMFs'!$B:$B,ROW())&amp;""," "," "))</f>
        <v/>
      </c>
      <c r="L1868">
        <f>TRIM(SUBSTITUTE(INDEX('Call accounts and MMFs'!$C:$C,ROW())&amp;""," "," "))</f>
        <v/>
      </c>
      <c r="M1868">
        <f>IFERROR(--INDEX('Call accounts and MMFs'!$D:$D,ROW()),0)</f>
        <v/>
      </c>
      <c r="N1868">
        <f>IFERROR(IF(--INDEX('Call accounts and MMFs'!$E:$E,ROW())&gt;=1,--INDEX('Call accounts and MMFs'!$E:$E,ROW())/100,--INDEX('Call accounts and MMFs'!$E:$E,ROW())),0)</f>
        <v/>
      </c>
      <c r="O1868">
        <f>IFERROR(--INDEX('Call accounts and MMFs'!$F:$F,ROW()),0)</f>
        <v/>
      </c>
      <c r="P1868">
        <f>IF(ISNUMBER(INDEX('Call accounts and MMFs'!$E:$E,ROW())),1,0)</f>
        <v/>
      </c>
      <c r="Q1868">
        <f>TRIM(SUBSTITUTE(INDEX('Pooled funds'!$B:$B,ROW())&amp;""," "," "))</f>
        <v/>
      </c>
      <c r="R1868">
        <f>IFERROR(--INDEX('Pooled funds'!$C:$C,ROW()),0)</f>
        <v/>
      </c>
      <c r="S1868">
        <f>IFERROR(--INDEX('Pooled funds'!$D:$D,ROW()),0)</f>
        <v/>
      </c>
      <c r="T1868">
        <f>IFERROR(IF(--INDEX('Pooled funds'!$E:$E,ROW())&gt;=1,--INDEX('Pooled funds'!$E:$E,ROW())/100,--INDEX('Pooled funds'!$E:$E,ROW())),0)</f>
        <v/>
      </c>
      <c r="U1868">
        <f>IF(ISNUMBER(INDEX('Pooled funds'!$E:$E,ROW())),1,0)</f>
        <v/>
      </c>
    </row>
    <row r="1869">
      <c r="A1869">
        <f>TRIM(SUBSTITUTE(INDEX('Term investments'!$A:$A,ROW())&amp;""," "," "))</f>
        <v/>
      </c>
      <c r="B1869">
        <f>TRIM(SUBSTITUTE(INDEX('Term investments'!$B:$B,ROW())&amp;""," "," "))</f>
        <v/>
      </c>
      <c r="C1869">
        <f>TRIM(SUBSTITUTE(INDEX('Term investments'!$C:$C,ROW())&amp;""," "," "))</f>
        <v/>
      </c>
      <c r="D1869">
        <f>IFERROR(--INDEX('Term investments'!$D:$D,ROW()),0)</f>
        <v/>
      </c>
      <c r="E1869">
        <f>IFERROR(--INDEX('Term investments'!$E:$E,ROW()),0)</f>
        <v/>
      </c>
      <c r="F1869">
        <f>IFERROR(--INDEX('Term investments'!$F:$F,ROW()),0)</f>
        <v/>
      </c>
      <c r="G1869">
        <f>IFERROR(IF(--INDEX('Term investments'!$G:$G,ROW())&gt;=1,--INDEX('Term investments'!$G:$G,ROW())/100,--INDEX('Term investments'!$G:$G,ROW())),0)</f>
        <v/>
      </c>
      <c r="H1869">
        <f>IFERROR(--INDEX('Term investments'!$H:$H,ROW()),0)</f>
        <v/>
      </c>
      <c r="I1869">
        <f>IF(ISNUMBER(INDEX('Term investments'!$G:$G,ROW())),1,0)</f>
        <v/>
      </c>
      <c r="J1869">
        <f>TRIM(SUBSTITUTE(INDEX('Call accounts and MMFs'!$A:$A,ROW())&amp;""," "," "))</f>
        <v/>
      </c>
      <c r="K1869">
        <f>TRIM(SUBSTITUTE(INDEX('Call accounts and MMFs'!$B:$B,ROW())&amp;""," "," "))</f>
        <v/>
      </c>
      <c r="L1869">
        <f>TRIM(SUBSTITUTE(INDEX('Call accounts and MMFs'!$C:$C,ROW())&amp;""," "," "))</f>
        <v/>
      </c>
      <c r="M1869">
        <f>IFERROR(--INDEX('Call accounts and MMFs'!$D:$D,ROW()),0)</f>
        <v/>
      </c>
      <c r="N1869">
        <f>IFERROR(IF(--INDEX('Call accounts and MMFs'!$E:$E,ROW())&gt;=1,--INDEX('Call accounts and MMFs'!$E:$E,ROW())/100,--INDEX('Call accounts and MMFs'!$E:$E,ROW())),0)</f>
        <v/>
      </c>
      <c r="O1869">
        <f>IFERROR(--INDEX('Call accounts and MMFs'!$F:$F,ROW()),0)</f>
        <v/>
      </c>
      <c r="P1869">
        <f>IF(ISNUMBER(INDEX('Call accounts and MMFs'!$E:$E,ROW())),1,0)</f>
        <v/>
      </c>
      <c r="Q1869">
        <f>TRIM(SUBSTITUTE(INDEX('Pooled funds'!$B:$B,ROW())&amp;""," "," "))</f>
        <v/>
      </c>
      <c r="R1869">
        <f>IFERROR(--INDEX('Pooled funds'!$C:$C,ROW()),0)</f>
        <v/>
      </c>
      <c r="S1869">
        <f>IFERROR(--INDEX('Pooled funds'!$D:$D,ROW()),0)</f>
        <v/>
      </c>
      <c r="T1869">
        <f>IFERROR(IF(--INDEX('Pooled funds'!$E:$E,ROW())&gt;=1,--INDEX('Pooled funds'!$E:$E,ROW())/100,--INDEX('Pooled funds'!$E:$E,ROW())),0)</f>
        <v/>
      </c>
      <c r="U1869">
        <f>IF(ISNUMBER(INDEX('Pooled funds'!$E:$E,ROW())),1,0)</f>
        <v/>
      </c>
    </row>
    <row r="1870">
      <c r="A1870">
        <f>TRIM(SUBSTITUTE(INDEX('Term investments'!$A:$A,ROW())&amp;""," "," "))</f>
        <v/>
      </c>
      <c r="B1870">
        <f>TRIM(SUBSTITUTE(INDEX('Term investments'!$B:$B,ROW())&amp;""," "," "))</f>
        <v/>
      </c>
      <c r="C1870">
        <f>TRIM(SUBSTITUTE(INDEX('Term investments'!$C:$C,ROW())&amp;""," "," "))</f>
        <v/>
      </c>
      <c r="D1870">
        <f>IFERROR(--INDEX('Term investments'!$D:$D,ROW()),0)</f>
        <v/>
      </c>
      <c r="E1870">
        <f>IFERROR(--INDEX('Term investments'!$E:$E,ROW()),0)</f>
        <v/>
      </c>
      <c r="F1870">
        <f>IFERROR(--INDEX('Term investments'!$F:$F,ROW()),0)</f>
        <v/>
      </c>
      <c r="G1870">
        <f>IFERROR(IF(--INDEX('Term investments'!$G:$G,ROW())&gt;=1,--INDEX('Term investments'!$G:$G,ROW())/100,--INDEX('Term investments'!$G:$G,ROW())),0)</f>
        <v/>
      </c>
      <c r="H1870">
        <f>IFERROR(--INDEX('Term investments'!$H:$H,ROW()),0)</f>
        <v/>
      </c>
      <c r="I1870">
        <f>IF(ISNUMBER(INDEX('Term investments'!$G:$G,ROW())),1,0)</f>
        <v/>
      </c>
      <c r="J1870">
        <f>TRIM(SUBSTITUTE(INDEX('Call accounts and MMFs'!$A:$A,ROW())&amp;""," "," "))</f>
        <v/>
      </c>
      <c r="K1870">
        <f>TRIM(SUBSTITUTE(INDEX('Call accounts and MMFs'!$B:$B,ROW())&amp;""," "," "))</f>
        <v/>
      </c>
      <c r="L1870">
        <f>TRIM(SUBSTITUTE(INDEX('Call accounts and MMFs'!$C:$C,ROW())&amp;""," "," "))</f>
        <v/>
      </c>
      <c r="M1870">
        <f>IFERROR(--INDEX('Call accounts and MMFs'!$D:$D,ROW()),0)</f>
        <v/>
      </c>
      <c r="N1870">
        <f>IFERROR(IF(--INDEX('Call accounts and MMFs'!$E:$E,ROW())&gt;=1,--INDEX('Call accounts and MMFs'!$E:$E,ROW())/100,--INDEX('Call accounts and MMFs'!$E:$E,ROW())),0)</f>
        <v/>
      </c>
      <c r="O1870">
        <f>IFERROR(--INDEX('Call accounts and MMFs'!$F:$F,ROW()),0)</f>
        <v/>
      </c>
      <c r="P1870">
        <f>IF(ISNUMBER(INDEX('Call accounts and MMFs'!$E:$E,ROW())),1,0)</f>
        <v/>
      </c>
      <c r="Q1870">
        <f>TRIM(SUBSTITUTE(INDEX('Pooled funds'!$B:$B,ROW())&amp;""," "," "))</f>
        <v/>
      </c>
      <c r="R1870">
        <f>IFERROR(--INDEX('Pooled funds'!$C:$C,ROW()),0)</f>
        <v/>
      </c>
      <c r="S1870">
        <f>IFERROR(--INDEX('Pooled funds'!$D:$D,ROW()),0)</f>
        <v/>
      </c>
      <c r="T1870">
        <f>IFERROR(IF(--INDEX('Pooled funds'!$E:$E,ROW())&gt;=1,--INDEX('Pooled funds'!$E:$E,ROW())/100,--INDEX('Pooled funds'!$E:$E,ROW())),0)</f>
        <v/>
      </c>
      <c r="U1870">
        <f>IF(ISNUMBER(INDEX('Pooled funds'!$E:$E,ROW())),1,0)</f>
        <v/>
      </c>
    </row>
    <row r="1871">
      <c r="A1871">
        <f>TRIM(SUBSTITUTE(INDEX('Term investments'!$A:$A,ROW())&amp;""," "," "))</f>
        <v/>
      </c>
      <c r="B1871">
        <f>TRIM(SUBSTITUTE(INDEX('Term investments'!$B:$B,ROW())&amp;""," "," "))</f>
        <v/>
      </c>
      <c r="C1871">
        <f>TRIM(SUBSTITUTE(INDEX('Term investments'!$C:$C,ROW())&amp;""," "," "))</f>
        <v/>
      </c>
      <c r="D1871">
        <f>IFERROR(--INDEX('Term investments'!$D:$D,ROW()),0)</f>
        <v/>
      </c>
      <c r="E1871">
        <f>IFERROR(--INDEX('Term investments'!$E:$E,ROW()),0)</f>
        <v/>
      </c>
      <c r="F1871">
        <f>IFERROR(--INDEX('Term investments'!$F:$F,ROW()),0)</f>
        <v/>
      </c>
      <c r="G1871">
        <f>IFERROR(IF(--INDEX('Term investments'!$G:$G,ROW())&gt;=1,--INDEX('Term investments'!$G:$G,ROW())/100,--INDEX('Term investments'!$G:$G,ROW())),0)</f>
        <v/>
      </c>
      <c r="H1871">
        <f>IFERROR(--INDEX('Term investments'!$H:$H,ROW()),0)</f>
        <v/>
      </c>
      <c r="I1871">
        <f>IF(ISNUMBER(INDEX('Term investments'!$G:$G,ROW())),1,0)</f>
        <v/>
      </c>
      <c r="J1871">
        <f>TRIM(SUBSTITUTE(INDEX('Call accounts and MMFs'!$A:$A,ROW())&amp;""," "," "))</f>
        <v/>
      </c>
      <c r="K1871">
        <f>TRIM(SUBSTITUTE(INDEX('Call accounts and MMFs'!$B:$B,ROW())&amp;""," "," "))</f>
        <v/>
      </c>
      <c r="L1871">
        <f>TRIM(SUBSTITUTE(INDEX('Call accounts and MMFs'!$C:$C,ROW())&amp;""," "," "))</f>
        <v/>
      </c>
      <c r="M1871">
        <f>IFERROR(--INDEX('Call accounts and MMFs'!$D:$D,ROW()),0)</f>
        <v/>
      </c>
      <c r="N1871">
        <f>IFERROR(IF(--INDEX('Call accounts and MMFs'!$E:$E,ROW())&gt;=1,--INDEX('Call accounts and MMFs'!$E:$E,ROW())/100,--INDEX('Call accounts and MMFs'!$E:$E,ROW())),0)</f>
        <v/>
      </c>
      <c r="O1871">
        <f>IFERROR(--INDEX('Call accounts and MMFs'!$F:$F,ROW()),0)</f>
        <v/>
      </c>
      <c r="P1871">
        <f>IF(ISNUMBER(INDEX('Call accounts and MMFs'!$E:$E,ROW())),1,0)</f>
        <v/>
      </c>
      <c r="Q1871">
        <f>TRIM(SUBSTITUTE(INDEX('Pooled funds'!$B:$B,ROW())&amp;""," "," "))</f>
        <v/>
      </c>
      <c r="R1871">
        <f>IFERROR(--INDEX('Pooled funds'!$C:$C,ROW()),0)</f>
        <v/>
      </c>
      <c r="S1871">
        <f>IFERROR(--INDEX('Pooled funds'!$D:$D,ROW()),0)</f>
        <v/>
      </c>
      <c r="T1871">
        <f>IFERROR(IF(--INDEX('Pooled funds'!$E:$E,ROW())&gt;=1,--INDEX('Pooled funds'!$E:$E,ROW())/100,--INDEX('Pooled funds'!$E:$E,ROW())),0)</f>
        <v/>
      </c>
      <c r="U1871">
        <f>IF(ISNUMBER(INDEX('Pooled funds'!$E:$E,ROW())),1,0)</f>
        <v/>
      </c>
    </row>
    <row r="1872">
      <c r="A1872">
        <f>TRIM(SUBSTITUTE(INDEX('Term investments'!$A:$A,ROW())&amp;""," "," "))</f>
        <v/>
      </c>
      <c r="B1872">
        <f>TRIM(SUBSTITUTE(INDEX('Term investments'!$B:$B,ROW())&amp;""," "," "))</f>
        <v/>
      </c>
      <c r="C1872">
        <f>TRIM(SUBSTITUTE(INDEX('Term investments'!$C:$C,ROW())&amp;""," "," "))</f>
        <v/>
      </c>
      <c r="D1872">
        <f>IFERROR(--INDEX('Term investments'!$D:$D,ROW()),0)</f>
        <v/>
      </c>
      <c r="E1872">
        <f>IFERROR(--INDEX('Term investments'!$E:$E,ROW()),0)</f>
        <v/>
      </c>
      <c r="F1872">
        <f>IFERROR(--INDEX('Term investments'!$F:$F,ROW()),0)</f>
        <v/>
      </c>
      <c r="G1872">
        <f>IFERROR(IF(--INDEX('Term investments'!$G:$G,ROW())&gt;=1,--INDEX('Term investments'!$G:$G,ROW())/100,--INDEX('Term investments'!$G:$G,ROW())),0)</f>
        <v/>
      </c>
      <c r="H1872">
        <f>IFERROR(--INDEX('Term investments'!$H:$H,ROW()),0)</f>
        <v/>
      </c>
      <c r="I1872">
        <f>IF(ISNUMBER(INDEX('Term investments'!$G:$G,ROW())),1,0)</f>
        <v/>
      </c>
      <c r="J1872">
        <f>TRIM(SUBSTITUTE(INDEX('Call accounts and MMFs'!$A:$A,ROW())&amp;""," "," "))</f>
        <v/>
      </c>
      <c r="K1872">
        <f>TRIM(SUBSTITUTE(INDEX('Call accounts and MMFs'!$B:$B,ROW())&amp;""," "," "))</f>
        <v/>
      </c>
      <c r="L1872">
        <f>TRIM(SUBSTITUTE(INDEX('Call accounts and MMFs'!$C:$C,ROW())&amp;""," "," "))</f>
        <v/>
      </c>
      <c r="M1872">
        <f>IFERROR(--INDEX('Call accounts and MMFs'!$D:$D,ROW()),0)</f>
        <v/>
      </c>
      <c r="N1872">
        <f>IFERROR(IF(--INDEX('Call accounts and MMFs'!$E:$E,ROW())&gt;=1,--INDEX('Call accounts and MMFs'!$E:$E,ROW())/100,--INDEX('Call accounts and MMFs'!$E:$E,ROW())),0)</f>
        <v/>
      </c>
      <c r="O1872">
        <f>IFERROR(--INDEX('Call accounts and MMFs'!$F:$F,ROW()),0)</f>
        <v/>
      </c>
      <c r="P1872">
        <f>IF(ISNUMBER(INDEX('Call accounts and MMFs'!$E:$E,ROW())),1,0)</f>
        <v/>
      </c>
      <c r="Q1872">
        <f>TRIM(SUBSTITUTE(INDEX('Pooled funds'!$B:$B,ROW())&amp;""," "," "))</f>
        <v/>
      </c>
      <c r="R1872">
        <f>IFERROR(--INDEX('Pooled funds'!$C:$C,ROW()),0)</f>
        <v/>
      </c>
      <c r="S1872">
        <f>IFERROR(--INDEX('Pooled funds'!$D:$D,ROW()),0)</f>
        <v/>
      </c>
      <c r="T1872">
        <f>IFERROR(IF(--INDEX('Pooled funds'!$E:$E,ROW())&gt;=1,--INDEX('Pooled funds'!$E:$E,ROW())/100,--INDEX('Pooled funds'!$E:$E,ROW())),0)</f>
        <v/>
      </c>
      <c r="U1872">
        <f>IF(ISNUMBER(INDEX('Pooled funds'!$E:$E,ROW())),1,0)</f>
        <v/>
      </c>
    </row>
    <row r="1873">
      <c r="A1873">
        <f>TRIM(SUBSTITUTE(INDEX('Term investments'!$A:$A,ROW())&amp;""," "," "))</f>
        <v/>
      </c>
      <c r="B1873">
        <f>TRIM(SUBSTITUTE(INDEX('Term investments'!$B:$B,ROW())&amp;""," "," "))</f>
        <v/>
      </c>
      <c r="C1873">
        <f>TRIM(SUBSTITUTE(INDEX('Term investments'!$C:$C,ROW())&amp;""," "," "))</f>
        <v/>
      </c>
      <c r="D1873">
        <f>IFERROR(--INDEX('Term investments'!$D:$D,ROW()),0)</f>
        <v/>
      </c>
      <c r="E1873">
        <f>IFERROR(--INDEX('Term investments'!$E:$E,ROW()),0)</f>
        <v/>
      </c>
      <c r="F1873">
        <f>IFERROR(--INDEX('Term investments'!$F:$F,ROW()),0)</f>
        <v/>
      </c>
      <c r="G1873">
        <f>IFERROR(IF(--INDEX('Term investments'!$G:$G,ROW())&gt;=1,--INDEX('Term investments'!$G:$G,ROW())/100,--INDEX('Term investments'!$G:$G,ROW())),0)</f>
        <v/>
      </c>
      <c r="H1873">
        <f>IFERROR(--INDEX('Term investments'!$H:$H,ROW()),0)</f>
        <v/>
      </c>
      <c r="I1873">
        <f>IF(ISNUMBER(INDEX('Term investments'!$G:$G,ROW())),1,0)</f>
        <v/>
      </c>
      <c r="J1873">
        <f>TRIM(SUBSTITUTE(INDEX('Call accounts and MMFs'!$A:$A,ROW())&amp;""," "," "))</f>
        <v/>
      </c>
      <c r="K1873">
        <f>TRIM(SUBSTITUTE(INDEX('Call accounts and MMFs'!$B:$B,ROW())&amp;""," "," "))</f>
        <v/>
      </c>
      <c r="L1873">
        <f>TRIM(SUBSTITUTE(INDEX('Call accounts and MMFs'!$C:$C,ROW())&amp;""," "," "))</f>
        <v/>
      </c>
      <c r="M1873">
        <f>IFERROR(--INDEX('Call accounts and MMFs'!$D:$D,ROW()),0)</f>
        <v/>
      </c>
      <c r="N1873">
        <f>IFERROR(IF(--INDEX('Call accounts and MMFs'!$E:$E,ROW())&gt;=1,--INDEX('Call accounts and MMFs'!$E:$E,ROW())/100,--INDEX('Call accounts and MMFs'!$E:$E,ROW())),0)</f>
        <v/>
      </c>
      <c r="O1873">
        <f>IFERROR(--INDEX('Call accounts and MMFs'!$F:$F,ROW()),0)</f>
        <v/>
      </c>
      <c r="P1873">
        <f>IF(ISNUMBER(INDEX('Call accounts and MMFs'!$E:$E,ROW())),1,0)</f>
        <v/>
      </c>
      <c r="Q1873">
        <f>TRIM(SUBSTITUTE(INDEX('Pooled funds'!$B:$B,ROW())&amp;""," "," "))</f>
        <v/>
      </c>
      <c r="R1873">
        <f>IFERROR(--INDEX('Pooled funds'!$C:$C,ROW()),0)</f>
        <v/>
      </c>
      <c r="S1873">
        <f>IFERROR(--INDEX('Pooled funds'!$D:$D,ROW()),0)</f>
        <v/>
      </c>
      <c r="T1873">
        <f>IFERROR(IF(--INDEX('Pooled funds'!$E:$E,ROW())&gt;=1,--INDEX('Pooled funds'!$E:$E,ROW())/100,--INDEX('Pooled funds'!$E:$E,ROW())),0)</f>
        <v/>
      </c>
      <c r="U1873">
        <f>IF(ISNUMBER(INDEX('Pooled funds'!$E:$E,ROW())),1,0)</f>
        <v/>
      </c>
    </row>
    <row r="1874">
      <c r="A1874">
        <f>TRIM(SUBSTITUTE(INDEX('Term investments'!$A:$A,ROW())&amp;""," "," "))</f>
        <v/>
      </c>
      <c r="B1874">
        <f>TRIM(SUBSTITUTE(INDEX('Term investments'!$B:$B,ROW())&amp;""," "," "))</f>
        <v/>
      </c>
      <c r="C1874">
        <f>TRIM(SUBSTITUTE(INDEX('Term investments'!$C:$C,ROW())&amp;""," "," "))</f>
        <v/>
      </c>
      <c r="D1874">
        <f>IFERROR(--INDEX('Term investments'!$D:$D,ROW()),0)</f>
        <v/>
      </c>
      <c r="E1874">
        <f>IFERROR(--INDEX('Term investments'!$E:$E,ROW()),0)</f>
        <v/>
      </c>
      <c r="F1874">
        <f>IFERROR(--INDEX('Term investments'!$F:$F,ROW()),0)</f>
        <v/>
      </c>
      <c r="G1874">
        <f>IFERROR(IF(--INDEX('Term investments'!$G:$G,ROW())&gt;=1,--INDEX('Term investments'!$G:$G,ROW())/100,--INDEX('Term investments'!$G:$G,ROW())),0)</f>
        <v/>
      </c>
      <c r="H1874">
        <f>IFERROR(--INDEX('Term investments'!$H:$H,ROW()),0)</f>
        <v/>
      </c>
      <c r="I1874">
        <f>IF(ISNUMBER(INDEX('Term investments'!$G:$G,ROW())),1,0)</f>
        <v/>
      </c>
      <c r="J1874">
        <f>TRIM(SUBSTITUTE(INDEX('Call accounts and MMFs'!$A:$A,ROW())&amp;""," "," "))</f>
        <v/>
      </c>
      <c r="K1874">
        <f>TRIM(SUBSTITUTE(INDEX('Call accounts and MMFs'!$B:$B,ROW())&amp;""," "," "))</f>
        <v/>
      </c>
      <c r="L1874">
        <f>TRIM(SUBSTITUTE(INDEX('Call accounts and MMFs'!$C:$C,ROW())&amp;""," "," "))</f>
        <v/>
      </c>
      <c r="M1874">
        <f>IFERROR(--INDEX('Call accounts and MMFs'!$D:$D,ROW()),0)</f>
        <v/>
      </c>
      <c r="N1874">
        <f>IFERROR(IF(--INDEX('Call accounts and MMFs'!$E:$E,ROW())&gt;=1,--INDEX('Call accounts and MMFs'!$E:$E,ROW())/100,--INDEX('Call accounts and MMFs'!$E:$E,ROW())),0)</f>
        <v/>
      </c>
      <c r="O1874">
        <f>IFERROR(--INDEX('Call accounts and MMFs'!$F:$F,ROW()),0)</f>
        <v/>
      </c>
      <c r="P1874">
        <f>IF(ISNUMBER(INDEX('Call accounts and MMFs'!$E:$E,ROW())),1,0)</f>
        <v/>
      </c>
      <c r="Q1874">
        <f>TRIM(SUBSTITUTE(INDEX('Pooled funds'!$B:$B,ROW())&amp;""," "," "))</f>
        <v/>
      </c>
      <c r="R1874">
        <f>IFERROR(--INDEX('Pooled funds'!$C:$C,ROW()),0)</f>
        <v/>
      </c>
      <c r="S1874">
        <f>IFERROR(--INDEX('Pooled funds'!$D:$D,ROW()),0)</f>
        <v/>
      </c>
      <c r="T1874">
        <f>IFERROR(IF(--INDEX('Pooled funds'!$E:$E,ROW())&gt;=1,--INDEX('Pooled funds'!$E:$E,ROW())/100,--INDEX('Pooled funds'!$E:$E,ROW())),0)</f>
        <v/>
      </c>
      <c r="U1874">
        <f>IF(ISNUMBER(INDEX('Pooled funds'!$E:$E,ROW())),1,0)</f>
        <v/>
      </c>
    </row>
    <row r="1875">
      <c r="A1875">
        <f>TRIM(SUBSTITUTE(INDEX('Term investments'!$A:$A,ROW())&amp;""," "," "))</f>
        <v/>
      </c>
      <c r="B1875">
        <f>TRIM(SUBSTITUTE(INDEX('Term investments'!$B:$B,ROW())&amp;""," "," "))</f>
        <v/>
      </c>
      <c r="C1875">
        <f>TRIM(SUBSTITUTE(INDEX('Term investments'!$C:$C,ROW())&amp;""," "," "))</f>
        <v/>
      </c>
      <c r="D1875">
        <f>IFERROR(--INDEX('Term investments'!$D:$D,ROW()),0)</f>
        <v/>
      </c>
      <c r="E1875">
        <f>IFERROR(--INDEX('Term investments'!$E:$E,ROW()),0)</f>
        <v/>
      </c>
      <c r="F1875">
        <f>IFERROR(--INDEX('Term investments'!$F:$F,ROW()),0)</f>
        <v/>
      </c>
      <c r="G1875">
        <f>IFERROR(IF(--INDEX('Term investments'!$G:$G,ROW())&gt;=1,--INDEX('Term investments'!$G:$G,ROW())/100,--INDEX('Term investments'!$G:$G,ROW())),0)</f>
        <v/>
      </c>
      <c r="H1875">
        <f>IFERROR(--INDEX('Term investments'!$H:$H,ROW()),0)</f>
        <v/>
      </c>
      <c r="I1875">
        <f>IF(ISNUMBER(INDEX('Term investments'!$G:$G,ROW())),1,0)</f>
        <v/>
      </c>
      <c r="J1875">
        <f>TRIM(SUBSTITUTE(INDEX('Call accounts and MMFs'!$A:$A,ROW())&amp;""," "," "))</f>
        <v/>
      </c>
      <c r="K1875">
        <f>TRIM(SUBSTITUTE(INDEX('Call accounts and MMFs'!$B:$B,ROW())&amp;""," "," "))</f>
        <v/>
      </c>
      <c r="L1875">
        <f>TRIM(SUBSTITUTE(INDEX('Call accounts and MMFs'!$C:$C,ROW())&amp;""," "," "))</f>
        <v/>
      </c>
      <c r="M1875">
        <f>IFERROR(--INDEX('Call accounts and MMFs'!$D:$D,ROW()),0)</f>
        <v/>
      </c>
      <c r="N1875">
        <f>IFERROR(IF(--INDEX('Call accounts and MMFs'!$E:$E,ROW())&gt;=1,--INDEX('Call accounts and MMFs'!$E:$E,ROW())/100,--INDEX('Call accounts and MMFs'!$E:$E,ROW())),0)</f>
        <v/>
      </c>
      <c r="O1875">
        <f>IFERROR(--INDEX('Call accounts and MMFs'!$F:$F,ROW()),0)</f>
        <v/>
      </c>
      <c r="P1875">
        <f>IF(ISNUMBER(INDEX('Call accounts and MMFs'!$E:$E,ROW())),1,0)</f>
        <v/>
      </c>
      <c r="Q1875">
        <f>TRIM(SUBSTITUTE(INDEX('Pooled funds'!$B:$B,ROW())&amp;""," "," "))</f>
        <v/>
      </c>
      <c r="R1875">
        <f>IFERROR(--INDEX('Pooled funds'!$C:$C,ROW()),0)</f>
        <v/>
      </c>
      <c r="S1875">
        <f>IFERROR(--INDEX('Pooled funds'!$D:$D,ROW()),0)</f>
        <v/>
      </c>
      <c r="T1875">
        <f>IFERROR(IF(--INDEX('Pooled funds'!$E:$E,ROW())&gt;=1,--INDEX('Pooled funds'!$E:$E,ROW())/100,--INDEX('Pooled funds'!$E:$E,ROW())),0)</f>
        <v/>
      </c>
      <c r="U1875">
        <f>IF(ISNUMBER(INDEX('Pooled funds'!$E:$E,ROW())),1,0)</f>
        <v/>
      </c>
    </row>
    <row r="1876">
      <c r="A1876">
        <f>TRIM(SUBSTITUTE(INDEX('Term investments'!$A:$A,ROW())&amp;""," "," "))</f>
        <v/>
      </c>
      <c r="B1876">
        <f>TRIM(SUBSTITUTE(INDEX('Term investments'!$B:$B,ROW())&amp;""," "," "))</f>
        <v/>
      </c>
      <c r="C1876">
        <f>TRIM(SUBSTITUTE(INDEX('Term investments'!$C:$C,ROW())&amp;""," "," "))</f>
        <v/>
      </c>
      <c r="D1876">
        <f>IFERROR(--INDEX('Term investments'!$D:$D,ROW()),0)</f>
        <v/>
      </c>
      <c r="E1876">
        <f>IFERROR(--INDEX('Term investments'!$E:$E,ROW()),0)</f>
        <v/>
      </c>
      <c r="F1876">
        <f>IFERROR(--INDEX('Term investments'!$F:$F,ROW()),0)</f>
        <v/>
      </c>
      <c r="G1876">
        <f>IFERROR(IF(--INDEX('Term investments'!$G:$G,ROW())&gt;=1,--INDEX('Term investments'!$G:$G,ROW())/100,--INDEX('Term investments'!$G:$G,ROW())),0)</f>
        <v/>
      </c>
      <c r="H1876">
        <f>IFERROR(--INDEX('Term investments'!$H:$H,ROW()),0)</f>
        <v/>
      </c>
      <c r="I1876">
        <f>IF(ISNUMBER(INDEX('Term investments'!$G:$G,ROW())),1,0)</f>
        <v/>
      </c>
      <c r="J1876">
        <f>TRIM(SUBSTITUTE(INDEX('Call accounts and MMFs'!$A:$A,ROW())&amp;""," "," "))</f>
        <v/>
      </c>
      <c r="K1876">
        <f>TRIM(SUBSTITUTE(INDEX('Call accounts and MMFs'!$B:$B,ROW())&amp;""," "," "))</f>
        <v/>
      </c>
      <c r="L1876">
        <f>TRIM(SUBSTITUTE(INDEX('Call accounts and MMFs'!$C:$C,ROW())&amp;""," "," "))</f>
        <v/>
      </c>
      <c r="M1876">
        <f>IFERROR(--INDEX('Call accounts and MMFs'!$D:$D,ROW()),0)</f>
        <v/>
      </c>
      <c r="N1876">
        <f>IFERROR(IF(--INDEX('Call accounts and MMFs'!$E:$E,ROW())&gt;=1,--INDEX('Call accounts and MMFs'!$E:$E,ROW())/100,--INDEX('Call accounts and MMFs'!$E:$E,ROW())),0)</f>
        <v/>
      </c>
      <c r="O1876">
        <f>IFERROR(--INDEX('Call accounts and MMFs'!$F:$F,ROW()),0)</f>
        <v/>
      </c>
      <c r="P1876">
        <f>IF(ISNUMBER(INDEX('Call accounts and MMFs'!$E:$E,ROW())),1,0)</f>
        <v/>
      </c>
      <c r="Q1876">
        <f>TRIM(SUBSTITUTE(INDEX('Pooled funds'!$B:$B,ROW())&amp;""," "," "))</f>
        <v/>
      </c>
      <c r="R1876">
        <f>IFERROR(--INDEX('Pooled funds'!$C:$C,ROW()),0)</f>
        <v/>
      </c>
      <c r="S1876">
        <f>IFERROR(--INDEX('Pooled funds'!$D:$D,ROW()),0)</f>
        <v/>
      </c>
      <c r="T1876">
        <f>IFERROR(IF(--INDEX('Pooled funds'!$E:$E,ROW())&gt;=1,--INDEX('Pooled funds'!$E:$E,ROW())/100,--INDEX('Pooled funds'!$E:$E,ROW())),0)</f>
        <v/>
      </c>
      <c r="U1876">
        <f>IF(ISNUMBER(INDEX('Pooled funds'!$E:$E,ROW())),1,0)</f>
        <v/>
      </c>
    </row>
    <row r="1877">
      <c r="A1877">
        <f>TRIM(SUBSTITUTE(INDEX('Term investments'!$A:$A,ROW())&amp;""," "," "))</f>
        <v/>
      </c>
      <c r="B1877">
        <f>TRIM(SUBSTITUTE(INDEX('Term investments'!$B:$B,ROW())&amp;""," "," "))</f>
        <v/>
      </c>
      <c r="C1877">
        <f>TRIM(SUBSTITUTE(INDEX('Term investments'!$C:$C,ROW())&amp;""," "," "))</f>
        <v/>
      </c>
      <c r="D1877">
        <f>IFERROR(--INDEX('Term investments'!$D:$D,ROW()),0)</f>
        <v/>
      </c>
      <c r="E1877">
        <f>IFERROR(--INDEX('Term investments'!$E:$E,ROW()),0)</f>
        <v/>
      </c>
      <c r="F1877">
        <f>IFERROR(--INDEX('Term investments'!$F:$F,ROW()),0)</f>
        <v/>
      </c>
      <c r="G1877">
        <f>IFERROR(IF(--INDEX('Term investments'!$G:$G,ROW())&gt;=1,--INDEX('Term investments'!$G:$G,ROW())/100,--INDEX('Term investments'!$G:$G,ROW())),0)</f>
        <v/>
      </c>
      <c r="H1877">
        <f>IFERROR(--INDEX('Term investments'!$H:$H,ROW()),0)</f>
        <v/>
      </c>
      <c r="I1877">
        <f>IF(ISNUMBER(INDEX('Term investments'!$G:$G,ROW())),1,0)</f>
        <v/>
      </c>
      <c r="J1877">
        <f>TRIM(SUBSTITUTE(INDEX('Call accounts and MMFs'!$A:$A,ROW())&amp;""," "," "))</f>
        <v/>
      </c>
      <c r="K1877">
        <f>TRIM(SUBSTITUTE(INDEX('Call accounts and MMFs'!$B:$B,ROW())&amp;""," "," "))</f>
        <v/>
      </c>
      <c r="L1877">
        <f>TRIM(SUBSTITUTE(INDEX('Call accounts and MMFs'!$C:$C,ROW())&amp;""," "," "))</f>
        <v/>
      </c>
      <c r="M1877">
        <f>IFERROR(--INDEX('Call accounts and MMFs'!$D:$D,ROW()),0)</f>
        <v/>
      </c>
      <c r="N1877">
        <f>IFERROR(IF(--INDEX('Call accounts and MMFs'!$E:$E,ROW())&gt;=1,--INDEX('Call accounts and MMFs'!$E:$E,ROW())/100,--INDEX('Call accounts and MMFs'!$E:$E,ROW())),0)</f>
        <v/>
      </c>
      <c r="O1877">
        <f>IFERROR(--INDEX('Call accounts and MMFs'!$F:$F,ROW()),0)</f>
        <v/>
      </c>
      <c r="P1877">
        <f>IF(ISNUMBER(INDEX('Call accounts and MMFs'!$E:$E,ROW())),1,0)</f>
        <v/>
      </c>
      <c r="Q1877">
        <f>TRIM(SUBSTITUTE(INDEX('Pooled funds'!$B:$B,ROW())&amp;""," "," "))</f>
        <v/>
      </c>
      <c r="R1877">
        <f>IFERROR(--INDEX('Pooled funds'!$C:$C,ROW()),0)</f>
        <v/>
      </c>
      <c r="S1877">
        <f>IFERROR(--INDEX('Pooled funds'!$D:$D,ROW()),0)</f>
        <v/>
      </c>
      <c r="T1877">
        <f>IFERROR(IF(--INDEX('Pooled funds'!$E:$E,ROW())&gt;=1,--INDEX('Pooled funds'!$E:$E,ROW())/100,--INDEX('Pooled funds'!$E:$E,ROW())),0)</f>
        <v/>
      </c>
      <c r="U1877">
        <f>IF(ISNUMBER(INDEX('Pooled funds'!$E:$E,ROW())),1,0)</f>
        <v/>
      </c>
    </row>
    <row r="1878">
      <c r="A1878">
        <f>TRIM(SUBSTITUTE(INDEX('Term investments'!$A:$A,ROW())&amp;""," "," "))</f>
        <v/>
      </c>
      <c r="B1878">
        <f>TRIM(SUBSTITUTE(INDEX('Term investments'!$B:$B,ROW())&amp;""," "," "))</f>
        <v/>
      </c>
      <c r="C1878">
        <f>TRIM(SUBSTITUTE(INDEX('Term investments'!$C:$C,ROW())&amp;""," "," "))</f>
        <v/>
      </c>
      <c r="D1878">
        <f>IFERROR(--INDEX('Term investments'!$D:$D,ROW()),0)</f>
        <v/>
      </c>
      <c r="E1878">
        <f>IFERROR(--INDEX('Term investments'!$E:$E,ROW()),0)</f>
        <v/>
      </c>
      <c r="F1878">
        <f>IFERROR(--INDEX('Term investments'!$F:$F,ROW()),0)</f>
        <v/>
      </c>
      <c r="G1878">
        <f>IFERROR(IF(--INDEX('Term investments'!$G:$G,ROW())&gt;=1,--INDEX('Term investments'!$G:$G,ROW())/100,--INDEX('Term investments'!$G:$G,ROW())),0)</f>
        <v/>
      </c>
      <c r="H1878">
        <f>IFERROR(--INDEX('Term investments'!$H:$H,ROW()),0)</f>
        <v/>
      </c>
      <c r="I1878">
        <f>IF(ISNUMBER(INDEX('Term investments'!$G:$G,ROW())),1,0)</f>
        <v/>
      </c>
      <c r="J1878">
        <f>TRIM(SUBSTITUTE(INDEX('Call accounts and MMFs'!$A:$A,ROW())&amp;""," "," "))</f>
        <v/>
      </c>
      <c r="K1878">
        <f>TRIM(SUBSTITUTE(INDEX('Call accounts and MMFs'!$B:$B,ROW())&amp;""," "," "))</f>
        <v/>
      </c>
      <c r="L1878">
        <f>TRIM(SUBSTITUTE(INDEX('Call accounts and MMFs'!$C:$C,ROW())&amp;""," "," "))</f>
        <v/>
      </c>
      <c r="M1878">
        <f>IFERROR(--INDEX('Call accounts and MMFs'!$D:$D,ROW()),0)</f>
        <v/>
      </c>
      <c r="N1878">
        <f>IFERROR(IF(--INDEX('Call accounts and MMFs'!$E:$E,ROW())&gt;=1,--INDEX('Call accounts and MMFs'!$E:$E,ROW())/100,--INDEX('Call accounts and MMFs'!$E:$E,ROW())),0)</f>
        <v/>
      </c>
      <c r="O1878">
        <f>IFERROR(--INDEX('Call accounts and MMFs'!$F:$F,ROW()),0)</f>
        <v/>
      </c>
      <c r="P1878">
        <f>IF(ISNUMBER(INDEX('Call accounts and MMFs'!$E:$E,ROW())),1,0)</f>
        <v/>
      </c>
      <c r="Q1878">
        <f>TRIM(SUBSTITUTE(INDEX('Pooled funds'!$B:$B,ROW())&amp;""," "," "))</f>
        <v/>
      </c>
      <c r="R1878">
        <f>IFERROR(--INDEX('Pooled funds'!$C:$C,ROW()),0)</f>
        <v/>
      </c>
      <c r="S1878">
        <f>IFERROR(--INDEX('Pooled funds'!$D:$D,ROW()),0)</f>
        <v/>
      </c>
      <c r="T1878">
        <f>IFERROR(IF(--INDEX('Pooled funds'!$E:$E,ROW())&gt;=1,--INDEX('Pooled funds'!$E:$E,ROW())/100,--INDEX('Pooled funds'!$E:$E,ROW())),0)</f>
        <v/>
      </c>
      <c r="U1878">
        <f>IF(ISNUMBER(INDEX('Pooled funds'!$E:$E,ROW())),1,0)</f>
        <v/>
      </c>
    </row>
    <row r="1879">
      <c r="A1879">
        <f>TRIM(SUBSTITUTE(INDEX('Term investments'!$A:$A,ROW())&amp;""," "," "))</f>
        <v/>
      </c>
      <c r="B1879">
        <f>TRIM(SUBSTITUTE(INDEX('Term investments'!$B:$B,ROW())&amp;""," "," "))</f>
        <v/>
      </c>
      <c r="C1879">
        <f>TRIM(SUBSTITUTE(INDEX('Term investments'!$C:$C,ROW())&amp;""," "," "))</f>
        <v/>
      </c>
      <c r="D1879">
        <f>IFERROR(--INDEX('Term investments'!$D:$D,ROW()),0)</f>
        <v/>
      </c>
      <c r="E1879">
        <f>IFERROR(--INDEX('Term investments'!$E:$E,ROW()),0)</f>
        <v/>
      </c>
      <c r="F1879">
        <f>IFERROR(--INDEX('Term investments'!$F:$F,ROW()),0)</f>
        <v/>
      </c>
      <c r="G1879">
        <f>IFERROR(IF(--INDEX('Term investments'!$G:$G,ROW())&gt;=1,--INDEX('Term investments'!$G:$G,ROW())/100,--INDEX('Term investments'!$G:$G,ROW())),0)</f>
        <v/>
      </c>
      <c r="H1879">
        <f>IFERROR(--INDEX('Term investments'!$H:$H,ROW()),0)</f>
        <v/>
      </c>
      <c r="I1879">
        <f>IF(ISNUMBER(INDEX('Term investments'!$G:$G,ROW())),1,0)</f>
        <v/>
      </c>
      <c r="J1879">
        <f>TRIM(SUBSTITUTE(INDEX('Call accounts and MMFs'!$A:$A,ROW())&amp;""," "," "))</f>
        <v/>
      </c>
      <c r="K1879">
        <f>TRIM(SUBSTITUTE(INDEX('Call accounts and MMFs'!$B:$B,ROW())&amp;""," "," "))</f>
        <v/>
      </c>
      <c r="L1879">
        <f>TRIM(SUBSTITUTE(INDEX('Call accounts and MMFs'!$C:$C,ROW())&amp;""," "," "))</f>
        <v/>
      </c>
      <c r="M1879">
        <f>IFERROR(--INDEX('Call accounts and MMFs'!$D:$D,ROW()),0)</f>
        <v/>
      </c>
      <c r="N1879">
        <f>IFERROR(IF(--INDEX('Call accounts and MMFs'!$E:$E,ROW())&gt;=1,--INDEX('Call accounts and MMFs'!$E:$E,ROW())/100,--INDEX('Call accounts and MMFs'!$E:$E,ROW())),0)</f>
        <v/>
      </c>
      <c r="O1879">
        <f>IFERROR(--INDEX('Call accounts and MMFs'!$F:$F,ROW()),0)</f>
        <v/>
      </c>
      <c r="P1879">
        <f>IF(ISNUMBER(INDEX('Call accounts and MMFs'!$E:$E,ROW())),1,0)</f>
        <v/>
      </c>
      <c r="Q1879">
        <f>TRIM(SUBSTITUTE(INDEX('Pooled funds'!$B:$B,ROW())&amp;""," "," "))</f>
        <v/>
      </c>
      <c r="R1879">
        <f>IFERROR(--INDEX('Pooled funds'!$C:$C,ROW()),0)</f>
        <v/>
      </c>
      <c r="S1879">
        <f>IFERROR(--INDEX('Pooled funds'!$D:$D,ROW()),0)</f>
        <v/>
      </c>
      <c r="T1879">
        <f>IFERROR(IF(--INDEX('Pooled funds'!$E:$E,ROW())&gt;=1,--INDEX('Pooled funds'!$E:$E,ROW())/100,--INDEX('Pooled funds'!$E:$E,ROW())),0)</f>
        <v/>
      </c>
      <c r="U1879">
        <f>IF(ISNUMBER(INDEX('Pooled funds'!$E:$E,ROW())),1,0)</f>
        <v/>
      </c>
    </row>
    <row r="1880">
      <c r="A1880">
        <f>TRIM(SUBSTITUTE(INDEX('Term investments'!$A:$A,ROW())&amp;""," "," "))</f>
        <v/>
      </c>
      <c r="B1880">
        <f>TRIM(SUBSTITUTE(INDEX('Term investments'!$B:$B,ROW())&amp;""," "," "))</f>
        <v/>
      </c>
      <c r="C1880">
        <f>TRIM(SUBSTITUTE(INDEX('Term investments'!$C:$C,ROW())&amp;""," "," "))</f>
        <v/>
      </c>
      <c r="D1880">
        <f>IFERROR(--INDEX('Term investments'!$D:$D,ROW()),0)</f>
        <v/>
      </c>
      <c r="E1880">
        <f>IFERROR(--INDEX('Term investments'!$E:$E,ROW()),0)</f>
        <v/>
      </c>
      <c r="F1880">
        <f>IFERROR(--INDEX('Term investments'!$F:$F,ROW()),0)</f>
        <v/>
      </c>
      <c r="G1880">
        <f>IFERROR(IF(--INDEX('Term investments'!$G:$G,ROW())&gt;=1,--INDEX('Term investments'!$G:$G,ROW())/100,--INDEX('Term investments'!$G:$G,ROW())),0)</f>
        <v/>
      </c>
      <c r="H1880">
        <f>IFERROR(--INDEX('Term investments'!$H:$H,ROW()),0)</f>
        <v/>
      </c>
      <c r="I1880">
        <f>IF(ISNUMBER(INDEX('Term investments'!$G:$G,ROW())),1,0)</f>
        <v/>
      </c>
      <c r="J1880">
        <f>TRIM(SUBSTITUTE(INDEX('Call accounts and MMFs'!$A:$A,ROW())&amp;""," "," "))</f>
        <v/>
      </c>
      <c r="K1880">
        <f>TRIM(SUBSTITUTE(INDEX('Call accounts and MMFs'!$B:$B,ROW())&amp;""," "," "))</f>
        <v/>
      </c>
      <c r="L1880">
        <f>TRIM(SUBSTITUTE(INDEX('Call accounts and MMFs'!$C:$C,ROW())&amp;""," "," "))</f>
        <v/>
      </c>
      <c r="M1880">
        <f>IFERROR(--INDEX('Call accounts and MMFs'!$D:$D,ROW()),0)</f>
        <v/>
      </c>
      <c r="N1880">
        <f>IFERROR(IF(--INDEX('Call accounts and MMFs'!$E:$E,ROW())&gt;=1,--INDEX('Call accounts and MMFs'!$E:$E,ROW())/100,--INDEX('Call accounts and MMFs'!$E:$E,ROW())),0)</f>
        <v/>
      </c>
      <c r="O1880">
        <f>IFERROR(--INDEX('Call accounts and MMFs'!$F:$F,ROW()),0)</f>
        <v/>
      </c>
      <c r="P1880">
        <f>IF(ISNUMBER(INDEX('Call accounts and MMFs'!$E:$E,ROW())),1,0)</f>
        <v/>
      </c>
      <c r="Q1880">
        <f>TRIM(SUBSTITUTE(INDEX('Pooled funds'!$B:$B,ROW())&amp;""," "," "))</f>
        <v/>
      </c>
      <c r="R1880">
        <f>IFERROR(--INDEX('Pooled funds'!$C:$C,ROW()),0)</f>
        <v/>
      </c>
      <c r="S1880">
        <f>IFERROR(--INDEX('Pooled funds'!$D:$D,ROW()),0)</f>
        <v/>
      </c>
      <c r="T1880">
        <f>IFERROR(IF(--INDEX('Pooled funds'!$E:$E,ROW())&gt;=1,--INDEX('Pooled funds'!$E:$E,ROW())/100,--INDEX('Pooled funds'!$E:$E,ROW())),0)</f>
        <v/>
      </c>
      <c r="U1880">
        <f>IF(ISNUMBER(INDEX('Pooled funds'!$E:$E,ROW())),1,0)</f>
        <v/>
      </c>
    </row>
    <row r="1881">
      <c r="A1881">
        <f>TRIM(SUBSTITUTE(INDEX('Term investments'!$A:$A,ROW())&amp;""," "," "))</f>
        <v/>
      </c>
      <c r="B1881">
        <f>TRIM(SUBSTITUTE(INDEX('Term investments'!$B:$B,ROW())&amp;""," "," "))</f>
        <v/>
      </c>
      <c r="C1881">
        <f>TRIM(SUBSTITUTE(INDEX('Term investments'!$C:$C,ROW())&amp;""," "," "))</f>
        <v/>
      </c>
      <c r="D1881">
        <f>IFERROR(--INDEX('Term investments'!$D:$D,ROW()),0)</f>
        <v/>
      </c>
      <c r="E1881">
        <f>IFERROR(--INDEX('Term investments'!$E:$E,ROW()),0)</f>
        <v/>
      </c>
      <c r="F1881">
        <f>IFERROR(--INDEX('Term investments'!$F:$F,ROW()),0)</f>
        <v/>
      </c>
      <c r="G1881">
        <f>IFERROR(IF(--INDEX('Term investments'!$G:$G,ROW())&gt;=1,--INDEX('Term investments'!$G:$G,ROW())/100,--INDEX('Term investments'!$G:$G,ROW())),0)</f>
        <v/>
      </c>
      <c r="H1881">
        <f>IFERROR(--INDEX('Term investments'!$H:$H,ROW()),0)</f>
        <v/>
      </c>
      <c r="I1881">
        <f>IF(ISNUMBER(INDEX('Term investments'!$G:$G,ROW())),1,0)</f>
        <v/>
      </c>
      <c r="J1881">
        <f>TRIM(SUBSTITUTE(INDEX('Call accounts and MMFs'!$A:$A,ROW())&amp;""," "," "))</f>
        <v/>
      </c>
      <c r="K1881">
        <f>TRIM(SUBSTITUTE(INDEX('Call accounts and MMFs'!$B:$B,ROW())&amp;""," "," "))</f>
        <v/>
      </c>
      <c r="L1881">
        <f>TRIM(SUBSTITUTE(INDEX('Call accounts and MMFs'!$C:$C,ROW())&amp;""," "," "))</f>
        <v/>
      </c>
      <c r="M1881">
        <f>IFERROR(--INDEX('Call accounts and MMFs'!$D:$D,ROW()),0)</f>
        <v/>
      </c>
      <c r="N1881">
        <f>IFERROR(IF(--INDEX('Call accounts and MMFs'!$E:$E,ROW())&gt;=1,--INDEX('Call accounts and MMFs'!$E:$E,ROW())/100,--INDEX('Call accounts and MMFs'!$E:$E,ROW())),0)</f>
        <v/>
      </c>
      <c r="O1881">
        <f>IFERROR(--INDEX('Call accounts and MMFs'!$F:$F,ROW()),0)</f>
        <v/>
      </c>
      <c r="P1881">
        <f>IF(ISNUMBER(INDEX('Call accounts and MMFs'!$E:$E,ROW())),1,0)</f>
        <v/>
      </c>
      <c r="Q1881">
        <f>TRIM(SUBSTITUTE(INDEX('Pooled funds'!$B:$B,ROW())&amp;""," "," "))</f>
        <v/>
      </c>
      <c r="R1881">
        <f>IFERROR(--INDEX('Pooled funds'!$C:$C,ROW()),0)</f>
        <v/>
      </c>
      <c r="S1881">
        <f>IFERROR(--INDEX('Pooled funds'!$D:$D,ROW()),0)</f>
        <v/>
      </c>
      <c r="T1881">
        <f>IFERROR(IF(--INDEX('Pooled funds'!$E:$E,ROW())&gt;=1,--INDEX('Pooled funds'!$E:$E,ROW())/100,--INDEX('Pooled funds'!$E:$E,ROW())),0)</f>
        <v/>
      </c>
      <c r="U1881">
        <f>IF(ISNUMBER(INDEX('Pooled funds'!$E:$E,ROW())),1,0)</f>
        <v/>
      </c>
    </row>
    <row r="1882">
      <c r="A1882">
        <f>TRIM(SUBSTITUTE(INDEX('Term investments'!$A:$A,ROW())&amp;""," "," "))</f>
        <v/>
      </c>
      <c r="B1882">
        <f>TRIM(SUBSTITUTE(INDEX('Term investments'!$B:$B,ROW())&amp;""," "," "))</f>
        <v/>
      </c>
      <c r="C1882">
        <f>TRIM(SUBSTITUTE(INDEX('Term investments'!$C:$C,ROW())&amp;""," "," "))</f>
        <v/>
      </c>
      <c r="D1882">
        <f>IFERROR(--INDEX('Term investments'!$D:$D,ROW()),0)</f>
        <v/>
      </c>
      <c r="E1882">
        <f>IFERROR(--INDEX('Term investments'!$E:$E,ROW()),0)</f>
        <v/>
      </c>
      <c r="F1882">
        <f>IFERROR(--INDEX('Term investments'!$F:$F,ROW()),0)</f>
        <v/>
      </c>
      <c r="G1882">
        <f>IFERROR(IF(--INDEX('Term investments'!$G:$G,ROW())&gt;=1,--INDEX('Term investments'!$G:$G,ROW())/100,--INDEX('Term investments'!$G:$G,ROW())),0)</f>
        <v/>
      </c>
      <c r="H1882">
        <f>IFERROR(--INDEX('Term investments'!$H:$H,ROW()),0)</f>
        <v/>
      </c>
      <c r="I1882">
        <f>IF(ISNUMBER(INDEX('Term investments'!$G:$G,ROW())),1,0)</f>
        <v/>
      </c>
      <c r="J1882">
        <f>TRIM(SUBSTITUTE(INDEX('Call accounts and MMFs'!$A:$A,ROW())&amp;""," "," "))</f>
        <v/>
      </c>
      <c r="K1882">
        <f>TRIM(SUBSTITUTE(INDEX('Call accounts and MMFs'!$B:$B,ROW())&amp;""," "," "))</f>
        <v/>
      </c>
      <c r="L1882">
        <f>TRIM(SUBSTITUTE(INDEX('Call accounts and MMFs'!$C:$C,ROW())&amp;""," "," "))</f>
        <v/>
      </c>
      <c r="M1882">
        <f>IFERROR(--INDEX('Call accounts and MMFs'!$D:$D,ROW()),0)</f>
        <v/>
      </c>
      <c r="N1882">
        <f>IFERROR(IF(--INDEX('Call accounts and MMFs'!$E:$E,ROW())&gt;=1,--INDEX('Call accounts and MMFs'!$E:$E,ROW())/100,--INDEX('Call accounts and MMFs'!$E:$E,ROW())),0)</f>
        <v/>
      </c>
      <c r="O1882">
        <f>IFERROR(--INDEX('Call accounts and MMFs'!$F:$F,ROW()),0)</f>
        <v/>
      </c>
      <c r="P1882">
        <f>IF(ISNUMBER(INDEX('Call accounts and MMFs'!$E:$E,ROW())),1,0)</f>
        <v/>
      </c>
      <c r="Q1882">
        <f>TRIM(SUBSTITUTE(INDEX('Pooled funds'!$B:$B,ROW())&amp;""," "," "))</f>
        <v/>
      </c>
      <c r="R1882">
        <f>IFERROR(--INDEX('Pooled funds'!$C:$C,ROW()),0)</f>
        <v/>
      </c>
      <c r="S1882">
        <f>IFERROR(--INDEX('Pooled funds'!$D:$D,ROW()),0)</f>
        <v/>
      </c>
      <c r="T1882">
        <f>IFERROR(IF(--INDEX('Pooled funds'!$E:$E,ROW())&gt;=1,--INDEX('Pooled funds'!$E:$E,ROW())/100,--INDEX('Pooled funds'!$E:$E,ROW())),0)</f>
        <v/>
      </c>
      <c r="U1882">
        <f>IF(ISNUMBER(INDEX('Pooled funds'!$E:$E,ROW())),1,0)</f>
        <v/>
      </c>
    </row>
    <row r="1883">
      <c r="A1883">
        <f>TRIM(SUBSTITUTE(INDEX('Term investments'!$A:$A,ROW())&amp;""," "," "))</f>
        <v/>
      </c>
      <c r="B1883">
        <f>TRIM(SUBSTITUTE(INDEX('Term investments'!$B:$B,ROW())&amp;""," "," "))</f>
        <v/>
      </c>
      <c r="C1883">
        <f>TRIM(SUBSTITUTE(INDEX('Term investments'!$C:$C,ROW())&amp;""," "," "))</f>
        <v/>
      </c>
      <c r="D1883">
        <f>IFERROR(--INDEX('Term investments'!$D:$D,ROW()),0)</f>
        <v/>
      </c>
      <c r="E1883">
        <f>IFERROR(--INDEX('Term investments'!$E:$E,ROW()),0)</f>
        <v/>
      </c>
      <c r="F1883">
        <f>IFERROR(--INDEX('Term investments'!$F:$F,ROW()),0)</f>
        <v/>
      </c>
      <c r="G1883">
        <f>IFERROR(IF(--INDEX('Term investments'!$G:$G,ROW())&gt;=1,--INDEX('Term investments'!$G:$G,ROW())/100,--INDEX('Term investments'!$G:$G,ROW())),0)</f>
        <v/>
      </c>
      <c r="H1883">
        <f>IFERROR(--INDEX('Term investments'!$H:$H,ROW()),0)</f>
        <v/>
      </c>
      <c r="I1883">
        <f>IF(ISNUMBER(INDEX('Term investments'!$G:$G,ROW())),1,0)</f>
        <v/>
      </c>
      <c r="J1883">
        <f>TRIM(SUBSTITUTE(INDEX('Call accounts and MMFs'!$A:$A,ROW())&amp;""," "," "))</f>
        <v/>
      </c>
      <c r="K1883">
        <f>TRIM(SUBSTITUTE(INDEX('Call accounts and MMFs'!$B:$B,ROW())&amp;""," "," "))</f>
        <v/>
      </c>
      <c r="L1883">
        <f>TRIM(SUBSTITUTE(INDEX('Call accounts and MMFs'!$C:$C,ROW())&amp;""," "," "))</f>
        <v/>
      </c>
      <c r="M1883">
        <f>IFERROR(--INDEX('Call accounts and MMFs'!$D:$D,ROW()),0)</f>
        <v/>
      </c>
      <c r="N1883">
        <f>IFERROR(IF(--INDEX('Call accounts and MMFs'!$E:$E,ROW())&gt;=1,--INDEX('Call accounts and MMFs'!$E:$E,ROW())/100,--INDEX('Call accounts and MMFs'!$E:$E,ROW())),0)</f>
        <v/>
      </c>
      <c r="O1883">
        <f>IFERROR(--INDEX('Call accounts and MMFs'!$F:$F,ROW()),0)</f>
        <v/>
      </c>
      <c r="P1883">
        <f>IF(ISNUMBER(INDEX('Call accounts and MMFs'!$E:$E,ROW())),1,0)</f>
        <v/>
      </c>
      <c r="Q1883">
        <f>TRIM(SUBSTITUTE(INDEX('Pooled funds'!$B:$B,ROW())&amp;""," "," "))</f>
        <v/>
      </c>
      <c r="R1883">
        <f>IFERROR(--INDEX('Pooled funds'!$C:$C,ROW()),0)</f>
        <v/>
      </c>
      <c r="S1883">
        <f>IFERROR(--INDEX('Pooled funds'!$D:$D,ROW()),0)</f>
        <v/>
      </c>
      <c r="T1883">
        <f>IFERROR(IF(--INDEX('Pooled funds'!$E:$E,ROW())&gt;=1,--INDEX('Pooled funds'!$E:$E,ROW())/100,--INDEX('Pooled funds'!$E:$E,ROW())),0)</f>
        <v/>
      </c>
      <c r="U1883">
        <f>IF(ISNUMBER(INDEX('Pooled funds'!$E:$E,ROW())),1,0)</f>
        <v/>
      </c>
    </row>
    <row r="1884">
      <c r="A1884">
        <f>TRIM(SUBSTITUTE(INDEX('Term investments'!$A:$A,ROW())&amp;""," "," "))</f>
        <v/>
      </c>
      <c r="B1884">
        <f>TRIM(SUBSTITUTE(INDEX('Term investments'!$B:$B,ROW())&amp;""," "," "))</f>
        <v/>
      </c>
      <c r="C1884">
        <f>TRIM(SUBSTITUTE(INDEX('Term investments'!$C:$C,ROW())&amp;""," "," "))</f>
        <v/>
      </c>
      <c r="D1884">
        <f>IFERROR(--INDEX('Term investments'!$D:$D,ROW()),0)</f>
        <v/>
      </c>
      <c r="E1884">
        <f>IFERROR(--INDEX('Term investments'!$E:$E,ROW()),0)</f>
        <v/>
      </c>
      <c r="F1884">
        <f>IFERROR(--INDEX('Term investments'!$F:$F,ROW()),0)</f>
        <v/>
      </c>
      <c r="G1884">
        <f>IFERROR(IF(--INDEX('Term investments'!$G:$G,ROW())&gt;=1,--INDEX('Term investments'!$G:$G,ROW())/100,--INDEX('Term investments'!$G:$G,ROW())),0)</f>
        <v/>
      </c>
      <c r="H1884">
        <f>IFERROR(--INDEX('Term investments'!$H:$H,ROW()),0)</f>
        <v/>
      </c>
      <c r="I1884">
        <f>IF(ISNUMBER(INDEX('Term investments'!$G:$G,ROW())),1,0)</f>
        <v/>
      </c>
      <c r="J1884">
        <f>TRIM(SUBSTITUTE(INDEX('Call accounts and MMFs'!$A:$A,ROW())&amp;""," "," "))</f>
        <v/>
      </c>
      <c r="K1884">
        <f>TRIM(SUBSTITUTE(INDEX('Call accounts and MMFs'!$B:$B,ROW())&amp;""," "," "))</f>
        <v/>
      </c>
      <c r="L1884">
        <f>TRIM(SUBSTITUTE(INDEX('Call accounts and MMFs'!$C:$C,ROW())&amp;""," "," "))</f>
        <v/>
      </c>
      <c r="M1884">
        <f>IFERROR(--INDEX('Call accounts and MMFs'!$D:$D,ROW()),0)</f>
        <v/>
      </c>
      <c r="N1884">
        <f>IFERROR(IF(--INDEX('Call accounts and MMFs'!$E:$E,ROW())&gt;=1,--INDEX('Call accounts and MMFs'!$E:$E,ROW())/100,--INDEX('Call accounts and MMFs'!$E:$E,ROW())),0)</f>
        <v/>
      </c>
      <c r="O1884">
        <f>IFERROR(--INDEX('Call accounts and MMFs'!$F:$F,ROW()),0)</f>
        <v/>
      </c>
      <c r="P1884">
        <f>IF(ISNUMBER(INDEX('Call accounts and MMFs'!$E:$E,ROW())),1,0)</f>
        <v/>
      </c>
      <c r="Q1884">
        <f>TRIM(SUBSTITUTE(INDEX('Pooled funds'!$B:$B,ROW())&amp;""," "," "))</f>
        <v/>
      </c>
      <c r="R1884">
        <f>IFERROR(--INDEX('Pooled funds'!$C:$C,ROW()),0)</f>
        <v/>
      </c>
      <c r="S1884">
        <f>IFERROR(--INDEX('Pooled funds'!$D:$D,ROW()),0)</f>
        <v/>
      </c>
      <c r="T1884">
        <f>IFERROR(IF(--INDEX('Pooled funds'!$E:$E,ROW())&gt;=1,--INDEX('Pooled funds'!$E:$E,ROW())/100,--INDEX('Pooled funds'!$E:$E,ROW())),0)</f>
        <v/>
      </c>
      <c r="U1884">
        <f>IF(ISNUMBER(INDEX('Pooled funds'!$E:$E,ROW())),1,0)</f>
        <v/>
      </c>
    </row>
    <row r="1885">
      <c r="A1885">
        <f>TRIM(SUBSTITUTE(INDEX('Term investments'!$A:$A,ROW())&amp;""," "," "))</f>
        <v/>
      </c>
      <c r="B1885">
        <f>TRIM(SUBSTITUTE(INDEX('Term investments'!$B:$B,ROW())&amp;""," "," "))</f>
        <v/>
      </c>
      <c r="C1885">
        <f>TRIM(SUBSTITUTE(INDEX('Term investments'!$C:$C,ROW())&amp;""," "," "))</f>
        <v/>
      </c>
      <c r="D1885">
        <f>IFERROR(--INDEX('Term investments'!$D:$D,ROW()),0)</f>
        <v/>
      </c>
      <c r="E1885">
        <f>IFERROR(--INDEX('Term investments'!$E:$E,ROW()),0)</f>
        <v/>
      </c>
      <c r="F1885">
        <f>IFERROR(--INDEX('Term investments'!$F:$F,ROW()),0)</f>
        <v/>
      </c>
      <c r="G1885">
        <f>IFERROR(IF(--INDEX('Term investments'!$G:$G,ROW())&gt;=1,--INDEX('Term investments'!$G:$G,ROW())/100,--INDEX('Term investments'!$G:$G,ROW())),0)</f>
        <v/>
      </c>
      <c r="H1885">
        <f>IFERROR(--INDEX('Term investments'!$H:$H,ROW()),0)</f>
        <v/>
      </c>
      <c r="I1885">
        <f>IF(ISNUMBER(INDEX('Term investments'!$G:$G,ROW())),1,0)</f>
        <v/>
      </c>
      <c r="J1885">
        <f>TRIM(SUBSTITUTE(INDEX('Call accounts and MMFs'!$A:$A,ROW())&amp;""," "," "))</f>
        <v/>
      </c>
      <c r="K1885">
        <f>TRIM(SUBSTITUTE(INDEX('Call accounts and MMFs'!$B:$B,ROW())&amp;""," "," "))</f>
        <v/>
      </c>
      <c r="L1885">
        <f>TRIM(SUBSTITUTE(INDEX('Call accounts and MMFs'!$C:$C,ROW())&amp;""," "," "))</f>
        <v/>
      </c>
      <c r="M1885">
        <f>IFERROR(--INDEX('Call accounts and MMFs'!$D:$D,ROW()),0)</f>
        <v/>
      </c>
      <c r="N1885">
        <f>IFERROR(IF(--INDEX('Call accounts and MMFs'!$E:$E,ROW())&gt;=1,--INDEX('Call accounts and MMFs'!$E:$E,ROW())/100,--INDEX('Call accounts and MMFs'!$E:$E,ROW())),0)</f>
        <v/>
      </c>
      <c r="O1885">
        <f>IFERROR(--INDEX('Call accounts and MMFs'!$F:$F,ROW()),0)</f>
        <v/>
      </c>
      <c r="P1885">
        <f>IF(ISNUMBER(INDEX('Call accounts and MMFs'!$E:$E,ROW())),1,0)</f>
        <v/>
      </c>
      <c r="Q1885">
        <f>TRIM(SUBSTITUTE(INDEX('Pooled funds'!$B:$B,ROW())&amp;""," "," "))</f>
        <v/>
      </c>
      <c r="R1885">
        <f>IFERROR(--INDEX('Pooled funds'!$C:$C,ROW()),0)</f>
        <v/>
      </c>
      <c r="S1885">
        <f>IFERROR(--INDEX('Pooled funds'!$D:$D,ROW()),0)</f>
        <v/>
      </c>
      <c r="T1885">
        <f>IFERROR(IF(--INDEX('Pooled funds'!$E:$E,ROW())&gt;=1,--INDEX('Pooled funds'!$E:$E,ROW())/100,--INDEX('Pooled funds'!$E:$E,ROW())),0)</f>
        <v/>
      </c>
      <c r="U1885">
        <f>IF(ISNUMBER(INDEX('Pooled funds'!$E:$E,ROW())),1,0)</f>
        <v/>
      </c>
    </row>
    <row r="1886">
      <c r="A1886">
        <f>TRIM(SUBSTITUTE(INDEX('Term investments'!$A:$A,ROW())&amp;""," "," "))</f>
        <v/>
      </c>
      <c r="B1886">
        <f>TRIM(SUBSTITUTE(INDEX('Term investments'!$B:$B,ROW())&amp;""," "," "))</f>
        <v/>
      </c>
      <c r="C1886">
        <f>TRIM(SUBSTITUTE(INDEX('Term investments'!$C:$C,ROW())&amp;""," "," "))</f>
        <v/>
      </c>
      <c r="D1886">
        <f>IFERROR(--INDEX('Term investments'!$D:$D,ROW()),0)</f>
        <v/>
      </c>
      <c r="E1886">
        <f>IFERROR(--INDEX('Term investments'!$E:$E,ROW()),0)</f>
        <v/>
      </c>
      <c r="F1886">
        <f>IFERROR(--INDEX('Term investments'!$F:$F,ROW()),0)</f>
        <v/>
      </c>
      <c r="G1886">
        <f>IFERROR(IF(--INDEX('Term investments'!$G:$G,ROW())&gt;=1,--INDEX('Term investments'!$G:$G,ROW())/100,--INDEX('Term investments'!$G:$G,ROW())),0)</f>
        <v/>
      </c>
      <c r="H1886">
        <f>IFERROR(--INDEX('Term investments'!$H:$H,ROW()),0)</f>
        <v/>
      </c>
      <c r="I1886">
        <f>IF(ISNUMBER(INDEX('Term investments'!$G:$G,ROW())),1,0)</f>
        <v/>
      </c>
      <c r="J1886">
        <f>TRIM(SUBSTITUTE(INDEX('Call accounts and MMFs'!$A:$A,ROW())&amp;""," "," "))</f>
        <v/>
      </c>
      <c r="K1886">
        <f>TRIM(SUBSTITUTE(INDEX('Call accounts and MMFs'!$B:$B,ROW())&amp;""," "," "))</f>
        <v/>
      </c>
      <c r="L1886">
        <f>TRIM(SUBSTITUTE(INDEX('Call accounts and MMFs'!$C:$C,ROW())&amp;""," "," "))</f>
        <v/>
      </c>
      <c r="M1886">
        <f>IFERROR(--INDEX('Call accounts and MMFs'!$D:$D,ROW()),0)</f>
        <v/>
      </c>
      <c r="N1886">
        <f>IFERROR(IF(--INDEX('Call accounts and MMFs'!$E:$E,ROW())&gt;=1,--INDEX('Call accounts and MMFs'!$E:$E,ROW())/100,--INDEX('Call accounts and MMFs'!$E:$E,ROW())),0)</f>
        <v/>
      </c>
      <c r="O1886">
        <f>IFERROR(--INDEX('Call accounts and MMFs'!$F:$F,ROW()),0)</f>
        <v/>
      </c>
      <c r="P1886">
        <f>IF(ISNUMBER(INDEX('Call accounts and MMFs'!$E:$E,ROW())),1,0)</f>
        <v/>
      </c>
      <c r="Q1886">
        <f>TRIM(SUBSTITUTE(INDEX('Pooled funds'!$B:$B,ROW())&amp;""," "," "))</f>
        <v/>
      </c>
      <c r="R1886">
        <f>IFERROR(--INDEX('Pooled funds'!$C:$C,ROW()),0)</f>
        <v/>
      </c>
      <c r="S1886">
        <f>IFERROR(--INDEX('Pooled funds'!$D:$D,ROW()),0)</f>
        <v/>
      </c>
      <c r="T1886">
        <f>IFERROR(IF(--INDEX('Pooled funds'!$E:$E,ROW())&gt;=1,--INDEX('Pooled funds'!$E:$E,ROW())/100,--INDEX('Pooled funds'!$E:$E,ROW())),0)</f>
        <v/>
      </c>
      <c r="U1886">
        <f>IF(ISNUMBER(INDEX('Pooled funds'!$E:$E,ROW())),1,0)</f>
        <v/>
      </c>
    </row>
    <row r="1887">
      <c r="A1887">
        <f>TRIM(SUBSTITUTE(INDEX('Term investments'!$A:$A,ROW())&amp;""," "," "))</f>
        <v/>
      </c>
      <c r="B1887">
        <f>TRIM(SUBSTITUTE(INDEX('Term investments'!$B:$B,ROW())&amp;""," "," "))</f>
        <v/>
      </c>
      <c r="C1887">
        <f>TRIM(SUBSTITUTE(INDEX('Term investments'!$C:$C,ROW())&amp;""," "," "))</f>
        <v/>
      </c>
      <c r="D1887">
        <f>IFERROR(--INDEX('Term investments'!$D:$D,ROW()),0)</f>
        <v/>
      </c>
      <c r="E1887">
        <f>IFERROR(--INDEX('Term investments'!$E:$E,ROW()),0)</f>
        <v/>
      </c>
      <c r="F1887">
        <f>IFERROR(--INDEX('Term investments'!$F:$F,ROW()),0)</f>
        <v/>
      </c>
      <c r="G1887">
        <f>IFERROR(IF(--INDEX('Term investments'!$G:$G,ROW())&gt;=1,--INDEX('Term investments'!$G:$G,ROW())/100,--INDEX('Term investments'!$G:$G,ROW())),0)</f>
        <v/>
      </c>
      <c r="H1887">
        <f>IFERROR(--INDEX('Term investments'!$H:$H,ROW()),0)</f>
        <v/>
      </c>
      <c r="I1887">
        <f>IF(ISNUMBER(INDEX('Term investments'!$G:$G,ROW())),1,0)</f>
        <v/>
      </c>
      <c r="J1887">
        <f>TRIM(SUBSTITUTE(INDEX('Call accounts and MMFs'!$A:$A,ROW())&amp;""," "," "))</f>
        <v/>
      </c>
      <c r="K1887">
        <f>TRIM(SUBSTITUTE(INDEX('Call accounts and MMFs'!$B:$B,ROW())&amp;""," "," "))</f>
        <v/>
      </c>
      <c r="L1887">
        <f>TRIM(SUBSTITUTE(INDEX('Call accounts and MMFs'!$C:$C,ROW())&amp;""," "," "))</f>
        <v/>
      </c>
      <c r="M1887">
        <f>IFERROR(--INDEX('Call accounts and MMFs'!$D:$D,ROW()),0)</f>
        <v/>
      </c>
      <c r="N1887">
        <f>IFERROR(IF(--INDEX('Call accounts and MMFs'!$E:$E,ROW())&gt;=1,--INDEX('Call accounts and MMFs'!$E:$E,ROW())/100,--INDEX('Call accounts and MMFs'!$E:$E,ROW())),0)</f>
        <v/>
      </c>
      <c r="O1887">
        <f>IFERROR(--INDEX('Call accounts and MMFs'!$F:$F,ROW()),0)</f>
        <v/>
      </c>
      <c r="P1887">
        <f>IF(ISNUMBER(INDEX('Call accounts and MMFs'!$E:$E,ROW())),1,0)</f>
        <v/>
      </c>
      <c r="Q1887">
        <f>TRIM(SUBSTITUTE(INDEX('Pooled funds'!$B:$B,ROW())&amp;""," "," "))</f>
        <v/>
      </c>
      <c r="R1887">
        <f>IFERROR(--INDEX('Pooled funds'!$C:$C,ROW()),0)</f>
        <v/>
      </c>
      <c r="S1887">
        <f>IFERROR(--INDEX('Pooled funds'!$D:$D,ROW()),0)</f>
        <v/>
      </c>
      <c r="T1887">
        <f>IFERROR(IF(--INDEX('Pooled funds'!$E:$E,ROW())&gt;=1,--INDEX('Pooled funds'!$E:$E,ROW())/100,--INDEX('Pooled funds'!$E:$E,ROW())),0)</f>
        <v/>
      </c>
      <c r="U1887">
        <f>IF(ISNUMBER(INDEX('Pooled funds'!$E:$E,ROW())),1,0)</f>
        <v/>
      </c>
    </row>
    <row r="1888">
      <c r="A1888">
        <f>TRIM(SUBSTITUTE(INDEX('Term investments'!$A:$A,ROW())&amp;""," "," "))</f>
        <v/>
      </c>
      <c r="B1888">
        <f>TRIM(SUBSTITUTE(INDEX('Term investments'!$B:$B,ROW())&amp;""," "," "))</f>
        <v/>
      </c>
      <c r="C1888">
        <f>TRIM(SUBSTITUTE(INDEX('Term investments'!$C:$C,ROW())&amp;""," "," "))</f>
        <v/>
      </c>
      <c r="D1888">
        <f>IFERROR(--INDEX('Term investments'!$D:$D,ROW()),0)</f>
        <v/>
      </c>
      <c r="E1888">
        <f>IFERROR(--INDEX('Term investments'!$E:$E,ROW()),0)</f>
        <v/>
      </c>
      <c r="F1888">
        <f>IFERROR(--INDEX('Term investments'!$F:$F,ROW()),0)</f>
        <v/>
      </c>
      <c r="G1888">
        <f>IFERROR(IF(--INDEX('Term investments'!$G:$G,ROW())&gt;=1,--INDEX('Term investments'!$G:$G,ROW())/100,--INDEX('Term investments'!$G:$G,ROW())),0)</f>
        <v/>
      </c>
      <c r="H1888">
        <f>IFERROR(--INDEX('Term investments'!$H:$H,ROW()),0)</f>
        <v/>
      </c>
      <c r="I1888">
        <f>IF(ISNUMBER(INDEX('Term investments'!$G:$G,ROW())),1,0)</f>
        <v/>
      </c>
      <c r="J1888">
        <f>TRIM(SUBSTITUTE(INDEX('Call accounts and MMFs'!$A:$A,ROW())&amp;""," "," "))</f>
        <v/>
      </c>
      <c r="K1888">
        <f>TRIM(SUBSTITUTE(INDEX('Call accounts and MMFs'!$B:$B,ROW())&amp;""," "," "))</f>
        <v/>
      </c>
      <c r="L1888">
        <f>TRIM(SUBSTITUTE(INDEX('Call accounts and MMFs'!$C:$C,ROW())&amp;""," "," "))</f>
        <v/>
      </c>
      <c r="M1888">
        <f>IFERROR(--INDEX('Call accounts and MMFs'!$D:$D,ROW()),0)</f>
        <v/>
      </c>
      <c r="N1888">
        <f>IFERROR(IF(--INDEX('Call accounts and MMFs'!$E:$E,ROW())&gt;=1,--INDEX('Call accounts and MMFs'!$E:$E,ROW())/100,--INDEX('Call accounts and MMFs'!$E:$E,ROW())),0)</f>
        <v/>
      </c>
      <c r="O1888">
        <f>IFERROR(--INDEX('Call accounts and MMFs'!$F:$F,ROW()),0)</f>
        <v/>
      </c>
      <c r="P1888">
        <f>IF(ISNUMBER(INDEX('Call accounts and MMFs'!$E:$E,ROW())),1,0)</f>
        <v/>
      </c>
      <c r="Q1888">
        <f>TRIM(SUBSTITUTE(INDEX('Pooled funds'!$B:$B,ROW())&amp;""," "," "))</f>
        <v/>
      </c>
      <c r="R1888">
        <f>IFERROR(--INDEX('Pooled funds'!$C:$C,ROW()),0)</f>
        <v/>
      </c>
      <c r="S1888">
        <f>IFERROR(--INDEX('Pooled funds'!$D:$D,ROW()),0)</f>
        <v/>
      </c>
      <c r="T1888">
        <f>IFERROR(IF(--INDEX('Pooled funds'!$E:$E,ROW())&gt;=1,--INDEX('Pooled funds'!$E:$E,ROW())/100,--INDEX('Pooled funds'!$E:$E,ROW())),0)</f>
        <v/>
      </c>
      <c r="U1888">
        <f>IF(ISNUMBER(INDEX('Pooled funds'!$E:$E,ROW())),1,0)</f>
        <v/>
      </c>
    </row>
    <row r="1889">
      <c r="A1889">
        <f>TRIM(SUBSTITUTE(INDEX('Term investments'!$A:$A,ROW())&amp;""," "," "))</f>
        <v/>
      </c>
      <c r="B1889">
        <f>TRIM(SUBSTITUTE(INDEX('Term investments'!$B:$B,ROW())&amp;""," "," "))</f>
        <v/>
      </c>
      <c r="C1889">
        <f>TRIM(SUBSTITUTE(INDEX('Term investments'!$C:$C,ROW())&amp;""," "," "))</f>
        <v/>
      </c>
      <c r="D1889">
        <f>IFERROR(--INDEX('Term investments'!$D:$D,ROW()),0)</f>
        <v/>
      </c>
      <c r="E1889">
        <f>IFERROR(--INDEX('Term investments'!$E:$E,ROW()),0)</f>
        <v/>
      </c>
      <c r="F1889">
        <f>IFERROR(--INDEX('Term investments'!$F:$F,ROW()),0)</f>
        <v/>
      </c>
      <c r="G1889">
        <f>IFERROR(IF(--INDEX('Term investments'!$G:$G,ROW())&gt;=1,--INDEX('Term investments'!$G:$G,ROW())/100,--INDEX('Term investments'!$G:$G,ROW())),0)</f>
        <v/>
      </c>
      <c r="H1889">
        <f>IFERROR(--INDEX('Term investments'!$H:$H,ROW()),0)</f>
        <v/>
      </c>
      <c r="I1889">
        <f>IF(ISNUMBER(INDEX('Term investments'!$G:$G,ROW())),1,0)</f>
        <v/>
      </c>
      <c r="J1889">
        <f>TRIM(SUBSTITUTE(INDEX('Call accounts and MMFs'!$A:$A,ROW())&amp;""," "," "))</f>
        <v/>
      </c>
      <c r="K1889">
        <f>TRIM(SUBSTITUTE(INDEX('Call accounts and MMFs'!$B:$B,ROW())&amp;""," "," "))</f>
        <v/>
      </c>
      <c r="L1889">
        <f>TRIM(SUBSTITUTE(INDEX('Call accounts and MMFs'!$C:$C,ROW())&amp;""," "," "))</f>
        <v/>
      </c>
      <c r="M1889">
        <f>IFERROR(--INDEX('Call accounts and MMFs'!$D:$D,ROW()),0)</f>
        <v/>
      </c>
      <c r="N1889">
        <f>IFERROR(IF(--INDEX('Call accounts and MMFs'!$E:$E,ROW())&gt;=1,--INDEX('Call accounts and MMFs'!$E:$E,ROW())/100,--INDEX('Call accounts and MMFs'!$E:$E,ROW())),0)</f>
        <v/>
      </c>
      <c r="O1889">
        <f>IFERROR(--INDEX('Call accounts and MMFs'!$F:$F,ROW()),0)</f>
        <v/>
      </c>
      <c r="P1889">
        <f>IF(ISNUMBER(INDEX('Call accounts and MMFs'!$E:$E,ROW())),1,0)</f>
        <v/>
      </c>
      <c r="Q1889">
        <f>TRIM(SUBSTITUTE(INDEX('Pooled funds'!$B:$B,ROW())&amp;""," "," "))</f>
        <v/>
      </c>
      <c r="R1889">
        <f>IFERROR(--INDEX('Pooled funds'!$C:$C,ROW()),0)</f>
        <v/>
      </c>
      <c r="S1889">
        <f>IFERROR(--INDEX('Pooled funds'!$D:$D,ROW()),0)</f>
        <v/>
      </c>
      <c r="T1889">
        <f>IFERROR(IF(--INDEX('Pooled funds'!$E:$E,ROW())&gt;=1,--INDEX('Pooled funds'!$E:$E,ROW())/100,--INDEX('Pooled funds'!$E:$E,ROW())),0)</f>
        <v/>
      </c>
      <c r="U1889">
        <f>IF(ISNUMBER(INDEX('Pooled funds'!$E:$E,ROW())),1,0)</f>
        <v/>
      </c>
    </row>
    <row r="1890">
      <c r="A1890">
        <f>TRIM(SUBSTITUTE(INDEX('Term investments'!$A:$A,ROW())&amp;""," "," "))</f>
        <v/>
      </c>
      <c r="B1890">
        <f>TRIM(SUBSTITUTE(INDEX('Term investments'!$B:$B,ROW())&amp;""," "," "))</f>
        <v/>
      </c>
      <c r="C1890">
        <f>TRIM(SUBSTITUTE(INDEX('Term investments'!$C:$C,ROW())&amp;""," "," "))</f>
        <v/>
      </c>
      <c r="D1890">
        <f>IFERROR(--INDEX('Term investments'!$D:$D,ROW()),0)</f>
        <v/>
      </c>
      <c r="E1890">
        <f>IFERROR(--INDEX('Term investments'!$E:$E,ROW()),0)</f>
        <v/>
      </c>
      <c r="F1890">
        <f>IFERROR(--INDEX('Term investments'!$F:$F,ROW()),0)</f>
        <v/>
      </c>
      <c r="G1890">
        <f>IFERROR(IF(--INDEX('Term investments'!$G:$G,ROW())&gt;=1,--INDEX('Term investments'!$G:$G,ROW())/100,--INDEX('Term investments'!$G:$G,ROW())),0)</f>
        <v/>
      </c>
      <c r="H1890">
        <f>IFERROR(--INDEX('Term investments'!$H:$H,ROW()),0)</f>
        <v/>
      </c>
      <c r="I1890">
        <f>IF(ISNUMBER(INDEX('Term investments'!$G:$G,ROW())),1,0)</f>
        <v/>
      </c>
      <c r="J1890">
        <f>TRIM(SUBSTITUTE(INDEX('Call accounts and MMFs'!$A:$A,ROW())&amp;""," "," "))</f>
        <v/>
      </c>
      <c r="K1890">
        <f>TRIM(SUBSTITUTE(INDEX('Call accounts and MMFs'!$B:$B,ROW())&amp;""," "," "))</f>
        <v/>
      </c>
      <c r="L1890">
        <f>TRIM(SUBSTITUTE(INDEX('Call accounts and MMFs'!$C:$C,ROW())&amp;""," "," "))</f>
        <v/>
      </c>
      <c r="M1890">
        <f>IFERROR(--INDEX('Call accounts and MMFs'!$D:$D,ROW()),0)</f>
        <v/>
      </c>
      <c r="N1890">
        <f>IFERROR(IF(--INDEX('Call accounts and MMFs'!$E:$E,ROW())&gt;=1,--INDEX('Call accounts and MMFs'!$E:$E,ROW())/100,--INDEX('Call accounts and MMFs'!$E:$E,ROW())),0)</f>
        <v/>
      </c>
      <c r="O1890">
        <f>IFERROR(--INDEX('Call accounts and MMFs'!$F:$F,ROW()),0)</f>
        <v/>
      </c>
      <c r="P1890">
        <f>IF(ISNUMBER(INDEX('Call accounts and MMFs'!$E:$E,ROW())),1,0)</f>
        <v/>
      </c>
      <c r="Q1890">
        <f>TRIM(SUBSTITUTE(INDEX('Pooled funds'!$B:$B,ROW())&amp;""," "," "))</f>
        <v/>
      </c>
      <c r="R1890">
        <f>IFERROR(--INDEX('Pooled funds'!$C:$C,ROW()),0)</f>
        <v/>
      </c>
      <c r="S1890">
        <f>IFERROR(--INDEX('Pooled funds'!$D:$D,ROW()),0)</f>
        <v/>
      </c>
      <c r="T1890">
        <f>IFERROR(IF(--INDEX('Pooled funds'!$E:$E,ROW())&gt;=1,--INDEX('Pooled funds'!$E:$E,ROW())/100,--INDEX('Pooled funds'!$E:$E,ROW())),0)</f>
        <v/>
      </c>
      <c r="U1890">
        <f>IF(ISNUMBER(INDEX('Pooled funds'!$E:$E,ROW())),1,0)</f>
        <v/>
      </c>
    </row>
    <row r="1891">
      <c r="A1891">
        <f>TRIM(SUBSTITUTE(INDEX('Term investments'!$A:$A,ROW())&amp;""," "," "))</f>
        <v/>
      </c>
      <c r="B1891">
        <f>TRIM(SUBSTITUTE(INDEX('Term investments'!$B:$B,ROW())&amp;""," "," "))</f>
        <v/>
      </c>
      <c r="C1891">
        <f>TRIM(SUBSTITUTE(INDEX('Term investments'!$C:$C,ROW())&amp;""," "," "))</f>
        <v/>
      </c>
      <c r="D1891">
        <f>IFERROR(--INDEX('Term investments'!$D:$D,ROW()),0)</f>
        <v/>
      </c>
      <c r="E1891">
        <f>IFERROR(--INDEX('Term investments'!$E:$E,ROW()),0)</f>
        <v/>
      </c>
      <c r="F1891">
        <f>IFERROR(--INDEX('Term investments'!$F:$F,ROW()),0)</f>
        <v/>
      </c>
      <c r="G1891">
        <f>IFERROR(IF(--INDEX('Term investments'!$G:$G,ROW())&gt;=1,--INDEX('Term investments'!$G:$G,ROW())/100,--INDEX('Term investments'!$G:$G,ROW())),0)</f>
        <v/>
      </c>
      <c r="H1891">
        <f>IFERROR(--INDEX('Term investments'!$H:$H,ROW()),0)</f>
        <v/>
      </c>
      <c r="I1891">
        <f>IF(ISNUMBER(INDEX('Term investments'!$G:$G,ROW())),1,0)</f>
        <v/>
      </c>
      <c r="J1891">
        <f>TRIM(SUBSTITUTE(INDEX('Call accounts and MMFs'!$A:$A,ROW())&amp;""," "," "))</f>
        <v/>
      </c>
      <c r="K1891">
        <f>TRIM(SUBSTITUTE(INDEX('Call accounts and MMFs'!$B:$B,ROW())&amp;""," "," "))</f>
        <v/>
      </c>
      <c r="L1891">
        <f>TRIM(SUBSTITUTE(INDEX('Call accounts and MMFs'!$C:$C,ROW())&amp;""," "," "))</f>
        <v/>
      </c>
      <c r="M1891">
        <f>IFERROR(--INDEX('Call accounts and MMFs'!$D:$D,ROW()),0)</f>
        <v/>
      </c>
      <c r="N1891">
        <f>IFERROR(IF(--INDEX('Call accounts and MMFs'!$E:$E,ROW())&gt;=1,--INDEX('Call accounts and MMFs'!$E:$E,ROW())/100,--INDEX('Call accounts and MMFs'!$E:$E,ROW())),0)</f>
        <v/>
      </c>
      <c r="O1891">
        <f>IFERROR(--INDEX('Call accounts and MMFs'!$F:$F,ROW()),0)</f>
        <v/>
      </c>
      <c r="P1891">
        <f>IF(ISNUMBER(INDEX('Call accounts and MMFs'!$E:$E,ROW())),1,0)</f>
        <v/>
      </c>
      <c r="Q1891">
        <f>TRIM(SUBSTITUTE(INDEX('Pooled funds'!$B:$B,ROW())&amp;""," "," "))</f>
        <v/>
      </c>
      <c r="R1891">
        <f>IFERROR(--INDEX('Pooled funds'!$C:$C,ROW()),0)</f>
        <v/>
      </c>
      <c r="S1891">
        <f>IFERROR(--INDEX('Pooled funds'!$D:$D,ROW()),0)</f>
        <v/>
      </c>
      <c r="T1891">
        <f>IFERROR(IF(--INDEX('Pooled funds'!$E:$E,ROW())&gt;=1,--INDEX('Pooled funds'!$E:$E,ROW())/100,--INDEX('Pooled funds'!$E:$E,ROW())),0)</f>
        <v/>
      </c>
      <c r="U1891">
        <f>IF(ISNUMBER(INDEX('Pooled funds'!$E:$E,ROW())),1,0)</f>
        <v/>
      </c>
    </row>
    <row r="1892">
      <c r="A1892">
        <f>TRIM(SUBSTITUTE(INDEX('Term investments'!$A:$A,ROW())&amp;""," "," "))</f>
        <v/>
      </c>
      <c r="B1892">
        <f>TRIM(SUBSTITUTE(INDEX('Term investments'!$B:$B,ROW())&amp;""," "," "))</f>
        <v/>
      </c>
      <c r="C1892">
        <f>TRIM(SUBSTITUTE(INDEX('Term investments'!$C:$C,ROW())&amp;""," "," "))</f>
        <v/>
      </c>
      <c r="D1892">
        <f>IFERROR(--INDEX('Term investments'!$D:$D,ROW()),0)</f>
        <v/>
      </c>
      <c r="E1892">
        <f>IFERROR(--INDEX('Term investments'!$E:$E,ROW()),0)</f>
        <v/>
      </c>
      <c r="F1892">
        <f>IFERROR(--INDEX('Term investments'!$F:$F,ROW()),0)</f>
        <v/>
      </c>
      <c r="G1892">
        <f>IFERROR(IF(--INDEX('Term investments'!$G:$G,ROW())&gt;=1,--INDEX('Term investments'!$G:$G,ROW())/100,--INDEX('Term investments'!$G:$G,ROW())),0)</f>
        <v/>
      </c>
      <c r="H1892">
        <f>IFERROR(--INDEX('Term investments'!$H:$H,ROW()),0)</f>
        <v/>
      </c>
      <c r="I1892">
        <f>IF(ISNUMBER(INDEX('Term investments'!$G:$G,ROW())),1,0)</f>
        <v/>
      </c>
      <c r="J1892">
        <f>TRIM(SUBSTITUTE(INDEX('Call accounts and MMFs'!$A:$A,ROW())&amp;""," "," "))</f>
        <v/>
      </c>
      <c r="K1892">
        <f>TRIM(SUBSTITUTE(INDEX('Call accounts and MMFs'!$B:$B,ROW())&amp;""," "," "))</f>
        <v/>
      </c>
      <c r="L1892">
        <f>TRIM(SUBSTITUTE(INDEX('Call accounts and MMFs'!$C:$C,ROW())&amp;""," "," "))</f>
        <v/>
      </c>
      <c r="M1892">
        <f>IFERROR(--INDEX('Call accounts and MMFs'!$D:$D,ROW()),0)</f>
        <v/>
      </c>
      <c r="N1892">
        <f>IFERROR(IF(--INDEX('Call accounts and MMFs'!$E:$E,ROW())&gt;=1,--INDEX('Call accounts and MMFs'!$E:$E,ROW())/100,--INDEX('Call accounts and MMFs'!$E:$E,ROW())),0)</f>
        <v/>
      </c>
      <c r="O1892">
        <f>IFERROR(--INDEX('Call accounts and MMFs'!$F:$F,ROW()),0)</f>
        <v/>
      </c>
      <c r="P1892">
        <f>IF(ISNUMBER(INDEX('Call accounts and MMFs'!$E:$E,ROW())),1,0)</f>
        <v/>
      </c>
      <c r="Q1892">
        <f>TRIM(SUBSTITUTE(INDEX('Pooled funds'!$B:$B,ROW())&amp;""," "," "))</f>
        <v/>
      </c>
      <c r="R1892">
        <f>IFERROR(--INDEX('Pooled funds'!$C:$C,ROW()),0)</f>
        <v/>
      </c>
      <c r="S1892">
        <f>IFERROR(--INDEX('Pooled funds'!$D:$D,ROW()),0)</f>
        <v/>
      </c>
      <c r="T1892">
        <f>IFERROR(IF(--INDEX('Pooled funds'!$E:$E,ROW())&gt;=1,--INDEX('Pooled funds'!$E:$E,ROW())/100,--INDEX('Pooled funds'!$E:$E,ROW())),0)</f>
        <v/>
      </c>
      <c r="U1892">
        <f>IF(ISNUMBER(INDEX('Pooled funds'!$E:$E,ROW())),1,0)</f>
        <v/>
      </c>
    </row>
    <row r="1893">
      <c r="A1893">
        <f>TRIM(SUBSTITUTE(INDEX('Term investments'!$A:$A,ROW())&amp;""," "," "))</f>
        <v/>
      </c>
      <c r="B1893">
        <f>TRIM(SUBSTITUTE(INDEX('Term investments'!$B:$B,ROW())&amp;""," "," "))</f>
        <v/>
      </c>
      <c r="C1893">
        <f>TRIM(SUBSTITUTE(INDEX('Term investments'!$C:$C,ROW())&amp;""," "," "))</f>
        <v/>
      </c>
      <c r="D1893">
        <f>IFERROR(--INDEX('Term investments'!$D:$D,ROW()),0)</f>
        <v/>
      </c>
      <c r="E1893">
        <f>IFERROR(--INDEX('Term investments'!$E:$E,ROW()),0)</f>
        <v/>
      </c>
      <c r="F1893">
        <f>IFERROR(--INDEX('Term investments'!$F:$F,ROW()),0)</f>
        <v/>
      </c>
      <c r="G1893">
        <f>IFERROR(IF(--INDEX('Term investments'!$G:$G,ROW())&gt;=1,--INDEX('Term investments'!$G:$G,ROW())/100,--INDEX('Term investments'!$G:$G,ROW())),0)</f>
        <v/>
      </c>
      <c r="H1893">
        <f>IFERROR(--INDEX('Term investments'!$H:$H,ROW()),0)</f>
        <v/>
      </c>
      <c r="I1893">
        <f>IF(ISNUMBER(INDEX('Term investments'!$G:$G,ROW())),1,0)</f>
        <v/>
      </c>
      <c r="J1893">
        <f>TRIM(SUBSTITUTE(INDEX('Call accounts and MMFs'!$A:$A,ROW())&amp;""," "," "))</f>
        <v/>
      </c>
      <c r="K1893">
        <f>TRIM(SUBSTITUTE(INDEX('Call accounts and MMFs'!$B:$B,ROW())&amp;""," "," "))</f>
        <v/>
      </c>
      <c r="L1893">
        <f>TRIM(SUBSTITUTE(INDEX('Call accounts and MMFs'!$C:$C,ROW())&amp;""," "," "))</f>
        <v/>
      </c>
      <c r="M1893">
        <f>IFERROR(--INDEX('Call accounts and MMFs'!$D:$D,ROW()),0)</f>
        <v/>
      </c>
      <c r="N1893">
        <f>IFERROR(IF(--INDEX('Call accounts and MMFs'!$E:$E,ROW())&gt;=1,--INDEX('Call accounts and MMFs'!$E:$E,ROW())/100,--INDEX('Call accounts and MMFs'!$E:$E,ROW())),0)</f>
        <v/>
      </c>
      <c r="O1893">
        <f>IFERROR(--INDEX('Call accounts and MMFs'!$F:$F,ROW()),0)</f>
        <v/>
      </c>
      <c r="P1893">
        <f>IF(ISNUMBER(INDEX('Call accounts and MMFs'!$E:$E,ROW())),1,0)</f>
        <v/>
      </c>
      <c r="Q1893">
        <f>TRIM(SUBSTITUTE(INDEX('Pooled funds'!$B:$B,ROW())&amp;""," "," "))</f>
        <v/>
      </c>
      <c r="R1893">
        <f>IFERROR(--INDEX('Pooled funds'!$C:$C,ROW()),0)</f>
        <v/>
      </c>
      <c r="S1893">
        <f>IFERROR(--INDEX('Pooled funds'!$D:$D,ROW()),0)</f>
        <v/>
      </c>
      <c r="T1893">
        <f>IFERROR(IF(--INDEX('Pooled funds'!$E:$E,ROW())&gt;=1,--INDEX('Pooled funds'!$E:$E,ROW())/100,--INDEX('Pooled funds'!$E:$E,ROW())),0)</f>
        <v/>
      </c>
      <c r="U1893">
        <f>IF(ISNUMBER(INDEX('Pooled funds'!$E:$E,ROW())),1,0)</f>
        <v/>
      </c>
    </row>
    <row r="1894">
      <c r="A1894">
        <f>TRIM(SUBSTITUTE(INDEX('Term investments'!$A:$A,ROW())&amp;""," "," "))</f>
        <v/>
      </c>
      <c r="B1894">
        <f>TRIM(SUBSTITUTE(INDEX('Term investments'!$B:$B,ROW())&amp;""," "," "))</f>
        <v/>
      </c>
      <c r="C1894">
        <f>TRIM(SUBSTITUTE(INDEX('Term investments'!$C:$C,ROW())&amp;""," "," "))</f>
        <v/>
      </c>
      <c r="D1894">
        <f>IFERROR(--INDEX('Term investments'!$D:$D,ROW()),0)</f>
        <v/>
      </c>
      <c r="E1894">
        <f>IFERROR(--INDEX('Term investments'!$E:$E,ROW()),0)</f>
        <v/>
      </c>
      <c r="F1894">
        <f>IFERROR(--INDEX('Term investments'!$F:$F,ROW()),0)</f>
        <v/>
      </c>
      <c r="G1894">
        <f>IFERROR(IF(--INDEX('Term investments'!$G:$G,ROW())&gt;=1,--INDEX('Term investments'!$G:$G,ROW())/100,--INDEX('Term investments'!$G:$G,ROW())),0)</f>
        <v/>
      </c>
      <c r="H1894">
        <f>IFERROR(--INDEX('Term investments'!$H:$H,ROW()),0)</f>
        <v/>
      </c>
      <c r="I1894">
        <f>IF(ISNUMBER(INDEX('Term investments'!$G:$G,ROW())),1,0)</f>
        <v/>
      </c>
      <c r="J1894">
        <f>TRIM(SUBSTITUTE(INDEX('Call accounts and MMFs'!$A:$A,ROW())&amp;""," "," "))</f>
        <v/>
      </c>
      <c r="K1894">
        <f>TRIM(SUBSTITUTE(INDEX('Call accounts and MMFs'!$B:$B,ROW())&amp;""," "," "))</f>
        <v/>
      </c>
      <c r="L1894">
        <f>TRIM(SUBSTITUTE(INDEX('Call accounts and MMFs'!$C:$C,ROW())&amp;""," "," "))</f>
        <v/>
      </c>
      <c r="M1894">
        <f>IFERROR(--INDEX('Call accounts and MMFs'!$D:$D,ROW()),0)</f>
        <v/>
      </c>
      <c r="N1894">
        <f>IFERROR(IF(--INDEX('Call accounts and MMFs'!$E:$E,ROW())&gt;=1,--INDEX('Call accounts and MMFs'!$E:$E,ROW())/100,--INDEX('Call accounts and MMFs'!$E:$E,ROW())),0)</f>
        <v/>
      </c>
      <c r="O1894">
        <f>IFERROR(--INDEX('Call accounts and MMFs'!$F:$F,ROW()),0)</f>
        <v/>
      </c>
      <c r="P1894">
        <f>IF(ISNUMBER(INDEX('Call accounts and MMFs'!$E:$E,ROW())),1,0)</f>
        <v/>
      </c>
      <c r="Q1894">
        <f>TRIM(SUBSTITUTE(INDEX('Pooled funds'!$B:$B,ROW())&amp;""," "," "))</f>
        <v/>
      </c>
      <c r="R1894">
        <f>IFERROR(--INDEX('Pooled funds'!$C:$C,ROW()),0)</f>
        <v/>
      </c>
      <c r="S1894">
        <f>IFERROR(--INDEX('Pooled funds'!$D:$D,ROW()),0)</f>
        <v/>
      </c>
      <c r="T1894">
        <f>IFERROR(IF(--INDEX('Pooled funds'!$E:$E,ROW())&gt;=1,--INDEX('Pooled funds'!$E:$E,ROW())/100,--INDEX('Pooled funds'!$E:$E,ROW())),0)</f>
        <v/>
      </c>
      <c r="U1894">
        <f>IF(ISNUMBER(INDEX('Pooled funds'!$E:$E,ROW())),1,0)</f>
        <v/>
      </c>
    </row>
    <row r="1895">
      <c r="A1895">
        <f>TRIM(SUBSTITUTE(INDEX('Term investments'!$A:$A,ROW())&amp;""," "," "))</f>
        <v/>
      </c>
      <c r="B1895">
        <f>TRIM(SUBSTITUTE(INDEX('Term investments'!$B:$B,ROW())&amp;""," "," "))</f>
        <v/>
      </c>
      <c r="C1895">
        <f>TRIM(SUBSTITUTE(INDEX('Term investments'!$C:$C,ROW())&amp;""," "," "))</f>
        <v/>
      </c>
      <c r="D1895">
        <f>IFERROR(--INDEX('Term investments'!$D:$D,ROW()),0)</f>
        <v/>
      </c>
      <c r="E1895">
        <f>IFERROR(--INDEX('Term investments'!$E:$E,ROW()),0)</f>
        <v/>
      </c>
      <c r="F1895">
        <f>IFERROR(--INDEX('Term investments'!$F:$F,ROW()),0)</f>
        <v/>
      </c>
      <c r="G1895">
        <f>IFERROR(IF(--INDEX('Term investments'!$G:$G,ROW())&gt;=1,--INDEX('Term investments'!$G:$G,ROW())/100,--INDEX('Term investments'!$G:$G,ROW())),0)</f>
        <v/>
      </c>
      <c r="H1895">
        <f>IFERROR(--INDEX('Term investments'!$H:$H,ROW()),0)</f>
        <v/>
      </c>
      <c r="I1895">
        <f>IF(ISNUMBER(INDEX('Term investments'!$G:$G,ROW())),1,0)</f>
        <v/>
      </c>
      <c r="J1895">
        <f>TRIM(SUBSTITUTE(INDEX('Call accounts and MMFs'!$A:$A,ROW())&amp;""," "," "))</f>
        <v/>
      </c>
      <c r="K1895">
        <f>TRIM(SUBSTITUTE(INDEX('Call accounts and MMFs'!$B:$B,ROW())&amp;""," "," "))</f>
        <v/>
      </c>
      <c r="L1895">
        <f>TRIM(SUBSTITUTE(INDEX('Call accounts and MMFs'!$C:$C,ROW())&amp;""," "," "))</f>
        <v/>
      </c>
      <c r="M1895">
        <f>IFERROR(--INDEX('Call accounts and MMFs'!$D:$D,ROW()),0)</f>
        <v/>
      </c>
      <c r="N1895">
        <f>IFERROR(IF(--INDEX('Call accounts and MMFs'!$E:$E,ROW())&gt;=1,--INDEX('Call accounts and MMFs'!$E:$E,ROW())/100,--INDEX('Call accounts and MMFs'!$E:$E,ROW())),0)</f>
        <v/>
      </c>
      <c r="O1895">
        <f>IFERROR(--INDEX('Call accounts and MMFs'!$F:$F,ROW()),0)</f>
        <v/>
      </c>
      <c r="P1895">
        <f>IF(ISNUMBER(INDEX('Call accounts and MMFs'!$E:$E,ROW())),1,0)</f>
        <v/>
      </c>
      <c r="Q1895">
        <f>TRIM(SUBSTITUTE(INDEX('Pooled funds'!$B:$B,ROW())&amp;""," "," "))</f>
        <v/>
      </c>
      <c r="R1895">
        <f>IFERROR(--INDEX('Pooled funds'!$C:$C,ROW()),0)</f>
        <v/>
      </c>
      <c r="S1895">
        <f>IFERROR(--INDEX('Pooled funds'!$D:$D,ROW()),0)</f>
        <v/>
      </c>
      <c r="T1895">
        <f>IFERROR(IF(--INDEX('Pooled funds'!$E:$E,ROW())&gt;=1,--INDEX('Pooled funds'!$E:$E,ROW())/100,--INDEX('Pooled funds'!$E:$E,ROW())),0)</f>
        <v/>
      </c>
      <c r="U1895">
        <f>IF(ISNUMBER(INDEX('Pooled funds'!$E:$E,ROW())),1,0)</f>
        <v/>
      </c>
    </row>
    <row r="1896">
      <c r="A1896">
        <f>TRIM(SUBSTITUTE(INDEX('Term investments'!$A:$A,ROW())&amp;""," "," "))</f>
        <v/>
      </c>
      <c r="B1896">
        <f>TRIM(SUBSTITUTE(INDEX('Term investments'!$B:$B,ROW())&amp;""," "," "))</f>
        <v/>
      </c>
      <c r="C1896">
        <f>TRIM(SUBSTITUTE(INDEX('Term investments'!$C:$C,ROW())&amp;""," "," "))</f>
        <v/>
      </c>
      <c r="D1896">
        <f>IFERROR(--INDEX('Term investments'!$D:$D,ROW()),0)</f>
        <v/>
      </c>
      <c r="E1896">
        <f>IFERROR(--INDEX('Term investments'!$E:$E,ROW()),0)</f>
        <v/>
      </c>
      <c r="F1896">
        <f>IFERROR(--INDEX('Term investments'!$F:$F,ROW()),0)</f>
        <v/>
      </c>
      <c r="G1896">
        <f>IFERROR(IF(--INDEX('Term investments'!$G:$G,ROW())&gt;=1,--INDEX('Term investments'!$G:$G,ROW())/100,--INDEX('Term investments'!$G:$G,ROW())),0)</f>
        <v/>
      </c>
      <c r="H1896">
        <f>IFERROR(--INDEX('Term investments'!$H:$H,ROW()),0)</f>
        <v/>
      </c>
      <c r="I1896">
        <f>IF(ISNUMBER(INDEX('Term investments'!$G:$G,ROW())),1,0)</f>
        <v/>
      </c>
      <c r="J1896">
        <f>TRIM(SUBSTITUTE(INDEX('Call accounts and MMFs'!$A:$A,ROW())&amp;""," "," "))</f>
        <v/>
      </c>
      <c r="K1896">
        <f>TRIM(SUBSTITUTE(INDEX('Call accounts and MMFs'!$B:$B,ROW())&amp;""," "," "))</f>
        <v/>
      </c>
      <c r="L1896">
        <f>TRIM(SUBSTITUTE(INDEX('Call accounts and MMFs'!$C:$C,ROW())&amp;""," "," "))</f>
        <v/>
      </c>
      <c r="M1896">
        <f>IFERROR(--INDEX('Call accounts and MMFs'!$D:$D,ROW()),0)</f>
        <v/>
      </c>
      <c r="N1896">
        <f>IFERROR(IF(--INDEX('Call accounts and MMFs'!$E:$E,ROW())&gt;=1,--INDEX('Call accounts and MMFs'!$E:$E,ROW())/100,--INDEX('Call accounts and MMFs'!$E:$E,ROW())),0)</f>
        <v/>
      </c>
      <c r="O1896">
        <f>IFERROR(--INDEX('Call accounts and MMFs'!$F:$F,ROW()),0)</f>
        <v/>
      </c>
      <c r="P1896">
        <f>IF(ISNUMBER(INDEX('Call accounts and MMFs'!$E:$E,ROW())),1,0)</f>
        <v/>
      </c>
      <c r="Q1896">
        <f>TRIM(SUBSTITUTE(INDEX('Pooled funds'!$B:$B,ROW())&amp;""," "," "))</f>
        <v/>
      </c>
      <c r="R1896">
        <f>IFERROR(--INDEX('Pooled funds'!$C:$C,ROW()),0)</f>
        <v/>
      </c>
      <c r="S1896">
        <f>IFERROR(--INDEX('Pooled funds'!$D:$D,ROW()),0)</f>
        <v/>
      </c>
      <c r="T1896">
        <f>IFERROR(IF(--INDEX('Pooled funds'!$E:$E,ROW())&gt;=1,--INDEX('Pooled funds'!$E:$E,ROW())/100,--INDEX('Pooled funds'!$E:$E,ROW())),0)</f>
        <v/>
      </c>
      <c r="U1896">
        <f>IF(ISNUMBER(INDEX('Pooled funds'!$E:$E,ROW())),1,0)</f>
        <v/>
      </c>
    </row>
    <row r="1897">
      <c r="A1897">
        <f>TRIM(SUBSTITUTE(INDEX('Term investments'!$A:$A,ROW())&amp;""," "," "))</f>
        <v/>
      </c>
      <c r="B1897">
        <f>TRIM(SUBSTITUTE(INDEX('Term investments'!$B:$B,ROW())&amp;""," "," "))</f>
        <v/>
      </c>
      <c r="C1897">
        <f>TRIM(SUBSTITUTE(INDEX('Term investments'!$C:$C,ROW())&amp;""," "," "))</f>
        <v/>
      </c>
      <c r="D1897">
        <f>IFERROR(--INDEX('Term investments'!$D:$D,ROW()),0)</f>
        <v/>
      </c>
      <c r="E1897">
        <f>IFERROR(--INDEX('Term investments'!$E:$E,ROW()),0)</f>
        <v/>
      </c>
      <c r="F1897">
        <f>IFERROR(--INDEX('Term investments'!$F:$F,ROW()),0)</f>
        <v/>
      </c>
      <c r="G1897">
        <f>IFERROR(IF(--INDEX('Term investments'!$G:$G,ROW())&gt;=1,--INDEX('Term investments'!$G:$G,ROW())/100,--INDEX('Term investments'!$G:$G,ROW())),0)</f>
        <v/>
      </c>
      <c r="H1897">
        <f>IFERROR(--INDEX('Term investments'!$H:$H,ROW()),0)</f>
        <v/>
      </c>
      <c r="I1897">
        <f>IF(ISNUMBER(INDEX('Term investments'!$G:$G,ROW())),1,0)</f>
        <v/>
      </c>
      <c r="J1897">
        <f>TRIM(SUBSTITUTE(INDEX('Call accounts and MMFs'!$A:$A,ROW())&amp;""," "," "))</f>
        <v/>
      </c>
      <c r="K1897">
        <f>TRIM(SUBSTITUTE(INDEX('Call accounts and MMFs'!$B:$B,ROW())&amp;""," "," "))</f>
        <v/>
      </c>
      <c r="L1897">
        <f>TRIM(SUBSTITUTE(INDEX('Call accounts and MMFs'!$C:$C,ROW())&amp;""," "," "))</f>
        <v/>
      </c>
      <c r="M1897">
        <f>IFERROR(--INDEX('Call accounts and MMFs'!$D:$D,ROW()),0)</f>
        <v/>
      </c>
      <c r="N1897">
        <f>IFERROR(IF(--INDEX('Call accounts and MMFs'!$E:$E,ROW())&gt;=1,--INDEX('Call accounts and MMFs'!$E:$E,ROW())/100,--INDEX('Call accounts and MMFs'!$E:$E,ROW())),0)</f>
        <v/>
      </c>
      <c r="O1897">
        <f>IFERROR(--INDEX('Call accounts and MMFs'!$F:$F,ROW()),0)</f>
        <v/>
      </c>
      <c r="P1897">
        <f>IF(ISNUMBER(INDEX('Call accounts and MMFs'!$E:$E,ROW())),1,0)</f>
        <v/>
      </c>
      <c r="Q1897">
        <f>TRIM(SUBSTITUTE(INDEX('Pooled funds'!$B:$B,ROW())&amp;""," "," "))</f>
        <v/>
      </c>
      <c r="R1897">
        <f>IFERROR(--INDEX('Pooled funds'!$C:$C,ROW()),0)</f>
        <v/>
      </c>
      <c r="S1897">
        <f>IFERROR(--INDEX('Pooled funds'!$D:$D,ROW()),0)</f>
        <v/>
      </c>
      <c r="T1897">
        <f>IFERROR(IF(--INDEX('Pooled funds'!$E:$E,ROW())&gt;=1,--INDEX('Pooled funds'!$E:$E,ROW())/100,--INDEX('Pooled funds'!$E:$E,ROW())),0)</f>
        <v/>
      </c>
      <c r="U1897">
        <f>IF(ISNUMBER(INDEX('Pooled funds'!$E:$E,ROW())),1,0)</f>
        <v/>
      </c>
    </row>
    <row r="1898">
      <c r="A1898">
        <f>TRIM(SUBSTITUTE(INDEX('Term investments'!$A:$A,ROW())&amp;""," "," "))</f>
        <v/>
      </c>
      <c r="B1898">
        <f>TRIM(SUBSTITUTE(INDEX('Term investments'!$B:$B,ROW())&amp;""," "," "))</f>
        <v/>
      </c>
      <c r="C1898">
        <f>TRIM(SUBSTITUTE(INDEX('Term investments'!$C:$C,ROW())&amp;""," "," "))</f>
        <v/>
      </c>
      <c r="D1898">
        <f>IFERROR(--INDEX('Term investments'!$D:$D,ROW()),0)</f>
        <v/>
      </c>
      <c r="E1898">
        <f>IFERROR(--INDEX('Term investments'!$E:$E,ROW()),0)</f>
        <v/>
      </c>
      <c r="F1898">
        <f>IFERROR(--INDEX('Term investments'!$F:$F,ROW()),0)</f>
        <v/>
      </c>
      <c r="G1898">
        <f>IFERROR(IF(--INDEX('Term investments'!$G:$G,ROW())&gt;=1,--INDEX('Term investments'!$G:$G,ROW())/100,--INDEX('Term investments'!$G:$G,ROW())),0)</f>
        <v/>
      </c>
      <c r="H1898">
        <f>IFERROR(--INDEX('Term investments'!$H:$H,ROW()),0)</f>
        <v/>
      </c>
      <c r="I1898">
        <f>IF(ISNUMBER(INDEX('Term investments'!$G:$G,ROW())),1,0)</f>
        <v/>
      </c>
      <c r="J1898">
        <f>TRIM(SUBSTITUTE(INDEX('Call accounts and MMFs'!$A:$A,ROW())&amp;""," "," "))</f>
        <v/>
      </c>
      <c r="K1898">
        <f>TRIM(SUBSTITUTE(INDEX('Call accounts and MMFs'!$B:$B,ROW())&amp;""," "," "))</f>
        <v/>
      </c>
      <c r="L1898">
        <f>TRIM(SUBSTITUTE(INDEX('Call accounts and MMFs'!$C:$C,ROW())&amp;""," "," "))</f>
        <v/>
      </c>
      <c r="M1898">
        <f>IFERROR(--INDEX('Call accounts and MMFs'!$D:$D,ROW()),0)</f>
        <v/>
      </c>
      <c r="N1898">
        <f>IFERROR(IF(--INDEX('Call accounts and MMFs'!$E:$E,ROW())&gt;=1,--INDEX('Call accounts and MMFs'!$E:$E,ROW())/100,--INDEX('Call accounts and MMFs'!$E:$E,ROW())),0)</f>
        <v/>
      </c>
      <c r="O1898">
        <f>IFERROR(--INDEX('Call accounts and MMFs'!$F:$F,ROW()),0)</f>
        <v/>
      </c>
      <c r="P1898">
        <f>IF(ISNUMBER(INDEX('Call accounts and MMFs'!$E:$E,ROW())),1,0)</f>
        <v/>
      </c>
      <c r="Q1898">
        <f>TRIM(SUBSTITUTE(INDEX('Pooled funds'!$B:$B,ROW())&amp;""," "," "))</f>
        <v/>
      </c>
      <c r="R1898">
        <f>IFERROR(--INDEX('Pooled funds'!$C:$C,ROW()),0)</f>
        <v/>
      </c>
      <c r="S1898">
        <f>IFERROR(--INDEX('Pooled funds'!$D:$D,ROW()),0)</f>
        <v/>
      </c>
      <c r="T1898">
        <f>IFERROR(IF(--INDEX('Pooled funds'!$E:$E,ROW())&gt;=1,--INDEX('Pooled funds'!$E:$E,ROW())/100,--INDEX('Pooled funds'!$E:$E,ROW())),0)</f>
        <v/>
      </c>
      <c r="U1898">
        <f>IF(ISNUMBER(INDEX('Pooled funds'!$E:$E,ROW())),1,0)</f>
        <v/>
      </c>
    </row>
    <row r="1899">
      <c r="A1899">
        <f>TRIM(SUBSTITUTE(INDEX('Term investments'!$A:$A,ROW())&amp;""," "," "))</f>
        <v/>
      </c>
      <c r="B1899">
        <f>TRIM(SUBSTITUTE(INDEX('Term investments'!$B:$B,ROW())&amp;""," "," "))</f>
        <v/>
      </c>
      <c r="C1899">
        <f>TRIM(SUBSTITUTE(INDEX('Term investments'!$C:$C,ROW())&amp;""," "," "))</f>
        <v/>
      </c>
      <c r="D1899">
        <f>IFERROR(--INDEX('Term investments'!$D:$D,ROW()),0)</f>
        <v/>
      </c>
      <c r="E1899">
        <f>IFERROR(--INDEX('Term investments'!$E:$E,ROW()),0)</f>
        <v/>
      </c>
      <c r="F1899">
        <f>IFERROR(--INDEX('Term investments'!$F:$F,ROW()),0)</f>
        <v/>
      </c>
      <c r="G1899">
        <f>IFERROR(IF(--INDEX('Term investments'!$G:$G,ROW())&gt;=1,--INDEX('Term investments'!$G:$G,ROW())/100,--INDEX('Term investments'!$G:$G,ROW())),0)</f>
        <v/>
      </c>
      <c r="H1899">
        <f>IFERROR(--INDEX('Term investments'!$H:$H,ROW()),0)</f>
        <v/>
      </c>
      <c r="I1899">
        <f>IF(ISNUMBER(INDEX('Term investments'!$G:$G,ROW())),1,0)</f>
        <v/>
      </c>
      <c r="J1899">
        <f>TRIM(SUBSTITUTE(INDEX('Call accounts and MMFs'!$A:$A,ROW())&amp;""," "," "))</f>
        <v/>
      </c>
      <c r="K1899">
        <f>TRIM(SUBSTITUTE(INDEX('Call accounts and MMFs'!$B:$B,ROW())&amp;""," "," "))</f>
        <v/>
      </c>
      <c r="L1899">
        <f>TRIM(SUBSTITUTE(INDEX('Call accounts and MMFs'!$C:$C,ROW())&amp;""," "," "))</f>
        <v/>
      </c>
      <c r="M1899">
        <f>IFERROR(--INDEX('Call accounts and MMFs'!$D:$D,ROW()),0)</f>
        <v/>
      </c>
      <c r="N1899">
        <f>IFERROR(IF(--INDEX('Call accounts and MMFs'!$E:$E,ROW())&gt;=1,--INDEX('Call accounts and MMFs'!$E:$E,ROW())/100,--INDEX('Call accounts and MMFs'!$E:$E,ROW())),0)</f>
        <v/>
      </c>
      <c r="O1899">
        <f>IFERROR(--INDEX('Call accounts and MMFs'!$F:$F,ROW()),0)</f>
        <v/>
      </c>
      <c r="P1899">
        <f>IF(ISNUMBER(INDEX('Call accounts and MMFs'!$E:$E,ROW())),1,0)</f>
        <v/>
      </c>
      <c r="Q1899">
        <f>TRIM(SUBSTITUTE(INDEX('Pooled funds'!$B:$B,ROW())&amp;""," "," "))</f>
        <v/>
      </c>
      <c r="R1899">
        <f>IFERROR(--INDEX('Pooled funds'!$C:$C,ROW()),0)</f>
        <v/>
      </c>
      <c r="S1899">
        <f>IFERROR(--INDEX('Pooled funds'!$D:$D,ROW()),0)</f>
        <v/>
      </c>
      <c r="T1899">
        <f>IFERROR(IF(--INDEX('Pooled funds'!$E:$E,ROW())&gt;=1,--INDEX('Pooled funds'!$E:$E,ROW())/100,--INDEX('Pooled funds'!$E:$E,ROW())),0)</f>
        <v/>
      </c>
      <c r="U1899">
        <f>IF(ISNUMBER(INDEX('Pooled funds'!$E:$E,ROW())),1,0)</f>
        <v/>
      </c>
    </row>
    <row r="1900">
      <c r="A1900">
        <f>TRIM(SUBSTITUTE(INDEX('Term investments'!$A:$A,ROW())&amp;""," "," "))</f>
        <v/>
      </c>
      <c r="B1900">
        <f>TRIM(SUBSTITUTE(INDEX('Term investments'!$B:$B,ROW())&amp;""," "," "))</f>
        <v/>
      </c>
      <c r="C1900">
        <f>TRIM(SUBSTITUTE(INDEX('Term investments'!$C:$C,ROW())&amp;""," "," "))</f>
        <v/>
      </c>
      <c r="D1900">
        <f>IFERROR(--INDEX('Term investments'!$D:$D,ROW()),0)</f>
        <v/>
      </c>
      <c r="E1900">
        <f>IFERROR(--INDEX('Term investments'!$E:$E,ROW()),0)</f>
        <v/>
      </c>
      <c r="F1900">
        <f>IFERROR(--INDEX('Term investments'!$F:$F,ROW()),0)</f>
        <v/>
      </c>
      <c r="G1900">
        <f>IFERROR(IF(--INDEX('Term investments'!$G:$G,ROW())&gt;=1,--INDEX('Term investments'!$G:$G,ROW())/100,--INDEX('Term investments'!$G:$G,ROW())),0)</f>
        <v/>
      </c>
      <c r="H1900">
        <f>IFERROR(--INDEX('Term investments'!$H:$H,ROW()),0)</f>
        <v/>
      </c>
      <c r="I1900">
        <f>IF(ISNUMBER(INDEX('Term investments'!$G:$G,ROW())),1,0)</f>
        <v/>
      </c>
      <c r="J1900">
        <f>TRIM(SUBSTITUTE(INDEX('Call accounts and MMFs'!$A:$A,ROW())&amp;""," "," "))</f>
        <v/>
      </c>
      <c r="K1900">
        <f>TRIM(SUBSTITUTE(INDEX('Call accounts and MMFs'!$B:$B,ROW())&amp;""," "," "))</f>
        <v/>
      </c>
      <c r="L1900">
        <f>TRIM(SUBSTITUTE(INDEX('Call accounts and MMFs'!$C:$C,ROW())&amp;""," "," "))</f>
        <v/>
      </c>
      <c r="M1900">
        <f>IFERROR(--INDEX('Call accounts and MMFs'!$D:$D,ROW()),0)</f>
        <v/>
      </c>
      <c r="N1900">
        <f>IFERROR(IF(--INDEX('Call accounts and MMFs'!$E:$E,ROW())&gt;=1,--INDEX('Call accounts and MMFs'!$E:$E,ROW())/100,--INDEX('Call accounts and MMFs'!$E:$E,ROW())),0)</f>
        <v/>
      </c>
      <c r="O1900">
        <f>IFERROR(--INDEX('Call accounts and MMFs'!$F:$F,ROW()),0)</f>
        <v/>
      </c>
      <c r="P1900">
        <f>IF(ISNUMBER(INDEX('Call accounts and MMFs'!$E:$E,ROW())),1,0)</f>
        <v/>
      </c>
      <c r="Q1900">
        <f>TRIM(SUBSTITUTE(INDEX('Pooled funds'!$B:$B,ROW())&amp;""," "," "))</f>
        <v/>
      </c>
      <c r="R1900">
        <f>IFERROR(--INDEX('Pooled funds'!$C:$C,ROW()),0)</f>
        <v/>
      </c>
      <c r="S1900">
        <f>IFERROR(--INDEX('Pooled funds'!$D:$D,ROW()),0)</f>
        <v/>
      </c>
      <c r="T1900">
        <f>IFERROR(IF(--INDEX('Pooled funds'!$E:$E,ROW())&gt;=1,--INDEX('Pooled funds'!$E:$E,ROW())/100,--INDEX('Pooled funds'!$E:$E,ROW())),0)</f>
        <v/>
      </c>
      <c r="U1900">
        <f>IF(ISNUMBER(INDEX('Pooled funds'!$E:$E,ROW())),1,0)</f>
        <v/>
      </c>
    </row>
    <row r="1901">
      <c r="A1901">
        <f>TRIM(SUBSTITUTE(INDEX('Term investments'!$A:$A,ROW())&amp;""," "," "))</f>
        <v/>
      </c>
      <c r="B1901">
        <f>TRIM(SUBSTITUTE(INDEX('Term investments'!$B:$B,ROW())&amp;""," "," "))</f>
        <v/>
      </c>
      <c r="C1901">
        <f>TRIM(SUBSTITUTE(INDEX('Term investments'!$C:$C,ROW())&amp;""," "," "))</f>
        <v/>
      </c>
      <c r="D1901">
        <f>IFERROR(--INDEX('Term investments'!$D:$D,ROW()),0)</f>
        <v/>
      </c>
      <c r="E1901">
        <f>IFERROR(--INDEX('Term investments'!$E:$E,ROW()),0)</f>
        <v/>
      </c>
      <c r="F1901">
        <f>IFERROR(--INDEX('Term investments'!$F:$F,ROW()),0)</f>
        <v/>
      </c>
      <c r="G1901">
        <f>IFERROR(IF(--INDEX('Term investments'!$G:$G,ROW())&gt;=1,--INDEX('Term investments'!$G:$G,ROW())/100,--INDEX('Term investments'!$G:$G,ROW())),0)</f>
        <v/>
      </c>
      <c r="H1901">
        <f>IFERROR(--INDEX('Term investments'!$H:$H,ROW()),0)</f>
        <v/>
      </c>
      <c r="I1901">
        <f>IF(ISNUMBER(INDEX('Term investments'!$G:$G,ROW())),1,0)</f>
        <v/>
      </c>
      <c r="J1901">
        <f>TRIM(SUBSTITUTE(INDEX('Call accounts and MMFs'!$A:$A,ROW())&amp;""," "," "))</f>
        <v/>
      </c>
      <c r="K1901">
        <f>TRIM(SUBSTITUTE(INDEX('Call accounts and MMFs'!$B:$B,ROW())&amp;""," "," "))</f>
        <v/>
      </c>
      <c r="L1901">
        <f>TRIM(SUBSTITUTE(INDEX('Call accounts and MMFs'!$C:$C,ROW())&amp;""," "," "))</f>
        <v/>
      </c>
      <c r="M1901">
        <f>IFERROR(--INDEX('Call accounts and MMFs'!$D:$D,ROW()),0)</f>
        <v/>
      </c>
      <c r="N1901">
        <f>IFERROR(IF(--INDEX('Call accounts and MMFs'!$E:$E,ROW())&gt;=1,--INDEX('Call accounts and MMFs'!$E:$E,ROW())/100,--INDEX('Call accounts and MMFs'!$E:$E,ROW())),0)</f>
        <v/>
      </c>
      <c r="O1901">
        <f>IFERROR(--INDEX('Call accounts and MMFs'!$F:$F,ROW()),0)</f>
        <v/>
      </c>
      <c r="P1901">
        <f>IF(ISNUMBER(INDEX('Call accounts and MMFs'!$E:$E,ROW())),1,0)</f>
        <v/>
      </c>
      <c r="Q1901">
        <f>TRIM(SUBSTITUTE(INDEX('Pooled funds'!$B:$B,ROW())&amp;""," "," "))</f>
        <v/>
      </c>
      <c r="R1901">
        <f>IFERROR(--INDEX('Pooled funds'!$C:$C,ROW()),0)</f>
        <v/>
      </c>
      <c r="S1901">
        <f>IFERROR(--INDEX('Pooled funds'!$D:$D,ROW()),0)</f>
        <v/>
      </c>
      <c r="T1901">
        <f>IFERROR(IF(--INDEX('Pooled funds'!$E:$E,ROW())&gt;=1,--INDEX('Pooled funds'!$E:$E,ROW())/100,--INDEX('Pooled funds'!$E:$E,ROW())),0)</f>
        <v/>
      </c>
      <c r="U1901">
        <f>IF(ISNUMBER(INDEX('Pooled funds'!$E:$E,ROW())),1,0)</f>
        <v/>
      </c>
    </row>
    <row r="1902">
      <c r="A1902">
        <f>TRIM(SUBSTITUTE(INDEX('Term investments'!$A:$A,ROW())&amp;""," "," "))</f>
        <v/>
      </c>
      <c r="B1902">
        <f>TRIM(SUBSTITUTE(INDEX('Term investments'!$B:$B,ROW())&amp;""," "," "))</f>
        <v/>
      </c>
      <c r="C1902">
        <f>TRIM(SUBSTITUTE(INDEX('Term investments'!$C:$C,ROW())&amp;""," "," "))</f>
        <v/>
      </c>
      <c r="D1902">
        <f>IFERROR(--INDEX('Term investments'!$D:$D,ROW()),0)</f>
        <v/>
      </c>
      <c r="E1902">
        <f>IFERROR(--INDEX('Term investments'!$E:$E,ROW()),0)</f>
        <v/>
      </c>
      <c r="F1902">
        <f>IFERROR(--INDEX('Term investments'!$F:$F,ROW()),0)</f>
        <v/>
      </c>
      <c r="G1902">
        <f>IFERROR(IF(--INDEX('Term investments'!$G:$G,ROW())&gt;=1,--INDEX('Term investments'!$G:$G,ROW())/100,--INDEX('Term investments'!$G:$G,ROW())),0)</f>
        <v/>
      </c>
      <c r="H1902">
        <f>IFERROR(--INDEX('Term investments'!$H:$H,ROW()),0)</f>
        <v/>
      </c>
      <c r="I1902">
        <f>IF(ISNUMBER(INDEX('Term investments'!$G:$G,ROW())),1,0)</f>
        <v/>
      </c>
      <c r="J1902">
        <f>TRIM(SUBSTITUTE(INDEX('Call accounts and MMFs'!$A:$A,ROW())&amp;""," "," "))</f>
        <v/>
      </c>
      <c r="K1902">
        <f>TRIM(SUBSTITUTE(INDEX('Call accounts and MMFs'!$B:$B,ROW())&amp;""," "," "))</f>
        <v/>
      </c>
      <c r="L1902">
        <f>TRIM(SUBSTITUTE(INDEX('Call accounts and MMFs'!$C:$C,ROW())&amp;""," "," "))</f>
        <v/>
      </c>
      <c r="M1902">
        <f>IFERROR(--INDEX('Call accounts and MMFs'!$D:$D,ROW()),0)</f>
        <v/>
      </c>
      <c r="N1902">
        <f>IFERROR(IF(--INDEX('Call accounts and MMFs'!$E:$E,ROW())&gt;=1,--INDEX('Call accounts and MMFs'!$E:$E,ROW())/100,--INDEX('Call accounts and MMFs'!$E:$E,ROW())),0)</f>
        <v/>
      </c>
      <c r="O1902">
        <f>IFERROR(--INDEX('Call accounts and MMFs'!$F:$F,ROW()),0)</f>
        <v/>
      </c>
      <c r="P1902">
        <f>IF(ISNUMBER(INDEX('Call accounts and MMFs'!$E:$E,ROW())),1,0)</f>
        <v/>
      </c>
      <c r="Q1902">
        <f>TRIM(SUBSTITUTE(INDEX('Pooled funds'!$B:$B,ROW())&amp;""," "," "))</f>
        <v/>
      </c>
      <c r="R1902">
        <f>IFERROR(--INDEX('Pooled funds'!$C:$C,ROW()),0)</f>
        <v/>
      </c>
      <c r="S1902">
        <f>IFERROR(--INDEX('Pooled funds'!$D:$D,ROW()),0)</f>
        <v/>
      </c>
      <c r="T1902">
        <f>IFERROR(IF(--INDEX('Pooled funds'!$E:$E,ROW())&gt;=1,--INDEX('Pooled funds'!$E:$E,ROW())/100,--INDEX('Pooled funds'!$E:$E,ROW())),0)</f>
        <v/>
      </c>
      <c r="U1902">
        <f>IF(ISNUMBER(INDEX('Pooled funds'!$E:$E,ROW())),1,0)</f>
        <v/>
      </c>
    </row>
    <row r="1903">
      <c r="A1903">
        <f>TRIM(SUBSTITUTE(INDEX('Term investments'!$A:$A,ROW())&amp;""," "," "))</f>
        <v/>
      </c>
      <c r="B1903">
        <f>TRIM(SUBSTITUTE(INDEX('Term investments'!$B:$B,ROW())&amp;""," "," "))</f>
        <v/>
      </c>
      <c r="C1903">
        <f>TRIM(SUBSTITUTE(INDEX('Term investments'!$C:$C,ROW())&amp;""," "," "))</f>
        <v/>
      </c>
      <c r="D1903">
        <f>IFERROR(--INDEX('Term investments'!$D:$D,ROW()),0)</f>
        <v/>
      </c>
      <c r="E1903">
        <f>IFERROR(--INDEX('Term investments'!$E:$E,ROW()),0)</f>
        <v/>
      </c>
      <c r="F1903">
        <f>IFERROR(--INDEX('Term investments'!$F:$F,ROW()),0)</f>
        <v/>
      </c>
      <c r="G1903">
        <f>IFERROR(IF(--INDEX('Term investments'!$G:$G,ROW())&gt;=1,--INDEX('Term investments'!$G:$G,ROW())/100,--INDEX('Term investments'!$G:$G,ROW())),0)</f>
        <v/>
      </c>
      <c r="H1903">
        <f>IFERROR(--INDEX('Term investments'!$H:$H,ROW()),0)</f>
        <v/>
      </c>
      <c r="I1903">
        <f>IF(ISNUMBER(INDEX('Term investments'!$G:$G,ROW())),1,0)</f>
        <v/>
      </c>
      <c r="J1903">
        <f>TRIM(SUBSTITUTE(INDEX('Call accounts and MMFs'!$A:$A,ROW())&amp;""," "," "))</f>
        <v/>
      </c>
      <c r="K1903">
        <f>TRIM(SUBSTITUTE(INDEX('Call accounts and MMFs'!$B:$B,ROW())&amp;""," "," "))</f>
        <v/>
      </c>
      <c r="L1903">
        <f>TRIM(SUBSTITUTE(INDEX('Call accounts and MMFs'!$C:$C,ROW())&amp;""," "," "))</f>
        <v/>
      </c>
      <c r="M1903">
        <f>IFERROR(--INDEX('Call accounts and MMFs'!$D:$D,ROW()),0)</f>
        <v/>
      </c>
      <c r="N1903">
        <f>IFERROR(IF(--INDEX('Call accounts and MMFs'!$E:$E,ROW())&gt;=1,--INDEX('Call accounts and MMFs'!$E:$E,ROW())/100,--INDEX('Call accounts and MMFs'!$E:$E,ROW())),0)</f>
        <v/>
      </c>
      <c r="O1903">
        <f>IFERROR(--INDEX('Call accounts and MMFs'!$F:$F,ROW()),0)</f>
        <v/>
      </c>
      <c r="P1903">
        <f>IF(ISNUMBER(INDEX('Call accounts and MMFs'!$E:$E,ROW())),1,0)</f>
        <v/>
      </c>
      <c r="Q1903">
        <f>TRIM(SUBSTITUTE(INDEX('Pooled funds'!$B:$B,ROW())&amp;""," "," "))</f>
        <v/>
      </c>
      <c r="R1903">
        <f>IFERROR(--INDEX('Pooled funds'!$C:$C,ROW()),0)</f>
        <v/>
      </c>
      <c r="S1903">
        <f>IFERROR(--INDEX('Pooled funds'!$D:$D,ROW()),0)</f>
        <v/>
      </c>
      <c r="T1903">
        <f>IFERROR(IF(--INDEX('Pooled funds'!$E:$E,ROW())&gt;=1,--INDEX('Pooled funds'!$E:$E,ROW())/100,--INDEX('Pooled funds'!$E:$E,ROW())),0)</f>
        <v/>
      </c>
      <c r="U1903">
        <f>IF(ISNUMBER(INDEX('Pooled funds'!$E:$E,ROW())),1,0)</f>
        <v/>
      </c>
    </row>
    <row r="1904">
      <c r="A1904">
        <f>TRIM(SUBSTITUTE(INDEX('Term investments'!$A:$A,ROW())&amp;""," "," "))</f>
        <v/>
      </c>
      <c r="B1904">
        <f>TRIM(SUBSTITUTE(INDEX('Term investments'!$B:$B,ROW())&amp;""," "," "))</f>
        <v/>
      </c>
      <c r="C1904">
        <f>TRIM(SUBSTITUTE(INDEX('Term investments'!$C:$C,ROW())&amp;""," "," "))</f>
        <v/>
      </c>
      <c r="D1904">
        <f>IFERROR(--INDEX('Term investments'!$D:$D,ROW()),0)</f>
        <v/>
      </c>
      <c r="E1904">
        <f>IFERROR(--INDEX('Term investments'!$E:$E,ROW()),0)</f>
        <v/>
      </c>
      <c r="F1904">
        <f>IFERROR(--INDEX('Term investments'!$F:$F,ROW()),0)</f>
        <v/>
      </c>
      <c r="G1904">
        <f>IFERROR(IF(--INDEX('Term investments'!$G:$G,ROW())&gt;=1,--INDEX('Term investments'!$G:$G,ROW())/100,--INDEX('Term investments'!$G:$G,ROW())),0)</f>
        <v/>
      </c>
      <c r="H1904">
        <f>IFERROR(--INDEX('Term investments'!$H:$H,ROW()),0)</f>
        <v/>
      </c>
      <c r="I1904">
        <f>IF(ISNUMBER(INDEX('Term investments'!$G:$G,ROW())),1,0)</f>
        <v/>
      </c>
      <c r="J1904">
        <f>TRIM(SUBSTITUTE(INDEX('Call accounts and MMFs'!$A:$A,ROW())&amp;""," "," "))</f>
        <v/>
      </c>
      <c r="K1904">
        <f>TRIM(SUBSTITUTE(INDEX('Call accounts and MMFs'!$B:$B,ROW())&amp;""," "," "))</f>
        <v/>
      </c>
      <c r="L1904">
        <f>TRIM(SUBSTITUTE(INDEX('Call accounts and MMFs'!$C:$C,ROW())&amp;""," "," "))</f>
        <v/>
      </c>
      <c r="M1904">
        <f>IFERROR(--INDEX('Call accounts and MMFs'!$D:$D,ROW()),0)</f>
        <v/>
      </c>
      <c r="N1904">
        <f>IFERROR(IF(--INDEX('Call accounts and MMFs'!$E:$E,ROW())&gt;=1,--INDEX('Call accounts and MMFs'!$E:$E,ROW())/100,--INDEX('Call accounts and MMFs'!$E:$E,ROW())),0)</f>
        <v/>
      </c>
      <c r="O1904">
        <f>IFERROR(--INDEX('Call accounts and MMFs'!$F:$F,ROW()),0)</f>
        <v/>
      </c>
      <c r="P1904">
        <f>IF(ISNUMBER(INDEX('Call accounts and MMFs'!$E:$E,ROW())),1,0)</f>
        <v/>
      </c>
      <c r="Q1904">
        <f>TRIM(SUBSTITUTE(INDEX('Pooled funds'!$B:$B,ROW())&amp;""," "," "))</f>
        <v/>
      </c>
      <c r="R1904">
        <f>IFERROR(--INDEX('Pooled funds'!$C:$C,ROW()),0)</f>
        <v/>
      </c>
      <c r="S1904">
        <f>IFERROR(--INDEX('Pooled funds'!$D:$D,ROW()),0)</f>
        <v/>
      </c>
      <c r="T1904">
        <f>IFERROR(IF(--INDEX('Pooled funds'!$E:$E,ROW())&gt;=1,--INDEX('Pooled funds'!$E:$E,ROW())/100,--INDEX('Pooled funds'!$E:$E,ROW())),0)</f>
        <v/>
      </c>
      <c r="U1904">
        <f>IF(ISNUMBER(INDEX('Pooled funds'!$E:$E,ROW())),1,0)</f>
        <v/>
      </c>
    </row>
    <row r="1905">
      <c r="A1905">
        <f>TRIM(SUBSTITUTE(INDEX('Term investments'!$A:$A,ROW())&amp;""," "," "))</f>
        <v/>
      </c>
      <c r="B1905">
        <f>TRIM(SUBSTITUTE(INDEX('Term investments'!$B:$B,ROW())&amp;""," "," "))</f>
        <v/>
      </c>
      <c r="C1905">
        <f>TRIM(SUBSTITUTE(INDEX('Term investments'!$C:$C,ROW())&amp;""," "," "))</f>
        <v/>
      </c>
      <c r="D1905">
        <f>IFERROR(--INDEX('Term investments'!$D:$D,ROW()),0)</f>
        <v/>
      </c>
      <c r="E1905">
        <f>IFERROR(--INDEX('Term investments'!$E:$E,ROW()),0)</f>
        <v/>
      </c>
      <c r="F1905">
        <f>IFERROR(--INDEX('Term investments'!$F:$F,ROW()),0)</f>
        <v/>
      </c>
      <c r="G1905">
        <f>IFERROR(IF(--INDEX('Term investments'!$G:$G,ROW())&gt;=1,--INDEX('Term investments'!$G:$G,ROW())/100,--INDEX('Term investments'!$G:$G,ROW())),0)</f>
        <v/>
      </c>
      <c r="H1905">
        <f>IFERROR(--INDEX('Term investments'!$H:$H,ROW()),0)</f>
        <v/>
      </c>
      <c r="I1905">
        <f>IF(ISNUMBER(INDEX('Term investments'!$G:$G,ROW())),1,0)</f>
        <v/>
      </c>
      <c r="J1905">
        <f>TRIM(SUBSTITUTE(INDEX('Call accounts and MMFs'!$A:$A,ROW())&amp;""," "," "))</f>
        <v/>
      </c>
      <c r="K1905">
        <f>TRIM(SUBSTITUTE(INDEX('Call accounts and MMFs'!$B:$B,ROW())&amp;""," "," "))</f>
        <v/>
      </c>
      <c r="L1905">
        <f>TRIM(SUBSTITUTE(INDEX('Call accounts and MMFs'!$C:$C,ROW())&amp;""," "," "))</f>
        <v/>
      </c>
      <c r="M1905">
        <f>IFERROR(--INDEX('Call accounts and MMFs'!$D:$D,ROW()),0)</f>
        <v/>
      </c>
      <c r="N1905">
        <f>IFERROR(IF(--INDEX('Call accounts and MMFs'!$E:$E,ROW())&gt;=1,--INDEX('Call accounts and MMFs'!$E:$E,ROW())/100,--INDEX('Call accounts and MMFs'!$E:$E,ROW())),0)</f>
        <v/>
      </c>
      <c r="O1905">
        <f>IFERROR(--INDEX('Call accounts and MMFs'!$F:$F,ROW()),0)</f>
        <v/>
      </c>
      <c r="P1905">
        <f>IF(ISNUMBER(INDEX('Call accounts and MMFs'!$E:$E,ROW())),1,0)</f>
        <v/>
      </c>
      <c r="Q1905">
        <f>TRIM(SUBSTITUTE(INDEX('Pooled funds'!$B:$B,ROW())&amp;""," "," "))</f>
        <v/>
      </c>
      <c r="R1905">
        <f>IFERROR(--INDEX('Pooled funds'!$C:$C,ROW()),0)</f>
        <v/>
      </c>
      <c r="S1905">
        <f>IFERROR(--INDEX('Pooled funds'!$D:$D,ROW()),0)</f>
        <v/>
      </c>
      <c r="T1905">
        <f>IFERROR(IF(--INDEX('Pooled funds'!$E:$E,ROW())&gt;=1,--INDEX('Pooled funds'!$E:$E,ROW())/100,--INDEX('Pooled funds'!$E:$E,ROW())),0)</f>
        <v/>
      </c>
      <c r="U1905">
        <f>IF(ISNUMBER(INDEX('Pooled funds'!$E:$E,ROW())),1,0)</f>
        <v/>
      </c>
    </row>
    <row r="1906">
      <c r="A1906">
        <f>TRIM(SUBSTITUTE(INDEX('Term investments'!$A:$A,ROW())&amp;""," "," "))</f>
        <v/>
      </c>
      <c r="B1906">
        <f>TRIM(SUBSTITUTE(INDEX('Term investments'!$B:$B,ROW())&amp;""," "," "))</f>
        <v/>
      </c>
      <c r="C1906">
        <f>TRIM(SUBSTITUTE(INDEX('Term investments'!$C:$C,ROW())&amp;""," "," "))</f>
        <v/>
      </c>
      <c r="D1906">
        <f>IFERROR(--INDEX('Term investments'!$D:$D,ROW()),0)</f>
        <v/>
      </c>
      <c r="E1906">
        <f>IFERROR(--INDEX('Term investments'!$E:$E,ROW()),0)</f>
        <v/>
      </c>
      <c r="F1906">
        <f>IFERROR(--INDEX('Term investments'!$F:$F,ROW()),0)</f>
        <v/>
      </c>
      <c r="G1906">
        <f>IFERROR(IF(--INDEX('Term investments'!$G:$G,ROW())&gt;=1,--INDEX('Term investments'!$G:$G,ROW())/100,--INDEX('Term investments'!$G:$G,ROW())),0)</f>
        <v/>
      </c>
      <c r="H1906">
        <f>IFERROR(--INDEX('Term investments'!$H:$H,ROW()),0)</f>
        <v/>
      </c>
      <c r="I1906">
        <f>IF(ISNUMBER(INDEX('Term investments'!$G:$G,ROW())),1,0)</f>
        <v/>
      </c>
      <c r="J1906">
        <f>TRIM(SUBSTITUTE(INDEX('Call accounts and MMFs'!$A:$A,ROW())&amp;""," "," "))</f>
        <v/>
      </c>
      <c r="K1906">
        <f>TRIM(SUBSTITUTE(INDEX('Call accounts and MMFs'!$B:$B,ROW())&amp;""," "," "))</f>
        <v/>
      </c>
      <c r="L1906">
        <f>TRIM(SUBSTITUTE(INDEX('Call accounts and MMFs'!$C:$C,ROW())&amp;""," "," "))</f>
        <v/>
      </c>
      <c r="M1906">
        <f>IFERROR(--INDEX('Call accounts and MMFs'!$D:$D,ROW()),0)</f>
        <v/>
      </c>
      <c r="N1906">
        <f>IFERROR(IF(--INDEX('Call accounts and MMFs'!$E:$E,ROW())&gt;=1,--INDEX('Call accounts and MMFs'!$E:$E,ROW())/100,--INDEX('Call accounts and MMFs'!$E:$E,ROW())),0)</f>
        <v/>
      </c>
      <c r="O1906">
        <f>IFERROR(--INDEX('Call accounts and MMFs'!$F:$F,ROW()),0)</f>
        <v/>
      </c>
      <c r="P1906">
        <f>IF(ISNUMBER(INDEX('Call accounts and MMFs'!$E:$E,ROW())),1,0)</f>
        <v/>
      </c>
      <c r="Q1906">
        <f>TRIM(SUBSTITUTE(INDEX('Pooled funds'!$B:$B,ROW())&amp;""," "," "))</f>
        <v/>
      </c>
      <c r="R1906">
        <f>IFERROR(--INDEX('Pooled funds'!$C:$C,ROW()),0)</f>
        <v/>
      </c>
      <c r="S1906">
        <f>IFERROR(--INDEX('Pooled funds'!$D:$D,ROW()),0)</f>
        <v/>
      </c>
      <c r="T1906">
        <f>IFERROR(IF(--INDEX('Pooled funds'!$E:$E,ROW())&gt;=1,--INDEX('Pooled funds'!$E:$E,ROW())/100,--INDEX('Pooled funds'!$E:$E,ROW())),0)</f>
        <v/>
      </c>
      <c r="U1906">
        <f>IF(ISNUMBER(INDEX('Pooled funds'!$E:$E,ROW())),1,0)</f>
        <v/>
      </c>
    </row>
    <row r="1907">
      <c r="A1907">
        <f>TRIM(SUBSTITUTE(INDEX('Term investments'!$A:$A,ROW())&amp;""," "," "))</f>
        <v/>
      </c>
      <c r="B1907">
        <f>TRIM(SUBSTITUTE(INDEX('Term investments'!$B:$B,ROW())&amp;""," "," "))</f>
        <v/>
      </c>
      <c r="C1907">
        <f>TRIM(SUBSTITUTE(INDEX('Term investments'!$C:$C,ROW())&amp;""," "," "))</f>
        <v/>
      </c>
      <c r="D1907">
        <f>IFERROR(--INDEX('Term investments'!$D:$D,ROW()),0)</f>
        <v/>
      </c>
      <c r="E1907">
        <f>IFERROR(--INDEX('Term investments'!$E:$E,ROW()),0)</f>
        <v/>
      </c>
      <c r="F1907">
        <f>IFERROR(--INDEX('Term investments'!$F:$F,ROW()),0)</f>
        <v/>
      </c>
      <c r="G1907">
        <f>IFERROR(IF(--INDEX('Term investments'!$G:$G,ROW())&gt;=1,--INDEX('Term investments'!$G:$G,ROW())/100,--INDEX('Term investments'!$G:$G,ROW())),0)</f>
        <v/>
      </c>
      <c r="H1907">
        <f>IFERROR(--INDEX('Term investments'!$H:$H,ROW()),0)</f>
        <v/>
      </c>
      <c r="I1907">
        <f>IF(ISNUMBER(INDEX('Term investments'!$G:$G,ROW())),1,0)</f>
        <v/>
      </c>
      <c r="J1907">
        <f>TRIM(SUBSTITUTE(INDEX('Call accounts and MMFs'!$A:$A,ROW())&amp;""," "," "))</f>
        <v/>
      </c>
      <c r="K1907">
        <f>TRIM(SUBSTITUTE(INDEX('Call accounts and MMFs'!$B:$B,ROW())&amp;""," "," "))</f>
        <v/>
      </c>
      <c r="L1907">
        <f>TRIM(SUBSTITUTE(INDEX('Call accounts and MMFs'!$C:$C,ROW())&amp;""," "," "))</f>
        <v/>
      </c>
      <c r="M1907">
        <f>IFERROR(--INDEX('Call accounts and MMFs'!$D:$D,ROW()),0)</f>
        <v/>
      </c>
      <c r="N1907">
        <f>IFERROR(IF(--INDEX('Call accounts and MMFs'!$E:$E,ROW())&gt;=1,--INDEX('Call accounts and MMFs'!$E:$E,ROW())/100,--INDEX('Call accounts and MMFs'!$E:$E,ROW())),0)</f>
        <v/>
      </c>
      <c r="O1907">
        <f>IFERROR(--INDEX('Call accounts and MMFs'!$F:$F,ROW()),0)</f>
        <v/>
      </c>
      <c r="P1907">
        <f>IF(ISNUMBER(INDEX('Call accounts and MMFs'!$E:$E,ROW())),1,0)</f>
        <v/>
      </c>
      <c r="Q1907">
        <f>TRIM(SUBSTITUTE(INDEX('Pooled funds'!$B:$B,ROW())&amp;""," "," "))</f>
        <v/>
      </c>
      <c r="R1907">
        <f>IFERROR(--INDEX('Pooled funds'!$C:$C,ROW()),0)</f>
        <v/>
      </c>
      <c r="S1907">
        <f>IFERROR(--INDEX('Pooled funds'!$D:$D,ROW()),0)</f>
        <v/>
      </c>
      <c r="T1907">
        <f>IFERROR(IF(--INDEX('Pooled funds'!$E:$E,ROW())&gt;=1,--INDEX('Pooled funds'!$E:$E,ROW())/100,--INDEX('Pooled funds'!$E:$E,ROW())),0)</f>
        <v/>
      </c>
      <c r="U1907">
        <f>IF(ISNUMBER(INDEX('Pooled funds'!$E:$E,ROW())),1,0)</f>
        <v/>
      </c>
    </row>
    <row r="1908">
      <c r="A1908">
        <f>TRIM(SUBSTITUTE(INDEX('Term investments'!$A:$A,ROW())&amp;""," "," "))</f>
        <v/>
      </c>
      <c r="B1908">
        <f>TRIM(SUBSTITUTE(INDEX('Term investments'!$B:$B,ROW())&amp;""," "," "))</f>
        <v/>
      </c>
      <c r="C1908">
        <f>TRIM(SUBSTITUTE(INDEX('Term investments'!$C:$C,ROW())&amp;""," "," "))</f>
        <v/>
      </c>
      <c r="D1908">
        <f>IFERROR(--INDEX('Term investments'!$D:$D,ROW()),0)</f>
        <v/>
      </c>
      <c r="E1908">
        <f>IFERROR(--INDEX('Term investments'!$E:$E,ROW()),0)</f>
        <v/>
      </c>
      <c r="F1908">
        <f>IFERROR(--INDEX('Term investments'!$F:$F,ROW()),0)</f>
        <v/>
      </c>
      <c r="G1908">
        <f>IFERROR(IF(--INDEX('Term investments'!$G:$G,ROW())&gt;=1,--INDEX('Term investments'!$G:$G,ROW())/100,--INDEX('Term investments'!$G:$G,ROW())),0)</f>
        <v/>
      </c>
      <c r="H1908">
        <f>IFERROR(--INDEX('Term investments'!$H:$H,ROW()),0)</f>
        <v/>
      </c>
      <c r="I1908">
        <f>IF(ISNUMBER(INDEX('Term investments'!$G:$G,ROW())),1,0)</f>
        <v/>
      </c>
      <c r="J1908">
        <f>TRIM(SUBSTITUTE(INDEX('Call accounts and MMFs'!$A:$A,ROW())&amp;""," "," "))</f>
        <v/>
      </c>
      <c r="K1908">
        <f>TRIM(SUBSTITUTE(INDEX('Call accounts and MMFs'!$B:$B,ROW())&amp;""," "," "))</f>
        <v/>
      </c>
      <c r="L1908">
        <f>TRIM(SUBSTITUTE(INDEX('Call accounts and MMFs'!$C:$C,ROW())&amp;""," "," "))</f>
        <v/>
      </c>
      <c r="M1908">
        <f>IFERROR(--INDEX('Call accounts and MMFs'!$D:$D,ROW()),0)</f>
        <v/>
      </c>
      <c r="N1908">
        <f>IFERROR(IF(--INDEX('Call accounts and MMFs'!$E:$E,ROW())&gt;=1,--INDEX('Call accounts and MMFs'!$E:$E,ROW())/100,--INDEX('Call accounts and MMFs'!$E:$E,ROW())),0)</f>
        <v/>
      </c>
      <c r="O1908">
        <f>IFERROR(--INDEX('Call accounts and MMFs'!$F:$F,ROW()),0)</f>
        <v/>
      </c>
      <c r="P1908">
        <f>IF(ISNUMBER(INDEX('Call accounts and MMFs'!$E:$E,ROW())),1,0)</f>
        <v/>
      </c>
      <c r="Q1908">
        <f>TRIM(SUBSTITUTE(INDEX('Pooled funds'!$B:$B,ROW())&amp;""," "," "))</f>
        <v/>
      </c>
      <c r="R1908">
        <f>IFERROR(--INDEX('Pooled funds'!$C:$C,ROW()),0)</f>
        <v/>
      </c>
      <c r="S1908">
        <f>IFERROR(--INDEX('Pooled funds'!$D:$D,ROW()),0)</f>
        <v/>
      </c>
      <c r="T1908">
        <f>IFERROR(IF(--INDEX('Pooled funds'!$E:$E,ROW())&gt;=1,--INDEX('Pooled funds'!$E:$E,ROW())/100,--INDEX('Pooled funds'!$E:$E,ROW())),0)</f>
        <v/>
      </c>
      <c r="U1908">
        <f>IF(ISNUMBER(INDEX('Pooled funds'!$E:$E,ROW())),1,0)</f>
        <v/>
      </c>
    </row>
    <row r="1909">
      <c r="A1909">
        <f>TRIM(SUBSTITUTE(INDEX('Term investments'!$A:$A,ROW())&amp;""," "," "))</f>
        <v/>
      </c>
      <c r="B1909">
        <f>TRIM(SUBSTITUTE(INDEX('Term investments'!$B:$B,ROW())&amp;""," "," "))</f>
        <v/>
      </c>
      <c r="C1909">
        <f>TRIM(SUBSTITUTE(INDEX('Term investments'!$C:$C,ROW())&amp;""," "," "))</f>
        <v/>
      </c>
      <c r="D1909">
        <f>IFERROR(--INDEX('Term investments'!$D:$D,ROW()),0)</f>
        <v/>
      </c>
      <c r="E1909">
        <f>IFERROR(--INDEX('Term investments'!$E:$E,ROW()),0)</f>
        <v/>
      </c>
      <c r="F1909">
        <f>IFERROR(--INDEX('Term investments'!$F:$F,ROW()),0)</f>
        <v/>
      </c>
      <c r="G1909">
        <f>IFERROR(IF(--INDEX('Term investments'!$G:$G,ROW())&gt;=1,--INDEX('Term investments'!$G:$G,ROW())/100,--INDEX('Term investments'!$G:$G,ROW())),0)</f>
        <v/>
      </c>
      <c r="H1909">
        <f>IFERROR(--INDEX('Term investments'!$H:$H,ROW()),0)</f>
        <v/>
      </c>
      <c r="I1909">
        <f>IF(ISNUMBER(INDEX('Term investments'!$G:$G,ROW())),1,0)</f>
        <v/>
      </c>
      <c r="J1909">
        <f>TRIM(SUBSTITUTE(INDEX('Call accounts and MMFs'!$A:$A,ROW())&amp;""," "," "))</f>
        <v/>
      </c>
      <c r="K1909">
        <f>TRIM(SUBSTITUTE(INDEX('Call accounts and MMFs'!$B:$B,ROW())&amp;""," "," "))</f>
        <v/>
      </c>
      <c r="L1909">
        <f>TRIM(SUBSTITUTE(INDEX('Call accounts and MMFs'!$C:$C,ROW())&amp;""," "," "))</f>
        <v/>
      </c>
      <c r="M1909">
        <f>IFERROR(--INDEX('Call accounts and MMFs'!$D:$D,ROW()),0)</f>
        <v/>
      </c>
      <c r="N1909">
        <f>IFERROR(IF(--INDEX('Call accounts and MMFs'!$E:$E,ROW())&gt;=1,--INDEX('Call accounts and MMFs'!$E:$E,ROW())/100,--INDEX('Call accounts and MMFs'!$E:$E,ROW())),0)</f>
        <v/>
      </c>
      <c r="O1909">
        <f>IFERROR(--INDEX('Call accounts and MMFs'!$F:$F,ROW()),0)</f>
        <v/>
      </c>
      <c r="P1909">
        <f>IF(ISNUMBER(INDEX('Call accounts and MMFs'!$E:$E,ROW())),1,0)</f>
        <v/>
      </c>
      <c r="Q1909">
        <f>TRIM(SUBSTITUTE(INDEX('Pooled funds'!$B:$B,ROW())&amp;""," "," "))</f>
        <v/>
      </c>
      <c r="R1909">
        <f>IFERROR(--INDEX('Pooled funds'!$C:$C,ROW()),0)</f>
        <v/>
      </c>
      <c r="S1909">
        <f>IFERROR(--INDEX('Pooled funds'!$D:$D,ROW()),0)</f>
        <v/>
      </c>
      <c r="T1909">
        <f>IFERROR(IF(--INDEX('Pooled funds'!$E:$E,ROW())&gt;=1,--INDEX('Pooled funds'!$E:$E,ROW())/100,--INDEX('Pooled funds'!$E:$E,ROW())),0)</f>
        <v/>
      </c>
      <c r="U1909">
        <f>IF(ISNUMBER(INDEX('Pooled funds'!$E:$E,ROW())),1,0)</f>
        <v/>
      </c>
    </row>
    <row r="1910">
      <c r="A1910">
        <f>TRIM(SUBSTITUTE(INDEX('Term investments'!$A:$A,ROW())&amp;""," "," "))</f>
        <v/>
      </c>
      <c r="B1910">
        <f>TRIM(SUBSTITUTE(INDEX('Term investments'!$B:$B,ROW())&amp;""," "," "))</f>
        <v/>
      </c>
      <c r="C1910">
        <f>TRIM(SUBSTITUTE(INDEX('Term investments'!$C:$C,ROW())&amp;""," "," "))</f>
        <v/>
      </c>
      <c r="D1910">
        <f>IFERROR(--INDEX('Term investments'!$D:$D,ROW()),0)</f>
        <v/>
      </c>
      <c r="E1910">
        <f>IFERROR(--INDEX('Term investments'!$E:$E,ROW()),0)</f>
        <v/>
      </c>
      <c r="F1910">
        <f>IFERROR(--INDEX('Term investments'!$F:$F,ROW()),0)</f>
        <v/>
      </c>
      <c r="G1910">
        <f>IFERROR(IF(--INDEX('Term investments'!$G:$G,ROW())&gt;=1,--INDEX('Term investments'!$G:$G,ROW())/100,--INDEX('Term investments'!$G:$G,ROW())),0)</f>
        <v/>
      </c>
      <c r="H1910">
        <f>IFERROR(--INDEX('Term investments'!$H:$H,ROW()),0)</f>
        <v/>
      </c>
      <c r="I1910">
        <f>IF(ISNUMBER(INDEX('Term investments'!$G:$G,ROW())),1,0)</f>
        <v/>
      </c>
      <c r="J1910">
        <f>TRIM(SUBSTITUTE(INDEX('Call accounts and MMFs'!$A:$A,ROW())&amp;""," "," "))</f>
        <v/>
      </c>
      <c r="K1910">
        <f>TRIM(SUBSTITUTE(INDEX('Call accounts and MMFs'!$B:$B,ROW())&amp;""," "," "))</f>
        <v/>
      </c>
      <c r="L1910">
        <f>TRIM(SUBSTITUTE(INDEX('Call accounts and MMFs'!$C:$C,ROW())&amp;""," "," "))</f>
        <v/>
      </c>
      <c r="M1910">
        <f>IFERROR(--INDEX('Call accounts and MMFs'!$D:$D,ROW()),0)</f>
        <v/>
      </c>
      <c r="N1910">
        <f>IFERROR(IF(--INDEX('Call accounts and MMFs'!$E:$E,ROW())&gt;=1,--INDEX('Call accounts and MMFs'!$E:$E,ROW())/100,--INDEX('Call accounts and MMFs'!$E:$E,ROW())),0)</f>
        <v/>
      </c>
      <c r="O1910">
        <f>IFERROR(--INDEX('Call accounts and MMFs'!$F:$F,ROW()),0)</f>
        <v/>
      </c>
      <c r="P1910">
        <f>IF(ISNUMBER(INDEX('Call accounts and MMFs'!$E:$E,ROW())),1,0)</f>
        <v/>
      </c>
      <c r="Q1910">
        <f>TRIM(SUBSTITUTE(INDEX('Pooled funds'!$B:$B,ROW())&amp;""," "," "))</f>
        <v/>
      </c>
      <c r="R1910">
        <f>IFERROR(--INDEX('Pooled funds'!$C:$C,ROW()),0)</f>
        <v/>
      </c>
      <c r="S1910">
        <f>IFERROR(--INDEX('Pooled funds'!$D:$D,ROW()),0)</f>
        <v/>
      </c>
      <c r="T1910">
        <f>IFERROR(IF(--INDEX('Pooled funds'!$E:$E,ROW())&gt;=1,--INDEX('Pooled funds'!$E:$E,ROW())/100,--INDEX('Pooled funds'!$E:$E,ROW())),0)</f>
        <v/>
      </c>
      <c r="U1910">
        <f>IF(ISNUMBER(INDEX('Pooled funds'!$E:$E,ROW())),1,0)</f>
        <v/>
      </c>
    </row>
    <row r="1911">
      <c r="A1911">
        <f>TRIM(SUBSTITUTE(INDEX('Term investments'!$A:$A,ROW())&amp;""," "," "))</f>
        <v/>
      </c>
      <c r="B1911">
        <f>TRIM(SUBSTITUTE(INDEX('Term investments'!$B:$B,ROW())&amp;""," "," "))</f>
        <v/>
      </c>
      <c r="C1911">
        <f>TRIM(SUBSTITUTE(INDEX('Term investments'!$C:$C,ROW())&amp;""," "," "))</f>
        <v/>
      </c>
      <c r="D1911">
        <f>IFERROR(--INDEX('Term investments'!$D:$D,ROW()),0)</f>
        <v/>
      </c>
      <c r="E1911">
        <f>IFERROR(--INDEX('Term investments'!$E:$E,ROW()),0)</f>
        <v/>
      </c>
      <c r="F1911">
        <f>IFERROR(--INDEX('Term investments'!$F:$F,ROW()),0)</f>
        <v/>
      </c>
      <c r="G1911">
        <f>IFERROR(IF(--INDEX('Term investments'!$G:$G,ROW())&gt;=1,--INDEX('Term investments'!$G:$G,ROW())/100,--INDEX('Term investments'!$G:$G,ROW())),0)</f>
        <v/>
      </c>
      <c r="H1911">
        <f>IFERROR(--INDEX('Term investments'!$H:$H,ROW()),0)</f>
        <v/>
      </c>
      <c r="I1911">
        <f>IF(ISNUMBER(INDEX('Term investments'!$G:$G,ROW())),1,0)</f>
        <v/>
      </c>
      <c r="J1911">
        <f>TRIM(SUBSTITUTE(INDEX('Call accounts and MMFs'!$A:$A,ROW())&amp;""," "," "))</f>
        <v/>
      </c>
      <c r="K1911">
        <f>TRIM(SUBSTITUTE(INDEX('Call accounts and MMFs'!$B:$B,ROW())&amp;""," "," "))</f>
        <v/>
      </c>
      <c r="L1911">
        <f>TRIM(SUBSTITUTE(INDEX('Call accounts and MMFs'!$C:$C,ROW())&amp;""," "," "))</f>
        <v/>
      </c>
      <c r="M1911">
        <f>IFERROR(--INDEX('Call accounts and MMFs'!$D:$D,ROW()),0)</f>
        <v/>
      </c>
      <c r="N1911">
        <f>IFERROR(IF(--INDEX('Call accounts and MMFs'!$E:$E,ROW())&gt;=1,--INDEX('Call accounts and MMFs'!$E:$E,ROW())/100,--INDEX('Call accounts and MMFs'!$E:$E,ROW())),0)</f>
        <v/>
      </c>
      <c r="O1911">
        <f>IFERROR(--INDEX('Call accounts and MMFs'!$F:$F,ROW()),0)</f>
        <v/>
      </c>
      <c r="P1911">
        <f>IF(ISNUMBER(INDEX('Call accounts and MMFs'!$E:$E,ROW())),1,0)</f>
        <v/>
      </c>
      <c r="Q1911">
        <f>TRIM(SUBSTITUTE(INDEX('Pooled funds'!$B:$B,ROW())&amp;""," "," "))</f>
        <v/>
      </c>
      <c r="R1911">
        <f>IFERROR(--INDEX('Pooled funds'!$C:$C,ROW()),0)</f>
        <v/>
      </c>
      <c r="S1911">
        <f>IFERROR(--INDEX('Pooled funds'!$D:$D,ROW()),0)</f>
        <v/>
      </c>
      <c r="T1911">
        <f>IFERROR(IF(--INDEX('Pooled funds'!$E:$E,ROW())&gt;=1,--INDEX('Pooled funds'!$E:$E,ROW())/100,--INDEX('Pooled funds'!$E:$E,ROW())),0)</f>
        <v/>
      </c>
      <c r="U1911">
        <f>IF(ISNUMBER(INDEX('Pooled funds'!$E:$E,ROW())),1,0)</f>
        <v/>
      </c>
    </row>
    <row r="1912">
      <c r="A1912">
        <f>TRIM(SUBSTITUTE(INDEX('Term investments'!$A:$A,ROW())&amp;""," "," "))</f>
        <v/>
      </c>
      <c r="B1912">
        <f>TRIM(SUBSTITUTE(INDEX('Term investments'!$B:$B,ROW())&amp;""," "," "))</f>
        <v/>
      </c>
      <c r="C1912">
        <f>TRIM(SUBSTITUTE(INDEX('Term investments'!$C:$C,ROW())&amp;""," "," "))</f>
        <v/>
      </c>
      <c r="D1912">
        <f>IFERROR(--INDEX('Term investments'!$D:$D,ROW()),0)</f>
        <v/>
      </c>
      <c r="E1912">
        <f>IFERROR(--INDEX('Term investments'!$E:$E,ROW()),0)</f>
        <v/>
      </c>
      <c r="F1912">
        <f>IFERROR(--INDEX('Term investments'!$F:$F,ROW()),0)</f>
        <v/>
      </c>
      <c r="G1912">
        <f>IFERROR(IF(--INDEX('Term investments'!$G:$G,ROW())&gt;=1,--INDEX('Term investments'!$G:$G,ROW())/100,--INDEX('Term investments'!$G:$G,ROW())),0)</f>
        <v/>
      </c>
      <c r="H1912">
        <f>IFERROR(--INDEX('Term investments'!$H:$H,ROW()),0)</f>
        <v/>
      </c>
      <c r="I1912">
        <f>IF(ISNUMBER(INDEX('Term investments'!$G:$G,ROW())),1,0)</f>
        <v/>
      </c>
      <c r="J1912">
        <f>TRIM(SUBSTITUTE(INDEX('Call accounts and MMFs'!$A:$A,ROW())&amp;""," "," "))</f>
        <v/>
      </c>
      <c r="K1912">
        <f>TRIM(SUBSTITUTE(INDEX('Call accounts and MMFs'!$B:$B,ROW())&amp;""," "," "))</f>
        <v/>
      </c>
      <c r="L1912">
        <f>TRIM(SUBSTITUTE(INDEX('Call accounts and MMFs'!$C:$C,ROW())&amp;""," "," "))</f>
        <v/>
      </c>
      <c r="M1912">
        <f>IFERROR(--INDEX('Call accounts and MMFs'!$D:$D,ROW()),0)</f>
        <v/>
      </c>
      <c r="N1912">
        <f>IFERROR(IF(--INDEX('Call accounts and MMFs'!$E:$E,ROW())&gt;=1,--INDEX('Call accounts and MMFs'!$E:$E,ROW())/100,--INDEX('Call accounts and MMFs'!$E:$E,ROW())),0)</f>
        <v/>
      </c>
      <c r="O1912">
        <f>IFERROR(--INDEX('Call accounts and MMFs'!$F:$F,ROW()),0)</f>
        <v/>
      </c>
      <c r="P1912">
        <f>IF(ISNUMBER(INDEX('Call accounts and MMFs'!$E:$E,ROW())),1,0)</f>
        <v/>
      </c>
      <c r="Q1912">
        <f>TRIM(SUBSTITUTE(INDEX('Pooled funds'!$B:$B,ROW())&amp;""," "," "))</f>
        <v/>
      </c>
      <c r="R1912">
        <f>IFERROR(--INDEX('Pooled funds'!$C:$C,ROW()),0)</f>
        <v/>
      </c>
      <c r="S1912">
        <f>IFERROR(--INDEX('Pooled funds'!$D:$D,ROW()),0)</f>
        <v/>
      </c>
      <c r="T1912">
        <f>IFERROR(IF(--INDEX('Pooled funds'!$E:$E,ROW())&gt;=1,--INDEX('Pooled funds'!$E:$E,ROW())/100,--INDEX('Pooled funds'!$E:$E,ROW())),0)</f>
        <v/>
      </c>
      <c r="U1912">
        <f>IF(ISNUMBER(INDEX('Pooled funds'!$E:$E,ROW())),1,0)</f>
        <v/>
      </c>
    </row>
    <row r="1913">
      <c r="A1913">
        <f>TRIM(SUBSTITUTE(INDEX('Term investments'!$A:$A,ROW())&amp;""," "," "))</f>
        <v/>
      </c>
      <c r="B1913">
        <f>TRIM(SUBSTITUTE(INDEX('Term investments'!$B:$B,ROW())&amp;""," "," "))</f>
        <v/>
      </c>
      <c r="C1913">
        <f>TRIM(SUBSTITUTE(INDEX('Term investments'!$C:$C,ROW())&amp;""," "," "))</f>
        <v/>
      </c>
      <c r="D1913">
        <f>IFERROR(--INDEX('Term investments'!$D:$D,ROW()),0)</f>
        <v/>
      </c>
      <c r="E1913">
        <f>IFERROR(--INDEX('Term investments'!$E:$E,ROW()),0)</f>
        <v/>
      </c>
      <c r="F1913">
        <f>IFERROR(--INDEX('Term investments'!$F:$F,ROW()),0)</f>
        <v/>
      </c>
      <c r="G1913">
        <f>IFERROR(IF(--INDEX('Term investments'!$G:$G,ROW())&gt;=1,--INDEX('Term investments'!$G:$G,ROW())/100,--INDEX('Term investments'!$G:$G,ROW())),0)</f>
        <v/>
      </c>
      <c r="H1913">
        <f>IFERROR(--INDEX('Term investments'!$H:$H,ROW()),0)</f>
        <v/>
      </c>
      <c r="I1913">
        <f>IF(ISNUMBER(INDEX('Term investments'!$G:$G,ROW())),1,0)</f>
        <v/>
      </c>
      <c r="J1913">
        <f>TRIM(SUBSTITUTE(INDEX('Call accounts and MMFs'!$A:$A,ROW())&amp;""," "," "))</f>
        <v/>
      </c>
      <c r="K1913">
        <f>TRIM(SUBSTITUTE(INDEX('Call accounts and MMFs'!$B:$B,ROW())&amp;""," "," "))</f>
        <v/>
      </c>
      <c r="L1913">
        <f>TRIM(SUBSTITUTE(INDEX('Call accounts and MMFs'!$C:$C,ROW())&amp;""," "," "))</f>
        <v/>
      </c>
      <c r="M1913">
        <f>IFERROR(--INDEX('Call accounts and MMFs'!$D:$D,ROW()),0)</f>
        <v/>
      </c>
      <c r="N1913">
        <f>IFERROR(IF(--INDEX('Call accounts and MMFs'!$E:$E,ROW())&gt;=1,--INDEX('Call accounts and MMFs'!$E:$E,ROW())/100,--INDEX('Call accounts and MMFs'!$E:$E,ROW())),0)</f>
        <v/>
      </c>
      <c r="O1913">
        <f>IFERROR(--INDEX('Call accounts and MMFs'!$F:$F,ROW()),0)</f>
        <v/>
      </c>
      <c r="P1913">
        <f>IF(ISNUMBER(INDEX('Call accounts and MMFs'!$E:$E,ROW())),1,0)</f>
        <v/>
      </c>
      <c r="Q1913">
        <f>TRIM(SUBSTITUTE(INDEX('Pooled funds'!$B:$B,ROW())&amp;""," "," "))</f>
        <v/>
      </c>
      <c r="R1913">
        <f>IFERROR(--INDEX('Pooled funds'!$C:$C,ROW()),0)</f>
        <v/>
      </c>
      <c r="S1913">
        <f>IFERROR(--INDEX('Pooled funds'!$D:$D,ROW()),0)</f>
        <v/>
      </c>
      <c r="T1913">
        <f>IFERROR(IF(--INDEX('Pooled funds'!$E:$E,ROW())&gt;=1,--INDEX('Pooled funds'!$E:$E,ROW())/100,--INDEX('Pooled funds'!$E:$E,ROW())),0)</f>
        <v/>
      </c>
      <c r="U1913">
        <f>IF(ISNUMBER(INDEX('Pooled funds'!$E:$E,ROW())),1,0)</f>
        <v/>
      </c>
    </row>
    <row r="1914">
      <c r="A1914">
        <f>TRIM(SUBSTITUTE(INDEX('Term investments'!$A:$A,ROW())&amp;""," "," "))</f>
        <v/>
      </c>
      <c r="B1914">
        <f>TRIM(SUBSTITUTE(INDEX('Term investments'!$B:$B,ROW())&amp;""," "," "))</f>
        <v/>
      </c>
      <c r="C1914">
        <f>TRIM(SUBSTITUTE(INDEX('Term investments'!$C:$C,ROW())&amp;""," "," "))</f>
        <v/>
      </c>
      <c r="D1914">
        <f>IFERROR(--INDEX('Term investments'!$D:$D,ROW()),0)</f>
        <v/>
      </c>
      <c r="E1914">
        <f>IFERROR(--INDEX('Term investments'!$E:$E,ROW()),0)</f>
        <v/>
      </c>
      <c r="F1914">
        <f>IFERROR(--INDEX('Term investments'!$F:$F,ROW()),0)</f>
        <v/>
      </c>
      <c r="G1914">
        <f>IFERROR(IF(--INDEX('Term investments'!$G:$G,ROW())&gt;=1,--INDEX('Term investments'!$G:$G,ROW())/100,--INDEX('Term investments'!$G:$G,ROW())),0)</f>
        <v/>
      </c>
      <c r="H1914">
        <f>IFERROR(--INDEX('Term investments'!$H:$H,ROW()),0)</f>
        <v/>
      </c>
      <c r="I1914">
        <f>IF(ISNUMBER(INDEX('Term investments'!$G:$G,ROW())),1,0)</f>
        <v/>
      </c>
      <c r="J1914">
        <f>TRIM(SUBSTITUTE(INDEX('Call accounts and MMFs'!$A:$A,ROW())&amp;""," "," "))</f>
        <v/>
      </c>
      <c r="K1914">
        <f>TRIM(SUBSTITUTE(INDEX('Call accounts and MMFs'!$B:$B,ROW())&amp;""," "," "))</f>
        <v/>
      </c>
      <c r="L1914">
        <f>TRIM(SUBSTITUTE(INDEX('Call accounts and MMFs'!$C:$C,ROW())&amp;""," "," "))</f>
        <v/>
      </c>
      <c r="M1914">
        <f>IFERROR(--INDEX('Call accounts and MMFs'!$D:$D,ROW()),0)</f>
        <v/>
      </c>
      <c r="N1914">
        <f>IFERROR(IF(--INDEX('Call accounts and MMFs'!$E:$E,ROW())&gt;=1,--INDEX('Call accounts and MMFs'!$E:$E,ROW())/100,--INDEX('Call accounts and MMFs'!$E:$E,ROW())),0)</f>
        <v/>
      </c>
      <c r="O1914">
        <f>IFERROR(--INDEX('Call accounts and MMFs'!$F:$F,ROW()),0)</f>
        <v/>
      </c>
      <c r="P1914">
        <f>IF(ISNUMBER(INDEX('Call accounts and MMFs'!$E:$E,ROW())),1,0)</f>
        <v/>
      </c>
      <c r="Q1914">
        <f>TRIM(SUBSTITUTE(INDEX('Pooled funds'!$B:$B,ROW())&amp;""," "," "))</f>
        <v/>
      </c>
      <c r="R1914">
        <f>IFERROR(--INDEX('Pooled funds'!$C:$C,ROW()),0)</f>
        <v/>
      </c>
      <c r="S1914">
        <f>IFERROR(--INDEX('Pooled funds'!$D:$D,ROW()),0)</f>
        <v/>
      </c>
      <c r="T1914">
        <f>IFERROR(IF(--INDEX('Pooled funds'!$E:$E,ROW())&gt;=1,--INDEX('Pooled funds'!$E:$E,ROW())/100,--INDEX('Pooled funds'!$E:$E,ROW())),0)</f>
        <v/>
      </c>
      <c r="U1914">
        <f>IF(ISNUMBER(INDEX('Pooled funds'!$E:$E,ROW())),1,0)</f>
        <v/>
      </c>
    </row>
    <row r="1915">
      <c r="A1915">
        <f>TRIM(SUBSTITUTE(INDEX('Term investments'!$A:$A,ROW())&amp;""," "," "))</f>
        <v/>
      </c>
      <c r="B1915">
        <f>TRIM(SUBSTITUTE(INDEX('Term investments'!$B:$B,ROW())&amp;""," "," "))</f>
        <v/>
      </c>
      <c r="C1915">
        <f>TRIM(SUBSTITUTE(INDEX('Term investments'!$C:$C,ROW())&amp;""," "," "))</f>
        <v/>
      </c>
      <c r="D1915">
        <f>IFERROR(--INDEX('Term investments'!$D:$D,ROW()),0)</f>
        <v/>
      </c>
      <c r="E1915">
        <f>IFERROR(--INDEX('Term investments'!$E:$E,ROW()),0)</f>
        <v/>
      </c>
      <c r="F1915">
        <f>IFERROR(--INDEX('Term investments'!$F:$F,ROW()),0)</f>
        <v/>
      </c>
      <c r="G1915">
        <f>IFERROR(IF(--INDEX('Term investments'!$G:$G,ROW())&gt;=1,--INDEX('Term investments'!$G:$G,ROW())/100,--INDEX('Term investments'!$G:$G,ROW())),0)</f>
        <v/>
      </c>
      <c r="H1915">
        <f>IFERROR(--INDEX('Term investments'!$H:$H,ROW()),0)</f>
        <v/>
      </c>
      <c r="I1915">
        <f>IF(ISNUMBER(INDEX('Term investments'!$G:$G,ROW())),1,0)</f>
        <v/>
      </c>
      <c r="J1915">
        <f>TRIM(SUBSTITUTE(INDEX('Call accounts and MMFs'!$A:$A,ROW())&amp;""," "," "))</f>
        <v/>
      </c>
      <c r="K1915">
        <f>TRIM(SUBSTITUTE(INDEX('Call accounts and MMFs'!$B:$B,ROW())&amp;""," "," "))</f>
        <v/>
      </c>
      <c r="L1915">
        <f>TRIM(SUBSTITUTE(INDEX('Call accounts and MMFs'!$C:$C,ROW())&amp;""," "," "))</f>
        <v/>
      </c>
      <c r="M1915">
        <f>IFERROR(--INDEX('Call accounts and MMFs'!$D:$D,ROW()),0)</f>
        <v/>
      </c>
      <c r="N1915">
        <f>IFERROR(IF(--INDEX('Call accounts and MMFs'!$E:$E,ROW())&gt;=1,--INDEX('Call accounts and MMFs'!$E:$E,ROW())/100,--INDEX('Call accounts and MMFs'!$E:$E,ROW())),0)</f>
        <v/>
      </c>
      <c r="O1915">
        <f>IFERROR(--INDEX('Call accounts and MMFs'!$F:$F,ROW()),0)</f>
        <v/>
      </c>
      <c r="P1915">
        <f>IF(ISNUMBER(INDEX('Call accounts and MMFs'!$E:$E,ROW())),1,0)</f>
        <v/>
      </c>
      <c r="Q1915">
        <f>TRIM(SUBSTITUTE(INDEX('Pooled funds'!$B:$B,ROW())&amp;""," "," "))</f>
        <v/>
      </c>
      <c r="R1915">
        <f>IFERROR(--INDEX('Pooled funds'!$C:$C,ROW()),0)</f>
        <v/>
      </c>
      <c r="S1915">
        <f>IFERROR(--INDEX('Pooled funds'!$D:$D,ROW()),0)</f>
        <v/>
      </c>
      <c r="T1915">
        <f>IFERROR(IF(--INDEX('Pooled funds'!$E:$E,ROW())&gt;=1,--INDEX('Pooled funds'!$E:$E,ROW())/100,--INDEX('Pooled funds'!$E:$E,ROW())),0)</f>
        <v/>
      </c>
      <c r="U1915">
        <f>IF(ISNUMBER(INDEX('Pooled funds'!$E:$E,ROW())),1,0)</f>
        <v/>
      </c>
    </row>
    <row r="1916">
      <c r="A1916">
        <f>TRIM(SUBSTITUTE(INDEX('Term investments'!$A:$A,ROW())&amp;""," "," "))</f>
        <v/>
      </c>
      <c r="B1916">
        <f>TRIM(SUBSTITUTE(INDEX('Term investments'!$B:$B,ROW())&amp;""," "," "))</f>
        <v/>
      </c>
      <c r="C1916">
        <f>TRIM(SUBSTITUTE(INDEX('Term investments'!$C:$C,ROW())&amp;""," "," "))</f>
        <v/>
      </c>
      <c r="D1916">
        <f>IFERROR(--INDEX('Term investments'!$D:$D,ROW()),0)</f>
        <v/>
      </c>
      <c r="E1916">
        <f>IFERROR(--INDEX('Term investments'!$E:$E,ROW()),0)</f>
        <v/>
      </c>
      <c r="F1916">
        <f>IFERROR(--INDEX('Term investments'!$F:$F,ROW()),0)</f>
        <v/>
      </c>
      <c r="G1916">
        <f>IFERROR(IF(--INDEX('Term investments'!$G:$G,ROW())&gt;=1,--INDEX('Term investments'!$G:$G,ROW())/100,--INDEX('Term investments'!$G:$G,ROW())),0)</f>
        <v/>
      </c>
      <c r="H1916">
        <f>IFERROR(--INDEX('Term investments'!$H:$H,ROW()),0)</f>
        <v/>
      </c>
      <c r="I1916">
        <f>IF(ISNUMBER(INDEX('Term investments'!$G:$G,ROW())),1,0)</f>
        <v/>
      </c>
      <c r="J1916">
        <f>TRIM(SUBSTITUTE(INDEX('Call accounts and MMFs'!$A:$A,ROW())&amp;""," "," "))</f>
        <v/>
      </c>
      <c r="K1916">
        <f>TRIM(SUBSTITUTE(INDEX('Call accounts and MMFs'!$B:$B,ROW())&amp;""," "," "))</f>
        <v/>
      </c>
      <c r="L1916">
        <f>TRIM(SUBSTITUTE(INDEX('Call accounts and MMFs'!$C:$C,ROW())&amp;""," "," "))</f>
        <v/>
      </c>
      <c r="M1916">
        <f>IFERROR(--INDEX('Call accounts and MMFs'!$D:$D,ROW()),0)</f>
        <v/>
      </c>
      <c r="N1916">
        <f>IFERROR(IF(--INDEX('Call accounts and MMFs'!$E:$E,ROW())&gt;=1,--INDEX('Call accounts and MMFs'!$E:$E,ROW())/100,--INDEX('Call accounts and MMFs'!$E:$E,ROW())),0)</f>
        <v/>
      </c>
      <c r="O1916">
        <f>IFERROR(--INDEX('Call accounts and MMFs'!$F:$F,ROW()),0)</f>
        <v/>
      </c>
      <c r="P1916">
        <f>IF(ISNUMBER(INDEX('Call accounts and MMFs'!$E:$E,ROW())),1,0)</f>
        <v/>
      </c>
      <c r="Q1916">
        <f>TRIM(SUBSTITUTE(INDEX('Pooled funds'!$B:$B,ROW())&amp;""," "," "))</f>
        <v/>
      </c>
      <c r="R1916">
        <f>IFERROR(--INDEX('Pooled funds'!$C:$C,ROW()),0)</f>
        <v/>
      </c>
      <c r="S1916">
        <f>IFERROR(--INDEX('Pooled funds'!$D:$D,ROW()),0)</f>
        <v/>
      </c>
      <c r="T1916">
        <f>IFERROR(IF(--INDEX('Pooled funds'!$E:$E,ROW())&gt;=1,--INDEX('Pooled funds'!$E:$E,ROW())/100,--INDEX('Pooled funds'!$E:$E,ROW())),0)</f>
        <v/>
      </c>
      <c r="U1916">
        <f>IF(ISNUMBER(INDEX('Pooled funds'!$E:$E,ROW())),1,0)</f>
        <v/>
      </c>
    </row>
    <row r="1917">
      <c r="A1917">
        <f>TRIM(SUBSTITUTE(INDEX('Term investments'!$A:$A,ROW())&amp;""," "," "))</f>
        <v/>
      </c>
      <c r="B1917">
        <f>TRIM(SUBSTITUTE(INDEX('Term investments'!$B:$B,ROW())&amp;""," "," "))</f>
        <v/>
      </c>
      <c r="C1917">
        <f>TRIM(SUBSTITUTE(INDEX('Term investments'!$C:$C,ROW())&amp;""," "," "))</f>
        <v/>
      </c>
      <c r="D1917">
        <f>IFERROR(--INDEX('Term investments'!$D:$D,ROW()),0)</f>
        <v/>
      </c>
      <c r="E1917">
        <f>IFERROR(--INDEX('Term investments'!$E:$E,ROW()),0)</f>
        <v/>
      </c>
      <c r="F1917">
        <f>IFERROR(--INDEX('Term investments'!$F:$F,ROW()),0)</f>
        <v/>
      </c>
      <c r="G1917">
        <f>IFERROR(IF(--INDEX('Term investments'!$G:$G,ROW())&gt;=1,--INDEX('Term investments'!$G:$G,ROW())/100,--INDEX('Term investments'!$G:$G,ROW())),0)</f>
        <v/>
      </c>
      <c r="H1917">
        <f>IFERROR(--INDEX('Term investments'!$H:$H,ROW()),0)</f>
        <v/>
      </c>
      <c r="I1917">
        <f>IF(ISNUMBER(INDEX('Term investments'!$G:$G,ROW())),1,0)</f>
        <v/>
      </c>
      <c r="J1917">
        <f>TRIM(SUBSTITUTE(INDEX('Call accounts and MMFs'!$A:$A,ROW())&amp;""," "," "))</f>
        <v/>
      </c>
      <c r="K1917">
        <f>TRIM(SUBSTITUTE(INDEX('Call accounts and MMFs'!$B:$B,ROW())&amp;""," "," "))</f>
        <v/>
      </c>
      <c r="L1917">
        <f>TRIM(SUBSTITUTE(INDEX('Call accounts and MMFs'!$C:$C,ROW())&amp;""," "," "))</f>
        <v/>
      </c>
      <c r="M1917">
        <f>IFERROR(--INDEX('Call accounts and MMFs'!$D:$D,ROW()),0)</f>
        <v/>
      </c>
      <c r="N1917">
        <f>IFERROR(IF(--INDEX('Call accounts and MMFs'!$E:$E,ROW())&gt;=1,--INDEX('Call accounts and MMFs'!$E:$E,ROW())/100,--INDEX('Call accounts and MMFs'!$E:$E,ROW())),0)</f>
        <v/>
      </c>
      <c r="O1917">
        <f>IFERROR(--INDEX('Call accounts and MMFs'!$F:$F,ROW()),0)</f>
        <v/>
      </c>
      <c r="P1917">
        <f>IF(ISNUMBER(INDEX('Call accounts and MMFs'!$E:$E,ROW())),1,0)</f>
        <v/>
      </c>
      <c r="Q1917">
        <f>TRIM(SUBSTITUTE(INDEX('Pooled funds'!$B:$B,ROW())&amp;""," "," "))</f>
        <v/>
      </c>
      <c r="R1917">
        <f>IFERROR(--INDEX('Pooled funds'!$C:$C,ROW()),0)</f>
        <v/>
      </c>
      <c r="S1917">
        <f>IFERROR(--INDEX('Pooled funds'!$D:$D,ROW()),0)</f>
        <v/>
      </c>
      <c r="T1917">
        <f>IFERROR(IF(--INDEX('Pooled funds'!$E:$E,ROW())&gt;=1,--INDEX('Pooled funds'!$E:$E,ROW())/100,--INDEX('Pooled funds'!$E:$E,ROW())),0)</f>
        <v/>
      </c>
      <c r="U1917">
        <f>IF(ISNUMBER(INDEX('Pooled funds'!$E:$E,ROW())),1,0)</f>
        <v/>
      </c>
    </row>
    <row r="1918">
      <c r="A1918">
        <f>TRIM(SUBSTITUTE(INDEX('Term investments'!$A:$A,ROW())&amp;""," "," "))</f>
        <v/>
      </c>
      <c r="B1918">
        <f>TRIM(SUBSTITUTE(INDEX('Term investments'!$B:$B,ROW())&amp;""," "," "))</f>
        <v/>
      </c>
      <c r="C1918">
        <f>TRIM(SUBSTITUTE(INDEX('Term investments'!$C:$C,ROW())&amp;""," "," "))</f>
        <v/>
      </c>
      <c r="D1918">
        <f>IFERROR(--INDEX('Term investments'!$D:$D,ROW()),0)</f>
        <v/>
      </c>
      <c r="E1918">
        <f>IFERROR(--INDEX('Term investments'!$E:$E,ROW()),0)</f>
        <v/>
      </c>
      <c r="F1918">
        <f>IFERROR(--INDEX('Term investments'!$F:$F,ROW()),0)</f>
        <v/>
      </c>
      <c r="G1918">
        <f>IFERROR(IF(--INDEX('Term investments'!$G:$G,ROW())&gt;=1,--INDEX('Term investments'!$G:$G,ROW())/100,--INDEX('Term investments'!$G:$G,ROW())),0)</f>
        <v/>
      </c>
      <c r="H1918">
        <f>IFERROR(--INDEX('Term investments'!$H:$H,ROW()),0)</f>
        <v/>
      </c>
      <c r="I1918">
        <f>IF(ISNUMBER(INDEX('Term investments'!$G:$G,ROW())),1,0)</f>
        <v/>
      </c>
      <c r="J1918">
        <f>TRIM(SUBSTITUTE(INDEX('Call accounts and MMFs'!$A:$A,ROW())&amp;""," "," "))</f>
        <v/>
      </c>
      <c r="K1918">
        <f>TRIM(SUBSTITUTE(INDEX('Call accounts and MMFs'!$B:$B,ROW())&amp;""," "," "))</f>
        <v/>
      </c>
      <c r="L1918">
        <f>TRIM(SUBSTITUTE(INDEX('Call accounts and MMFs'!$C:$C,ROW())&amp;""," "," "))</f>
        <v/>
      </c>
      <c r="M1918">
        <f>IFERROR(--INDEX('Call accounts and MMFs'!$D:$D,ROW()),0)</f>
        <v/>
      </c>
      <c r="N1918">
        <f>IFERROR(IF(--INDEX('Call accounts and MMFs'!$E:$E,ROW())&gt;=1,--INDEX('Call accounts and MMFs'!$E:$E,ROW())/100,--INDEX('Call accounts and MMFs'!$E:$E,ROW())),0)</f>
        <v/>
      </c>
      <c r="O1918">
        <f>IFERROR(--INDEX('Call accounts and MMFs'!$F:$F,ROW()),0)</f>
        <v/>
      </c>
      <c r="P1918">
        <f>IF(ISNUMBER(INDEX('Call accounts and MMFs'!$E:$E,ROW())),1,0)</f>
        <v/>
      </c>
      <c r="Q1918">
        <f>TRIM(SUBSTITUTE(INDEX('Pooled funds'!$B:$B,ROW())&amp;""," "," "))</f>
        <v/>
      </c>
      <c r="R1918">
        <f>IFERROR(--INDEX('Pooled funds'!$C:$C,ROW()),0)</f>
        <v/>
      </c>
      <c r="S1918">
        <f>IFERROR(--INDEX('Pooled funds'!$D:$D,ROW()),0)</f>
        <v/>
      </c>
      <c r="T1918">
        <f>IFERROR(IF(--INDEX('Pooled funds'!$E:$E,ROW())&gt;=1,--INDEX('Pooled funds'!$E:$E,ROW())/100,--INDEX('Pooled funds'!$E:$E,ROW())),0)</f>
        <v/>
      </c>
      <c r="U1918">
        <f>IF(ISNUMBER(INDEX('Pooled funds'!$E:$E,ROW())),1,0)</f>
        <v/>
      </c>
    </row>
    <row r="1919">
      <c r="A1919">
        <f>TRIM(SUBSTITUTE(INDEX('Term investments'!$A:$A,ROW())&amp;""," "," "))</f>
        <v/>
      </c>
      <c r="B1919">
        <f>TRIM(SUBSTITUTE(INDEX('Term investments'!$B:$B,ROW())&amp;""," "," "))</f>
        <v/>
      </c>
      <c r="C1919">
        <f>TRIM(SUBSTITUTE(INDEX('Term investments'!$C:$C,ROW())&amp;""," "," "))</f>
        <v/>
      </c>
      <c r="D1919">
        <f>IFERROR(--INDEX('Term investments'!$D:$D,ROW()),0)</f>
        <v/>
      </c>
      <c r="E1919">
        <f>IFERROR(--INDEX('Term investments'!$E:$E,ROW()),0)</f>
        <v/>
      </c>
      <c r="F1919">
        <f>IFERROR(--INDEX('Term investments'!$F:$F,ROW()),0)</f>
        <v/>
      </c>
      <c r="G1919">
        <f>IFERROR(IF(--INDEX('Term investments'!$G:$G,ROW())&gt;=1,--INDEX('Term investments'!$G:$G,ROW())/100,--INDEX('Term investments'!$G:$G,ROW())),0)</f>
        <v/>
      </c>
      <c r="H1919">
        <f>IFERROR(--INDEX('Term investments'!$H:$H,ROW()),0)</f>
        <v/>
      </c>
      <c r="I1919">
        <f>IF(ISNUMBER(INDEX('Term investments'!$G:$G,ROW())),1,0)</f>
        <v/>
      </c>
      <c r="J1919">
        <f>TRIM(SUBSTITUTE(INDEX('Call accounts and MMFs'!$A:$A,ROW())&amp;""," "," "))</f>
        <v/>
      </c>
      <c r="K1919">
        <f>TRIM(SUBSTITUTE(INDEX('Call accounts and MMFs'!$B:$B,ROW())&amp;""," "," "))</f>
        <v/>
      </c>
      <c r="L1919">
        <f>TRIM(SUBSTITUTE(INDEX('Call accounts and MMFs'!$C:$C,ROW())&amp;""," "," "))</f>
        <v/>
      </c>
      <c r="M1919">
        <f>IFERROR(--INDEX('Call accounts and MMFs'!$D:$D,ROW()),0)</f>
        <v/>
      </c>
      <c r="N1919">
        <f>IFERROR(IF(--INDEX('Call accounts and MMFs'!$E:$E,ROW())&gt;=1,--INDEX('Call accounts and MMFs'!$E:$E,ROW())/100,--INDEX('Call accounts and MMFs'!$E:$E,ROW())),0)</f>
        <v/>
      </c>
      <c r="O1919">
        <f>IFERROR(--INDEX('Call accounts and MMFs'!$F:$F,ROW()),0)</f>
        <v/>
      </c>
      <c r="P1919">
        <f>IF(ISNUMBER(INDEX('Call accounts and MMFs'!$E:$E,ROW())),1,0)</f>
        <v/>
      </c>
      <c r="Q1919">
        <f>TRIM(SUBSTITUTE(INDEX('Pooled funds'!$B:$B,ROW())&amp;""," "," "))</f>
        <v/>
      </c>
      <c r="R1919">
        <f>IFERROR(--INDEX('Pooled funds'!$C:$C,ROW()),0)</f>
        <v/>
      </c>
      <c r="S1919">
        <f>IFERROR(--INDEX('Pooled funds'!$D:$D,ROW()),0)</f>
        <v/>
      </c>
      <c r="T1919">
        <f>IFERROR(IF(--INDEX('Pooled funds'!$E:$E,ROW())&gt;=1,--INDEX('Pooled funds'!$E:$E,ROW())/100,--INDEX('Pooled funds'!$E:$E,ROW())),0)</f>
        <v/>
      </c>
      <c r="U1919">
        <f>IF(ISNUMBER(INDEX('Pooled funds'!$E:$E,ROW())),1,0)</f>
        <v/>
      </c>
    </row>
    <row r="1920">
      <c r="A1920">
        <f>TRIM(SUBSTITUTE(INDEX('Term investments'!$A:$A,ROW())&amp;""," "," "))</f>
        <v/>
      </c>
      <c r="B1920">
        <f>TRIM(SUBSTITUTE(INDEX('Term investments'!$B:$B,ROW())&amp;""," "," "))</f>
        <v/>
      </c>
      <c r="C1920">
        <f>TRIM(SUBSTITUTE(INDEX('Term investments'!$C:$C,ROW())&amp;""," "," "))</f>
        <v/>
      </c>
      <c r="D1920">
        <f>IFERROR(--INDEX('Term investments'!$D:$D,ROW()),0)</f>
        <v/>
      </c>
      <c r="E1920">
        <f>IFERROR(--INDEX('Term investments'!$E:$E,ROW()),0)</f>
        <v/>
      </c>
      <c r="F1920">
        <f>IFERROR(--INDEX('Term investments'!$F:$F,ROW()),0)</f>
        <v/>
      </c>
      <c r="G1920">
        <f>IFERROR(IF(--INDEX('Term investments'!$G:$G,ROW())&gt;=1,--INDEX('Term investments'!$G:$G,ROW())/100,--INDEX('Term investments'!$G:$G,ROW())),0)</f>
        <v/>
      </c>
      <c r="H1920">
        <f>IFERROR(--INDEX('Term investments'!$H:$H,ROW()),0)</f>
        <v/>
      </c>
      <c r="I1920">
        <f>IF(ISNUMBER(INDEX('Term investments'!$G:$G,ROW())),1,0)</f>
        <v/>
      </c>
      <c r="J1920">
        <f>TRIM(SUBSTITUTE(INDEX('Call accounts and MMFs'!$A:$A,ROW())&amp;""," "," "))</f>
        <v/>
      </c>
      <c r="K1920">
        <f>TRIM(SUBSTITUTE(INDEX('Call accounts and MMFs'!$B:$B,ROW())&amp;""," "," "))</f>
        <v/>
      </c>
      <c r="L1920">
        <f>TRIM(SUBSTITUTE(INDEX('Call accounts and MMFs'!$C:$C,ROW())&amp;""," "," "))</f>
        <v/>
      </c>
      <c r="M1920">
        <f>IFERROR(--INDEX('Call accounts and MMFs'!$D:$D,ROW()),0)</f>
        <v/>
      </c>
      <c r="N1920">
        <f>IFERROR(IF(--INDEX('Call accounts and MMFs'!$E:$E,ROW())&gt;=1,--INDEX('Call accounts and MMFs'!$E:$E,ROW())/100,--INDEX('Call accounts and MMFs'!$E:$E,ROW())),0)</f>
        <v/>
      </c>
      <c r="O1920">
        <f>IFERROR(--INDEX('Call accounts and MMFs'!$F:$F,ROW()),0)</f>
        <v/>
      </c>
      <c r="P1920">
        <f>IF(ISNUMBER(INDEX('Call accounts and MMFs'!$E:$E,ROW())),1,0)</f>
        <v/>
      </c>
      <c r="Q1920">
        <f>TRIM(SUBSTITUTE(INDEX('Pooled funds'!$B:$B,ROW())&amp;""," "," "))</f>
        <v/>
      </c>
      <c r="R1920">
        <f>IFERROR(--INDEX('Pooled funds'!$C:$C,ROW()),0)</f>
        <v/>
      </c>
      <c r="S1920">
        <f>IFERROR(--INDEX('Pooled funds'!$D:$D,ROW()),0)</f>
        <v/>
      </c>
      <c r="T1920">
        <f>IFERROR(IF(--INDEX('Pooled funds'!$E:$E,ROW())&gt;=1,--INDEX('Pooled funds'!$E:$E,ROW())/100,--INDEX('Pooled funds'!$E:$E,ROW())),0)</f>
        <v/>
      </c>
      <c r="U1920">
        <f>IF(ISNUMBER(INDEX('Pooled funds'!$E:$E,ROW())),1,0)</f>
        <v/>
      </c>
    </row>
    <row r="1921">
      <c r="A1921">
        <f>TRIM(SUBSTITUTE(INDEX('Term investments'!$A:$A,ROW())&amp;""," "," "))</f>
        <v/>
      </c>
      <c r="B1921">
        <f>TRIM(SUBSTITUTE(INDEX('Term investments'!$B:$B,ROW())&amp;""," "," "))</f>
        <v/>
      </c>
      <c r="C1921">
        <f>TRIM(SUBSTITUTE(INDEX('Term investments'!$C:$C,ROW())&amp;""," "," "))</f>
        <v/>
      </c>
      <c r="D1921">
        <f>IFERROR(--INDEX('Term investments'!$D:$D,ROW()),0)</f>
        <v/>
      </c>
      <c r="E1921">
        <f>IFERROR(--INDEX('Term investments'!$E:$E,ROW()),0)</f>
        <v/>
      </c>
      <c r="F1921">
        <f>IFERROR(--INDEX('Term investments'!$F:$F,ROW()),0)</f>
        <v/>
      </c>
      <c r="G1921">
        <f>IFERROR(IF(--INDEX('Term investments'!$G:$G,ROW())&gt;=1,--INDEX('Term investments'!$G:$G,ROW())/100,--INDEX('Term investments'!$G:$G,ROW())),0)</f>
        <v/>
      </c>
      <c r="H1921">
        <f>IFERROR(--INDEX('Term investments'!$H:$H,ROW()),0)</f>
        <v/>
      </c>
      <c r="I1921">
        <f>IF(ISNUMBER(INDEX('Term investments'!$G:$G,ROW())),1,0)</f>
        <v/>
      </c>
      <c r="J1921">
        <f>TRIM(SUBSTITUTE(INDEX('Call accounts and MMFs'!$A:$A,ROW())&amp;""," "," "))</f>
        <v/>
      </c>
      <c r="K1921">
        <f>TRIM(SUBSTITUTE(INDEX('Call accounts and MMFs'!$B:$B,ROW())&amp;""," "," "))</f>
        <v/>
      </c>
      <c r="L1921">
        <f>TRIM(SUBSTITUTE(INDEX('Call accounts and MMFs'!$C:$C,ROW())&amp;""," "," "))</f>
        <v/>
      </c>
      <c r="M1921">
        <f>IFERROR(--INDEX('Call accounts and MMFs'!$D:$D,ROW()),0)</f>
        <v/>
      </c>
      <c r="N1921">
        <f>IFERROR(IF(--INDEX('Call accounts and MMFs'!$E:$E,ROW())&gt;=1,--INDEX('Call accounts and MMFs'!$E:$E,ROW())/100,--INDEX('Call accounts and MMFs'!$E:$E,ROW())),0)</f>
        <v/>
      </c>
      <c r="O1921">
        <f>IFERROR(--INDEX('Call accounts and MMFs'!$F:$F,ROW()),0)</f>
        <v/>
      </c>
      <c r="P1921">
        <f>IF(ISNUMBER(INDEX('Call accounts and MMFs'!$E:$E,ROW())),1,0)</f>
        <v/>
      </c>
      <c r="Q1921">
        <f>TRIM(SUBSTITUTE(INDEX('Pooled funds'!$B:$B,ROW())&amp;""," "," "))</f>
        <v/>
      </c>
      <c r="R1921">
        <f>IFERROR(--INDEX('Pooled funds'!$C:$C,ROW()),0)</f>
        <v/>
      </c>
      <c r="S1921">
        <f>IFERROR(--INDEX('Pooled funds'!$D:$D,ROW()),0)</f>
        <v/>
      </c>
      <c r="T1921">
        <f>IFERROR(IF(--INDEX('Pooled funds'!$E:$E,ROW())&gt;=1,--INDEX('Pooled funds'!$E:$E,ROW())/100,--INDEX('Pooled funds'!$E:$E,ROW())),0)</f>
        <v/>
      </c>
      <c r="U1921">
        <f>IF(ISNUMBER(INDEX('Pooled funds'!$E:$E,ROW())),1,0)</f>
        <v/>
      </c>
    </row>
    <row r="1922">
      <c r="A1922">
        <f>TRIM(SUBSTITUTE(INDEX('Term investments'!$A:$A,ROW())&amp;""," "," "))</f>
        <v/>
      </c>
      <c r="B1922">
        <f>TRIM(SUBSTITUTE(INDEX('Term investments'!$B:$B,ROW())&amp;""," "," "))</f>
        <v/>
      </c>
      <c r="C1922">
        <f>TRIM(SUBSTITUTE(INDEX('Term investments'!$C:$C,ROW())&amp;""," "," "))</f>
        <v/>
      </c>
      <c r="D1922">
        <f>IFERROR(--INDEX('Term investments'!$D:$D,ROW()),0)</f>
        <v/>
      </c>
      <c r="E1922">
        <f>IFERROR(--INDEX('Term investments'!$E:$E,ROW()),0)</f>
        <v/>
      </c>
      <c r="F1922">
        <f>IFERROR(--INDEX('Term investments'!$F:$F,ROW()),0)</f>
        <v/>
      </c>
      <c r="G1922">
        <f>IFERROR(IF(--INDEX('Term investments'!$G:$G,ROW())&gt;=1,--INDEX('Term investments'!$G:$G,ROW())/100,--INDEX('Term investments'!$G:$G,ROW())),0)</f>
        <v/>
      </c>
      <c r="H1922">
        <f>IFERROR(--INDEX('Term investments'!$H:$H,ROW()),0)</f>
        <v/>
      </c>
      <c r="I1922">
        <f>IF(ISNUMBER(INDEX('Term investments'!$G:$G,ROW())),1,0)</f>
        <v/>
      </c>
      <c r="J1922">
        <f>TRIM(SUBSTITUTE(INDEX('Call accounts and MMFs'!$A:$A,ROW())&amp;""," "," "))</f>
        <v/>
      </c>
      <c r="K1922">
        <f>TRIM(SUBSTITUTE(INDEX('Call accounts and MMFs'!$B:$B,ROW())&amp;""," "," "))</f>
        <v/>
      </c>
      <c r="L1922">
        <f>TRIM(SUBSTITUTE(INDEX('Call accounts and MMFs'!$C:$C,ROW())&amp;""," "," "))</f>
        <v/>
      </c>
      <c r="M1922">
        <f>IFERROR(--INDEX('Call accounts and MMFs'!$D:$D,ROW()),0)</f>
        <v/>
      </c>
      <c r="N1922">
        <f>IFERROR(IF(--INDEX('Call accounts and MMFs'!$E:$E,ROW())&gt;=1,--INDEX('Call accounts and MMFs'!$E:$E,ROW())/100,--INDEX('Call accounts and MMFs'!$E:$E,ROW())),0)</f>
        <v/>
      </c>
      <c r="O1922">
        <f>IFERROR(--INDEX('Call accounts and MMFs'!$F:$F,ROW()),0)</f>
        <v/>
      </c>
      <c r="P1922">
        <f>IF(ISNUMBER(INDEX('Call accounts and MMFs'!$E:$E,ROW())),1,0)</f>
        <v/>
      </c>
      <c r="Q1922">
        <f>TRIM(SUBSTITUTE(INDEX('Pooled funds'!$B:$B,ROW())&amp;""," "," "))</f>
        <v/>
      </c>
      <c r="R1922">
        <f>IFERROR(--INDEX('Pooled funds'!$C:$C,ROW()),0)</f>
        <v/>
      </c>
      <c r="S1922">
        <f>IFERROR(--INDEX('Pooled funds'!$D:$D,ROW()),0)</f>
        <v/>
      </c>
      <c r="T1922">
        <f>IFERROR(IF(--INDEX('Pooled funds'!$E:$E,ROW())&gt;=1,--INDEX('Pooled funds'!$E:$E,ROW())/100,--INDEX('Pooled funds'!$E:$E,ROW())),0)</f>
        <v/>
      </c>
      <c r="U1922">
        <f>IF(ISNUMBER(INDEX('Pooled funds'!$E:$E,ROW())),1,0)</f>
        <v/>
      </c>
    </row>
    <row r="1923">
      <c r="A1923">
        <f>TRIM(SUBSTITUTE(INDEX('Term investments'!$A:$A,ROW())&amp;""," "," "))</f>
        <v/>
      </c>
      <c r="B1923">
        <f>TRIM(SUBSTITUTE(INDEX('Term investments'!$B:$B,ROW())&amp;""," "," "))</f>
        <v/>
      </c>
      <c r="C1923">
        <f>TRIM(SUBSTITUTE(INDEX('Term investments'!$C:$C,ROW())&amp;""," "," "))</f>
        <v/>
      </c>
      <c r="D1923">
        <f>IFERROR(--INDEX('Term investments'!$D:$D,ROW()),0)</f>
        <v/>
      </c>
      <c r="E1923">
        <f>IFERROR(--INDEX('Term investments'!$E:$E,ROW()),0)</f>
        <v/>
      </c>
      <c r="F1923">
        <f>IFERROR(--INDEX('Term investments'!$F:$F,ROW()),0)</f>
        <v/>
      </c>
      <c r="G1923">
        <f>IFERROR(IF(--INDEX('Term investments'!$G:$G,ROW())&gt;=1,--INDEX('Term investments'!$G:$G,ROW())/100,--INDEX('Term investments'!$G:$G,ROW())),0)</f>
        <v/>
      </c>
      <c r="H1923">
        <f>IFERROR(--INDEX('Term investments'!$H:$H,ROW()),0)</f>
        <v/>
      </c>
      <c r="I1923">
        <f>IF(ISNUMBER(INDEX('Term investments'!$G:$G,ROW())),1,0)</f>
        <v/>
      </c>
      <c r="J1923">
        <f>TRIM(SUBSTITUTE(INDEX('Call accounts and MMFs'!$A:$A,ROW())&amp;""," "," "))</f>
        <v/>
      </c>
      <c r="K1923">
        <f>TRIM(SUBSTITUTE(INDEX('Call accounts and MMFs'!$B:$B,ROW())&amp;""," "," "))</f>
        <v/>
      </c>
      <c r="L1923">
        <f>TRIM(SUBSTITUTE(INDEX('Call accounts and MMFs'!$C:$C,ROW())&amp;""," "," "))</f>
        <v/>
      </c>
      <c r="M1923">
        <f>IFERROR(--INDEX('Call accounts and MMFs'!$D:$D,ROW()),0)</f>
        <v/>
      </c>
      <c r="N1923">
        <f>IFERROR(IF(--INDEX('Call accounts and MMFs'!$E:$E,ROW())&gt;=1,--INDEX('Call accounts and MMFs'!$E:$E,ROW())/100,--INDEX('Call accounts and MMFs'!$E:$E,ROW())),0)</f>
        <v/>
      </c>
      <c r="O1923">
        <f>IFERROR(--INDEX('Call accounts and MMFs'!$F:$F,ROW()),0)</f>
        <v/>
      </c>
      <c r="P1923">
        <f>IF(ISNUMBER(INDEX('Call accounts and MMFs'!$E:$E,ROW())),1,0)</f>
        <v/>
      </c>
      <c r="Q1923">
        <f>TRIM(SUBSTITUTE(INDEX('Pooled funds'!$B:$B,ROW())&amp;""," "," "))</f>
        <v/>
      </c>
      <c r="R1923">
        <f>IFERROR(--INDEX('Pooled funds'!$C:$C,ROW()),0)</f>
        <v/>
      </c>
      <c r="S1923">
        <f>IFERROR(--INDEX('Pooled funds'!$D:$D,ROW()),0)</f>
        <v/>
      </c>
      <c r="T1923">
        <f>IFERROR(IF(--INDEX('Pooled funds'!$E:$E,ROW())&gt;=1,--INDEX('Pooled funds'!$E:$E,ROW())/100,--INDEX('Pooled funds'!$E:$E,ROW())),0)</f>
        <v/>
      </c>
      <c r="U1923">
        <f>IF(ISNUMBER(INDEX('Pooled funds'!$E:$E,ROW())),1,0)</f>
        <v/>
      </c>
    </row>
    <row r="1924">
      <c r="A1924">
        <f>TRIM(SUBSTITUTE(INDEX('Term investments'!$A:$A,ROW())&amp;""," "," "))</f>
        <v/>
      </c>
      <c r="B1924">
        <f>TRIM(SUBSTITUTE(INDEX('Term investments'!$B:$B,ROW())&amp;""," "," "))</f>
        <v/>
      </c>
      <c r="C1924">
        <f>TRIM(SUBSTITUTE(INDEX('Term investments'!$C:$C,ROW())&amp;""," "," "))</f>
        <v/>
      </c>
      <c r="D1924">
        <f>IFERROR(--INDEX('Term investments'!$D:$D,ROW()),0)</f>
        <v/>
      </c>
      <c r="E1924">
        <f>IFERROR(--INDEX('Term investments'!$E:$E,ROW()),0)</f>
        <v/>
      </c>
      <c r="F1924">
        <f>IFERROR(--INDEX('Term investments'!$F:$F,ROW()),0)</f>
        <v/>
      </c>
      <c r="G1924">
        <f>IFERROR(IF(--INDEX('Term investments'!$G:$G,ROW())&gt;=1,--INDEX('Term investments'!$G:$G,ROW())/100,--INDEX('Term investments'!$G:$G,ROW())),0)</f>
        <v/>
      </c>
      <c r="H1924">
        <f>IFERROR(--INDEX('Term investments'!$H:$H,ROW()),0)</f>
        <v/>
      </c>
      <c r="I1924">
        <f>IF(ISNUMBER(INDEX('Term investments'!$G:$G,ROW())),1,0)</f>
        <v/>
      </c>
      <c r="J1924">
        <f>TRIM(SUBSTITUTE(INDEX('Call accounts and MMFs'!$A:$A,ROW())&amp;""," "," "))</f>
        <v/>
      </c>
      <c r="K1924">
        <f>TRIM(SUBSTITUTE(INDEX('Call accounts and MMFs'!$B:$B,ROW())&amp;""," "," "))</f>
        <v/>
      </c>
      <c r="L1924">
        <f>TRIM(SUBSTITUTE(INDEX('Call accounts and MMFs'!$C:$C,ROW())&amp;""," "," "))</f>
        <v/>
      </c>
      <c r="M1924">
        <f>IFERROR(--INDEX('Call accounts and MMFs'!$D:$D,ROW()),0)</f>
        <v/>
      </c>
      <c r="N1924">
        <f>IFERROR(IF(--INDEX('Call accounts and MMFs'!$E:$E,ROW())&gt;=1,--INDEX('Call accounts and MMFs'!$E:$E,ROW())/100,--INDEX('Call accounts and MMFs'!$E:$E,ROW())),0)</f>
        <v/>
      </c>
      <c r="O1924">
        <f>IFERROR(--INDEX('Call accounts and MMFs'!$F:$F,ROW()),0)</f>
        <v/>
      </c>
      <c r="P1924">
        <f>IF(ISNUMBER(INDEX('Call accounts and MMFs'!$E:$E,ROW())),1,0)</f>
        <v/>
      </c>
      <c r="Q1924">
        <f>TRIM(SUBSTITUTE(INDEX('Pooled funds'!$B:$B,ROW())&amp;""," "," "))</f>
        <v/>
      </c>
      <c r="R1924">
        <f>IFERROR(--INDEX('Pooled funds'!$C:$C,ROW()),0)</f>
        <v/>
      </c>
      <c r="S1924">
        <f>IFERROR(--INDEX('Pooled funds'!$D:$D,ROW()),0)</f>
        <v/>
      </c>
      <c r="T1924">
        <f>IFERROR(IF(--INDEX('Pooled funds'!$E:$E,ROW())&gt;=1,--INDEX('Pooled funds'!$E:$E,ROW())/100,--INDEX('Pooled funds'!$E:$E,ROW())),0)</f>
        <v/>
      </c>
      <c r="U1924">
        <f>IF(ISNUMBER(INDEX('Pooled funds'!$E:$E,ROW())),1,0)</f>
        <v/>
      </c>
    </row>
    <row r="1925">
      <c r="A1925">
        <f>TRIM(SUBSTITUTE(INDEX('Term investments'!$A:$A,ROW())&amp;""," "," "))</f>
        <v/>
      </c>
      <c r="B1925">
        <f>TRIM(SUBSTITUTE(INDEX('Term investments'!$B:$B,ROW())&amp;""," "," "))</f>
        <v/>
      </c>
      <c r="C1925">
        <f>TRIM(SUBSTITUTE(INDEX('Term investments'!$C:$C,ROW())&amp;""," "," "))</f>
        <v/>
      </c>
      <c r="D1925">
        <f>IFERROR(--INDEX('Term investments'!$D:$D,ROW()),0)</f>
        <v/>
      </c>
      <c r="E1925">
        <f>IFERROR(--INDEX('Term investments'!$E:$E,ROW()),0)</f>
        <v/>
      </c>
      <c r="F1925">
        <f>IFERROR(--INDEX('Term investments'!$F:$F,ROW()),0)</f>
        <v/>
      </c>
      <c r="G1925">
        <f>IFERROR(IF(--INDEX('Term investments'!$G:$G,ROW())&gt;=1,--INDEX('Term investments'!$G:$G,ROW())/100,--INDEX('Term investments'!$G:$G,ROW())),0)</f>
        <v/>
      </c>
      <c r="H1925">
        <f>IFERROR(--INDEX('Term investments'!$H:$H,ROW()),0)</f>
        <v/>
      </c>
      <c r="I1925">
        <f>IF(ISNUMBER(INDEX('Term investments'!$G:$G,ROW())),1,0)</f>
        <v/>
      </c>
      <c r="J1925">
        <f>TRIM(SUBSTITUTE(INDEX('Call accounts and MMFs'!$A:$A,ROW())&amp;""," "," "))</f>
        <v/>
      </c>
      <c r="K1925">
        <f>TRIM(SUBSTITUTE(INDEX('Call accounts and MMFs'!$B:$B,ROW())&amp;""," "," "))</f>
        <v/>
      </c>
      <c r="L1925">
        <f>TRIM(SUBSTITUTE(INDEX('Call accounts and MMFs'!$C:$C,ROW())&amp;""," "," "))</f>
        <v/>
      </c>
      <c r="M1925">
        <f>IFERROR(--INDEX('Call accounts and MMFs'!$D:$D,ROW()),0)</f>
        <v/>
      </c>
      <c r="N1925">
        <f>IFERROR(IF(--INDEX('Call accounts and MMFs'!$E:$E,ROW())&gt;=1,--INDEX('Call accounts and MMFs'!$E:$E,ROW())/100,--INDEX('Call accounts and MMFs'!$E:$E,ROW())),0)</f>
        <v/>
      </c>
      <c r="O1925">
        <f>IFERROR(--INDEX('Call accounts and MMFs'!$F:$F,ROW()),0)</f>
        <v/>
      </c>
      <c r="P1925">
        <f>IF(ISNUMBER(INDEX('Call accounts and MMFs'!$E:$E,ROW())),1,0)</f>
        <v/>
      </c>
      <c r="Q1925">
        <f>TRIM(SUBSTITUTE(INDEX('Pooled funds'!$B:$B,ROW())&amp;""," "," "))</f>
        <v/>
      </c>
      <c r="R1925">
        <f>IFERROR(--INDEX('Pooled funds'!$C:$C,ROW()),0)</f>
        <v/>
      </c>
      <c r="S1925">
        <f>IFERROR(--INDEX('Pooled funds'!$D:$D,ROW()),0)</f>
        <v/>
      </c>
      <c r="T1925">
        <f>IFERROR(IF(--INDEX('Pooled funds'!$E:$E,ROW())&gt;=1,--INDEX('Pooled funds'!$E:$E,ROW())/100,--INDEX('Pooled funds'!$E:$E,ROW())),0)</f>
        <v/>
      </c>
      <c r="U1925">
        <f>IF(ISNUMBER(INDEX('Pooled funds'!$E:$E,ROW())),1,0)</f>
        <v/>
      </c>
    </row>
    <row r="1926">
      <c r="A1926">
        <f>TRIM(SUBSTITUTE(INDEX('Term investments'!$A:$A,ROW())&amp;""," "," "))</f>
        <v/>
      </c>
      <c r="B1926">
        <f>TRIM(SUBSTITUTE(INDEX('Term investments'!$B:$B,ROW())&amp;""," "," "))</f>
        <v/>
      </c>
      <c r="C1926">
        <f>TRIM(SUBSTITUTE(INDEX('Term investments'!$C:$C,ROW())&amp;""," "," "))</f>
        <v/>
      </c>
      <c r="D1926">
        <f>IFERROR(--INDEX('Term investments'!$D:$D,ROW()),0)</f>
        <v/>
      </c>
      <c r="E1926">
        <f>IFERROR(--INDEX('Term investments'!$E:$E,ROW()),0)</f>
        <v/>
      </c>
      <c r="F1926">
        <f>IFERROR(--INDEX('Term investments'!$F:$F,ROW()),0)</f>
        <v/>
      </c>
      <c r="G1926">
        <f>IFERROR(IF(--INDEX('Term investments'!$G:$G,ROW())&gt;=1,--INDEX('Term investments'!$G:$G,ROW())/100,--INDEX('Term investments'!$G:$G,ROW())),0)</f>
        <v/>
      </c>
      <c r="H1926">
        <f>IFERROR(--INDEX('Term investments'!$H:$H,ROW()),0)</f>
        <v/>
      </c>
      <c r="I1926">
        <f>IF(ISNUMBER(INDEX('Term investments'!$G:$G,ROW())),1,0)</f>
        <v/>
      </c>
      <c r="J1926">
        <f>TRIM(SUBSTITUTE(INDEX('Call accounts and MMFs'!$A:$A,ROW())&amp;""," "," "))</f>
        <v/>
      </c>
      <c r="K1926">
        <f>TRIM(SUBSTITUTE(INDEX('Call accounts and MMFs'!$B:$B,ROW())&amp;""," "," "))</f>
        <v/>
      </c>
      <c r="L1926">
        <f>TRIM(SUBSTITUTE(INDEX('Call accounts and MMFs'!$C:$C,ROW())&amp;""," "," "))</f>
        <v/>
      </c>
      <c r="M1926">
        <f>IFERROR(--INDEX('Call accounts and MMFs'!$D:$D,ROW()),0)</f>
        <v/>
      </c>
      <c r="N1926">
        <f>IFERROR(IF(--INDEX('Call accounts and MMFs'!$E:$E,ROW())&gt;=1,--INDEX('Call accounts and MMFs'!$E:$E,ROW())/100,--INDEX('Call accounts and MMFs'!$E:$E,ROW())),0)</f>
        <v/>
      </c>
      <c r="O1926">
        <f>IFERROR(--INDEX('Call accounts and MMFs'!$F:$F,ROW()),0)</f>
        <v/>
      </c>
      <c r="P1926">
        <f>IF(ISNUMBER(INDEX('Call accounts and MMFs'!$E:$E,ROW())),1,0)</f>
        <v/>
      </c>
      <c r="Q1926">
        <f>TRIM(SUBSTITUTE(INDEX('Pooled funds'!$B:$B,ROW())&amp;""," "," "))</f>
        <v/>
      </c>
      <c r="R1926">
        <f>IFERROR(--INDEX('Pooled funds'!$C:$C,ROW()),0)</f>
        <v/>
      </c>
      <c r="S1926">
        <f>IFERROR(--INDEX('Pooled funds'!$D:$D,ROW()),0)</f>
        <v/>
      </c>
      <c r="T1926">
        <f>IFERROR(IF(--INDEX('Pooled funds'!$E:$E,ROW())&gt;=1,--INDEX('Pooled funds'!$E:$E,ROW())/100,--INDEX('Pooled funds'!$E:$E,ROW())),0)</f>
        <v/>
      </c>
      <c r="U1926">
        <f>IF(ISNUMBER(INDEX('Pooled funds'!$E:$E,ROW())),1,0)</f>
        <v/>
      </c>
    </row>
    <row r="1927">
      <c r="A1927">
        <f>TRIM(SUBSTITUTE(INDEX('Term investments'!$A:$A,ROW())&amp;""," "," "))</f>
        <v/>
      </c>
      <c r="B1927">
        <f>TRIM(SUBSTITUTE(INDEX('Term investments'!$B:$B,ROW())&amp;""," "," "))</f>
        <v/>
      </c>
      <c r="C1927">
        <f>TRIM(SUBSTITUTE(INDEX('Term investments'!$C:$C,ROW())&amp;""," "," "))</f>
        <v/>
      </c>
      <c r="D1927">
        <f>IFERROR(--INDEX('Term investments'!$D:$D,ROW()),0)</f>
        <v/>
      </c>
      <c r="E1927">
        <f>IFERROR(--INDEX('Term investments'!$E:$E,ROW()),0)</f>
        <v/>
      </c>
      <c r="F1927">
        <f>IFERROR(--INDEX('Term investments'!$F:$F,ROW()),0)</f>
        <v/>
      </c>
      <c r="G1927">
        <f>IFERROR(IF(--INDEX('Term investments'!$G:$G,ROW())&gt;=1,--INDEX('Term investments'!$G:$G,ROW())/100,--INDEX('Term investments'!$G:$G,ROW())),0)</f>
        <v/>
      </c>
      <c r="H1927">
        <f>IFERROR(--INDEX('Term investments'!$H:$H,ROW()),0)</f>
        <v/>
      </c>
      <c r="I1927">
        <f>IF(ISNUMBER(INDEX('Term investments'!$G:$G,ROW())),1,0)</f>
        <v/>
      </c>
      <c r="J1927">
        <f>TRIM(SUBSTITUTE(INDEX('Call accounts and MMFs'!$A:$A,ROW())&amp;""," "," "))</f>
        <v/>
      </c>
      <c r="K1927">
        <f>TRIM(SUBSTITUTE(INDEX('Call accounts and MMFs'!$B:$B,ROW())&amp;""," "," "))</f>
        <v/>
      </c>
      <c r="L1927">
        <f>TRIM(SUBSTITUTE(INDEX('Call accounts and MMFs'!$C:$C,ROW())&amp;""," "," "))</f>
        <v/>
      </c>
      <c r="M1927">
        <f>IFERROR(--INDEX('Call accounts and MMFs'!$D:$D,ROW()),0)</f>
        <v/>
      </c>
      <c r="N1927">
        <f>IFERROR(IF(--INDEX('Call accounts and MMFs'!$E:$E,ROW())&gt;=1,--INDEX('Call accounts and MMFs'!$E:$E,ROW())/100,--INDEX('Call accounts and MMFs'!$E:$E,ROW())),0)</f>
        <v/>
      </c>
      <c r="O1927">
        <f>IFERROR(--INDEX('Call accounts and MMFs'!$F:$F,ROW()),0)</f>
        <v/>
      </c>
      <c r="P1927">
        <f>IF(ISNUMBER(INDEX('Call accounts and MMFs'!$E:$E,ROW())),1,0)</f>
        <v/>
      </c>
      <c r="Q1927">
        <f>TRIM(SUBSTITUTE(INDEX('Pooled funds'!$B:$B,ROW())&amp;""," "," "))</f>
        <v/>
      </c>
      <c r="R1927">
        <f>IFERROR(--INDEX('Pooled funds'!$C:$C,ROW()),0)</f>
        <v/>
      </c>
      <c r="S1927">
        <f>IFERROR(--INDEX('Pooled funds'!$D:$D,ROW()),0)</f>
        <v/>
      </c>
      <c r="T1927">
        <f>IFERROR(IF(--INDEX('Pooled funds'!$E:$E,ROW())&gt;=1,--INDEX('Pooled funds'!$E:$E,ROW())/100,--INDEX('Pooled funds'!$E:$E,ROW())),0)</f>
        <v/>
      </c>
      <c r="U1927">
        <f>IF(ISNUMBER(INDEX('Pooled funds'!$E:$E,ROW())),1,0)</f>
        <v/>
      </c>
    </row>
    <row r="1928">
      <c r="A1928">
        <f>TRIM(SUBSTITUTE(INDEX('Term investments'!$A:$A,ROW())&amp;""," "," "))</f>
        <v/>
      </c>
      <c r="B1928">
        <f>TRIM(SUBSTITUTE(INDEX('Term investments'!$B:$B,ROW())&amp;""," "," "))</f>
        <v/>
      </c>
      <c r="C1928">
        <f>TRIM(SUBSTITUTE(INDEX('Term investments'!$C:$C,ROW())&amp;""," "," "))</f>
        <v/>
      </c>
      <c r="D1928">
        <f>IFERROR(--INDEX('Term investments'!$D:$D,ROW()),0)</f>
        <v/>
      </c>
      <c r="E1928">
        <f>IFERROR(--INDEX('Term investments'!$E:$E,ROW()),0)</f>
        <v/>
      </c>
      <c r="F1928">
        <f>IFERROR(--INDEX('Term investments'!$F:$F,ROW()),0)</f>
        <v/>
      </c>
      <c r="G1928">
        <f>IFERROR(IF(--INDEX('Term investments'!$G:$G,ROW())&gt;=1,--INDEX('Term investments'!$G:$G,ROW())/100,--INDEX('Term investments'!$G:$G,ROW())),0)</f>
        <v/>
      </c>
      <c r="H1928">
        <f>IFERROR(--INDEX('Term investments'!$H:$H,ROW()),0)</f>
        <v/>
      </c>
      <c r="I1928">
        <f>IF(ISNUMBER(INDEX('Term investments'!$G:$G,ROW())),1,0)</f>
        <v/>
      </c>
      <c r="J1928">
        <f>TRIM(SUBSTITUTE(INDEX('Call accounts and MMFs'!$A:$A,ROW())&amp;""," "," "))</f>
        <v/>
      </c>
      <c r="K1928">
        <f>TRIM(SUBSTITUTE(INDEX('Call accounts and MMFs'!$B:$B,ROW())&amp;""," "," "))</f>
        <v/>
      </c>
      <c r="L1928">
        <f>TRIM(SUBSTITUTE(INDEX('Call accounts and MMFs'!$C:$C,ROW())&amp;""," "," "))</f>
        <v/>
      </c>
      <c r="M1928">
        <f>IFERROR(--INDEX('Call accounts and MMFs'!$D:$D,ROW()),0)</f>
        <v/>
      </c>
      <c r="N1928">
        <f>IFERROR(IF(--INDEX('Call accounts and MMFs'!$E:$E,ROW())&gt;=1,--INDEX('Call accounts and MMFs'!$E:$E,ROW())/100,--INDEX('Call accounts and MMFs'!$E:$E,ROW())),0)</f>
        <v/>
      </c>
      <c r="O1928">
        <f>IFERROR(--INDEX('Call accounts and MMFs'!$F:$F,ROW()),0)</f>
        <v/>
      </c>
      <c r="P1928">
        <f>IF(ISNUMBER(INDEX('Call accounts and MMFs'!$E:$E,ROW())),1,0)</f>
        <v/>
      </c>
      <c r="Q1928">
        <f>TRIM(SUBSTITUTE(INDEX('Pooled funds'!$B:$B,ROW())&amp;""," "," "))</f>
        <v/>
      </c>
      <c r="R1928">
        <f>IFERROR(--INDEX('Pooled funds'!$C:$C,ROW()),0)</f>
        <v/>
      </c>
      <c r="S1928">
        <f>IFERROR(--INDEX('Pooled funds'!$D:$D,ROW()),0)</f>
        <v/>
      </c>
      <c r="T1928">
        <f>IFERROR(IF(--INDEX('Pooled funds'!$E:$E,ROW())&gt;=1,--INDEX('Pooled funds'!$E:$E,ROW())/100,--INDEX('Pooled funds'!$E:$E,ROW())),0)</f>
        <v/>
      </c>
      <c r="U1928">
        <f>IF(ISNUMBER(INDEX('Pooled funds'!$E:$E,ROW())),1,0)</f>
        <v/>
      </c>
    </row>
    <row r="1929">
      <c r="A1929">
        <f>TRIM(SUBSTITUTE(INDEX('Term investments'!$A:$A,ROW())&amp;""," "," "))</f>
        <v/>
      </c>
      <c r="B1929">
        <f>TRIM(SUBSTITUTE(INDEX('Term investments'!$B:$B,ROW())&amp;""," "," "))</f>
        <v/>
      </c>
      <c r="C1929">
        <f>TRIM(SUBSTITUTE(INDEX('Term investments'!$C:$C,ROW())&amp;""," "," "))</f>
        <v/>
      </c>
      <c r="D1929">
        <f>IFERROR(--INDEX('Term investments'!$D:$D,ROW()),0)</f>
        <v/>
      </c>
      <c r="E1929">
        <f>IFERROR(--INDEX('Term investments'!$E:$E,ROW()),0)</f>
        <v/>
      </c>
      <c r="F1929">
        <f>IFERROR(--INDEX('Term investments'!$F:$F,ROW()),0)</f>
        <v/>
      </c>
      <c r="G1929">
        <f>IFERROR(IF(--INDEX('Term investments'!$G:$G,ROW())&gt;=1,--INDEX('Term investments'!$G:$G,ROW())/100,--INDEX('Term investments'!$G:$G,ROW())),0)</f>
        <v/>
      </c>
      <c r="H1929">
        <f>IFERROR(--INDEX('Term investments'!$H:$H,ROW()),0)</f>
        <v/>
      </c>
      <c r="I1929">
        <f>IF(ISNUMBER(INDEX('Term investments'!$G:$G,ROW())),1,0)</f>
        <v/>
      </c>
      <c r="J1929">
        <f>TRIM(SUBSTITUTE(INDEX('Call accounts and MMFs'!$A:$A,ROW())&amp;""," "," "))</f>
        <v/>
      </c>
      <c r="K1929">
        <f>TRIM(SUBSTITUTE(INDEX('Call accounts and MMFs'!$B:$B,ROW())&amp;""," "," "))</f>
        <v/>
      </c>
      <c r="L1929">
        <f>TRIM(SUBSTITUTE(INDEX('Call accounts and MMFs'!$C:$C,ROW())&amp;""," "," "))</f>
        <v/>
      </c>
      <c r="M1929">
        <f>IFERROR(--INDEX('Call accounts and MMFs'!$D:$D,ROW()),0)</f>
        <v/>
      </c>
      <c r="N1929">
        <f>IFERROR(IF(--INDEX('Call accounts and MMFs'!$E:$E,ROW())&gt;=1,--INDEX('Call accounts and MMFs'!$E:$E,ROW())/100,--INDEX('Call accounts and MMFs'!$E:$E,ROW())),0)</f>
        <v/>
      </c>
      <c r="O1929">
        <f>IFERROR(--INDEX('Call accounts and MMFs'!$F:$F,ROW()),0)</f>
        <v/>
      </c>
      <c r="P1929">
        <f>IF(ISNUMBER(INDEX('Call accounts and MMFs'!$E:$E,ROW())),1,0)</f>
        <v/>
      </c>
      <c r="Q1929">
        <f>TRIM(SUBSTITUTE(INDEX('Pooled funds'!$B:$B,ROW())&amp;""," "," "))</f>
        <v/>
      </c>
      <c r="R1929">
        <f>IFERROR(--INDEX('Pooled funds'!$C:$C,ROW()),0)</f>
        <v/>
      </c>
      <c r="S1929">
        <f>IFERROR(--INDEX('Pooled funds'!$D:$D,ROW()),0)</f>
        <v/>
      </c>
      <c r="T1929">
        <f>IFERROR(IF(--INDEX('Pooled funds'!$E:$E,ROW())&gt;=1,--INDEX('Pooled funds'!$E:$E,ROW())/100,--INDEX('Pooled funds'!$E:$E,ROW())),0)</f>
        <v/>
      </c>
      <c r="U1929">
        <f>IF(ISNUMBER(INDEX('Pooled funds'!$E:$E,ROW())),1,0)</f>
        <v/>
      </c>
    </row>
    <row r="1930">
      <c r="A1930">
        <f>TRIM(SUBSTITUTE(INDEX('Term investments'!$A:$A,ROW())&amp;""," "," "))</f>
        <v/>
      </c>
      <c r="B1930">
        <f>TRIM(SUBSTITUTE(INDEX('Term investments'!$B:$B,ROW())&amp;""," "," "))</f>
        <v/>
      </c>
      <c r="C1930">
        <f>TRIM(SUBSTITUTE(INDEX('Term investments'!$C:$C,ROW())&amp;""," "," "))</f>
        <v/>
      </c>
      <c r="D1930">
        <f>IFERROR(--INDEX('Term investments'!$D:$D,ROW()),0)</f>
        <v/>
      </c>
      <c r="E1930">
        <f>IFERROR(--INDEX('Term investments'!$E:$E,ROW()),0)</f>
        <v/>
      </c>
      <c r="F1930">
        <f>IFERROR(--INDEX('Term investments'!$F:$F,ROW()),0)</f>
        <v/>
      </c>
      <c r="G1930">
        <f>IFERROR(IF(--INDEX('Term investments'!$G:$G,ROW())&gt;=1,--INDEX('Term investments'!$G:$G,ROW())/100,--INDEX('Term investments'!$G:$G,ROW())),0)</f>
        <v/>
      </c>
      <c r="H1930">
        <f>IFERROR(--INDEX('Term investments'!$H:$H,ROW()),0)</f>
        <v/>
      </c>
      <c r="I1930">
        <f>IF(ISNUMBER(INDEX('Term investments'!$G:$G,ROW())),1,0)</f>
        <v/>
      </c>
      <c r="J1930">
        <f>TRIM(SUBSTITUTE(INDEX('Call accounts and MMFs'!$A:$A,ROW())&amp;""," "," "))</f>
        <v/>
      </c>
      <c r="K1930">
        <f>TRIM(SUBSTITUTE(INDEX('Call accounts and MMFs'!$B:$B,ROW())&amp;""," "," "))</f>
        <v/>
      </c>
      <c r="L1930">
        <f>TRIM(SUBSTITUTE(INDEX('Call accounts and MMFs'!$C:$C,ROW())&amp;""," "," "))</f>
        <v/>
      </c>
      <c r="M1930">
        <f>IFERROR(--INDEX('Call accounts and MMFs'!$D:$D,ROW()),0)</f>
        <v/>
      </c>
      <c r="N1930">
        <f>IFERROR(IF(--INDEX('Call accounts and MMFs'!$E:$E,ROW())&gt;=1,--INDEX('Call accounts and MMFs'!$E:$E,ROW())/100,--INDEX('Call accounts and MMFs'!$E:$E,ROW())),0)</f>
        <v/>
      </c>
      <c r="O1930">
        <f>IFERROR(--INDEX('Call accounts and MMFs'!$F:$F,ROW()),0)</f>
        <v/>
      </c>
      <c r="P1930">
        <f>IF(ISNUMBER(INDEX('Call accounts and MMFs'!$E:$E,ROW())),1,0)</f>
        <v/>
      </c>
      <c r="Q1930">
        <f>TRIM(SUBSTITUTE(INDEX('Pooled funds'!$B:$B,ROW())&amp;""," "," "))</f>
        <v/>
      </c>
      <c r="R1930">
        <f>IFERROR(--INDEX('Pooled funds'!$C:$C,ROW()),0)</f>
        <v/>
      </c>
      <c r="S1930">
        <f>IFERROR(--INDEX('Pooled funds'!$D:$D,ROW()),0)</f>
        <v/>
      </c>
      <c r="T1930">
        <f>IFERROR(IF(--INDEX('Pooled funds'!$E:$E,ROW())&gt;=1,--INDEX('Pooled funds'!$E:$E,ROW())/100,--INDEX('Pooled funds'!$E:$E,ROW())),0)</f>
        <v/>
      </c>
      <c r="U1930">
        <f>IF(ISNUMBER(INDEX('Pooled funds'!$E:$E,ROW())),1,0)</f>
        <v/>
      </c>
    </row>
    <row r="1931">
      <c r="A1931">
        <f>TRIM(SUBSTITUTE(INDEX('Term investments'!$A:$A,ROW())&amp;""," "," "))</f>
        <v/>
      </c>
      <c r="B1931">
        <f>TRIM(SUBSTITUTE(INDEX('Term investments'!$B:$B,ROW())&amp;""," "," "))</f>
        <v/>
      </c>
      <c r="C1931">
        <f>TRIM(SUBSTITUTE(INDEX('Term investments'!$C:$C,ROW())&amp;""," "," "))</f>
        <v/>
      </c>
      <c r="D1931">
        <f>IFERROR(--INDEX('Term investments'!$D:$D,ROW()),0)</f>
        <v/>
      </c>
      <c r="E1931">
        <f>IFERROR(--INDEX('Term investments'!$E:$E,ROW()),0)</f>
        <v/>
      </c>
      <c r="F1931">
        <f>IFERROR(--INDEX('Term investments'!$F:$F,ROW()),0)</f>
        <v/>
      </c>
      <c r="G1931">
        <f>IFERROR(IF(--INDEX('Term investments'!$G:$G,ROW())&gt;=1,--INDEX('Term investments'!$G:$G,ROW())/100,--INDEX('Term investments'!$G:$G,ROW())),0)</f>
        <v/>
      </c>
      <c r="H1931">
        <f>IFERROR(--INDEX('Term investments'!$H:$H,ROW()),0)</f>
        <v/>
      </c>
      <c r="I1931">
        <f>IF(ISNUMBER(INDEX('Term investments'!$G:$G,ROW())),1,0)</f>
        <v/>
      </c>
      <c r="J1931">
        <f>TRIM(SUBSTITUTE(INDEX('Call accounts and MMFs'!$A:$A,ROW())&amp;""," "," "))</f>
        <v/>
      </c>
      <c r="K1931">
        <f>TRIM(SUBSTITUTE(INDEX('Call accounts and MMFs'!$B:$B,ROW())&amp;""," "," "))</f>
        <v/>
      </c>
      <c r="L1931">
        <f>TRIM(SUBSTITUTE(INDEX('Call accounts and MMFs'!$C:$C,ROW())&amp;""," "," "))</f>
        <v/>
      </c>
      <c r="M1931">
        <f>IFERROR(--INDEX('Call accounts and MMFs'!$D:$D,ROW()),0)</f>
        <v/>
      </c>
      <c r="N1931">
        <f>IFERROR(IF(--INDEX('Call accounts and MMFs'!$E:$E,ROW())&gt;=1,--INDEX('Call accounts and MMFs'!$E:$E,ROW())/100,--INDEX('Call accounts and MMFs'!$E:$E,ROW())),0)</f>
        <v/>
      </c>
      <c r="O1931">
        <f>IFERROR(--INDEX('Call accounts and MMFs'!$F:$F,ROW()),0)</f>
        <v/>
      </c>
      <c r="P1931">
        <f>IF(ISNUMBER(INDEX('Call accounts and MMFs'!$E:$E,ROW())),1,0)</f>
        <v/>
      </c>
      <c r="Q1931">
        <f>TRIM(SUBSTITUTE(INDEX('Pooled funds'!$B:$B,ROW())&amp;""," "," "))</f>
        <v/>
      </c>
      <c r="R1931">
        <f>IFERROR(--INDEX('Pooled funds'!$C:$C,ROW()),0)</f>
        <v/>
      </c>
      <c r="S1931">
        <f>IFERROR(--INDEX('Pooled funds'!$D:$D,ROW()),0)</f>
        <v/>
      </c>
      <c r="T1931">
        <f>IFERROR(IF(--INDEX('Pooled funds'!$E:$E,ROW())&gt;=1,--INDEX('Pooled funds'!$E:$E,ROW())/100,--INDEX('Pooled funds'!$E:$E,ROW())),0)</f>
        <v/>
      </c>
      <c r="U1931">
        <f>IF(ISNUMBER(INDEX('Pooled funds'!$E:$E,ROW())),1,0)</f>
        <v/>
      </c>
    </row>
    <row r="1932">
      <c r="A1932">
        <f>TRIM(SUBSTITUTE(INDEX('Term investments'!$A:$A,ROW())&amp;""," "," "))</f>
        <v/>
      </c>
      <c r="B1932">
        <f>TRIM(SUBSTITUTE(INDEX('Term investments'!$B:$B,ROW())&amp;""," "," "))</f>
        <v/>
      </c>
      <c r="C1932">
        <f>TRIM(SUBSTITUTE(INDEX('Term investments'!$C:$C,ROW())&amp;""," "," "))</f>
        <v/>
      </c>
      <c r="D1932">
        <f>IFERROR(--INDEX('Term investments'!$D:$D,ROW()),0)</f>
        <v/>
      </c>
      <c r="E1932">
        <f>IFERROR(--INDEX('Term investments'!$E:$E,ROW()),0)</f>
        <v/>
      </c>
      <c r="F1932">
        <f>IFERROR(--INDEX('Term investments'!$F:$F,ROW()),0)</f>
        <v/>
      </c>
      <c r="G1932">
        <f>IFERROR(IF(--INDEX('Term investments'!$G:$G,ROW())&gt;=1,--INDEX('Term investments'!$G:$G,ROW())/100,--INDEX('Term investments'!$G:$G,ROW())),0)</f>
        <v/>
      </c>
      <c r="H1932">
        <f>IFERROR(--INDEX('Term investments'!$H:$H,ROW()),0)</f>
        <v/>
      </c>
      <c r="I1932">
        <f>IF(ISNUMBER(INDEX('Term investments'!$G:$G,ROW())),1,0)</f>
        <v/>
      </c>
      <c r="J1932">
        <f>TRIM(SUBSTITUTE(INDEX('Call accounts and MMFs'!$A:$A,ROW())&amp;""," "," "))</f>
        <v/>
      </c>
      <c r="K1932">
        <f>TRIM(SUBSTITUTE(INDEX('Call accounts and MMFs'!$B:$B,ROW())&amp;""," "," "))</f>
        <v/>
      </c>
      <c r="L1932">
        <f>TRIM(SUBSTITUTE(INDEX('Call accounts and MMFs'!$C:$C,ROW())&amp;""," "," "))</f>
        <v/>
      </c>
      <c r="M1932">
        <f>IFERROR(--INDEX('Call accounts and MMFs'!$D:$D,ROW()),0)</f>
        <v/>
      </c>
      <c r="N1932">
        <f>IFERROR(IF(--INDEX('Call accounts and MMFs'!$E:$E,ROW())&gt;=1,--INDEX('Call accounts and MMFs'!$E:$E,ROW())/100,--INDEX('Call accounts and MMFs'!$E:$E,ROW())),0)</f>
        <v/>
      </c>
      <c r="O1932">
        <f>IFERROR(--INDEX('Call accounts and MMFs'!$F:$F,ROW()),0)</f>
        <v/>
      </c>
      <c r="P1932">
        <f>IF(ISNUMBER(INDEX('Call accounts and MMFs'!$E:$E,ROW())),1,0)</f>
        <v/>
      </c>
      <c r="Q1932">
        <f>TRIM(SUBSTITUTE(INDEX('Pooled funds'!$B:$B,ROW())&amp;""," "," "))</f>
        <v/>
      </c>
      <c r="R1932">
        <f>IFERROR(--INDEX('Pooled funds'!$C:$C,ROW()),0)</f>
        <v/>
      </c>
      <c r="S1932">
        <f>IFERROR(--INDEX('Pooled funds'!$D:$D,ROW()),0)</f>
        <v/>
      </c>
      <c r="T1932">
        <f>IFERROR(IF(--INDEX('Pooled funds'!$E:$E,ROW())&gt;=1,--INDEX('Pooled funds'!$E:$E,ROW())/100,--INDEX('Pooled funds'!$E:$E,ROW())),0)</f>
        <v/>
      </c>
      <c r="U1932">
        <f>IF(ISNUMBER(INDEX('Pooled funds'!$E:$E,ROW())),1,0)</f>
        <v/>
      </c>
    </row>
    <row r="1933">
      <c r="A1933">
        <f>TRIM(SUBSTITUTE(INDEX('Term investments'!$A:$A,ROW())&amp;""," "," "))</f>
        <v/>
      </c>
      <c r="B1933">
        <f>TRIM(SUBSTITUTE(INDEX('Term investments'!$B:$B,ROW())&amp;""," "," "))</f>
        <v/>
      </c>
      <c r="C1933">
        <f>TRIM(SUBSTITUTE(INDEX('Term investments'!$C:$C,ROW())&amp;""," "," "))</f>
        <v/>
      </c>
      <c r="D1933">
        <f>IFERROR(--INDEX('Term investments'!$D:$D,ROW()),0)</f>
        <v/>
      </c>
      <c r="E1933">
        <f>IFERROR(--INDEX('Term investments'!$E:$E,ROW()),0)</f>
        <v/>
      </c>
      <c r="F1933">
        <f>IFERROR(--INDEX('Term investments'!$F:$F,ROW()),0)</f>
        <v/>
      </c>
      <c r="G1933">
        <f>IFERROR(IF(--INDEX('Term investments'!$G:$G,ROW())&gt;=1,--INDEX('Term investments'!$G:$G,ROW())/100,--INDEX('Term investments'!$G:$G,ROW())),0)</f>
        <v/>
      </c>
      <c r="H1933">
        <f>IFERROR(--INDEX('Term investments'!$H:$H,ROW()),0)</f>
        <v/>
      </c>
      <c r="I1933">
        <f>IF(ISNUMBER(INDEX('Term investments'!$G:$G,ROW())),1,0)</f>
        <v/>
      </c>
      <c r="J1933">
        <f>TRIM(SUBSTITUTE(INDEX('Call accounts and MMFs'!$A:$A,ROW())&amp;""," "," "))</f>
        <v/>
      </c>
      <c r="K1933">
        <f>TRIM(SUBSTITUTE(INDEX('Call accounts and MMFs'!$B:$B,ROW())&amp;""," "," "))</f>
        <v/>
      </c>
      <c r="L1933">
        <f>TRIM(SUBSTITUTE(INDEX('Call accounts and MMFs'!$C:$C,ROW())&amp;""," "," "))</f>
        <v/>
      </c>
      <c r="M1933">
        <f>IFERROR(--INDEX('Call accounts and MMFs'!$D:$D,ROW()),0)</f>
        <v/>
      </c>
      <c r="N1933">
        <f>IFERROR(IF(--INDEX('Call accounts and MMFs'!$E:$E,ROW())&gt;=1,--INDEX('Call accounts and MMFs'!$E:$E,ROW())/100,--INDEX('Call accounts and MMFs'!$E:$E,ROW())),0)</f>
        <v/>
      </c>
      <c r="O1933">
        <f>IFERROR(--INDEX('Call accounts and MMFs'!$F:$F,ROW()),0)</f>
        <v/>
      </c>
      <c r="P1933">
        <f>IF(ISNUMBER(INDEX('Call accounts and MMFs'!$E:$E,ROW())),1,0)</f>
        <v/>
      </c>
      <c r="Q1933">
        <f>TRIM(SUBSTITUTE(INDEX('Pooled funds'!$B:$B,ROW())&amp;""," "," "))</f>
        <v/>
      </c>
      <c r="R1933">
        <f>IFERROR(--INDEX('Pooled funds'!$C:$C,ROW()),0)</f>
        <v/>
      </c>
      <c r="S1933">
        <f>IFERROR(--INDEX('Pooled funds'!$D:$D,ROW()),0)</f>
        <v/>
      </c>
      <c r="T1933">
        <f>IFERROR(IF(--INDEX('Pooled funds'!$E:$E,ROW())&gt;=1,--INDEX('Pooled funds'!$E:$E,ROW())/100,--INDEX('Pooled funds'!$E:$E,ROW())),0)</f>
        <v/>
      </c>
      <c r="U1933">
        <f>IF(ISNUMBER(INDEX('Pooled funds'!$E:$E,ROW())),1,0)</f>
        <v/>
      </c>
    </row>
    <row r="1934">
      <c r="A1934">
        <f>TRIM(SUBSTITUTE(INDEX('Term investments'!$A:$A,ROW())&amp;""," "," "))</f>
        <v/>
      </c>
      <c r="B1934">
        <f>TRIM(SUBSTITUTE(INDEX('Term investments'!$B:$B,ROW())&amp;""," "," "))</f>
        <v/>
      </c>
      <c r="C1934">
        <f>TRIM(SUBSTITUTE(INDEX('Term investments'!$C:$C,ROW())&amp;""," "," "))</f>
        <v/>
      </c>
      <c r="D1934">
        <f>IFERROR(--INDEX('Term investments'!$D:$D,ROW()),0)</f>
        <v/>
      </c>
      <c r="E1934">
        <f>IFERROR(--INDEX('Term investments'!$E:$E,ROW()),0)</f>
        <v/>
      </c>
      <c r="F1934">
        <f>IFERROR(--INDEX('Term investments'!$F:$F,ROW()),0)</f>
        <v/>
      </c>
      <c r="G1934">
        <f>IFERROR(IF(--INDEX('Term investments'!$G:$G,ROW())&gt;=1,--INDEX('Term investments'!$G:$G,ROW())/100,--INDEX('Term investments'!$G:$G,ROW())),0)</f>
        <v/>
      </c>
      <c r="H1934">
        <f>IFERROR(--INDEX('Term investments'!$H:$H,ROW()),0)</f>
        <v/>
      </c>
      <c r="I1934">
        <f>IF(ISNUMBER(INDEX('Term investments'!$G:$G,ROW())),1,0)</f>
        <v/>
      </c>
      <c r="J1934">
        <f>TRIM(SUBSTITUTE(INDEX('Call accounts and MMFs'!$A:$A,ROW())&amp;""," "," "))</f>
        <v/>
      </c>
      <c r="K1934">
        <f>TRIM(SUBSTITUTE(INDEX('Call accounts and MMFs'!$B:$B,ROW())&amp;""," "," "))</f>
        <v/>
      </c>
      <c r="L1934">
        <f>TRIM(SUBSTITUTE(INDEX('Call accounts and MMFs'!$C:$C,ROW())&amp;""," "," "))</f>
        <v/>
      </c>
      <c r="M1934">
        <f>IFERROR(--INDEX('Call accounts and MMFs'!$D:$D,ROW()),0)</f>
        <v/>
      </c>
      <c r="N1934">
        <f>IFERROR(IF(--INDEX('Call accounts and MMFs'!$E:$E,ROW())&gt;=1,--INDEX('Call accounts and MMFs'!$E:$E,ROW())/100,--INDEX('Call accounts and MMFs'!$E:$E,ROW())),0)</f>
        <v/>
      </c>
      <c r="O1934">
        <f>IFERROR(--INDEX('Call accounts and MMFs'!$F:$F,ROW()),0)</f>
        <v/>
      </c>
      <c r="P1934">
        <f>IF(ISNUMBER(INDEX('Call accounts and MMFs'!$E:$E,ROW())),1,0)</f>
        <v/>
      </c>
      <c r="Q1934">
        <f>TRIM(SUBSTITUTE(INDEX('Pooled funds'!$B:$B,ROW())&amp;""," "," "))</f>
        <v/>
      </c>
      <c r="R1934">
        <f>IFERROR(--INDEX('Pooled funds'!$C:$C,ROW()),0)</f>
        <v/>
      </c>
      <c r="S1934">
        <f>IFERROR(--INDEX('Pooled funds'!$D:$D,ROW()),0)</f>
        <v/>
      </c>
      <c r="T1934">
        <f>IFERROR(IF(--INDEX('Pooled funds'!$E:$E,ROW())&gt;=1,--INDEX('Pooled funds'!$E:$E,ROW())/100,--INDEX('Pooled funds'!$E:$E,ROW())),0)</f>
        <v/>
      </c>
      <c r="U1934">
        <f>IF(ISNUMBER(INDEX('Pooled funds'!$E:$E,ROW())),1,0)</f>
        <v/>
      </c>
    </row>
    <row r="1935">
      <c r="A1935">
        <f>TRIM(SUBSTITUTE(INDEX('Term investments'!$A:$A,ROW())&amp;""," "," "))</f>
        <v/>
      </c>
      <c r="B1935">
        <f>TRIM(SUBSTITUTE(INDEX('Term investments'!$B:$B,ROW())&amp;""," "," "))</f>
        <v/>
      </c>
      <c r="C1935">
        <f>TRIM(SUBSTITUTE(INDEX('Term investments'!$C:$C,ROW())&amp;""," "," "))</f>
        <v/>
      </c>
      <c r="D1935">
        <f>IFERROR(--INDEX('Term investments'!$D:$D,ROW()),0)</f>
        <v/>
      </c>
      <c r="E1935">
        <f>IFERROR(--INDEX('Term investments'!$E:$E,ROW()),0)</f>
        <v/>
      </c>
      <c r="F1935">
        <f>IFERROR(--INDEX('Term investments'!$F:$F,ROW()),0)</f>
        <v/>
      </c>
      <c r="G1935">
        <f>IFERROR(IF(--INDEX('Term investments'!$G:$G,ROW())&gt;=1,--INDEX('Term investments'!$G:$G,ROW())/100,--INDEX('Term investments'!$G:$G,ROW())),0)</f>
        <v/>
      </c>
      <c r="H1935">
        <f>IFERROR(--INDEX('Term investments'!$H:$H,ROW()),0)</f>
        <v/>
      </c>
      <c r="I1935">
        <f>IF(ISNUMBER(INDEX('Term investments'!$G:$G,ROW())),1,0)</f>
        <v/>
      </c>
      <c r="J1935">
        <f>TRIM(SUBSTITUTE(INDEX('Call accounts and MMFs'!$A:$A,ROW())&amp;""," "," "))</f>
        <v/>
      </c>
      <c r="K1935">
        <f>TRIM(SUBSTITUTE(INDEX('Call accounts and MMFs'!$B:$B,ROW())&amp;""," "," "))</f>
        <v/>
      </c>
      <c r="L1935">
        <f>TRIM(SUBSTITUTE(INDEX('Call accounts and MMFs'!$C:$C,ROW())&amp;""," "," "))</f>
        <v/>
      </c>
      <c r="M1935">
        <f>IFERROR(--INDEX('Call accounts and MMFs'!$D:$D,ROW()),0)</f>
        <v/>
      </c>
      <c r="N1935">
        <f>IFERROR(IF(--INDEX('Call accounts and MMFs'!$E:$E,ROW())&gt;=1,--INDEX('Call accounts and MMFs'!$E:$E,ROW())/100,--INDEX('Call accounts and MMFs'!$E:$E,ROW())),0)</f>
        <v/>
      </c>
      <c r="O1935">
        <f>IFERROR(--INDEX('Call accounts and MMFs'!$F:$F,ROW()),0)</f>
        <v/>
      </c>
      <c r="P1935">
        <f>IF(ISNUMBER(INDEX('Call accounts and MMFs'!$E:$E,ROW())),1,0)</f>
        <v/>
      </c>
      <c r="Q1935">
        <f>TRIM(SUBSTITUTE(INDEX('Pooled funds'!$B:$B,ROW())&amp;""," "," "))</f>
        <v/>
      </c>
      <c r="R1935">
        <f>IFERROR(--INDEX('Pooled funds'!$C:$C,ROW()),0)</f>
        <v/>
      </c>
      <c r="S1935">
        <f>IFERROR(--INDEX('Pooled funds'!$D:$D,ROW()),0)</f>
        <v/>
      </c>
      <c r="T1935">
        <f>IFERROR(IF(--INDEX('Pooled funds'!$E:$E,ROW())&gt;=1,--INDEX('Pooled funds'!$E:$E,ROW())/100,--INDEX('Pooled funds'!$E:$E,ROW())),0)</f>
        <v/>
      </c>
      <c r="U1935">
        <f>IF(ISNUMBER(INDEX('Pooled funds'!$E:$E,ROW())),1,0)</f>
        <v/>
      </c>
    </row>
    <row r="1936">
      <c r="A1936">
        <f>TRIM(SUBSTITUTE(INDEX('Term investments'!$A:$A,ROW())&amp;""," "," "))</f>
        <v/>
      </c>
      <c r="B1936">
        <f>TRIM(SUBSTITUTE(INDEX('Term investments'!$B:$B,ROW())&amp;""," "," "))</f>
        <v/>
      </c>
      <c r="C1936">
        <f>TRIM(SUBSTITUTE(INDEX('Term investments'!$C:$C,ROW())&amp;""," "," "))</f>
        <v/>
      </c>
      <c r="D1936">
        <f>IFERROR(--INDEX('Term investments'!$D:$D,ROW()),0)</f>
        <v/>
      </c>
      <c r="E1936">
        <f>IFERROR(--INDEX('Term investments'!$E:$E,ROW()),0)</f>
        <v/>
      </c>
      <c r="F1936">
        <f>IFERROR(--INDEX('Term investments'!$F:$F,ROW()),0)</f>
        <v/>
      </c>
      <c r="G1936">
        <f>IFERROR(IF(--INDEX('Term investments'!$G:$G,ROW())&gt;=1,--INDEX('Term investments'!$G:$G,ROW())/100,--INDEX('Term investments'!$G:$G,ROW())),0)</f>
        <v/>
      </c>
      <c r="H1936">
        <f>IFERROR(--INDEX('Term investments'!$H:$H,ROW()),0)</f>
        <v/>
      </c>
      <c r="I1936">
        <f>IF(ISNUMBER(INDEX('Term investments'!$G:$G,ROW())),1,0)</f>
        <v/>
      </c>
      <c r="J1936">
        <f>TRIM(SUBSTITUTE(INDEX('Call accounts and MMFs'!$A:$A,ROW())&amp;""," "," "))</f>
        <v/>
      </c>
      <c r="K1936">
        <f>TRIM(SUBSTITUTE(INDEX('Call accounts and MMFs'!$B:$B,ROW())&amp;""," "," "))</f>
        <v/>
      </c>
      <c r="L1936">
        <f>TRIM(SUBSTITUTE(INDEX('Call accounts and MMFs'!$C:$C,ROW())&amp;""," "," "))</f>
        <v/>
      </c>
      <c r="M1936">
        <f>IFERROR(--INDEX('Call accounts and MMFs'!$D:$D,ROW()),0)</f>
        <v/>
      </c>
      <c r="N1936">
        <f>IFERROR(IF(--INDEX('Call accounts and MMFs'!$E:$E,ROW())&gt;=1,--INDEX('Call accounts and MMFs'!$E:$E,ROW())/100,--INDEX('Call accounts and MMFs'!$E:$E,ROW())),0)</f>
        <v/>
      </c>
      <c r="O1936">
        <f>IFERROR(--INDEX('Call accounts and MMFs'!$F:$F,ROW()),0)</f>
        <v/>
      </c>
      <c r="P1936">
        <f>IF(ISNUMBER(INDEX('Call accounts and MMFs'!$E:$E,ROW())),1,0)</f>
        <v/>
      </c>
      <c r="Q1936">
        <f>TRIM(SUBSTITUTE(INDEX('Pooled funds'!$B:$B,ROW())&amp;""," "," "))</f>
        <v/>
      </c>
      <c r="R1936">
        <f>IFERROR(--INDEX('Pooled funds'!$C:$C,ROW()),0)</f>
        <v/>
      </c>
      <c r="S1936">
        <f>IFERROR(--INDEX('Pooled funds'!$D:$D,ROW()),0)</f>
        <v/>
      </c>
      <c r="T1936">
        <f>IFERROR(IF(--INDEX('Pooled funds'!$E:$E,ROW())&gt;=1,--INDEX('Pooled funds'!$E:$E,ROW())/100,--INDEX('Pooled funds'!$E:$E,ROW())),0)</f>
        <v/>
      </c>
      <c r="U1936">
        <f>IF(ISNUMBER(INDEX('Pooled funds'!$E:$E,ROW())),1,0)</f>
        <v/>
      </c>
    </row>
    <row r="1937">
      <c r="A1937">
        <f>TRIM(SUBSTITUTE(INDEX('Term investments'!$A:$A,ROW())&amp;""," "," "))</f>
        <v/>
      </c>
      <c r="B1937">
        <f>TRIM(SUBSTITUTE(INDEX('Term investments'!$B:$B,ROW())&amp;""," "," "))</f>
        <v/>
      </c>
      <c r="C1937">
        <f>TRIM(SUBSTITUTE(INDEX('Term investments'!$C:$C,ROW())&amp;""," "," "))</f>
        <v/>
      </c>
      <c r="D1937">
        <f>IFERROR(--INDEX('Term investments'!$D:$D,ROW()),0)</f>
        <v/>
      </c>
      <c r="E1937">
        <f>IFERROR(--INDEX('Term investments'!$E:$E,ROW()),0)</f>
        <v/>
      </c>
      <c r="F1937">
        <f>IFERROR(--INDEX('Term investments'!$F:$F,ROW()),0)</f>
        <v/>
      </c>
      <c r="G1937">
        <f>IFERROR(IF(--INDEX('Term investments'!$G:$G,ROW())&gt;=1,--INDEX('Term investments'!$G:$G,ROW())/100,--INDEX('Term investments'!$G:$G,ROW())),0)</f>
        <v/>
      </c>
      <c r="H1937">
        <f>IFERROR(--INDEX('Term investments'!$H:$H,ROW()),0)</f>
        <v/>
      </c>
      <c r="I1937">
        <f>IF(ISNUMBER(INDEX('Term investments'!$G:$G,ROW())),1,0)</f>
        <v/>
      </c>
      <c r="J1937">
        <f>TRIM(SUBSTITUTE(INDEX('Call accounts and MMFs'!$A:$A,ROW())&amp;""," "," "))</f>
        <v/>
      </c>
      <c r="K1937">
        <f>TRIM(SUBSTITUTE(INDEX('Call accounts and MMFs'!$B:$B,ROW())&amp;""," "," "))</f>
        <v/>
      </c>
      <c r="L1937">
        <f>TRIM(SUBSTITUTE(INDEX('Call accounts and MMFs'!$C:$C,ROW())&amp;""," "," "))</f>
        <v/>
      </c>
      <c r="M1937">
        <f>IFERROR(--INDEX('Call accounts and MMFs'!$D:$D,ROW()),0)</f>
        <v/>
      </c>
      <c r="N1937">
        <f>IFERROR(IF(--INDEX('Call accounts and MMFs'!$E:$E,ROW())&gt;=1,--INDEX('Call accounts and MMFs'!$E:$E,ROW())/100,--INDEX('Call accounts and MMFs'!$E:$E,ROW())),0)</f>
        <v/>
      </c>
      <c r="O1937">
        <f>IFERROR(--INDEX('Call accounts and MMFs'!$F:$F,ROW()),0)</f>
        <v/>
      </c>
      <c r="P1937">
        <f>IF(ISNUMBER(INDEX('Call accounts and MMFs'!$E:$E,ROW())),1,0)</f>
        <v/>
      </c>
      <c r="Q1937">
        <f>TRIM(SUBSTITUTE(INDEX('Pooled funds'!$B:$B,ROW())&amp;""," "," "))</f>
        <v/>
      </c>
      <c r="R1937">
        <f>IFERROR(--INDEX('Pooled funds'!$C:$C,ROW()),0)</f>
        <v/>
      </c>
      <c r="S1937">
        <f>IFERROR(--INDEX('Pooled funds'!$D:$D,ROW()),0)</f>
        <v/>
      </c>
      <c r="T1937">
        <f>IFERROR(IF(--INDEX('Pooled funds'!$E:$E,ROW())&gt;=1,--INDEX('Pooled funds'!$E:$E,ROW())/100,--INDEX('Pooled funds'!$E:$E,ROW())),0)</f>
        <v/>
      </c>
      <c r="U1937">
        <f>IF(ISNUMBER(INDEX('Pooled funds'!$E:$E,ROW())),1,0)</f>
        <v/>
      </c>
    </row>
    <row r="1938">
      <c r="A1938">
        <f>TRIM(SUBSTITUTE(INDEX('Term investments'!$A:$A,ROW())&amp;""," "," "))</f>
        <v/>
      </c>
      <c r="B1938">
        <f>TRIM(SUBSTITUTE(INDEX('Term investments'!$B:$B,ROW())&amp;""," "," "))</f>
        <v/>
      </c>
      <c r="C1938">
        <f>TRIM(SUBSTITUTE(INDEX('Term investments'!$C:$C,ROW())&amp;""," "," "))</f>
        <v/>
      </c>
      <c r="D1938">
        <f>IFERROR(--INDEX('Term investments'!$D:$D,ROW()),0)</f>
        <v/>
      </c>
      <c r="E1938">
        <f>IFERROR(--INDEX('Term investments'!$E:$E,ROW()),0)</f>
        <v/>
      </c>
      <c r="F1938">
        <f>IFERROR(--INDEX('Term investments'!$F:$F,ROW()),0)</f>
        <v/>
      </c>
      <c r="G1938">
        <f>IFERROR(IF(--INDEX('Term investments'!$G:$G,ROW())&gt;=1,--INDEX('Term investments'!$G:$G,ROW())/100,--INDEX('Term investments'!$G:$G,ROW())),0)</f>
        <v/>
      </c>
      <c r="H1938">
        <f>IFERROR(--INDEX('Term investments'!$H:$H,ROW()),0)</f>
        <v/>
      </c>
      <c r="I1938">
        <f>IF(ISNUMBER(INDEX('Term investments'!$G:$G,ROW())),1,0)</f>
        <v/>
      </c>
      <c r="J1938">
        <f>TRIM(SUBSTITUTE(INDEX('Call accounts and MMFs'!$A:$A,ROW())&amp;""," "," "))</f>
        <v/>
      </c>
      <c r="K1938">
        <f>TRIM(SUBSTITUTE(INDEX('Call accounts and MMFs'!$B:$B,ROW())&amp;""," "," "))</f>
        <v/>
      </c>
      <c r="L1938">
        <f>TRIM(SUBSTITUTE(INDEX('Call accounts and MMFs'!$C:$C,ROW())&amp;""," "," "))</f>
        <v/>
      </c>
      <c r="M1938">
        <f>IFERROR(--INDEX('Call accounts and MMFs'!$D:$D,ROW()),0)</f>
        <v/>
      </c>
      <c r="N1938">
        <f>IFERROR(IF(--INDEX('Call accounts and MMFs'!$E:$E,ROW())&gt;=1,--INDEX('Call accounts and MMFs'!$E:$E,ROW())/100,--INDEX('Call accounts and MMFs'!$E:$E,ROW())),0)</f>
        <v/>
      </c>
      <c r="O1938">
        <f>IFERROR(--INDEX('Call accounts and MMFs'!$F:$F,ROW()),0)</f>
        <v/>
      </c>
      <c r="P1938">
        <f>IF(ISNUMBER(INDEX('Call accounts and MMFs'!$E:$E,ROW())),1,0)</f>
        <v/>
      </c>
      <c r="Q1938">
        <f>TRIM(SUBSTITUTE(INDEX('Pooled funds'!$B:$B,ROW())&amp;""," "," "))</f>
        <v/>
      </c>
      <c r="R1938">
        <f>IFERROR(--INDEX('Pooled funds'!$C:$C,ROW()),0)</f>
        <v/>
      </c>
      <c r="S1938">
        <f>IFERROR(--INDEX('Pooled funds'!$D:$D,ROW()),0)</f>
        <v/>
      </c>
      <c r="T1938">
        <f>IFERROR(IF(--INDEX('Pooled funds'!$E:$E,ROW())&gt;=1,--INDEX('Pooled funds'!$E:$E,ROW())/100,--INDEX('Pooled funds'!$E:$E,ROW())),0)</f>
        <v/>
      </c>
      <c r="U1938">
        <f>IF(ISNUMBER(INDEX('Pooled funds'!$E:$E,ROW())),1,0)</f>
        <v/>
      </c>
    </row>
    <row r="1939">
      <c r="A1939">
        <f>TRIM(SUBSTITUTE(INDEX('Term investments'!$A:$A,ROW())&amp;""," "," "))</f>
        <v/>
      </c>
      <c r="B1939">
        <f>TRIM(SUBSTITUTE(INDEX('Term investments'!$B:$B,ROW())&amp;""," "," "))</f>
        <v/>
      </c>
      <c r="C1939">
        <f>TRIM(SUBSTITUTE(INDEX('Term investments'!$C:$C,ROW())&amp;""," "," "))</f>
        <v/>
      </c>
      <c r="D1939">
        <f>IFERROR(--INDEX('Term investments'!$D:$D,ROW()),0)</f>
        <v/>
      </c>
      <c r="E1939">
        <f>IFERROR(--INDEX('Term investments'!$E:$E,ROW()),0)</f>
        <v/>
      </c>
      <c r="F1939">
        <f>IFERROR(--INDEX('Term investments'!$F:$F,ROW()),0)</f>
        <v/>
      </c>
      <c r="G1939">
        <f>IFERROR(IF(--INDEX('Term investments'!$G:$G,ROW())&gt;=1,--INDEX('Term investments'!$G:$G,ROW())/100,--INDEX('Term investments'!$G:$G,ROW())),0)</f>
        <v/>
      </c>
      <c r="H1939">
        <f>IFERROR(--INDEX('Term investments'!$H:$H,ROW()),0)</f>
        <v/>
      </c>
      <c r="I1939">
        <f>IF(ISNUMBER(INDEX('Term investments'!$G:$G,ROW())),1,0)</f>
        <v/>
      </c>
      <c r="J1939">
        <f>TRIM(SUBSTITUTE(INDEX('Call accounts and MMFs'!$A:$A,ROW())&amp;""," "," "))</f>
        <v/>
      </c>
      <c r="K1939">
        <f>TRIM(SUBSTITUTE(INDEX('Call accounts and MMFs'!$B:$B,ROW())&amp;""," "," "))</f>
        <v/>
      </c>
      <c r="L1939">
        <f>TRIM(SUBSTITUTE(INDEX('Call accounts and MMFs'!$C:$C,ROW())&amp;""," "," "))</f>
        <v/>
      </c>
      <c r="M1939">
        <f>IFERROR(--INDEX('Call accounts and MMFs'!$D:$D,ROW()),0)</f>
        <v/>
      </c>
      <c r="N1939">
        <f>IFERROR(IF(--INDEX('Call accounts and MMFs'!$E:$E,ROW())&gt;=1,--INDEX('Call accounts and MMFs'!$E:$E,ROW())/100,--INDEX('Call accounts and MMFs'!$E:$E,ROW())),0)</f>
        <v/>
      </c>
      <c r="O1939">
        <f>IFERROR(--INDEX('Call accounts and MMFs'!$F:$F,ROW()),0)</f>
        <v/>
      </c>
      <c r="P1939">
        <f>IF(ISNUMBER(INDEX('Call accounts and MMFs'!$E:$E,ROW())),1,0)</f>
        <v/>
      </c>
      <c r="Q1939">
        <f>TRIM(SUBSTITUTE(INDEX('Pooled funds'!$B:$B,ROW())&amp;""," "," "))</f>
        <v/>
      </c>
      <c r="R1939">
        <f>IFERROR(--INDEX('Pooled funds'!$C:$C,ROW()),0)</f>
        <v/>
      </c>
      <c r="S1939">
        <f>IFERROR(--INDEX('Pooled funds'!$D:$D,ROW()),0)</f>
        <v/>
      </c>
      <c r="T1939">
        <f>IFERROR(IF(--INDEX('Pooled funds'!$E:$E,ROW())&gt;=1,--INDEX('Pooled funds'!$E:$E,ROW())/100,--INDEX('Pooled funds'!$E:$E,ROW())),0)</f>
        <v/>
      </c>
      <c r="U1939">
        <f>IF(ISNUMBER(INDEX('Pooled funds'!$E:$E,ROW())),1,0)</f>
        <v/>
      </c>
    </row>
    <row r="1940">
      <c r="A1940">
        <f>TRIM(SUBSTITUTE(INDEX('Term investments'!$A:$A,ROW())&amp;""," "," "))</f>
        <v/>
      </c>
      <c r="B1940">
        <f>TRIM(SUBSTITUTE(INDEX('Term investments'!$B:$B,ROW())&amp;""," "," "))</f>
        <v/>
      </c>
      <c r="C1940">
        <f>TRIM(SUBSTITUTE(INDEX('Term investments'!$C:$C,ROW())&amp;""," "," "))</f>
        <v/>
      </c>
      <c r="D1940">
        <f>IFERROR(--INDEX('Term investments'!$D:$D,ROW()),0)</f>
        <v/>
      </c>
      <c r="E1940">
        <f>IFERROR(--INDEX('Term investments'!$E:$E,ROW()),0)</f>
        <v/>
      </c>
      <c r="F1940">
        <f>IFERROR(--INDEX('Term investments'!$F:$F,ROW()),0)</f>
        <v/>
      </c>
      <c r="G1940">
        <f>IFERROR(IF(--INDEX('Term investments'!$G:$G,ROW())&gt;=1,--INDEX('Term investments'!$G:$G,ROW())/100,--INDEX('Term investments'!$G:$G,ROW())),0)</f>
        <v/>
      </c>
      <c r="H1940">
        <f>IFERROR(--INDEX('Term investments'!$H:$H,ROW()),0)</f>
        <v/>
      </c>
      <c r="I1940">
        <f>IF(ISNUMBER(INDEX('Term investments'!$G:$G,ROW())),1,0)</f>
        <v/>
      </c>
      <c r="J1940">
        <f>TRIM(SUBSTITUTE(INDEX('Call accounts and MMFs'!$A:$A,ROW())&amp;""," "," "))</f>
        <v/>
      </c>
      <c r="K1940">
        <f>TRIM(SUBSTITUTE(INDEX('Call accounts and MMFs'!$B:$B,ROW())&amp;""," "," "))</f>
        <v/>
      </c>
      <c r="L1940">
        <f>TRIM(SUBSTITUTE(INDEX('Call accounts and MMFs'!$C:$C,ROW())&amp;""," "," "))</f>
        <v/>
      </c>
      <c r="M1940">
        <f>IFERROR(--INDEX('Call accounts and MMFs'!$D:$D,ROW()),0)</f>
        <v/>
      </c>
      <c r="N1940">
        <f>IFERROR(IF(--INDEX('Call accounts and MMFs'!$E:$E,ROW())&gt;=1,--INDEX('Call accounts and MMFs'!$E:$E,ROW())/100,--INDEX('Call accounts and MMFs'!$E:$E,ROW())),0)</f>
        <v/>
      </c>
      <c r="O1940">
        <f>IFERROR(--INDEX('Call accounts and MMFs'!$F:$F,ROW()),0)</f>
        <v/>
      </c>
      <c r="P1940">
        <f>IF(ISNUMBER(INDEX('Call accounts and MMFs'!$E:$E,ROW())),1,0)</f>
        <v/>
      </c>
      <c r="Q1940">
        <f>TRIM(SUBSTITUTE(INDEX('Pooled funds'!$B:$B,ROW())&amp;""," "," "))</f>
        <v/>
      </c>
      <c r="R1940">
        <f>IFERROR(--INDEX('Pooled funds'!$C:$C,ROW()),0)</f>
        <v/>
      </c>
      <c r="S1940">
        <f>IFERROR(--INDEX('Pooled funds'!$D:$D,ROW()),0)</f>
        <v/>
      </c>
      <c r="T1940">
        <f>IFERROR(IF(--INDEX('Pooled funds'!$E:$E,ROW())&gt;=1,--INDEX('Pooled funds'!$E:$E,ROW())/100,--INDEX('Pooled funds'!$E:$E,ROW())),0)</f>
        <v/>
      </c>
      <c r="U1940">
        <f>IF(ISNUMBER(INDEX('Pooled funds'!$E:$E,ROW())),1,0)</f>
        <v/>
      </c>
    </row>
    <row r="1941">
      <c r="A1941">
        <f>TRIM(SUBSTITUTE(INDEX('Term investments'!$A:$A,ROW())&amp;""," "," "))</f>
        <v/>
      </c>
      <c r="B1941">
        <f>TRIM(SUBSTITUTE(INDEX('Term investments'!$B:$B,ROW())&amp;""," "," "))</f>
        <v/>
      </c>
      <c r="C1941">
        <f>TRIM(SUBSTITUTE(INDEX('Term investments'!$C:$C,ROW())&amp;""," "," "))</f>
        <v/>
      </c>
      <c r="D1941">
        <f>IFERROR(--INDEX('Term investments'!$D:$D,ROW()),0)</f>
        <v/>
      </c>
      <c r="E1941">
        <f>IFERROR(--INDEX('Term investments'!$E:$E,ROW()),0)</f>
        <v/>
      </c>
      <c r="F1941">
        <f>IFERROR(--INDEX('Term investments'!$F:$F,ROW()),0)</f>
        <v/>
      </c>
      <c r="G1941">
        <f>IFERROR(IF(--INDEX('Term investments'!$G:$G,ROW())&gt;=1,--INDEX('Term investments'!$G:$G,ROW())/100,--INDEX('Term investments'!$G:$G,ROW())),0)</f>
        <v/>
      </c>
      <c r="H1941">
        <f>IFERROR(--INDEX('Term investments'!$H:$H,ROW()),0)</f>
        <v/>
      </c>
      <c r="I1941">
        <f>IF(ISNUMBER(INDEX('Term investments'!$G:$G,ROW())),1,0)</f>
        <v/>
      </c>
      <c r="J1941">
        <f>TRIM(SUBSTITUTE(INDEX('Call accounts and MMFs'!$A:$A,ROW())&amp;""," "," "))</f>
        <v/>
      </c>
      <c r="K1941">
        <f>TRIM(SUBSTITUTE(INDEX('Call accounts and MMFs'!$B:$B,ROW())&amp;""," "," "))</f>
        <v/>
      </c>
      <c r="L1941">
        <f>TRIM(SUBSTITUTE(INDEX('Call accounts and MMFs'!$C:$C,ROW())&amp;""," "," "))</f>
        <v/>
      </c>
      <c r="M1941">
        <f>IFERROR(--INDEX('Call accounts and MMFs'!$D:$D,ROW()),0)</f>
        <v/>
      </c>
      <c r="N1941">
        <f>IFERROR(IF(--INDEX('Call accounts and MMFs'!$E:$E,ROW())&gt;=1,--INDEX('Call accounts and MMFs'!$E:$E,ROW())/100,--INDEX('Call accounts and MMFs'!$E:$E,ROW())),0)</f>
        <v/>
      </c>
      <c r="O1941">
        <f>IFERROR(--INDEX('Call accounts and MMFs'!$F:$F,ROW()),0)</f>
        <v/>
      </c>
      <c r="P1941">
        <f>IF(ISNUMBER(INDEX('Call accounts and MMFs'!$E:$E,ROW())),1,0)</f>
        <v/>
      </c>
      <c r="Q1941">
        <f>TRIM(SUBSTITUTE(INDEX('Pooled funds'!$B:$B,ROW())&amp;""," "," "))</f>
        <v/>
      </c>
      <c r="R1941">
        <f>IFERROR(--INDEX('Pooled funds'!$C:$C,ROW()),0)</f>
        <v/>
      </c>
      <c r="S1941">
        <f>IFERROR(--INDEX('Pooled funds'!$D:$D,ROW()),0)</f>
        <v/>
      </c>
      <c r="T1941">
        <f>IFERROR(IF(--INDEX('Pooled funds'!$E:$E,ROW())&gt;=1,--INDEX('Pooled funds'!$E:$E,ROW())/100,--INDEX('Pooled funds'!$E:$E,ROW())),0)</f>
        <v/>
      </c>
      <c r="U1941">
        <f>IF(ISNUMBER(INDEX('Pooled funds'!$E:$E,ROW())),1,0)</f>
        <v/>
      </c>
    </row>
    <row r="1942">
      <c r="A1942">
        <f>TRIM(SUBSTITUTE(INDEX('Term investments'!$A:$A,ROW())&amp;""," "," "))</f>
        <v/>
      </c>
      <c r="B1942">
        <f>TRIM(SUBSTITUTE(INDEX('Term investments'!$B:$B,ROW())&amp;""," "," "))</f>
        <v/>
      </c>
      <c r="C1942">
        <f>TRIM(SUBSTITUTE(INDEX('Term investments'!$C:$C,ROW())&amp;""," "," "))</f>
        <v/>
      </c>
      <c r="D1942">
        <f>IFERROR(--INDEX('Term investments'!$D:$D,ROW()),0)</f>
        <v/>
      </c>
      <c r="E1942">
        <f>IFERROR(--INDEX('Term investments'!$E:$E,ROW()),0)</f>
        <v/>
      </c>
      <c r="F1942">
        <f>IFERROR(--INDEX('Term investments'!$F:$F,ROW()),0)</f>
        <v/>
      </c>
      <c r="G1942">
        <f>IFERROR(IF(--INDEX('Term investments'!$G:$G,ROW())&gt;=1,--INDEX('Term investments'!$G:$G,ROW())/100,--INDEX('Term investments'!$G:$G,ROW())),0)</f>
        <v/>
      </c>
      <c r="H1942">
        <f>IFERROR(--INDEX('Term investments'!$H:$H,ROW()),0)</f>
        <v/>
      </c>
      <c r="I1942">
        <f>IF(ISNUMBER(INDEX('Term investments'!$G:$G,ROW())),1,0)</f>
        <v/>
      </c>
      <c r="J1942">
        <f>TRIM(SUBSTITUTE(INDEX('Call accounts and MMFs'!$A:$A,ROW())&amp;""," "," "))</f>
        <v/>
      </c>
      <c r="K1942">
        <f>TRIM(SUBSTITUTE(INDEX('Call accounts and MMFs'!$B:$B,ROW())&amp;""," "," "))</f>
        <v/>
      </c>
      <c r="L1942">
        <f>TRIM(SUBSTITUTE(INDEX('Call accounts and MMFs'!$C:$C,ROW())&amp;""," "," "))</f>
        <v/>
      </c>
      <c r="M1942">
        <f>IFERROR(--INDEX('Call accounts and MMFs'!$D:$D,ROW()),0)</f>
        <v/>
      </c>
      <c r="N1942">
        <f>IFERROR(IF(--INDEX('Call accounts and MMFs'!$E:$E,ROW())&gt;=1,--INDEX('Call accounts and MMFs'!$E:$E,ROW())/100,--INDEX('Call accounts and MMFs'!$E:$E,ROW())),0)</f>
        <v/>
      </c>
      <c r="O1942">
        <f>IFERROR(--INDEX('Call accounts and MMFs'!$F:$F,ROW()),0)</f>
        <v/>
      </c>
      <c r="P1942">
        <f>IF(ISNUMBER(INDEX('Call accounts and MMFs'!$E:$E,ROW())),1,0)</f>
        <v/>
      </c>
      <c r="Q1942">
        <f>TRIM(SUBSTITUTE(INDEX('Pooled funds'!$B:$B,ROW())&amp;""," "," "))</f>
        <v/>
      </c>
      <c r="R1942">
        <f>IFERROR(--INDEX('Pooled funds'!$C:$C,ROW()),0)</f>
        <v/>
      </c>
      <c r="S1942">
        <f>IFERROR(--INDEX('Pooled funds'!$D:$D,ROW()),0)</f>
        <v/>
      </c>
      <c r="T1942">
        <f>IFERROR(IF(--INDEX('Pooled funds'!$E:$E,ROW())&gt;=1,--INDEX('Pooled funds'!$E:$E,ROW())/100,--INDEX('Pooled funds'!$E:$E,ROW())),0)</f>
        <v/>
      </c>
      <c r="U1942">
        <f>IF(ISNUMBER(INDEX('Pooled funds'!$E:$E,ROW())),1,0)</f>
        <v/>
      </c>
    </row>
    <row r="1943">
      <c r="A1943">
        <f>TRIM(SUBSTITUTE(INDEX('Term investments'!$A:$A,ROW())&amp;""," "," "))</f>
        <v/>
      </c>
      <c r="B1943">
        <f>TRIM(SUBSTITUTE(INDEX('Term investments'!$B:$B,ROW())&amp;""," "," "))</f>
        <v/>
      </c>
      <c r="C1943">
        <f>TRIM(SUBSTITUTE(INDEX('Term investments'!$C:$C,ROW())&amp;""," "," "))</f>
        <v/>
      </c>
      <c r="D1943">
        <f>IFERROR(--INDEX('Term investments'!$D:$D,ROW()),0)</f>
        <v/>
      </c>
      <c r="E1943">
        <f>IFERROR(--INDEX('Term investments'!$E:$E,ROW()),0)</f>
        <v/>
      </c>
      <c r="F1943">
        <f>IFERROR(--INDEX('Term investments'!$F:$F,ROW()),0)</f>
        <v/>
      </c>
      <c r="G1943">
        <f>IFERROR(IF(--INDEX('Term investments'!$G:$G,ROW())&gt;=1,--INDEX('Term investments'!$G:$G,ROW())/100,--INDEX('Term investments'!$G:$G,ROW())),0)</f>
        <v/>
      </c>
      <c r="H1943">
        <f>IFERROR(--INDEX('Term investments'!$H:$H,ROW()),0)</f>
        <v/>
      </c>
      <c r="I1943">
        <f>IF(ISNUMBER(INDEX('Term investments'!$G:$G,ROW())),1,0)</f>
        <v/>
      </c>
      <c r="J1943">
        <f>TRIM(SUBSTITUTE(INDEX('Call accounts and MMFs'!$A:$A,ROW())&amp;""," "," "))</f>
        <v/>
      </c>
      <c r="K1943">
        <f>TRIM(SUBSTITUTE(INDEX('Call accounts and MMFs'!$B:$B,ROW())&amp;""," "," "))</f>
        <v/>
      </c>
      <c r="L1943">
        <f>TRIM(SUBSTITUTE(INDEX('Call accounts and MMFs'!$C:$C,ROW())&amp;""," "," "))</f>
        <v/>
      </c>
      <c r="M1943">
        <f>IFERROR(--INDEX('Call accounts and MMFs'!$D:$D,ROW()),0)</f>
        <v/>
      </c>
      <c r="N1943">
        <f>IFERROR(IF(--INDEX('Call accounts and MMFs'!$E:$E,ROW())&gt;=1,--INDEX('Call accounts and MMFs'!$E:$E,ROW())/100,--INDEX('Call accounts and MMFs'!$E:$E,ROW())),0)</f>
        <v/>
      </c>
      <c r="O1943">
        <f>IFERROR(--INDEX('Call accounts and MMFs'!$F:$F,ROW()),0)</f>
        <v/>
      </c>
      <c r="P1943">
        <f>IF(ISNUMBER(INDEX('Call accounts and MMFs'!$E:$E,ROW())),1,0)</f>
        <v/>
      </c>
      <c r="Q1943">
        <f>TRIM(SUBSTITUTE(INDEX('Pooled funds'!$B:$B,ROW())&amp;""," "," "))</f>
        <v/>
      </c>
      <c r="R1943">
        <f>IFERROR(--INDEX('Pooled funds'!$C:$C,ROW()),0)</f>
        <v/>
      </c>
      <c r="S1943">
        <f>IFERROR(--INDEX('Pooled funds'!$D:$D,ROW()),0)</f>
        <v/>
      </c>
      <c r="T1943">
        <f>IFERROR(IF(--INDEX('Pooled funds'!$E:$E,ROW())&gt;=1,--INDEX('Pooled funds'!$E:$E,ROW())/100,--INDEX('Pooled funds'!$E:$E,ROW())),0)</f>
        <v/>
      </c>
      <c r="U1943">
        <f>IF(ISNUMBER(INDEX('Pooled funds'!$E:$E,ROW())),1,0)</f>
        <v/>
      </c>
    </row>
    <row r="1944">
      <c r="A1944">
        <f>TRIM(SUBSTITUTE(INDEX('Term investments'!$A:$A,ROW())&amp;""," "," "))</f>
        <v/>
      </c>
      <c r="B1944">
        <f>TRIM(SUBSTITUTE(INDEX('Term investments'!$B:$B,ROW())&amp;""," "," "))</f>
        <v/>
      </c>
      <c r="C1944">
        <f>TRIM(SUBSTITUTE(INDEX('Term investments'!$C:$C,ROW())&amp;""," "," "))</f>
        <v/>
      </c>
      <c r="D1944">
        <f>IFERROR(--INDEX('Term investments'!$D:$D,ROW()),0)</f>
        <v/>
      </c>
      <c r="E1944">
        <f>IFERROR(--INDEX('Term investments'!$E:$E,ROW()),0)</f>
        <v/>
      </c>
      <c r="F1944">
        <f>IFERROR(--INDEX('Term investments'!$F:$F,ROW()),0)</f>
        <v/>
      </c>
      <c r="G1944">
        <f>IFERROR(IF(--INDEX('Term investments'!$G:$G,ROW())&gt;=1,--INDEX('Term investments'!$G:$G,ROW())/100,--INDEX('Term investments'!$G:$G,ROW())),0)</f>
        <v/>
      </c>
      <c r="H1944">
        <f>IFERROR(--INDEX('Term investments'!$H:$H,ROW()),0)</f>
        <v/>
      </c>
      <c r="I1944">
        <f>IF(ISNUMBER(INDEX('Term investments'!$G:$G,ROW())),1,0)</f>
        <v/>
      </c>
      <c r="J1944">
        <f>TRIM(SUBSTITUTE(INDEX('Call accounts and MMFs'!$A:$A,ROW())&amp;""," "," "))</f>
        <v/>
      </c>
      <c r="K1944">
        <f>TRIM(SUBSTITUTE(INDEX('Call accounts and MMFs'!$B:$B,ROW())&amp;""," "," "))</f>
        <v/>
      </c>
      <c r="L1944">
        <f>TRIM(SUBSTITUTE(INDEX('Call accounts and MMFs'!$C:$C,ROW())&amp;""," "," "))</f>
        <v/>
      </c>
      <c r="M1944">
        <f>IFERROR(--INDEX('Call accounts and MMFs'!$D:$D,ROW()),0)</f>
        <v/>
      </c>
      <c r="N1944">
        <f>IFERROR(IF(--INDEX('Call accounts and MMFs'!$E:$E,ROW())&gt;=1,--INDEX('Call accounts and MMFs'!$E:$E,ROW())/100,--INDEX('Call accounts and MMFs'!$E:$E,ROW())),0)</f>
        <v/>
      </c>
      <c r="O1944">
        <f>IFERROR(--INDEX('Call accounts and MMFs'!$F:$F,ROW()),0)</f>
        <v/>
      </c>
      <c r="P1944">
        <f>IF(ISNUMBER(INDEX('Call accounts and MMFs'!$E:$E,ROW())),1,0)</f>
        <v/>
      </c>
      <c r="Q1944">
        <f>TRIM(SUBSTITUTE(INDEX('Pooled funds'!$B:$B,ROW())&amp;""," "," "))</f>
        <v/>
      </c>
      <c r="R1944">
        <f>IFERROR(--INDEX('Pooled funds'!$C:$C,ROW()),0)</f>
        <v/>
      </c>
      <c r="S1944">
        <f>IFERROR(--INDEX('Pooled funds'!$D:$D,ROW()),0)</f>
        <v/>
      </c>
      <c r="T1944">
        <f>IFERROR(IF(--INDEX('Pooled funds'!$E:$E,ROW())&gt;=1,--INDEX('Pooled funds'!$E:$E,ROW())/100,--INDEX('Pooled funds'!$E:$E,ROW())),0)</f>
        <v/>
      </c>
      <c r="U1944">
        <f>IF(ISNUMBER(INDEX('Pooled funds'!$E:$E,ROW())),1,0)</f>
        <v/>
      </c>
    </row>
    <row r="1945">
      <c r="A1945">
        <f>TRIM(SUBSTITUTE(INDEX('Term investments'!$A:$A,ROW())&amp;""," "," "))</f>
        <v/>
      </c>
      <c r="B1945">
        <f>TRIM(SUBSTITUTE(INDEX('Term investments'!$B:$B,ROW())&amp;""," "," "))</f>
        <v/>
      </c>
      <c r="C1945">
        <f>TRIM(SUBSTITUTE(INDEX('Term investments'!$C:$C,ROW())&amp;""," "," "))</f>
        <v/>
      </c>
      <c r="D1945">
        <f>IFERROR(--INDEX('Term investments'!$D:$D,ROW()),0)</f>
        <v/>
      </c>
      <c r="E1945">
        <f>IFERROR(--INDEX('Term investments'!$E:$E,ROW()),0)</f>
        <v/>
      </c>
      <c r="F1945">
        <f>IFERROR(--INDEX('Term investments'!$F:$F,ROW()),0)</f>
        <v/>
      </c>
      <c r="G1945">
        <f>IFERROR(IF(--INDEX('Term investments'!$G:$G,ROW())&gt;=1,--INDEX('Term investments'!$G:$G,ROW())/100,--INDEX('Term investments'!$G:$G,ROW())),0)</f>
        <v/>
      </c>
      <c r="H1945">
        <f>IFERROR(--INDEX('Term investments'!$H:$H,ROW()),0)</f>
        <v/>
      </c>
      <c r="I1945">
        <f>IF(ISNUMBER(INDEX('Term investments'!$G:$G,ROW())),1,0)</f>
        <v/>
      </c>
      <c r="J1945">
        <f>TRIM(SUBSTITUTE(INDEX('Call accounts and MMFs'!$A:$A,ROW())&amp;""," "," "))</f>
        <v/>
      </c>
      <c r="K1945">
        <f>TRIM(SUBSTITUTE(INDEX('Call accounts and MMFs'!$B:$B,ROW())&amp;""," "," "))</f>
        <v/>
      </c>
      <c r="L1945">
        <f>TRIM(SUBSTITUTE(INDEX('Call accounts and MMFs'!$C:$C,ROW())&amp;""," "," "))</f>
        <v/>
      </c>
      <c r="M1945">
        <f>IFERROR(--INDEX('Call accounts and MMFs'!$D:$D,ROW()),0)</f>
        <v/>
      </c>
      <c r="N1945">
        <f>IFERROR(IF(--INDEX('Call accounts and MMFs'!$E:$E,ROW())&gt;=1,--INDEX('Call accounts and MMFs'!$E:$E,ROW())/100,--INDEX('Call accounts and MMFs'!$E:$E,ROW())),0)</f>
        <v/>
      </c>
      <c r="O1945">
        <f>IFERROR(--INDEX('Call accounts and MMFs'!$F:$F,ROW()),0)</f>
        <v/>
      </c>
      <c r="P1945">
        <f>IF(ISNUMBER(INDEX('Call accounts and MMFs'!$E:$E,ROW())),1,0)</f>
        <v/>
      </c>
      <c r="Q1945">
        <f>TRIM(SUBSTITUTE(INDEX('Pooled funds'!$B:$B,ROW())&amp;""," "," "))</f>
        <v/>
      </c>
      <c r="R1945">
        <f>IFERROR(--INDEX('Pooled funds'!$C:$C,ROW()),0)</f>
        <v/>
      </c>
      <c r="S1945">
        <f>IFERROR(--INDEX('Pooled funds'!$D:$D,ROW()),0)</f>
        <v/>
      </c>
      <c r="T1945">
        <f>IFERROR(IF(--INDEX('Pooled funds'!$E:$E,ROW())&gt;=1,--INDEX('Pooled funds'!$E:$E,ROW())/100,--INDEX('Pooled funds'!$E:$E,ROW())),0)</f>
        <v/>
      </c>
      <c r="U1945">
        <f>IF(ISNUMBER(INDEX('Pooled funds'!$E:$E,ROW())),1,0)</f>
        <v/>
      </c>
    </row>
    <row r="1946">
      <c r="A1946">
        <f>TRIM(SUBSTITUTE(INDEX('Term investments'!$A:$A,ROW())&amp;""," "," "))</f>
        <v/>
      </c>
      <c r="B1946">
        <f>TRIM(SUBSTITUTE(INDEX('Term investments'!$B:$B,ROW())&amp;""," "," "))</f>
        <v/>
      </c>
      <c r="C1946">
        <f>TRIM(SUBSTITUTE(INDEX('Term investments'!$C:$C,ROW())&amp;""," "," "))</f>
        <v/>
      </c>
      <c r="D1946">
        <f>IFERROR(--INDEX('Term investments'!$D:$D,ROW()),0)</f>
        <v/>
      </c>
      <c r="E1946">
        <f>IFERROR(--INDEX('Term investments'!$E:$E,ROW()),0)</f>
        <v/>
      </c>
      <c r="F1946">
        <f>IFERROR(--INDEX('Term investments'!$F:$F,ROW()),0)</f>
        <v/>
      </c>
      <c r="G1946">
        <f>IFERROR(IF(--INDEX('Term investments'!$G:$G,ROW())&gt;=1,--INDEX('Term investments'!$G:$G,ROW())/100,--INDEX('Term investments'!$G:$G,ROW())),0)</f>
        <v/>
      </c>
      <c r="H1946">
        <f>IFERROR(--INDEX('Term investments'!$H:$H,ROW()),0)</f>
        <v/>
      </c>
      <c r="I1946">
        <f>IF(ISNUMBER(INDEX('Term investments'!$G:$G,ROW())),1,0)</f>
        <v/>
      </c>
      <c r="J1946">
        <f>TRIM(SUBSTITUTE(INDEX('Call accounts and MMFs'!$A:$A,ROW())&amp;""," "," "))</f>
        <v/>
      </c>
      <c r="K1946">
        <f>TRIM(SUBSTITUTE(INDEX('Call accounts and MMFs'!$B:$B,ROW())&amp;""," "," "))</f>
        <v/>
      </c>
      <c r="L1946">
        <f>TRIM(SUBSTITUTE(INDEX('Call accounts and MMFs'!$C:$C,ROW())&amp;""," "," "))</f>
        <v/>
      </c>
      <c r="M1946">
        <f>IFERROR(--INDEX('Call accounts and MMFs'!$D:$D,ROW()),0)</f>
        <v/>
      </c>
      <c r="N1946">
        <f>IFERROR(IF(--INDEX('Call accounts and MMFs'!$E:$E,ROW())&gt;=1,--INDEX('Call accounts and MMFs'!$E:$E,ROW())/100,--INDEX('Call accounts and MMFs'!$E:$E,ROW())),0)</f>
        <v/>
      </c>
      <c r="O1946">
        <f>IFERROR(--INDEX('Call accounts and MMFs'!$F:$F,ROW()),0)</f>
        <v/>
      </c>
      <c r="P1946">
        <f>IF(ISNUMBER(INDEX('Call accounts and MMFs'!$E:$E,ROW())),1,0)</f>
        <v/>
      </c>
      <c r="Q1946">
        <f>TRIM(SUBSTITUTE(INDEX('Pooled funds'!$B:$B,ROW())&amp;""," "," "))</f>
        <v/>
      </c>
      <c r="R1946">
        <f>IFERROR(--INDEX('Pooled funds'!$C:$C,ROW()),0)</f>
        <v/>
      </c>
      <c r="S1946">
        <f>IFERROR(--INDEX('Pooled funds'!$D:$D,ROW()),0)</f>
        <v/>
      </c>
      <c r="T1946">
        <f>IFERROR(IF(--INDEX('Pooled funds'!$E:$E,ROW())&gt;=1,--INDEX('Pooled funds'!$E:$E,ROW())/100,--INDEX('Pooled funds'!$E:$E,ROW())),0)</f>
        <v/>
      </c>
      <c r="U1946">
        <f>IF(ISNUMBER(INDEX('Pooled funds'!$E:$E,ROW())),1,0)</f>
        <v/>
      </c>
    </row>
    <row r="1947">
      <c r="A1947">
        <f>TRIM(SUBSTITUTE(INDEX('Term investments'!$A:$A,ROW())&amp;""," "," "))</f>
        <v/>
      </c>
      <c r="B1947">
        <f>TRIM(SUBSTITUTE(INDEX('Term investments'!$B:$B,ROW())&amp;""," "," "))</f>
        <v/>
      </c>
      <c r="C1947">
        <f>TRIM(SUBSTITUTE(INDEX('Term investments'!$C:$C,ROW())&amp;""," "," "))</f>
        <v/>
      </c>
      <c r="D1947">
        <f>IFERROR(--INDEX('Term investments'!$D:$D,ROW()),0)</f>
        <v/>
      </c>
      <c r="E1947">
        <f>IFERROR(--INDEX('Term investments'!$E:$E,ROW()),0)</f>
        <v/>
      </c>
      <c r="F1947">
        <f>IFERROR(--INDEX('Term investments'!$F:$F,ROW()),0)</f>
        <v/>
      </c>
      <c r="G1947">
        <f>IFERROR(IF(--INDEX('Term investments'!$G:$G,ROW())&gt;=1,--INDEX('Term investments'!$G:$G,ROW())/100,--INDEX('Term investments'!$G:$G,ROW())),0)</f>
        <v/>
      </c>
      <c r="H1947">
        <f>IFERROR(--INDEX('Term investments'!$H:$H,ROW()),0)</f>
        <v/>
      </c>
      <c r="I1947">
        <f>IF(ISNUMBER(INDEX('Term investments'!$G:$G,ROW())),1,0)</f>
        <v/>
      </c>
      <c r="J1947">
        <f>TRIM(SUBSTITUTE(INDEX('Call accounts and MMFs'!$A:$A,ROW())&amp;""," "," "))</f>
        <v/>
      </c>
      <c r="K1947">
        <f>TRIM(SUBSTITUTE(INDEX('Call accounts and MMFs'!$B:$B,ROW())&amp;""," "," "))</f>
        <v/>
      </c>
      <c r="L1947">
        <f>TRIM(SUBSTITUTE(INDEX('Call accounts and MMFs'!$C:$C,ROW())&amp;""," "," "))</f>
        <v/>
      </c>
      <c r="M1947">
        <f>IFERROR(--INDEX('Call accounts and MMFs'!$D:$D,ROW()),0)</f>
        <v/>
      </c>
      <c r="N1947">
        <f>IFERROR(IF(--INDEX('Call accounts and MMFs'!$E:$E,ROW())&gt;=1,--INDEX('Call accounts and MMFs'!$E:$E,ROW())/100,--INDEX('Call accounts and MMFs'!$E:$E,ROW())),0)</f>
        <v/>
      </c>
      <c r="O1947">
        <f>IFERROR(--INDEX('Call accounts and MMFs'!$F:$F,ROW()),0)</f>
        <v/>
      </c>
      <c r="P1947">
        <f>IF(ISNUMBER(INDEX('Call accounts and MMFs'!$E:$E,ROW())),1,0)</f>
        <v/>
      </c>
      <c r="Q1947">
        <f>TRIM(SUBSTITUTE(INDEX('Pooled funds'!$B:$B,ROW())&amp;""," "," "))</f>
        <v/>
      </c>
      <c r="R1947">
        <f>IFERROR(--INDEX('Pooled funds'!$C:$C,ROW()),0)</f>
        <v/>
      </c>
      <c r="S1947">
        <f>IFERROR(--INDEX('Pooled funds'!$D:$D,ROW()),0)</f>
        <v/>
      </c>
      <c r="T1947">
        <f>IFERROR(IF(--INDEX('Pooled funds'!$E:$E,ROW())&gt;=1,--INDEX('Pooled funds'!$E:$E,ROW())/100,--INDEX('Pooled funds'!$E:$E,ROW())),0)</f>
        <v/>
      </c>
      <c r="U1947">
        <f>IF(ISNUMBER(INDEX('Pooled funds'!$E:$E,ROW())),1,0)</f>
        <v/>
      </c>
    </row>
    <row r="1948">
      <c r="A1948">
        <f>TRIM(SUBSTITUTE(INDEX('Term investments'!$A:$A,ROW())&amp;""," "," "))</f>
        <v/>
      </c>
      <c r="B1948">
        <f>TRIM(SUBSTITUTE(INDEX('Term investments'!$B:$B,ROW())&amp;""," "," "))</f>
        <v/>
      </c>
      <c r="C1948">
        <f>TRIM(SUBSTITUTE(INDEX('Term investments'!$C:$C,ROW())&amp;""," "," "))</f>
        <v/>
      </c>
      <c r="D1948">
        <f>IFERROR(--INDEX('Term investments'!$D:$D,ROW()),0)</f>
        <v/>
      </c>
      <c r="E1948">
        <f>IFERROR(--INDEX('Term investments'!$E:$E,ROW()),0)</f>
        <v/>
      </c>
      <c r="F1948">
        <f>IFERROR(--INDEX('Term investments'!$F:$F,ROW()),0)</f>
        <v/>
      </c>
      <c r="G1948">
        <f>IFERROR(IF(--INDEX('Term investments'!$G:$G,ROW())&gt;=1,--INDEX('Term investments'!$G:$G,ROW())/100,--INDEX('Term investments'!$G:$G,ROW())),0)</f>
        <v/>
      </c>
      <c r="H1948">
        <f>IFERROR(--INDEX('Term investments'!$H:$H,ROW()),0)</f>
        <v/>
      </c>
      <c r="I1948">
        <f>IF(ISNUMBER(INDEX('Term investments'!$G:$G,ROW())),1,0)</f>
        <v/>
      </c>
      <c r="J1948">
        <f>TRIM(SUBSTITUTE(INDEX('Call accounts and MMFs'!$A:$A,ROW())&amp;""," "," "))</f>
        <v/>
      </c>
      <c r="K1948">
        <f>TRIM(SUBSTITUTE(INDEX('Call accounts and MMFs'!$B:$B,ROW())&amp;""," "," "))</f>
        <v/>
      </c>
      <c r="L1948">
        <f>TRIM(SUBSTITUTE(INDEX('Call accounts and MMFs'!$C:$C,ROW())&amp;""," "," "))</f>
        <v/>
      </c>
      <c r="M1948">
        <f>IFERROR(--INDEX('Call accounts and MMFs'!$D:$D,ROW()),0)</f>
        <v/>
      </c>
      <c r="N1948">
        <f>IFERROR(IF(--INDEX('Call accounts and MMFs'!$E:$E,ROW())&gt;=1,--INDEX('Call accounts and MMFs'!$E:$E,ROW())/100,--INDEX('Call accounts and MMFs'!$E:$E,ROW())),0)</f>
        <v/>
      </c>
      <c r="O1948">
        <f>IFERROR(--INDEX('Call accounts and MMFs'!$F:$F,ROW()),0)</f>
        <v/>
      </c>
      <c r="P1948">
        <f>IF(ISNUMBER(INDEX('Call accounts and MMFs'!$E:$E,ROW())),1,0)</f>
        <v/>
      </c>
      <c r="Q1948">
        <f>TRIM(SUBSTITUTE(INDEX('Pooled funds'!$B:$B,ROW())&amp;""," "," "))</f>
        <v/>
      </c>
      <c r="R1948">
        <f>IFERROR(--INDEX('Pooled funds'!$C:$C,ROW()),0)</f>
        <v/>
      </c>
      <c r="S1948">
        <f>IFERROR(--INDEX('Pooled funds'!$D:$D,ROW()),0)</f>
        <v/>
      </c>
      <c r="T1948">
        <f>IFERROR(IF(--INDEX('Pooled funds'!$E:$E,ROW())&gt;=1,--INDEX('Pooled funds'!$E:$E,ROW())/100,--INDEX('Pooled funds'!$E:$E,ROW())),0)</f>
        <v/>
      </c>
      <c r="U1948">
        <f>IF(ISNUMBER(INDEX('Pooled funds'!$E:$E,ROW())),1,0)</f>
        <v/>
      </c>
    </row>
    <row r="1949">
      <c r="A1949">
        <f>TRIM(SUBSTITUTE(INDEX('Term investments'!$A:$A,ROW())&amp;""," "," "))</f>
        <v/>
      </c>
      <c r="B1949">
        <f>TRIM(SUBSTITUTE(INDEX('Term investments'!$B:$B,ROW())&amp;""," "," "))</f>
        <v/>
      </c>
      <c r="C1949">
        <f>TRIM(SUBSTITUTE(INDEX('Term investments'!$C:$C,ROW())&amp;""," "," "))</f>
        <v/>
      </c>
      <c r="D1949">
        <f>IFERROR(--INDEX('Term investments'!$D:$D,ROW()),0)</f>
        <v/>
      </c>
      <c r="E1949">
        <f>IFERROR(--INDEX('Term investments'!$E:$E,ROW()),0)</f>
        <v/>
      </c>
      <c r="F1949">
        <f>IFERROR(--INDEX('Term investments'!$F:$F,ROW()),0)</f>
        <v/>
      </c>
      <c r="G1949">
        <f>IFERROR(IF(--INDEX('Term investments'!$G:$G,ROW())&gt;=1,--INDEX('Term investments'!$G:$G,ROW())/100,--INDEX('Term investments'!$G:$G,ROW())),0)</f>
        <v/>
      </c>
      <c r="H1949">
        <f>IFERROR(--INDEX('Term investments'!$H:$H,ROW()),0)</f>
        <v/>
      </c>
      <c r="I1949">
        <f>IF(ISNUMBER(INDEX('Term investments'!$G:$G,ROW())),1,0)</f>
        <v/>
      </c>
      <c r="J1949">
        <f>TRIM(SUBSTITUTE(INDEX('Call accounts and MMFs'!$A:$A,ROW())&amp;""," "," "))</f>
        <v/>
      </c>
      <c r="K1949">
        <f>TRIM(SUBSTITUTE(INDEX('Call accounts and MMFs'!$B:$B,ROW())&amp;""," "," "))</f>
        <v/>
      </c>
      <c r="L1949">
        <f>TRIM(SUBSTITUTE(INDEX('Call accounts and MMFs'!$C:$C,ROW())&amp;""," "," "))</f>
        <v/>
      </c>
      <c r="M1949">
        <f>IFERROR(--INDEX('Call accounts and MMFs'!$D:$D,ROW()),0)</f>
        <v/>
      </c>
      <c r="N1949">
        <f>IFERROR(IF(--INDEX('Call accounts and MMFs'!$E:$E,ROW())&gt;=1,--INDEX('Call accounts and MMFs'!$E:$E,ROW())/100,--INDEX('Call accounts and MMFs'!$E:$E,ROW())),0)</f>
        <v/>
      </c>
      <c r="O1949">
        <f>IFERROR(--INDEX('Call accounts and MMFs'!$F:$F,ROW()),0)</f>
        <v/>
      </c>
      <c r="P1949">
        <f>IF(ISNUMBER(INDEX('Call accounts and MMFs'!$E:$E,ROW())),1,0)</f>
        <v/>
      </c>
      <c r="Q1949">
        <f>TRIM(SUBSTITUTE(INDEX('Pooled funds'!$B:$B,ROW())&amp;""," "," "))</f>
        <v/>
      </c>
      <c r="R1949">
        <f>IFERROR(--INDEX('Pooled funds'!$C:$C,ROW()),0)</f>
        <v/>
      </c>
      <c r="S1949">
        <f>IFERROR(--INDEX('Pooled funds'!$D:$D,ROW()),0)</f>
        <v/>
      </c>
      <c r="T1949">
        <f>IFERROR(IF(--INDEX('Pooled funds'!$E:$E,ROW())&gt;=1,--INDEX('Pooled funds'!$E:$E,ROW())/100,--INDEX('Pooled funds'!$E:$E,ROW())),0)</f>
        <v/>
      </c>
      <c r="U1949">
        <f>IF(ISNUMBER(INDEX('Pooled funds'!$E:$E,ROW())),1,0)</f>
        <v/>
      </c>
    </row>
    <row r="1950">
      <c r="A1950">
        <f>TRIM(SUBSTITUTE(INDEX('Term investments'!$A:$A,ROW())&amp;""," "," "))</f>
        <v/>
      </c>
      <c r="B1950">
        <f>TRIM(SUBSTITUTE(INDEX('Term investments'!$B:$B,ROW())&amp;""," "," "))</f>
        <v/>
      </c>
      <c r="C1950">
        <f>TRIM(SUBSTITUTE(INDEX('Term investments'!$C:$C,ROW())&amp;""," "," "))</f>
        <v/>
      </c>
      <c r="D1950">
        <f>IFERROR(--INDEX('Term investments'!$D:$D,ROW()),0)</f>
        <v/>
      </c>
      <c r="E1950">
        <f>IFERROR(--INDEX('Term investments'!$E:$E,ROW()),0)</f>
        <v/>
      </c>
      <c r="F1950">
        <f>IFERROR(--INDEX('Term investments'!$F:$F,ROW()),0)</f>
        <v/>
      </c>
      <c r="G1950">
        <f>IFERROR(IF(--INDEX('Term investments'!$G:$G,ROW())&gt;=1,--INDEX('Term investments'!$G:$G,ROW())/100,--INDEX('Term investments'!$G:$G,ROW())),0)</f>
        <v/>
      </c>
      <c r="H1950">
        <f>IFERROR(--INDEX('Term investments'!$H:$H,ROW()),0)</f>
        <v/>
      </c>
      <c r="I1950">
        <f>IF(ISNUMBER(INDEX('Term investments'!$G:$G,ROW())),1,0)</f>
        <v/>
      </c>
      <c r="J1950">
        <f>TRIM(SUBSTITUTE(INDEX('Call accounts and MMFs'!$A:$A,ROW())&amp;""," "," "))</f>
        <v/>
      </c>
      <c r="K1950">
        <f>TRIM(SUBSTITUTE(INDEX('Call accounts and MMFs'!$B:$B,ROW())&amp;""," "," "))</f>
        <v/>
      </c>
      <c r="L1950">
        <f>TRIM(SUBSTITUTE(INDEX('Call accounts and MMFs'!$C:$C,ROW())&amp;""," "," "))</f>
        <v/>
      </c>
      <c r="M1950">
        <f>IFERROR(--INDEX('Call accounts and MMFs'!$D:$D,ROW()),0)</f>
        <v/>
      </c>
      <c r="N1950">
        <f>IFERROR(IF(--INDEX('Call accounts and MMFs'!$E:$E,ROW())&gt;=1,--INDEX('Call accounts and MMFs'!$E:$E,ROW())/100,--INDEX('Call accounts and MMFs'!$E:$E,ROW())),0)</f>
        <v/>
      </c>
      <c r="O1950">
        <f>IFERROR(--INDEX('Call accounts and MMFs'!$F:$F,ROW()),0)</f>
        <v/>
      </c>
      <c r="P1950">
        <f>IF(ISNUMBER(INDEX('Call accounts and MMFs'!$E:$E,ROW())),1,0)</f>
        <v/>
      </c>
      <c r="Q1950">
        <f>TRIM(SUBSTITUTE(INDEX('Pooled funds'!$B:$B,ROW())&amp;""," "," "))</f>
        <v/>
      </c>
      <c r="R1950">
        <f>IFERROR(--INDEX('Pooled funds'!$C:$C,ROW()),0)</f>
        <v/>
      </c>
      <c r="S1950">
        <f>IFERROR(--INDEX('Pooled funds'!$D:$D,ROW()),0)</f>
        <v/>
      </c>
      <c r="T1950">
        <f>IFERROR(IF(--INDEX('Pooled funds'!$E:$E,ROW())&gt;=1,--INDEX('Pooled funds'!$E:$E,ROW())/100,--INDEX('Pooled funds'!$E:$E,ROW())),0)</f>
        <v/>
      </c>
      <c r="U1950">
        <f>IF(ISNUMBER(INDEX('Pooled funds'!$E:$E,ROW())),1,0)</f>
        <v/>
      </c>
    </row>
    <row r="1951">
      <c r="A1951">
        <f>TRIM(SUBSTITUTE(INDEX('Term investments'!$A:$A,ROW())&amp;""," "," "))</f>
        <v/>
      </c>
      <c r="B1951">
        <f>TRIM(SUBSTITUTE(INDEX('Term investments'!$B:$B,ROW())&amp;""," "," "))</f>
        <v/>
      </c>
      <c r="C1951">
        <f>TRIM(SUBSTITUTE(INDEX('Term investments'!$C:$C,ROW())&amp;""," "," "))</f>
        <v/>
      </c>
      <c r="D1951">
        <f>IFERROR(--INDEX('Term investments'!$D:$D,ROW()),0)</f>
        <v/>
      </c>
      <c r="E1951">
        <f>IFERROR(--INDEX('Term investments'!$E:$E,ROW()),0)</f>
        <v/>
      </c>
      <c r="F1951">
        <f>IFERROR(--INDEX('Term investments'!$F:$F,ROW()),0)</f>
        <v/>
      </c>
      <c r="G1951">
        <f>IFERROR(IF(--INDEX('Term investments'!$G:$G,ROW())&gt;=1,--INDEX('Term investments'!$G:$G,ROW())/100,--INDEX('Term investments'!$G:$G,ROW())),0)</f>
        <v/>
      </c>
      <c r="H1951">
        <f>IFERROR(--INDEX('Term investments'!$H:$H,ROW()),0)</f>
        <v/>
      </c>
      <c r="I1951">
        <f>IF(ISNUMBER(INDEX('Term investments'!$G:$G,ROW())),1,0)</f>
        <v/>
      </c>
      <c r="J1951">
        <f>TRIM(SUBSTITUTE(INDEX('Call accounts and MMFs'!$A:$A,ROW())&amp;""," "," "))</f>
        <v/>
      </c>
      <c r="K1951">
        <f>TRIM(SUBSTITUTE(INDEX('Call accounts and MMFs'!$B:$B,ROW())&amp;""," "," "))</f>
        <v/>
      </c>
      <c r="L1951">
        <f>TRIM(SUBSTITUTE(INDEX('Call accounts and MMFs'!$C:$C,ROW())&amp;""," "," "))</f>
        <v/>
      </c>
      <c r="M1951">
        <f>IFERROR(--INDEX('Call accounts and MMFs'!$D:$D,ROW()),0)</f>
        <v/>
      </c>
      <c r="N1951">
        <f>IFERROR(IF(--INDEX('Call accounts and MMFs'!$E:$E,ROW())&gt;=1,--INDEX('Call accounts and MMFs'!$E:$E,ROW())/100,--INDEX('Call 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funds'!$D:$D,ROW()),0)</f>
        <v/>
      </c>
      <c r="T1951">
        <f>IFERROR(IF(--INDEX('Pooled funds'!$E:$E,ROW())&gt;=1,--INDEX('Pooled funds'!$E:$E,ROW())/100,--INDEX('Pooled funds'!$E:$E,ROW())),0)</f>
        <v/>
      </c>
      <c r="U1951">
        <f>IF(ISNUMBER(INDEX('Pooled funds'!$E:$E,ROW())),1,0)</f>
        <v/>
      </c>
    </row>
    <row r="1952">
      <c r="A1952">
        <f>TRIM(SUBSTITUTE(INDEX('Term investments'!$A:$A,ROW())&amp;""," "," "))</f>
        <v/>
      </c>
      <c r="B1952">
        <f>TRIM(SUBSTITUTE(INDEX('Term investments'!$B:$B,ROW())&amp;""," "," "))</f>
        <v/>
      </c>
      <c r="C1952">
        <f>TRIM(SUBSTITUTE(INDEX('Term investments'!$C:$C,ROW())&amp;""," "," "))</f>
        <v/>
      </c>
      <c r="D1952">
        <f>IFERROR(--INDEX('Term investments'!$D:$D,ROW()),0)</f>
        <v/>
      </c>
      <c r="E1952">
        <f>IFERROR(--INDEX('Term investments'!$E:$E,ROW()),0)</f>
        <v/>
      </c>
      <c r="F1952">
        <f>IFERROR(--INDEX('Term investments'!$F:$F,ROW()),0)</f>
        <v/>
      </c>
      <c r="G1952">
        <f>IFERROR(IF(--INDEX('Term investments'!$G:$G,ROW())&gt;=1,--INDEX('Term investments'!$G:$G,ROW())/100,--INDEX('Term investments'!$G:$G,ROW())),0)</f>
        <v/>
      </c>
      <c r="H1952">
        <f>IFERROR(--INDEX('Term investments'!$H:$H,ROW()),0)</f>
        <v/>
      </c>
      <c r="I1952">
        <f>IF(ISNUMBER(INDEX('Term investments'!$G:$G,ROW())),1,0)</f>
        <v/>
      </c>
      <c r="J1952">
        <f>TRIM(SUBSTITUTE(INDEX('Call accounts and MMFs'!$A:$A,ROW())&amp;""," "," "))</f>
        <v/>
      </c>
      <c r="K1952">
        <f>TRIM(SUBSTITUTE(INDEX('Call accounts and MMFs'!$B:$B,ROW())&amp;""," "," "))</f>
        <v/>
      </c>
      <c r="L1952">
        <f>TRIM(SUBSTITUTE(INDEX('Call accounts and MMFs'!$C:$C,ROW())&amp;""," "," "))</f>
        <v/>
      </c>
      <c r="M1952">
        <f>IFERROR(--INDEX('Call accounts and MMFs'!$D:$D,ROW()),0)</f>
        <v/>
      </c>
      <c r="N1952">
        <f>IFERROR(IF(--INDEX('Call accounts and MMFs'!$E:$E,ROW())&gt;=1,--INDEX('Call accounts and MMFs'!$E:$E,ROW())/100,--INDEX('Call accounts and MMFs'!$E:$E,ROW())),0)</f>
        <v/>
      </c>
      <c r="O1952">
        <f>IFERROR(--INDEX('Call accounts and MMFs'!$F:$F,ROW()),0)</f>
        <v/>
      </c>
      <c r="P1952">
        <f>IF(ISNUMBER(INDEX('Call accounts and MMFs'!$E:$E,ROW())),1,0)</f>
        <v/>
      </c>
      <c r="Q1952">
        <f>TRIM(SUBSTITUTE(INDEX('Pooled funds'!$B:$B,ROW())&amp;""," "," "))</f>
        <v/>
      </c>
      <c r="R1952">
        <f>IFERROR(--INDEX('Pooled funds'!$C:$C,ROW()),0)</f>
        <v/>
      </c>
      <c r="S1952">
        <f>IFERROR(--INDEX('Pooled funds'!$D:$D,ROW()),0)</f>
        <v/>
      </c>
      <c r="T1952">
        <f>IFERROR(IF(--INDEX('Pooled funds'!$E:$E,ROW())&gt;=1,--INDEX('Pooled funds'!$E:$E,ROW())/100,--INDEX('Pooled funds'!$E:$E,ROW())),0)</f>
        <v/>
      </c>
      <c r="U1952">
        <f>IF(ISNUMBER(INDEX('Pooled funds'!$E:$E,ROW())),1,0)</f>
        <v/>
      </c>
    </row>
    <row r="1953">
      <c r="A1953">
        <f>TRIM(SUBSTITUTE(INDEX('Term investments'!$A:$A,ROW())&amp;""," "," "))</f>
        <v/>
      </c>
      <c r="B1953">
        <f>TRIM(SUBSTITUTE(INDEX('Term investments'!$B:$B,ROW())&amp;""," "," "))</f>
        <v/>
      </c>
      <c r="C1953">
        <f>TRIM(SUBSTITUTE(INDEX('Term investments'!$C:$C,ROW())&amp;""," "," "))</f>
        <v/>
      </c>
      <c r="D1953">
        <f>IFERROR(--INDEX('Term investments'!$D:$D,ROW()),0)</f>
        <v/>
      </c>
      <c r="E1953">
        <f>IFERROR(--INDEX('Term investments'!$E:$E,ROW()),0)</f>
        <v/>
      </c>
      <c r="F1953">
        <f>IFERROR(--INDEX('Term investments'!$F:$F,ROW()),0)</f>
        <v/>
      </c>
      <c r="G1953">
        <f>IFERROR(IF(--INDEX('Term investments'!$G:$G,ROW())&gt;=1,--INDEX('Term investments'!$G:$G,ROW())/100,--INDEX('Term investments'!$G:$G,ROW())),0)</f>
        <v/>
      </c>
      <c r="H1953">
        <f>IFERROR(--INDEX('Term investments'!$H:$H,ROW()),0)</f>
        <v/>
      </c>
      <c r="I1953">
        <f>IF(ISNUMBER(INDEX('Term investments'!$G:$G,ROW())),1,0)</f>
        <v/>
      </c>
      <c r="J1953">
        <f>TRIM(SUBSTITUTE(INDEX('Call accounts and MMFs'!$A:$A,ROW())&amp;""," "," "))</f>
        <v/>
      </c>
      <c r="K1953">
        <f>TRIM(SUBSTITUTE(INDEX('Call accounts and MMFs'!$B:$B,ROW())&amp;""," "," "))</f>
        <v/>
      </c>
      <c r="L1953">
        <f>TRIM(SUBSTITUTE(INDEX('Call accounts and MMFs'!$C:$C,ROW())&amp;""," "," "))</f>
        <v/>
      </c>
      <c r="M1953">
        <f>IFERROR(--INDEX('Call accounts and MMFs'!$D:$D,ROW()),0)</f>
        <v/>
      </c>
      <c r="N1953">
        <f>IFERROR(IF(--INDEX('Call accounts and MMFs'!$E:$E,ROW())&gt;=1,--INDEX('Call accounts and MMFs'!$E:$E,ROW())/100,--INDEX('Call accounts and MMFs'!$E:$E,ROW())),0)</f>
        <v/>
      </c>
      <c r="O1953">
        <f>IFERROR(--INDEX('Call accounts and MMFs'!$F:$F,ROW()),0)</f>
        <v/>
      </c>
      <c r="P1953">
        <f>IF(ISNUMBER(INDEX('Call accounts and MMFs'!$E:$E,ROW())),1,0)</f>
        <v/>
      </c>
      <c r="Q1953">
        <f>TRIM(SUBSTITUTE(INDEX('Pooled funds'!$B:$B,ROW())&amp;""," "," "))</f>
        <v/>
      </c>
      <c r="R1953">
        <f>IFERROR(--INDEX('Pooled funds'!$C:$C,ROW()),0)</f>
        <v/>
      </c>
      <c r="S1953">
        <f>IFERROR(--INDEX('Pooled funds'!$D:$D,ROW()),0)</f>
        <v/>
      </c>
      <c r="T1953">
        <f>IFERROR(IF(--INDEX('Pooled funds'!$E:$E,ROW())&gt;=1,--INDEX('Pooled funds'!$E:$E,ROW())/100,--INDEX('Pooled funds'!$E:$E,ROW())),0)</f>
        <v/>
      </c>
      <c r="U1953">
        <f>IF(ISNUMBER(INDEX('Pooled funds'!$E:$E,ROW())),1,0)</f>
        <v/>
      </c>
    </row>
    <row r="1954">
      <c r="A1954">
        <f>TRIM(SUBSTITUTE(INDEX('Term investments'!$A:$A,ROW())&amp;""," "," "))</f>
        <v/>
      </c>
      <c r="B1954">
        <f>TRIM(SUBSTITUTE(INDEX('Term investments'!$B:$B,ROW())&amp;""," "," "))</f>
        <v/>
      </c>
      <c r="C1954">
        <f>TRIM(SUBSTITUTE(INDEX('Term investments'!$C:$C,ROW())&amp;""," "," "))</f>
        <v/>
      </c>
      <c r="D1954">
        <f>IFERROR(--INDEX('Term investments'!$D:$D,ROW()),0)</f>
        <v/>
      </c>
      <c r="E1954">
        <f>IFERROR(--INDEX('Term investments'!$E:$E,ROW()),0)</f>
        <v/>
      </c>
      <c r="F1954">
        <f>IFERROR(--INDEX('Term investments'!$F:$F,ROW()),0)</f>
        <v/>
      </c>
      <c r="G1954">
        <f>IFERROR(IF(--INDEX('Term investments'!$G:$G,ROW())&gt;=1,--INDEX('Term investments'!$G:$G,ROW())/100,--INDEX('Term investments'!$G:$G,ROW())),0)</f>
        <v/>
      </c>
      <c r="H1954">
        <f>IFERROR(--INDEX('Term investments'!$H:$H,ROW()),0)</f>
        <v/>
      </c>
      <c r="I1954">
        <f>IF(ISNUMBER(INDEX('Term investments'!$G:$G,ROW())),1,0)</f>
        <v/>
      </c>
      <c r="J1954">
        <f>TRIM(SUBSTITUTE(INDEX('Call accounts and MMFs'!$A:$A,ROW())&amp;""," "," "))</f>
        <v/>
      </c>
      <c r="K1954">
        <f>TRIM(SUBSTITUTE(INDEX('Call accounts and MMFs'!$B:$B,ROW())&amp;""," "," "))</f>
        <v/>
      </c>
      <c r="L1954">
        <f>TRIM(SUBSTITUTE(INDEX('Call accounts and MMFs'!$C:$C,ROW())&amp;""," "," "))</f>
        <v/>
      </c>
      <c r="M1954">
        <f>IFERROR(--INDEX('Call accounts and MMFs'!$D:$D,ROW()),0)</f>
        <v/>
      </c>
      <c r="N1954">
        <f>IFERROR(IF(--INDEX('Call accounts and MMFs'!$E:$E,ROW())&gt;=1,--INDEX('Call accounts and MMFs'!$E:$E,ROW())/100,--INDEX('Call accounts and MMFs'!$E:$E,ROW())),0)</f>
        <v/>
      </c>
      <c r="O1954">
        <f>IFERROR(--INDEX('Call accounts and MMFs'!$F:$F,ROW()),0)</f>
        <v/>
      </c>
      <c r="P1954">
        <f>IF(ISNUMBER(INDEX('Call accounts and MMFs'!$E:$E,ROW())),1,0)</f>
        <v/>
      </c>
      <c r="Q1954">
        <f>TRIM(SUBSTITUTE(INDEX('Pooled funds'!$B:$B,ROW())&amp;""," "," "))</f>
        <v/>
      </c>
      <c r="R1954">
        <f>IFERROR(--INDEX('Pooled funds'!$C:$C,ROW()),0)</f>
        <v/>
      </c>
      <c r="S1954">
        <f>IFERROR(--INDEX('Pooled funds'!$D:$D,ROW()),0)</f>
        <v/>
      </c>
      <c r="T1954">
        <f>IFERROR(IF(--INDEX('Pooled funds'!$E:$E,ROW())&gt;=1,--INDEX('Pooled funds'!$E:$E,ROW())/100,--INDEX('Pooled funds'!$E:$E,ROW())),0)</f>
        <v/>
      </c>
      <c r="U1954">
        <f>IF(ISNUMBER(INDEX('Pooled funds'!$E:$E,ROW())),1,0)</f>
        <v/>
      </c>
    </row>
    <row r="1955">
      <c r="A1955">
        <f>TRIM(SUBSTITUTE(INDEX('Term investments'!$A:$A,ROW())&amp;""," "," "))</f>
        <v/>
      </c>
      <c r="B1955">
        <f>TRIM(SUBSTITUTE(INDEX('Term investments'!$B:$B,ROW())&amp;""," "," "))</f>
        <v/>
      </c>
      <c r="C1955">
        <f>TRIM(SUBSTITUTE(INDEX('Term investments'!$C:$C,ROW())&amp;""," "," "))</f>
        <v/>
      </c>
      <c r="D1955">
        <f>IFERROR(--INDEX('Term investments'!$D:$D,ROW()),0)</f>
        <v/>
      </c>
      <c r="E1955">
        <f>IFERROR(--INDEX('Term investments'!$E:$E,ROW()),0)</f>
        <v/>
      </c>
      <c r="F1955">
        <f>IFERROR(--INDEX('Term investments'!$F:$F,ROW()),0)</f>
        <v/>
      </c>
      <c r="G1955">
        <f>IFERROR(IF(--INDEX('Term investments'!$G:$G,ROW())&gt;=1,--INDEX('Term investments'!$G:$G,ROW())/100,--INDEX('Term investments'!$G:$G,ROW())),0)</f>
        <v/>
      </c>
      <c r="H1955">
        <f>IFERROR(--INDEX('Term investments'!$H:$H,ROW()),0)</f>
        <v/>
      </c>
      <c r="I1955">
        <f>IF(ISNUMBER(INDEX('Term investments'!$G:$G,ROW())),1,0)</f>
        <v/>
      </c>
      <c r="J1955">
        <f>TRIM(SUBSTITUTE(INDEX('Call accounts and MMFs'!$A:$A,ROW())&amp;""," "," "))</f>
        <v/>
      </c>
      <c r="K1955">
        <f>TRIM(SUBSTITUTE(INDEX('Call accounts and MMFs'!$B:$B,ROW())&amp;""," "," "))</f>
        <v/>
      </c>
      <c r="L1955">
        <f>TRIM(SUBSTITUTE(INDEX('Call accounts and MMFs'!$C:$C,ROW())&amp;""," "," "))</f>
        <v/>
      </c>
      <c r="M1955">
        <f>IFERROR(--INDEX('Call accounts and MMFs'!$D:$D,ROW()),0)</f>
        <v/>
      </c>
      <c r="N1955">
        <f>IFERROR(IF(--INDEX('Call accounts and MMFs'!$E:$E,ROW())&gt;=1,--INDEX('Call accounts and MMFs'!$E:$E,ROW())/100,--INDEX('Call accounts and MMFs'!$E:$E,ROW())),0)</f>
        <v/>
      </c>
      <c r="O1955">
        <f>IFERROR(--INDEX('Call accounts and MMFs'!$F:$F,ROW()),0)</f>
        <v/>
      </c>
      <c r="P1955">
        <f>IF(ISNUMBER(INDEX('Call accounts and MMFs'!$E:$E,ROW())),1,0)</f>
        <v/>
      </c>
      <c r="Q1955">
        <f>TRIM(SUBSTITUTE(INDEX('Pooled funds'!$B:$B,ROW())&amp;""," "," "))</f>
        <v/>
      </c>
      <c r="R1955">
        <f>IFERROR(--INDEX('Pooled funds'!$C:$C,ROW()),0)</f>
        <v/>
      </c>
      <c r="S1955">
        <f>IFERROR(--INDEX('Pooled funds'!$D:$D,ROW()),0)</f>
        <v/>
      </c>
      <c r="T1955">
        <f>IFERROR(IF(--INDEX('Pooled funds'!$E:$E,ROW())&gt;=1,--INDEX('Pooled funds'!$E:$E,ROW())/100,--INDEX('Pooled funds'!$E:$E,ROW())),0)</f>
        <v/>
      </c>
      <c r="U1955">
        <f>IF(ISNUMBER(INDEX('Pooled funds'!$E:$E,ROW())),1,0)</f>
        <v/>
      </c>
    </row>
    <row r="1956">
      <c r="A1956">
        <f>TRIM(SUBSTITUTE(INDEX('Term investments'!$A:$A,ROW())&amp;""," "," "))</f>
        <v/>
      </c>
      <c r="B1956">
        <f>TRIM(SUBSTITUTE(INDEX('Term investments'!$B:$B,ROW())&amp;""," "," "))</f>
        <v/>
      </c>
      <c r="C1956">
        <f>TRIM(SUBSTITUTE(INDEX('Term investments'!$C:$C,ROW())&amp;""," "," "))</f>
        <v/>
      </c>
      <c r="D1956">
        <f>IFERROR(--INDEX('Term investments'!$D:$D,ROW()),0)</f>
        <v/>
      </c>
      <c r="E1956">
        <f>IFERROR(--INDEX('Term investments'!$E:$E,ROW()),0)</f>
        <v/>
      </c>
      <c r="F1956">
        <f>IFERROR(--INDEX('Term investments'!$F:$F,ROW()),0)</f>
        <v/>
      </c>
      <c r="G1956">
        <f>IFERROR(IF(--INDEX('Term investments'!$G:$G,ROW())&gt;=1,--INDEX('Term investments'!$G:$G,ROW())/100,--INDEX('Term investments'!$G:$G,ROW())),0)</f>
        <v/>
      </c>
      <c r="H1956">
        <f>IFERROR(--INDEX('Term investments'!$H:$H,ROW()),0)</f>
        <v/>
      </c>
      <c r="I1956">
        <f>IF(ISNUMBER(INDEX('Term investments'!$G:$G,ROW())),1,0)</f>
        <v/>
      </c>
      <c r="J1956">
        <f>TRIM(SUBSTITUTE(INDEX('Call accounts and MMFs'!$A:$A,ROW())&amp;""," "," "))</f>
        <v/>
      </c>
      <c r="K1956">
        <f>TRIM(SUBSTITUTE(INDEX('Call accounts and MMFs'!$B:$B,ROW())&amp;""," "," "))</f>
        <v/>
      </c>
      <c r="L1956">
        <f>TRIM(SUBSTITUTE(INDEX('Call accounts and MMFs'!$C:$C,ROW())&amp;""," "," "))</f>
        <v/>
      </c>
      <c r="M1956">
        <f>IFERROR(--INDEX('Call accounts and MMFs'!$D:$D,ROW()),0)</f>
        <v/>
      </c>
      <c r="N1956">
        <f>IFERROR(IF(--INDEX('Call accounts and MMFs'!$E:$E,ROW())&gt;=1,--INDEX('Call accounts and MMFs'!$E:$E,ROW())/100,--INDEX('Call accounts and MMFs'!$E:$E,ROW())),0)</f>
        <v/>
      </c>
      <c r="O1956">
        <f>IFERROR(--INDEX('Call accounts and MMFs'!$F:$F,ROW()),0)</f>
        <v/>
      </c>
      <c r="P1956">
        <f>IF(ISNUMBER(INDEX('Call accounts and MMFs'!$E:$E,ROW())),1,0)</f>
        <v/>
      </c>
      <c r="Q1956">
        <f>TRIM(SUBSTITUTE(INDEX('Pooled funds'!$B:$B,ROW())&amp;""," "," "))</f>
        <v/>
      </c>
      <c r="R1956">
        <f>IFERROR(--INDEX('Pooled funds'!$C:$C,ROW()),0)</f>
        <v/>
      </c>
      <c r="S1956">
        <f>IFERROR(--INDEX('Pooled funds'!$D:$D,ROW()),0)</f>
        <v/>
      </c>
      <c r="T1956">
        <f>IFERROR(IF(--INDEX('Pooled funds'!$E:$E,ROW())&gt;=1,--INDEX('Pooled funds'!$E:$E,ROW())/100,--INDEX('Pooled funds'!$E:$E,ROW())),0)</f>
        <v/>
      </c>
      <c r="U1956">
        <f>IF(ISNUMBER(INDEX('Pooled funds'!$E:$E,ROW())),1,0)</f>
        <v/>
      </c>
    </row>
    <row r="1957">
      <c r="A1957">
        <f>TRIM(SUBSTITUTE(INDEX('Term investments'!$A:$A,ROW())&amp;""," "," "))</f>
        <v/>
      </c>
      <c r="B1957">
        <f>TRIM(SUBSTITUTE(INDEX('Term investments'!$B:$B,ROW())&amp;""," "," "))</f>
        <v/>
      </c>
      <c r="C1957">
        <f>TRIM(SUBSTITUTE(INDEX('Term investments'!$C:$C,ROW())&amp;""," "," "))</f>
        <v/>
      </c>
      <c r="D1957">
        <f>IFERROR(--INDEX('Term investments'!$D:$D,ROW()),0)</f>
        <v/>
      </c>
      <c r="E1957">
        <f>IFERROR(--INDEX('Term investments'!$E:$E,ROW()),0)</f>
        <v/>
      </c>
      <c r="F1957">
        <f>IFERROR(--INDEX('Term investments'!$F:$F,ROW()),0)</f>
        <v/>
      </c>
      <c r="G1957">
        <f>IFERROR(IF(--INDEX('Term investments'!$G:$G,ROW())&gt;=1,--INDEX('Term investments'!$G:$G,ROW())/100,--INDEX('Term investments'!$G:$G,ROW())),0)</f>
        <v/>
      </c>
      <c r="H1957">
        <f>IFERROR(--INDEX('Term investments'!$H:$H,ROW()),0)</f>
        <v/>
      </c>
      <c r="I1957">
        <f>IF(ISNUMBER(INDEX('Term investments'!$G:$G,ROW())),1,0)</f>
        <v/>
      </c>
      <c r="J1957">
        <f>TRIM(SUBSTITUTE(INDEX('Call accounts and MMFs'!$A:$A,ROW())&amp;""," "," "))</f>
        <v/>
      </c>
      <c r="K1957">
        <f>TRIM(SUBSTITUTE(INDEX('Call accounts and MMFs'!$B:$B,ROW())&amp;""," "," "))</f>
        <v/>
      </c>
      <c r="L1957">
        <f>TRIM(SUBSTITUTE(INDEX('Call accounts and MMFs'!$C:$C,ROW())&amp;""," "," "))</f>
        <v/>
      </c>
      <c r="M1957">
        <f>IFERROR(--INDEX('Call accounts and MMFs'!$D:$D,ROW()),0)</f>
        <v/>
      </c>
      <c r="N1957">
        <f>IFERROR(IF(--INDEX('Call accounts and MMFs'!$E:$E,ROW())&gt;=1,--INDEX('Call accounts and MMFs'!$E:$E,ROW())/100,--INDEX('Call accounts and MMFs'!$E:$E,ROW())),0)</f>
        <v/>
      </c>
      <c r="O1957">
        <f>IFERROR(--INDEX('Call accounts and MMFs'!$F:$F,ROW()),0)</f>
        <v/>
      </c>
      <c r="P1957">
        <f>IF(ISNUMBER(INDEX('Call accounts and MMFs'!$E:$E,ROW())),1,0)</f>
        <v/>
      </c>
      <c r="Q1957">
        <f>TRIM(SUBSTITUTE(INDEX('Pooled funds'!$B:$B,ROW())&amp;""," "," "))</f>
        <v/>
      </c>
      <c r="R1957">
        <f>IFERROR(--INDEX('Pooled funds'!$C:$C,ROW()),0)</f>
        <v/>
      </c>
      <c r="S1957">
        <f>IFERROR(--INDEX('Pooled funds'!$D:$D,ROW()),0)</f>
        <v/>
      </c>
      <c r="T1957">
        <f>IFERROR(IF(--INDEX('Pooled funds'!$E:$E,ROW())&gt;=1,--INDEX('Pooled funds'!$E:$E,ROW())/100,--INDEX('Pooled funds'!$E:$E,ROW())),0)</f>
        <v/>
      </c>
      <c r="U1957">
        <f>IF(ISNUMBER(INDEX('Pooled funds'!$E:$E,ROW())),1,0)</f>
        <v/>
      </c>
    </row>
    <row r="1958">
      <c r="A1958">
        <f>TRIM(SUBSTITUTE(INDEX('Term investments'!$A:$A,ROW())&amp;""," "," "))</f>
        <v/>
      </c>
      <c r="B1958">
        <f>TRIM(SUBSTITUTE(INDEX('Term investments'!$B:$B,ROW())&amp;""," "," "))</f>
        <v/>
      </c>
      <c r="C1958">
        <f>TRIM(SUBSTITUTE(INDEX('Term investments'!$C:$C,ROW())&amp;""," "," "))</f>
        <v/>
      </c>
      <c r="D1958">
        <f>IFERROR(--INDEX('Term investments'!$D:$D,ROW()),0)</f>
        <v/>
      </c>
      <c r="E1958">
        <f>IFERROR(--INDEX('Term investments'!$E:$E,ROW()),0)</f>
        <v/>
      </c>
      <c r="F1958">
        <f>IFERROR(--INDEX('Term investments'!$F:$F,ROW()),0)</f>
        <v/>
      </c>
      <c r="G1958">
        <f>IFERROR(IF(--INDEX('Term investments'!$G:$G,ROW())&gt;=1,--INDEX('Term investments'!$G:$G,ROW())/100,--INDEX('Term investments'!$G:$G,ROW())),0)</f>
        <v/>
      </c>
      <c r="H1958">
        <f>IFERROR(--INDEX('Term investments'!$H:$H,ROW()),0)</f>
        <v/>
      </c>
      <c r="I1958">
        <f>IF(ISNUMBER(INDEX('Term investments'!$G:$G,ROW())),1,0)</f>
        <v/>
      </c>
      <c r="J1958">
        <f>TRIM(SUBSTITUTE(INDEX('Call accounts and MMFs'!$A:$A,ROW())&amp;""," "," "))</f>
        <v/>
      </c>
      <c r="K1958">
        <f>TRIM(SUBSTITUTE(INDEX('Call accounts and MMFs'!$B:$B,ROW())&amp;""," "," "))</f>
        <v/>
      </c>
      <c r="L1958">
        <f>TRIM(SUBSTITUTE(INDEX('Call accounts and MMFs'!$C:$C,ROW())&amp;""," "," "))</f>
        <v/>
      </c>
      <c r="M1958">
        <f>IFERROR(--INDEX('Call accounts and MMFs'!$D:$D,ROW()),0)</f>
        <v/>
      </c>
      <c r="N1958">
        <f>IFERROR(IF(--INDEX('Call accounts and MMFs'!$E:$E,ROW())&gt;=1,--INDEX('Call accounts and MMFs'!$E:$E,ROW())/100,--INDEX('Call accounts and MMFs'!$E:$E,ROW())),0)</f>
        <v/>
      </c>
      <c r="O1958">
        <f>IFERROR(--INDEX('Call accounts and MMFs'!$F:$F,ROW()),0)</f>
        <v/>
      </c>
      <c r="P1958">
        <f>IF(ISNUMBER(INDEX('Call accounts and MMFs'!$E:$E,ROW())),1,0)</f>
        <v/>
      </c>
      <c r="Q1958">
        <f>TRIM(SUBSTITUTE(INDEX('Pooled funds'!$B:$B,ROW())&amp;""," "," "))</f>
        <v/>
      </c>
      <c r="R1958">
        <f>IFERROR(--INDEX('Pooled funds'!$C:$C,ROW()),0)</f>
        <v/>
      </c>
      <c r="S1958">
        <f>IFERROR(--INDEX('Pooled funds'!$D:$D,ROW()),0)</f>
        <v/>
      </c>
      <c r="T1958">
        <f>IFERROR(IF(--INDEX('Pooled funds'!$E:$E,ROW())&gt;=1,--INDEX('Pooled funds'!$E:$E,ROW())/100,--INDEX('Pooled funds'!$E:$E,ROW())),0)</f>
        <v/>
      </c>
      <c r="U1958">
        <f>IF(ISNUMBER(INDEX('Pooled funds'!$E:$E,ROW())),1,0)</f>
        <v/>
      </c>
    </row>
    <row r="1959">
      <c r="A1959">
        <f>TRIM(SUBSTITUTE(INDEX('Term investments'!$A:$A,ROW())&amp;""," "," "))</f>
        <v/>
      </c>
      <c r="B1959">
        <f>TRIM(SUBSTITUTE(INDEX('Term investments'!$B:$B,ROW())&amp;""," "," "))</f>
        <v/>
      </c>
      <c r="C1959">
        <f>TRIM(SUBSTITUTE(INDEX('Term investments'!$C:$C,ROW())&amp;""," "," "))</f>
        <v/>
      </c>
      <c r="D1959">
        <f>IFERROR(--INDEX('Term investments'!$D:$D,ROW()),0)</f>
        <v/>
      </c>
      <c r="E1959">
        <f>IFERROR(--INDEX('Term investments'!$E:$E,ROW()),0)</f>
        <v/>
      </c>
      <c r="F1959">
        <f>IFERROR(--INDEX('Term investments'!$F:$F,ROW()),0)</f>
        <v/>
      </c>
      <c r="G1959">
        <f>IFERROR(IF(--INDEX('Term investments'!$G:$G,ROW())&gt;=1,--INDEX('Term investments'!$G:$G,ROW())/100,--INDEX('Term investments'!$G:$G,ROW())),0)</f>
        <v/>
      </c>
      <c r="H1959">
        <f>IFERROR(--INDEX('Term investments'!$H:$H,ROW()),0)</f>
        <v/>
      </c>
      <c r="I1959">
        <f>IF(ISNUMBER(INDEX('Term investments'!$G:$G,ROW())),1,0)</f>
        <v/>
      </c>
      <c r="J1959">
        <f>TRIM(SUBSTITUTE(INDEX('Call accounts and MMFs'!$A:$A,ROW())&amp;""," "," "))</f>
        <v/>
      </c>
      <c r="K1959">
        <f>TRIM(SUBSTITUTE(INDEX('Call accounts and MMFs'!$B:$B,ROW())&amp;""," "," "))</f>
        <v/>
      </c>
      <c r="L1959">
        <f>TRIM(SUBSTITUTE(INDEX('Call accounts and MMFs'!$C:$C,ROW())&amp;""," "," "))</f>
        <v/>
      </c>
      <c r="M1959">
        <f>IFERROR(--INDEX('Call accounts and MMFs'!$D:$D,ROW()),0)</f>
        <v/>
      </c>
      <c r="N1959">
        <f>IFERROR(IF(--INDEX('Call accounts and MMFs'!$E:$E,ROW())&gt;=1,--INDEX('Call accounts and MMFs'!$E:$E,ROW())/100,--INDEX('Call accounts and MMFs'!$E:$E,ROW())),0)</f>
        <v/>
      </c>
      <c r="O1959">
        <f>IFERROR(--INDEX('Call accounts and MMFs'!$F:$F,ROW()),0)</f>
        <v/>
      </c>
      <c r="P1959">
        <f>IF(ISNUMBER(INDEX('Call accounts and MMFs'!$E:$E,ROW())),1,0)</f>
        <v/>
      </c>
      <c r="Q1959">
        <f>TRIM(SUBSTITUTE(INDEX('Pooled funds'!$B:$B,ROW())&amp;""," "," "))</f>
        <v/>
      </c>
      <c r="R1959">
        <f>IFERROR(--INDEX('Pooled funds'!$C:$C,ROW()),0)</f>
        <v/>
      </c>
      <c r="S1959">
        <f>IFERROR(--INDEX('Pooled funds'!$D:$D,ROW()),0)</f>
        <v/>
      </c>
      <c r="T1959">
        <f>IFERROR(IF(--INDEX('Pooled funds'!$E:$E,ROW())&gt;=1,--INDEX('Pooled funds'!$E:$E,ROW())/100,--INDEX('Pooled funds'!$E:$E,ROW())),0)</f>
        <v/>
      </c>
      <c r="U1959">
        <f>IF(ISNUMBER(INDEX('Pooled funds'!$E:$E,ROW())),1,0)</f>
        <v/>
      </c>
    </row>
    <row r="1960">
      <c r="A1960">
        <f>TRIM(SUBSTITUTE(INDEX('Term investments'!$A:$A,ROW())&amp;""," "," "))</f>
        <v/>
      </c>
      <c r="B1960">
        <f>TRIM(SUBSTITUTE(INDEX('Term investments'!$B:$B,ROW())&amp;""," "," "))</f>
        <v/>
      </c>
      <c r="C1960">
        <f>TRIM(SUBSTITUTE(INDEX('Term investments'!$C:$C,ROW())&amp;""," "," "))</f>
        <v/>
      </c>
      <c r="D1960">
        <f>IFERROR(--INDEX('Term investments'!$D:$D,ROW()),0)</f>
        <v/>
      </c>
      <c r="E1960">
        <f>IFERROR(--INDEX('Term investments'!$E:$E,ROW()),0)</f>
        <v/>
      </c>
      <c r="F1960">
        <f>IFERROR(--INDEX('Term investments'!$F:$F,ROW()),0)</f>
        <v/>
      </c>
      <c r="G1960">
        <f>IFERROR(IF(--INDEX('Term investments'!$G:$G,ROW())&gt;=1,--INDEX('Term investments'!$G:$G,ROW())/100,--INDEX('Term investments'!$G:$G,ROW())),0)</f>
        <v/>
      </c>
      <c r="H1960">
        <f>IFERROR(--INDEX('Term investments'!$H:$H,ROW()),0)</f>
        <v/>
      </c>
      <c r="I1960">
        <f>IF(ISNUMBER(INDEX('Term investments'!$G:$G,ROW())),1,0)</f>
        <v/>
      </c>
      <c r="J1960">
        <f>TRIM(SUBSTITUTE(INDEX('Call accounts and MMFs'!$A:$A,ROW())&amp;""," "," "))</f>
        <v/>
      </c>
      <c r="K1960">
        <f>TRIM(SUBSTITUTE(INDEX('Call accounts and MMFs'!$B:$B,ROW())&amp;""," "," "))</f>
        <v/>
      </c>
      <c r="L1960">
        <f>TRIM(SUBSTITUTE(INDEX('Call accounts and MMFs'!$C:$C,ROW())&amp;""," "," "))</f>
        <v/>
      </c>
      <c r="M1960">
        <f>IFERROR(--INDEX('Call accounts and MMFs'!$D:$D,ROW()),0)</f>
        <v/>
      </c>
      <c r="N1960">
        <f>IFERROR(IF(--INDEX('Call accounts and MMFs'!$E:$E,ROW())&gt;=1,--INDEX('Call accounts and MMFs'!$E:$E,ROW())/100,--INDEX('Call accounts and MMFs'!$E:$E,ROW())),0)</f>
        <v/>
      </c>
      <c r="O1960">
        <f>IFERROR(--INDEX('Call accounts and MMFs'!$F:$F,ROW()),0)</f>
        <v/>
      </c>
      <c r="P1960">
        <f>IF(ISNUMBER(INDEX('Call accounts and MMFs'!$E:$E,ROW())),1,0)</f>
        <v/>
      </c>
      <c r="Q1960">
        <f>TRIM(SUBSTITUTE(INDEX('Pooled funds'!$B:$B,ROW())&amp;""," "," "))</f>
        <v/>
      </c>
      <c r="R1960">
        <f>IFERROR(--INDEX('Pooled funds'!$C:$C,ROW()),0)</f>
        <v/>
      </c>
      <c r="S1960">
        <f>IFERROR(--INDEX('Pooled funds'!$D:$D,ROW()),0)</f>
        <v/>
      </c>
      <c r="T1960">
        <f>IFERROR(IF(--INDEX('Pooled funds'!$E:$E,ROW())&gt;=1,--INDEX('Pooled funds'!$E:$E,ROW())/100,--INDEX('Pooled funds'!$E:$E,ROW())),0)</f>
        <v/>
      </c>
      <c r="U1960">
        <f>IF(ISNUMBER(INDEX('Pooled funds'!$E:$E,ROW())),1,0)</f>
        <v/>
      </c>
    </row>
    <row r="1961">
      <c r="A1961">
        <f>TRIM(SUBSTITUTE(INDEX('Term investments'!$A:$A,ROW())&amp;""," "," "))</f>
        <v/>
      </c>
      <c r="B1961">
        <f>TRIM(SUBSTITUTE(INDEX('Term investments'!$B:$B,ROW())&amp;""," "," "))</f>
        <v/>
      </c>
      <c r="C1961">
        <f>TRIM(SUBSTITUTE(INDEX('Term investments'!$C:$C,ROW())&amp;""," "," "))</f>
        <v/>
      </c>
      <c r="D1961">
        <f>IFERROR(--INDEX('Term investments'!$D:$D,ROW()),0)</f>
        <v/>
      </c>
      <c r="E1961">
        <f>IFERROR(--INDEX('Term investments'!$E:$E,ROW()),0)</f>
        <v/>
      </c>
      <c r="F1961">
        <f>IFERROR(--INDEX('Term investments'!$F:$F,ROW()),0)</f>
        <v/>
      </c>
      <c r="G1961">
        <f>IFERROR(IF(--INDEX('Term investments'!$G:$G,ROW())&gt;=1,--INDEX('Term investments'!$G:$G,ROW())/100,--INDEX('Term investments'!$G:$G,ROW())),0)</f>
        <v/>
      </c>
      <c r="H1961">
        <f>IFERROR(--INDEX('Term investments'!$H:$H,ROW()),0)</f>
        <v/>
      </c>
      <c r="I1961">
        <f>IF(ISNUMBER(INDEX('Term investments'!$G:$G,ROW())),1,0)</f>
        <v/>
      </c>
      <c r="J1961">
        <f>TRIM(SUBSTITUTE(INDEX('Call accounts and MMFs'!$A:$A,ROW())&amp;""," "," "))</f>
        <v/>
      </c>
      <c r="K1961">
        <f>TRIM(SUBSTITUTE(INDEX('Call accounts and MMFs'!$B:$B,ROW())&amp;""," "," "))</f>
        <v/>
      </c>
      <c r="L1961">
        <f>TRIM(SUBSTITUTE(INDEX('Call accounts and MMFs'!$C:$C,ROW())&amp;""," "," "))</f>
        <v/>
      </c>
      <c r="M1961">
        <f>IFERROR(--INDEX('Call accounts and MMFs'!$D:$D,ROW()),0)</f>
        <v/>
      </c>
      <c r="N1961">
        <f>IFERROR(IF(--INDEX('Call accounts and MMFs'!$E:$E,ROW())&gt;=1,--INDEX('Call accounts and MMFs'!$E:$E,ROW())/100,--INDEX('Call accounts and MMFs'!$E:$E,ROW())),0)</f>
        <v/>
      </c>
      <c r="O1961">
        <f>IFERROR(--INDEX('Call accounts and MMFs'!$F:$F,ROW()),0)</f>
        <v/>
      </c>
      <c r="P1961">
        <f>IF(ISNUMBER(INDEX('Call accounts and MMFs'!$E:$E,ROW())),1,0)</f>
        <v/>
      </c>
      <c r="Q1961">
        <f>TRIM(SUBSTITUTE(INDEX('Pooled funds'!$B:$B,ROW())&amp;""," "," "))</f>
        <v/>
      </c>
      <c r="R1961">
        <f>IFERROR(--INDEX('Pooled funds'!$C:$C,ROW()),0)</f>
        <v/>
      </c>
      <c r="S1961">
        <f>IFERROR(--INDEX('Pooled funds'!$D:$D,ROW()),0)</f>
        <v/>
      </c>
      <c r="T1961">
        <f>IFERROR(IF(--INDEX('Pooled funds'!$E:$E,ROW())&gt;=1,--INDEX('Pooled funds'!$E:$E,ROW())/100,--INDEX('Pooled funds'!$E:$E,ROW())),0)</f>
        <v/>
      </c>
      <c r="U1961">
        <f>IF(ISNUMBER(INDEX('Pooled funds'!$E:$E,ROW())),1,0)</f>
        <v/>
      </c>
    </row>
    <row r="1962">
      <c r="A1962">
        <f>TRIM(SUBSTITUTE(INDEX('Term investments'!$A:$A,ROW())&amp;""," "," "))</f>
        <v/>
      </c>
      <c r="B1962">
        <f>TRIM(SUBSTITUTE(INDEX('Term investments'!$B:$B,ROW())&amp;""," "," "))</f>
        <v/>
      </c>
      <c r="C1962">
        <f>TRIM(SUBSTITUTE(INDEX('Term investments'!$C:$C,ROW())&amp;""," "," "))</f>
        <v/>
      </c>
      <c r="D1962">
        <f>IFERROR(--INDEX('Term investments'!$D:$D,ROW()),0)</f>
        <v/>
      </c>
      <c r="E1962">
        <f>IFERROR(--INDEX('Term investments'!$E:$E,ROW()),0)</f>
        <v/>
      </c>
      <c r="F1962">
        <f>IFERROR(--INDEX('Term investments'!$F:$F,ROW()),0)</f>
        <v/>
      </c>
      <c r="G1962">
        <f>IFERROR(IF(--INDEX('Term investments'!$G:$G,ROW())&gt;=1,--INDEX('Term investments'!$G:$G,ROW())/100,--INDEX('Term investments'!$G:$G,ROW())),0)</f>
        <v/>
      </c>
      <c r="H1962">
        <f>IFERROR(--INDEX('Term investments'!$H:$H,ROW()),0)</f>
        <v/>
      </c>
      <c r="I1962">
        <f>IF(ISNUMBER(INDEX('Term investments'!$G:$G,ROW())),1,0)</f>
        <v/>
      </c>
      <c r="J1962">
        <f>TRIM(SUBSTITUTE(INDEX('Call accounts and MMFs'!$A:$A,ROW())&amp;""," "," "))</f>
        <v/>
      </c>
      <c r="K1962">
        <f>TRIM(SUBSTITUTE(INDEX('Call accounts and MMFs'!$B:$B,ROW())&amp;""," "," "))</f>
        <v/>
      </c>
      <c r="L1962">
        <f>TRIM(SUBSTITUTE(INDEX('Call accounts and MMFs'!$C:$C,ROW())&amp;""," "," "))</f>
        <v/>
      </c>
      <c r="M1962">
        <f>IFERROR(--INDEX('Call accounts and MMFs'!$D:$D,ROW()),0)</f>
        <v/>
      </c>
      <c r="N1962">
        <f>IFERROR(IF(--INDEX('Call accounts and MMFs'!$E:$E,ROW())&gt;=1,--INDEX('Call accounts and MMFs'!$E:$E,ROW())/100,--INDEX('Call accounts and MMFs'!$E:$E,ROW())),0)</f>
        <v/>
      </c>
      <c r="O1962">
        <f>IFERROR(--INDEX('Call accounts and MMFs'!$F:$F,ROW()),0)</f>
        <v/>
      </c>
      <c r="P1962">
        <f>IF(ISNUMBER(INDEX('Call accounts and MMFs'!$E:$E,ROW())),1,0)</f>
        <v/>
      </c>
      <c r="Q1962">
        <f>TRIM(SUBSTITUTE(INDEX('Pooled funds'!$B:$B,ROW())&amp;""," "," "))</f>
        <v/>
      </c>
      <c r="R1962">
        <f>IFERROR(--INDEX('Pooled funds'!$C:$C,ROW()),0)</f>
        <v/>
      </c>
      <c r="S1962">
        <f>IFERROR(--INDEX('Pooled funds'!$D:$D,ROW()),0)</f>
        <v/>
      </c>
      <c r="T1962">
        <f>IFERROR(IF(--INDEX('Pooled funds'!$E:$E,ROW())&gt;=1,--INDEX('Pooled funds'!$E:$E,ROW())/100,--INDEX('Pooled funds'!$E:$E,ROW())),0)</f>
        <v/>
      </c>
      <c r="U1962">
        <f>IF(ISNUMBER(INDEX('Pooled funds'!$E:$E,ROW())),1,0)</f>
        <v/>
      </c>
    </row>
    <row r="1963">
      <c r="A1963">
        <f>TRIM(SUBSTITUTE(INDEX('Term investments'!$A:$A,ROW())&amp;""," "," "))</f>
        <v/>
      </c>
      <c r="B1963">
        <f>TRIM(SUBSTITUTE(INDEX('Term investments'!$B:$B,ROW())&amp;""," "," "))</f>
        <v/>
      </c>
      <c r="C1963">
        <f>TRIM(SUBSTITUTE(INDEX('Term investments'!$C:$C,ROW())&amp;""," "," "))</f>
        <v/>
      </c>
      <c r="D1963">
        <f>IFERROR(--INDEX('Term investments'!$D:$D,ROW()),0)</f>
        <v/>
      </c>
      <c r="E1963">
        <f>IFERROR(--INDEX('Term investments'!$E:$E,ROW()),0)</f>
        <v/>
      </c>
      <c r="F1963">
        <f>IFERROR(--INDEX('Term investments'!$F:$F,ROW()),0)</f>
        <v/>
      </c>
      <c r="G1963">
        <f>IFERROR(IF(--INDEX('Term investments'!$G:$G,ROW())&gt;=1,--INDEX('Term investments'!$G:$G,ROW())/100,--INDEX('Term investments'!$G:$G,ROW())),0)</f>
        <v/>
      </c>
      <c r="H1963">
        <f>IFERROR(--INDEX('Term investments'!$H:$H,ROW()),0)</f>
        <v/>
      </c>
      <c r="I1963">
        <f>IF(ISNUMBER(INDEX('Term investments'!$G:$G,ROW())),1,0)</f>
        <v/>
      </c>
      <c r="J1963">
        <f>TRIM(SUBSTITUTE(INDEX('Call accounts and MMFs'!$A:$A,ROW())&amp;""," "," "))</f>
        <v/>
      </c>
      <c r="K1963">
        <f>TRIM(SUBSTITUTE(INDEX('Call accounts and MMFs'!$B:$B,ROW())&amp;""," "," "))</f>
        <v/>
      </c>
      <c r="L1963">
        <f>TRIM(SUBSTITUTE(INDEX('Call accounts and MMFs'!$C:$C,ROW())&amp;""," "," "))</f>
        <v/>
      </c>
      <c r="M1963">
        <f>IFERROR(--INDEX('Call accounts and MMFs'!$D:$D,ROW()),0)</f>
        <v/>
      </c>
      <c r="N1963">
        <f>IFERROR(IF(--INDEX('Call accounts and MMFs'!$E:$E,ROW())&gt;=1,--INDEX('Call accounts and MMFs'!$E:$E,ROW())/100,--INDEX('Call accounts and MMFs'!$E:$E,ROW())),0)</f>
        <v/>
      </c>
      <c r="O1963">
        <f>IFERROR(--INDEX('Call accounts and MMFs'!$F:$F,ROW()),0)</f>
        <v/>
      </c>
      <c r="P1963">
        <f>IF(ISNUMBER(INDEX('Call accounts and MMFs'!$E:$E,ROW())),1,0)</f>
        <v/>
      </c>
      <c r="Q1963">
        <f>TRIM(SUBSTITUTE(INDEX('Pooled funds'!$B:$B,ROW())&amp;""," "," "))</f>
        <v/>
      </c>
      <c r="R1963">
        <f>IFERROR(--INDEX('Pooled funds'!$C:$C,ROW()),0)</f>
        <v/>
      </c>
      <c r="S1963">
        <f>IFERROR(--INDEX('Pooled funds'!$D:$D,ROW()),0)</f>
        <v/>
      </c>
      <c r="T1963">
        <f>IFERROR(IF(--INDEX('Pooled funds'!$E:$E,ROW())&gt;=1,--INDEX('Pooled funds'!$E:$E,ROW())/100,--INDEX('Pooled funds'!$E:$E,ROW())),0)</f>
        <v/>
      </c>
      <c r="U1963">
        <f>IF(ISNUMBER(INDEX('Pooled funds'!$E:$E,ROW())),1,0)</f>
        <v/>
      </c>
    </row>
    <row r="1964">
      <c r="A1964">
        <f>TRIM(SUBSTITUTE(INDEX('Term investments'!$A:$A,ROW())&amp;""," "," "))</f>
        <v/>
      </c>
      <c r="B1964">
        <f>TRIM(SUBSTITUTE(INDEX('Term investments'!$B:$B,ROW())&amp;""," "," "))</f>
        <v/>
      </c>
      <c r="C1964">
        <f>TRIM(SUBSTITUTE(INDEX('Term investments'!$C:$C,ROW())&amp;""," "," "))</f>
        <v/>
      </c>
      <c r="D1964">
        <f>IFERROR(--INDEX('Term investments'!$D:$D,ROW()),0)</f>
        <v/>
      </c>
      <c r="E1964">
        <f>IFERROR(--INDEX('Term investments'!$E:$E,ROW()),0)</f>
        <v/>
      </c>
      <c r="F1964">
        <f>IFERROR(--INDEX('Term investments'!$F:$F,ROW()),0)</f>
        <v/>
      </c>
      <c r="G1964">
        <f>IFERROR(IF(--INDEX('Term investments'!$G:$G,ROW())&gt;=1,--INDEX('Term investments'!$G:$G,ROW())/100,--INDEX('Term investments'!$G:$G,ROW())),0)</f>
        <v/>
      </c>
      <c r="H1964">
        <f>IFERROR(--INDEX('Term investments'!$H:$H,ROW()),0)</f>
        <v/>
      </c>
      <c r="I1964">
        <f>IF(ISNUMBER(INDEX('Term investments'!$G:$G,ROW())),1,0)</f>
        <v/>
      </c>
      <c r="J1964">
        <f>TRIM(SUBSTITUTE(INDEX('Call accounts and MMFs'!$A:$A,ROW())&amp;""," "," "))</f>
        <v/>
      </c>
      <c r="K1964">
        <f>TRIM(SUBSTITUTE(INDEX('Call accounts and MMFs'!$B:$B,ROW())&amp;""," "," "))</f>
        <v/>
      </c>
      <c r="L1964">
        <f>TRIM(SUBSTITUTE(INDEX('Call accounts and MMFs'!$C:$C,ROW())&amp;""," "," "))</f>
        <v/>
      </c>
      <c r="M1964">
        <f>IFERROR(--INDEX('Call accounts and MMFs'!$D:$D,ROW()),0)</f>
        <v/>
      </c>
      <c r="N1964">
        <f>IFERROR(IF(--INDEX('Call accounts and MMFs'!$E:$E,ROW())&gt;=1,--INDEX('Call accounts and MMFs'!$E:$E,ROW())/100,--INDEX('Call accounts and MMFs'!$E:$E,ROW())),0)</f>
        <v/>
      </c>
      <c r="O1964">
        <f>IFERROR(--INDEX('Call accounts and MMFs'!$F:$F,ROW()),0)</f>
        <v/>
      </c>
      <c r="P1964">
        <f>IF(ISNUMBER(INDEX('Call accounts and MMFs'!$E:$E,ROW())),1,0)</f>
        <v/>
      </c>
      <c r="Q1964">
        <f>TRIM(SUBSTITUTE(INDEX('Pooled funds'!$B:$B,ROW())&amp;""," "," "))</f>
        <v/>
      </c>
      <c r="R1964">
        <f>IFERROR(--INDEX('Pooled funds'!$C:$C,ROW()),0)</f>
        <v/>
      </c>
      <c r="S1964">
        <f>IFERROR(--INDEX('Pooled funds'!$D:$D,ROW()),0)</f>
        <v/>
      </c>
      <c r="T1964">
        <f>IFERROR(IF(--INDEX('Pooled funds'!$E:$E,ROW())&gt;=1,--INDEX('Pooled funds'!$E:$E,ROW())/100,--INDEX('Pooled funds'!$E:$E,ROW())),0)</f>
        <v/>
      </c>
      <c r="U1964">
        <f>IF(ISNUMBER(INDEX('Pooled funds'!$E:$E,ROW())),1,0)</f>
        <v/>
      </c>
    </row>
    <row r="1965">
      <c r="A1965">
        <f>TRIM(SUBSTITUTE(INDEX('Term investments'!$A:$A,ROW())&amp;""," "," "))</f>
        <v/>
      </c>
      <c r="B1965">
        <f>TRIM(SUBSTITUTE(INDEX('Term investments'!$B:$B,ROW())&amp;""," "," "))</f>
        <v/>
      </c>
      <c r="C1965">
        <f>TRIM(SUBSTITUTE(INDEX('Term investments'!$C:$C,ROW())&amp;""," "," "))</f>
        <v/>
      </c>
      <c r="D1965">
        <f>IFERROR(--INDEX('Term investments'!$D:$D,ROW()),0)</f>
        <v/>
      </c>
      <c r="E1965">
        <f>IFERROR(--INDEX('Term investments'!$E:$E,ROW()),0)</f>
        <v/>
      </c>
      <c r="F1965">
        <f>IFERROR(--INDEX('Term investments'!$F:$F,ROW()),0)</f>
        <v/>
      </c>
      <c r="G1965">
        <f>IFERROR(IF(--INDEX('Term investments'!$G:$G,ROW())&gt;=1,--INDEX('Term investments'!$G:$G,ROW())/100,--INDEX('Term investments'!$G:$G,ROW())),0)</f>
        <v/>
      </c>
      <c r="H1965">
        <f>IFERROR(--INDEX('Term investments'!$H:$H,ROW()),0)</f>
        <v/>
      </c>
      <c r="I1965">
        <f>IF(ISNUMBER(INDEX('Term investments'!$G:$G,ROW())),1,0)</f>
        <v/>
      </c>
      <c r="J1965">
        <f>TRIM(SUBSTITUTE(INDEX('Call accounts and MMFs'!$A:$A,ROW())&amp;""," "," "))</f>
        <v/>
      </c>
      <c r="K1965">
        <f>TRIM(SUBSTITUTE(INDEX('Call accounts and MMFs'!$B:$B,ROW())&amp;""," "," "))</f>
        <v/>
      </c>
      <c r="L1965">
        <f>TRIM(SUBSTITUTE(INDEX('Call accounts and MMFs'!$C:$C,ROW())&amp;""," "," "))</f>
        <v/>
      </c>
      <c r="M1965">
        <f>IFERROR(--INDEX('Call accounts and MMFs'!$D:$D,ROW()),0)</f>
        <v/>
      </c>
      <c r="N1965">
        <f>IFERROR(IF(--INDEX('Call accounts and MMFs'!$E:$E,ROW())&gt;=1,--INDEX('Call accounts and MMFs'!$E:$E,ROW())/100,--INDEX('Call accounts and MMFs'!$E:$E,ROW())),0)</f>
        <v/>
      </c>
      <c r="O1965">
        <f>IFERROR(--INDEX('Call accounts and MMFs'!$F:$F,ROW()),0)</f>
        <v/>
      </c>
      <c r="P1965">
        <f>IF(ISNUMBER(INDEX('Call accounts and MMFs'!$E:$E,ROW())),1,0)</f>
        <v/>
      </c>
      <c r="Q1965">
        <f>TRIM(SUBSTITUTE(INDEX('Pooled funds'!$B:$B,ROW())&amp;""," "," "))</f>
        <v/>
      </c>
      <c r="R1965">
        <f>IFERROR(--INDEX('Pooled funds'!$C:$C,ROW()),0)</f>
        <v/>
      </c>
      <c r="S1965">
        <f>IFERROR(--INDEX('Pooled funds'!$D:$D,ROW()),0)</f>
        <v/>
      </c>
      <c r="T1965">
        <f>IFERROR(IF(--INDEX('Pooled funds'!$E:$E,ROW())&gt;=1,--INDEX('Pooled funds'!$E:$E,ROW())/100,--INDEX('Pooled funds'!$E:$E,ROW())),0)</f>
        <v/>
      </c>
      <c r="U1965">
        <f>IF(ISNUMBER(INDEX('Pooled funds'!$E:$E,ROW())),1,0)</f>
        <v/>
      </c>
    </row>
    <row r="1966">
      <c r="A1966">
        <f>TRIM(SUBSTITUTE(INDEX('Term investments'!$A:$A,ROW())&amp;""," "," "))</f>
        <v/>
      </c>
      <c r="B1966">
        <f>TRIM(SUBSTITUTE(INDEX('Term investments'!$B:$B,ROW())&amp;""," "," "))</f>
        <v/>
      </c>
      <c r="C1966">
        <f>TRIM(SUBSTITUTE(INDEX('Term investments'!$C:$C,ROW())&amp;""," "," "))</f>
        <v/>
      </c>
      <c r="D1966">
        <f>IFERROR(--INDEX('Term investments'!$D:$D,ROW()),0)</f>
        <v/>
      </c>
      <c r="E1966">
        <f>IFERROR(--INDEX('Term investments'!$E:$E,ROW()),0)</f>
        <v/>
      </c>
      <c r="F1966">
        <f>IFERROR(--INDEX('Term investments'!$F:$F,ROW()),0)</f>
        <v/>
      </c>
      <c r="G1966">
        <f>IFERROR(IF(--INDEX('Term investments'!$G:$G,ROW())&gt;=1,--INDEX('Term investments'!$G:$G,ROW())/100,--INDEX('Term investments'!$G:$G,ROW())),0)</f>
        <v/>
      </c>
      <c r="H1966">
        <f>IFERROR(--INDEX('Term investments'!$H:$H,ROW()),0)</f>
        <v/>
      </c>
      <c r="I1966">
        <f>IF(ISNUMBER(INDEX('Term investments'!$G:$G,ROW())),1,0)</f>
        <v/>
      </c>
      <c r="J1966">
        <f>TRIM(SUBSTITUTE(INDEX('Call accounts and MMFs'!$A:$A,ROW())&amp;""," "," "))</f>
        <v/>
      </c>
      <c r="K1966">
        <f>TRIM(SUBSTITUTE(INDEX('Call accounts and MMFs'!$B:$B,ROW())&amp;""," "," "))</f>
        <v/>
      </c>
      <c r="L1966">
        <f>TRIM(SUBSTITUTE(INDEX('Call accounts and MMFs'!$C:$C,ROW())&amp;""," "," "))</f>
        <v/>
      </c>
      <c r="M1966">
        <f>IFERROR(--INDEX('Call accounts and MMFs'!$D:$D,ROW()),0)</f>
        <v/>
      </c>
      <c r="N1966">
        <f>IFERROR(IF(--INDEX('Call accounts and MMFs'!$E:$E,ROW())&gt;=1,--INDEX('Call accounts and MMFs'!$E:$E,ROW())/100,--INDEX('Call accounts and MMFs'!$E:$E,ROW())),0)</f>
        <v/>
      </c>
      <c r="O1966">
        <f>IFERROR(--INDEX('Call accounts and MMFs'!$F:$F,ROW()),0)</f>
        <v/>
      </c>
      <c r="P1966">
        <f>IF(ISNUMBER(INDEX('Call accounts and MMFs'!$E:$E,ROW())),1,0)</f>
        <v/>
      </c>
      <c r="Q1966">
        <f>TRIM(SUBSTITUTE(INDEX('Pooled funds'!$B:$B,ROW())&amp;""," "," "))</f>
        <v/>
      </c>
      <c r="R1966">
        <f>IFERROR(--INDEX('Pooled funds'!$C:$C,ROW()),0)</f>
        <v/>
      </c>
      <c r="S1966">
        <f>IFERROR(--INDEX('Pooled funds'!$D:$D,ROW()),0)</f>
        <v/>
      </c>
      <c r="T1966">
        <f>IFERROR(IF(--INDEX('Pooled funds'!$E:$E,ROW())&gt;=1,--INDEX('Pooled funds'!$E:$E,ROW())/100,--INDEX('Pooled funds'!$E:$E,ROW())),0)</f>
        <v/>
      </c>
      <c r="U1966">
        <f>IF(ISNUMBER(INDEX('Pooled funds'!$E:$E,ROW())),1,0)</f>
        <v/>
      </c>
    </row>
    <row r="1967">
      <c r="A1967">
        <f>TRIM(SUBSTITUTE(INDEX('Term investments'!$A:$A,ROW())&amp;""," "," "))</f>
        <v/>
      </c>
      <c r="B1967">
        <f>TRIM(SUBSTITUTE(INDEX('Term investments'!$B:$B,ROW())&amp;""," "," "))</f>
        <v/>
      </c>
      <c r="C1967">
        <f>TRIM(SUBSTITUTE(INDEX('Term investments'!$C:$C,ROW())&amp;""," "," "))</f>
        <v/>
      </c>
      <c r="D1967">
        <f>IFERROR(--INDEX('Term investments'!$D:$D,ROW()),0)</f>
        <v/>
      </c>
      <c r="E1967">
        <f>IFERROR(--INDEX('Term investments'!$E:$E,ROW()),0)</f>
        <v/>
      </c>
      <c r="F1967">
        <f>IFERROR(--INDEX('Term investments'!$F:$F,ROW()),0)</f>
        <v/>
      </c>
      <c r="G1967">
        <f>IFERROR(IF(--INDEX('Term investments'!$G:$G,ROW())&gt;=1,--INDEX('Term investments'!$G:$G,ROW())/100,--INDEX('Term investments'!$G:$G,ROW())),0)</f>
        <v/>
      </c>
      <c r="H1967">
        <f>IFERROR(--INDEX('Term investments'!$H:$H,ROW()),0)</f>
        <v/>
      </c>
      <c r="I1967">
        <f>IF(ISNUMBER(INDEX('Term investments'!$G:$G,ROW())),1,0)</f>
        <v/>
      </c>
      <c r="J1967">
        <f>TRIM(SUBSTITUTE(INDEX('Call accounts and MMFs'!$A:$A,ROW())&amp;""," "," "))</f>
        <v/>
      </c>
      <c r="K1967">
        <f>TRIM(SUBSTITUTE(INDEX('Call accounts and MMFs'!$B:$B,ROW())&amp;""," "," "))</f>
        <v/>
      </c>
      <c r="L1967">
        <f>TRIM(SUBSTITUTE(INDEX('Call accounts and MMFs'!$C:$C,ROW())&amp;""," "," "))</f>
        <v/>
      </c>
      <c r="M1967">
        <f>IFERROR(--INDEX('Call accounts and MMFs'!$D:$D,ROW()),0)</f>
        <v/>
      </c>
      <c r="N1967">
        <f>IFERROR(IF(--INDEX('Call accounts and MMFs'!$E:$E,ROW())&gt;=1,--INDEX('Call accounts and MMFs'!$E:$E,ROW())/100,--INDEX('Call accounts and MMFs'!$E:$E,ROW())),0)</f>
        <v/>
      </c>
      <c r="O1967">
        <f>IFERROR(--INDEX('Call accounts and MMFs'!$F:$F,ROW()),0)</f>
        <v/>
      </c>
      <c r="P1967">
        <f>IF(ISNUMBER(INDEX('Call accounts and MMFs'!$E:$E,ROW())),1,0)</f>
        <v/>
      </c>
      <c r="Q1967">
        <f>TRIM(SUBSTITUTE(INDEX('Pooled funds'!$B:$B,ROW())&amp;""," "," "))</f>
        <v/>
      </c>
      <c r="R1967">
        <f>IFERROR(--INDEX('Pooled funds'!$C:$C,ROW()),0)</f>
        <v/>
      </c>
      <c r="S1967">
        <f>IFERROR(--INDEX('Pooled funds'!$D:$D,ROW()),0)</f>
        <v/>
      </c>
      <c r="T1967">
        <f>IFERROR(IF(--INDEX('Pooled funds'!$E:$E,ROW())&gt;=1,--INDEX('Pooled funds'!$E:$E,ROW())/100,--INDEX('Pooled funds'!$E:$E,ROW())),0)</f>
        <v/>
      </c>
      <c r="U1967">
        <f>IF(ISNUMBER(INDEX('Pooled funds'!$E:$E,ROW())),1,0)</f>
        <v/>
      </c>
    </row>
    <row r="1968">
      <c r="A1968">
        <f>TRIM(SUBSTITUTE(INDEX('Term investments'!$A:$A,ROW())&amp;""," "," "))</f>
        <v/>
      </c>
      <c r="B1968">
        <f>TRIM(SUBSTITUTE(INDEX('Term investments'!$B:$B,ROW())&amp;""," "," "))</f>
        <v/>
      </c>
      <c r="C1968">
        <f>TRIM(SUBSTITUTE(INDEX('Term investments'!$C:$C,ROW())&amp;""," "," "))</f>
        <v/>
      </c>
      <c r="D1968">
        <f>IFERROR(--INDEX('Term investments'!$D:$D,ROW()),0)</f>
        <v/>
      </c>
      <c r="E1968">
        <f>IFERROR(--INDEX('Term investments'!$E:$E,ROW()),0)</f>
        <v/>
      </c>
      <c r="F1968">
        <f>IFERROR(--INDEX('Term investments'!$F:$F,ROW()),0)</f>
        <v/>
      </c>
      <c r="G1968">
        <f>IFERROR(IF(--INDEX('Term investments'!$G:$G,ROW())&gt;=1,--INDEX('Term investments'!$G:$G,ROW())/100,--INDEX('Term investments'!$G:$G,ROW())),0)</f>
        <v/>
      </c>
      <c r="H1968">
        <f>IFERROR(--INDEX('Term investments'!$H:$H,ROW()),0)</f>
        <v/>
      </c>
      <c r="I1968">
        <f>IF(ISNUMBER(INDEX('Term investments'!$G:$G,ROW())),1,0)</f>
        <v/>
      </c>
      <c r="J1968">
        <f>TRIM(SUBSTITUTE(INDEX('Call accounts and MMFs'!$A:$A,ROW())&amp;""," "," "))</f>
        <v/>
      </c>
      <c r="K1968">
        <f>TRIM(SUBSTITUTE(INDEX('Call accounts and MMFs'!$B:$B,ROW())&amp;""," "," "))</f>
        <v/>
      </c>
      <c r="L1968">
        <f>TRIM(SUBSTITUTE(INDEX('Call accounts and MMFs'!$C:$C,ROW())&amp;""," "," "))</f>
        <v/>
      </c>
      <c r="M1968">
        <f>IFERROR(--INDEX('Call accounts and MMFs'!$D:$D,ROW()),0)</f>
        <v/>
      </c>
      <c r="N1968">
        <f>IFERROR(IF(--INDEX('Call accounts and MMFs'!$E:$E,ROW())&gt;=1,--INDEX('Call accounts and MMFs'!$E:$E,ROW())/100,--INDEX('Call accounts and MMFs'!$E:$E,ROW())),0)</f>
        <v/>
      </c>
      <c r="O1968">
        <f>IFERROR(--INDEX('Call accounts and MMFs'!$F:$F,ROW()),0)</f>
        <v/>
      </c>
      <c r="P1968">
        <f>IF(ISNUMBER(INDEX('Call accounts and MMFs'!$E:$E,ROW())),1,0)</f>
        <v/>
      </c>
      <c r="Q1968">
        <f>TRIM(SUBSTITUTE(INDEX('Pooled funds'!$B:$B,ROW())&amp;""," "," "))</f>
        <v/>
      </c>
      <c r="R1968">
        <f>IFERROR(--INDEX('Pooled funds'!$C:$C,ROW()),0)</f>
        <v/>
      </c>
      <c r="S1968">
        <f>IFERROR(--INDEX('Pooled funds'!$D:$D,ROW()),0)</f>
        <v/>
      </c>
      <c r="T1968">
        <f>IFERROR(IF(--INDEX('Pooled funds'!$E:$E,ROW())&gt;=1,--INDEX('Pooled funds'!$E:$E,ROW())/100,--INDEX('Pooled funds'!$E:$E,ROW())),0)</f>
        <v/>
      </c>
      <c r="U1968">
        <f>IF(ISNUMBER(INDEX('Pooled funds'!$E:$E,ROW())),1,0)</f>
        <v/>
      </c>
    </row>
    <row r="1969">
      <c r="A1969">
        <f>TRIM(SUBSTITUTE(INDEX('Term investments'!$A:$A,ROW())&amp;""," "," "))</f>
        <v/>
      </c>
      <c r="B1969">
        <f>TRIM(SUBSTITUTE(INDEX('Term investments'!$B:$B,ROW())&amp;""," "," "))</f>
        <v/>
      </c>
      <c r="C1969">
        <f>TRIM(SUBSTITUTE(INDEX('Term investments'!$C:$C,ROW())&amp;""," "," "))</f>
        <v/>
      </c>
      <c r="D1969">
        <f>IFERROR(--INDEX('Term investments'!$D:$D,ROW()),0)</f>
        <v/>
      </c>
      <c r="E1969">
        <f>IFERROR(--INDEX('Term investments'!$E:$E,ROW()),0)</f>
        <v/>
      </c>
      <c r="F1969">
        <f>IFERROR(--INDEX('Term investments'!$F:$F,ROW()),0)</f>
        <v/>
      </c>
      <c r="G1969">
        <f>IFERROR(IF(--INDEX('Term investments'!$G:$G,ROW())&gt;=1,--INDEX('Term investments'!$G:$G,ROW())/100,--INDEX('Term investments'!$G:$G,ROW())),0)</f>
        <v/>
      </c>
      <c r="H1969">
        <f>IFERROR(--INDEX('Term investments'!$H:$H,ROW()),0)</f>
        <v/>
      </c>
      <c r="I1969">
        <f>IF(ISNUMBER(INDEX('Term investments'!$G:$G,ROW())),1,0)</f>
        <v/>
      </c>
      <c r="J1969">
        <f>TRIM(SUBSTITUTE(INDEX('Call accounts and MMFs'!$A:$A,ROW())&amp;""," "," "))</f>
        <v/>
      </c>
      <c r="K1969">
        <f>TRIM(SUBSTITUTE(INDEX('Call accounts and MMFs'!$B:$B,ROW())&amp;""," "," "))</f>
        <v/>
      </c>
      <c r="L1969">
        <f>TRIM(SUBSTITUTE(INDEX('Call accounts and MMFs'!$C:$C,ROW())&amp;""," "," "))</f>
        <v/>
      </c>
      <c r="M1969">
        <f>IFERROR(--INDEX('Call accounts and MMFs'!$D:$D,ROW()),0)</f>
        <v/>
      </c>
      <c r="N1969">
        <f>IFERROR(IF(--INDEX('Call accounts and MMFs'!$E:$E,ROW())&gt;=1,--INDEX('Call accounts and MMFs'!$E:$E,ROW())/100,--INDEX('Call accounts and MMFs'!$E:$E,ROW())),0)</f>
        <v/>
      </c>
      <c r="O1969">
        <f>IFERROR(--INDEX('Call accounts and MMFs'!$F:$F,ROW()),0)</f>
        <v/>
      </c>
      <c r="P1969">
        <f>IF(ISNUMBER(INDEX('Call accounts and MMFs'!$E:$E,ROW())),1,0)</f>
        <v/>
      </c>
      <c r="Q1969">
        <f>TRIM(SUBSTITUTE(INDEX('Pooled funds'!$B:$B,ROW())&amp;""," "," "))</f>
        <v/>
      </c>
      <c r="R1969">
        <f>IFERROR(--INDEX('Pooled funds'!$C:$C,ROW()),0)</f>
        <v/>
      </c>
      <c r="S1969">
        <f>IFERROR(--INDEX('Pooled funds'!$D:$D,ROW()),0)</f>
        <v/>
      </c>
      <c r="T1969">
        <f>IFERROR(IF(--INDEX('Pooled funds'!$E:$E,ROW())&gt;=1,--INDEX('Pooled funds'!$E:$E,ROW())/100,--INDEX('Pooled funds'!$E:$E,ROW())),0)</f>
        <v/>
      </c>
      <c r="U1969">
        <f>IF(ISNUMBER(INDEX('Pooled funds'!$E:$E,ROW())),1,0)</f>
        <v/>
      </c>
    </row>
    <row r="1970">
      <c r="A1970">
        <f>TRIM(SUBSTITUTE(INDEX('Term investments'!$A:$A,ROW())&amp;""," "," "))</f>
        <v/>
      </c>
      <c r="B1970">
        <f>TRIM(SUBSTITUTE(INDEX('Term investments'!$B:$B,ROW())&amp;""," "," "))</f>
        <v/>
      </c>
      <c r="C1970">
        <f>TRIM(SUBSTITUTE(INDEX('Term investments'!$C:$C,ROW())&amp;""," "," "))</f>
        <v/>
      </c>
      <c r="D1970">
        <f>IFERROR(--INDEX('Term investments'!$D:$D,ROW()),0)</f>
        <v/>
      </c>
      <c r="E1970">
        <f>IFERROR(--INDEX('Term investments'!$E:$E,ROW()),0)</f>
        <v/>
      </c>
      <c r="F1970">
        <f>IFERROR(--INDEX('Term investments'!$F:$F,ROW()),0)</f>
        <v/>
      </c>
      <c r="G1970">
        <f>IFERROR(IF(--INDEX('Term investments'!$G:$G,ROW())&gt;=1,--INDEX('Term investments'!$G:$G,ROW())/100,--INDEX('Term investments'!$G:$G,ROW())),0)</f>
        <v/>
      </c>
      <c r="H1970">
        <f>IFERROR(--INDEX('Term investments'!$H:$H,ROW()),0)</f>
        <v/>
      </c>
      <c r="I1970">
        <f>IF(ISNUMBER(INDEX('Term investments'!$G:$G,ROW())),1,0)</f>
        <v/>
      </c>
      <c r="J1970">
        <f>TRIM(SUBSTITUTE(INDEX('Call accounts and MMFs'!$A:$A,ROW())&amp;""," "," "))</f>
        <v/>
      </c>
      <c r="K1970">
        <f>TRIM(SUBSTITUTE(INDEX('Call accounts and MMFs'!$B:$B,ROW())&amp;""," "," "))</f>
        <v/>
      </c>
      <c r="L1970">
        <f>TRIM(SUBSTITUTE(INDEX('Call accounts and MMFs'!$C:$C,ROW())&amp;""," "," "))</f>
        <v/>
      </c>
      <c r="M1970">
        <f>IFERROR(--INDEX('Call accounts and MMFs'!$D:$D,ROW()),0)</f>
        <v/>
      </c>
      <c r="N1970">
        <f>IFERROR(IF(--INDEX('Call accounts and MMFs'!$E:$E,ROW())&gt;=1,--INDEX('Call accounts and MMFs'!$E:$E,ROW())/100,--INDEX('Call accounts and MMFs'!$E:$E,ROW())),0)</f>
        <v/>
      </c>
      <c r="O1970">
        <f>IFERROR(--INDEX('Call accounts and MMFs'!$F:$F,ROW()),0)</f>
        <v/>
      </c>
      <c r="P1970">
        <f>IF(ISNUMBER(INDEX('Call accounts and MMFs'!$E:$E,ROW())),1,0)</f>
        <v/>
      </c>
      <c r="Q1970">
        <f>TRIM(SUBSTITUTE(INDEX('Pooled funds'!$B:$B,ROW())&amp;""," "," "))</f>
        <v/>
      </c>
      <c r="R1970">
        <f>IFERROR(--INDEX('Pooled funds'!$C:$C,ROW()),0)</f>
        <v/>
      </c>
      <c r="S1970">
        <f>IFERROR(--INDEX('Pooled funds'!$D:$D,ROW()),0)</f>
        <v/>
      </c>
      <c r="T1970">
        <f>IFERROR(IF(--INDEX('Pooled funds'!$E:$E,ROW())&gt;=1,--INDEX('Pooled funds'!$E:$E,ROW())/100,--INDEX('Pooled funds'!$E:$E,ROW())),0)</f>
        <v/>
      </c>
      <c r="U1970">
        <f>IF(ISNUMBER(INDEX('Pooled funds'!$E:$E,ROW())),1,0)</f>
        <v/>
      </c>
    </row>
    <row r="1971">
      <c r="A1971">
        <f>TRIM(SUBSTITUTE(INDEX('Term investments'!$A:$A,ROW())&amp;""," "," "))</f>
        <v/>
      </c>
      <c r="B1971">
        <f>TRIM(SUBSTITUTE(INDEX('Term investments'!$B:$B,ROW())&amp;""," "," "))</f>
        <v/>
      </c>
      <c r="C1971">
        <f>TRIM(SUBSTITUTE(INDEX('Term investments'!$C:$C,ROW())&amp;""," "," "))</f>
        <v/>
      </c>
      <c r="D1971">
        <f>IFERROR(--INDEX('Term investments'!$D:$D,ROW()),0)</f>
        <v/>
      </c>
      <c r="E1971">
        <f>IFERROR(--INDEX('Term investments'!$E:$E,ROW()),0)</f>
        <v/>
      </c>
      <c r="F1971">
        <f>IFERROR(--INDEX('Term investments'!$F:$F,ROW()),0)</f>
        <v/>
      </c>
      <c r="G1971">
        <f>IFERROR(IF(--INDEX('Term investments'!$G:$G,ROW())&gt;=1,--INDEX('Term investments'!$G:$G,ROW())/100,--INDEX('Term investments'!$G:$G,ROW())),0)</f>
        <v/>
      </c>
      <c r="H1971">
        <f>IFERROR(--INDEX('Term investments'!$H:$H,ROW()),0)</f>
        <v/>
      </c>
      <c r="I1971">
        <f>IF(ISNUMBER(INDEX('Term investments'!$G:$G,ROW())),1,0)</f>
        <v/>
      </c>
      <c r="J1971">
        <f>TRIM(SUBSTITUTE(INDEX('Call accounts and MMFs'!$A:$A,ROW())&amp;""," "," "))</f>
        <v/>
      </c>
      <c r="K1971">
        <f>TRIM(SUBSTITUTE(INDEX('Call accounts and MMFs'!$B:$B,ROW())&amp;""," "," "))</f>
        <v/>
      </c>
      <c r="L1971">
        <f>TRIM(SUBSTITUTE(INDEX('Call accounts and MMFs'!$C:$C,ROW())&amp;""," "," "))</f>
        <v/>
      </c>
      <c r="M1971">
        <f>IFERROR(--INDEX('Call accounts and MMFs'!$D:$D,ROW()),0)</f>
        <v/>
      </c>
      <c r="N1971">
        <f>IFERROR(IF(--INDEX('Call accounts and MMFs'!$E:$E,ROW())&gt;=1,--INDEX('Call accounts and MMFs'!$E:$E,ROW())/100,--INDEX('Call accounts and MMFs'!$E:$E,ROW())),0)</f>
        <v/>
      </c>
      <c r="O1971">
        <f>IFERROR(--INDEX('Call accounts and MMFs'!$F:$F,ROW()),0)</f>
        <v/>
      </c>
      <c r="P1971">
        <f>IF(ISNUMBER(INDEX('Call accounts and MMFs'!$E:$E,ROW())),1,0)</f>
        <v/>
      </c>
      <c r="Q1971">
        <f>TRIM(SUBSTITUTE(INDEX('Pooled funds'!$B:$B,ROW())&amp;""," "," "))</f>
        <v/>
      </c>
      <c r="R1971">
        <f>IFERROR(--INDEX('Pooled funds'!$C:$C,ROW()),0)</f>
        <v/>
      </c>
      <c r="S1971">
        <f>IFERROR(--INDEX('Pooled funds'!$D:$D,ROW()),0)</f>
        <v/>
      </c>
      <c r="T1971">
        <f>IFERROR(IF(--INDEX('Pooled funds'!$E:$E,ROW())&gt;=1,--INDEX('Pooled funds'!$E:$E,ROW())/100,--INDEX('Pooled funds'!$E:$E,ROW())),0)</f>
        <v/>
      </c>
      <c r="U1971">
        <f>IF(ISNUMBER(INDEX('Pooled funds'!$E:$E,ROW())),1,0)</f>
        <v/>
      </c>
    </row>
    <row r="1972">
      <c r="A1972">
        <f>TRIM(SUBSTITUTE(INDEX('Term investments'!$A:$A,ROW())&amp;""," "," "))</f>
        <v/>
      </c>
      <c r="B1972">
        <f>TRIM(SUBSTITUTE(INDEX('Term investments'!$B:$B,ROW())&amp;""," "," "))</f>
        <v/>
      </c>
      <c r="C1972">
        <f>TRIM(SUBSTITUTE(INDEX('Term investments'!$C:$C,ROW())&amp;""," "," "))</f>
        <v/>
      </c>
      <c r="D1972">
        <f>IFERROR(--INDEX('Term investments'!$D:$D,ROW()),0)</f>
        <v/>
      </c>
      <c r="E1972">
        <f>IFERROR(--INDEX('Term investments'!$E:$E,ROW()),0)</f>
        <v/>
      </c>
      <c r="F1972">
        <f>IFERROR(--INDEX('Term investments'!$F:$F,ROW()),0)</f>
        <v/>
      </c>
      <c r="G1972">
        <f>IFERROR(IF(--INDEX('Term investments'!$G:$G,ROW())&gt;=1,--INDEX('Term investments'!$G:$G,ROW())/100,--INDEX('Term investments'!$G:$G,ROW())),0)</f>
        <v/>
      </c>
      <c r="H1972">
        <f>IFERROR(--INDEX('Term investments'!$H:$H,ROW()),0)</f>
        <v/>
      </c>
      <c r="I1972">
        <f>IF(ISNUMBER(INDEX('Term investments'!$G:$G,ROW())),1,0)</f>
        <v/>
      </c>
      <c r="J1972">
        <f>TRIM(SUBSTITUTE(INDEX('Call accounts and MMFs'!$A:$A,ROW())&amp;""," "," "))</f>
        <v/>
      </c>
      <c r="K1972">
        <f>TRIM(SUBSTITUTE(INDEX('Call accounts and MMFs'!$B:$B,ROW())&amp;""," "," "))</f>
        <v/>
      </c>
      <c r="L1972">
        <f>TRIM(SUBSTITUTE(INDEX('Call accounts and MMFs'!$C:$C,ROW())&amp;""," "," "))</f>
        <v/>
      </c>
      <c r="M1972">
        <f>IFERROR(--INDEX('Call accounts and MMFs'!$D:$D,ROW()),0)</f>
        <v/>
      </c>
      <c r="N1972">
        <f>IFERROR(IF(--INDEX('Call accounts and MMFs'!$E:$E,ROW())&gt;=1,--INDEX('Call accounts and MMFs'!$E:$E,ROW())/100,--INDEX('Call accounts and MMFs'!$E:$E,ROW())),0)</f>
        <v/>
      </c>
      <c r="O1972">
        <f>IFERROR(--INDEX('Call accounts and MMFs'!$F:$F,ROW()),0)</f>
        <v/>
      </c>
      <c r="P1972">
        <f>IF(ISNUMBER(INDEX('Call accounts and MMFs'!$E:$E,ROW())),1,0)</f>
        <v/>
      </c>
      <c r="Q1972">
        <f>TRIM(SUBSTITUTE(INDEX('Pooled funds'!$B:$B,ROW())&amp;""," "," "))</f>
        <v/>
      </c>
      <c r="R1972">
        <f>IFERROR(--INDEX('Pooled funds'!$C:$C,ROW()),0)</f>
        <v/>
      </c>
      <c r="S1972">
        <f>IFERROR(--INDEX('Pooled funds'!$D:$D,ROW()),0)</f>
        <v/>
      </c>
      <c r="T1972">
        <f>IFERROR(IF(--INDEX('Pooled funds'!$E:$E,ROW())&gt;=1,--INDEX('Pooled funds'!$E:$E,ROW())/100,--INDEX('Pooled funds'!$E:$E,ROW())),0)</f>
        <v/>
      </c>
      <c r="U1972">
        <f>IF(ISNUMBER(INDEX('Pooled funds'!$E:$E,ROW())),1,0)</f>
        <v/>
      </c>
    </row>
    <row r="1973">
      <c r="A1973">
        <f>TRIM(SUBSTITUTE(INDEX('Term investments'!$A:$A,ROW())&amp;""," "," "))</f>
        <v/>
      </c>
      <c r="B1973">
        <f>TRIM(SUBSTITUTE(INDEX('Term investments'!$B:$B,ROW())&amp;""," "," "))</f>
        <v/>
      </c>
      <c r="C1973">
        <f>TRIM(SUBSTITUTE(INDEX('Term investments'!$C:$C,ROW())&amp;""," "," "))</f>
        <v/>
      </c>
      <c r="D1973">
        <f>IFERROR(--INDEX('Term investments'!$D:$D,ROW()),0)</f>
        <v/>
      </c>
      <c r="E1973">
        <f>IFERROR(--INDEX('Term investments'!$E:$E,ROW()),0)</f>
        <v/>
      </c>
      <c r="F1973">
        <f>IFERROR(--INDEX('Term investments'!$F:$F,ROW()),0)</f>
        <v/>
      </c>
      <c r="G1973">
        <f>IFERROR(IF(--INDEX('Term investments'!$G:$G,ROW())&gt;=1,--INDEX('Term investments'!$G:$G,ROW())/100,--INDEX('Term investments'!$G:$G,ROW())),0)</f>
        <v/>
      </c>
      <c r="H1973">
        <f>IFERROR(--INDEX('Term investments'!$H:$H,ROW()),0)</f>
        <v/>
      </c>
      <c r="I1973">
        <f>IF(ISNUMBER(INDEX('Term investments'!$G:$G,ROW())),1,0)</f>
        <v/>
      </c>
      <c r="J1973">
        <f>TRIM(SUBSTITUTE(INDEX('Call accounts and MMFs'!$A:$A,ROW())&amp;""," "," "))</f>
        <v/>
      </c>
      <c r="K1973">
        <f>TRIM(SUBSTITUTE(INDEX('Call accounts and MMFs'!$B:$B,ROW())&amp;""," "," "))</f>
        <v/>
      </c>
      <c r="L1973">
        <f>TRIM(SUBSTITUTE(INDEX('Call accounts and MMFs'!$C:$C,ROW())&amp;""," "," "))</f>
        <v/>
      </c>
      <c r="M1973">
        <f>IFERROR(--INDEX('Call accounts and MMFs'!$D:$D,ROW()),0)</f>
        <v/>
      </c>
      <c r="N1973">
        <f>IFERROR(IF(--INDEX('Call accounts and MMFs'!$E:$E,ROW())&gt;=1,--INDEX('Call accounts and MMFs'!$E:$E,ROW())/100,--INDEX('Call accounts and MMFs'!$E:$E,ROW())),0)</f>
        <v/>
      </c>
      <c r="O1973">
        <f>IFERROR(--INDEX('Call accounts and MMFs'!$F:$F,ROW()),0)</f>
        <v/>
      </c>
      <c r="P1973">
        <f>IF(ISNUMBER(INDEX('Call accounts and MMFs'!$E:$E,ROW())),1,0)</f>
        <v/>
      </c>
      <c r="Q1973">
        <f>TRIM(SUBSTITUTE(INDEX('Pooled funds'!$B:$B,ROW())&amp;""," "," "))</f>
        <v/>
      </c>
      <c r="R1973">
        <f>IFERROR(--INDEX('Pooled funds'!$C:$C,ROW()),0)</f>
        <v/>
      </c>
      <c r="S1973">
        <f>IFERROR(--INDEX('Pooled funds'!$D:$D,ROW()),0)</f>
        <v/>
      </c>
      <c r="T1973">
        <f>IFERROR(IF(--INDEX('Pooled funds'!$E:$E,ROW())&gt;=1,--INDEX('Pooled funds'!$E:$E,ROW())/100,--INDEX('Pooled funds'!$E:$E,ROW())),0)</f>
        <v/>
      </c>
      <c r="U1973">
        <f>IF(ISNUMBER(INDEX('Pooled funds'!$E:$E,ROW())),1,0)</f>
        <v/>
      </c>
    </row>
    <row r="1974">
      <c r="A1974">
        <f>TRIM(SUBSTITUTE(INDEX('Term investments'!$A:$A,ROW())&amp;""," "," "))</f>
        <v/>
      </c>
      <c r="B1974">
        <f>TRIM(SUBSTITUTE(INDEX('Term investments'!$B:$B,ROW())&amp;""," "," "))</f>
        <v/>
      </c>
      <c r="C1974">
        <f>TRIM(SUBSTITUTE(INDEX('Term investments'!$C:$C,ROW())&amp;""," "," "))</f>
        <v/>
      </c>
      <c r="D1974">
        <f>IFERROR(--INDEX('Term investments'!$D:$D,ROW()),0)</f>
        <v/>
      </c>
      <c r="E1974">
        <f>IFERROR(--INDEX('Term investments'!$E:$E,ROW()),0)</f>
        <v/>
      </c>
      <c r="F1974">
        <f>IFERROR(--INDEX('Term investments'!$F:$F,ROW()),0)</f>
        <v/>
      </c>
      <c r="G1974">
        <f>IFERROR(IF(--INDEX('Term investments'!$G:$G,ROW())&gt;=1,--INDEX('Term investments'!$G:$G,ROW())/100,--INDEX('Term investments'!$G:$G,ROW())),0)</f>
        <v/>
      </c>
      <c r="H1974">
        <f>IFERROR(--INDEX('Term investments'!$H:$H,ROW()),0)</f>
        <v/>
      </c>
      <c r="I1974">
        <f>IF(ISNUMBER(INDEX('Term investments'!$G:$G,ROW())),1,0)</f>
        <v/>
      </c>
      <c r="J1974">
        <f>TRIM(SUBSTITUTE(INDEX('Call accounts and MMFs'!$A:$A,ROW())&amp;""," "," "))</f>
        <v/>
      </c>
      <c r="K1974">
        <f>TRIM(SUBSTITUTE(INDEX('Call accounts and MMFs'!$B:$B,ROW())&amp;""," "," "))</f>
        <v/>
      </c>
      <c r="L1974">
        <f>TRIM(SUBSTITUTE(INDEX('Call accounts and MMFs'!$C:$C,ROW())&amp;""," "," "))</f>
        <v/>
      </c>
      <c r="M1974">
        <f>IFERROR(--INDEX('Call accounts and MMFs'!$D:$D,ROW()),0)</f>
        <v/>
      </c>
      <c r="N1974">
        <f>IFERROR(IF(--INDEX('Call accounts and MMFs'!$E:$E,ROW())&gt;=1,--INDEX('Call accounts and MMFs'!$E:$E,ROW())/100,--INDEX('Call accounts and MMFs'!$E:$E,ROW())),0)</f>
        <v/>
      </c>
      <c r="O1974">
        <f>IFERROR(--INDEX('Call accounts and MMFs'!$F:$F,ROW()),0)</f>
        <v/>
      </c>
      <c r="P1974">
        <f>IF(ISNUMBER(INDEX('Call accounts and MMFs'!$E:$E,ROW())),1,0)</f>
        <v/>
      </c>
      <c r="Q1974">
        <f>TRIM(SUBSTITUTE(INDEX('Pooled funds'!$B:$B,ROW())&amp;""," "," "))</f>
        <v/>
      </c>
      <c r="R1974">
        <f>IFERROR(--INDEX('Pooled funds'!$C:$C,ROW()),0)</f>
        <v/>
      </c>
      <c r="S1974">
        <f>IFERROR(--INDEX('Pooled funds'!$D:$D,ROW()),0)</f>
        <v/>
      </c>
      <c r="T1974">
        <f>IFERROR(IF(--INDEX('Pooled funds'!$E:$E,ROW())&gt;=1,--INDEX('Pooled funds'!$E:$E,ROW())/100,--INDEX('Pooled funds'!$E:$E,ROW())),0)</f>
        <v/>
      </c>
      <c r="U1974">
        <f>IF(ISNUMBER(INDEX('Pooled funds'!$E:$E,ROW())),1,0)</f>
        <v/>
      </c>
    </row>
    <row r="1975">
      <c r="A1975">
        <f>TRIM(SUBSTITUTE(INDEX('Term investments'!$A:$A,ROW())&amp;""," "," "))</f>
        <v/>
      </c>
      <c r="B1975">
        <f>TRIM(SUBSTITUTE(INDEX('Term investments'!$B:$B,ROW())&amp;""," "," "))</f>
        <v/>
      </c>
      <c r="C1975">
        <f>TRIM(SUBSTITUTE(INDEX('Term investments'!$C:$C,ROW())&amp;""," "," "))</f>
        <v/>
      </c>
      <c r="D1975">
        <f>IFERROR(--INDEX('Term investments'!$D:$D,ROW()),0)</f>
        <v/>
      </c>
      <c r="E1975">
        <f>IFERROR(--INDEX('Term investments'!$E:$E,ROW()),0)</f>
        <v/>
      </c>
      <c r="F1975">
        <f>IFERROR(--INDEX('Term investments'!$F:$F,ROW()),0)</f>
        <v/>
      </c>
      <c r="G1975">
        <f>IFERROR(IF(--INDEX('Term investments'!$G:$G,ROW())&gt;=1,--INDEX('Term investments'!$G:$G,ROW())/100,--INDEX('Term investments'!$G:$G,ROW())),0)</f>
        <v/>
      </c>
      <c r="H1975">
        <f>IFERROR(--INDEX('Term investments'!$H:$H,ROW()),0)</f>
        <v/>
      </c>
      <c r="I1975">
        <f>IF(ISNUMBER(INDEX('Term investments'!$G:$G,ROW())),1,0)</f>
        <v/>
      </c>
      <c r="J1975">
        <f>TRIM(SUBSTITUTE(INDEX('Call accounts and MMFs'!$A:$A,ROW())&amp;""," "," "))</f>
        <v/>
      </c>
      <c r="K1975">
        <f>TRIM(SUBSTITUTE(INDEX('Call accounts and MMFs'!$B:$B,ROW())&amp;""," "," "))</f>
        <v/>
      </c>
      <c r="L1975">
        <f>TRIM(SUBSTITUTE(INDEX('Call accounts and MMFs'!$C:$C,ROW())&amp;""," "," "))</f>
        <v/>
      </c>
      <c r="M1975">
        <f>IFERROR(--INDEX('Call accounts and MMFs'!$D:$D,ROW()),0)</f>
        <v/>
      </c>
      <c r="N1975">
        <f>IFERROR(IF(--INDEX('Call accounts and MMFs'!$E:$E,ROW())&gt;=1,--INDEX('Call accounts and MMFs'!$E:$E,ROW())/100,--INDEX('Call accounts and MMFs'!$E:$E,ROW())),0)</f>
        <v/>
      </c>
      <c r="O1975">
        <f>IFERROR(--INDEX('Call accounts and MMFs'!$F:$F,ROW()),0)</f>
        <v/>
      </c>
      <c r="P1975">
        <f>IF(ISNUMBER(INDEX('Call accounts and MMFs'!$E:$E,ROW())),1,0)</f>
        <v/>
      </c>
      <c r="Q1975">
        <f>TRIM(SUBSTITUTE(INDEX('Pooled funds'!$B:$B,ROW())&amp;""," "," "))</f>
        <v/>
      </c>
      <c r="R1975">
        <f>IFERROR(--INDEX('Pooled funds'!$C:$C,ROW()),0)</f>
        <v/>
      </c>
      <c r="S1975">
        <f>IFERROR(--INDEX('Pooled funds'!$D:$D,ROW()),0)</f>
        <v/>
      </c>
      <c r="T1975">
        <f>IFERROR(IF(--INDEX('Pooled funds'!$E:$E,ROW())&gt;=1,--INDEX('Pooled funds'!$E:$E,ROW())/100,--INDEX('Pooled funds'!$E:$E,ROW())),0)</f>
        <v/>
      </c>
      <c r="U1975">
        <f>IF(ISNUMBER(INDEX('Pooled funds'!$E:$E,ROW())),1,0)</f>
        <v/>
      </c>
    </row>
    <row r="1976">
      <c r="A1976">
        <f>TRIM(SUBSTITUTE(INDEX('Term investments'!$A:$A,ROW())&amp;""," "," "))</f>
        <v/>
      </c>
      <c r="B1976">
        <f>TRIM(SUBSTITUTE(INDEX('Term investments'!$B:$B,ROW())&amp;""," "," "))</f>
        <v/>
      </c>
      <c r="C1976">
        <f>TRIM(SUBSTITUTE(INDEX('Term investments'!$C:$C,ROW())&amp;""," "," "))</f>
        <v/>
      </c>
      <c r="D1976">
        <f>IFERROR(--INDEX('Term investments'!$D:$D,ROW()),0)</f>
        <v/>
      </c>
      <c r="E1976">
        <f>IFERROR(--INDEX('Term investments'!$E:$E,ROW()),0)</f>
        <v/>
      </c>
      <c r="F1976">
        <f>IFERROR(--INDEX('Term investments'!$F:$F,ROW()),0)</f>
        <v/>
      </c>
      <c r="G1976">
        <f>IFERROR(IF(--INDEX('Term investments'!$G:$G,ROW())&gt;=1,--INDEX('Term investments'!$G:$G,ROW())/100,--INDEX('Term investments'!$G:$G,ROW())),0)</f>
        <v/>
      </c>
      <c r="H1976">
        <f>IFERROR(--INDEX('Term investments'!$H:$H,ROW()),0)</f>
        <v/>
      </c>
      <c r="I1976">
        <f>IF(ISNUMBER(INDEX('Term investments'!$G:$G,ROW())),1,0)</f>
        <v/>
      </c>
      <c r="J1976">
        <f>TRIM(SUBSTITUTE(INDEX('Call accounts and MMFs'!$A:$A,ROW())&amp;""," "," "))</f>
        <v/>
      </c>
      <c r="K1976">
        <f>TRIM(SUBSTITUTE(INDEX('Call accounts and MMFs'!$B:$B,ROW())&amp;""," "," "))</f>
        <v/>
      </c>
      <c r="L1976">
        <f>TRIM(SUBSTITUTE(INDEX('Call accounts and MMFs'!$C:$C,ROW())&amp;""," "," "))</f>
        <v/>
      </c>
      <c r="M1976">
        <f>IFERROR(--INDEX('Call accounts and MMFs'!$D:$D,ROW()),0)</f>
        <v/>
      </c>
      <c r="N1976">
        <f>IFERROR(IF(--INDEX('Call accounts and MMFs'!$E:$E,ROW())&gt;=1,--INDEX('Call accounts and MMFs'!$E:$E,ROW())/100,--INDEX('Call accounts and MMFs'!$E:$E,ROW())),0)</f>
        <v/>
      </c>
      <c r="O1976">
        <f>IFERROR(--INDEX('Call accounts and MMFs'!$F:$F,ROW()),0)</f>
        <v/>
      </c>
      <c r="P1976">
        <f>IF(ISNUMBER(INDEX('Call accounts and MMFs'!$E:$E,ROW())),1,0)</f>
        <v/>
      </c>
      <c r="Q1976">
        <f>TRIM(SUBSTITUTE(INDEX('Pooled funds'!$B:$B,ROW())&amp;""," "," "))</f>
        <v/>
      </c>
      <c r="R1976">
        <f>IFERROR(--INDEX('Pooled funds'!$C:$C,ROW()),0)</f>
        <v/>
      </c>
      <c r="S1976">
        <f>IFERROR(--INDEX('Pooled funds'!$D:$D,ROW()),0)</f>
        <v/>
      </c>
      <c r="T1976">
        <f>IFERROR(IF(--INDEX('Pooled funds'!$E:$E,ROW())&gt;=1,--INDEX('Pooled funds'!$E:$E,ROW())/100,--INDEX('Pooled funds'!$E:$E,ROW())),0)</f>
        <v/>
      </c>
      <c r="U1976">
        <f>IF(ISNUMBER(INDEX('Pooled funds'!$E:$E,ROW())),1,0)</f>
        <v/>
      </c>
    </row>
    <row r="1977">
      <c r="A1977">
        <f>TRIM(SUBSTITUTE(INDEX('Term investments'!$A:$A,ROW())&amp;""," "," "))</f>
        <v/>
      </c>
      <c r="B1977">
        <f>TRIM(SUBSTITUTE(INDEX('Term investments'!$B:$B,ROW())&amp;""," "," "))</f>
        <v/>
      </c>
      <c r="C1977">
        <f>TRIM(SUBSTITUTE(INDEX('Term investments'!$C:$C,ROW())&amp;""," "," "))</f>
        <v/>
      </c>
      <c r="D1977">
        <f>IFERROR(--INDEX('Term investments'!$D:$D,ROW()),0)</f>
        <v/>
      </c>
      <c r="E1977">
        <f>IFERROR(--INDEX('Term investments'!$E:$E,ROW()),0)</f>
        <v/>
      </c>
      <c r="F1977">
        <f>IFERROR(--INDEX('Term investments'!$F:$F,ROW()),0)</f>
        <v/>
      </c>
      <c r="G1977">
        <f>IFERROR(IF(--INDEX('Term investments'!$G:$G,ROW())&gt;=1,--INDEX('Term investments'!$G:$G,ROW())/100,--INDEX('Term investments'!$G:$G,ROW())),0)</f>
        <v/>
      </c>
      <c r="H1977">
        <f>IFERROR(--INDEX('Term investments'!$H:$H,ROW()),0)</f>
        <v/>
      </c>
      <c r="I1977">
        <f>IF(ISNUMBER(INDEX('Term investments'!$G:$G,ROW())),1,0)</f>
        <v/>
      </c>
      <c r="J1977">
        <f>TRIM(SUBSTITUTE(INDEX('Call accounts and MMFs'!$A:$A,ROW())&amp;""," "," "))</f>
        <v/>
      </c>
      <c r="K1977">
        <f>TRIM(SUBSTITUTE(INDEX('Call accounts and MMFs'!$B:$B,ROW())&amp;""," "," "))</f>
        <v/>
      </c>
      <c r="L1977">
        <f>TRIM(SUBSTITUTE(INDEX('Call accounts and MMFs'!$C:$C,ROW())&amp;""," "," "))</f>
        <v/>
      </c>
      <c r="M1977">
        <f>IFERROR(--INDEX('Call accounts and MMFs'!$D:$D,ROW()),0)</f>
        <v/>
      </c>
      <c r="N1977">
        <f>IFERROR(IF(--INDEX('Call accounts and MMFs'!$E:$E,ROW())&gt;=1,--INDEX('Call accounts and MMFs'!$E:$E,ROW())/100,--INDEX('Call accounts and MMFs'!$E:$E,ROW())),0)</f>
        <v/>
      </c>
      <c r="O1977">
        <f>IFERROR(--INDEX('Call accounts and MMFs'!$F:$F,ROW()),0)</f>
        <v/>
      </c>
      <c r="P1977">
        <f>IF(ISNUMBER(INDEX('Call accounts and MMFs'!$E:$E,ROW())),1,0)</f>
        <v/>
      </c>
      <c r="Q1977">
        <f>TRIM(SUBSTITUTE(INDEX('Pooled funds'!$B:$B,ROW())&amp;""," "," "))</f>
        <v/>
      </c>
      <c r="R1977">
        <f>IFERROR(--INDEX('Pooled funds'!$C:$C,ROW()),0)</f>
        <v/>
      </c>
      <c r="S1977">
        <f>IFERROR(--INDEX('Pooled funds'!$D:$D,ROW()),0)</f>
        <v/>
      </c>
      <c r="T1977">
        <f>IFERROR(IF(--INDEX('Pooled funds'!$E:$E,ROW())&gt;=1,--INDEX('Pooled funds'!$E:$E,ROW())/100,--INDEX('Pooled funds'!$E:$E,ROW())),0)</f>
        <v/>
      </c>
      <c r="U1977">
        <f>IF(ISNUMBER(INDEX('Pooled funds'!$E:$E,ROW())),1,0)</f>
        <v/>
      </c>
    </row>
    <row r="1978">
      <c r="A1978">
        <f>TRIM(SUBSTITUTE(INDEX('Term investments'!$A:$A,ROW())&amp;""," "," "))</f>
        <v/>
      </c>
      <c r="B1978">
        <f>TRIM(SUBSTITUTE(INDEX('Term investments'!$B:$B,ROW())&amp;""," "," "))</f>
        <v/>
      </c>
      <c r="C1978">
        <f>TRIM(SUBSTITUTE(INDEX('Term investments'!$C:$C,ROW())&amp;""," "," "))</f>
        <v/>
      </c>
      <c r="D1978">
        <f>IFERROR(--INDEX('Term investments'!$D:$D,ROW()),0)</f>
        <v/>
      </c>
      <c r="E1978">
        <f>IFERROR(--INDEX('Term investments'!$E:$E,ROW()),0)</f>
        <v/>
      </c>
      <c r="F1978">
        <f>IFERROR(--INDEX('Term investments'!$F:$F,ROW()),0)</f>
        <v/>
      </c>
      <c r="G1978">
        <f>IFERROR(IF(--INDEX('Term investments'!$G:$G,ROW())&gt;=1,--INDEX('Term investments'!$G:$G,ROW())/100,--INDEX('Term investments'!$G:$G,ROW())),0)</f>
        <v/>
      </c>
      <c r="H1978">
        <f>IFERROR(--INDEX('Term investments'!$H:$H,ROW()),0)</f>
        <v/>
      </c>
      <c r="I1978">
        <f>IF(ISNUMBER(INDEX('Term investments'!$G:$G,ROW())),1,0)</f>
        <v/>
      </c>
      <c r="J1978">
        <f>TRIM(SUBSTITUTE(INDEX('Call accounts and MMFs'!$A:$A,ROW())&amp;""," "," "))</f>
        <v/>
      </c>
      <c r="K1978">
        <f>TRIM(SUBSTITUTE(INDEX('Call accounts and MMFs'!$B:$B,ROW())&amp;""," "," "))</f>
        <v/>
      </c>
      <c r="L1978">
        <f>TRIM(SUBSTITUTE(INDEX('Call accounts and MMFs'!$C:$C,ROW())&amp;""," "," "))</f>
        <v/>
      </c>
      <c r="M1978">
        <f>IFERROR(--INDEX('Call accounts and MMFs'!$D:$D,ROW()),0)</f>
        <v/>
      </c>
      <c r="N1978">
        <f>IFERROR(IF(--INDEX('Call accounts and MMFs'!$E:$E,ROW())&gt;=1,--INDEX('Call accounts and MMFs'!$E:$E,ROW())/100,--INDEX('Call accounts and MMFs'!$E:$E,ROW())),0)</f>
        <v/>
      </c>
      <c r="O1978">
        <f>IFERROR(--INDEX('Call accounts and MMFs'!$F:$F,ROW()),0)</f>
        <v/>
      </c>
      <c r="P1978">
        <f>IF(ISNUMBER(INDEX('Call accounts and MMFs'!$E:$E,ROW())),1,0)</f>
        <v/>
      </c>
      <c r="Q1978">
        <f>TRIM(SUBSTITUTE(INDEX('Pooled funds'!$B:$B,ROW())&amp;""," "," "))</f>
        <v/>
      </c>
      <c r="R1978">
        <f>IFERROR(--INDEX('Pooled funds'!$C:$C,ROW()),0)</f>
        <v/>
      </c>
      <c r="S1978">
        <f>IFERROR(--INDEX('Pooled funds'!$D:$D,ROW()),0)</f>
        <v/>
      </c>
      <c r="T1978">
        <f>IFERROR(IF(--INDEX('Pooled funds'!$E:$E,ROW())&gt;=1,--INDEX('Pooled funds'!$E:$E,ROW())/100,--INDEX('Pooled funds'!$E:$E,ROW())),0)</f>
        <v/>
      </c>
      <c r="U1978">
        <f>IF(ISNUMBER(INDEX('Pooled funds'!$E:$E,ROW())),1,0)</f>
        <v/>
      </c>
    </row>
    <row r="1979">
      <c r="A1979">
        <f>TRIM(SUBSTITUTE(INDEX('Term investments'!$A:$A,ROW())&amp;""," "," "))</f>
        <v/>
      </c>
      <c r="B1979">
        <f>TRIM(SUBSTITUTE(INDEX('Term investments'!$B:$B,ROW())&amp;""," "," "))</f>
        <v/>
      </c>
      <c r="C1979">
        <f>TRIM(SUBSTITUTE(INDEX('Term investments'!$C:$C,ROW())&amp;""," "," "))</f>
        <v/>
      </c>
      <c r="D1979">
        <f>IFERROR(--INDEX('Term investments'!$D:$D,ROW()),0)</f>
        <v/>
      </c>
      <c r="E1979">
        <f>IFERROR(--INDEX('Term investments'!$E:$E,ROW()),0)</f>
        <v/>
      </c>
      <c r="F1979">
        <f>IFERROR(--INDEX('Term investments'!$F:$F,ROW()),0)</f>
        <v/>
      </c>
      <c r="G1979">
        <f>IFERROR(IF(--INDEX('Term investments'!$G:$G,ROW())&gt;=1,--INDEX('Term investments'!$G:$G,ROW())/100,--INDEX('Term investments'!$G:$G,ROW())),0)</f>
        <v/>
      </c>
      <c r="H1979">
        <f>IFERROR(--INDEX('Term investments'!$H:$H,ROW()),0)</f>
        <v/>
      </c>
      <c r="I1979">
        <f>IF(ISNUMBER(INDEX('Term investments'!$G:$G,ROW())),1,0)</f>
        <v/>
      </c>
      <c r="J1979">
        <f>TRIM(SUBSTITUTE(INDEX('Call accounts and MMFs'!$A:$A,ROW())&amp;""," "," "))</f>
        <v/>
      </c>
      <c r="K1979">
        <f>TRIM(SUBSTITUTE(INDEX('Call accounts and MMFs'!$B:$B,ROW())&amp;""," "," "))</f>
        <v/>
      </c>
      <c r="L1979">
        <f>TRIM(SUBSTITUTE(INDEX('Call accounts and MMFs'!$C:$C,ROW())&amp;""," "," "))</f>
        <v/>
      </c>
      <c r="M1979">
        <f>IFERROR(--INDEX('Call accounts and MMFs'!$D:$D,ROW()),0)</f>
        <v/>
      </c>
      <c r="N1979">
        <f>IFERROR(IF(--INDEX('Call accounts and MMFs'!$E:$E,ROW())&gt;=1,--INDEX('Call accounts and MMFs'!$E:$E,ROW())/100,--INDEX('Call accounts and MMFs'!$E:$E,ROW())),0)</f>
        <v/>
      </c>
      <c r="O1979">
        <f>IFERROR(--INDEX('Call accounts and MMFs'!$F:$F,ROW()),0)</f>
        <v/>
      </c>
      <c r="P1979">
        <f>IF(ISNUMBER(INDEX('Call accounts and MMFs'!$E:$E,ROW())),1,0)</f>
        <v/>
      </c>
      <c r="Q1979">
        <f>TRIM(SUBSTITUTE(INDEX('Pooled funds'!$B:$B,ROW())&amp;""," "," "))</f>
        <v/>
      </c>
      <c r="R1979">
        <f>IFERROR(--INDEX('Pooled funds'!$C:$C,ROW()),0)</f>
        <v/>
      </c>
      <c r="S1979">
        <f>IFERROR(--INDEX('Pooled funds'!$D:$D,ROW()),0)</f>
        <v/>
      </c>
      <c r="T1979">
        <f>IFERROR(IF(--INDEX('Pooled funds'!$E:$E,ROW())&gt;=1,--INDEX('Pooled funds'!$E:$E,ROW())/100,--INDEX('Pooled funds'!$E:$E,ROW())),0)</f>
        <v/>
      </c>
      <c r="U1979">
        <f>IF(ISNUMBER(INDEX('Pooled funds'!$E:$E,ROW())),1,0)</f>
        <v/>
      </c>
    </row>
    <row r="1980">
      <c r="A1980">
        <f>TRIM(SUBSTITUTE(INDEX('Term investments'!$A:$A,ROW())&amp;""," "," "))</f>
        <v/>
      </c>
      <c r="B1980">
        <f>TRIM(SUBSTITUTE(INDEX('Term investments'!$B:$B,ROW())&amp;""," "," "))</f>
        <v/>
      </c>
      <c r="C1980">
        <f>TRIM(SUBSTITUTE(INDEX('Term investments'!$C:$C,ROW())&amp;""," "," "))</f>
        <v/>
      </c>
      <c r="D1980">
        <f>IFERROR(--INDEX('Term investments'!$D:$D,ROW()),0)</f>
        <v/>
      </c>
      <c r="E1980">
        <f>IFERROR(--INDEX('Term investments'!$E:$E,ROW()),0)</f>
        <v/>
      </c>
      <c r="F1980">
        <f>IFERROR(--INDEX('Term investments'!$F:$F,ROW()),0)</f>
        <v/>
      </c>
      <c r="G1980">
        <f>IFERROR(IF(--INDEX('Term investments'!$G:$G,ROW())&gt;=1,--INDEX('Term investments'!$G:$G,ROW())/100,--INDEX('Term investments'!$G:$G,ROW())),0)</f>
        <v/>
      </c>
      <c r="H1980">
        <f>IFERROR(--INDEX('Term investments'!$H:$H,ROW()),0)</f>
        <v/>
      </c>
      <c r="I1980">
        <f>IF(ISNUMBER(INDEX('Term investments'!$G:$G,ROW())),1,0)</f>
        <v/>
      </c>
      <c r="J1980">
        <f>TRIM(SUBSTITUTE(INDEX('Call accounts and MMFs'!$A:$A,ROW())&amp;""," "," "))</f>
        <v/>
      </c>
      <c r="K1980">
        <f>TRIM(SUBSTITUTE(INDEX('Call accounts and MMFs'!$B:$B,ROW())&amp;""," "," "))</f>
        <v/>
      </c>
      <c r="L1980">
        <f>TRIM(SUBSTITUTE(INDEX('Call accounts and MMFs'!$C:$C,ROW())&amp;""," "," "))</f>
        <v/>
      </c>
      <c r="M1980">
        <f>IFERROR(--INDEX('Call accounts and MMFs'!$D:$D,ROW()),0)</f>
        <v/>
      </c>
      <c r="N1980">
        <f>IFERROR(IF(--INDEX('Call accounts and MMFs'!$E:$E,ROW())&gt;=1,--INDEX('Call accounts and MMFs'!$E:$E,ROW())/100,--INDEX('Call accounts and MMFs'!$E:$E,ROW())),0)</f>
        <v/>
      </c>
      <c r="O1980">
        <f>IFERROR(--INDEX('Call accounts and MMFs'!$F:$F,ROW()),0)</f>
        <v/>
      </c>
      <c r="P1980">
        <f>IF(ISNUMBER(INDEX('Call accounts and MMFs'!$E:$E,ROW())),1,0)</f>
        <v/>
      </c>
      <c r="Q1980">
        <f>TRIM(SUBSTITUTE(INDEX('Pooled funds'!$B:$B,ROW())&amp;""," "," "))</f>
        <v/>
      </c>
      <c r="R1980">
        <f>IFERROR(--INDEX('Pooled funds'!$C:$C,ROW()),0)</f>
        <v/>
      </c>
      <c r="S1980">
        <f>IFERROR(--INDEX('Pooled funds'!$D:$D,ROW()),0)</f>
        <v/>
      </c>
      <c r="T1980">
        <f>IFERROR(IF(--INDEX('Pooled funds'!$E:$E,ROW())&gt;=1,--INDEX('Pooled funds'!$E:$E,ROW())/100,--INDEX('Pooled funds'!$E:$E,ROW())),0)</f>
        <v/>
      </c>
      <c r="U1980">
        <f>IF(ISNUMBER(INDEX('Pooled funds'!$E:$E,ROW())),1,0)</f>
        <v/>
      </c>
    </row>
    <row r="1981">
      <c r="A1981">
        <f>TRIM(SUBSTITUTE(INDEX('Term investments'!$A:$A,ROW())&amp;""," "," "))</f>
        <v/>
      </c>
      <c r="B1981">
        <f>TRIM(SUBSTITUTE(INDEX('Term investments'!$B:$B,ROW())&amp;""," "," "))</f>
        <v/>
      </c>
      <c r="C1981">
        <f>TRIM(SUBSTITUTE(INDEX('Term investments'!$C:$C,ROW())&amp;""," "," "))</f>
        <v/>
      </c>
      <c r="D1981">
        <f>IFERROR(--INDEX('Term investments'!$D:$D,ROW()),0)</f>
        <v/>
      </c>
      <c r="E1981">
        <f>IFERROR(--INDEX('Term investments'!$E:$E,ROW()),0)</f>
        <v/>
      </c>
      <c r="F1981">
        <f>IFERROR(--INDEX('Term investments'!$F:$F,ROW()),0)</f>
        <v/>
      </c>
      <c r="G1981">
        <f>IFERROR(IF(--INDEX('Term investments'!$G:$G,ROW())&gt;=1,--INDEX('Term investments'!$G:$G,ROW())/100,--INDEX('Term investments'!$G:$G,ROW())),0)</f>
        <v/>
      </c>
      <c r="H1981">
        <f>IFERROR(--INDEX('Term investments'!$H:$H,ROW()),0)</f>
        <v/>
      </c>
      <c r="I1981">
        <f>IF(ISNUMBER(INDEX('Term investments'!$G:$G,ROW())),1,0)</f>
        <v/>
      </c>
      <c r="J1981">
        <f>TRIM(SUBSTITUTE(INDEX('Call accounts and MMFs'!$A:$A,ROW())&amp;""," "," "))</f>
        <v/>
      </c>
      <c r="K1981">
        <f>TRIM(SUBSTITUTE(INDEX('Call accounts and MMFs'!$B:$B,ROW())&amp;""," "," "))</f>
        <v/>
      </c>
      <c r="L1981">
        <f>TRIM(SUBSTITUTE(INDEX('Call accounts and MMFs'!$C:$C,ROW())&amp;""," "," "))</f>
        <v/>
      </c>
      <c r="M1981">
        <f>IFERROR(--INDEX('Call accounts and MMFs'!$D:$D,ROW()),0)</f>
        <v/>
      </c>
      <c r="N1981">
        <f>IFERROR(IF(--INDEX('Call accounts and MMFs'!$E:$E,ROW())&gt;=1,--INDEX('Call accounts and MMFs'!$E:$E,ROW())/100,--INDEX('Call accounts and MMFs'!$E:$E,ROW())),0)</f>
        <v/>
      </c>
      <c r="O1981">
        <f>IFERROR(--INDEX('Call accounts and MMFs'!$F:$F,ROW()),0)</f>
        <v/>
      </c>
      <c r="P1981">
        <f>IF(ISNUMBER(INDEX('Call accounts and MMFs'!$E:$E,ROW())),1,0)</f>
        <v/>
      </c>
      <c r="Q1981">
        <f>TRIM(SUBSTITUTE(INDEX('Pooled funds'!$B:$B,ROW())&amp;""," "," "))</f>
        <v/>
      </c>
      <c r="R1981">
        <f>IFERROR(--INDEX('Pooled funds'!$C:$C,ROW()),0)</f>
        <v/>
      </c>
      <c r="S1981">
        <f>IFERROR(--INDEX('Pooled funds'!$D:$D,ROW()),0)</f>
        <v/>
      </c>
      <c r="T1981">
        <f>IFERROR(IF(--INDEX('Pooled funds'!$E:$E,ROW())&gt;=1,--INDEX('Pooled funds'!$E:$E,ROW())/100,--INDEX('Pooled funds'!$E:$E,ROW())),0)</f>
        <v/>
      </c>
      <c r="U1981">
        <f>IF(ISNUMBER(INDEX('Pooled funds'!$E:$E,ROW())),1,0)</f>
        <v/>
      </c>
    </row>
    <row r="1982">
      <c r="A1982">
        <f>TRIM(SUBSTITUTE(INDEX('Term investments'!$A:$A,ROW())&amp;""," "," "))</f>
        <v/>
      </c>
      <c r="B1982">
        <f>TRIM(SUBSTITUTE(INDEX('Term investments'!$B:$B,ROW())&amp;""," "," "))</f>
        <v/>
      </c>
      <c r="C1982">
        <f>TRIM(SUBSTITUTE(INDEX('Term investments'!$C:$C,ROW())&amp;""," "," "))</f>
        <v/>
      </c>
      <c r="D1982">
        <f>IFERROR(--INDEX('Term investments'!$D:$D,ROW()),0)</f>
        <v/>
      </c>
      <c r="E1982">
        <f>IFERROR(--INDEX('Term investments'!$E:$E,ROW()),0)</f>
        <v/>
      </c>
      <c r="F1982">
        <f>IFERROR(--INDEX('Term investments'!$F:$F,ROW()),0)</f>
        <v/>
      </c>
      <c r="G1982">
        <f>IFERROR(IF(--INDEX('Term investments'!$G:$G,ROW())&gt;=1,--INDEX('Term investments'!$G:$G,ROW())/100,--INDEX('Term investments'!$G:$G,ROW())),0)</f>
        <v/>
      </c>
      <c r="H1982">
        <f>IFERROR(--INDEX('Term investments'!$H:$H,ROW()),0)</f>
        <v/>
      </c>
      <c r="I1982">
        <f>IF(ISNUMBER(INDEX('Term investments'!$G:$G,ROW())),1,0)</f>
        <v/>
      </c>
      <c r="J1982">
        <f>TRIM(SUBSTITUTE(INDEX('Call accounts and MMFs'!$A:$A,ROW())&amp;""," "," "))</f>
        <v/>
      </c>
      <c r="K1982">
        <f>TRIM(SUBSTITUTE(INDEX('Call accounts and MMFs'!$B:$B,ROW())&amp;""," "," "))</f>
        <v/>
      </c>
      <c r="L1982">
        <f>TRIM(SUBSTITUTE(INDEX('Call accounts and MMFs'!$C:$C,ROW())&amp;""," "," "))</f>
        <v/>
      </c>
      <c r="M1982">
        <f>IFERROR(--INDEX('Call accounts and MMFs'!$D:$D,ROW()),0)</f>
        <v/>
      </c>
      <c r="N1982">
        <f>IFERROR(IF(--INDEX('Call accounts and MMFs'!$E:$E,ROW())&gt;=1,--INDEX('Call accounts and MMFs'!$E:$E,ROW())/100,--INDEX('Call accounts and MMFs'!$E:$E,ROW())),0)</f>
        <v/>
      </c>
      <c r="O1982">
        <f>IFERROR(--INDEX('Call accounts and MMFs'!$F:$F,ROW()),0)</f>
        <v/>
      </c>
      <c r="P1982">
        <f>IF(ISNUMBER(INDEX('Call accounts and MMFs'!$E:$E,ROW())),1,0)</f>
        <v/>
      </c>
      <c r="Q1982">
        <f>TRIM(SUBSTITUTE(INDEX('Pooled funds'!$B:$B,ROW())&amp;""," "," "))</f>
        <v/>
      </c>
      <c r="R1982">
        <f>IFERROR(--INDEX('Pooled funds'!$C:$C,ROW()),0)</f>
        <v/>
      </c>
      <c r="S1982">
        <f>IFERROR(--INDEX('Pooled funds'!$D:$D,ROW()),0)</f>
        <v/>
      </c>
      <c r="T1982">
        <f>IFERROR(IF(--INDEX('Pooled funds'!$E:$E,ROW())&gt;=1,--INDEX('Pooled funds'!$E:$E,ROW())/100,--INDEX('Pooled funds'!$E:$E,ROW())),0)</f>
        <v/>
      </c>
      <c r="U1982">
        <f>IF(ISNUMBER(INDEX('Pooled funds'!$E:$E,ROW())),1,0)</f>
        <v/>
      </c>
    </row>
    <row r="1983">
      <c r="A1983">
        <f>TRIM(SUBSTITUTE(INDEX('Term investments'!$A:$A,ROW())&amp;""," "," "))</f>
        <v/>
      </c>
      <c r="B1983">
        <f>TRIM(SUBSTITUTE(INDEX('Term investments'!$B:$B,ROW())&amp;""," "," "))</f>
        <v/>
      </c>
      <c r="C1983">
        <f>TRIM(SUBSTITUTE(INDEX('Term investments'!$C:$C,ROW())&amp;""," "," "))</f>
        <v/>
      </c>
      <c r="D1983">
        <f>IFERROR(--INDEX('Term investments'!$D:$D,ROW()),0)</f>
        <v/>
      </c>
      <c r="E1983">
        <f>IFERROR(--INDEX('Term investments'!$E:$E,ROW()),0)</f>
        <v/>
      </c>
      <c r="F1983">
        <f>IFERROR(--INDEX('Term investments'!$F:$F,ROW()),0)</f>
        <v/>
      </c>
      <c r="G1983">
        <f>IFERROR(IF(--INDEX('Term investments'!$G:$G,ROW())&gt;=1,--INDEX('Term investments'!$G:$G,ROW())/100,--INDEX('Term investments'!$G:$G,ROW())),0)</f>
        <v/>
      </c>
      <c r="H1983">
        <f>IFERROR(--INDEX('Term investments'!$H:$H,ROW()),0)</f>
        <v/>
      </c>
      <c r="I1983">
        <f>IF(ISNUMBER(INDEX('Term investments'!$G:$G,ROW())),1,0)</f>
        <v/>
      </c>
      <c r="J1983">
        <f>TRIM(SUBSTITUTE(INDEX('Call accounts and MMFs'!$A:$A,ROW())&amp;""," "," "))</f>
        <v/>
      </c>
      <c r="K1983">
        <f>TRIM(SUBSTITUTE(INDEX('Call accounts and MMFs'!$B:$B,ROW())&amp;""," "," "))</f>
        <v/>
      </c>
      <c r="L1983">
        <f>TRIM(SUBSTITUTE(INDEX('Call accounts and MMFs'!$C:$C,ROW())&amp;""," "," "))</f>
        <v/>
      </c>
      <c r="M1983">
        <f>IFERROR(--INDEX('Call accounts and MMFs'!$D:$D,ROW()),0)</f>
        <v/>
      </c>
      <c r="N1983">
        <f>IFERROR(IF(--INDEX('Call accounts and MMFs'!$E:$E,ROW())&gt;=1,--INDEX('Call accounts and MMFs'!$E:$E,ROW())/100,--INDEX('Call accounts and MMFs'!$E:$E,ROW())),0)</f>
        <v/>
      </c>
      <c r="O1983">
        <f>IFERROR(--INDEX('Call accounts and MMFs'!$F:$F,ROW()),0)</f>
        <v/>
      </c>
      <c r="P1983">
        <f>IF(ISNUMBER(INDEX('Call accounts and MMFs'!$E:$E,ROW())),1,0)</f>
        <v/>
      </c>
      <c r="Q1983">
        <f>TRIM(SUBSTITUTE(INDEX('Pooled funds'!$B:$B,ROW())&amp;""," "," "))</f>
        <v/>
      </c>
      <c r="R1983">
        <f>IFERROR(--INDEX('Pooled funds'!$C:$C,ROW()),0)</f>
        <v/>
      </c>
      <c r="S1983">
        <f>IFERROR(--INDEX('Pooled funds'!$D:$D,ROW()),0)</f>
        <v/>
      </c>
      <c r="T1983">
        <f>IFERROR(IF(--INDEX('Pooled funds'!$E:$E,ROW())&gt;=1,--INDEX('Pooled funds'!$E:$E,ROW())/100,--INDEX('Pooled funds'!$E:$E,ROW())),0)</f>
        <v/>
      </c>
      <c r="U1983">
        <f>IF(ISNUMBER(INDEX('Pooled funds'!$E:$E,ROW())),1,0)</f>
        <v/>
      </c>
    </row>
    <row r="1984">
      <c r="A1984">
        <f>TRIM(SUBSTITUTE(INDEX('Term investments'!$A:$A,ROW())&amp;""," "," "))</f>
        <v/>
      </c>
      <c r="B1984">
        <f>TRIM(SUBSTITUTE(INDEX('Term investments'!$B:$B,ROW())&amp;""," "," "))</f>
        <v/>
      </c>
      <c r="C1984">
        <f>TRIM(SUBSTITUTE(INDEX('Term investments'!$C:$C,ROW())&amp;""," "," "))</f>
        <v/>
      </c>
      <c r="D1984">
        <f>IFERROR(--INDEX('Term investments'!$D:$D,ROW()),0)</f>
        <v/>
      </c>
      <c r="E1984">
        <f>IFERROR(--INDEX('Term investments'!$E:$E,ROW()),0)</f>
        <v/>
      </c>
      <c r="F1984">
        <f>IFERROR(--INDEX('Term investments'!$F:$F,ROW()),0)</f>
        <v/>
      </c>
      <c r="G1984">
        <f>IFERROR(IF(--INDEX('Term investments'!$G:$G,ROW())&gt;=1,--INDEX('Term investments'!$G:$G,ROW())/100,--INDEX('Term investments'!$G:$G,ROW())),0)</f>
        <v/>
      </c>
      <c r="H1984">
        <f>IFERROR(--INDEX('Term investments'!$H:$H,ROW()),0)</f>
        <v/>
      </c>
      <c r="I1984">
        <f>IF(ISNUMBER(INDEX('Term investments'!$G:$G,ROW())),1,0)</f>
        <v/>
      </c>
      <c r="J1984">
        <f>TRIM(SUBSTITUTE(INDEX('Call accounts and MMFs'!$A:$A,ROW())&amp;""," "," "))</f>
        <v/>
      </c>
      <c r="K1984">
        <f>TRIM(SUBSTITUTE(INDEX('Call accounts and MMFs'!$B:$B,ROW())&amp;""," "," "))</f>
        <v/>
      </c>
      <c r="L1984">
        <f>TRIM(SUBSTITUTE(INDEX('Call accounts and MMFs'!$C:$C,ROW())&amp;""," "," "))</f>
        <v/>
      </c>
      <c r="M1984">
        <f>IFERROR(--INDEX('Call accounts and MMFs'!$D:$D,ROW()),0)</f>
        <v/>
      </c>
      <c r="N1984">
        <f>IFERROR(IF(--INDEX('Call accounts and MMFs'!$E:$E,ROW())&gt;=1,--INDEX('Call accounts and MMFs'!$E:$E,ROW())/100,--INDEX('Call accounts and MMFs'!$E:$E,ROW())),0)</f>
        <v/>
      </c>
      <c r="O1984">
        <f>IFERROR(--INDEX('Call accounts and MMFs'!$F:$F,ROW()),0)</f>
        <v/>
      </c>
      <c r="P1984">
        <f>IF(ISNUMBER(INDEX('Call accounts and MMFs'!$E:$E,ROW())),1,0)</f>
        <v/>
      </c>
      <c r="Q1984">
        <f>TRIM(SUBSTITUTE(INDEX('Pooled funds'!$B:$B,ROW())&amp;""," "," "))</f>
        <v/>
      </c>
      <c r="R1984">
        <f>IFERROR(--INDEX('Pooled funds'!$C:$C,ROW()),0)</f>
        <v/>
      </c>
      <c r="S1984">
        <f>IFERROR(--INDEX('Pooled funds'!$D:$D,ROW()),0)</f>
        <v/>
      </c>
      <c r="T1984">
        <f>IFERROR(IF(--INDEX('Pooled funds'!$E:$E,ROW())&gt;=1,--INDEX('Pooled funds'!$E:$E,ROW())/100,--INDEX('Pooled funds'!$E:$E,ROW())),0)</f>
        <v/>
      </c>
      <c r="U1984">
        <f>IF(ISNUMBER(INDEX('Pooled funds'!$E:$E,ROW())),1,0)</f>
        <v/>
      </c>
    </row>
    <row r="1985">
      <c r="A1985">
        <f>TRIM(SUBSTITUTE(INDEX('Term investments'!$A:$A,ROW())&amp;""," "," "))</f>
        <v/>
      </c>
      <c r="B1985">
        <f>TRIM(SUBSTITUTE(INDEX('Term investments'!$B:$B,ROW())&amp;""," "," "))</f>
        <v/>
      </c>
      <c r="C1985">
        <f>TRIM(SUBSTITUTE(INDEX('Term investments'!$C:$C,ROW())&amp;""," "," "))</f>
        <v/>
      </c>
      <c r="D1985">
        <f>IFERROR(--INDEX('Term investments'!$D:$D,ROW()),0)</f>
        <v/>
      </c>
      <c r="E1985">
        <f>IFERROR(--INDEX('Term investments'!$E:$E,ROW()),0)</f>
        <v/>
      </c>
      <c r="F1985">
        <f>IFERROR(--INDEX('Term investments'!$F:$F,ROW()),0)</f>
        <v/>
      </c>
      <c r="G1985">
        <f>IFERROR(IF(--INDEX('Term investments'!$G:$G,ROW())&gt;=1,--INDEX('Term investments'!$G:$G,ROW())/100,--INDEX('Term investments'!$G:$G,ROW())),0)</f>
        <v/>
      </c>
      <c r="H1985">
        <f>IFERROR(--INDEX('Term investments'!$H:$H,ROW()),0)</f>
        <v/>
      </c>
      <c r="I1985">
        <f>IF(ISNUMBER(INDEX('Term investments'!$G:$G,ROW())),1,0)</f>
        <v/>
      </c>
      <c r="J1985">
        <f>TRIM(SUBSTITUTE(INDEX('Call accounts and MMFs'!$A:$A,ROW())&amp;""," "," "))</f>
        <v/>
      </c>
      <c r="K1985">
        <f>TRIM(SUBSTITUTE(INDEX('Call accounts and MMFs'!$B:$B,ROW())&amp;""," "," "))</f>
        <v/>
      </c>
      <c r="L1985">
        <f>TRIM(SUBSTITUTE(INDEX('Call accounts and MMFs'!$C:$C,ROW())&amp;""," "," "))</f>
        <v/>
      </c>
      <c r="M1985">
        <f>IFERROR(--INDEX('Call accounts and MMFs'!$D:$D,ROW()),0)</f>
        <v/>
      </c>
      <c r="N1985">
        <f>IFERROR(IF(--INDEX('Call accounts and MMFs'!$E:$E,ROW())&gt;=1,--INDEX('Call accounts and MMFs'!$E:$E,ROW())/100,--INDEX('Call accounts and MMFs'!$E:$E,ROW())),0)</f>
        <v/>
      </c>
      <c r="O1985">
        <f>IFERROR(--INDEX('Call accounts and MMFs'!$F:$F,ROW()),0)</f>
        <v/>
      </c>
      <c r="P1985">
        <f>IF(ISNUMBER(INDEX('Call accounts and MMFs'!$E:$E,ROW())),1,0)</f>
        <v/>
      </c>
      <c r="Q1985">
        <f>TRIM(SUBSTITUTE(INDEX('Pooled funds'!$B:$B,ROW())&amp;""," "," "))</f>
        <v/>
      </c>
      <c r="R1985">
        <f>IFERROR(--INDEX('Pooled funds'!$C:$C,ROW()),0)</f>
        <v/>
      </c>
      <c r="S1985">
        <f>IFERROR(--INDEX('Pooled funds'!$D:$D,ROW()),0)</f>
        <v/>
      </c>
      <c r="T1985">
        <f>IFERROR(IF(--INDEX('Pooled funds'!$E:$E,ROW())&gt;=1,--INDEX('Pooled funds'!$E:$E,ROW())/100,--INDEX('Pooled funds'!$E:$E,ROW())),0)</f>
        <v/>
      </c>
      <c r="U1985">
        <f>IF(ISNUMBER(INDEX('Pooled funds'!$E:$E,ROW())),1,0)</f>
        <v/>
      </c>
    </row>
    <row r="1986">
      <c r="A1986">
        <f>TRIM(SUBSTITUTE(INDEX('Term investments'!$A:$A,ROW())&amp;""," "," "))</f>
        <v/>
      </c>
      <c r="B1986">
        <f>TRIM(SUBSTITUTE(INDEX('Term investments'!$B:$B,ROW())&amp;""," "," "))</f>
        <v/>
      </c>
      <c r="C1986">
        <f>TRIM(SUBSTITUTE(INDEX('Term investments'!$C:$C,ROW())&amp;""," "," "))</f>
        <v/>
      </c>
      <c r="D1986">
        <f>IFERROR(--INDEX('Term investments'!$D:$D,ROW()),0)</f>
        <v/>
      </c>
      <c r="E1986">
        <f>IFERROR(--INDEX('Term investments'!$E:$E,ROW()),0)</f>
        <v/>
      </c>
      <c r="F1986">
        <f>IFERROR(--INDEX('Term investments'!$F:$F,ROW()),0)</f>
        <v/>
      </c>
      <c r="G1986">
        <f>IFERROR(IF(--INDEX('Term investments'!$G:$G,ROW())&gt;=1,--INDEX('Term investments'!$G:$G,ROW())/100,--INDEX('Term investments'!$G:$G,ROW())),0)</f>
        <v/>
      </c>
      <c r="H1986">
        <f>IFERROR(--INDEX('Term investments'!$H:$H,ROW()),0)</f>
        <v/>
      </c>
      <c r="I1986">
        <f>IF(ISNUMBER(INDEX('Term investments'!$G:$G,ROW())),1,0)</f>
        <v/>
      </c>
      <c r="J1986">
        <f>TRIM(SUBSTITUTE(INDEX('Call accounts and MMFs'!$A:$A,ROW())&amp;""," "," "))</f>
        <v/>
      </c>
      <c r="K1986">
        <f>TRIM(SUBSTITUTE(INDEX('Call accounts and MMFs'!$B:$B,ROW())&amp;""," "," "))</f>
        <v/>
      </c>
      <c r="L1986">
        <f>TRIM(SUBSTITUTE(INDEX('Call accounts and MMFs'!$C:$C,ROW())&amp;""," "," "))</f>
        <v/>
      </c>
      <c r="M1986">
        <f>IFERROR(--INDEX('Call accounts and MMFs'!$D:$D,ROW()),0)</f>
        <v/>
      </c>
      <c r="N1986">
        <f>IFERROR(IF(--INDEX('Call accounts and MMFs'!$E:$E,ROW())&gt;=1,--INDEX('Call accounts and MMFs'!$E:$E,ROW())/100,--INDEX('Call accounts and MMFs'!$E:$E,ROW())),0)</f>
        <v/>
      </c>
      <c r="O1986">
        <f>IFERROR(--INDEX('Call accounts and MMFs'!$F:$F,ROW()),0)</f>
        <v/>
      </c>
      <c r="P1986">
        <f>IF(ISNUMBER(INDEX('Call accounts and MMFs'!$E:$E,ROW())),1,0)</f>
        <v/>
      </c>
      <c r="Q1986">
        <f>TRIM(SUBSTITUTE(INDEX('Pooled funds'!$B:$B,ROW())&amp;""," "," "))</f>
        <v/>
      </c>
      <c r="R1986">
        <f>IFERROR(--INDEX('Pooled funds'!$C:$C,ROW()),0)</f>
        <v/>
      </c>
      <c r="S1986">
        <f>IFERROR(--INDEX('Pooled funds'!$D:$D,ROW()),0)</f>
        <v/>
      </c>
      <c r="T1986">
        <f>IFERROR(IF(--INDEX('Pooled funds'!$E:$E,ROW())&gt;=1,--INDEX('Pooled funds'!$E:$E,ROW())/100,--INDEX('Pooled funds'!$E:$E,ROW())),0)</f>
        <v/>
      </c>
      <c r="U1986">
        <f>IF(ISNUMBER(INDEX('Pooled funds'!$E:$E,ROW())),1,0)</f>
        <v/>
      </c>
    </row>
    <row r="1987">
      <c r="A1987">
        <f>TRIM(SUBSTITUTE(INDEX('Term investments'!$A:$A,ROW())&amp;""," "," "))</f>
        <v/>
      </c>
      <c r="B1987">
        <f>TRIM(SUBSTITUTE(INDEX('Term investments'!$B:$B,ROW())&amp;""," "," "))</f>
        <v/>
      </c>
      <c r="C1987">
        <f>TRIM(SUBSTITUTE(INDEX('Term investments'!$C:$C,ROW())&amp;""," "," "))</f>
        <v/>
      </c>
      <c r="D1987">
        <f>IFERROR(--INDEX('Term investments'!$D:$D,ROW()),0)</f>
        <v/>
      </c>
      <c r="E1987">
        <f>IFERROR(--INDEX('Term investments'!$E:$E,ROW()),0)</f>
        <v/>
      </c>
      <c r="F1987">
        <f>IFERROR(--INDEX('Term investments'!$F:$F,ROW()),0)</f>
        <v/>
      </c>
      <c r="G1987">
        <f>IFERROR(IF(--INDEX('Term investments'!$G:$G,ROW())&gt;=1,--INDEX('Term investments'!$G:$G,ROW())/100,--INDEX('Term investments'!$G:$G,ROW())),0)</f>
        <v/>
      </c>
      <c r="H1987">
        <f>IFERROR(--INDEX('Term investments'!$H:$H,ROW()),0)</f>
        <v/>
      </c>
      <c r="I1987">
        <f>IF(ISNUMBER(INDEX('Term investments'!$G:$G,ROW())),1,0)</f>
        <v/>
      </c>
      <c r="J1987">
        <f>TRIM(SUBSTITUTE(INDEX('Call accounts and MMFs'!$A:$A,ROW())&amp;""," "," "))</f>
        <v/>
      </c>
      <c r="K1987">
        <f>TRIM(SUBSTITUTE(INDEX('Call accounts and MMFs'!$B:$B,ROW())&amp;""," "," "))</f>
        <v/>
      </c>
      <c r="L1987">
        <f>TRIM(SUBSTITUTE(INDEX('Call accounts and MMFs'!$C:$C,ROW())&amp;""," "," "))</f>
        <v/>
      </c>
      <c r="M1987">
        <f>IFERROR(--INDEX('Call accounts and MMFs'!$D:$D,ROW()),0)</f>
        <v/>
      </c>
      <c r="N1987">
        <f>IFERROR(IF(--INDEX('Call accounts and MMFs'!$E:$E,ROW())&gt;=1,--INDEX('Call accounts and MMFs'!$E:$E,ROW())/100,--INDEX('Call accounts and MMFs'!$E:$E,ROW())),0)</f>
        <v/>
      </c>
      <c r="O1987">
        <f>IFERROR(--INDEX('Call accounts and MMFs'!$F:$F,ROW()),0)</f>
        <v/>
      </c>
      <c r="P1987">
        <f>IF(ISNUMBER(INDEX('Call accounts and MMFs'!$E:$E,ROW())),1,0)</f>
        <v/>
      </c>
      <c r="Q1987">
        <f>TRIM(SUBSTITUTE(INDEX('Pooled funds'!$B:$B,ROW())&amp;""," "," "))</f>
        <v/>
      </c>
      <c r="R1987">
        <f>IFERROR(--INDEX('Pooled funds'!$C:$C,ROW()),0)</f>
        <v/>
      </c>
      <c r="S1987">
        <f>IFERROR(--INDEX('Pooled funds'!$D:$D,ROW()),0)</f>
        <v/>
      </c>
      <c r="T1987">
        <f>IFERROR(IF(--INDEX('Pooled funds'!$E:$E,ROW())&gt;=1,--INDEX('Pooled funds'!$E:$E,ROW())/100,--INDEX('Pooled funds'!$E:$E,ROW())),0)</f>
        <v/>
      </c>
      <c r="U1987">
        <f>IF(ISNUMBER(INDEX('Pooled funds'!$E:$E,ROW())),1,0)</f>
        <v/>
      </c>
    </row>
    <row r="1988">
      <c r="A1988">
        <f>TRIM(SUBSTITUTE(INDEX('Term investments'!$A:$A,ROW())&amp;""," "," "))</f>
        <v/>
      </c>
      <c r="B1988">
        <f>TRIM(SUBSTITUTE(INDEX('Term investments'!$B:$B,ROW())&amp;""," "," "))</f>
        <v/>
      </c>
      <c r="C1988">
        <f>TRIM(SUBSTITUTE(INDEX('Term investments'!$C:$C,ROW())&amp;""," "," "))</f>
        <v/>
      </c>
      <c r="D1988">
        <f>IFERROR(--INDEX('Term investments'!$D:$D,ROW()),0)</f>
        <v/>
      </c>
      <c r="E1988">
        <f>IFERROR(--INDEX('Term investments'!$E:$E,ROW()),0)</f>
        <v/>
      </c>
      <c r="F1988">
        <f>IFERROR(--INDEX('Term investments'!$F:$F,ROW()),0)</f>
        <v/>
      </c>
      <c r="G1988">
        <f>IFERROR(IF(--INDEX('Term investments'!$G:$G,ROW())&gt;=1,--INDEX('Term investments'!$G:$G,ROW())/100,--INDEX('Term investments'!$G:$G,ROW())),0)</f>
        <v/>
      </c>
      <c r="H1988">
        <f>IFERROR(--INDEX('Term investments'!$H:$H,ROW()),0)</f>
        <v/>
      </c>
      <c r="I1988">
        <f>IF(ISNUMBER(INDEX('Term investments'!$G:$G,ROW())),1,0)</f>
        <v/>
      </c>
      <c r="J1988">
        <f>TRIM(SUBSTITUTE(INDEX('Call accounts and MMFs'!$A:$A,ROW())&amp;""," "," "))</f>
        <v/>
      </c>
      <c r="K1988">
        <f>TRIM(SUBSTITUTE(INDEX('Call accounts and MMFs'!$B:$B,ROW())&amp;""," "," "))</f>
        <v/>
      </c>
      <c r="L1988">
        <f>TRIM(SUBSTITUTE(INDEX('Call accounts and MMFs'!$C:$C,ROW())&amp;""," "," "))</f>
        <v/>
      </c>
      <c r="M1988">
        <f>IFERROR(--INDEX('Call accounts and MMFs'!$D:$D,ROW()),0)</f>
        <v/>
      </c>
      <c r="N1988">
        <f>IFERROR(IF(--INDEX('Call accounts and MMFs'!$E:$E,ROW())&gt;=1,--INDEX('Call accounts and MMFs'!$E:$E,ROW())/100,--INDEX('Call accounts and MMFs'!$E:$E,ROW())),0)</f>
        <v/>
      </c>
      <c r="O1988">
        <f>IFERROR(--INDEX('Call accounts and MMFs'!$F:$F,ROW()),0)</f>
        <v/>
      </c>
      <c r="P1988">
        <f>IF(ISNUMBER(INDEX('Call accounts and MMFs'!$E:$E,ROW())),1,0)</f>
        <v/>
      </c>
      <c r="Q1988">
        <f>TRIM(SUBSTITUTE(INDEX('Pooled funds'!$B:$B,ROW())&amp;""," "," "))</f>
        <v/>
      </c>
      <c r="R1988">
        <f>IFERROR(--INDEX('Pooled funds'!$C:$C,ROW()),0)</f>
        <v/>
      </c>
      <c r="S1988">
        <f>IFERROR(--INDEX('Pooled funds'!$D:$D,ROW()),0)</f>
        <v/>
      </c>
      <c r="T1988">
        <f>IFERROR(IF(--INDEX('Pooled funds'!$E:$E,ROW())&gt;=1,--INDEX('Pooled funds'!$E:$E,ROW())/100,--INDEX('Pooled funds'!$E:$E,ROW())),0)</f>
        <v/>
      </c>
      <c r="U1988">
        <f>IF(ISNUMBER(INDEX('Pooled funds'!$E:$E,ROW())),1,0)</f>
        <v/>
      </c>
    </row>
    <row r="1989">
      <c r="A1989">
        <f>TRIM(SUBSTITUTE(INDEX('Term investments'!$A:$A,ROW())&amp;""," "," "))</f>
        <v/>
      </c>
      <c r="B1989">
        <f>TRIM(SUBSTITUTE(INDEX('Term investments'!$B:$B,ROW())&amp;""," "," "))</f>
        <v/>
      </c>
      <c r="C1989">
        <f>TRIM(SUBSTITUTE(INDEX('Term investments'!$C:$C,ROW())&amp;""," "," "))</f>
        <v/>
      </c>
      <c r="D1989">
        <f>IFERROR(--INDEX('Term investments'!$D:$D,ROW()),0)</f>
        <v/>
      </c>
      <c r="E1989">
        <f>IFERROR(--INDEX('Term investments'!$E:$E,ROW()),0)</f>
        <v/>
      </c>
      <c r="F1989">
        <f>IFERROR(--INDEX('Term investments'!$F:$F,ROW()),0)</f>
        <v/>
      </c>
      <c r="G1989">
        <f>IFERROR(IF(--INDEX('Term investments'!$G:$G,ROW())&gt;=1,--INDEX('Term investments'!$G:$G,ROW())/100,--INDEX('Term investments'!$G:$G,ROW())),0)</f>
        <v/>
      </c>
      <c r="H1989">
        <f>IFERROR(--INDEX('Term investments'!$H:$H,ROW()),0)</f>
        <v/>
      </c>
      <c r="I1989">
        <f>IF(ISNUMBER(INDEX('Term investments'!$G:$G,ROW())),1,0)</f>
        <v/>
      </c>
      <c r="J1989">
        <f>TRIM(SUBSTITUTE(INDEX('Call accounts and MMFs'!$A:$A,ROW())&amp;""," "," "))</f>
        <v/>
      </c>
      <c r="K1989">
        <f>TRIM(SUBSTITUTE(INDEX('Call accounts and MMFs'!$B:$B,ROW())&amp;""," "," "))</f>
        <v/>
      </c>
      <c r="L1989">
        <f>TRIM(SUBSTITUTE(INDEX('Call accounts and MMFs'!$C:$C,ROW())&amp;""," "," "))</f>
        <v/>
      </c>
      <c r="M1989">
        <f>IFERROR(--INDEX('Call accounts and MMFs'!$D:$D,ROW()),0)</f>
        <v/>
      </c>
      <c r="N1989">
        <f>IFERROR(IF(--INDEX('Call accounts and MMFs'!$E:$E,ROW())&gt;=1,--INDEX('Call accounts and MMFs'!$E:$E,ROW())/100,--INDEX('Call accounts and MMFs'!$E:$E,ROW())),0)</f>
        <v/>
      </c>
      <c r="O1989">
        <f>IFERROR(--INDEX('Call accounts and MMFs'!$F:$F,ROW()),0)</f>
        <v/>
      </c>
      <c r="P1989">
        <f>IF(ISNUMBER(INDEX('Call accounts and MMFs'!$E:$E,ROW())),1,0)</f>
        <v/>
      </c>
      <c r="Q1989">
        <f>TRIM(SUBSTITUTE(INDEX('Pooled funds'!$B:$B,ROW())&amp;""," "," "))</f>
        <v/>
      </c>
      <c r="R1989">
        <f>IFERROR(--INDEX('Pooled funds'!$C:$C,ROW()),0)</f>
        <v/>
      </c>
      <c r="S1989">
        <f>IFERROR(--INDEX('Pooled funds'!$D:$D,ROW()),0)</f>
        <v/>
      </c>
      <c r="T1989">
        <f>IFERROR(IF(--INDEX('Pooled funds'!$E:$E,ROW())&gt;=1,--INDEX('Pooled funds'!$E:$E,ROW())/100,--INDEX('Pooled funds'!$E:$E,ROW())),0)</f>
        <v/>
      </c>
      <c r="U1989">
        <f>IF(ISNUMBER(INDEX('Pooled funds'!$E:$E,ROW())),1,0)</f>
        <v/>
      </c>
    </row>
    <row r="1990">
      <c r="A1990">
        <f>TRIM(SUBSTITUTE(INDEX('Term investments'!$A:$A,ROW())&amp;""," "," "))</f>
        <v/>
      </c>
      <c r="B1990">
        <f>TRIM(SUBSTITUTE(INDEX('Term investments'!$B:$B,ROW())&amp;""," "," "))</f>
        <v/>
      </c>
      <c r="C1990">
        <f>TRIM(SUBSTITUTE(INDEX('Term investments'!$C:$C,ROW())&amp;""," "," "))</f>
        <v/>
      </c>
      <c r="D1990">
        <f>IFERROR(--INDEX('Term investments'!$D:$D,ROW()),0)</f>
        <v/>
      </c>
      <c r="E1990">
        <f>IFERROR(--INDEX('Term investments'!$E:$E,ROW()),0)</f>
        <v/>
      </c>
      <c r="F1990">
        <f>IFERROR(--INDEX('Term investments'!$F:$F,ROW()),0)</f>
        <v/>
      </c>
      <c r="G1990">
        <f>IFERROR(IF(--INDEX('Term investments'!$G:$G,ROW())&gt;=1,--INDEX('Term investments'!$G:$G,ROW())/100,--INDEX('Term investments'!$G:$G,ROW())),0)</f>
        <v/>
      </c>
      <c r="H1990">
        <f>IFERROR(--INDEX('Term investments'!$H:$H,ROW()),0)</f>
        <v/>
      </c>
      <c r="I1990">
        <f>IF(ISNUMBER(INDEX('Term investments'!$G:$G,ROW())),1,0)</f>
        <v/>
      </c>
      <c r="J1990">
        <f>TRIM(SUBSTITUTE(INDEX('Call accounts and MMFs'!$A:$A,ROW())&amp;""," "," "))</f>
        <v/>
      </c>
      <c r="K1990">
        <f>TRIM(SUBSTITUTE(INDEX('Call accounts and MMFs'!$B:$B,ROW())&amp;""," "," "))</f>
        <v/>
      </c>
      <c r="L1990">
        <f>TRIM(SUBSTITUTE(INDEX('Call accounts and MMFs'!$C:$C,ROW())&amp;""," "," "))</f>
        <v/>
      </c>
      <c r="M1990">
        <f>IFERROR(--INDEX('Call accounts and MMFs'!$D:$D,ROW()),0)</f>
        <v/>
      </c>
      <c r="N1990">
        <f>IFERROR(IF(--INDEX('Call accounts and MMFs'!$E:$E,ROW())&gt;=1,--INDEX('Call accounts and MMFs'!$E:$E,ROW())/100,--INDEX('Call accounts and MMFs'!$E:$E,ROW())),0)</f>
        <v/>
      </c>
      <c r="O1990">
        <f>IFERROR(--INDEX('Call accounts and MMFs'!$F:$F,ROW()),0)</f>
        <v/>
      </c>
      <c r="P1990">
        <f>IF(ISNUMBER(INDEX('Call accounts and MMFs'!$E:$E,ROW())),1,0)</f>
        <v/>
      </c>
      <c r="Q1990">
        <f>TRIM(SUBSTITUTE(INDEX('Pooled funds'!$B:$B,ROW())&amp;""," "," "))</f>
        <v/>
      </c>
      <c r="R1990">
        <f>IFERROR(--INDEX('Pooled funds'!$C:$C,ROW()),0)</f>
        <v/>
      </c>
      <c r="S1990">
        <f>IFERROR(--INDEX('Pooled funds'!$D:$D,ROW()),0)</f>
        <v/>
      </c>
      <c r="T1990">
        <f>IFERROR(IF(--INDEX('Pooled funds'!$E:$E,ROW())&gt;=1,--INDEX('Pooled funds'!$E:$E,ROW())/100,--INDEX('Pooled funds'!$E:$E,ROW())),0)</f>
        <v/>
      </c>
      <c r="U1990">
        <f>IF(ISNUMBER(INDEX('Pooled funds'!$E:$E,ROW())),1,0)</f>
        <v/>
      </c>
    </row>
    <row r="1991">
      <c r="A1991">
        <f>TRIM(SUBSTITUTE(INDEX('Term investments'!$A:$A,ROW())&amp;""," "," "))</f>
        <v/>
      </c>
      <c r="B1991">
        <f>TRIM(SUBSTITUTE(INDEX('Term investments'!$B:$B,ROW())&amp;""," "," "))</f>
        <v/>
      </c>
      <c r="C1991">
        <f>TRIM(SUBSTITUTE(INDEX('Term investments'!$C:$C,ROW())&amp;""," "," "))</f>
        <v/>
      </c>
      <c r="D1991">
        <f>IFERROR(--INDEX('Term investments'!$D:$D,ROW()),0)</f>
        <v/>
      </c>
      <c r="E1991">
        <f>IFERROR(--INDEX('Term investments'!$E:$E,ROW()),0)</f>
        <v/>
      </c>
      <c r="F1991">
        <f>IFERROR(--INDEX('Term investments'!$F:$F,ROW()),0)</f>
        <v/>
      </c>
      <c r="G1991">
        <f>IFERROR(IF(--INDEX('Term investments'!$G:$G,ROW())&gt;=1,--INDEX('Term investments'!$G:$G,ROW())/100,--INDEX('Term investments'!$G:$G,ROW())),0)</f>
        <v/>
      </c>
      <c r="H1991">
        <f>IFERROR(--INDEX('Term investments'!$H:$H,ROW()),0)</f>
        <v/>
      </c>
      <c r="I1991">
        <f>IF(ISNUMBER(INDEX('Term investments'!$G:$G,ROW())),1,0)</f>
        <v/>
      </c>
      <c r="J1991">
        <f>TRIM(SUBSTITUTE(INDEX('Call accounts and MMFs'!$A:$A,ROW())&amp;""," "," "))</f>
        <v/>
      </c>
      <c r="K1991">
        <f>TRIM(SUBSTITUTE(INDEX('Call accounts and MMFs'!$B:$B,ROW())&amp;""," "," "))</f>
        <v/>
      </c>
      <c r="L1991">
        <f>TRIM(SUBSTITUTE(INDEX('Call accounts and MMFs'!$C:$C,ROW())&amp;""," "," "))</f>
        <v/>
      </c>
      <c r="M1991">
        <f>IFERROR(--INDEX('Call accounts and MMFs'!$D:$D,ROW()),0)</f>
        <v/>
      </c>
      <c r="N1991">
        <f>IFERROR(IF(--INDEX('Call accounts and MMFs'!$E:$E,ROW())&gt;=1,--INDEX('Call accounts and MMFs'!$E:$E,ROW())/100,--INDEX('Call accounts and MMFs'!$E:$E,ROW())),0)</f>
        <v/>
      </c>
      <c r="O1991">
        <f>IFERROR(--INDEX('Call accounts and MMFs'!$F:$F,ROW()),0)</f>
        <v/>
      </c>
      <c r="P1991">
        <f>IF(ISNUMBER(INDEX('Call accounts and MMFs'!$E:$E,ROW())),1,0)</f>
        <v/>
      </c>
      <c r="Q1991">
        <f>TRIM(SUBSTITUTE(INDEX('Pooled funds'!$B:$B,ROW())&amp;""," "," "))</f>
        <v/>
      </c>
      <c r="R1991">
        <f>IFERROR(--INDEX('Pooled funds'!$C:$C,ROW()),0)</f>
        <v/>
      </c>
      <c r="S1991">
        <f>IFERROR(--INDEX('Pooled funds'!$D:$D,ROW()),0)</f>
        <v/>
      </c>
      <c r="T1991">
        <f>IFERROR(IF(--INDEX('Pooled funds'!$E:$E,ROW())&gt;=1,--INDEX('Pooled funds'!$E:$E,ROW())/100,--INDEX('Pooled funds'!$E:$E,ROW())),0)</f>
        <v/>
      </c>
      <c r="U1991">
        <f>IF(ISNUMBER(INDEX('Pooled funds'!$E:$E,ROW())),1,0)</f>
        <v/>
      </c>
    </row>
    <row r="1992">
      <c r="A1992">
        <f>TRIM(SUBSTITUTE(INDEX('Term investments'!$A:$A,ROW())&amp;""," "," "))</f>
        <v/>
      </c>
      <c r="B1992">
        <f>TRIM(SUBSTITUTE(INDEX('Term investments'!$B:$B,ROW())&amp;""," "," "))</f>
        <v/>
      </c>
      <c r="C1992">
        <f>TRIM(SUBSTITUTE(INDEX('Term investments'!$C:$C,ROW())&amp;""," "," "))</f>
        <v/>
      </c>
      <c r="D1992">
        <f>IFERROR(--INDEX('Term investments'!$D:$D,ROW()),0)</f>
        <v/>
      </c>
      <c r="E1992">
        <f>IFERROR(--INDEX('Term investments'!$E:$E,ROW()),0)</f>
        <v/>
      </c>
      <c r="F1992">
        <f>IFERROR(--INDEX('Term investments'!$F:$F,ROW()),0)</f>
        <v/>
      </c>
      <c r="G1992">
        <f>IFERROR(IF(--INDEX('Term investments'!$G:$G,ROW())&gt;=1,--INDEX('Term investments'!$G:$G,ROW())/100,--INDEX('Term investments'!$G:$G,ROW())),0)</f>
        <v/>
      </c>
      <c r="H1992">
        <f>IFERROR(--INDEX('Term investments'!$H:$H,ROW()),0)</f>
        <v/>
      </c>
      <c r="I1992">
        <f>IF(ISNUMBER(INDEX('Term investments'!$G:$G,ROW())),1,0)</f>
        <v/>
      </c>
      <c r="J1992">
        <f>TRIM(SUBSTITUTE(INDEX('Call accounts and MMFs'!$A:$A,ROW())&amp;""," "," "))</f>
        <v/>
      </c>
      <c r="K1992">
        <f>TRIM(SUBSTITUTE(INDEX('Call accounts and MMFs'!$B:$B,ROW())&amp;""," "," "))</f>
        <v/>
      </c>
      <c r="L1992">
        <f>TRIM(SUBSTITUTE(INDEX('Call accounts and MMFs'!$C:$C,ROW())&amp;""," "," "))</f>
        <v/>
      </c>
      <c r="M1992">
        <f>IFERROR(--INDEX('Call accounts and MMFs'!$D:$D,ROW()),0)</f>
        <v/>
      </c>
      <c r="N1992">
        <f>IFERROR(IF(--INDEX('Call accounts and MMFs'!$E:$E,ROW())&gt;=1,--INDEX('Call accounts and MMFs'!$E:$E,ROW())/100,--INDEX('Call accounts and MMFs'!$E:$E,ROW())),0)</f>
        <v/>
      </c>
      <c r="O1992">
        <f>IFERROR(--INDEX('Call accounts and MMFs'!$F:$F,ROW()),0)</f>
        <v/>
      </c>
      <c r="P1992">
        <f>IF(ISNUMBER(INDEX('Call accounts and MMFs'!$E:$E,ROW())),1,0)</f>
        <v/>
      </c>
      <c r="Q1992">
        <f>TRIM(SUBSTITUTE(INDEX('Pooled funds'!$B:$B,ROW())&amp;""," "," "))</f>
        <v/>
      </c>
      <c r="R1992">
        <f>IFERROR(--INDEX('Pooled funds'!$C:$C,ROW()),0)</f>
        <v/>
      </c>
      <c r="S1992">
        <f>IFERROR(--INDEX('Pooled funds'!$D:$D,ROW()),0)</f>
        <v/>
      </c>
      <c r="T1992">
        <f>IFERROR(IF(--INDEX('Pooled funds'!$E:$E,ROW())&gt;=1,--INDEX('Pooled funds'!$E:$E,ROW())/100,--INDEX('Pooled funds'!$E:$E,ROW())),0)</f>
        <v/>
      </c>
      <c r="U1992">
        <f>IF(ISNUMBER(INDEX('Pooled funds'!$E:$E,ROW())),1,0)</f>
        <v/>
      </c>
    </row>
    <row r="1993">
      <c r="A1993">
        <f>TRIM(SUBSTITUTE(INDEX('Term investments'!$A:$A,ROW())&amp;""," "," "))</f>
        <v/>
      </c>
      <c r="B1993">
        <f>TRIM(SUBSTITUTE(INDEX('Term investments'!$B:$B,ROW())&amp;""," "," "))</f>
        <v/>
      </c>
      <c r="C1993">
        <f>TRIM(SUBSTITUTE(INDEX('Term investments'!$C:$C,ROW())&amp;""," "," "))</f>
        <v/>
      </c>
      <c r="D1993">
        <f>IFERROR(--INDEX('Term investments'!$D:$D,ROW()),0)</f>
        <v/>
      </c>
      <c r="E1993">
        <f>IFERROR(--INDEX('Term investments'!$E:$E,ROW()),0)</f>
        <v/>
      </c>
      <c r="F1993">
        <f>IFERROR(--INDEX('Term investments'!$F:$F,ROW()),0)</f>
        <v/>
      </c>
      <c r="G1993">
        <f>IFERROR(IF(--INDEX('Term investments'!$G:$G,ROW())&gt;=1,--INDEX('Term investments'!$G:$G,ROW())/100,--INDEX('Term investments'!$G:$G,ROW())),0)</f>
        <v/>
      </c>
      <c r="H1993">
        <f>IFERROR(--INDEX('Term investments'!$H:$H,ROW()),0)</f>
        <v/>
      </c>
      <c r="I1993">
        <f>IF(ISNUMBER(INDEX('Term investments'!$G:$G,ROW())),1,0)</f>
        <v/>
      </c>
      <c r="J1993">
        <f>TRIM(SUBSTITUTE(INDEX('Call accounts and MMFs'!$A:$A,ROW())&amp;""," "," "))</f>
        <v/>
      </c>
      <c r="K1993">
        <f>TRIM(SUBSTITUTE(INDEX('Call accounts and MMFs'!$B:$B,ROW())&amp;""," "," "))</f>
        <v/>
      </c>
      <c r="L1993">
        <f>TRIM(SUBSTITUTE(INDEX('Call accounts and MMFs'!$C:$C,ROW())&amp;""," "," "))</f>
        <v/>
      </c>
      <c r="M1993">
        <f>IFERROR(--INDEX('Call accounts and MMFs'!$D:$D,ROW()),0)</f>
        <v/>
      </c>
      <c r="N1993">
        <f>IFERROR(IF(--INDEX('Call accounts and MMFs'!$E:$E,ROW())&gt;=1,--INDEX('Call accounts and MMFs'!$E:$E,ROW())/100,--INDEX('Call accounts and MMFs'!$E:$E,ROW())),0)</f>
        <v/>
      </c>
      <c r="O1993">
        <f>IFERROR(--INDEX('Call accounts and MMFs'!$F:$F,ROW()),0)</f>
        <v/>
      </c>
      <c r="P1993">
        <f>IF(ISNUMBER(INDEX('Call accounts and MMFs'!$E:$E,ROW())),1,0)</f>
        <v/>
      </c>
      <c r="Q1993">
        <f>TRIM(SUBSTITUTE(INDEX('Pooled funds'!$B:$B,ROW())&amp;""," "," "))</f>
        <v/>
      </c>
      <c r="R1993">
        <f>IFERROR(--INDEX('Pooled funds'!$C:$C,ROW()),0)</f>
        <v/>
      </c>
      <c r="S1993">
        <f>IFERROR(--INDEX('Pooled funds'!$D:$D,ROW()),0)</f>
        <v/>
      </c>
      <c r="T1993">
        <f>IFERROR(IF(--INDEX('Pooled funds'!$E:$E,ROW())&gt;=1,--INDEX('Pooled funds'!$E:$E,ROW())/100,--INDEX('Pooled funds'!$E:$E,ROW())),0)</f>
        <v/>
      </c>
      <c r="U1993">
        <f>IF(ISNUMBER(INDEX('Pooled funds'!$E:$E,ROW())),1,0)</f>
        <v/>
      </c>
    </row>
    <row r="1994">
      <c r="A1994">
        <f>TRIM(SUBSTITUTE(INDEX('Term investments'!$A:$A,ROW())&amp;""," "," "))</f>
        <v/>
      </c>
      <c r="B1994">
        <f>TRIM(SUBSTITUTE(INDEX('Term investments'!$B:$B,ROW())&amp;""," "," "))</f>
        <v/>
      </c>
      <c r="C1994">
        <f>TRIM(SUBSTITUTE(INDEX('Term investments'!$C:$C,ROW())&amp;""," "," "))</f>
        <v/>
      </c>
      <c r="D1994">
        <f>IFERROR(--INDEX('Term investments'!$D:$D,ROW()),0)</f>
        <v/>
      </c>
      <c r="E1994">
        <f>IFERROR(--INDEX('Term investments'!$E:$E,ROW()),0)</f>
        <v/>
      </c>
      <c r="F1994">
        <f>IFERROR(--INDEX('Term investments'!$F:$F,ROW()),0)</f>
        <v/>
      </c>
      <c r="G1994">
        <f>IFERROR(IF(--INDEX('Term investments'!$G:$G,ROW())&gt;=1,--INDEX('Term investments'!$G:$G,ROW())/100,--INDEX('Term investments'!$G:$G,ROW())),0)</f>
        <v/>
      </c>
      <c r="H1994">
        <f>IFERROR(--INDEX('Term investments'!$H:$H,ROW()),0)</f>
        <v/>
      </c>
      <c r="I1994">
        <f>IF(ISNUMBER(INDEX('Term investments'!$G:$G,ROW())),1,0)</f>
        <v/>
      </c>
      <c r="J1994">
        <f>TRIM(SUBSTITUTE(INDEX('Call accounts and MMFs'!$A:$A,ROW())&amp;""," "," "))</f>
        <v/>
      </c>
      <c r="K1994">
        <f>TRIM(SUBSTITUTE(INDEX('Call accounts and MMFs'!$B:$B,ROW())&amp;""," "," "))</f>
        <v/>
      </c>
      <c r="L1994">
        <f>TRIM(SUBSTITUTE(INDEX('Call accounts and MMFs'!$C:$C,ROW())&amp;""," "," "))</f>
        <v/>
      </c>
      <c r="M1994">
        <f>IFERROR(--INDEX('Call accounts and MMFs'!$D:$D,ROW()),0)</f>
        <v/>
      </c>
      <c r="N1994">
        <f>IFERROR(IF(--INDEX('Call accounts and MMFs'!$E:$E,ROW())&gt;=1,--INDEX('Call accounts and MMFs'!$E:$E,ROW())/100,--INDEX('Call accounts and MMFs'!$E:$E,ROW())),0)</f>
        <v/>
      </c>
      <c r="O1994">
        <f>IFERROR(--INDEX('Call accounts and MMFs'!$F:$F,ROW()),0)</f>
        <v/>
      </c>
      <c r="P1994">
        <f>IF(ISNUMBER(INDEX('Call accounts and MMFs'!$E:$E,ROW())),1,0)</f>
        <v/>
      </c>
      <c r="Q1994">
        <f>TRIM(SUBSTITUTE(INDEX('Pooled funds'!$B:$B,ROW())&amp;""," "," "))</f>
        <v/>
      </c>
      <c r="R1994">
        <f>IFERROR(--INDEX('Pooled funds'!$C:$C,ROW()),0)</f>
        <v/>
      </c>
      <c r="S1994">
        <f>IFERROR(--INDEX('Pooled funds'!$D:$D,ROW()),0)</f>
        <v/>
      </c>
      <c r="T1994">
        <f>IFERROR(IF(--INDEX('Pooled funds'!$E:$E,ROW())&gt;=1,--INDEX('Pooled funds'!$E:$E,ROW())/100,--INDEX('Pooled funds'!$E:$E,ROW())),0)</f>
        <v/>
      </c>
      <c r="U1994">
        <f>IF(ISNUMBER(INDEX('Pooled funds'!$E:$E,ROW())),1,0)</f>
        <v/>
      </c>
    </row>
    <row r="1995">
      <c r="A1995">
        <f>TRIM(SUBSTITUTE(INDEX('Term investments'!$A:$A,ROW())&amp;""," "," "))</f>
        <v/>
      </c>
      <c r="B1995">
        <f>TRIM(SUBSTITUTE(INDEX('Term investments'!$B:$B,ROW())&amp;""," "," "))</f>
        <v/>
      </c>
      <c r="C1995">
        <f>TRIM(SUBSTITUTE(INDEX('Term investments'!$C:$C,ROW())&amp;""," "," "))</f>
        <v/>
      </c>
      <c r="D1995">
        <f>IFERROR(--INDEX('Term investments'!$D:$D,ROW()),0)</f>
        <v/>
      </c>
      <c r="E1995">
        <f>IFERROR(--INDEX('Term investments'!$E:$E,ROW()),0)</f>
        <v/>
      </c>
      <c r="F1995">
        <f>IFERROR(--INDEX('Term investments'!$F:$F,ROW()),0)</f>
        <v/>
      </c>
      <c r="G1995">
        <f>IFERROR(IF(--INDEX('Term investments'!$G:$G,ROW())&gt;=1,--INDEX('Term investments'!$G:$G,ROW())/100,--INDEX('Term investments'!$G:$G,ROW())),0)</f>
        <v/>
      </c>
      <c r="H1995">
        <f>IFERROR(--INDEX('Term investments'!$H:$H,ROW()),0)</f>
        <v/>
      </c>
      <c r="I1995">
        <f>IF(ISNUMBER(INDEX('Term investments'!$G:$G,ROW())),1,0)</f>
        <v/>
      </c>
      <c r="J1995">
        <f>TRIM(SUBSTITUTE(INDEX('Call accounts and MMFs'!$A:$A,ROW())&amp;""," "," "))</f>
        <v/>
      </c>
      <c r="K1995">
        <f>TRIM(SUBSTITUTE(INDEX('Call accounts and MMFs'!$B:$B,ROW())&amp;""," "," "))</f>
        <v/>
      </c>
      <c r="L1995">
        <f>TRIM(SUBSTITUTE(INDEX('Call accounts and MMFs'!$C:$C,ROW())&amp;""," "," "))</f>
        <v/>
      </c>
      <c r="M1995">
        <f>IFERROR(--INDEX('Call accounts and MMFs'!$D:$D,ROW()),0)</f>
        <v/>
      </c>
      <c r="N1995">
        <f>IFERROR(IF(--INDEX('Call accounts and MMFs'!$E:$E,ROW())&gt;=1,--INDEX('Call accounts and MMFs'!$E:$E,ROW())/100,--INDEX('Call accounts and MMFs'!$E:$E,ROW())),0)</f>
        <v/>
      </c>
      <c r="O1995">
        <f>IFERROR(--INDEX('Call accounts and MMFs'!$F:$F,ROW()),0)</f>
        <v/>
      </c>
      <c r="P1995">
        <f>IF(ISNUMBER(INDEX('Call accounts and MMFs'!$E:$E,ROW())),1,0)</f>
        <v/>
      </c>
      <c r="Q1995">
        <f>TRIM(SUBSTITUTE(INDEX('Pooled funds'!$B:$B,ROW())&amp;""," "," "))</f>
        <v/>
      </c>
      <c r="R1995">
        <f>IFERROR(--INDEX('Pooled funds'!$C:$C,ROW()),0)</f>
        <v/>
      </c>
      <c r="S1995">
        <f>IFERROR(--INDEX('Pooled funds'!$D:$D,ROW()),0)</f>
        <v/>
      </c>
      <c r="T1995">
        <f>IFERROR(IF(--INDEX('Pooled funds'!$E:$E,ROW())&gt;=1,--INDEX('Pooled funds'!$E:$E,ROW())/100,--INDEX('Pooled funds'!$E:$E,ROW())),0)</f>
        <v/>
      </c>
      <c r="U1995">
        <f>IF(ISNUMBER(INDEX('Pooled funds'!$E:$E,ROW())),1,0)</f>
        <v/>
      </c>
    </row>
    <row r="1996">
      <c r="A1996">
        <f>TRIM(SUBSTITUTE(INDEX('Term investments'!$A:$A,ROW())&amp;""," "," "))</f>
        <v/>
      </c>
      <c r="B1996">
        <f>TRIM(SUBSTITUTE(INDEX('Term investments'!$B:$B,ROW())&amp;""," "," "))</f>
        <v/>
      </c>
      <c r="C1996">
        <f>TRIM(SUBSTITUTE(INDEX('Term investments'!$C:$C,ROW())&amp;""," "," "))</f>
        <v/>
      </c>
      <c r="D1996">
        <f>IFERROR(--INDEX('Term investments'!$D:$D,ROW()),0)</f>
        <v/>
      </c>
      <c r="E1996">
        <f>IFERROR(--INDEX('Term investments'!$E:$E,ROW()),0)</f>
        <v/>
      </c>
      <c r="F1996">
        <f>IFERROR(--INDEX('Term investments'!$F:$F,ROW()),0)</f>
        <v/>
      </c>
      <c r="G1996">
        <f>IFERROR(IF(--INDEX('Term investments'!$G:$G,ROW())&gt;=1,--INDEX('Term investments'!$G:$G,ROW())/100,--INDEX('Term investments'!$G:$G,ROW())),0)</f>
        <v/>
      </c>
      <c r="H1996">
        <f>IFERROR(--INDEX('Term investments'!$H:$H,ROW()),0)</f>
        <v/>
      </c>
      <c r="I1996">
        <f>IF(ISNUMBER(INDEX('Term investments'!$G:$G,ROW())),1,0)</f>
        <v/>
      </c>
      <c r="J1996">
        <f>TRIM(SUBSTITUTE(INDEX('Call accounts and MMFs'!$A:$A,ROW())&amp;""," "," "))</f>
        <v/>
      </c>
      <c r="K1996">
        <f>TRIM(SUBSTITUTE(INDEX('Call accounts and MMFs'!$B:$B,ROW())&amp;""," "," "))</f>
        <v/>
      </c>
      <c r="L1996">
        <f>TRIM(SUBSTITUTE(INDEX('Call accounts and MMFs'!$C:$C,ROW())&amp;""," "," "))</f>
        <v/>
      </c>
      <c r="M1996">
        <f>IFERROR(--INDEX('Call accounts and MMFs'!$D:$D,ROW()),0)</f>
        <v/>
      </c>
      <c r="N1996">
        <f>IFERROR(IF(--INDEX('Call accounts and MMFs'!$E:$E,ROW())&gt;=1,--INDEX('Call accounts and MMFs'!$E:$E,ROW())/100,--INDEX('Call accounts and MMFs'!$E:$E,ROW())),0)</f>
        <v/>
      </c>
      <c r="O1996">
        <f>IFERROR(--INDEX('Call accounts and MMFs'!$F:$F,ROW()),0)</f>
        <v/>
      </c>
      <c r="P1996">
        <f>IF(ISNUMBER(INDEX('Call accounts and MMFs'!$E:$E,ROW())),1,0)</f>
        <v/>
      </c>
      <c r="Q1996">
        <f>TRIM(SUBSTITUTE(INDEX('Pooled funds'!$B:$B,ROW())&amp;""," "," "))</f>
        <v/>
      </c>
      <c r="R1996">
        <f>IFERROR(--INDEX('Pooled funds'!$C:$C,ROW()),0)</f>
        <v/>
      </c>
      <c r="S1996">
        <f>IFERROR(--INDEX('Pooled funds'!$D:$D,ROW()),0)</f>
        <v/>
      </c>
      <c r="T1996">
        <f>IFERROR(IF(--INDEX('Pooled funds'!$E:$E,ROW())&gt;=1,--INDEX('Pooled funds'!$E:$E,ROW())/100,--INDEX('Pooled funds'!$E:$E,ROW())),0)</f>
        <v/>
      </c>
      <c r="U1996">
        <f>IF(ISNUMBER(INDEX('Pooled funds'!$E:$E,ROW())),1,0)</f>
        <v/>
      </c>
    </row>
    <row r="1997">
      <c r="A1997">
        <f>TRIM(SUBSTITUTE(INDEX('Term investments'!$A:$A,ROW())&amp;""," "," "))</f>
        <v/>
      </c>
      <c r="B1997">
        <f>TRIM(SUBSTITUTE(INDEX('Term investments'!$B:$B,ROW())&amp;""," "," "))</f>
        <v/>
      </c>
      <c r="C1997">
        <f>TRIM(SUBSTITUTE(INDEX('Term investments'!$C:$C,ROW())&amp;""," "," "))</f>
        <v/>
      </c>
      <c r="D1997">
        <f>IFERROR(--INDEX('Term investments'!$D:$D,ROW()),0)</f>
        <v/>
      </c>
      <c r="E1997">
        <f>IFERROR(--INDEX('Term investments'!$E:$E,ROW()),0)</f>
        <v/>
      </c>
      <c r="F1997">
        <f>IFERROR(--INDEX('Term investments'!$F:$F,ROW()),0)</f>
        <v/>
      </c>
      <c r="G1997">
        <f>IFERROR(IF(--INDEX('Term investments'!$G:$G,ROW())&gt;=1,--INDEX('Term investments'!$G:$G,ROW())/100,--INDEX('Term investments'!$G:$G,ROW())),0)</f>
        <v/>
      </c>
      <c r="H1997">
        <f>IFERROR(--INDEX('Term investments'!$H:$H,ROW()),0)</f>
        <v/>
      </c>
      <c r="I1997">
        <f>IF(ISNUMBER(INDEX('Term investments'!$G:$G,ROW())),1,0)</f>
        <v/>
      </c>
      <c r="J1997">
        <f>TRIM(SUBSTITUTE(INDEX('Call accounts and MMFs'!$A:$A,ROW())&amp;""," "," "))</f>
        <v/>
      </c>
      <c r="K1997">
        <f>TRIM(SUBSTITUTE(INDEX('Call accounts and MMFs'!$B:$B,ROW())&amp;""," "," "))</f>
        <v/>
      </c>
      <c r="L1997">
        <f>TRIM(SUBSTITUTE(INDEX('Call accounts and MMFs'!$C:$C,ROW())&amp;""," "," "))</f>
        <v/>
      </c>
      <c r="M1997">
        <f>IFERROR(--INDEX('Call accounts and MMFs'!$D:$D,ROW()),0)</f>
        <v/>
      </c>
      <c r="N1997">
        <f>IFERROR(IF(--INDEX('Call accounts and MMFs'!$E:$E,ROW())&gt;=1,--INDEX('Call accounts and MMFs'!$E:$E,ROW())/100,--INDEX('Call accounts and MMFs'!$E:$E,ROW())),0)</f>
        <v/>
      </c>
      <c r="O1997">
        <f>IFERROR(--INDEX('Call accounts and MMFs'!$F:$F,ROW()),0)</f>
        <v/>
      </c>
      <c r="P1997">
        <f>IF(ISNUMBER(INDEX('Call accounts and MMFs'!$E:$E,ROW())),1,0)</f>
        <v/>
      </c>
      <c r="Q1997">
        <f>TRIM(SUBSTITUTE(INDEX('Pooled funds'!$B:$B,ROW())&amp;""," "," "))</f>
        <v/>
      </c>
      <c r="R1997">
        <f>IFERROR(--INDEX('Pooled funds'!$C:$C,ROW()),0)</f>
        <v/>
      </c>
      <c r="S1997">
        <f>IFERROR(--INDEX('Pooled funds'!$D:$D,ROW()),0)</f>
        <v/>
      </c>
      <c r="T1997">
        <f>IFERROR(IF(--INDEX('Pooled funds'!$E:$E,ROW())&gt;=1,--INDEX('Pooled funds'!$E:$E,ROW())/100,--INDEX('Pooled funds'!$E:$E,ROW())),0)</f>
        <v/>
      </c>
      <c r="U1997">
        <f>IF(ISNUMBER(INDEX('Pooled funds'!$E:$E,ROW())),1,0)</f>
        <v/>
      </c>
    </row>
    <row r="1998">
      <c r="A1998">
        <f>TRIM(SUBSTITUTE(INDEX('Term investments'!$A:$A,ROW())&amp;""," "," "))</f>
        <v/>
      </c>
      <c r="B1998">
        <f>TRIM(SUBSTITUTE(INDEX('Term investments'!$B:$B,ROW())&amp;""," "," "))</f>
        <v/>
      </c>
      <c r="C1998">
        <f>TRIM(SUBSTITUTE(INDEX('Term investments'!$C:$C,ROW())&amp;""," "," "))</f>
        <v/>
      </c>
      <c r="D1998">
        <f>IFERROR(--INDEX('Term investments'!$D:$D,ROW()),0)</f>
        <v/>
      </c>
      <c r="E1998">
        <f>IFERROR(--INDEX('Term investments'!$E:$E,ROW()),0)</f>
        <v/>
      </c>
      <c r="F1998">
        <f>IFERROR(--INDEX('Term investments'!$F:$F,ROW()),0)</f>
        <v/>
      </c>
      <c r="G1998">
        <f>IFERROR(IF(--INDEX('Term investments'!$G:$G,ROW())&gt;=1,--INDEX('Term investments'!$G:$G,ROW())/100,--INDEX('Term investments'!$G:$G,ROW())),0)</f>
        <v/>
      </c>
      <c r="H1998">
        <f>IFERROR(--INDEX('Term investments'!$H:$H,ROW()),0)</f>
        <v/>
      </c>
      <c r="I1998">
        <f>IF(ISNUMBER(INDEX('Term investments'!$G:$G,ROW())),1,0)</f>
        <v/>
      </c>
      <c r="J1998">
        <f>TRIM(SUBSTITUTE(INDEX('Call accounts and MMFs'!$A:$A,ROW())&amp;""," "," "))</f>
        <v/>
      </c>
      <c r="K1998">
        <f>TRIM(SUBSTITUTE(INDEX('Call accounts and MMFs'!$B:$B,ROW())&amp;""," "," "))</f>
        <v/>
      </c>
      <c r="L1998">
        <f>TRIM(SUBSTITUTE(INDEX('Call accounts and MMFs'!$C:$C,ROW())&amp;""," "," "))</f>
        <v/>
      </c>
      <c r="M1998">
        <f>IFERROR(--INDEX('Call accounts and MMFs'!$D:$D,ROW()),0)</f>
        <v/>
      </c>
      <c r="N1998">
        <f>IFERROR(IF(--INDEX('Call accounts and MMFs'!$E:$E,ROW())&gt;=1,--INDEX('Call accounts and MMFs'!$E:$E,ROW())/100,--INDEX('Call accounts and MMFs'!$E:$E,ROW())),0)</f>
        <v/>
      </c>
      <c r="O1998">
        <f>IFERROR(--INDEX('Call accounts and MMFs'!$F:$F,ROW()),0)</f>
        <v/>
      </c>
      <c r="P1998">
        <f>IF(ISNUMBER(INDEX('Call accounts and MMFs'!$E:$E,ROW())),1,0)</f>
        <v/>
      </c>
      <c r="Q1998">
        <f>TRIM(SUBSTITUTE(INDEX('Pooled funds'!$B:$B,ROW())&amp;""," "," "))</f>
        <v/>
      </c>
      <c r="R1998">
        <f>IFERROR(--INDEX('Pooled funds'!$C:$C,ROW()),0)</f>
        <v/>
      </c>
      <c r="S1998">
        <f>IFERROR(--INDEX('Pooled funds'!$D:$D,ROW()),0)</f>
        <v/>
      </c>
      <c r="T1998">
        <f>IFERROR(IF(--INDEX('Pooled funds'!$E:$E,ROW())&gt;=1,--INDEX('Pooled funds'!$E:$E,ROW())/100,--INDEX('Pooled funds'!$E:$E,ROW())),0)</f>
        <v/>
      </c>
      <c r="U1998">
        <f>IF(ISNUMBER(INDEX('Pooled funds'!$E:$E,ROW())),1,0)</f>
        <v/>
      </c>
    </row>
    <row r="1999">
      <c r="A1999">
        <f>TRIM(SUBSTITUTE(INDEX('Term investments'!$A:$A,ROW())&amp;""," "," "))</f>
        <v/>
      </c>
      <c r="B1999">
        <f>TRIM(SUBSTITUTE(INDEX('Term investments'!$B:$B,ROW())&amp;""," "," "))</f>
        <v/>
      </c>
      <c r="C1999">
        <f>TRIM(SUBSTITUTE(INDEX('Term investments'!$C:$C,ROW())&amp;""," "," "))</f>
        <v/>
      </c>
      <c r="D1999">
        <f>IFERROR(--INDEX('Term investments'!$D:$D,ROW()),0)</f>
        <v/>
      </c>
      <c r="E1999">
        <f>IFERROR(--INDEX('Term investments'!$E:$E,ROW()),0)</f>
        <v/>
      </c>
      <c r="F1999">
        <f>IFERROR(--INDEX('Term investments'!$F:$F,ROW()),0)</f>
        <v/>
      </c>
      <c r="G1999">
        <f>IFERROR(IF(--INDEX('Term investments'!$G:$G,ROW())&gt;=1,--INDEX('Term investments'!$G:$G,ROW())/100,--INDEX('Term investments'!$G:$G,ROW())),0)</f>
        <v/>
      </c>
      <c r="H1999">
        <f>IFERROR(--INDEX('Term investments'!$H:$H,ROW()),0)</f>
        <v/>
      </c>
      <c r="I1999">
        <f>IF(ISNUMBER(INDEX('Term investments'!$G:$G,ROW())),1,0)</f>
        <v/>
      </c>
      <c r="J1999">
        <f>TRIM(SUBSTITUTE(INDEX('Call accounts and MMFs'!$A:$A,ROW())&amp;""," "," "))</f>
        <v/>
      </c>
      <c r="K1999">
        <f>TRIM(SUBSTITUTE(INDEX('Call accounts and MMFs'!$B:$B,ROW())&amp;""," "," "))</f>
        <v/>
      </c>
      <c r="L1999">
        <f>TRIM(SUBSTITUTE(INDEX('Call accounts and MMFs'!$C:$C,ROW())&amp;""," "," "))</f>
        <v/>
      </c>
      <c r="M1999">
        <f>IFERROR(--INDEX('Call accounts and MMFs'!$D:$D,ROW()),0)</f>
        <v/>
      </c>
      <c r="N1999">
        <f>IFERROR(IF(--INDEX('Call accounts and MMFs'!$E:$E,ROW())&gt;=1,--INDEX('Call accounts and MMFs'!$E:$E,ROW())/100,--INDEX('Call accounts and MMFs'!$E:$E,ROW())),0)</f>
        <v/>
      </c>
      <c r="O1999">
        <f>IFERROR(--INDEX('Call accounts and MMFs'!$F:$F,ROW()),0)</f>
        <v/>
      </c>
      <c r="P1999">
        <f>IF(ISNUMBER(INDEX('Call accounts and MMFs'!$E:$E,ROW())),1,0)</f>
        <v/>
      </c>
      <c r="Q1999">
        <f>TRIM(SUBSTITUTE(INDEX('Pooled funds'!$B:$B,ROW())&amp;""," "," "))</f>
        <v/>
      </c>
      <c r="R1999">
        <f>IFERROR(--INDEX('Pooled funds'!$C:$C,ROW()),0)</f>
        <v/>
      </c>
      <c r="S1999">
        <f>IFERROR(--INDEX('Pooled funds'!$D:$D,ROW()),0)</f>
        <v/>
      </c>
      <c r="T1999">
        <f>IFERROR(IF(--INDEX('Pooled funds'!$E:$E,ROW())&gt;=1,--INDEX('Pooled funds'!$E:$E,ROW())/100,--INDEX('Pooled funds'!$E:$E,ROW())),0)</f>
        <v/>
      </c>
      <c r="U1999">
        <f>IF(ISNUMBER(INDEX('Pooled funds'!$E:$E,ROW())),1,0)</f>
        <v/>
      </c>
    </row>
    <row r="2000">
      <c r="A2000">
        <f>TRIM(SUBSTITUTE(INDEX('Term investments'!$A:$A,ROW())&amp;""," "," "))</f>
        <v/>
      </c>
      <c r="B2000">
        <f>TRIM(SUBSTITUTE(INDEX('Term investments'!$B:$B,ROW())&amp;""," "," "))</f>
        <v/>
      </c>
      <c r="C2000">
        <f>TRIM(SUBSTITUTE(INDEX('Term investments'!$C:$C,ROW())&amp;""," "," "))</f>
        <v/>
      </c>
      <c r="D2000">
        <f>IFERROR(--INDEX('Term investments'!$D:$D,ROW()),0)</f>
        <v/>
      </c>
      <c r="E2000">
        <f>IFERROR(--INDEX('Term investments'!$E:$E,ROW()),0)</f>
        <v/>
      </c>
      <c r="F2000">
        <f>IFERROR(--INDEX('Term investments'!$F:$F,ROW()),0)</f>
        <v/>
      </c>
      <c r="G2000">
        <f>IFERROR(IF(--INDEX('Term investments'!$G:$G,ROW())&gt;=1,--INDEX('Term investments'!$G:$G,ROW())/100,--INDEX('Term investments'!$G:$G,ROW())),0)</f>
        <v/>
      </c>
      <c r="H2000">
        <f>IFERROR(--INDEX('Term investments'!$H:$H,ROW()),0)</f>
        <v/>
      </c>
      <c r="I2000">
        <f>IF(ISNUMBER(INDEX('Term investments'!$G:$G,ROW())),1,0)</f>
        <v/>
      </c>
      <c r="J2000">
        <f>TRIM(SUBSTITUTE(INDEX('Call accounts and MMFs'!$A:$A,ROW())&amp;""," "," "))</f>
        <v/>
      </c>
      <c r="K2000">
        <f>TRIM(SUBSTITUTE(INDEX('Call accounts and MMFs'!$B:$B,ROW())&amp;""," "," "))</f>
        <v/>
      </c>
      <c r="L2000">
        <f>TRIM(SUBSTITUTE(INDEX('Call accounts and MMFs'!$C:$C,ROW())&amp;""," "," "))</f>
        <v/>
      </c>
      <c r="M2000">
        <f>IFERROR(--INDEX('Call accounts and MMFs'!$D:$D,ROW()),0)</f>
        <v/>
      </c>
      <c r="N2000">
        <f>IFERROR(IF(--INDEX('Call accounts and MMFs'!$E:$E,ROW())&gt;=1,--INDEX('Call accounts and MMFs'!$E:$E,ROW())/100,--INDEX('Call accounts and MMFs'!$E:$E,ROW())),0)</f>
        <v/>
      </c>
      <c r="O2000">
        <f>IFERROR(--INDEX('Call accounts and MMFs'!$F:$F,ROW()),0)</f>
        <v/>
      </c>
      <c r="P2000">
        <f>IF(ISNUMBER(INDEX('Call accounts and MMFs'!$E:$E,ROW())),1,0)</f>
        <v/>
      </c>
      <c r="Q2000">
        <f>TRIM(SUBSTITUTE(INDEX('Pooled funds'!$B:$B,ROW())&amp;""," "," "))</f>
        <v/>
      </c>
      <c r="R2000">
        <f>IFERROR(--INDEX('Pooled funds'!$C:$C,ROW()),0)</f>
        <v/>
      </c>
      <c r="S2000">
        <f>IFERROR(--INDEX('Pooled funds'!$D:$D,ROW()),0)</f>
        <v/>
      </c>
      <c r="T2000">
        <f>IFERROR(IF(--INDEX('Pooled funds'!$E:$E,ROW())&gt;=1,--INDEX('Pooled funds'!$E:$E,ROW())/100,--INDEX('Pooled funds'!$E:$E,ROW())),0)</f>
        <v/>
      </c>
      <c r="U2000">
        <f>IF(ISNUMBER(INDEX('Pooled funds'!$E:$E,ROW())),1,0)</f>
        <v/>
      </c>
    </row>
  </sheetData>
  <sheetProtection selectLockedCells="0" selectUnlockedCells="0" sheet="1" objects="0" insertRows="1" insertHyperlinks="1" autoFilter="1" scenarios="0" formatColumns="0" deleteColumns="1" insertColumns="1" pivotTables="1" deleteRows="1" formatCells="1" formatRows="0" sort="1"/>
  <mergeCells count="1">
    <mergeCell ref="A2:T2"/>
  </mergeCell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5.xml><?xml version="1.0" encoding="utf-8"?>
<worksheet xmlns="http://schemas.openxmlformats.org/spreadsheetml/2006/main">
  <sheetPr>
    <tabColor rgb="00FD7E14"/>
    <outlinePr summaryBelow="1" summaryRight="1"/>
    <pageSetUpPr fitToPage="1"/>
  </sheetPr>
  <dimension ref="A1:F3997"/>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30" customWidth="1" min="3" max="3"/>
    <col width="14" customWidth="1" min="4" max="4"/>
    <col width="14" customWidth="1" min="5" max="5"/>
  </cols>
  <sheetData>
    <row r="1" ht="36" customHeight="1">
      <c r="A1" s="21" t="inlineStr">
        <is>
          <t>List maths</t>
        </is>
      </c>
      <c r="B1" s="2" t="n"/>
      <c r="C1" s="2" t="n"/>
      <c r="D1" s="2" t="n"/>
      <c r="E1" s="2" t="n"/>
      <c r="F1" s="22" t="inlineStr">
        <is>
          <t>the working behind the Position's counterparties and the Investments held list</t>
        </is>
      </c>
    </row>
    <row r="2" ht="42" customHeight="1">
      <c r="A2" s="20" t="inlineStr">
        <is>
          <t>A row for each Term investments row (rows 4 to 2000), then for each Call accounts row (2001 to 3997): what it holds at As at, the counterparty it counts against (local authorities together, other names as typed, capitals and spaces aside), the Position's order key and the Investments held list's. Nothing to type here.</t>
        </is>
      </c>
    </row>
    <row r="3">
      <c r="A3" s="114" t="inlineStr">
        <is>
          <t>From</t>
        </is>
      </c>
      <c r="B3" s="114" t="inlineStr">
        <is>
          <t>Held</t>
        </is>
      </c>
      <c r="C3" s="114" t="inlineStr">
        <is>
          <t>Counterparty</t>
        </is>
      </c>
      <c r="D3" s="114" t="inlineStr">
        <is>
          <t>Position order key</t>
        </is>
      </c>
      <c r="E3" s="114" t="inlineStr">
        <is>
          <t>Investments held key</t>
        </is>
      </c>
    </row>
    <row r="4">
      <c r="A4" s="91" t="inlineStr">
        <is>
          <t>Term investments, row 4</t>
        </is>
      </c>
      <c r="B4" s="111">
        <f>IF(AND(N('Deal maths'!F4)&gt;AsAt,N('Deal maths'!E4)&lt;=AsAt),IF(N('Deal maths'!H4)&gt;0,N('Deal maths'!H4),N('Deal maths'!D4)),0)</f>
        <v/>
      </c>
      <c r="C4" s="91">
        <f>IF(B4&gt;0,IF('Deal maths'!C4="Local authority","Local authorities",LOWER(TRIM('Deal maths'!B4))),"")</f>
        <v/>
      </c>
      <c r="D4" s="91">
        <f>IF(C4="","",IF(TRUE,SUMIF($C$4:$C$3997,C4,$B$4:$B$3997)-ROW()/1000000,""))</f>
        <v/>
      </c>
      <c r="E4" s="91">
        <f>IF(AND(N('Deal maths'!F4)&gt;AsAt,N('Deal maths'!E4)&lt;=AsAt,IF(N('Deal maths'!H4)&gt;0,N('Deal maths'!H4),N('Deal maths'!D4))&gt;0),N('Deal maths'!F4)+ROW()/1000000,"")</f>
        <v/>
      </c>
    </row>
    <row r="5">
      <c r="A5" s="91" t="n"/>
      <c r="B5" s="111">
        <f>IF(AND(N('Deal maths'!F5)&gt;AsAt,N('Deal maths'!E5)&lt;=AsAt),IF(N('Deal maths'!H5)&gt;0,N('Deal maths'!H5),N('Deal maths'!D5)),0)</f>
        <v/>
      </c>
      <c r="C5" s="91">
        <f>IF(B5&gt;0,IF('Deal maths'!C5="Local authority","Local authorities",LOWER(TRIM('Deal maths'!B5))),"")</f>
        <v/>
      </c>
      <c r="D5" s="91">
        <f>IF(C5="","",IF(COUNTIF($C$4:C4,C5)=0,SUMIF($C$4:$C$3997,C5,$B$4:$B$3997)-ROW()/1000000,""))</f>
        <v/>
      </c>
      <c r="E5" s="91">
        <f>IF(AND(N('Deal maths'!F5)&gt;AsAt,N('Deal maths'!E5)&lt;=AsAt,IF(N('Deal maths'!H5)&gt;0,N('Deal maths'!H5),N('Deal maths'!D5))&gt;0),N('Deal maths'!F5)+ROW()/1000000,"")</f>
        <v/>
      </c>
    </row>
    <row r="6">
      <c r="A6" s="91" t="n"/>
      <c r="B6" s="111">
        <f>IF(AND(N('Deal maths'!F6)&gt;AsAt,N('Deal maths'!E6)&lt;=AsAt),IF(N('Deal maths'!H6)&gt;0,N('Deal maths'!H6),N('Deal maths'!D6)),0)</f>
        <v/>
      </c>
      <c r="C6" s="91">
        <f>IF(B6&gt;0,IF('Deal maths'!C6="Local authority","Local authorities",LOWER(TRIM('Deal maths'!B6))),"")</f>
        <v/>
      </c>
      <c r="D6" s="91">
        <f>IF(C6="","",IF(COUNTIF($C$4:C5,C6)=0,SUMIF($C$4:$C$3997,C6,$B$4:$B$3997)-ROW()/1000000,""))</f>
        <v/>
      </c>
      <c r="E6" s="91">
        <f>IF(AND(N('Deal maths'!F6)&gt;AsAt,N('Deal maths'!E6)&lt;=AsAt,IF(N('Deal maths'!H6)&gt;0,N('Deal maths'!H6),N('Deal maths'!D6))&gt;0),N('Deal maths'!F6)+ROW()/1000000,"")</f>
        <v/>
      </c>
    </row>
    <row r="7">
      <c r="A7" s="91" t="n"/>
      <c r="B7" s="111">
        <f>IF(AND(N('Deal maths'!F7)&gt;AsAt,N('Deal maths'!E7)&lt;=AsAt),IF(N('Deal maths'!H7)&gt;0,N('Deal maths'!H7),N('Deal maths'!D7)),0)</f>
        <v/>
      </c>
      <c r="C7" s="91">
        <f>IF(B7&gt;0,IF('Deal maths'!C7="Local authority","Local authorities",LOWER(TRIM('Deal maths'!B7))),"")</f>
        <v/>
      </c>
      <c r="D7" s="91">
        <f>IF(C7="","",IF(COUNTIF($C$4:C6,C7)=0,SUMIF($C$4:$C$3997,C7,$B$4:$B$3997)-ROW()/1000000,""))</f>
        <v/>
      </c>
      <c r="E7" s="91">
        <f>IF(AND(N('Deal maths'!F7)&gt;AsAt,N('Deal maths'!E7)&lt;=AsAt,IF(N('Deal maths'!H7)&gt;0,N('Deal maths'!H7),N('Deal maths'!D7))&gt;0),N('Deal maths'!F7)+ROW()/1000000,"")</f>
        <v/>
      </c>
    </row>
    <row r="8">
      <c r="A8" s="91" t="n"/>
      <c r="B8" s="111">
        <f>IF(AND(N('Deal maths'!F8)&gt;AsAt,N('Deal maths'!E8)&lt;=AsAt),IF(N('Deal maths'!H8)&gt;0,N('Deal maths'!H8),N('Deal maths'!D8)),0)</f>
        <v/>
      </c>
      <c r="C8" s="91">
        <f>IF(B8&gt;0,IF('Deal maths'!C8="Local authority","Local authorities",LOWER(TRIM('Deal maths'!B8))),"")</f>
        <v/>
      </c>
      <c r="D8" s="91">
        <f>IF(C8="","",IF(COUNTIF($C$4:C7,C8)=0,SUMIF($C$4:$C$3997,C8,$B$4:$B$3997)-ROW()/1000000,""))</f>
        <v/>
      </c>
      <c r="E8" s="91">
        <f>IF(AND(N('Deal maths'!F8)&gt;AsAt,N('Deal maths'!E8)&lt;=AsAt,IF(N('Deal maths'!H8)&gt;0,N('Deal maths'!H8),N('Deal maths'!D8))&gt;0),N('Deal maths'!F8)+ROW()/1000000,"")</f>
        <v/>
      </c>
    </row>
    <row r="9">
      <c r="A9" s="91" t="n"/>
      <c r="B9" s="111">
        <f>IF(AND(N('Deal maths'!F9)&gt;AsAt,N('Deal maths'!E9)&lt;=AsAt),IF(N('Deal maths'!H9)&gt;0,N('Deal maths'!H9),N('Deal maths'!D9)),0)</f>
        <v/>
      </c>
      <c r="C9" s="91">
        <f>IF(B9&gt;0,IF('Deal maths'!C9="Local authority","Local authorities",LOWER(TRIM('Deal maths'!B9))),"")</f>
        <v/>
      </c>
      <c r="D9" s="91">
        <f>IF(C9="","",IF(COUNTIF($C$4:C8,C9)=0,SUMIF($C$4:$C$3997,C9,$B$4:$B$3997)-ROW()/1000000,""))</f>
        <v/>
      </c>
      <c r="E9" s="91">
        <f>IF(AND(N('Deal maths'!F9)&gt;AsAt,N('Deal maths'!E9)&lt;=AsAt,IF(N('Deal maths'!H9)&gt;0,N('Deal maths'!H9),N('Deal maths'!D9))&gt;0),N('Deal maths'!F9)+ROW()/1000000,"")</f>
        <v/>
      </c>
    </row>
    <row r="10">
      <c r="A10" s="91" t="n"/>
      <c r="B10" s="111">
        <f>IF(AND(N('Deal maths'!F10)&gt;AsAt,N('Deal maths'!E10)&lt;=AsAt),IF(N('Deal maths'!H10)&gt;0,N('Deal maths'!H10),N('Deal maths'!D10)),0)</f>
        <v/>
      </c>
      <c r="C10" s="91">
        <f>IF(B10&gt;0,IF('Deal maths'!C10="Local authority","Local authorities",LOWER(TRIM('Deal maths'!B10))),"")</f>
        <v/>
      </c>
      <c r="D10" s="91">
        <f>IF(C10="","",IF(COUNTIF($C$4:C9,C10)=0,SUMIF($C$4:$C$3997,C10,$B$4:$B$3997)-ROW()/1000000,""))</f>
        <v/>
      </c>
      <c r="E10" s="91">
        <f>IF(AND(N('Deal maths'!F10)&gt;AsAt,N('Deal maths'!E10)&lt;=AsAt,IF(N('Deal maths'!H10)&gt;0,N('Deal maths'!H10),N('Deal maths'!D10))&gt;0),N('Deal maths'!F10)+ROW()/1000000,"")</f>
        <v/>
      </c>
    </row>
    <row r="11">
      <c r="A11" s="91" t="n"/>
      <c r="B11" s="111">
        <f>IF(AND(N('Deal maths'!F11)&gt;AsAt,N('Deal maths'!E11)&lt;=AsAt),IF(N('Deal maths'!H11)&gt;0,N('Deal maths'!H11),N('Deal maths'!D11)),0)</f>
        <v/>
      </c>
      <c r="C11" s="91">
        <f>IF(B11&gt;0,IF('Deal maths'!C11="Local authority","Local authorities",LOWER(TRIM('Deal maths'!B11))),"")</f>
        <v/>
      </c>
      <c r="D11" s="91">
        <f>IF(C11="","",IF(COUNTIF($C$4:C10,C11)=0,SUMIF($C$4:$C$3997,C11,$B$4:$B$3997)-ROW()/1000000,""))</f>
        <v/>
      </c>
      <c r="E11" s="91">
        <f>IF(AND(N('Deal maths'!F11)&gt;AsAt,N('Deal maths'!E11)&lt;=AsAt,IF(N('Deal maths'!H11)&gt;0,N('Deal maths'!H11),N('Deal maths'!D11))&gt;0),N('Deal maths'!F11)+ROW()/1000000,"")</f>
        <v/>
      </c>
    </row>
    <row r="12">
      <c r="A12" s="91" t="n"/>
      <c r="B12" s="111">
        <f>IF(AND(N('Deal maths'!F12)&gt;AsAt,N('Deal maths'!E12)&lt;=AsAt),IF(N('Deal maths'!H12)&gt;0,N('Deal maths'!H12),N('Deal maths'!D12)),0)</f>
        <v/>
      </c>
      <c r="C12" s="91">
        <f>IF(B12&gt;0,IF('Deal maths'!C12="Local authority","Local authorities",LOWER(TRIM('Deal maths'!B12))),"")</f>
        <v/>
      </c>
      <c r="D12" s="91">
        <f>IF(C12="","",IF(COUNTIF($C$4:C11,C12)=0,SUMIF($C$4:$C$3997,C12,$B$4:$B$3997)-ROW()/1000000,""))</f>
        <v/>
      </c>
      <c r="E12" s="91">
        <f>IF(AND(N('Deal maths'!F12)&gt;AsAt,N('Deal maths'!E12)&lt;=AsAt,IF(N('Deal maths'!H12)&gt;0,N('Deal maths'!H12),N('Deal maths'!D12))&gt;0),N('Deal maths'!F12)+ROW()/1000000,"")</f>
        <v/>
      </c>
    </row>
    <row r="13">
      <c r="A13" s="91" t="n"/>
      <c r="B13" s="111">
        <f>IF(AND(N('Deal maths'!F13)&gt;AsAt,N('Deal maths'!E13)&lt;=AsAt),IF(N('Deal maths'!H13)&gt;0,N('Deal maths'!H13),N('Deal maths'!D13)),0)</f>
        <v/>
      </c>
      <c r="C13" s="91">
        <f>IF(B13&gt;0,IF('Deal maths'!C13="Local authority","Local authorities",LOWER(TRIM('Deal maths'!B13))),"")</f>
        <v/>
      </c>
      <c r="D13" s="91">
        <f>IF(C13="","",IF(COUNTIF($C$4:C12,C13)=0,SUMIF($C$4:$C$3997,C13,$B$4:$B$3997)-ROW()/1000000,""))</f>
        <v/>
      </c>
      <c r="E13" s="91">
        <f>IF(AND(N('Deal maths'!F13)&gt;AsAt,N('Deal maths'!E13)&lt;=AsAt,IF(N('Deal maths'!H13)&gt;0,N('Deal maths'!H13),N('Deal maths'!D13))&gt;0),N('Deal maths'!F13)+ROW()/1000000,"")</f>
        <v/>
      </c>
    </row>
    <row r="14">
      <c r="A14" s="91" t="n"/>
      <c r="B14" s="111">
        <f>IF(AND(N('Deal maths'!F14)&gt;AsAt,N('Deal maths'!E14)&lt;=AsAt),IF(N('Deal maths'!H14)&gt;0,N('Deal maths'!H14),N('Deal maths'!D14)),0)</f>
        <v/>
      </c>
      <c r="C14" s="91">
        <f>IF(B14&gt;0,IF('Deal maths'!C14="Local authority","Local authorities",LOWER(TRIM('Deal maths'!B14))),"")</f>
        <v/>
      </c>
      <c r="D14" s="91">
        <f>IF(C14="","",IF(COUNTIF($C$4:C13,C14)=0,SUMIF($C$4:$C$3997,C14,$B$4:$B$3997)-ROW()/1000000,""))</f>
        <v/>
      </c>
      <c r="E14" s="91">
        <f>IF(AND(N('Deal maths'!F14)&gt;AsAt,N('Deal maths'!E14)&lt;=AsAt,IF(N('Deal maths'!H14)&gt;0,N('Deal maths'!H14),N('Deal maths'!D14))&gt;0),N('Deal maths'!F14)+ROW()/1000000,"")</f>
        <v/>
      </c>
    </row>
    <row r="15">
      <c r="A15" s="91" t="n"/>
      <c r="B15" s="111">
        <f>IF(AND(N('Deal maths'!F15)&gt;AsAt,N('Deal maths'!E15)&lt;=AsAt),IF(N('Deal maths'!H15)&gt;0,N('Deal maths'!H15),N('Deal maths'!D15)),0)</f>
        <v/>
      </c>
      <c r="C15" s="91">
        <f>IF(B15&gt;0,IF('Deal maths'!C15="Local authority","Local authorities",LOWER(TRIM('Deal maths'!B15))),"")</f>
        <v/>
      </c>
      <c r="D15" s="91">
        <f>IF(C15="","",IF(COUNTIF($C$4:C14,C15)=0,SUMIF($C$4:$C$3997,C15,$B$4:$B$3997)-ROW()/1000000,""))</f>
        <v/>
      </c>
      <c r="E15" s="91">
        <f>IF(AND(N('Deal maths'!F15)&gt;AsAt,N('Deal maths'!E15)&lt;=AsAt,IF(N('Deal maths'!H15)&gt;0,N('Deal maths'!H15),N('Deal maths'!D15))&gt;0),N('Deal maths'!F15)+ROW()/1000000,"")</f>
        <v/>
      </c>
    </row>
    <row r="16">
      <c r="A16" s="91" t="n"/>
      <c r="B16" s="111">
        <f>IF(AND(N('Deal maths'!F16)&gt;AsAt,N('Deal maths'!E16)&lt;=AsAt),IF(N('Deal maths'!H16)&gt;0,N('Deal maths'!H16),N('Deal maths'!D16)),0)</f>
        <v/>
      </c>
      <c r="C16" s="91">
        <f>IF(B16&gt;0,IF('Deal maths'!C16="Local authority","Local authorities",LOWER(TRIM('Deal maths'!B16))),"")</f>
        <v/>
      </c>
      <c r="D16" s="91">
        <f>IF(C16="","",IF(COUNTIF($C$4:C15,C16)=0,SUMIF($C$4:$C$3997,C16,$B$4:$B$3997)-ROW()/1000000,""))</f>
        <v/>
      </c>
      <c r="E16" s="91">
        <f>IF(AND(N('Deal maths'!F16)&gt;AsAt,N('Deal maths'!E16)&lt;=AsAt,IF(N('Deal maths'!H16)&gt;0,N('Deal maths'!H16),N('Deal maths'!D16))&gt;0),N('Deal maths'!F16)+ROW()/1000000,"")</f>
        <v/>
      </c>
    </row>
    <row r="17">
      <c r="A17" s="91" t="n"/>
      <c r="B17" s="111">
        <f>IF(AND(N('Deal maths'!F17)&gt;AsAt,N('Deal maths'!E17)&lt;=AsAt),IF(N('Deal maths'!H17)&gt;0,N('Deal maths'!H17),N('Deal maths'!D17)),0)</f>
        <v/>
      </c>
      <c r="C17" s="91">
        <f>IF(B17&gt;0,IF('Deal maths'!C17="Local authority","Local authorities",LOWER(TRIM('Deal maths'!B17))),"")</f>
        <v/>
      </c>
      <c r="D17" s="91">
        <f>IF(C17="","",IF(COUNTIF($C$4:C16,C17)=0,SUMIF($C$4:$C$3997,C17,$B$4:$B$3997)-ROW()/1000000,""))</f>
        <v/>
      </c>
      <c r="E17" s="91">
        <f>IF(AND(N('Deal maths'!F17)&gt;AsAt,N('Deal maths'!E17)&lt;=AsAt,IF(N('Deal maths'!H17)&gt;0,N('Deal maths'!H17),N('Deal maths'!D17))&gt;0),N('Deal maths'!F17)+ROW()/1000000,"")</f>
        <v/>
      </c>
    </row>
    <row r="18">
      <c r="A18" s="91" t="n"/>
      <c r="B18" s="111">
        <f>IF(AND(N('Deal maths'!F18)&gt;AsAt,N('Deal maths'!E18)&lt;=AsAt),IF(N('Deal maths'!H18)&gt;0,N('Deal maths'!H18),N('Deal maths'!D18)),0)</f>
        <v/>
      </c>
      <c r="C18" s="91">
        <f>IF(B18&gt;0,IF('Deal maths'!C18="Local authority","Local authorities",LOWER(TRIM('Deal maths'!B18))),"")</f>
        <v/>
      </c>
      <c r="D18" s="91">
        <f>IF(C18="","",IF(COUNTIF($C$4:C17,C18)=0,SUMIF($C$4:$C$3997,C18,$B$4:$B$3997)-ROW()/1000000,""))</f>
        <v/>
      </c>
      <c r="E18" s="91">
        <f>IF(AND(N('Deal maths'!F18)&gt;AsAt,N('Deal maths'!E18)&lt;=AsAt,IF(N('Deal maths'!H18)&gt;0,N('Deal maths'!H18),N('Deal maths'!D18))&gt;0),N('Deal maths'!F18)+ROW()/1000000,"")</f>
        <v/>
      </c>
    </row>
    <row r="19">
      <c r="A19" s="91" t="n"/>
      <c r="B19" s="111">
        <f>IF(AND(N('Deal maths'!F19)&gt;AsAt,N('Deal maths'!E19)&lt;=AsAt),IF(N('Deal maths'!H19)&gt;0,N('Deal maths'!H19),N('Deal maths'!D19)),0)</f>
        <v/>
      </c>
      <c r="C19" s="91">
        <f>IF(B19&gt;0,IF('Deal maths'!C19="Local authority","Local authorities",LOWER(TRIM('Deal maths'!B19))),"")</f>
        <v/>
      </c>
      <c r="D19" s="91">
        <f>IF(C19="","",IF(COUNTIF($C$4:C18,C19)=0,SUMIF($C$4:$C$3997,C19,$B$4:$B$3997)-ROW()/1000000,""))</f>
        <v/>
      </c>
      <c r="E19" s="91">
        <f>IF(AND(N('Deal maths'!F19)&gt;AsAt,N('Deal maths'!E19)&lt;=AsAt,IF(N('Deal maths'!H19)&gt;0,N('Deal maths'!H19),N('Deal maths'!D19))&gt;0),N('Deal maths'!F19)+ROW()/1000000,"")</f>
        <v/>
      </c>
    </row>
    <row r="20">
      <c r="A20" s="91" t="n"/>
      <c r="B20" s="111">
        <f>IF(AND(N('Deal maths'!F20)&gt;AsAt,N('Deal maths'!E20)&lt;=AsAt),IF(N('Deal maths'!H20)&gt;0,N('Deal maths'!H20),N('Deal maths'!D20)),0)</f>
        <v/>
      </c>
      <c r="C20" s="91">
        <f>IF(B20&gt;0,IF('Deal maths'!C20="Local authority","Local authorities",LOWER(TRIM('Deal maths'!B20))),"")</f>
        <v/>
      </c>
      <c r="D20" s="91">
        <f>IF(C20="","",IF(COUNTIF($C$4:C19,C20)=0,SUMIF($C$4:$C$3997,C20,$B$4:$B$3997)-ROW()/1000000,""))</f>
        <v/>
      </c>
      <c r="E20" s="91">
        <f>IF(AND(N('Deal maths'!F20)&gt;AsAt,N('Deal maths'!E20)&lt;=AsAt,IF(N('Deal maths'!H20)&gt;0,N('Deal maths'!H20),N('Deal maths'!D20))&gt;0),N('Deal maths'!F20)+ROW()/1000000,"")</f>
        <v/>
      </c>
    </row>
    <row r="21">
      <c r="A21" s="91" t="n"/>
      <c r="B21" s="111">
        <f>IF(AND(N('Deal maths'!F21)&gt;AsAt,N('Deal maths'!E21)&lt;=AsAt),IF(N('Deal maths'!H21)&gt;0,N('Deal maths'!H21),N('Deal maths'!D21)),0)</f>
        <v/>
      </c>
      <c r="C21" s="91">
        <f>IF(B21&gt;0,IF('Deal maths'!C21="Local authority","Local authorities",LOWER(TRIM('Deal maths'!B21))),"")</f>
        <v/>
      </c>
      <c r="D21" s="91">
        <f>IF(C21="","",IF(COUNTIF($C$4:C20,C21)=0,SUMIF($C$4:$C$3997,C21,$B$4:$B$3997)-ROW()/1000000,""))</f>
        <v/>
      </c>
      <c r="E21" s="91">
        <f>IF(AND(N('Deal maths'!F21)&gt;AsAt,N('Deal maths'!E21)&lt;=AsAt,IF(N('Deal maths'!H21)&gt;0,N('Deal maths'!H21),N('Deal maths'!D21))&gt;0),N('Deal maths'!F21)+ROW()/1000000,"")</f>
        <v/>
      </c>
    </row>
    <row r="22">
      <c r="A22" s="91" t="n"/>
      <c r="B22" s="111">
        <f>IF(AND(N('Deal maths'!F22)&gt;AsAt,N('Deal maths'!E22)&lt;=AsAt),IF(N('Deal maths'!H22)&gt;0,N('Deal maths'!H22),N('Deal maths'!D22)),0)</f>
        <v/>
      </c>
      <c r="C22" s="91">
        <f>IF(B22&gt;0,IF('Deal maths'!C22="Local authority","Local authorities",LOWER(TRIM('Deal maths'!B22))),"")</f>
        <v/>
      </c>
      <c r="D22" s="91">
        <f>IF(C22="","",IF(COUNTIF($C$4:C21,C22)=0,SUMIF($C$4:$C$3997,C22,$B$4:$B$3997)-ROW()/1000000,""))</f>
        <v/>
      </c>
      <c r="E22" s="91">
        <f>IF(AND(N('Deal maths'!F22)&gt;AsAt,N('Deal maths'!E22)&lt;=AsAt,IF(N('Deal maths'!H22)&gt;0,N('Deal maths'!H22),N('Deal maths'!D22))&gt;0),N('Deal maths'!F22)+ROW()/1000000,"")</f>
        <v/>
      </c>
    </row>
    <row r="23">
      <c r="A23" s="91" t="n"/>
      <c r="B23" s="111">
        <f>IF(AND(N('Deal maths'!F23)&gt;AsAt,N('Deal maths'!E23)&lt;=AsAt),IF(N('Deal maths'!H23)&gt;0,N('Deal maths'!H23),N('Deal maths'!D23)),0)</f>
        <v/>
      </c>
      <c r="C23" s="91">
        <f>IF(B23&gt;0,IF('Deal maths'!C23="Local authority","Local authorities",LOWER(TRIM('Deal maths'!B23))),"")</f>
        <v/>
      </c>
      <c r="D23" s="91">
        <f>IF(C23="","",IF(COUNTIF($C$4:C22,C23)=0,SUMIF($C$4:$C$3997,C23,$B$4:$B$3997)-ROW()/1000000,""))</f>
        <v/>
      </c>
      <c r="E23" s="91">
        <f>IF(AND(N('Deal maths'!F23)&gt;AsAt,N('Deal maths'!E23)&lt;=AsAt,IF(N('Deal maths'!H23)&gt;0,N('Deal maths'!H23),N('Deal maths'!D23))&gt;0),N('Deal maths'!F23)+ROW()/1000000,"")</f>
        <v/>
      </c>
    </row>
    <row r="24">
      <c r="A24" s="91" t="n"/>
      <c r="B24" s="111">
        <f>IF(AND(N('Deal maths'!F24)&gt;AsAt,N('Deal maths'!E24)&lt;=AsAt),IF(N('Deal maths'!H24)&gt;0,N('Deal maths'!H24),N('Deal maths'!D24)),0)</f>
        <v/>
      </c>
      <c r="C24" s="91">
        <f>IF(B24&gt;0,IF('Deal maths'!C24="Local authority","Local authorities",LOWER(TRIM('Deal maths'!B24))),"")</f>
        <v/>
      </c>
      <c r="D24" s="91">
        <f>IF(C24="","",IF(COUNTIF($C$4:C23,C24)=0,SUMIF($C$4:$C$3997,C24,$B$4:$B$3997)-ROW()/1000000,""))</f>
        <v/>
      </c>
      <c r="E24" s="91">
        <f>IF(AND(N('Deal maths'!F24)&gt;AsAt,N('Deal maths'!E24)&lt;=AsAt,IF(N('Deal maths'!H24)&gt;0,N('Deal maths'!H24),N('Deal maths'!D24))&gt;0),N('Deal maths'!F24)+ROW()/1000000,"")</f>
        <v/>
      </c>
    </row>
    <row r="25">
      <c r="A25" s="91" t="n"/>
      <c r="B25" s="111">
        <f>IF(AND(N('Deal maths'!F25)&gt;AsAt,N('Deal maths'!E25)&lt;=AsAt),IF(N('Deal maths'!H25)&gt;0,N('Deal maths'!H25),N('Deal maths'!D25)),0)</f>
        <v/>
      </c>
      <c r="C25" s="91">
        <f>IF(B25&gt;0,IF('Deal maths'!C25="Local authority","Local authorities",LOWER(TRIM('Deal maths'!B25))),"")</f>
        <v/>
      </c>
      <c r="D25" s="91">
        <f>IF(C25="","",IF(COUNTIF($C$4:C24,C25)=0,SUMIF($C$4:$C$3997,C25,$B$4:$B$3997)-ROW()/1000000,""))</f>
        <v/>
      </c>
      <c r="E25" s="91">
        <f>IF(AND(N('Deal maths'!F25)&gt;AsAt,N('Deal maths'!E25)&lt;=AsAt,IF(N('Deal maths'!H25)&gt;0,N('Deal maths'!H25),N('Deal maths'!D25))&gt;0),N('Deal maths'!F25)+ROW()/1000000,"")</f>
        <v/>
      </c>
    </row>
    <row r="26">
      <c r="A26" s="91" t="n"/>
      <c r="B26" s="111">
        <f>IF(AND(N('Deal maths'!F26)&gt;AsAt,N('Deal maths'!E26)&lt;=AsAt),IF(N('Deal maths'!H26)&gt;0,N('Deal maths'!H26),N('Deal maths'!D26)),0)</f>
        <v/>
      </c>
      <c r="C26" s="91">
        <f>IF(B26&gt;0,IF('Deal maths'!C26="Local authority","Local authorities",LOWER(TRIM('Deal maths'!B26))),"")</f>
        <v/>
      </c>
      <c r="D26" s="91">
        <f>IF(C26="","",IF(COUNTIF($C$4:C25,C26)=0,SUMIF($C$4:$C$3997,C26,$B$4:$B$3997)-ROW()/1000000,""))</f>
        <v/>
      </c>
      <c r="E26" s="91">
        <f>IF(AND(N('Deal maths'!F26)&gt;AsAt,N('Deal maths'!E26)&lt;=AsAt,IF(N('Deal maths'!H26)&gt;0,N('Deal maths'!H26),N('Deal maths'!D26))&gt;0),N('Deal maths'!F26)+ROW()/1000000,"")</f>
        <v/>
      </c>
    </row>
    <row r="27">
      <c r="A27" s="91" t="n"/>
      <c r="B27" s="111">
        <f>IF(AND(N('Deal maths'!F27)&gt;AsAt,N('Deal maths'!E27)&lt;=AsAt),IF(N('Deal maths'!H27)&gt;0,N('Deal maths'!H27),N('Deal maths'!D27)),0)</f>
        <v/>
      </c>
      <c r="C27" s="91">
        <f>IF(B27&gt;0,IF('Deal maths'!C27="Local authority","Local authorities",LOWER(TRIM('Deal maths'!B27))),"")</f>
        <v/>
      </c>
      <c r="D27" s="91">
        <f>IF(C27="","",IF(COUNTIF($C$4:C26,C27)=0,SUMIF($C$4:$C$3997,C27,$B$4:$B$3997)-ROW()/1000000,""))</f>
        <v/>
      </c>
      <c r="E27" s="91">
        <f>IF(AND(N('Deal maths'!F27)&gt;AsAt,N('Deal maths'!E27)&lt;=AsAt,IF(N('Deal maths'!H27)&gt;0,N('Deal maths'!H27),N('Deal maths'!D27))&gt;0),N('Deal maths'!F27)+ROW()/1000000,"")</f>
        <v/>
      </c>
    </row>
    <row r="28">
      <c r="A28" s="91" t="n"/>
      <c r="B28" s="111">
        <f>IF(AND(N('Deal maths'!F28)&gt;AsAt,N('Deal maths'!E28)&lt;=AsAt),IF(N('Deal maths'!H28)&gt;0,N('Deal maths'!H28),N('Deal maths'!D28)),0)</f>
        <v/>
      </c>
      <c r="C28" s="91">
        <f>IF(B28&gt;0,IF('Deal maths'!C28="Local authority","Local authorities",LOWER(TRIM('Deal maths'!B28))),"")</f>
        <v/>
      </c>
      <c r="D28" s="91">
        <f>IF(C28="","",IF(COUNTIF($C$4:C27,C28)=0,SUMIF($C$4:$C$3997,C28,$B$4:$B$3997)-ROW()/1000000,""))</f>
        <v/>
      </c>
      <c r="E28" s="91">
        <f>IF(AND(N('Deal maths'!F28)&gt;AsAt,N('Deal maths'!E28)&lt;=AsAt,IF(N('Deal maths'!H28)&gt;0,N('Deal maths'!H28),N('Deal maths'!D28))&gt;0),N('Deal maths'!F28)+ROW()/1000000,"")</f>
        <v/>
      </c>
    </row>
    <row r="29">
      <c r="A29" s="91" t="n"/>
      <c r="B29" s="111">
        <f>IF(AND(N('Deal maths'!F29)&gt;AsAt,N('Deal maths'!E29)&lt;=AsAt),IF(N('Deal maths'!H29)&gt;0,N('Deal maths'!H29),N('Deal maths'!D29)),0)</f>
        <v/>
      </c>
      <c r="C29" s="91">
        <f>IF(B29&gt;0,IF('Deal maths'!C29="Local authority","Local authorities",LOWER(TRIM('Deal maths'!B29))),"")</f>
        <v/>
      </c>
      <c r="D29" s="91">
        <f>IF(C29="","",IF(COUNTIF($C$4:C28,C29)=0,SUMIF($C$4:$C$3997,C29,$B$4:$B$3997)-ROW()/1000000,""))</f>
        <v/>
      </c>
      <c r="E29" s="91">
        <f>IF(AND(N('Deal maths'!F29)&gt;AsAt,N('Deal maths'!E29)&lt;=AsAt,IF(N('Deal maths'!H29)&gt;0,N('Deal maths'!H29),N('Deal maths'!D29))&gt;0),N('Deal maths'!F29)+ROW()/1000000,"")</f>
        <v/>
      </c>
    </row>
    <row r="30">
      <c r="A30" s="91" t="n"/>
      <c r="B30" s="111">
        <f>IF(AND(N('Deal maths'!F30)&gt;AsAt,N('Deal maths'!E30)&lt;=AsAt),IF(N('Deal maths'!H30)&gt;0,N('Deal maths'!H30),N('Deal maths'!D30)),0)</f>
        <v/>
      </c>
      <c r="C30" s="91">
        <f>IF(B30&gt;0,IF('Deal maths'!C30="Local authority","Local authorities",LOWER(TRIM('Deal maths'!B30))),"")</f>
        <v/>
      </c>
      <c r="D30" s="91">
        <f>IF(C30="","",IF(COUNTIF($C$4:C29,C30)=0,SUMIF($C$4:$C$3997,C30,$B$4:$B$3997)-ROW()/1000000,""))</f>
        <v/>
      </c>
      <c r="E30" s="91">
        <f>IF(AND(N('Deal maths'!F30)&gt;AsAt,N('Deal maths'!E30)&lt;=AsAt,IF(N('Deal maths'!H30)&gt;0,N('Deal maths'!H30),N('Deal maths'!D30))&gt;0),N('Deal maths'!F30)+ROW()/1000000,"")</f>
        <v/>
      </c>
    </row>
    <row r="31">
      <c r="A31" s="91" t="n"/>
      <c r="B31" s="111">
        <f>IF(AND(N('Deal maths'!F31)&gt;AsAt,N('Deal maths'!E31)&lt;=AsAt),IF(N('Deal maths'!H31)&gt;0,N('Deal maths'!H31),N('Deal maths'!D31)),0)</f>
        <v/>
      </c>
      <c r="C31" s="91">
        <f>IF(B31&gt;0,IF('Deal maths'!C31="Local authority","Local authorities",LOWER(TRIM('Deal maths'!B31))),"")</f>
        <v/>
      </c>
      <c r="D31" s="91">
        <f>IF(C31="","",IF(COUNTIF($C$4:C30,C31)=0,SUMIF($C$4:$C$3997,C31,$B$4:$B$3997)-ROW()/1000000,""))</f>
        <v/>
      </c>
      <c r="E31" s="91">
        <f>IF(AND(N('Deal maths'!F31)&gt;AsAt,N('Deal maths'!E31)&lt;=AsAt,IF(N('Deal maths'!H31)&gt;0,N('Deal maths'!H31),N('Deal maths'!D31))&gt;0),N('Deal maths'!F31)+ROW()/1000000,"")</f>
        <v/>
      </c>
    </row>
    <row r="32">
      <c r="A32" s="91" t="n"/>
      <c r="B32" s="111">
        <f>IF(AND(N('Deal maths'!F32)&gt;AsAt,N('Deal maths'!E32)&lt;=AsAt),IF(N('Deal maths'!H32)&gt;0,N('Deal maths'!H32),N('Deal maths'!D32)),0)</f>
        <v/>
      </c>
      <c r="C32" s="91">
        <f>IF(B32&gt;0,IF('Deal maths'!C32="Local authority","Local authorities",LOWER(TRIM('Deal maths'!B32))),"")</f>
        <v/>
      </c>
      <c r="D32" s="91">
        <f>IF(C32="","",IF(COUNTIF($C$4:C31,C32)=0,SUMIF($C$4:$C$3997,C32,$B$4:$B$3997)-ROW()/1000000,""))</f>
        <v/>
      </c>
      <c r="E32" s="91">
        <f>IF(AND(N('Deal maths'!F32)&gt;AsAt,N('Deal maths'!E32)&lt;=AsAt,IF(N('Deal maths'!H32)&gt;0,N('Deal maths'!H32),N('Deal maths'!D32))&gt;0),N('Deal maths'!F32)+ROW()/1000000,"")</f>
        <v/>
      </c>
    </row>
    <row r="33">
      <c r="A33" s="91" t="n"/>
      <c r="B33" s="111">
        <f>IF(AND(N('Deal maths'!F33)&gt;AsAt,N('Deal maths'!E33)&lt;=AsAt),IF(N('Deal maths'!H33)&gt;0,N('Deal maths'!H33),N('Deal maths'!D33)),0)</f>
        <v/>
      </c>
      <c r="C33" s="91">
        <f>IF(B33&gt;0,IF('Deal maths'!C33="Local authority","Local authorities",LOWER(TRIM('Deal maths'!B33))),"")</f>
        <v/>
      </c>
      <c r="D33" s="91">
        <f>IF(C33="","",IF(COUNTIF($C$4:C32,C33)=0,SUMIF($C$4:$C$3997,C33,$B$4:$B$3997)-ROW()/1000000,""))</f>
        <v/>
      </c>
      <c r="E33" s="91">
        <f>IF(AND(N('Deal maths'!F33)&gt;AsAt,N('Deal maths'!E33)&lt;=AsAt,IF(N('Deal maths'!H33)&gt;0,N('Deal maths'!H33),N('Deal maths'!D33))&gt;0),N('Deal maths'!F33)+ROW()/1000000,"")</f>
        <v/>
      </c>
    </row>
    <row r="34">
      <c r="A34" s="91" t="n"/>
      <c r="B34" s="111">
        <f>IF(AND(N('Deal maths'!F34)&gt;AsAt,N('Deal maths'!E34)&lt;=AsAt),IF(N('Deal maths'!H34)&gt;0,N('Deal maths'!H34),N('Deal maths'!D34)),0)</f>
        <v/>
      </c>
      <c r="C34" s="91">
        <f>IF(B34&gt;0,IF('Deal maths'!C34="Local authority","Local authorities",LOWER(TRIM('Deal maths'!B34))),"")</f>
        <v/>
      </c>
      <c r="D34" s="91">
        <f>IF(C34="","",IF(COUNTIF($C$4:C33,C34)=0,SUMIF($C$4:$C$3997,C34,$B$4:$B$3997)-ROW()/1000000,""))</f>
        <v/>
      </c>
      <c r="E34" s="91">
        <f>IF(AND(N('Deal maths'!F34)&gt;AsAt,N('Deal maths'!E34)&lt;=AsAt,IF(N('Deal maths'!H34)&gt;0,N('Deal maths'!H34),N('Deal maths'!D34))&gt;0),N('Deal maths'!F34)+ROW()/1000000,"")</f>
        <v/>
      </c>
    </row>
    <row r="35">
      <c r="A35" s="91" t="n"/>
      <c r="B35" s="111">
        <f>IF(AND(N('Deal maths'!F35)&gt;AsAt,N('Deal maths'!E35)&lt;=AsAt),IF(N('Deal maths'!H35)&gt;0,N('Deal maths'!H35),N('Deal maths'!D35)),0)</f>
        <v/>
      </c>
      <c r="C35" s="91">
        <f>IF(B35&gt;0,IF('Deal maths'!C35="Local authority","Local authorities",LOWER(TRIM('Deal maths'!B35))),"")</f>
        <v/>
      </c>
      <c r="D35" s="91">
        <f>IF(C35="","",IF(COUNTIF($C$4:C34,C35)=0,SUMIF($C$4:$C$3997,C35,$B$4:$B$3997)-ROW()/1000000,""))</f>
        <v/>
      </c>
      <c r="E35" s="91">
        <f>IF(AND(N('Deal maths'!F35)&gt;AsAt,N('Deal maths'!E35)&lt;=AsAt,IF(N('Deal maths'!H35)&gt;0,N('Deal maths'!H35),N('Deal maths'!D35))&gt;0),N('Deal maths'!F35)+ROW()/1000000,"")</f>
        <v/>
      </c>
    </row>
    <row r="36">
      <c r="A36" s="91" t="n"/>
      <c r="B36" s="111">
        <f>IF(AND(N('Deal maths'!F36)&gt;AsAt,N('Deal maths'!E36)&lt;=AsAt),IF(N('Deal maths'!H36)&gt;0,N('Deal maths'!H36),N('Deal maths'!D36)),0)</f>
        <v/>
      </c>
      <c r="C36" s="91">
        <f>IF(B36&gt;0,IF('Deal maths'!C36="Local authority","Local authorities",LOWER(TRIM('Deal maths'!B36))),"")</f>
        <v/>
      </c>
      <c r="D36" s="91">
        <f>IF(C36="","",IF(COUNTIF($C$4:C35,C36)=0,SUMIF($C$4:$C$3997,C36,$B$4:$B$3997)-ROW()/1000000,""))</f>
        <v/>
      </c>
      <c r="E36" s="91">
        <f>IF(AND(N('Deal maths'!F36)&gt;AsAt,N('Deal maths'!E36)&lt;=AsAt,IF(N('Deal maths'!H36)&gt;0,N('Deal maths'!H36),N('Deal maths'!D36))&gt;0),N('Deal maths'!F36)+ROW()/1000000,"")</f>
        <v/>
      </c>
    </row>
    <row r="37">
      <c r="A37" s="91" t="n"/>
      <c r="B37" s="111">
        <f>IF(AND(N('Deal maths'!F37)&gt;AsAt,N('Deal maths'!E37)&lt;=AsAt),IF(N('Deal maths'!H37)&gt;0,N('Deal maths'!H37),N('Deal maths'!D37)),0)</f>
        <v/>
      </c>
      <c r="C37" s="91">
        <f>IF(B37&gt;0,IF('Deal maths'!C37="Local authority","Local authorities",LOWER(TRIM('Deal maths'!B37))),"")</f>
        <v/>
      </c>
      <c r="D37" s="91">
        <f>IF(C37="","",IF(COUNTIF($C$4:C36,C37)=0,SUMIF($C$4:$C$3997,C37,$B$4:$B$3997)-ROW()/1000000,""))</f>
        <v/>
      </c>
      <c r="E37" s="91">
        <f>IF(AND(N('Deal maths'!F37)&gt;AsAt,N('Deal maths'!E37)&lt;=AsAt,IF(N('Deal maths'!H37)&gt;0,N('Deal maths'!H37),N('Deal maths'!D37))&gt;0),N('Deal maths'!F37)+ROW()/1000000,"")</f>
        <v/>
      </c>
    </row>
    <row r="38">
      <c r="A38" s="91" t="n"/>
      <c r="B38" s="111">
        <f>IF(AND(N('Deal maths'!F38)&gt;AsAt,N('Deal maths'!E38)&lt;=AsAt),IF(N('Deal maths'!H38)&gt;0,N('Deal maths'!H38),N('Deal maths'!D38)),0)</f>
        <v/>
      </c>
      <c r="C38" s="91">
        <f>IF(B38&gt;0,IF('Deal maths'!C38="Local authority","Local authorities",LOWER(TRIM('Deal maths'!B38))),"")</f>
        <v/>
      </c>
      <c r="D38" s="91">
        <f>IF(C38="","",IF(COUNTIF($C$4:C37,C38)=0,SUMIF($C$4:$C$3997,C38,$B$4:$B$3997)-ROW()/1000000,""))</f>
        <v/>
      </c>
      <c r="E38" s="91">
        <f>IF(AND(N('Deal maths'!F38)&gt;AsAt,N('Deal maths'!E38)&lt;=AsAt,IF(N('Deal maths'!H38)&gt;0,N('Deal maths'!H38),N('Deal maths'!D38))&gt;0),N('Deal maths'!F38)+ROW()/1000000,"")</f>
        <v/>
      </c>
    </row>
    <row r="39">
      <c r="A39" s="91" t="n"/>
      <c r="B39" s="111">
        <f>IF(AND(N('Deal maths'!F39)&gt;AsAt,N('Deal maths'!E39)&lt;=AsAt),IF(N('Deal maths'!H39)&gt;0,N('Deal maths'!H39),N('Deal maths'!D39)),0)</f>
        <v/>
      </c>
      <c r="C39" s="91">
        <f>IF(B39&gt;0,IF('Deal maths'!C39="Local authority","Local authorities",LOWER(TRIM('Deal maths'!B39))),"")</f>
        <v/>
      </c>
      <c r="D39" s="91">
        <f>IF(C39="","",IF(COUNTIF($C$4:C38,C39)=0,SUMIF($C$4:$C$3997,C39,$B$4:$B$3997)-ROW()/1000000,""))</f>
        <v/>
      </c>
      <c r="E39" s="91">
        <f>IF(AND(N('Deal maths'!F39)&gt;AsAt,N('Deal maths'!E39)&lt;=AsAt,IF(N('Deal maths'!H39)&gt;0,N('Deal maths'!H39),N('Deal maths'!D39))&gt;0),N('Deal maths'!F39)+ROW()/1000000,"")</f>
        <v/>
      </c>
    </row>
    <row r="40">
      <c r="A40" s="91" t="n"/>
      <c r="B40" s="111">
        <f>IF(AND(N('Deal maths'!F40)&gt;AsAt,N('Deal maths'!E40)&lt;=AsAt),IF(N('Deal maths'!H40)&gt;0,N('Deal maths'!H40),N('Deal maths'!D40)),0)</f>
        <v/>
      </c>
      <c r="C40" s="91">
        <f>IF(B40&gt;0,IF('Deal maths'!C40="Local authority","Local authorities",LOWER(TRIM('Deal maths'!B40))),"")</f>
        <v/>
      </c>
      <c r="D40" s="91">
        <f>IF(C40="","",IF(COUNTIF($C$4:C39,C40)=0,SUMIF($C$4:$C$3997,C40,$B$4:$B$3997)-ROW()/1000000,""))</f>
        <v/>
      </c>
      <c r="E40" s="91">
        <f>IF(AND(N('Deal maths'!F40)&gt;AsAt,N('Deal maths'!E40)&lt;=AsAt,IF(N('Deal maths'!H40)&gt;0,N('Deal maths'!H40),N('Deal maths'!D40))&gt;0),N('Deal maths'!F40)+ROW()/1000000,"")</f>
        <v/>
      </c>
    </row>
    <row r="41">
      <c r="A41" s="91" t="n"/>
      <c r="B41" s="111">
        <f>IF(AND(N('Deal maths'!F41)&gt;AsAt,N('Deal maths'!E41)&lt;=AsAt),IF(N('Deal maths'!H41)&gt;0,N('Deal maths'!H41),N('Deal maths'!D41)),0)</f>
        <v/>
      </c>
      <c r="C41" s="91">
        <f>IF(B41&gt;0,IF('Deal maths'!C41="Local authority","Local authorities",LOWER(TRIM('Deal maths'!B41))),"")</f>
        <v/>
      </c>
      <c r="D41" s="91">
        <f>IF(C41="","",IF(COUNTIF($C$4:C40,C41)=0,SUMIF($C$4:$C$3997,C41,$B$4:$B$3997)-ROW()/1000000,""))</f>
        <v/>
      </c>
      <c r="E41" s="91">
        <f>IF(AND(N('Deal maths'!F41)&gt;AsAt,N('Deal maths'!E41)&lt;=AsAt,IF(N('Deal maths'!H41)&gt;0,N('Deal maths'!H41),N('Deal maths'!D41))&gt;0),N('Deal maths'!F41)+ROW()/1000000,"")</f>
        <v/>
      </c>
    </row>
    <row r="42">
      <c r="A42" s="91" t="n"/>
      <c r="B42" s="111">
        <f>IF(AND(N('Deal maths'!F42)&gt;AsAt,N('Deal maths'!E42)&lt;=AsAt),IF(N('Deal maths'!H42)&gt;0,N('Deal maths'!H42),N('Deal maths'!D42)),0)</f>
        <v/>
      </c>
      <c r="C42" s="91">
        <f>IF(B42&gt;0,IF('Deal maths'!C42="Local authority","Local authorities",LOWER(TRIM('Deal maths'!B42))),"")</f>
        <v/>
      </c>
      <c r="D42" s="91">
        <f>IF(C42="","",IF(COUNTIF($C$4:C41,C42)=0,SUMIF($C$4:$C$3997,C42,$B$4:$B$3997)-ROW()/1000000,""))</f>
        <v/>
      </c>
      <c r="E42" s="91">
        <f>IF(AND(N('Deal maths'!F42)&gt;AsAt,N('Deal maths'!E42)&lt;=AsAt,IF(N('Deal maths'!H42)&gt;0,N('Deal maths'!H42),N('Deal maths'!D42))&gt;0),N('Deal maths'!F42)+ROW()/1000000,"")</f>
        <v/>
      </c>
    </row>
    <row r="43">
      <c r="A43" s="91" t="n"/>
      <c r="B43" s="111">
        <f>IF(AND(N('Deal maths'!F43)&gt;AsAt,N('Deal maths'!E43)&lt;=AsAt),IF(N('Deal maths'!H43)&gt;0,N('Deal maths'!H43),N('Deal maths'!D43)),0)</f>
        <v/>
      </c>
      <c r="C43" s="91">
        <f>IF(B43&gt;0,IF('Deal maths'!C43="Local authority","Local authorities",LOWER(TRIM('Deal maths'!B43))),"")</f>
        <v/>
      </c>
      <c r="D43" s="91">
        <f>IF(C43="","",IF(COUNTIF($C$4:C42,C43)=0,SUMIF($C$4:$C$3997,C43,$B$4:$B$3997)-ROW()/1000000,""))</f>
        <v/>
      </c>
      <c r="E43" s="91">
        <f>IF(AND(N('Deal maths'!F43)&gt;AsAt,N('Deal maths'!E43)&lt;=AsAt,IF(N('Deal maths'!H43)&gt;0,N('Deal maths'!H43),N('Deal maths'!D43))&gt;0),N('Deal maths'!F43)+ROW()/1000000,"")</f>
        <v/>
      </c>
    </row>
    <row r="44">
      <c r="A44" s="91" t="n"/>
      <c r="B44" s="111">
        <f>IF(AND(N('Deal maths'!F44)&gt;AsAt,N('Deal maths'!E44)&lt;=AsAt),IF(N('Deal maths'!H44)&gt;0,N('Deal maths'!H44),N('Deal maths'!D44)),0)</f>
        <v/>
      </c>
      <c r="C44" s="91">
        <f>IF(B44&gt;0,IF('Deal maths'!C44="Local authority","Local authorities",LOWER(TRIM('Deal maths'!B44))),"")</f>
        <v/>
      </c>
      <c r="D44" s="91">
        <f>IF(C44="","",IF(COUNTIF($C$4:C43,C44)=0,SUMIF($C$4:$C$3997,C44,$B$4:$B$3997)-ROW()/1000000,""))</f>
        <v/>
      </c>
      <c r="E44" s="91">
        <f>IF(AND(N('Deal maths'!F44)&gt;AsAt,N('Deal maths'!E44)&lt;=AsAt,IF(N('Deal maths'!H44)&gt;0,N('Deal maths'!H44),N('Deal maths'!D44))&gt;0),N('Deal maths'!F44)+ROW()/1000000,"")</f>
        <v/>
      </c>
    </row>
    <row r="45">
      <c r="A45" s="91" t="n"/>
      <c r="B45" s="111">
        <f>IF(AND(N('Deal maths'!F45)&gt;AsAt,N('Deal maths'!E45)&lt;=AsAt),IF(N('Deal maths'!H45)&gt;0,N('Deal maths'!H45),N('Deal maths'!D45)),0)</f>
        <v/>
      </c>
      <c r="C45" s="91">
        <f>IF(B45&gt;0,IF('Deal maths'!C45="Local authority","Local authorities",LOWER(TRIM('Deal maths'!B45))),"")</f>
        <v/>
      </c>
      <c r="D45" s="91">
        <f>IF(C45="","",IF(COUNTIF($C$4:C44,C45)=0,SUMIF($C$4:$C$3997,C45,$B$4:$B$3997)-ROW()/1000000,""))</f>
        <v/>
      </c>
      <c r="E45" s="91">
        <f>IF(AND(N('Deal maths'!F45)&gt;AsAt,N('Deal maths'!E45)&lt;=AsAt,IF(N('Deal maths'!H45)&gt;0,N('Deal maths'!H45),N('Deal maths'!D45))&gt;0),N('Deal maths'!F45)+ROW()/1000000,"")</f>
        <v/>
      </c>
    </row>
    <row r="46">
      <c r="A46" s="91" t="n"/>
      <c r="B46" s="111">
        <f>IF(AND(N('Deal maths'!F46)&gt;AsAt,N('Deal maths'!E46)&lt;=AsAt),IF(N('Deal maths'!H46)&gt;0,N('Deal maths'!H46),N('Deal maths'!D46)),0)</f>
        <v/>
      </c>
      <c r="C46" s="91">
        <f>IF(B46&gt;0,IF('Deal maths'!C46="Local authority","Local authorities",LOWER(TRIM('Deal maths'!B46))),"")</f>
        <v/>
      </c>
      <c r="D46" s="91">
        <f>IF(C46="","",IF(COUNTIF($C$4:C45,C46)=0,SUMIF($C$4:$C$3997,C46,$B$4:$B$3997)-ROW()/1000000,""))</f>
        <v/>
      </c>
      <c r="E46" s="91">
        <f>IF(AND(N('Deal maths'!F46)&gt;AsAt,N('Deal maths'!E46)&lt;=AsAt,IF(N('Deal maths'!H46)&gt;0,N('Deal maths'!H46),N('Deal maths'!D46))&gt;0),N('Deal maths'!F46)+ROW()/1000000,"")</f>
        <v/>
      </c>
    </row>
    <row r="47">
      <c r="A47" s="91" t="n"/>
      <c r="B47" s="111">
        <f>IF(AND(N('Deal maths'!F47)&gt;AsAt,N('Deal maths'!E47)&lt;=AsAt),IF(N('Deal maths'!H47)&gt;0,N('Deal maths'!H47),N('Deal maths'!D47)),0)</f>
        <v/>
      </c>
      <c r="C47" s="91">
        <f>IF(B47&gt;0,IF('Deal maths'!C47="Local authority","Local authorities",LOWER(TRIM('Deal maths'!B47))),"")</f>
        <v/>
      </c>
      <c r="D47" s="91">
        <f>IF(C47="","",IF(COUNTIF($C$4:C46,C47)=0,SUMIF($C$4:$C$3997,C47,$B$4:$B$3997)-ROW()/1000000,""))</f>
        <v/>
      </c>
      <c r="E47" s="91">
        <f>IF(AND(N('Deal maths'!F47)&gt;AsAt,N('Deal maths'!E47)&lt;=AsAt,IF(N('Deal maths'!H47)&gt;0,N('Deal maths'!H47),N('Deal maths'!D47))&gt;0),N('Deal maths'!F47)+ROW()/1000000,"")</f>
        <v/>
      </c>
    </row>
    <row r="48">
      <c r="A48" s="91" t="n"/>
      <c r="B48" s="111">
        <f>IF(AND(N('Deal maths'!F48)&gt;AsAt,N('Deal maths'!E48)&lt;=AsAt),IF(N('Deal maths'!H48)&gt;0,N('Deal maths'!H48),N('Deal maths'!D48)),0)</f>
        <v/>
      </c>
      <c r="C48" s="91">
        <f>IF(B48&gt;0,IF('Deal maths'!C48="Local authority","Local authorities",LOWER(TRIM('Deal maths'!B48))),"")</f>
        <v/>
      </c>
      <c r="D48" s="91">
        <f>IF(C48="","",IF(COUNTIF($C$4:C47,C48)=0,SUMIF($C$4:$C$3997,C48,$B$4:$B$3997)-ROW()/1000000,""))</f>
        <v/>
      </c>
      <c r="E48" s="91">
        <f>IF(AND(N('Deal maths'!F48)&gt;AsAt,N('Deal maths'!E48)&lt;=AsAt,IF(N('Deal maths'!H48)&gt;0,N('Deal maths'!H48),N('Deal maths'!D48))&gt;0),N('Deal maths'!F48)+ROW()/1000000,"")</f>
        <v/>
      </c>
    </row>
    <row r="49">
      <c r="A49" s="91" t="n"/>
      <c r="B49" s="111">
        <f>IF(AND(N('Deal maths'!F49)&gt;AsAt,N('Deal maths'!E49)&lt;=AsAt),IF(N('Deal maths'!H49)&gt;0,N('Deal maths'!H49),N('Deal maths'!D49)),0)</f>
        <v/>
      </c>
      <c r="C49" s="91">
        <f>IF(B49&gt;0,IF('Deal maths'!C49="Local authority","Local authorities",LOWER(TRIM('Deal maths'!B49))),"")</f>
        <v/>
      </c>
      <c r="D49" s="91">
        <f>IF(C49="","",IF(COUNTIF($C$4:C48,C49)=0,SUMIF($C$4:$C$3997,C49,$B$4:$B$3997)-ROW()/1000000,""))</f>
        <v/>
      </c>
      <c r="E49" s="91">
        <f>IF(AND(N('Deal maths'!F49)&gt;AsAt,N('Deal maths'!E49)&lt;=AsAt,IF(N('Deal maths'!H49)&gt;0,N('Deal maths'!H49),N('Deal maths'!D49))&gt;0),N('Deal maths'!F49)+ROW()/1000000,"")</f>
        <v/>
      </c>
    </row>
    <row r="50">
      <c r="A50" s="91" t="n"/>
      <c r="B50" s="111">
        <f>IF(AND(N('Deal maths'!F50)&gt;AsAt,N('Deal maths'!E50)&lt;=AsAt),IF(N('Deal maths'!H50)&gt;0,N('Deal maths'!H50),N('Deal maths'!D50)),0)</f>
        <v/>
      </c>
      <c r="C50" s="91">
        <f>IF(B50&gt;0,IF('Deal maths'!C50="Local authority","Local authorities",LOWER(TRIM('Deal maths'!B50))),"")</f>
        <v/>
      </c>
      <c r="D50" s="91">
        <f>IF(C50="","",IF(COUNTIF($C$4:C49,C50)=0,SUMIF($C$4:$C$3997,C50,$B$4:$B$3997)-ROW()/1000000,""))</f>
        <v/>
      </c>
      <c r="E50" s="91">
        <f>IF(AND(N('Deal maths'!F50)&gt;AsAt,N('Deal maths'!E50)&lt;=AsAt,IF(N('Deal maths'!H50)&gt;0,N('Deal maths'!H50),N('Deal maths'!D50))&gt;0),N('Deal maths'!F50)+ROW()/1000000,"")</f>
        <v/>
      </c>
    </row>
    <row r="51">
      <c r="A51" s="91" t="n"/>
      <c r="B51" s="111">
        <f>IF(AND(N('Deal maths'!F51)&gt;AsAt,N('Deal maths'!E51)&lt;=AsAt),IF(N('Deal maths'!H51)&gt;0,N('Deal maths'!H51),N('Deal maths'!D51)),0)</f>
        <v/>
      </c>
      <c r="C51" s="91">
        <f>IF(B51&gt;0,IF('Deal maths'!C51="Local authority","Local authorities",LOWER(TRIM('Deal maths'!B51))),"")</f>
        <v/>
      </c>
      <c r="D51" s="91">
        <f>IF(C51="","",IF(COUNTIF($C$4:C50,C51)=0,SUMIF($C$4:$C$3997,C51,$B$4:$B$3997)-ROW()/1000000,""))</f>
        <v/>
      </c>
      <c r="E51" s="91">
        <f>IF(AND(N('Deal maths'!F51)&gt;AsAt,N('Deal maths'!E51)&lt;=AsAt,IF(N('Deal maths'!H51)&gt;0,N('Deal maths'!H51),N('Deal maths'!D51))&gt;0),N('Deal maths'!F51)+ROW()/1000000,"")</f>
        <v/>
      </c>
    </row>
    <row r="52">
      <c r="A52" s="91" t="n"/>
      <c r="B52" s="111">
        <f>IF(AND(N('Deal maths'!F52)&gt;AsAt,N('Deal maths'!E52)&lt;=AsAt),IF(N('Deal maths'!H52)&gt;0,N('Deal maths'!H52),N('Deal maths'!D52)),0)</f>
        <v/>
      </c>
      <c r="C52" s="91">
        <f>IF(B52&gt;0,IF('Deal maths'!C52="Local authority","Local authorities",LOWER(TRIM('Deal maths'!B52))),"")</f>
        <v/>
      </c>
      <c r="D52" s="91">
        <f>IF(C52="","",IF(COUNTIF($C$4:C51,C52)=0,SUMIF($C$4:$C$3997,C52,$B$4:$B$3997)-ROW()/1000000,""))</f>
        <v/>
      </c>
      <c r="E52" s="91">
        <f>IF(AND(N('Deal maths'!F52)&gt;AsAt,N('Deal maths'!E52)&lt;=AsAt,IF(N('Deal maths'!H52)&gt;0,N('Deal maths'!H52),N('Deal maths'!D52))&gt;0),N('Deal maths'!F52)+ROW()/1000000,"")</f>
        <v/>
      </c>
    </row>
    <row r="53">
      <c r="A53" s="91" t="n"/>
      <c r="B53" s="111">
        <f>IF(AND(N('Deal maths'!F53)&gt;AsAt,N('Deal maths'!E53)&lt;=AsAt),IF(N('Deal maths'!H53)&gt;0,N('Deal maths'!H53),N('Deal maths'!D53)),0)</f>
        <v/>
      </c>
      <c r="C53" s="91">
        <f>IF(B53&gt;0,IF('Deal maths'!C53="Local authority","Local authorities",LOWER(TRIM('Deal maths'!B53))),"")</f>
        <v/>
      </c>
      <c r="D53" s="91">
        <f>IF(C53="","",IF(COUNTIF($C$4:C52,C53)=0,SUMIF($C$4:$C$3997,C53,$B$4:$B$3997)-ROW()/1000000,""))</f>
        <v/>
      </c>
      <c r="E53" s="91">
        <f>IF(AND(N('Deal maths'!F53)&gt;AsAt,N('Deal maths'!E53)&lt;=AsAt,IF(N('Deal maths'!H53)&gt;0,N('Deal maths'!H53),N('Deal maths'!D53))&gt;0),N('Deal maths'!F53)+ROW()/1000000,"")</f>
        <v/>
      </c>
    </row>
    <row r="54">
      <c r="A54" s="91" t="n"/>
      <c r="B54" s="111">
        <f>IF(AND(N('Deal maths'!F54)&gt;AsAt,N('Deal maths'!E54)&lt;=AsAt),IF(N('Deal maths'!H54)&gt;0,N('Deal maths'!H54),N('Deal maths'!D54)),0)</f>
        <v/>
      </c>
      <c r="C54" s="91">
        <f>IF(B54&gt;0,IF('Deal maths'!C54="Local authority","Local authorities",LOWER(TRIM('Deal maths'!B54))),"")</f>
        <v/>
      </c>
      <c r="D54" s="91">
        <f>IF(C54="","",IF(COUNTIF($C$4:C53,C54)=0,SUMIF($C$4:$C$3997,C54,$B$4:$B$3997)-ROW()/1000000,""))</f>
        <v/>
      </c>
      <c r="E54" s="91">
        <f>IF(AND(N('Deal maths'!F54)&gt;AsAt,N('Deal maths'!E54)&lt;=AsAt,IF(N('Deal maths'!H54)&gt;0,N('Deal maths'!H54),N('Deal maths'!D54))&gt;0),N('Deal maths'!F54)+ROW()/1000000,"")</f>
        <v/>
      </c>
    </row>
    <row r="55">
      <c r="A55" s="91" t="n"/>
      <c r="B55" s="111">
        <f>IF(AND(N('Deal maths'!F55)&gt;AsAt,N('Deal maths'!E55)&lt;=AsAt),IF(N('Deal maths'!H55)&gt;0,N('Deal maths'!H55),N('Deal maths'!D55)),0)</f>
        <v/>
      </c>
      <c r="C55" s="91">
        <f>IF(B55&gt;0,IF('Deal maths'!C55="Local authority","Local authorities",LOWER(TRIM('Deal maths'!B55))),"")</f>
        <v/>
      </c>
      <c r="D55" s="91">
        <f>IF(C55="","",IF(COUNTIF($C$4:C54,C55)=0,SUMIF($C$4:$C$3997,C55,$B$4:$B$3997)-ROW()/1000000,""))</f>
        <v/>
      </c>
      <c r="E55" s="91">
        <f>IF(AND(N('Deal maths'!F55)&gt;AsAt,N('Deal maths'!E55)&lt;=AsAt,IF(N('Deal maths'!H55)&gt;0,N('Deal maths'!H55),N('Deal maths'!D55))&gt;0),N('Deal maths'!F55)+ROW()/1000000,"")</f>
        <v/>
      </c>
    </row>
    <row r="56">
      <c r="A56" s="91" t="n"/>
      <c r="B56" s="111">
        <f>IF(AND(N('Deal maths'!F56)&gt;AsAt,N('Deal maths'!E56)&lt;=AsAt),IF(N('Deal maths'!H56)&gt;0,N('Deal maths'!H56),N('Deal maths'!D56)),0)</f>
        <v/>
      </c>
      <c r="C56" s="91">
        <f>IF(B56&gt;0,IF('Deal maths'!C56="Local authority","Local authorities",LOWER(TRIM('Deal maths'!B56))),"")</f>
        <v/>
      </c>
      <c r="D56" s="91">
        <f>IF(C56="","",IF(COUNTIF($C$4:C55,C56)=0,SUMIF($C$4:$C$3997,C56,$B$4:$B$3997)-ROW()/1000000,""))</f>
        <v/>
      </c>
      <c r="E56" s="91">
        <f>IF(AND(N('Deal maths'!F56)&gt;AsAt,N('Deal maths'!E56)&lt;=AsAt,IF(N('Deal maths'!H56)&gt;0,N('Deal maths'!H56),N('Deal maths'!D56))&gt;0),N('Deal maths'!F56)+ROW()/1000000,"")</f>
        <v/>
      </c>
    </row>
    <row r="57">
      <c r="A57" s="91" t="n"/>
      <c r="B57" s="111">
        <f>IF(AND(N('Deal maths'!F57)&gt;AsAt,N('Deal maths'!E57)&lt;=AsAt),IF(N('Deal maths'!H57)&gt;0,N('Deal maths'!H57),N('Deal maths'!D57)),0)</f>
        <v/>
      </c>
      <c r="C57" s="91">
        <f>IF(B57&gt;0,IF('Deal maths'!C57="Local authority","Local authorities",LOWER(TRIM('Deal maths'!B57))),"")</f>
        <v/>
      </c>
      <c r="D57" s="91">
        <f>IF(C57="","",IF(COUNTIF($C$4:C56,C57)=0,SUMIF($C$4:$C$3997,C57,$B$4:$B$3997)-ROW()/1000000,""))</f>
        <v/>
      </c>
      <c r="E57" s="91">
        <f>IF(AND(N('Deal maths'!F57)&gt;AsAt,N('Deal maths'!E57)&lt;=AsAt,IF(N('Deal maths'!H57)&gt;0,N('Deal maths'!H57),N('Deal maths'!D57))&gt;0),N('Deal maths'!F57)+ROW()/1000000,"")</f>
        <v/>
      </c>
    </row>
    <row r="58">
      <c r="A58" s="91" t="n"/>
      <c r="B58" s="111">
        <f>IF(AND(N('Deal maths'!F58)&gt;AsAt,N('Deal maths'!E58)&lt;=AsAt),IF(N('Deal maths'!H58)&gt;0,N('Deal maths'!H58),N('Deal maths'!D58)),0)</f>
        <v/>
      </c>
      <c r="C58" s="91">
        <f>IF(B58&gt;0,IF('Deal maths'!C58="Local authority","Local authorities",LOWER(TRIM('Deal maths'!B58))),"")</f>
        <v/>
      </c>
      <c r="D58" s="91">
        <f>IF(C58="","",IF(COUNTIF($C$4:C57,C58)=0,SUMIF($C$4:$C$3997,C58,$B$4:$B$3997)-ROW()/1000000,""))</f>
        <v/>
      </c>
      <c r="E58" s="91">
        <f>IF(AND(N('Deal maths'!F58)&gt;AsAt,N('Deal maths'!E58)&lt;=AsAt,IF(N('Deal maths'!H58)&gt;0,N('Deal maths'!H58),N('Deal maths'!D58))&gt;0),N('Deal maths'!F58)+ROW()/1000000,"")</f>
        <v/>
      </c>
    </row>
    <row r="59">
      <c r="A59" s="91" t="n"/>
      <c r="B59" s="111">
        <f>IF(AND(N('Deal maths'!F59)&gt;AsAt,N('Deal maths'!E59)&lt;=AsAt),IF(N('Deal maths'!H59)&gt;0,N('Deal maths'!H59),N('Deal maths'!D59)),0)</f>
        <v/>
      </c>
      <c r="C59" s="91">
        <f>IF(B59&gt;0,IF('Deal maths'!C59="Local authority","Local authorities",LOWER(TRIM('Deal maths'!B59))),"")</f>
        <v/>
      </c>
      <c r="D59" s="91">
        <f>IF(C59="","",IF(COUNTIF($C$4:C58,C59)=0,SUMIF($C$4:$C$3997,C59,$B$4:$B$3997)-ROW()/1000000,""))</f>
        <v/>
      </c>
      <c r="E59" s="91">
        <f>IF(AND(N('Deal maths'!F59)&gt;AsAt,N('Deal maths'!E59)&lt;=AsAt,IF(N('Deal maths'!H59)&gt;0,N('Deal maths'!H59),N('Deal maths'!D59))&gt;0),N('Deal maths'!F59)+ROW()/1000000,"")</f>
        <v/>
      </c>
    </row>
    <row r="60">
      <c r="A60" s="91" t="n"/>
      <c r="B60" s="111">
        <f>IF(AND(N('Deal maths'!F60)&gt;AsAt,N('Deal maths'!E60)&lt;=AsAt),IF(N('Deal maths'!H60)&gt;0,N('Deal maths'!H60),N('Deal maths'!D60)),0)</f>
        <v/>
      </c>
      <c r="C60" s="91">
        <f>IF(B60&gt;0,IF('Deal maths'!C60="Local authority","Local authorities",LOWER(TRIM('Deal maths'!B60))),"")</f>
        <v/>
      </c>
      <c r="D60" s="91">
        <f>IF(C60="","",IF(COUNTIF($C$4:C59,C60)=0,SUMIF($C$4:$C$3997,C60,$B$4:$B$3997)-ROW()/1000000,""))</f>
        <v/>
      </c>
      <c r="E60" s="91">
        <f>IF(AND(N('Deal maths'!F60)&gt;AsAt,N('Deal maths'!E60)&lt;=AsAt,IF(N('Deal maths'!H60)&gt;0,N('Deal maths'!H60),N('Deal maths'!D60))&gt;0),N('Deal maths'!F60)+ROW()/1000000,"")</f>
        <v/>
      </c>
    </row>
    <row r="61">
      <c r="A61" s="91" t="n"/>
      <c r="B61" s="111">
        <f>IF(AND(N('Deal maths'!F61)&gt;AsAt,N('Deal maths'!E61)&lt;=AsAt),IF(N('Deal maths'!H61)&gt;0,N('Deal maths'!H61),N('Deal maths'!D61)),0)</f>
        <v/>
      </c>
      <c r="C61" s="91">
        <f>IF(B61&gt;0,IF('Deal maths'!C61="Local authority","Local authorities",LOWER(TRIM('Deal maths'!B61))),"")</f>
        <v/>
      </c>
      <c r="D61" s="91">
        <f>IF(C61="","",IF(COUNTIF($C$4:C60,C61)=0,SUMIF($C$4:$C$3997,C61,$B$4:$B$3997)-ROW()/1000000,""))</f>
        <v/>
      </c>
      <c r="E61" s="91">
        <f>IF(AND(N('Deal maths'!F61)&gt;AsAt,N('Deal maths'!E61)&lt;=AsAt,IF(N('Deal maths'!H61)&gt;0,N('Deal maths'!H61),N('Deal maths'!D61))&gt;0),N('Deal maths'!F61)+ROW()/1000000,"")</f>
        <v/>
      </c>
    </row>
    <row r="62">
      <c r="A62" s="91" t="n"/>
      <c r="B62" s="111">
        <f>IF(AND(N('Deal maths'!F62)&gt;AsAt,N('Deal maths'!E62)&lt;=AsAt),IF(N('Deal maths'!H62)&gt;0,N('Deal maths'!H62),N('Deal maths'!D62)),0)</f>
        <v/>
      </c>
      <c r="C62" s="91">
        <f>IF(B62&gt;0,IF('Deal maths'!C62="Local authority","Local authorities",LOWER(TRIM('Deal maths'!B62))),"")</f>
        <v/>
      </c>
      <c r="D62" s="91">
        <f>IF(C62="","",IF(COUNTIF($C$4:C61,C62)=0,SUMIF($C$4:$C$3997,C62,$B$4:$B$3997)-ROW()/1000000,""))</f>
        <v/>
      </c>
      <c r="E62" s="91">
        <f>IF(AND(N('Deal maths'!F62)&gt;AsAt,N('Deal maths'!E62)&lt;=AsAt,IF(N('Deal maths'!H62)&gt;0,N('Deal maths'!H62),N('Deal maths'!D62))&gt;0),N('Deal maths'!F62)+ROW()/1000000,"")</f>
        <v/>
      </c>
    </row>
    <row r="63">
      <c r="A63" s="91" t="n"/>
      <c r="B63" s="111">
        <f>IF(AND(N('Deal maths'!F63)&gt;AsAt,N('Deal maths'!E63)&lt;=AsAt),IF(N('Deal maths'!H63)&gt;0,N('Deal maths'!H63),N('Deal maths'!D63)),0)</f>
        <v/>
      </c>
      <c r="C63" s="91">
        <f>IF(B63&gt;0,IF('Deal maths'!C63="Local authority","Local authorities",LOWER(TRIM('Deal maths'!B63))),"")</f>
        <v/>
      </c>
      <c r="D63" s="91">
        <f>IF(C63="","",IF(COUNTIF($C$4:C62,C63)=0,SUMIF($C$4:$C$3997,C63,$B$4:$B$3997)-ROW()/1000000,""))</f>
        <v/>
      </c>
      <c r="E63" s="91">
        <f>IF(AND(N('Deal maths'!F63)&gt;AsAt,N('Deal maths'!E63)&lt;=AsAt,IF(N('Deal maths'!H63)&gt;0,N('Deal maths'!H63),N('Deal maths'!D63))&gt;0),N('Deal maths'!F63)+ROW()/1000000,"")</f>
        <v/>
      </c>
    </row>
    <row r="64">
      <c r="A64" s="91" t="n"/>
      <c r="B64" s="111">
        <f>IF(AND(N('Deal maths'!F64)&gt;AsAt,N('Deal maths'!E64)&lt;=AsAt),IF(N('Deal maths'!H64)&gt;0,N('Deal maths'!H64),N('Deal maths'!D64)),0)</f>
        <v/>
      </c>
      <c r="C64" s="91">
        <f>IF(B64&gt;0,IF('Deal maths'!C64="Local authority","Local authorities",LOWER(TRIM('Deal maths'!B64))),"")</f>
        <v/>
      </c>
      <c r="D64" s="91">
        <f>IF(C64="","",IF(COUNTIF($C$4:C63,C64)=0,SUMIF($C$4:$C$3997,C64,$B$4:$B$3997)-ROW()/1000000,""))</f>
        <v/>
      </c>
      <c r="E64" s="91">
        <f>IF(AND(N('Deal maths'!F64)&gt;AsAt,N('Deal maths'!E64)&lt;=AsAt,IF(N('Deal maths'!H64)&gt;0,N('Deal maths'!H64),N('Deal maths'!D64))&gt;0),N('Deal maths'!F64)+ROW()/1000000,"")</f>
        <v/>
      </c>
    </row>
    <row r="65">
      <c r="A65" s="91" t="n"/>
      <c r="B65" s="111">
        <f>IF(AND(N('Deal maths'!F65)&gt;AsAt,N('Deal maths'!E65)&lt;=AsAt),IF(N('Deal maths'!H65)&gt;0,N('Deal maths'!H65),N('Deal maths'!D65)),0)</f>
        <v/>
      </c>
      <c r="C65" s="91">
        <f>IF(B65&gt;0,IF('Deal maths'!C65="Local authority","Local authorities",LOWER(TRIM('Deal maths'!B65))),"")</f>
        <v/>
      </c>
      <c r="D65" s="91">
        <f>IF(C65="","",IF(COUNTIF($C$4:C64,C65)=0,SUMIF($C$4:$C$3997,C65,$B$4:$B$3997)-ROW()/1000000,""))</f>
        <v/>
      </c>
      <c r="E65" s="91">
        <f>IF(AND(N('Deal maths'!F65)&gt;AsAt,N('Deal maths'!E65)&lt;=AsAt,IF(N('Deal maths'!H65)&gt;0,N('Deal maths'!H65),N('Deal maths'!D65))&gt;0),N('Deal maths'!F65)+ROW()/1000000,"")</f>
        <v/>
      </c>
    </row>
    <row r="66">
      <c r="A66" s="91" t="n"/>
      <c r="B66" s="111">
        <f>IF(AND(N('Deal maths'!F66)&gt;AsAt,N('Deal maths'!E66)&lt;=AsAt),IF(N('Deal maths'!H66)&gt;0,N('Deal maths'!H66),N('Deal maths'!D66)),0)</f>
        <v/>
      </c>
      <c r="C66" s="91">
        <f>IF(B66&gt;0,IF('Deal maths'!C66="Local authority","Local authorities",LOWER(TRIM('Deal maths'!B66))),"")</f>
        <v/>
      </c>
      <c r="D66" s="91">
        <f>IF(C66="","",IF(COUNTIF($C$4:C65,C66)=0,SUMIF($C$4:$C$3997,C66,$B$4:$B$3997)-ROW()/1000000,""))</f>
        <v/>
      </c>
      <c r="E66" s="91">
        <f>IF(AND(N('Deal maths'!F66)&gt;AsAt,N('Deal maths'!E66)&lt;=AsAt,IF(N('Deal maths'!H66)&gt;0,N('Deal maths'!H66),N('Deal maths'!D66))&gt;0),N('Deal maths'!F66)+ROW()/1000000,"")</f>
        <v/>
      </c>
    </row>
    <row r="67">
      <c r="A67" s="91" t="n"/>
      <c r="B67" s="111">
        <f>IF(AND(N('Deal maths'!F67)&gt;AsAt,N('Deal maths'!E67)&lt;=AsAt),IF(N('Deal maths'!H67)&gt;0,N('Deal maths'!H67),N('Deal maths'!D67)),0)</f>
        <v/>
      </c>
      <c r="C67" s="91">
        <f>IF(B67&gt;0,IF('Deal maths'!C67="Local authority","Local authorities",LOWER(TRIM('Deal maths'!B67))),"")</f>
        <v/>
      </c>
      <c r="D67" s="91">
        <f>IF(C67="","",IF(COUNTIF($C$4:C66,C67)=0,SUMIF($C$4:$C$3997,C67,$B$4:$B$3997)-ROW()/1000000,""))</f>
        <v/>
      </c>
      <c r="E67" s="91">
        <f>IF(AND(N('Deal maths'!F67)&gt;AsAt,N('Deal maths'!E67)&lt;=AsAt,IF(N('Deal maths'!H67)&gt;0,N('Deal maths'!H67),N('Deal maths'!D67))&gt;0),N('Deal maths'!F67)+ROW()/1000000,"")</f>
        <v/>
      </c>
    </row>
    <row r="68">
      <c r="A68" s="91" t="n"/>
      <c r="B68" s="111">
        <f>IF(AND(N('Deal maths'!F68)&gt;AsAt,N('Deal maths'!E68)&lt;=AsAt),IF(N('Deal maths'!H68)&gt;0,N('Deal maths'!H68),N('Deal maths'!D68)),0)</f>
        <v/>
      </c>
      <c r="C68" s="91">
        <f>IF(B68&gt;0,IF('Deal maths'!C68="Local authority","Local authorities",LOWER(TRIM('Deal maths'!B68))),"")</f>
        <v/>
      </c>
      <c r="D68" s="91">
        <f>IF(C68="","",IF(COUNTIF($C$4:C67,C68)=0,SUMIF($C$4:$C$3997,C68,$B$4:$B$3997)-ROW()/1000000,""))</f>
        <v/>
      </c>
      <c r="E68" s="91">
        <f>IF(AND(N('Deal maths'!F68)&gt;AsAt,N('Deal maths'!E68)&lt;=AsAt,IF(N('Deal maths'!H68)&gt;0,N('Deal maths'!H68),N('Deal maths'!D68))&gt;0),N('Deal maths'!F68)+ROW()/1000000,"")</f>
        <v/>
      </c>
    </row>
    <row r="69">
      <c r="A69" s="91" t="n"/>
      <c r="B69" s="111">
        <f>IF(AND(N('Deal maths'!F69)&gt;AsAt,N('Deal maths'!E69)&lt;=AsAt),IF(N('Deal maths'!H69)&gt;0,N('Deal maths'!H69),N('Deal maths'!D69)),0)</f>
        <v/>
      </c>
      <c r="C69" s="91">
        <f>IF(B69&gt;0,IF('Deal maths'!C69="Local authority","Local authorities",LOWER(TRIM('Deal maths'!B69))),"")</f>
        <v/>
      </c>
      <c r="D69" s="91">
        <f>IF(C69="","",IF(COUNTIF($C$4:C68,C69)=0,SUMIF($C$4:$C$3997,C69,$B$4:$B$3997)-ROW()/1000000,""))</f>
        <v/>
      </c>
      <c r="E69" s="91">
        <f>IF(AND(N('Deal maths'!F69)&gt;AsAt,N('Deal maths'!E69)&lt;=AsAt,IF(N('Deal maths'!H69)&gt;0,N('Deal maths'!H69),N('Deal maths'!D69))&gt;0),N('Deal maths'!F69)+ROW()/1000000,"")</f>
        <v/>
      </c>
    </row>
    <row r="70">
      <c r="A70" s="91" t="n"/>
      <c r="B70" s="111">
        <f>IF(AND(N('Deal maths'!F70)&gt;AsAt,N('Deal maths'!E70)&lt;=AsAt),IF(N('Deal maths'!H70)&gt;0,N('Deal maths'!H70),N('Deal maths'!D70)),0)</f>
        <v/>
      </c>
      <c r="C70" s="91">
        <f>IF(B70&gt;0,IF('Deal maths'!C70="Local authority","Local authorities",LOWER(TRIM('Deal maths'!B70))),"")</f>
        <v/>
      </c>
      <c r="D70" s="91">
        <f>IF(C70="","",IF(COUNTIF($C$4:C69,C70)=0,SUMIF($C$4:$C$3997,C70,$B$4:$B$3997)-ROW()/1000000,""))</f>
        <v/>
      </c>
      <c r="E70" s="91">
        <f>IF(AND(N('Deal maths'!F70)&gt;AsAt,N('Deal maths'!E70)&lt;=AsAt,IF(N('Deal maths'!H70)&gt;0,N('Deal maths'!H70),N('Deal maths'!D70))&gt;0),N('Deal maths'!F70)+ROW()/1000000,"")</f>
        <v/>
      </c>
    </row>
    <row r="71">
      <c r="A71" s="91" t="n"/>
      <c r="B71" s="111">
        <f>IF(AND(N('Deal maths'!F71)&gt;AsAt,N('Deal maths'!E71)&lt;=AsAt),IF(N('Deal maths'!H71)&gt;0,N('Deal maths'!H71),N('Deal maths'!D71)),0)</f>
        <v/>
      </c>
      <c r="C71" s="91">
        <f>IF(B71&gt;0,IF('Deal maths'!C71="Local authority","Local authorities",LOWER(TRIM('Deal maths'!B71))),"")</f>
        <v/>
      </c>
      <c r="D71" s="91">
        <f>IF(C71="","",IF(COUNTIF($C$4:C70,C71)=0,SUMIF($C$4:$C$3997,C71,$B$4:$B$3997)-ROW()/1000000,""))</f>
        <v/>
      </c>
      <c r="E71" s="91">
        <f>IF(AND(N('Deal maths'!F71)&gt;AsAt,N('Deal maths'!E71)&lt;=AsAt,IF(N('Deal maths'!H71)&gt;0,N('Deal maths'!H71),N('Deal maths'!D71))&gt;0),N('Deal maths'!F71)+ROW()/1000000,"")</f>
        <v/>
      </c>
    </row>
    <row r="72">
      <c r="A72" s="91" t="n"/>
      <c r="B72" s="111">
        <f>IF(AND(N('Deal maths'!F72)&gt;AsAt,N('Deal maths'!E72)&lt;=AsAt),IF(N('Deal maths'!H72)&gt;0,N('Deal maths'!H72),N('Deal maths'!D72)),0)</f>
        <v/>
      </c>
      <c r="C72" s="91">
        <f>IF(B72&gt;0,IF('Deal maths'!C72="Local authority","Local authorities",LOWER(TRIM('Deal maths'!B72))),"")</f>
        <v/>
      </c>
      <c r="D72" s="91">
        <f>IF(C72="","",IF(COUNTIF($C$4:C71,C72)=0,SUMIF($C$4:$C$3997,C72,$B$4:$B$3997)-ROW()/1000000,""))</f>
        <v/>
      </c>
      <c r="E72" s="91">
        <f>IF(AND(N('Deal maths'!F72)&gt;AsAt,N('Deal maths'!E72)&lt;=AsAt,IF(N('Deal maths'!H72)&gt;0,N('Deal maths'!H72),N('Deal maths'!D72))&gt;0),N('Deal maths'!F72)+ROW()/1000000,"")</f>
        <v/>
      </c>
    </row>
    <row r="73">
      <c r="A73" s="91" t="n"/>
      <c r="B73" s="111">
        <f>IF(AND(N('Deal maths'!F73)&gt;AsAt,N('Deal maths'!E73)&lt;=AsAt),IF(N('Deal maths'!H73)&gt;0,N('Deal maths'!H73),N('Deal maths'!D73)),0)</f>
        <v/>
      </c>
      <c r="C73" s="91">
        <f>IF(B73&gt;0,IF('Deal maths'!C73="Local authority","Local authorities",LOWER(TRIM('Deal maths'!B73))),"")</f>
        <v/>
      </c>
      <c r="D73" s="91">
        <f>IF(C73="","",IF(COUNTIF($C$4:C72,C73)=0,SUMIF($C$4:$C$3997,C73,$B$4:$B$3997)-ROW()/1000000,""))</f>
        <v/>
      </c>
      <c r="E73" s="91">
        <f>IF(AND(N('Deal maths'!F73)&gt;AsAt,N('Deal maths'!E73)&lt;=AsAt,IF(N('Deal maths'!H73)&gt;0,N('Deal maths'!H73),N('Deal maths'!D73))&gt;0),N('Deal maths'!F73)+ROW()/1000000,"")</f>
        <v/>
      </c>
    </row>
    <row r="74">
      <c r="A74" s="91" t="n"/>
      <c r="B74" s="111">
        <f>IF(AND(N('Deal maths'!F74)&gt;AsAt,N('Deal maths'!E74)&lt;=AsAt),IF(N('Deal maths'!H74)&gt;0,N('Deal maths'!H74),N('Deal maths'!D74)),0)</f>
        <v/>
      </c>
      <c r="C74" s="91">
        <f>IF(B74&gt;0,IF('Deal maths'!C74="Local authority","Local authorities",LOWER(TRIM('Deal maths'!B74))),"")</f>
        <v/>
      </c>
      <c r="D74" s="91">
        <f>IF(C74="","",IF(COUNTIF($C$4:C73,C74)=0,SUMIF($C$4:$C$3997,C74,$B$4:$B$3997)-ROW()/1000000,""))</f>
        <v/>
      </c>
      <c r="E74" s="91">
        <f>IF(AND(N('Deal maths'!F74)&gt;AsAt,N('Deal maths'!E74)&lt;=AsAt,IF(N('Deal maths'!H74)&gt;0,N('Deal maths'!H74),N('Deal maths'!D74))&gt;0),N('Deal maths'!F74)+ROW()/1000000,"")</f>
        <v/>
      </c>
    </row>
    <row r="75">
      <c r="A75" s="91" t="n"/>
      <c r="B75" s="111">
        <f>IF(AND(N('Deal maths'!F75)&gt;AsAt,N('Deal maths'!E75)&lt;=AsAt),IF(N('Deal maths'!H75)&gt;0,N('Deal maths'!H75),N('Deal maths'!D75)),0)</f>
        <v/>
      </c>
      <c r="C75" s="91">
        <f>IF(B75&gt;0,IF('Deal maths'!C75="Local authority","Local authorities",LOWER(TRIM('Deal maths'!B75))),"")</f>
        <v/>
      </c>
      <c r="D75" s="91">
        <f>IF(C75="","",IF(COUNTIF($C$4:C74,C75)=0,SUMIF($C$4:$C$3997,C75,$B$4:$B$3997)-ROW()/1000000,""))</f>
        <v/>
      </c>
      <c r="E75" s="91">
        <f>IF(AND(N('Deal maths'!F75)&gt;AsAt,N('Deal maths'!E75)&lt;=AsAt,IF(N('Deal maths'!H75)&gt;0,N('Deal maths'!H75),N('Deal maths'!D75))&gt;0),N('Deal maths'!F75)+ROW()/1000000,"")</f>
        <v/>
      </c>
    </row>
    <row r="76">
      <c r="A76" s="91" t="n"/>
      <c r="B76" s="111">
        <f>IF(AND(N('Deal maths'!F76)&gt;AsAt,N('Deal maths'!E76)&lt;=AsAt),IF(N('Deal maths'!H76)&gt;0,N('Deal maths'!H76),N('Deal maths'!D76)),0)</f>
        <v/>
      </c>
      <c r="C76" s="91">
        <f>IF(B76&gt;0,IF('Deal maths'!C76="Local authority","Local authorities",LOWER(TRIM('Deal maths'!B76))),"")</f>
        <v/>
      </c>
      <c r="D76" s="91">
        <f>IF(C76="","",IF(COUNTIF($C$4:C75,C76)=0,SUMIF($C$4:$C$3997,C76,$B$4:$B$3997)-ROW()/1000000,""))</f>
        <v/>
      </c>
      <c r="E76" s="91">
        <f>IF(AND(N('Deal maths'!F76)&gt;AsAt,N('Deal maths'!E76)&lt;=AsAt,IF(N('Deal maths'!H76)&gt;0,N('Deal maths'!H76),N('Deal maths'!D76))&gt;0),N('Deal maths'!F76)+ROW()/1000000,"")</f>
        <v/>
      </c>
    </row>
    <row r="77">
      <c r="A77" s="91" t="n"/>
      <c r="B77" s="111">
        <f>IF(AND(N('Deal maths'!F77)&gt;AsAt,N('Deal maths'!E77)&lt;=AsAt),IF(N('Deal maths'!H77)&gt;0,N('Deal maths'!H77),N('Deal maths'!D77)),0)</f>
        <v/>
      </c>
      <c r="C77" s="91">
        <f>IF(B77&gt;0,IF('Deal maths'!C77="Local authority","Local authorities",LOWER(TRIM('Deal maths'!B77))),"")</f>
        <v/>
      </c>
      <c r="D77" s="91">
        <f>IF(C77="","",IF(COUNTIF($C$4:C76,C77)=0,SUMIF($C$4:$C$3997,C77,$B$4:$B$3997)-ROW()/1000000,""))</f>
        <v/>
      </c>
      <c r="E77" s="91">
        <f>IF(AND(N('Deal maths'!F77)&gt;AsAt,N('Deal maths'!E77)&lt;=AsAt,IF(N('Deal maths'!H77)&gt;0,N('Deal maths'!H77),N('Deal maths'!D77))&gt;0),N('Deal maths'!F77)+ROW()/1000000,"")</f>
        <v/>
      </c>
    </row>
    <row r="78">
      <c r="A78" s="91" t="n"/>
      <c r="B78" s="111">
        <f>IF(AND(N('Deal maths'!F78)&gt;AsAt,N('Deal maths'!E78)&lt;=AsAt),IF(N('Deal maths'!H78)&gt;0,N('Deal maths'!H78),N('Deal maths'!D78)),0)</f>
        <v/>
      </c>
      <c r="C78" s="91">
        <f>IF(B78&gt;0,IF('Deal maths'!C78="Local authority","Local authorities",LOWER(TRIM('Deal maths'!B78))),"")</f>
        <v/>
      </c>
      <c r="D78" s="91">
        <f>IF(C78="","",IF(COUNTIF($C$4:C77,C78)=0,SUMIF($C$4:$C$3997,C78,$B$4:$B$3997)-ROW()/1000000,""))</f>
        <v/>
      </c>
      <c r="E78" s="91">
        <f>IF(AND(N('Deal maths'!F78)&gt;AsAt,N('Deal maths'!E78)&lt;=AsAt,IF(N('Deal maths'!H78)&gt;0,N('Deal maths'!H78),N('Deal maths'!D78))&gt;0),N('Deal maths'!F78)+ROW()/1000000,"")</f>
        <v/>
      </c>
    </row>
    <row r="79">
      <c r="A79" s="91" t="n"/>
      <c r="B79" s="111">
        <f>IF(AND(N('Deal maths'!F79)&gt;AsAt,N('Deal maths'!E79)&lt;=AsAt),IF(N('Deal maths'!H79)&gt;0,N('Deal maths'!H79),N('Deal maths'!D79)),0)</f>
        <v/>
      </c>
      <c r="C79" s="91">
        <f>IF(B79&gt;0,IF('Deal maths'!C79="Local authority","Local authorities",LOWER(TRIM('Deal maths'!B79))),"")</f>
        <v/>
      </c>
      <c r="D79" s="91">
        <f>IF(C79="","",IF(COUNTIF($C$4:C78,C79)=0,SUMIF($C$4:$C$3997,C79,$B$4:$B$3997)-ROW()/1000000,""))</f>
        <v/>
      </c>
      <c r="E79" s="91">
        <f>IF(AND(N('Deal maths'!F79)&gt;AsAt,N('Deal maths'!E79)&lt;=AsAt,IF(N('Deal maths'!H79)&gt;0,N('Deal maths'!H79),N('Deal maths'!D79))&gt;0),N('Deal maths'!F79)+ROW()/1000000,"")</f>
        <v/>
      </c>
    </row>
    <row r="80">
      <c r="A80" s="91" t="n"/>
      <c r="B80" s="111">
        <f>IF(AND(N('Deal maths'!F80)&gt;AsAt,N('Deal maths'!E80)&lt;=AsAt),IF(N('Deal maths'!H80)&gt;0,N('Deal maths'!H80),N('Deal maths'!D80)),0)</f>
        <v/>
      </c>
      <c r="C80" s="91">
        <f>IF(B80&gt;0,IF('Deal maths'!C80="Local authority","Local authorities",LOWER(TRIM('Deal maths'!B80))),"")</f>
        <v/>
      </c>
      <c r="D80" s="91">
        <f>IF(C80="","",IF(COUNTIF($C$4:C79,C80)=0,SUMIF($C$4:$C$3997,C80,$B$4:$B$3997)-ROW()/1000000,""))</f>
        <v/>
      </c>
      <c r="E80" s="91">
        <f>IF(AND(N('Deal maths'!F80)&gt;AsAt,N('Deal maths'!E80)&lt;=AsAt,IF(N('Deal maths'!H80)&gt;0,N('Deal maths'!H80),N('Deal maths'!D80))&gt;0),N('Deal maths'!F80)+ROW()/1000000,"")</f>
        <v/>
      </c>
    </row>
    <row r="81">
      <c r="A81" s="91" t="n"/>
      <c r="B81" s="111">
        <f>IF(AND(N('Deal maths'!F81)&gt;AsAt,N('Deal maths'!E81)&lt;=AsAt),IF(N('Deal maths'!H81)&gt;0,N('Deal maths'!H81),N('Deal maths'!D81)),0)</f>
        <v/>
      </c>
      <c r="C81" s="91">
        <f>IF(B81&gt;0,IF('Deal maths'!C81="Local authority","Local authorities",LOWER(TRIM('Deal maths'!B81))),"")</f>
        <v/>
      </c>
      <c r="D81" s="91">
        <f>IF(C81="","",IF(COUNTIF($C$4:C80,C81)=0,SUMIF($C$4:$C$3997,C81,$B$4:$B$3997)-ROW()/1000000,""))</f>
        <v/>
      </c>
      <c r="E81" s="91">
        <f>IF(AND(N('Deal maths'!F81)&gt;AsAt,N('Deal maths'!E81)&lt;=AsAt,IF(N('Deal maths'!H81)&gt;0,N('Deal maths'!H81),N('Deal maths'!D81))&gt;0),N('Deal maths'!F81)+ROW()/1000000,"")</f>
        <v/>
      </c>
    </row>
    <row r="82">
      <c r="A82" s="91" t="n"/>
      <c r="B82" s="111">
        <f>IF(AND(N('Deal maths'!F82)&gt;AsAt,N('Deal maths'!E82)&lt;=AsAt),IF(N('Deal maths'!H82)&gt;0,N('Deal maths'!H82),N('Deal maths'!D82)),0)</f>
        <v/>
      </c>
      <c r="C82" s="91">
        <f>IF(B82&gt;0,IF('Deal maths'!C82="Local authority","Local authorities",LOWER(TRIM('Deal maths'!B82))),"")</f>
        <v/>
      </c>
      <c r="D82" s="91">
        <f>IF(C82="","",IF(COUNTIF($C$4:C81,C82)=0,SUMIF($C$4:$C$3997,C82,$B$4:$B$3997)-ROW()/1000000,""))</f>
        <v/>
      </c>
      <c r="E82" s="91">
        <f>IF(AND(N('Deal maths'!F82)&gt;AsAt,N('Deal maths'!E82)&lt;=AsAt,IF(N('Deal maths'!H82)&gt;0,N('Deal maths'!H82),N('Deal maths'!D82))&gt;0),N('Deal maths'!F82)+ROW()/1000000,"")</f>
        <v/>
      </c>
    </row>
    <row r="83">
      <c r="A83" s="91" t="n"/>
      <c r="B83" s="111">
        <f>IF(AND(N('Deal maths'!F83)&gt;AsAt,N('Deal maths'!E83)&lt;=AsAt),IF(N('Deal maths'!H83)&gt;0,N('Deal maths'!H83),N('Deal maths'!D83)),0)</f>
        <v/>
      </c>
      <c r="C83" s="91">
        <f>IF(B83&gt;0,IF('Deal maths'!C83="Local authority","Local authorities",LOWER(TRIM('Deal maths'!B83))),"")</f>
        <v/>
      </c>
      <c r="D83" s="91">
        <f>IF(C83="","",IF(COUNTIF($C$4:C82,C83)=0,SUMIF($C$4:$C$3997,C83,$B$4:$B$3997)-ROW()/1000000,""))</f>
        <v/>
      </c>
      <c r="E83" s="91">
        <f>IF(AND(N('Deal maths'!F83)&gt;AsAt,N('Deal maths'!E83)&lt;=AsAt,IF(N('Deal maths'!H83)&gt;0,N('Deal maths'!H83),N('Deal maths'!D83))&gt;0),N('Deal maths'!F83)+ROW()/1000000,"")</f>
        <v/>
      </c>
    </row>
    <row r="84">
      <c r="A84" s="91" t="n"/>
      <c r="B84" s="111">
        <f>IF(AND(N('Deal maths'!F84)&gt;AsAt,N('Deal maths'!E84)&lt;=AsAt),IF(N('Deal maths'!H84)&gt;0,N('Deal maths'!H84),N('Deal maths'!D84)),0)</f>
        <v/>
      </c>
      <c r="C84" s="91">
        <f>IF(B84&gt;0,IF('Deal maths'!C84="Local authority","Local authorities",LOWER(TRIM('Deal maths'!B84))),"")</f>
        <v/>
      </c>
      <c r="D84" s="91">
        <f>IF(C84="","",IF(COUNTIF($C$4:C83,C84)=0,SUMIF($C$4:$C$3997,C84,$B$4:$B$3997)-ROW()/1000000,""))</f>
        <v/>
      </c>
      <c r="E84" s="91">
        <f>IF(AND(N('Deal maths'!F84)&gt;AsAt,N('Deal maths'!E84)&lt;=AsAt,IF(N('Deal maths'!H84)&gt;0,N('Deal maths'!H84),N('Deal maths'!D84))&gt;0),N('Deal maths'!F84)+ROW()/1000000,"")</f>
        <v/>
      </c>
    </row>
    <row r="85">
      <c r="A85" s="91" t="n"/>
      <c r="B85" s="111">
        <f>IF(AND(N('Deal maths'!F85)&gt;AsAt,N('Deal maths'!E85)&lt;=AsAt),IF(N('Deal maths'!H85)&gt;0,N('Deal maths'!H85),N('Deal maths'!D85)),0)</f>
        <v/>
      </c>
      <c r="C85" s="91">
        <f>IF(B85&gt;0,IF('Deal maths'!C85="Local authority","Local authorities",LOWER(TRIM('Deal maths'!B85))),"")</f>
        <v/>
      </c>
      <c r="D85" s="91">
        <f>IF(C85="","",IF(COUNTIF($C$4:C84,C85)=0,SUMIF($C$4:$C$3997,C85,$B$4:$B$3997)-ROW()/1000000,""))</f>
        <v/>
      </c>
      <c r="E85" s="91">
        <f>IF(AND(N('Deal maths'!F85)&gt;AsAt,N('Deal maths'!E85)&lt;=AsAt,IF(N('Deal maths'!H85)&gt;0,N('Deal maths'!H85),N('Deal maths'!D85))&gt;0),N('Deal maths'!F85)+ROW()/1000000,"")</f>
        <v/>
      </c>
    </row>
    <row r="86">
      <c r="A86" s="91" t="n"/>
      <c r="B86" s="111">
        <f>IF(AND(N('Deal maths'!F86)&gt;AsAt,N('Deal maths'!E86)&lt;=AsAt),IF(N('Deal maths'!H86)&gt;0,N('Deal maths'!H86),N('Deal maths'!D86)),0)</f>
        <v/>
      </c>
      <c r="C86" s="91">
        <f>IF(B86&gt;0,IF('Deal maths'!C86="Local authority","Local authorities",LOWER(TRIM('Deal maths'!B86))),"")</f>
        <v/>
      </c>
      <c r="D86" s="91">
        <f>IF(C86="","",IF(COUNTIF($C$4:C85,C86)=0,SUMIF($C$4:$C$3997,C86,$B$4:$B$3997)-ROW()/1000000,""))</f>
        <v/>
      </c>
      <c r="E86" s="91">
        <f>IF(AND(N('Deal maths'!F86)&gt;AsAt,N('Deal maths'!E86)&lt;=AsAt,IF(N('Deal maths'!H86)&gt;0,N('Deal maths'!H86),N('Deal maths'!D86))&gt;0),N('Deal maths'!F86)+ROW()/1000000,"")</f>
        <v/>
      </c>
    </row>
    <row r="87">
      <c r="A87" s="91" t="n"/>
      <c r="B87" s="111">
        <f>IF(AND(N('Deal maths'!F87)&gt;AsAt,N('Deal maths'!E87)&lt;=AsAt),IF(N('Deal maths'!H87)&gt;0,N('Deal maths'!H87),N('Deal maths'!D87)),0)</f>
        <v/>
      </c>
      <c r="C87" s="91">
        <f>IF(B87&gt;0,IF('Deal maths'!C87="Local authority","Local authorities",LOWER(TRIM('Deal maths'!B87))),"")</f>
        <v/>
      </c>
      <c r="D87" s="91">
        <f>IF(C87="","",IF(COUNTIF($C$4:C86,C87)=0,SUMIF($C$4:$C$3997,C87,$B$4:$B$3997)-ROW()/1000000,""))</f>
        <v/>
      </c>
      <c r="E87" s="91">
        <f>IF(AND(N('Deal maths'!F87)&gt;AsAt,N('Deal maths'!E87)&lt;=AsAt,IF(N('Deal maths'!H87)&gt;0,N('Deal maths'!H87),N('Deal maths'!D87))&gt;0),N('Deal maths'!F87)+ROW()/1000000,"")</f>
        <v/>
      </c>
    </row>
    <row r="88">
      <c r="A88" s="91" t="n"/>
      <c r="B88" s="111">
        <f>IF(AND(N('Deal maths'!F88)&gt;AsAt,N('Deal maths'!E88)&lt;=AsAt),IF(N('Deal maths'!H88)&gt;0,N('Deal maths'!H88),N('Deal maths'!D88)),0)</f>
        <v/>
      </c>
      <c r="C88" s="91">
        <f>IF(B88&gt;0,IF('Deal maths'!C88="Local authority","Local authorities",LOWER(TRIM('Deal maths'!B88))),"")</f>
        <v/>
      </c>
      <c r="D88" s="91">
        <f>IF(C88="","",IF(COUNTIF($C$4:C87,C88)=0,SUMIF($C$4:$C$3997,C88,$B$4:$B$3997)-ROW()/1000000,""))</f>
        <v/>
      </c>
      <c r="E88" s="91">
        <f>IF(AND(N('Deal maths'!F88)&gt;AsAt,N('Deal maths'!E88)&lt;=AsAt,IF(N('Deal maths'!H88)&gt;0,N('Deal maths'!H88),N('Deal maths'!D88))&gt;0),N('Deal maths'!F88)+ROW()/1000000,"")</f>
        <v/>
      </c>
    </row>
    <row r="89">
      <c r="A89" s="91" t="n"/>
      <c r="B89" s="111">
        <f>IF(AND(N('Deal maths'!F89)&gt;AsAt,N('Deal maths'!E89)&lt;=AsAt),IF(N('Deal maths'!H89)&gt;0,N('Deal maths'!H89),N('Deal maths'!D89)),0)</f>
        <v/>
      </c>
      <c r="C89" s="91">
        <f>IF(B89&gt;0,IF('Deal maths'!C89="Local authority","Local authorities",LOWER(TRIM('Deal maths'!B89))),"")</f>
        <v/>
      </c>
      <c r="D89" s="91">
        <f>IF(C89="","",IF(COUNTIF($C$4:C88,C89)=0,SUMIF($C$4:$C$3997,C89,$B$4:$B$3997)-ROW()/1000000,""))</f>
        <v/>
      </c>
      <c r="E89" s="91">
        <f>IF(AND(N('Deal maths'!F89)&gt;AsAt,N('Deal maths'!E89)&lt;=AsAt,IF(N('Deal maths'!H89)&gt;0,N('Deal maths'!H89),N('Deal maths'!D89))&gt;0),N('Deal maths'!F89)+ROW()/1000000,"")</f>
        <v/>
      </c>
    </row>
    <row r="90">
      <c r="A90" s="91" t="n"/>
      <c r="B90" s="111">
        <f>IF(AND(N('Deal maths'!F90)&gt;AsAt,N('Deal maths'!E90)&lt;=AsAt),IF(N('Deal maths'!H90)&gt;0,N('Deal maths'!H90),N('Deal maths'!D90)),0)</f>
        <v/>
      </c>
      <c r="C90" s="91">
        <f>IF(B90&gt;0,IF('Deal maths'!C90="Local authority","Local authorities",LOWER(TRIM('Deal maths'!B90))),"")</f>
        <v/>
      </c>
      <c r="D90" s="91">
        <f>IF(C90="","",IF(COUNTIF($C$4:C89,C90)=0,SUMIF($C$4:$C$3997,C90,$B$4:$B$3997)-ROW()/1000000,""))</f>
        <v/>
      </c>
      <c r="E90" s="91">
        <f>IF(AND(N('Deal maths'!F90)&gt;AsAt,N('Deal maths'!E90)&lt;=AsAt,IF(N('Deal maths'!H90)&gt;0,N('Deal maths'!H90),N('Deal maths'!D90))&gt;0),N('Deal maths'!F90)+ROW()/1000000,"")</f>
        <v/>
      </c>
    </row>
    <row r="91">
      <c r="A91" s="91" t="n"/>
      <c r="B91" s="111">
        <f>IF(AND(N('Deal maths'!F91)&gt;AsAt,N('Deal maths'!E91)&lt;=AsAt),IF(N('Deal maths'!H91)&gt;0,N('Deal maths'!H91),N('Deal maths'!D91)),0)</f>
        <v/>
      </c>
      <c r="C91" s="91">
        <f>IF(B91&gt;0,IF('Deal maths'!C91="Local authority","Local authorities",LOWER(TRIM('Deal maths'!B91))),"")</f>
        <v/>
      </c>
      <c r="D91" s="91">
        <f>IF(C91="","",IF(COUNTIF($C$4:C90,C91)=0,SUMIF($C$4:$C$3997,C91,$B$4:$B$3997)-ROW()/1000000,""))</f>
        <v/>
      </c>
      <c r="E91" s="91">
        <f>IF(AND(N('Deal maths'!F91)&gt;AsAt,N('Deal maths'!E91)&lt;=AsAt,IF(N('Deal maths'!H91)&gt;0,N('Deal maths'!H91),N('Deal maths'!D91))&gt;0),N('Deal maths'!F91)+ROW()/1000000,"")</f>
        <v/>
      </c>
    </row>
    <row r="92">
      <c r="A92" s="91" t="n"/>
      <c r="B92" s="111">
        <f>IF(AND(N('Deal maths'!F92)&gt;AsAt,N('Deal maths'!E92)&lt;=AsAt),IF(N('Deal maths'!H92)&gt;0,N('Deal maths'!H92),N('Deal maths'!D92)),0)</f>
        <v/>
      </c>
      <c r="C92" s="91">
        <f>IF(B92&gt;0,IF('Deal maths'!C92="Local authority","Local authorities",LOWER(TRIM('Deal maths'!B92))),"")</f>
        <v/>
      </c>
      <c r="D92" s="91">
        <f>IF(C92="","",IF(COUNTIF($C$4:C91,C92)=0,SUMIF($C$4:$C$3997,C92,$B$4:$B$3997)-ROW()/1000000,""))</f>
        <v/>
      </c>
      <c r="E92" s="91">
        <f>IF(AND(N('Deal maths'!F92)&gt;AsAt,N('Deal maths'!E92)&lt;=AsAt,IF(N('Deal maths'!H92)&gt;0,N('Deal maths'!H92),N('Deal maths'!D92))&gt;0),N('Deal maths'!F92)+ROW()/1000000,"")</f>
        <v/>
      </c>
    </row>
    <row r="93">
      <c r="A93" s="91" t="n"/>
      <c r="B93" s="111">
        <f>IF(AND(N('Deal maths'!F93)&gt;AsAt,N('Deal maths'!E93)&lt;=AsAt),IF(N('Deal maths'!H93)&gt;0,N('Deal maths'!H93),N('Deal maths'!D93)),0)</f>
        <v/>
      </c>
      <c r="C93" s="91">
        <f>IF(B93&gt;0,IF('Deal maths'!C93="Local authority","Local authorities",LOWER(TRIM('Deal maths'!B93))),"")</f>
        <v/>
      </c>
      <c r="D93" s="91">
        <f>IF(C93="","",IF(COUNTIF($C$4:C92,C93)=0,SUMIF($C$4:$C$3997,C93,$B$4:$B$3997)-ROW()/1000000,""))</f>
        <v/>
      </c>
      <c r="E93" s="91">
        <f>IF(AND(N('Deal maths'!F93)&gt;AsAt,N('Deal maths'!E93)&lt;=AsAt,IF(N('Deal maths'!H93)&gt;0,N('Deal maths'!H93),N('Deal maths'!D93))&gt;0),N('Deal maths'!F93)+ROW()/1000000,"")</f>
        <v/>
      </c>
    </row>
    <row r="94">
      <c r="A94" s="91" t="n"/>
      <c r="B94" s="111">
        <f>IF(AND(N('Deal maths'!F94)&gt;AsAt,N('Deal maths'!E94)&lt;=AsAt),IF(N('Deal maths'!H94)&gt;0,N('Deal maths'!H94),N('Deal maths'!D94)),0)</f>
        <v/>
      </c>
      <c r="C94" s="91">
        <f>IF(B94&gt;0,IF('Deal maths'!C94="Local authority","Local authorities",LOWER(TRIM('Deal maths'!B94))),"")</f>
        <v/>
      </c>
      <c r="D94" s="91">
        <f>IF(C94="","",IF(COUNTIF($C$4:C93,C94)=0,SUMIF($C$4:$C$3997,C94,$B$4:$B$3997)-ROW()/1000000,""))</f>
        <v/>
      </c>
      <c r="E94" s="91">
        <f>IF(AND(N('Deal maths'!F94)&gt;AsAt,N('Deal maths'!E94)&lt;=AsAt,IF(N('Deal maths'!H94)&gt;0,N('Deal maths'!H94),N('Deal maths'!D94))&gt;0),N('Deal maths'!F94)+ROW()/1000000,"")</f>
        <v/>
      </c>
    </row>
    <row r="95">
      <c r="A95" s="91" t="n"/>
      <c r="B95" s="111">
        <f>IF(AND(N('Deal maths'!F95)&gt;AsAt,N('Deal maths'!E95)&lt;=AsAt),IF(N('Deal maths'!H95)&gt;0,N('Deal maths'!H95),N('Deal maths'!D95)),0)</f>
        <v/>
      </c>
      <c r="C95" s="91">
        <f>IF(B95&gt;0,IF('Deal maths'!C95="Local authority","Local authorities",LOWER(TRIM('Deal maths'!B95))),"")</f>
        <v/>
      </c>
      <c r="D95" s="91">
        <f>IF(C95="","",IF(COUNTIF($C$4:C94,C95)=0,SUMIF($C$4:$C$3997,C95,$B$4:$B$3997)-ROW()/1000000,""))</f>
        <v/>
      </c>
      <c r="E95" s="91">
        <f>IF(AND(N('Deal maths'!F95)&gt;AsAt,N('Deal maths'!E95)&lt;=AsAt,IF(N('Deal maths'!H95)&gt;0,N('Deal maths'!H95),N('Deal maths'!D95))&gt;0),N('Deal maths'!F95)+ROW()/1000000,"")</f>
        <v/>
      </c>
    </row>
    <row r="96">
      <c r="A96" s="91" t="n"/>
      <c r="B96" s="111">
        <f>IF(AND(N('Deal maths'!F96)&gt;AsAt,N('Deal maths'!E96)&lt;=AsAt),IF(N('Deal maths'!H96)&gt;0,N('Deal maths'!H96),N('Deal maths'!D96)),0)</f>
        <v/>
      </c>
      <c r="C96" s="91">
        <f>IF(B96&gt;0,IF('Deal maths'!C96="Local authority","Local authorities",LOWER(TRIM('Deal maths'!B96))),"")</f>
        <v/>
      </c>
      <c r="D96" s="91">
        <f>IF(C96="","",IF(COUNTIF($C$4:C95,C96)=0,SUMIF($C$4:$C$3997,C96,$B$4:$B$3997)-ROW()/1000000,""))</f>
        <v/>
      </c>
      <c r="E96" s="91">
        <f>IF(AND(N('Deal maths'!F96)&gt;AsAt,N('Deal maths'!E96)&lt;=AsAt,IF(N('Deal maths'!H96)&gt;0,N('Deal maths'!H96),N('Deal maths'!D96))&gt;0),N('Deal maths'!F96)+ROW()/1000000,"")</f>
        <v/>
      </c>
    </row>
    <row r="97">
      <c r="A97" s="91" t="n"/>
      <c r="B97" s="111">
        <f>IF(AND(N('Deal maths'!F97)&gt;AsAt,N('Deal maths'!E97)&lt;=AsAt),IF(N('Deal maths'!H97)&gt;0,N('Deal maths'!H97),N('Deal maths'!D97)),0)</f>
        <v/>
      </c>
      <c r="C97" s="91">
        <f>IF(B97&gt;0,IF('Deal maths'!C97="Local authority","Local authorities",LOWER(TRIM('Deal maths'!B97))),"")</f>
        <v/>
      </c>
      <c r="D97" s="91">
        <f>IF(C97="","",IF(COUNTIF($C$4:C96,C97)=0,SUMIF($C$4:$C$3997,C97,$B$4:$B$3997)-ROW()/1000000,""))</f>
        <v/>
      </c>
      <c r="E97" s="91">
        <f>IF(AND(N('Deal maths'!F97)&gt;AsAt,N('Deal maths'!E97)&lt;=AsAt,IF(N('Deal maths'!H97)&gt;0,N('Deal maths'!H97),N('Deal maths'!D97))&gt;0),N('Deal maths'!F97)+ROW()/1000000,"")</f>
        <v/>
      </c>
    </row>
    <row r="98">
      <c r="A98" s="91" t="n"/>
      <c r="B98" s="111">
        <f>IF(AND(N('Deal maths'!F98)&gt;AsAt,N('Deal maths'!E98)&lt;=AsAt),IF(N('Deal maths'!H98)&gt;0,N('Deal maths'!H98),N('Deal maths'!D98)),0)</f>
        <v/>
      </c>
      <c r="C98" s="91">
        <f>IF(B98&gt;0,IF('Deal maths'!C98="Local authority","Local authorities",LOWER(TRIM('Deal maths'!B98))),"")</f>
        <v/>
      </c>
      <c r="D98" s="91">
        <f>IF(C98="","",IF(COUNTIF($C$4:C97,C98)=0,SUMIF($C$4:$C$3997,C98,$B$4:$B$3997)-ROW()/1000000,""))</f>
        <v/>
      </c>
      <c r="E98" s="91">
        <f>IF(AND(N('Deal maths'!F98)&gt;AsAt,N('Deal maths'!E98)&lt;=AsAt,IF(N('Deal maths'!H98)&gt;0,N('Deal maths'!H98),N('Deal maths'!D98))&gt;0),N('Deal maths'!F98)+ROW()/1000000,"")</f>
        <v/>
      </c>
    </row>
    <row r="99">
      <c r="A99" s="91" t="n"/>
      <c r="B99" s="111">
        <f>IF(AND(N('Deal maths'!F99)&gt;AsAt,N('Deal maths'!E99)&lt;=AsAt),IF(N('Deal maths'!H99)&gt;0,N('Deal maths'!H99),N('Deal maths'!D99)),0)</f>
        <v/>
      </c>
      <c r="C99" s="91">
        <f>IF(B99&gt;0,IF('Deal maths'!C99="Local authority","Local authorities",LOWER(TRIM('Deal maths'!B99))),"")</f>
        <v/>
      </c>
      <c r="D99" s="91">
        <f>IF(C99="","",IF(COUNTIF($C$4:C98,C99)=0,SUMIF($C$4:$C$3997,C99,$B$4:$B$3997)-ROW()/1000000,""))</f>
        <v/>
      </c>
      <c r="E99" s="91">
        <f>IF(AND(N('Deal maths'!F99)&gt;AsAt,N('Deal maths'!E99)&lt;=AsAt,IF(N('Deal maths'!H99)&gt;0,N('Deal maths'!H99),N('Deal maths'!D99))&gt;0),N('Deal maths'!F99)+ROW()/1000000,"")</f>
        <v/>
      </c>
    </row>
    <row r="100">
      <c r="A100" s="91" t="n"/>
      <c r="B100" s="111">
        <f>IF(AND(N('Deal maths'!F100)&gt;AsAt,N('Deal maths'!E100)&lt;=AsAt),IF(N('Deal maths'!H100)&gt;0,N('Deal maths'!H100),N('Deal maths'!D100)),0)</f>
        <v/>
      </c>
      <c r="C100" s="91">
        <f>IF(B100&gt;0,IF('Deal maths'!C100="Local authority","Local authorities",LOWER(TRIM('Deal maths'!B100))),"")</f>
        <v/>
      </c>
      <c r="D100" s="91">
        <f>IF(C100="","",IF(COUNTIF($C$4:C99,C100)=0,SUMIF($C$4:$C$3997,C100,$B$4:$B$3997)-ROW()/1000000,""))</f>
        <v/>
      </c>
      <c r="E100" s="91">
        <f>IF(AND(N('Deal maths'!F100)&gt;AsAt,N('Deal maths'!E100)&lt;=AsAt,IF(N('Deal maths'!H100)&gt;0,N('Deal maths'!H100),N('Deal maths'!D100))&gt;0),N('Deal maths'!F100)+ROW()/1000000,"")</f>
        <v/>
      </c>
    </row>
    <row r="101">
      <c r="A101" s="91" t="n"/>
      <c r="B101" s="111">
        <f>IF(AND(N('Deal maths'!F101)&gt;AsAt,N('Deal maths'!E101)&lt;=AsAt),IF(N('Deal maths'!H101)&gt;0,N('Deal maths'!H101),N('Deal maths'!D101)),0)</f>
        <v/>
      </c>
      <c r="C101" s="91">
        <f>IF(B101&gt;0,IF('Deal maths'!C101="Local authority","Local authorities",LOWER(TRIM('Deal maths'!B101))),"")</f>
        <v/>
      </c>
      <c r="D101" s="91">
        <f>IF(C101="","",IF(COUNTIF($C$4:C100,C101)=0,SUMIF($C$4:$C$3997,C101,$B$4:$B$3997)-ROW()/1000000,""))</f>
        <v/>
      </c>
      <c r="E101" s="91">
        <f>IF(AND(N('Deal maths'!F101)&gt;AsAt,N('Deal maths'!E101)&lt;=AsAt,IF(N('Deal maths'!H101)&gt;0,N('Deal maths'!H101),N('Deal maths'!D101))&gt;0),N('Deal maths'!F101)+ROW()/1000000,"")</f>
        <v/>
      </c>
    </row>
    <row r="102">
      <c r="A102" s="91" t="n"/>
      <c r="B102" s="111">
        <f>IF(AND(N('Deal maths'!F102)&gt;AsAt,N('Deal maths'!E102)&lt;=AsAt),IF(N('Deal maths'!H102)&gt;0,N('Deal maths'!H102),N('Deal maths'!D102)),0)</f>
        <v/>
      </c>
      <c r="C102" s="91">
        <f>IF(B102&gt;0,IF('Deal maths'!C102="Local authority","Local authorities",LOWER(TRIM('Deal maths'!B102))),"")</f>
        <v/>
      </c>
      <c r="D102" s="91">
        <f>IF(C102="","",IF(COUNTIF($C$4:C101,C102)=0,SUMIF($C$4:$C$3997,C102,$B$4:$B$3997)-ROW()/1000000,""))</f>
        <v/>
      </c>
      <c r="E102" s="91">
        <f>IF(AND(N('Deal maths'!F102)&gt;AsAt,N('Deal maths'!E102)&lt;=AsAt,IF(N('Deal maths'!H102)&gt;0,N('Deal maths'!H102),N('Deal maths'!D102))&gt;0),N('Deal maths'!F102)+ROW()/1000000,"")</f>
        <v/>
      </c>
    </row>
    <row r="103">
      <c r="A103" s="91" t="n"/>
      <c r="B103" s="111">
        <f>IF(AND(N('Deal maths'!F103)&gt;AsAt,N('Deal maths'!E103)&lt;=AsAt),IF(N('Deal maths'!H103)&gt;0,N('Deal maths'!H103),N('Deal maths'!D103)),0)</f>
        <v/>
      </c>
      <c r="C103" s="91">
        <f>IF(B103&gt;0,IF('Deal maths'!C103="Local authority","Local authorities",LOWER(TRIM('Deal maths'!B103))),"")</f>
        <v/>
      </c>
      <c r="D103" s="91">
        <f>IF(C103="","",IF(COUNTIF($C$4:C102,C103)=0,SUMIF($C$4:$C$3997,C103,$B$4:$B$3997)-ROW()/1000000,""))</f>
        <v/>
      </c>
      <c r="E103" s="91">
        <f>IF(AND(N('Deal maths'!F103)&gt;AsAt,N('Deal maths'!E103)&lt;=AsAt,IF(N('Deal maths'!H103)&gt;0,N('Deal maths'!H103),N('Deal maths'!D103))&gt;0),N('Deal maths'!F103)+ROW()/1000000,"")</f>
        <v/>
      </c>
    </row>
    <row r="104">
      <c r="A104" s="91" t="n"/>
      <c r="B104" s="111">
        <f>IF(AND(N('Deal maths'!F104)&gt;AsAt,N('Deal maths'!E104)&lt;=AsAt),IF(N('Deal maths'!H104)&gt;0,N('Deal maths'!H104),N('Deal maths'!D104)),0)</f>
        <v/>
      </c>
      <c r="C104" s="91">
        <f>IF(B104&gt;0,IF('Deal maths'!C104="Local authority","Local authorities",LOWER(TRIM('Deal maths'!B104))),"")</f>
        <v/>
      </c>
      <c r="D104" s="91">
        <f>IF(C104="","",IF(COUNTIF($C$4:C103,C104)=0,SUMIF($C$4:$C$3997,C104,$B$4:$B$3997)-ROW()/1000000,""))</f>
        <v/>
      </c>
      <c r="E104" s="91">
        <f>IF(AND(N('Deal maths'!F104)&gt;AsAt,N('Deal maths'!E104)&lt;=AsAt,IF(N('Deal maths'!H104)&gt;0,N('Deal maths'!H104),N('Deal maths'!D104))&gt;0),N('Deal maths'!F104)+ROW()/1000000,"")</f>
        <v/>
      </c>
    </row>
    <row r="105">
      <c r="A105" s="91" t="n"/>
      <c r="B105" s="111">
        <f>IF(AND(N('Deal maths'!F105)&gt;AsAt,N('Deal maths'!E105)&lt;=AsAt),IF(N('Deal maths'!H105)&gt;0,N('Deal maths'!H105),N('Deal maths'!D105)),0)</f>
        <v/>
      </c>
      <c r="C105" s="91">
        <f>IF(B105&gt;0,IF('Deal maths'!C105="Local authority","Local authorities",LOWER(TRIM('Deal maths'!B105))),"")</f>
        <v/>
      </c>
      <c r="D105" s="91">
        <f>IF(C105="","",IF(COUNTIF($C$4:C104,C105)=0,SUMIF($C$4:$C$3997,C105,$B$4:$B$3997)-ROW()/1000000,""))</f>
        <v/>
      </c>
      <c r="E105" s="91">
        <f>IF(AND(N('Deal maths'!F105)&gt;AsAt,N('Deal maths'!E105)&lt;=AsAt,IF(N('Deal maths'!H105)&gt;0,N('Deal maths'!H105),N('Deal maths'!D105))&gt;0),N('Deal maths'!F105)+ROW()/1000000,"")</f>
        <v/>
      </c>
    </row>
    <row r="106">
      <c r="A106" s="91" t="n"/>
      <c r="B106" s="111">
        <f>IF(AND(N('Deal maths'!F106)&gt;AsAt,N('Deal maths'!E106)&lt;=AsAt),IF(N('Deal maths'!H106)&gt;0,N('Deal maths'!H106),N('Deal maths'!D106)),0)</f>
        <v/>
      </c>
      <c r="C106" s="91">
        <f>IF(B106&gt;0,IF('Deal maths'!C106="Local authority","Local authorities",LOWER(TRIM('Deal maths'!B106))),"")</f>
        <v/>
      </c>
      <c r="D106" s="91">
        <f>IF(C106="","",IF(COUNTIF($C$4:C105,C106)=0,SUMIF($C$4:$C$3997,C106,$B$4:$B$3997)-ROW()/1000000,""))</f>
        <v/>
      </c>
      <c r="E106" s="91">
        <f>IF(AND(N('Deal maths'!F106)&gt;AsAt,N('Deal maths'!E106)&lt;=AsAt,IF(N('Deal maths'!H106)&gt;0,N('Deal maths'!H106),N('Deal maths'!D106))&gt;0),N('Deal maths'!F106)+ROW()/1000000,"")</f>
        <v/>
      </c>
    </row>
    <row r="107">
      <c r="A107" s="91" t="n"/>
      <c r="B107" s="111">
        <f>IF(AND(N('Deal maths'!F107)&gt;AsAt,N('Deal maths'!E107)&lt;=AsAt),IF(N('Deal maths'!H107)&gt;0,N('Deal maths'!H107),N('Deal maths'!D107)),0)</f>
        <v/>
      </c>
      <c r="C107" s="91">
        <f>IF(B107&gt;0,IF('Deal maths'!C107="Local authority","Local authorities",LOWER(TRIM('Deal maths'!B107))),"")</f>
        <v/>
      </c>
      <c r="D107" s="91">
        <f>IF(C107="","",IF(COUNTIF($C$4:C106,C107)=0,SUMIF($C$4:$C$3997,C107,$B$4:$B$3997)-ROW()/1000000,""))</f>
        <v/>
      </c>
      <c r="E107" s="91">
        <f>IF(AND(N('Deal maths'!F107)&gt;AsAt,N('Deal maths'!E107)&lt;=AsAt,IF(N('Deal maths'!H107)&gt;0,N('Deal maths'!H107),N('Deal maths'!D107))&gt;0),N('Deal maths'!F107)+ROW()/1000000,"")</f>
        <v/>
      </c>
    </row>
    <row r="108">
      <c r="A108" s="91" t="n"/>
      <c r="B108" s="111">
        <f>IF(AND(N('Deal maths'!F108)&gt;AsAt,N('Deal maths'!E108)&lt;=AsAt),IF(N('Deal maths'!H108)&gt;0,N('Deal maths'!H108),N('Deal maths'!D108)),0)</f>
        <v/>
      </c>
      <c r="C108" s="91">
        <f>IF(B108&gt;0,IF('Deal maths'!C108="Local authority","Local authorities",LOWER(TRIM('Deal maths'!B108))),"")</f>
        <v/>
      </c>
      <c r="D108" s="91">
        <f>IF(C108="","",IF(COUNTIF($C$4:C107,C108)=0,SUMIF($C$4:$C$3997,C108,$B$4:$B$3997)-ROW()/1000000,""))</f>
        <v/>
      </c>
      <c r="E108" s="91">
        <f>IF(AND(N('Deal maths'!F108)&gt;AsAt,N('Deal maths'!E108)&lt;=AsAt,IF(N('Deal maths'!H108)&gt;0,N('Deal maths'!H108),N('Deal maths'!D108))&gt;0),N('Deal maths'!F108)+ROW()/1000000,"")</f>
        <v/>
      </c>
    </row>
    <row r="109">
      <c r="A109" s="91" t="n"/>
      <c r="B109" s="111">
        <f>IF(AND(N('Deal maths'!F109)&gt;AsAt,N('Deal maths'!E109)&lt;=AsAt),IF(N('Deal maths'!H109)&gt;0,N('Deal maths'!H109),N('Deal maths'!D109)),0)</f>
        <v/>
      </c>
      <c r="C109" s="91">
        <f>IF(B109&gt;0,IF('Deal maths'!C109="Local authority","Local authorities",LOWER(TRIM('Deal maths'!B109))),"")</f>
        <v/>
      </c>
      <c r="D109" s="91">
        <f>IF(C109="","",IF(COUNTIF($C$4:C108,C109)=0,SUMIF($C$4:$C$3997,C109,$B$4:$B$3997)-ROW()/1000000,""))</f>
        <v/>
      </c>
      <c r="E109" s="91">
        <f>IF(AND(N('Deal maths'!F109)&gt;AsAt,N('Deal maths'!E109)&lt;=AsAt,IF(N('Deal maths'!H109)&gt;0,N('Deal maths'!H109),N('Deal maths'!D109))&gt;0),N('Deal maths'!F109)+ROW()/1000000,"")</f>
        <v/>
      </c>
    </row>
    <row r="110">
      <c r="A110" s="91" t="n"/>
      <c r="B110" s="111">
        <f>IF(AND(N('Deal maths'!F110)&gt;AsAt,N('Deal maths'!E110)&lt;=AsAt),IF(N('Deal maths'!H110)&gt;0,N('Deal maths'!H110),N('Deal maths'!D110)),0)</f>
        <v/>
      </c>
      <c r="C110" s="91">
        <f>IF(B110&gt;0,IF('Deal maths'!C110="Local authority","Local authorities",LOWER(TRIM('Deal maths'!B110))),"")</f>
        <v/>
      </c>
      <c r="D110" s="91">
        <f>IF(C110="","",IF(COUNTIF($C$4:C109,C110)=0,SUMIF($C$4:$C$3997,C110,$B$4:$B$3997)-ROW()/1000000,""))</f>
        <v/>
      </c>
      <c r="E110" s="91">
        <f>IF(AND(N('Deal maths'!F110)&gt;AsAt,N('Deal maths'!E110)&lt;=AsAt,IF(N('Deal maths'!H110)&gt;0,N('Deal maths'!H110),N('Deal maths'!D110))&gt;0),N('Deal maths'!F110)+ROW()/1000000,"")</f>
        <v/>
      </c>
    </row>
    <row r="111">
      <c r="A111" s="91" t="n"/>
      <c r="B111" s="111">
        <f>IF(AND(N('Deal maths'!F111)&gt;AsAt,N('Deal maths'!E111)&lt;=AsAt),IF(N('Deal maths'!H111)&gt;0,N('Deal maths'!H111),N('Deal maths'!D111)),0)</f>
        <v/>
      </c>
      <c r="C111" s="91">
        <f>IF(B111&gt;0,IF('Deal maths'!C111="Local authority","Local authorities",LOWER(TRIM('Deal maths'!B111))),"")</f>
        <v/>
      </c>
      <c r="D111" s="91">
        <f>IF(C111="","",IF(COUNTIF($C$4:C110,C111)=0,SUMIF($C$4:$C$3997,C111,$B$4:$B$3997)-ROW()/1000000,""))</f>
        <v/>
      </c>
      <c r="E111" s="91">
        <f>IF(AND(N('Deal maths'!F111)&gt;AsAt,N('Deal maths'!E111)&lt;=AsAt,IF(N('Deal maths'!H111)&gt;0,N('Deal maths'!H111),N('Deal maths'!D111))&gt;0),N('Deal maths'!F111)+ROW()/1000000,"")</f>
        <v/>
      </c>
    </row>
    <row r="112">
      <c r="A112" s="91" t="n"/>
      <c r="B112" s="111">
        <f>IF(AND(N('Deal maths'!F112)&gt;AsAt,N('Deal maths'!E112)&lt;=AsAt),IF(N('Deal maths'!H112)&gt;0,N('Deal maths'!H112),N('Deal maths'!D112)),0)</f>
        <v/>
      </c>
      <c r="C112" s="91">
        <f>IF(B112&gt;0,IF('Deal maths'!C112="Local authority","Local authorities",LOWER(TRIM('Deal maths'!B112))),"")</f>
        <v/>
      </c>
      <c r="D112" s="91">
        <f>IF(C112="","",IF(COUNTIF($C$4:C111,C112)=0,SUMIF($C$4:$C$3997,C112,$B$4:$B$3997)-ROW()/1000000,""))</f>
        <v/>
      </c>
      <c r="E112" s="91">
        <f>IF(AND(N('Deal maths'!F112)&gt;AsAt,N('Deal maths'!E112)&lt;=AsAt,IF(N('Deal maths'!H112)&gt;0,N('Deal maths'!H112),N('Deal maths'!D112))&gt;0),N('Deal maths'!F112)+ROW()/1000000,"")</f>
        <v/>
      </c>
    </row>
    <row r="113">
      <c r="A113" s="91" t="n"/>
      <c r="B113" s="111">
        <f>IF(AND(N('Deal maths'!F113)&gt;AsAt,N('Deal maths'!E113)&lt;=AsAt),IF(N('Deal maths'!H113)&gt;0,N('Deal maths'!H113),N('Deal maths'!D113)),0)</f>
        <v/>
      </c>
      <c r="C113" s="91">
        <f>IF(B113&gt;0,IF('Deal maths'!C113="Local authority","Local authorities",LOWER(TRIM('Deal maths'!B113))),"")</f>
        <v/>
      </c>
      <c r="D113" s="91">
        <f>IF(C113="","",IF(COUNTIF($C$4:C112,C113)=0,SUMIF($C$4:$C$3997,C113,$B$4:$B$3997)-ROW()/1000000,""))</f>
        <v/>
      </c>
      <c r="E113" s="91">
        <f>IF(AND(N('Deal maths'!F113)&gt;AsAt,N('Deal maths'!E113)&lt;=AsAt,IF(N('Deal maths'!H113)&gt;0,N('Deal maths'!H113),N('Deal maths'!D113))&gt;0),N('Deal maths'!F113)+ROW()/1000000,"")</f>
        <v/>
      </c>
    </row>
    <row r="114">
      <c r="A114" s="91" t="n"/>
      <c r="B114" s="111">
        <f>IF(AND(N('Deal maths'!F114)&gt;AsAt,N('Deal maths'!E114)&lt;=AsAt),IF(N('Deal maths'!H114)&gt;0,N('Deal maths'!H114),N('Deal maths'!D114)),0)</f>
        <v/>
      </c>
      <c r="C114" s="91">
        <f>IF(B114&gt;0,IF('Deal maths'!C114="Local authority","Local authorities",LOWER(TRIM('Deal maths'!B114))),"")</f>
        <v/>
      </c>
      <c r="D114" s="91">
        <f>IF(C114="","",IF(COUNTIF($C$4:C113,C114)=0,SUMIF($C$4:$C$3997,C114,$B$4:$B$3997)-ROW()/1000000,""))</f>
        <v/>
      </c>
      <c r="E114" s="91">
        <f>IF(AND(N('Deal maths'!F114)&gt;AsAt,N('Deal maths'!E114)&lt;=AsAt,IF(N('Deal maths'!H114)&gt;0,N('Deal maths'!H114),N('Deal maths'!D114))&gt;0),N('Deal maths'!F114)+ROW()/1000000,"")</f>
        <v/>
      </c>
    </row>
    <row r="115">
      <c r="A115" s="91" t="n"/>
      <c r="B115" s="111">
        <f>IF(AND(N('Deal maths'!F115)&gt;AsAt,N('Deal maths'!E115)&lt;=AsAt),IF(N('Deal maths'!H115)&gt;0,N('Deal maths'!H115),N('Deal maths'!D115)),0)</f>
        <v/>
      </c>
      <c r="C115" s="91">
        <f>IF(B115&gt;0,IF('Deal maths'!C115="Local authority","Local authorities",LOWER(TRIM('Deal maths'!B115))),"")</f>
        <v/>
      </c>
      <c r="D115" s="91">
        <f>IF(C115="","",IF(COUNTIF($C$4:C114,C115)=0,SUMIF($C$4:$C$3997,C115,$B$4:$B$3997)-ROW()/1000000,""))</f>
        <v/>
      </c>
      <c r="E115" s="91">
        <f>IF(AND(N('Deal maths'!F115)&gt;AsAt,N('Deal maths'!E115)&lt;=AsAt,IF(N('Deal maths'!H115)&gt;0,N('Deal maths'!H115),N('Deal maths'!D115))&gt;0),N('Deal maths'!F115)+ROW()/1000000,"")</f>
        <v/>
      </c>
    </row>
    <row r="116">
      <c r="A116" s="91" t="n"/>
      <c r="B116" s="111">
        <f>IF(AND(N('Deal maths'!F116)&gt;AsAt,N('Deal maths'!E116)&lt;=AsAt),IF(N('Deal maths'!H116)&gt;0,N('Deal maths'!H116),N('Deal maths'!D116)),0)</f>
        <v/>
      </c>
      <c r="C116" s="91">
        <f>IF(B116&gt;0,IF('Deal maths'!C116="Local authority","Local authorities",LOWER(TRIM('Deal maths'!B116))),"")</f>
        <v/>
      </c>
      <c r="D116" s="91">
        <f>IF(C116="","",IF(COUNTIF($C$4:C115,C116)=0,SUMIF($C$4:$C$3997,C116,$B$4:$B$3997)-ROW()/1000000,""))</f>
        <v/>
      </c>
      <c r="E116" s="91">
        <f>IF(AND(N('Deal maths'!F116)&gt;AsAt,N('Deal maths'!E116)&lt;=AsAt,IF(N('Deal maths'!H116)&gt;0,N('Deal maths'!H116),N('Deal maths'!D116))&gt;0),N('Deal maths'!F116)+ROW()/1000000,"")</f>
        <v/>
      </c>
    </row>
    <row r="117">
      <c r="A117" s="91" t="n"/>
      <c r="B117" s="111">
        <f>IF(AND(N('Deal maths'!F117)&gt;AsAt,N('Deal maths'!E117)&lt;=AsAt),IF(N('Deal maths'!H117)&gt;0,N('Deal maths'!H117),N('Deal maths'!D117)),0)</f>
        <v/>
      </c>
      <c r="C117" s="91">
        <f>IF(B117&gt;0,IF('Deal maths'!C117="Local authority","Local authorities",LOWER(TRIM('Deal maths'!B117))),"")</f>
        <v/>
      </c>
      <c r="D117" s="91">
        <f>IF(C117="","",IF(COUNTIF($C$4:C116,C117)=0,SUMIF($C$4:$C$3997,C117,$B$4:$B$3997)-ROW()/1000000,""))</f>
        <v/>
      </c>
      <c r="E117" s="91">
        <f>IF(AND(N('Deal maths'!F117)&gt;AsAt,N('Deal maths'!E117)&lt;=AsAt,IF(N('Deal maths'!H117)&gt;0,N('Deal maths'!H117),N('Deal maths'!D117))&gt;0),N('Deal maths'!F117)+ROW()/1000000,"")</f>
        <v/>
      </c>
    </row>
    <row r="118">
      <c r="A118" s="91" t="n"/>
      <c r="B118" s="111">
        <f>IF(AND(N('Deal maths'!F118)&gt;AsAt,N('Deal maths'!E118)&lt;=AsAt),IF(N('Deal maths'!H118)&gt;0,N('Deal maths'!H118),N('Deal maths'!D118)),0)</f>
        <v/>
      </c>
      <c r="C118" s="91">
        <f>IF(B118&gt;0,IF('Deal maths'!C118="Local authority","Local authorities",LOWER(TRIM('Deal maths'!B118))),"")</f>
        <v/>
      </c>
      <c r="D118" s="91">
        <f>IF(C118="","",IF(COUNTIF($C$4:C117,C118)=0,SUMIF($C$4:$C$3997,C118,$B$4:$B$3997)-ROW()/1000000,""))</f>
        <v/>
      </c>
      <c r="E118" s="91">
        <f>IF(AND(N('Deal maths'!F118)&gt;AsAt,N('Deal maths'!E118)&lt;=AsAt,IF(N('Deal maths'!H118)&gt;0,N('Deal maths'!H118),N('Deal maths'!D118))&gt;0),N('Deal maths'!F118)+ROW()/1000000,"")</f>
        <v/>
      </c>
    </row>
    <row r="119">
      <c r="A119" s="91" t="n"/>
      <c r="B119" s="111">
        <f>IF(AND(N('Deal maths'!F119)&gt;AsAt,N('Deal maths'!E119)&lt;=AsAt),IF(N('Deal maths'!H119)&gt;0,N('Deal maths'!H119),N('Deal maths'!D119)),0)</f>
        <v/>
      </c>
      <c r="C119" s="91">
        <f>IF(B119&gt;0,IF('Deal maths'!C119="Local authority","Local authorities",LOWER(TRIM('Deal maths'!B119))),"")</f>
        <v/>
      </c>
      <c r="D119" s="91">
        <f>IF(C119="","",IF(COUNTIF($C$4:C118,C119)=0,SUMIF($C$4:$C$3997,C119,$B$4:$B$3997)-ROW()/1000000,""))</f>
        <v/>
      </c>
      <c r="E119" s="91">
        <f>IF(AND(N('Deal maths'!F119)&gt;AsAt,N('Deal maths'!E119)&lt;=AsAt,IF(N('Deal maths'!H119)&gt;0,N('Deal maths'!H119),N('Deal maths'!D119))&gt;0),N('Deal maths'!F119)+ROW()/1000000,"")</f>
        <v/>
      </c>
    </row>
    <row r="120">
      <c r="A120" s="91" t="n"/>
      <c r="B120" s="111">
        <f>IF(AND(N('Deal maths'!F120)&gt;AsAt,N('Deal maths'!E120)&lt;=AsAt),IF(N('Deal maths'!H120)&gt;0,N('Deal maths'!H120),N('Deal maths'!D120)),0)</f>
        <v/>
      </c>
      <c r="C120" s="91">
        <f>IF(B120&gt;0,IF('Deal maths'!C120="Local authority","Local authorities",LOWER(TRIM('Deal maths'!B120))),"")</f>
        <v/>
      </c>
      <c r="D120" s="91">
        <f>IF(C120="","",IF(COUNTIF($C$4:C119,C120)=0,SUMIF($C$4:$C$3997,C120,$B$4:$B$3997)-ROW()/1000000,""))</f>
        <v/>
      </c>
      <c r="E120" s="91">
        <f>IF(AND(N('Deal maths'!F120)&gt;AsAt,N('Deal maths'!E120)&lt;=AsAt,IF(N('Deal maths'!H120)&gt;0,N('Deal maths'!H120),N('Deal maths'!D120))&gt;0),N('Deal maths'!F120)+ROW()/1000000,"")</f>
        <v/>
      </c>
    </row>
    <row r="121">
      <c r="A121" s="91" t="n"/>
      <c r="B121" s="111">
        <f>IF(AND(N('Deal maths'!F121)&gt;AsAt,N('Deal maths'!E121)&lt;=AsAt),IF(N('Deal maths'!H121)&gt;0,N('Deal maths'!H121),N('Deal maths'!D121)),0)</f>
        <v/>
      </c>
      <c r="C121" s="91">
        <f>IF(B121&gt;0,IF('Deal maths'!C121="Local authority","Local authorities",LOWER(TRIM('Deal maths'!B121))),"")</f>
        <v/>
      </c>
      <c r="D121" s="91">
        <f>IF(C121="","",IF(COUNTIF($C$4:C120,C121)=0,SUMIF($C$4:$C$3997,C121,$B$4:$B$3997)-ROW()/1000000,""))</f>
        <v/>
      </c>
      <c r="E121" s="91">
        <f>IF(AND(N('Deal maths'!F121)&gt;AsAt,N('Deal maths'!E121)&lt;=AsAt,IF(N('Deal maths'!H121)&gt;0,N('Deal maths'!H121),N('Deal maths'!D121))&gt;0),N('Deal maths'!F121)+ROW()/1000000,"")</f>
        <v/>
      </c>
    </row>
    <row r="122">
      <c r="A122" s="91" t="n"/>
      <c r="B122" s="111">
        <f>IF(AND(N('Deal maths'!F122)&gt;AsAt,N('Deal maths'!E122)&lt;=AsAt),IF(N('Deal maths'!H122)&gt;0,N('Deal maths'!H122),N('Deal maths'!D122)),0)</f>
        <v/>
      </c>
      <c r="C122" s="91">
        <f>IF(B122&gt;0,IF('Deal maths'!C122="Local authority","Local authorities",LOWER(TRIM('Deal maths'!B122))),"")</f>
        <v/>
      </c>
      <c r="D122" s="91">
        <f>IF(C122="","",IF(COUNTIF($C$4:C121,C122)=0,SUMIF($C$4:$C$3997,C122,$B$4:$B$3997)-ROW()/1000000,""))</f>
        <v/>
      </c>
      <c r="E122" s="91">
        <f>IF(AND(N('Deal maths'!F122)&gt;AsAt,N('Deal maths'!E122)&lt;=AsAt,IF(N('Deal maths'!H122)&gt;0,N('Deal maths'!H122),N('Deal maths'!D122))&gt;0),N('Deal maths'!F122)+ROW()/1000000,"")</f>
        <v/>
      </c>
    </row>
    <row r="123">
      <c r="A123" s="91" t="n"/>
      <c r="B123" s="111">
        <f>IF(AND(N('Deal maths'!F123)&gt;AsAt,N('Deal maths'!E123)&lt;=AsAt),IF(N('Deal maths'!H123)&gt;0,N('Deal maths'!H123),N('Deal maths'!D123)),0)</f>
        <v/>
      </c>
      <c r="C123" s="91">
        <f>IF(B123&gt;0,IF('Deal maths'!C123="Local authority","Local authorities",LOWER(TRIM('Deal maths'!B123))),"")</f>
        <v/>
      </c>
      <c r="D123" s="91">
        <f>IF(C123="","",IF(COUNTIF($C$4:C122,C123)=0,SUMIF($C$4:$C$3997,C123,$B$4:$B$3997)-ROW()/1000000,""))</f>
        <v/>
      </c>
      <c r="E123" s="91">
        <f>IF(AND(N('Deal maths'!F123)&gt;AsAt,N('Deal maths'!E123)&lt;=AsAt,IF(N('Deal maths'!H123)&gt;0,N('Deal maths'!H123),N('Deal maths'!D123))&gt;0),N('Deal maths'!F123)+ROW()/1000000,"")</f>
        <v/>
      </c>
    </row>
    <row r="124">
      <c r="A124" s="91" t="n"/>
      <c r="B124" s="111">
        <f>IF(AND(N('Deal maths'!F124)&gt;AsAt,N('Deal maths'!E124)&lt;=AsAt),IF(N('Deal maths'!H124)&gt;0,N('Deal maths'!H124),N('Deal maths'!D124)),0)</f>
        <v/>
      </c>
      <c r="C124" s="91">
        <f>IF(B124&gt;0,IF('Deal maths'!C124="Local authority","Local authorities",LOWER(TRIM('Deal maths'!B124))),"")</f>
        <v/>
      </c>
      <c r="D124" s="91">
        <f>IF(C124="","",IF(COUNTIF($C$4:C123,C124)=0,SUMIF($C$4:$C$3997,C124,$B$4:$B$3997)-ROW()/1000000,""))</f>
        <v/>
      </c>
      <c r="E124" s="91">
        <f>IF(AND(N('Deal maths'!F124)&gt;AsAt,N('Deal maths'!E124)&lt;=AsAt,IF(N('Deal maths'!H124)&gt;0,N('Deal maths'!H124),N('Deal maths'!D124))&gt;0),N('Deal maths'!F124)+ROW()/1000000,"")</f>
        <v/>
      </c>
    </row>
    <row r="125">
      <c r="A125" s="91" t="n"/>
      <c r="B125" s="111">
        <f>IF(AND(N('Deal maths'!F125)&gt;AsAt,N('Deal maths'!E125)&lt;=AsAt),IF(N('Deal maths'!H125)&gt;0,N('Deal maths'!H125),N('Deal maths'!D125)),0)</f>
        <v/>
      </c>
      <c r="C125" s="91">
        <f>IF(B125&gt;0,IF('Deal maths'!C125="Local authority","Local authorities",LOWER(TRIM('Deal maths'!B125))),"")</f>
        <v/>
      </c>
      <c r="D125" s="91">
        <f>IF(C125="","",IF(COUNTIF($C$4:C124,C125)=0,SUMIF($C$4:$C$3997,C125,$B$4:$B$3997)-ROW()/1000000,""))</f>
        <v/>
      </c>
      <c r="E125" s="91">
        <f>IF(AND(N('Deal maths'!F125)&gt;AsAt,N('Deal maths'!E125)&lt;=AsAt,IF(N('Deal maths'!H125)&gt;0,N('Deal maths'!H125),N('Deal maths'!D125))&gt;0),N('Deal maths'!F125)+ROW()/1000000,"")</f>
        <v/>
      </c>
    </row>
    <row r="126">
      <c r="A126" s="91" t="n"/>
      <c r="B126" s="111">
        <f>IF(AND(N('Deal maths'!F126)&gt;AsAt,N('Deal maths'!E126)&lt;=AsAt),IF(N('Deal maths'!H126)&gt;0,N('Deal maths'!H126),N('Deal maths'!D126)),0)</f>
        <v/>
      </c>
      <c r="C126" s="91">
        <f>IF(B126&gt;0,IF('Deal maths'!C126="Local authority","Local authorities",LOWER(TRIM('Deal maths'!B126))),"")</f>
        <v/>
      </c>
      <c r="D126" s="91">
        <f>IF(C126="","",IF(COUNTIF($C$4:C125,C126)=0,SUMIF($C$4:$C$3997,C126,$B$4:$B$3997)-ROW()/1000000,""))</f>
        <v/>
      </c>
      <c r="E126" s="91">
        <f>IF(AND(N('Deal maths'!F126)&gt;AsAt,N('Deal maths'!E126)&lt;=AsAt,IF(N('Deal maths'!H126)&gt;0,N('Deal maths'!H126),N('Deal maths'!D126))&gt;0),N('Deal maths'!F126)+ROW()/1000000,"")</f>
        <v/>
      </c>
    </row>
    <row r="127">
      <c r="A127" s="91" t="n"/>
      <c r="B127" s="111">
        <f>IF(AND(N('Deal maths'!F127)&gt;AsAt,N('Deal maths'!E127)&lt;=AsAt),IF(N('Deal maths'!H127)&gt;0,N('Deal maths'!H127),N('Deal maths'!D127)),0)</f>
        <v/>
      </c>
      <c r="C127" s="91">
        <f>IF(B127&gt;0,IF('Deal maths'!C127="Local authority","Local authorities",LOWER(TRIM('Deal maths'!B127))),"")</f>
        <v/>
      </c>
      <c r="D127" s="91">
        <f>IF(C127="","",IF(COUNTIF($C$4:C126,C127)=0,SUMIF($C$4:$C$3997,C127,$B$4:$B$3997)-ROW()/1000000,""))</f>
        <v/>
      </c>
      <c r="E127" s="91">
        <f>IF(AND(N('Deal maths'!F127)&gt;AsAt,N('Deal maths'!E127)&lt;=AsAt,IF(N('Deal maths'!H127)&gt;0,N('Deal maths'!H127),N('Deal maths'!D127))&gt;0),N('Deal maths'!F127)+ROW()/1000000,"")</f>
        <v/>
      </c>
    </row>
    <row r="128">
      <c r="A128" s="91" t="n"/>
      <c r="B128" s="111">
        <f>IF(AND(N('Deal maths'!F128)&gt;AsAt,N('Deal maths'!E128)&lt;=AsAt),IF(N('Deal maths'!H128)&gt;0,N('Deal maths'!H128),N('Deal maths'!D128)),0)</f>
        <v/>
      </c>
      <c r="C128" s="91">
        <f>IF(B128&gt;0,IF('Deal maths'!C128="Local authority","Local authorities",LOWER(TRIM('Deal maths'!B128))),"")</f>
        <v/>
      </c>
      <c r="D128" s="91">
        <f>IF(C128="","",IF(COUNTIF($C$4:C127,C128)=0,SUMIF($C$4:$C$3997,C128,$B$4:$B$3997)-ROW()/1000000,""))</f>
        <v/>
      </c>
      <c r="E128" s="91">
        <f>IF(AND(N('Deal maths'!F128)&gt;AsAt,N('Deal maths'!E128)&lt;=AsAt,IF(N('Deal maths'!H128)&gt;0,N('Deal maths'!H128),N('Deal maths'!D128))&gt;0),N('Deal maths'!F128)+ROW()/1000000,"")</f>
        <v/>
      </c>
    </row>
    <row r="129">
      <c r="A129" s="91" t="n"/>
      <c r="B129" s="111">
        <f>IF(AND(N('Deal maths'!F129)&gt;AsAt,N('Deal maths'!E129)&lt;=AsAt),IF(N('Deal maths'!H129)&gt;0,N('Deal maths'!H129),N('Deal maths'!D129)),0)</f>
        <v/>
      </c>
      <c r="C129" s="91">
        <f>IF(B129&gt;0,IF('Deal maths'!C129="Local authority","Local authorities",LOWER(TRIM('Deal maths'!B129))),"")</f>
        <v/>
      </c>
      <c r="D129" s="91">
        <f>IF(C129="","",IF(COUNTIF($C$4:C128,C129)=0,SUMIF($C$4:$C$3997,C129,$B$4:$B$3997)-ROW()/1000000,""))</f>
        <v/>
      </c>
      <c r="E129" s="91">
        <f>IF(AND(N('Deal maths'!F129)&gt;AsAt,N('Deal maths'!E129)&lt;=AsAt,IF(N('Deal maths'!H129)&gt;0,N('Deal maths'!H129),N('Deal maths'!D129))&gt;0),N('Deal maths'!F129)+ROW()/1000000,"")</f>
        <v/>
      </c>
    </row>
    <row r="130">
      <c r="A130" s="91" t="n"/>
      <c r="B130" s="111">
        <f>IF(AND(N('Deal maths'!F130)&gt;AsAt,N('Deal maths'!E130)&lt;=AsAt),IF(N('Deal maths'!H130)&gt;0,N('Deal maths'!H130),N('Deal maths'!D130)),0)</f>
        <v/>
      </c>
      <c r="C130" s="91">
        <f>IF(B130&gt;0,IF('Deal maths'!C130="Local authority","Local authorities",LOWER(TRIM('Deal maths'!B130))),"")</f>
        <v/>
      </c>
      <c r="D130" s="91">
        <f>IF(C130="","",IF(COUNTIF($C$4:C129,C130)=0,SUMIF($C$4:$C$3997,C130,$B$4:$B$3997)-ROW()/1000000,""))</f>
        <v/>
      </c>
      <c r="E130" s="91">
        <f>IF(AND(N('Deal maths'!F130)&gt;AsAt,N('Deal maths'!E130)&lt;=AsAt,IF(N('Deal maths'!H130)&gt;0,N('Deal maths'!H130),N('Deal maths'!D130))&gt;0),N('Deal maths'!F130)+ROW()/1000000,"")</f>
        <v/>
      </c>
    </row>
    <row r="131">
      <c r="A131" s="91" t="n"/>
      <c r="B131" s="111">
        <f>IF(AND(N('Deal maths'!F131)&gt;AsAt,N('Deal maths'!E131)&lt;=AsAt),IF(N('Deal maths'!H131)&gt;0,N('Deal maths'!H131),N('Deal maths'!D131)),0)</f>
        <v/>
      </c>
      <c r="C131" s="91">
        <f>IF(B131&gt;0,IF('Deal maths'!C131="Local authority","Local authorities",LOWER(TRIM('Deal maths'!B131))),"")</f>
        <v/>
      </c>
      <c r="D131" s="91">
        <f>IF(C131="","",IF(COUNTIF($C$4:C130,C131)=0,SUMIF($C$4:$C$3997,C131,$B$4:$B$3997)-ROW()/1000000,""))</f>
        <v/>
      </c>
      <c r="E131" s="91">
        <f>IF(AND(N('Deal maths'!F131)&gt;AsAt,N('Deal maths'!E131)&lt;=AsAt,IF(N('Deal maths'!H131)&gt;0,N('Deal maths'!H131),N('Deal maths'!D131))&gt;0),N('Deal maths'!F131)+ROW()/1000000,"")</f>
        <v/>
      </c>
    </row>
    <row r="132">
      <c r="A132" s="91" t="n"/>
      <c r="B132" s="111">
        <f>IF(AND(N('Deal maths'!F132)&gt;AsAt,N('Deal maths'!E132)&lt;=AsAt),IF(N('Deal maths'!H132)&gt;0,N('Deal maths'!H132),N('Deal maths'!D132)),0)</f>
        <v/>
      </c>
      <c r="C132" s="91">
        <f>IF(B132&gt;0,IF('Deal maths'!C132="Local authority","Local authorities",LOWER(TRIM('Deal maths'!B132))),"")</f>
        <v/>
      </c>
      <c r="D132" s="91">
        <f>IF(C132="","",IF(COUNTIF($C$4:C131,C132)=0,SUMIF($C$4:$C$3997,C132,$B$4:$B$3997)-ROW()/1000000,""))</f>
        <v/>
      </c>
      <c r="E132" s="91">
        <f>IF(AND(N('Deal maths'!F132)&gt;AsAt,N('Deal maths'!E132)&lt;=AsAt,IF(N('Deal maths'!H132)&gt;0,N('Deal maths'!H132),N('Deal maths'!D132))&gt;0),N('Deal maths'!F132)+ROW()/1000000,"")</f>
        <v/>
      </c>
    </row>
    <row r="133">
      <c r="A133" s="91" t="n"/>
      <c r="B133" s="111">
        <f>IF(AND(N('Deal maths'!F133)&gt;AsAt,N('Deal maths'!E133)&lt;=AsAt),IF(N('Deal maths'!H133)&gt;0,N('Deal maths'!H133),N('Deal maths'!D133)),0)</f>
        <v/>
      </c>
      <c r="C133" s="91">
        <f>IF(B133&gt;0,IF('Deal maths'!C133="Local authority","Local authorities",LOWER(TRIM('Deal maths'!B133))),"")</f>
        <v/>
      </c>
      <c r="D133" s="91">
        <f>IF(C133="","",IF(COUNTIF($C$4:C132,C133)=0,SUMIF($C$4:$C$3997,C133,$B$4:$B$3997)-ROW()/1000000,""))</f>
        <v/>
      </c>
      <c r="E133" s="91">
        <f>IF(AND(N('Deal maths'!F133)&gt;AsAt,N('Deal maths'!E133)&lt;=AsAt,IF(N('Deal maths'!H133)&gt;0,N('Deal maths'!H133),N('Deal maths'!D133))&gt;0),N('Deal maths'!F133)+ROW()/1000000,"")</f>
        <v/>
      </c>
    </row>
    <row r="134">
      <c r="A134" s="91" t="n"/>
      <c r="B134" s="111">
        <f>IF(AND(N('Deal maths'!F134)&gt;AsAt,N('Deal maths'!E134)&lt;=AsAt),IF(N('Deal maths'!H134)&gt;0,N('Deal maths'!H134),N('Deal maths'!D134)),0)</f>
        <v/>
      </c>
      <c r="C134" s="91">
        <f>IF(B134&gt;0,IF('Deal maths'!C134="Local authority","Local authorities",LOWER(TRIM('Deal maths'!B134))),"")</f>
        <v/>
      </c>
      <c r="D134" s="91">
        <f>IF(C134="","",IF(COUNTIF($C$4:C133,C134)=0,SUMIF($C$4:$C$3997,C134,$B$4:$B$3997)-ROW()/1000000,""))</f>
        <v/>
      </c>
      <c r="E134" s="91">
        <f>IF(AND(N('Deal maths'!F134)&gt;AsAt,N('Deal maths'!E134)&lt;=AsAt,IF(N('Deal maths'!H134)&gt;0,N('Deal maths'!H134),N('Deal maths'!D134))&gt;0),N('Deal maths'!F134)+ROW()/1000000,"")</f>
        <v/>
      </c>
    </row>
    <row r="135">
      <c r="A135" s="91" t="n"/>
      <c r="B135" s="111">
        <f>IF(AND(N('Deal maths'!F135)&gt;AsAt,N('Deal maths'!E135)&lt;=AsAt),IF(N('Deal maths'!H135)&gt;0,N('Deal maths'!H135),N('Deal maths'!D135)),0)</f>
        <v/>
      </c>
      <c r="C135" s="91">
        <f>IF(B135&gt;0,IF('Deal maths'!C135="Local authority","Local authorities",LOWER(TRIM('Deal maths'!B135))),"")</f>
        <v/>
      </c>
      <c r="D135" s="91">
        <f>IF(C135="","",IF(COUNTIF($C$4:C134,C135)=0,SUMIF($C$4:$C$3997,C135,$B$4:$B$3997)-ROW()/1000000,""))</f>
        <v/>
      </c>
      <c r="E135" s="91">
        <f>IF(AND(N('Deal maths'!F135)&gt;AsAt,N('Deal maths'!E135)&lt;=AsAt,IF(N('Deal maths'!H135)&gt;0,N('Deal maths'!H135),N('Deal maths'!D135))&gt;0),N('Deal maths'!F135)+ROW()/1000000,"")</f>
        <v/>
      </c>
    </row>
    <row r="136">
      <c r="A136" s="91" t="n"/>
      <c r="B136" s="111">
        <f>IF(AND(N('Deal maths'!F136)&gt;AsAt,N('Deal maths'!E136)&lt;=AsAt),IF(N('Deal maths'!H136)&gt;0,N('Deal maths'!H136),N('Deal maths'!D136)),0)</f>
        <v/>
      </c>
      <c r="C136" s="91">
        <f>IF(B136&gt;0,IF('Deal maths'!C136="Local authority","Local authorities",LOWER(TRIM('Deal maths'!B136))),"")</f>
        <v/>
      </c>
      <c r="D136" s="91">
        <f>IF(C136="","",IF(COUNTIF($C$4:C135,C136)=0,SUMIF($C$4:$C$3997,C136,$B$4:$B$3997)-ROW()/1000000,""))</f>
        <v/>
      </c>
      <c r="E136" s="91">
        <f>IF(AND(N('Deal maths'!F136)&gt;AsAt,N('Deal maths'!E136)&lt;=AsAt,IF(N('Deal maths'!H136)&gt;0,N('Deal maths'!H136),N('Deal maths'!D136))&gt;0),N('Deal maths'!F136)+ROW()/1000000,"")</f>
        <v/>
      </c>
    </row>
    <row r="137">
      <c r="A137" s="91" t="n"/>
      <c r="B137" s="111">
        <f>IF(AND(N('Deal maths'!F137)&gt;AsAt,N('Deal maths'!E137)&lt;=AsAt),IF(N('Deal maths'!H137)&gt;0,N('Deal maths'!H137),N('Deal maths'!D137)),0)</f>
        <v/>
      </c>
      <c r="C137" s="91">
        <f>IF(B137&gt;0,IF('Deal maths'!C137="Local authority","Local authorities",LOWER(TRIM('Deal maths'!B137))),"")</f>
        <v/>
      </c>
      <c r="D137" s="91">
        <f>IF(C137="","",IF(COUNTIF($C$4:C136,C137)=0,SUMIF($C$4:$C$3997,C137,$B$4:$B$3997)-ROW()/1000000,""))</f>
        <v/>
      </c>
      <c r="E137" s="91">
        <f>IF(AND(N('Deal maths'!F137)&gt;AsAt,N('Deal maths'!E137)&lt;=AsAt,IF(N('Deal maths'!H137)&gt;0,N('Deal maths'!H137),N('Deal maths'!D137))&gt;0),N('Deal maths'!F137)+ROW()/1000000,"")</f>
        <v/>
      </c>
    </row>
    <row r="138">
      <c r="A138" s="91" t="n"/>
      <c r="B138" s="111">
        <f>IF(AND(N('Deal maths'!F138)&gt;AsAt,N('Deal maths'!E138)&lt;=AsAt),IF(N('Deal maths'!H138)&gt;0,N('Deal maths'!H138),N('Deal maths'!D138)),0)</f>
        <v/>
      </c>
      <c r="C138" s="91">
        <f>IF(B138&gt;0,IF('Deal maths'!C138="Local authority","Local authorities",LOWER(TRIM('Deal maths'!B138))),"")</f>
        <v/>
      </c>
      <c r="D138" s="91">
        <f>IF(C138="","",IF(COUNTIF($C$4:C137,C138)=0,SUMIF($C$4:$C$3997,C138,$B$4:$B$3997)-ROW()/1000000,""))</f>
        <v/>
      </c>
      <c r="E138" s="91">
        <f>IF(AND(N('Deal maths'!F138)&gt;AsAt,N('Deal maths'!E138)&lt;=AsAt,IF(N('Deal maths'!H138)&gt;0,N('Deal maths'!H138),N('Deal maths'!D138))&gt;0),N('Deal maths'!F138)+ROW()/1000000,"")</f>
        <v/>
      </c>
    </row>
    <row r="139">
      <c r="A139" s="91" t="n"/>
      <c r="B139" s="111">
        <f>IF(AND(N('Deal maths'!F139)&gt;AsAt,N('Deal maths'!E139)&lt;=AsAt),IF(N('Deal maths'!H139)&gt;0,N('Deal maths'!H139),N('Deal maths'!D139)),0)</f>
        <v/>
      </c>
      <c r="C139" s="91">
        <f>IF(B139&gt;0,IF('Deal maths'!C139="Local authority","Local authorities",LOWER(TRIM('Deal maths'!B139))),"")</f>
        <v/>
      </c>
      <c r="D139" s="91">
        <f>IF(C139="","",IF(COUNTIF($C$4:C138,C139)=0,SUMIF($C$4:$C$3997,C139,$B$4:$B$3997)-ROW()/1000000,""))</f>
        <v/>
      </c>
      <c r="E139" s="91">
        <f>IF(AND(N('Deal maths'!F139)&gt;AsAt,N('Deal maths'!E139)&lt;=AsAt,IF(N('Deal maths'!H139)&gt;0,N('Deal maths'!H139),N('Deal maths'!D139))&gt;0),N('Deal maths'!F139)+ROW()/1000000,"")</f>
        <v/>
      </c>
    </row>
    <row r="140">
      <c r="A140" s="91" t="n"/>
      <c r="B140" s="111">
        <f>IF(AND(N('Deal maths'!F140)&gt;AsAt,N('Deal maths'!E140)&lt;=AsAt),IF(N('Deal maths'!H140)&gt;0,N('Deal maths'!H140),N('Deal maths'!D140)),0)</f>
        <v/>
      </c>
      <c r="C140" s="91">
        <f>IF(B140&gt;0,IF('Deal maths'!C140="Local authority","Local authorities",LOWER(TRIM('Deal maths'!B140))),"")</f>
        <v/>
      </c>
      <c r="D140" s="91">
        <f>IF(C140="","",IF(COUNTIF($C$4:C139,C140)=0,SUMIF($C$4:$C$3997,C140,$B$4:$B$3997)-ROW()/1000000,""))</f>
        <v/>
      </c>
      <c r="E140" s="91">
        <f>IF(AND(N('Deal maths'!F140)&gt;AsAt,N('Deal maths'!E140)&lt;=AsAt,IF(N('Deal maths'!H140)&gt;0,N('Deal maths'!H140),N('Deal maths'!D140))&gt;0),N('Deal maths'!F140)+ROW()/1000000,"")</f>
        <v/>
      </c>
    </row>
    <row r="141">
      <c r="A141" s="91" t="n"/>
      <c r="B141" s="111">
        <f>IF(AND(N('Deal maths'!F141)&gt;AsAt,N('Deal maths'!E141)&lt;=AsAt),IF(N('Deal maths'!H141)&gt;0,N('Deal maths'!H141),N('Deal maths'!D141)),0)</f>
        <v/>
      </c>
      <c r="C141" s="91">
        <f>IF(B141&gt;0,IF('Deal maths'!C141="Local authority","Local authorities",LOWER(TRIM('Deal maths'!B141))),"")</f>
        <v/>
      </c>
      <c r="D141" s="91">
        <f>IF(C141="","",IF(COUNTIF($C$4:C140,C141)=0,SUMIF($C$4:$C$3997,C141,$B$4:$B$3997)-ROW()/1000000,""))</f>
        <v/>
      </c>
      <c r="E141" s="91">
        <f>IF(AND(N('Deal maths'!F141)&gt;AsAt,N('Deal maths'!E141)&lt;=AsAt,IF(N('Deal maths'!H141)&gt;0,N('Deal maths'!H141),N('Deal maths'!D141))&gt;0),N('Deal maths'!F141)+ROW()/1000000,"")</f>
        <v/>
      </c>
    </row>
    <row r="142">
      <c r="A142" s="91" t="n"/>
      <c r="B142" s="111">
        <f>IF(AND(N('Deal maths'!F142)&gt;AsAt,N('Deal maths'!E142)&lt;=AsAt),IF(N('Deal maths'!H142)&gt;0,N('Deal maths'!H142),N('Deal maths'!D142)),0)</f>
        <v/>
      </c>
      <c r="C142" s="91">
        <f>IF(B142&gt;0,IF('Deal maths'!C142="Local authority","Local authorities",LOWER(TRIM('Deal maths'!B142))),"")</f>
        <v/>
      </c>
      <c r="D142" s="91">
        <f>IF(C142="","",IF(COUNTIF($C$4:C141,C142)=0,SUMIF($C$4:$C$3997,C142,$B$4:$B$3997)-ROW()/1000000,""))</f>
        <v/>
      </c>
      <c r="E142" s="91">
        <f>IF(AND(N('Deal maths'!F142)&gt;AsAt,N('Deal maths'!E142)&lt;=AsAt,IF(N('Deal maths'!H142)&gt;0,N('Deal maths'!H142),N('Deal maths'!D142))&gt;0),N('Deal maths'!F142)+ROW()/1000000,"")</f>
        <v/>
      </c>
    </row>
    <row r="143">
      <c r="A143" s="91" t="n"/>
      <c r="B143" s="111">
        <f>IF(AND(N('Deal maths'!F143)&gt;AsAt,N('Deal maths'!E143)&lt;=AsAt),IF(N('Deal maths'!H143)&gt;0,N('Deal maths'!H143),N('Deal maths'!D143)),0)</f>
        <v/>
      </c>
      <c r="C143" s="91">
        <f>IF(B143&gt;0,IF('Deal maths'!C143="Local authority","Local authorities",LOWER(TRIM('Deal maths'!B143))),"")</f>
        <v/>
      </c>
      <c r="D143" s="91">
        <f>IF(C143="","",IF(COUNTIF($C$4:C142,C143)=0,SUMIF($C$4:$C$3997,C143,$B$4:$B$3997)-ROW()/1000000,""))</f>
        <v/>
      </c>
      <c r="E143" s="91">
        <f>IF(AND(N('Deal maths'!F143)&gt;AsAt,N('Deal maths'!E143)&lt;=AsAt,IF(N('Deal maths'!H143)&gt;0,N('Deal maths'!H143),N('Deal maths'!D143))&gt;0),N('Deal maths'!F143)+ROW()/1000000,"")</f>
        <v/>
      </c>
    </row>
    <row r="144">
      <c r="A144" s="91" t="n"/>
      <c r="B144" s="111">
        <f>IF(AND(N('Deal maths'!F144)&gt;AsAt,N('Deal maths'!E144)&lt;=AsAt),IF(N('Deal maths'!H144)&gt;0,N('Deal maths'!H144),N('Deal maths'!D144)),0)</f>
        <v/>
      </c>
      <c r="C144" s="91">
        <f>IF(B144&gt;0,IF('Deal maths'!C144="Local authority","Local authorities",LOWER(TRIM('Deal maths'!B144))),"")</f>
        <v/>
      </c>
      <c r="D144" s="91">
        <f>IF(C144="","",IF(COUNTIF($C$4:C143,C144)=0,SUMIF($C$4:$C$3997,C144,$B$4:$B$3997)-ROW()/1000000,""))</f>
        <v/>
      </c>
      <c r="E144" s="91">
        <f>IF(AND(N('Deal maths'!F144)&gt;AsAt,N('Deal maths'!E144)&lt;=AsAt,IF(N('Deal maths'!H144)&gt;0,N('Deal maths'!H144),N('Deal maths'!D144))&gt;0),N('Deal maths'!F144)+ROW()/1000000,"")</f>
        <v/>
      </c>
    </row>
    <row r="145">
      <c r="A145" s="91" t="n"/>
      <c r="B145" s="111">
        <f>IF(AND(N('Deal maths'!F145)&gt;AsAt,N('Deal maths'!E145)&lt;=AsAt),IF(N('Deal maths'!H145)&gt;0,N('Deal maths'!H145),N('Deal maths'!D145)),0)</f>
        <v/>
      </c>
      <c r="C145" s="91">
        <f>IF(B145&gt;0,IF('Deal maths'!C145="Local authority","Local authorities",LOWER(TRIM('Deal maths'!B145))),"")</f>
        <v/>
      </c>
      <c r="D145" s="91">
        <f>IF(C145="","",IF(COUNTIF($C$4:C144,C145)=0,SUMIF($C$4:$C$3997,C145,$B$4:$B$3997)-ROW()/1000000,""))</f>
        <v/>
      </c>
      <c r="E145" s="91">
        <f>IF(AND(N('Deal maths'!F145)&gt;AsAt,N('Deal maths'!E145)&lt;=AsAt,IF(N('Deal maths'!H145)&gt;0,N('Deal maths'!H145),N('Deal maths'!D145))&gt;0),N('Deal maths'!F145)+ROW()/1000000,"")</f>
        <v/>
      </c>
    </row>
    <row r="146">
      <c r="A146" s="91" t="n"/>
      <c r="B146" s="111">
        <f>IF(AND(N('Deal maths'!F146)&gt;AsAt,N('Deal maths'!E146)&lt;=AsAt),IF(N('Deal maths'!H146)&gt;0,N('Deal maths'!H146),N('Deal maths'!D146)),0)</f>
        <v/>
      </c>
      <c r="C146" s="91">
        <f>IF(B146&gt;0,IF('Deal maths'!C146="Local authority","Local authorities",LOWER(TRIM('Deal maths'!B146))),"")</f>
        <v/>
      </c>
      <c r="D146" s="91">
        <f>IF(C146="","",IF(COUNTIF($C$4:C145,C146)=0,SUMIF($C$4:$C$3997,C146,$B$4:$B$3997)-ROW()/1000000,""))</f>
        <v/>
      </c>
      <c r="E146" s="91">
        <f>IF(AND(N('Deal maths'!F146)&gt;AsAt,N('Deal maths'!E146)&lt;=AsAt,IF(N('Deal maths'!H146)&gt;0,N('Deal maths'!H146),N('Deal maths'!D146))&gt;0),N('Deal maths'!F146)+ROW()/1000000,"")</f>
        <v/>
      </c>
    </row>
    <row r="147">
      <c r="A147" s="91" t="n"/>
      <c r="B147" s="111">
        <f>IF(AND(N('Deal maths'!F147)&gt;AsAt,N('Deal maths'!E147)&lt;=AsAt),IF(N('Deal maths'!H147)&gt;0,N('Deal maths'!H147),N('Deal maths'!D147)),0)</f>
        <v/>
      </c>
      <c r="C147" s="91">
        <f>IF(B147&gt;0,IF('Deal maths'!C147="Local authority","Local authorities",LOWER(TRIM('Deal maths'!B147))),"")</f>
        <v/>
      </c>
      <c r="D147" s="91">
        <f>IF(C147="","",IF(COUNTIF($C$4:C146,C147)=0,SUMIF($C$4:$C$3997,C147,$B$4:$B$3997)-ROW()/1000000,""))</f>
        <v/>
      </c>
      <c r="E147" s="91">
        <f>IF(AND(N('Deal maths'!F147)&gt;AsAt,N('Deal maths'!E147)&lt;=AsAt,IF(N('Deal maths'!H147)&gt;0,N('Deal maths'!H147),N('Deal maths'!D147))&gt;0),N('Deal maths'!F147)+ROW()/1000000,"")</f>
        <v/>
      </c>
    </row>
    <row r="148">
      <c r="A148" s="91" t="n"/>
      <c r="B148" s="111">
        <f>IF(AND(N('Deal maths'!F148)&gt;AsAt,N('Deal maths'!E148)&lt;=AsAt),IF(N('Deal maths'!H148)&gt;0,N('Deal maths'!H148),N('Deal maths'!D148)),0)</f>
        <v/>
      </c>
      <c r="C148" s="91">
        <f>IF(B148&gt;0,IF('Deal maths'!C148="Local authority","Local authorities",LOWER(TRIM('Deal maths'!B148))),"")</f>
        <v/>
      </c>
      <c r="D148" s="91">
        <f>IF(C148="","",IF(COUNTIF($C$4:C147,C148)=0,SUMIF($C$4:$C$3997,C148,$B$4:$B$3997)-ROW()/1000000,""))</f>
        <v/>
      </c>
      <c r="E148" s="91">
        <f>IF(AND(N('Deal maths'!F148)&gt;AsAt,N('Deal maths'!E148)&lt;=AsAt,IF(N('Deal maths'!H148)&gt;0,N('Deal maths'!H148),N('Deal maths'!D148))&gt;0),N('Deal maths'!F148)+ROW()/1000000,"")</f>
        <v/>
      </c>
    </row>
    <row r="149">
      <c r="A149" s="91" t="n"/>
      <c r="B149" s="111">
        <f>IF(AND(N('Deal maths'!F149)&gt;AsAt,N('Deal maths'!E149)&lt;=AsAt),IF(N('Deal maths'!H149)&gt;0,N('Deal maths'!H149),N('Deal maths'!D149)),0)</f>
        <v/>
      </c>
      <c r="C149" s="91">
        <f>IF(B149&gt;0,IF('Deal maths'!C149="Local authority","Local authorities",LOWER(TRIM('Deal maths'!B149))),"")</f>
        <v/>
      </c>
      <c r="D149" s="91">
        <f>IF(C149="","",IF(COUNTIF($C$4:C148,C149)=0,SUMIF($C$4:$C$3997,C149,$B$4:$B$3997)-ROW()/1000000,""))</f>
        <v/>
      </c>
      <c r="E149" s="91">
        <f>IF(AND(N('Deal maths'!F149)&gt;AsAt,N('Deal maths'!E149)&lt;=AsAt,IF(N('Deal maths'!H149)&gt;0,N('Deal maths'!H149),N('Deal maths'!D149))&gt;0),N('Deal maths'!F149)+ROW()/1000000,"")</f>
        <v/>
      </c>
    </row>
    <row r="150">
      <c r="A150" s="91" t="n"/>
      <c r="B150" s="111">
        <f>IF(AND(N('Deal maths'!F150)&gt;AsAt,N('Deal maths'!E150)&lt;=AsAt),IF(N('Deal maths'!H150)&gt;0,N('Deal maths'!H150),N('Deal maths'!D150)),0)</f>
        <v/>
      </c>
      <c r="C150" s="91">
        <f>IF(B150&gt;0,IF('Deal maths'!C150="Local authority","Local authorities",LOWER(TRIM('Deal maths'!B150))),"")</f>
        <v/>
      </c>
      <c r="D150" s="91">
        <f>IF(C150="","",IF(COUNTIF($C$4:C149,C150)=0,SUMIF($C$4:$C$3997,C150,$B$4:$B$3997)-ROW()/1000000,""))</f>
        <v/>
      </c>
      <c r="E150" s="91">
        <f>IF(AND(N('Deal maths'!F150)&gt;AsAt,N('Deal maths'!E150)&lt;=AsAt,IF(N('Deal maths'!H150)&gt;0,N('Deal maths'!H150),N('Deal maths'!D150))&gt;0),N('Deal maths'!F150)+ROW()/1000000,"")</f>
        <v/>
      </c>
    </row>
    <row r="151">
      <c r="A151" s="91" t="n"/>
      <c r="B151" s="111">
        <f>IF(AND(N('Deal maths'!F151)&gt;AsAt,N('Deal maths'!E151)&lt;=AsAt),IF(N('Deal maths'!H151)&gt;0,N('Deal maths'!H151),N('Deal maths'!D151)),0)</f>
        <v/>
      </c>
      <c r="C151" s="91">
        <f>IF(B151&gt;0,IF('Deal maths'!C151="Local authority","Local authorities",LOWER(TRIM('Deal maths'!B151))),"")</f>
        <v/>
      </c>
      <c r="D151" s="91">
        <f>IF(C151="","",IF(COUNTIF($C$4:C150,C151)=0,SUMIF($C$4:$C$3997,C151,$B$4:$B$3997)-ROW()/1000000,""))</f>
        <v/>
      </c>
      <c r="E151" s="91">
        <f>IF(AND(N('Deal maths'!F151)&gt;AsAt,N('Deal maths'!E151)&lt;=AsAt,IF(N('Deal maths'!H151)&gt;0,N('Deal maths'!H151),N('Deal maths'!D151))&gt;0),N('Deal maths'!F151)+ROW()/1000000,"")</f>
        <v/>
      </c>
    </row>
    <row r="152">
      <c r="A152" s="91" t="n"/>
      <c r="B152" s="111">
        <f>IF(AND(N('Deal maths'!F152)&gt;AsAt,N('Deal maths'!E152)&lt;=AsAt),IF(N('Deal maths'!H152)&gt;0,N('Deal maths'!H152),N('Deal maths'!D152)),0)</f>
        <v/>
      </c>
      <c r="C152" s="91">
        <f>IF(B152&gt;0,IF('Deal maths'!C152="Local authority","Local authorities",LOWER(TRIM('Deal maths'!B152))),"")</f>
        <v/>
      </c>
      <c r="D152" s="91">
        <f>IF(C152="","",IF(COUNTIF($C$4:C151,C152)=0,SUMIF($C$4:$C$3997,C152,$B$4:$B$3997)-ROW()/1000000,""))</f>
        <v/>
      </c>
      <c r="E152" s="91">
        <f>IF(AND(N('Deal maths'!F152)&gt;AsAt,N('Deal maths'!E152)&lt;=AsAt,IF(N('Deal maths'!H152)&gt;0,N('Deal maths'!H152),N('Deal maths'!D152))&gt;0),N('Deal maths'!F152)+ROW()/1000000,"")</f>
        <v/>
      </c>
    </row>
    <row r="153">
      <c r="A153" s="91" t="n"/>
      <c r="B153" s="111">
        <f>IF(AND(N('Deal maths'!F153)&gt;AsAt,N('Deal maths'!E153)&lt;=AsAt),IF(N('Deal maths'!H153)&gt;0,N('Deal maths'!H153),N('Deal maths'!D153)),0)</f>
        <v/>
      </c>
      <c r="C153" s="91">
        <f>IF(B153&gt;0,IF('Deal maths'!C153="Local authority","Local authorities",LOWER(TRIM('Deal maths'!B153))),"")</f>
        <v/>
      </c>
      <c r="D153" s="91">
        <f>IF(C153="","",IF(COUNTIF($C$4:C152,C153)=0,SUMIF($C$4:$C$3997,C153,$B$4:$B$3997)-ROW()/1000000,""))</f>
        <v/>
      </c>
      <c r="E153" s="91">
        <f>IF(AND(N('Deal maths'!F153)&gt;AsAt,N('Deal maths'!E153)&lt;=AsAt,IF(N('Deal maths'!H153)&gt;0,N('Deal maths'!H153),N('Deal maths'!D153))&gt;0),N('Deal maths'!F153)+ROW()/1000000,"")</f>
        <v/>
      </c>
    </row>
    <row r="154">
      <c r="A154" s="91" t="n"/>
      <c r="B154" s="111">
        <f>IF(AND(N('Deal maths'!F154)&gt;AsAt,N('Deal maths'!E154)&lt;=AsAt),IF(N('Deal maths'!H154)&gt;0,N('Deal maths'!H154),N('Deal maths'!D154)),0)</f>
        <v/>
      </c>
      <c r="C154" s="91">
        <f>IF(B154&gt;0,IF('Deal maths'!C154="Local authority","Local authorities",LOWER(TRIM('Deal maths'!B154))),"")</f>
        <v/>
      </c>
      <c r="D154" s="91">
        <f>IF(C154="","",IF(COUNTIF($C$4:C153,C154)=0,SUMIF($C$4:$C$3997,C154,$B$4:$B$3997)-ROW()/1000000,""))</f>
        <v/>
      </c>
      <c r="E154" s="91">
        <f>IF(AND(N('Deal maths'!F154)&gt;AsAt,N('Deal maths'!E154)&lt;=AsAt,IF(N('Deal maths'!H154)&gt;0,N('Deal maths'!H154),N('Deal maths'!D154))&gt;0),N('Deal maths'!F154)+ROW()/1000000,"")</f>
        <v/>
      </c>
    </row>
    <row r="155">
      <c r="A155" s="91" t="n"/>
      <c r="B155" s="111">
        <f>IF(AND(N('Deal maths'!F155)&gt;AsAt,N('Deal maths'!E155)&lt;=AsAt),IF(N('Deal maths'!H155)&gt;0,N('Deal maths'!H155),N('Deal maths'!D155)),0)</f>
        <v/>
      </c>
      <c r="C155" s="91">
        <f>IF(B155&gt;0,IF('Deal maths'!C155="Local authority","Local authorities",LOWER(TRIM('Deal maths'!B155))),"")</f>
        <v/>
      </c>
      <c r="D155" s="91">
        <f>IF(C155="","",IF(COUNTIF($C$4:C154,C155)=0,SUMIF($C$4:$C$3997,C155,$B$4:$B$3997)-ROW()/1000000,""))</f>
        <v/>
      </c>
      <c r="E155" s="91">
        <f>IF(AND(N('Deal maths'!F155)&gt;AsAt,N('Deal maths'!E155)&lt;=AsAt,IF(N('Deal maths'!H155)&gt;0,N('Deal maths'!H155),N('Deal maths'!D155))&gt;0),N('Deal maths'!F155)+ROW()/1000000,"")</f>
        <v/>
      </c>
    </row>
    <row r="156">
      <c r="A156" s="91" t="n"/>
      <c r="B156" s="111">
        <f>IF(AND(N('Deal maths'!F156)&gt;AsAt,N('Deal maths'!E156)&lt;=AsAt),IF(N('Deal maths'!H156)&gt;0,N('Deal maths'!H156),N('Deal maths'!D156)),0)</f>
        <v/>
      </c>
      <c r="C156" s="91">
        <f>IF(B156&gt;0,IF('Deal maths'!C156="Local authority","Local authorities",LOWER(TRIM('Deal maths'!B156))),"")</f>
        <v/>
      </c>
      <c r="D156" s="91">
        <f>IF(C156="","",IF(COUNTIF($C$4:C155,C156)=0,SUMIF($C$4:$C$3997,C156,$B$4:$B$3997)-ROW()/1000000,""))</f>
        <v/>
      </c>
      <c r="E156" s="91">
        <f>IF(AND(N('Deal maths'!F156)&gt;AsAt,N('Deal maths'!E156)&lt;=AsAt,IF(N('Deal maths'!H156)&gt;0,N('Deal maths'!H156),N('Deal maths'!D156))&gt;0),N('Deal maths'!F156)+ROW()/1000000,"")</f>
        <v/>
      </c>
    </row>
    <row r="157">
      <c r="A157" s="91" t="n"/>
      <c r="B157" s="111">
        <f>IF(AND(N('Deal maths'!F157)&gt;AsAt,N('Deal maths'!E157)&lt;=AsAt),IF(N('Deal maths'!H157)&gt;0,N('Deal maths'!H157),N('Deal maths'!D157)),0)</f>
        <v/>
      </c>
      <c r="C157" s="91">
        <f>IF(B157&gt;0,IF('Deal maths'!C157="Local authority","Local authorities",LOWER(TRIM('Deal maths'!B157))),"")</f>
        <v/>
      </c>
      <c r="D157" s="91">
        <f>IF(C157="","",IF(COUNTIF($C$4:C156,C157)=0,SUMIF($C$4:$C$3997,C157,$B$4:$B$3997)-ROW()/1000000,""))</f>
        <v/>
      </c>
      <c r="E157" s="91">
        <f>IF(AND(N('Deal maths'!F157)&gt;AsAt,N('Deal maths'!E157)&lt;=AsAt,IF(N('Deal maths'!H157)&gt;0,N('Deal maths'!H157),N('Deal maths'!D157))&gt;0),N('Deal maths'!F157)+ROW()/1000000,"")</f>
        <v/>
      </c>
    </row>
    <row r="158">
      <c r="A158" s="91" t="n"/>
      <c r="B158" s="111">
        <f>IF(AND(N('Deal maths'!F158)&gt;AsAt,N('Deal maths'!E158)&lt;=AsAt),IF(N('Deal maths'!H158)&gt;0,N('Deal maths'!H158),N('Deal maths'!D158)),0)</f>
        <v/>
      </c>
      <c r="C158" s="91">
        <f>IF(B158&gt;0,IF('Deal maths'!C158="Local authority","Local authorities",LOWER(TRIM('Deal maths'!B158))),"")</f>
        <v/>
      </c>
      <c r="D158" s="91">
        <f>IF(C158="","",IF(COUNTIF($C$4:C157,C158)=0,SUMIF($C$4:$C$3997,C158,$B$4:$B$3997)-ROW()/1000000,""))</f>
        <v/>
      </c>
      <c r="E158" s="91">
        <f>IF(AND(N('Deal maths'!F158)&gt;AsAt,N('Deal maths'!E158)&lt;=AsAt,IF(N('Deal maths'!H158)&gt;0,N('Deal maths'!H158),N('Deal maths'!D158))&gt;0),N('Deal maths'!F158)+ROW()/1000000,"")</f>
        <v/>
      </c>
    </row>
    <row r="159">
      <c r="A159" s="91" t="n"/>
      <c r="B159" s="111">
        <f>IF(AND(N('Deal maths'!F159)&gt;AsAt,N('Deal maths'!E159)&lt;=AsAt),IF(N('Deal maths'!H159)&gt;0,N('Deal maths'!H159),N('Deal maths'!D159)),0)</f>
        <v/>
      </c>
      <c r="C159" s="91">
        <f>IF(B159&gt;0,IF('Deal maths'!C159="Local authority","Local authorities",LOWER(TRIM('Deal maths'!B159))),"")</f>
        <v/>
      </c>
      <c r="D159" s="91">
        <f>IF(C159="","",IF(COUNTIF($C$4:C158,C159)=0,SUMIF($C$4:$C$3997,C159,$B$4:$B$3997)-ROW()/1000000,""))</f>
        <v/>
      </c>
      <c r="E159" s="91">
        <f>IF(AND(N('Deal maths'!F159)&gt;AsAt,N('Deal maths'!E159)&lt;=AsAt,IF(N('Deal maths'!H159)&gt;0,N('Deal maths'!H159),N('Deal maths'!D159))&gt;0),N('Deal maths'!F159)+ROW()/1000000,"")</f>
        <v/>
      </c>
    </row>
    <row r="160">
      <c r="A160" s="91" t="n"/>
      <c r="B160" s="111">
        <f>IF(AND(N('Deal maths'!F160)&gt;AsAt,N('Deal maths'!E160)&lt;=AsAt),IF(N('Deal maths'!H160)&gt;0,N('Deal maths'!H160),N('Deal maths'!D160)),0)</f>
        <v/>
      </c>
      <c r="C160" s="91">
        <f>IF(B160&gt;0,IF('Deal maths'!C160="Local authority","Local authorities",LOWER(TRIM('Deal maths'!B160))),"")</f>
        <v/>
      </c>
      <c r="D160" s="91">
        <f>IF(C160="","",IF(COUNTIF($C$4:C159,C160)=0,SUMIF($C$4:$C$3997,C160,$B$4:$B$3997)-ROW()/1000000,""))</f>
        <v/>
      </c>
      <c r="E160" s="91">
        <f>IF(AND(N('Deal maths'!F160)&gt;AsAt,N('Deal maths'!E160)&lt;=AsAt,IF(N('Deal maths'!H160)&gt;0,N('Deal maths'!H160),N('Deal maths'!D160))&gt;0),N('Deal maths'!F160)+ROW()/1000000,"")</f>
        <v/>
      </c>
    </row>
    <row r="161">
      <c r="A161" s="91" t="n"/>
      <c r="B161" s="111">
        <f>IF(AND(N('Deal maths'!F161)&gt;AsAt,N('Deal maths'!E161)&lt;=AsAt),IF(N('Deal maths'!H161)&gt;0,N('Deal maths'!H161),N('Deal maths'!D161)),0)</f>
        <v/>
      </c>
      <c r="C161" s="91">
        <f>IF(B161&gt;0,IF('Deal maths'!C161="Local authority","Local authorities",LOWER(TRIM('Deal maths'!B161))),"")</f>
        <v/>
      </c>
      <c r="D161" s="91">
        <f>IF(C161="","",IF(COUNTIF($C$4:C160,C161)=0,SUMIF($C$4:$C$3997,C161,$B$4:$B$3997)-ROW()/1000000,""))</f>
        <v/>
      </c>
      <c r="E161" s="91">
        <f>IF(AND(N('Deal maths'!F161)&gt;AsAt,N('Deal maths'!E161)&lt;=AsAt,IF(N('Deal maths'!H161)&gt;0,N('Deal maths'!H161),N('Deal maths'!D161))&gt;0),N('Deal maths'!F161)+ROW()/1000000,"")</f>
        <v/>
      </c>
    </row>
    <row r="162">
      <c r="A162" s="91" t="n"/>
      <c r="B162" s="111">
        <f>IF(AND(N('Deal maths'!F162)&gt;AsAt,N('Deal maths'!E162)&lt;=AsAt),IF(N('Deal maths'!H162)&gt;0,N('Deal maths'!H162),N('Deal maths'!D162)),0)</f>
        <v/>
      </c>
      <c r="C162" s="91">
        <f>IF(B162&gt;0,IF('Deal maths'!C162="Local authority","Local authorities",LOWER(TRIM('Deal maths'!B162))),"")</f>
        <v/>
      </c>
      <c r="D162" s="91">
        <f>IF(C162="","",IF(COUNTIF($C$4:C161,C162)=0,SUMIF($C$4:$C$3997,C162,$B$4:$B$3997)-ROW()/1000000,""))</f>
        <v/>
      </c>
      <c r="E162" s="91">
        <f>IF(AND(N('Deal maths'!F162)&gt;AsAt,N('Deal maths'!E162)&lt;=AsAt,IF(N('Deal maths'!H162)&gt;0,N('Deal maths'!H162),N('Deal maths'!D162))&gt;0),N('Deal maths'!F162)+ROW()/1000000,"")</f>
        <v/>
      </c>
    </row>
    <row r="163">
      <c r="A163" s="91" t="n"/>
      <c r="B163" s="111">
        <f>IF(AND(N('Deal maths'!F163)&gt;AsAt,N('Deal maths'!E163)&lt;=AsAt),IF(N('Deal maths'!H163)&gt;0,N('Deal maths'!H163),N('Deal maths'!D163)),0)</f>
        <v/>
      </c>
      <c r="C163" s="91">
        <f>IF(B163&gt;0,IF('Deal maths'!C163="Local authority","Local authorities",LOWER(TRIM('Deal maths'!B163))),"")</f>
        <v/>
      </c>
      <c r="D163" s="91">
        <f>IF(C163="","",IF(COUNTIF($C$4:C162,C163)=0,SUMIF($C$4:$C$3997,C163,$B$4:$B$3997)-ROW()/1000000,""))</f>
        <v/>
      </c>
      <c r="E163" s="91">
        <f>IF(AND(N('Deal maths'!F163)&gt;AsAt,N('Deal maths'!E163)&lt;=AsAt,IF(N('Deal maths'!H163)&gt;0,N('Deal maths'!H163),N('Deal maths'!D163))&gt;0),N('Deal maths'!F163)+ROW()/1000000,"")</f>
        <v/>
      </c>
    </row>
    <row r="164">
      <c r="A164" s="91" t="n"/>
      <c r="B164" s="111">
        <f>IF(AND(N('Deal maths'!F164)&gt;AsAt,N('Deal maths'!E164)&lt;=AsAt),IF(N('Deal maths'!H164)&gt;0,N('Deal maths'!H164),N('Deal maths'!D164)),0)</f>
        <v/>
      </c>
      <c r="C164" s="91">
        <f>IF(B164&gt;0,IF('Deal maths'!C164="Local authority","Local authorities",LOWER(TRIM('Deal maths'!B164))),"")</f>
        <v/>
      </c>
      <c r="D164" s="91">
        <f>IF(C164="","",IF(COUNTIF($C$4:C163,C164)=0,SUMIF($C$4:$C$3997,C164,$B$4:$B$3997)-ROW()/1000000,""))</f>
        <v/>
      </c>
      <c r="E164" s="91">
        <f>IF(AND(N('Deal maths'!F164)&gt;AsAt,N('Deal maths'!E164)&lt;=AsAt,IF(N('Deal maths'!H164)&gt;0,N('Deal maths'!H164),N('Deal maths'!D164))&gt;0),N('Deal maths'!F164)+ROW()/1000000,"")</f>
        <v/>
      </c>
    </row>
    <row r="165">
      <c r="A165" s="91" t="n"/>
      <c r="B165" s="111">
        <f>IF(AND(N('Deal maths'!F165)&gt;AsAt,N('Deal maths'!E165)&lt;=AsAt),IF(N('Deal maths'!H165)&gt;0,N('Deal maths'!H165),N('Deal maths'!D165)),0)</f>
        <v/>
      </c>
      <c r="C165" s="91">
        <f>IF(B165&gt;0,IF('Deal maths'!C165="Local authority","Local authorities",LOWER(TRIM('Deal maths'!B165))),"")</f>
        <v/>
      </c>
      <c r="D165" s="91">
        <f>IF(C165="","",IF(COUNTIF($C$4:C164,C165)=0,SUMIF($C$4:$C$3997,C165,$B$4:$B$3997)-ROW()/1000000,""))</f>
        <v/>
      </c>
      <c r="E165" s="91">
        <f>IF(AND(N('Deal maths'!F165)&gt;AsAt,N('Deal maths'!E165)&lt;=AsAt,IF(N('Deal maths'!H165)&gt;0,N('Deal maths'!H165),N('Deal maths'!D165))&gt;0),N('Deal maths'!F165)+ROW()/1000000,"")</f>
        <v/>
      </c>
    </row>
    <row r="166">
      <c r="A166" s="91" t="n"/>
      <c r="B166" s="111">
        <f>IF(AND(N('Deal maths'!F166)&gt;AsAt,N('Deal maths'!E166)&lt;=AsAt),IF(N('Deal maths'!H166)&gt;0,N('Deal maths'!H166),N('Deal maths'!D166)),0)</f>
        <v/>
      </c>
      <c r="C166" s="91">
        <f>IF(B166&gt;0,IF('Deal maths'!C166="Local authority","Local authorities",LOWER(TRIM('Deal maths'!B166))),"")</f>
        <v/>
      </c>
      <c r="D166" s="91">
        <f>IF(C166="","",IF(COUNTIF($C$4:C165,C166)=0,SUMIF($C$4:$C$3997,C166,$B$4:$B$3997)-ROW()/1000000,""))</f>
        <v/>
      </c>
      <c r="E166" s="91">
        <f>IF(AND(N('Deal maths'!F166)&gt;AsAt,N('Deal maths'!E166)&lt;=AsAt,IF(N('Deal maths'!H166)&gt;0,N('Deal maths'!H166),N('Deal maths'!D166))&gt;0),N('Deal maths'!F166)+ROW()/1000000,"")</f>
        <v/>
      </c>
    </row>
    <row r="167">
      <c r="A167" s="91" t="n"/>
      <c r="B167" s="111">
        <f>IF(AND(N('Deal maths'!F167)&gt;AsAt,N('Deal maths'!E167)&lt;=AsAt),IF(N('Deal maths'!H167)&gt;0,N('Deal maths'!H167),N('Deal maths'!D167)),0)</f>
        <v/>
      </c>
      <c r="C167" s="91">
        <f>IF(B167&gt;0,IF('Deal maths'!C167="Local authority","Local authorities",LOWER(TRIM('Deal maths'!B167))),"")</f>
        <v/>
      </c>
      <c r="D167" s="91">
        <f>IF(C167="","",IF(COUNTIF($C$4:C166,C167)=0,SUMIF($C$4:$C$3997,C167,$B$4:$B$3997)-ROW()/1000000,""))</f>
        <v/>
      </c>
      <c r="E167" s="91">
        <f>IF(AND(N('Deal maths'!F167)&gt;AsAt,N('Deal maths'!E167)&lt;=AsAt,IF(N('Deal maths'!H167)&gt;0,N('Deal maths'!H167),N('Deal maths'!D167))&gt;0),N('Deal maths'!F167)+ROW()/1000000,"")</f>
        <v/>
      </c>
    </row>
    <row r="168">
      <c r="A168" s="91" t="n"/>
      <c r="B168" s="111">
        <f>IF(AND(N('Deal maths'!F168)&gt;AsAt,N('Deal maths'!E168)&lt;=AsAt),IF(N('Deal maths'!H168)&gt;0,N('Deal maths'!H168),N('Deal maths'!D168)),0)</f>
        <v/>
      </c>
      <c r="C168" s="91">
        <f>IF(B168&gt;0,IF('Deal maths'!C168="Local authority","Local authorities",LOWER(TRIM('Deal maths'!B168))),"")</f>
        <v/>
      </c>
      <c r="D168" s="91">
        <f>IF(C168="","",IF(COUNTIF($C$4:C167,C168)=0,SUMIF($C$4:$C$3997,C168,$B$4:$B$3997)-ROW()/1000000,""))</f>
        <v/>
      </c>
      <c r="E168" s="91">
        <f>IF(AND(N('Deal maths'!F168)&gt;AsAt,N('Deal maths'!E168)&lt;=AsAt,IF(N('Deal maths'!H168)&gt;0,N('Deal maths'!H168),N('Deal maths'!D168))&gt;0),N('Deal maths'!F168)+ROW()/1000000,"")</f>
        <v/>
      </c>
    </row>
    <row r="169">
      <c r="A169" s="91" t="n"/>
      <c r="B169" s="111">
        <f>IF(AND(N('Deal maths'!F169)&gt;AsAt,N('Deal maths'!E169)&lt;=AsAt),IF(N('Deal maths'!H169)&gt;0,N('Deal maths'!H169),N('Deal maths'!D169)),0)</f>
        <v/>
      </c>
      <c r="C169" s="91">
        <f>IF(B169&gt;0,IF('Deal maths'!C169="Local authority","Local authorities",LOWER(TRIM('Deal maths'!B169))),"")</f>
        <v/>
      </c>
      <c r="D169" s="91">
        <f>IF(C169="","",IF(COUNTIF($C$4:C168,C169)=0,SUMIF($C$4:$C$3997,C169,$B$4:$B$3997)-ROW()/1000000,""))</f>
        <v/>
      </c>
      <c r="E169" s="91">
        <f>IF(AND(N('Deal maths'!F169)&gt;AsAt,N('Deal maths'!E169)&lt;=AsAt,IF(N('Deal maths'!H169)&gt;0,N('Deal maths'!H169),N('Deal maths'!D169))&gt;0),N('Deal maths'!F169)+ROW()/1000000,"")</f>
        <v/>
      </c>
    </row>
    <row r="170">
      <c r="A170" s="91" t="n"/>
      <c r="B170" s="111">
        <f>IF(AND(N('Deal maths'!F170)&gt;AsAt,N('Deal maths'!E170)&lt;=AsAt),IF(N('Deal maths'!H170)&gt;0,N('Deal maths'!H170),N('Deal maths'!D170)),0)</f>
        <v/>
      </c>
      <c r="C170" s="91">
        <f>IF(B170&gt;0,IF('Deal maths'!C170="Local authority","Local authorities",LOWER(TRIM('Deal maths'!B170))),"")</f>
        <v/>
      </c>
      <c r="D170" s="91">
        <f>IF(C170="","",IF(COUNTIF($C$4:C169,C170)=0,SUMIF($C$4:$C$3997,C170,$B$4:$B$3997)-ROW()/1000000,""))</f>
        <v/>
      </c>
      <c r="E170" s="91">
        <f>IF(AND(N('Deal maths'!F170)&gt;AsAt,N('Deal maths'!E170)&lt;=AsAt,IF(N('Deal maths'!H170)&gt;0,N('Deal maths'!H170),N('Deal maths'!D170))&gt;0),N('Deal maths'!F170)+ROW()/1000000,"")</f>
        <v/>
      </c>
    </row>
    <row r="171">
      <c r="A171" s="91" t="n"/>
      <c r="B171" s="111">
        <f>IF(AND(N('Deal maths'!F171)&gt;AsAt,N('Deal maths'!E171)&lt;=AsAt),IF(N('Deal maths'!H171)&gt;0,N('Deal maths'!H171),N('Deal maths'!D171)),0)</f>
        <v/>
      </c>
      <c r="C171" s="91">
        <f>IF(B171&gt;0,IF('Deal maths'!C171="Local authority","Local authorities",LOWER(TRIM('Deal maths'!B171))),"")</f>
        <v/>
      </c>
      <c r="D171" s="91">
        <f>IF(C171="","",IF(COUNTIF($C$4:C170,C171)=0,SUMIF($C$4:$C$3997,C171,$B$4:$B$3997)-ROW()/1000000,""))</f>
        <v/>
      </c>
      <c r="E171" s="91">
        <f>IF(AND(N('Deal maths'!F171)&gt;AsAt,N('Deal maths'!E171)&lt;=AsAt,IF(N('Deal maths'!H171)&gt;0,N('Deal maths'!H171),N('Deal maths'!D171))&gt;0),N('Deal maths'!F171)+ROW()/1000000,"")</f>
        <v/>
      </c>
    </row>
    <row r="172">
      <c r="A172" s="91" t="n"/>
      <c r="B172" s="111">
        <f>IF(AND(N('Deal maths'!F172)&gt;AsAt,N('Deal maths'!E172)&lt;=AsAt),IF(N('Deal maths'!H172)&gt;0,N('Deal maths'!H172),N('Deal maths'!D172)),0)</f>
        <v/>
      </c>
      <c r="C172" s="91">
        <f>IF(B172&gt;0,IF('Deal maths'!C172="Local authority","Local authorities",LOWER(TRIM('Deal maths'!B172))),"")</f>
        <v/>
      </c>
      <c r="D172" s="91">
        <f>IF(C172="","",IF(COUNTIF($C$4:C171,C172)=0,SUMIF($C$4:$C$3997,C172,$B$4:$B$3997)-ROW()/1000000,""))</f>
        <v/>
      </c>
      <c r="E172" s="91">
        <f>IF(AND(N('Deal maths'!F172)&gt;AsAt,N('Deal maths'!E172)&lt;=AsAt,IF(N('Deal maths'!H172)&gt;0,N('Deal maths'!H172),N('Deal maths'!D172))&gt;0),N('Deal maths'!F172)+ROW()/1000000,"")</f>
        <v/>
      </c>
    </row>
    <row r="173">
      <c r="A173" s="91" t="n"/>
      <c r="B173" s="111">
        <f>IF(AND(N('Deal maths'!F173)&gt;AsAt,N('Deal maths'!E173)&lt;=AsAt),IF(N('Deal maths'!H173)&gt;0,N('Deal maths'!H173),N('Deal maths'!D173)),0)</f>
        <v/>
      </c>
      <c r="C173" s="91">
        <f>IF(B173&gt;0,IF('Deal maths'!C173="Local authority","Local authorities",LOWER(TRIM('Deal maths'!B173))),"")</f>
        <v/>
      </c>
      <c r="D173" s="91">
        <f>IF(C173="","",IF(COUNTIF($C$4:C172,C173)=0,SUMIF($C$4:$C$3997,C173,$B$4:$B$3997)-ROW()/1000000,""))</f>
        <v/>
      </c>
      <c r="E173" s="91">
        <f>IF(AND(N('Deal maths'!F173)&gt;AsAt,N('Deal maths'!E173)&lt;=AsAt,IF(N('Deal maths'!H173)&gt;0,N('Deal maths'!H173),N('Deal maths'!D173))&gt;0),N('Deal maths'!F173)+ROW()/1000000,"")</f>
        <v/>
      </c>
    </row>
    <row r="174">
      <c r="A174" s="91" t="n"/>
      <c r="B174" s="111">
        <f>IF(AND(N('Deal maths'!F174)&gt;AsAt,N('Deal maths'!E174)&lt;=AsAt),IF(N('Deal maths'!H174)&gt;0,N('Deal maths'!H174),N('Deal maths'!D174)),0)</f>
        <v/>
      </c>
      <c r="C174" s="91">
        <f>IF(B174&gt;0,IF('Deal maths'!C174="Local authority","Local authorities",LOWER(TRIM('Deal maths'!B174))),"")</f>
        <v/>
      </c>
      <c r="D174" s="91">
        <f>IF(C174="","",IF(COUNTIF($C$4:C173,C174)=0,SUMIF($C$4:$C$3997,C174,$B$4:$B$3997)-ROW()/1000000,""))</f>
        <v/>
      </c>
      <c r="E174" s="91">
        <f>IF(AND(N('Deal maths'!F174)&gt;AsAt,N('Deal maths'!E174)&lt;=AsAt,IF(N('Deal maths'!H174)&gt;0,N('Deal maths'!H174),N('Deal maths'!D174))&gt;0),N('Deal maths'!F174)+ROW()/1000000,"")</f>
        <v/>
      </c>
    </row>
    <row r="175">
      <c r="A175" s="91" t="n"/>
      <c r="B175" s="111">
        <f>IF(AND(N('Deal maths'!F175)&gt;AsAt,N('Deal maths'!E175)&lt;=AsAt),IF(N('Deal maths'!H175)&gt;0,N('Deal maths'!H175),N('Deal maths'!D175)),0)</f>
        <v/>
      </c>
      <c r="C175" s="91">
        <f>IF(B175&gt;0,IF('Deal maths'!C175="Local authority","Local authorities",LOWER(TRIM('Deal maths'!B175))),"")</f>
        <v/>
      </c>
      <c r="D175" s="91">
        <f>IF(C175="","",IF(COUNTIF($C$4:C174,C175)=0,SUMIF($C$4:$C$3997,C175,$B$4:$B$3997)-ROW()/1000000,""))</f>
        <v/>
      </c>
      <c r="E175" s="91">
        <f>IF(AND(N('Deal maths'!F175)&gt;AsAt,N('Deal maths'!E175)&lt;=AsAt,IF(N('Deal maths'!H175)&gt;0,N('Deal maths'!H175),N('Deal maths'!D175))&gt;0),N('Deal maths'!F175)+ROW()/1000000,"")</f>
        <v/>
      </c>
    </row>
    <row r="176">
      <c r="A176" s="91" t="n"/>
      <c r="B176" s="111">
        <f>IF(AND(N('Deal maths'!F176)&gt;AsAt,N('Deal maths'!E176)&lt;=AsAt),IF(N('Deal maths'!H176)&gt;0,N('Deal maths'!H176),N('Deal maths'!D176)),0)</f>
        <v/>
      </c>
      <c r="C176" s="91">
        <f>IF(B176&gt;0,IF('Deal maths'!C176="Local authority","Local authorities",LOWER(TRIM('Deal maths'!B176))),"")</f>
        <v/>
      </c>
      <c r="D176" s="91">
        <f>IF(C176="","",IF(COUNTIF($C$4:C175,C176)=0,SUMIF($C$4:$C$3997,C176,$B$4:$B$3997)-ROW()/1000000,""))</f>
        <v/>
      </c>
      <c r="E176" s="91">
        <f>IF(AND(N('Deal maths'!F176)&gt;AsAt,N('Deal maths'!E176)&lt;=AsAt,IF(N('Deal maths'!H176)&gt;0,N('Deal maths'!H176),N('Deal maths'!D176))&gt;0),N('Deal maths'!F176)+ROW()/1000000,"")</f>
        <v/>
      </c>
    </row>
    <row r="177">
      <c r="A177" s="91" t="n"/>
      <c r="B177" s="111">
        <f>IF(AND(N('Deal maths'!F177)&gt;AsAt,N('Deal maths'!E177)&lt;=AsAt),IF(N('Deal maths'!H177)&gt;0,N('Deal maths'!H177),N('Deal maths'!D177)),0)</f>
        <v/>
      </c>
      <c r="C177" s="91">
        <f>IF(B177&gt;0,IF('Deal maths'!C177="Local authority","Local authorities",LOWER(TRIM('Deal maths'!B177))),"")</f>
        <v/>
      </c>
      <c r="D177" s="91">
        <f>IF(C177="","",IF(COUNTIF($C$4:C176,C177)=0,SUMIF($C$4:$C$3997,C177,$B$4:$B$3997)-ROW()/1000000,""))</f>
        <v/>
      </c>
      <c r="E177" s="91">
        <f>IF(AND(N('Deal maths'!F177)&gt;AsAt,N('Deal maths'!E177)&lt;=AsAt,IF(N('Deal maths'!H177)&gt;0,N('Deal maths'!H177),N('Deal maths'!D177))&gt;0),N('Deal maths'!F177)+ROW()/1000000,"")</f>
        <v/>
      </c>
    </row>
    <row r="178">
      <c r="A178" s="91" t="n"/>
      <c r="B178" s="111">
        <f>IF(AND(N('Deal maths'!F178)&gt;AsAt,N('Deal maths'!E178)&lt;=AsAt),IF(N('Deal maths'!H178)&gt;0,N('Deal maths'!H178),N('Deal maths'!D178)),0)</f>
        <v/>
      </c>
      <c r="C178" s="91">
        <f>IF(B178&gt;0,IF('Deal maths'!C178="Local authority","Local authorities",LOWER(TRIM('Deal maths'!B178))),"")</f>
        <v/>
      </c>
      <c r="D178" s="91">
        <f>IF(C178="","",IF(COUNTIF($C$4:C177,C178)=0,SUMIF($C$4:$C$3997,C178,$B$4:$B$3997)-ROW()/1000000,""))</f>
        <v/>
      </c>
      <c r="E178" s="91">
        <f>IF(AND(N('Deal maths'!F178)&gt;AsAt,N('Deal maths'!E178)&lt;=AsAt,IF(N('Deal maths'!H178)&gt;0,N('Deal maths'!H178),N('Deal maths'!D178))&gt;0),N('Deal maths'!F178)+ROW()/1000000,"")</f>
        <v/>
      </c>
    </row>
    <row r="179">
      <c r="A179" s="91" t="n"/>
      <c r="B179" s="111">
        <f>IF(AND(N('Deal maths'!F179)&gt;AsAt,N('Deal maths'!E179)&lt;=AsAt),IF(N('Deal maths'!H179)&gt;0,N('Deal maths'!H179),N('Deal maths'!D179)),0)</f>
        <v/>
      </c>
      <c r="C179" s="91">
        <f>IF(B179&gt;0,IF('Deal maths'!C179="Local authority","Local authorities",LOWER(TRIM('Deal maths'!B179))),"")</f>
        <v/>
      </c>
      <c r="D179" s="91">
        <f>IF(C179="","",IF(COUNTIF($C$4:C178,C179)=0,SUMIF($C$4:$C$3997,C179,$B$4:$B$3997)-ROW()/1000000,""))</f>
        <v/>
      </c>
      <c r="E179" s="91">
        <f>IF(AND(N('Deal maths'!F179)&gt;AsAt,N('Deal maths'!E179)&lt;=AsAt,IF(N('Deal maths'!H179)&gt;0,N('Deal maths'!H179),N('Deal maths'!D179))&gt;0),N('Deal maths'!F179)+ROW()/1000000,"")</f>
        <v/>
      </c>
    </row>
    <row r="180">
      <c r="A180" s="91" t="n"/>
      <c r="B180" s="111">
        <f>IF(AND(N('Deal maths'!F180)&gt;AsAt,N('Deal maths'!E180)&lt;=AsAt),IF(N('Deal maths'!H180)&gt;0,N('Deal maths'!H180),N('Deal maths'!D180)),0)</f>
        <v/>
      </c>
      <c r="C180" s="91">
        <f>IF(B180&gt;0,IF('Deal maths'!C180="Local authority","Local authorities",LOWER(TRIM('Deal maths'!B180))),"")</f>
        <v/>
      </c>
      <c r="D180" s="91">
        <f>IF(C180="","",IF(COUNTIF($C$4:C179,C180)=0,SUMIF($C$4:$C$3997,C180,$B$4:$B$3997)-ROW()/1000000,""))</f>
        <v/>
      </c>
      <c r="E180" s="91">
        <f>IF(AND(N('Deal maths'!F180)&gt;AsAt,N('Deal maths'!E180)&lt;=AsAt,IF(N('Deal maths'!H180)&gt;0,N('Deal maths'!H180),N('Deal maths'!D180))&gt;0),N('Deal maths'!F180)+ROW()/1000000,"")</f>
        <v/>
      </c>
    </row>
    <row r="181">
      <c r="A181" s="91" t="n"/>
      <c r="B181" s="111">
        <f>IF(AND(N('Deal maths'!F181)&gt;AsAt,N('Deal maths'!E181)&lt;=AsAt),IF(N('Deal maths'!H181)&gt;0,N('Deal maths'!H181),N('Deal maths'!D181)),0)</f>
        <v/>
      </c>
      <c r="C181" s="91">
        <f>IF(B181&gt;0,IF('Deal maths'!C181="Local authority","Local authorities",LOWER(TRIM('Deal maths'!B181))),"")</f>
        <v/>
      </c>
      <c r="D181" s="91">
        <f>IF(C181="","",IF(COUNTIF($C$4:C180,C181)=0,SUMIF($C$4:$C$3997,C181,$B$4:$B$3997)-ROW()/1000000,""))</f>
        <v/>
      </c>
      <c r="E181" s="91">
        <f>IF(AND(N('Deal maths'!F181)&gt;AsAt,N('Deal maths'!E181)&lt;=AsAt,IF(N('Deal maths'!H181)&gt;0,N('Deal maths'!H181),N('Deal maths'!D181))&gt;0),N('Deal maths'!F181)+ROW()/1000000,"")</f>
        <v/>
      </c>
    </row>
    <row r="182">
      <c r="A182" s="91" t="n"/>
      <c r="B182" s="111">
        <f>IF(AND(N('Deal maths'!F182)&gt;AsAt,N('Deal maths'!E182)&lt;=AsAt),IF(N('Deal maths'!H182)&gt;0,N('Deal maths'!H182),N('Deal maths'!D182)),0)</f>
        <v/>
      </c>
      <c r="C182" s="91">
        <f>IF(B182&gt;0,IF('Deal maths'!C182="Local authority","Local authorities",LOWER(TRIM('Deal maths'!B182))),"")</f>
        <v/>
      </c>
      <c r="D182" s="91">
        <f>IF(C182="","",IF(COUNTIF($C$4:C181,C182)=0,SUMIF($C$4:$C$3997,C182,$B$4:$B$3997)-ROW()/1000000,""))</f>
        <v/>
      </c>
      <c r="E182" s="91">
        <f>IF(AND(N('Deal maths'!F182)&gt;AsAt,N('Deal maths'!E182)&lt;=AsAt,IF(N('Deal maths'!H182)&gt;0,N('Deal maths'!H182),N('Deal maths'!D182))&gt;0),N('Deal maths'!F182)+ROW()/1000000,"")</f>
        <v/>
      </c>
    </row>
    <row r="183">
      <c r="A183" s="91" t="n"/>
      <c r="B183" s="111">
        <f>IF(AND(N('Deal maths'!F183)&gt;AsAt,N('Deal maths'!E183)&lt;=AsAt),IF(N('Deal maths'!H183)&gt;0,N('Deal maths'!H183),N('Deal maths'!D183)),0)</f>
        <v/>
      </c>
      <c r="C183" s="91">
        <f>IF(B183&gt;0,IF('Deal maths'!C183="Local authority","Local authorities",LOWER(TRIM('Deal maths'!B183))),"")</f>
        <v/>
      </c>
      <c r="D183" s="91">
        <f>IF(C183="","",IF(COUNTIF($C$4:C182,C183)=0,SUMIF($C$4:$C$3997,C183,$B$4:$B$3997)-ROW()/1000000,""))</f>
        <v/>
      </c>
      <c r="E183" s="91">
        <f>IF(AND(N('Deal maths'!F183)&gt;AsAt,N('Deal maths'!E183)&lt;=AsAt,IF(N('Deal maths'!H183)&gt;0,N('Deal maths'!H183),N('Deal maths'!D183))&gt;0),N('Deal maths'!F183)+ROW()/1000000,"")</f>
        <v/>
      </c>
    </row>
    <row r="184">
      <c r="A184" s="91" t="n"/>
      <c r="B184" s="111">
        <f>IF(AND(N('Deal maths'!F184)&gt;AsAt,N('Deal maths'!E184)&lt;=AsAt),IF(N('Deal maths'!H184)&gt;0,N('Deal maths'!H184),N('Deal maths'!D184)),0)</f>
        <v/>
      </c>
      <c r="C184" s="91">
        <f>IF(B184&gt;0,IF('Deal maths'!C184="Local authority","Local authorities",LOWER(TRIM('Deal maths'!B184))),"")</f>
        <v/>
      </c>
      <c r="D184" s="91">
        <f>IF(C184="","",IF(COUNTIF($C$4:C183,C184)=0,SUMIF($C$4:$C$3997,C184,$B$4:$B$3997)-ROW()/1000000,""))</f>
        <v/>
      </c>
      <c r="E184" s="91">
        <f>IF(AND(N('Deal maths'!F184)&gt;AsAt,N('Deal maths'!E184)&lt;=AsAt,IF(N('Deal maths'!H184)&gt;0,N('Deal maths'!H184),N('Deal maths'!D184))&gt;0),N('Deal maths'!F184)+ROW()/1000000,"")</f>
        <v/>
      </c>
    </row>
    <row r="185">
      <c r="A185" s="91" t="n"/>
      <c r="B185" s="111">
        <f>IF(AND(N('Deal maths'!F185)&gt;AsAt,N('Deal maths'!E185)&lt;=AsAt),IF(N('Deal maths'!H185)&gt;0,N('Deal maths'!H185),N('Deal maths'!D185)),0)</f>
        <v/>
      </c>
      <c r="C185" s="91">
        <f>IF(B185&gt;0,IF('Deal maths'!C185="Local authority","Local authorities",LOWER(TRIM('Deal maths'!B185))),"")</f>
        <v/>
      </c>
      <c r="D185" s="91">
        <f>IF(C185="","",IF(COUNTIF($C$4:C184,C185)=0,SUMIF($C$4:$C$3997,C185,$B$4:$B$3997)-ROW()/1000000,""))</f>
        <v/>
      </c>
      <c r="E185" s="91">
        <f>IF(AND(N('Deal maths'!F185)&gt;AsAt,N('Deal maths'!E185)&lt;=AsAt,IF(N('Deal maths'!H185)&gt;0,N('Deal maths'!H185),N('Deal maths'!D185))&gt;0),N('Deal maths'!F185)+ROW()/1000000,"")</f>
        <v/>
      </c>
    </row>
    <row r="186">
      <c r="A186" s="91" t="n"/>
      <c r="B186" s="111">
        <f>IF(AND(N('Deal maths'!F186)&gt;AsAt,N('Deal maths'!E186)&lt;=AsAt),IF(N('Deal maths'!H186)&gt;0,N('Deal maths'!H186),N('Deal maths'!D186)),0)</f>
        <v/>
      </c>
      <c r="C186" s="91">
        <f>IF(B186&gt;0,IF('Deal maths'!C186="Local authority","Local authorities",LOWER(TRIM('Deal maths'!B186))),"")</f>
        <v/>
      </c>
      <c r="D186" s="91">
        <f>IF(C186="","",IF(COUNTIF($C$4:C185,C186)=0,SUMIF($C$4:$C$3997,C186,$B$4:$B$3997)-ROW()/1000000,""))</f>
        <v/>
      </c>
      <c r="E186" s="91">
        <f>IF(AND(N('Deal maths'!F186)&gt;AsAt,N('Deal maths'!E186)&lt;=AsAt,IF(N('Deal maths'!H186)&gt;0,N('Deal maths'!H186),N('Deal maths'!D186))&gt;0),N('Deal maths'!F186)+ROW()/1000000,"")</f>
        <v/>
      </c>
    </row>
    <row r="187">
      <c r="A187" s="91" t="n"/>
      <c r="B187" s="111">
        <f>IF(AND(N('Deal maths'!F187)&gt;AsAt,N('Deal maths'!E187)&lt;=AsAt),IF(N('Deal maths'!H187)&gt;0,N('Deal maths'!H187),N('Deal maths'!D187)),0)</f>
        <v/>
      </c>
      <c r="C187" s="91">
        <f>IF(B187&gt;0,IF('Deal maths'!C187="Local authority","Local authorities",LOWER(TRIM('Deal maths'!B187))),"")</f>
        <v/>
      </c>
      <c r="D187" s="91">
        <f>IF(C187="","",IF(COUNTIF($C$4:C186,C187)=0,SUMIF($C$4:$C$3997,C187,$B$4:$B$3997)-ROW()/1000000,""))</f>
        <v/>
      </c>
      <c r="E187" s="91">
        <f>IF(AND(N('Deal maths'!F187)&gt;AsAt,N('Deal maths'!E187)&lt;=AsAt,IF(N('Deal maths'!H187)&gt;0,N('Deal maths'!H187),N('Deal maths'!D187))&gt;0),N('Deal maths'!F187)+ROW()/1000000,"")</f>
        <v/>
      </c>
    </row>
    <row r="188">
      <c r="A188" s="91" t="n"/>
      <c r="B188" s="111">
        <f>IF(AND(N('Deal maths'!F188)&gt;AsAt,N('Deal maths'!E188)&lt;=AsAt),IF(N('Deal maths'!H188)&gt;0,N('Deal maths'!H188),N('Deal maths'!D188)),0)</f>
        <v/>
      </c>
      <c r="C188" s="91">
        <f>IF(B188&gt;0,IF('Deal maths'!C188="Local authority","Local authorities",LOWER(TRIM('Deal maths'!B188))),"")</f>
        <v/>
      </c>
      <c r="D188" s="91">
        <f>IF(C188="","",IF(COUNTIF($C$4:C187,C188)=0,SUMIF($C$4:$C$3997,C188,$B$4:$B$3997)-ROW()/1000000,""))</f>
        <v/>
      </c>
      <c r="E188" s="91">
        <f>IF(AND(N('Deal maths'!F188)&gt;AsAt,N('Deal maths'!E188)&lt;=AsAt,IF(N('Deal maths'!H188)&gt;0,N('Deal maths'!H188),N('Deal maths'!D188))&gt;0),N('Deal maths'!F188)+ROW()/1000000,"")</f>
        <v/>
      </c>
    </row>
    <row r="189">
      <c r="A189" s="91" t="n"/>
      <c r="B189" s="111">
        <f>IF(AND(N('Deal maths'!F189)&gt;AsAt,N('Deal maths'!E189)&lt;=AsAt),IF(N('Deal maths'!H189)&gt;0,N('Deal maths'!H189),N('Deal maths'!D189)),0)</f>
        <v/>
      </c>
      <c r="C189" s="91">
        <f>IF(B189&gt;0,IF('Deal maths'!C189="Local authority","Local authorities",LOWER(TRIM('Deal maths'!B189))),"")</f>
        <v/>
      </c>
      <c r="D189" s="91">
        <f>IF(C189="","",IF(COUNTIF($C$4:C188,C189)=0,SUMIF($C$4:$C$3997,C189,$B$4:$B$3997)-ROW()/1000000,""))</f>
        <v/>
      </c>
      <c r="E189" s="91">
        <f>IF(AND(N('Deal maths'!F189)&gt;AsAt,N('Deal maths'!E189)&lt;=AsAt,IF(N('Deal maths'!H189)&gt;0,N('Deal maths'!H189),N('Deal maths'!D189))&gt;0),N('Deal maths'!F189)+ROW()/1000000,"")</f>
        <v/>
      </c>
    </row>
    <row r="190">
      <c r="A190" s="91" t="n"/>
      <c r="B190" s="111">
        <f>IF(AND(N('Deal maths'!F190)&gt;AsAt,N('Deal maths'!E190)&lt;=AsAt),IF(N('Deal maths'!H190)&gt;0,N('Deal maths'!H190),N('Deal maths'!D190)),0)</f>
        <v/>
      </c>
      <c r="C190" s="91">
        <f>IF(B190&gt;0,IF('Deal maths'!C190="Local authority","Local authorities",LOWER(TRIM('Deal maths'!B190))),"")</f>
        <v/>
      </c>
      <c r="D190" s="91">
        <f>IF(C190="","",IF(COUNTIF($C$4:C189,C190)=0,SUMIF($C$4:$C$3997,C190,$B$4:$B$3997)-ROW()/1000000,""))</f>
        <v/>
      </c>
      <c r="E190" s="91">
        <f>IF(AND(N('Deal maths'!F190)&gt;AsAt,N('Deal maths'!E190)&lt;=AsAt,IF(N('Deal maths'!H190)&gt;0,N('Deal maths'!H190),N('Deal maths'!D190))&gt;0),N('Deal maths'!F190)+ROW()/1000000,"")</f>
        <v/>
      </c>
    </row>
    <row r="191">
      <c r="A191" s="91" t="n"/>
      <c r="B191" s="111">
        <f>IF(AND(N('Deal maths'!F191)&gt;AsAt,N('Deal maths'!E191)&lt;=AsAt),IF(N('Deal maths'!H191)&gt;0,N('Deal maths'!H191),N('Deal maths'!D191)),0)</f>
        <v/>
      </c>
      <c r="C191" s="91">
        <f>IF(B191&gt;0,IF('Deal maths'!C191="Local authority","Local authorities",LOWER(TRIM('Deal maths'!B191))),"")</f>
        <v/>
      </c>
      <c r="D191" s="91">
        <f>IF(C191="","",IF(COUNTIF($C$4:C190,C191)=0,SUMIF($C$4:$C$3997,C191,$B$4:$B$3997)-ROW()/1000000,""))</f>
        <v/>
      </c>
      <c r="E191" s="91">
        <f>IF(AND(N('Deal maths'!F191)&gt;AsAt,N('Deal maths'!E191)&lt;=AsAt,IF(N('Deal maths'!H191)&gt;0,N('Deal maths'!H191),N('Deal maths'!D191))&gt;0),N('Deal maths'!F191)+ROW()/1000000,"")</f>
        <v/>
      </c>
    </row>
    <row r="192">
      <c r="A192" s="91" t="n"/>
      <c r="B192" s="111">
        <f>IF(AND(N('Deal maths'!F192)&gt;AsAt,N('Deal maths'!E192)&lt;=AsAt),IF(N('Deal maths'!H192)&gt;0,N('Deal maths'!H192),N('Deal maths'!D192)),0)</f>
        <v/>
      </c>
      <c r="C192" s="91">
        <f>IF(B192&gt;0,IF('Deal maths'!C192="Local authority","Local authorities",LOWER(TRIM('Deal maths'!B192))),"")</f>
        <v/>
      </c>
      <c r="D192" s="91">
        <f>IF(C192="","",IF(COUNTIF($C$4:C191,C192)=0,SUMIF($C$4:$C$3997,C192,$B$4:$B$3997)-ROW()/1000000,""))</f>
        <v/>
      </c>
      <c r="E192" s="91">
        <f>IF(AND(N('Deal maths'!F192)&gt;AsAt,N('Deal maths'!E192)&lt;=AsAt,IF(N('Deal maths'!H192)&gt;0,N('Deal maths'!H192),N('Deal maths'!D192))&gt;0),N('Deal maths'!F192)+ROW()/1000000,"")</f>
        <v/>
      </c>
    </row>
    <row r="193">
      <c r="A193" s="91" t="n"/>
      <c r="B193" s="111">
        <f>IF(AND(N('Deal maths'!F193)&gt;AsAt,N('Deal maths'!E193)&lt;=AsAt),IF(N('Deal maths'!H193)&gt;0,N('Deal maths'!H193),N('Deal maths'!D193)),0)</f>
        <v/>
      </c>
      <c r="C193" s="91">
        <f>IF(B193&gt;0,IF('Deal maths'!C193="Local authority","Local authorities",LOWER(TRIM('Deal maths'!B193))),"")</f>
        <v/>
      </c>
      <c r="D193" s="91">
        <f>IF(C193="","",IF(COUNTIF($C$4:C192,C193)=0,SUMIF($C$4:$C$3997,C193,$B$4:$B$3997)-ROW()/1000000,""))</f>
        <v/>
      </c>
      <c r="E193" s="91">
        <f>IF(AND(N('Deal maths'!F193)&gt;AsAt,N('Deal maths'!E193)&lt;=AsAt,IF(N('Deal maths'!H193)&gt;0,N('Deal maths'!H193),N('Deal maths'!D193))&gt;0),N('Deal maths'!F193)+ROW()/1000000,"")</f>
        <v/>
      </c>
    </row>
    <row r="194">
      <c r="A194" s="91" t="n"/>
      <c r="B194" s="111">
        <f>IF(AND(N('Deal maths'!F194)&gt;AsAt,N('Deal maths'!E194)&lt;=AsAt),IF(N('Deal maths'!H194)&gt;0,N('Deal maths'!H194),N('Deal maths'!D194)),0)</f>
        <v/>
      </c>
      <c r="C194" s="91">
        <f>IF(B194&gt;0,IF('Deal maths'!C194="Local authority","Local authorities",LOWER(TRIM('Deal maths'!B194))),"")</f>
        <v/>
      </c>
      <c r="D194" s="91">
        <f>IF(C194="","",IF(COUNTIF($C$4:C193,C194)=0,SUMIF($C$4:$C$3997,C194,$B$4:$B$3997)-ROW()/1000000,""))</f>
        <v/>
      </c>
      <c r="E194" s="91">
        <f>IF(AND(N('Deal maths'!F194)&gt;AsAt,N('Deal maths'!E194)&lt;=AsAt,IF(N('Deal maths'!H194)&gt;0,N('Deal maths'!H194),N('Deal maths'!D194))&gt;0),N('Deal maths'!F194)+ROW()/1000000,"")</f>
        <v/>
      </c>
    </row>
    <row r="195">
      <c r="A195" s="91" t="n"/>
      <c r="B195" s="111">
        <f>IF(AND(N('Deal maths'!F195)&gt;AsAt,N('Deal maths'!E195)&lt;=AsAt),IF(N('Deal maths'!H195)&gt;0,N('Deal maths'!H195),N('Deal maths'!D195)),0)</f>
        <v/>
      </c>
      <c r="C195" s="91">
        <f>IF(B195&gt;0,IF('Deal maths'!C195="Local authority","Local authorities",LOWER(TRIM('Deal maths'!B195))),"")</f>
        <v/>
      </c>
      <c r="D195" s="91">
        <f>IF(C195="","",IF(COUNTIF($C$4:C194,C195)=0,SUMIF($C$4:$C$3997,C195,$B$4:$B$3997)-ROW()/1000000,""))</f>
        <v/>
      </c>
      <c r="E195" s="91">
        <f>IF(AND(N('Deal maths'!F195)&gt;AsAt,N('Deal maths'!E195)&lt;=AsAt,IF(N('Deal maths'!H195)&gt;0,N('Deal maths'!H195),N('Deal maths'!D195))&gt;0),N('Deal maths'!F195)+ROW()/1000000,"")</f>
        <v/>
      </c>
    </row>
    <row r="196">
      <c r="A196" s="91" t="n"/>
      <c r="B196" s="111">
        <f>IF(AND(N('Deal maths'!F196)&gt;AsAt,N('Deal maths'!E196)&lt;=AsAt),IF(N('Deal maths'!H196)&gt;0,N('Deal maths'!H196),N('Deal maths'!D196)),0)</f>
        <v/>
      </c>
      <c r="C196" s="91">
        <f>IF(B196&gt;0,IF('Deal maths'!C196="Local authority","Local authorities",LOWER(TRIM('Deal maths'!B196))),"")</f>
        <v/>
      </c>
      <c r="D196" s="91">
        <f>IF(C196="","",IF(COUNTIF($C$4:C195,C196)=0,SUMIF($C$4:$C$3997,C196,$B$4:$B$3997)-ROW()/1000000,""))</f>
        <v/>
      </c>
      <c r="E196" s="91">
        <f>IF(AND(N('Deal maths'!F196)&gt;AsAt,N('Deal maths'!E196)&lt;=AsAt,IF(N('Deal maths'!H196)&gt;0,N('Deal maths'!H196),N('Deal maths'!D196))&gt;0),N('Deal maths'!F196)+ROW()/1000000,"")</f>
        <v/>
      </c>
    </row>
    <row r="197">
      <c r="A197" s="91" t="n"/>
      <c r="B197" s="111">
        <f>IF(AND(N('Deal maths'!F197)&gt;AsAt,N('Deal maths'!E197)&lt;=AsAt),IF(N('Deal maths'!H197)&gt;0,N('Deal maths'!H197),N('Deal maths'!D197)),0)</f>
        <v/>
      </c>
      <c r="C197" s="91">
        <f>IF(B197&gt;0,IF('Deal maths'!C197="Local authority","Local authorities",LOWER(TRIM('Deal maths'!B197))),"")</f>
        <v/>
      </c>
      <c r="D197" s="91">
        <f>IF(C197="","",IF(COUNTIF($C$4:C196,C197)=0,SUMIF($C$4:$C$3997,C197,$B$4:$B$3997)-ROW()/1000000,""))</f>
        <v/>
      </c>
      <c r="E197" s="91">
        <f>IF(AND(N('Deal maths'!F197)&gt;AsAt,N('Deal maths'!E197)&lt;=AsAt,IF(N('Deal maths'!H197)&gt;0,N('Deal maths'!H197),N('Deal maths'!D197))&gt;0),N('Deal maths'!F197)+ROW()/1000000,"")</f>
        <v/>
      </c>
    </row>
    <row r="198">
      <c r="A198" s="91" t="n"/>
      <c r="B198" s="111">
        <f>IF(AND(N('Deal maths'!F198)&gt;AsAt,N('Deal maths'!E198)&lt;=AsAt),IF(N('Deal maths'!H198)&gt;0,N('Deal maths'!H198),N('Deal maths'!D198)),0)</f>
        <v/>
      </c>
      <c r="C198" s="91">
        <f>IF(B198&gt;0,IF('Deal maths'!C198="Local authority","Local authorities",LOWER(TRIM('Deal maths'!B198))),"")</f>
        <v/>
      </c>
      <c r="D198" s="91">
        <f>IF(C198="","",IF(COUNTIF($C$4:C197,C198)=0,SUMIF($C$4:$C$3997,C198,$B$4:$B$3997)-ROW()/1000000,""))</f>
        <v/>
      </c>
      <c r="E198" s="91">
        <f>IF(AND(N('Deal maths'!F198)&gt;AsAt,N('Deal maths'!E198)&lt;=AsAt,IF(N('Deal maths'!H198)&gt;0,N('Deal maths'!H198),N('Deal maths'!D198))&gt;0),N('Deal maths'!F198)+ROW()/1000000,"")</f>
        <v/>
      </c>
    </row>
    <row r="199">
      <c r="A199" s="91" t="n"/>
      <c r="B199" s="111">
        <f>IF(AND(N('Deal maths'!F199)&gt;AsAt,N('Deal maths'!E199)&lt;=AsAt),IF(N('Deal maths'!H199)&gt;0,N('Deal maths'!H199),N('Deal maths'!D199)),0)</f>
        <v/>
      </c>
      <c r="C199" s="91">
        <f>IF(B199&gt;0,IF('Deal maths'!C199="Local authority","Local authorities",LOWER(TRIM('Deal maths'!B199))),"")</f>
        <v/>
      </c>
      <c r="D199" s="91">
        <f>IF(C199="","",IF(COUNTIF($C$4:C198,C199)=0,SUMIF($C$4:$C$3997,C199,$B$4:$B$3997)-ROW()/1000000,""))</f>
        <v/>
      </c>
      <c r="E199" s="91">
        <f>IF(AND(N('Deal maths'!F199)&gt;AsAt,N('Deal maths'!E199)&lt;=AsAt,IF(N('Deal maths'!H199)&gt;0,N('Deal maths'!H199),N('Deal maths'!D199))&gt;0),N('Deal maths'!F199)+ROW()/1000000,"")</f>
        <v/>
      </c>
    </row>
    <row r="200">
      <c r="A200" s="91" t="n"/>
      <c r="B200" s="111">
        <f>IF(AND(N('Deal maths'!F200)&gt;AsAt,N('Deal maths'!E200)&lt;=AsAt),IF(N('Deal maths'!H200)&gt;0,N('Deal maths'!H200),N('Deal maths'!D200)),0)</f>
        <v/>
      </c>
      <c r="C200" s="91">
        <f>IF(B200&gt;0,IF('Deal maths'!C200="Local authority","Local authorities",LOWER(TRIM('Deal maths'!B200))),"")</f>
        <v/>
      </c>
      <c r="D200" s="91">
        <f>IF(C200="","",IF(COUNTIF($C$4:C199,C200)=0,SUMIF($C$4:$C$3997,C200,$B$4:$B$3997)-ROW()/1000000,""))</f>
        <v/>
      </c>
      <c r="E200" s="91">
        <f>IF(AND(N('Deal maths'!F200)&gt;AsAt,N('Deal maths'!E200)&lt;=AsAt,IF(N('Deal maths'!H200)&gt;0,N('Deal maths'!H200),N('Deal maths'!D200))&gt;0),N('Deal maths'!F200)+ROW()/1000000,"")</f>
        <v/>
      </c>
    </row>
    <row r="201">
      <c r="A201" s="91" t="n"/>
      <c r="B201" s="111">
        <f>IF(AND(N('Deal maths'!F201)&gt;AsAt,N('Deal maths'!E201)&lt;=AsAt),IF(N('Deal maths'!H201)&gt;0,N('Deal maths'!H201),N('Deal maths'!D201)),0)</f>
        <v/>
      </c>
      <c r="C201" s="91">
        <f>IF(B201&gt;0,IF('Deal maths'!C201="Local authority","Local authorities",LOWER(TRIM('Deal maths'!B201))),"")</f>
        <v/>
      </c>
      <c r="D201" s="91">
        <f>IF(C201="","",IF(COUNTIF($C$4:C200,C201)=0,SUMIF($C$4:$C$3997,C201,$B$4:$B$3997)-ROW()/1000000,""))</f>
        <v/>
      </c>
      <c r="E201" s="91">
        <f>IF(AND(N('Deal maths'!F201)&gt;AsAt,N('Deal maths'!E201)&lt;=AsAt,IF(N('Deal maths'!H201)&gt;0,N('Deal maths'!H201),N('Deal maths'!D201))&gt;0),N('Deal maths'!F201)+ROW()/1000000,"")</f>
        <v/>
      </c>
    </row>
    <row r="202">
      <c r="A202" s="91" t="n"/>
      <c r="B202" s="111">
        <f>IF(AND(N('Deal maths'!F202)&gt;AsAt,N('Deal maths'!E202)&lt;=AsAt),IF(N('Deal maths'!H202)&gt;0,N('Deal maths'!H202),N('Deal maths'!D202)),0)</f>
        <v/>
      </c>
      <c r="C202" s="91">
        <f>IF(B202&gt;0,IF('Deal maths'!C202="Local authority","Local authorities",LOWER(TRIM('Deal maths'!B202))),"")</f>
        <v/>
      </c>
      <c r="D202" s="91">
        <f>IF(C202="","",IF(COUNTIF($C$4:C201,C202)=0,SUMIF($C$4:$C$3997,C202,$B$4:$B$3997)-ROW()/1000000,""))</f>
        <v/>
      </c>
      <c r="E202" s="91">
        <f>IF(AND(N('Deal maths'!F202)&gt;AsAt,N('Deal maths'!E202)&lt;=AsAt,IF(N('Deal maths'!H202)&gt;0,N('Deal maths'!H202),N('Deal maths'!D202))&gt;0),N('Deal maths'!F202)+ROW()/1000000,"")</f>
        <v/>
      </c>
    </row>
    <row r="203">
      <c r="A203" s="91" t="n"/>
      <c r="B203" s="111">
        <f>IF(AND(N('Deal maths'!F203)&gt;AsAt,N('Deal maths'!E203)&lt;=AsAt),IF(N('Deal maths'!H203)&gt;0,N('Deal maths'!H203),N('Deal maths'!D203)),0)</f>
        <v/>
      </c>
      <c r="C203" s="91">
        <f>IF(B203&gt;0,IF('Deal maths'!C203="Local authority","Local authorities",LOWER(TRIM('Deal maths'!B203))),"")</f>
        <v/>
      </c>
      <c r="D203" s="91">
        <f>IF(C203="","",IF(COUNTIF($C$4:C202,C203)=0,SUMIF($C$4:$C$3997,C203,$B$4:$B$3997)-ROW()/1000000,""))</f>
        <v/>
      </c>
      <c r="E203" s="91">
        <f>IF(AND(N('Deal maths'!F203)&gt;AsAt,N('Deal maths'!E203)&lt;=AsAt,IF(N('Deal maths'!H203)&gt;0,N('Deal maths'!H203),N('Deal maths'!D203))&gt;0),N('Deal maths'!F203)+ROW()/1000000,"")</f>
        <v/>
      </c>
    </row>
    <row r="204">
      <c r="A204" s="91" t="n"/>
      <c r="B204" s="111">
        <f>IF(AND(N('Deal maths'!F204)&gt;AsAt,N('Deal maths'!E204)&lt;=AsAt),IF(N('Deal maths'!H204)&gt;0,N('Deal maths'!H204),N('Deal maths'!D204)),0)</f>
        <v/>
      </c>
      <c r="C204" s="91">
        <f>IF(B204&gt;0,IF('Deal maths'!C204="Local authority","Local authorities",LOWER(TRIM('Deal maths'!B204))),"")</f>
        <v/>
      </c>
      <c r="D204" s="91">
        <f>IF(C204="","",IF(COUNTIF($C$4:C203,C204)=0,SUMIF($C$4:$C$3997,C204,$B$4:$B$3997)-ROW()/1000000,""))</f>
        <v/>
      </c>
      <c r="E204" s="91">
        <f>IF(AND(N('Deal maths'!F204)&gt;AsAt,N('Deal maths'!E204)&lt;=AsAt,IF(N('Deal maths'!H204)&gt;0,N('Deal maths'!H204),N('Deal maths'!D204))&gt;0),N('Deal maths'!F204)+ROW()/1000000,"")</f>
        <v/>
      </c>
    </row>
    <row r="205">
      <c r="A205" s="91" t="n"/>
      <c r="B205" s="111">
        <f>IF(AND(N('Deal maths'!F205)&gt;AsAt,N('Deal maths'!E205)&lt;=AsAt),IF(N('Deal maths'!H205)&gt;0,N('Deal maths'!H205),N('Deal maths'!D205)),0)</f>
        <v/>
      </c>
      <c r="C205" s="91">
        <f>IF(B205&gt;0,IF('Deal maths'!C205="Local authority","Local authorities",LOWER(TRIM('Deal maths'!B205))),"")</f>
        <v/>
      </c>
      <c r="D205" s="91">
        <f>IF(C205="","",IF(COUNTIF($C$4:C204,C205)=0,SUMIF($C$4:$C$3997,C205,$B$4:$B$3997)-ROW()/1000000,""))</f>
        <v/>
      </c>
      <c r="E205" s="91">
        <f>IF(AND(N('Deal maths'!F205)&gt;AsAt,N('Deal maths'!E205)&lt;=AsAt,IF(N('Deal maths'!H205)&gt;0,N('Deal maths'!H205),N('Deal maths'!D205))&gt;0),N('Deal maths'!F205)+ROW()/1000000,"")</f>
        <v/>
      </c>
    </row>
    <row r="206">
      <c r="A206" s="91" t="n"/>
      <c r="B206" s="111">
        <f>IF(AND(N('Deal maths'!F206)&gt;AsAt,N('Deal maths'!E206)&lt;=AsAt),IF(N('Deal maths'!H206)&gt;0,N('Deal maths'!H206),N('Deal maths'!D206)),0)</f>
        <v/>
      </c>
      <c r="C206" s="91">
        <f>IF(B206&gt;0,IF('Deal maths'!C206="Local authority","Local authorities",LOWER(TRIM('Deal maths'!B206))),"")</f>
        <v/>
      </c>
      <c r="D206" s="91">
        <f>IF(C206="","",IF(COUNTIF($C$4:C205,C206)=0,SUMIF($C$4:$C$3997,C206,$B$4:$B$3997)-ROW()/1000000,""))</f>
        <v/>
      </c>
      <c r="E206" s="91">
        <f>IF(AND(N('Deal maths'!F206)&gt;AsAt,N('Deal maths'!E206)&lt;=AsAt,IF(N('Deal maths'!H206)&gt;0,N('Deal maths'!H206),N('Deal maths'!D206))&gt;0),N('Deal maths'!F206)+ROW()/1000000,"")</f>
        <v/>
      </c>
    </row>
    <row r="207">
      <c r="A207" s="91" t="n"/>
      <c r="B207" s="111">
        <f>IF(AND(N('Deal maths'!F207)&gt;AsAt,N('Deal maths'!E207)&lt;=AsAt),IF(N('Deal maths'!H207)&gt;0,N('Deal maths'!H207),N('Deal maths'!D207)),0)</f>
        <v/>
      </c>
      <c r="C207" s="91">
        <f>IF(B207&gt;0,IF('Deal maths'!C207="Local authority","Local authorities",LOWER(TRIM('Deal maths'!B207))),"")</f>
        <v/>
      </c>
      <c r="D207" s="91">
        <f>IF(C207="","",IF(COUNTIF($C$4:C206,C207)=0,SUMIF($C$4:$C$3997,C207,$B$4:$B$3997)-ROW()/1000000,""))</f>
        <v/>
      </c>
      <c r="E207" s="91">
        <f>IF(AND(N('Deal maths'!F207)&gt;AsAt,N('Deal maths'!E207)&lt;=AsAt,IF(N('Deal maths'!H207)&gt;0,N('Deal maths'!H207),N('Deal maths'!D207))&gt;0),N('Deal maths'!F207)+ROW()/1000000,"")</f>
        <v/>
      </c>
    </row>
    <row r="208">
      <c r="A208" s="91" t="n"/>
      <c r="B208" s="111">
        <f>IF(AND(N('Deal maths'!F208)&gt;AsAt,N('Deal maths'!E208)&lt;=AsAt),IF(N('Deal maths'!H208)&gt;0,N('Deal maths'!H208),N('Deal maths'!D208)),0)</f>
        <v/>
      </c>
      <c r="C208" s="91">
        <f>IF(B208&gt;0,IF('Deal maths'!C208="Local authority","Local authorities",LOWER(TRIM('Deal maths'!B208))),"")</f>
        <v/>
      </c>
      <c r="D208" s="91">
        <f>IF(C208="","",IF(COUNTIF($C$4:C207,C208)=0,SUMIF($C$4:$C$3997,C208,$B$4:$B$3997)-ROW()/1000000,""))</f>
        <v/>
      </c>
      <c r="E208" s="91">
        <f>IF(AND(N('Deal maths'!F208)&gt;AsAt,N('Deal maths'!E208)&lt;=AsAt,IF(N('Deal maths'!H208)&gt;0,N('Deal maths'!H208),N('Deal maths'!D208))&gt;0),N('Deal maths'!F208)+ROW()/1000000,"")</f>
        <v/>
      </c>
    </row>
    <row r="209">
      <c r="A209" s="91" t="n"/>
      <c r="B209" s="111">
        <f>IF(AND(N('Deal maths'!F209)&gt;AsAt,N('Deal maths'!E209)&lt;=AsAt),IF(N('Deal maths'!H209)&gt;0,N('Deal maths'!H209),N('Deal maths'!D209)),0)</f>
        <v/>
      </c>
      <c r="C209" s="91">
        <f>IF(B209&gt;0,IF('Deal maths'!C209="Local authority","Local authorities",LOWER(TRIM('Deal maths'!B209))),"")</f>
        <v/>
      </c>
      <c r="D209" s="91">
        <f>IF(C209="","",IF(COUNTIF($C$4:C208,C209)=0,SUMIF($C$4:$C$3997,C209,$B$4:$B$3997)-ROW()/1000000,""))</f>
        <v/>
      </c>
      <c r="E209" s="91">
        <f>IF(AND(N('Deal maths'!F209)&gt;AsAt,N('Deal maths'!E209)&lt;=AsAt,IF(N('Deal maths'!H209)&gt;0,N('Deal maths'!H209),N('Deal maths'!D209))&gt;0),N('Deal maths'!F209)+ROW()/1000000,"")</f>
        <v/>
      </c>
    </row>
    <row r="210">
      <c r="A210" s="91" t="n"/>
      <c r="B210" s="111">
        <f>IF(AND(N('Deal maths'!F210)&gt;AsAt,N('Deal maths'!E210)&lt;=AsAt),IF(N('Deal maths'!H210)&gt;0,N('Deal maths'!H210),N('Deal maths'!D210)),0)</f>
        <v/>
      </c>
      <c r="C210" s="91">
        <f>IF(B210&gt;0,IF('Deal maths'!C210="Local authority","Local authorities",LOWER(TRIM('Deal maths'!B210))),"")</f>
        <v/>
      </c>
      <c r="D210" s="91">
        <f>IF(C210="","",IF(COUNTIF($C$4:C209,C210)=0,SUMIF($C$4:$C$3997,C210,$B$4:$B$3997)-ROW()/1000000,""))</f>
        <v/>
      </c>
      <c r="E210" s="91">
        <f>IF(AND(N('Deal maths'!F210)&gt;AsAt,N('Deal maths'!E210)&lt;=AsAt,IF(N('Deal maths'!H210)&gt;0,N('Deal maths'!H210),N('Deal maths'!D210))&gt;0),N('Deal maths'!F210)+ROW()/1000000,"")</f>
        <v/>
      </c>
    </row>
    <row r="211">
      <c r="A211" s="91" t="n"/>
      <c r="B211" s="111">
        <f>IF(AND(N('Deal maths'!F211)&gt;AsAt,N('Deal maths'!E211)&lt;=AsAt),IF(N('Deal maths'!H211)&gt;0,N('Deal maths'!H211),N('Deal maths'!D211)),0)</f>
        <v/>
      </c>
      <c r="C211" s="91">
        <f>IF(B211&gt;0,IF('Deal maths'!C211="Local authority","Local authorities",LOWER(TRIM('Deal maths'!B211))),"")</f>
        <v/>
      </c>
      <c r="D211" s="91">
        <f>IF(C211="","",IF(COUNTIF($C$4:C210,C211)=0,SUMIF($C$4:$C$3997,C211,$B$4:$B$3997)-ROW()/1000000,""))</f>
        <v/>
      </c>
      <c r="E211" s="91">
        <f>IF(AND(N('Deal maths'!F211)&gt;AsAt,N('Deal maths'!E211)&lt;=AsAt,IF(N('Deal maths'!H211)&gt;0,N('Deal maths'!H211),N('Deal maths'!D211))&gt;0),N('Deal maths'!F211)+ROW()/1000000,"")</f>
        <v/>
      </c>
    </row>
    <row r="212">
      <c r="A212" s="91" t="n"/>
      <c r="B212" s="111">
        <f>IF(AND(N('Deal maths'!F212)&gt;AsAt,N('Deal maths'!E212)&lt;=AsAt),IF(N('Deal maths'!H212)&gt;0,N('Deal maths'!H212),N('Deal maths'!D212)),0)</f>
        <v/>
      </c>
      <c r="C212" s="91">
        <f>IF(B212&gt;0,IF('Deal maths'!C212="Local authority","Local authorities",LOWER(TRIM('Deal maths'!B212))),"")</f>
        <v/>
      </c>
      <c r="D212" s="91">
        <f>IF(C212="","",IF(COUNTIF($C$4:C211,C212)=0,SUMIF($C$4:$C$3997,C212,$B$4:$B$3997)-ROW()/1000000,""))</f>
        <v/>
      </c>
      <c r="E212" s="91">
        <f>IF(AND(N('Deal maths'!F212)&gt;AsAt,N('Deal maths'!E212)&lt;=AsAt,IF(N('Deal maths'!H212)&gt;0,N('Deal maths'!H212),N('Deal maths'!D212))&gt;0),N('Deal maths'!F212)+ROW()/1000000,"")</f>
        <v/>
      </c>
    </row>
    <row r="213">
      <c r="A213" s="91" t="n"/>
      <c r="B213" s="111">
        <f>IF(AND(N('Deal maths'!F213)&gt;AsAt,N('Deal maths'!E213)&lt;=AsAt),IF(N('Deal maths'!H213)&gt;0,N('Deal maths'!H213),N('Deal maths'!D213)),0)</f>
        <v/>
      </c>
      <c r="C213" s="91">
        <f>IF(B213&gt;0,IF('Deal maths'!C213="Local authority","Local authorities",LOWER(TRIM('Deal maths'!B213))),"")</f>
        <v/>
      </c>
      <c r="D213" s="91">
        <f>IF(C213="","",IF(COUNTIF($C$4:C212,C213)=0,SUMIF($C$4:$C$3997,C213,$B$4:$B$3997)-ROW()/1000000,""))</f>
        <v/>
      </c>
      <c r="E213" s="91">
        <f>IF(AND(N('Deal maths'!F213)&gt;AsAt,N('Deal maths'!E213)&lt;=AsAt,IF(N('Deal maths'!H213)&gt;0,N('Deal maths'!H213),N('Deal maths'!D213))&gt;0),N('Deal maths'!F213)+ROW()/1000000,"")</f>
        <v/>
      </c>
    </row>
    <row r="214">
      <c r="A214" s="91" t="n"/>
      <c r="B214" s="111">
        <f>IF(AND(N('Deal maths'!F214)&gt;AsAt,N('Deal maths'!E214)&lt;=AsAt),IF(N('Deal maths'!H214)&gt;0,N('Deal maths'!H214),N('Deal maths'!D214)),0)</f>
        <v/>
      </c>
      <c r="C214" s="91">
        <f>IF(B214&gt;0,IF('Deal maths'!C214="Local authority","Local authorities",LOWER(TRIM('Deal maths'!B214))),"")</f>
        <v/>
      </c>
      <c r="D214" s="91">
        <f>IF(C214="","",IF(COUNTIF($C$4:C213,C214)=0,SUMIF($C$4:$C$3997,C214,$B$4:$B$3997)-ROW()/1000000,""))</f>
        <v/>
      </c>
      <c r="E214" s="91">
        <f>IF(AND(N('Deal maths'!F214)&gt;AsAt,N('Deal maths'!E214)&lt;=AsAt,IF(N('Deal maths'!H214)&gt;0,N('Deal maths'!H214),N('Deal maths'!D214))&gt;0),N('Deal maths'!F214)+ROW()/1000000,"")</f>
        <v/>
      </c>
    </row>
    <row r="215">
      <c r="A215" s="91" t="n"/>
      <c r="B215" s="111">
        <f>IF(AND(N('Deal maths'!F215)&gt;AsAt,N('Deal maths'!E215)&lt;=AsAt),IF(N('Deal maths'!H215)&gt;0,N('Deal maths'!H215),N('Deal maths'!D215)),0)</f>
        <v/>
      </c>
      <c r="C215" s="91">
        <f>IF(B215&gt;0,IF('Deal maths'!C215="Local authority","Local authorities",LOWER(TRIM('Deal maths'!B215))),"")</f>
        <v/>
      </c>
      <c r="D215" s="91">
        <f>IF(C215="","",IF(COUNTIF($C$4:C214,C215)=0,SUMIF($C$4:$C$3997,C215,$B$4:$B$3997)-ROW()/1000000,""))</f>
        <v/>
      </c>
      <c r="E215" s="91">
        <f>IF(AND(N('Deal maths'!F215)&gt;AsAt,N('Deal maths'!E215)&lt;=AsAt,IF(N('Deal maths'!H215)&gt;0,N('Deal maths'!H215),N('Deal maths'!D215))&gt;0),N('Deal maths'!F215)+ROW()/1000000,"")</f>
        <v/>
      </c>
    </row>
    <row r="216">
      <c r="A216" s="91" t="n"/>
      <c r="B216" s="111">
        <f>IF(AND(N('Deal maths'!F216)&gt;AsAt,N('Deal maths'!E216)&lt;=AsAt),IF(N('Deal maths'!H216)&gt;0,N('Deal maths'!H216),N('Deal maths'!D216)),0)</f>
        <v/>
      </c>
      <c r="C216" s="91">
        <f>IF(B216&gt;0,IF('Deal maths'!C216="Local authority","Local authorities",LOWER(TRIM('Deal maths'!B216))),"")</f>
        <v/>
      </c>
      <c r="D216" s="91">
        <f>IF(C216="","",IF(COUNTIF($C$4:C215,C216)=0,SUMIF($C$4:$C$3997,C216,$B$4:$B$3997)-ROW()/1000000,""))</f>
        <v/>
      </c>
      <c r="E216" s="91">
        <f>IF(AND(N('Deal maths'!F216)&gt;AsAt,N('Deal maths'!E216)&lt;=AsAt,IF(N('Deal maths'!H216)&gt;0,N('Deal maths'!H216),N('Deal maths'!D216))&gt;0),N('Deal maths'!F216)+ROW()/1000000,"")</f>
        <v/>
      </c>
    </row>
    <row r="217">
      <c r="A217" s="91" t="n"/>
      <c r="B217" s="111">
        <f>IF(AND(N('Deal maths'!F217)&gt;AsAt,N('Deal maths'!E217)&lt;=AsAt),IF(N('Deal maths'!H217)&gt;0,N('Deal maths'!H217),N('Deal maths'!D217)),0)</f>
        <v/>
      </c>
      <c r="C217" s="91">
        <f>IF(B217&gt;0,IF('Deal maths'!C217="Local authority","Local authorities",LOWER(TRIM('Deal maths'!B217))),"")</f>
        <v/>
      </c>
      <c r="D217" s="91">
        <f>IF(C217="","",IF(COUNTIF($C$4:C216,C217)=0,SUMIF($C$4:$C$3997,C217,$B$4:$B$3997)-ROW()/1000000,""))</f>
        <v/>
      </c>
      <c r="E217" s="91">
        <f>IF(AND(N('Deal maths'!F217)&gt;AsAt,N('Deal maths'!E217)&lt;=AsAt,IF(N('Deal maths'!H217)&gt;0,N('Deal maths'!H217),N('Deal maths'!D217))&gt;0),N('Deal maths'!F217)+ROW()/1000000,"")</f>
        <v/>
      </c>
    </row>
    <row r="218">
      <c r="A218" s="91" t="n"/>
      <c r="B218" s="111">
        <f>IF(AND(N('Deal maths'!F218)&gt;AsAt,N('Deal maths'!E218)&lt;=AsAt),IF(N('Deal maths'!H218)&gt;0,N('Deal maths'!H218),N('Deal maths'!D218)),0)</f>
        <v/>
      </c>
      <c r="C218" s="91">
        <f>IF(B218&gt;0,IF('Deal maths'!C218="Local authority","Local authorities",LOWER(TRIM('Deal maths'!B218))),"")</f>
        <v/>
      </c>
      <c r="D218" s="91">
        <f>IF(C218="","",IF(COUNTIF($C$4:C217,C218)=0,SUMIF($C$4:$C$3997,C218,$B$4:$B$3997)-ROW()/1000000,""))</f>
        <v/>
      </c>
      <c r="E218" s="91">
        <f>IF(AND(N('Deal maths'!F218)&gt;AsAt,N('Deal maths'!E218)&lt;=AsAt,IF(N('Deal maths'!H218)&gt;0,N('Deal maths'!H218),N('Deal maths'!D218))&gt;0),N('Deal maths'!F218)+ROW()/1000000,"")</f>
        <v/>
      </c>
    </row>
    <row r="219">
      <c r="A219" s="91" t="n"/>
      <c r="B219" s="111">
        <f>IF(AND(N('Deal maths'!F219)&gt;AsAt,N('Deal maths'!E219)&lt;=AsAt),IF(N('Deal maths'!H219)&gt;0,N('Deal maths'!H219),N('Deal maths'!D219)),0)</f>
        <v/>
      </c>
      <c r="C219" s="91">
        <f>IF(B219&gt;0,IF('Deal maths'!C219="Local authority","Local authorities",LOWER(TRIM('Deal maths'!B219))),"")</f>
        <v/>
      </c>
      <c r="D219" s="91">
        <f>IF(C219="","",IF(COUNTIF($C$4:C218,C219)=0,SUMIF($C$4:$C$3997,C219,$B$4:$B$3997)-ROW()/1000000,""))</f>
        <v/>
      </c>
      <c r="E219" s="91">
        <f>IF(AND(N('Deal maths'!F219)&gt;AsAt,N('Deal maths'!E219)&lt;=AsAt,IF(N('Deal maths'!H219)&gt;0,N('Deal maths'!H219),N('Deal maths'!D219))&gt;0),N('Deal maths'!F219)+ROW()/1000000,"")</f>
        <v/>
      </c>
    </row>
    <row r="220">
      <c r="A220" s="91" t="n"/>
      <c r="B220" s="111">
        <f>IF(AND(N('Deal maths'!F220)&gt;AsAt,N('Deal maths'!E220)&lt;=AsAt),IF(N('Deal maths'!H220)&gt;0,N('Deal maths'!H220),N('Deal maths'!D220)),0)</f>
        <v/>
      </c>
      <c r="C220" s="91">
        <f>IF(B220&gt;0,IF('Deal maths'!C220="Local authority","Local authorities",LOWER(TRIM('Deal maths'!B220))),"")</f>
        <v/>
      </c>
      <c r="D220" s="91">
        <f>IF(C220="","",IF(COUNTIF($C$4:C219,C220)=0,SUMIF($C$4:$C$3997,C220,$B$4:$B$3997)-ROW()/1000000,""))</f>
        <v/>
      </c>
      <c r="E220" s="91">
        <f>IF(AND(N('Deal maths'!F220)&gt;AsAt,N('Deal maths'!E220)&lt;=AsAt,IF(N('Deal maths'!H220)&gt;0,N('Deal maths'!H220),N('Deal maths'!D220))&gt;0),N('Deal maths'!F220)+ROW()/1000000,"")</f>
        <v/>
      </c>
    </row>
    <row r="221">
      <c r="A221" s="91" t="n"/>
      <c r="B221" s="111">
        <f>IF(AND(N('Deal maths'!F221)&gt;AsAt,N('Deal maths'!E221)&lt;=AsAt),IF(N('Deal maths'!H221)&gt;0,N('Deal maths'!H221),N('Deal maths'!D221)),0)</f>
        <v/>
      </c>
      <c r="C221" s="91">
        <f>IF(B221&gt;0,IF('Deal maths'!C221="Local authority","Local authorities",LOWER(TRIM('Deal maths'!B221))),"")</f>
        <v/>
      </c>
      <c r="D221" s="91">
        <f>IF(C221="","",IF(COUNTIF($C$4:C220,C221)=0,SUMIF($C$4:$C$3997,C221,$B$4:$B$3997)-ROW()/1000000,""))</f>
        <v/>
      </c>
      <c r="E221" s="91">
        <f>IF(AND(N('Deal maths'!F221)&gt;AsAt,N('Deal maths'!E221)&lt;=AsAt,IF(N('Deal maths'!H221)&gt;0,N('Deal maths'!H221),N('Deal maths'!D221))&gt;0),N('Deal maths'!F221)+ROW()/1000000,"")</f>
        <v/>
      </c>
    </row>
    <row r="222">
      <c r="A222" s="91" t="n"/>
      <c r="B222" s="111">
        <f>IF(AND(N('Deal maths'!F222)&gt;AsAt,N('Deal maths'!E222)&lt;=AsAt),IF(N('Deal maths'!H222)&gt;0,N('Deal maths'!H222),N('Deal maths'!D222)),0)</f>
        <v/>
      </c>
      <c r="C222" s="91">
        <f>IF(B222&gt;0,IF('Deal maths'!C222="Local authority","Local authorities",LOWER(TRIM('Deal maths'!B222))),"")</f>
        <v/>
      </c>
      <c r="D222" s="91">
        <f>IF(C222="","",IF(COUNTIF($C$4:C221,C222)=0,SUMIF($C$4:$C$3997,C222,$B$4:$B$3997)-ROW()/1000000,""))</f>
        <v/>
      </c>
      <c r="E222" s="91">
        <f>IF(AND(N('Deal maths'!F222)&gt;AsAt,N('Deal maths'!E222)&lt;=AsAt,IF(N('Deal maths'!H222)&gt;0,N('Deal maths'!H222),N('Deal maths'!D222))&gt;0),N('Deal maths'!F222)+ROW()/1000000,"")</f>
        <v/>
      </c>
    </row>
    <row r="223">
      <c r="A223" s="91" t="n"/>
      <c r="B223" s="111">
        <f>IF(AND(N('Deal maths'!F223)&gt;AsAt,N('Deal maths'!E223)&lt;=AsAt),IF(N('Deal maths'!H223)&gt;0,N('Deal maths'!H223),N('Deal maths'!D223)),0)</f>
        <v/>
      </c>
      <c r="C223" s="91">
        <f>IF(B223&gt;0,IF('Deal maths'!C223="Local authority","Local authorities",LOWER(TRIM('Deal maths'!B223))),"")</f>
        <v/>
      </c>
      <c r="D223" s="91">
        <f>IF(C223="","",IF(COUNTIF($C$4:C222,C223)=0,SUMIF($C$4:$C$3997,C223,$B$4:$B$3997)-ROW()/1000000,""))</f>
        <v/>
      </c>
      <c r="E223" s="91">
        <f>IF(AND(N('Deal maths'!F223)&gt;AsAt,N('Deal maths'!E223)&lt;=AsAt,IF(N('Deal maths'!H223)&gt;0,N('Deal maths'!H223),N('Deal maths'!D223))&gt;0),N('Deal maths'!F223)+ROW()/1000000,"")</f>
        <v/>
      </c>
    </row>
    <row r="224">
      <c r="A224" s="91" t="n"/>
      <c r="B224" s="111">
        <f>IF(AND(N('Deal maths'!F224)&gt;AsAt,N('Deal maths'!E224)&lt;=AsAt),IF(N('Deal maths'!H224)&gt;0,N('Deal maths'!H224),N('Deal maths'!D224)),0)</f>
        <v/>
      </c>
      <c r="C224" s="91">
        <f>IF(B224&gt;0,IF('Deal maths'!C224="Local authority","Local authorities",LOWER(TRIM('Deal maths'!B224))),"")</f>
        <v/>
      </c>
      <c r="D224" s="91">
        <f>IF(C224="","",IF(COUNTIF($C$4:C223,C224)=0,SUMIF($C$4:$C$3997,C224,$B$4:$B$3997)-ROW()/1000000,""))</f>
        <v/>
      </c>
      <c r="E224" s="91">
        <f>IF(AND(N('Deal maths'!F224)&gt;AsAt,N('Deal maths'!E224)&lt;=AsAt,IF(N('Deal maths'!H224)&gt;0,N('Deal maths'!H224),N('Deal maths'!D224))&gt;0),N('Deal maths'!F224)+ROW()/1000000,"")</f>
        <v/>
      </c>
    </row>
    <row r="225">
      <c r="A225" s="91" t="n"/>
      <c r="B225" s="111">
        <f>IF(AND(N('Deal maths'!F225)&gt;AsAt,N('Deal maths'!E225)&lt;=AsAt),IF(N('Deal maths'!H225)&gt;0,N('Deal maths'!H225),N('Deal maths'!D225)),0)</f>
        <v/>
      </c>
      <c r="C225" s="91">
        <f>IF(B225&gt;0,IF('Deal maths'!C225="Local authority","Local authorities",LOWER(TRIM('Deal maths'!B225))),"")</f>
        <v/>
      </c>
      <c r="D225" s="91">
        <f>IF(C225="","",IF(COUNTIF($C$4:C224,C225)=0,SUMIF($C$4:$C$3997,C225,$B$4:$B$3997)-ROW()/1000000,""))</f>
        <v/>
      </c>
      <c r="E225" s="91">
        <f>IF(AND(N('Deal maths'!F225)&gt;AsAt,N('Deal maths'!E225)&lt;=AsAt,IF(N('Deal maths'!H225)&gt;0,N('Deal maths'!H225),N('Deal maths'!D225))&gt;0),N('Deal maths'!F225)+ROW()/1000000,"")</f>
        <v/>
      </c>
    </row>
    <row r="226">
      <c r="A226" s="91" t="n"/>
      <c r="B226" s="111">
        <f>IF(AND(N('Deal maths'!F226)&gt;AsAt,N('Deal maths'!E226)&lt;=AsAt),IF(N('Deal maths'!H226)&gt;0,N('Deal maths'!H226),N('Deal maths'!D226)),0)</f>
        <v/>
      </c>
      <c r="C226" s="91">
        <f>IF(B226&gt;0,IF('Deal maths'!C226="Local authority","Local authorities",LOWER(TRIM('Deal maths'!B226))),"")</f>
        <v/>
      </c>
      <c r="D226" s="91">
        <f>IF(C226="","",IF(COUNTIF($C$4:C225,C226)=0,SUMIF($C$4:$C$3997,C226,$B$4:$B$3997)-ROW()/1000000,""))</f>
        <v/>
      </c>
      <c r="E226" s="91">
        <f>IF(AND(N('Deal maths'!F226)&gt;AsAt,N('Deal maths'!E226)&lt;=AsAt,IF(N('Deal maths'!H226)&gt;0,N('Deal maths'!H226),N('Deal maths'!D226))&gt;0),N('Deal maths'!F226)+ROW()/1000000,"")</f>
        <v/>
      </c>
    </row>
    <row r="227">
      <c r="A227" s="91" t="n"/>
      <c r="B227" s="111">
        <f>IF(AND(N('Deal maths'!F227)&gt;AsAt,N('Deal maths'!E227)&lt;=AsAt),IF(N('Deal maths'!H227)&gt;0,N('Deal maths'!H227),N('Deal maths'!D227)),0)</f>
        <v/>
      </c>
      <c r="C227" s="91">
        <f>IF(B227&gt;0,IF('Deal maths'!C227="Local authority","Local authorities",LOWER(TRIM('Deal maths'!B227))),"")</f>
        <v/>
      </c>
      <c r="D227" s="91">
        <f>IF(C227="","",IF(COUNTIF($C$4:C226,C227)=0,SUMIF($C$4:$C$3997,C227,$B$4:$B$3997)-ROW()/1000000,""))</f>
        <v/>
      </c>
      <c r="E227" s="91">
        <f>IF(AND(N('Deal maths'!F227)&gt;AsAt,N('Deal maths'!E227)&lt;=AsAt,IF(N('Deal maths'!H227)&gt;0,N('Deal maths'!H227),N('Deal maths'!D227))&gt;0),N('Deal maths'!F227)+ROW()/1000000,"")</f>
        <v/>
      </c>
    </row>
    <row r="228">
      <c r="A228" s="91" t="n"/>
      <c r="B228" s="111">
        <f>IF(AND(N('Deal maths'!F228)&gt;AsAt,N('Deal maths'!E228)&lt;=AsAt),IF(N('Deal maths'!H228)&gt;0,N('Deal maths'!H228),N('Deal maths'!D228)),0)</f>
        <v/>
      </c>
      <c r="C228" s="91">
        <f>IF(B228&gt;0,IF('Deal maths'!C228="Local authority","Local authorities",LOWER(TRIM('Deal maths'!B228))),"")</f>
        <v/>
      </c>
      <c r="D228" s="91">
        <f>IF(C228="","",IF(COUNTIF($C$4:C227,C228)=0,SUMIF($C$4:$C$3997,C228,$B$4:$B$3997)-ROW()/1000000,""))</f>
        <v/>
      </c>
      <c r="E228" s="91">
        <f>IF(AND(N('Deal maths'!F228)&gt;AsAt,N('Deal maths'!E228)&lt;=AsAt,IF(N('Deal maths'!H228)&gt;0,N('Deal maths'!H228),N('Deal maths'!D228))&gt;0),N('Deal maths'!F228)+ROW()/1000000,"")</f>
        <v/>
      </c>
    </row>
    <row r="229">
      <c r="A229" s="91" t="n"/>
      <c r="B229" s="111">
        <f>IF(AND(N('Deal maths'!F229)&gt;AsAt,N('Deal maths'!E229)&lt;=AsAt),IF(N('Deal maths'!H229)&gt;0,N('Deal maths'!H229),N('Deal maths'!D229)),0)</f>
        <v/>
      </c>
      <c r="C229" s="91">
        <f>IF(B229&gt;0,IF('Deal maths'!C229="Local authority","Local authorities",LOWER(TRIM('Deal maths'!B229))),"")</f>
        <v/>
      </c>
      <c r="D229" s="91">
        <f>IF(C229="","",IF(COUNTIF($C$4:C228,C229)=0,SUMIF($C$4:$C$3997,C229,$B$4:$B$3997)-ROW()/1000000,""))</f>
        <v/>
      </c>
      <c r="E229" s="91">
        <f>IF(AND(N('Deal maths'!F229)&gt;AsAt,N('Deal maths'!E229)&lt;=AsAt,IF(N('Deal maths'!H229)&gt;0,N('Deal maths'!H229),N('Deal maths'!D229))&gt;0),N('Deal maths'!F229)+ROW()/1000000,"")</f>
        <v/>
      </c>
    </row>
    <row r="230">
      <c r="A230" s="91" t="n"/>
      <c r="B230" s="111">
        <f>IF(AND(N('Deal maths'!F230)&gt;AsAt,N('Deal maths'!E230)&lt;=AsAt),IF(N('Deal maths'!H230)&gt;0,N('Deal maths'!H230),N('Deal maths'!D230)),0)</f>
        <v/>
      </c>
      <c r="C230" s="91">
        <f>IF(B230&gt;0,IF('Deal maths'!C230="Local authority","Local authorities",LOWER(TRIM('Deal maths'!B230))),"")</f>
        <v/>
      </c>
      <c r="D230" s="91">
        <f>IF(C230="","",IF(COUNTIF($C$4:C229,C230)=0,SUMIF($C$4:$C$3997,C230,$B$4:$B$3997)-ROW()/1000000,""))</f>
        <v/>
      </c>
      <c r="E230" s="91">
        <f>IF(AND(N('Deal maths'!F230)&gt;AsAt,N('Deal maths'!E230)&lt;=AsAt,IF(N('Deal maths'!H230)&gt;0,N('Deal maths'!H230),N('Deal maths'!D230))&gt;0),N('Deal maths'!F230)+ROW()/1000000,"")</f>
        <v/>
      </c>
    </row>
    <row r="231">
      <c r="A231" s="91" t="n"/>
      <c r="B231" s="111">
        <f>IF(AND(N('Deal maths'!F231)&gt;AsAt,N('Deal maths'!E231)&lt;=AsAt),IF(N('Deal maths'!H231)&gt;0,N('Deal maths'!H231),N('Deal maths'!D231)),0)</f>
        <v/>
      </c>
      <c r="C231" s="91">
        <f>IF(B231&gt;0,IF('Deal maths'!C231="Local authority","Local authorities",LOWER(TRIM('Deal maths'!B231))),"")</f>
        <v/>
      </c>
      <c r="D231" s="91">
        <f>IF(C231="","",IF(COUNTIF($C$4:C230,C231)=0,SUMIF($C$4:$C$3997,C231,$B$4:$B$3997)-ROW()/1000000,""))</f>
        <v/>
      </c>
      <c r="E231" s="91">
        <f>IF(AND(N('Deal maths'!F231)&gt;AsAt,N('Deal maths'!E231)&lt;=AsAt,IF(N('Deal maths'!H231)&gt;0,N('Deal maths'!H231),N('Deal maths'!D231))&gt;0),N('Deal maths'!F231)+ROW()/1000000,"")</f>
        <v/>
      </c>
    </row>
    <row r="232">
      <c r="A232" s="91" t="n"/>
      <c r="B232" s="111">
        <f>IF(AND(N('Deal maths'!F232)&gt;AsAt,N('Deal maths'!E232)&lt;=AsAt),IF(N('Deal maths'!H232)&gt;0,N('Deal maths'!H232),N('Deal maths'!D232)),0)</f>
        <v/>
      </c>
      <c r="C232" s="91">
        <f>IF(B232&gt;0,IF('Deal maths'!C232="Local authority","Local authorities",LOWER(TRIM('Deal maths'!B232))),"")</f>
        <v/>
      </c>
      <c r="D232" s="91">
        <f>IF(C232="","",IF(COUNTIF($C$4:C231,C232)=0,SUMIF($C$4:$C$3997,C232,$B$4:$B$3997)-ROW()/1000000,""))</f>
        <v/>
      </c>
      <c r="E232" s="91">
        <f>IF(AND(N('Deal maths'!F232)&gt;AsAt,N('Deal maths'!E232)&lt;=AsAt,IF(N('Deal maths'!H232)&gt;0,N('Deal maths'!H232),N('Deal maths'!D232))&gt;0),N('Deal maths'!F232)+ROW()/1000000,"")</f>
        <v/>
      </c>
    </row>
    <row r="233">
      <c r="A233" s="91" t="n"/>
      <c r="B233" s="111">
        <f>IF(AND(N('Deal maths'!F233)&gt;AsAt,N('Deal maths'!E233)&lt;=AsAt),IF(N('Deal maths'!H233)&gt;0,N('Deal maths'!H233),N('Deal maths'!D233)),0)</f>
        <v/>
      </c>
      <c r="C233" s="91">
        <f>IF(B233&gt;0,IF('Deal maths'!C233="Local authority","Local authorities",LOWER(TRIM('Deal maths'!B233))),"")</f>
        <v/>
      </c>
      <c r="D233" s="91">
        <f>IF(C233="","",IF(COUNTIF($C$4:C232,C233)=0,SUMIF($C$4:$C$3997,C233,$B$4:$B$3997)-ROW()/1000000,""))</f>
        <v/>
      </c>
      <c r="E233" s="91">
        <f>IF(AND(N('Deal maths'!F233)&gt;AsAt,N('Deal maths'!E233)&lt;=AsAt,IF(N('Deal maths'!H233)&gt;0,N('Deal maths'!H233),N('Deal maths'!D233))&gt;0),N('Deal maths'!F233)+ROW()/1000000,"")</f>
        <v/>
      </c>
    </row>
    <row r="234">
      <c r="A234" s="91" t="n"/>
      <c r="B234" s="111">
        <f>IF(AND(N('Deal maths'!F234)&gt;AsAt,N('Deal maths'!E234)&lt;=AsAt),IF(N('Deal maths'!H234)&gt;0,N('Deal maths'!H234),N('Deal maths'!D234)),0)</f>
        <v/>
      </c>
      <c r="C234" s="91">
        <f>IF(B234&gt;0,IF('Deal maths'!C234="Local authority","Local authorities",LOWER(TRIM('Deal maths'!B234))),"")</f>
        <v/>
      </c>
      <c r="D234" s="91">
        <f>IF(C234="","",IF(COUNTIF($C$4:C233,C234)=0,SUMIF($C$4:$C$3997,C234,$B$4:$B$3997)-ROW()/1000000,""))</f>
        <v/>
      </c>
      <c r="E234" s="91">
        <f>IF(AND(N('Deal maths'!F234)&gt;AsAt,N('Deal maths'!E234)&lt;=AsAt,IF(N('Deal maths'!H234)&gt;0,N('Deal maths'!H234),N('Deal maths'!D234))&gt;0),N('Deal maths'!F234)+ROW()/1000000,"")</f>
        <v/>
      </c>
    </row>
    <row r="235">
      <c r="A235" s="91" t="n"/>
      <c r="B235" s="111">
        <f>IF(AND(N('Deal maths'!F235)&gt;AsAt,N('Deal maths'!E235)&lt;=AsAt),IF(N('Deal maths'!H235)&gt;0,N('Deal maths'!H235),N('Deal maths'!D235)),0)</f>
        <v/>
      </c>
      <c r="C235" s="91">
        <f>IF(B235&gt;0,IF('Deal maths'!C235="Local authority","Local authorities",LOWER(TRIM('Deal maths'!B235))),"")</f>
        <v/>
      </c>
      <c r="D235" s="91">
        <f>IF(C235="","",IF(COUNTIF($C$4:C234,C235)=0,SUMIF($C$4:$C$3997,C235,$B$4:$B$3997)-ROW()/1000000,""))</f>
        <v/>
      </c>
      <c r="E235" s="91">
        <f>IF(AND(N('Deal maths'!F235)&gt;AsAt,N('Deal maths'!E235)&lt;=AsAt,IF(N('Deal maths'!H235)&gt;0,N('Deal maths'!H235),N('Deal maths'!D235))&gt;0),N('Deal maths'!F235)+ROW()/1000000,"")</f>
        <v/>
      </c>
    </row>
    <row r="236">
      <c r="A236" s="91" t="n"/>
      <c r="B236" s="111">
        <f>IF(AND(N('Deal maths'!F236)&gt;AsAt,N('Deal maths'!E236)&lt;=AsAt),IF(N('Deal maths'!H236)&gt;0,N('Deal maths'!H236),N('Deal maths'!D236)),0)</f>
        <v/>
      </c>
      <c r="C236" s="91">
        <f>IF(B236&gt;0,IF('Deal maths'!C236="Local authority","Local authorities",LOWER(TRIM('Deal maths'!B236))),"")</f>
        <v/>
      </c>
      <c r="D236" s="91">
        <f>IF(C236="","",IF(COUNTIF($C$4:C235,C236)=0,SUMIF($C$4:$C$3997,C236,$B$4:$B$3997)-ROW()/1000000,""))</f>
        <v/>
      </c>
      <c r="E236" s="91">
        <f>IF(AND(N('Deal maths'!F236)&gt;AsAt,N('Deal maths'!E236)&lt;=AsAt,IF(N('Deal maths'!H236)&gt;0,N('Deal maths'!H236),N('Deal maths'!D236))&gt;0),N('Deal maths'!F236)+ROW()/1000000,"")</f>
        <v/>
      </c>
    </row>
    <row r="237">
      <c r="A237" s="91" t="n"/>
      <c r="B237" s="111">
        <f>IF(AND(N('Deal maths'!F237)&gt;AsAt,N('Deal maths'!E237)&lt;=AsAt),IF(N('Deal maths'!H237)&gt;0,N('Deal maths'!H237),N('Deal maths'!D237)),0)</f>
        <v/>
      </c>
      <c r="C237" s="91">
        <f>IF(B237&gt;0,IF('Deal maths'!C237="Local authority","Local authorities",LOWER(TRIM('Deal maths'!B237))),"")</f>
        <v/>
      </c>
      <c r="D237" s="91">
        <f>IF(C237="","",IF(COUNTIF($C$4:C236,C237)=0,SUMIF($C$4:$C$3997,C237,$B$4:$B$3997)-ROW()/1000000,""))</f>
        <v/>
      </c>
      <c r="E237" s="91">
        <f>IF(AND(N('Deal maths'!F237)&gt;AsAt,N('Deal maths'!E237)&lt;=AsAt,IF(N('Deal maths'!H237)&gt;0,N('Deal maths'!H237),N('Deal maths'!D237))&gt;0),N('Deal maths'!F237)+ROW()/1000000,"")</f>
        <v/>
      </c>
    </row>
    <row r="238">
      <c r="A238" s="91" t="n"/>
      <c r="B238" s="111">
        <f>IF(AND(N('Deal maths'!F238)&gt;AsAt,N('Deal maths'!E238)&lt;=AsAt),IF(N('Deal maths'!H238)&gt;0,N('Deal maths'!H238),N('Deal maths'!D238)),0)</f>
        <v/>
      </c>
      <c r="C238" s="91">
        <f>IF(B238&gt;0,IF('Deal maths'!C238="Local authority","Local authorities",LOWER(TRIM('Deal maths'!B238))),"")</f>
        <v/>
      </c>
      <c r="D238" s="91">
        <f>IF(C238="","",IF(COUNTIF($C$4:C237,C238)=0,SUMIF($C$4:$C$3997,C238,$B$4:$B$3997)-ROW()/1000000,""))</f>
        <v/>
      </c>
      <c r="E238" s="91">
        <f>IF(AND(N('Deal maths'!F238)&gt;AsAt,N('Deal maths'!E238)&lt;=AsAt,IF(N('Deal maths'!H238)&gt;0,N('Deal maths'!H238),N('Deal maths'!D238))&gt;0),N('Deal maths'!F238)+ROW()/1000000,"")</f>
        <v/>
      </c>
    </row>
    <row r="239">
      <c r="A239" s="91" t="n"/>
      <c r="B239" s="111">
        <f>IF(AND(N('Deal maths'!F239)&gt;AsAt,N('Deal maths'!E239)&lt;=AsAt),IF(N('Deal maths'!H239)&gt;0,N('Deal maths'!H239),N('Deal maths'!D239)),0)</f>
        <v/>
      </c>
      <c r="C239" s="91">
        <f>IF(B239&gt;0,IF('Deal maths'!C239="Local authority","Local authorities",LOWER(TRIM('Deal maths'!B239))),"")</f>
        <v/>
      </c>
      <c r="D239" s="91">
        <f>IF(C239="","",IF(COUNTIF($C$4:C238,C239)=0,SUMIF($C$4:$C$3997,C239,$B$4:$B$3997)-ROW()/1000000,""))</f>
        <v/>
      </c>
      <c r="E239" s="91">
        <f>IF(AND(N('Deal maths'!F239)&gt;AsAt,N('Deal maths'!E239)&lt;=AsAt,IF(N('Deal maths'!H239)&gt;0,N('Deal maths'!H239),N('Deal maths'!D239))&gt;0),N('Deal maths'!F239)+ROW()/1000000,"")</f>
        <v/>
      </c>
    </row>
    <row r="240">
      <c r="A240" s="91" t="n"/>
      <c r="B240" s="111">
        <f>IF(AND(N('Deal maths'!F240)&gt;AsAt,N('Deal maths'!E240)&lt;=AsAt),IF(N('Deal maths'!H240)&gt;0,N('Deal maths'!H240),N('Deal maths'!D240)),0)</f>
        <v/>
      </c>
      <c r="C240" s="91">
        <f>IF(B240&gt;0,IF('Deal maths'!C240="Local authority","Local authorities",LOWER(TRIM('Deal maths'!B240))),"")</f>
        <v/>
      </c>
      <c r="D240" s="91">
        <f>IF(C240="","",IF(COUNTIF($C$4:C239,C240)=0,SUMIF($C$4:$C$3997,C240,$B$4:$B$3997)-ROW()/1000000,""))</f>
        <v/>
      </c>
      <c r="E240" s="91">
        <f>IF(AND(N('Deal maths'!F240)&gt;AsAt,N('Deal maths'!E240)&lt;=AsAt,IF(N('Deal maths'!H240)&gt;0,N('Deal maths'!H240),N('Deal maths'!D240))&gt;0),N('Deal maths'!F240)+ROW()/1000000,"")</f>
        <v/>
      </c>
    </row>
    <row r="241">
      <c r="A241" s="91" t="n"/>
      <c r="B241" s="111">
        <f>IF(AND(N('Deal maths'!F241)&gt;AsAt,N('Deal maths'!E241)&lt;=AsAt),IF(N('Deal maths'!H241)&gt;0,N('Deal maths'!H241),N('Deal maths'!D241)),0)</f>
        <v/>
      </c>
      <c r="C241" s="91">
        <f>IF(B241&gt;0,IF('Deal maths'!C241="Local authority","Local authorities",LOWER(TRIM('Deal maths'!B241))),"")</f>
        <v/>
      </c>
      <c r="D241" s="91">
        <f>IF(C241="","",IF(COUNTIF($C$4:C240,C241)=0,SUMIF($C$4:$C$3997,C241,$B$4:$B$3997)-ROW()/1000000,""))</f>
        <v/>
      </c>
      <c r="E241" s="91">
        <f>IF(AND(N('Deal maths'!F241)&gt;AsAt,N('Deal maths'!E241)&lt;=AsAt,IF(N('Deal maths'!H241)&gt;0,N('Deal maths'!H241),N('Deal maths'!D241))&gt;0),N('Deal maths'!F241)+ROW()/1000000,"")</f>
        <v/>
      </c>
    </row>
    <row r="242">
      <c r="A242" s="91" t="n"/>
      <c r="B242" s="111">
        <f>IF(AND(N('Deal maths'!F242)&gt;AsAt,N('Deal maths'!E242)&lt;=AsAt),IF(N('Deal maths'!H242)&gt;0,N('Deal maths'!H242),N('Deal maths'!D242)),0)</f>
        <v/>
      </c>
      <c r="C242" s="91">
        <f>IF(B242&gt;0,IF('Deal maths'!C242="Local authority","Local authorities",LOWER(TRIM('Deal maths'!B242))),"")</f>
        <v/>
      </c>
      <c r="D242" s="91">
        <f>IF(C242="","",IF(COUNTIF($C$4:C241,C242)=0,SUMIF($C$4:$C$3997,C242,$B$4:$B$3997)-ROW()/1000000,""))</f>
        <v/>
      </c>
      <c r="E242" s="91">
        <f>IF(AND(N('Deal maths'!F242)&gt;AsAt,N('Deal maths'!E242)&lt;=AsAt,IF(N('Deal maths'!H242)&gt;0,N('Deal maths'!H242),N('Deal maths'!D242))&gt;0),N('Deal maths'!F242)+ROW()/1000000,"")</f>
        <v/>
      </c>
    </row>
    <row r="243">
      <c r="A243" s="91" t="n"/>
      <c r="B243" s="111">
        <f>IF(AND(N('Deal maths'!F243)&gt;AsAt,N('Deal maths'!E243)&lt;=AsAt),IF(N('Deal maths'!H243)&gt;0,N('Deal maths'!H243),N('Deal maths'!D243)),0)</f>
        <v/>
      </c>
      <c r="C243" s="91">
        <f>IF(B243&gt;0,IF('Deal maths'!C243="Local authority","Local authorities",LOWER(TRIM('Deal maths'!B243))),"")</f>
        <v/>
      </c>
      <c r="D243" s="91">
        <f>IF(C243="","",IF(COUNTIF($C$4:C242,C243)=0,SUMIF($C$4:$C$3997,C243,$B$4:$B$3997)-ROW()/1000000,""))</f>
        <v/>
      </c>
      <c r="E243" s="91">
        <f>IF(AND(N('Deal maths'!F243)&gt;AsAt,N('Deal maths'!E243)&lt;=AsAt,IF(N('Deal maths'!H243)&gt;0,N('Deal maths'!H243),N('Deal maths'!D243))&gt;0),N('Deal maths'!F243)+ROW()/1000000,"")</f>
        <v/>
      </c>
    </row>
    <row r="244">
      <c r="A244" s="91" t="n"/>
      <c r="B244" s="111">
        <f>IF(AND(N('Deal maths'!F244)&gt;AsAt,N('Deal maths'!E244)&lt;=AsAt),IF(N('Deal maths'!H244)&gt;0,N('Deal maths'!H244),N('Deal maths'!D244)),0)</f>
        <v/>
      </c>
      <c r="C244" s="91">
        <f>IF(B244&gt;0,IF('Deal maths'!C244="Local authority","Local authorities",LOWER(TRIM('Deal maths'!B244))),"")</f>
        <v/>
      </c>
      <c r="D244" s="91">
        <f>IF(C244="","",IF(COUNTIF($C$4:C243,C244)=0,SUMIF($C$4:$C$3997,C244,$B$4:$B$3997)-ROW()/1000000,""))</f>
        <v/>
      </c>
      <c r="E244" s="91">
        <f>IF(AND(N('Deal maths'!F244)&gt;AsAt,N('Deal maths'!E244)&lt;=AsAt,IF(N('Deal maths'!H244)&gt;0,N('Deal maths'!H244),N('Deal maths'!D244))&gt;0),N('Deal maths'!F244)+ROW()/1000000,"")</f>
        <v/>
      </c>
    </row>
    <row r="245">
      <c r="A245" s="91" t="n"/>
      <c r="B245" s="111">
        <f>IF(AND(N('Deal maths'!F245)&gt;AsAt,N('Deal maths'!E245)&lt;=AsAt),IF(N('Deal maths'!H245)&gt;0,N('Deal maths'!H245),N('Deal maths'!D245)),0)</f>
        <v/>
      </c>
      <c r="C245" s="91">
        <f>IF(B245&gt;0,IF('Deal maths'!C245="Local authority","Local authorities",LOWER(TRIM('Deal maths'!B245))),"")</f>
        <v/>
      </c>
      <c r="D245" s="91">
        <f>IF(C245="","",IF(COUNTIF($C$4:C244,C245)=0,SUMIF($C$4:$C$3997,C245,$B$4:$B$3997)-ROW()/1000000,""))</f>
        <v/>
      </c>
      <c r="E245" s="91">
        <f>IF(AND(N('Deal maths'!F245)&gt;AsAt,N('Deal maths'!E245)&lt;=AsAt,IF(N('Deal maths'!H245)&gt;0,N('Deal maths'!H245),N('Deal maths'!D245))&gt;0),N('Deal maths'!F245)+ROW()/1000000,"")</f>
        <v/>
      </c>
    </row>
    <row r="246">
      <c r="A246" s="91" t="n"/>
      <c r="B246" s="111">
        <f>IF(AND(N('Deal maths'!F246)&gt;AsAt,N('Deal maths'!E246)&lt;=AsAt),IF(N('Deal maths'!H246)&gt;0,N('Deal maths'!H246),N('Deal maths'!D246)),0)</f>
        <v/>
      </c>
      <c r="C246" s="91">
        <f>IF(B246&gt;0,IF('Deal maths'!C246="Local authority","Local authorities",LOWER(TRIM('Deal maths'!B246))),"")</f>
        <v/>
      </c>
      <c r="D246" s="91">
        <f>IF(C246="","",IF(COUNTIF($C$4:C245,C246)=0,SUMIF($C$4:$C$3997,C246,$B$4:$B$3997)-ROW()/1000000,""))</f>
        <v/>
      </c>
      <c r="E246" s="91">
        <f>IF(AND(N('Deal maths'!F246)&gt;AsAt,N('Deal maths'!E246)&lt;=AsAt,IF(N('Deal maths'!H246)&gt;0,N('Deal maths'!H246),N('Deal maths'!D246))&gt;0),N('Deal maths'!F246)+ROW()/1000000,"")</f>
        <v/>
      </c>
    </row>
    <row r="247">
      <c r="A247" s="91" t="n"/>
      <c r="B247" s="111">
        <f>IF(AND(N('Deal maths'!F247)&gt;AsAt,N('Deal maths'!E247)&lt;=AsAt),IF(N('Deal maths'!H247)&gt;0,N('Deal maths'!H247),N('Deal maths'!D247)),0)</f>
        <v/>
      </c>
      <c r="C247" s="91">
        <f>IF(B247&gt;0,IF('Deal maths'!C247="Local authority","Local authorities",LOWER(TRIM('Deal maths'!B247))),"")</f>
        <v/>
      </c>
      <c r="D247" s="91">
        <f>IF(C247="","",IF(COUNTIF($C$4:C246,C247)=0,SUMIF($C$4:$C$3997,C247,$B$4:$B$3997)-ROW()/1000000,""))</f>
        <v/>
      </c>
      <c r="E247" s="91">
        <f>IF(AND(N('Deal maths'!F247)&gt;AsAt,N('Deal maths'!E247)&lt;=AsAt,IF(N('Deal maths'!H247)&gt;0,N('Deal maths'!H247),N('Deal maths'!D247))&gt;0),N('Deal maths'!F247)+ROW()/1000000,"")</f>
        <v/>
      </c>
    </row>
    <row r="248">
      <c r="A248" s="91" t="n"/>
      <c r="B248" s="111">
        <f>IF(AND(N('Deal maths'!F248)&gt;AsAt,N('Deal maths'!E248)&lt;=AsAt),IF(N('Deal maths'!H248)&gt;0,N('Deal maths'!H248),N('Deal maths'!D248)),0)</f>
        <v/>
      </c>
      <c r="C248" s="91">
        <f>IF(B248&gt;0,IF('Deal maths'!C248="Local authority","Local authorities",LOWER(TRIM('Deal maths'!B248))),"")</f>
        <v/>
      </c>
      <c r="D248" s="91">
        <f>IF(C248="","",IF(COUNTIF($C$4:C247,C248)=0,SUMIF($C$4:$C$3997,C248,$B$4:$B$3997)-ROW()/1000000,""))</f>
        <v/>
      </c>
      <c r="E248" s="91">
        <f>IF(AND(N('Deal maths'!F248)&gt;AsAt,N('Deal maths'!E248)&lt;=AsAt,IF(N('Deal maths'!H248)&gt;0,N('Deal maths'!H248),N('Deal maths'!D248))&gt;0),N('Deal maths'!F248)+ROW()/1000000,"")</f>
        <v/>
      </c>
    </row>
    <row r="249">
      <c r="A249" s="91" t="n"/>
      <c r="B249" s="111">
        <f>IF(AND(N('Deal maths'!F249)&gt;AsAt,N('Deal maths'!E249)&lt;=AsAt),IF(N('Deal maths'!H249)&gt;0,N('Deal maths'!H249),N('Deal maths'!D249)),0)</f>
        <v/>
      </c>
      <c r="C249" s="91">
        <f>IF(B249&gt;0,IF('Deal maths'!C249="Local authority","Local authorities",LOWER(TRIM('Deal maths'!B249))),"")</f>
        <v/>
      </c>
      <c r="D249" s="91">
        <f>IF(C249="","",IF(COUNTIF($C$4:C248,C249)=0,SUMIF($C$4:$C$3997,C249,$B$4:$B$3997)-ROW()/1000000,""))</f>
        <v/>
      </c>
      <c r="E249" s="91">
        <f>IF(AND(N('Deal maths'!F249)&gt;AsAt,N('Deal maths'!E249)&lt;=AsAt,IF(N('Deal maths'!H249)&gt;0,N('Deal maths'!H249),N('Deal maths'!D249))&gt;0),N('Deal maths'!F249)+ROW()/1000000,"")</f>
        <v/>
      </c>
    </row>
    <row r="250">
      <c r="A250" s="91" t="n"/>
      <c r="B250" s="111">
        <f>IF(AND(N('Deal maths'!F250)&gt;AsAt,N('Deal maths'!E250)&lt;=AsAt),IF(N('Deal maths'!H250)&gt;0,N('Deal maths'!H250),N('Deal maths'!D250)),0)</f>
        <v/>
      </c>
      <c r="C250" s="91">
        <f>IF(B250&gt;0,IF('Deal maths'!C250="Local authority","Local authorities",LOWER(TRIM('Deal maths'!B250))),"")</f>
        <v/>
      </c>
      <c r="D250" s="91">
        <f>IF(C250="","",IF(COUNTIF($C$4:C249,C250)=0,SUMIF($C$4:$C$3997,C250,$B$4:$B$3997)-ROW()/1000000,""))</f>
        <v/>
      </c>
      <c r="E250" s="91">
        <f>IF(AND(N('Deal maths'!F250)&gt;AsAt,N('Deal maths'!E250)&lt;=AsAt,IF(N('Deal maths'!H250)&gt;0,N('Deal maths'!H250),N('Deal maths'!D250))&gt;0),N('Deal maths'!F250)+ROW()/1000000,"")</f>
        <v/>
      </c>
    </row>
    <row r="251">
      <c r="A251" s="91" t="n"/>
      <c r="B251" s="111">
        <f>IF(AND(N('Deal maths'!F251)&gt;AsAt,N('Deal maths'!E251)&lt;=AsAt),IF(N('Deal maths'!H251)&gt;0,N('Deal maths'!H251),N('Deal maths'!D251)),0)</f>
        <v/>
      </c>
      <c r="C251" s="91">
        <f>IF(B251&gt;0,IF('Deal maths'!C251="Local authority","Local authorities",LOWER(TRIM('Deal maths'!B251))),"")</f>
        <v/>
      </c>
      <c r="D251" s="91">
        <f>IF(C251="","",IF(COUNTIF($C$4:C250,C251)=0,SUMIF($C$4:$C$3997,C251,$B$4:$B$3997)-ROW()/1000000,""))</f>
        <v/>
      </c>
      <c r="E251" s="91">
        <f>IF(AND(N('Deal maths'!F251)&gt;AsAt,N('Deal maths'!E251)&lt;=AsAt,IF(N('Deal maths'!H251)&gt;0,N('Deal maths'!H251),N('Deal maths'!D251))&gt;0),N('Deal maths'!F251)+ROW()/1000000,"")</f>
        <v/>
      </c>
    </row>
    <row r="252">
      <c r="A252" s="91" t="n"/>
      <c r="B252" s="111">
        <f>IF(AND(N('Deal maths'!F252)&gt;AsAt,N('Deal maths'!E252)&lt;=AsAt),IF(N('Deal maths'!H252)&gt;0,N('Deal maths'!H252),N('Deal maths'!D252)),0)</f>
        <v/>
      </c>
      <c r="C252" s="91">
        <f>IF(B252&gt;0,IF('Deal maths'!C252="Local authority","Local authorities",LOWER(TRIM('Deal maths'!B252))),"")</f>
        <v/>
      </c>
      <c r="D252" s="91">
        <f>IF(C252="","",IF(COUNTIF($C$4:C251,C252)=0,SUMIF($C$4:$C$3997,C252,$B$4:$B$3997)-ROW()/1000000,""))</f>
        <v/>
      </c>
      <c r="E252" s="91">
        <f>IF(AND(N('Deal maths'!F252)&gt;AsAt,N('Deal maths'!E252)&lt;=AsAt,IF(N('Deal maths'!H252)&gt;0,N('Deal maths'!H252),N('Deal maths'!D252))&gt;0),N('Deal maths'!F252)+ROW()/1000000,"")</f>
        <v/>
      </c>
    </row>
    <row r="253">
      <c r="A253" s="91" t="n"/>
      <c r="B253" s="111">
        <f>IF(AND(N('Deal maths'!F253)&gt;AsAt,N('Deal maths'!E253)&lt;=AsAt),IF(N('Deal maths'!H253)&gt;0,N('Deal maths'!H253),N('Deal maths'!D253)),0)</f>
        <v/>
      </c>
      <c r="C253" s="91">
        <f>IF(B253&gt;0,IF('Deal maths'!C253="Local authority","Local authorities",LOWER(TRIM('Deal maths'!B253))),"")</f>
        <v/>
      </c>
      <c r="D253" s="91">
        <f>IF(C253="","",IF(COUNTIF($C$4:C252,C253)=0,SUMIF($C$4:$C$3997,C253,$B$4:$B$3997)-ROW()/1000000,""))</f>
        <v/>
      </c>
      <c r="E253" s="91">
        <f>IF(AND(N('Deal maths'!F253)&gt;AsAt,N('Deal maths'!E253)&lt;=AsAt,IF(N('Deal maths'!H253)&gt;0,N('Deal maths'!H253),N('Deal maths'!D253))&gt;0),N('Deal maths'!F253)+ROW()/1000000,"")</f>
        <v/>
      </c>
    </row>
    <row r="254">
      <c r="A254" s="91" t="n"/>
      <c r="B254" s="111">
        <f>IF(AND(N('Deal maths'!F254)&gt;AsAt,N('Deal maths'!E254)&lt;=AsAt),IF(N('Deal maths'!H254)&gt;0,N('Deal maths'!H254),N('Deal maths'!D254)),0)</f>
        <v/>
      </c>
      <c r="C254" s="91">
        <f>IF(B254&gt;0,IF('Deal maths'!C254="Local authority","Local authorities",LOWER(TRIM('Deal maths'!B254))),"")</f>
        <v/>
      </c>
      <c r="D254" s="91">
        <f>IF(C254="","",IF(COUNTIF($C$4:C253,C254)=0,SUMIF($C$4:$C$3997,C254,$B$4:$B$3997)-ROW()/1000000,""))</f>
        <v/>
      </c>
      <c r="E254" s="91">
        <f>IF(AND(N('Deal maths'!F254)&gt;AsAt,N('Deal maths'!E254)&lt;=AsAt,IF(N('Deal maths'!H254)&gt;0,N('Deal maths'!H254),N('Deal maths'!D254))&gt;0),N('Deal maths'!F254)+ROW()/1000000,"")</f>
        <v/>
      </c>
    </row>
    <row r="255">
      <c r="A255" s="91" t="n"/>
      <c r="B255" s="111">
        <f>IF(AND(N('Deal maths'!F255)&gt;AsAt,N('Deal maths'!E255)&lt;=AsAt),IF(N('Deal maths'!H255)&gt;0,N('Deal maths'!H255),N('Deal maths'!D255)),0)</f>
        <v/>
      </c>
      <c r="C255" s="91">
        <f>IF(B255&gt;0,IF('Deal maths'!C255="Local authority","Local authorities",LOWER(TRIM('Deal maths'!B255))),"")</f>
        <v/>
      </c>
      <c r="D255" s="91">
        <f>IF(C255="","",IF(COUNTIF($C$4:C254,C255)=0,SUMIF($C$4:$C$3997,C255,$B$4:$B$3997)-ROW()/1000000,""))</f>
        <v/>
      </c>
      <c r="E255" s="91">
        <f>IF(AND(N('Deal maths'!F255)&gt;AsAt,N('Deal maths'!E255)&lt;=AsAt,IF(N('Deal maths'!H255)&gt;0,N('Deal maths'!H255),N('Deal maths'!D255))&gt;0),N('Deal maths'!F255)+ROW()/1000000,"")</f>
        <v/>
      </c>
    </row>
    <row r="256">
      <c r="A256" s="91" t="n"/>
      <c r="B256" s="111">
        <f>IF(AND(N('Deal maths'!F256)&gt;AsAt,N('Deal maths'!E256)&lt;=AsAt),IF(N('Deal maths'!H256)&gt;0,N('Deal maths'!H256),N('Deal maths'!D256)),0)</f>
        <v/>
      </c>
      <c r="C256" s="91">
        <f>IF(B256&gt;0,IF('Deal maths'!C256="Local authority","Local authorities",LOWER(TRIM('Deal maths'!B256))),"")</f>
        <v/>
      </c>
      <c r="D256" s="91">
        <f>IF(C256="","",IF(COUNTIF($C$4:C255,C256)=0,SUMIF($C$4:$C$3997,C256,$B$4:$B$3997)-ROW()/1000000,""))</f>
        <v/>
      </c>
      <c r="E256" s="91">
        <f>IF(AND(N('Deal maths'!F256)&gt;AsAt,N('Deal maths'!E256)&lt;=AsAt,IF(N('Deal maths'!H256)&gt;0,N('Deal maths'!H256),N('Deal maths'!D256))&gt;0),N('Deal maths'!F256)+ROW()/1000000,"")</f>
        <v/>
      </c>
    </row>
    <row r="257">
      <c r="A257" s="91" t="n"/>
      <c r="B257" s="111">
        <f>IF(AND(N('Deal maths'!F257)&gt;AsAt,N('Deal maths'!E257)&lt;=AsAt),IF(N('Deal maths'!H257)&gt;0,N('Deal maths'!H257),N('Deal maths'!D257)),0)</f>
        <v/>
      </c>
      <c r="C257" s="91">
        <f>IF(B257&gt;0,IF('Deal maths'!C257="Local authority","Local authorities",LOWER(TRIM('Deal maths'!B257))),"")</f>
        <v/>
      </c>
      <c r="D257" s="91">
        <f>IF(C257="","",IF(COUNTIF($C$4:C256,C257)=0,SUMIF($C$4:$C$3997,C257,$B$4:$B$3997)-ROW()/1000000,""))</f>
        <v/>
      </c>
      <c r="E257" s="91">
        <f>IF(AND(N('Deal maths'!F257)&gt;AsAt,N('Deal maths'!E257)&lt;=AsAt,IF(N('Deal maths'!H257)&gt;0,N('Deal maths'!H257),N('Deal maths'!D257))&gt;0),N('Deal maths'!F257)+ROW()/1000000,"")</f>
        <v/>
      </c>
    </row>
    <row r="258">
      <c r="A258" s="91" t="n"/>
      <c r="B258" s="111">
        <f>IF(AND(N('Deal maths'!F258)&gt;AsAt,N('Deal maths'!E258)&lt;=AsAt),IF(N('Deal maths'!H258)&gt;0,N('Deal maths'!H258),N('Deal maths'!D258)),0)</f>
        <v/>
      </c>
      <c r="C258" s="91">
        <f>IF(B258&gt;0,IF('Deal maths'!C258="Local authority","Local authorities",LOWER(TRIM('Deal maths'!B258))),"")</f>
        <v/>
      </c>
      <c r="D258" s="91">
        <f>IF(C258="","",IF(COUNTIF($C$4:C257,C258)=0,SUMIF($C$4:$C$3997,C258,$B$4:$B$3997)-ROW()/1000000,""))</f>
        <v/>
      </c>
      <c r="E258" s="91">
        <f>IF(AND(N('Deal maths'!F258)&gt;AsAt,N('Deal maths'!E258)&lt;=AsAt,IF(N('Deal maths'!H258)&gt;0,N('Deal maths'!H258),N('Deal maths'!D258))&gt;0),N('Deal maths'!F258)+ROW()/1000000,"")</f>
        <v/>
      </c>
    </row>
    <row r="259">
      <c r="A259" s="91" t="n"/>
      <c r="B259" s="111">
        <f>IF(AND(N('Deal maths'!F259)&gt;AsAt,N('Deal maths'!E259)&lt;=AsAt),IF(N('Deal maths'!H259)&gt;0,N('Deal maths'!H259),N('Deal maths'!D259)),0)</f>
        <v/>
      </c>
      <c r="C259" s="91">
        <f>IF(B259&gt;0,IF('Deal maths'!C259="Local authority","Local authorities",LOWER(TRIM('Deal maths'!B259))),"")</f>
        <v/>
      </c>
      <c r="D259" s="91">
        <f>IF(C259="","",IF(COUNTIF($C$4:C258,C259)=0,SUMIF($C$4:$C$3997,C259,$B$4:$B$3997)-ROW()/1000000,""))</f>
        <v/>
      </c>
      <c r="E259" s="91">
        <f>IF(AND(N('Deal maths'!F259)&gt;AsAt,N('Deal maths'!E259)&lt;=AsAt,IF(N('Deal maths'!H259)&gt;0,N('Deal maths'!H259),N('Deal maths'!D259))&gt;0),N('Deal maths'!F259)+ROW()/1000000,"")</f>
        <v/>
      </c>
    </row>
    <row r="260">
      <c r="A260" s="91" t="n"/>
      <c r="B260" s="111">
        <f>IF(AND(N('Deal maths'!F260)&gt;AsAt,N('Deal maths'!E260)&lt;=AsAt),IF(N('Deal maths'!H260)&gt;0,N('Deal maths'!H260),N('Deal maths'!D260)),0)</f>
        <v/>
      </c>
      <c r="C260" s="91">
        <f>IF(B260&gt;0,IF('Deal maths'!C260="Local authority","Local authorities",LOWER(TRIM('Deal maths'!B260))),"")</f>
        <v/>
      </c>
      <c r="D260" s="91">
        <f>IF(C260="","",IF(COUNTIF($C$4:C259,C260)=0,SUMIF($C$4:$C$3997,C260,$B$4:$B$3997)-ROW()/1000000,""))</f>
        <v/>
      </c>
      <c r="E260" s="91">
        <f>IF(AND(N('Deal maths'!F260)&gt;AsAt,N('Deal maths'!E260)&lt;=AsAt,IF(N('Deal maths'!H260)&gt;0,N('Deal maths'!H260),N('Deal maths'!D260))&gt;0),N('Deal maths'!F260)+ROW()/1000000,"")</f>
        <v/>
      </c>
    </row>
    <row r="261">
      <c r="A261" s="91" t="n"/>
      <c r="B261" s="111">
        <f>IF(AND(N('Deal maths'!F261)&gt;AsAt,N('Deal maths'!E261)&lt;=AsAt),IF(N('Deal maths'!H261)&gt;0,N('Deal maths'!H261),N('Deal maths'!D261)),0)</f>
        <v/>
      </c>
      <c r="C261" s="91">
        <f>IF(B261&gt;0,IF('Deal maths'!C261="Local authority","Local authorities",LOWER(TRIM('Deal maths'!B261))),"")</f>
        <v/>
      </c>
      <c r="D261" s="91">
        <f>IF(C261="","",IF(COUNTIF($C$4:C260,C261)=0,SUMIF($C$4:$C$3997,C261,$B$4:$B$3997)-ROW()/1000000,""))</f>
        <v/>
      </c>
      <c r="E261" s="91">
        <f>IF(AND(N('Deal maths'!F261)&gt;AsAt,N('Deal maths'!E261)&lt;=AsAt,IF(N('Deal maths'!H261)&gt;0,N('Deal maths'!H261),N('Deal maths'!D261))&gt;0),N('Deal maths'!F261)+ROW()/1000000,"")</f>
        <v/>
      </c>
    </row>
    <row r="262">
      <c r="A262" s="91" t="n"/>
      <c r="B262" s="111">
        <f>IF(AND(N('Deal maths'!F262)&gt;AsAt,N('Deal maths'!E262)&lt;=AsAt),IF(N('Deal maths'!H262)&gt;0,N('Deal maths'!H262),N('Deal maths'!D262)),0)</f>
        <v/>
      </c>
      <c r="C262" s="91">
        <f>IF(B262&gt;0,IF('Deal maths'!C262="Local authority","Local authorities",LOWER(TRIM('Deal maths'!B262))),"")</f>
        <v/>
      </c>
      <c r="D262" s="91">
        <f>IF(C262="","",IF(COUNTIF($C$4:C261,C262)=0,SUMIF($C$4:$C$3997,C262,$B$4:$B$3997)-ROW()/1000000,""))</f>
        <v/>
      </c>
      <c r="E262" s="91">
        <f>IF(AND(N('Deal maths'!F262)&gt;AsAt,N('Deal maths'!E262)&lt;=AsAt,IF(N('Deal maths'!H262)&gt;0,N('Deal maths'!H262),N('Deal maths'!D262))&gt;0),N('Deal maths'!F262)+ROW()/1000000,"")</f>
        <v/>
      </c>
    </row>
    <row r="263">
      <c r="A263" s="91" t="n"/>
      <c r="B263" s="111">
        <f>IF(AND(N('Deal maths'!F263)&gt;AsAt,N('Deal maths'!E263)&lt;=AsAt),IF(N('Deal maths'!H263)&gt;0,N('Deal maths'!H263),N('Deal maths'!D263)),0)</f>
        <v/>
      </c>
      <c r="C263" s="91">
        <f>IF(B263&gt;0,IF('Deal maths'!C263="Local authority","Local authorities",LOWER(TRIM('Deal maths'!B263))),"")</f>
        <v/>
      </c>
      <c r="D263" s="91">
        <f>IF(C263="","",IF(COUNTIF($C$4:C262,C263)=0,SUMIF($C$4:$C$3997,C263,$B$4:$B$3997)-ROW()/1000000,""))</f>
        <v/>
      </c>
      <c r="E263" s="91">
        <f>IF(AND(N('Deal maths'!F263)&gt;AsAt,N('Deal maths'!E263)&lt;=AsAt,IF(N('Deal maths'!H263)&gt;0,N('Deal maths'!H263),N('Deal maths'!D263))&gt;0),N('Deal maths'!F263)+ROW()/1000000,"")</f>
        <v/>
      </c>
    </row>
    <row r="264">
      <c r="A264" s="91" t="n"/>
      <c r="B264" s="111">
        <f>IF(AND(N('Deal maths'!F264)&gt;AsAt,N('Deal maths'!E264)&lt;=AsAt),IF(N('Deal maths'!H264)&gt;0,N('Deal maths'!H264),N('Deal maths'!D264)),0)</f>
        <v/>
      </c>
      <c r="C264" s="91">
        <f>IF(B264&gt;0,IF('Deal maths'!C264="Local authority","Local authorities",LOWER(TRIM('Deal maths'!B264))),"")</f>
        <v/>
      </c>
      <c r="D264" s="91">
        <f>IF(C264="","",IF(COUNTIF($C$4:C263,C264)=0,SUMIF($C$4:$C$3997,C264,$B$4:$B$3997)-ROW()/1000000,""))</f>
        <v/>
      </c>
      <c r="E264" s="91">
        <f>IF(AND(N('Deal maths'!F264)&gt;AsAt,N('Deal maths'!E264)&lt;=AsAt,IF(N('Deal maths'!H264)&gt;0,N('Deal maths'!H264),N('Deal maths'!D264))&gt;0),N('Deal maths'!F264)+ROW()/1000000,"")</f>
        <v/>
      </c>
    </row>
    <row r="265">
      <c r="A265" s="91" t="n"/>
      <c r="B265" s="111">
        <f>IF(AND(N('Deal maths'!F265)&gt;AsAt,N('Deal maths'!E265)&lt;=AsAt),IF(N('Deal maths'!H265)&gt;0,N('Deal maths'!H265),N('Deal maths'!D265)),0)</f>
        <v/>
      </c>
      <c r="C265" s="91">
        <f>IF(B265&gt;0,IF('Deal maths'!C265="Local authority","Local authorities",LOWER(TRIM('Deal maths'!B265))),"")</f>
        <v/>
      </c>
      <c r="D265" s="91">
        <f>IF(C265="","",IF(COUNTIF($C$4:C264,C265)=0,SUMIF($C$4:$C$3997,C265,$B$4:$B$3997)-ROW()/1000000,""))</f>
        <v/>
      </c>
      <c r="E265" s="91">
        <f>IF(AND(N('Deal maths'!F265)&gt;AsAt,N('Deal maths'!E265)&lt;=AsAt,IF(N('Deal maths'!H265)&gt;0,N('Deal maths'!H265),N('Deal maths'!D265))&gt;0),N('Deal maths'!F265)+ROW()/1000000,"")</f>
        <v/>
      </c>
    </row>
    <row r="266">
      <c r="A266" s="91" t="n"/>
      <c r="B266" s="111">
        <f>IF(AND(N('Deal maths'!F266)&gt;AsAt,N('Deal maths'!E266)&lt;=AsAt),IF(N('Deal maths'!H266)&gt;0,N('Deal maths'!H266),N('Deal maths'!D266)),0)</f>
        <v/>
      </c>
      <c r="C266" s="91">
        <f>IF(B266&gt;0,IF('Deal maths'!C266="Local authority","Local authorities",LOWER(TRIM('Deal maths'!B266))),"")</f>
        <v/>
      </c>
      <c r="D266" s="91">
        <f>IF(C266="","",IF(COUNTIF($C$4:C265,C266)=0,SUMIF($C$4:$C$3997,C266,$B$4:$B$3997)-ROW()/1000000,""))</f>
        <v/>
      </c>
      <c r="E266" s="91">
        <f>IF(AND(N('Deal maths'!F266)&gt;AsAt,N('Deal maths'!E266)&lt;=AsAt,IF(N('Deal maths'!H266)&gt;0,N('Deal maths'!H266),N('Deal maths'!D266))&gt;0),N('Deal maths'!F266)+ROW()/1000000,"")</f>
        <v/>
      </c>
    </row>
    <row r="267">
      <c r="A267" s="91" t="n"/>
      <c r="B267" s="111">
        <f>IF(AND(N('Deal maths'!F267)&gt;AsAt,N('Deal maths'!E267)&lt;=AsAt),IF(N('Deal maths'!H267)&gt;0,N('Deal maths'!H267),N('Deal maths'!D267)),0)</f>
        <v/>
      </c>
      <c r="C267" s="91">
        <f>IF(B267&gt;0,IF('Deal maths'!C267="Local authority","Local authorities",LOWER(TRIM('Deal maths'!B267))),"")</f>
        <v/>
      </c>
      <c r="D267" s="91">
        <f>IF(C267="","",IF(COUNTIF($C$4:C266,C267)=0,SUMIF($C$4:$C$3997,C267,$B$4:$B$3997)-ROW()/1000000,""))</f>
        <v/>
      </c>
      <c r="E267" s="91">
        <f>IF(AND(N('Deal maths'!F267)&gt;AsAt,N('Deal maths'!E267)&lt;=AsAt,IF(N('Deal maths'!H267)&gt;0,N('Deal maths'!H267),N('Deal maths'!D267))&gt;0),N('Deal maths'!F267)+ROW()/1000000,"")</f>
        <v/>
      </c>
    </row>
    <row r="268">
      <c r="A268" s="91" t="n"/>
      <c r="B268" s="111">
        <f>IF(AND(N('Deal maths'!F268)&gt;AsAt,N('Deal maths'!E268)&lt;=AsAt),IF(N('Deal maths'!H268)&gt;0,N('Deal maths'!H268),N('Deal maths'!D268)),0)</f>
        <v/>
      </c>
      <c r="C268" s="91">
        <f>IF(B268&gt;0,IF('Deal maths'!C268="Local authority","Local authorities",LOWER(TRIM('Deal maths'!B268))),"")</f>
        <v/>
      </c>
      <c r="D268" s="91">
        <f>IF(C268="","",IF(COUNTIF($C$4:C267,C268)=0,SUMIF($C$4:$C$3997,C268,$B$4:$B$3997)-ROW()/1000000,""))</f>
        <v/>
      </c>
      <c r="E268" s="91">
        <f>IF(AND(N('Deal maths'!F268)&gt;AsAt,N('Deal maths'!E268)&lt;=AsAt,IF(N('Deal maths'!H268)&gt;0,N('Deal maths'!H268),N('Deal maths'!D268))&gt;0),N('Deal maths'!F268)+ROW()/1000000,"")</f>
        <v/>
      </c>
    </row>
    <row r="269">
      <c r="A269" s="91" t="n"/>
      <c r="B269" s="111">
        <f>IF(AND(N('Deal maths'!F269)&gt;AsAt,N('Deal maths'!E269)&lt;=AsAt),IF(N('Deal maths'!H269)&gt;0,N('Deal maths'!H269),N('Deal maths'!D269)),0)</f>
        <v/>
      </c>
      <c r="C269" s="91">
        <f>IF(B269&gt;0,IF('Deal maths'!C269="Local authority","Local authorities",LOWER(TRIM('Deal maths'!B269))),"")</f>
        <v/>
      </c>
      <c r="D269" s="91">
        <f>IF(C269="","",IF(COUNTIF($C$4:C268,C269)=0,SUMIF($C$4:$C$3997,C269,$B$4:$B$3997)-ROW()/1000000,""))</f>
        <v/>
      </c>
      <c r="E269" s="91">
        <f>IF(AND(N('Deal maths'!F269)&gt;AsAt,N('Deal maths'!E269)&lt;=AsAt,IF(N('Deal maths'!H269)&gt;0,N('Deal maths'!H269),N('Deal maths'!D269))&gt;0),N('Deal maths'!F269)+ROW()/1000000,"")</f>
        <v/>
      </c>
    </row>
    <row r="270">
      <c r="A270" s="91" t="n"/>
      <c r="B270" s="111">
        <f>IF(AND(N('Deal maths'!F270)&gt;AsAt,N('Deal maths'!E270)&lt;=AsAt),IF(N('Deal maths'!H270)&gt;0,N('Deal maths'!H270),N('Deal maths'!D270)),0)</f>
        <v/>
      </c>
      <c r="C270" s="91">
        <f>IF(B270&gt;0,IF('Deal maths'!C270="Local authority","Local authorities",LOWER(TRIM('Deal maths'!B270))),"")</f>
        <v/>
      </c>
      <c r="D270" s="91">
        <f>IF(C270="","",IF(COUNTIF($C$4:C269,C270)=0,SUMIF($C$4:$C$3997,C270,$B$4:$B$3997)-ROW()/1000000,""))</f>
        <v/>
      </c>
      <c r="E270" s="91">
        <f>IF(AND(N('Deal maths'!F270)&gt;AsAt,N('Deal maths'!E270)&lt;=AsAt,IF(N('Deal maths'!H270)&gt;0,N('Deal maths'!H270),N('Deal maths'!D270))&gt;0),N('Deal maths'!F270)+ROW()/1000000,"")</f>
        <v/>
      </c>
    </row>
    <row r="271">
      <c r="A271" s="91" t="n"/>
      <c r="B271" s="111">
        <f>IF(AND(N('Deal maths'!F271)&gt;AsAt,N('Deal maths'!E271)&lt;=AsAt),IF(N('Deal maths'!H271)&gt;0,N('Deal maths'!H271),N('Deal maths'!D271)),0)</f>
        <v/>
      </c>
      <c r="C271" s="91">
        <f>IF(B271&gt;0,IF('Deal maths'!C271="Local authority","Local authorities",LOWER(TRIM('Deal maths'!B271))),"")</f>
        <v/>
      </c>
      <c r="D271" s="91">
        <f>IF(C271="","",IF(COUNTIF($C$4:C270,C271)=0,SUMIF($C$4:$C$3997,C271,$B$4:$B$3997)-ROW()/1000000,""))</f>
        <v/>
      </c>
      <c r="E271" s="91">
        <f>IF(AND(N('Deal maths'!F271)&gt;AsAt,N('Deal maths'!E271)&lt;=AsAt,IF(N('Deal maths'!H271)&gt;0,N('Deal maths'!H271),N('Deal maths'!D271))&gt;0),N('Deal maths'!F271)+ROW()/1000000,"")</f>
        <v/>
      </c>
    </row>
    <row r="272">
      <c r="A272" s="91" t="n"/>
      <c r="B272" s="111">
        <f>IF(AND(N('Deal maths'!F272)&gt;AsAt,N('Deal maths'!E272)&lt;=AsAt),IF(N('Deal maths'!H272)&gt;0,N('Deal maths'!H272),N('Deal maths'!D272)),0)</f>
        <v/>
      </c>
      <c r="C272" s="91">
        <f>IF(B272&gt;0,IF('Deal maths'!C272="Local authority","Local authorities",LOWER(TRIM('Deal maths'!B272))),"")</f>
        <v/>
      </c>
      <c r="D272" s="91">
        <f>IF(C272="","",IF(COUNTIF($C$4:C271,C272)=0,SUMIF($C$4:$C$3997,C272,$B$4:$B$3997)-ROW()/1000000,""))</f>
        <v/>
      </c>
      <c r="E272" s="91">
        <f>IF(AND(N('Deal maths'!F272)&gt;AsAt,N('Deal maths'!E272)&lt;=AsAt,IF(N('Deal maths'!H272)&gt;0,N('Deal maths'!H272),N('Deal maths'!D272))&gt;0),N('Deal maths'!F272)+ROW()/1000000,"")</f>
        <v/>
      </c>
    </row>
    <row r="273">
      <c r="A273" s="91" t="n"/>
      <c r="B273" s="111">
        <f>IF(AND(N('Deal maths'!F273)&gt;AsAt,N('Deal maths'!E273)&lt;=AsAt),IF(N('Deal maths'!H273)&gt;0,N('Deal maths'!H273),N('Deal maths'!D273)),0)</f>
        <v/>
      </c>
      <c r="C273" s="91">
        <f>IF(B273&gt;0,IF('Deal maths'!C273="Local authority","Local authorities",LOWER(TRIM('Deal maths'!B273))),"")</f>
        <v/>
      </c>
      <c r="D273" s="91">
        <f>IF(C273="","",IF(COUNTIF($C$4:C272,C273)=0,SUMIF($C$4:$C$3997,C273,$B$4:$B$3997)-ROW()/1000000,""))</f>
        <v/>
      </c>
      <c r="E273" s="91">
        <f>IF(AND(N('Deal maths'!F273)&gt;AsAt,N('Deal maths'!E273)&lt;=AsAt,IF(N('Deal maths'!H273)&gt;0,N('Deal maths'!H273),N('Deal maths'!D273))&gt;0),N('Deal maths'!F273)+ROW()/1000000,"")</f>
        <v/>
      </c>
    </row>
    <row r="274">
      <c r="A274" s="91" t="n"/>
      <c r="B274" s="111">
        <f>IF(AND(N('Deal maths'!F274)&gt;AsAt,N('Deal maths'!E274)&lt;=AsAt),IF(N('Deal maths'!H274)&gt;0,N('Deal maths'!H274),N('Deal maths'!D274)),0)</f>
        <v/>
      </c>
      <c r="C274" s="91">
        <f>IF(B274&gt;0,IF('Deal maths'!C274="Local authority","Local authorities",LOWER(TRIM('Deal maths'!B274))),"")</f>
        <v/>
      </c>
      <c r="D274" s="91">
        <f>IF(C274="","",IF(COUNTIF($C$4:C273,C274)=0,SUMIF($C$4:$C$3997,C274,$B$4:$B$3997)-ROW()/1000000,""))</f>
        <v/>
      </c>
      <c r="E274" s="91">
        <f>IF(AND(N('Deal maths'!F274)&gt;AsAt,N('Deal maths'!E274)&lt;=AsAt,IF(N('Deal maths'!H274)&gt;0,N('Deal maths'!H274),N('Deal maths'!D274))&gt;0),N('Deal maths'!F274)+ROW()/1000000,"")</f>
        <v/>
      </c>
    </row>
    <row r="275">
      <c r="A275" s="91" t="n"/>
      <c r="B275" s="111">
        <f>IF(AND(N('Deal maths'!F275)&gt;AsAt,N('Deal maths'!E275)&lt;=AsAt),IF(N('Deal maths'!H275)&gt;0,N('Deal maths'!H275),N('Deal maths'!D275)),0)</f>
        <v/>
      </c>
      <c r="C275" s="91">
        <f>IF(B275&gt;0,IF('Deal maths'!C275="Local authority","Local authorities",LOWER(TRIM('Deal maths'!B275))),"")</f>
        <v/>
      </c>
      <c r="D275" s="91">
        <f>IF(C275="","",IF(COUNTIF($C$4:C274,C275)=0,SUMIF($C$4:$C$3997,C275,$B$4:$B$3997)-ROW()/1000000,""))</f>
        <v/>
      </c>
      <c r="E275" s="91">
        <f>IF(AND(N('Deal maths'!F275)&gt;AsAt,N('Deal maths'!E275)&lt;=AsAt,IF(N('Deal maths'!H275)&gt;0,N('Deal maths'!H275),N('Deal maths'!D275))&gt;0),N('Deal maths'!F275)+ROW()/1000000,"")</f>
        <v/>
      </c>
    </row>
    <row r="276">
      <c r="A276" s="91" t="n"/>
      <c r="B276" s="111">
        <f>IF(AND(N('Deal maths'!F276)&gt;AsAt,N('Deal maths'!E276)&lt;=AsAt),IF(N('Deal maths'!H276)&gt;0,N('Deal maths'!H276),N('Deal maths'!D276)),0)</f>
        <v/>
      </c>
      <c r="C276" s="91">
        <f>IF(B276&gt;0,IF('Deal maths'!C276="Local authority","Local authorities",LOWER(TRIM('Deal maths'!B276))),"")</f>
        <v/>
      </c>
      <c r="D276" s="91">
        <f>IF(C276="","",IF(COUNTIF($C$4:C275,C276)=0,SUMIF($C$4:$C$3997,C276,$B$4:$B$3997)-ROW()/1000000,""))</f>
        <v/>
      </c>
      <c r="E276" s="91">
        <f>IF(AND(N('Deal maths'!F276)&gt;AsAt,N('Deal maths'!E276)&lt;=AsAt,IF(N('Deal maths'!H276)&gt;0,N('Deal maths'!H276),N('Deal maths'!D276))&gt;0),N('Deal maths'!F276)+ROW()/1000000,"")</f>
        <v/>
      </c>
    </row>
    <row r="277">
      <c r="A277" s="91" t="n"/>
      <c r="B277" s="111">
        <f>IF(AND(N('Deal maths'!F277)&gt;AsAt,N('Deal maths'!E277)&lt;=AsAt),IF(N('Deal maths'!H277)&gt;0,N('Deal maths'!H277),N('Deal maths'!D277)),0)</f>
        <v/>
      </c>
      <c r="C277" s="91">
        <f>IF(B277&gt;0,IF('Deal maths'!C277="Local authority","Local authorities",LOWER(TRIM('Deal maths'!B277))),"")</f>
        <v/>
      </c>
      <c r="D277" s="91">
        <f>IF(C277="","",IF(COUNTIF($C$4:C276,C277)=0,SUMIF($C$4:$C$3997,C277,$B$4:$B$3997)-ROW()/1000000,""))</f>
        <v/>
      </c>
      <c r="E277" s="91">
        <f>IF(AND(N('Deal maths'!F277)&gt;AsAt,N('Deal maths'!E277)&lt;=AsAt,IF(N('Deal maths'!H277)&gt;0,N('Deal maths'!H277),N('Deal maths'!D277))&gt;0),N('Deal maths'!F277)+ROW()/1000000,"")</f>
        <v/>
      </c>
    </row>
    <row r="278">
      <c r="A278" s="91" t="n"/>
      <c r="B278" s="111">
        <f>IF(AND(N('Deal maths'!F278)&gt;AsAt,N('Deal maths'!E278)&lt;=AsAt),IF(N('Deal maths'!H278)&gt;0,N('Deal maths'!H278),N('Deal maths'!D278)),0)</f>
        <v/>
      </c>
      <c r="C278" s="91">
        <f>IF(B278&gt;0,IF('Deal maths'!C278="Local authority","Local authorities",LOWER(TRIM('Deal maths'!B278))),"")</f>
        <v/>
      </c>
      <c r="D278" s="91">
        <f>IF(C278="","",IF(COUNTIF($C$4:C277,C278)=0,SUMIF($C$4:$C$3997,C278,$B$4:$B$3997)-ROW()/1000000,""))</f>
        <v/>
      </c>
      <c r="E278" s="91">
        <f>IF(AND(N('Deal maths'!F278)&gt;AsAt,N('Deal maths'!E278)&lt;=AsAt,IF(N('Deal maths'!H278)&gt;0,N('Deal maths'!H278),N('Deal maths'!D278))&gt;0),N('Deal maths'!F278)+ROW()/1000000,"")</f>
        <v/>
      </c>
    </row>
    <row r="279">
      <c r="A279" s="91" t="n"/>
      <c r="B279" s="111">
        <f>IF(AND(N('Deal maths'!F279)&gt;AsAt,N('Deal maths'!E279)&lt;=AsAt),IF(N('Deal maths'!H279)&gt;0,N('Deal maths'!H279),N('Deal maths'!D279)),0)</f>
        <v/>
      </c>
      <c r="C279" s="91">
        <f>IF(B279&gt;0,IF('Deal maths'!C279="Local authority","Local authorities",LOWER(TRIM('Deal maths'!B279))),"")</f>
        <v/>
      </c>
      <c r="D279" s="91">
        <f>IF(C279="","",IF(COUNTIF($C$4:C278,C279)=0,SUMIF($C$4:$C$3997,C279,$B$4:$B$3997)-ROW()/1000000,""))</f>
        <v/>
      </c>
      <c r="E279" s="91">
        <f>IF(AND(N('Deal maths'!F279)&gt;AsAt,N('Deal maths'!E279)&lt;=AsAt,IF(N('Deal maths'!H279)&gt;0,N('Deal maths'!H279),N('Deal maths'!D279))&gt;0),N('Deal maths'!F279)+ROW()/1000000,"")</f>
        <v/>
      </c>
    </row>
    <row r="280">
      <c r="A280" s="91" t="n"/>
      <c r="B280" s="111">
        <f>IF(AND(N('Deal maths'!F280)&gt;AsAt,N('Deal maths'!E280)&lt;=AsAt),IF(N('Deal maths'!H280)&gt;0,N('Deal maths'!H280),N('Deal maths'!D280)),0)</f>
        <v/>
      </c>
      <c r="C280" s="91">
        <f>IF(B280&gt;0,IF('Deal maths'!C280="Local authority","Local authorities",LOWER(TRIM('Deal maths'!B280))),"")</f>
        <v/>
      </c>
      <c r="D280" s="91">
        <f>IF(C280="","",IF(COUNTIF($C$4:C279,C280)=0,SUMIF($C$4:$C$3997,C280,$B$4:$B$3997)-ROW()/1000000,""))</f>
        <v/>
      </c>
      <c r="E280" s="91">
        <f>IF(AND(N('Deal maths'!F280)&gt;AsAt,N('Deal maths'!E280)&lt;=AsAt,IF(N('Deal maths'!H280)&gt;0,N('Deal maths'!H280),N('Deal maths'!D280))&gt;0),N('Deal maths'!F280)+ROW()/1000000,"")</f>
        <v/>
      </c>
    </row>
    <row r="281">
      <c r="A281" s="91" t="n"/>
      <c r="B281" s="111">
        <f>IF(AND(N('Deal maths'!F281)&gt;AsAt,N('Deal maths'!E281)&lt;=AsAt),IF(N('Deal maths'!H281)&gt;0,N('Deal maths'!H281),N('Deal maths'!D281)),0)</f>
        <v/>
      </c>
      <c r="C281" s="91">
        <f>IF(B281&gt;0,IF('Deal maths'!C281="Local authority","Local authorities",LOWER(TRIM('Deal maths'!B281))),"")</f>
        <v/>
      </c>
      <c r="D281" s="91">
        <f>IF(C281="","",IF(COUNTIF($C$4:C280,C281)=0,SUMIF($C$4:$C$3997,C281,$B$4:$B$3997)-ROW()/1000000,""))</f>
        <v/>
      </c>
      <c r="E281" s="91">
        <f>IF(AND(N('Deal maths'!F281)&gt;AsAt,N('Deal maths'!E281)&lt;=AsAt,IF(N('Deal maths'!H281)&gt;0,N('Deal maths'!H281),N('Deal maths'!D281))&gt;0),N('Deal maths'!F281)+ROW()/1000000,"")</f>
        <v/>
      </c>
    </row>
    <row r="282">
      <c r="A282" s="91" t="n"/>
      <c r="B282" s="111">
        <f>IF(AND(N('Deal maths'!F282)&gt;AsAt,N('Deal maths'!E282)&lt;=AsAt),IF(N('Deal maths'!H282)&gt;0,N('Deal maths'!H282),N('Deal maths'!D282)),0)</f>
        <v/>
      </c>
      <c r="C282" s="91">
        <f>IF(B282&gt;0,IF('Deal maths'!C282="Local authority","Local authorities",LOWER(TRIM('Deal maths'!B282))),"")</f>
        <v/>
      </c>
      <c r="D282" s="91">
        <f>IF(C282="","",IF(COUNTIF($C$4:C281,C282)=0,SUMIF($C$4:$C$3997,C282,$B$4:$B$3997)-ROW()/1000000,""))</f>
        <v/>
      </c>
      <c r="E282" s="91">
        <f>IF(AND(N('Deal maths'!F282)&gt;AsAt,N('Deal maths'!E282)&lt;=AsAt,IF(N('Deal maths'!H282)&gt;0,N('Deal maths'!H282),N('Deal maths'!D282))&gt;0),N('Deal maths'!F282)+ROW()/1000000,"")</f>
        <v/>
      </c>
    </row>
    <row r="283">
      <c r="A283" s="91" t="n"/>
      <c r="B283" s="111">
        <f>IF(AND(N('Deal maths'!F283)&gt;AsAt,N('Deal maths'!E283)&lt;=AsAt),IF(N('Deal maths'!H283)&gt;0,N('Deal maths'!H283),N('Deal maths'!D283)),0)</f>
        <v/>
      </c>
      <c r="C283" s="91">
        <f>IF(B283&gt;0,IF('Deal maths'!C283="Local authority","Local authorities",LOWER(TRIM('Deal maths'!B283))),"")</f>
        <v/>
      </c>
      <c r="D283" s="91">
        <f>IF(C283="","",IF(COUNTIF($C$4:C282,C283)=0,SUMIF($C$4:$C$3997,C283,$B$4:$B$3997)-ROW()/1000000,""))</f>
        <v/>
      </c>
      <c r="E283" s="91">
        <f>IF(AND(N('Deal maths'!F283)&gt;AsAt,N('Deal maths'!E283)&lt;=AsAt,IF(N('Deal maths'!H283)&gt;0,N('Deal maths'!H283),N('Deal maths'!D283))&gt;0),N('Deal maths'!F283)+ROW()/1000000,"")</f>
        <v/>
      </c>
    </row>
    <row r="284">
      <c r="A284" s="91" t="n"/>
      <c r="B284" s="111">
        <f>IF(AND(N('Deal maths'!F284)&gt;AsAt,N('Deal maths'!E284)&lt;=AsAt),IF(N('Deal maths'!H284)&gt;0,N('Deal maths'!H284),N('Deal maths'!D284)),0)</f>
        <v/>
      </c>
      <c r="C284" s="91">
        <f>IF(B284&gt;0,IF('Deal maths'!C284="Local authority","Local authorities",LOWER(TRIM('Deal maths'!B284))),"")</f>
        <v/>
      </c>
      <c r="D284" s="91">
        <f>IF(C284="","",IF(COUNTIF($C$4:C283,C284)=0,SUMIF($C$4:$C$3997,C284,$B$4:$B$3997)-ROW()/1000000,""))</f>
        <v/>
      </c>
      <c r="E284" s="91">
        <f>IF(AND(N('Deal maths'!F284)&gt;AsAt,N('Deal maths'!E284)&lt;=AsAt,IF(N('Deal maths'!H284)&gt;0,N('Deal maths'!H284),N('Deal maths'!D284))&gt;0),N('Deal maths'!F284)+ROW()/1000000,"")</f>
        <v/>
      </c>
    </row>
    <row r="285">
      <c r="A285" s="91" t="n"/>
      <c r="B285" s="111">
        <f>IF(AND(N('Deal maths'!F285)&gt;AsAt,N('Deal maths'!E285)&lt;=AsAt),IF(N('Deal maths'!H285)&gt;0,N('Deal maths'!H285),N('Deal maths'!D285)),0)</f>
        <v/>
      </c>
      <c r="C285" s="91">
        <f>IF(B285&gt;0,IF('Deal maths'!C285="Local authority","Local authorities",LOWER(TRIM('Deal maths'!B285))),"")</f>
        <v/>
      </c>
      <c r="D285" s="91">
        <f>IF(C285="","",IF(COUNTIF($C$4:C284,C285)=0,SUMIF($C$4:$C$3997,C285,$B$4:$B$3997)-ROW()/1000000,""))</f>
        <v/>
      </c>
      <c r="E285" s="91">
        <f>IF(AND(N('Deal maths'!F285)&gt;AsAt,N('Deal maths'!E285)&lt;=AsAt,IF(N('Deal maths'!H285)&gt;0,N('Deal maths'!H285),N('Deal maths'!D285))&gt;0),N('Deal maths'!F285)+ROW()/1000000,"")</f>
        <v/>
      </c>
    </row>
    <row r="286">
      <c r="A286" s="91" t="n"/>
      <c r="B286" s="111">
        <f>IF(AND(N('Deal maths'!F286)&gt;AsAt,N('Deal maths'!E286)&lt;=AsAt),IF(N('Deal maths'!H286)&gt;0,N('Deal maths'!H286),N('Deal maths'!D286)),0)</f>
        <v/>
      </c>
      <c r="C286" s="91">
        <f>IF(B286&gt;0,IF('Deal maths'!C286="Local authority","Local authorities",LOWER(TRIM('Deal maths'!B286))),"")</f>
        <v/>
      </c>
      <c r="D286" s="91">
        <f>IF(C286="","",IF(COUNTIF($C$4:C285,C286)=0,SUMIF($C$4:$C$3997,C286,$B$4:$B$3997)-ROW()/1000000,""))</f>
        <v/>
      </c>
      <c r="E286" s="91">
        <f>IF(AND(N('Deal maths'!F286)&gt;AsAt,N('Deal maths'!E286)&lt;=AsAt,IF(N('Deal maths'!H286)&gt;0,N('Deal maths'!H286),N('Deal maths'!D286))&gt;0),N('Deal maths'!F286)+ROW()/1000000,"")</f>
        <v/>
      </c>
    </row>
    <row r="287">
      <c r="A287" s="91" t="n"/>
      <c r="B287" s="111">
        <f>IF(AND(N('Deal maths'!F287)&gt;AsAt,N('Deal maths'!E287)&lt;=AsAt),IF(N('Deal maths'!H287)&gt;0,N('Deal maths'!H287),N('Deal maths'!D287)),0)</f>
        <v/>
      </c>
      <c r="C287" s="91">
        <f>IF(B287&gt;0,IF('Deal maths'!C287="Local authority","Local authorities",LOWER(TRIM('Deal maths'!B287))),"")</f>
        <v/>
      </c>
      <c r="D287" s="91">
        <f>IF(C287="","",IF(COUNTIF($C$4:C286,C287)=0,SUMIF($C$4:$C$3997,C287,$B$4:$B$3997)-ROW()/1000000,""))</f>
        <v/>
      </c>
      <c r="E287" s="91">
        <f>IF(AND(N('Deal maths'!F287)&gt;AsAt,N('Deal maths'!E287)&lt;=AsAt,IF(N('Deal maths'!H287)&gt;0,N('Deal maths'!H287),N('Deal maths'!D287))&gt;0),N('Deal maths'!F287)+ROW()/1000000,"")</f>
        <v/>
      </c>
    </row>
    <row r="288">
      <c r="A288" s="91" t="n"/>
      <c r="B288" s="111">
        <f>IF(AND(N('Deal maths'!F288)&gt;AsAt,N('Deal maths'!E288)&lt;=AsAt),IF(N('Deal maths'!H288)&gt;0,N('Deal maths'!H288),N('Deal maths'!D288)),0)</f>
        <v/>
      </c>
      <c r="C288" s="91">
        <f>IF(B288&gt;0,IF('Deal maths'!C288="Local authority","Local authorities",LOWER(TRIM('Deal maths'!B288))),"")</f>
        <v/>
      </c>
      <c r="D288" s="91">
        <f>IF(C288="","",IF(COUNTIF($C$4:C287,C288)=0,SUMIF($C$4:$C$3997,C288,$B$4:$B$3997)-ROW()/1000000,""))</f>
        <v/>
      </c>
      <c r="E288" s="91">
        <f>IF(AND(N('Deal maths'!F288)&gt;AsAt,N('Deal maths'!E288)&lt;=AsAt,IF(N('Deal maths'!H288)&gt;0,N('Deal maths'!H288),N('Deal maths'!D288))&gt;0),N('Deal maths'!F288)+ROW()/1000000,"")</f>
        <v/>
      </c>
    </row>
    <row r="289">
      <c r="A289" s="91" t="n"/>
      <c r="B289" s="111">
        <f>IF(AND(N('Deal maths'!F289)&gt;AsAt,N('Deal maths'!E289)&lt;=AsAt),IF(N('Deal maths'!H289)&gt;0,N('Deal maths'!H289),N('Deal maths'!D289)),0)</f>
        <v/>
      </c>
      <c r="C289" s="91">
        <f>IF(B289&gt;0,IF('Deal maths'!C289="Local authority","Local authorities",LOWER(TRIM('Deal maths'!B289))),"")</f>
        <v/>
      </c>
      <c r="D289" s="91">
        <f>IF(C289="","",IF(COUNTIF($C$4:C288,C289)=0,SUMIF($C$4:$C$3997,C289,$B$4:$B$3997)-ROW()/1000000,""))</f>
        <v/>
      </c>
      <c r="E289" s="91">
        <f>IF(AND(N('Deal maths'!F289)&gt;AsAt,N('Deal maths'!E289)&lt;=AsAt,IF(N('Deal maths'!H289)&gt;0,N('Deal maths'!H289),N('Deal maths'!D289))&gt;0),N('Deal maths'!F289)+ROW()/1000000,"")</f>
        <v/>
      </c>
    </row>
    <row r="290">
      <c r="A290" s="91" t="n"/>
      <c r="B290" s="111">
        <f>IF(AND(N('Deal maths'!F290)&gt;AsAt,N('Deal maths'!E290)&lt;=AsAt),IF(N('Deal maths'!H290)&gt;0,N('Deal maths'!H290),N('Deal maths'!D290)),0)</f>
        <v/>
      </c>
      <c r="C290" s="91">
        <f>IF(B290&gt;0,IF('Deal maths'!C290="Local authority","Local authorities",LOWER(TRIM('Deal maths'!B290))),"")</f>
        <v/>
      </c>
      <c r="D290" s="91">
        <f>IF(C290="","",IF(COUNTIF($C$4:C289,C290)=0,SUMIF($C$4:$C$3997,C290,$B$4:$B$3997)-ROW()/1000000,""))</f>
        <v/>
      </c>
      <c r="E290" s="91">
        <f>IF(AND(N('Deal maths'!F290)&gt;AsAt,N('Deal maths'!E290)&lt;=AsAt,IF(N('Deal maths'!H290)&gt;0,N('Deal maths'!H290),N('Deal maths'!D290))&gt;0),N('Deal maths'!F290)+ROW()/1000000,"")</f>
        <v/>
      </c>
    </row>
    <row r="291">
      <c r="A291" s="91" t="n"/>
      <c r="B291" s="111">
        <f>IF(AND(N('Deal maths'!F291)&gt;AsAt,N('Deal maths'!E291)&lt;=AsAt),IF(N('Deal maths'!H291)&gt;0,N('Deal maths'!H291),N('Deal maths'!D291)),0)</f>
        <v/>
      </c>
      <c r="C291" s="91">
        <f>IF(B291&gt;0,IF('Deal maths'!C291="Local authority","Local authorities",LOWER(TRIM('Deal maths'!B291))),"")</f>
        <v/>
      </c>
      <c r="D291" s="91">
        <f>IF(C291="","",IF(COUNTIF($C$4:C290,C291)=0,SUMIF($C$4:$C$3997,C291,$B$4:$B$3997)-ROW()/1000000,""))</f>
        <v/>
      </c>
      <c r="E291" s="91">
        <f>IF(AND(N('Deal maths'!F291)&gt;AsAt,N('Deal maths'!E291)&lt;=AsAt,IF(N('Deal maths'!H291)&gt;0,N('Deal maths'!H291),N('Deal maths'!D291))&gt;0),N('Deal maths'!F291)+ROW()/1000000,"")</f>
        <v/>
      </c>
    </row>
    <row r="292">
      <c r="A292" s="91" t="n"/>
      <c r="B292" s="111">
        <f>IF(AND(N('Deal maths'!F292)&gt;AsAt,N('Deal maths'!E292)&lt;=AsAt),IF(N('Deal maths'!H292)&gt;0,N('Deal maths'!H292),N('Deal maths'!D292)),0)</f>
        <v/>
      </c>
      <c r="C292" s="91">
        <f>IF(B292&gt;0,IF('Deal maths'!C292="Local authority","Local authorities",LOWER(TRIM('Deal maths'!B292))),"")</f>
        <v/>
      </c>
      <c r="D292" s="91">
        <f>IF(C292="","",IF(COUNTIF($C$4:C291,C292)=0,SUMIF($C$4:$C$3997,C292,$B$4:$B$3997)-ROW()/1000000,""))</f>
        <v/>
      </c>
      <c r="E292" s="91">
        <f>IF(AND(N('Deal maths'!F292)&gt;AsAt,N('Deal maths'!E292)&lt;=AsAt,IF(N('Deal maths'!H292)&gt;0,N('Deal maths'!H292),N('Deal maths'!D292))&gt;0),N('Deal maths'!F292)+ROW()/1000000,"")</f>
        <v/>
      </c>
    </row>
    <row r="293">
      <c r="A293" s="91" t="n"/>
      <c r="B293" s="111">
        <f>IF(AND(N('Deal maths'!F293)&gt;AsAt,N('Deal maths'!E293)&lt;=AsAt),IF(N('Deal maths'!H293)&gt;0,N('Deal maths'!H293),N('Deal maths'!D293)),0)</f>
        <v/>
      </c>
      <c r="C293" s="91">
        <f>IF(B293&gt;0,IF('Deal maths'!C293="Local authority","Local authorities",LOWER(TRIM('Deal maths'!B293))),"")</f>
        <v/>
      </c>
      <c r="D293" s="91">
        <f>IF(C293="","",IF(COUNTIF($C$4:C292,C293)=0,SUMIF($C$4:$C$3997,C293,$B$4:$B$3997)-ROW()/1000000,""))</f>
        <v/>
      </c>
      <c r="E293" s="91">
        <f>IF(AND(N('Deal maths'!F293)&gt;AsAt,N('Deal maths'!E293)&lt;=AsAt,IF(N('Deal maths'!H293)&gt;0,N('Deal maths'!H293),N('Deal maths'!D293))&gt;0),N('Deal maths'!F293)+ROW()/1000000,"")</f>
        <v/>
      </c>
    </row>
    <row r="294">
      <c r="A294" s="91" t="n"/>
      <c r="B294" s="111">
        <f>IF(AND(N('Deal maths'!F294)&gt;AsAt,N('Deal maths'!E294)&lt;=AsAt),IF(N('Deal maths'!H294)&gt;0,N('Deal maths'!H294),N('Deal maths'!D294)),0)</f>
        <v/>
      </c>
      <c r="C294" s="91">
        <f>IF(B294&gt;0,IF('Deal maths'!C294="Local authority","Local authorities",LOWER(TRIM('Deal maths'!B294))),"")</f>
        <v/>
      </c>
      <c r="D294" s="91">
        <f>IF(C294="","",IF(COUNTIF($C$4:C293,C294)=0,SUMIF($C$4:$C$3997,C294,$B$4:$B$3997)-ROW()/1000000,""))</f>
        <v/>
      </c>
      <c r="E294" s="91">
        <f>IF(AND(N('Deal maths'!F294)&gt;AsAt,N('Deal maths'!E294)&lt;=AsAt,IF(N('Deal maths'!H294)&gt;0,N('Deal maths'!H294),N('Deal maths'!D294))&gt;0),N('Deal maths'!F294)+ROW()/1000000,"")</f>
        <v/>
      </c>
    </row>
    <row r="295">
      <c r="A295" s="91" t="n"/>
      <c r="B295" s="111">
        <f>IF(AND(N('Deal maths'!F295)&gt;AsAt,N('Deal maths'!E295)&lt;=AsAt),IF(N('Deal maths'!H295)&gt;0,N('Deal maths'!H295),N('Deal maths'!D295)),0)</f>
        <v/>
      </c>
      <c r="C295" s="91">
        <f>IF(B295&gt;0,IF('Deal maths'!C295="Local authority","Local authorities",LOWER(TRIM('Deal maths'!B295))),"")</f>
        <v/>
      </c>
      <c r="D295" s="91">
        <f>IF(C295="","",IF(COUNTIF($C$4:C294,C295)=0,SUMIF($C$4:$C$3997,C295,$B$4:$B$3997)-ROW()/1000000,""))</f>
        <v/>
      </c>
      <c r="E295" s="91">
        <f>IF(AND(N('Deal maths'!F295)&gt;AsAt,N('Deal maths'!E295)&lt;=AsAt,IF(N('Deal maths'!H295)&gt;0,N('Deal maths'!H295),N('Deal maths'!D295))&gt;0),N('Deal maths'!F295)+ROW()/1000000,"")</f>
        <v/>
      </c>
    </row>
    <row r="296">
      <c r="A296" s="91" t="n"/>
      <c r="B296" s="111">
        <f>IF(AND(N('Deal maths'!F296)&gt;AsAt,N('Deal maths'!E296)&lt;=AsAt),IF(N('Deal maths'!H296)&gt;0,N('Deal maths'!H296),N('Deal maths'!D296)),0)</f>
        <v/>
      </c>
      <c r="C296" s="91">
        <f>IF(B296&gt;0,IF('Deal maths'!C296="Local authority","Local authorities",LOWER(TRIM('Deal maths'!B296))),"")</f>
        <v/>
      </c>
      <c r="D296" s="91">
        <f>IF(C296="","",IF(COUNTIF($C$4:C295,C296)=0,SUMIF($C$4:$C$3997,C296,$B$4:$B$3997)-ROW()/1000000,""))</f>
        <v/>
      </c>
      <c r="E296" s="91">
        <f>IF(AND(N('Deal maths'!F296)&gt;AsAt,N('Deal maths'!E296)&lt;=AsAt,IF(N('Deal maths'!H296)&gt;0,N('Deal maths'!H296),N('Deal maths'!D296))&gt;0),N('Deal maths'!F296)+ROW()/1000000,"")</f>
        <v/>
      </c>
    </row>
    <row r="297">
      <c r="A297" s="91" t="n"/>
      <c r="B297" s="111">
        <f>IF(AND(N('Deal maths'!F297)&gt;AsAt,N('Deal maths'!E297)&lt;=AsAt),IF(N('Deal maths'!H297)&gt;0,N('Deal maths'!H297),N('Deal maths'!D297)),0)</f>
        <v/>
      </c>
      <c r="C297" s="91">
        <f>IF(B297&gt;0,IF('Deal maths'!C297="Local authority","Local authorities",LOWER(TRIM('Deal maths'!B297))),"")</f>
        <v/>
      </c>
      <c r="D297" s="91">
        <f>IF(C297="","",IF(COUNTIF($C$4:C296,C297)=0,SUMIF($C$4:$C$3997,C297,$B$4:$B$3997)-ROW()/1000000,""))</f>
        <v/>
      </c>
      <c r="E297" s="91">
        <f>IF(AND(N('Deal maths'!F297)&gt;AsAt,N('Deal maths'!E297)&lt;=AsAt,IF(N('Deal maths'!H297)&gt;0,N('Deal maths'!H297),N('Deal maths'!D297))&gt;0),N('Deal maths'!F297)+ROW()/1000000,"")</f>
        <v/>
      </c>
    </row>
    <row r="298">
      <c r="A298" s="91" t="n"/>
      <c r="B298" s="111">
        <f>IF(AND(N('Deal maths'!F298)&gt;AsAt,N('Deal maths'!E298)&lt;=AsAt),IF(N('Deal maths'!H298)&gt;0,N('Deal maths'!H298),N('Deal maths'!D298)),0)</f>
        <v/>
      </c>
      <c r="C298" s="91">
        <f>IF(B298&gt;0,IF('Deal maths'!C298="Local authority","Local authorities",LOWER(TRIM('Deal maths'!B298))),"")</f>
        <v/>
      </c>
      <c r="D298" s="91">
        <f>IF(C298="","",IF(COUNTIF($C$4:C297,C298)=0,SUMIF($C$4:$C$3997,C298,$B$4:$B$3997)-ROW()/1000000,""))</f>
        <v/>
      </c>
      <c r="E298" s="91">
        <f>IF(AND(N('Deal maths'!F298)&gt;AsAt,N('Deal maths'!E298)&lt;=AsAt,IF(N('Deal maths'!H298)&gt;0,N('Deal maths'!H298),N('Deal maths'!D298))&gt;0),N('Deal maths'!F298)+ROW()/1000000,"")</f>
        <v/>
      </c>
    </row>
    <row r="299">
      <c r="A299" s="91" t="n"/>
      <c r="B299" s="111">
        <f>IF(AND(N('Deal maths'!F299)&gt;AsAt,N('Deal maths'!E299)&lt;=AsAt),IF(N('Deal maths'!H299)&gt;0,N('Deal maths'!H299),N('Deal maths'!D299)),0)</f>
        <v/>
      </c>
      <c r="C299" s="91">
        <f>IF(B299&gt;0,IF('Deal maths'!C299="Local authority","Local authorities",LOWER(TRIM('Deal maths'!B299))),"")</f>
        <v/>
      </c>
      <c r="D299" s="91">
        <f>IF(C299="","",IF(COUNTIF($C$4:C298,C299)=0,SUMIF($C$4:$C$3997,C299,$B$4:$B$3997)-ROW()/1000000,""))</f>
        <v/>
      </c>
      <c r="E299" s="91">
        <f>IF(AND(N('Deal maths'!F299)&gt;AsAt,N('Deal maths'!E299)&lt;=AsAt,IF(N('Deal maths'!H299)&gt;0,N('Deal maths'!H299),N('Deal maths'!D299))&gt;0),N('Deal maths'!F299)+ROW()/1000000,"")</f>
        <v/>
      </c>
    </row>
    <row r="300">
      <c r="A300" s="91" t="n"/>
      <c r="B300" s="111">
        <f>IF(AND(N('Deal maths'!F300)&gt;AsAt,N('Deal maths'!E300)&lt;=AsAt),IF(N('Deal maths'!H300)&gt;0,N('Deal maths'!H300),N('Deal maths'!D300)),0)</f>
        <v/>
      </c>
      <c r="C300" s="91">
        <f>IF(B300&gt;0,IF('Deal maths'!C300="Local authority","Local authorities",LOWER(TRIM('Deal maths'!B300))),"")</f>
        <v/>
      </c>
      <c r="D300" s="91">
        <f>IF(C300="","",IF(COUNTIF($C$4:C299,C300)=0,SUMIF($C$4:$C$3997,C300,$B$4:$B$3997)-ROW()/1000000,""))</f>
        <v/>
      </c>
      <c r="E300" s="91">
        <f>IF(AND(N('Deal maths'!F300)&gt;AsAt,N('Deal maths'!E300)&lt;=AsAt,IF(N('Deal maths'!H300)&gt;0,N('Deal maths'!H300),N('Deal maths'!D300))&gt;0),N('Deal maths'!F300)+ROW()/1000000,"")</f>
        <v/>
      </c>
    </row>
    <row r="301">
      <c r="A301" s="91" t="n"/>
      <c r="B301" s="111">
        <f>IF(AND(N('Deal maths'!F301)&gt;AsAt,N('Deal maths'!E301)&lt;=AsAt),IF(N('Deal maths'!H301)&gt;0,N('Deal maths'!H301),N('Deal maths'!D301)),0)</f>
        <v/>
      </c>
      <c r="C301" s="91">
        <f>IF(B301&gt;0,IF('Deal maths'!C301="Local authority","Local authorities",LOWER(TRIM('Deal maths'!B301))),"")</f>
        <v/>
      </c>
      <c r="D301" s="91">
        <f>IF(C301="","",IF(COUNTIF($C$4:C300,C301)=0,SUMIF($C$4:$C$3997,C301,$B$4:$B$3997)-ROW()/1000000,""))</f>
        <v/>
      </c>
      <c r="E301" s="91">
        <f>IF(AND(N('Deal maths'!F301)&gt;AsAt,N('Deal maths'!E301)&lt;=AsAt,IF(N('Deal maths'!H301)&gt;0,N('Deal maths'!H301),N('Deal maths'!D301))&gt;0),N('Deal maths'!F301)+ROW()/1000000,"")</f>
        <v/>
      </c>
    </row>
    <row r="302">
      <c r="A302" s="91" t="n"/>
      <c r="B302" s="111">
        <f>IF(AND(N('Deal maths'!F302)&gt;AsAt,N('Deal maths'!E302)&lt;=AsAt),IF(N('Deal maths'!H302)&gt;0,N('Deal maths'!H302),N('Deal maths'!D302)),0)</f>
        <v/>
      </c>
      <c r="C302" s="91">
        <f>IF(B302&gt;0,IF('Deal maths'!C302="Local authority","Local authorities",LOWER(TRIM('Deal maths'!B302))),"")</f>
        <v/>
      </c>
      <c r="D302" s="91">
        <f>IF(C302="","",IF(COUNTIF($C$4:C301,C302)=0,SUMIF($C$4:$C$3997,C302,$B$4:$B$3997)-ROW()/1000000,""))</f>
        <v/>
      </c>
      <c r="E302" s="91">
        <f>IF(AND(N('Deal maths'!F302)&gt;AsAt,N('Deal maths'!E302)&lt;=AsAt,IF(N('Deal maths'!H302)&gt;0,N('Deal maths'!H302),N('Deal maths'!D302))&gt;0),N('Deal maths'!F302)+ROW()/1000000,"")</f>
        <v/>
      </c>
    </row>
    <row r="303">
      <c r="A303" s="91" t="n"/>
      <c r="B303" s="111">
        <f>IF(AND(N('Deal maths'!F303)&gt;AsAt,N('Deal maths'!E303)&lt;=AsAt),IF(N('Deal maths'!H303)&gt;0,N('Deal maths'!H303),N('Deal maths'!D303)),0)</f>
        <v/>
      </c>
      <c r="C303" s="91">
        <f>IF(B303&gt;0,IF('Deal maths'!C303="Local authority","Local authorities",LOWER(TRIM('Deal maths'!B303))),"")</f>
        <v/>
      </c>
      <c r="D303" s="91">
        <f>IF(C303="","",IF(COUNTIF($C$4:C302,C303)=0,SUMIF($C$4:$C$3997,C303,$B$4:$B$3997)-ROW()/1000000,""))</f>
        <v/>
      </c>
      <c r="E303" s="91">
        <f>IF(AND(N('Deal maths'!F303)&gt;AsAt,N('Deal maths'!E303)&lt;=AsAt,IF(N('Deal maths'!H303)&gt;0,N('Deal maths'!H303),N('Deal maths'!D303))&gt;0),N('Deal maths'!F303)+ROW()/1000000,"")</f>
        <v/>
      </c>
    </row>
    <row r="304">
      <c r="A304" s="91" t="n"/>
      <c r="B304" s="111">
        <f>IF(AND(N('Deal maths'!F304)&gt;AsAt,N('Deal maths'!E304)&lt;=AsAt),IF(N('Deal maths'!H304)&gt;0,N('Deal maths'!H304),N('Deal maths'!D304)),0)</f>
        <v/>
      </c>
      <c r="C304" s="91">
        <f>IF(B304&gt;0,IF('Deal maths'!C304="Local authority","Local authorities",LOWER(TRIM('Deal maths'!B304))),"")</f>
        <v/>
      </c>
      <c r="D304" s="91">
        <f>IF(C304="","",IF(COUNTIF($C$4:C303,C304)=0,SUMIF($C$4:$C$3997,C304,$B$4:$B$3997)-ROW()/1000000,""))</f>
        <v/>
      </c>
      <c r="E304" s="91">
        <f>IF(AND(N('Deal maths'!F304)&gt;AsAt,N('Deal maths'!E304)&lt;=AsAt,IF(N('Deal maths'!H304)&gt;0,N('Deal maths'!H304),N('Deal maths'!D304))&gt;0),N('Deal maths'!F304)+ROW()/1000000,"")</f>
        <v/>
      </c>
    </row>
    <row r="305">
      <c r="A305" s="91" t="n"/>
      <c r="B305" s="111">
        <f>IF(AND(N('Deal maths'!F305)&gt;AsAt,N('Deal maths'!E305)&lt;=AsAt),IF(N('Deal maths'!H305)&gt;0,N('Deal maths'!H305),N('Deal maths'!D305)),0)</f>
        <v/>
      </c>
      <c r="C305" s="91">
        <f>IF(B305&gt;0,IF('Deal maths'!C305="Local authority","Local authorities",LOWER(TRIM('Deal maths'!B305))),"")</f>
        <v/>
      </c>
      <c r="D305" s="91">
        <f>IF(C305="","",IF(COUNTIF($C$4:C304,C305)=0,SUMIF($C$4:$C$3997,C305,$B$4:$B$3997)-ROW()/1000000,""))</f>
        <v/>
      </c>
      <c r="E305" s="91">
        <f>IF(AND(N('Deal maths'!F305)&gt;AsAt,N('Deal maths'!E305)&lt;=AsAt,IF(N('Deal maths'!H305)&gt;0,N('Deal maths'!H305),N('Deal maths'!D305))&gt;0),N('Deal maths'!F305)+ROW()/1000000,"")</f>
        <v/>
      </c>
    </row>
    <row r="306">
      <c r="A306" s="91" t="n"/>
      <c r="B306" s="111">
        <f>IF(AND(N('Deal maths'!F306)&gt;AsAt,N('Deal maths'!E306)&lt;=AsAt),IF(N('Deal maths'!H306)&gt;0,N('Deal maths'!H306),N('Deal maths'!D306)),0)</f>
        <v/>
      </c>
      <c r="C306" s="91">
        <f>IF(B306&gt;0,IF('Deal maths'!C306="Local authority","Local authorities",LOWER(TRIM('Deal maths'!B306))),"")</f>
        <v/>
      </c>
      <c r="D306" s="91">
        <f>IF(C306="","",IF(COUNTIF($C$4:C305,C306)=0,SUMIF($C$4:$C$3997,C306,$B$4:$B$3997)-ROW()/1000000,""))</f>
        <v/>
      </c>
      <c r="E306" s="91">
        <f>IF(AND(N('Deal maths'!F306)&gt;AsAt,N('Deal maths'!E306)&lt;=AsAt,IF(N('Deal maths'!H306)&gt;0,N('Deal maths'!H306),N('Deal maths'!D306))&gt;0),N('Deal maths'!F306)+ROW()/1000000,"")</f>
        <v/>
      </c>
    </row>
    <row r="307">
      <c r="A307" s="91" t="n"/>
      <c r="B307" s="111">
        <f>IF(AND(N('Deal maths'!F307)&gt;AsAt,N('Deal maths'!E307)&lt;=AsAt),IF(N('Deal maths'!H307)&gt;0,N('Deal maths'!H307),N('Deal maths'!D307)),0)</f>
        <v/>
      </c>
      <c r="C307" s="91">
        <f>IF(B307&gt;0,IF('Deal maths'!C307="Local authority","Local authorities",LOWER(TRIM('Deal maths'!B307))),"")</f>
        <v/>
      </c>
      <c r="D307" s="91">
        <f>IF(C307="","",IF(COUNTIF($C$4:C306,C307)=0,SUMIF($C$4:$C$3997,C307,$B$4:$B$3997)-ROW()/1000000,""))</f>
        <v/>
      </c>
      <c r="E307" s="91">
        <f>IF(AND(N('Deal maths'!F307)&gt;AsAt,N('Deal maths'!E307)&lt;=AsAt,IF(N('Deal maths'!H307)&gt;0,N('Deal maths'!H307),N('Deal maths'!D307))&gt;0),N('Deal maths'!F307)+ROW()/1000000,"")</f>
        <v/>
      </c>
    </row>
    <row r="308">
      <c r="A308" s="91" t="n"/>
      <c r="B308" s="111">
        <f>IF(AND(N('Deal maths'!F308)&gt;AsAt,N('Deal maths'!E308)&lt;=AsAt),IF(N('Deal maths'!H308)&gt;0,N('Deal maths'!H308),N('Deal maths'!D308)),0)</f>
        <v/>
      </c>
      <c r="C308" s="91">
        <f>IF(B308&gt;0,IF('Deal maths'!C308="Local authority","Local authorities",LOWER(TRIM('Deal maths'!B308))),"")</f>
        <v/>
      </c>
      <c r="D308" s="91">
        <f>IF(C308="","",IF(COUNTIF($C$4:C307,C308)=0,SUMIF($C$4:$C$3997,C308,$B$4:$B$3997)-ROW()/1000000,""))</f>
        <v/>
      </c>
      <c r="E308" s="91">
        <f>IF(AND(N('Deal maths'!F308)&gt;AsAt,N('Deal maths'!E308)&lt;=AsAt,IF(N('Deal maths'!H308)&gt;0,N('Deal maths'!H308),N('Deal maths'!D308))&gt;0),N('Deal maths'!F308)+ROW()/1000000,"")</f>
        <v/>
      </c>
    </row>
    <row r="309">
      <c r="A309" s="91" t="n"/>
      <c r="B309" s="111">
        <f>IF(AND(N('Deal maths'!F309)&gt;AsAt,N('Deal maths'!E309)&lt;=AsAt),IF(N('Deal maths'!H309)&gt;0,N('Deal maths'!H309),N('Deal maths'!D309)),0)</f>
        <v/>
      </c>
      <c r="C309" s="91">
        <f>IF(B309&gt;0,IF('Deal maths'!C309="Local authority","Local authorities",LOWER(TRIM('Deal maths'!B309))),"")</f>
        <v/>
      </c>
      <c r="D309" s="91">
        <f>IF(C309="","",IF(COUNTIF($C$4:C308,C309)=0,SUMIF($C$4:$C$3997,C309,$B$4:$B$3997)-ROW()/1000000,""))</f>
        <v/>
      </c>
      <c r="E309" s="91">
        <f>IF(AND(N('Deal maths'!F309)&gt;AsAt,N('Deal maths'!E309)&lt;=AsAt,IF(N('Deal maths'!H309)&gt;0,N('Deal maths'!H309),N('Deal maths'!D309))&gt;0),N('Deal maths'!F309)+ROW()/1000000,"")</f>
        <v/>
      </c>
    </row>
    <row r="310">
      <c r="A310" s="91" t="n"/>
      <c r="B310" s="111">
        <f>IF(AND(N('Deal maths'!F310)&gt;AsAt,N('Deal maths'!E310)&lt;=AsAt),IF(N('Deal maths'!H310)&gt;0,N('Deal maths'!H310),N('Deal maths'!D310)),0)</f>
        <v/>
      </c>
      <c r="C310" s="91">
        <f>IF(B310&gt;0,IF('Deal maths'!C310="Local authority","Local authorities",LOWER(TRIM('Deal maths'!B310))),"")</f>
        <v/>
      </c>
      <c r="D310" s="91">
        <f>IF(C310="","",IF(COUNTIF($C$4:C309,C310)=0,SUMIF($C$4:$C$3997,C310,$B$4:$B$3997)-ROW()/1000000,""))</f>
        <v/>
      </c>
      <c r="E310" s="91">
        <f>IF(AND(N('Deal maths'!F310)&gt;AsAt,N('Deal maths'!E310)&lt;=AsAt,IF(N('Deal maths'!H310)&gt;0,N('Deal maths'!H310),N('Deal maths'!D310))&gt;0),N('Deal maths'!F310)+ROW()/1000000,"")</f>
        <v/>
      </c>
    </row>
    <row r="311">
      <c r="A311" s="91" t="n"/>
      <c r="B311" s="111">
        <f>IF(AND(N('Deal maths'!F311)&gt;AsAt,N('Deal maths'!E311)&lt;=AsAt),IF(N('Deal maths'!H311)&gt;0,N('Deal maths'!H311),N('Deal maths'!D311)),0)</f>
        <v/>
      </c>
      <c r="C311" s="91">
        <f>IF(B311&gt;0,IF('Deal maths'!C311="Local authority","Local authorities",LOWER(TRIM('Deal maths'!B311))),"")</f>
        <v/>
      </c>
      <c r="D311" s="91">
        <f>IF(C311="","",IF(COUNTIF($C$4:C310,C311)=0,SUMIF($C$4:$C$3997,C311,$B$4:$B$3997)-ROW()/1000000,""))</f>
        <v/>
      </c>
      <c r="E311" s="91">
        <f>IF(AND(N('Deal maths'!F311)&gt;AsAt,N('Deal maths'!E311)&lt;=AsAt,IF(N('Deal maths'!H311)&gt;0,N('Deal maths'!H311),N('Deal maths'!D311))&gt;0),N('Deal maths'!F311)+ROW()/1000000,"")</f>
        <v/>
      </c>
    </row>
    <row r="312">
      <c r="A312" s="91" t="n"/>
      <c r="B312" s="111">
        <f>IF(AND(N('Deal maths'!F312)&gt;AsAt,N('Deal maths'!E312)&lt;=AsAt),IF(N('Deal maths'!H312)&gt;0,N('Deal maths'!H312),N('Deal maths'!D312)),0)</f>
        <v/>
      </c>
      <c r="C312" s="91">
        <f>IF(B312&gt;0,IF('Deal maths'!C312="Local authority","Local authorities",LOWER(TRIM('Deal maths'!B312))),"")</f>
        <v/>
      </c>
      <c r="D312" s="91">
        <f>IF(C312="","",IF(COUNTIF($C$4:C311,C312)=0,SUMIF($C$4:$C$3997,C312,$B$4:$B$3997)-ROW()/1000000,""))</f>
        <v/>
      </c>
      <c r="E312" s="91">
        <f>IF(AND(N('Deal maths'!F312)&gt;AsAt,N('Deal maths'!E312)&lt;=AsAt,IF(N('Deal maths'!H312)&gt;0,N('Deal maths'!H312),N('Deal maths'!D312))&gt;0),N('Deal maths'!F312)+ROW()/1000000,"")</f>
        <v/>
      </c>
    </row>
    <row r="313">
      <c r="A313" s="91" t="n"/>
      <c r="B313" s="111">
        <f>IF(AND(N('Deal maths'!F313)&gt;AsAt,N('Deal maths'!E313)&lt;=AsAt),IF(N('Deal maths'!H313)&gt;0,N('Deal maths'!H313),N('Deal maths'!D313)),0)</f>
        <v/>
      </c>
      <c r="C313" s="91">
        <f>IF(B313&gt;0,IF('Deal maths'!C313="Local authority","Local authorities",LOWER(TRIM('Deal maths'!B313))),"")</f>
        <v/>
      </c>
      <c r="D313" s="91">
        <f>IF(C313="","",IF(COUNTIF($C$4:C312,C313)=0,SUMIF($C$4:$C$3997,C313,$B$4:$B$3997)-ROW()/1000000,""))</f>
        <v/>
      </c>
      <c r="E313" s="91">
        <f>IF(AND(N('Deal maths'!F313)&gt;AsAt,N('Deal maths'!E313)&lt;=AsAt,IF(N('Deal maths'!H313)&gt;0,N('Deal maths'!H313),N('Deal maths'!D313))&gt;0),N('Deal maths'!F313)+ROW()/1000000,"")</f>
        <v/>
      </c>
    </row>
    <row r="314">
      <c r="A314" s="91" t="n"/>
      <c r="B314" s="111">
        <f>IF(AND(N('Deal maths'!F314)&gt;AsAt,N('Deal maths'!E314)&lt;=AsAt),IF(N('Deal maths'!H314)&gt;0,N('Deal maths'!H314),N('Deal maths'!D314)),0)</f>
        <v/>
      </c>
      <c r="C314" s="91">
        <f>IF(B314&gt;0,IF('Deal maths'!C314="Local authority","Local authorities",LOWER(TRIM('Deal maths'!B314))),"")</f>
        <v/>
      </c>
      <c r="D314" s="91">
        <f>IF(C314="","",IF(COUNTIF($C$4:C313,C314)=0,SUMIF($C$4:$C$3997,C314,$B$4:$B$3997)-ROW()/1000000,""))</f>
        <v/>
      </c>
      <c r="E314" s="91">
        <f>IF(AND(N('Deal maths'!F314)&gt;AsAt,N('Deal maths'!E314)&lt;=AsAt,IF(N('Deal maths'!H314)&gt;0,N('Deal maths'!H314),N('Deal maths'!D314))&gt;0),N('Deal maths'!F314)+ROW()/1000000,"")</f>
        <v/>
      </c>
    </row>
    <row r="315">
      <c r="A315" s="91" t="n"/>
      <c r="B315" s="111">
        <f>IF(AND(N('Deal maths'!F315)&gt;AsAt,N('Deal maths'!E315)&lt;=AsAt),IF(N('Deal maths'!H315)&gt;0,N('Deal maths'!H315),N('Deal maths'!D315)),0)</f>
        <v/>
      </c>
      <c r="C315" s="91">
        <f>IF(B315&gt;0,IF('Deal maths'!C315="Local authority","Local authorities",LOWER(TRIM('Deal maths'!B315))),"")</f>
        <v/>
      </c>
      <c r="D315" s="91">
        <f>IF(C315="","",IF(COUNTIF($C$4:C314,C315)=0,SUMIF($C$4:$C$3997,C315,$B$4:$B$3997)-ROW()/1000000,""))</f>
        <v/>
      </c>
      <c r="E315" s="91">
        <f>IF(AND(N('Deal maths'!F315)&gt;AsAt,N('Deal maths'!E315)&lt;=AsAt,IF(N('Deal maths'!H315)&gt;0,N('Deal maths'!H315),N('Deal maths'!D315))&gt;0),N('Deal maths'!F315)+ROW()/1000000,"")</f>
        <v/>
      </c>
    </row>
    <row r="316">
      <c r="A316" s="91" t="n"/>
      <c r="B316" s="111">
        <f>IF(AND(N('Deal maths'!F316)&gt;AsAt,N('Deal maths'!E316)&lt;=AsAt),IF(N('Deal maths'!H316)&gt;0,N('Deal maths'!H316),N('Deal maths'!D316)),0)</f>
        <v/>
      </c>
      <c r="C316" s="91">
        <f>IF(B316&gt;0,IF('Deal maths'!C316="Local authority","Local authorities",LOWER(TRIM('Deal maths'!B316))),"")</f>
        <v/>
      </c>
      <c r="D316" s="91">
        <f>IF(C316="","",IF(COUNTIF($C$4:C315,C316)=0,SUMIF($C$4:$C$3997,C316,$B$4:$B$3997)-ROW()/1000000,""))</f>
        <v/>
      </c>
      <c r="E316" s="91">
        <f>IF(AND(N('Deal maths'!F316)&gt;AsAt,N('Deal maths'!E316)&lt;=AsAt,IF(N('Deal maths'!H316)&gt;0,N('Deal maths'!H316),N('Deal maths'!D316))&gt;0),N('Deal maths'!F316)+ROW()/1000000,"")</f>
        <v/>
      </c>
    </row>
    <row r="317">
      <c r="A317" s="91" t="n"/>
      <c r="B317" s="111">
        <f>IF(AND(N('Deal maths'!F317)&gt;AsAt,N('Deal maths'!E317)&lt;=AsAt),IF(N('Deal maths'!H317)&gt;0,N('Deal maths'!H317),N('Deal maths'!D317)),0)</f>
        <v/>
      </c>
      <c r="C317" s="91">
        <f>IF(B317&gt;0,IF('Deal maths'!C317="Local authority","Local authorities",LOWER(TRIM('Deal maths'!B317))),"")</f>
        <v/>
      </c>
      <c r="D317" s="91">
        <f>IF(C317="","",IF(COUNTIF($C$4:C316,C317)=0,SUMIF($C$4:$C$3997,C317,$B$4:$B$3997)-ROW()/1000000,""))</f>
        <v/>
      </c>
      <c r="E317" s="91">
        <f>IF(AND(N('Deal maths'!F317)&gt;AsAt,N('Deal maths'!E317)&lt;=AsAt,IF(N('Deal maths'!H317)&gt;0,N('Deal maths'!H317),N('Deal maths'!D317))&gt;0),N('Deal maths'!F317)+ROW()/1000000,"")</f>
        <v/>
      </c>
    </row>
    <row r="318">
      <c r="A318" s="91" t="n"/>
      <c r="B318" s="111">
        <f>IF(AND(N('Deal maths'!F318)&gt;AsAt,N('Deal maths'!E318)&lt;=AsAt),IF(N('Deal maths'!H318)&gt;0,N('Deal maths'!H318),N('Deal maths'!D318)),0)</f>
        <v/>
      </c>
      <c r="C318" s="91">
        <f>IF(B318&gt;0,IF('Deal maths'!C318="Local authority","Local authorities",LOWER(TRIM('Deal maths'!B318))),"")</f>
        <v/>
      </c>
      <c r="D318" s="91">
        <f>IF(C318="","",IF(COUNTIF($C$4:C317,C318)=0,SUMIF($C$4:$C$3997,C318,$B$4:$B$3997)-ROW()/1000000,""))</f>
        <v/>
      </c>
      <c r="E318" s="91">
        <f>IF(AND(N('Deal maths'!F318)&gt;AsAt,N('Deal maths'!E318)&lt;=AsAt,IF(N('Deal maths'!H318)&gt;0,N('Deal maths'!H318),N('Deal maths'!D318))&gt;0),N('Deal maths'!F318)+ROW()/1000000,"")</f>
        <v/>
      </c>
    </row>
    <row r="319">
      <c r="A319" s="91" t="n"/>
      <c r="B319" s="111">
        <f>IF(AND(N('Deal maths'!F319)&gt;AsAt,N('Deal maths'!E319)&lt;=AsAt),IF(N('Deal maths'!H319)&gt;0,N('Deal maths'!H319),N('Deal maths'!D319)),0)</f>
        <v/>
      </c>
      <c r="C319" s="91">
        <f>IF(B319&gt;0,IF('Deal maths'!C319="Local authority","Local authorities",LOWER(TRIM('Deal maths'!B319))),"")</f>
        <v/>
      </c>
      <c r="D319" s="91">
        <f>IF(C319="","",IF(COUNTIF($C$4:C318,C319)=0,SUMIF($C$4:$C$3997,C319,$B$4:$B$3997)-ROW()/1000000,""))</f>
        <v/>
      </c>
      <c r="E319" s="91">
        <f>IF(AND(N('Deal maths'!F319)&gt;AsAt,N('Deal maths'!E319)&lt;=AsAt,IF(N('Deal maths'!H319)&gt;0,N('Deal maths'!H319),N('Deal maths'!D319))&gt;0),N('Deal maths'!F319)+ROW()/1000000,"")</f>
        <v/>
      </c>
    </row>
    <row r="320">
      <c r="A320" s="91" t="n"/>
      <c r="B320" s="111">
        <f>IF(AND(N('Deal maths'!F320)&gt;AsAt,N('Deal maths'!E320)&lt;=AsAt),IF(N('Deal maths'!H320)&gt;0,N('Deal maths'!H320),N('Deal maths'!D320)),0)</f>
        <v/>
      </c>
      <c r="C320" s="91">
        <f>IF(B320&gt;0,IF('Deal maths'!C320="Local authority","Local authorities",LOWER(TRIM('Deal maths'!B320))),"")</f>
        <v/>
      </c>
      <c r="D320" s="91">
        <f>IF(C320="","",IF(COUNTIF($C$4:C319,C320)=0,SUMIF($C$4:$C$3997,C320,$B$4:$B$3997)-ROW()/1000000,""))</f>
        <v/>
      </c>
      <c r="E320" s="91">
        <f>IF(AND(N('Deal maths'!F320)&gt;AsAt,N('Deal maths'!E320)&lt;=AsAt,IF(N('Deal maths'!H320)&gt;0,N('Deal maths'!H320),N('Deal maths'!D320))&gt;0),N('Deal maths'!F320)+ROW()/1000000,"")</f>
        <v/>
      </c>
    </row>
    <row r="321">
      <c r="A321" s="91" t="n"/>
      <c r="B321" s="111">
        <f>IF(AND(N('Deal maths'!F321)&gt;AsAt,N('Deal maths'!E321)&lt;=AsAt),IF(N('Deal maths'!H321)&gt;0,N('Deal maths'!H321),N('Deal maths'!D321)),0)</f>
        <v/>
      </c>
      <c r="C321" s="91">
        <f>IF(B321&gt;0,IF('Deal maths'!C321="Local authority","Local authorities",LOWER(TRIM('Deal maths'!B321))),"")</f>
        <v/>
      </c>
      <c r="D321" s="91">
        <f>IF(C321="","",IF(COUNTIF($C$4:C320,C321)=0,SUMIF($C$4:$C$3997,C321,$B$4:$B$3997)-ROW()/1000000,""))</f>
        <v/>
      </c>
      <c r="E321" s="91">
        <f>IF(AND(N('Deal maths'!F321)&gt;AsAt,N('Deal maths'!E321)&lt;=AsAt,IF(N('Deal maths'!H321)&gt;0,N('Deal maths'!H321),N('Deal maths'!D321))&gt;0),N('Deal maths'!F321)+ROW()/1000000,"")</f>
        <v/>
      </c>
    </row>
    <row r="322">
      <c r="A322" s="91" t="n"/>
      <c r="B322" s="111">
        <f>IF(AND(N('Deal maths'!F322)&gt;AsAt,N('Deal maths'!E322)&lt;=AsAt),IF(N('Deal maths'!H322)&gt;0,N('Deal maths'!H322),N('Deal maths'!D322)),0)</f>
        <v/>
      </c>
      <c r="C322" s="91">
        <f>IF(B322&gt;0,IF('Deal maths'!C322="Local authority","Local authorities",LOWER(TRIM('Deal maths'!B322))),"")</f>
        <v/>
      </c>
      <c r="D322" s="91">
        <f>IF(C322="","",IF(COUNTIF($C$4:C321,C322)=0,SUMIF($C$4:$C$3997,C322,$B$4:$B$3997)-ROW()/1000000,""))</f>
        <v/>
      </c>
      <c r="E322" s="91">
        <f>IF(AND(N('Deal maths'!F322)&gt;AsAt,N('Deal maths'!E322)&lt;=AsAt,IF(N('Deal maths'!H322)&gt;0,N('Deal maths'!H322),N('Deal maths'!D322))&gt;0),N('Deal maths'!F322)+ROW()/1000000,"")</f>
        <v/>
      </c>
    </row>
    <row r="323">
      <c r="A323" s="91" t="n"/>
      <c r="B323" s="111">
        <f>IF(AND(N('Deal maths'!F323)&gt;AsAt,N('Deal maths'!E323)&lt;=AsAt),IF(N('Deal maths'!H323)&gt;0,N('Deal maths'!H323),N('Deal maths'!D323)),0)</f>
        <v/>
      </c>
      <c r="C323" s="91">
        <f>IF(B323&gt;0,IF('Deal maths'!C323="Local authority","Local authorities",LOWER(TRIM('Deal maths'!B323))),"")</f>
        <v/>
      </c>
      <c r="D323" s="91">
        <f>IF(C323="","",IF(COUNTIF($C$4:C322,C323)=0,SUMIF($C$4:$C$3997,C323,$B$4:$B$3997)-ROW()/1000000,""))</f>
        <v/>
      </c>
      <c r="E323" s="91">
        <f>IF(AND(N('Deal maths'!F323)&gt;AsAt,N('Deal maths'!E323)&lt;=AsAt,IF(N('Deal maths'!H323)&gt;0,N('Deal maths'!H323),N('Deal maths'!D323))&gt;0),N('Deal maths'!F323)+ROW()/1000000,"")</f>
        <v/>
      </c>
    </row>
    <row r="324">
      <c r="A324" s="91" t="n"/>
      <c r="B324" s="111">
        <f>IF(AND(N('Deal maths'!F324)&gt;AsAt,N('Deal maths'!E324)&lt;=AsAt),IF(N('Deal maths'!H324)&gt;0,N('Deal maths'!H324),N('Deal maths'!D324)),0)</f>
        <v/>
      </c>
      <c r="C324" s="91">
        <f>IF(B324&gt;0,IF('Deal maths'!C324="Local authority","Local authorities",LOWER(TRIM('Deal maths'!B324))),"")</f>
        <v/>
      </c>
      <c r="D324" s="91">
        <f>IF(C324="","",IF(COUNTIF($C$4:C323,C324)=0,SUMIF($C$4:$C$3997,C324,$B$4:$B$3997)-ROW()/1000000,""))</f>
        <v/>
      </c>
      <c r="E324" s="91">
        <f>IF(AND(N('Deal maths'!F324)&gt;AsAt,N('Deal maths'!E324)&lt;=AsAt,IF(N('Deal maths'!H324)&gt;0,N('Deal maths'!H324),N('Deal maths'!D324))&gt;0),N('Deal maths'!F324)+ROW()/1000000,"")</f>
        <v/>
      </c>
    </row>
    <row r="325">
      <c r="A325" s="91" t="n"/>
      <c r="B325" s="111">
        <f>IF(AND(N('Deal maths'!F325)&gt;AsAt,N('Deal maths'!E325)&lt;=AsAt),IF(N('Deal maths'!H325)&gt;0,N('Deal maths'!H325),N('Deal maths'!D325)),0)</f>
        <v/>
      </c>
      <c r="C325" s="91">
        <f>IF(B325&gt;0,IF('Deal maths'!C325="Local authority","Local authorities",LOWER(TRIM('Deal maths'!B325))),"")</f>
        <v/>
      </c>
      <c r="D325" s="91">
        <f>IF(C325="","",IF(COUNTIF($C$4:C324,C325)=0,SUMIF($C$4:$C$3997,C325,$B$4:$B$3997)-ROW()/1000000,""))</f>
        <v/>
      </c>
      <c r="E325" s="91">
        <f>IF(AND(N('Deal maths'!F325)&gt;AsAt,N('Deal maths'!E325)&lt;=AsAt,IF(N('Deal maths'!H325)&gt;0,N('Deal maths'!H325),N('Deal maths'!D325))&gt;0),N('Deal maths'!F325)+ROW()/1000000,"")</f>
        <v/>
      </c>
    </row>
    <row r="326">
      <c r="A326" s="91" t="n"/>
      <c r="B326" s="111">
        <f>IF(AND(N('Deal maths'!F326)&gt;AsAt,N('Deal maths'!E326)&lt;=AsAt),IF(N('Deal maths'!H326)&gt;0,N('Deal maths'!H326),N('Deal maths'!D326)),0)</f>
        <v/>
      </c>
      <c r="C326" s="91">
        <f>IF(B326&gt;0,IF('Deal maths'!C326="Local authority","Local authorities",LOWER(TRIM('Deal maths'!B326))),"")</f>
        <v/>
      </c>
      <c r="D326" s="91">
        <f>IF(C326="","",IF(COUNTIF($C$4:C325,C326)=0,SUMIF($C$4:$C$3997,C326,$B$4:$B$3997)-ROW()/1000000,""))</f>
        <v/>
      </c>
      <c r="E326" s="91">
        <f>IF(AND(N('Deal maths'!F326)&gt;AsAt,N('Deal maths'!E326)&lt;=AsAt,IF(N('Deal maths'!H326)&gt;0,N('Deal maths'!H326),N('Deal maths'!D326))&gt;0),N('Deal maths'!F326)+ROW()/1000000,"")</f>
        <v/>
      </c>
    </row>
    <row r="327">
      <c r="A327" s="91" t="n"/>
      <c r="B327" s="111">
        <f>IF(AND(N('Deal maths'!F327)&gt;AsAt,N('Deal maths'!E327)&lt;=AsAt),IF(N('Deal maths'!H327)&gt;0,N('Deal maths'!H327),N('Deal maths'!D327)),0)</f>
        <v/>
      </c>
      <c r="C327" s="91">
        <f>IF(B327&gt;0,IF('Deal maths'!C327="Local authority","Local authorities",LOWER(TRIM('Deal maths'!B327))),"")</f>
        <v/>
      </c>
      <c r="D327" s="91">
        <f>IF(C327="","",IF(COUNTIF($C$4:C326,C327)=0,SUMIF($C$4:$C$3997,C327,$B$4:$B$3997)-ROW()/1000000,""))</f>
        <v/>
      </c>
      <c r="E327" s="91">
        <f>IF(AND(N('Deal maths'!F327)&gt;AsAt,N('Deal maths'!E327)&lt;=AsAt,IF(N('Deal maths'!H327)&gt;0,N('Deal maths'!H327),N('Deal maths'!D327))&gt;0),N('Deal maths'!F327)+ROW()/1000000,"")</f>
        <v/>
      </c>
    </row>
    <row r="328">
      <c r="A328" s="91" t="n"/>
      <c r="B328" s="111">
        <f>IF(AND(N('Deal maths'!F328)&gt;AsAt,N('Deal maths'!E328)&lt;=AsAt),IF(N('Deal maths'!H328)&gt;0,N('Deal maths'!H328),N('Deal maths'!D328)),0)</f>
        <v/>
      </c>
      <c r="C328" s="91">
        <f>IF(B328&gt;0,IF('Deal maths'!C328="Local authority","Local authorities",LOWER(TRIM('Deal maths'!B328))),"")</f>
        <v/>
      </c>
      <c r="D328" s="91">
        <f>IF(C328="","",IF(COUNTIF($C$4:C327,C328)=0,SUMIF($C$4:$C$3997,C328,$B$4:$B$3997)-ROW()/1000000,""))</f>
        <v/>
      </c>
      <c r="E328" s="91">
        <f>IF(AND(N('Deal maths'!F328)&gt;AsAt,N('Deal maths'!E328)&lt;=AsAt,IF(N('Deal maths'!H328)&gt;0,N('Deal maths'!H328),N('Deal maths'!D328))&gt;0),N('Deal maths'!F328)+ROW()/1000000,"")</f>
        <v/>
      </c>
    </row>
    <row r="329">
      <c r="A329" s="91" t="n"/>
      <c r="B329" s="111">
        <f>IF(AND(N('Deal maths'!F329)&gt;AsAt,N('Deal maths'!E329)&lt;=AsAt),IF(N('Deal maths'!H329)&gt;0,N('Deal maths'!H329),N('Deal maths'!D329)),0)</f>
        <v/>
      </c>
      <c r="C329" s="91">
        <f>IF(B329&gt;0,IF('Deal maths'!C329="Local authority","Local authorities",LOWER(TRIM('Deal maths'!B329))),"")</f>
        <v/>
      </c>
      <c r="D329" s="91">
        <f>IF(C329="","",IF(COUNTIF($C$4:C328,C329)=0,SUMIF($C$4:$C$3997,C329,$B$4:$B$3997)-ROW()/1000000,""))</f>
        <v/>
      </c>
      <c r="E329" s="91">
        <f>IF(AND(N('Deal maths'!F329)&gt;AsAt,N('Deal maths'!E329)&lt;=AsAt,IF(N('Deal maths'!H329)&gt;0,N('Deal maths'!H329),N('Deal maths'!D329))&gt;0),N('Deal maths'!F329)+ROW()/1000000,"")</f>
        <v/>
      </c>
    </row>
    <row r="330">
      <c r="A330" s="91" t="n"/>
      <c r="B330" s="111">
        <f>IF(AND(N('Deal maths'!F330)&gt;AsAt,N('Deal maths'!E330)&lt;=AsAt),IF(N('Deal maths'!H330)&gt;0,N('Deal maths'!H330),N('Deal maths'!D330)),0)</f>
        <v/>
      </c>
      <c r="C330" s="91">
        <f>IF(B330&gt;0,IF('Deal maths'!C330="Local authority","Local authorities",LOWER(TRIM('Deal maths'!B330))),"")</f>
        <v/>
      </c>
      <c r="D330" s="91">
        <f>IF(C330="","",IF(COUNTIF($C$4:C329,C330)=0,SUMIF($C$4:$C$3997,C330,$B$4:$B$3997)-ROW()/1000000,""))</f>
        <v/>
      </c>
      <c r="E330" s="91">
        <f>IF(AND(N('Deal maths'!F330)&gt;AsAt,N('Deal maths'!E330)&lt;=AsAt,IF(N('Deal maths'!H330)&gt;0,N('Deal maths'!H330),N('Deal maths'!D330))&gt;0),N('Deal maths'!F330)+ROW()/1000000,"")</f>
        <v/>
      </c>
    </row>
    <row r="331">
      <c r="A331" s="91" t="n"/>
      <c r="B331" s="111">
        <f>IF(AND(N('Deal maths'!F331)&gt;AsAt,N('Deal maths'!E331)&lt;=AsAt),IF(N('Deal maths'!H331)&gt;0,N('Deal maths'!H331),N('Deal maths'!D331)),0)</f>
        <v/>
      </c>
      <c r="C331" s="91">
        <f>IF(B331&gt;0,IF('Deal maths'!C331="Local authority","Local authorities",LOWER(TRIM('Deal maths'!B331))),"")</f>
        <v/>
      </c>
      <c r="D331" s="91">
        <f>IF(C331="","",IF(COUNTIF($C$4:C330,C331)=0,SUMIF($C$4:$C$3997,C331,$B$4:$B$3997)-ROW()/1000000,""))</f>
        <v/>
      </c>
      <c r="E331" s="91">
        <f>IF(AND(N('Deal maths'!F331)&gt;AsAt,N('Deal maths'!E331)&lt;=AsAt,IF(N('Deal maths'!H331)&gt;0,N('Deal maths'!H331),N('Deal maths'!D331))&gt;0),N('Deal maths'!F331)+ROW()/1000000,"")</f>
        <v/>
      </c>
    </row>
    <row r="332">
      <c r="A332" s="91" t="n"/>
      <c r="B332" s="111">
        <f>IF(AND(N('Deal maths'!F332)&gt;AsAt,N('Deal maths'!E332)&lt;=AsAt),IF(N('Deal maths'!H332)&gt;0,N('Deal maths'!H332),N('Deal maths'!D332)),0)</f>
        <v/>
      </c>
      <c r="C332" s="91">
        <f>IF(B332&gt;0,IF('Deal maths'!C332="Local authority","Local authorities",LOWER(TRIM('Deal maths'!B332))),"")</f>
        <v/>
      </c>
      <c r="D332" s="91">
        <f>IF(C332="","",IF(COUNTIF($C$4:C331,C332)=0,SUMIF($C$4:$C$3997,C332,$B$4:$B$3997)-ROW()/1000000,""))</f>
        <v/>
      </c>
      <c r="E332" s="91">
        <f>IF(AND(N('Deal maths'!F332)&gt;AsAt,N('Deal maths'!E332)&lt;=AsAt,IF(N('Deal maths'!H332)&gt;0,N('Deal maths'!H332),N('Deal maths'!D332))&gt;0),N('Deal maths'!F332)+ROW()/1000000,"")</f>
        <v/>
      </c>
    </row>
    <row r="333">
      <c r="A333" s="91" t="n"/>
      <c r="B333" s="111">
        <f>IF(AND(N('Deal maths'!F333)&gt;AsAt,N('Deal maths'!E333)&lt;=AsAt),IF(N('Deal maths'!H333)&gt;0,N('Deal maths'!H333),N('Deal maths'!D333)),0)</f>
        <v/>
      </c>
      <c r="C333" s="91">
        <f>IF(B333&gt;0,IF('Deal maths'!C333="Local authority","Local authorities",LOWER(TRIM('Deal maths'!B333))),"")</f>
        <v/>
      </c>
      <c r="D333" s="91">
        <f>IF(C333="","",IF(COUNTIF($C$4:C332,C333)=0,SUMIF($C$4:$C$3997,C333,$B$4:$B$3997)-ROW()/1000000,""))</f>
        <v/>
      </c>
      <c r="E333" s="91">
        <f>IF(AND(N('Deal maths'!F333)&gt;AsAt,N('Deal maths'!E333)&lt;=AsAt,IF(N('Deal maths'!H333)&gt;0,N('Deal maths'!H333),N('Deal maths'!D333))&gt;0),N('Deal maths'!F333)+ROW()/1000000,"")</f>
        <v/>
      </c>
    </row>
    <row r="334">
      <c r="A334" s="91" t="n"/>
      <c r="B334" s="111">
        <f>IF(AND(N('Deal maths'!F334)&gt;AsAt,N('Deal maths'!E334)&lt;=AsAt),IF(N('Deal maths'!H334)&gt;0,N('Deal maths'!H334),N('Deal maths'!D334)),0)</f>
        <v/>
      </c>
      <c r="C334" s="91">
        <f>IF(B334&gt;0,IF('Deal maths'!C334="Local authority","Local authorities",LOWER(TRIM('Deal maths'!B334))),"")</f>
        <v/>
      </c>
      <c r="D334" s="91">
        <f>IF(C334="","",IF(COUNTIF($C$4:C333,C334)=0,SUMIF($C$4:$C$3997,C334,$B$4:$B$3997)-ROW()/1000000,""))</f>
        <v/>
      </c>
      <c r="E334" s="91">
        <f>IF(AND(N('Deal maths'!F334)&gt;AsAt,N('Deal maths'!E334)&lt;=AsAt,IF(N('Deal maths'!H334)&gt;0,N('Deal maths'!H334),N('Deal maths'!D334))&gt;0),N('Deal maths'!F334)+ROW()/1000000,"")</f>
        <v/>
      </c>
    </row>
    <row r="335">
      <c r="A335" s="91" t="n"/>
      <c r="B335" s="111">
        <f>IF(AND(N('Deal maths'!F335)&gt;AsAt,N('Deal maths'!E335)&lt;=AsAt),IF(N('Deal maths'!H335)&gt;0,N('Deal maths'!H335),N('Deal maths'!D335)),0)</f>
        <v/>
      </c>
      <c r="C335" s="91">
        <f>IF(B335&gt;0,IF('Deal maths'!C335="Local authority","Local authorities",LOWER(TRIM('Deal maths'!B335))),"")</f>
        <v/>
      </c>
      <c r="D335" s="91">
        <f>IF(C335="","",IF(COUNTIF($C$4:C334,C335)=0,SUMIF($C$4:$C$3997,C335,$B$4:$B$3997)-ROW()/1000000,""))</f>
        <v/>
      </c>
      <c r="E335" s="91">
        <f>IF(AND(N('Deal maths'!F335)&gt;AsAt,N('Deal maths'!E335)&lt;=AsAt,IF(N('Deal maths'!H335)&gt;0,N('Deal maths'!H335),N('Deal maths'!D335))&gt;0),N('Deal maths'!F335)+ROW()/1000000,"")</f>
        <v/>
      </c>
    </row>
    <row r="336">
      <c r="A336" s="91" t="n"/>
      <c r="B336" s="111">
        <f>IF(AND(N('Deal maths'!F336)&gt;AsAt,N('Deal maths'!E336)&lt;=AsAt),IF(N('Deal maths'!H336)&gt;0,N('Deal maths'!H336),N('Deal maths'!D336)),0)</f>
        <v/>
      </c>
      <c r="C336" s="91">
        <f>IF(B336&gt;0,IF('Deal maths'!C336="Local authority","Local authorities",LOWER(TRIM('Deal maths'!B336))),"")</f>
        <v/>
      </c>
      <c r="D336" s="91">
        <f>IF(C336="","",IF(COUNTIF($C$4:C335,C336)=0,SUMIF($C$4:$C$3997,C336,$B$4:$B$3997)-ROW()/1000000,""))</f>
        <v/>
      </c>
      <c r="E336" s="91">
        <f>IF(AND(N('Deal maths'!F336)&gt;AsAt,N('Deal maths'!E336)&lt;=AsAt,IF(N('Deal maths'!H336)&gt;0,N('Deal maths'!H336),N('Deal maths'!D336))&gt;0),N('Deal maths'!F336)+ROW()/1000000,"")</f>
        <v/>
      </c>
    </row>
    <row r="337">
      <c r="A337" s="91" t="n"/>
      <c r="B337" s="111">
        <f>IF(AND(N('Deal maths'!F337)&gt;AsAt,N('Deal maths'!E337)&lt;=AsAt),IF(N('Deal maths'!H337)&gt;0,N('Deal maths'!H337),N('Deal maths'!D337)),0)</f>
        <v/>
      </c>
      <c r="C337" s="91">
        <f>IF(B337&gt;0,IF('Deal maths'!C337="Local authority","Local authorities",LOWER(TRIM('Deal maths'!B337))),"")</f>
        <v/>
      </c>
      <c r="D337" s="91">
        <f>IF(C337="","",IF(COUNTIF($C$4:C336,C337)=0,SUMIF($C$4:$C$3997,C337,$B$4:$B$3997)-ROW()/1000000,""))</f>
        <v/>
      </c>
      <c r="E337" s="91">
        <f>IF(AND(N('Deal maths'!F337)&gt;AsAt,N('Deal maths'!E337)&lt;=AsAt,IF(N('Deal maths'!H337)&gt;0,N('Deal maths'!H337),N('Deal maths'!D337))&gt;0),N('Deal maths'!F337)+ROW()/1000000,"")</f>
        <v/>
      </c>
    </row>
    <row r="338">
      <c r="A338" s="91" t="n"/>
      <c r="B338" s="111">
        <f>IF(AND(N('Deal maths'!F338)&gt;AsAt,N('Deal maths'!E338)&lt;=AsAt),IF(N('Deal maths'!H338)&gt;0,N('Deal maths'!H338),N('Deal maths'!D338)),0)</f>
        <v/>
      </c>
      <c r="C338" s="91">
        <f>IF(B338&gt;0,IF('Deal maths'!C338="Local authority","Local authorities",LOWER(TRIM('Deal maths'!B338))),"")</f>
        <v/>
      </c>
      <c r="D338" s="91">
        <f>IF(C338="","",IF(COUNTIF($C$4:C337,C338)=0,SUMIF($C$4:$C$3997,C338,$B$4:$B$3997)-ROW()/1000000,""))</f>
        <v/>
      </c>
      <c r="E338" s="91">
        <f>IF(AND(N('Deal maths'!F338)&gt;AsAt,N('Deal maths'!E338)&lt;=AsAt,IF(N('Deal maths'!H338)&gt;0,N('Deal maths'!H338),N('Deal maths'!D338))&gt;0),N('Deal maths'!F338)+ROW()/1000000,"")</f>
        <v/>
      </c>
    </row>
    <row r="339">
      <c r="A339" s="91" t="n"/>
      <c r="B339" s="111">
        <f>IF(AND(N('Deal maths'!F339)&gt;AsAt,N('Deal maths'!E339)&lt;=AsAt),IF(N('Deal maths'!H339)&gt;0,N('Deal maths'!H339),N('Deal maths'!D339)),0)</f>
        <v/>
      </c>
      <c r="C339" s="91">
        <f>IF(B339&gt;0,IF('Deal maths'!C339="Local authority","Local authorities",LOWER(TRIM('Deal maths'!B339))),"")</f>
        <v/>
      </c>
      <c r="D339" s="91">
        <f>IF(C339="","",IF(COUNTIF($C$4:C338,C339)=0,SUMIF($C$4:$C$3997,C339,$B$4:$B$3997)-ROW()/1000000,""))</f>
        <v/>
      </c>
      <c r="E339" s="91">
        <f>IF(AND(N('Deal maths'!F339)&gt;AsAt,N('Deal maths'!E339)&lt;=AsAt,IF(N('Deal maths'!H339)&gt;0,N('Deal maths'!H339),N('Deal maths'!D339))&gt;0),N('Deal maths'!F339)+ROW()/1000000,"")</f>
        <v/>
      </c>
    </row>
    <row r="340">
      <c r="A340" s="91" t="n"/>
      <c r="B340" s="111">
        <f>IF(AND(N('Deal maths'!F340)&gt;AsAt,N('Deal maths'!E340)&lt;=AsAt),IF(N('Deal maths'!H340)&gt;0,N('Deal maths'!H340),N('Deal maths'!D340)),0)</f>
        <v/>
      </c>
      <c r="C340" s="91">
        <f>IF(B340&gt;0,IF('Deal maths'!C340="Local authority","Local authorities",LOWER(TRIM('Deal maths'!B340))),"")</f>
        <v/>
      </c>
      <c r="D340" s="91">
        <f>IF(C340="","",IF(COUNTIF($C$4:C339,C340)=0,SUMIF($C$4:$C$3997,C340,$B$4:$B$3997)-ROW()/1000000,""))</f>
        <v/>
      </c>
      <c r="E340" s="91">
        <f>IF(AND(N('Deal maths'!F340)&gt;AsAt,N('Deal maths'!E340)&lt;=AsAt,IF(N('Deal maths'!H340)&gt;0,N('Deal maths'!H340),N('Deal maths'!D340))&gt;0),N('Deal maths'!F340)+ROW()/1000000,"")</f>
        <v/>
      </c>
    </row>
    <row r="341">
      <c r="A341" s="91" t="n"/>
      <c r="B341" s="111">
        <f>IF(AND(N('Deal maths'!F341)&gt;AsAt,N('Deal maths'!E341)&lt;=AsAt),IF(N('Deal maths'!H341)&gt;0,N('Deal maths'!H341),N('Deal maths'!D341)),0)</f>
        <v/>
      </c>
      <c r="C341" s="91">
        <f>IF(B341&gt;0,IF('Deal maths'!C341="Local authority","Local authorities",LOWER(TRIM('Deal maths'!B341))),"")</f>
        <v/>
      </c>
      <c r="D341" s="91">
        <f>IF(C341="","",IF(COUNTIF($C$4:C340,C341)=0,SUMIF($C$4:$C$3997,C341,$B$4:$B$3997)-ROW()/1000000,""))</f>
        <v/>
      </c>
      <c r="E341" s="91">
        <f>IF(AND(N('Deal maths'!F341)&gt;AsAt,N('Deal maths'!E341)&lt;=AsAt,IF(N('Deal maths'!H341)&gt;0,N('Deal maths'!H341),N('Deal maths'!D341))&gt;0),N('Deal maths'!F341)+ROW()/1000000,"")</f>
        <v/>
      </c>
    </row>
    <row r="342">
      <c r="A342" s="91" t="n"/>
      <c r="B342" s="111">
        <f>IF(AND(N('Deal maths'!F342)&gt;AsAt,N('Deal maths'!E342)&lt;=AsAt),IF(N('Deal maths'!H342)&gt;0,N('Deal maths'!H342),N('Deal maths'!D342)),0)</f>
        <v/>
      </c>
      <c r="C342" s="91">
        <f>IF(B342&gt;0,IF('Deal maths'!C342="Local authority","Local authorities",LOWER(TRIM('Deal maths'!B342))),"")</f>
        <v/>
      </c>
      <c r="D342" s="91">
        <f>IF(C342="","",IF(COUNTIF($C$4:C341,C342)=0,SUMIF($C$4:$C$3997,C342,$B$4:$B$3997)-ROW()/1000000,""))</f>
        <v/>
      </c>
      <c r="E342" s="91">
        <f>IF(AND(N('Deal maths'!F342)&gt;AsAt,N('Deal maths'!E342)&lt;=AsAt,IF(N('Deal maths'!H342)&gt;0,N('Deal maths'!H342),N('Deal maths'!D342))&gt;0),N('Deal maths'!F342)+ROW()/1000000,"")</f>
        <v/>
      </c>
    </row>
    <row r="343">
      <c r="A343" s="91" t="n"/>
      <c r="B343" s="111">
        <f>IF(AND(N('Deal maths'!F343)&gt;AsAt,N('Deal maths'!E343)&lt;=AsAt),IF(N('Deal maths'!H343)&gt;0,N('Deal maths'!H343),N('Deal maths'!D343)),0)</f>
        <v/>
      </c>
      <c r="C343" s="91">
        <f>IF(B343&gt;0,IF('Deal maths'!C343="Local authority","Local authorities",LOWER(TRIM('Deal maths'!B343))),"")</f>
        <v/>
      </c>
      <c r="D343" s="91">
        <f>IF(C343="","",IF(COUNTIF($C$4:C342,C343)=0,SUMIF($C$4:$C$3997,C343,$B$4:$B$3997)-ROW()/1000000,""))</f>
        <v/>
      </c>
      <c r="E343" s="91">
        <f>IF(AND(N('Deal maths'!F343)&gt;AsAt,N('Deal maths'!E343)&lt;=AsAt,IF(N('Deal maths'!H343)&gt;0,N('Deal maths'!H343),N('Deal maths'!D343))&gt;0),N('Deal maths'!F343)+ROW()/1000000,"")</f>
        <v/>
      </c>
    </row>
    <row r="344">
      <c r="A344" s="91" t="n"/>
      <c r="B344" s="111">
        <f>IF(AND(N('Deal maths'!F344)&gt;AsAt,N('Deal maths'!E344)&lt;=AsAt),IF(N('Deal maths'!H344)&gt;0,N('Deal maths'!H344),N('Deal maths'!D344)),0)</f>
        <v/>
      </c>
      <c r="C344" s="91">
        <f>IF(B344&gt;0,IF('Deal maths'!C344="Local authority","Local authorities",LOWER(TRIM('Deal maths'!B344))),"")</f>
        <v/>
      </c>
      <c r="D344" s="91">
        <f>IF(C344="","",IF(COUNTIF($C$4:C343,C344)=0,SUMIF($C$4:$C$3997,C344,$B$4:$B$3997)-ROW()/1000000,""))</f>
        <v/>
      </c>
      <c r="E344" s="91">
        <f>IF(AND(N('Deal maths'!F344)&gt;AsAt,N('Deal maths'!E344)&lt;=AsAt,IF(N('Deal maths'!H344)&gt;0,N('Deal maths'!H344),N('Deal maths'!D344))&gt;0),N('Deal maths'!F344)+ROW()/1000000,"")</f>
        <v/>
      </c>
    </row>
    <row r="345">
      <c r="A345" s="91" t="n"/>
      <c r="B345" s="111">
        <f>IF(AND(N('Deal maths'!F345)&gt;AsAt,N('Deal maths'!E345)&lt;=AsAt),IF(N('Deal maths'!H345)&gt;0,N('Deal maths'!H345),N('Deal maths'!D345)),0)</f>
        <v/>
      </c>
      <c r="C345" s="91">
        <f>IF(B345&gt;0,IF('Deal maths'!C345="Local authority","Local authorities",LOWER(TRIM('Deal maths'!B345))),"")</f>
        <v/>
      </c>
      <c r="D345" s="91">
        <f>IF(C345="","",IF(COUNTIF($C$4:C344,C345)=0,SUMIF($C$4:$C$3997,C345,$B$4:$B$3997)-ROW()/1000000,""))</f>
        <v/>
      </c>
      <c r="E345" s="91">
        <f>IF(AND(N('Deal maths'!F345)&gt;AsAt,N('Deal maths'!E345)&lt;=AsAt,IF(N('Deal maths'!H345)&gt;0,N('Deal maths'!H345),N('Deal maths'!D345))&gt;0),N('Deal maths'!F345)+ROW()/1000000,"")</f>
        <v/>
      </c>
    </row>
    <row r="346">
      <c r="A346" s="91" t="n"/>
      <c r="B346" s="111">
        <f>IF(AND(N('Deal maths'!F346)&gt;AsAt,N('Deal maths'!E346)&lt;=AsAt),IF(N('Deal maths'!H346)&gt;0,N('Deal maths'!H346),N('Deal maths'!D346)),0)</f>
        <v/>
      </c>
      <c r="C346" s="91">
        <f>IF(B346&gt;0,IF('Deal maths'!C346="Local authority","Local authorities",LOWER(TRIM('Deal maths'!B346))),"")</f>
        <v/>
      </c>
      <c r="D346" s="91">
        <f>IF(C346="","",IF(COUNTIF($C$4:C345,C346)=0,SUMIF($C$4:$C$3997,C346,$B$4:$B$3997)-ROW()/1000000,""))</f>
        <v/>
      </c>
      <c r="E346" s="91">
        <f>IF(AND(N('Deal maths'!F346)&gt;AsAt,N('Deal maths'!E346)&lt;=AsAt,IF(N('Deal maths'!H346)&gt;0,N('Deal maths'!H346),N('Deal maths'!D346))&gt;0),N('Deal maths'!F346)+ROW()/1000000,"")</f>
        <v/>
      </c>
    </row>
    <row r="347">
      <c r="A347" s="91" t="n"/>
      <c r="B347" s="111">
        <f>IF(AND(N('Deal maths'!F347)&gt;AsAt,N('Deal maths'!E347)&lt;=AsAt),IF(N('Deal maths'!H347)&gt;0,N('Deal maths'!H347),N('Deal maths'!D347)),0)</f>
        <v/>
      </c>
      <c r="C347" s="91">
        <f>IF(B347&gt;0,IF('Deal maths'!C347="Local authority","Local authorities",LOWER(TRIM('Deal maths'!B347))),"")</f>
        <v/>
      </c>
      <c r="D347" s="91">
        <f>IF(C347="","",IF(COUNTIF($C$4:C346,C347)=0,SUMIF($C$4:$C$3997,C347,$B$4:$B$3997)-ROW()/1000000,""))</f>
        <v/>
      </c>
      <c r="E347" s="91">
        <f>IF(AND(N('Deal maths'!F347)&gt;AsAt,N('Deal maths'!E347)&lt;=AsAt,IF(N('Deal maths'!H347)&gt;0,N('Deal maths'!H347),N('Deal maths'!D347))&gt;0),N('Deal maths'!F347)+ROW()/1000000,"")</f>
        <v/>
      </c>
    </row>
    <row r="348">
      <c r="A348" s="91" t="n"/>
      <c r="B348" s="111">
        <f>IF(AND(N('Deal maths'!F348)&gt;AsAt,N('Deal maths'!E348)&lt;=AsAt),IF(N('Deal maths'!H348)&gt;0,N('Deal maths'!H348),N('Deal maths'!D348)),0)</f>
        <v/>
      </c>
      <c r="C348" s="91">
        <f>IF(B348&gt;0,IF('Deal maths'!C348="Local authority","Local authorities",LOWER(TRIM('Deal maths'!B348))),"")</f>
        <v/>
      </c>
      <c r="D348" s="91">
        <f>IF(C348="","",IF(COUNTIF($C$4:C347,C348)=0,SUMIF($C$4:$C$3997,C348,$B$4:$B$3997)-ROW()/1000000,""))</f>
        <v/>
      </c>
      <c r="E348" s="91">
        <f>IF(AND(N('Deal maths'!F348)&gt;AsAt,N('Deal maths'!E348)&lt;=AsAt,IF(N('Deal maths'!H348)&gt;0,N('Deal maths'!H348),N('Deal maths'!D348))&gt;0),N('Deal maths'!F348)+ROW()/1000000,"")</f>
        <v/>
      </c>
    </row>
    <row r="349">
      <c r="A349" s="91" t="n"/>
      <c r="B349" s="111">
        <f>IF(AND(N('Deal maths'!F349)&gt;AsAt,N('Deal maths'!E349)&lt;=AsAt),IF(N('Deal maths'!H349)&gt;0,N('Deal maths'!H349),N('Deal maths'!D349)),0)</f>
        <v/>
      </c>
      <c r="C349" s="91">
        <f>IF(B349&gt;0,IF('Deal maths'!C349="Local authority","Local authorities",LOWER(TRIM('Deal maths'!B349))),"")</f>
        <v/>
      </c>
      <c r="D349" s="91">
        <f>IF(C349="","",IF(COUNTIF($C$4:C348,C349)=0,SUMIF($C$4:$C$3997,C349,$B$4:$B$3997)-ROW()/1000000,""))</f>
        <v/>
      </c>
      <c r="E349" s="91">
        <f>IF(AND(N('Deal maths'!F349)&gt;AsAt,N('Deal maths'!E349)&lt;=AsAt,IF(N('Deal maths'!H349)&gt;0,N('Deal maths'!H349),N('Deal maths'!D349))&gt;0),N('Deal maths'!F349)+ROW()/1000000,"")</f>
        <v/>
      </c>
    </row>
    <row r="350">
      <c r="A350" s="91" t="n"/>
      <c r="B350" s="111">
        <f>IF(AND(N('Deal maths'!F350)&gt;AsAt,N('Deal maths'!E350)&lt;=AsAt),IF(N('Deal maths'!H350)&gt;0,N('Deal maths'!H350),N('Deal maths'!D350)),0)</f>
        <v/>
      </c>
      <c r="C350" s="91">
        <f>IF(B350&gt;0,IF('Deal maths'!C350="Local authority","Local authorities",LOWER(TRIM('Deal maths'!B350))),"")</f>
        <v/>
      </c>
      <c r="D350" s="91">
        <f>IF(C350="","",IF(COUNTIF($C$4:C349,C350)=0,SUMIF($C$4:$C$3997,C350,$B$4:$B$3997)-ROW()/1000000,""))</f>
        <v/>
      </c>
      <c r="E350" s="91">
        <f>IF(AND(N('Deal maths'!F350)&gt;AsAt,N('Deal maths'!E350)&lt;=AsAt,IF(N('Deal maths'!H350)&gt;0,N('Deal maths'!H350),N('Deal maths'!D350))&gt;0),N('Deal maths'!F350)+ROW()/1000000,"")</f>
        <v/>
      </c>
    </row>
    <row r="351">
      <c r="A351" s="91" t="n"/>
      <c r="B351" s="111">
        <f>IF(AND(N('Deal maths'!F351)&gt;AsAt,N('Deal maths'!E351)&lt;=AsAt),IF(N('Deal maths'!H351)&gt;0,N('Deal maths'!H351),N('Deal maths'!D351)),0)</f>
        <v/>
      </c>
      <c r="C351" s="91">
        <f>IF(B351&gt;0,IF('Deal maths'!C351="Local authority","Local authorities",LOWER(TRIM('Deal maths'!B351))),"")</f>
        <v/>
      </c>
      <c r="D351" s="91">
        <f>IF(C351="","",IF(COUNTIF($C$4:C350,C351)=0,SUMIF($C$4:$C$3997,C351,$B$4:$B$3997)-ROW()/1000000,""))</f>
        <v/>
      </c>
      <c r="E351" s="91">
        <f>IF(AND(N('Deal maths'!F351)&gt;AsAt,N('Deal maths'!E351)&lt;=AsAt,IF(N('Deal maths'!H351)&gt;0,N('Deal maths'!H351),N('Deal maths'!D351))&gt;0),N('Deal maths'!F351)+ROW()/1000000,"")</f>
        <v/>
      </c>
    </row>
    <row r="352">
      <c r="A352" s="91" t="n"/>
      <c r="B352" s="111">
        <f>IF(AND(N('Deal maths'!F352)&gt;AsAt,N('Deal maths'!E352)&lt;=AsAt),IF(N('Deal maths'!H352)&gt;0,N('Deal maths'!H352),N('Deal maths'!D352)),0)</f>
        <v/>
      </c>
      <c r="C352" s="91">
        <f>IF(B352&gt;0,IF('Deal maths'!C352="Local authority","Local authorities",LOWER(TRIM('Deal maths'!B352))),"")</f>
        <v/>
      </c>
      <c r="D352" s="91">
        <f>IF(C352="","",IF(COUNTIF($C$4:C351,C352)=0,SUMIF($C$4:$C$3997,C352,$B$4:$B$3997)-ROW()/1000000,""))</f>
        <v/>
      </c>
      <c r="E352" s="91">
        <f>IF(AND(N('Deal maths'!F352)&gt;AsAt,N('Deal maths'!E352)&lt;=AsAt,IF(N('Deal maths'!H352)&gt;0,N('Deal maths'!H352),N('Deal maths'!D352))&gt;0),N('Deal maths'!F352)+ROW()/1000000,"")</f>
        <v/>
      </c>
    </row>
    <row r="353">
      <c r="A353" s="91" t="n"/>
      <c r="B353" s="111">
        <f>IF(AND(N('Deal maths'!F353)&gt;AsAt,N('Deal maths'!E353)&lt;=AsAt),IF(N('Deal maths'!H353)&gt;0,N('Deal maths'!H353),N('Deal maths'!D353)),0)</f>
        <v/>
      </c>
      <c r="C353" s="91">
        <f>IF(B353&gt;0,IF('Deal maths'!C353="Local authority","Local authorities",LOWER(TRIM('Deal maths'!B353))),"")</f>
        <v/>
      </c>
      <c r="D353" s="91">
        <f>IF(C353="","",IF(COUNTIF($C$4:C352,C353)=0,SUMIF($C$4:$C$3997,C353,$B$4:$B$3997)-ROW()/1000000,""))</f>
        <v/>
      </c>
      <c r="E353" s="91">
        <f>IF(AND(N('Deal maths'!F353)&gt;AsAt,N('Deal maths'!E353)&lt;=AsAt,IF(N('Deal maths'!H353)&gt;0,N('Deal maths'!H353),N('Deal maths'!D353))&gt;0),N('Deal maths'!F353)+ROW()/1000000,"")</f>
        <v/>
      </c>
    </row>
    <row r="354">
      <c r="A354" s="91" t="n"/>
      <c r="B354" s="111">
        <f>IF(AND(N('Deal maths'!F354)&gt;AsAt,N('Deal maths'!E354)&lt;=AsAt),IF(N('Deal maths'!H354)&gt;0,N('Deal maths'!H354),N('Deal maths'!D354)),0)</f>
        <v/>
      </c>
      <c r="C354" s="91">
        <f>IF(B354&gt;0,IF('Deal maths'!C354="Local authority","Local authorities",LOWER(TRIM('Deal maths'!B354))),"")</f>
        <v/>
      </c>
      <c r="D354" s="91">
        <f>IF(C354="","",IF(COUNTIF($C$4:C353,C354)=0,SUMIF($C$4:$C$3997,C354,$B$4:$B$3997)-ROW()/1000000,""))</f>
        <v/>
      </c>
      <c r="E354" s="91">
        <f>IF(AND(N('Deal maths'!F354)&gt;AsAt,N('Deal maths'!E354)&lt;=AsAt,IF(N('Deal maths'!H354)&gt;0,N('Deal maths'!H354),N('Deal maths'!D354))&gt;0),N('Deal maths'!F354)+ROW()/1000000,"")</f>
        <v/>
      </c>
    </row>
    <row r="355">
      <c r="A355" s="91" t="n"/>
      <c r="B355" s="111">
        <f>IF(AND(N('Deal maths'!F355)&gt;AsAt,N('Deal maths'!E355)&lt;=AsAt),IF(N('Deal maths'!H355)&gt;0,N('Deal maths'!H355),N('Deal maths'!D355)),0)</f>
        <v/>
      </c>
      <c r="C355" s="91">
        <f>IF(B355&gt;0,IF('Deal maths'!C355="Local authority","Local authorities",LOWER(TRIM('Deal maths'!B355))),"")</f>
        <v/>
      </c>
      <c r="D355" s="91">
        <f>IF(C355="","",IF(COUNTIF($C$4:C354,C355)=0,SUMIF($C$4:$C$3997,C355,$B$4:$B$3997)-ROW()/1000000,""))</f>
        <v/>
      </c>
      <c r="E355" s="91">
        <f>IF(AND(N('Deal maths'!F355)&gt;AsAt,N('Deal maths'!E355)&lt;=AsAt,IF(N('Deal maths'!H355)&gt;0,N('Deal maths'!H355),N('Deal maths'!D355))&gt;0),N('Deal maths'!F355)+ROW()/1000000,"")</f>
        <v/>
      </c>
    </row>
    <row r="356">
      <c r="A356" s="91" t="n"/>
      <c r="B356" s="111">
        <f>IF(AND(N('Deal maths'!F356)&gt;AsAt,N('Deal maths'!E356)&lt;=AsAt),IF(N('Deal maths'!H356)&gt;0,N('Deal maths'!H356),N('Deal maths'!D356)),0)</f>
        <v/>
      </c>
      <c r="C356" s="91">
        <f>IF(B356&gt;0,IF('Deal maths'!C356="Local authority","Local authorities",LOWER(TRIM('Deal maths'!B356))),"")</f>
        <v/>
      </c>
      <c r="D356" s="91">
        <f>IF(C356="","",IF(COUNTIF($C$4:C355,C356)=0,SUMIF($C$4:$C$3997,C356,$B$4:$B$3997)-ROW()/1000000,""))</f>
        <v/>
      </c>
      <c r="E356" s="91">
        <f>IF(AND(N('Deal maths'!F356)&gt;AsAt,N('Deal maths'!E356)&lt;=AsAt,IF(N('Deal maths'!H356)&gt;0,N('Deal maths'!H356),N('Deal maths'!D356))&gt;0),N('Deal maths'!F356)+ROW()/1000000,"")</f>
        <v/>
      </c>
    </row>
    <row r="357">
      <c r="A357" s="91" t="n"/>
      <c r="B357" s="111">
        <f>IF(AND(N('Deal maths'!F357)&gt;AsAt,N('Deal maths'!E357)&lt;=AsAt),IF(N('Deal maths'!H357)&gt;0,N('Deal maths'!H357),N('Deal maths'!D357)),0)</f>
        <v/>
      </c>
      <c r="C357" s="91">
        <f>IF(B357&gt;0,IF('Deal maths'!C357="Local authority","Local authorities",LOWER(TRIM('Deal maths'!B357))),"")</f>
        <v/>
      </c>
      <c r="D357" s="91">
        <f>IF(C357="","",IF(COUNTIF($C$4:C356,C357)=0,SUMIF($C$4:$C$3997,C357,$B$4:$B$3997)-ROW()/1000000,""))</f>
        <v/>
      </c>
      <c r="E357" s="91">
        <f>IF(AND(N('Deal maths'!F357)&gt;AsAt,N('Deal maths'!E357)&lt;=AsAt,IF(N('Deal maths'!H357)&gt;0,N('Deal maths'!H357),N('Deal maths'!D357))&gt;0),N('Deal maths'!F357)+ROW()/1000000,"")</f>
        <v/>
      </c>
    </row>
    <row r="358">
      <c r="A358" s="91" t="n"/>
      <c r="B358" s="111">
        <f>IF(AND(N('Deal maths'!F358)&gt;AsAt,N('Deal maths'!E358)&lt;=AsAt),IF(N('Deal maths'!H358)&gt;0,N('Deal maths'!H358),N('Deal maths'!D358)),0)</f>
        <v/>
      </c>
      <c r="C358" s="91">
        <f>IF(B358&gt;0,IF('Deal maths'!C358="Local authority","Local authorities",LOWER(TRIM('Deal maths'!B358))),"")</f>
        <v/>
      </c>
      <c r="D358" s="91">
        <f>IF(C358="","",IF(COUNTIF($C$4:C357,C358)=0,SUMIF($C$4:$C$3997,C358,$B$4:$B$3997)-ROW()/1000000,""))</f>
        <v/>
      </c>
      <c r="E358" s="91">
        <f>IF(AND(N('Deal maths'!F358)&gt;AsAt,N('Deal maths'!E358)&lt;=AsAt,IF(N('Deal maths'!H358)&gt;0,N('Deal maths'!H358),N('Deal maths'!D358))&gt;0),N('Deal maths'!F358)+ROW()/1000000,"")</f>
        <v/>
      </c>
    </row>
    <row r="359">
      <c r="A359" s="91" t="n"/>
      <c r="B359" s="111">
        <f>IF(AND(N('Deal maths'!F359)&gt;AsAt,N('Deal maths'!E359)&lt;=AsAt),IF(N('Deal maths'!H359)&gt;0,N('Deal maths'!H359),N('Deal maths'!D359)),0)</f>
        <v/>
      </c>
      <c r="C359" s="91">
        <f>IF(B359&gt;0,IF('Deal maths'!C359="Local authority","Local authorities",LOWER(TRIM('Deal maths'!B359))),"")</f>
        <v/>
      </c>
      <c r="D359" s="91">
        <f>IF(C359="","",IF(COUNTIF($C$4:C358,C359)=0,SUMIF($C$4:$C$3997,C359,$B$4:$B$3997)-ROW()/1000000,""))</f>
        <v/>
      </c>
      <c r="E359" s="91">
        <f>IF(AND(N('Deal maths'!F359)&gt;AsAt,N('Deal maths'!E359)&lt;=AsAt,IF(N('Deal maths'!H359)&gt;0,N('Deal maths'!H359),N('Deal maths'!D359))&gt;0),N('Deal maths'!F359)+ROW()/1000000,"")</f>
        <v/>
      </c>
    </row>
    <row r="360">
      <c r="A360" s="91" t="n"/>
      <c r="B360" s="111">
        <f>IF(AND(N('Deal maths'!F360)&gt;AsAt,N('Deal maths'!E360)&lt;=AsAt),IF(N('Deal maths'!H360)&gt;0,N('Deal maths'!H360),N('Deal maths'!D360)),0)</f>
        <v/>
      </c>
      <c r="C360" s="91">
        <f>IF(B360&gt;0,IF('Deal maths'!C360="Local authority","Local authorities",LOWER(TRIM('Deal maths'!B360))),"")</f>
        <v/>
      </c>
      <c r="D360" s="91">
        <f>IF(C360="","",IF(COUNTIF($C$4:C359,C360)=0,SUMIF($C$4:$C$3997,C360,$B$4:$B$3997)-ROW()/1000000,""))</f>
        <v/>
      </c>
      <c r="E360" s="91">
        <f>IF(AND(N('Deal maths'!F360)&gt;AsAt,N('Deal maths'!E360)&lt;=AsAt,IF(N('Deal maths'!H360)&gt;0,N('Deal maths'!H360),N('Deal maths'!D360))&gt;0),N('Deal maths'!F360)+ROW()/1000000,"")</f>
        <v/>
      </c>
    </row>
    <row r="361">
      <c r="A361" s="91" t="n"/>
      <c r="B361" s="111">
        <f>IF(AND(N('Deal maths'!F361)&gt;AsAt,N('Deal maths'!E361)&lt;=AsAt),IF(N('Deal maths'!H361)&gt;0,N('Deal maths'!H361),N('Deal maths'!D361)),0)</f>
        <v/>
      </c>
      <c r="C361" s="91">
        <f>IF(B361&gt;0,IF('Deal maths'!C361="Local authority","Local authorities",LOWER(TRIM('Deal maths'!B361))),"")</f>
        <v/>
      </c>
      <c r="D361" s="91">
        <f>IF(C361="","",IF(COUNTIF($C$4:C360,C361)=0,SUMIF($C$4:$C$3997,C361,$B$4:$B$3997)-ROW()/1000000,""))</f>
        <v/>
      </c>
      <c r="E361" s="91">
        <f>IF(AND(N('Deal maths'!F361)&gt;AsAt,N('Deal maths'!E361)&lt;=AsAt,IF(N('Deal maths'!H361)&gt;0,N('Deal maths'!H361),N('Deal maths'!D361))&gt;0),N('Deal maths'!F361)+ROW()/1000000,"")</f>
        <v/>
      </c>
    </row>
    <row r="362">
      <c r="A362" s="91" t="n"/>
      <c r="B362" s="111">
        <f>IF(AND(N('Deal maths'!F362)&gt;AsAt,N('Deal maths'!E362)&lt;=AsAt),IF(N('Deal maths'!H362)&gt;0,N('Deal maths'!H362),N('Deal maths'!D362)),0)</f>
        <v/>
      </c>
      <c r="C362" s="91">
        <f>IF(B362&gt;0,IF('Deal maths'!C362="Local authority","Local authorities",LOWER(TRIM('Deal maths'!B362))),"")</f>
        <v/>
      </c>
      <c r="D362" s="91">
        <f>IF(C362="","",IF(COUNTIF($C$4:C361,C362)=0,SUMIF($C$4:$C$3997,C362,$B$4:$B$3997)-ROW()/1000000,""))</f>
        <v/>
      </c>
      <c r="E362" s="91">
        <f>IF(AND(N('Deal maths'!F362)&gt;AsAt,N('Deal maths'!E362)&lt;=AsAt,IF(N('Deal maths'!H362)&gt;0,N('Deal maths'!H362),N('Deal maths'!D362))&gt;0),N('Deal maths'!F362)+ROW()/1000000,"")</f>
        <v/>
      </c>
    </row>
    <row r="363">
      <c r="A363" s="91" t="n"/>
      <c r="B363" s="111">
        <f>IF(AND(N('Deal maths'!F363)&gt;AsAt,N('Deal maths'!E363)&lt;=AsAt),IF(N('Deal maths'!H363)&gt;0,N('Deal maths'!H363),N('Deal maths'!D363)),0)</f>
        <v/>
      </c>
      <c r="C363" s="91">
        <f>IF(B363&gt;0,IF('Deal maths'!C363="Local authority","Local authorities",LOWER(TRIM('Deal maths'!B363))),"")</f>
        <v/>
      </c>
      <c r="D363" s="91">
        <f>IF(C363="","",IF(COUNTIF($C$4:C362,C363)=0,SUMIF($C$4:$C$3997,C363,$B$4:$B$3997)-ROW()/1000000,""))</f>
        <v/>
      </c>
      <c r="E363" s="91">
        <f>IF(AND(N('Deal maths'!F363)&gt;AsAt,N('Deal maths'!E363)&lt;=AsAt,IF(N('Deal maths'!H363)&gt;0,N('Deal maths'!H363),N('Deal maths'!D363))&gt;0),N('Deal maths'!F363)+ROW()/1000000,"")</f>
        <v/>
      </c>
    </row>
    <row r="364">
      <c r="A364" s="91" t="n"/>
      <c r="B364" s="111">
        <f>IF(AND(N('Deal maths'!F364)&gt;AsAt,N('Deal maths'!E364)&lt;=AsAt),IF(N('Deal maths'!H364)&gt;0,N('Deal maths'!H364),N('Deal maths'!D364)),0)</f>
        <v/>
      </c>
      <c r="C364" s="91">
        <f>IF(B364&gt;0,IF('Deal maths'!C364="Local authority","Local authorities",LOWER(TRIM('Deal maths'!B364))),"")</f>
        <v/>
      </c>
      <c r="D364" s="91">
        <f>IF(C364="","",IF(COUNTIF($C$4:C363,C364)=0,SUMIF($C$4:$C$3997,C364,$B$4:$B$3997)-ROW()/1000000,""))</f>
        <v/>
      </c>
      <c r="E364" s="91">
        <f>IF(AND(N('Deal maths'!F364)&gt;AsAt,N('Deal maths'!E364)&lt;=AsAt,IF(N('Deal maths'!H364)&gt;0,N('Deal maths'!H364),N('Deal maths'!D364))&gt;0),N('Deal maths'!F364)+ROW()/1000000,"")</f>
        <v/>
      </c>
    </row>
    <row r="365">
      <c r="A365" s="91" t="n"/>
      <c r="B365" s="111">
        <f>IF(AND(N('Deal maths'!F365)&gt;AsAt,N('Deal maths'!E365)&lt;=AsAt),IF(N('Deal maths'!H365)&gt;0,N('Deal maths'!H365),N('Deal maths'!D365)),0)</f>
        <v/>
      </c>
      <c r="C365" s="91">
        <f>IF(B365&gt;0,IF('Deal maths'!C365="Local authority","Local authorities",LOWER(TRIM('Deal maths'!B365))),"")</f>
        <v/>
      </c>
      <c r="D365" s="91">
        <f>IF(C365="","",IF(COUNTIF($C$4:C364,C365)=0,SUMIF($C$4:$C$3997,C365,$B$4:$B$3997)-ROW()/1000000,""))</f>
        <v/>
      </c>
      <c r="E365" s="91">
        <f>IF(AND(N('Deal maths'!F365)&gt;AsAt,N('Deal maths'!E365)&lt;=AsAt,IF(N('Deal maths'!H365)&gt;0,N('Deal maths'!H365),N('Deal maths'!D365))&gt;0),N('Deal maths'!F365)+ROW()/1000000,"")</f>
        <v/>
      </c>
    </row>
    <row r="366">
      <c r="A366" s="91" t="n"/>
      <c r="B366" s="111">
        <f>IF(AND(N('Deal maths'!F366)&gt;AsAt,N('Deal maths'!E366)&lt;=AsAt),IF(N('Deal maths'!H366)&gt;0,N('Deal maths'!H366),N('Deal maths'!D366)),0)</f>
        <v/>
      </c>
      <c r="C366" s="91">
        <f>IF(B366&gt;0,IF('Deal maths'!C366="Local authority","Local authorities",LOWER(TRIM('Deal maths'!B366))),"")</f>
        <v/>
      </c>
      <c r="D366" s="91">
        <f>IF(C366="","",IF(COUNTIF($C$4:C365,C366)=0,SUMIF($C$4:$C$3997,C366,$B$4:$B$3997)-ROW()/1000000,""))</f>
        <v/>
      </c>
      <c r="E366" s="91">
        <f>IF(AND(N('Deal maths'!F366)&gt;AsAt,N('Deal maths'!E366)&lt;=AsAt,IF(N('Deal maths'!H366)&gt;0,N('Deal maths'!H366),N('Deal maths'!D366))&gt;0),N('Deal maths'!F366)+ROW()/1000000,"")</f>
        <v/>
      </c>
    </row>
    <row r="367">
      <c r="A367" s="91" t="n"/>
      <c r="B367" s="111">
        <f>IF(AND(N('Deal maths'!F367)&gt;AsAt,N('Deal maths'!E367)&lt;=AsAt),IF(N('Deal maths'!H367)&gt;0,N('Deal maths'!H367),N('Deal maths'!D367)),0)</f>
        <v/>
      </c>
      <c r="C367" s="91">
        <f>IF(B367&gt;0,IF('Deal maths'!C367="Local authority","Local authorities",LOWER(TRIM('Deal maths'!B367))),"")</f>
        <v/>
      </c>
      <c r="D367" s="91">
        <f>IF(C367="","",IF(COUNTIF($C$4:C366,C367)=0,SUMIF($C$4:$C$3997,C367,$B$4:$B$3997)-ROW()/1000000,""))</f>
        <v/>
      </c>
      <c r="E367" s="91">
        <f>IF(AND(N('Deal maths'!F367)&gt;AsAt,N('Deal maths'!E367)&lt;=AsAt,IF(N('Deal maths'!H367)&gt;0,N('Deal maths'!H367),N('Deal maths'!D367))&gt;0),N('Deal maths'!F367)+ROW()/1000000,"")</f>
        <v/>
      </c>
    </row>
    <row r="368">
      <c r="A368" s="91" t="n"/>
      <c r="B368" s="111">
        <f>IF(AND(N('Deal maths'!F368)&gt;AsAt,N('Deal maths'!E368)&lt;=AsAt),IF(N('Deal maths'!H368)&gt;0,N('Deal maths'!H368),N('Deal maths'!D368)),0)</f>
        <v/>
      </c>
      <c r="C368" s="91">
        <f>IF(B368&gt;0,IF('Deal maths'!C368="Local authority","Local authorities",LOWER(TRIM('Deal maths'!B368))),"")</f>
        <v/>
      </c>
      <c r="D368" s="91">
        <f>IF(C368="","",IF(COUNTIF($C$4:C367,C368)=0,SUMIF($C$4:$C$3997,C368,$B$4:$B$3997)-ROW()/1000000,""))</f>
        <v/>
      </c>
      <c r="E368" s="91">
        <f>IF(AND(N('Deal maths'!F368)&gt;AsAt,N('Deal maths'!E368)&lt;=AsAt,IF(N('Deal maths'!H368)&gt;0,N('Deal maths'!H368),N('Deal maths'!D368))&gt;0),N('Deal maths'!F368)+ROW()/1000000,"")</f>
        <v/>
      </c>
    </row>
    <row r="369">
      <c r="A369" s="91" t="n"/>
      <c r="B369" s="111">
        <f>IF(AND(N('Deal maths'!F369)&gt;AsAt,N('Deal maths'!E369)&lt;=AsAt),IF(N('Deal maths'!H369)&gt;0,N('Deal maths'!H369),N('Deal maths'!D369)),0)</f>
        <v/>
      </c>
      <c r="C369" s="91">
        <f>IF(B369&gt;0,IF('Deal maths'!C369="Local authority","Local authorities",LOWER(TRIM('Deal maths'!B369))),"")</f>
        <v/>
      </c>
      <c r="D369" s="91">
        <f>IF(C369="","",IF(COUNTIF($C$4:C368,C369)=0,SUMIF($C$4:$C$3997,C369,$B$4:$B$3997)-ROW()/1000000,""))</f>
        <v/>
      </c>
      <c r="E369" s="91">
        <f>IF(AND(N('Deal maths'!F369)&gt;AsAt,N('Deal maths'!E369)&lt;=AsAt,IF(N('Deal maths'!H369)&gt;0,N('Deal maths'!H369),N('Deal maths'!D369))&gt;0),N('Deal maths'!F369)+ROW()/1000000,"")</f>
        <v/>
      </c>
    </row>
    <row r="370">
      <c r="A370" s="91" t="n"/>
      <c r="B370" s="111">
        <f>IF(AND(N('Deal maths'!F370)&gt;AsAt,N('Deal maths'!E370)&lt;=AsAt),IF(N('Deal maths'!H370)&gt;0,N('Deal maths'!H370),N('Deal maths'!D370)),0)</f>
        <v/>
      </c>
      <c r="C370" s="91">
        <f>IF(B370&gt;0,IF('Deal maths'!C370="Local authority","Local authorities",LOWER(TRIM('Deal maths'!B370))),"")</f>
        <v/>
      </c>
      <c r="D370" s="91">
        <f>IF(C370="","",IF(COUNTIF($C$4:C369,C370)=0,SUMIF($C$4:$C$3997,C370,$B$4:$B$3997)-ROW()/1000000,""))</f>
        <v/>
      </c>
      <c r="E370" s="91">
        <f>IF(AND(N('Deal maths'!F370)&gt;AsAt,N('Deal maths'!E370)&lt;=AsAt,IF(N('Deal maths'!H370)&gt;0,N('Deal maths'!H370),N('Deal maths'!D370))&gt;0),N('Deal maths'!F370)+ROW()/1000000,"")</f>
        <v/>
      </c>
    </row>
    <row r="371">
      <c r="A371" s="91" t="n"/>
      <c r="B371" s="111">
        <f>IF(AND(N('Deal maths'!F371)&gt;AsAt,N('Deal maths'!E371)&lt;=AsAt),IF(N('Deal maths'!H371)&gt;0,N('Deal maths'!H371),N('Deal maths'!D371)),0)</f>
        <v/>
      </c>
      <c r="C371" s="91">
        <f>IF(B371&gt;0,IF('Deal maths'!C371="Local authority","Local authorities",LOWER(TRIM('Deal maths'!B371))),"")</f>
        <v/>
      </c>
      <c r="D371" s="91">
        <f>IF(C371="","",IF(COUNTIF($C$4:C370,C371)=0,SUMIF($C$4:$C$3997,C371,$B$4:$B$3997)-ROW()/1000000,""))</f>
        <v/>
      </c>
      <c r="E371" s="91">
        <f>IF(AND(N('Deal maths'!F371)&gt;AsAt,N('Deal maths'!E371)&lt;=AsAt,IF(N('Deal maths'!H371)&gt;0,N('Deal maths'!H371),N('Deal maths'!D371))&gt;0),N('Deal maths'!F371)+ROW()/1000000,"")</f>
        <v/>
      </c>
    </row>
    <row r="372">
      <c r="A372" s="91" t="n"/>
      <c r="B372" s="111">
        <f>IF(AND(N('Deal maths'!F372)&gt;AsAt,N('Deal maths'!E372)&lt;=AsAt),IF(N('Deal maths'!H372)&gt;0,N('Deal maths'!H372),N('Deal maths'!D372)),0)</f>
        <v/>
      </c>
      <c r="C372" s="91">
        <f>IF(B372&gt;0,IF('Deal maths'!C372="Local authority","Local authorities",LOWER(TRIM('Deal maths'!B372))),"")</f>
        <v/>
      </c>
      <c r="D372" s="91">
        <f>IF(C372="","",IF(COUNTIF($C$4:C371,C372)=0,SUMIF($C$4:$C$3997,C372,$B$4:$B$3997)-ROW()/1000000,""))</f>
        <v/>
      </c>
      <c r="E372" s="91">
        <f>IF(AND(N('Deal maths'!F372)&gt;AsAt,N('Deal maths'!E372)&lt;=AsAt,IF(N('Deal maths'!H372)&gt;0,N('Deal maths'!H372),N('Deal maths'!D372))&gt;0),N('Deal maths'!F372)+ROW()/1000000,"")</f>
        <v/>
      </c>
    </row>
    <row r="373">
      <c r="A373" s="91" t="n"/>
      <c r="B373" s="111">
        <f>IF(AND(N('Deal maths'!F373)&gt;AsAt,N('Deal maths'!E373)&lt;=AsAt),IF(N('Deal maths'!H373)&gt;0,N('Deal maths'!H373),N('Deal maths'!D373)),0)</f>
        <v/>
      </c>
      <c r="C373" s="91">
        <f>IF(B373&gt;0,IF('Deal maths'!C373="Local authority","Local authorities",LOWER(TRIM('Deal maths'!B373))),"")</f>
        <v/>
      </c>
      <c r="D373" s="91">
        <f>IF(C373="","",IF(COUNTIF($C$4:C372,C373)=0,SUMIF($C$4:$C$3997,C373,$B$4:$B$3997)-ROW()/1000000,""))</f>
        <v/>
      </c>
      <c r="E373" s="91">
        <f>IF(AND(N('Deal maths'!F373)&gt;AsAt,N('Deal maths'!E373)&lt;=AsAt,IF(N('Deal maths'!H373)&gt;0,N('Deal maths'!H373),N('Deal maths'!D373))&gt;0),N('Deal maths'!F373)+ROW()/1000000,"")</f>
        <v/>
      </c>
    </row>
    <row r="374">
      <c r="A374" s="91" t="n"/>
      <c r="B374" s="111">
        <f>IF(AND(N('Deal maths'!F374)&gt;AsAt,N('Deal maths'!E374)&lt;=AsAt),IF(N('Deal maths'!H374)&gt;0,N('Deal maths'!H374),N('Deal maths'!D374)),0)</f>
        <v/>
      </c>
      <c r="C374" s="91">
        <f>IF(B374&gt;0,IF('Deal maths'!C374="Local authority","Local authorities",LOWER(TRIM('Deal maths'!B374))),"")</f>
        <v/>
      </c>
      <c r="D374" s="91">
        <f>IF(C374="","",IF(COUNTIF($C$4:C373,C374)=0,SUMIF($C$4:$C$3997,C374,$B$4:$B$3997)-ROW()/1000000,""))</f>
        <v/>
      </c>
      <c r="E374" s="91">
        <f>IF(AND(N('Deal maths'!F374)&gt;AsAt,N('Deal maths'!E374)&lt;=AsAt,IF(N('Deal maths'!H374)&gt;0,N('Deal maths'!H374),N('Deal maths'!D374))&gt;0),N('Deal maths'!F374)+ROW()/1000000,"")</f>
        <v/>
      </c>
    </row>
    <row r="375">
      <c r="A375" s="91" t="n"/>
      <c r="B375" s="111">
        <f>IF(AND(N('Deal maths'!F375)&gt;AsAt,N('Deal maths'!E375)&lt;=AsAt),IF(N('Deal maths'!H375)&gt;0,N('Deal maths'!H375),N('Deal maths'!D375)),0)</f>
        <v/>
      </c>
      <c r="C375" s="91">
        <f>IF(B375&gt;0,IF('Deal maths'!C375="Local authority","Local authorities",LOWER(TRIM('Deal maths'!B375))),"")</f>
        <v/>
      </c>
      <c r="D375" s="91">
        <f>IF(C375="","",IF(COUNTIF($C$4:C374,C375)=0,SUMIF($C$4:$C$3997,C375,$B$4:$B$3997)-ROW()/1000000,""))</f>
        <v/>
      </c>
      <c r="E375" s="91">
        <f>IF(AND(N('Deal maths'!F375)&gt;AsAt,N('Deal maths'!E375)&lt;=AsAt,IF(N('Deal maths'!H375)&gt;0,N('Deal maths'!H375),N('Deal maths'!D375))&gt;0),N('Deal maths'!F375)+ROW()/1000000,"")</f>
        <v/>
      </c>
    </row>
    <row r="376">
      <c r="A376" s="91" t="n"/>
      <c r="B376" s="111">
        <f>IF(AND(N('Deal maths'!F376)&gt;AsAt,N('Deal maths'!E376)&lt;=AsAt),IF(N('Deal maths'!H376)&gt;0,N('Deal maths'!H376),N('Deal maths'!D376)),0)</f>
        <v/>
      </c>
      <c r="C376" s="91">
        <f>IF(B376&gt;0,IF('Deal maths'!C376="Local authority","Local authorities",LOWER(TRIM('Deal maths'!B376))),"")</f>
        <v/>
      </c>
      <c r="D376" s="91">
        <f>IF(C376="","",IF(COUNTIF($C$4:C375,C376)=0,SUMIF($C$4:$C$3997,C376,$B$4:$B$3997)-ROW()/1000000,""))</f>
        <v/>
      </c>
      <c r="E376" s="91">
        <f>IF(AND(N('Deal maths'!F376)&gt;AsAt,N('Deal maths'!E376)&lt;=AsAt,IF(N('Deal maths'!H376)&gt;0,N('Deal maths'!H376),N('Deal maths'!D376))&gt;0),N('Deal maths'!F376)+ROW()/1000000,"")</f>
        <v/>
      </c>
    </row>
    <row r="377">
      <c r="A377" s="91" t="n"/>
      <c r="B377" s="111">
        <f>IF(AND(N('Deal maths'!F377)&gt;AsAt,N('Deal maths'!E377)&lt;=AsAt),IF(N('Deal maths'!H377)&gt;0,N('Deal maths'!H377),N('Deal maths'!D377)),0)</f>
        <v/>
      </c>
      <c r="C377" s="91">
        <f>IF(B377&gt;0,IF('Deal maths'!C377="Local authority","Local authorities",LOWER(TRIM('Deal maths'!B377))),"")</f>
        <v/>
      </c>
      <c r="D377" s="91">
        <f>IF(C377="","",IF(COUNTIF($C$4:C376,C377)=0,SUMIF($C$4:$C$3997,C377,$B$4:$B$3997)-ROW()/1000000,""))</f>
        <v/>
      </c>
      <c r="E377" s="91">
        <f>IF(AND(N('Deal maths'!F377)&gt;AsAt,N('Deal maths'!E377)&lt;=AsAt,IF(N('Deal maths'!H377)&gt;0,N('Deal maths'!H377),N('Deal maths'!D377))&gt;0),N('Deal maths'!F377)+ROW()/1000000,"")</f>
        <v/>
      </c>
    </row>
    <row r="378">
      <c r="A378" s="91" t="n"/>
      <c r="B378" s="111">
        <f>IF(AND(N('Deal maths'!F378)&gt;AsAt,N('Deal maths'!E378)&lt;=AsAt),IF(N('Deal maths'!H378)&gt;0,N('Deal maths'!H378),N('Deal maths'!D378)),0)</f>
        <v/>
      </c>
      <c r="C378" s="91">
        <f>IF(B378&gt;0,IF('Deal maths'!C378="Local authority","Local authorities",LOWER(TRIM('Deal maths'!B378))),"")</f>
        <v/>
      </c>
      <c r="D378" s="91">
        <f>IF(C378="","",IF(COUNTIF($C$4:C377,C378)=0,SUMIF($C$4:$C$3997,C378,$B$4:$B$3997)-ROW()/1000000,""))</f>
        <v/>
      </c>
      <c r="E378" s="91">
        <f>IF(AND(N('Deal maths'!F378)&gt;AsAt,N('Deal maths'!E378)&lt;=AsAt,IF(N('Deal maths'!H378)&gt;0,N('Deal maths'!H378),N('Deal maths'!D378))&gt;0),N('Deal maths'!F378)+ROW()/1000000,"")</f>
        <v/>
      </c>
    </row>
    <row r="379">
      <c r="A379" s="91" t="n"/>
      <c r="B379" s="111">
        <f>IF(AND(N('Deal maths'!F379)&gt;AsAt,N('Deal maths'!E379)&lt;=AsAt),IF(N('Deal maths'!H379)&gt;0,N('Deal maths'!H379),N('Deal maths'!D379)),0)</f>
        <v/>
      </c>
      <c r="C379" s="91">
        <f>IF(B379&gt;0,IF('Deal maths'!C379="Local authority","Local authorities",LOWER(TRIM('Deal maths'!B379))),"")</f>
        <v/>
      </c>
      <c r="D379" s="91">
        <f>IF(C379="","",IF(COUNTIF($C$4:C378,C379)=0,SUMIF($C$4:$C$3997,C379,$B$4:$B$3997)-ROW()/1000000,""))</f>
        <v/>
      </c>
      <c r="E379" s="91">
        <f>IF(AND(N('Deal maths'!F379)&gt;AsAt,N('Deal maths'!E379)&lt;=AsAt,IF(N('Deal maths'!H379)&gt;0,N('Deal maths'!H379),N('Deal maths'!D379))&gt;0),N('Deal maths'!F379)+ROW()/1000000,"")</f>
        <v/>
      </c>
    </row>
    <row r="380">
      <c r="A380" s="91" t="n"/>
      <c r="B380" s="111">
        <f>IF(AND(N('Deal maths'!F380)&gt;AsAt,N('Deal maths'!E380)&lt;=AsAt),IF(N('Deal maths'!H380)&gt;0,N('Deal maths'!H380),N('Deal maths'!D380)),0)</f>
        <v/>
      </c>
      <c r="C380" s="91">
        <f>IF(B380&gt;0,IF('Deal maths'!C380="Local authority","Local authorities",LOWER(TRIM('Deal maths'!B380))),"")</f>
        <v/>
      </c>
      <c r="D380" s="91">
        <f>IF(C380="","",IF(COUNTIF($C$4:C379,C380)=0,SUMIF($C$4:$C$3997,C380,$B$4:$B$3997)-ROW()/1000000,""))</f>
        <v/>
      </c>
      <c r="E380" s="91">
        <f>IF(AND(N('Deal maths'!F380)&gt;AsAt,N('Deal maths'!E380)&lt;=AsAt,IF(N('Deal maths'!H380)&gt;0,N('Deal maths'!H380),N('Deal maths'!D380))&gt;0),N('Deal maths'!F380)+ROW()/1000000,"")</f>
        <v/>
      </c>
    </row>
    <row r="381">
      <c r="A381" s="91" t="n"/>
      <c r="B381" s="111">
        <f>IF(AND(N('Deal maths'!F381)&gt;AsAt,N('Deal maths'!E381)&lt;=AsAt),IF(N('Deal maths'!H381)&gt;0,N('Deal maths'!H381),N('Deal maths'!D381)),0)</f>
        <v/>
      </c>
      <c r="C381" s="91">
        <f>IF(B381&gt;0,IF('Deal maths'!C381="Local authority","Local authorities",LOWER(TRIM('Deal maths'!B381))),"")</f>
        <v/>
      </c>
      <c r="D381" s="91">
        <f>IF(C381="","",IF(COUNTIF($C$4:C380,C381)=0,SUMIF($C$4:$C$3997,C381,$B$4:$B$3997)-ROW()/1000000,""))</f>
        <v/>
      </c>
      <c r="E381" s="91">
        <f>IF(AND(N('Deal maths'!F381)&gt;AsAt,N('Deal maths'!E381)&lt;=AsAt,IF(N('Deal maths'!H381)&gt;0,N('Deal maths'!H381),N('Deal maths'!D381))&gt;0),N('Deal maths'!F381)+ROW()/1000000,"")</f>
        <v/>
      </c>
    </row>
    <row r="382">
      <c r="A382" s="91" t="n"/>
      <c r="B382" s="111">
        <f>IF(AND(N('Deal maths'!F382)&gt;AsAt,N('Deal maths'!E382)&lt;=AsAt),IF(N('Deal maths'!H382)&gt;0,N('Deal maths'!H382),N('Deal maths'!D382)),0)</f>
        <v/>
      </c>
      <c r="C382" s="91">
        <f>IF(B382&gt;0,IF('Deal maths'!C382="Local authority","Local authorities",LOWER(TRIM('Deal maths'!B382))),"")</f>
        <v/>
      </c>
      <c r="D382" s="91">
        <f>IF(C382="","",IF(COUNTIF($C$4:C381,C382)=0,SUMIF($C$4:$C$3997,C382,$B$4:$B$3997)-ROW()/1000000,""))</f>
        <v/>
      </c>
      <c r="E382" s="91">
        <f>IF(AND(N('Deal maths'!F382)&gt;AsAt,N('Deal maths'!E382)&lt;=AsAt,IF(N('Deal maths'!H382)&gt;0,N('Deal maths'!H382),N('Deal maths'!D382))&gt;0),N('Deal maths'!F382)+ROW()/1000000,"")</f>
        <v/>
      </c>
    </row>
    <row r="383">
      <c r="A383" s="91" t="n"/>
      <c r="B383" s="111">
        <f>IF(AND(N('Deal maths'!F383)&gt;AsAt,N('Deal maths'!E383)&lt;=AsAt),IF(N('Deal maths'!H383)&gt;0,N('Deal maths'!H383),N('Deal maths'!D383)),0)</f>
        <v/>
      </c>
      <c r="C383" s="91">
        <f>IF(B383&gt;0,IF('Deal maths'!C383="Local authority","Local authorities",LOWER(TRIM('Deal maths'!B383))),"")</f>
        <v/>
      </c>
      <c r="D383" s="91">
        <f>IF(C383="","",IF(COUNTIF($C$4:C382,C383)=0,SUMIF($C$4:$C$3997,C383,$B$4:$B$3997)-ROW()/1000000,""))</f>
        <v/>
      </c>
      <c r="E383" s="91">
        <f>IF(AND(N('Deal maths'!F383)&gt;AsAt,N('Deal maths'!E383)&lt;=AsAt,IF(N('Deal maths'!H383)&gt;0,N('Deal maths'!H383),N('Deal maths'!D383))&gt;0),N('Deal maths'!F383)+ROW()/1000000,"")</f>
        <v/>
      </c>
    </row>
    <row r="384">
      <c r="A384" s="91" t="n"/>
      <c r="B384" s="111">
        <f>IF(AND(N('Deal maths'!F384)&gt;AsAt,N('Deal maths'!E384)&lt;=AsAt),IF(N('Deal maths'!H384)&gt;0,N('Deal maths'!H384),N('Deal maths'!D384)),0)</f>
        <v/>
      </c>
      <c r="C384" s="91">
        <f>IF(B384&gt;0,IF('Deal maths'!C384="Local authority","Local authorities",LOWER(TRIM('Deal maths'!B384))),"")</f>
        <v/>
      </c>
      <c r="D384" s="91">
        <f>IF(C384="","",IF(COUNTIF($C$4:C383,C384)=0,SUMIF($C$4:$C$3997,C384,$B$4:$B$3997)-ROW()/1000000,""))</f>
        <v/>
      </c>
      <c r="E384" s="91">
        <f>IF(AND(N('Deal maths'!F384)&gt;AsAt,N('Deal maths'!E384)&lt;=AsAt,IF(N('Deal maths'!H384)&gt;0,N('Deal maths'!H384),N('Deal maths'!D384))&gt;0),N('Deal maths'!F384)+ROW()/1000000,"")</f>
        <v/>
      </c>
    </row>
    <row r="385">
      <c r="A385" s="91" t="n"/>
      <c r="B385" s="111">
        <f>IF(AND(N('Deal maths'!F385)&gt;AsAt,N('Deal maths'!E385)&lt;=AsAt),IF(N('Deal maths'!H385)&gt;0,N('Deal maths'!H385),N('Deal maths'!D385)),0)</f>
        <v/>
      </c>
      <c r="C385" s="91">
        <f>IF(B385&gt;0,IF('Deal maths'!C385="Local authority","Local authorities",LOWER(TRIM('Deal maths'!B385))),"")</f>
        <v/>
      </c>
      <c r="D385" s="91">
        <f>IF(C385="","",IF(COUNTIF($C$4:C384,C385)=0,SUMIF($C$4:$C$3997,C385,$B$4:$B$3997)-ROW()/1000000,""))</f>
        <v/>
      </c>
      <c r="E385" s="91">
        <f>IF(AND(N('Deal maths'!F385)&gt;AsAt,N('Deal maths'!E385)&lt;=AsAt,IF(N('Deal maths'!H385)&gt;0,N('Deal maths'!H385),N('Deal maths'!D385))&gt;0),N('Deal maths'!F385)+ROW()/1000000,"")</f>
        <v/>
      </c>
    </row>
    <row r="386">
      <c r="A386" s="91" t="n"/>
      <c r="B386" s="111">
        <f>IF(AND(N('Deal maths'!F386)&gt;AsAt,N('Deal maths'!E386)&lt;=AsAt),IF(N('Deal maths'!H386)&gt;0,N('Deal maths'!H386),N('Deal maths'!D386)),0)</f>
        <v/>
      </c>
      <c r="C386" s="91">
        <f>IF(B386&gt;0,IF('Deal maths'!C386="Local authority","Local authorities",LOWER(TRIM('Deal maths'!B386))),"")</f>
        <v/>
      </c>
      <c r="D386" s="91">
        <f>IF(C386="","",IF(COUNTIF($C$4:C385,C386)=0,SUMIF($C$4:$C$3997,C386,$B$4:$B$3997)-ROW()/1000000,""))</f>
        <v/>
      </c>
      <c r="E386" s="91">
        <f>IF(AND(N('Deal maths'!F386)&gt;AsAt,N('Deal maths'!E386)&lt;=AsAt,IF(N('Deal maths'!H386)&gt;0,N('Deal maths'!H386),N('Deal maths'!D386))&gt;0),N('Deal maths'!F386)+ROW()/1000000,"")</f>
        <v/>
      </c>
    </row>
    <row r="387">
      <c r="A387" s="91" t="n"/>
      <c r="B387" s="111">
        <f>IF(AND(N('Deal maths'!F387)&gt;AsAt,N('Deal maths'!E387)&lt;=AsAt),IF(N('Deal maths'!H387)&gt;0,N('Deal maths'!H387),N('Deal maths'!D387)),0)</f>
        <v/>
      </c>
      <c r="C387" s="91">
        <f>IF(B387&gt;0,IF('Deal maths'!C387="Local authority","Local authorities",LOWER(TRIM('Deal maths'!B387))),"")</f>
        <v/>
      </c>
      <c r="D387" s="91">
        <f>IF(C387="","",IF(COUNTIF($C$4:C386,C387)=0,SUMIF($C$4:$C$3997,C387,$B$4:$B$3997)-ROW()/1000000,""))</f>
        <v/>
      </c>
      <c r="E387" s="91">
        <f>IF(AND(N('Deal maths'!F387)&gt;AsAt,N('Deal maths'!E387)&lt;=AsAt,IF(N('Deal maths'!H387)&gt;0,N('Deal maths'!H387),N('Deal maths'!D387))&gt;0),N('Deal maths'!F387)+ROW()/1000000,"")</f>
        <v/>
      </c>
    </row>
    <row r="388">
      <c r="A388" s="91" t="n"/>
      <c r="B388" s="111">
        <f>IF(AND(N('Deal maths'!F388)&gt;AsAt,N('Deal maths'!E388)&lt;=AsAt),IF(N('Deal maths'!H388)&gt;0,N('Deal maths'!H388),N('Deal maths'!D388)),0)</f>
        <v/>
      </c>
      <c r="C388" s="91">
        <f>IF(B388&gt;0,IF('Deal maths'!C388="Local authority","Local authorities",LOWER(TRIM('Deal maths'!B388))),"")</f>
        <v/>
      </c>
      <c r="D388" s="91">
        <f>IF(C388="","",IF(COUNTIF($C$4:C387,C388)=0,SUMIF($C$4:$C$3997,C388,$B$4:$B$3997)-ROW()/1000000,""))</f>
        <v/>
      </c>
      <c r="E388" s="91">
        <f>IF(AND(N('Deal maths'!F388)&gt;AsAt,N('Deal maths'!E388)&lt;=AsAt,IF(N('Deal maths'!H388)&gt;0,N('Deal maths'!H388),N('Deal maths'!D388))&gt;0),N('Deal maths'!F388)+ROW()/1000000,"")</f>
        <v/>
      </c>
    </row>
    <row r="389">
      <c r="A389" s="91" t="n"/>
      <c r="B389" s="111">
        <f>IF(AND(N('Deal maths'!F389)&gt;AsAt,N('Deal maths'!E389)&lt;=AsAt),IF(N('Deal maths'!H389)&gt;0,N('Deal maths'!H389),N('Deal maths'!D389)),0)</f>
        <v/>
      </c>
      <c r="C389" s="91">
        <f>IF(B389&gt;0,IF('Deal maths'!C389="Local authority","Local authorities",LOWER(TRIM('Deal maths'!B389))),"")</f>
        <v/>
      </c>
      <c r="D389" s="91">
        <f>IF(C389="","",IF(COUNTIF($C$4:C388,C389)=0,SUMIF($C$4:$C$3997,C389,$B$4:$B$3997)-ROW()/1000000,""))</f>
        <v/>
      </c>
      <c r="E389" s="91">
        <f>IF(AND(N('Deal maths'!F389)&gt;AsAt,N('Deal maths'!E389)&lt;=AsAt,IF(N('Deal maths'!H389)&gt;0,N('Deal maths'!H389),N('Deal maths'!D389))&gt;0),N('Deal maths'!F389)+ROW()/1000000,"")</f>
        <v/>
      </c>
    </row>
    <row r="390">
      <c r="A390" s="91" t="n"/>
      <c r="B390" s="111">
        <f>IF(AND(N('Deal maths'!F390)&gt;AsAt,N('Deal maths'!E390)&lt;=AsAt),IF(N('Deal maths'!H390)&gt;0,N('Deal maths'!H390),N('Deal maths'!D390)),0)</f>
        <v/>
      </c>
      <c r="C390" s="91">
        <f>IF(B390&gt;0,IF('Deal maths'!C390="Local authority","Local authorities",LOWER(TRIM('Deal maths'!B390))),"")</f>
        <v/>
      </c>
      <c r="D390" s="91">
        <f>IF(C390="","",IF(COUNTIF($C$4:C389,C390)=0,SUMIF($C$4:$C$3997,C390,$B$4:$B$3997)-ROW()/1000000,""))</f>
        <v/>
      </c>
      <c r="E390" s="91">
        <f>IF(AND(N('Deal maths'!F390)&gt;AsAt,N('Deal maths'!E390)&lt;=AsAt,IF(N('Deal maths'!H390)&gt;0,N('Deal maths'!H390),N('Deal maths'!D390))&gt;0),N('Deal maths'!F390)+ROW()/1000000,"")</f>
        <v/>
      </c>
    </row>
    <row r="391">
      <c r="A391" s="91" t="n"/>
      <c r="B391" s="111">
        <f>IF(AND(N('Deal maths'!F391)&gt;AsAt,N('Deal maths'!E391)&lt;=AsAt),IF(N('Deal maths'!H391)&gt;0,N('Deal maths'!H391),N('Deal maths'!D391)),0)</f>
        <v/>
      </c>
      <c r="C391" s="91">
        <f>IF(B391&gt;0,IF('Deal maths'!C391="Local authority","Local authorities",LOWER(TRIM('Deal maths'!B391))),"")</f>
        <v/>
      </c>
      <c r="D391" s="91">
        <f>IF(C391="","",IF(COUNTIF($C$4:C390,C391)=0,SUMIF($C$4:$C$3997,C391,$B$4:$B$3997)-ROW()/1000000,""))</f>
        <v/>
      </c>
      <c r="E391" s="91">
        <f>IF(AND(N('Deal maths'!F391)&gt;AsAt,N('Deal maths'!E391)&lt;=AsAt,IF(N('Deal maths'!H391)&gt;0,N('Deal maths'!H391),N('Deal maths'!D391))&gt;0),N('Deal maths'!F391)+ROW()/1000000,"")</f>
        <v/>
      </c>
    </row>
    <row r="392">
      <c r="A392" s="91" t="n"/>
      <c r="B392" s="111">
        <f>IF(AND(N('Deal maths'!F392)&gt;AsAt,N('Deal maths'!E392)&lt;=AsAt),IF(N('Deal maths'!H392)&gt;0,N('Deal maths'!H392),N('Deal maths'!D392)),0)</f>
        <v/>
      </c>
      <c r="C392" s="91">
        <f>IF(B392&gt;0,IF('Deal maths'!C392="Local authority","Local authorities",LOWER(TRIM('Deal maths'!B392))),"")</f>
        <v/>
      </c>
      <c r="D392" s="91">
        <f>IF(C392="","",IF(COUNTIF($C$4:C391,C392)=0,SUMIF($C$4:$C$3997,C392,$B$4:$B$3997)-ROW()/1000000,""))</f>
        <v/>
      </c>
      <c r="E392" s="91">
        <f>IF(AND(N('Deal maths'!F392)&gt;AsAt,N('Deal maths'!E392)&lt;=AsAt,IF(N('Deal maths'!H392)&gt;0,N('Deal maths'!H392),N('Deal maths'!D392))&gt;0),N('Deal maths'!F392)+ROW()/1000000,"")</f>
        <v/>
      </c>
    </row>
    <row r="393">
      <c r="A393" s="91" t="n"/>
      <c r="B393" s="111">
        <f>IF(AND(N('Deal maths'!F393)&gt;AsAt,N('Deal maths'!E393)&lt;=AsAt),IF(N('Deal maths'!H393)&gt;0,N('Deal maths'!H393),N('Deal maths'!D393)),0)</f>
        <v/>
      </c>
      <c r="C393" s="91">
        <f>IF(B393&gt;0,IF('Deal maths'!C393="Local authority","Local authorities",LOWER(TRIM('Deal maths'!B393))),"")</f>
        <v/>
      </c>
      <c r="D393" s="91">
        <f>IF(C393="","",IF(COUNTIF($C$4:C392,C393)=0,SUMIF($C$4:$C$3997,C393,$B$4:$B$3997)-ROW()/1000000,""))</f>
        <v/>
      </c>
      <c r="E393" s="91">
        <f>IF(AND(N('Deal maths'!F393)&gt;AsAt,N('Deal maths'!E393)&lt;=AsAt,IF(N('Deal maths'!H393)&gt;0,N('Deal maths'!H393),N('Deal maths'!D393))&gt;0),N('Deal maths'!F393)+ROW()/1000000,"")</f>
        <v/>
      </c>
    </row>
    <row r="394">
      <c r="A394" s="91" t="n"/>
      <c r="B394" s="111">
        <f>IF(AND(N('Deal maths'!F394)&gt;AsAt,N('Deal maths'!E394)&lt;=AsAt),IF(N('Deal maths'!H394)&gt;0,N('Deal maths'!H394),N('Deal maths'!D394)),0)</f>
        <v/>
      </c>
      <c r="C394" s="91">
        <f>IF(B394&gt;0,IF('Deal maths'!C394="Local authority","Local authorities",LOWER(TRIM('Deal maths'!B394))),"")</f>
        <v/>
      </c>
      <c r="D394" s="91">
        <f>IF(C394="","",IF(COUNTIF($C$4:C393,C394)=0,SUMIF($C$4:$C$3997,C394,$B$4:$B$3997)-ROW()/1000000,""))</f>
        <v/>
      </c>
      <c r="E394" s="91">
        <f>IF(AND(N('Deal maths'!F394)&gt;AsAt,N('Deal maths'!E394)&lt;=AsAt,IF(N('Deal maths'!H394)&gt;0,N('Deal maths'!H394),N('Deal maths'!D394))&gt;0),N('Deal maths'!F394)+ROW()/1000000,"")</f>
        <v/>
      </c>
    </row>
    <row r="395">
      <c r="A395" s="91" t="n"/>
      <c r="B395" s="111">
        <f>IF(AND(N('Deal maths'!F395)&gt;AsAt,N('Deal maths'!E395)&lt;=AsAt),IF(N('Deal maths'!H395)&gt;0,N('Deal maths'!H395),N('Deal maths'!D395)),0)</f>
        <v/>
      </c>
      <c r="C395" s="91">
        <f>IF(B395&gt;0,IF('Deal maths'!C395="Local authority","Local authorities",LOWER(TRIM('Deal maths'!B395))),"")</f>
        <v/>
      </c>
      <c r="D395" s="91">
        <f>IF(C395="","",IF(COUNTIF($C$4:C394,C395)=0,SUMIF($C$4:$C$3997,C395,$B$4:$B$3997)-ROW()/1000000,""))</f>
        <v/>
      </c>
      <c r="E395" s="91">
        <f>IF(AND(N('Deal maths'!F395)&gt;AsAt,N('Deal maths'!E395)&lt;=AsAt,IF(N('Deal maths'!H395)&gt;0,N('Deal maths'!H395),N('Deal maths'!D395))&gt;0),N('Deal maths'!F395)+ROW()/1000000,"")</f>
        <v/>
      </c>
    </row>
    <row r="396">
      <c r="A396" s="91" t="n"/>
      <c r="B396" s="111">
        <f>IF(AND(N('Deal maths'!F396)&gt;AsAt,N('Deal maths'!E396)&lt;=AsAt),IF(N('Deal maths'!H396)&gt;0,N('Deal maths'!H396),N('Deal maths'!D396)),0)</f>
        <v/>
      </c>
      <c r="C396" s="91">
        <f>IF(B396&gt;0,IF('Deal maths'!C396="Local authority","Local authorities",LOWER(TRIM('Deal maths'!B396))),"")</f>
        <v/>
      </c>
      <c r="D396" s="91">
        <f>IF(C396="","",IF(COUNTIF($C$4:C395,C396)=0,SUMIF($C$4:$C$3997,C396,$B$4:$B$3997)-ROW()/1000000,""))</f>
        <v/>
      </c>
      <c r="E396" s="91">
        <f>IF(AND(N('Deal maths'!F396)&gt;AsAt,N('Deal maths'!E396)&lt;=AsAt,IF(N('Deal maths'!H396)&gt;0,N('Deal maths'!H396),N('Deal maths'!D396))&gt;0),N('Deal maths'!F396)+ROW()/1000000,"")</f>
        <v/>
      </c>
    </row>
    <row r="397">
      <c r="A397" s="91" t="n"/>
      <c r="B397" s="111">
        <f>IF(AND(N('Deal maths'!F397)&gt;AsAt,N('Deal maths'!E397)&lt;=AsAt),IF(N('Deal maths'!H397)&gt;0,N('Deal maths'!H397),N('Deal maths'!D397)),0)</f>
        <v/>
      </c>
      <c r="C397" s="91">
        <f>IF(B397&gt;0,IF('Deal maths'!C397="Local authority","Local authorities",LOWER(TRIM('Deal maths'!B397))),"")</f>
        <v/>
      </c>
      <c r="D397" s="91">
        <f>IF(C397="","",IF(COUNTIF($C$4:C396,C397)=0,SUMIF($C$4:$C$3997,C397,$B$4:$B$3997)-ROW()/1000000,""))</f>
        <v/>
      </c>
      <c r="E397" s="91">
        <f>IF(AND(N('Deal maths'!F397)&gt;AsAt,N('Deal maths'!E397)&lt;=AsAt,IF(N('Deal maths'!H397)&gt;0,N('Deal maths'!H397),N('Deal maths'!D397))&gt;0),N('Deal maths'!F397)+ROW()/1000000,"")</f>
        <v/>
      </c>
    </row>
    <row r="398">
      <c r="A398" s="91" t="n"/>
      <c r="B398" s="111">
        <f>IF(AND(N('Deal maths'!F398)&gt;AsAt,N('Deal maths'!E398)&lt;=AsAt),IF(N('Deal maths'!H398)&gt;0,N('Deal maths'!H398),N('Deal maths'!D398)),0)</f>
        <v/>
      </c>
      <c r="C398" s="91">
        <f>IF(B398&gt;0,IF('Deal maths'!C398="Local authority","Local authorities",LOWER(TRIM('Deal maths'!B398))),"")</f>
        <v/>
      </c>
      <c r="D398" s="91">
        <f>IF(C398="","",IF(COUNTIF($C$4:C397,C398)=0,SUMIF($C$4:$C$3997,C398,$B$4:$B$3997)-ROW()/1000000,""))</f>
        <v/>
      </c>
      <c r="E398" s="91">
        <f>IF(AND(N('Deal maths'!F398)&gt;AsAt,N('Deal maths'!E398)&lt;=AsAt,IF(N('Deal maths'!H398)&gt;0,N('Deal maths'!H398),N('Deal maths'!D398))&gt;0),N('Deal maths'!F398)+ROW()/1000000,"")</f>
        <v/>
      </c>
    </row>
    <row r="399">
      <c r="A399" s="91" t="n"/>
      <c r="B399" s="111">
        <f>IF(AND(N('Deal maths'!F399)&gt;AsAt,N('Deal maths'!E399)&lt;=AsAt),IF(N('Deal maths'!H399)&gt;0,N('Deal maths'!H399),N('Deal maths'!D399)),0)</f>
        <v/>
      </c>
      <c r="C399" s="91">
        <f>IF(B399&gt;0,IF('Deal maths'!C399="Local authority","Local authorities",LOWER(TRIM('Deal maths'!B399))),"")</f>
        <v/>
      </c>
      <c r="D399" s="91">
        <f>IF(C399="","",IF(COUNTIF($C$4:C398,C399)=0,SUMIF($C$4:$C$3997,C399,$B$4:$B$3997)-ROW()/1000000,""))</f>
        <v/>
      </c>
      <c r="E399" s="91">
        <f>IF(AND(N('Deal maths'!F399)&gt;AsAt,N('Deal maths'!E399)&lt;=AsAt,IF(N('Deal maths'!H399)&gt;0,N('Deal maths'!H399),N('Deal maths'!D399))&gt;0),N('Deal maths'!F399)+ROW()/1000000,"")</f>
        <v/>
      </c>
    </row>
    <row r="400">
      <c r="A400" s="91" t="n"/>
      <c r="B400" s="111">
        <f>IF(AND(N('Deal maths'!F400)&gt;AsAt,N('Deal maths'!E400)&lt;=AsAt),IF(N('Deal maths'!H400)&gt;0,N('Deal maths'!H400),N('Deal maths'!D400)),0)</f>
        <v/>
      </c>
      <c r="C400" s="91">
        <f>IF(B400&gt;0,IF('Deal maths'!C400="Local authority","Local authorities",LOWER(TRIM('Deal maths'!B400))),"")</f>
        <v/>
      </c>
      <c r="D400" s="91">
        <f>IF(C400="","",IF(COUNTIF($C$4:C399,C400)=0,SUMIF($C$4:$C$3997,C400,$B$4:$B$3997)-ROW()/1000000,""))</f>
        <v/>
      </c>
      <c r="E400" s="91">
        <f>IF(AND(N('Deal maths'!F400)&gt;AsAt,N('Deal maths'!E400)&lt;=AsAt,IF(N('Deal maths'!H400)&gt;0,N('Deal maths'!H400),N('Deal maths'!D400))&gt;0),N('Deal maths'!F400)+ROW()/1000000,"")</f>
        <v/>
      </c>
    </row>
    <row r="401">
      <c r="A401" s="91" t="n"/>
      <c r="B401" s="111">
        <f>IF(AND(N('Deal maths'!F401)&gt;AsAt,N('Deal maths'!E401)&lt;=AsAt),IF(N('Deal maths'!H401)&gt;0,N('Deal maths'!H401),N('Deal maths'!D401)),0)</f>
        <v/>
      </c>
      <c r="C401" s="91">
        <f>IF(B401&gt;0,IF('Deal maths'!C401="Local authority","Local authorities",LOWER(TRIM('Deal maths'!B401))),"")</f>
        <v/>
      </c>
      <c r="D401" s="91">
        <f>IF(C401="","",IF(COUNTIF($C$4:C400,C401)=0,SUMIF($C$4:$C$3997,C401,$B$4:$B$3997)-ROW()/1000000,""))</f>
        <v/>
      </c>
      <c r="E401" s="91">
        <f>IF(AND(N('Deal maths'!F401)&gt;AsAt,N('Deal maths'!E401)&lt;=AsAt,IF(N('Deal maths'!H401)&gt;0,N('Deal maths'!H401),N('Deal maths'!D401))&gt;0),N('Deal maths'!F401)+ROW()/1000000,"")</f>
        <v/>
      </c>
    </row>
    <row r="402">
      <c r="A402" s="91" t="n"/>
      <c r="B402" s="111">
        <f>IF(AND(N('Deal maths'!F402)&gt;AsAt,N('Deal maths'!E402)&lt;=AsAt),IF(N('Deal maths'!H402)&gt;0,N('Deal maths'!H402),N('Deal maths'!D402)),0)</f>
        <v/>
      </c>
      <c r="C402" s="91">
        <f>IF(B402&gt;0,IF('Deal maths'!C402="Local authority","Local authorities",LOWER(TRIM('Deal maths'!B402))),"")</f>
        <v/>
      </c>
      <c r="D402" s="91">
        <f>IF(C402="","",IF(COUNTIF($C$4:C401,C402)=0,SUMIF($C$4:$C$3997,C402,$B$4:$B$3997)-ROW()/1000000,""))</f>
        <v/>
      </c>
      <c r="E402" s="91">
        <f>IF(AND(N('Deal maths'!F402)&gt;AsAt,N('Deal maths'!E402)&lt;=AsAt,IF(N('Deal maths'!H402)&gt;0,N('Deal maths'!H402),N('Deal maths'!D402))&gt;0),N('Deal maths'!F402)+ROW()/1000000,"")</f>
        <v/>
      </c>
    </row>
    <row r="403">
      <c r="A403" s="91" t="n"/>
      <c r="B403" s="111">
        <f>IF(AND(N('Deal maths'!F403)&gt;AsAt,N('Deal maths'!E403)&lt;=AsAt),IF(N('Deal maths'!H403)&gt;0,N('Deal maths'!H403),N('Deal maths'!D403)),0)</f>
        <v/>
      </c>
      <c r="C403" s="91">
        <f>IF(B403&gt;0,IF('Deal maths'!C403="Local authority","Local authorities",LOWER(TRIM('Deal maths'!B403))),"")</f>
        <v/>
      </c>
      <c r="D403" s="91">
        <f>IF(C403="","",IF(COUNTIF($C$4:C402,C403)=0,SUMIF($C$4:$C$3997,C403,$B$4:$B$3997)-ROW()/1000000,""))</f>
        <v/>
      </c>
      <c r="E403" s="91">
        <f>IF(AND(N('Deal maths'!F403)&gt;AsAt,N('Deal maths'!E403)&lt;=AsAt,IF(N('Deal maths'!H403)&gt;0,N('Deal maths'!H403),N('Deal maths'!D403))&gt;0),N('Deal maths'!F403)+ROW()/1000000,"")</f>
        <v/>
      </c>
    </row>
    <row r="404">
      <c r="A404" s="91" t="n"/>
      <c r="B404" s="111">
        <f>IF(AND(N('Deal maths'!F404)&gt;AsAt,N('Deal maths'!E404)&lt;=AsAt),IF(N('Deal maths'!H404)&gt;0,N('Deal maths'!H404),N('Deal maths'!D404)),0)</f>
        <v/>
      </c>
      <c r="C404" s="91">
        <f>IF(B404&gt;0,IF('Deal maths'!C404="Local authority","Local authorities",LOWER(TRIM('Deal maths'!B404))),"")</f>
        <v/>
      </c>
      <c r="D404" s="91">
        <f>IF(C404="","",IF(COUNTIF($C$4:C403,C404)=0,SUMIF($C$4:$C$3997,C404,$B$4:$B$3997)-ROW()/1000000,""))</f>
        <v/>
      </c>
      <c r="E404" s="91">
        <f>IF(AND(N('Deal maths'!F404)&gt;AsAt,N('Deal maths'!E404)&lt;=AsAt,IF(N('Deal maths'!H404)&gt;0,N('Deal maths'!H404),N('Deal maths'!D404))&gt;0),N('Deal maths'!F404)+ROW()/1000000,"")</f>
        <v/>
      </c>
    </row>
    <row r="405">
      <c r="A405" s="91" t="n"/>
      <c r="B405" s="111">
        <f>IF(AND(N('Deal maths'!F405)&gt;AsAt,N('Deal maths'!E405)&lt;=AsAt),IF(N('Deal maths'!H405)&gt;0,N('Deal maths'!H405),N('Deal maths'!D405)),0)</f>
        <v/>
      </c>
      <c r="C405" s="91">
        <f>IF(B405&gt;0,IF('Deal maths'!C405="Local authority","Local authorities",LOWER(TRIM('Deal maths'!B405))),"")</f>
        <v/>
      </c>
      <c r="D405" s="91">
        <f>IF(C405="","",IF(COUNTIF($C$4:C404,C405)=0,SUMIF($C$4:$C$3997,C405,$B$4:$B$3997)-ROW()/1000000,""))</f>
        <v/>
      </c>
      <c r="E405" s="91">
        <f>IF(AND(N('Deal maths'!F405)&gt;AsAt,N('Deal maths'!E405)&lt;=AsAt,IF(N('Deal maths'!H405)&gt;0,N('Deal maths'!H405),N('Deal maths'!D405))&gt;0),N('Deal maths'!F405)+ROW()/1000000,"")</f>
        <v/>
      </c>
    </row>
    <row r="406">
      <c r="A406" s="91" t="n"/>
      <c r="B406" s="111">
        <f>IF(AND(N('Deal maths'!F406)&gt;AsAt,N('Deal maths'!E406)&lt;=AsAt),IF(N('Deal maths'!H406)&gt;0,N('Deal maths'!H406),N('Deal maths'!D406)),0)</f>
        <v/>
      </c>
      <c r="C406" s="91">
        <f>IF(B406&gt;0,IF('Deal maths'!C406="Local authority","Local authorities",LOWER(TRIM('Deal maths'!B406))),"")</f>
        <v/>
      </c>
      <c r="D406" s="91">
        <f>IF(C406="","",IF(COUNTIF($C$4:C405,C406)=0,SUMIF($C$4:$C$3997,C406,$B$4:$B$3997)-ROW()/1000000,""))</f>
        <v/>
      </c>
      <c r="E406" s="91">
        <f>IF(AND(N('Deal maths'!F406)&gt;AsAt,N('Deal maths'!E406)&lt;=AsAt,IF(N('Deal maths'!H406)&gt;0,N('Deal maths'!H406),N('Deal maths'!D406))&gt;0),N('Deal maths'!F406)+ROW()/1000000,"")</f>
        <v/>
      </c>
    </row>
    <row r="407">
      <c r="A407" s="91" t="n"/>
      <c r="B407" s="111">
        <f>IF(AND(N('Deal maths'!F407)&gt;AsAt,N('Deal maths'!E407)&lt;=AsAt),IF(N('Deal maths'!H407)&gt;0,N('Deal maths'!H407),N('Deal maths'!D407)),0)</f>
        <v/>
      </c>
      <c r="C407" s="91">
        <f>IF(B407&gt;0,IF('Deal maths'!C407="Local authority","Local authorities",LOWER(TRIM('Deal maths'!B407))),"")</f>
        <v/>
      </c>
      <c r="D407" s="91">
        <f>IF(C407="","",IF(COUNTIF($C$4:C406,C407)=0,SUMIF($C$4:$C$3997,C407,$B$4:$B$3997)-ROW()/1000000,""))</f>
        <v/>
      </c>
      <c r="E407" s="91">
        <f>IF(AND(N('Deal maths'!F407)&gt;AsAt,N('Deal maths'!E407)&lt;=AsAt,IF(N('Deal maths'!H407)&gt;0,N('Deal maths'!H407),N('Deal maths'!D407))&gt;0),N('Deal maths'!F407)+ROW()/1000000,"")</f>
        <v/>
      </c>
    </row>
    <row r="408">
      <c r="A408" s="91" t="n"/>
      <c r="B408" s="111">
        <f>IF(AND(N('Deal maths'!F408)&gt;AsAt,N('Deal maths'!E408)&lt;=AsAt),IF(N('Deal maths'!H408)&gt;0,N('Deal maths'!H408),N('Deal maths'!D408)),0)</f>
        <v/>
      </c>
      <c r="C408" s="91">
        <f>IF(B408&gt;0,IF('Deal maths'!C408="Local authority","Local authorities",LOWER(TRIM('Deal maths'!B408))),"")</f>
        <v/>
      </c>
      <c r="D408" s="91">
        <f>IF(C408="","",IF(COUNTIF($C$4:C407,C408)=0,SUMIF($C$4:$C$3997,C408,$B$4:$B$3997)-ROW()/1000000,""))</f>
        <v/>
      </c>
      <c r="E408" s="91">
        <f>IF(AND(N('Deal maths'!F408)&gt;AsAt,N('Deal maths'!E408)&lt;=AsAt,IF(N('Deal maths'!H408)&gt;0,N('Deal maths'!H408),N('Deal maths'!D408))&gt;0),N('Deal maths'!F408)+ROW()/1000000,"")</f>
        <v/>
      </c>
    </row>
    <row r="409">
      <c r="A409" s="91" t="n"/>
      <c r="B409" s="111">
        <f>IF(AND(N('Deal maths'!F409)&gt;AsAt,N('Deal maths'!E409)&lt;=AsAt),IF(N('Deal maths'!H409)&gt;0,N('Deal maths'!H409),N('Deal maths'!D409)),0)</f>
        <v/>
      </c>
      <c r="C409" s="91">
        <f>IF(B409&gt;0,IF('Deal maths'!C409="Local authority","Local authorities",LOWER(TRIM('Deal maths'!B409))),"")</f>
        <v/>
      </c>
      <c r="D409" s="91">
        <f>IF(C409="","",IF(COUNTIF($C$4:C408,C409)=0,SUMIF($C$4:$C$3997,C409,$B$4:$B$3997)-ROW()/1000000,""))</f>
        <v/>
      </c>
      <c r="E409" s="91">
        <f>IF(AND(N('Deal maths'!F409)&gt;AsAt,N('Deal maths'!E409)&lt;=AsAt,IF(N('Deal maths'!H409)&gt;0,N('Deal maths'!H409),N('Deal maths'!D409))&gt;0),N('Deal maths'!F409)+ROW()/1000000,"")</f>
        <v/>
      </c>
    </row>
    <row r="410">
      <c r="A410" s="91" t="n"/>
      <c r="B410" s="111">
        <f>IF(AND(N('Deal maths'!F410)&gt;AsAt,N('Deal maths'!E410)&lt;=AsAt),IF(N('Deal maths'!H410)&gt;0,N('Deal maths'!H410),N('Deal maths'!D410)),0)</f>
        <v/>
      </c>
      <c r="C410" s="91">
        <f>IF(B410&gt;0,IF('Deal maths'!C410="Local authority","Local authorities",LOWER(TRIM('Deal maths'!B410))),"")</f>
        <v/>
      </c>
      <c r="D410" s="91">
        <f>IF(C410="","",IF(COUNTIF($C$4:C409,C410)=0,SUMIF($C$4:$C$3997,C410,$B$4:$B$3997)-ROW()/1000000,""))</f>
        <v/>
      </c>
      <c r="E410" s="91">
        <f>IF(AND(N('Deal maths'!F410)&gt;AsAt,N('Deal maths'!E410)&lt;=AsAt,IF(N('Deal maths'!H410)&gt;0,N('Deal maths'!H410),N('Deal maths'!D410))&gt;0),N('Deal maths'!F410)+ROW()/1000000,"")</f>
        <v/>
      </c>
    </row>
    <row r="411">
      <c r="A411" s="91" t="n"/>
      <c r="B411" s="111">
        <f>IF(AND(N('Deal maths'!F411)&gt;AsAt,N('Deal maths'!E411)&lt;=AsAt),IF(N('Deal maths'!H411)&gt;0,N('Deal maths'!H411),N('Deal maths'!D411)),0)</f>
        <v/>
      </c>
      <c r="C411" s="91">
        <f>IF(B411&gt;0,IF('Deal maths'!C411="Local authority","Local authorities",LOWER(TRIM('Deal maths'!B411))),"")</f>
        <v/>
      </c>
      <c r="D411" s="91">
        <f>IF(C411="","",IF(COUNTIF($C$4:C410,C411)=0,SUMIF($C$4:$C$3997,C411,$B$4:$B$3997)-ROW()/1000000,""))</f>
        <v/>
      </c>
      <c r="E411" s="91">
        <f>IF(AND(N('Deal maths'!F411)&gt;AsAt,N('Deal maths'!E411)&lt;=AsAt,IF(N('Deal maths'!H411)&gt;0,N('Deal maths'!H411),N('Deal maths'!D411))&gt;0),N('Deal maths'!F411)+ROW()/1000000,"")</f>
        <v/>
      </c>
    </row>
    <row r="412">
      <c r="A412" s="91" t="n"/>
      <c r="B412" s="111">
        <f>IF(AND(N('Deal maths'!F412)&gt;AsAt,N('Deal maths'!E412)&lt;=AsAt),IF(N('Deal maths'!H412)&gt;0,N('Deal maths'!H412),N('Deal maths'!D412)),0)</f>
        <v/>
      </c>
      <c r="C412" s="91">
        <f>IF(B412&gt;0,IF('Deal maths'!C412="Local authority","Local authorities",LOWER(TRIM('Deal maths'!B412))),"")</f>
        <v/>
      </c>
      <c r="D412" s="91">
        <f>IF(C412="","",IF(COUNTIF($C$4:C411,C412)=0,SUMIF($C$4:$C$3997,C412,$B$4:$B$3997)-ROW()/1000000,""))</f>
        <v/>
      </c>
      <c r="E412" s="91">
        <f>IF(AND(N('Deal maths'!F412)&gt;AsAt,N('Deal maths'!E412)&lt;=AsAt,IF(N('Deal maths'!H412)&gt;0,N('Deal maths'!H412),N('Deal maths'!D412))&gt;0),N('Deal maths'!F412)+ROW()/1000000,"")</f>
        <v/>
      </c>
    </row>
    <row r="413">
      <c r="A413" s="91" t="n"/>
      <c r="B413" s="111">
        <f>IF(AND(N('Deal maths'!F413)&gt;AsAt,N('Deal maths'!E413)&lt;=AsAt),IF(N('Deal maths'!H413)&gt;0,N('Deal maths'!H413),N('Deal maths'!D413)),0)</f>
        <v/>
      </c>
      <c r="C413" s="91">
        <f>IF(B413&gt;0,IF('Deal maths'!C413="Local authority","Local authorities",LOWER(TRIM('Deal maths'!B413))),"")</f>
        <v/>
      </c>
      <c r="D413" s="91">
        <f>IF(C413="","",IF(COUNTIF($C$4:C412,C413)=0,SUMIF($C$4:$C$3997,C413,$B$4:$B$3997)-ROW()/1000000,""))</f>
        <v/>
      </c>
      <c r="E413" s="91">
        <f>IF(AND(N('Deal maths'!F413)&gt;AsAt,N('Deal maths'!E413)&lt;=AsAt,IF(N('Deal maths'!H413)&gt;0,N('Deal maths'!H413),N('Deal maths'!D413))&gt;0),N('Deal maths'!F413)+ROW()/1000000,"")</f>
        <v/>
      </c>
    </row>
    <row r="414">
      <c r="A414" s="91" t="n"/>
      <c r="B414" s="111">
        <f>IF(AND(N('Deal maths'!F414)&gt;AsAt,N('Deal maths'!E414)&lt;=AsAt),IF(N('Deal maths'!H414)&gt;0,N('Deal maths'!H414),N('Deal maths'!D414)),0)</f>
        <v/>
      </c>
      <c r="C414" s="91">
        <f>IF(B414&gt;0,IF('Deal maths'!C414="Local authority","Local authorities",LOWER(TRIM('Deal maths'!B414))),"")</f>
        <v/>
      </c>
      <c r="D414" s="91">
        <f>IF(C414="","",IF(COUNTIF($C$4:C413,C414)=0,SUMIF($C$4:$C$3997,C414,$B$4:$B$3997)-ROW()/1000000,""))</f>
        <v/>
      </c>
      <c r="E414" s="91">
        <f>IF(AND(N('Deal maths'!F414)&gt;AsAt,N('Deal maths'!E414)&lt;=AsAt,IF(N('Deal maths'!H414)&gt;0,N('Deal maths'!H414),N('Deal maths'!D414))&gt;0),N('Deal maths'!F414)+ROW()/1000000,"")</f>
        <v/>
      </c>
    </row>
    <row r="415">
      <c r="A415" s="91" t="n"/>
      <c r="B415" s="111">
        <f>IF(AND(N('Deal maths'!F415)&gt;AsAt,N('Deal maths'!E415)&lt;=AsAt),IF(N('Deal maths'!H415)&gt;0,N('Deal maths'!H415),N('Deal maths'!D415)),0)</f>
        <v/>
      </c>
      <c r="C415" s="91">
        <f>IF(B415&gt;0,IF('Deal maths'!C415="Local authority","Local authorities",LOWER(TRIM('Deal maths'!B415))),"")</f>
        <v/>
      </c>
      <c r="D415" s="91">
        <f>IF(C415="","",IF(COUNTIF($C$4:C414,C415)=0,SUMIF($C$4:$C$3997,C415,$B$4:$B$3997)-ROW()/1000000,""))</f>
        <v/>
      </c>
      <c r="E415" s="91">
        <f>IF(AND(N('Deal maths'!F415)&gt;AsAt,N('Deal maths'!E415)&lt;=AsAt,IF(N('Deal maths'!H415)&gt;0,N('Deal maths'!H415),N('Deal maths'!D415))&gt;0),N('Deal maths'!F415)+ROW()/1000000,"")</f>
        <v/>
      </c>
    </row>
    <row r="416">
      <c r="A416" s="91" t="n"/>
      <c r="B416" s="111">
        <f>IF(AND(N('Deal maths'!F416)&gt;AsAt,N('Deal maths'!E416)&lt;=AsAt),IF(N('Deal maths'!H416)&gt;0,N('Deal maths'!H416),N('Deal maths'!D416)),0)</f>
        <v/>
      </c>
      <c r="C416" s="91">
        <f>IF(B416&gt;0,IF('Deal maths'!C416="Local authority","Local authorities",LOWER(TRIM('Deal maths'!B416))),"")</f>
        <v/>
      </c>
      <c r="D416" s="91">
        <f>IF(C416="","",IF(COUNTIF($C$4:C415,C416)=0,SUMIF($C$4:$C$3997,C416,$B$4:$B$3997)-ROW()/1000000,""))</f>
        <v/>
      </c>
      <c r="E416" s="91">
        <f>IF(AND(N('Deal maths'!F416)&gt;AsAt,N('Deal maths'!E416)&lt;=AsAt,IF(N('Deal maths'!H416)&gt;0,N('Deal maths'!H416),N('Deal maths'!D416))&gt;0),N('Deal maths'!F416)+ROW()/1000000,"")</f>
        <v/>
      </c>
    </row>
    <row r="417">
      <c r="A417" s="91" t="n"/>
      <c r="B417" s="111">
        <f>IF(AND(N('Deal maths'!F417)&gt;AsAt,N('Deal maths'!E417)&lt;=AsAt),IF(N('Deal maths'!H417)&gt;0,N('Deal maths'!H417),N('Deal maths'!D417)),0)</f>
        <v/>
      </c>
      <c r="C417" s="91">
        <f>IF(B417&gt;0,IF('Deal maths'!C417="Local authority","Local authorities",LOWER(TRIM('Deal maths'!B417))),"")</f>
        <v/>
      </c>
      <c r="D417" s="91">
        <f>IF(C417="","",IF(COUNTIF($C$4:C416,C417)=0,SUMIF($C$4:$C$3997,C417,$B$4:$B$3997)-ROW()/1000000,""))</f>
        <v/>
      </c>
      <c r="E417" s="91">
        <f>IF(AND(N('Deal maths'!F417)&gt;AsAt,N('Deal maths'!E417)&lt;=AsAt,IF(N('Deal maths'!H417)&gt;0,N('Deal maths'!H417),N('Deal maths'!D417))&gt;0),N('Deal maths'!F417)+ROW()/1000000,"")</f>
        <v/>
      </c>
    </row>
    <row r="418">
      <c r="A418" s="91" t="n"/>
      <c r="B418" s="111">
        <f>IF(AND(N('Deal maths'!F418)&gt;AsAt,N('Deal maths'!E418)&lt;=AsAt),IF(N('Deal maths'!H418)&gt;0,N('Deal maths'!H418),N('Deal maths'!D418)),0)</f>
        <v/>
      </c>
      <c r="C418" s="91">
        <f>IF(B418&gt;0,IF('Deal maths'!C418="Local authority","Local authorities",LOWER(TRIM('Deal maths'!B418))),"")</f>
        <v/>
      </c>
      <c r="D418" s="91">
        <f>IF(C418="","",IF(COUNTIF($C$4:C417,C418)=0,SUMIF($C$4:$C$3997,C418,$B$4:$B$3997)-ROW()/1000000,""))</f>
        <v/>
      </c>
      <c r="E418" s="91">
        <f>IF(AND(N('Deal maths'!F418)&gt;AsAt,N('Deal maths'!E418)&lt;=AsAt,IF(N('Deal maths'!H418)&gt;0,N('Deal maths'!H418),N('Deal maths'!D418))&gt;0),N('Deal maths'!F418)+ROW()/1000000,"")</f>
        <v/>
      </c>
    </row>
    <row r="419">
      <c r="A419" s="91" t="n"/>
      <c r="B419" s="111">
        <f>IF(AND(N('Deal maths'!F419)&gt;AsAt,N('Deal maths'!E419)&lt;=AsAt),IF(N('Deal maths'!H419)&gt;0,N('Deal maths'!H419),N('Deal maths'!D419)),0)</f>
        <v/>
      </c>
      <c r="C419" s="91">
        <f>IF(B419&gt;0,IF('Deal maths'!C419="Local authority","Local authorities",LOWER(TRIM('Deal maths'!B419))),"")</f>
        <v/>
      </c>
      <c r="D419" s="91">
        <f>IF(C419="","",IF(COUNTIF($C$4:C418,C419)=0,SUMIF($C$4:$C$3997,C419,$B$4:$B$3997)-ROW()/1000000,""))</f>
        <v/>
      </c>
      <c r="E419" s="91">
        <f>IF(AND(N('Deal maths'!F419)&gt;AsAt,N('Deal maths'!E419)&lt;=AsAt,IF(N('Deal maths'!H419)&gt;0,N('Deal maths'!H419),N('Deal maths'!D419))&gt;0),N('Deal maths'!F419)+ROW()/1000000,"")</f>
        <v/>
      </c>
    </row>
    <row r="420">
      <c r="A420" s="91" t="n"/>
      <c r="B420" s="111">
        <f>IF(AND(N('Deal maths'!F420)&gt;AsAt,N('Deal maths'!E420)&lt;=AsAt),IF(N('Deal maths'!H420)&gt;0,N('Deal maths'!H420),N('Deal maths'!D420)),0)</f>
        <v/>
      </c>
      <c r="C420" s="91">
        <f>IF(B420&gt;0,IF('Deal maths'!C420="Local authority","Local authorities",LOWER(TRIM('Deal maths'!B420))),"")</f>
        <v/>
      </c>
      <c r="D420" s="91">
        <f>IF(C420="","",IF(COUNTIF($C$4:C419,C420)=0,SUMIF($C$4:$C$3997,C420,$B$4:$B$3997)-ROW()/1000000,""))</f>
        <v/>
      </c>
      <c r="E420" s="91">
        <f>IF(AND(N('Deal maths'!F420)&gt;AsAt,N('Deal maths'!E420)&lt;=AsAt,IF(N('Deal maths'!H420)&gt;0,N('Deal maths'!H420),N('Deal maths'!D420))&gt;0),N('Deal maths'!F420)+ROW()/1000000,"")</f>
        <v/>
      </c>
    </row>
    <row r="421">
      <c r="A421" s="91" t="n"/>
      <c r="B421" s="111">
        <f>IF(AND(N('Deal maths'!F421)&gt;AsAt,N('Deal maths'!E421)&lt;=AsAt),IF(N('Deal maths'!H421)&gt;0,N('Deal maths'!H421),N('Deal maths'!D421)),0)</f>
        <v/>
      </c>
      <c r="C421" s="91">
        <f>IF(B421&gt;0,IF('Deal maths'!C421="Local authority","Local authorities",LOWER(TRIM('Deal maths'!B421))),"")</f>
        <v/>
      </c>
      <c r="D421" s="91">
        <f>IF(C421="","",IF(COUNTIF($C$4:C420,C421)=0,SUMIF($C$4:$C$3997,C421,$B$4:$B$3997)-ROW()/1000000,""))</f>
        <v/>
      </c>
      <c r="E421" s="91">
        <f>IF(AND(N('Deal maths'!F421)&gt;AsAt,N('Deal maths'!E421)&lt;=AsAt,IF(N('Deal maths'!H421)&gt;0,N('Deal maths'!H421),N('Deal maths'!D421))&gt;0),N('Deal maths'!F421)+ROW()/1000000,"")</f>
        <v/>
      </c>
    </row>
    <row r="422">
      <c r="A422" s="91" t="n"/>
      <c r="B422" s="111">
        <f>IF(AND(N('Deal maths'!F422)&gt;AsAt,N('Deal maths'!E422)&lt;=AsAt),IF(N('Deal maths'!H422)&gt;0,N('Deal maths'!H422),N('Deal maths'!D422)),0)</f>
        <v/>
      </c>
      <c r="C422" s="91">
        <f>IF(B422&gt;0,IF('Deal maths'!C422="Local authority","Local authorities",LOWER(TRIM('Deal maths'!B422))),"")</f>
        <v/>
      </c>
      <c r="D422" s="91">
        <f>IF(C422="","",IF(COUNTIF($C$4:C421,C422)=0,SUMIF($C$4:$C$3997,C422,$B$4:$B$3997)-ROW()/1000000,""))</f>
        <v/>
      </c>
      <c r="E422" s="91">
        <f>IF(AND(N('Deal maths'!F422)&gt;AsAt,N('Deal maths'!E422)&lt;=AsAt,IF(N('Deal maths'!H422)&gt;0,N('Deal maths'!H422),N('Deal maths'!D422))&gt;0),N('Deal maths'!F422)+ROW()/1000000,"")</f>
        <v/>
      </c>
    </row>
    <row r="423">
      <c r="A423" s="91" t="n"/>
      <c r="B423" s="111">
        <f>IF(AND(N('Deal maths'!F423)&gt;AsAt,N('Deal maths'!E423)&lt;=AsAt),IF(N('Deal maths'!H423)&gt;0,N('Deal maths'!H423),N('Deal maths'!D423)),0)</f>
        <v/>
      </c>
      <c r="C423" s="91">
        <f>IF(B423&gt;0,IF('Deal maths'!C423="Local authority","Local authorities",LOWER(TRIM('Deal maths'!B423))),"")</f>
        <v/>
      </c>
      <c r="D423" s="91">
        <f>IF(C423="","",IF(COUNTIF($C$4:C422,C423)=0,SUMIF($C$4:$C$3997,C423,$B$4:$B$3997)-ROW()/1000000,""))</f>
        <v/>
      </c>
      <c r="E423" s="91">
        <f>IF(AND(N('Deal maths'!F423)&gt;AsAt,N('Deal maths'!E423)&lt;=AsAt,IF(N('Deal maths'!H423)&gt;0,N('Deal maths'!H423),N('Deal maths'!D423))&gt;0),N('Deal maths'!F423)+ROW()/1000000,"")</f>
        <v/>
      </c>
    </row>
    <row r="424">
      <c r="A424" s="91" t="n"/>
      <c r="B424" s="111">
        <f>IF(AND(N('Deal maths'!F424)&gt;AsAt,N('Deal maths'!E424)&lt;=AsAt),IF(N('Deal maths'!H424)&gt;0,N('Deal maths'!H424),N('Deal maths'!D424)),0)</f>
        <v/>
      </c>
      <c r="C424" s="91">
        <f>IF(B424&gt;0,IF('Deal maths'!C424="Local authority","Local authorities",LOWER(TRIM('Deal maths'!B424))),"")</f>
        <v/>
      </c>
      <c r="D424" s="91">
        <f>IF(C424="","",IF(COUNTIF($C$4:C423,C424)=0,SUMIF($C$4:$C$3997,C424,$B$4:$B$3997)-ROW()/1000000,""))</f>
        <v/>
      </c>
      <c r="E424" s="91">
        <f>IF(AND(N('Deal maths'!F424)&gt;AsAt,N('Deal maths'!E424)&lt;=AsAt,IF(N('Deal maths'!H424)&gt;0,N('Deal maths'!H424),N('Deal maths'!D424))&gt;0),N('Deal maths'!F424)+ROW()/1000000,"")</f>
        <v/>
      </c>
    </row>
    <row r="425">
      <c r="A425" s="91" t="n"/>
      <c r="B425" s="111">
        <f>IF(AND(N('Deal maths'!F425)&gt;AsAt,N('Deal maths'!E425)&lt;=AsAt),IF(N('Deal maths'!H425)&gt;0,N('Deal maths'!H425),N('Deal maths'!D425)),0)</f>
        <v/>
      </c>
      <c r="C425" s="91">
        <f>IF(B425&gt;0,IF('Deal maths'!C425="Local authority","Local authorities",LOWER(TRIM('Deal maths'!B425))),"")</f>
        <v/>
      </c>
      <c r="D425" s="91">
        <f>IF(C425="","",IF(COUNTIF($C$4:C424,C425)=0,SUMIF($C$4:$C$3997,C425,$B$4:$B$3997)-ROW()/1000000,""))</f>
        <v/>
      </c>
      <c r="E425" s="91">
        <f>IF(AND(N('Deal maths'!F425)&gt;AsAt,N('Deal maths'!E425)&lt;=AsAt,IF(N('Deal maths'!H425)&gt;0,N('Deal maths'!H425),N('Deal maths'!D425))&gt;0),N('Deal maths'!F425)+ROW()/1000000,"")</f>
        <v/>
      </c>
    </row>
    <row r="426">
      <c r="A426" s="91" t="n"/>
      <c r="B426" s="111">
        <f>IF(AND(N('Deal maths'!F426)&gt;AsAt,N('Deal maths'!E426)&lt;=AsAt),IF(N('Deal maths'!H426)&gt;0,N('Deal maths'!H426),N('Deal maths'!D426)),0)</f>
        <v/>
      </c>
      <c r="C426" s="91">
        <f>IF(B426&gt;0,IF('Deal maths'!C426="Local authority","Local authorities",LOWER(TRIM('Deal maths'!B426))),"")</f>
        <v/>
      </c>
      <c r="D426" s="91">
        <f>IF(C426="","",IF(COUNTIF($C$4:C425,C426)=0,SUMIF($C$4:$C$3997,C426,$B$4:$B$3997)-ROW()/1000000,""))</f>
        <v/>
      </c>
      <c r="E426" s="91">
        <f>IF(AND(N('Deal maths'!F426)&gt;AsAt,N('Deal maths'!E426)&lt;=AsAt,IF(N('Deal maths'!H426)&gt;0,N('Deal maths'!H426),N('Deal maths'!D426))&gt;0),N('Deal maths'!F426)+ROW()/1000000,"")</f>
        <v/>
      </c>
    </row>
    <row r="427">
      <c r="A427" s="91" t="n"/>
      <c r="B427" s="111">
        <f>IF(AND(N('Deal maths'!F427)&gt;AsAt,N('Deal maths'!E427)&lt;=AsAt),IF(N('Deal maths'!H427)&gt;0,N('Deal maths'!H427),N('Deal maths'!D427)),0)</f>
        <v/>
      </c>
      <c r="C427" s="91">
        <f>IF(B427&gt;0,IF('Deal maths'!C427="Local authority","Local authorities",LOWER(TRIM('Deal maths'!B427))),"")</f>
        <v/>
      </c>
      <c r="D427" s="91">
        <f>IF(C427="","",IF(COUNTIF($C$4:C426,C427)=0,SUMIF($C$4:$C$3997,C427,$B$4:$B$3997)-ROW()/1000000,""))</f>
        <v/>
      </c>
      <c r="E427" s="91">
        <f>IF(AND(N('Deal maths'!F427)&gt;AsAt,N('Deal maths'!E427)&lt;=AsAt,IF(N('Deal maths'!H427)&gt;0,N('Deal maths'!H427),N('Deal maths'!D427))&gt;0),N('Deal maths'!F427)+ROW()/1000000,"")</f>
        <v/>
      </c>
    </row>
    <row r="428">
      <c r="A428" s="91" t="n"/>
      <c r="B428" s="111">
        <f>IF(AND(N('Deal maths'!F428)&gt;AsAt,N('Deal maths'!E428)&lt;=AsAt),IF(N('Deal maths'!H428)&gt;0,N('Deal maths'!H428),N('Deal maths'!D428)),0)</f>
        <v/>
      </c>
      <c r="C428" s="91">
        <f>IF(B428&gt;0,IF('Deal maths'!C428="Local authority","Local authorities",LOWER(TRIM('Deal maths'!B428))),"")</f>
        <v/>
      </c>
      <c r="D428" s="91">
        <f>IF(C428="","",IF(COUNTIF($C$4:C427,C428)=0,SUMIF($C$4:$C$3997,C428,$B$4:$B$3997)-ROW()/1000000,""))</f>
        <v/>
      </c>
      <c r="E428" s="91">
        <f>IF(AND(N('Deal maths'!F428)&gt;AsAt,N('Deal maths'!E428)&lt;=AsAt,IF(N('Deal maths'!H428)&gt;0,N('Deal maths'!H428),N('Deal maths'!D428))&gt;0),N('Deal maths'!F428)+ROW()/1000000,"")</f>
        <v/>
      </c>
    </row>
    <row r="429">
      <c r="A429" s="91" t="n"/>
      <c r="B429" s="111">
        <f>IF(AND(N('Deal maths'!F429)&gt;AsAt,N('Deal maths'!E429)&lt;=AsAt),IF(N('Deal maths'!H429)&gt;0,N('Deal maths'!H429),N('Deal maths'!D429)),0)</f>
        <v/>
      </c>
      <c r="C429" s="91">
        <f>IF(B429&gt;0,IF('Deal maths'!C429="Local authority","Local authorities",LOWER(TRIM('Deal maths'!B429))),"")</f>
        <v/>
      </c>
      <c r="D429" s="91">
        <f>IF(C429="","",IF(COUNTIF($C$4:C428,C429)=0,SUMIF($C$4:$C$3997,C429,$B$4:$B$3997)-ROW()/1000000,""))</f>
        <v/>
      </c>
      <c r="E429" s="91">
        <f>IF(AND(N('Deal maths'!F429)&gt;AsAt,N('Deal maths'!E429)&lt;=AsAt,IF(N('Deal maths'!H429)&gt;0,N('Deal maths'!H429),N('Deal maths'!D429))&gt;0),N('Deal maths'!F429)+ROW()/1000000,"")</f>
        <v/>
      </c>
    </row>
    <row r="430">
      <c r="A430" s="91" t="n"/>
      <c r="B430" s="111">
        <f>IF(AND(N('Deal maths'!F430)&gt;AsAt,N('Deal maths'!E430)&lt;=AsAt),IF(N('Deal maths'!H430)&gt;0,N('Deal maths'!H430),N('Deal maths'!D430)),0)</f>
        <v/>
      </c>
      <c r="C430" s="91">
        <f>IF(B430&gt;0,IF('Deal maths'!C430="Local authority","Local authorities",LOWER(TRIM('Deal maths'!B430))),"")</f>
        <v/>
      </c>
      <c r="D430" s="91">
        <f>IF(C430="","",IF(COUNTIF($C$4:C429,C430)=0,SUMIF($C$4:$C$3997,C430,$B$4:$B$3997)-ROW()/1000000,""))</f>
        <v/>
      </c>
      <c r="E430" s="91">
        <f>IF(AND(N('Deal maths'!F430)&gt;AsAt,N('Deal maths'!E430)&lt;=AsAt,IF(N('Deal maths'!H430)&gt;0,N('Deal maths'!H430),N('Deal maths'!D430))&gt;0),N('Deal maths'!F430)+ROW()/1000000,"")</f>
        <v/>
      </c>
    </row>
    <row r="431">
      <c r="A431" s="91" t="n"/>
      <c r="B431" s="111">
        <f>IF(AND(N('Deal maths'!F431)&gt;AsAt,N('Deal maths'!E431)&lt;=AsAt),IF(N('Deal maths'!H431)&gt;0,N('Deal maths'!H431),N('Deal maths'!D431)),0)</f>
        <v/>
      </c>
      <c r="C431" s="91">
        <f>IF(B431&gt;0,IF('Deal maths'!C431="Local authority","Local authorities",LOWER(TRIM('Deal maths'!B431))),"")</f>
        <v/>
      </c>
      <c r="D431" s="91">
        <f>IF(C431="","",IF(COUNTIF($C$4:C430,C431)=0,SUMIF($C$4:$C$3997,C431,$B$4:$B$3997)-ROW()/1000000,""))</f>
        <v/>
      </c>
      <c r="E431" s="91">
        <f>IF(AND(N('Deal maths'!F431)&gt;AsAt,N('Deal maths'!E431)&lt;=AsAt,IF(N('Deal maths'!H431)&gt;0,N('Deal maths'!H431),N('Deal maths'!D431))&gt;0),N('Deal maths'!F431)+ROW()/1000000,"")</f>
        <v/>
      </c>
    </row>
    <row r="432">
      <c r="A432" s="91" t="n"/>
      <c r="B432" s="111">
        <f>IF(AND(N('Deal maths'!F432)&gt;AsAt,N('Deal maths'!E432)&lt;=AsAt),IF(N('Deal maths'!H432)&gt;0,N('Deal maths'!H432),N('Deal maths'!D432)),0)</f>
        <v/>
      </c>
      <c r="C432" s="91">
        <f>IF(B432&gt;0,IF('Deal maths'!C432="Local authority","Local authorities",LOWER(TRIM('Deal maths'!B432))),"")</f>
        <v/>
      </c>
      <c r="D432" s="91">
        <f>IF(C432="","",IF(COUNTIF($C$4:C431,C432)=0,SUMIF($C$4:$C$3997,C432,$B$4:$B$3997)-ROW()/1000000,""))</f>
        <v/>
      </c>
      <c r="E432" s="91">
        <f>IF(AND(N('Deal maths'!F432)&gt;AsAt,N('Deal maths'!E432)&lt;=AsAt,IF(N('Deal maths'!H432)&gt;0,N('Deal maths'!H432),N('Deal maths'!D432))&gt;0),N('Deal maths'!F432)+ROW()/1000000,"")</f>
        <v/>
      </c>
    </row>
    <row r="433">
      <c r="A433" s="91" t="n"/>
      <c r="B433" s="111">
        <f>IF(AND(N('Deal maths'!F433)&gt;AsAt,N('Deal maths'!E433)&lt;=AsAt),IF(N('Deal maths'!H433)&gt;0,N('Deal maths'!H433),N('Deal maths'!D433)),0)</f>
        <v/>
      </c>
      <c r="C433" s="91">
        <f>IF(B433&gt;0,IF('Deal maths'!C433="Local authority","Local authorities",LOWER(TRIM('Deal maths'!B433))),"")</f>
        <v/>
      </c>
      <c r="D433" s="91">
        <f>IF(C433="","",IF(COUNTIF($C$4:C432,C433)=0,SUMIF($C$4:$C$3997,C433,$B$4:$B$3997)-ROW()/1000000,""))</f>
        <v/>
      </c>
      <c r="E433" s="91">
        <f>IF(AND(N('Deal maths'!F433)&gt;AsAt,N('Deal maths'!E433)&lt;=AsAt,IF(N('Deal maths'!H433)&gt;0,N('Deal maths'!H433),N('Deal maths'!D433))&gt;0),N('Deal maths'!F433)+ROW()/1000000,"")</f>
        <v/>
      </c>
    </row>
    <row r="434">
      <c r="A434" s="91" t="n"/>
      <c r="B434" s="111">
        <f>IF(AND(N('Deal maths'!F434)&gt;AsAt,N('Deal maths'!E434)&lt;=AsAt),IF(N('Deal maths'!H434)&gt;0,N('Deal maths'!H434),N('Deal maths'!D434)),0)</f>
        <v/>
      </c>
      <c r="C434" s="91">
        <f>IF(B434&gt;0,IF('Deal maths'!C434="Local authority","Local authorities",LOWER(TRIM('Deal maths'!B434))),"")</f>
        <v/>
      </c>
      <c r="D434" s="91">
        <f>IF(C434="","",IF(COUNTIF($C$4:C433,C434)=0,SUMIF($C$4:$C$3997,C434,$B$4:$B$3997)-ROW()/1000000,""))</f>
        <v/>
      </c>
      <c r="E434" s="91">
        <f>IF(AND(N('Deal maths'!F434)&gt;AsAt,N('Deal maths'!E434)&lt;=AsAt,IF(N('Deal maths'!H434)&gt;0,N('Deal maths'!H434),N('Deal maths'!D434))&gt;0),N('Deal maths'!F434)+ROW()/1000000,"")</f>
        <v/>
      </c>
    </row>
    <row r="435">
      <c r="A435" s="91" t="n"/>
      <c r="B435" s="111">
        <f>IF(AND(N('Deal maths'!F435)&gt;AsAt,N('Deal maths'!E435)&lt;=AsAt),IF(N('Deal maths'!H435)&gt;0,N('Deal maths'!H435),N('Deal maths'!D435)),0)</f>
        <v/>
      </c>
      <c r="C435" s="91">
        <f>IF(B435&gt;0,IF('Deal maths'!C435="Local authority","Local authorities",LOWER(TRIM('Deal maths'!B435))),"")</f>
        <v/>
      </c>
      <c r="D435" s="91">
        <f>IF(C435="","",IF(COUNTIF($C$4:C434,C435)=0,SUMIF($C$4:$C$3997,C435,$B$4:$B$3997)-ROW()/1000000,""))</f>
        <v/>
      </c>
      <c r="E435" s="91">
        <f>IF(AND(N('Deal maths'!F435)&gt;AsAt,N('Deal maths'!E435)&lt;=AsAt,IF(N('Deal maths'!H435)&gt;0,N('Deal maths'!H435),N('Deal maths'!D435))&gt;0),N('Deal maths'!F435)+ROW()/1000000,"")</f>
        <v/>
      </c>
    </row>
    <row r="436">
      <c r="A436" s="91" t="n"/>
      <c r="B436" s="111">
        <f>IF(AND(N('Deal maths'!F436)&gt;AsAt,N('Deal maths'!E436)&lt;=AsAt),IF(N('Deal maths'!H436)&gt;0,N('Deal maths'!H436),N('Deal maths'!D436)),0)</f>
        <v/>
      </c>
      <c r="C436" s="91">
        <f>IF(B436&gt;0,IF('Deal maths'!C436="Local authority","Local authorities",LOWER(TRIM('Deal maths'!B436))),"")</f>
        <v/>
      </c>
      <c r="D436" s="91">
        <f>IF(C436="","",IF(COUNTIF($C$4:C435,C436)=0,SUMIF($C$4:$C$3997,C436,$B$4:$B$3997)-ROW()/1000000,""))</f>
        <v/>
      </c>
      <c r="E436" s="91">
        <f>IF(AND(N('Deal maths'!F436)&gt;AsAt,N('Deal maths'!E436)&lt;=AsAt,IF(N('Deal maths'!H436)&gt;0,N('Deal maths'!H436),N('Deal maths'!D436))&gt;0),N('Deal maths'!F436)+ROW()/1000000,"")</f>
        <v/>
      </c>
    </row>
    <row r="437">
      <c r="A437" s="91" t="n"/>
      <c r="B437" s="111">
        <f>IF(AND(N('Deal maths'!F437)&gt;AsAt,N('Deal maths'!E437)&lt;=AsAt),IF(N('Deal maths'!H437)&gt;0,N('Deal maths'!H437),N('Deal maths'!D437)),0)</f>
        <v/>
      </c>
      <c r="C437" s="91">
        <f>IF(B437&gt;0,IF('Deal maths'!C437="Local authority","Local authorities",LOWER(TRIM('Deal maths'!B437))),"")</f>
        <v/>
      </c>
      <c r="D437" s="91">
        <f>IF(C437="","",IF(COUNTIF($C$4:C436,C437)=0,SUMIF($C$4:$C$3997,C437,$B$4:$B$3997)-ROW()/1000000,""))</f>
        <v/>
      </c>
      <c r="E437" s="91">
        <f>IF(AND(N('Deal maths'!F437)&gt;AsAt,N('Deal maths'!E437)&lt;=AsAt,IF(N('Deal maths'!H437)&gt;0,N('Deal maths'!H437),N('Deal maths'!D437))&gt;0),N('Deal maths'!F437)+ROW()/1000000,"")</f>
        <v/>
      </c>
    </row>
    <row r="438">
      <c r="A438" s="91" t="n"/>
      <c r="B438" s="111">
        <f>IF(AND(N('Deal maths'!F438)&gt;AsAt,N('Deal maths'!E438)&lt;=AsAt),IF(N('Deal maths'!H438)&gt;0,N('Deal maths'!H438),N('Deal maths'!D438)),0)</f>
        <v/>
      </c>
      <c r="C438" s="91">
        <f>IF(B438&gt;0,IF('Deal maths'!C438="Local authority","Local authorities",LOWER(TRIM('Deal maths'!B438))),"")</f>
        <v/>
      </c>
      <c r="D438" s="91">
        <f>IF(C438="","",IF(COUNTIF($C$4:C437,C438)=0,SUMIF($C$4:$C$3997,C438,$B$4:$B$3997)-ROW()/1000000,""))</f>
        <v/>
      </c>
      <c r="E438" s="91">
        <f>IF(AND(N('Deal maths'!F438)&gt;AsAt,N('Deal maths'!E438)&lt;=AsAt,IF(N('Deal maths'!H438)&gt;0,N('Deal maths'!H438),N('Deal maths'!D438))&gt;0),N('Deal maths'!F438)+ROW()/1000000,"")</f>
        <v/>
      </c>
    </row>
    <row r="439">
      <c r="A439" s="91" t="n"/>
      <c r="B439" s="111">
        <f>IF(AND(N('Deal maths'!F439)&gt;AsAt,N('Deal maths'!E439)&lt;=AsAt),IF(N('Deal maths'!H439)&gt;0,N('Deal maths'!H439),N('Deal maths'!D439)),0)</f>
        <v/>
      </c>
      <c r="C439" s="91">
        <f>IF(B439&gt;0,IF('Deal maths'!C439="Local authority","Local authorities",LOWER(TRIM('Deal maths'!B439))),"")</f>
        <v/>
      </c>
      <c r="D439" s="91">
        <f>IF(C439="","",IF(COUNTIF($C$4:C438,C439)=0,SUMIF($C$4:$C$3997,C439,$B$4:$B$3997)-ROW()/1000000,""))</f>
        <v/>
      </c>
      <c r="E439" s="91">
        <f>IF(AND(N('Deal maths'!F439)&gt;AsAt,N('Deal maths'!E439)&lt;=AsAt,IF(N('Deal maths'!H439)&gt;0,N('Deal maths'!H439),N('Deal maths'!D439))&gt;0),N('Deal maths'!F439)+ROW()/1000000,"")</f>
        <v/>
      </c>
    </row>
    <row r="440">
      <c r="A440" s="91" t="n"/>
      <c r="B440" s="111">
        <f>IF(AND(N('Deal maths'!F440)&gt;AsAt,N('Deal maths'!E440)&lt;=AsAt),IF(N('Deal maths'!H440)&gt;0,N('Deal maths'!H440),N('Deal maths'!D440)),0)</f>
        <v/>
      </c>
      <c r="C440" s="91">
        <f>IF(B440&gt;0,IF('Deal maths'!C440="Local authority","Local authorities",LOWER(TRIM('Deal maths'!B440))),"")</f>
        <v/>
      </c>
      <c r="D440" s="91">
        <f>IF(C440="","",IF(COUNTIF($C$4:C439,C440)=0,SUMIF($C$4:$C$3997,C440,$B$4:$B$3997)-ROW()/1000000,""))</f>
        <v/>
      </c>
      <c r="E440" s="91">
        <f>IF(AND(N('Deal maths'!F440)&gt;AsAt,N('Deal maths'!E440)&lt;=AsAt,IF(N('Deal maths'!H440)&gt;0,N('Deal maths'!H440),N('Deal maths'!D440))&gt;0),N('Deal maths'!F440)+ROW()/1000000,"")</f>
        <v/>
      </c>
    </row>
    <row r="441">
      <c r="A441" s="91" t="n"/>
      <c r="B441" s="111">
        <f>IF(AND(N('Deal maths'!F441)&gt;AsAt,N('Deal maths'!E441)&lt;=AsAt),IF(N('Deal maths'!H441)&gt;0,N('Deal maths'!H441),N('Deal maths'!D441)),0)</f>
        <v/>
      </c>
      <c r="C441" s="91">
        <f>IF(B441&gt;0,IF('Deal maths'!C441="Local authority","Local authorities",LOWER(TRIM('Deal maths'!B441))),"")</f>
        <v/>
      </c>
      <c r="D441" s="91">
        <f>IF(C441="","",IF(COUNTIF($C$4:C440,C441)=0,SUMIF($C$4:$C$3997,C441,$B$4:$B$3997)-ROW()/1000000,""))</f>
        <v/>
      </c>
      <c r="E441" s="91">
        <f>IF(AND(N('Deal maths'!F441)&gt;AsAt,N('Deal maths'!E441)&lt;=AsAt,IF(N('Deal maths'!H441)&gt;0,N('Deal maths'!H441),N('Deal maths'!D441))&gt;0),N('Deal maths'!F441)+ROW()/1000000,"")</f>
        <v/>
      </c>
    </row>
    <row r="442">
      <c r="A442" s="91" t="n"/>
      <c r="B442" s="111">
        <f>IF(AND(N('Deal maths'!F442)&gt;AsAt,N('Deal maths'!E442)&lt;=AsAt),IF(N('Deal maths'!H442)&gt;0,N('Deal maths'!H442),N('Deal maths'!D442)),0)</f>
        <v/>
      </c>
      <c r="C442" s="91">
        <f>IF(B442&gt;0,IF('Deal maths'!C442="Local authority","Local authorities",LOWER(TRIM('Deal maths'!B442))),"")</f>
        <v/>
      </c>
      <c r="D442" s="91">
        <f>IF(C442="","",IF(COUNTIF($C$4:C441,C442)=0,SUMIF($C$4:$C$3997,C442,$B$4:$B$3997)-ROW()/1000000,""))</f>
        <v/>
      </c>
      <c r="E442" s="91">
        <f>IF(AND(N('Deal maths'!F442)&gt;AsAt,N('Deal maths'!E442)&lt;=AsAt,IF(N('Deal maths'!H442)&gt;0,N('Deal maths'!H442),N('Deal maths'!D442))&gt;0),N('Deal maths'!F442)+ROW()/1000000,"")</f>
        <v/>
      </c>
    </row>
    <row r="443">
      <c r="A443" s="91" t="n"/>
      <c r="B443" s="111">
        <f>IF(AND(N('Deal maths'!F443)&gt;AsAt,N('Deal maths'!E443)&lt;=AsAt),IF(N('Deal maths'!H443)&gt;0,N('Deal maths'!H443),N('Deal maths'!D443)),0)</f>
        <v/>
      </c>
      <c r="C443" s="91">
        <f>IF(B443&gt;0,IF('Deal maths'!C443="Local authority","Local authorities",LOWER(TRIM('Deal maths'!B443))),"")</f>
        <v/>
      </c>
      <c r="D443" s="91">
        <f>IF(C443="","",IF(COUNTIF($C$4:C442,C443)=0,SUMIF($C$4:$C$3997,C443,$B$4:$B$3997)-ROW()/1000000,""))</f>
        <v/>
      </c>
      <c r="E443" s="91">
        <f>IF(AND(N('Deal maths'!F443)&gt;AsAt,N('Deal maths'!E443)&lt;=AsAt,IF(N('Deal maths'!H443)&gt;0,N('Deal maths'!H443),N('Deal maths'!D443))&gt;0),N('Deal maths'!F443)+ROW()/1000000,"")</f>
        <v/>
      </c>
    </row>
    <row r="444">
      <c r="A444" s="91" t="n"/>
      <c r="B444" s="111">
        <f>IF(AND(N('Deal maths'!F444)&gt;AsAt,N('Deal maths'!E444)&lt;=AsAt),IF(N('Deal maths'!H444)&gt;0,N('Deal maths'!H444),N('Deal maths'!D444)),0)</f>
        <v/>
      </c>
      <c r="C444" s="91">
        <f>IF(B444&gt;0,IF('Deal maths'!C444="Local authority","Local authorities",LOWER(TRIM('Deal maths'!B444))),"")</f>
        <v/>
      </c>
      <c r="D444" s="91">
        <f>IF(C444="","",IF(COUNTIF($C$4:C443,C444)=0,SUMIF($C$4:$C$3997,C444,$B$4:$B$3997)-ROW()/1000000,""))</f>
        <v/>
      </c>
      <c r="E444" s="91">
        <f>IF(AND(N('Deal maths'!F444)&gt;AsAt,N('Deal maths'!E444)&lt;=AsAt,IF(N('Deal maths'!H444)&gt;0,N('Deal maths'!H444),N('Deal maths'!D444))&gt;0),N('Deal maths'!F444)+ROW()/1000000,"")</f>
        <v/>
      </c>
    </row>
    <row r="445">
      <c r="A445" s="91" t="n"/>
      <c r="B445" s="111">
        <f>IF(AND(N('Deal maths'!F445)&gt;AsAt,N('Deal maths'!E445)&lt;=AsAt),IF(N('Deal maths'!H445)&gt;0,N('Deal maths'!H445),N('Deal maths'!D445)),0)</f>
        <v/>
      </c>
      <c r="C445" s="91">
        <f>IF(B445&gt;0,IF('Deal maths'!C445="Local authority","Local authorities",LOWER(TRIM('Deal maths'!B445))),"")</f>
        <v/>
      </c>
      <c r="D445" s="91">
        <f>IF(C445="","",IF(COUNTIF($C$4:C444,C445)=0,SUMIF($C$4:$C$3997,C445,$B$4:$B$3997)-ROW()/1000000,""))</f>
        <v/>
      </c>
      <c r="E445" s="91">
        <f>IF(AND(N('Deal maths'!F445)&gt;AsAt,N('Deal maths'!E445)&lt;=AsAt,IF(N('Deal maths'!H445)&gt;0,N('Deal maths'!H445),N('Deal maths'!D445))&gt;0),N('Deal maths'!F445)+ROW()/1000000,"")</f>
        <v/>
      </c>
    </row>
    <row r="446">
      <c r="A446" s="91" t="n"/>
      <c r="B446" s="111">
        <f>IF(AND(N('Deal maths'!F446)&gt;AsAt,N('Deal maths'!E446)&lt;=AsAt),IF(N('Deal maths'!H446)&gt;0,N('Deal maths'!H446),N('Deal maths'!D446)),0)</f>
        <v/>
      </c>
      <c r="C446" s="91">
        <f>IF(B446&gt;0,IF('Deal maths'!C446="Local authority","Local authorities",LOWER(TRIM('Deal maths'!B446))),"")</f>
        <v/>
      </c>
      <c r="D446" s="91">
        <f>IF(C446="","",IF(COUNTIF($C$4:C445,C446)=0,SUMIF($C$4:$C$3997,C446,$B$4:$B$3997)-ROW()/1000000,""))</f>
        <v/>
      </c>
      <c r="E446" s="91">
        <f>IF(AND(N('Deal maths'!F446)&gt;AsAt,N('Deal maths'!E446)&lt;=AsAt,IF(N('Deal maths'!H446)&gt;0,N('Deal maths'!H446),N('Deal maths'!D446))&gt;0),N('Deal maths'!F446)+ROW()/1000000,"")</f>
        <v/>
      </c>
    </row>
    <row r="447">
      <c r="A447" s="91" t="n"/>
      <c r="B447" s="111">
        <f>IF(AND(N('Deal maths'!F447)&gt;AsAt,N('Deal maths'!E447)&lt;=AsAt),IF(N('Deal maths'!H447)&gt;0,N('Deal maths'!H447),N('Deal maths'!D447)),0)</f>
        <v/>
      </c>
      <c r="C447" s="91">
        <f>IF(B447&gt;0,IF('Deal maths'!C447="Local authority","Local authorities",LOWER(TRIM('Deal maths'!B447))),"")</f>
        <v/>
      </c>
      <c r="D447" s="91">
        <f>IF(C447="","",IF(COUNTIF($C$4:C446,C447)=0,SUMIF($C$4:$C$3997,C447,$B$4:$B$3997)-ROW()/1000000,""))</f>
        <v/>
      </c>
      <c r="E447" s="91">
        <f>IF(AND(N('Deal maths'!F447)&gt;AsAt,N('Deal maths'!E447)&lt;=AsAt,IF(N('Deal maths'!H447)&gt;0,N('Deal maths'!H447),N('Deal maths'!D447))&gt;0),N('Deal maths'!F447)+ROW()/1000000,"")</f>
        <v/>
      </c>
    </row>
    <row r="448">
      <c r="A448" s="91" t="n"/>
      <c r="B448" s="111">
        <f>IF(AND(N('Deal maths'!F448)&gt;AsAt,N('Deal maths'!E448)&lt;=AsAt),IF(N('Deal maths'!H448)&gt;0,N('Deal maths'!H448),N('Deal maths'!D448)),0)</f>
        <v/>
      </c>
      <c r="C448" s="91">
        <f>IF(B448&gt;0,IF('Deal maths'!C448="Local authority","Local authorities",LOWER(TRIM('Deal maths'!B448))),"")</f>
        <v/>
      </c>
      <c r="D448" s="91">
        <f>IF(C448="","",IF(COUNTIF($C$4:C447,C448)=0,SUMIF($C$4:$C$3997,C448,$B$4:$B$3997)-ROW()/1000000,""))</f>
        <v/>
      </c>
      <c r="E448" s="91">
        <f>IF(AND(N('Deal maths'!F448)&gt;AsAt,N('Deal maths'!E448)&lt;=AsAt,IF(N('Deal maths'!H448)&gt;0,N('Deal maths'!H448),N('Deal maths'!D448))&gt;0),N('Deal maths'!F448)+ROW()/1000000,"")</f>
        <v/>
      </c>
    </row>
    <row r="449">
      <c r="A449" s="91" t="n"/>
      <c r="B449" s="111">
        <f>IF(AND(N('Deal maths'!F449)&gt;AsAt,N('Deal maths'!E449)&lt;=AsAt),IF(N('Deal maths'!H449)&gt;0,N('Deal maths'!H449),N('Deal maths'!D449)),0)</f>
        <v/>
      </c>
      <c r="C449" s="91">
        <f>IF(B449&gt;0,IF('Deal maths'!C449="Local authority","Local authorities",LOWER(TRIM('Deal maths'!B449))),"")</f>
        <v/>
      </c>
      <c r="D449" s="91">
        <f>IF(C449="","",IF(COUNTIF($C$4:C448,C449)=0,SUMIF($C$4:$C$3997,C449,$B$4:$B$3997)-ROW()/1000000,""))</f>
        <v/>
      </c>
      <c r="E449" s="91">
        <f>IF(AND(N('Deal maths'!F449)&gt;AsAt,N('Deal maths'!E449)&lt;=AsAt,IF(N('Deal maths'!H449)&gt;0,N('Deal maths'!H449),N('Deal maths'!D449))&gt;0),N('Deal maths'!F449)+ROW()/1000000,"")</f>
        <v/>
      </c>
    </row>
    <row r="450">
      <c r="A450" s="91" t="n"/>
      <c r="B450" s="111">
        <f>IF(AND(N('Deal maths'!F450)&gt;AsAt,N('Deal maths'!E450)&lt;=AsAt),IF(N('Deal maths'!H450)&gt;0,N('Deal maths'!H450),N('Deal maths'!D450)),0)</f>
        <v/>
      </c>
      <c r="C450" s="91">
        <f>IF(B450&gt;0,IF('Deal maths'!C450="Local authority","Local authorities",LOWER(TRIM('Deal maths'!B450))),"")</f>
        <v/>
      </c>
      <c r="D450" s="91">
        <f>IF(C450="","",IF(COUNTIF($C$4:C449,C450)=0,SUMIF($C$4:$C$3997,C450,$B$4:$B$3997)-ROW()/1000000,""))</f>
        <v/>
      </c>
      <c r="E450" s="91">
        <f>IF(AND(N('Deal maths'!F450)&gt;AsAt,N('Deal maths'!E450)&lt;=AsAt,IF(N('Deal maths'!H450)&gt;0,N('Deal maths'!H450),N('Deal maths'!D450))&gt;0),N('Deal maths'!F450)+ROW()/1000000,"")</f>
        <v/>
      </c>
    </row>
    <row r="451">
      <c r="A451" s="91" t="n"/>
      <c r="B451" s="111">
        <f>IF(AND(N('Deal maths'!F451)&gt;AsAt,N('Deal maths'!E451)&lt;=AsAt),IF(N('Deal maths'!H451)&gt;0,N('Deal maths'!H451),N('Deal maths'!D451)),0)</f>
        <v/>
      </c>
      <c r="C451" s="91">
        <f>IF(B451&gt;0,IF('Deal maths'!C451="Local authority","Local authorities",LOWER(TRIM('Deal maths'!B451))),"")</f>
        <v/>
      </c>
      <c r="D451" s="91">
        <f>IF(C451="","",IF(COUNTIF($C$4:C450,C451)=0,SUMIF($C$4:$C$3997,C451,$B$4:$B$3997)-ROW()/1000000,""))</f>
        <v/>
      </c>
      <c r="E451" s="91">
        <f>IF(AND(N('Deal maths'!F451)&gt;AsAt,N('Deal maths'!E451)&lt;=AsAt,IF(N('Deal maths'!H451)&gt;0,N('Deal maths'!H451),N('Deal maths'!D451))&gt;0),N('Deal maths'!F451)+ROW()/1000000,"")</f>
        <v/>
      </c>
    </row>
    <row r="452">
      <c r="A452" s="91" t="n"/>
      <c r="B452" s="111">
        <f>IF(AND(N('Deal maths'!F452)&gt;AsAt,N('Deal maths'!E452)&lt;=AsAt),IF(N('Deal maths'!H452)&gt;0,N('Deal maths'!H452),N('Deal maths'!D452)),0)</f>
        <v/>
      </c>
      <c r="C452" s="91">
        <f>IF(B452&gt;0,IF('Deal maths'!C452="Local authority","Local authorities",LOWER(TRIM('Deal maths'!B452))),"")</f>
        <v/>
      </c>
      <c r="D452" s="91">
        <f>IF(C452="","",IF(COUNTIF($C$4:C451,C452)=0,SUMIF($C$4:$C$3997,C452,$B$4:$B$3997)-ROW()/1000000,""))</f>
        <v/>
      </c>
      <c r="E452" s="91">
        <f>IF(AND(N('Deal maths'!F452)&gt;AsAt,N('Deal maths'!E452)&lt;=AsAt,IF(N('Deal maths'!H452)&gt;0,N('Deal maths'!H452),N('Deal maths'!D452))&gt;0),N('Deal maths'!F452)+ROW()/1000000,"")</f>
        <v/>
      </c>
    </row>
    <row r="453">
      <c r="A453" s="91" t="n"/>
      <c r="B453" s="111">
        <f>IF(AND(N('Deal maths'!F453)&gt;AsAt,N('Deal maths'!E453)&lt;=AsAt),IF(N('Deal maths'!H453)&gt;0,N('Deal maths'!H453),N('Deal maths'!D453)),0)</f>
        <v/>
      </c>
      <c r="C453" s="91">
        <f>IF(B453&gt;0,IF('Deal maths'!C453="Local authority","Local authorities",LOWER(TRIM('Deal maths'!B453))),"")</f>
        <v/>
      </c>
      <c r="D453" s="91">
        <f>IF(C453="","",IF(COUNTIF($C$4:C452,C453)=0,SUMIF($C$4:$C$3997,C453,$B$4:$B$3997)-ROW()/1000000,""))</f>
        <v/>
      </c>
      <c r="E453" s="91">
        <f>IF(AND(N('Deal maths'!F453)&gt;AsAt,N('Deal maths'!E453)&lt;=AsAt,IF(N('Deal maths'!H453)&gt;0,N('Deal maths'!H453),N('Deal maths'!D453))&gt;0),N('Deal maths'!F453)+ROW()/1000000,"")</f>
        <v/>
      </c>
    </row>
    <row r="454">
      <c r="A454" s="91" t="n"/>
      <c r="B454" s="111">
        <f>IF(AND(N('Deal maths'!F454)&gt;AsAt,N('Deal maths'!E454)&lt;=AsAt),IF(N('Deal maths'!H454)&gt;0,N('Deal maths'!H454),N('Deal maths'!D454)),0)</f>
        <v/>
      </c>
      <c r="C454" s="91">
        <f>IF(B454&gt;0,IF('Deal maths'!C454="Local authority","Local authorities",LOWER(TRIM('Deal maths'!B454))),"")</f>
        <v/>
      </c>
      <c r="D454" s="91">
        <f>IF(C454="","",IF(COUNTIF($C$4:C453,C454)=0,SUMIF($C$4:$C$3997,C454,$B$4:$B$3997)-ROW()/1000000,""))</f>
        <v/>
      </c>
      <c r="E454" s="91">
        <f>IF(AND(N('Deal maths'!F454)&gt;AsAt,N('Deal maths'!E454)&lt;=AsAt,IF(N('Deal maths'!H454)&gt;0,N('Deal maths'!H454),N('Deal maths'!D454))&gt;0),N('Deal maths'!F454)+ROW()/1000000,"")</f>
        <v/>
      </c>
    </row>
    <row r="455">
      <c r="A455" s="91" t="n"/>
      <c r="B455" s="111">
        <f>IF(AND(N('Deal maths'!F455)&gt;AsAt,N('Deal maths'!E455)&lt;=AsAt),IF(N('Deal maths'!H455)&gt;0,N('Deal maths'!H455),N('Deal maths'!D455)),0)</f>
        <v/>
      </c>
      <c r="C455" s="91">
        <f>IF(B455&gt;0,IF('Deal maths'!C455="Local authority","Local authorities",LOWER(TRIM('Deal maths'!B455))),"")</f>
        <v/>
      </c>
      <c r="D455" s="91">
        <f>IF(C455="","",IF(COUNTIF($C$4:C454,C455)=0,SUMIF($C$4:$C$3997,C455,$B$4:$B$3997)-ROW()/1000000,""))</f>
        <v/>
      </c>
      <c r="E455" s="91">
        <f>IF(AND(N('Deal maths'!F455)&gt;AsAt,N('Deal maths'!E455)&lt;=AsAt,IF(N('Deal maths'!H455)&gt;0,N('Deal maths'!H455),N('Deal maths'!D455))&gt;0),N('Deal maths'!F455)+ROW()/1000000,"")</f>
        <v/>
      </c>
    </row>
    <row r="456">
      <c r="A456" s="91" t="n"/>
      <c r="B456" s="111">
        <f>IF(AND(N('Deal maths'!F456)&gt;AsAt,N('Deal maths'!E456)&lt;=AsAt),IF(N('Deal maths'!H456)&gt;0,N('Deal maths'!H456),N('Deal maths'!D456)),0)</f>
        <v/>
      </c>
      <c r="C456" s="91">
        <f>IF(B456&gt;0,IF('Deal maths'!C456="Local authority","Local authorities",LOWER(TRIM('Deal maths'!B456))),"")</f>
        <v/>
      </c>
      <c r="D456" s="91">
        <f>IF(C456="","",IF(COUNTIF($C$4:C455,C456)=0,SUMIF($C$4:$C$3997,C456,$B$4:$B$3997)-ROW()/1000000,""))</f>
        <v/>
      </c>
      <c r="E456" s="91">
        <f>IF(AND(N('Deal maths'!F456)&gt;AsAt,N('Deal maths'!E456)&lt;=AsAt,IF(N('Deal maths'!H456)&gt;0,N('Deal maths'!H456),N('Deal maths'!D456))&gt;0),N('Deal maths'!F456)+ROW()/1000000,"")</f>
        <v/>
      </c>
    </row>
    <row r="457">
      <c r="A457" s="91" t="n"/>
      <c r="B457" s="111">
        <f>IF(AND(N('Deal maths'!F457)&gt;AsAt,N('Deal maths'!E457)&lt;=AsAt),IF(N('Deal maths'!H457)&gt;0,N('Deal maths'!H457),N('Deal maths'!D457)),0)</f>
        <v/>
      </c>
      <c r="C457" s="91">
        <f>IF(B457&gt;0,IF('Deal maths'!C457="Local authority","Local authorities",LOWER(TRIM('Deal maths'!B457))),"")</f>
        <v/>
      </c>
      <c r="D457" s="91">
        <f>IF(C457="","",IF(COUNTIF($C$4:C456,C457)=0,SUMIF($C$4:$C$3997,C457,$B$4:$B$3997)-ROW()/1000000,""))</f>
        <v/>
      </c>
      <c r="E457" s="91">
        <f>IF(AND(N('Deal maths'!F457)&gt;AsAt,N('Deal maths'!E457)&lt;=AsAt,IF(N('Deal maths'!H457)&gt;0,N('Deal maths'!H457),N('Deal maths'!D457))&gt;0),N('Deal maths'!F457)+ROW()/1000000,"")</f>
        <v/>
      </c>
    </row>
    <row r="458">
      <c r="A458" s="91" t="n"/>
      <c r="B458" s="111">
        <f>IF(AND(N('Deal maths'!F458)&gt;AsAt,N('Deal maths'!E458)&lt;=AsAt),IF(N('Deal maths'!H458)&gt;0,N('Deal maths'!H458),N('Deal maths'!D458)),0)</f>
        <v/>
      </c>
      <c r="C458" s="91">
        <f>IF(B458&gt;0,IF('Deal maths'!C458="Local authority","Local authorities",LOWER(TRIM('Deal maths'!B458))),"")</f>
        <v/>
      </c>
      <c r="D458" s="91">
        <f>IF(C458="","",IF(COUNTIF($C$4:C457,C458)=0,SUMIF($C$4:$C$3997,C458,$B$4:$B$3997)-ROW()/1000000,""))</f>
        <v/>
      </c>
      <c r="E458" s="91">
        <f>IF(AND(N('Deal maths'!F458)&gt;AsAt,N('Deal maths'!E458)&lt;=AsAt,IF(N('Deal maths'!H458)&gt;0,N('Deal maths'!H458),N('Deal maths'!D458))&gt;0),N('Deal maths'!F458)+ROW()/1000000,"")</f>
        <v/>
      </c>
    </row>
    <row r="459">
      <c r="A459" s="91" t="n"/>
      <c r="B459" s="111">
        <f>IF(AND(N('Deal maths'!F459)&gt;AsAt,N('Deal maths'!E459)&lt;=AsAt),IF(N('Deal maths'!H459)&gt;0,N('Deal maths'!H459),N('Deal maths'!D459)),0)</f>
        <v/>
      </c>
      <c r="C459" s="91">
        <f>IF(B459&gt;0,IF('Deal maths'!C459="Local authority","Local authorities",LOWER(TRIM('Deal maths'!B459))),"")</f>
        <v/>
      </c>
      <c r="D459" s="91">
        <f>IF(C459="","",IF(COUNTIF($C$4:C458,C459)=0,SUMIF($C$4:$C$3997,C459,$B$4:$B$3997)-ROW()/1000000,""))</f>
        <v/>
      </c>
      <c r="E459" s="91">
        <f>IF(AND(N('Deal maths'!F459)&gt;AsAt,N('Deal maths'!E459)&lt;=AsAt,IF(N('Deal maths'!H459)&gt;0,N('Deal maths'!H459),N('Deal maths'!D459))&gt;0),N('Deal maths'!F459)+ROW()/1000000,"")</f>
        <v/>
      </c>
    </row>
    <row r="460">
      <c r="A460" s="91" t="n"/>
      <c r="B460" s="111">
        <f>IF(AND(N('Deal maths'!F460)&gt;AsAt,N('Deal maths'!E460)&lt;=AsAt),IF(N('Deal maths'!H460)&gt;0,N('Deal maths'!H460),N('Deal maths'!D460)),0)</f>
        <v/>
      </c>
      <c r="C460" s="91">
        <f>IF(B460&gt;0,IF('Deal maths'!C460="Local authority","Local authorities",LOWER(TRIM('Deal maths'!B460))),"")</f>
        <v/>
      </c>
      <c r="D460" s="91">
        <f>IF(C460="","",IF(COUNTIF($C$4:C459,C460)=0,SUMIF($C$4:$C$3997,C460,$B$4:$B$3997)-ROW()/1000000,""))</f>
        <v/>
      </c>
      <c r="E460" s="91">
        <f>IF(AND(N('Deal maths'!F460)&gt;AsAt,N('Deal maths'!E460)&lt;=AsAt,IF(N('Deal maths'!H460)&gt;0,N('Deal maths'!H460),N('Deal maths'!D460))&gt;0),N('Deal maths'!F460)+ROW()/1000000,"")</f>
        <v/>
      </c>
    </row>
    <row r="461">
      <c r="A461" s="91" t="n"/>
      <c r="B461" s="111">
        <f>IF(AND(N('Deal maths'!F461)&gt;AsAt,N('Deal maths'!E461)&lt;=AsAt),IF(N('Deal maths'!H461)&gt;0,N('Deal maths'!H461),N('Deal maths'!D461)),0)</f>
        <v/>
      </c>
      <c r="C461" s="91">
        <f>IF(B461&gt;0,IF('Deal maths'!C461="Local authority","Local authorities",LOWER(TRIM('Deal maths'!B461))),"")</f>
        <v/>
      </c>
      <c r="D461" s="91">
        <f>IF(C461="","",IF(COUNTIF($C$4:C460,C461)=0,SUMIF($C$4:$C$3997,C461,$B$4:$B$3997)-ROW()/1000000,""))</f>
        <v/>
      </c>
      <c r="E461" s="91">
        <f>IF(AND(N('Deal maths'!F461)&gt;AsAt,N('Deal maths'!E461)&lt;=AsAt,IF(N('Deal maths'!H461)&gt;0,N('Deal maths'!H461),N('Deal maths'!D461))&gt;0),N('Deal maths'!F461)+ROW()/1000000,"")</f>
        <v/>
      </c>
    </row>
    <row r="462">
      <c r="A462" s="91" t="n"/>
      <c r="B462" s="111">
        <f>IF(AND(N('Deal maths'!F462)&gt;AsAt,N('Deal maths'!E462)&lt;=AsAt),IF(N('Deal maths'!H462)&gt;0,N('Deal maths'!H462),N('Deal maths'!D462)),0)</f>
        <v/>
      </c>
      <c r="C462" s="91">
        <f>IF(B462&gt;0,IF('Deal maths'!C462="Local authority","Local authorities",LOWER(TRIM('Deal maths'!B462))),"")</f>
        <v/>
      </c>
      <c r="D462" s="91">
        <f>IF(C462="","",IF(COUNTIF($C$4:C461,C462)=0,SUMIF($C$4:$C$3997,C462,$B$4:$B$3997)-ROW()/1000000,""))</f>
        <v/>
      </c>
      <c r="E462" s="91">
        <f>IF(AND(N('Deal maths'!F462)&gt;AsAt,N('Deal maths'!E462)&lt;=AsAt,IF(N('Deal maths'!H462)&gt;0,N('Deal maths'!H462),N('Deal maths'!D462))&gt;0),N('Deal maths'!F462)+ROW()/1000000,"")</f>
        <v/>
      </c>
    </row>
    <row r="463">
      <c r="A463" s="91" t="n"/>
      <c r="B463" s="111">
        <f>IF(AND(N('Deal maths'!F463)&gt;AsAt,N('Deal maths'!E463)&lt;=AsAt),IF(N('Deal maths'!H463)&gt;0,N('Deal maths'!H463),N('Deal maths'!D463)),0)</f>
        <v/>
      </c>
      <c r="C463" s="91">
        <f>IF(B463&gt;0,IF('Deal maths'!C463="Local authority","Local authorities",LOWER(TRIM('Deal maths'!B463))),"")</f>
        <v/>
      </c>
      <c r="D463" s="91">
        <f>IF(C463="","",IF(COUNTIF($C$4:C462,C463)=0,SUMIF($C$4:$C$3997,C463,$B$4:$B$3997)-ROW()/1000000,""))</f>
        <v/>
      </c>
      <c r="E463" s="91">
        <f>IF(AND(N('Deal maths'!F463)&gt;AsAt,N('Deal maths'!E463)&lt;=AsAt,IF(N('Deal maths'!H463)&gt;0,N('Deal maths'!H463),N('Deal maths'!D463))&gt;0),N('Deal maths'!F463)+ROW()/1000000,"")</f>
        <v/>
      </c>
    </row>
    <row r="464">
      <c r="A464" s="91" t="n"/>
      <c r="B464" s="111">
        <f>IF(AND(N('Deal maths'!F464)&gt;AsAt,N('Deal maths'!E464)&lt;=AsAt),IF(N('Deal maths'!H464)&gt;0,N('Deal maths'!H464),N('Deal maths'!D464)),0)</f>
        <v/>
      </c>
      <c r="C464" s="91">
        <f>IF(B464&gt;0,IF('Deal maths'!C464="Local authority","Local authorities",LOWER(TRIM('Deal maths'!B464))),"")</f>
        <v/>
      </c>
      <c r="D464" s="91">
        <f>IF(C464="","",IF(COUNTIF($C$4:C463,C464)=0,SUMIF($C$4:$C$3997,C464,$B$4:$B$3997)-ROW()/1000000,""))</f>
        <v/>
      </c>
      <c r="E464" s="91">
        <f>IF(AND(N('Deal maths'!F464)&gt;AsAt,N('Deal maths'!E464)&lt;=AsAt,IF(N('Deal maths'!H464)&gt;0,N('Deal maths'!H464),N('Deal maths'!D464))&gt;0),N('Deal maths'!F464)+ROW()/1000000,"")</f>
        <v/>
      </c>
    </row>
    <row r="465">
      <c r="A465" s="91" t="n"/>
      <c r="B465" s="111">
        <f>IF(AND(N('Deal maths'!F465)&gt;AsAt,N('Deal maths'!E465)&lt;=AsAt),IF(N('Deal maths'!H465)&gt;0,N('Deal maths'!H465),N('Deal maths'!D465)),0)</f>
        <v/>
      </c>
      <c r="C465" s="91">
        <f>IF(B465&gt;0,IF('Deal maths'!C465="Local authority","Local authorities",LOWER(TRIM('Deal maths'!B465))),"")</f>
        <v/>
      </c>
      <c r="D465" s="91">
        <f>IF(C465="","",IF(COUNTIF($C$4:C464,C465)=0,SUMIF($C$4:$C$3997,C465,$B$4:$B$3997)-ROW()/1000000,""))</f>
        <v/>
      </c>
      <c r="E465" s="91">
        <f>IF(AND(N('Deal maths'!F465)&gt;AsAt,N('Deal maths'!E465)&lt;=AsAt,IF(N('Deal maths'!H465)&gt;0,N('Deal maths'!H465),N('Deal maths'!D465))&gt;0),N('Deal maths'!F465)+ROW()/1000000,"")</f>
        <v/>
      </c>
    </row>
    <row r="466">
      <c r="A466" s="91" t="n"/>
      <c r="B466" s="111">
        <f>IF(AND(N('Deal maths'!F466)&gt;AsAt,N('Deal maths'!E466)&lt;=AsAt),IF(N('Deal maths'!H466)&gt;0,N('Deal maths'!H466),N('Deal maths'!D466)),0)</f>
        <v/>
      </c>
      <c r="C466" s="91">
        <f>IF(B466&gt;0,IF('Deal maths'!C466="Local authority","Local authorities",LOWER(TRIM('Deal maths'!B466))),"")</f>
        <v/>
      </c>
      <c r="D466" s="91">
        <f>IF(C466="","",IF(COUNTIF($C$4:C465,C466)=0,SUMIF($C$4:$C$3997,C466,$B$4:$B$3997)-ROW()/1000000,""))</f>
        <v/>
      </c>
      <c r="E466" s="91">
        <f>IF(AND(N('Deal maths'!F466)&gt;AsAt,N('Deal maths'!E466)&lt;=AsAt,IF(N('Deal maths'!H466)&gt;0,N('Deal maths'!H466),N('Deal maths'!D466))&gt;0),N('Deal maths'!F466)+ROW()/1000000,"")</f>
        <v/>
      </c>
    </row>
    <row r="467">
      <c r="A467" s="91" t="n"/>
      <c r="B467" s="111">
        <f>IF(AND(N('Deal maths'!F467)&gt;AsAt,N('Deal maths'!E467)&lt;=AsAt),IF(N('Deal maths'!H467)&gt;0,N('Deal maths'!H467),N('Deal maths'!D467)),0)</f>
        <v/>
      </c>
      <c r="C467" s="91">
        <f>IF(B467&gt;0,IF('Deal maths'!C467="Local authority","Local authorities",LOWER(TRIM('Deal maths'!B467))),"")</f>
        <v/>
      </c>
      <c r="D467" s="91">
        <f>IF(C467="","",IF(COUNTIF($C$4:C466,C467)=0,SUMIF($C$4:$C$3997,C467,$B$4:$B$3997)-ROW()/1000000,""))</f>
        <v/>
      </c>
      <c r="E467" s="91">
        <f>IF(AND(N('Deal maths'!F467)&gt;AsAt,N('Deal maths'!E467)&lt;=AsAt,IF(N('Deal maths'!H467)&gt;0,N('Deal maths'!H467),N('Deal maths'!D467))&gt;0),N('Deal maths'!F467)+ROW()/1000000,"")</f>
        <v/>
      </c>
    </row>
    <row r="468">
      <c r="A468" s="91" t="n"/>
      <c r="B468" s="111">
        <f>IF(AND(N('Deal maths'!F468)&gt;AsAt,N('Deal maths'!E468)&lt;=AsAt),IF(N('Deal maths'!H468)&gt;0,N('Deal maths'!H468),N('Deal maths'!D468)),0)</f>
        <v/>
      </c>
      <c r="C468" s="91">
        <f>IF(B468&gt;0,IF('Deal maths'!C468="Local authority","Local authorities",LOWER(TRIM('Deal maths'!B468))),"")</f>
        <v/>
      </c>
      <c r="D468" s="91">
        <f>IF(C468="","",IF(COUNTIF($C$4:C467,C468)=0,SUMIF($C$4:$C$3997,C468,$B$4:$B$3997)-ROW()/1000000,""))</f>
        <v/>
      </c>
      <c r="E468" s="91">
        <f>IF(AND(N('Deal maths'!F468)&gt;AsAt,N('Deal maths'!E468)&lt;=AsAt,IF(N('Deal maths'!H468)&gt;0,N('Deal maths'!H468),N('Deal maths'!D468))&gt;0),N('Deal maths'!F468)+ROW()/1000000,"")</f>
        <v/>
      </c>
    </row>
    <row r="469">
      <c r="A469" s="91" t="n"/>
      <c r="B469" s="111">
        <f>IF(AND(N('Deal maths'!F469)&gt;AsAt,N('Deal maths'!E469)&lt;=AsAt),IF(N('Deal maths'!H469)&gt;0,N('Deal maths'!H469),N('Deal maths'!D469)),0)</f>
        <v/>
      </c>
      <c r="C469" s="91">
        <f>IF(B469&gt;0,IF('Deal maths'!C469="Local authority","Local authorities",LOWER(TRIM('Deal maths'!B469))),"")</f>
        <v/>
      </c>
      <c r="D469" s="91">
        <f>IF(C469="","",IF(COUNTIF($C$4:C468,C469)=0,SUMIF($C$4:$C$3997,C469,$B$4:$B$3997)-ROW()/1000000,""))</f>
        <v/>
      </c>
      <c r="E469" s="91">
        <f>IF(AND(N('Deal maths'!F469)&gt;AsAt,N('Deal maths'!E469)&lt;=AsAt,IF(N('Deal maths'!H469)&gt;0,N('Deal maths'!H469),N('Deal maths'!D469))&gt;0),N('Deal maths'!F469)+ROW()/1000000,"")</f>
        <v/>
      </c>
    </row>
    <row r="470">
      <c r="A470" s="91" t="n"/>
      <c r="B470" s="111">
        <f>IF(AND(N('Deal maths'!F470)&gt;AsAt,N('Deal maths'!E470)&lt;=AsAt),IF(N('Deal maths'!H470)&gt;0,N('Deal maths'!H470),N('Deal maths'!D470)),0)</f>
        <v/>
      </c>
      <c r="C470" s="91">
        <f>IF(B470&gt;0,IF('Deal maths'!C470="Local authority","Local authorities",LOWER(TRIM('Deal maths'!B470))),"")</f>
        <v/>
      </c>
      <c r="D470" s="91">
        <f>IF(C470="","",IF(COUNTIF($C$4:C469,C470)=0,SUMIF($C$4:$C$3997,C470,$B$4:$B$3997)-ROW()/1000000,""))</f>
        <v/>
      </c>
      <c r="E470" s="91">
        <f>IF(AND(N('Deal maths'!F470)&gt;AsAt,N('Deal maths'!E470)&lt;=AsAt,IF(N('Deal maths'!H470)&gt;0,N('Deal maths'!H470),N('Deal maths'!D470))&gt;0),N('Deal maths'!F470)+ROW()/1000000,"")</f>
        <v/>
      </c>
    </row>
    <row r="471">
      <c r="A471" s="91" t="n"/>
      <c r="B471" s="111">
        <f>IF(AND(N('Deal maths'!F471)&gt;AsAt,N('Deal maths'!E471)&lt;=AsAt),IF(N('Deal maths'!H471)&gt;0,N('Deal maths'!H471),N('Deal maths'!D471)),0)</f>
        <v/>
      </c>
      <c r="C471" s="91">
        <f>IF(B471&gt;0,IF('Deal maths'!C471="Local authority","Local authorities",LOWER(TRIM('Deal maths'!B471))),"")</f>
        <v/>
      </c>
      <c r="D471" s="91">
        <f>IF(C471="","",IF(COUNTIF($C$4:C470,C471)=0,SUMIF($C$4:$C$3997,C471,$B$4:$B$3997)-ROW()/1000000,""))</f>
        <v/>
      </c>
      <c r="E471" s="91">
        <f>IF(AND(N('Deal maths'!F471)&gt;AsAt,N('Deal maths'!E471)&lt;=AsAt,IF(N('Deal maths'!H471)&gt;0,N('Deal maths'!H471),N('Deal maths'!D471))&gt;0),N('Deal maths'!F471)+ROW()/1000000,"")</f>
        <v/>
      </c>
    </row>
    <row r="472">
      <c r="A472" s="91" t="n"/>
      <c r="B472" s="111">
        <f>IF(AND(N('Deal maths'!F472)&gt;AsAt,N('Deal maths'!E472)&lt;=AsAt),IF(N('Deal maths'!H472)&gt;0,N('Deal maths'!H472),N('Deal maths'!D472)),0)</f>
        <v/>
      </c>
      <c r="C472" s="91">
        <f>IF(B472&gt;0,IF('Deal maths'!C472="Local authority","Local authorities",LOWER(TRIM('Deal maths'!B472))),"")</f>
        <v/>
      </c>
      <c r="D472" s="91">
        <f>IF(C472="","",IF(COUNTIF($C$4:C471,C472)=0,SUMIF($C$4:$C$3997,C472,$B$4:$B$3997)-ROW()/1000000,""))</f>
        <v/>
      </c>
      <c r="E472" s="91">
        <f>IF(AND(N('Deal maths'!F472)&gt;AsAt,N('Deal maths'!E472)&lt;=AsAt,IF(N('Deal maths'!H472)&gt;0,N('Deal maths'!H472),N('Deal maths'!D472))&gt;0),N('Deal maths'!F472)+ROW()/1000000,"")</f>
        <v/>
      </c>
    </row>
    <row r="473">
      <c r="A473" s="91" t="n"/>
      <c r="B473" s="111">
        <f>IF(AND(N('Deal maths'!F473)&gt;AsAt,N('Deal maths'!E473)&lt;=AsAt),IF(N('Deal maths'!H473)&gt;0,N('Deal maths'!H473),N('Deal maths'!D473)),0)</f>
        <v/>
      </c>
      <c r="C473" s="91">
        <f>IF(B473&gt;0,IF('Deal maths'!C473="Local authority","Local authorities",LOWER(TRIM('Deal maths'!B473))),"")</f>
        <v/>
      </c>
      <c r="D473" s="91">
        <f>IF(C473="","",IF(COUNTIF($C$4:C472,C473)=0,SUMIF($C$4:$C$3997,C473,$B$4:$B$3997)-ROW()/1000000,""))</f>
        <v/>
      </c>
      <c r="E473" s="91">
        <f>IF(AND(N('Deal maths'!F473)&gt;AsAt,N('Deal maths'!E473)&lt;=AsAt,IF(N('Deal maths'!H473)&gt;0,N('Deal maths'!H473),N('Deal maths'!D473))&gt;0),N('Deal maths'!F473)+ROW()/1000000,"")</f>
        <v/>
      </c>
    </row>
    <row r="474">
      <c r="A474" s="91" t="n"/>
      <c r="B474" s="111">
        <f>IF(AND(N('Deal maths'!F474)&gt;AsAt,N('Deal maths'!E474)&lt;=AsAt),IF(N('Deal maths'!H474)&gt;0,N('Deal maths'!H474),N('Deal maths'!D474)),0)</f>
        <v/>
      </c>
      <c r="C474" s="91">
        <f>IF(B474&gt;0,IF('Deal maths'!C474="Local authority","Local authorities",LOWER(TRIM('Deal maths'!B474))),"")</f>
        <v/>
      </c>
      <c r="D474" s="91">
        <f>IF(C474="","",IF(COUNTIF($C$4:C473,C474)=0,SUMIF($C$4:$C$3997,C474,$B$4:$B$3997)-ROW()/1000000,""))</f>
        <v/>
      </c>
      <c r="E474" s="91">
        <f>IF(AND(N('Deal maths'!F474)&gt;AsAt,N('Deal maths'!E474)&lt;=AsAt,IF(N('Deal maths'!H474)&gt;0,N('Deal maths'!H474),N('Deal maths'!D474))&gt;0),N('Deal maths'!F474)+ROW()/1000000,"")</f>
        <v/>
      </c>
    </row>
    <row r="475">
      <c r="A475" s="91" t="n"/>
      <c r="B475" s="111">
        <f>IF(AND(N('Deal maths'!F475)&gt;AsAt,N('Deal maths'!E475)&lt;=AsAt),IF(N('Deal maths'!H475)&gt;0,N('Deal maths'!H475),N('Deal maths'!D475)),0)</f>
        <v/>
      </c>
      <c r="C475" s="91">
        <f>IF(B475&gt;0,IF('Deal maths'!C475="Local authority","Local authorities",LOWER(TRIM('Deal maths'!B475))),"")</f>
        <v/>
      </c>
      <c r="D475" s="91">
        <f>IF(C475="","",IF(COUNTIF($C$4:C474,C475)=0,SUMIF($C$4:$C$3997,C475,$B$4:$B$3997)-ROW()/1000000,""))</f>
        <v/>
      </c>
      <c r="E475" s="91">
        <f>IF(AND(N('Deal maths'!F475)&gt;AsAt,N('Deal maths'!E475)&lt;=AsAt,IF(N('Deal maths'!H475)&gt;0,N('Deal maths'!H475),N('Deal maths'!D475))&gt;0),N('Deal maths'!F475)+ROW()/1000000,"")</f>
        <v/>
      </c>
    </row>
    <row r="476">
      <c r="A476" s="91" t="n"/>
      <c r="B476" s="111">
        <f>IF(AND(N('Deal maths'!F476)&gt;AsAt,N('Deal maths'!E476)&lt;=AsAt),IF(N('Deal maths'!H476)&gt;0,N('Deal maths'!H476),N('Deal maths'!D476)),0)</f>
        <v/>
      </c>
      <c r="C476" s="91">
        <f>IF(B476&gt;0,IF('Deal maths'!C476="Local authority","Local authorities",LOWER(TRIM('Deal maths'!B476))),"")</f>
        <v/>
      </c>
      <c r="D476" s="91">
        <f>IF(C476="","",IF(COUNTIF($C$4:C475,C476)=0,SUMIF($C$4:$C$3997,C476,$B$4:$B$3997)-ROW()/1000000,""))</f>
        <v/>
      </c>
      <c r="E476" s="91">
        <f>IF(AND(N('Deal maths'!F476)&gt;AsAt,N('Deal maths'!E476)&lt;=AsAt,IF(N('Deal maths'!H476)&gt;0,N('Deal maths'!H476),N('Deal maths'!D476))&gt;0),N('Deal maths'!F476)+ROW()/1000000,"")</f>
        <v/>
      </c>
    </row>
    <row r="477">
      <c r="A477" s="91" t="n"/>
      <c r="B477" s="111">
        <f>IF(AND(N('Deal maths'!F477)&gt;AsAt,N('Deal maths'!E477)&lt;=AsAt),IF(N('Deal maths'!H477)&gt;0,N('Deal maths'!H477),N('Deal maths'!D477)),0)</f>
        <v/>
      </c>
      <c r="C477" s="91">
        <f>IF(B477&gt;0,IF('Deal maths'!C477="Local authority","Local authorities",LOWER(TRIM('Deal maths'!B477))),"")</f>
        <v/>
      </c>
      <c r="D477" s="91">
        <f>IF(C477="","",IF(COUNTIF($C$4:C476,C477)=0,SUMIF($C$4:$C$3997,C477,$B$4:$B$3997)-ROW()/1000000,""))</f>
        <v/>
      </c>
      <c r="E477" s="91">
        <f>IF(AND(N('Deal maths'!F477)&gt;AsAt,N('Deal maths'!E477)&lt;=AsAt,IF(N('Deal maths'!H477)&gt;0,N('Deal maths'!H477),N('Deal maths'!D477))&gt;0),N('Deal maths'!F477)+ROW()/1000000,"")</f>
        <v/>
      </c>
    </row>
    <row r="478">
      <c r="A478" s="91" t="n"/>
      <c r="B478" s="111">
        <f>IF(AND(N('Deal maths'!F478)&gt;AsAt,N('Deal maths'!E478)&lt;=AsAt),IF(N('Deal maths'!H478)&gt;0,N('Deal maths'!H478),N('Deal maths'!D478)),0)</f>
        <v/>
      </c>
      <c r="C478" s="91">
        <f>IF(B478&gt;0,IF('Deal maths'!C478="Local authority","Local authorities",LOWER(TRIM('Deal maths'!B478))),"")</f>
        <v/>
      </c>
      <c r="D478" s="91">
        <f>IF(C478="","",IF(COUNTIF($C$4:C477,C478)=0,SUMIF($C$4:$C$3997,C478,$B$4:$B$3997)-ROW()/1000000,""))</f>
        <v/>
      </c>
      <c r="E478" s="91">
        <f>IF(AND(N('Deal maths'!F478)&gt;AsAt,N('Deal maths'!E478)&lt;=AsAt,IF(N('Deal maths'!H478)&gt;0,N('Deal maths'!H478),N('Deal maths'!D478))&gt;0),N('Deal maths'!F478)+ROW()/1000000,"")</f>
        <v/>
      </c>
    </row>
    <row r="479">
      <c r="A479" s="91" t="n"/>
      <c r="B479" s="111">
        <f>IF(AND(N('Deal maths'!F479)&gt;AsAt,N('Deal maths'!E479)&lt;=AsAt),IF(N('Deal maths'!H479)&gt;0,N('Deal maths'!H479),N('Deal maths'!D479)),0)</f>
        <v/>
      </c>
      <c r="C479" s="91">
        <f>IF(B479&gt;0,IF('Deal maths'!C479="Local authority","Local authorities",LOWER(TRIM('Deal maths'!B479))),"")</f>
        <v/>
      </c>
      <c r="D479" s="91">
        <f>IF(C479="","",IF(COUNTIF($C$4:C478,C479)=0,SUMIF($C$4:$C$3997,C479,$B$4:$B$3997)-ROW()/1000000,""))</f>
        <v/>
      </c>
      <c r="E479" s="91">
        <f>IF(AND(N('Deal maths'!F479)&gt;AsAt,N('Deal maths'!E479)&lt;=AsAt,IF(N('Deal maths'!H479)&gt;0,N('Deal maths'!H479),N('Deal maths'!D479))&gt;0),N('Deal maths'!F479)+ROW()/1000000,"")</f>
        <v/>
      </c>
    </row>
    <row r="480">
      <c r="A480" s="91" t="n"/>
      <c r="B480" s="111">
        <f>IF(AND(N('Deal maths'!F480)&gt;AsAt,N('Deal maths'!E480)&lt;=AsAt),IF(N('Deal maths'!H480)&gt;0,N('Deal maths'!H480),N('Deal maths'!D480)),0)</f>
        <v/>
      </c>
      <c r="C480" s="91">
        <f>IF(B480&gt;0,IF('Deal maths'!C480="Local authority","Local authorities",LOWER(TRIM('Deal maths'!B480))),"")</f>
        <v/>
      </c>
      <c r="D480" s="91">
        <f>IF(C480="","",IF(COUNTIF($C$4:C479,C480)=0,SUMIF($C$4:$C$3997,C480,$B$4:$B$3997)-ROW()/1000000,""))</f>
        <v/>
      </c>
      <c r="E480" s="91">
        <f>IF(AND(N('Deal maths'!F480)&gt;AsAt,N('Deal maths'!E480)&lt;=AsAt,IF(N('Deal maths'!H480)&gt;0,N('Deal maths'!H480),N('Deal maths'!D480))&gt;0),N('Deal maths'!F480)+ROW()/1000000,"")</f>
        <v/>
      </c>
    </row>
    <row r="481">
      <c r="A481" s="91" t="n"/>
      <c r="B481" s="111">
        <f>IF(AND(N('Deal maths'!F481)&gt;AsAt,N('Deal maths'!E481)&lt;=AsAt),IF(N('Deal maths'!H481)&gt;0,N('Deal maths'!H481),N('Deal maths'!D481)),0)</f>
        <v/>
      </c>
      <c r="C481" s="91">
        <f>IF(B481&gt;0,IF('Deal maths'!C481="Local authority","Local authorities",LOWER(TRIM('Deal maths'!B481))),"")</f>
        <v/>
      </c>
      <c r="D481" s="91">
        <f>IF(C481="","",IF(COUNTIF($C$4:C480,C481)=0,SUMIF($C$4:$C$3997,C481,$B$4:$B$3997)-ROW()/1000000,""))</f>
        <v/>
      </c>
      <c r="E481" s="91">
        <f>IF(AND(N('Deal maths'!F481)&gt;AsAt,N('Deal maths'!E481)&lt;=AsAt,IF(N('Deal maths'!H481)&gt;0,N('Deal maths'!H481),N('Deal maths'!D481))&gt;0),N('Deal maths'!F481)+ROW()/1000000,"")</f>
        <v/>
      </c>
    </row>
    <row r="482">
      <c r="A482" s="91" t="n"/>
      <c r="B482" s="111">
        <f>IF(AND(N('Deal maths'!F482)&gt;AsAt,N('Deal maths'!E482)&lt;=AsAt),IF(N('Deal maths'!H482)&gt;0,N('Deal maths'!H482),N('Deal maths'!D482)),0)</f>
        <v/>
      </c>
      <c r="C482" s="91">
        <f>IF(B482&gt;0,IF('Deal maths'!C482="Local authority","Local authorities",LOWER(TRIM('Deal maths'!B482))),"")</f>
        <v/>
      </c>
      <c r="D482" s="91">
        <f>IF(C482="","",IF(COUNTIF($C$4:C481,C482)=0,SUMIF($C$4:$C$3997,C482,$B$4:$B$3997)-ROW()/1000000,""))</f>
        <v/>
      </c>
      <c r="E482" s="91">
        <f>IF(AND(N('Deal maths'!F482)&gt;AsAt,N('Deal maths'!E482)&lt;=AsAt,IF(N('Deal maths'!H482)&gt;0,N('Deal maths'!H482),N('Deal maths'!D482))&gt;0),N('Deal maths'!F482)+ROW()/1000000,"")</f>
        <v/>
      </c>
    </row>
    <row r="483">
      <c r="A483" s="91" t="n"/>
      <c r="B483" s="111">
        <f>IF(AND(N('Deal maths'!F483)&gt;AsAt,N('Deal maths'!E483)&lt;=AsAt),IF(N('Deal maths'!H483)&gt;0,N('Deal maths'!H483),N('Deal maths'!D483)),0)</f>
        <v/>
      </c>
      <c r="C483" s="91">
        <f>IF(B483&gt;0,IF('Deal maths'!C483="Local authority","Local authorities",LOWER(TRIM('Deal maths'!B483))),"")</f>
        <v/>
      </c>
      <c r="D483" s="91">
        <f>IF(C483="","",IF(COUNTIF($C$4:C482,C483)=0,SUMIF($C$4:$C$3997,C483,$B$4:$B$3997)-ROW()/1000000,""))</f>
        <v/>
      </c>
      <c r="E483" s="91">
        <f>IF(AND(N('Deal maths'!F483)&gt;AsAt,N('Deal maths'!E483)&lt;=AsAt,IF(N('Deal maths'!H483)&gt;0,N('Deal maths'!H483),N('Deal maths'!D483))&gt;0),N('Deal maths'!F483)+ROW()/1000000,"")</f>
        <v/>
      </c>
    </row>
    <row r="484">
      <c r="A484" s="91" t="n"/>
      <c r="B484" s="111">
        <f>IF(AND(N('Deal maths'!F484)&gt;AsAt,N('Deal maths'!E484)&lt;=AsAt),IF(N('Deal maths'!H484)&gt;0,N('Deal maths'!H484),N('Deal maths'!D484)),0)</f>
        <v/>
      </c>
      <c r="C484" s="91">
        <f>IF(B484&gt;0,IF('Deal maths'!C484="Local authority","Local authorities",LOWER(TRIM('Deal maths'!B484))),"")</f>
        <v/>
      </c>
      <c r="D484" s="91">
        <f>IF(C484="","",IF(COUNTIF($C$4:C483,C484)=0,SUMIF($C$4:$C$3997,C484,$B$4:$B$3997)-ROW()/1000000,""))</f>
        <v/>
      </c>
      <c r="E484" s="91">
        <f>IF(AND(N('Deal maths'!F484)&gt;AsAt,N('Deal maths'!E484)&lt;=AsAt,IF(N('Deal maths'!H484)&gt;0,N('Deal maths'!H484),N('Deal maths'!D484))&gt;0),N('Deal maths'!F484)+ROW()/1000000,"")</f>
        <v/>
      </c>
    </row>
    <row r="485">
      <c r="A485" s="91" t="n"/>
      <c r="B485" s="111">
        <f>IF(AND(N('Deal maths'!F485)&gt;AsAt,N('Deal maths'!E485)&lt;=AsAt),IF(N('Deal maths'!H485)&gt;0,N('Deal maths'!H485),N('Deal maths'!D485)),0)</f>
        <v/>
      </c>
      <c r="C485" s="91">
        <f>IF(B485&gt;0,IF('Deal maths'!C485="Local authority","Local authorities",LOWER(TRIM('Deal maths'!B485))),"")</f>
        <v/>
      </c>
      <c r="D485" s="91">
        <f>IF(C485="","",IF(COUNTIF($C$4:C484,C485)=0,SUMIF($C$4:$C$3997,C485,$B$4:$B$3997)-ROW()/1000000,""))</f>
        <v/>
      </c>
      <c r="E485" s="91">
        <f>IF(AND(N('Deal maths'!F485)&gt;AsAt,N('Deal maths'!E485)&lt;=AsAt,IF(N('Deal maths'!H485)&gt;0,N('Deal maths'!H485),N('Deal maths'!D485))&gt;0),N('Deal maths'!F485)+ROW()/1000000,"")</f>
        <v/>
      </c>
    </row>
    <row r="486">
      <c r="A486" s="91" t="n"/>
      <c r="B486" s="111">
        <f>IF(AND(N('Deal maths'!F486)&gt;AsAt,N('Deal maths'!E486)&lt;=AsAt),IF(N('Deal maths'!H486)&gt;0,N('Deal maths'!H486),N('Deal maths'!D486)),0)</f>
        <v/>
      </c>
      <c r="C486" s="91">
        <f>IF(B486&gt;0,IF('Deal maths'!C486="Local authority","Local authorities",LOWER(TRIM('Deal maths'!B486))),"")</f>
        <v/>
      </c>
      <c r="D486" s="91">
        <f>IF(C486="","",IF(COUNTIF($C$4:C485,C486)=0,SUMIF($C$4:$C$3997,C486,$B$4:$B$3997)-ROW()/1000000,""))</f>
        <v/>
      </c>
      <c r="E486" s="91">
        <f>IF(AND(N('Deal maths'!F486)&gt;AsAt,N('Deal maths'!E486)&lt;=AsAt,IF(N('Deal maths'!H486)&gt;0,N('Deal maths'!H486),N('Deal maths'!D486))&gt;0),N('Deal maths'!F486)+ROW()/1000000,"")</f>
        <v/>
      </c>
    </row>
    <row r="487">
      <c r="A487" s="91" t="n"/>
      <c r="B487" s="111">
        <f>IF(AND(N('Deal maths'!F487)&gt;AsAt,N('Deal maths'!E487)&lt;=AsAt),IF(N('Deal maths'!H487)&gt;0,N('Deal maths'!H487),N('Deal maths'!D487)),0)</f>
        <v/>
      </c>
      <c r="C487" s="91">
        <f>IF(B487&gt;0,IF('Deal maths'!C487="Local authority","Local authorities",LOWER(TRIM('Deal maths'!B487))),"")</f>
        <v/>
      </c>
      <c r="D487" s="91">
        <f>IF(C487="","",IF(COUNTIF($C$4:C486,C487)=0,SUMIF($C$4:$C$3997,C487,$B$4:$B$3997)-ROW()/1000000,""))</f>
        <v/>
      </c>
      <c r="E487" s="91">
        <f>IF(AND(N('Deal maths'!F487)&gt;AsAt,N('Deal maths'!E487)&lt;=AsAt,IF(N('Deal maths'!H487)&gt;0,N('Deal maths'!H487),N('Deal maths'!D487))&gt;0),N('Deal maths'!F487)+ROW()/1000000,"")</f>
        <v/>
      </c>
    </row>
    <row r="488">
      <c r="A488" s="91" t="n"/>
      <c r="B488" s="111">
        <f>IF(AND(N('Deal maths'!F488)&gt;AsAt,N('Deal maths'!E488)&lt;=AsAt),IF(N('Deal maths'!H488)&gt;0,N('Deal maths'!H488),N('Deal maths'!D488)),0)</f>
        <v/>
      </c>
      <c r="C488" s="91">
        <f>IF(B488&gt;0,IF('Deal maths'!C488="Local authority","Local authorities",LOWER(TRIM('Deal maths'!B488))),"")</f>
        <v/>
      </c>
      <c r="D488" s="91">
        <f>IF(C488="","",IF(COUNTIF($C$4:C487,C488)=0,SUMIF($C$4:$C$3997,C488,$B$4:$B$3997)-ROW()/1000000,""))</f>
        <v/>
      </c>
      <c r="E488" s="91">
        <f>IF(AND(N('Deal maths'!F488)&gt;AsAt,N('Deal maths'!E488)&lt;=AsAt,IF(N('Deal maths'!H488)&gt;0,N('Deal maths'!H488),N('Deal maths'!D488))&gt;0),N('Deal maths'!F488)+ROW()/1000000,"")</f>
        <v/>
      </c>
    </row>
    <row r="489">
      <c r="A489" s="91" t="n"/>
      <c r="B489" s="111">
        <f>IF(AND(N('Deal maths'!F489)&gt;AsAt,N('Deal maths'!E489)&lt;=AsAt),IF(N('Deal maths'!H489)&gt;0,N('Deal maths'!H489),N('Deal maths'!D489)),0)</f>
        <v/>
      </c>
      <c r="C489" s="91">
        <f>IF(B489&gt;0,IF('Deal maths'!C489="Local authority","Local authorities",LOWER(TRIM('Deal maths'!B489))),"")</f>
        <v/>
      </c>
      <c r="D489" s="91">
        <f>IF(C489="","",IF(COUNTIF($C$4:C488,C489)=0,SUMIF($C$4:$C$3997,C489,$B$4:$B$3997)-ROW()/1000000,""))</f>
        <v/>
      </c>
      <c r="E489" s="91">
        <f>IF(AND(N('Deal maths'!F489)&gt;AsAt,N('Deal maths'!E489)&lt;=AsAt,IF(N('Deal maths'!H489)&gt;0,N('Deal maths'!H489),N('Deal maths'!D489))&gt;0),N('Deal maths'!F489)+ROW()/1000000,"")</f>
        <v/>
      </c>
    </row>
    <row r="490">
      <c r="A490" s="91" t="n"/>
      <c r="B490" s="111">
        <f>IF(AND(N('Deal maths'!F490)&gt;AsAt,N('Deal maths'!E490)&lt;=AsAt),IF(N('Deal maths'!H490)&gt;0,N('Deal maths'!H490),N('Deal maths'!D490)),0)</f>
        <v/>
      </c>
      <c r="C490" s="91">
        <f>IF(B490&gt;0,IF('Deal maths'!C490="Local authority","Local authorities",LOWER(TRIM('Deal maths'!B490))),"")</f>
        <v/>
      </c>
      <c r="D490" s="91">
        <f>IF(C490="","",IF(COUNTIF($C$4:C489,C490)=0,SUMIF($C$4:$C$3997,C490,$B$4:$B$3997)-ROW()/1000000,""))</f>
        <v/>
      </c>
      <c r="E490" s="91">
        <f>IF(AND(N('Deal maths'!F490)&gt;AsAt,N('Deal maths'!E490)&lt;=AsAt,IF(N('Deal maths'!H490)&gt;0,N('Deal maths'!H490),N('Deal maths'!D490))&gt;0),N('Deal maths'!F490)+ROW()/1000000,"")</f>
        <v/>
      </c>
    </row>
    <row r="491">
      <c r="A491" s="91" t="n"/>
      <c r="B491" s="111">
        <f>IF(AND(N('Deal maths'!F491)&gt;AsAt,N('Deal maths'!E491)&lt;=AsAt),IF(N('Deal maths'!H491)&gt;0,N('Deal maths'!H491),N('Deal maths'!D491)),0)</f>
        <v/>
      </c>
      <c r="C491" s="91">
        <f>IF(B491&gt;0,IF('Deal maths'!C491="Local authority","Local authorities",LOWER(TRIM('Deal maths'!B491))),"")</f>
        <v/>
      </c>
      <c r="D491" s="91">
        <f>IF(C491="","",IF(COUNTIF($C$4:C490,C491)=0,SUMIF($C$4:$C$3997,C491,$B$4:$B$3997)-ROW()/1000000,""))</f>
        <v/>
      </c>
      <c r="E491" s="91">
        <f>IF(AND(N('Deal maths'!F491)&gt;AsAt,N('Deal maths'!E491)&lt;=AsAt,IF(N('Deal maths'!H491)&gt;0,N('Deal maths'!H491),N('Deal maths'!D491))&gt;0),N('Deal maths'!F491)+ROW()/1000000,"")</f>
        <v/>
      </c>
    </row>
    <row r="492">
      <c r="A492" s="91" t="n"/>
      <c r="B492" s="111">
        <f>IF(AND(N('Deal maths'!F492)&gt;AsAt,N('Deal maths'!E492)&lt;=AsAt),IF(N('Deal maths'!H492)&gt;0,N('Deal maths'!H492),N('Deal maths'!D492)),0)</f>
        <v/>
      </c>
      <c r="C492" s="91">
        <f>IF(B492&gt;0,IF('Deal maths'!C492="Local authority","Local authorities",LOWER(TRIM('Deal maths'!B492))),"")</f>
        <v/>
      </c>
      <c r="D492" s="91">
        <f>IF(C492="","",IF(COUNTIF($C$4:C491,C492)=0,SUMIF($C$4:$C$3997,C492,$B$4:$B$3997)-ROW()/1000000,""))</f>
        <v/>
      </c>
      <c r="E492" s="91">
        <f>IF(AND(N('Deal maths'!F492)&gt;AsAt,N('Deal maths'!E492)&lt;=AsAt,IF(N('Deal maths'!H492)&gt;0,N('Deal maths'!H492),N('Deal maths'!D492))&gt;0),N('Deal maths'!F492)+ROW()/1000000,"")</f>
        <v/>
      </c>
    </row>
    <row r="493">
      <c r="A493" s="91" t="n"/>
      <c r="B493" s="111">
        <f>IF(AND(N('Deal maths'!F493)&gt;AsAt,N('Deal maths'!E493)&lt;=AsAt),IF(N('Deal maths'!H493)&gt;0,N('Deal maths'!H493),N('Deal maths'!D493)),0)</f>
        <v/>
      </c>
      <c r="C493" s="91">
        <f>IF(B493&gt;0,IF('Deal maths'!C493="Local authority","Local authorities",LOWER(TRIM('Deal maths'!B493))),"")</f>
        <v/>
      </c>
      <c r="D493" s="91">
        <f>IF(C493="","",IF(COUNTIF($C$4:C492,C493)=0,SUMIF($C$4:$C$3997,C493,$B$4:$B$3997)-ROW()/1000000,""))</f>
        <v/>
      </c>
      <c r="E493" s="91">
        <f>IF(AND(N('Deal maths'!F493)&gt;AsAt,N('Deal maths'!E493)&lt;=AsAt,IF(N('Deal maths'!H493)&gt;0,N('Deal maths'!H493),N('Deal maths'!D493))&gt;0),N('Deal maths'!F493)+ROW()/1000000,"")</f>
        <v/>
      </c>
    </row>
    <row r="494">
      <c r="A494" s="91" t="n"/>
      <c r="B494" s="111">
        <f>IF(AND(N('Deal maths'!F494)&gt;AsAt,N('Deal maths'!E494)&lt;=AsAt),IF(N('Deal maths'!H494)&gt;0,N('Deal maths'!H494),N('Deal maths'!D494)),0)</f>
        <v/>
      </c>
      <c r="C494" s="91">
        <f>IF(B494&gt;0,IF('Deal maths'!C494="Local authority","Local authorities",LOWER(TRIM('Deal maths'!B494))),"")</f>
        <v/>
      </c>
      <c r="D494" s="91">
        <f>IF(C494="","",IF(COUNTIF($C$4:C493,C494)=0,SUMIF($C$4:$C$3997,C494,$B$4:$B$3997)-ROW()/1000000,""))</f>
        <v/>
      </c>
      <c r="E494" s="91">
        <f>IF(AND(N('Deal maths'!F494)&gt;AsAt,N('Deal maths'!E494)&lt;=AsAt,IF(N('Deal maths'!H494)&gt;0,N('Deal maths'!H494),N('Deal maths'!D494))&gt;0),N('Deal maths'!F494)+ROW()/1000000,"")</f>
        <v/>
      </c>
    </row>
    <row r="495">
      <c r="A495" s="91" t="n"/>
      <c r="B495" s="111">
        <f>IF(AND(N('Deal maths'!F495)&gt;AsAt,N('Deal maths'!E495)&lt;=AsAt),IF(N('Deal maths'!H495)&gt;0,N('Deal maths'!H495),N('Deal maths'!D495)),0)</f>
        <v/>
      </c>
      <c r="C495" s="91">
        <f>IF(B495&gt;0,IF('Deal maths'!C495="Local authority","Local authorities",LOWER(TRIM('Deal maths'!B495))),"")</f>
        <v/>
      </c>
      <c r="D495" s="91">
        <f>IF(C495="","",IF(COUNTIF($C$4:C494,C495)=0,SUMIF($C$4:$C$3997,C495,$B$4:$B$3997)-ROW()/1000000,""))</f>
        <v/>
      </c>
      <c r="E495" s="91">
        <f>IF(AND(N('Deal maths'!F495)&gt;AsAt,N('Deal maths'!E495)&lt;=AsAt,IF(N('Deal maths'!H495)&gt;0,N('Deal maths'!H495),N('Deal maths'!D495))&gt;0),N('Deal maths'!F495)+ROW()/1000000,"")</f>
        <v/>
      </c>
    </row>
    <row r="496">
      <c r="A496" s="91" t="n"/>
      <c r="B496" s="111">
        <f>IF(AND(N('Deal maths'!F496)&gt;AsAt,N('Deal maths'!E496)&lt;=AsAt),IF(N('Deal maths'!H496)&gt;0,N('Deal maths'!H496),N('Deal maths'!D496)),0)</f>
        <v/>
      </c>
      <c r="C496" s="91">
        <f>IF(B496&gt;0,IF('Deal maths'!C496="Local authority","Local authorities",LOWER(TRIM('Deal maths'!B496))),"")</f>
        <v/>
      </c>
      <c r="D496" s="91">
        <f>IF(C496="","",IF(COUNTIF($C$4:C495,C496)=0,SUMIF($C$4:$C$3997,C496,$B$4:$B$3997)-ROW()/1000000,""))</f>
        <v/>
      </c>
      <c r="E496" s="91">
        <f>IF(AND(N('Deal maths'!F496)&gt;AsAt,N('Deal maths'!E496)&lt;=AsAt,IF(N('Deal maths'!H496)&gt;0,N('Deal maths'!H496),N('Deal maths'!D496))&gt;0),N('Deal maths'!F496)+ROW()/1000000,"")</f>
        <v/>
      </c>
    </row>
    <row r="497">
      <c r="A497" s="91" t="n"/>
      <c r="B497" s="111">
        <f>IF(AND(N('Deal maths'!F497)&gt;AsAt,N('Deal maths'!E497)&lt;=AsAt),IF(N('Deal maths'!H497)&gt;0,N('Deal maths'!H497),N('Deal maths'!D497)),0)</f>
        <v/>
      </c>
      <c r="C497" s="91">
        <f>IF(B497&gt;0,IF('Deal maths'!C497="Local authority","Local authorities",LOWER(TRIM('Deal maths'!B497))),"")</f>
        <v/>
      </c>
      <c r="D497" s="91">
        <f>IF(C497="","",IF(COUNTIF($C$4:C496,C497)=0,SUMIF($C$4:$C$3997,C497,$B$4:$B$3997)-ROW()/1000000,""))</f>
        <v/>
      </c>
      <c r="E497" s="91">
        <f>IF(AND(N('Deal maths'!F497)&gt;AsAt,N('Deal maths'!E497)&lt;=AsAt,IF(N('Deal maths'!H497)&gt;0,N('Deal maths'!H497),N('Deal maths'!D497))&gt;0),N('Deal maths'!F497)+ROW()/1000000,"")</f>
        <v/>
      </c>
    </row>
    <row r="498">
      <c r="A498" s="91" t="n"/>
      <c r="B498" s="111">
        <f>IF(AND(N('Deal maths'!F498)&gt;AsAt,N('Deal maths'!E498)&lt;=AsAt),IF(N('Deal maths'!H498)&gt;0,N('Deal maths'!H498),N('Deal maths'!D498)),0)</f>
        <v/>
      </c>
      <c r="C498" s="91">
        <f>IF(B498&gt;0,IF('Deal maths'!C498="Local authority","Local authorities",LOWER(TRIM('Deal maths'!B498))),"")</f>
        <v/>
      </c>
      <c r="D498" s="91">
        <f>IF(C498="","",IF(COUNTIF($C$4:C497,C498)=0,SUMIF($C$4:$C$3997,C498,$B$4:$B$3997)-ROW()/1000000,""))</f>
        <v/>
      </c>
      <c r="E498" s="91">
        <f>IF(AND(N('Deal maths'!F498)&gt;AsAt,N('Deal maths'!E498)&lt;=AsAt,IF(N('Deal maths'!H498)&gt;0,N('Deal maths'!H498),N('Deal maths'!D498))&gt;0),N('Deal maths'!F498)+ROW()/1000000,"")</f>
        <v/>
      </c>
    </row>
    <row r="499">
      <c r="A499" s="91" t="n"/>
      <c r="B499" s="111">
        <f>IF(AND(N('Deal maths'!F499)&gt;AsAt,N('Deal maths'!E499)&lt;=AsAt),IF(N('Deal maths'!H499)&gt;0,N('Deal maths'!H499),N('Deal maths'!D499)),0)</f>
        <v/>
      </c>
      <c r="C499" s="91">
        <f>IF(B499&gt;0,IF('Deal maths'!C499="Local authority","Local authorities",LOWER(TRIM('Deal maths'!B499))),"")</f>
        <v/>
      </c>
      <c r="D499" s="91">
        <f>IF(C499="","",IF(COUNTIF($C$4:C498,C499)=0,SUMIF($C$4:$C$3997,C499,$B$4:$B$3997)-ROW()/1000000,""))</f>
        <v/>
      </c>
      <c r="E499" s="91">
        <f>IF(AND(N('Deal maths'!F499)&gt;AsAt,N('Deal maths'!E499)&lt;=AsAt,IF(N('Deal maths'!H499)&gt;0,N('Deal maths'!H499),N('Deal maths'!D499))&gt;0),N('Deal maths'!F499)+ROW()/1000000,"")</f>
        <v/>
      </c>
    </row>
    <row r="500">
      <c r="A500" s="91" t="n"/>
      <c r="B500" s="111">
        <f>IF(AND(N('Deal maths'!F500)&gt;AsAt,N('Deal maths'!E500)&lt;=AsAt),IF(N('Deal maths'!H500)&gt;0,N('Deal maths'!H500),N('Deal maths'!D500)),0)</f>
        <v/>
      </c>
      <c r="C500" s="91">
        <f>IF(B500&gt;0,IF('Deal maths'!C500="Local authority","Local authorities",LOWER(TRIM('Deal maths'!B500))),"")</f>
        <v/>
      </c>
      <c r="D500" s="91">
        <f>IF(C500="","",IF(COUNTIF($C$4:C499,C500)=0,SUMIF($C$4:$C$3997,C500,$B$4:$B$3997)-ROW()/1000000,""))</f>
        <v/>
      </c>
      <c r="E500" s="91">
        <f>IF(AND(N('Deal maths'!F500)&gt;AsAt,N('Deal maths'!E500)&lt;=AsAt,IF(N('Deal maths'!H500)&gt;0,N('Deal maths'!H500),N('Deal maths'!D500))&gt;0),N('Deal maths'!F500)+ROW()/1000000,"")</f>
        <v/>
      </c>
    </row>
    <row r="501">
      <c r="A501" s="91" t="n"/>
      <c r="B501" s="111">
        <f>IF(AND(N('Deal maths'!F501)&gt;AsAt,N('Deal maths'!E501)&lt;=AsAt),IF(N('Deal maths'!H501)&gt;0,N('Deal maths'!H501),N('Deal maths'!D501)),0)</f>
        <v/>
      </c>
      <c r="C501" s="91">
        <f>IF(B501&gt;0,IF('Deal maths'!C501="Local authority","Local authorities",LOWER(TRIM('Deal maths'!B501))),"")</f>
        <v/>
      </c>
      <c r="D501" s="91">
        <f>IF(C501="","",IF(COUNTIF($C$4:C500,C501)=0,SUMIF($C$4:$C$3997,C501,$B$4:$B$3997)-ROW()/1000000,""))</f>
        <v/>
      </c>
      <c r="E501" s="91">
        <f>IF(AND(N('Deal maths'!F501)&gt;AsAt,N('Deal maths'!E501)&lt;=AsAt,IF(N('Deal maths'!H501)&gt;0,N('Deal maths'!H501),N('Deal maths'!D501))&gt;0),N('Deal maths'!F501)+ROW()/1000000,"")</f>
        <v/>
      </c>
    </row>
    <row r="502">
      <c r="A502" s="91" t="n"/>
      <c r="B502" s="111">
        <f>IF(AND(N('Deal maths'!F502)&gt;AsAt,N('Deal maths'!E502)&lt;=AsAt),IF(N('Deal maths'!H502)&gt;0,N('Deal maths'!H502),N('Deal maths'!D502)),0)</f>
        <v/>
      </c>
      <c r="C502" s="91">
        <f>IF(B502&gt;0,IF('Deal maths'!C502="Local authority","Local authorities",LOWER(TRIM('Deal maths'!B502))),"")</f>
        <v/>
      </c>
      <c r="D502" s="91">
        <f>IF(C502="","",IF(COUNTIF($C$4:C501,C502)=0,SUMIF($C$4:$C$3997,C502,$B$4:$B$3997)-ROW()/1000000,""))</f>
        <v/>
      </c>
      <c r="E502" s="91">
        <f>IF(AND(N('Deal maths'!F502)&gt;AsAt,N('Deal maths'!E502)&lt;=AsAt,IF(N('Deal maths'!H502)&gt;0,N('Deal maths'!H502),N('Deal maths'!D502))&gt;0),N('Deal maths'!F502)+ROW()/1000000,"")</f>
        <v/>
      </c>
    </row>
    <row r="503">
      <c r="A503" s="91" t="n"/>
      <c r="B503" s="111">
        <f>IF(AND(N('Deal maths'!F503)&gt;AsAt,N('Deal maths'!E503)&lt;=AsAt),IF(N('Deal maths'!H503)&gt;0,N('Deal maths'!H503),N('Deal maths'!D503)),0)</f>
        <v/>
      </c>
      <c r="C503" s="91">
        <f>IF(B503&gt;0,IF('Deal maths'!C503="Local authority","Local authorities",LOWER(TRIM('Deal maths'!B503))),"")</f>
        <v/>
      </c>
      <c r="D503" s="91">
        <f>IF(C503="","",IF(COUNTIF($C$4:C502,C503)=0,SUMIF($C$4:$C$3997,C503,$B$4:$B$3997)-ROW()/1000000,""))</f>
        <v/>
      </c>
      <c r="E503" s="91">
        <f>IF(AND(N('Deal maths'!F503)&gt;AsAt,N('Deal maths'!E503)&lt;=AsAt,IF(N('Deal maths'!H503)&gt;0,N('Deal maths'!H503),N('Deal maths'!D503))&gt;0),N('Deal maths'!F503)+ROW()/1000000,"")</f>
        <v/>
      </c>
    </row>
    <row r="504">
      <c r="A504" s="91" t="n"/>
      <c r="B504" s="111">
        <f>IF(AND(N('Deal maths'!F504)&gt;AsAt,N('Deal maths'!E504)&lt;=AsAt),IF(N('Deal maths'!H504)&gt;0,N('Deal maths'!H504),N('Deal maths'!D504)),0)</f>
        <v/>
      </c>
      <c r="C504" s="91">
        <f>IF(B504&gt;0,IF('Deal maths'!C504="Local authority","Local authorities",LOWER(TRIM('Deal maths'!B504))),"")</f>
        <v/>
      </c>
      <c r="D504" s="91">
        <f>IF(C504="","",IF(COUNTIF($C$4:C503,C504)=0,SUMIF($C$4:$C$3997,C504,$B$4:$B$3997)-ROW()/1000000,""))</f>
        <v/>
      </c>
      <c r="E504" s="91">
        <f>IF(AND(N('Deal maths'!F504)&gt;AsAt,N('Deal maths'!E504)&lt;=AsAt,IF(N('Deal maths'!H504)&gt;0,N('Deal maths'!H504),N('Deal maths'!D504))&gt;0),N('Deal maths'!F504)+ROW()/1000000,"")</f>
        <v/>
      </c>
    </row>
    <row r="505">
      <c r="A505" s="91" t="n"/>
      <c r="B505" s="111">
        <f>IF(AND(N('Deal maths'!F505)&gt;AsAt,N('Deal maths'!E505)&lt;=AsAt),IF(N('Deal maths'!H505)&gt;0,N('Deal maths'!H505),N('Deal maths'!D505)),0)</f>
        <v/>
      </c>
      <c r="C505" s="91">
        <f>IF(B505&gt;0,IF('Deal maths'!C505="Local authority","Local authorities",LOWER(TRIM('Deal maths'!B505))),"")</f>
        <v/>
      </c>
      <c r="D505" s="91">
        <f>IF(C505="","",IF(COUNTIF($C$4:C504,C505)=0,SUMIF($C$4:$C$3997,C505,$B$4:$B$3997)-ROW()/1000000,""))</f>
        <v/>
      </c>
      <c r="E505" s="91">
        <f>IF(AND(N('Deal maths'!F505)&gt;AsAt,N('Deal maths'!E505)&lt;=AsAt,IF(N('Deal maths'!H505)&gt;0,N('Deal maths'!H505),N('Deal maths'!D505))&gt;0),N('Deal maths'!F505)+ROW()/1000000,"")</f>
        <v/>
      </c>
    </row>
    <row r="506">
      <c r="A506" s="91" t="n"/>
      <c r="B506" s="111">
        <f>IF(AND(N('Deal maths'!F506)&gt;AsAt,N('Deal maths'!E506)&lt;=AsAt),IF(N('Deal maths'!H506)&gt;0,N('Deal maths'!H506),N('Deal maths'!D506)),0)</f>
        <v/>
      </c>
      <c r="C506" s="91">
        <f>IF(B506&gt;0,IF('Deal maths'!C506="Local authority","Local authorities",LOWER(TRIM('Deal maths'!B506))),"")</f>
        <v/>
      </c>
      <c r="D506" s="91">
        <f>IF(C506="","",IF(COUNTIF($C$4:C505,C506)=0,SUMIF($C$4:$C$3997,C506,$B$4:$B$3997)-ROW()/1000000,""))</f>
        <v/>
      </c>
      <c r="E506" s="91">
        <f>IF(AND(N('Deal maths'!F506)&gt;AsAt,N('Deal maths'!E506)&lt;=AsAt,IF(N('Deal maths'!H506)&gt;0,N('Deal maths'!H506),N('Deal maths'!D506))&gt;0),N('Deal maths'!F506)+ROW()/1000000,"")</f>
        <v/>
      </c>
    </row>
    <row r="507">
      <c r="A507" s="91" t="n"/>
      <c r="B507" s="111">
        <f>IF(AND(N('Deal maths'!F507)&gt;AsAt,N('Deal maths'!E507)&lt;=AsAt),IF(N('Deal maths'!H507)&gt;0,N('Deal maths'!H507),N('Deal maths'!D507)),0)</f>
        <v/>
      </c>
      <c r="C507" s="91">
        <f>IF(B507&gt;0,IF('Deal maths'!C507="Local authority","Local authorities",LOWER(TRIM('Deal maths'!B507))),"")</f>
        <v/>
      </c>
      <c r="D507" s="91">
        <f>IF(C507="","",IF(COUNTIF($C$4:C506,C507)=0,SUMIF($C$4:$C$3997,C507,$B$4:$B$3997)-ROW()/1000000,""))</f>
        <v/>
      </c>
      <c r="E507" s="91">
        <f>IF(AND(N('Deal maths'!F507)&gt;AsAt,N('Deal maths'!E507)&lt;=AsAt,IF(N('Deal maths'!H507)&gt;0,N('Deal maths'!H507),N('Deal maths'!D507))&gt;0),N('Deal maths'!F507)+ROW()/1000000,"")</f>
        <v/>
      </c>
    </row>
    <row r="508">
      <c r="A508" s="91" t="n"/>
      <c r="B508" s="111">
        <f>IF(AND(N('Deal maths'!F508)&gt;AsAt,N('Deal maths'!E508)&lt;=AsAt),IF(N('Deal maths'!H508)&gt;0,N('Deal maths'!H508),N('Deal maths'!D508)),0)</f>
        <v/>
      </c>
      <c r="C508" s="91">
        <f>IF(B508&gt;0,IF('Deal maths'!C508="Local authority","Local authorities",LOWER(TRIM('Deal maths'!B508))),"")</f>
        <v/>
      </c>
      <c r="D508" s="91">
        <f>IF(C508="","",IF(COUNTIF($C$4:C507,C508)=0,SUMIF($C$4:$C$3997,C508,$B$4:$B$3997)-ROW()/1000000,""))</f>
        <v/>
      </c>
      <c r="E508" s="91">
        <f>IF(AND(N('Deal maths'!F508)&gt;AsAt,N('Deal maths'!E508)&lt;=AsAt,IF(N('Deal maths'!H508)&gt;0,N('Deal maths'!H508),N('Deal maths'!D508))&gt;0),N('Deal maths'!F508)+ROW()/1000000,"")</f>
        <v/>
      </c>
    </row>
    <row r="509">
      <c r="A509" s="91" t="n"/>
      <c r="B509" s="111">
        <f>IF(AND(N('Deal maths'!F509)&gt;AsAt,N('Deal maths'!E509)&lt;=AsAt),IF(N('Deal maths'!H509)&gt;0,N('Deal maths'!H509),N('Deal maths'!D509)),0)</f>
        <v/>
      </c>
      <c r="C509" s="91">
        <f>IF(B509&gt;0,IF('Deal maths'!C509="Local authority","Local authorities",LOWER(TRIM('Deal maths'!B509))),"")</f>
        <v/>
      </c>
      <c r="D509" s="91">
        <f>IF(C509="","",IF(COUNTIF($C$4:C508,C509)=0,SUMIF($C$4:$C$3997,C509,$B$4:$B$3997)-ROW()/1000000,""))</f>
        <v/>
      </c>
      <c r="E509" s="91">
        <f>IF(AND(N('Deal maths'!F509)&gt;AsAt,N('Deal maths'!E509)&lt;=AsAt,IF(N('Deal maths'!H509)&gt;0,N('Deal maths'!H509),N('Deal maths'!D509))&gt;0),N('Deal maths'!F509)+ROW()/1000000,"")</f>
        <v/>
      </c>
    </row>
    <row r="510">
      <c r="A510" s="91" t="n"/>
      <c r="B510" s="111">
        <f>IF(AND(N('Deal maths'!F510)&gt;AsAt,N('Deal maths'!E510)&lt;=AsAt),IF(N('Deal maths'!H510)&gt;0,N('Deal maths'!H510),N('Deal maths'!D510)),0)</f>
        <v/>
      </c>
      <c r="C510" s="91">
        <f>IF(B510&gt;0,IF('Deal maths'!C510="Local authority","Local authorities",LOWER(TRIM('Deal maths'!B510))),"")</f>
        <v/>
      </c>
      <c r="D510" s="91">
        <f>IF(C510="","",IF(COUNTIF($C$4:C509,C510)=0,SUMIF($C$4:$C$3997,C510,$B$4:$B$3997)-ROW()/1000000,""))</f>
        <v/>
      </c>
      <c r="E510" s="91">
        <f>IF(AND(N('Deal maths'!F510)&gt;AsAt,N('Deal maths'!E510)&lt;=AsAt,IF(N('Deal maths'!H510)&gt;0,N('Deal maths'!H510),N('Deal maths'!D510))&gt;0),N('Deal maths'!F510)+ROW()/1000000,"")</f>
        <v/>
      </c>
    </row>
    <row r="511">
      <c r="A511" s="91" t="n"/>
      <c r="B511" s="111">
        <f>IF(AND(N('Deal maths'!F511)&gt;AsAt,N('Deal maths'!E511)&lt;=AsAt),IF(N('Deal maths'!H511)&gt;0,N('Deal maths'!H511),N('Deal maths'!D511)),0)</f>
        <v/>
      </c>
      <c r="C511" s="91">
        <f>IF(B511&gt;0,IF('Deal maths'!C511="Local authority","Local authorities",LOWER(TRIM('Deal maths'!B511))),"")</f>
        <v/>
      </c>
      <c r="D511" s="91">
        <f>IF(C511="","",IF(COUNTIF($C$4:C510,C511)=0,SUMIF($C$4:$C$3997,C511,$B$4:$B$3997)-ROW()/1000000,""))</f>
        <v/>
      </c>
      <c r="E511" s="91">
        <f>IF(AND(N('Deal maths'!F511)&gt;AsAt,N('Deal maths'!E511)&lt;=AsAt,IF(N('Deal maths'!H511)&gt;0,N('Deal maths'!H511),N('Deal maths'!D511))&gt;0),N('Deal maths'!F511)+ROW()/1000000,"")</f>
        <v/>
      </c>
    </row>
    <row r="512">
      <c r="A512" s="91" t="n"/>
      <c r="B512" s="111">
        <f>IF(AND(N('Deal maths'!F512)&gt;AsAt,N('Deal maths'!E512)&lt;=AsAt),IF(N('Deal maths'!H512)&gt;0,N('Deal maths'!H512),N('Deal maths'!D512)),0)</f>
        <v/>
      </c>
      <c r="C512" s="91">
        <f>IF(B512&gt;0,IF('Deal maths'!C512="Local authority","Local authorities",LOWER(TRIM('Deal maths'!B512))),"")</f>
        <v/>
      </c>
      <c r="D512" s="91">
        <f>IF(C512="","",IF(COUNTIF($C$4:C511,C512)=0,SUMIF($C$4:$C$3997,C512,$B$4:$B$3997)-ROW()/1000000,""))</f>
        <v/>
      </c>
      <c r="E512" s="91">
        <f>IF(AND(N('Deal maths'!F512)&gt;AsAt,N('Deal maths'!E512)&lt;=AsAt,IF(N('Deal maths'!H512)&gt;0,N('Deal maths'!H512),N('Deal maths'!D512))&gt;0),N('Deal maths'!F512)+ROW()/1000000,"")</f>
        <v/>
      </c>
    </row>
    <row r="513">
      <c r="A513" s="91" t="n"/>
      <c r="B513" s="111">
        <f>IF(AND(N('Deal maths'!F513)&gt;AsAt,N('Deal maths'!E513)&lt;=AsAt),IF(N('Deal maths'!H513)&gt;0,N('Deal maths'!H513),N('Deal maths'!D513)),0)</f>
        <v/>
      </c>
      <c r="C513" s="91">
        <f>IF(B513&gt;0,IF('Deal maths'!C513="Local authority","Local authorities",LOWER(TRIM('Deal maths'!B513))),"")</f>
        <v/>
      </c>
      <c r="D513" s="91">
        <f>IF(C513="","",IF(COUNTIF($C$4:C512,C513)=0,SUMIF($C$4:$C$3997,C513,$B$4:$B$3997)-ROW()/1000000,""))</f>
        <v/>
      </c>
      <c r="E513" s="91">
        <f>IF(AND(N('Deal maths'!F513)&gt;AsAt,N('Deal maths'!E513)&lt;=AsAt,IF(N('Deal maths'!H513)&gt;0,N('Deal maths'!H513),N('Deal maths'!D513))&gt;0),N('Deal maths'!F513)+ROW()/1000000,"")</f>
        <v/>
      </c>
    </row>
    <row r="514">
      <c r="A514" s="91" t="n"/>
      <c r="B514" s="111">
        <f>IF(AND(N('Deal maths'!F514)&gt;AsAt,N('Deal maths'!E514)&lt;=AsAt),IF(N('Deal maths'!H514)&gt;0,N('Deal maths'!H514),N('Deal maths'!D514)),0)</f>
        <v/>
      </c>
      <c r="C514" s="91">
        <f>IF(B514&gt;0,IF('Deal maths'!C514="Local authority","Local authorities",LOWER(TRIM('Deal maths'!B514))),"")</f>
        <v/>
      </c>
      <c r="D514" s="91">
        <f>IF(C514="","",IF(COUNTIF($C$4:C513,C514)=0,SUMIF($C$4:$C$3997,C514,$B$4:$B$3997)-ROW()/1000000,""))</f>
        <v/>
      </c>
      <c r="E514" s="91">
        <f>IF(AND(N('Deal maths'!F514)&gt;AsAt,N('Deal maths'!E514)&lt;=AsAt,IF(N('Deal maths'!H514)&gt;0,N('Deal maths'!H514),N('Deal maths'!D514))&gt;0),N('Deal maths'!F514)+ROW()/1000000,"")</f>
        <v/>
      </c>
    </row>
    <row r="515">
      <c r="A515" s="91" t="n"/>
      <c r="B515" s="111">
        <f>IF(AND(N('Deal maths'!F515)&gt;AsAt,N('Deal maths'!E515)&lt;=AsAt),IF(N('Deal maths'!H515)&gt;0,N('Deal maths'!H515),N('Deal maths'!D515)),0)</f>
        <v/>
      </c>
      <c r="C515" s="91">
        <f>IF(B515&gt;0,IF('Deal maths'!C515="Local authority","Local authorities",LOWER(TRIM('Deal maths'!B515))),"")</f>
        <v/>
      </c>
      <c r="D515" s="91">
        <f>IF(C515="","",IF(COUNTIF($C$4:C514,C515)=0,SUMIF($C$4:$C$3997,C515,$B$4:$B$3997)-ROW()/1000000,""))</f>
        <v/>
      </c>
      <c r="E515" s="91">
        <f>IF(AND(N('Deal maths'!F515)&gt;AsAt,N('Deal maths'!E515)&lt;=AsAt,IF(N('Deal maths'!H515)&gt;0,N('Deal maths'!H515),N('Deal maths'!D515))&gt;0),N('Deal maths'!F515)+ROW()/1000000,"")</f>
        <v/>
      </c>
    </row>
    <row r="516">
      <c r="A516" s="91" t="n"/>
      <c r="B516" s="111">
        <f>IF(AND(N('Deal maths'!F516)&gt;AsAt,N('Deal maths'!E516)&lt;=AsAt),IF(N('Deal maths'!H516)&gt;0,N('Deal maths'!H516),N('Deal maths'!D516)),0)</f>
        <v/>
      </c>
      <c r="C516" s="91">
        <f>IF(B516&gt;0,IF('Deal maths'!C516="Local authority","Local authorities",LOWER(TRIM('Deal maths'!B516))),"")</f>
        <v/>
      </c>
      <c r="D516" s="91">
        <f>IF(C516="","",IF(COUNTIF($C$4:C515,C516)=0,SUMIF($C$4:$C$3997,C516,$B$4:$B$3997)-ROW()/1000000,""))</f>
        <v/>
      </c>
      <c r="E516" s="91">
        <f>IF(AND(N('Deal maths'!F516)&gt;AsAt,N('Deal maths'!E516)&lt;=AsAt,IF(N('Deal maths'!H516)&gt;0,N('Deal maths'!H516),N('Deal maths'!D516))&gt;0),N('Deal maths'!F516)+ROW()/1000000,"")</f>
        <v/>
      </c>
    </row>
    <row r="517">
      <c r="A517" s="91" t="n"/>
      <c r="B517" s="111">
        <f>IF(AND(N('Deal maths'!F517)&gt;AsAt,N('Deal maths'!E517)&lt;=AsAt),IF(N('Deal maths'!H517)&gt;0,N('Deal maths'!H517),N('Deal maths'!D517)),0)</f>
        <v/>
      </c>
      <c r="C517" s="91">
        <f>IF(B517&gt;0,IF('Deal maths'!C517="Local authority","Local authorities",LOWER(TRIM('Deal maths'!B517))),"")</f>
        <v/>
      </c>
      <c r="D517" s="91">
        <f>IF(C517="","",IF(COUNTIF($C$4:C516,C517)=0,SUMIF($C$4:$C$3997,C517,$B$4:$B$3997)-ROW()/1000000,""))</f>
        <v/>
      </c>
      <c r="E517" s="91">
        <f>IF(AND(N('Deal maths'!F517)&gt;AsAt,N('Deal maths'!E517)&lt;=AsAt,IF(N('Deal maths'!H517)&gt;0,N('Deal maths'!H517),N('Deal maths'!D517))&gt;0),N('Deal maths'!F517)+ROW()/1000000,"")</f>
        <v/>
      </c>
    </row>
    <row r="518">
      <c r="A518" s="91" t="n"/>
      <c r="B518" s="111">
        <f>IF(AND(N('Deal maths'!F518)&gt;AsAt,N('Deal maths'!E518)&lt;=AsAt),IF(N('Deal maths'!H518)&gt;0,N('Deal maths'!H518),N('Deal maths'!D518)),0)</f>
        <v/>
      </c>
      <c r="C518" s="91">
        <f>IF(B518&gt;0,IF('Deal maths'!C518="Local authority","Local authorities",LOWER(TRIM('Deal maths'!B518))),"")</f>
        <v/>
      </c>
      <c r="D518" s="91">
        <f>IF(C518="","",IF(COUNTIF($C$4:C517,C518)=0,SUMIF($C$4:$C$3997,C518,$B$4:$B$3997)-ROW()/1000000,""))</f>
        <v/>
      </c>
      <c r="E518" s="91">
        <f>IF(AND(N('Deal maths'!F518)&gt;AsAt,N('Deal maths'!E518)&lt;=AsAt,IF(N('Deal maths'!H518)&gt;0,N('Deal maths'!H518),N('Deal maths'!D518))&gt;0),N('Deal maths'!F518)+ROW()/1000000,"")</f>
        <v/>
      </c>
    </row>
    <row r="519">
      <c r="A519" s="91" t="n"/>
      <c r="B519" s="111">
        <f>IF(AND(N('Deal maths'!F519)&gt;AsAt,N('Deal maths'!E519)&lt;=AsAt),IF(N('Deal maths'!H519)&gt;0,N('Deal maths'!H519),N('Deal maths'!D519)),0)</f>
        <v/>
      </c>
      <c r="C519" s="91">
        <f>IF(B519&gt;0,IF('Deal maths'!C519="Local authority","Local authorities",LOWER(TRIM('Deal maths'!B519))),"")</f>
        <v/>
      </c>
      <c r="D519" s="91">
        <f>IF(C519="","",IF(COUNTIF($C$4:C518,C519)=0,SUMIF($C$4:$C$3997,C519,$B$4:$B$3997)-ROW()/1000000,""))</f>
        <v/>
      </c>
      <c r="E519" s="91">
        <f>IF(AND(N('Deal maths'!F519)&gt;AsAt,N('Deal maths'!E519)&lt;=AsAt,IF(N('Deal maths'!H519)&gt;0,N('Deal maths'!H519),N('Deal maths'!D519))&gt;0),N('Deal maths'!F519)+ROW()/1000000,"")</f>
        <v/>
      </c>
    </row>
    <row r="520">
      <c r="A520" s="91" t="n"/>
      <c r="B520" s="111">
        <f>IF(AND(N('Deal maths'!F520)&gt;AsAt,N('Deal maths'!E520)&lt;=AsAt),IF(N('Deal maths'!H520)&gt;0,N('Deal maths'!H520),N('Deal maths'!D520)),0)</f>
        <v/>
      </c>
      <c r="C520" s="91">
        <f>IF(B520&gt;0,IF('Deal maths'!C520="Local authority","Local authorities",LOWER(TRIM('Deal maths'!B520))),"")</f>
        <v/>
      </c>
      <c r="D520" s="91">
        <f>IF(C520="","",IF(COUNTIF($C$4:C519,C520)=0,SUMIF($C$4:$C$3997,C520,$B$4:$B$3997)-ROW()/1000000,""))</f>
        <v/>
      </c>
      <c r="E520" s="91">
        <f>IF(AND(N('Deal maths'!F520)&gt;AsAt,N('Deal maths'!E520)&lt;=AsAt,IF(N('Deal maths'!H520)&gt;0,N('Deal maths'!H520),N('Deal maths'!D520))&gt;0),N('Deal maths'!F520)+ROW()/1000000,"")</f>
        <v/>
      </c>
    </row>
    <row r="521">
      <c r="A521" s="91" t="n"/>
      <c r="B521" s="111">
        <f>IF(AND(N('Deal maths'!F521)&gt;AsAt,N('Deal maths'!E521)&lt;=AsAt),IF(N('Deal maths'!H521)&gt;0,N('Deal maths'!H521),N('Deal maths'!D521)),0)</f>
        <v/>
      </c>
      <c r="C521" s="91">
        <f>IF(B521&gt;0,IF('Deal maths'!C521="Local authority","Local authorities",LOWER(TRIM('Deal maths'!B521))),"")</f>
        <v/>
      </c>
      <c r="D521" s="91">
        <f>IF(C521="","",IF(COUNTIF($C$4:C520,C521)=0,SUMIF($C$4:$C$3997,C521,$B$4:$B$3997)-ROW()/1000000,""))</f>
        <v/>
      </c>
      <c r="E521" s="91">
        <f>IF(AND(N('Deal maths'!F521)&gt;AsAt,N('Deal maths'!E521)&lt;=AsAt,IF(N('Deal maths'!H521)&gt;0,N('Deal maths'!H521),N('Deal maths'!D521))&gt;0),N('Deal maths'!F521)+ROW()/1000000,"")</f>
        <v/>
      </c>
    </row>
    <row r="522">
      <c r="A522" s="91" t="n"/>
      <c r="B522" s="111">
        <f>IF(AND(N('Deal maths'!F522)&gt;AsAt,N('Deal maths'!E522)&lt;=AsAt),IF(N('Deal maths'!H522)&gt;0,N('Deal maths'!H522),N('Deal maths'!D522)),0)</f>
        <v/>
      </c>
      <c r="C522" s="91">
        <f>IF(B522&gt;0,IF('Deal maths'!C522="Local authority","Local authorities",LOWER(TRIM('Deal maths'!B522))),"")</f>
        <v/>
      </c>
      <c r="D522" s="91">
        <f>IF(C522="","",IF(COUNTIF($C$4:C521,C522)=0,SUMIF($C$4:$C$3997,C522,$B$4:$B$3997)-ROW()/1000000,""))</f>
        <v/>
      </c>
      <c r="E522" s="91">
        <f>IF(AND(N('Deal maths'!F522)&gt;AsAt,N('Deal maths'!E522)&lt;=AsAt,IF(N('Deal maths'!H522)&gt;0,N('Deal maths'!H522),N('Deal maths'!D522))&gt;0),N('Deal maths'!F522)+ROW()/1000000,"")</f>
        <v/>
      </c>
    </row>
    <row r="523">
      <c r="A523" s="91" t="n"/>
      <c r="B523" s="111">
        <f>IF(AND(N('Deal maths'!F523)&gt;AsAt,N('Deal maths'!E523)&lt;=AsAt),IF(N('Deal maths'!H523)&gt;0,N('Deal maths'!H523),N('Deal maths'!D523)),0)</f>
        <v/>
      </c>
      <c r="C523" s="91">
        <f>IF(B523&gt;0,IF('Deal maths'!C523="Local authority","Local authorities",LOWER(TRIM('Deal maths'!B523))),"")</f>
        <v/>
      </c>
      <c r="D523" s="91">
        <f>IF(C523="","",IF(COUNTIF($C$4:C522,C523)=0,SUMIF($C$4:$C$3997,C523,$B$4:$B$3997)-ROW()/1000000,""))</f>
        <v/>
      </c>
      <c r="E523" s="91">
        <f>IF(AND(N('Deal maths'!F523)&gt;AsAt,N('Deal maths'!E523)&lt;=AsAt,IF(N('Deal maths'!H523)&gt;0,N('Deal maths'!H523),N('Deal maths'!D523))&gt;0),N('Deal maths'!F523)+ROW()/1000000,"")</f>
        <v/>
      </c>
    </row>
    <row r="524">
      <c r="A524" s="91" t="n"/>
      <c r="B524" s="111">
        <f>IF(AND(N('Deal maths'!F524)&gt;AsAt,N('Deal maths'!E524)&lt;=AsAt),IF(N('Deal maths'!H524)&gt;0,N('Deal maths'!H524),N('Deal maths'!D524)),0)</f>
        <v/>
      </c>
      <c r="C524" s="91">
        <f>IF(B524&gt;0,IF('Deal maths'!C524="Local authority","Local authorities",LOWER(TRIM('Deal maths'!B524))),"")</f>
        <v/>
      </c>
      <c r="D524" s="91">
        <f>IF(C524="","",IF(COUNTIF($C$4:C523,C524)=0,SUMIF($C$4:$C$3997,C524,$B$4:$B$3997)-ROW()/1000000,""))</f>
        <v/>
      </c>
      <c r="E524" s="91">
        <f>IF(AND(N('Deal maths'!F524)&gt;AsAt,N('Deal maths'!E524)&lt;=AsAt,IF(N('Deal maths'!H524)&gt;0,N('Deal maths'!H524),N('Deal maths'!D524))&gt;0),N('Deal maths'!F524)+ROW()/1000000,"")</f>
        <v/>
      </c>
    </row>
    <row r="525">
      <c r="A525" s="91" t="n"/>
      <c r="B525" s="111">
        <f>IF(AND(N('Deal maths'!F525)&gt;AsAt,N('Deal maths'!E525)&lt;=AsAt),IF(N('Deal maths'!H525)&gt;0,N('Deal maths'!H525),N('Deal maths'!D525)),0)</f>
        <v/>
      </c>
      <c r="C525" s="91">
        <f>IF(B525&gt;0,IF('Deal maths'!C525="Local authority","Local authorities",LOWER(TRIM('Deal maths'!B525))),"")</f>
        <v/>
      </c>
      <c r="D525" s="91">
        <f>IF(C525="","",IF(COUNTIF($C$4:C524,C525)=0,SUMIF($C$4:$C$3997,C525,$B$4:$B$3997)-ROW()/1000000,""))</f>
        <v/>
      </c>
      <c r="E525" s="91">
        <f>IF(AND(N('Deal maths'!F525)&gt;AsAt,N('Deal maths'!E525)&lt;=AsAt,IF(N('Deal maths'!H525)&gt;0,N('Deal maths'!H525),N('Deal maths'!D525))&gt;0),N('Deal maths'!F525)+ROW()/1000000,"")</f>
        <v/>
      </c>
    </row>
    <row r="526">
      <c r="A526" s="91" t="n"/>
      <c r="B526" s="111">
        <f>IF(AND(N('Deal maths'!F526)&gt;AsAt,N('Deal maths'!E526)&lt;=AsAt),IF(N('Deal maths'!H526)&gt;0,N('Deal maths'!H526),N('Deal maths'!D526)),0)</f>
        <v/>
      </c>
      <c r="C526" s="91">
        <f>IF(B526&gt;0,IF('Deal maths'!C526="Local authority","Local authorities",LOWER(TRIM('Deal maths'!B526))),"")</f>
        <v/>
      </c>
      <c r="D526" s="91">
        <f>IF(C526="","",IF(COUNTIF($C$4:C525,C526)=0,SUMIF($C$4:$C$3997,C526,$B$4:$B$3997)-ROW()/1000000,""))</f>
        <v/>
      </c>
      <c r="E526" s="91">
        <f>IF(AND(N('Deal maths'!F526)&gt;AsAt,N('Deal maths'!E526)&lt;=AsAt,IF(N('Deal maths'!H526)&gt;0,N('Deal maths'!H526),N('Deal maths'!D526))&gt;0),N('Deal maths'!F526)+ROW()/1000000,"")</f>
        <v/>
      </c>
    </row>
    <row r="527">
      <c r="A527" s="91" t="n"/>
      <c r="B527" s="111">
        <f>IF(AND(N('Deal maths'!F527)&gt;AsAt,N('Deal maths'!E527)&lt;=AsAt),IF(N('Deal maths'!H527)&gt;0,N('Deal maths'!H527),N('Deal maths'!D527)),0)</f>
        <v/>
      </c>
      <c r="C527" s="91">
        <f>IF(B527&gt;0,IF('Deal maths'!C527="Local authority","Local authorities",LOWER(TRIM('Deal maths'!B527))),"")</f>
        <v/>
      </c>
      <c r="D527" s="91">
        <f>IF(C527="","",IF(COUNTIF($C$4:C526,C527)=0,SUMIF($C$4:$C$3997,C527,$B$4:$B$3997)-ROW()/1000000,""))</f>
        <v/>
      </c>
      <c r="E527" s="91">
        <f>IF(AND(N('Deal maths'!F527)&gt;AsAt,N('Deal maths'!E527)&lt;=AsAt,IF(N('Deal maths'!H527)&gt;0,N('Deal maths'!H527),N('Deal maths'!D527))&gt;0),N('Deal maths'!F527)+ROW()/1000000,"")</f>
        <v/>
      </c>
    </row>
    <row r="528">
      <c r="A528" s="91" t="n"/>
      <c r="B528" s="111">
        <f>IF(AND(N('Deal maths'!F528)&gt;AsAt,N('Deal maths'!E528)&lt;=AsAt),IF(N('Deal maths'!H528)&gt;0,N('Deal maths'!H528),N('Deal maths'!D528)),0)</f>
        <v/>
      </c>
      <c r="C528" s="91">
        <f>IF(B528&gt;0,IF('Deal maths'!C528="Local authority","Local authorities",LOWER(TRIM('Deal maths'!B528))),"")</f>
        <v/>
      </c>
      <c r="D528" s="91">
        <f>IF(C528="","",IF(COUNTIF($C$4:C527,C528)=0,SUMIF($C$4:$C$3997,C528,$B$4:$B$3997)-ROW()/1000000,""))</f>
        <v/>
      </c>
      <c r="E528" s="91">
        <f>IF(AND(N('Deal maths'!F528)&gt;AsAt,N('Deal maths'!E528)&lt;=AsAt,IF(N('Deal maths'!H528)&gt;0,N('Deal maths'!H528),N('Deal maths'!D528))&gt;0),N('Deal maths'!F528)+ROW()/1000000,"")</f>
        <v/>
      </c>
    </row>
    <row r="529">
      <c r="A529" s="91" t="n"/>
      <c r="B529" s="111">
        <f>IF(AND(N('Deal maths'!F529)&gt;AsAt,N('Deal maths'!E529)&lt;=AsAt),IF(N('Deal maths'!H529)&gt;0,N('Deal maths'!H529),N('Deal maths'!D529)),0)</f>
        <v/>
      </c>
      <c r="C529" s="91">
        <f>IF(B529&gt;0,IF('Deal maths'!C529="Local authority","Local authorities",LOWER(TRIM('Deal maths'!B529))),"")</f>
        <v/>
      </c>
      <c r="D529" s="91">
        <f>IF(C529="","",IF(COUNTIF($C$4:C528,C529)=0,SUMIF($C$4:$C$3997,C529,$B$4:$B$3997)-ROW()/1000000,""))</f>
        <v/>
      </c>
      <c r="E529" s="91">
        <f>IF(AND(N('Deal maths'!F529)&gt;AsAt,N('Deal maths'!E529)&lt;=AsAt,IF(N('Deal maths'!H529)&gt;0,N('Deal maths'!H529),N('Deal maths'!D529))&gt;0),N('Deal maths'!F529)+ROW()/1000000,"")</f>
        <v/>
      </c>
    </row>
    <row r="530">
      <c r="A530" s="91" t="n"/>
      <c r="B530" s="111">
        <f>IF(AND(N('Deal maths'!F530)&gt;AsAt,N('Deal maths'!E530)&lt;=AsAt),IF(N('Deal maths'!H530)&gt;0,N('Deal maths'!H530),N('Deal maths'!D530)),0)</f>
        <v/>
      </c>
      <c r="C530" s="91">
        <f>IF(B530&gt;0,IF('Deal maths'!C530="Local authority","Local authorities",LOWER(TRIM('Deal maths'!B530))),"")</f>
        <v/>
      </c>
      <c r="D530" s="91">
        <f>IF(C530="","",IF(COUNTIF($C$4:C529,C530)=0,SUMIF($C$4:$C$3997,C530,$B$4:$B$3997)-ROW()/1000000,""))</f>
        <v/>
      </c>
      <c r="E530" s="91">
        <f>IF(AND(N('Deal maths'!F530)&gt;AsAt,N('Deal maths'!E530)&lt;=AsAt,IF(N('Deal maths'!H530)&gt;0,N('Deal maths'!H530),N('Deal maths'!D530))&gt;0),N('Deal maths'!F530)+ROW()/1000000,"")</f>
        <v/>
      </c>
    </row>
    <row r="531">
      <c r="A531" s="91" t="n"/>
      <c r="B531" s="111">
        <f>IF(AND(N('Deal maths'!F531)&gt;AsAt,N('Deal maths'!E531)&lt;=AsAt),IF(N('Deal maths'!H531)&gt;0,N('Deal maths'!H531),N('Deal maths'!D531)),0)</f>
        <v/>
      </c>
      <c r="C531" s="91">
        <f>IF(B531&gt;0,IF('Deal maths'!C531="Local authority","Local authorities",LOWER(TRIM('Deal maths'!B531))),"")</f>
        <v/>
      </c>
      <c r="D531" s="91">
        <f>IF(C531="","",IF(COUNTIF($C$4:C530,C531)=0,SUMIF($C$4:$C$3997,C531,$B$4:$B$3997)-ROW()/1000000,""))</f>
        <v/>
      </c>
      <c r="E531" s="91">
        <f>IF(AND(N('Deal maths'!F531)&gt;AsAt,N('Deal maths'!E531)&lt;=AsAt,IF(N('Deal maths'!H531)&gt;0,N('Deal maths'!H531),N('Deal maths'!D531))&gt;0),N('Deal maths'!F531)+ROW()/1000000,"")</f>
        <v/>
      </c>
    </row>
    <row r="532">
      <c r="A532" s="91" t="n"/>
      <c r="B532" s="111">
        <f>IF(AND(N('Deal maths'!F532)&gt;AsAt,N('Deal maths'!E532)&lt;=AsAt),IF(N('Deal maths'!H532)&gt;0,N('Deal maths'!H532),N('Deal maths'!D532)),0)</f>
        <v/>
      </c>
      <c r="C532" s="91">
        <f>IF(B532&gt;0,IF('Deal maths'!C532="Local authority","Local authorities",LOWER(TRIM('Deal maths'!B532))),"")</f>
        <v/>
      </c>
      <c r="D532" s="91">
        <f>IF(C532="","",IF(COUNTIF($C$4:C531,C532)=0,SUMIF($C$4:$C$3997,C532,$B$4:$B$3997)-ROW()/1000000,""))</f>
        <v/>
      </c>
      <c r="E532" s="91">
        <f>IF(AND(N('Deal maths'!F532)&gt;AsAt,N('Deal maths'!E532)&lt;=AsAt,IF(N('Deal maths'!H532)&gt;0,N('Deal maths'!H532),N('Deal maths'!D532))&gt;0),N('Deal maths'!F532)+ROW()/1000000,"")</f>
        <v/>
      </c>
    </row>
    <row r="533">
      <c r="A533" s="91" t="n"/>
      <c r="B533" s="111">
        <f>IF(AND(N('Deal maths'!F533)&gt;AsAt,N('Deal maths'!E533)&lt;=AsAt),IF(N('Deal maths'!H533)&gt;0,N('Deal maths'!H533),N('Deal maths'!D533)),0)</f>
        <v/>
      </c>
      <c r="C533" s="91">
        <f>IF(B533&gt;0,IF('Deal maths'!C533="Local authority","Local authorities",LOWER(TRIM('Deal maths'!B533))),"")</f>
        <v/>
      </c>
      <c r="D533" s="91">
        <f>IF(C533="","",IF(COUNTIF($C$4:C532,C533)=0,SUMIF($C$4:$C$3997,C533,$B$4:$B$3997)-ROW()/1000000,""))</f>
        <v/>
      </c>
      <c r="E533" s="91">
        <f>IF(AND(N('Deal maths'!F533)&gt;AsAt,N('Deal maths'!E533)&lt;=AsAt,IF(N('Deal maths'!H533)&gt;0,N('Deal maths'!H533),N('Deal maths'!D533))&gt;0),N('Deal maths'!F533)+ROW()/1000000,"")</f>
        <v/>
      </c>
    </row>
    <row r="534">
      <c r="A534" s="91" t="n"/>
      <c r="B534" s="111">
        <f>IF(AND(N('Deal maths'!F534)&gt;AsAt,N('Deal maths'!E534)&lt;=AsAt),IF(N('Deal maths'!H534)&gt;0,N('Deal maths'!H534),N('Deal maths'!D534)),0)</f>
        <v/>
      </c>
      <c r="C534" s="91">
        <f>IF(B534&gt;0,IF('Deal maths'!C534="Local authority","Local authorities",LOWER(TRIM('Deal maths'!B534))),"")</f>
        <v/>
      </c>
      <c r="D534" s="91">
        <f>IF(C534="","",IF(COUNTIF($C$4:C533,C534)=0,SUMIF($C$4:$C$3997,C534,$B$4:$B$3997)-ROW()/1000000,""))</f>
        <v/>
      </c>
      <c r="E534" s="91">
        <f>IF(AND(N('Deal maths'!F534)&gt;AsAt,N('Deal maths'!E534)&lt;=AsAt,IF(N('Deal maths'!H534)&gt;0,N('Deal maths'!H534),N('Deal maths'!D534))&gt;0),N('Deal maths'!F534)+ROW()/1000000,"")</f>
        <v/>
      </c>
    </row>
    <row r="535">
      <c r="A535" s="91" t="n"/>
      <c r="B535" s="111">
        <f>IF(AND(N('Deal maths'!F535)&gt;AsAt,N('Deal maths'!E535)&lt;=AsAt),IF(N('Deal maths'!H535)&gt;0,N('Deal maths'!H535),N('Deal maths'!D535)),0)</f>
        <v/>
      </c>
      <c r="C535" s="91">
        <f>IF(B535&gt;0,IF('Deal maths'!C535="Local authority","Local authorities",LOWER(TRIM('Deal maths'!B535))),"")</f>
        <v/>
      </c>
      <c r="D535" s="91">
        <f>IF(C535="","",IF(COUNTIF($C$4:C534,C535)=0,SUMIF($C$4:$C$3997,C535,$B$4:$B$3997)-ROW()/1000000,""))</f>
        <v/>
      </c>
      <c r="E535" s="91">
        <f>IF(AND(N('Deal maths'!F535)&gt;AsAt,N('Deal maths'!E535)&lt;=AsAt,IF(N('Deal maths'!H535)&gt;0,N('Deal maths'!H535),N('Deal maths'!D535))&gt;0),N('Deal maths'!F535)+ROW()/1000000,"")</f>
        <v/>
      </c>
    </row>
    <row r="536">
      <c r="A536" s="91" t="n"/>
      <c r="B536" s="111">
        <f>IF(AND(N('Deal maths'!F536)&gt;AsAt,N('Deal maths'!E536)&lt;=AsAt),IF(N('Deal maths'!H536)&gt;0,N('Deal maths'!H536),N('Deal maths'!D536)),0)</f>
        <v/>
      </c>
      <c r="C536" s="91">
        <f>IF(B536&gt;0,IF('Deal maths'!C536="Local authority","Local authorities",LOWER(TRIM('Deal maths'!B536))),"")</f>
        <v/>
      </c>
      <c r="D536" s="91">
        <f>IF(C536="","",IF(COUNTIF($C$4:C535,C536)=0,SUMIF($C$4:$C$3997,C536,$B$4:$B$3997)-ROW()/1000000,""))</f>
        <v/>
      </c>
      <c r="E536" s="91">
        <f>IF(AND(N('Deal maths'!F536)&gt;AsAt,N('Deal maths'!E536)&lt;=AsAt,IF(N('Deal maths'!H536)&gt;0,N('Deal maths'!H536),N('Deal maths'!D536))&gt;0),N('Deal maths'!F536)+ROW()/1000000,"")</f>
        <v/>
      </c>
    </row>
    <row r="537">
      <c r="A537" s="91" t="n"/>
      <c r="B537" s="111">
        <f>IF(AND(N('Deal maths'!F537)&gt;AsAt,N('Deal maths'!E537)&lt;=AsAt),IF(N('Deal maths'!H537)&gt;0,N('Deal maths'!H537),N('Deal maths'!D537)),0)</f>
        <v/>
      </c>
      <c r="C537" s="91">
        <f>IF(B537&gt;0,IF('Deal maths'!C537="Local authority","Local authorities",LOWER(TRIM('Deal maths'!B537))),"")</f>
        <v/>
      </c>
      <c r="D537" s="91">
        <f>IF(C537="","",IF(COUNTIF($C$4:C536,C537)=0,SUMIF($C$4:$C$3997,C537,$B$4:$B$3997)-ROW()/1000000,""))</f>
        <v/>
      </c>
      <c r="E537" s="91">
        <f>IF(AND(N('Deal maths'!F537)&gt;AsAt,N('Deal maths'!E537)&lt;=AsAt,IF(N('Deal maths'!H537)&gt;0,N('Deal maths'!H537),N('Deal maths'!D537))&gt;0),N('Deal maths'!F537)+ROW()/1000000,"")</f>
        <v/>
      </c>
    </row>
    <row r="538">
      <c r="A538" s="91" t="n"/>
      <c r="B538" s="111">
        <f>IF(AND(N('Deal maths'!F538)&gt;AsAt,N('Deal maths'!E538)&lt;=AsAt),IF(N('Deal maths'!H538)&gt;0,N('Deal maths'!H538),N('Deal maths'!D538)),0)</f>
        <v/>
      </c>
      <c r="C538" s="91">
        <f>IF(B538&gt;0,IF('Deal maths'!C538="Local authority","Local authorities",LOWER(TRIM('Deal maths'!B538))),"")</f>
        <v/>
      </c>
      <c r="D538" s="91">
        <f>IF(C538="","",IF(COUNTIF($C$4:C537,C538)=0,SUMIF($C$4:$C$3997,C538,$B$4:$B$3997)-ROW()/1000000,""))</f>
        <v/>
      </c>
      <c r="E538" s="91">
        <f>IF(AND(N('Deal maths'!F538)&gt;AsAt,N('Deal maths'!E538)&lt;=AsAt,IF(N('Deal maths'!H538)&gt;0,N('Deal maths'!H538),N('Deal maths'!D538))&gt;0),N('Deal maths'!F538)+ROW()/1000000,"")</f>
        <v/>
      </c>
    </row>
    <row r="539">
      <c r="A539" s="91" t="n"/>
      <c r="B539" s="111">
        <f>IF(AND(N('Deal maths'!F539)&gt;AsAt,N('Deal maths'!E539)&lt;=AsAt),IF(N('Deal maths'!H539)&gt;0,N('Deal maths'!H539),N('Deal maths'!D539)),0)</f>
        <v/>
      </c>
      <c r="C539" s="91">
        <f>IF(B539&gt;0,IF('Deal maths'!C539="Local authority","Local authorities",LOWER(TRIM('Deal maths'!B539))),"")</f>
        <v/>
      </c>
      <c r="D539" s="91">
        <f>IF(C539="","",IF(COUNTIF($C$4:C538,C539)=0,SUMIF($C$4:$C$3997,C539,$B$4:$B$3997)-ROW()/1000000,""))</f>
        <v/>
      </c>
      <c r="E539" s="91">
        <f>IF(AND(N('Deal maths'!F539)&gt;AsAt,N('Deal maths'!E539)&lt;=AsAt,IF(N('Deal maths'!H539)&gt;0,N('Deal maths'!H539),N('Deal maths'!D539))&gt;0),N('Deal maths'!F539)+ROW()/1000000,"")</f>
        <v/>
      </c>
    </row>
    <row r="540">
      <c r="A540" s="91" t="n"/>
      <c r="B540" s="111">
        <f>IF(AND(N('Deal maths'!F540)&gt;AsAt,N('Deal maths'!E540)&lt;=AsAt),IF(N('Deal maths'!H540)&gt;0,N('Deal maths'!H540),N('Deal maths'!D540)),0)</f>
        <v/>
      </c>
      <c r="C540" s="91">
        <f>IF(B540&gt;0,IF('Deal maths'!C540="Local authority","Local authorities",LOWER(TRIM('Deal maths'!B540))),"")</f>
        <v/>
      </c>
      <c r="D540" s="91">
        <f>IF(C540="","",IF(COUNTIF($C$4:C539,C540)=0,SUMIF($C$4:$C$3997,C540,$B$4:$B$3997)-ROW()/1000000,""))</f>
        <v/>
      </c>
      <c r="E540" s="91">
        <f>IF(AND(N('Deal maths'!F540)&gt;AsAt,N('Deal maths'!E540)&lt;=AsAt,IF(N('Deal maths'!H540)&gt;0,N('Deal maths'!H540),N('Deal maths'!D540))&gt;0),N('Deal maths'!F540)+ROW()/1000000,"")</f>
        <v/>
      </c>
    </row>
    <row r="541">
      <c r="A541" s="91" t="n"/>
      <c r="B541" s="111">
        <f>IF(AND(N('Deal maths'!F541)&gt;AsAt,N('Deal maths'!E541)&lt;=AsAt),IF(N('Deal maths'!H541)&gt;0,N('Deal maths'!H541),N('Deal maths'!D541)),0)</f>
        <v/>
      </c>
      <c r="C541" s="91">
        <f>IF(B541&gt;0,IF('Deal maths'!C541="Local authority","Local authorities",LOWER(TRIM('Deal maths'!B541))),"")</f>
        <v/>
      </c>
      <c r="D541" s="91">
        <f>IF(C541="","",IF(COUNTIF($C$4:C540,C541)=0,SUMIF($C$4:$C$3997,C541,$B$4:$B$3997)-ROW()/1000000,""))</f>
        <v/>
      </c>
      <c r="E541" s="91">
        <f>IF(AND(N('Deal maths'!F541)&gt;AsAt,N('Deal maths'!E541)&lt;=AsAt,IF(N('Deal maths'!H541)&gt;0,N('Deal maths'!H541),N('Deal maths'!D541))&gt;0),N('Deal maths'!F541)+ROW()/1000000,"")</f>
        <v/>
      </c>
    </row>
    <row r="542">
      <c r="A542" s="91" t="n"/>
      <c r="B542" s="111">
        <f>IF(AND(N('Deal maths'!F542)&gt;AsAt,N('Deal maths'!E542)&lt;=AsAt),IF(N('Deal maths'!H542)&gt;0,N('Deal maths'!H542),N('Deal maths'!D542)),0)</f>
        <v/>
      </c>
      <c r="C542" s="91">
        <f>IF(B542&gt;0,IF('Deal maths'!C542="Local authority","Local authorities",LOWER(TRIM('Deal maths'!B542))),"")</f>
        <v/>
      </c>
      <c r="D542" s="91">
        <f>IF(C542="","",IF(COUNTIF($C$4:C541,C542)=0,SUMIF($C$4:$C$3997,C542,$B$4:$B$3997)-ROW()/1000000,""))</f>
        <v/>
      </c>
      <c r="E542" s="91">
        <f>IF(AND(N('Deal maths'!F542)&gt;AsAt,N('Deal maths'!E542)&lt;=AsAt,IF(N('Deal maths'!H542)&gt;0,N('Deal maths'!H542),N('Deal maths'!D542))&gt;0),N('Deal maths'!F542)+ROW()/1000000,"")</f>
        <v/>
      </c>
    </row>
    <row r="543">
      <c r="A543" s="91" t="n"/>
      <c r="B543" s="111">
        <f>IF(AND(N('Deal maths'!F543)&gt;AsAt,N('Deal maths'!E543)&lt;=AsAt),IF(N('Deal maths'!H543)&gt;0,N('Deal maths'!H543),N('Deal maths'!D543)),0)</f>
        <v/>
      </c>
      <c r="C543" s="91">
        <f>IF(B543&gt;0,IF('Deal maths'!C543="Local authority","Local authorities",LOWER(TRIM('Deal maths'!B543))),"")</f>
        <v/>
      </c>
      <c r="D543" s="91">
        <f>IF(C543="","",IF(COUNTIF($C$4:C542,C543)=0,SUMIF($C$4:$C$3997,C543,$B$4:$B$3997)-ROW()/1000000,""))</f>
        <v/>
      </c>
      <c r="E543" s="91">
        <f>IF(AND(N('Deal maths'!F543)&gt;AsAt,N('Deal maths'!E543)&lt;=AsAt,IF(N('Deal maths'!H543)&gt;0,N('Deal maths'!H543),N('Deal maths'!D543))&gt;0),N('Deal maths'!F543)+ROW()/1000000,"")</f>
        <v/>
      </c>
    </row>
    <row r="544">
      <c r="A544" s="91" t="n"/>
      <c r="B544" s="111">
        <f>IF(AND(N('Deal maths'!F544)&gt;AsAt,N('Deal maths'!E544)&lt;=AsAt),IF(N('Deal maths'!H544)&gt;0,N('Deal maths'!H544),N('Deal maths'!D544)),0)</f>
        <v/>
      </c>
      <c r="C544" s="91">
        <f>IF(B544&gt;0,IF('Deal maths'!C544="Local authority","Local authorities",LOWER(TRIM('Deal maths'!B544))),"")</f>
        <v/>
      </c>
      <c r="D544" s="91">
        <f>IF(C544="","",IF(COUNTIF($C$4:C543,C544)=0,SUMIF($C$4:$C$3997,C544,$B$4:$B$3997)-ROW()/1000000,""))</f>
        <v/>
      </c>
      <c r="E544" s="91">
        <f>IF(AND(N('Deal maths'!F544)&gt;AsAt,N('Deal maths'!E544)&lt;=AsAt,IF(N('Deal maths'!H544)&gt;0,N('Deal maths'!H544),N('Deal maths'!D544))&gt;0),N('Deal maths'!F544)+ROW()/1000000,"")</f>
        <v/>
      </c>
    </row>
    <row r="545">
      <c r="A545" s="91" t="n"/>
      <c r="B545" s="111">
        <f>IF(AND(N('Deal maths'!F545)&gt;AsAt,N('Deal maths'!E545)&lt;=AsAt),IF(N('Deal maths'!H545)&gt;0,N('Deal maths'!H545),N('Deal maths'!D545)),0)</f>
        <v/>
      </c>
      <c r="C545" s="91">
        <f>IF(B545&gt;0,IF('Deal maths'!C545="Local authority","Local authorities",LOWER(TRIM('Deal maths'!B545))),"")</f>
        <v/>
      </c>
      <c r="D545" s="91">
        <f>IF(C545="","",IF(COUNTIF($C$4:C544,C545)=0,SUMIF($C$4:$C$3997,C545,$B$4:$B$3997)-ROW()/1000000,""))</f>
        <v/>
      </c>
      <c r="E545" s="91">
        <f>IF(AND(N('Deal maths'!F545)&gt;AsAt,N('Deal maths'!E545)&lt;=AsAt,IF(N('Deal maths'!H545)&gt;0,N('Deal maths'!H545),N('Deal maths'!D545))&gt;0),N('Deal maths'!F545)+ROW()/1000000,"")</f>
        <v/>
      </c>
    </row>
    <row r="546">
      <c r="A546" s="91" t="n"/>
      <c r="B546" s="111">
        <f>IF(AND(N('Deal maths'!F546)&gt;AsAt,N('Deal maths'!E546)&lt;=AsAt),IF(N('Deal maths'!H546)&gt;0,N('Deal maths'!H546),N('Deal maths'!D546)),0)</f>
        <v/>
      </c>
      <c r="C546" s="91">
        <f>IF(B546&gt;0,IF('Deal maths'!C546="Local authority","Local authorities",LOWER(TRIM('Deal maths'!B546))),"")</f>
        <v/>
      </c>
      <c r="D546" s="91">
        <f>IF(C546="","",IF(COUNTIF($C$4:C545,C546)=0,SUMIF($C$4:$C$3997,C546,$B$4:$B$3997)-ROW()/1000000,""))</f>
        <v/>
      </c>
      <c r="E546" s="91">
        <f>IF(AND(N('Deal maths'!F546)&gt;AsAt,N('Deal maths'!E546)&lt;=AsAt,IF(N('Deal maths'!H546)&gt;0,N('Deal maths'!H546),N('Deal maths'!D546))&gt;0),N('Deal maths'!F546)+ROW()/1000000,"")</f>
        <v/>
      </c>
    </row>
    <row r="547">
      <c r="A547" s="91" t="n"/>
      <c r="B547" s="111">
        <f>IF(AND(N('Deal maths'!F547)&gt;AsAt,N('Deal maths'!E547)&lt;=AsAt),IF(N('Deal maths'!H547)&gt;0,N('Deal maths'!H547),N('Deal maths'!D547)),0)</f>
        <v/>
      </c>
      <c r="C547" s="91">
        <f>IF(B547&gt;0,IF('Deal maths'!C547="Local authority","Local authorities",LOWER(TRIM('Deal maths'!B547))),"")</f>
        <v/>
      </c>
      <c r="D547" s="91">
        <f>IF(C547="","",IF(COUNTIF($C$4:C546,C547)=0,SUMIF($C$4:$C$3997,C547,$B$4:$B$3997)-ROW()/1000000,""))</f>
        <v/>
      </c>
      <c r="E547" s="91">
        <f>IF(AND(N('Deal maths'!F547)&gt;AsAt,N('Deal maths'!E547)&lt;=AsAt,IF(N('Deal maths'!H547)&gt;0,N('Deal maths'!H547),N('Deal maths'!D547))&gt;0),N('Deal maths'!F547)+ROW()/1000000,"")</f>
        <v/>
      </c>
    </row>
    <row r="548">
      <c r="A548" s="91" t="n"/>
      <c r="B548" s="111">
        <f>IF(AND(N('Deal maths'!F548)&gt;AsAt,N('Deal maths'!E548)&lt;=AsAt),IF(N('Deal maths'!H548)&gt;0,N('Deal maths'!H548),N('Deal maths'!D548)),0)</f>
        <v/>
      </c>
      <c r="C548" s="91">
        <f>IF(B548&gt;0,IF('Deal maths'!C548="Local authority","Local authorities",LOWER(TRIM('Deal maths'!B548))),"")</f>
        <v/>
      </c>
      <c r="D548" s="91">
        <f>IF(C548="","",IF(COUNTIF($C$4:C547,C548)=0,SUMIF($C$4:$C$3997,C548,$B$4:$B$3997)-ROW()/1000000,""))</f>
        <v/>
      </c>
      <c r="E548" s="91">
        <f>IF(AND(N('Deal maths'!F548)&gt;AsAt,N('Deal maths'!E548)&lt;=AsAt,IF(N('Deal maths'!H548)&gt;0,N('Deal maths'!H548),N('Deal maths'!D548))&gt;0),N('Deal maths'!F548)+ROW()/1000000,"")</f>
        <v/>
      </c>
    </row>
    <row r="549">
      <c r="A549" s="91" t="n"/>
      <c r="B549" s="111">
        <f>IF(AND(N('Deal maths'!F549)&gt;AsAt,N('Deal maths'!E549)&lt;=AsAt),IF(N('Deal maths'!H549)&gt;0,N('Deal maths'!H549),N('Deal maths'!D549)),0)</f>
        <v/>
      </c>
      <c r="C549" s="91">
        <f>IF(B549&gt;0,IF('Deal maths'!C549="Local authority","Local authorities",LOWER(TRIM('Deal maths'!B549))),"")</f>
        <v/>
      </c>
      <c r="D549" s="91">
        <f>IF(C549="","",IF(COUNTIF($C$4:C548,C549)=0,SUMIF($C$4:$C$3997,C549,$B$4:$B$3997)-ROW()/1000000,""))</f>
        <v/>
      </c>
      <c r="E549" s="91">
        <f>IF(AND(N('Deal maths'!F549)&gt;AsAt,N('Deal maths'!E549)&lt;=AsAt,IF(N('Deal maths'!H549)&gt;0,N('Deal maths'!H549),N('Deal maths'!D549))&gt;0),N('Deal maths'!F549)+ROW()/1000000,"")</f>
        <v/>
      </c>
    </row>
    <row r="550">
      <c r="A550" s="91" t="n"/>
      <c r="B550" s="111">
        <f>IF(AND(N('Deal maths'!F550)&gt;AsAt,N('Deal maths'!E550)&lt;=AsAt),IF(N('Deal maths'!H550)&gt;0,N('Deal maths'!H550),N('Deal maths'!D550)),0)</f>
        <v/>
      </c>
      <c r="C550" s="91">
        <f>IF(B550&gt;0,IF('Deal maths'!C550="Local authority","Local authorities",LOWER(TRIM('Deal maths'!B550))),"")</f>
        <v/>
      </c>
      <c r="D550" s="91">
        <f>IF(C550="","",IF(COUNTIF($C$4:C549,C550)=0,SUMIF($C$4:$C$3997,C550,$B$4:$B$3997)-ROW()/1000000,""))</f>
        <v/>
      </c>
      <c r="E550" s="91">
        <f>IF(AND(N('Deal maths'!F550)&gt;AsAt,N('Deal maths'!E550)&lt;=AsAt,IF(N('Deal maths'!H550)&gt;0,N('Deal maths'!H550),N('Deal maths'!D550))&gt;0),N('Deal maths'!F550)+ROW()/1000000,"")</f>
        <v/>
      </c>
    </row>
    <row r="551">
      <c r="A551" s="91" t="n"/>
      <c r="B551" s="111">
        <f>IF(AND(N('Deal maths'!F551)&gt;AsAt,N('Deal maths'!E551)&lt;=AsAt),IF(N('Deal maths'!H551)&gt;0,N('Deal maths'!H551),N('Deal maths'!D551)),0)</f>
        <v/>
      </c>
      <c r="C551" s="91">
        <f>IF(B551&gt;0,IF('Deal maths'!C551="Local authority","Local authorities",LOWER(TRIM('Deal maths'!B551))),"")</f>
        <v/>
      </c>
      <c r="D551" s="91">
        <f>IF(C551="","",IF(COUNTIF($C$4:C550,C551)=0,SUMIF($C$4:$C$3997,C551,$B$4:$B$3997)-ROW()/1000000,""))</f>
        <v/>
      </c>
      <c r="E551" s="91">
        <f>IF(AND(N('Deal maths'!F551)&gt;AsAt,N('Deal maths'!E551)&lt;=AsAt,IF(N('Deal maths'!H551)&gt;0,N('Deal maths'!H551),N('Deal maths'!D551))&gt;0),N('Deal maths'!F551)+ROW()/1000000,"")</f>
        <v/>
      </c>
    </row>
    <row r="552">
      <c r="A552" s="91" t="n"/>
      <c r="B552" s="111">
        <f>IF(AND(N('Deal maths'!F552)&gt;AsAt,N('Deal maths'!E552)&lt;=AsAt),IF(N('Deal maths'!H552)&gt;0,N('Deal maths'!H552),N('Deal maths'!D552)),0)</f>
        <v/>
      </c>
      <c r="C552" s="91">
        <f>IF(B552&gt;0,IF('Deal maths'!C552="Local authority","Local authorities",LOWER(TRIM('Deal maths'!B552))),"")</f>
        <v/>
      </c>
      <c r="D552" s="91">
        <f>IF(C552="","",IF(COUNTIF($C$4:C551,C552)=0,SUMIF($C$4:$C$3997,C552,$B$4:$B$3997)-ROW()/1000000,""))</f>
        <v/>
      </c>
      <c r="E552" s="91">
        <f>IF(AND(N('Deal maths'!F552)&gt;AsAt,N('Deal maths'!E552)&lt;=AsAt,IF(N('Deal maths'!H552)&gt;0,N('Deal maths'!H552),N('Deal maths'!D552))&gt;0),N('Deal maths'!F552)+ROW()/1000000,"")</f>
        <v/>
      </c>
    </row>
    <row r="553">
      <c r="A553" s="91" t="n"/>
      <c r="B553" s="111">
        <f>IF(AND(N('Deal maths'!F553)&gt;AsAt,N('Deal maths'!E553)&lt;=AsAt),IF(N('Deal maths'!H553)&gt;0,N('Deal maths'!H553),N('Deal maths'!D553)),0)</f>
        <v/>
      </c>
      <c r="C553" s="91">
        <f>IF(B553&gt;0,IF('Deal maths'!C553="Local authority","Local authorities",LOWER(TRIM('Deal maths'!B553))),"")</f>
        <v/>
      </c>
      <c r="D553" s="91">
        <f>IF(C553="","",IF(COUNTIF($C$4:C552,C553)=0,SUMIF($C$4:$C$3997,C553,$B$4:$B$3997)-ROW()/1000000,""))</f>
        <v/>
      </c>
      <c r="E553" s="91">
        <f>IF(AND(N('Deal maths'!F553)&gt;AsAt,N('Deal maths'!E553)&lt;=AsAt,IF(N('Deal maths'!H553)&gt;0,N('Deal maths'!H553),N('Deal maths'!D553))&gt;0),N('Deal maths'!F553)+ROW()/1000000,"")</f>
        <v/>
      </c>
    </row>
    <row r="554">
      <c r="A554" s="91" t="n"/>
      <c r="B554" s="111">
        <f>IF(AND(N('Deal maths'!F554)&gt;AsAt,N('Deal maths'!E554)&lt;=AsAt),IF(N('Deal maths'!H554)&gt;0,N('Deal maths'!H554),N('Deal maths'!D554)),0)</f>
        <v/>
      </c>
      <c r="C554" s="91">
        <f>IF(B554&gt;0,IF('Deal maths'!C554="Local authority","Local authorities",LOWER(TRIM('Deal maths'!B554))),"")</f>
        <v/>
      </c>
      <c r="D554" s="91">
        <f>IF(C554="","",IF(COUNTIF($C$4:C553,C554)=0,SUMIF($C$4:$C$3997,C554,$B$4:$B$3997)-ROW()/1000000,""))</f>
        <v/>
      </c>
      <c r="E554" s="91">
        <f>IF(AND(N('Deal maths'!F554)&gt;AsAt,N('Deal maths'!E554)&lt;=AsAt,IF(N('Deal maths'!H554)&gt;0,N('Deal maths'!H554),N('Deal maths'!D554))&gt;0),N('Deal maths'!F554)+ROW()/1000000,"")</f>
        <v/>
      </c>
    </row>
    <row r="555">
      <c r="A555" s="91" t="n"/>
      <c r="B555" s="111">
        <f>IF(AND(N('Deal maths'!F555)&gt;AsAt,N('Deal maths'!E555)&lt;=AsAt),IF(N('Deal maths'!H555)&gt;0,N('Deal maths'!H555),N('Deal maths'!D555)),0)</f>
        <v/>
      </c>
      <c r="C555" s="91">
        <f>IF(B555&gt;0,IF('Deal maths'!C555="Local authority","Local authorities",LOWER(TRIM('Deal maths'!B555))),"")</f>
        <v/>
      </c>
      <c r="D555" s="91">
        <f>IF(C555="","",IF(COUNTIF($C$4:C554,C555)=0,SUMIF($C$4:$C$3997,C555,$B$4:$B$3997)-ROW()/1000000,""))</f>
        <v/>
      </c>
      <c r="E555" s="91">
        <f>IF(AND(N('Deal maths'!F555)&gt;AsAt,N('Deal maths'!E555)&lt;=AsAt,IF(N('Deal maths'!H555)&gt;0,N('Deal maths'!H555),N('Deal maths'!D555))&gt;0),N('Deal maths'!F555)+ROW()/1000000,"")</f>
        <v/>
      </c>
    </row>
    <row r="556">
      <c r="A556" s="91" t="n"/>
      <c r="B556" s="111">
        <f>IF(AND(N('Deal maths'!F556)&gt;AsAt,N('Deal maths'!E556)&lt;=AsAt),IF(N('Deal maths'!H556)&gt;0,N('Deal maths'!H556),N('Deal maths'!D556)),0)</f>
        <v/>
      </c>
      <c r="C556" s="91">
        <f>IF(B556&gt;0,IF('Deal maths'!C556="Local authority","Local authorities",LOWER(TRIM('Deal maths'!B556))),"")</f>
        <v/>
      </c>
      <c r="D556" s="91">
        <f>IF(C556="","",IF(COUNTIF($C$4:C555,C556)=0,SUMIF($C$4:$C$3997,C556,$B$4:$B$3997)-ROW()/1000000,""))</f>
        <v/>
      </c>
      <c r="E556" s="91">
        <f>IF(AND(N('Deal maths'!F556)&gt;AsAt,N('Deal maths'!E556)&lt;=AsAt,IF(N('Deal maths'!H556)&gt;0,N('Deal maths'!H556),N('Deal maths'!D556))&gt;0),N('Deal maths'!F556)+ROW()/1000000,"")</f>
        <v/>
      </c>
    </row>
    <row r="557">
      <c r="A557" s="91" t="n"/>
      <c r="B557" s="111">
        <f>IF(AND(N('Deal maths'!F557)&gt;AsAt,N('Deal maths'!E557)&lt;=AsAt),IF(N('Deal maths'!H557)&gt;0,N('Deal maths'!H557),N('Deal maths'!D557)),0)</f>
        <v/>
      </c>
      <c r="C557" s="91">
        <f>IF(B557&gt;0,IF('Deal maths'!C557="Local authority","Local authorities",LOWER(TRIM('Deal maths'!B557))),"")</f>
        <v/>
      </c>
      <c r="D557" s="91">
        <f>IF(C557="","",IF(COUNTIF($C$4:C556,C557)=0,SUMIF($C$4:$C$3997,C557,$B$4:$B$3997)-ROW()/1000000,""))</f>
        <v/>
      </c>
      <c r="E557" s="91">
        <f>IF(AND(N('Deal maths'!F557)&gt;AsAt,N('Deal maths'!E557)&lt;=AsAt,IF(N('Deal maths'!H557)&gt;0,N('Deal maths'!H557),N('Deal maths'!D557))&gt;0),N('Deal maths'!F557)+ROW()/1000000,"")</f>
        <v/>
      </c>
    </row>
    <row r="558">
      <c r="A558" s="91" t="n"/>
      <c r="B558" s="111">
        <f>IF(AND(N('Deal maths'!F558)&gt;AsAt,N('Deal maths'!E558)&lt;=AsAt),IF(N('Deal maths'!H558)&gt;0,N('Deal maths'!H558),N('Deal maths'!D558)),0)</f>
        <v/>
      </c>
      <c r="C558" s="91">
        <f>IF(B558&gt;0,IF('Deal maths'!C558="Local authority","Local authorities",LOWER(TRIM('Deal maths'!B558))),"")</f>
        <v/>
      </c>
      <c r="D558" s="91">
        <f>IF(C558="","",IF(COUNTIF($C$4:C557,C558)=0,SUMIF($C$4:$C$3997,C558,$B$4:$B$3997)-ROW()/1000000,""))</f>
        <v/>
      </c>
      <c r="E558" s="91">
        <f>IF(AND(N('Deal maths'!F558)&gt;AsAt,N('Deal maths'!E558)&lt;=AsAt,IF(N('Deal maths'!H558)&gt;0,N('Deal maths'!H558),N('Deal maths'!D558))&gt;0),N('Deal maths'!F558)+ROW()/1000000,"")</f>
        <v/>
      </c>
    </row>
    <row r="559">
      <c r="A559" s="91" t="n"/>
      <c r="B559" s="111">
        <f>IF(AND(N('Deal maths'!F559)&gt;AsAt,N('Deal maths'!E559)&lt;=AsAt),IF(N('Deal maths'!H559)&gt;0,N('Deal maths'!H559),N('Deal maths'!D559)),0)</f>
        <v/>
      </c>
      <c r="C559" s="91">
        <f>IF(B559&gt;0,IF('Deal maths'!C559="Local authority","Local authorities",LOWER(TRIM('Deal maths'!B559))),"")</f>
        <v/>
      </c>
      <c r="D559" s="91">
        <f>IF(C559="","",IF(COUNTIF($C$4:C558,C559)=0,SUMIF($C$4:$C$3997,C559,$B$4:$B$3997)-ROW()/1000000,""))</f>
        <v/>
      </c>
      <c r="E559" s="91">
        <f>IF(AND(N('Deal maths'!F559)&gt;AsAt,N('Deal maths'!E559)&lt;=AsAt,IF(N('Deal maths'!H559)&gt;0,N('Deal maths'!H559),N('Deal maths'!D559))&gt;0),N('Deal maths'!F559)+ROW()/1000000,"")</f>
        <v/>
      </c>
    </row>
    <row r="560">
      <c r="A560" s="91" t="n"/>
      <c r="B560" s="111">
        <f>IF(AND(N('Deal maths'!F560)&gt;AsAt,N('Deal maths'!E560)&lt;=AsAt),IF(N('Deal maths'!H560)&gt;0,N('Deal maths'!H560),N('Deal maths'!D560)),0)</f>
        <v/>
      </c>
      <c r="C560" s="91">
        <f>IF(B560&gt;0,IF('Deal maths'!C560="Local authority","Local authorities",LOWER(TRIM('Deal maths'!B560))),"")</f>
        <v/>
      </c>
      <c r="D560" s="91">
        <f>IF(C560="","",IF(COUNTIF($C$4:C559,C560)=0,SUMIF($C$4:$C$3997,C560,$B$4:$B$3997)-ROW()/1000000,""))</f>
        <v/>
      </c>
      <c r="E560" s="91">
        <f>IF(AND(N('Deal maths'!F560)&gt;AsAt,N('Deal maths'!E560)&lt;=AsAt,IF(N('Deal maths'!H560)&gt;0,N('Deal maths'!H560),N('Deal maths'!D560))&gt;0),N('Deal maths'!F560)+ROW()/1000000,"")</f>
        <v/>
      </c>
    </row>
    <row r="561">
      <c r="A561" s="91" t="n"/>
      <c r="B561" s="111">
        <f>IF(AND(N('Deal maths'!F561)&gt;AsAt,N('Deal maths'!E561)&lt;=AsAt),IF(N('Deal maths'!H561)&gt;0,N('Deal maths'!H561),N('Deal maths'!D561)),0)</f>
        <v/>
      </c>
      <c r="C561" s="91">
        <f>IF(B561&gt;0,IF('Deal maths'!C561="Local authority","Local authorities",LOWER(TRIM('Deal maths'!B561))),"")</f>
        <v/>
      </c>
      <c r="D561" s="91">
        <f>IF(C561="","",IF(COUNTIF($C$4:C560,C561)=0,SUMIF($C$4:$C$3997,C561,$B$4:$B$3997)-ROW()/1000000,""))</f>
        <v/>
      </c>
      <c r="E561" s="91">
        <f>IF(AND(N('Deal maths'!F561)&gt;AsAt,N('Deal maths'!E561)&lt;=AsAt,IF(N('Deal maths'!H561)&gt;0,N('Deal maths'!H561),N('Deal maths'!D561))&gt;0),N('Deal maths'!F561)+ROW()/1000000,"")</f>
        <v/>
      </c>
    </row>
    <row r="562">
      <c r="A562" s="91" t="n"/>
      <c r="B562" s="111">
        <f>IF(AND(N('Deal maths'!F562)&gt;AsAt,N('Deal maths'!E562)&lt;=AsAt),IF(N('Deal maths'!H562)&gt;0,N('Deal maths'!H562),N('Deal maths'!D562)),0)</f>
        <v/>
      </c>
      <c r="C562" s="91">
        <f>IF(B562&gt;0,IF('Deal maths'!C562="Local authority","Local authorities",LOWER(TRIM('Deal maths'!B562))),"")</f>
        <v/>
      </c>
      <c r="D562" s="91">
        <f>IF(C562="","",IF(COUNTIF($C$4:C561,C562)=0,SUMIF($C$4:$C$3997,C562,$B$4:$B$3997)-ROW()/1000000,""))</f>
        <v/>
      </c>
      <c r="E562" s="91">
        <f>IF(AND(N('Deal maths'!F562)&gt;AsAt,N('Deal maths'!E562)&lt;=AsAt,IF(N('Deal maths'!H562)&gt;0,N('Deal maths'!H562),N('Deal maths'!D562))&gt;0),N('Deal maths'!F562)+ROW()/1000000,"")</f>
        <v/>
      </c>
    </row>
    <row r="563">
      <c r="A563" s="91" t="n"/>
      <c r="B563" s="111">
        <f>IF(AND(N('Deal maths'!F563)&gt;AsAt,N('Deal maths'!E563)&lt;=AsAt),IF(N('Deal maths'!H563)&gt;0,N('Deal maths'!H563),N('Deal maths'!D563)),0)</f>
        <v/>
      </c>
      <c r="C563" s="91">
        <f>IF(B563&gt;0,IF('Deal maths'!C563="Local authority","Local authorities",LOWER(TRIM('Deal maths'!B563))),"")</f>
        <v/>
      </c>
      <c r="D563" s="91">
        <f>IF(C563="","",IF(COUNTIF($C$4:C562,C563)=0,SUMIF($C$4:$C$3997,C563,$B$4:$B$3997)-ROW()/1000000,""))</f>
        <v/>
      </c>
      <c r="E563" s="91">
        <f>IF(AND(N('Deal maths'!F563)&gt;AsAt,N('Deal maths'!E563)&lt;=AsAt,IF(N('Deal maths'!H563)&gt;0,N('Deal maths'!H563),N('Deal maths'!D563))&gt;0),N('Deal maths'!F563)+ROW()/1000000,"")</f>
        <v/>
      </c>
    </row>
    <row r="564">
      <c r="A564" s="91" t="n"/>
      <c r="B564" s="111">
        <f>IF(AND(N('Deal maths'!F564)&gt;AsAt,N('Deal maths'!E564)&lt;=AsAt),IF(N('Deal maths'!H564)&gt;0,N('Deal maths'!H564),N('Deal maths'!D564)),0)</f>
        <v/>
      </c>
      <c r="C564" s="91">
        <f>IF(B564&gt;0,IF('Deal maths'!C564="Local authority","Local authorities",LOWER(TRIM('Deal maths'!B564))),"")</f>
        <v/>
      </c>
      <c r="D564" s="91">
        <f>IF(C564="","",IF(COUNTIF($C$4:C563,C564)=0,SUMIF($C$4:$C$3997,C564,$B$4:$B$3997)-ROW()/1000000,""))</f>
        <v/>
      </c>
      <c r="E564" s="91">
        <f>IF(AND(N('Deal maths'!F564)&gt;AsAt,N('Deal maths'!E564)&lt;=AsAt,IF(N('Deal maths'!H564)&gt;0,N('Deal maths'!H564),N('Deal maths'!D564))&gt;0),N('Deal maths'!F564)+ROW()/1000000,"")</f>
        <v/>
      </c>
    </row>
    <row r="565">
      <c r="A565" s="91" t="n"/>
      <c r="B565" s="111">
        <f>IF(AND(N('Deal maths'!F565)&gt;AsAt,N('Deal maths'!E565)&lt;=AsAt),IF(N('Deal maths'!H565)&gt;0,N('Deal maths'!H565),N('Deal maths'!D565)),0)</f>
        <v/>
      </c>
      <c r="C565" s="91">
        <f>IF(B565&gt;0,IF('Deal maths'!C565="Local authority","Local authorities",LOWER(TRIM('Deal maths'!B565))),"")</f>
        <v/>
      </c>
      <c r="D565" s="91">
        <f>IF(C565="","",IF(COUNTIF($C$4:C564,C565)=0,SUMIF($C$4:$C$3997,C565,$B$4:$B$3997)-ROW()/1000000,""))</f>
        <v/>
      </c>
      <c r="E565" s="91">
        <f>IF(AND(N('Deal maths'!F565)&gt;AsAt,N('Deal maths'!E565)&lt;=AsAt,IF(N('Deal maths'!H565)&gt;0,N('Deal maths'!H565),N('Deal maths'!D565))&gt;0),N('Deal maths'!F565)+ROW()/1000000,"")</f>
        <v/>
      </c>
    </row>
    <row r="566">
      <c r="A566" s="91" t="n"/>
      <c r="B566" s="111">
        <f>IF(AND(N('Deal maths'!F566)&gt;AsAt,N('Deal maths'!E566)&lt;=AsAt),IF(N('Deal maths'!H566)&gt;0,N('Deal maths'!H566),N('Deal maths'!D566)),0)</f>
        <v/>
      </c>
      <c r="C566" s="91">
        <f>IF(B566&gt;0,IF('Deal maths'!C566="Local authority","Local authorities",LOWER(TRIM('Deal maths'!B566))),"")</f>
        <v/>
      </c>
      <c r="D566" s="91">
        <f>IF(C566="","",IF(COUNTIF($C$4:C565,C566)=0,SUMIF($C$4:$C$3997,C566,$B$4:$B$3997)-ROW()/1000000,""))</f>
        <v/>
      </c>
      <c r="E566" s="91">
        <f>IF(AND(N('Deal maths'!F566)&gt;AsAt,N('Deal maths'!E566)&lt;=AsAt,IF(N('Deal maths'!H566)&gt;0,N('Deal maths'!H566),N('Deal maths'!D566))&gt;0),N('Deal maths'!F566)+ROW()/1000000,"")</f>
        <v/>
      </c>
    </row>
    <row r="567">
      <c r="A567" s="91" t="n"/>
      <c r="B567" s="111">
        <f>IF(AND(N('Deal maths'!F567)&gt;AsAt,N('Deal maths'!E567)&lt;=AsAt),IF(N('Deal maths'!H567)&gt;0,N('Deal maths'!H567),N('Deal maths'!D567)),0)</f>
        <v/>
      </c>
      <c r="C567" s="91">
        <f>IF(B567&gt;0,IF('Deal maths'!C567="Local authority","Local authorities",LOWER(TRIM('Deal maths'!B567))),"")</f>
        <v/>
      </c>
      <c r="D567" s="91">
        <f>IF(C567="","",IF(COUNTIF($C$4:C566,C567)=0,SUMIF($C$4:$C$3997,C567,$B$4:$B$3997)-ROW()/1000000,""))</f>
        <v/>
      </c>
      <c r="E567" s="91">
        <f>IF(AND(N('Deal maths'!F567)&gt;AsAt,N('Deal maths'!E567)&lt;=AsAt,IF(N('Deal maths'!H567)&gt;0,N('Deal maths'!H567),N('Deal maths'!D567))&gt;0),N('Deal maths'!F567)+ROW()/1000000,"")</f>
        <v/>
      </c>
    </row>
    <row r="568">
      <c r="A568" s="91" t="n"/>
      <c r="B568" s="111">
        <f>IF(AND(N('Deal maths'!F568)&gt;AsAt,N('Deal maths'!E568)&lt;=AsAt),IF(N('Deal maths'!H568)&gt;0,N('Deal maths'!H568),N('Deal maths'!D568)),0)</f>
        <v/>
      </c>
      <c r="C568" s="91">
        <f>IF(B568&gt;0,IF('Deal maths'!C568="Local authority","Local authorities",LOWER(TRIM('Deal maths'!B568))),"")</f>
        <v/>
      </c>
      <c r="D568" s="91">
        <f>IF(C568="","",IF(COUNTIF($C$4:C567,C568)=0,SUMIF($C$4:$C$3997,C568,$B$4:$B$3997)-ROW()/1000000,""))</f>
        <v/>
      </c>
      <c r="E568" s="91">
        <f>IF(AND(N('Deal maths'!F568)&gt;AsAt,N('Deal maths'!E568)&lt;=AsAt,IF(N('Deal maths'!H568)&gt;0,N('Deal maths'!H568),N('Deal maths'!D568))&gt;0),N('Deal maths'!F568)+ROW()/1000000,"")</f>
        <v/>
      </c>
    </row>
    <row r="569">
      <c r="A569" s="91" t="n"/>
      <c r="B569" s="111">
        <f>IF(AND(N('Deal maths'!F569)&gt;AsAt,N('Deal maths'!E569)&lt;=AsAt),IF(N('Deal maths'!H569)&gt;0,N('Deal maths'!H569),N('Deal maths'!D569)),0)</f>
        <v/>
      </c>
      <c r="C569" s="91">
        <f>IF(B569&gt;0,IF('Deal maths'!C569="Local authority","Local authorities",LOWER(TRIM('Deal maths'!B569))),"")</f>
        <v/>
      </c>
      <c r="D569" s="91">
        <f>IF(C569="","",IF(COUNTIF($C$4:C568,C569)=0,SUMIF($C$4:$C$3997,C569,$B$4:$B$3997)-ROW()/1000000,""))</f>
        <v/>
      </c>
      <c r="E569" s="91">
        <f>IF(AND(N('Deal maths'!F569)&gt;AsAt,N('Deal maths'!E569)&lt;=AsAt,IF(N('Deal maths'!H569)&gt;0,N('Deal maths'!H569),N('Deal maths'!D569))&gt;0),N('Deal maths'!F569)+ROW()/1000000,"")</f>
        <v/>
      </c>
    </row>
    <row r="570">
      <c r="A570" s="91" t="n"/>
      <c r="B570" s="111">
        <f>IF(AND(N('Deal maths'!F570)&gt;AsAt,N('Deal maths'!E570)&lt;=AsAt),IF(N('Deal maths'!H570)&gt;0,N('Deal maths'!H570),N('Deal maths'!D570)),0)</f>
        <v/>
      </c>
      <c r="C570" s="91">
        <f>IF(B570&gt;0,IF('Deal maths'!C570="Local authority","Local authorities",LOWER(TRIM('Deal maths'!B570))),"")</f>
        <v/>
      </c>
      <c r="D570" s="91">
        <f>IF(C570="","",IF(COUNTIF($C$4:C569,C570)=0,SUMIF($C$4:$C$3997,C570,$B$4:$B$3997)-ROW()/1000000,""))</f>
        <v/>
      </c>
      <c r="E570" s="91">
        <f>IF(AND(N('Deal maths'!F570)&gt;AsAt,N('Deal maths'!E570)&lt;=AsAt,IF(N('Deal maths'!H570)&gt;0,N('Deal maths'!H570),N('Deal maths'!D570))&gt;0),N('Deal maths'!F570)+ROW()/1000000,"")</f>
        <v/>
      </c>
    </row>
    <row r="571">
      <c r="A571" s="91" t="n"/>
      <c r="B571" s="111">
        <f>IF(AND(N('Deal maths'!F571)&gt;AsAt,N('Deal maths'!E571)&lt;=AsAt),IF(N('Deal maths'!H571)&gt;0,N('Deal maths'!H571),N('Deal maths'!D571)),0)</f>
        <v/>
      </c>
      <c r="C571" s="91">
        <f>IF(B571&gt;0,IF('Deal maths'!C571="Local authority","Local authorities",LOWER(TRIM('Deal maths'!B571))),"")</f>
        <v/>
      </c>
      <c r="D571" s="91">
        <f>IF(C571="","",IF(COUNTIF($C$4:C570,C571)=0,SUMIF($C$4:$C$3997,C571,$B$4:$B$3997)-ROW()/1000000,""))</f>
        <v/>
      </c>
      <c r="E571" s="91">
        <f>IF(AND(N('Deal maths'!F571)&gt;AsAt,N('Deal maths'!E571)&lt;=AsAt,IF(N('Deal maths'!H571)&gt;0,N('Deal maths'!H571),N('Deal maths'!D571))&gt;0),N('Deal maths'!F571)+ROW()/1000000,"")</f>
        <v/>
      </c>
    </row>
    <row r="572">
      <c r="A572" s="91" t="n"/>
      <c r="B572" s="111">
        <f>IF(AND(N('Deal maths'!F572)&gt;AsAt,N('Deal maths'!E572)&lt;=AsAt),IF(N('Deal maths'!H572)&gt;0,N('Deal maths'!H572),N('Deal maths'!D572)),0)</f>
        <v/>
      </c>
      <c r="C572" s="91">
        <f>IF(B572&gt;0,IF('Deal maths'!C572="Local authority","Local authorities",LOWER(TRIM('Deal maths'!B572))),"")</f>
        <v/>
      </c>
      <c r="D572" s="91">
        <f>IF(C572="","",IF(COUNTIF($C$4:C571,C572)=0,SUMIF($C$4:$C$3997,C572,$B$4:$B$3997)-ROW()/1000000,""))</f>
        <v/>
      </c>
      <c r="E572" s="91">
        <f>IF(AND(N('Deal maths'!F572)&gt;AsAt,N('Deal maths'!E572)&lt;=AsAt,IF(N('Deal maths'!H572)&gt;0,N('Deal maths'!H572),N('Deal maths'!D572))&gt;0),N('Deal maths'!F572)+ROW()/1000000,"")</f>
        <v/>
      </c>
    </row>
    <row r="573">
      <c r="A573" s="91" t="n"/>
      <c r="B573" s="111">
        <f>IF(AND(N('Deal maths'!F573)&gt;AsAt,N('Deal maths'!E573)&lt;=AsAt),IF(N('Deal maths'!H573)&gt;0,N('Deal maths'!H573),N('Deal maths'!D573)),0)</f>
        <v/>
      </c>
      <c r="C573" s="91">
        <f>IF(B573&gt;0,IF('Deal maths'!C573="Local authority","Local authorities",LOWER(TRIM('Deal maths'!B573))),"")</f>
        <v/>
      </c>
      <c r="D573" s="91">
        <f>IF(C573="","",IF(COUNTIF($C$4:C572,C573)=0,SUMIF($C$4:$C$3997,C573,$B$4:$B$3997)-ROW()/1000000,""))</f>
        <v/>
      </c>
      <c r="E573" s="91">
        <f>IF(AND(N('Deal maths'!F573)&gt;AsAt,N('Deal maths'!E573)&lt;=AsAt,IF(N('Deal maths'!H573)&gt;0,N('Deal maths'!H573),N('Deal maths'!D573))&gt;0),N('Deal maths'!F573)+ROW()/1000000,"")</f>
        <v/>
      </c>
    </row>
    <row r="574">
      <c r="A574" s="91" t="n"/>
      <c r="B574" s="111">
        <f>IF(AND(N('Deal maths'!F574)&gt;AsAt,N('Deal maths'!E574)&lt;=AsAt),IF(N('Deal maths'!H574)&gt;0,N('Deal maths'!H574),N('Deal maths'!D574)),0)</f>
        <v/>
      </c>
      <c r="C574" s="91">
        <f>IF(B574&gt;0,IF('Deal maths'!C574="Local authority","Local authorities",LOWER(TRIM('Deal maths'!B574))),"")</f>
        <v/>
      </c>
      <c r="D574" s="91">
        <f>IF(C574="","",IF(COUNTIF($C$4:C573,C574)=0,SUMIF($C$4:$C$3997,C574,$B$4:$B$3997)-ROW()/1000000,""))</f>
        <v/>
      </c>
      <c r="E574" s="91">
        <f>IF(AND(N('Deal maths'!F574)&gt;AsAt,N('Deal maths'!E574)&lt;=AsAt,IF(N('Deal maths'!H574)&gt;0,N('Deal maths'!H574),N('Deal maths'!D574))&gt;0),N('Deal maths'!F574)+ROW()/1000000,"")</f>
        <v/>
      </c>
    </row>
    <row r="575">
      <c r="A575" s="91" t="n"/>
      <c r="B575" s="111">
        <f>IF(AND(N('Deal maths'!F575)&gt;AsAt,N('Deal maths'!E575)&lt;=AsAt),IF(N('Deal maths'!H575)&gt;0,N('Deal maths'!H575),N('Deal maths'!D575)),0)</f>
        <v/>
      </c>
      <c r="C575" s="91">
        <f>IF(B575&gt;0,IF('Deal maths'!C575="Local authority","Local authorities",LOWER(TRIM('Deal maths'!B575))),"")</f>
        <v/>
      </c>
      <c r="D575" s="91">
        <f>IF(C575="","",IF(COUNTIF($C$4:C574,C575)=0,SUMIF($C$4:$C$3997,C575,$B$4:$B$3997)-ROW()/1000000,""))</f>
        <v/>
      </c>
      <c r="E575" s="91">
        <f>IF(AND(N('Deal maths'!F575)&gt;AsAt,N('Deal maths'!E575)&lt;=AsAt,IF(N('Deal maths'!H575)&gt;0,N('Deal maths'!H575),N('Deal maths'!D575))&gt;0),N('Deal maths'!F575)+ROW()/1000000,"")</f>
        <v/>
      </c>
    </row>
    <row r="576">
      <c r="A576" s="91" t="n"/>
      <c r="B576" s="111">
        <f>IF(AND(N('Deal maths'!F576)&gt;AsAt,N('Deal maths'!E576)&lt;=AsAt),IF(N('Deal maths'!H576)&gt;0,N('Deal maths'!H576),N('Deal maths'!D576)),0)</f>
        <v/>
      </c>
      <c r="C576" s="91">
        <f>IF(B576&gt;0,IF('Deal maths'!C576="Local authority","Local authorities",LOWER(TRIM('Deal maths'!B576))),"")</f>
        <v/>
      </c>
      <c r="D576" s="91">
        <f>IF(C576="","",IF(COUNTIF($C$4:C575,C576)=0,SUMIF($C$4:$C$3997,C576,$B$4:$B$3997)-ROW()/1000000,""))</f>
        <v/>
      </c>
      <c r="E576" s="91">
        <f>IF(AND(N('Deal maths'!F576)&gt;AsAt,N('Deal maths'!E576)&lt;=AsAt,IF(N('Deal maths'!H576)&gt;0,N('Deal maths'!H576),N('Deal maths'!D576))&gt;0),N('Deal maths'!F576)+ROW()/1000000,"")</f>
        <v/>
      </c>
    </row>
    <row r="577">
      <c r="A577" s="91" t="n"/>
      <c r="B577" s="111">
        <f>IF(AND(N('Deal maths'!F577)&gt;AsAt,N('Deal maths'!E577)&lt;=AsAt),IF(N('Deal maths'!H577)&gt;0,N('Deal maths'!H577),N('Deal maths'!D577)),0)</f>
        <v/>
      </c>
      <c r="C577" s="91">
        <f>IF(B577&gt;0,IF('Deal maths'!C577="Local authority","Local authorities",LOWER(TRIM('Deal maths'!B577))),"")</f>
        <v/>
      </c>
      <c r="D577" s="91">
        <f>IF(C577="","",IF(COUNTIF($C$4:C576,C577)=0,SUMIF($C$4:$C$3997,C577,$B$4:$B$3997)-ROW()/1000000,""))</f>
        <v/>
      </c>
      <c r="E577" s="91">
        <f>IF(AND(N('Deal maths'!F577)&gt;AsAt,N('Deal maths'!E577)&lt;=AsAt,IF(N('Deal maths'!H577)&gt;0,N('Deal maths'!H577),N('Deal maths'!D577))&gt;0),N('Deal maths'!F577)+ROW()/1000000,"")</f>
        <v/>
      </c>
    </row>
    <row r="578">
      <c r="A578" s="91" t="n"/>
      <c r="B578" s="111">
        <f>IF(AND(N('Deal maths'!F578)&gt;AsAt,N('Deal maths'!E578)&lt;=AsAt),IF(N('Deal maths'!H578)&gt;0,N('Deal maths'!H578),N('Deal maths'!D578)),0)</f>
        <v/>
      </c>
      <c r="C578" s="91">
        <f>IF(B578&gt;0,IF('Deal maths'!C578="Local authority","Local authorities",LOWER(TRIM('Deal maths'!B578))),"")</f>
        <v/>
      </c>
      <c r="D578" s="91">
        <f>IF(C578="","",IF(COUNTIF($C$4:C577,C578)=0,SUMIF($C$4:$C$3997,C578,$B$4:$B$3997)-ROW()/1000000,""))</f>
        <v/>
      </c>
      <c r="E578" s="91">
        <f>IF(AND(N('Deal maths'!F578)&gt;AsAt,N('Deal maths'!E578)&lt;=AsAt,IF(N('Deal maths'!H578)&gt;0,N('Deal maths'!H578),N('Deal maths'!D578))&gt;0),N('Deal maths'!F578)+ROW()/1000000,"")</f>
        <v/>
      </c>
    </row>
    <row r="579">
      <c r="A579" s="91" t="n"/>
      <c r="B579" s="111">
        <f>IF(AND(N('Deal maths'!F579)&gt;AsAt,N('Deal maths'!E579)&lt;=AsAt),IF(N('Deal maths'!H579)&gt;0,N('Deal maths'!H579),N('Deal maths'!D579)),0)</f>
        <v/>
      </c>
      <c r="C579" s="91">
        <f>IF(B579&gt;0,IF('Deal maths'!C579="Local authority","Local authorities",LOWER(TRIM('Deal maths'!B579))),"")</f>
        <v/>
      </c>
      <c r="D579" s="91">
        <f>IF(C579="","",IF(COUNTIF($C$4:C578,C579)=0,SUMIF($C$4:$C$3997,C579,$B$4:$B$3997)-ROW()/1000000,""))</f>
        <v/>
      </c>
      <c r="E579" s="91">
        <f>IF(AND(N('Deal maths'!F579)&gt;AsAt,N('Deal maths'!E579)&lt;=AsAt,IF(N('Deal maths'!H579)&gt;0,N('Deal maths'!H579),N('Deal maths'!D579))&gt;0),N('Deal maths'!F579)+ROW()/1000000,"")</f>
        <v/>
      </c>
    </row>
    <row r="580">
      <c r="A580" s="91" t="n"/>
      <c r="B580" s="111">
        <f>IF(AND(N('Deal maths'!F580)&gt;AsAt,N('Deal maths'!E580)&lt;=AsAt),IF(N('Deal maths'!H580)&gt;0,N('Deal maths'!H580),N('Deal maths'!D580)),0)</f>
        <v/>
      </c>
      <c r="C580" s="91">
        <f>IF(B580&gt;0,IF('Deal maths'!C580="Local authority","Local authorities",LOWER(TRIM('Deal maths'!B580))),"")</f>
        <v/>
      </c>
      <c r="D580" s="91">
        <f>IF(C580="","",IF(COUNTIF($C$4:C579,C580)=0,SUMIF($C$4:$C$3997,C580,$B$4:$B$3997)-ROW()/1000000,""))</f>
        <v/>
      </c>
      <c r="E580" s="91">
        <f>IF(AND(N('Deal maths'!F580)&gt;AsAt,N('Deal maths'!E580)&lt;=AsAt,IF(N('Deal maths'!H580)&gt;0,N('Deal maths'!H580),N('Deal maths'!D580))&gt;0),N('Deal maths'!F580)+ROW()/1000000,"")</f>
        <v/>
      </c>
    </row>
    <row r="581">
      <c r="A581" s="91" t="n"/>
      <c r="B581" s="111">
        <f>IF(AND(N('Deal maths'!F581)&gt;AsAt,N('Deal maths'!E581)&lt;=AsAt),IF(N('Deal maths'!H581)&gt;0,N('Deal maths'!H581),N('Deal maths'!D581)),0)</f>
        <v/>
      </c>
      <c r="C581" s="91">
        <f>IF(B581&gt;0,IF('Deal maths'!C581="Local authority","Local authorities",LOWER(TRIM('Deal maths'!B581))),"")</f>
        <v/>
      </c>
      <c r="D581" s="91">
        <f>IF(C581="","",IF(COUNTIF($C$4:C580,C581)=0,SUMIF($C$4:$C$3997,C581,$B$4:$B$3997)-ROW()/1000000,""))</f>
        <v/>
      </c>
      <c r="E581" s="91">
        <f>IF(AND(N('Deal maths'!F581)&gt;AsAt,N('Deal maths'!E581)&lt;=AsAt,IF(N('Deal maths'!H581)&gt;0,N('Deal maths'!H581),N('Deal maths'!D581))&gt;0),N('Deal maths'!F581)+ROW()/1000000,"")</f>
        <v/>
      </c>
    </row>
    <row r="582">
      <c r="A582" s="91" t="n"/>
      <c r="B582" s="111">
        <f>IF(AND(N('Deal maths'!F582)&gt;AsAt,N('Deal maths'!E582)&lt;=AsAt),IF(N('Deal maths'!H582)&gt;0,N('Deal maths'!H582),N('Deal maths'!D582)),0)</f>
        <v/>
      </c>
      <c r="C582" s="91">
        <f>IF(B582&gt;0,IF('Deal maths'!C582="Local authority","Local authorities",LOWER(TRIM('Deal maths'!B582))),"")</f>
        <v/>
      </c>
      <c r="D582" s="91">
        <f>IF(C582="","",IF(COUNTIF($C$4:C581,C582)=0,SUMIF($C$4:$C$3997,C582,$B$4:$B$3997)-ROW()/1000000,""))</f>
        <v/>
      </c>
      <c r="E582" s="91">
        <f>IF(AND(N('Deal maths'!F582)&gt;AsAt,N('Deal maths'!E582)&lt;=AsAt,IF(N('Deal maths'!H582)&gt;0,N('Deal maths'!H582),N('Deal maths'!D582))&gt;0),N('Deal maths'!F582)+ROW()/1000000,"")</f>
        <v/>
      </c>
    </row>
    <row r="583">
      <c r="A583" s="91" t="n"/>
      <c r="B583" s="111">
        <f>IF(AND(N('Deal maths'!F583)&gt;AsAt,N('Deal maths'!E583)&lt;=AsAt),IF(N('Deal maths'!H583)&gt;0,N('Deal maths'!H583),N('Deal maths'!D583)),0)</f>
        <v/>
      </c>
      <c r="C583" s="91">
        <f>IF(B583&gt;0,IF('Deal maths'!C583="Local authority","Local authorities",LOWER(TRIM('Deal maths'!B583))),"")</f>
        <v/>
      </c>
      <c r="D583" s="91">
        <f>IF(C583="","",IF(COUNTIF($C$4:C582,C583)=0,SUMIF($C$4:$C$3997,C583,$B$4:$B$3997)-ROW()/1000000,""))</f>
        <v/>
      </c>
      <c r="E583" s="91">
        <f>IF(AND(N('Deal maths'!F583)&gt;AsAt,N('Deal maths'!E583)&lt;=AsAt,IF(N('Deal maths'!H583)&gt;0,N('Deal maths'!H583),N('Deal maths'!D583))&gt;0),N('Deal maths'!F583)+ROW()/1000000,"")</f>
        <v/>
      </c>
    </row>
    <row r="584">
      <c r="A584" s="91" t="n"/>
      <c r="B584" s="111">
        <f>IF(AND(N('Deal maths'!F584)&gt;AsAt,N('Deal maths'!E584)&lt;=AsAt),IF(N('Deal maths'!H584)&gt;0,N('Deal maths'!H584),N('Deal maths'!D584)),0)</f>
        <v/>
      </c>
      <c r="C584" s="91">
        <f>IF(B584&gt;0,IF('Deal maths'!C584="Local authority","Local authorities",LOWER(TRIM('Deal maths'!B584))),"")</f>
        <v/>
      </c>
      <c r="D584" s="91">
        <f>IF(C584="","",IF(COUNTIF($C$4:C583,C584)=0,SUMIF($C$4:$C$3997,C584,$B$4:$B$3997)-ROW()/1000000,""))</f>
        <v/>
      </c>
      <c r="E584" s="91">
        <f>IF(AND(N('Deal maths'!F584)&gt;AsAt,N('Deal maths'!E584)&lt;=AsAt,IF(N('Deal maths'!H584)&gt;0,N('Deal maths'!H584),N('Deal maths'!D584))&gt;0),N('Deal maths'!F584)+ROW()/1000000,"")</f>
        <v/>
      </c>
    </row>
    <row r="585">
      <c r="A585" s="91" t="n"/>
      <c r="B585" s="111">
        <f>IF(AND(N('Deal maths'!F585)&gt;AsAt,N('Deal maths'!E585)&lt;=AsAt),IF(N('Deal maths'!H585)&gt;0,N('Deal maths'!H585),N('Deal maths'!D585)),0)</f>
        <v/>
      </c>
      <c r="C585" s="91">
        <f>IF(B585&gt;0,IF('Deal maths'!C585="Local authority","Local authorities",LOWER(TRIM('Deal maths'!B585))),"")</f>
        <v/>
      </c>
      <c r="D585" s="91">
        <f>IF(C585="","",IF(COUNTIF($C$4:C584,C585)=0,SUMIF($C$4:$C$3997,C585,$B$4:$B$3997)-ROW()/1000000,""))</f>
        <v/>
      </c>
      <c r="E585" s="91">
        <f>IF(AND(N('Deal maths'!F585)&gt;AsAt,N('Deal maths'!E585)&lt;=AsAt,IF(N('Deal maths'!H585)&gt;0,N('Deal maths'!H585),N('Deal maths'!D585))&gt;0),N('Deal maths'!F585)+ROW()/1000000,"")</f>
        <v/>
      </c>
    </row>
    <row r="586">
      <c r="A586" s="91" t="n"/>
      <c r="B586" s="111">
        <f>IF(AND(N('Deal maths'!F586)&gt;AsAt,N('Deal maths'!E586)&lt;=AsAt),IF(N('Deal maths'!H586)&gt;0,N('Deal maths'!H586),N('Deal maths'!D586)),0)</f>
        <v/>
      </c>
      <c r="C586" s="91">
        <f>IF(B586&gt;0,IF('Deal maths'!C586="Local authority","Local authorities",LOWER(TRIM('Deal maths'!B586))),"")</f>
        <v/>
      </c>
      <c r="D586" s="91">
        <f>IF(C586="","",IF(COUNTIF($C$4:C585,C586)=0,SUMIF($C$4:$C$3997,C586,$B$4:$B$3997)-ROW()/1000000,""))</f>
        <v/>
      </c>
      <c r="E586" s="91">
        <f>IF(AND(N('Deal maths'!F586)&gt;AsAt,N('Deal maths'!E586)&lt;=AsAt,IF(N('Deal maths'!H586)&gt;0,N('Deal maths'!H586),N('Deal maths'!D586))&gt;0),N('Deal maths'!F586)+ROW()/1000000,"")</f>
        <v/>
      </c>
    </row>
    <row r="587">
      <c r="A587" s="91" t="n"/>
      <c r="B587" s="111">
        <f>IF(AND(N('Deal maths'!F587)&gt;AsAt,N('Deal maths'!E587)&lt;=AsAt),IF(N('Deal maths'!H587)&gt;0,N('Deal maths'!H587),N('Deal maths'!D587)),0)</f>
        <v/>
      </c>
      <c r="C587" s="91">
        <f>IF(B587&gt;0,IF('Deal maths'!C587="Local authority","Local authorities",LOWER(TRIM('Deal maths'!B587))),"")</f>
        <v/>
      </c>
      <c r="D587" s="91">
        <f>IF(C587="","",IF(COUNTIF($C$4:C586,C587)=0,SUMIF($C$4:$C$3997,C587,$B$4:$B$3997)-ROW()/1000000,""))</f>
        <v/>
      </c>
      <c r="E587" s="91">
        <f>IF(AND(N('Deal maths'!F587)&gt;AsAt,N('Deal maths'!E587)&lt;=AsAt,IF(N('Deal maths'!H587)&gt;0,N('Deal maths'!H587),N('Deal maths'!D587))&gt;0),N('Deal maths'!F587)+ROW()/1000000,"")</f>
        <v/>
      </c>
    </row>
    <row r="588">
      <c r="A588" s="91" t="n"/>
      <c r="B588" s="111">
        <f>IF(AND(N('Deal maths'!F588)&gt;AsAt,N('Deal maths'!E588)&lt;=AsAt),IF(N('Deal maths'!H588)&gt;0,N('Deal maths'!H588),N('Deal maths'!D588)),0)</f>
        <v/>
      </c>
      <c r="C588" s="91">
        <f>IF(B588&gt;0,IF('Deal maths'!C588="Local authority","Local authorities",LOWER(TRIM('Deal maths'!B588))),"")</f>
        <v/>
      </c>
      <c r="D588" s="91">
        <f>IF(C588="","",IF(COUNTIF($C$4:C587,C588)=0,SUMIF($C$4:$C$3997,C588,$B$4:$B$3997)-ROW()/1000000,""))</f>
        <v/>
      </c>
      <c r="E588" s="91">
        <f>IF(AND(N('Deal maths'!F588)&gt;AsAt,N('Deal maths'!E588)&lt;=AsAt,IF(N('Deal maths'!H588)&gt;0,N('Deal maths'!H588),N('Deal maths'!D588))&gt;0),N('Deal maths'!F588)+ROW()/1000000,"")</f>
        <v/>
      </c>
    </row>
    <row r="589">
      <c r="A589" s="91" t="n"/>
      <c r="B589" s="111">
        <f>IF(AND(N('Deal maths'!F589)&gt;AsAt,N('Deal maths'!E589)&lt;=AsAt),IF(N('Deal maths'!H589)&gt;0,N('Deal maths'!H589),N('Deal maths'!D589)),0)</f>
        <v/>
      </c>
      <c r="C589" s="91">
        <f>IF(B589&gt;0,IF('Deal maths'!C589="Local authority","Local authorities",LOWER(TRIM('Deal maths'!B589))),"")</f>
        <v/>
      </c>
      <c r="D589" s="91">
        <f>IF(C589="","",IF(COUNTIF($C$4:C588,C589)=0,SUMIF($C$4:$C$3997,C589,$B$4:$B$3997)-ROW()/1000000,""))</f>
        <v/>
      </c>
      <c r="E589" s="91">
        <f>IF(AND(N('Deal maths'!F589)&gt;AsAt,N('Deal maths'!E589)&lt;=AsAt,IF(N('Deal maths'!H589)&gt;0,N('Deal maths'!H589),N('Deal maths'!D589))&gt;0),N('Deal maths'!F589)+ROW()/1000000,"")</f>
        <v/>
      </c>
    </row>
    <row r="590">
      <c r="A590" s="91" t="n"/>
      <c r="B590" s="111">
        <f>IF(AND(N('Deal maths'!F590)&gt;AsAt,N('Deal maths'!E590)&lt;=AsAt),IF(N('Deal maths'!H590)&gt;0,N('Deal maths'!H590),N('Deal maths'!D590)),0)</f>
        <v/>
      </c>
      <c r="C590" s="91">
        <f>IF(B590&gt;0,IF('Deal maths'!C590="Local authority","Local authorities",LOWER(TRIM('Deal maths'!B590))),"")</f>
        <v/>
      </c>
      <c r="D590" s="91">
        <f>IF(C590="","",IF(COUNTIF($C$4:C589,C590)=0,SUMIF($C$4:$C$3997,C590,$B$4:$B$3997)-ROW()/1000000,""))</f>
        <v/>
      </c>
      <c r="E590" s="91">
        <f>IF(AND(N('Deal maths'!F590)&gt;AsAt,N('Deal maths'!E590)&lt;=AsAt,IF(N('Deal maths'!H590)&gt;0,N('Deal maths'!H590),N('Deal maths'!D590))&gt;0),N('Deal maths'!F590)+ROW()/1000000,"")</f>
        <v/>
      </c>
    </row>
    <row r="591">
      <c r="A591" s="91" t="n"/>
      <c r="B591" s="111">
        <f>IF(AND(N('Deal maths'!F591)&gt;AsAt,N('Deal maths'!E591)&lt;=AsAt),IF(N('Deal maths'!H591)&gt;0,N('Deal maths'!H591),N('Deal maths'!D591)),0)</f>
        <v/>
      </c>
      <c r="C591" s="91">
        <f>IF(B591&gt;0,IF('Deal maths'!C591="Local authority","Local authorities",LOWER(TRIM('Deal maths'!B591))),"")</f>
        <v/>
      </c>
      <c r="D591" s="91">
        <f>IF(C591="","",IF(COUNTIF($C$4:C590,C591)=0,SUMIF($C$4:$C$3997,C591,$B$4:$B$3997)-ROW()/1000000,""))</f>
        <v/>
      </c>
      <c r="E591" s="91">
        <f>IF(AND(N('Deal maths'!F591)&gt;AsAt,N('Deal maths'!E591)&lt;=AsAt,IF(N('Deal maths'!H591)&gt;0,N('Deal maths'!H591),N('Deal maths'!D591))&gt;0),N('Deal maths'!F591)+ROW()/1000000,"")</f>
        <v/>
      </c>
    </row>
    <row r="592">
      <c r="A592" s="91" t="n"/>
      <c r="B592" s="111">
        <f>IF(AND(N('Deal maths'!F592)&gt;AsAt,N('Deal maths'!E592)&lt;=AsAt),IF(N('Deal maths'!H592)&gt;0,N('Deal maths'!H592),N('Deal maths'!D592)),0)</f>
        <v/>
      </c>
      <c r="C592" s="91">
        <f>IF(B592&gt;0,IF('Deal maths'!C592="Local authority","Local authorities",LOWER(TRIM('Deal maths'!B592))),"")</f>
        <v/>
      </c>
      <c r="D592" s="91">
        <f>IF(C592="","",IF(COUNTIF($C$4:C591,C592)=0,SUMIF($C$4:$C$3997,C592,$B$4:$B$3997)-ROW()/1000000,""))</f>
        <v/>
      </c>
      <c r="E592" s="91">
        <f>IF(AND(N('Deal maths'!F592)&gt;AsAt,N('Deal maths'!E592)&lt;=AsAt,IF(N('Deal maths'!H592)&gt;0,N('Deal maths'!H592),N('Deal maths'!D592))&gt;0),N('Deal maths'!F592)+ROW()/1000000,"")</f>
        <v/>
      </c>
    </row>
    <row r="593">
      <c r="A593" s="91" t="n"/>
      <c r="B593" s="111">
        <f>IF(AND(N('Deal maths'!F593)&gt;AsAt,N('Deal maths'!E593)&lt;=AsAt),IF(N('Deal maths'!H593)&gt;0,N('Deal maths'!H593),N('Deal maths'!D593)),0)</f>
        <v/>
      </c>
      <c r="C593" s="91">
        <f>IF(B593&gt;0,IF('Deal maths'!C593="Local authority","Local authorities",LOWER(TRIM('Deal maths'!B593))),"")</f>
        <v/>
      </c>
      <c r="D593" s="91">
        <f>IF(C593="","",IF(COUNTIF($C$4:C592,C593)=0,SUMIF($C$4:$C$3997,C593,$B$4:$B$3997)-ROW()/1000000,""))</f>
        <v/>
      </c>
      <c r="E593" s="91">
        <f>IF(AND(N('Deal maths'!F593)&gt;AsAt,N('Deal maths'!E593)&lt;=AsAt,IF(N('Deal maths'!H593)&gt;0,N('Deal maths'!H593),N('Deal maths'!D593))&gt;0),N('Deal maths'!F593)+ROW()/1000000,"")</f>
        <v/>
      </c>
    </row>
    <row r="594">
      <c r="A594" s="91" t="n"/>
      <c r="B594" s="111">
        <f>IF(AND(N('Deal maths'!F594)&gt;AsAt,N('Deal maths'!E594)&lt;=AsAt),IF(N('Deal maths'!H594)&gt;0,N('Deal maths'!H594),N('Deal maths'!D594)),0)</f>
        <v/>
      </c>
      <c r="C594" s="91">
        <f>IF(B594&gt;0,IF('Deal maths'!C594="Local authority","Local authorities",LOWER(TRIM('Deal maths'!B594))),"")</f>
        <v/>
      </c>
      <c r="D594" s="91">
        <f>IF(C594="","",IF(COUNTIF($C$4:C593,C594)=0,SUMIF($C$4:$C$3997,C594,$B$4:$B$3997)-ROW()/1000000,""))</f>
        <v/>
      </c>
      <c r="E594" s="91">
        <f>IF(AND(N('Deal maths'!F594)&gt;AsAt,N('Deal maths'!E594)&lt;=AsAt,IF(N('Deal maths'!H594)&gt;0,N('Deal maths'!H594),N('Deal maths'!D594))&gt;0),N('Deal maths'!F594)+ROW()/1000000,"")</f>
        <v/>
      </c>
    </row>
    <row r="595">
      <c r="A595" s="91" t="n"/>
      <c r="B595" s="111">
        <f>IF(AND(N('Deal maths'!F595)&gt;AsAt,N('Deal maths'!E595)&lt;=AsAt),IF(N('Deal maths'!H595)&gt;0,N('Deal maths'!H595),N('Deal maths'!D595)),0)</f>
        <v/>
      </c>
      <c r="C595" s="91">
        <f>IF(B595&gt;0,IF('Deal maths'!C595="Local authority","Local authorities",LOWER(TRIM('Deal maths'!B595))),"")</f>
        <v/>
      </c>
      <c r="D595" s="91">
        <f>IF(C595="","",IF(COUNTIF($C$4:C594,C595)=0,SUMIF($C$4:$C$3997,C595,$B$4:$B$3997)-ROW()/1000000,""))</f>
        <v/>
      </c>
      <c r="E595" s="91">
        <f>IF(AND(N('Deal maths'!F595)&gt;AsAt,N('Deal maths'!E595)&lt;=AsAt,IF(N('Deal maths'!H595)&gt;0,N('Deal maths'!H595),N('Deal maths'!D595))&gt;0),N('Deal maths'!F595)+ROW()/1000000,"")</f>
        <v/>
      </c>
    </row>
    <row r="596">
      <c r="A596" s="91" t="n"/>
      <c r="B596" s="111">
        <f>IF(AND(N('Deal maths'!F596)&gt;AsAt,N('Deal maths'!E596)&lt;=AsAt),IF(N('Deal maths'!H596)&gt;0,N('Deal maths'!H596),N('Deal maths'!D596)),0)</f>
        <v/>
      </c>
      <c r="C596" s="91">
        <f>IF(B596&gt;0,IF('Deal maths'!C596="Local authority","Local authorities",LOWER(TRIM('Deal maths'!B596))),"")</f>
        <v/>
      </c>
      <c r="D596" s="91">
        <f>IF(C596="","",IF(COUNTIF($C$4:C595,C596)=0,SUMIF($C$4:$C$3997,C596,$B$4:$B$3997)-ROW()/1000000,""))</f>
        <v/>
      </c>
      <c r="E596" s="91">
        <f>IF(AND(N('Deal maths'!F596)&gt;AsAt,N('Deal maths'!E596)&lt;=AsAt,IF(N('Deal maths'!H596)&gt;0,N('Deal maths'!H596),N('Deal maths'!D596))&gt;0),N('Deal maths'!F596)+ROW()/1000000,"")</f>
        <v/>
      </c>
    </row>
    <row r="597">
      <c r="A597" s="91" t="n"/>
      <c r="B597" s="111">
        <f>IF(AND(N('Deal maths'!F597)&gt;AsAt,N('Deal maths'!E597)&lt;=AsAt),IF(N('Deal maths'!H597)&gt;0,N('Deal maths'!H597),N('Deal maths'!D597)),0)</f>
        <v/>
      </c>
      <c r="C597" s="91">
        <f>IF(B597&gt;0,IF('Deal maths'!C597="Local authority","Local authorities",LOWER(TRIM('Deal maths'!B597))),"")</f>
        <v/>
      </c>
      <c r="D597" s="91">
        <f>IF(C597="","",IF(COUNTIF($C$4:C596,C597)=0,SUMIF($C$4:$C$3997,C597,$B$4:$B$3997)-ROW()/1000000,""))</f>
        <v/>
      </c>
      <c r="E597" s="91">
        <f>IF(AND(N('Deal maths'!F597)&gt;AsAt,N('Deal maths'!E597)&lt;=AsAt,IF(N('Deal maths'!H597)&gt;0,N('Deal maths'!H597),N('Deal maths'!D597))&gt;0),N('Deal maths'!F597)+ROW()/1000000,"")</f>
        <v/>
      </c>
    </row>
    <row r="598">
      <c r="A598" s="91" t="n"/>
      <c r="B598" s="111">
        <f>IF(AND(N('Deal maths'!F598)&gt;AsAt,N('Deal maths'!E598)&lt;=AsAt),IF(N('Deal maths'!H598)&gt;0,N('Deal maths'!H598),N('Deal maths'!D598)),0)</f>
        <v/>
      </c>
      <c r="C598" s="91">
        <f>IF(B598&gt;0,IF('Deal maths'!C598="Local authority","Local authorities",LOWER(TRIM('Deal maths'!B598))),"")</f>
        <v/>
      </c>
      <c r="D598" s="91">
        <f>IF(C598="","",IF(COUNTIF($C$4:C597,C598)=0,SUMIF($C$4:$C$3997,C598,$B$4:$B$3997)-ROW()/1000000,""))</f>
        <v/>
      </c>
      <c r="E598" s="91">
        <f>IF(AND(N('Deal maths'!F598)&gt;AsAt,N('Deal maths'!E598)&lt;=AsAt,IF(N('Deal maths'!H598)&gt;0,N('Deal maths'!H598),N('Deal maths'!D598))&gt;0),N('Deal maths'!F598)+ROW()/1000000,"")</f>
        <v/>
      </c>
    </row>
    <row r="599">
      <c r="A599" s="91" t="n"/>
      <c r="B599" s="111">
        <f>IF(AND(N('Deal maths'!F599)&gt;AsAt,N('Deal maths'!E599)&lt;=AsAt),IF(N('Deal maths'!H599)&gt;0,N('Deal maths'!H599),N('Deal maths'!D599)),0)</f>
        <v/>
      </c>
      <c r="C599" s="91">
        <f>IF(B599&gt;0,IF('Deal maths'!C599="Local authority","Local authorities",LOWER(TRIM('Deal maths'!B599))),"")</f>
        <v/>
      </c>
      <c r="D599" s="91">
        <f>IF(C599="","",IF(COUNTIF($C$4:C598,C599)=0,SUMIF($C$4:$C$3997,C599,$B$4:$B$3997)-ROW()/1000000,""))</f>
        <v/>
      </c>
      <c r="E599" s="91">
        <f>IF(AND(N('Deal maths'!F599)&gt;AsAt,N('Deal maths'!E599)&lt;=AsAt,IF(N('Deal maths'!H599)&gt;0,N('Deal maths'!H599),N('Deal maths'!D599))&gt;0),N('Deal maths'!F599)+ROW()/1000000,"")</f>
        <v/>
      </c>
    </row>
    <row r="600">
      <c r="A600" s="91" t="n"/>
      <c r="B600" s="111">
        <f>IF(AND(N('Deal maths'!F600)&gt;AsAt,N('Deal maths'!E600)&lt;=AsAt),IF(N('Deal maths'!H600)&gt;0,N('Deal maths'!H600),N('Deal maths'!D600)),0)</f>
        <v/>
      </c>
      <c r="C600" s="91">
        <f>IF(B600&gt;0,IF('Deal maths'!C600="Local authority","Local authorities",LOWER(TRIM('Deal maths'!B600))),"")</f>
        <v/>
      </c>
      <c r="D600" s="91">
        <f>IF(C600="","",IF(COUNTIF($C$4:C599,C600)=0,SUMIF($C$4:$C$3997,C600,$B$4:$B$3997)-ROW()/1000000,""))</f>
        <v/>
      </c>
      <c r="E600" s="91">
        <f>IF(AND(N('Deal maths'!F600)&gt;AsAt,N('Deal maths'!E600)&lt;=AsAt,IF(N('Deal maths'!H600)&gt;0,N('Deal maths'!H600),N('Deal maths'!D600))&gt;0),N('Deal maths'!F600)+ROW()/1000000,"")</f>
        <v/>
      </c>
    </row>
    <row r="601">
      <c r="A601" s="91" t="n"/>
      <c r="B601" s="111">
        <f>IF(AND(N('Deal maths'!F601)&gt;AsAt,N('Deal maths'!E601)&lt;=AsAt),IF(N('Deal maths'!H601)&gt;0,N('Deal maths'!H601),N('Deal maths'!D601)),0)</f>
        <v/>
      </c>
      <c r="C601" s="91">
        <f>IF(B601&gt;0,IF('Deal maths'!C601="Local authority","Local authorities",LOWER(TRIM('Deal maths'!B601))),"")</f>
        <v/>
      </c>
      <c r="D601" s="91">
        <f>IF(C601="","",IF(COUNTIF($C$4:C600,C601)=0,SUMIF($C$4:$C$3997,C601,$B$4:$B$3997)-ROW()/1000000,""))</f>
        <v/>
      </c>
      <c r="E601" s="91">
        <f>IF(AND(N('Deal maths'!F601)&gt;AsAt,N('Deal maths'!E601)&lt;=AsAt,IF(N('Deal maths'!H601)&gt;0,N('Deal maths'!H601),N('Deal maths'!D601))&gt;0),N('Deal maths'!F601)+ROW()/1000000,"")</f>
        <v/>
      </c>
    </row>
    <row r="602">
      <c r="A602" s="91" t="n"/>
      <c r="B602" s="111">
        <f>IF(AND(N('Deal maths'!F602)&gt;AsAt,N('Deal maths'!E602)&lt;=AsAt),IF(N('Deal maths'!H602)&gt;0,N('Deal maths'!H602),N('Deal maths'!D602)),0)</f>
        <v/>
      </c>
      <c r="C602" s="91">
        <f>IF(B602&gt;0,IF('Deal maths'!C602="Local authority","Local authorities",LOWER(TRIM('Deal maths'!B602))),"")</f>
        <v/>
      </c>
      <c r="D602" s="91">
        <f>IF(C602="","",IF(COUNTIF($C$4:C601,C602)=0,SUMIF($C$4:$C$3997,C602,$B$4:$B$3997)-ROW()/1000000,""))</f>
        <v/>
      </c>
      <c r="E602" s="91">
        <f>IF(AND(N('Deal maths'!F602)&gt;AsAt,N('Deal maths'!E602)&lt;=AsAt,IF(N('Deal maths'!H602)&gt;0,N('Deal maths'!H602),N('Deal maths'!D602))&gt;0),N('Deal maths'!F602)+ROW()/1000000,"")</f>
        <v/>
      </c>
    </row>
    <row r="603">
      <c r="A603" s="91" t="n"/>
      <c r="B603" s="111">
        <f>IF(AND(N('Deal maths'!F603)&gt;AsAt,N('Deal maths'!E603)&lt;=AsAt),IF(N('Deal maths'!H603)&gt;0,N('Deal maths'!H603),N('Deal maths'!D603)),0)</f>
        <v/>
      </c>
      <c r="C603" s="91">
        <f>IF(B603&gt;0,IF('Deal maths'!C603="Local authority","Local authorities",LOWER(TRIM('Deal maths'!B603))),"")</f>
        <v/>
      </c>
      <c r="D603" s="91">
        <f>IF(C603="","",IF(COUNTIF($C$4:C602,C603)=0,SUMIF($C$4:$C$3997,C603,$B$4:$B$3997)-ROW()/1000000,""))</f>
        <v/>
      </c>
      <c r="E603" s="91">
        <f>IF(AND(N('Deal maths'!F603)&gt;AsAt,N('Deal maths'!E603)&lt;=AsAt,IF(N('Deal maths'!H603)&gt;0,N('Deal maths'!H603),N('Deal maths'!D603))&gt;0),N('Deal maths'!F603)+ROW()/1000000,"")</f>
        <v/>
      </c>
    </row>
    <row r="604">
      <c r="A604" s="91" t="n"/>
      <c r="B604" s="111">
        <f>IF(AND(N('Deal maths'!F604)&gt;AsAt,N('Deal maths'!E604)&lt;=AsAt),IF(N('Deal maths'!H604)&gt;0,N('Deal maths'!H604),N('Deal maths'!D604)),0)</f>
        <v/>
      </c>
      <c r="C604" s="91">
        <f>IF(B604&gt;0,IF('Deal maths'!C604="Local authority","Local authorities",LOWER(TRIM('Deal maths'!B604))),"")</f>
        <v/>
      </c>
      <c r="D604" s="91">
        <f>IF(C604="","",IF(COUNTIF($C$4:C603,C604)=0,SUMIF($C$4:$C$3997,C604,$B$4:$B$3997)-ROW()/1000000,""))</f>
        <v/>
      </c>
      <c r="E604" s="91">
        <f>IF(AND(N('Deal maths'!F604)&gt;AsAt,N('Deal maths'!E604)&lt;=AsAt,IF(N('Deal maths'!H604)&gt;0,N('Deal maths'!H604),N('Deal maths'!D604))&gt;0),N('Deal maths'!F604)+ROW()/1000000,"")</f>
        <v/>
      </c>
    </row>
    <row r="605">
      <c r="A605" s="91" t="n"/>
      <c r="B605" s="111">
        <f>IF(AND(N('Deal maths'!F605)&gt;AsAt,N('Deal maths'!E605)&lt;=AsAt),IF(N('Deal maths'!H605)&gt;0,N('Deal maths'!H605),N('Deal maths'!D605)),0)</f>
        <v/>
      </c>
      <c r="C605" s="91">
        <f>IF(B605&gt;0,IF('Deal maths'!C605="Local authority","Local authorities",LOWER(TRIM('Deal maths'!B605))),"")</f>
        <v/>
      </c>
      <c r="D605" s="91">
        <f>IF(C605="","",IF(COUNTIF($C$4:C604,C605)=0,SUMIF($C$4:$C$3997,C605,$B$4:$B$3997)-ROW()/1000000,""))</f>
        <v/>
      </c>
      <c r="E605" s="91">
        <f>IF(AND(N('Deal maths'!F605)&gt;AsAt,N('Deal maths'!E605)&lt;=AsAt,IF(N('Deal maths'!H605)&gt;0,N('Deal maths'!H605),N('Deal maths'!D605))&gt;0),N('Deal maths'!F605)+ROW()/1000000,"")</f>
        <v/>
      </c>
    </row>
    <row r="606">
      <c r="A606" s="91" t="n"/>
      <c r="B606" s="111">
        <f>IF(AND(N('Deal maths'!F606)&gt;AsAt,N('Deal maths'!E606)&lt;=AsAt),IF(N('Deal maths'!H606)&gt;0,N('Deal maths'!H606),N('Deal maths'!D606)),0)</f>
        <v/>
      </c>
      <c r="C606" s="91">
        <f>IF(B606&gt;0,IF('Deal maths'!C606="Local authority","Local authorities",LOWER(TRIM('Deal maths'!B606))),"")</f>
        <v/>
      </c>
      <c r="D606" s="91">
        <f>IF(C606="","",IF(COUNTIF($C$4:C605,C606)=0,SUMIF($C$4:$C$3997,C606,$B$4:$B$3997)-ROW()/1000000,""))</f>
        <v/>
      </c>
      <c r="E606" s="91">
        <f>IF(AND(N('Deal maths'!F606)&gt;AsAt,N('Deal maths'!E606)&lt;=AsAt,IF(N('Deal maths'!H606)&gt;0,N('Deal maths'!H606),N('Deal maths'!D606))&gt;0),N('Deal maths'!F606)+ROW()/1000000,"")</f>
        <v/>
      </c>
    </row>
    <row r="607">
      <c r="A607" s="91" t="n"/>
      <c r="B607" s="111">
        <f>IF(AND(N('Deal maths'!F607)&gt;AsAt,N('Deal maths'!E607)&lt;=AsAt),IF(N('Deal maths'!H607)&gt;0,N('Deal maths'!H607),N('Deal maths'!D607)),0)</f>
        <v/>
      </c>
      <c r="C607" s="91">
        <f>IF(B607&gt;0,IF('Deal maths'!C607="Local authority","Local authorities",LOWER(TRIM('Deal maths'!B607))),"")</f>
        <v/>
      </c>
      <c r="D607" s="91">
        <f>IF(C607="","",IF(COUNTIF($C$4:C606,C607)=0,SUMIF($C$4:$C$3997,C607,$B$4:$B$3997)-ROW()/1000000,""))</f>
        <v/>
      </c>
      <c r="E607" s="91">
        <f>IF(AND(N('Deal maths'!F607)&gt;AsAt,N('Deal maths'!E607)&lt;=AsAt,IF(N('Deal maths'!H607)&gt;0,N('Deal maths'!H607),N('Deal maths'!D607))&gt;0),N('Deal maths'!F607)+ROW()/1000000,"")</f>
        <v/>
      </c>
    </row>
    <row r="608">
      <c r="A608" s="91" t="n"/>
      <c r="B608" s="111">
        <f>IF(AND(N('Deal maths'!F608)&gt;AsAt,N('Deal maths'!E608)&lt;=AsAt),IF(N('Deal maths'!H608)&gt;0,N('Deal maths'!H608),N('Deal maths'!D608)),0)</f>
        <v/>
      </c>
      <c r="C608" s="91">
        <f>IF(B608&gt;0,IF('Deal maths'!C608="Local authority","Local authorities",LOWER(TRIM('Deal maths'!B608))),"")</f>
        <v/>
      </c>
      <c r="D608" s="91">
        <f>IF(C608="","",IF(COUNTIF($C$4:C607,C608)=0,SUMIF($C$4:$C$3997,C608,$B$4:$B$3997)-ROW()/1000000,""))</f>
        <v/>
      </c>
      <c r="E608" s="91">
        <f>IF(AND(N('Deal maths'!F608)&gt;AsAt,N('Deal maths'!E608)&lt;=AsAt,IF(N('Deal maths'!H608)&gt;0,N('Deal maths'!H608),N('Deal maths'!D608))&gt;0),N('Deal maths'!F608)+ROW()/1000000,"")</f>
        <v/>
      </c>
    </row>
    <row r="609">
      <c r="A609" s="91" t="n"/>
      <c r="B609" s="111">
        <f>IF(AND(N('Deal maths'!F609)&gt;AsAt,N('Deal maths'!E609)&lt;=AsAt),IF(N('Deal maths'!H609)&gt;0,N('Deal maths'!H609),N('Deal maths'!D609)),0)</f>
        <v/>
      </c>
      <c r="C609" s="91">
        <f>IF(B609&gt;0,IF('Deal maths'!C609="Local authority","Local authorities",LOWER(TRIM('Deal maths'!B609))),"")</f>
        <v/>
      </c>
      <c r="D609" s="91">
        <f>IF(C609="","",IF(COUNTIF($C$4:C608,C609)=0,SUMIF($C$4:$C$3997,C609,$B$4:$B$3997)-ROW()/1000000,""))</f>
        <v/>
      </c>
      <c r="E609" s="91">
        <f>IF(AND(N('Deal maths'!F609)&gt;AsAt,N('Deal maths'!E609)&lt;=AsAt,IF(N('Deal maths'!H609)&gt;0,N('Deal maths'!H609),N('Deal maths'!D609))&gt;0),N('Deal maths'!F609)+ROW()/1000000,"")</f>
        <v/>
      </c>
    </row>
    <row r="610">
      <c r="A610" s="91" t="n"/>
      <c r="B610" s="111">
        <f>IF(AND(N('Deal maths'!F610)&gt;AsAt,N('Deal maths'!E610)&lt;=AsAt),IF(N('Deal maths'!H610)&gt;0,N('Deal maths'!H610),N('Deal maths'!D610)),0)</f>
        <v/>
      </c>
      <c r="C610" s="91">
        <f>IF(B610&gt;0,IF('Deal maths'!C610="Local authority","Local authorities",LOWER(TRIM('Deal maths'!B610))),"")</f>
        <v/>
      </c>
      <c r="D610" s="91">
        <f>IF(C610="","",IF(COUNTIF($C$4:C609,C610)=0,SUMIF($C$4:$C$3997,C610,$B$4:$B$3997)-ROW()/1000000,""))</f>
        <v/>
      </c>
      <c r="E610" s="91">
        <f>IF(AND(N('Deal maths'!F610)&gt;AsAt,N('Deal maths'!E610)&lt;=AsAt,IF(N('Deal maths'!H610)&gt;0,N('Deal maths'!H610),N('Deal maths'!D610))&gt;0),N('Deal maths'!F610)+ROW()/1000000,"")</f>
        <v/>
      </c>
    </row>
    <row r="611">
      <c r="A611" s="91" t="n"/>
      <c r="B611" s="111">
        <f>IF(AND(N('Deal maths'!F611)&gt;AsAt,N('Deal maths'!E611)&lt;=AsAt),IF(N('Deal maths'!H611)&gt;0,N('Deal maths'!H611),N('Deal maths'!D611)),0)</f>
        <v/>
      </c>
      <c r="C611" s="91">
        <f>IF(B611&gt;0,IF('Deal maths'!C611="Local authority","Local authorities",LOWER(TRIM('Deal maths'!B611))),"")</f>
        <v/>
      </c>
      <c r="D611" s="91">
        <f>IF(C611="","",IF(COUNTIF($C$4:C610,C611)=0,SUMIF($C$4:$C$3997,C611,$B$4:$B$3997)-ROW()/1000000,""))</f>
        <v/>
      </c>
      <c r="E611" s="91">
        <f>IF(AND(N('Deal maths'!F611)&gt;AsAt,N('Deal maths'!E611)&lt;=AsAt,IF(N('Deal maths'!H611)&gt;0,N('Deal maths'!H611),N('Deal maths'!D611))&gt;0),N('Deal maths'!F611)+ROW()/1000000,"")</f>
        <v/>
      </c>
    </row>
    <row r="612">
      <c r="A612" s="91" t="n"/>
      <c r="B612" s="111">
        <f>IF(AND(N('Deal maths'!F612)&gt;AsAt,N('Deal maths'!E612)&lt;=AsAt),IF(N('Deal maths'!H612)&gt;0,N('Deal maths'!H612),N('Deal maths'!D612)),0)</f>
        <v/>
      </c>
      <c r="C612" s="91">
        <f>IF(B612&gt;0,IF('Deal maths'!C612="Local authority","Local authorities",LOWER(TRIM('Deal maths'!B612))),"")</f>
        <v/>
      </c>
      <c r="D612" s="91">
        <f>IF(C612="","",IF(COUNTIF($C$4:C611,C612)=0,SUMIF($C$4:$C$3997,C612,$B$4:$B$3997)-ROW()/1000000,""))</f>
        <v/>
      </c>
      <c r="E612" s="91">
        <f>IF(AND(N('Deal maths'!F612)&gt;AsAt,N('Deal maths'!E612)&lt;=AsAt,IF(N('Deal maths'!H612)&gt;0,N('Deal maths'!H612),N('Deal maths'!D612))&gt;0),N('Deal maths'!F612)+ROW()/1000000,"")</f>
        <v/>
      </c>
    </row>
    <row r="613">
      <c r="A613" s="91" t="n"/>
      <c r="B613" s="111">
        <f>IF(AND(N('Deal maths'!F613)&gt;AsAt,N('Deal maths'!E613)&lt;=AsAt),IF(N('Deal maths'!H613)&gt;0,N('Deal maths'!H613),N('Deal maths'!D613)),0)</f>
        <v/>
      </c>
      <c r="C613" s="91">
        <f>IF(B613&gt;0,IF('Deal maths'!C613="Local authority","Local authorities",LOWER(TRIM('Deal maths'!B613))),"")</f>
        <v/>
      </c>
      <c r="D613" s="91">
        <f>IF(C613="","",IF(COUNTIF($C$4:C612,C613)=0,SUMIF($C$4:$C$3997,C613,$B$4:$B$3997)-ROW()/1000000,""))</f>
        <v/>
      </c>
      <c r="E613" s="91">
        <f>IF(AND(N('Deal maths'!F613)&gt;AsAt,N('Deal maths'!E613)&lt;=AsAt,IF(N('Deal maths'!H613)&gt;0,N('Deal maths'!H613),N('Deal maths'!D613))&gt;0),N('Deal maths'!F613)+ROW()/1000000,"")</f>
        <v/>
      </c>
    </row>
    <row r="614">
      <c r="A614" s="91" t="n"/>
      <c r="B614" s="111">
        <f>IF(AND(N('Deal maths'!F614)&gt;AsAt,N('Deal maths'!E614)&lt;=AsAt),IF(N('Deal maths'!H614)&gt;0,N('Deal maths'!H614),N('Deal maths'!D614)),0)</f>
        <v/>
      </c>
      <c r="C614" s="91">
        <f>IF(B614&gt;0,IF('Deal maths'!C614="Local authority","Local authorities",LOWER(TRIM('Deal maths'!B614))),"")</f>
        <v/>
      </c>
      <c r="D614" s="91">
        <f>IF(C614="","",IF(COUNTIF($C$4:C613,C614)=0,SUMIF($C$4:$C$3997,C614,$B$4:$B$3997)-ROW()/1000000,""))</f>
        <v/>
      </c>
      <c r="E614" s="91">
        <f>IF(AND(N('Deal maths'!F614)&gt;AsAt,N('Deal maths'!E614)&lt;=AsAt,IF(N('Deal maths'!H614)&gt;0,N('Deal maths'!H614),N('Deal maths'!D614))&gt;0),N('Deal maths'!F614)+ROW()/1000000,"")</f>
        <v/>
      </c>
    </row>
    <row r="615">
      <c r="A615" s="91" t="n"/>
      <c r="B615" s="111">
        <f>IF(AND(N('Deal maths'!F615)&gt;AsAt,N('Deal maths'!E615)&lt;=AsAt),IF(N('Deal maths'!H615)&gt;0,N('Deal maths'!H615),N('Deal maths'!D615)),0)</f>
        <v/>
      </c>
      <c r="C615" s="91">
        <f>IF(B615&gt;0,IF('Deal maths'!C615="Local authority","Local authorities",LOWER(TRIM('Deal maths'!B615))),"")</f>
        <v/>
      </c>
      <c r="D615" s="91">
        <f>IF(C615="","",IF(COUNTIF($C$4:C614,C615)=0,SUMIF($C$4:$C$3997,C615,$B$4:$B$3997)-ROW()/1000000,""))</f>
        <v/>
      </c>
      <c r="E615" s="91">
        <f>IF(AND(N('Deal maths'!F615)&gt;AsAt,N('Deal maths'!E615)&lt;=AsAt,IF(N('Deal maths'!H615)&gt;0,N('Deal maths'!H615),N('Deal maths'!D615))&gt;0),N('Deal maths'!F615)+ROW()/1000000,"")</f>
        <v/>
      </c>
    </row>
    <row r="616">
      <c r="A616" s="91" t="n"/>
      <c r="B616" s="111">
        <f>IF(AND(N('Deal maths'!F616)&gt;AsAt,N('Deal maths'!E616)&lt;=AsAt),IF(N('Deal maths'!H616)&gt;0,N('Deal maths'!H616),N('Deal maths'!D616)),0)</f>
        <v/>
      </c>
      <c r="C616" s="91">
        <f>IF(B616&gt;0,IF('Deal maths'!C616="Local authority","Local authorities",LOWER(TRIM('Deal maths'!B616))),"")</f>
        <v/>
      </c>
      <c r="D616" s="91">
        <f>IF(C616="","",IF(COUNTIF($C$4:C615,C616)=0,SUMIF($C$4:$C$3997,C616,$B$4:$B$3997)-ROW()/1000000,""))</f>
        <v/>
      </c>
      <c r="E616" s="91">
        <f>IF(AND(N('Deal maths'!F616)&gt;AsAt,N('Deal maths'!E616)&lt;=AsAt,IF(N('Deal maths'!H616)&gt;0,N('Deal maths'!H616),N('Deal maths'!D616))&gt;0),N('Deal maths'!F616)+ROW()/1000000,"")</f>
        <v/>
      </c>
    </row>
    <row r="617">
      <c r="A617" s="91" t="n"/>
      <c r="B617" s="111">
        <f>IF(AND(N('Deal maths'!F617)&gt;AsAt,N('Deal maths'!E617)&lt;=AsAt),IF(N('Deal maths'!H617)&gt;0,N('Deal maths'!H617),N('Deal maths'!D617)),0)</f>
        <v/>
      </c>
      <c r="C617" s="91">
        <f>IF(B617&gt;0,IF('Deal maths'!C617="Local authority","Local authorities",LOWER(TRIM('Deal maths'!B617))),"")</f>
        <v/>
      </c>
      <c r="D617" s="91">
        <f>IF(C617="","",IF(COUNTIF($C$4:C616,C617)=0,SUMIF($C$4:$C$3997,C617,$B$4:$B$3997)-ROW()/1000000,""))</f>
        <v/>
      </c>
      <c r="E617" s="91">
        <f>IF(AND(N('Deal maths'!F617)&gt;AsAt,N('Deal maths'!E617)&lt;=AsAt,IF(N('Deal maths'!H617)&gt;0,N('Deal maths'!H617),N('Deal maths'!D617))&gt;0),N('Deal maths'!F617)+ROW()/1000000,"")</f>
        <v/>
      </c>
    </row>
    <row r="618">
      <c r="A618" s="91" t="n"/>
      <c r="B618" s="111">
        <f>IF(AND(N('Deal maths'!F618)&gt;AsAt,N('Deal maths'!E618)&lt;=AsAt),IF(N('Deal maths'!H618)&gt;0,N('Deal maths'!H618),N('Deal maths'!D618)),0)</f>
        <v/>
      </c>
      <c r="C618" s="91">
        <f>IF(B618&gt;0,IF('Deal maths'!C618="Local authority","Local authorities",LOWER(TRIM('Deal maths'!B618))),"")</f>
        <v/>
      </c>
      <c r="D618" s="91">
        <f>IF(C618="","",IF(COUNTIF($C$4:C617,C618)=0,SUMIF($C$4:$C$3997,C618,$B$4:$B$3997)-ROW()/1000000,""))</f>
        <v/>
      </c>
      <c r="E618" s="91">
        <f>IF(AND(N('Deal maths'!F618)&gt;AsAt,N('Deal maths'!E618)&lt;=AsAt,IF(N('Deal maths'!H618)&gt;0,N('Deal maths'!H618),N('Deal maths'!D618))&gt;0),N('Deal maths'!F618)+ROW()/1000000,"")</f>
        <v/>
      </c>
    </row>
    <row r="619">
      <c r="A619" s="91" t="n"/>
      <c r="B619" s="111">
        <f>IF(AND(N('Deal maths'!F619)&gt;AsAt,N('Deal maths'!E619)&lt;=AsAt),IF(N('Deal maths'!H619)&gt;0,N('Deal maths'!H619),N('Deal maths'!D619)),0)</f>
        <v/>
      </c>
      <c r="C619" s="91">
        <f>IF(B619&gt;0,IF('Deal maths'!C619="Local authority","Local authorities",LOWER(TRIM('Deal maths'!B619))),"")</f>
        <v/>
      </c>
      <c r="D619" s="91">
        <f>IF(C619="","",IF(COUNTIF($C$4:C618,C619)=0,SUMIF($C$4:$C$3997,C619,$B$4:$B$3997)-ROW()/1000000,""))</f>
        <v/>
      </c>
      <c r="E619" s="91">
        <f>IF(AND(N('Deal maths'!F619)&gt;AsAt,N('Deal maths'!E619)&lt;=AsAt,IF(N('Deal maths'!H619)&gt;0,N('Deal maths'!H619),N('Deal maths'!D619))&gt;0),N('Deal maths'!F619)+ROW()/1000000,"")</f>
        <v/>
      </c>
    </row>
    <row r="620">
      <c r="A620" s="91" t="n"/>
      <c r="B620" s="111">
        <f>IF(AND(N('Deal maths'!F620)&gt;AsAt,N('Deal maths'!E620)&lt;=AsAt),IF(N('Deal maths'!H620)&gt;0,N('Deal maths'!H620),N('Deal maths'!D620)),0)</f>
        <v/>
      </c>
      <c r="C620" s="91">
        <f>IF(B620&gt;0,IF('Deal maths'!C620="Local authority","Local authorities",LOWER(TRIM('Deal maths'!B620))),"")</f>
        <v/>
      </c>
      <c r="D620" s="91">
        <f>IF(C620="","",IF(COUNTIF($C$4:C619,C620)=0,SUMIF($C$4:$C$3997,C620,$B$4:$B$3997)-ROW()/1000000,""))</f>
        <v/>
      </c>
      <c r="E620" s="91">
        <f>IF(AND(N('Deal maths'!F620)&gt;AsAt,N('Deal maths'!E620)&lt;=AsAt,IF(N('Deal maths'!H620)&gt;0,N('Deal maths'!H620),N('Deal maths'!D620))&gt;0),N('Deal maths'!F620)+ROW()/1000000,"")</f>
        <v/>
      </c>
    </row>
    <row r="621">
      <c r="A621" s="91" t="n"/>
      <c r="B621" s="111">
        <f>IF(AND(N('Deal maths'!F621)&gt;AsAt,N('Deal maths'!E621)&lt;=AsAt),IF(N('Deal maths'!H621)&gt;0,N('Deal maths'!H621),N('Deal maths'!D621)),0)</f>
        <v/>
      </c>
      <c r="C621" s="91">
        <f>IF(B621&gt;0,IF('Deal maths'!C621="Local authority","Local authorities",LOWER(TRIM('Deal maths'!B621))),"")</f>
        <v/>
      </c>
      <c r="D621" s="91">
        <f>IF(C621="","",IF(COUNTIF($C$4:C620,C621)=0,SUMIF($C$4:$C$3997,C621,$B$4:$B$3997)-ROW()/1000000,""))</f>
        <v/>
      </c>
      <c r="E621" s="91">
        <f>IF(AND(N('Deal maths'!F621)&gt;AsAt,N('Deal maths'!E621)&lt;=AsAt,IF(N('Deal maths'!H621)&gt;0,N('Deal maths'!H621),N('Deal maths'!D621))&gt;0),N('Deal maths'!F621)+ROW()/1000000,"")</f>
        <v/>
      </c>
    </row>
    <row r="622">
      <c r="A622" s="91" t="n"/>
      <c r="B622" s="111">
        <f>IF(AND(N('Deal maths'!F622)&gt;AsAt,N('Deal maths'!E622)&lt;=AsAt),IF(N('Deal maths'!H622)&gt;0,N('Deal maths'!H622),N('Deal maths'!D622)),0)</f>
        <v/>
      </c>
      <c r="C622" s="91">
        <f>IF(B622&gt;0,IF('Deal maths'!C622="Local authority","Local authorities",LOWER(TRIM('Deal maths'!B622))),"")</f>
        <v/>
      </c>
      <c r="D622" s="91">
        <f>IF(C622="","",IF(COUNTIF($C$4:C621,C622)=0,SUMIF($C$4:$C$3997,C622,$B$4:$B$3997)-ROW()/1000000,""))</f>
        <v/>
      </c>
      <c r="E622" s="91">
        <f>IF(AND(N('Deal maths'!F622)&gt;AsAt,N('Deal maths'!E622)&lt;=AsAt,IF(N('Deal maths'!H622)&gt;0,N('Deal maths'!H622),N('Deal maths'!D622))&gt;0),N('Deal maths'!F622)+ROW()/1000000,"")</f>
        <v/>
      </c>
    </row>
    <row r="623">
      <c r="A623" s="91" t="n"/>
      <c r="B623" s="111">
        <f>IF(AND(N('Deal maths'!F623)&gt;AsAt,N('Deal maths'!E623)&lt;=AsAt),IF(N('Deal maths'!H623)&gt;0,N('Deal maths'!H623),N('Deal maths'!D623)),0)</f>
        <v/>
      </c>
      <c r="C623" s="91">
        <f>IF(B623&gt;0,IF('Deal maths'!C623="Local authority","Local authorities",LOWER(TRIM('Deal maths'!B623))),"")</f>
        <v/>
      </c>
      <c r="D623" s="91">
        <f>IF(C623="","",IF(COUNTIF($C$4:C622,C623)=0,SUMIF($C$4:$C$3997,C623,$B$4:$B$3997)-ROW()/1000000,""))</f>
        <v/>
      </c>
      <c r="E623" s="91">
        <f>IF(AND(N('Deal maths'!F623)&gt;AsAt,N('Deal maths'!E623)&lt;=AsAt,IF(N('Deal maths'!H623)&gt;0,N('Deal maths'!H623),N('Deal maths'!D623))&gt;0),N('Deal maths'!F623)+ROW()/1000000,"")</f>
        <v/>
      </c>
    </row>
    <row r="624">
      <c r="A624" s="91" t="n"/>
      <c r="B624" s="111">
        <f>IF(AND(N('Deal maths'!F624)&gt;AsAt,N('Deal maths'!E624)&lt;=AsAt),IF(N('Deal maths'!H624)&gt;0,N('Deal maths'!H624),N('Deal maths'!D624)),0)</f>
        <v/>
      </c>
      <c r="C624" s="91">
        <f>IF(B624&gt;0,IF('Deal maths'!C624="Local authority","Local authorities",LOWER(TRIM('Deal maths'!B624))),"")</f>
        <v/>
      </c>
      <c r="D624" s="91">
        <f>IF(C624="","",IF(COUNTIF($C$4:C623,C624)=0,SUMIF($C$4:$C$3997,C624,$B$4:$B$3997)-ROW()/1000000,""))</f>
        <v/>
      </c>
      <c r="E624" s="91">
        <f>IF(AND(N('Deal maths'!F624)&gt;AsAt,N('Deal maths'!E624)&lt;=AsAt,IF(N('Deal maths'!H624)&gt;0,N('Deal maths'!H624),N('Deal maths'!D624))&gt;0),N('Deal maths'!F624)+ROW()/1000000,"")</f>
        <v/>
      </c>
    </row>
    <row r="625">
      <c r="A625" s="91" t="n"/>
      <c r="B625" s="111">
        <f>IF(AND(N('Deal maths'!F625)&gt;AsAt,N('Deal maths'!E625)&lt;=AsAt),IF(N('Deal maths'!H625)&gt;0,N('Deal maths'!H625),N('Deal maths'!D625)),0)</f>
        <v/>
      </c>
      <c r="C625" s="91">
        <f>IF(B625&gt;0,IF('Deal maths'!C625="Local authority","Local authorities",LOWER(TRIM('Deal maths'!B625))),"")</f>
        <v/>
      </c>
      <c r="D625" s="91">
        <f>IF(C625="","",IF(COUNTIF($C$4:C624,C625)=0,SUMIF($C$4:$C$3997,C625,$B$4:$B$3997)-ROW()/1000000,""))</f>
        <v/>
      </c>
      <c r="E625" s="91">
        <f>IF(AND(N('Deal maths'!F625)&gt;AsAt,N('Deal maths'!E625)&lt;=AsAt,IF(N('Deal maths'!H625)&gt;0,N('Deal maths'!H625),N('Deal maths'!D625))&gt;0),N('Deal maths'!F625)+ROW()/1000000,"")</f>
        <v/>
      </c>
    </row>
    <row r="626">
      <c r="A626" s="91" t="n"/>
      <c r="B626" s="111">
        <f>IF(AND(N('Deal maths'!F626)&gt;AsAt,N('Deal maths'!E626)&lt;=AsAt),IF(N('Deal maths'!H626)&gt;0,N('Deal maths'!H626),N('Deal maths'!D626)),0)</f>
        <v/>
      </c>
      <c r="C626" s="91">
        <f>IF(B626&gt;0,IF('Deal maths'!C626="Local authority","Local authorities",LOWER(TRIM('Deal maths'!B626))),"")</f>
        <v/>
      </c>
      <c r="D626" s="91">
        <f>IF(C626="","",IF(COUNTIF($C$4:C625,C626)=0,SUMIF($C$4:$C$3997,C626,$B$4:$B$3997)-ROW()/1000000,""))</f>
        <v/>
      </c>
      <c r="E626" s="91">
        <f>IF(AND(N('Deal maths'!F626)&gt;AsAt,N('Deal maths'!E626)&lt;=AsAt,IF(N('Deal maths'!H626)&gt;0,N('Deal maths'!H626),N('Deal maths'!D626))&gt;0),N('Deal maths'!F626)+ROW()/1000000,"")</f>
        <v/>
      </c>
    </row>
    <row r="627">
      <c r="A627" s="91" t="n"/>
      <c r="B627" s="111">
        <f>IF(AND(N('Deal maths'!F627)&gt;AsAt,N('Deal maths'!E627)&lt;=AsAt),IF(N('Deal maths'!H627)&gt;0,N('Deal maths'!H627),N('Deal maths'!D627)),0)</f>
        <v/>
      </c>
      <c r="C627" s="91">
        <f>IF(B627&gt;0,IF('Deal maths'!C627="Local authority","Local authorities",LOWER(TRIM('Deal maths'!B627))),"")</f>
        <v/>
      </c>
      <c r="D627" s="91">
        <f>IF(C627="","",IF(COUNTIF($C$4:C626,C627)=0,SUMIF($C$4:$C$3997,C627,$B$4:$B$3997)-ROW()/1000000,""))</f>
        <v/>
      </c>
      <c r="E627" s="91">
        <f>IF(AND(N('Deal maths'!F627)&gt;AsAt,N('Deal maths'!E627)&lt;=AsAt,IF(N('Deal maths'!H627)&gt;0,N('Deal maths'!H627),N('Deal maths'!D627))&gt;0),N('Deal maths'!F627)+ROW()/1000000,"")</f>
        <v/>
      </c>
    </row>
    <row r="628">
      <c r="A628" s="91" t="n"/>
      <c r="B628" s="111">
        <f>IF(AND(N('Deal maths'!F628)&gt;AsAt,N('Deal maths'!E628)&lt;=AsAt),IF(N('Deal maths'!H628)&gt;0,N('Deal maths'!H628),N('Deal maths'!D628)),0)</f>
        <v/>
      </c>
      <c r="C628" s="91">
        <f>IF(B628&gt;0,IF('Deal maths'!C628="Local authority","Local authorities",LOWER(TRIM('Deal maths'!B628))),"")</f>
        <v/>
      </c>
      <c r="D628" s="91">
        <f>IF(C628="","",IF(COUNTIF($C$4:C627,C628)=0,SUMIF($C$4:$C$3997,C628,$B$4:$B$3997)-ROW()/1000000,""))</f>
        <v/>
      </c>
      <c r="E628" s="91">
        <f>IF(AND(N('Deal maths'!F628)&gt;AsAt,N('Deal maths'!E628)&lt;=AsAt,IF(N('Deal maths'!H628)&gt;0,N('Deal maths'!H628),N('Deal maths'!D628))&gt;0),N('Deal maths'!F628)+ROW()/1000000,"")</f>
        <v/>
      </c>
    </row>
    <row r="629">
      <c r="A629" s="91" t="n"/>
      <c r="B629" s="111">
        <f>IF(AND(N('Deal maths'!F629)&gt;AsAt,N('Deal maths'!E629)&lt;=AsAt),IF(N('Deal maths'!H629)&gt;0,N('Deal maths'!H629),N('Deal maths'!D629)),0)</f>
        <v/>
      </c>
      <c r="C629" s="91">
        <f>IF(B629&gt;0,IF('Deal maths'!C629="Local authority","Local authorities",LOWER(TRIM('Deal maths'!B629))),"")</f>
        <v/>
      </c>
      <c r="D629" s="91">
        <f>IF(C629="","",IF(COUNTIF($C$4:C628,C629)=0,SUMIF($C$4:$C$3997,C629,$B$4:$B$3997)-ROW()/1000000,""))</f>
        <v/>
      </c>
      <c r="E629" s="91">
        <f>IF(AND(N('Deal maths'!F629)&gt;AsAt,N('Deal maths'!E629)&lt;=AsAt,IF(N('Deal maths'!H629)&gt;0,N('Deal maths'!H629),N('Deal maths'!D629))&gt;0),N('Deal maths'!F629)+ROW()/1000000,"")</f>
        <v/>
      </c>
    </row>
    <row r="630">
      <c r="A630" s="91" t="n"/>
      <c r="B630" s="111">
        <f>IF(AND(N('Deal maths'!F630)&gt;AsAt,N('Deal maths'!E630)&lt;=AsAt),IF(N('Deal maths'!H630)&gt;0,N('Deal maths'!H630),N('Deal maths'!D630)),0)</f>
        <v/>
      </c>
      <c r="C630" s="91">
        <f>IF(B630&gt;0,IF('Deal maths'!C630="Local authority","Local authorities",LOWER(TRIM('Deal maths'!B630))),"")</f>
        <v/>
      </c>
      <c r="D630" s="91">
        <f>IF(C630="","",IF(COUNTIF($C$4:C629,C630)=0,SUMIF($C$4:$C$3997,C630,$B$4:$B$3997)-ROW()/1000000,""))</f>
        <v/>
      </c>
      <c r="E630" s="91">
        <f>IF(AND(N('Deal maths'!F630)&gt;AsAt,N('Deal maths'!E630)&lt;=AsAt,IF(N('Deal maths'!H630)&gt;0,N('Deal maths'!H630),N('Deal maths'!D630))&gt;0),N('Deal maths'!F630)+ROW()/1000000,"")</f>
        <v/>
      </c>
    </row>
    <row r="631">
      <c r="A631" s="91" t="n"/>
      <c r="B631" s="111">
        <f>IF(AND(N('Deal maths'!F631)&gt;AsAt,N('Deal maths'!E631)&lt;=AsAt),IF(N('Deal maths'!H631)&gt;0,N('Deal maths'!H631),N('Deal maths'!D631)),0)</f>
        <v/>
      </c>
      <c r="C631" s="91">
        <f>IF(B631&gt;0,IF('Deal maths'!C631="Local authority","Local authorities",LOWER(TRIM('Deal maths'!B631))),"")</f>
        <v/>
      </c>
      <c r="D631" s="91">
        <f>IF(C631="","",IF(COUNTIF($C$4:C630,C631)=0,SUMIF($C$4:$C$3997,C631,$B$4:$B$3997)-ROW()/1000000,""))</f>
        <v/>
      </c>
      <c r="E631" s="91">
        <f>IF(AND(N('Deal maths'!F631)&gt;AsAt,N('Deal maths'!E631)&lt;=AsAt,IF(N('Deal maths'!H631)&gt;0,N('Deal maths'!H631),N('Deal maths'!D631))&gt;0),N('Deal maths'!F631)+ROW()/1000000,"")</f>
        <v/>
      </c>
    </row>
    <row r="632">
      <c r="A632" s="91" t="n"/>
      <c r="B632" s="111">
        <f>IF(AND(N('Deal maths'!F632)&gt;AsAt,N('Deal maths'!E632)&lt;=AsAt),IF(N('Deal maths'!H632)&gt;0,N('Deal maths'!H632),N('Deal maths'!D632)),0)</f>
        <v/>
      </c>
      <c r="C632" s="91">
        <f>IF(B632&gt;0,IF('Deal maths'!C632="Local authority","Local authorities",LOWER(TRIM('Deal maths'!B632))),"")</f>
        <v/>
      </c>
      <c r="D632" s="91">
        <f>IF(C632="","",IF(COUNTIF($C$4:C631,C632)=0,SUMIF($C$4:$C$3997,C632,$B$4:$B$3997)-ROW()/1000000,""))</f>
        <v/>
      </c>
      <c r="E632" s="91">
        <f>IF(AND(N('Deal maths'!F632)&gt;AsAt,N('Deal maths'!E632)&lt;=AsAt,IF(N('Deal maths'!H632)&gt;0,N('Deal maths'!H632),N('Deal maths'!D632))&gt;0),N('Deal maths'!F632)+ROW()/1000000,"")</f>
        <v/>
      </c>
    </row>
    <row r="633">
      <c r="A633" s="91" t="n"/>
      <c r="B633" s="111">
        <f>IF(AND(N('Deal maths'!F633)&gt;AsAt,N('Deal maths'!E633)&lt;=AsAt),IF(N('Deal maths'!H633)&gt;0,N('Deal maths'!H633),N('Deal maths'!D633)),0)</f>
        <v/>
      </c>
      <c r="C633" s="91">
        <f>IF(B633&gt;0,IF('Deal maths'!C633="Local authority","Local authorities",LOWER(TRIM('Deal maths'!B633))),"")</f>
        <v/>
      </c>
      <c r="D633" s="91">
        <f>IF(C633="","",IF(COUNTIF($C$4:C632,C633)=0,SUMIF($C$4:$C$3997,C633,$B$4:$B$3997)-ROW()/1000000,""))</f>
        <v/>
      </c>
      <c r="E633" s="91">
        <f>IF(AND(N('Deal maths'!F633)&gt;AsAt,N('Deal maths'!E633)&lt;=AsAt,IF(N('Deal maths'!H633)&gt;0,N('Deal maths'!H633),N('Deal maths'!D633))&gt;0),N('Deal maths'!F633)+ROW()/1000000,"")</f>
        <v/>
      </c>
    </row>
    <row r="634">
      <c r="A634" s="91" t="n"/>
      <c r="B634" s="111">
        <f>IF(AND(N('Deal maths'!F634)&gt;AsAt,N('Deal maths'!E634)&lt;=AsAt),IF(N('Deal maths'!H634)&gt;0,N('Deal maths'!H634),N('Deal maths'!D634)),0)</f>
        <v/>
      </c>
      <c r="C634" s="91">
        <f>IF(B634&gt;0,IF('Deal maths'!C634="Local authority","Local authorities",LOWER(TRIM('Deal maths'!B634))),"")</f>
        <v/>
      </c>
      <c r="D634" s="91">
        <f>IF(C634="","",IF(COUNTIF($C$4:C633,C634)=0,SUMIF($C$4:$C$3997,C634,$B$4:$B$3997)-ROW()/1000000,""))</f>
        <v/>
      </c>
      <c r="E634" s="91">
        <f>IF(AND(N('Deal maths'!F634)&gt;AsAt,N('Deal maths'!E634)&lt;=AsAt,IF(N('Deal maths'!H634)&gt;0,N('Deal maths'!H634),N('Deal maths'!D634))&gt;0),N('Deal maths'!F634)+ROW()/1000000,"")</f>
        <v/>
      </c>
    </row>
    <row r="635">
      <c r="A635" s="91" t="n"/>
      <c r="B635" s="111">
        <f>IF(AND(N('Deal maths'!F635)&gt;AsAt,N('Deal maths'!E635)&lt;=AsAt),IF(N('Deal maths'!H635)&gt;0,N('Deal maths'!H635),N('Deal maths'!D635)),0)</f>
        <v/>
      </c>
      <c r="C635" s="91">
        <f>IF(B635&gt;0,IF('Deal maths'!C635="Local authority","Local authorities",LOWER(TRIM('Deal maths'!B635))),"")</f>
        <v/>
      </c>
      <c r="D635" s="91">
        <f>IF(C635="","",IF(COUNTIF($C$4:C634,C635)=0,SUMIF($C$4:$C$3997,C635,$B$4:$B$3997)-ROW()/1000000,""))</f>
        <v/>
      </c>
      <c r="E635" s="91">
        <f>IF(AND(N('Deal maths'!F635)&gt;AsAt,N('Deal maths'!E635)&lt;=AsAt,IF(N('Deal maths'!H635)&gt;0,N('Deal maths'!H635),N('Deal maths'!D635))&gt;0),N('Deal maths'!F635)+ROW()/1000000,"")</f>
        <v/>
      </c>
    </row>
    <row r="636">
      <c r="A636" s="91" t="n"/>
      <c r="B636" s="111">
        <f>IF(AND(N('Deal maths'!F636)&gt;AsAt,N('Deal maths'!E636)&lt;=AsAt),IF(N('Deal maths'!H636)&gt;0,N('Deal maths'!H636),N('Deal maths'!D636)),0)</f>
        <v/>
      </c>
      <c r="C636" s="91">
        <f>IF(B636&gt;0,IF('Deal maths'!C636="Local authority","Local authorities",LOWER(TRIM('Deal maths'!B636))),"")</f>
        <v/>
      </c>
      <c r="D636" s="91">
        <f>IF(C636="","",IF(COUNTIF($C$4:C635,C636)=0,SUMIF($C$4:$C$3997,C636,$B$4:$B$3997)-ROW()/1000000,""))</f>
        <v/>
      </c>
      <c r="E636" s="91">
        <f>IF(AND(N('Deal maths'!F636)&gt;AsAt,N('Deal maths'!E636)&lt;=AsAt,IF(N('Deal maths'!H636)&gt;0,N('Deal maths'!H636),N('Deal maths'!D636))&gt;0),N('Deal maths'!F636)+ROW()/1000000,"")</f>
        <v/>
      </c>
    </row>
    <row r="637">
      <c r="A637" s="91" t="n"/>
      <c r="B637" s="111">
        <f>IF(AND(N('Deal maths'!F637)&gt;AsAt,N('Deal maths'!E637)&lt;=AsAt),IF(N('Deal maths'!H637)&gt;0,N('Deal maths'!H637),N('Deal maths'!D637)),0)</f>
        <v/>
      </c>
      <c r="C637" s="91">
        <f>IF(B637&gt;0,IF('Deal maths'!C637="Local authority","Local authorities",LOWER(TRIM('Deal maths'!B637))),"")</f>
        <v/>
      </c>
      <c r="D637" s="91">
        <f>IF(C637="","",IF(COUNTIF($C$4:C636,C637)=0,SUMIF($C$4:$C$3997,C637,$B$4:$B$3997)-ROW()/1000000,""))</f>
        <v/>
      </c>
      <c r="E637" s="91">
        <f>IF(AND(N('Deal maths'!F637)&gt;AsAt,N('Deal maths'!E637)&lt;=AsAt,IF(N('Deal maths'!H637)&gt;0,N('Deal maths'!H637),N('Deal maths'!D637))&gt;0),N('Deal maths'!F637)+ROW()/1000000,"")</f>
        <v/>
      </c>
    </row>
    <row r="638">
      <c r="A638" s="91" t="n"/>
      <c r="B638" s="111">
        <f>IF(AND(N('Deal maths'!F638)&gt;AsAt,N('Deal maths'!E638)&lt;=AsAt),IF(N('Deal maths'!H638)&gt;0,N('Deal maths'!H638),N('Deal maths'!D638)),0)</f>
        <v/>
      </c>
      <c r="C638" s="91">
        <f>IF(B638&gt;0,IF('Deal maths'!C638="Local authority","Local authorities",LOWER(TRIM('Deal maths'!B638))),"")</f>
        <v/>
      </c>
      <c r="D638" s="91">
        <f>IF(C638="","",IF(COUNTIF($C$4:C637,C638)=0,SUMIF($C$4:$C$3997,C638,$B$4:$B$3997)-ROW()/1000000,""))</f>
        <v/>
      </c>
      <c r="E638" s="91">
        <f>IF(AND(N('Deal maths'!F638)&gt;AsAt,N('Deal maths'!E638)&lt;=AsAt,IF(N('Deal maths'!H638)&gt;0,N('Deal maths'!H638),N('Deal maths'!D638))&gt;0),N('Deal maths'!F638)+ROW()/1000000,"")</f>
        <v/>
      </c>
    </row>
    <row r="639">
      <c r="A639" s="91" t="n"/>
      <c r="B639" s="111">
        <f>IF(AND(N('Deal maths'!F639)&gt;AsAt,N('Deal maths'!E639)&lt;=AsAt),IF(N('Deal maths'!H639)&gt;0,N('Deal maths'!H639),N('Deal maths'!D639)),0)</f>
        <v/>
      </c>
      <c r="C639" s="91">
        <f>IF(B639&gt;0,IF('Deal maths'!C639="Local authority","Local authorities",LOWER(TRIM('Deal maths'!B639))),"")</f>
        <v/>
      </c>
      <c r="D639" s="91">
        <f>IF(C639="","",IF(COUNTIF($C$4:C638,C639)=0,SUMIF($C$4:$C$3997,C639,$B$4:$B$3997)-ROW()/1000000,""))</f>
        <v/>
      </c>
      <c r="E639" s="91">
        <f>IF(AND(N('Deal maths'!F639)&gt;AsAt,N('Deal maths'!E639)&lt;=AsAt,IF(N('Deal maths'!H639)&gt;0,N('Deal maths'!H639),N('Deal maths'!D639))&gt;0),N('Deal maths'!F639)+ROW()/1000000,"")</f>
        <v/>
      </c>
    </row>
    <row r="640">
      <c r="A640" s="91" t="n"/>
      <c r="B640" s="111">
        <f>IF(AND(N('Deal maths'!F640)&gt;AsAt,N('Deal maths'!E640)&lt;=AsAt),IF(N('Deal maths'!H640)&gt;0,N('Deal maths'!H640),N('Deal maths'!D640)),0)</f>
        <v/>
      </c>
      <c r="C640" s="91">
        <f>IF(B640&gt;0,IF('Deal maths'!C640="Local authority","Local authorities",LOWER(TRIM('Deal maths'!B640))),"")</f>
        <v/>
      </c>
      <c r="D640" s="91">
        <f>IF(C640="","",IF(COUNTIF($C$4:C639,C640)=0,SUMIF($C$4:$C$3997,C640,$B$4:$B$3997)-ROW()/1000000,""))</f>
        <v/>
      </c>
      <c r="E640" s="91">
        <f>IF(AND(N('Deal maths'!F640)&gt;AsAt,N('Deal maths'!E640)&lt;=AsAt,IF(N('Deal maths'!H640)&gt;0,N('Deal maths'!H640),N('Deal maths'!D640))&gt;0),N('Deal maths'!F640)+ROW()/1000000,"")</f>
        <v/>
      </c>
    </row>
    <row r="641">
      <c r="A641" s="91" t="n"/>
      <c r="B641" s="111">
        <f>IF(AND(N('Deal maths'!F641)&gt;AsAt,N('Deal maths'!E641)&lt;=AsAt),IF(N('Deal maths'!H641)&gt;0,N('Deal maths'!H641),N('Deal maths'!D641)),0)</f>
        <v/>
      </c>
      <c r="C641" s="91">
        <f>IF(B641&gt;0,IF('Deal maths'!C641="Local authority","Local authorities",LOWER(TRIM('Deal maths'!B641))),"")</f>
        <v/>
      </c>
      <c r="D641" s="91">
        <f>IF(C641="","",IF(COUNTIF($C$4:C640,C641)=0,SUMIF($C$4:$C$3997,C641,$B$4:$B$3997)-ROW()/1000000,""))</f>
        <v/>
      </c>
      <c r="E641" s="91">
        <f>IF(AND(N('Deal maths'!F641)&gt;AsAt,N('Deal maths'!E641)&lt;=AsAt,IF(N('Deal maths'!H641)&gt;0,N('Deal maths'!H641),N('Deal maths'!D641))&gt;0),N('Deal maths'!F641)+ROW()/1000000,"")</f>
        <v/>
      </c>
    </row>
    <row r="642">
      <c r="A642" s="91" t="n"/>
      <c r="B642" s="111">
        <f>IF(AND(N('Deal maths'!F642)&gt;AsAt,N('Deal maths'!E642)&lt;=AsAt),IF(N('Deal maths'!H642)&gt;0,N('Deal maths'!H642),N('Deal maths'!D642)),0)</f>
        <v/>
      </c>
      <c r="C642" s="91">
        <f>IF(B642&gt;0,IF('Deal maths'!C642="Local authority","Local authorities",LOWER(TRIM('Deal maths'!B642))),"")</f>
        <v/>
      </c>
      <c r="D642" s="91">
        <f>IF(C642="","",IF(COUNTIF($C$4:C641,C642)=0,SUMIF($C$4:$C$3997,C642,$B$4:$B$3997)-ROW()/1000000,""))</f>
        <v/>
      </c>
      <c r="E642" s="91">
        <f>IF(AND(N('Deal maths'!F642)&gt;AsAt,N('Deal maths'!E642)&lt;=AsAt,IF(N('Deal maths'!H642)&gt;0,N('Deal maths'!H642),N('Deal maths'!D642))&gt;0),N('Deal maths'!F642)+ROW()/1000000,"")</f>
        <v/>
      </c>
    </row>
    <row r="643">
      <c r="A643" s="91" t="n"/>
      <c r="B643" s="111">
        <f>IF(AND(N('Deal maths'!F643)&gt;AsAt,N('Deal maths'!E643)&lt;=AsAt),IF(N('Deal maths'!H643)&gt;0,N('Deal maths'!H643),N('Deal maths'!D643)),0)</f>
        <v/>
      </c>
      <c r="C643" s="91">
        <f>IF(B643&gt;0,IF('Deal maths'!C643="Local authority","Local authorities",LOWER(TRIM('Deal maths'!B643))),"")</f>
        <v/>
      </c>
      <c r="D643" s="91">
        <f>IF(C643="","",IF(COUNTIF($C$4:C642,C643)=0,SUMIF($C$4:$C$3997,C643,$B$4:$B$3997)-ROW()/1000000,""))</f>
        <v/>
      </c>
      <c r="E643" s="91">
        <f>IF(AND(N('Deal maths'!F643)&gt;AsAt,N('Deal maths'!E643)&lt;=AsAt,IF(N('Deal maths'!H643)&gt;0,N('Deal maths'!H643),N('Deal maths'!D643))&gt;0),N('Deal maths'!F643)+ROW()/1000000,"")</f>
        <v/>
      </c>
    </row>
    <row r="644">
      <c r="A644" s="91" t="n"/>
      <c r="B644" s="111">
        <f>IF(AND(N('Deal maths'!F644)&gt;AsAt,N('Deal maths'!E644)&lt;=AsAt),IF(N('Deal maths'!H644)&gt;0,N('Deal maths'!H644),N('Deal maths'!D644)),0)</f>
        <v/>
      </c>
      <c r="C644" s="91">
        <f>IF(B644&gt;0,IF('Deal maths'!C644="Local authority","Local authorities",LOWER(TRIM('Deal maths'!B644))),"")</f>
        <v/>
      </c>
      <c r="D644" s="91">
        <f>IF(C644="","",IF(COUNTIF($C$4:C643,C644)=0,SUMIF($C$4:$C$3997,C644,$B$4:$B$3997)-ROW()/1000000,""))</f>
        <v/>
      </c>
      <c r="E644" s="91">
        <f>IF(AND(N('Deal maths'!F644)&gt;AsAt,N('Deal maths'!E644)&lt;=AsAt,IF(N('Deal maths'!H644)&gt;0,N('Deal maths'!H644),N('Deal maths'!D644))&gt;0),N('Deal maths'!F644)+ROW()/1000000,"")</f>
        <v/>
      </c>
    </row>
    <row r="645">
      <c r="A645" s="91" t="n"/>
      <c r="B645" s="111">
        <f>IF(AND(N('Deal maths'!F645)&gt;AsAt,N('Deal maths'!E645)&lt;=AsAt),IF(N('Deal maths'!H645)&gt;0,N('Deal maths'!H645),N('Deal maths'!D645)),0)</f>
        <v/>
      </c>
      <c r="C645" s="91">
        <f>IF(B645&gt;0,IF('Deal maths'!C645="Local authority","Local authorities",LOWER(TRIM('Deal maths'!B645))),"")</f>
        <v/>
      </c>
      <c r="D645" s="91">
        <f>IF(C645="","",IF(COUNTIF($C$4:C644,C645)=0,SUMIF($C$4:$C$3997,C645,$B$4:$B$3997)-ROW()/1000000,""))</f>
        <v/>
      </c>
      <c r="E645" s="91">
        <f>IF(AND(N('Deal maths'!F645)&gt;AsAt,N('Deal maths'!E645)&lt;=AsAt,IF(N('Deal maths'!H645)&gt;0,N('Deal maths'!H645),N('Deal maths'!D645))&gt;0),N('Deal maths'!F645)+ROW()/1000000,"")</f>
        <v/>
      </c>
    </row>
    <row r="646">
      <c r="A646" s="91" t="n"/>
      <c r="B646" s="111">
        <f>IF(AND(N('Deal maths'!F646)&gt;AsAt,N('Deal maths'!E646)&lt;=AsAt),IF(N('Deal maths'!H646)&gt;0,N('Deal maths'!H646),N('Deal maths'!D646)),0)</f>
        <v/>
      </c>
      <c r="C646" s="91">
        <f>IF(B646&gt;0,IF('Deal maths'!C646="Local authority","Local authorities",LOWER(TRIM('Deal maths'!B646))),"")</f>
        <v/>
      </c>
      <c r="D646" s="91">
        <f>IF(C646="","",IF(COUNTIF($C$4:C645,C646)=0,SUMIF($C$4:$C$3997,C646,$B$4:$B$3997)-ROW()/1000000,""))</f>
        <v/>
      </c>
      <c r="E646" s="91">
        <f>IF(AND(N('Deal maths'!F646)&gt;AsAt,N('Deal maths'!E646)&lt;=AsAt,IF(N('Deal maths'!H646)&gt;0,N('Deal maths'!H646),N('Deal maths'!D646))&gt;0),N('Deal maths'!F646)+ROW()/1000000,"")</f>
        <v/>
      </c>
    </row>
    <row r="647">
      <c r="A647" s="91" t="n"/>
      <c r="B647" s="111">
        <f>IF(AND(N('Deal maths'!F647)&gt;AsAt,N('Deal maths'!E647)&lt;=AsAt),IF(N('Deal maths'!H647)&gt;0,N('Deal maths'!H647),N('Deal maths'!D647)),0)</f>
        <v/>
      </c>
      <c r="C647" s="91">
        <f>IF(B647&gt;0,IF('Deal maths'!C647="Local authority","Local authorities",LOWER(TRIM('Deal maths'!B647))),"")</f>
        <v/>
      </c>
      <c r="D647" s="91">
        <f>IF(C647="","",IF(COUNTIF($C$4:C646,C647)=0,SUMIF($C$4:$C$3997,C647,$B$4:$B$3997)-ROW()/1000000,""))</f>
        <v/>
      </c>
      <c r="E647" s="91">
        <f>IF(AND(N('Deal maths'!F647)&gt;AsAt,N('Deal maths'!E647)&lt;=AsAt,IF(N('Deal maths'!H647)&gt;0,N('Deal maths'!H647),N('Deal maths'!D647))&gt;0),N('Deal maths'!F647)+ROW()/1000000,"")</f>
        <v/>
      </c>
    </row>
    <row r="648">
      <c r="A648" s="91" t="n"/>
      <c r="B648" s="111">
        <f>IF(AND(N('Deal maths'!F648)&gt;AsAt,N('Deal maths'!E648)&lt;=AsAt),IF(N('Deal maths'!H648)&gt;0,N('Deal maths'!H648),N('Deal maths'!D648)),0)</f>
        <v/>
      </c>
      <c r="C648" s="91">
        <f>IF(B648&gt;0,IF('Deal maths'!C648="Local authority","Local authorities",LOWER(TRIM('Deal maths'!B648))),"")</f>
        <v/>
      </c>
      <c r="D648" s="91">
        <f>IF(C648="","",IF(COUNTIF($C$4:C647,C648)=0,SUMIF($C$4:$C$3997,C648,$B$4:$B$3997)-ROW()/1000000,""))</f>
        <v/>
      </c>
      <c r="E648" s="91">
        <f>IF(AND(N('Deal maths'!F648)&gt;AsAt,N('Deal maths'!E648)&lt;=AsAt,IF(N('Deal maths'!H648)&gt;0,N('Deal maths'!H648),N('Deal maths'!D648))&gt;0),N('Deal maths'!F648)+ROW()/1000000,"")</f>
        <v/>
      </c>
    </row>
    <row r="649">
      <c r="A649" s="91" t="n"/>
      <c r="B649" s="111">
        <f>IF(AND(N('Deal maths'!F649)&gt;AsAt,N('Deal maths'!E649)&lt;=AsAt),IF(N('Deal maths'!H649)&gt;0,N('Deal maths'!H649),N('Deal maths'!D649)),0)</f>
        <v/>
      </c>
      <c r="C649" s="91">
        <f>IF(B649&gt;0,IF('Deal maths'!C649="Local authority","Local authorities",LOWER(TRIM('Deal maths'!B649))),"")</f>
        <v/>
      </c>
      <c r="D649" s="91">
        <f>IF(C649="","",IF(COUNTIF($C$4:C648,C649)=0,SUMIF($C$4:$C$3997,C649,$B$4:$B$3997)-ROW()/1000000,""))</f>
        <v/>
      </c>
      <c r="E649" s="91">
        <f>IF(AND(N('Deal maths'!F649)&gt;AsAt,N('Deal maths'!E649)&lt;=AsAt,IF(N('Deal maths'!H649)&gt;0,N('Deal maths'!H649),N('Deal maths'!D649))&gt;0),N('Deal maths'!F649)+ROW()/1000000,"")</f>
        <v/>
      </c>
    </row>
    <row r="650">
      <c r="A650" s="91" t="n"/>
      <c r="B650" s="111">
        <f>IF(AND(N('Deal maths'!F650)&gt;AsAt,N('Deal maths'!E650)&lt;=AsAt),IF(N('Deal maths'!H650)&gt;0,N('Deal maths'!H650),N('Deal maths'!D650)),0)</f>
        <v/>
      </c>
      <c r="C650" s="91">
        <f>IF(B650&gt;0,IF('Deal maths'!C650="Local authority","Local authorities",LOWER(TRIM('Deal maths'!B650))),"")</f>
        <v/>
      </c>
      <c r="D650" s="91">
        <f>IF(C650="","",IF(COUNTIF($C$4:C649,C650)=0,SUMIF($C$4:$C$3997,C650,$B$4:$B$3997)-ROW()/1000000,""))</f>
        <v/>
      </c>
      <c r="E650" s="91">
        <f>IF(AND(N('Deal maths'!F650)&gt;AsAt,N('Deal maths'!E650)&lt;=AsAt,IF(N('Deal maths'!H650)&gt;0,N('Deal maths'!H650),N('Deal maths'!D650))&gt;0),N('Deal maths'!F650)+ROW()/1000000,"")</f>
        <v/>
      </c>
    </row>
    <row r="651">
      <c r="A651" s="91" t="n"/>
      <c r="B651" s="111">
        <f>IF(AND(N('Deal maths'!F651)&gt;AsAt,N('Deal maths'!E651)&lt;=AsAt),IF(N('Deal maths'!H651)&gt;0,N('Deal maths'!H651),N('Deal maths'!D651)),0)</f>
        <v/>
      </c>
      <c r="C651" s="91">
        <f>IF(B651&gt;0,IF('Deal maths'!C651="Local authority","Local authorities",LOWER(TRIM('Deal maths'!B651))),"")</f>
        <v/>
      </c>
      <c r="D651" s="91">
        <f>IF(C651="","",IF(COUNTIF($C$4:C650,C651)=0,SUMIF($C$4:$C$3997,C651,$B$4:$B$3997)-ROW()/1000000,""))</f>
        <v/>
      </c>
      <c r="E651" s="91">
        <f>IF(AND(N('Deal maths'!F651)&gt;AsAt,N('Deal maths'!E651)&lt;=AsAt,IF(N('Deal maths'!H651)&gt;0,N('Deal maths'!H651),N('Deal maths'!D651))&gt;0),N('Deal maths'!F651)+ROW()/1000000,"")</f>
        <v/>
      </c>
    </row>
    <row r="652">
      <c r="A652" s="91" t="n"/>
      <c r="B652" s="111">
        <f>IF(AND(N('Deal maths'!F652)&gt;AsAt,N('Deal maths'!E652)&lt;=AsAt),IF(N('Deal maths'!H652)&gt;0,N('Deal maths'!H652),N('Deal maths'!D652)),0)</f>
        <v/>
      </c>
      <c r="C652" s="91">
        <f>IF(B652&gt;0,IF('Deal maths'!C652="Local authority","Local authorities",LOWER(TRIM('Deal maths'!B652))),"")</f>
        <v/>
      </c>
      <c r="D652" s="91">
        <f>IF(C652="","",IF(COUNTIF($C$4:C651,C652)=0,SUMIF($C$4:$C$3997,C652,$B$4:$B$3997)-ROW()/1000000,""))</f>
        <v/>
      </c>
      <c r="E652" s="91">
        <f>IF(AND(N('Deal maths'!F652)&gt;AsAt,N('Deal maths'!E652)&lt;=AsAt,IF(N('Deal maths'!H652)&gt;0,N('Deal maths'!H652),N('Deal maths'!D652))&gt;0),N('Deal maths'!F652)+ROW()/1000000,"")</f>
        <v/>
      </c>
    </row>
    <row r="653">
      <c r="A653" s="91" t="n"/>
      <c r="B653" s="111">
        <f>IF(AND(N('Deal maths'!F653)&gt;AsAt,N('Deal maths'!E653)&lt;=AsAt),IF(N('Deal maths'!H653)&gt;0,N('Deal maths'!H653),N('Deal maths'!D653)),0)</f>
        <v/>
      </c>
      <c r="C653" s="91">
        <f>IF(B653&gt;0,IF('Deal maths'!C653="Local authority","Local authorities",LOWER(TRIM('Deal maths'!B653))),"")</f>
        <v/>
      </c>
      <c r="D653" s="91">
        <f>IF(C653="","",IF(COUNTIF($C$4:C652,C653)=0,SUMIF($C$4:$C$3997,C653,$B$4:$B$3997)-ROW()/1000000,""))</f>
        <v/>
      </c>
      <c r="E653" s="91">
        <f>IF(AND(N('Deal maths'!F653)&gt;AsAt,N('Deal maths'!E653)&lt;=AsAt,IF(N('Deal maths'!H653)&gt;0,N('Deal maths'!H653),N('Deal maths'!D653))&gt;0),N('Deal maths'!F653)+ROW()/1000000,"")</f>
        <v/>
      </c>
    </row>
    <row r="654">
      <c r="A654" s="91" t="n"/>
      <c r="B654" s="111">
        <f>IF(AND(N('Deal maths'!F654)&gt;AsAt,N('Deal maths'!E654)&lt;=AsAt),IF(N('Deal maths'!H654)&gt;0,N('Deal maths'!H654),N('Deal maths'!D654)),0)</f>
        <v/>
      </c>
      <c r="C654" s="91">
        <f>IF(B654&gt;0,IF('Deal maths'!C654="Local authority","Local authorities",LOWER(TRIM('Deal maths'!B654))),"")</f>
        <v/>
      </c>
      <c r="D654" s="91">
        <f>IF(C654="","",IF(COUNTIF($C$4:C653,C654)=0,SUMIF($C$4:$C$3997,C654,$B$4:$B$3997)-ROW()/1000000,""))</f>
        <v/>
      </c>
      <c r="E654" s="91">
        <f>IF(AND(N('Deal maths'!F654)&gt;AsAt,N('Deal maths'!E654)&lt;=AsAt,IF(N('Deal maths'!H654)&gt;0,N('Deal maths'!H654),N('Deal maths'!D654))&gt;0),N('Deal maths'!F654)+ROW()/1000000,"")</f>
        <v/>
      </c>
    </row>
    <row r="655">
      <c r="A655" s="91" t="n"/>
      <c r="B655" s="111">
        <f>IF(AND(N('Deal maths'!F655)&gt;AsAt,N('Deal maths'!E655)&lt;=AsAt),IF(N('Deal maths'!H655)&gt;0,N('Deal maths'!H655),N('Deal maths'!D655)),0)</f>
        <v/>
      </c>
      <c r="C655" s="91">
        <f>IF(B655&gt;0,IF('Deal maths'!C655="Local authority","Local authorities",LOWER(TRIM('Deal maths'!B655))),"")</f>
        <v/>
      </c>
      <c r="D655" s="91">
        <f>IF(C655="","",IF(COUNTIF($C$4:C654,C655)=0,SUMIF($C$4:$C$3997,C655,$B$4:$B$3997)-ROW()/1000000,""))</f>
        <v/>
      </c>
      <c r="E655" s="91">
        <f>IF(AND(N('Deal maths'!F655)&gt;AsAt,N('Deal maths'!E655)&lt;=AsAt,IF(N('Deal maths'!H655)&gt;0,N('Deal maths'!H655),N('Deal maths'!D655))&gt;0),N('Deal maths'!F655)+ROW()/1000000,"")</f>
        <v/>
      </c>
    </row>
    <row r="656">
      <c r="A656" s="91" t="n"/>
      <c r="B656" s="111">
        <f>IF(AND(N('Deal maths'!F656)&gt;AsAt,N('Deal maths'!E656)&lt;=AsAt),IF(N('Deal maths'!H656)&gt;0,N('Deal maths'!H656),N('Deal maths'!D656)),0)</f>
        <v/>
      </c>
      <c r="C656" s="91">
        <f>IF(B656&gt;0,IF('Deal maths'!C656="Local authority","Local authorities",LOWER(TRIM('Deal maths'!B656))),"")</f>
        <v/>
      </c>
      <c r="D656" s="91">
        <f>IF(C656="","",IF(COUNTIF($C$4:C655,C656)=0,SUMIF($C$4:$C$3997,C656,$B$4:$B$3997)-ROW()/1000000,""))</f>
        <v/>
      </c>
      <c r="E656" s="91">
        <f>IF(AND(N('Deal maths'!F656)&gt;AsAt,N('Deal maths'!E656)&lt;=AsAt,IF(N('Deal maths'!H656)&gt;0,N('Deal maths'!H656),N('Deal maths'!D656))&gt;0),N('Deal maths'!F656)+ROW()/1000000,"")</f>
        <v/>
      </c>
    </row>
    <row r="657">
      <c r="A657" s="91" t="n"/>
      <c r="B657" s="111">
        <f>IF(AND(N('Deal maths'!F657)&gt;AsAt,N('Deal maths'!E657)&lt;=AsAt),IF(N('Deal maths'!H657)&gt;0,N('Deal maths'!H657),N('Deal maths'!D657)),0)</f>
        <v/>
      </c>
      <c r="C657" s="91">
        <f>IF(B657&gt;0,IF('Deal maths'!C657="Local authority","Local authorities",LOWER(TRIM('Deal maths'!B657))),"")</f>
        <v/>
      </c>
      <c r="D657" s="91">
        <f>IF(C657="","",IF(COUNTIF($C$4:C656,C657)=0,SUMIF($C$4:$C$3997,C657,$B$4:$B$3997)-ROW()/1000000,""))</f>
        <v/>
      </c>
      <c r="E657" s="91">
        <f>IF(AND(N('Deal maths'!F657)&gt;AsAt,N('Deal maths'!E657)&lt;=AsAt,IF(N('Deal maths'!H657)&gt;0,N('Deal maths'!H657),N('Deal maths'!D657))&gt;0),N('Deal maths'!F657)+ROW()/1000000,"")</f>
        <v/>
      </c>
    </row>
    <row r="658">
      <c r="A658" s="91" t="n"/>
      <c r="B658" s="111">
        <f>IF(AND(N('Deal maths'!F658)&gt;AsAt,N('Deal maths'!E658)&lt;=AsAt),IF(N('Deal maths'!H658)&gt;0,N('Deal maths'!H658),N('Deal maths'!D658)),0)</f>
        <v/>
      </c>
      <c r="C658" s="91">
        <f>IF(B658&gt;0,IF('Deal maths'!C658="Local authority","Local authorities",LOWER(TRIM('Deal maths'!B658))),"")</f>
        <v/>
      </c>
      <c r="D658" s="91">
        <f>IF(C658="","",IF(COUNTIF($C$4:C657,C658)=0,SUMIF($C$4:$C$3997,C658,$B$4:$B$3997)-ROW()/1000000,""))</f>
        <v/>
      </c>
      <c r="E658" s="91">
        <f>IF(AND(N('Deal maths'!F658)&gt;AsAt,N('Deal maths'!E658)&lt;=AsAt,IF(N('Deal maths'!H658)&gt;0,N('Deal maths'!H658),N('Deal maths'!D658))&gt;0),N('Deal maths'!F658)+ROW()/1000000,"")</f>
        <v/>
      </c>
    </row>
    <row r="659">
      <c r="A659" s="91" t="n"/>
      <c r="B659" s="111">
        <f>IF(AND(N('Deal maths'!F659)&gt;AsAt,N('Deal maths'!E659)&lt;=AsAt),IF(N('Deal maths'!H659)&gt;0,N('Deal maths'!H659),N('Deal maths'!D659)),0)</f>
        <v/>
      </c>
      <c r="C659" s="91">
        <f>IF(B659&gt;0,IF('Deal maths'!C659="Local authority","Local authorities",LOWER(TRIM('Deal maths'!B659))),"")</f>
        <v/>
      </c>
      <c r="D659" s="91">
        <f>IF(C659="","",IF(COUNTIF($C$4:C658,C659)=0,SUMIF($C$4:$C$3997,C659,$B$4:$B$3997)-ROW()/1000000,""))</f>
        <v/>
      </c>
      <c r="E659" s="91">
        <f>IF(AND(N('Deal maths'!F659)&gt;AsAt,N('Deal maths'!E659)&lt;=AsAt,IF(N('Deal maths'!H659)&gt;0,N('Deal maths'!H659),N('Deal maths'!D659))&gt;0),N('Deal maths'!F659)+ROW()/1000000,"")</f>
        <v/>
      </c>
    </row>
    <row r="660">
      <c r="A660" s="91" t="n"/>
      <c r="B660" s="111">
        <f>IF(AND(N('Deal maths'!F660)&gt;AsAt,N('Deal maths'!E660)&lt;=AsAt),IF(N('Deal maths'!H660)&gt;0,N('Deal maths'!H660),N('Deal maths'!D660)),0)</f>
        <v/>
      </c>
      <c r="C660" s="91">
        <f>IF(B660&gt;0,IF('Deal maths'!C660="Local authority","Local authorities",LOWER(TRIM('Deal maths'!B660))),"")</f>
        <v/>
      </c>
      <c r="D660" s="91">
        <f>IF(C660="","",IF(COUNTIF($C$4:C659,C660)=0,SUMIF($C$4:$C$3997,C660,$B$4:$B$3997)-ROW()/1000000,""))</f>
        <v/>
      </c>
      <c r="E660" s="91">
        <f>IF(AND(N('Deal maths'!F660)&gt;AsAt,N('Deal maths'!E660)&lt;=AsAt,IF(N('Deal maths'!H660)&gt;0,N('Deal maths'!H660),N('Deal maths'!D660))&gt;0),N('Deal maths'!F660)+ROW()/1000000,"")</f>
        <v/>
      </c>
    </row>
    <row r="661">
      <c r="A661" s="91" t="n"/>
      <c r="B661" s="111">
        <f>IF(AND(N('Deal maths'!F661)&gt;AsAt,N('Deal maths'!E661)&lt;=AsAt),IF(N('Deal maths'!H661)&gt;0,N('Deal maths'!H661),N('Deal maths'!D661)),0)</f>
        <v/>
      </c>
      <c r="C661" s="91">
        <f>IF(B661&gt;0,IF('Deal maths'!C661="Local authority","Local authorities",LOWER(TRIM('Deal maths'!B661))),"")</f>
        <v/>
      </c>
      <c r="D661" s="91">
        <f>IF(C661="","",IF(COUNTIF($C$4:C660,C661)=0,SUMIF($C$4:$C$3997,C661,$B$4:$B$3997)-ROW()/1000000,""))</f>
        <v/>
      </c>
      <c r="E661" s="91">
        <f>IF(AND(N('Deal maths'!F661)&gt;AsAt,N('Deal maths'!E661)&lt;=AsAt,IF(N('Deal maths'!H661)&gt;0,N('Deal maths'!H661),N('Deal maths'!D661))&gt;0),N('Deal maths'!F661)+ROW()/1000000,"")</f>
        <v/>
      </c>
    </row>
    <row r="662">
      <c r="A662" s="91" t="n"/>
      <c r="B662" s="111">
        <f>IF(AND(N('Deal maths'!F662)&gt;AsAt,N('Deal maths'!E662)&lt;=AsAt),IF(N('Deal maths'!H662)&gt;0,N('Deal maths'!H662),N('Deal maths'!D662)),0)</f>
        <v/>
      </c>
      <c r="C662" s="91">
        <f>IF(B662&gt;0,IF('Deal maths'!C662="Local authority","Local authorities",LOWER(TRIM('Deal maths'!B662))),"")</f>
        <v/>
      </c>
      <c r="D662" s="91">
        <f>IF(C662="","",IF(COUNTIF($C$4:C661,C662)=0,SUMIF($C$4:$C$3997,C662,$B$4:$B$3997)-ROW()/1000000,""))</f>
        <v/>
      </c>
      <c r="E662" s="91">
        <f>IF(AND(N('Deal maths'!F662)&gt;AsAt,N('Deal maths'!E662)&lt;=AsAt,IF(N('Deal maths'!H662)&gt;0,N('Deal maths'!H662),N('Deal maths'!D662))&gt;0),N('Deal maths'!F662)+ROW()/1000000,"")</f>
        <v/>
      </c>
    </row>
    <row r="663">
      <c r="A663" s="91" t="n"/>
      <c r="B663" s="111">
        <f>IF(AND(N('Deal maths'!F663)&gt;AsAt,N('Deal maths'!E663)&lt;=AsAt),IF(N('Deal maths'!H663)&gt;0,N('Deal maths'!H663),N('Deal maths'!D663)),0)</f>
        <v/>
      </c>
      <c r="C663" s="91">
        <f>IF(B663&gt;0,IF('Deal maths'!C663="Local authority","Local authorities",LOWER(TRIM('Deal maths'!B663))),"")</f>
        <v/>
      </c>
      <c r="D663" s="91">
        <f>IF(C663="","",IF(COUNTIF($C$4:C662,C663)=0,SUMIF($C$4:$C$3997,C663,$B$4:$B$3997)-ROW()/1000000,""))</f>
        <v/>
      </c>
      <c r="E663" s="91">
        <f>IF(AND(N('Deal maths'!F663)&gt;AsAt,N('Deal maths'!E663)&lt;=AsAt,IF(N('Deal maths'!H663)&gt;0,N('Deal maths'!H663),N('Deal maths'!D663))&gt;0),N('Deal maths'!F663)+ROW()/1000000,"")</f>
        <v/>
      </c>
    </row>
    <row r="664">
      <c r="A664" s="91" t="n"/>
      <c r="B664" s="111">
        <f>IF(AND(N('Deal maths'!F664)&gt;AsAt,N('Deal maths'!E664)&lt;=AsAt),IF(N('Deal maths'!H664)&gt;0,N('Deal maths'!H664),N('Deal maths'!D664)),0)</f>
        <v/>
      </c>
      <c r="C664" s="91">
        <f>IF(B664&gt;0,IF('Deal maths'!C664="Local authority","Local authorities",LOWER(TRIM('Deal maths'!B664))),"")</f>
        <v/>
      </c>
      <c r="D664" s="91">
        <f>IF(C664="","",IF(COUNTIF($C$4:C663,C664)=0,SUMIF($C$4:$C$3997,C664,$B$4:$B$3997)-ROW()/1000000,""))</f>
        <v/>
      </c>
      <c r="E664" s="91">
        <f>IF(AND(N('Deal maths'!F664)&gt;AsAt,N('Deal maths'!E664)&lt;=AsAt,IF(N('Deal maths'!H664)&gt;0,N('Deal maths'!H664),N('Deal maths'!D664))&gt;0),N('Deal maths'!F664)+ROW()/1000000,"")</f>
        <v/>
      </c>
    </row>
    <row r="665">
      <c r="A665" s="91" t="n"/>
      <c r="B665" s="111">
        <f>IF(AND(N('Deal maths'!F665)&gt;AsAt,N('Deal maths'!E665)&lt;=AsAt),IF(N('Deal maths'!H665)&gt;0,N('Deal maths'!H665),N('Deal maths'!D665)),0)</f>
        <v/>
      </c>
      <c r="C665" s="91">
        <f>IF(B665&gt;0,IF('Deal maths'!C665="Local authority","Local authorities",LOWER(TRIM('Deal maths'!B665))),"")</f>
        <v/>
      </c>
      <c r="D665" s="91">
        <f>IF(C665="","",IF(COUNTIF($C$4:C664,C665)=0,SUMIF($C$4:$C$3997,C665,$B$4:$B$3997)-ROW()/1000000,""))</f>
        <v/>
      </c>
      <c r="E665" s="91">
        <f>IF(AND(N('Deal maths'!F665)&gt;AsAt,N('Deal maths'!E665)&lt;=AsAt,IF(N('Deal maths'!H665)&gt;0,N('Deal maths'!H665),N('Deal maths'!D665))&gt;0),N('Deal maths'!F665)+ROW()/1000000,"")</f>
        <v/>
      </c>
    </row>
    <row r="666">
      <c r="A666" s="91" t="n"/>
      <c r="B666" s="111">
        <f>IF(AND(N('Deal maths'!F666)&gt;AsAt,N('Deal maths'!E666)&lt;=AsAt),IF(N('Deal maths'!H666)&gt;0,N('Deal maths'!H666),N('Deal maths'!D666)),0)</f>
        <v/>
      </c>
      <c r="C666" s="91">
        <f>IF(B666&gt;0,IF('Deal maths'!C666="Local authority","Local authorities",LOWER(TRIM('Deal maths'!B666))),"")</f>
        <v/>
      </c>
      <c r="D666" s="91">
        <f>IF(C666="","",IF(COUNTIF($C$4:C665,C666)=0,SUMIF($C$4:$C$3997,C666,$B$4:$B$3997)-ROW()/1000000,""))</f>
        <v/>
      </c>
      <c r="E666" s="91">
        <f>IF(AND(N('Deal maths'!F666)&gt;AsAt,N('Deal maths'!E666)&lt;=AsAt,IF(N('Deal maths'!H666)&gt;0,N('Deal maths'!H666),N('Deal maths'!D666))&gt;0),N('Deal maths'!F666)+ROW()/1000000,"")</f>
        <v/>
      </c>
    </row>
    <row r="667">
      <c r="A667" s="91" t="n"/>
      <c r="B667" s="111">
        <f>IF(AND(N('Deal maths'!F667)&gt;AsAt,N('Deal maths'!E667)&lt;=AsAt),IF(N('Deal maths'!H667)&gt;0,N('Deal maths'!H667),N('Deal maths'!D667)),0)</f>
        <v/>
      </c>
      <c r="C667" s="91">
        <f>IF(B667&gt;0,IF('Deal maths'!C667="Local authority","Local authorities",LOWER(TRIM('Deal maths'!B667))),"")</f>
        <v/>
      </c>
      <c r="D667" s="91">
        <f>IF(C667="","",IF(COUNTIF($C$4:C666,C667)=0,SUMIF($C$4:$C$3997,C667,$B$4:$B$3997)-ROW()/1000000,""))</f>
        <v/>
      </c>
      <c r="E667" s="91">
        <f>IF(AND(N('Deal maths'!F667)&gt;AsAt,N('Deal maths'!E667)&lt;=AsAt,IF(N('Deal maths'!H667)&gt;0,N('Deal maths'!H667),N('Deal maths'!D667))&gt;0),N('Deal maths'!F667)+ROW()/1000000,"")</f>
        <v/>
      </c>
    </row>
    <row r="668">
      <c r="A668" s="91" t="n"/>
      <c r="B668" s="111">
        <f>IF(AND(N('Deal maths'!F668)&gt;AsAt,N('Deal maths'!E668)&lt;=AsAt),IF(N('Deal maths'!H668)&gt;0,N('Deal maths'!H668),N('Deal maths'!D668)),0)</f>
        <v/>
      </c>
      <c r="C668" s="91">
        <f>IF(B668&gt;0,IF('Deal maths'!C668="Local authority","Local authorities",LOWER(TRIM('Deal maths'!B668))),"")</f>
        <v/>
      </c>
      <c r="D668" s="91">
        <f>IF(C668="","",IF(COUNTIF($C$4:C667,C668)=0,SUMIF($C$4:$C$3997,C668,$B$4:$B$3997)-ROW()/1000000,""))</f>
        <v/>
      </c>
      <c r="E668" s="91">
        <f>IF(AND(N('Deal maths'!F668)&gt;AsAt,N('Deal maths'!E668)&lt;=AsAt,IF(N('Deal maths'!H668)&gt;0,N('Deal maths'!H668),N('Deal maths'!D668))&gt;0),N('Deal maths'!F668)+ROW()/1000000,"")</f>
        <v/>
      </c>
    </row>
    <row r="669">
      <c r="A669" s="91" t="n"/>
      <c r="B669" s="111">
        <f>IF(AND(N('Deal maths'!F669)&gt;AsAt,N('Deal maths'!E669)&lt;=AsAt),IF(N('Deal maths'!H669)&gt;0,N('Deal maths'!H669),N('Deal maths'!D669)),0)</f>
        <v/>
      </c>
      <c r="C669" s="91">
        <f>IF(B669&gt;0,IF('Deal maths'!C669="Local authority","Local authorities",LOWER(TRIM('Deal maths'!B669))),"")</f>
        <v/>
      </c>
      <c r="D669" s="91">
        <f>IF(C669="","",IF(COUNTIF($C$4:C668,C669)=0,SUMIF($C$4:$C$3997,C669,$B$4:$B$3997)-ROW()/1000000,""))</f>
        <v/>
      </c>
      <c r="E669" s="91">
        <f>IF(AND(N('Deal maths'!F669)&gt;AsAt,N('Deal maths'!E669)&lt;=AsAt,IF(N('Deal maths'!H669)&gt;0,N('Deal maths'!H669),N('Deal maths'!D669))&gt;0),N('Deal maths'!F669)+ROW()/1000000,"")</f>
        <v/>
      </c>
    </row>
    <row r="670">
      <c r="A670" s="91" t="n"/>
      <c r="B670" s="111">
        <f>IF(AND(N('Deal maths'!F670)&gt;AsAt,N('Deal maths'!E670)&lt;=AsAt),IF(N('Deal maths'!H670)&gt;0,N('Deal maths'!H670),N('Deal maths'!D670)),0)</f>
        <v/>
      </c>
      <c r="C670" s="91">
        <f>IF(B670&gt;0,IF('Deal maths'!C670="Local authority","Local authorities",LOWER(TRIM('Deal maths'!B670))),"")</f>
        <v/>
      </c>
      <c r="D670" s="91">
        <f>IF(C670="","",IF(COUNTIF($C$4:C669,C670)=0,SUMIF($C$4:$C$3997,C670,$B$4:$B$3997)-ROW()/1000000,""))</f>
        <v/>
      </c>
      <c r="E670" s="91">
        <f>IF(AND(N('Deal maths'!F670)&gt;AsAt,N('Deal maths'!E670)&lt;=AsAt,IF(N('Deal maths'!H670)&gt;0,N('Deal maths'!H670),N('Deal maths'!D670))&gt;0),N('Deal maths'!F670)+ROW()/1000000,"")</f>
        <v/>
      </c>
    </row>
    <row r="671">
      <c r="A671" s="91" t="n"/>
      <c r="B671" s="111">
        <f>IF(AND(N('Deal maths'!F671)&gt;AsAt,N('Deal maths'!E671)&lt;=AsAt),IF(N('Deal maths'!H671)&gt;0,N('Deal maths'!H671),N('Deal maths'!D671)),0)</f>
        <v/>
      </c>
      <c r="C671" s="91">
        <f>IF(B671&gt;0,IF('Deal maths'!C671="Local authority","Local authorities",LOWER(TRIM('Deal maths'!B671))),"")</f>
        <v/>
      </c>
      <c r="D671" s="91">
        <f>IF(C671="","",IF(COUNTIF($C$4:C670,C671)=0,SUMIF($C$4:$C$3997,C671,$B$4:$B$3997)-ROW()/1000000,""))</f>
        <v/>
      </c>
      <c r="E671" s="91">
        <f>IF(AND(N('Deal maths'!F671)&gt;AsAt,N('Deal maths'!E671)&lt;=AsAt,IF(N('Deal maths'!H671)&gt;0,N('Deal maths'!H671),N('Deal maths'!D671))&gt;0),N('Deal maths'!F671)+ROW()/1000000,"")</f>
        <v/>
      </c>
    </row>
    <row r="672">
      <c r="A672" s="91" t="n"/>
      <c r="B672" s="111">
        <f>IF(AND(N('Deal maths'!F672)&gt;AsAt,N('Deal maths'!E672)&lt;=AsAt),IF(N('Deal maths'!H672)&gt;0,N('Deal maths'!H672),N('Deal maths'!D672)),0)</f>
        <v/>
      </c>
      <c r="C672" s="91">
        <f>IF(B672&gt;0,IF('Deal maths'!C672="Local authority","Local authorities",LOWER(TRIM('Deal maths'!B672))),"")</f>
        <v/>
      </c>
      <c r="D672" s="91">
        <f>IF(C672="","",IF(COUNTIF($C$4:C671,C672)=0,SUMIF($C$4:$C$3997,C672,$B$4:$B$3997)-ROW()/1000000,""))</f>
        <v/>
      </c>
      <c r="E672" s="91">
        <f>IF(AND(N('Deal maths'!F672)&gt;AsAt,N('Deal maths'!E672)&lt;=AsAt,IF(N('Deal maths'!H672)&gt;0,N('Deal maths'!H672),N('Deal maths'!D672))&gt;0),N('Deal maths'!F672)+ROW()/1000000,"")</f>
        <v/>
      </c>
    </row>
    <row r="673">
      <c r="A673" s="91" t="n"/>
      <c r="B673" s="111">
        <f>IF(AND(N('Deal maths'!F673)&gt;AsAt,N('Deal maths'!E673)&lt;=AsAt),IF(N('Deal maths'!H673)&gt;0,N('Deal maths'!H673),N('Deal maths'!D673)),0)</f>
        <v/>
      </c>
      <c r="C673" s="91">
        <f>IF(B673&gt;0,IF('Deal maths'!C673="Local authority","Local authorities",LOWER(TRIM('Deal maths'!B673))),"")</f>
        <v/>
      </c>
      <c r="D673" s="91">
        <f>IF(C673="","",IF(COUNTIF($C$4:C672,C673)=0,SUMIF($C$4:$C$3997,C673,$B$4:$B$3997)-ROW()/1000000,""))</f>
        <v/>
      </c>
      <c r="E673" s="91">
        <f>IF(AND(N('Deal maths'!F673)&gt;AsAt,N('Deal maths'!E673)&lt;=AsAt,IF(N('Deal maths'!H673)&gt;0,N('Deal maths'!H673),N('Deal maths'!D673))&gt;0),N('Deal maths'!F673)+ROW()/1000000,"")</f>
        <v/>
      </c>
    </row>
    <row r="674">
      <c r="A674" s="91" t="n"/>
      <c r="B674" s="111">
        <f>IF(AND(N('Deal maths'!F674)&gt;AsAt,N('Deal maths'!E674)&lt;=AsAt),IF(N('Deal maths'!H674)&gt;0,N('Deal maths'!H674),N('Deal maths'!D674)),0)</f>
        <v/>
      </c>
      <c r="C674" s="91">
        <f>IF(B674&gt;0,IF('Deal maths'!C674="Local authority","Local authorities",LOWER(TRIM('Deal maths'!B674))),"")</f>
        <v/>
      </c>
      <c r="D674" s="91">
        <f>IF(C674="","",IF(COUNTIF($C$4:C673,C674)=0,SUMIF($C$4:$C$3997,C674,$B$4:$B$3997)-ROW()/1000000,""))</f>
        <v/>
      </c>
      <c r="E674" s="91">
        <f>IF(AND(N('Deal maths'!F674)&gt;AsAt,N('Deal maths'!E674)&lt;=AsAt,IF(N('Deal maths'!H674)&gt;0,N('Deal maths'!H674),N('Deal maths'!D674))&gt;0),N('Deal maths'!F674)+ROW()/1000000,"")</f>
        <v/>
      </c>
    </row>
    <row r="675">
      <c r="A675" s="91" t="n"/>
      <c r="B675" s="111">
        <f>IF(AND(N('Deal maths'!F675)&gt;AsAt,N('Deal maths'!E675)&lt;=AsAt),IF(N('Deal maths'!H675)&gt;0,N('Deal maths'!H675),N('Deal maths'!D675)),0)</f>
        <v/>
      </c>
      <c r="C675" s="91">
        <f>IF(B675&gt;0,IF('Deal maths'!C675="Local authority","Local authorities",LOWER(TRIM('Deal maths'!B675))),"")</f>
        <v/>
      </c>
      <c r="D675" s="91">
        <f>IF(C675="","",IF(COUNTIF($C$4:C674,C675)=0,SUMIF($C$4:$C$3997,C675,$B$4:$B$3997)-ROW()/1000000,""))</f>
        <v/>
      </c>
      <c r="E675" s="91">
        <f>IF(AND(N('Deal maths'!F675)&gt;AsAt,N('Deal maths'!E675)&lt;=AsAt,IF(N('Deal maths'!H675)&gt;0,N('Deal maths'!H675),N('Deal maths'!D675))&gt;0),N('Deal maths'!F675)+ROW()/1000000,"")</f>
        <v/>
      </c>
    </row>
    <row r="676">
      <c r="A676" s="91" t="n"/>
      <c r="B676" s="111">
        <f>IF(AND(N('Deal maths'!F676)&gt;AsAt,N('Deal maths'!E676)&lt;=AsAt),IF(N('Deal maths'!H676)&gt;0,N('Deal maths'!H676),N('Deal maths'!D676)),0)</f>
        <v/>
      </c>
      <c r="C676" s="91">
        <f>IF(B676&gt;0,IF('Deal maths'!C676="Local authority","Local authorities",LOWER(TRIM('Deal maths'!B676))),"")</f>
        <v/>
      </c>
      <c r="D676" s="91">
        <f>IF(C676="","",IF(COUNTIF($C$4:C675,C676)=0,SUMIF($C$4:$C$3997,C676,$B$4:$B$3997)-ROW()/1000000,""))</f>
        <v/>
      </c>
      <c r="E676" s="91">
        <f>IF(AND(N('Deal maths'!F676)&gt;AsAt,N('Deal maths'!E676)&lt;=AsAt,IF(N('Deal maths'!H676)&gt;0,N('Deal maths'!H676),N('Deal maths'!D676))&gt;0),N('Deal maths'!F676)+ROW()/1000000,"")</f>
        <v/>
      </c>
    </row>
    <row r="677">
      <c r="A677" s="91" t="n"/>
      <c r="B677" s="111">
        <f>IF(AND(N('Deal maths'!F677)&gt;AsAt,N('Deal maths'!E677)&lt;=AsAt),IF(N('Deal maths'!H677)&gt;0,N('Deal maths'!H677),N('Deal maths'!D677)),0)</f>
        <v/>
      </c>
      <c r="C677" s="91">
        <f>IF(B677&gt;0,IF('Deal maths'!C677="Local authority","Local authorities",LOWER(TRIM('Deal maths'!B677))),"")</f>
        <v/>
      </c>
      <c r="D677" s="91">
        <f>IF(C677="","",IF(COUNTIF($C$4:C676,C677)=0,SUMIF($C$4:$C$3997,C677,$B$4:$B$3997)-ROW()/1000000,""))</f>
        <v/>
      </c>
      <c r="E677" s="91">
        <f>IF(AND(N('Deal maths'!F677)&gt;AsAt,N('Deal maths'!E677)&lt;=AsAt,IF(N('Deal maths'!H677)&gt;0,N('Deal maths'!H677),N('Deal maths'!D677))&gt;0),N('Deal maths'!F677)+ROW()/1000000,"")</f>
        <v/>
      </c>
    </row>
    <row r="678">
      <c r="A678" s="91" t="n"/>
      <c r="B678" s="111">
        <f>IF(AND(N('Deal maths'!F678)&gt;AsAt,N('Deal maths'!E678)&lt;=AsAt),IF(N('Deal maths'!H678)&gt;0,N('Deal maths'!H678),N('Deal maths'!D678)),0)</f>
        <v/>
      </c>
      <c r="C678" s="91">
        <f>IF(B678&gt;0,IF('Deal maths'!C678="Local authority","Local authorities",LOWER(TRIM('Deal maths'!B678))),"")</f>
        <v/>
      </c>
      <c r="D678" s="91">
        <f>IF(C678="","",IF(COUNTIF($C$4:C677,C678)=0,SUMIF($C$4:$C$3997,C678,$B$4:$B$3997)-ROW()/1000000,""))</f>
        <v/>
      </c>
      <c r="E678" s="91">
        <f>IF(AND(N('Deal maths'!F678)&gt;AsAt,N('Deal maths'!E678)&lt;=AsAt,IF(N('Deal maths'!H678)&gt;0,N('Deal maths'!H678),N('Deal maths'!D678))&gt;0),N('Deal maths'!F678)+ROW()/1000000,"")</f>
        <v/>
      </c>
    </row>
    <row r="679">
      <c r="A679" s="91" t="n"/>
      <c r="B679" s="111">
        <f>IF(AND(N('Deal maths'!F679)&gt;AsAt,N('Deal maths'!E679)&lt;=AsAt),IF(N('Deal maths'!H679)&gt;0,N('Deal maths'!H679),N('Deal maths'!D679)),0)</f>
        <v/>
      </c>
      <c r="C679" s="91">
        <f>IF(B679&gt;0,IF('Deal maths'!C679="Local authority","Local authorities",LOWER(TRIM('Deal maths'!B679))),"")</f>
        <v/>
      </c>
      <c r="D679" s="91">
        <f>IF(C679="","",IF(COUNTIF($C$4:C678,C679)=0,SUMIF($C$4:$C$3997,C679,$B$4:$B$3997)-ROW()/1000000,""))</f>
        <v/>
      </c>
      <c r="E679" s="91">
        <f>IF(AND(N('Deal maths'!F679)&gt;AsAt,N('Deal maths'!E679)&lt;=AsAt,IF(N('Deal maths'!H679)&gt;0,N('Deal maths'!H679),N('Deal maths'!D679))&gt;0),N('Deal maths'!F679)+ROW()/1000000,"")</f>
        <v/>
      </c>
    </row>
    <row r="680">
      <c r="A680" s="91" t="n"/>
      <c r="B680" s="111">
        <f>IF(AND(N('Deal maths'!F680)&gt;AsAt,N('Deal maths'!E680)&lt;=AsAt),IF(N('Deal maths'!H680)&gt;0,N('Deal maths'!H680),N('Deal maths'!D680)),0)</f>
        <v/>
      </c>
      <c r="C680" s="91">
        <f>IF(B680&gt;0,IF('Deal maths'!C680="Local authority","Local authorities",LOWER(TRIM('Deal maths'!B680))),"")</f>
        <v/>
      </c>
      <c r="D680" s="91">
        <f>IF(C680="","",IF(COUNTIF($C$4:C679,C680)=0,SUMIF($C$4:$C$3997,C680,$B$4:$B$3997)-ROW()/1000000,""))</f>
        <v/>
      </c>
      <c r="E680" s="91">
        <f>IF(AND(N('Deal maths'!F680)&gt;AsAt,N('Deal maths'!E680)&lt;=AsAt,IF(N('Deal maths'!H680)&gt;0,N('Deal maths'!H680),N('Deal maths'!D680))&gt;0),N('Deal maths'!F680)+ROW()/1000000,"")</f>
        <v/>
      </c>
    </row>
    <row r="681">
      <c r="A681" s="91" t="n"/>
      <c r="B681" s="111">
        <f>IF(AND(N('Deal maths'!F681)&gt;AsAt,N('Deal maths'!E681)&lt;=AsAt),IF(N('Deal maths'!H681)&gt;0,N('Deal maths'!H681),N('Deal maths'!D681)),0)</f>
        <v/>
      </c>
      <c r="C681" s="91">
        <f>IF(B681&gt;0,IF('Deal maths'!C681="Local authority","Local authorities",LOWER(TRIM('Deal maths'!B681))),"")</f>
        <v/>
      </c>
      <c r="D681" s="91">
        <f>IF(C681="","",IF(COUNTIF($C$4:C680,C681)=0,SUMIF($C$4:$C$3997,C681,$B$4:$B$3997)-ROW()/1000000,""))</f>
        <v/>
      </c>
      <c r="E681" s="91">
        <f>IF(AND(N('Deal maths'!F681)&gt;AsAt,N('Deal maths'!E681)&lt;=AsAt,IF(N('Deal maths'!H681)&gt;0,N('Deal maths'!H681),N('Deal maths'!D681))&gt;0),N('Deal maths'!F681)+ROW()/1000000,"")</f>
        <v/>
      </c>
    </row>
    <row r="682">
      <c r="A682" s="91" t="n"/>
      <c r="B682" s="111">
        <f>IF(AND(N('Deal maths'!F682)&gt;AsAt,N('Deal maths'!E682)&lt;=AsAt),IF(N('Deal maths'!H682)&gt;0,N('Deal maths'!H682),N('Deal maths'!D682)),0)</f>
        <v/>
      </c>
      <c r="C682" s="91">
        <f>IF(B682&gt;0,IF('Deal maths'!C682="Local authority","Local authorities",LOWER(TRIM('Deal maths'!B682))),"")</f>
        <v/>
      </c>
      <c r="D682" s="91">
        <f>IF(C682="","",IF(COUNTIF($C$4:C681,C682)=0,SUMIF($C$4:$C$3997,C682,$B$4:$B$3997)-ROW()/1000000,""))</f>
        <v/>
      </c>
      <c r="E682" s="91">
        <f>IF(AND(N('Deal maths'!F682)&gt;AsAt,N('Deal maths'!E682)&lt;=AsAt,IF(N('Deal maths'!H682)&gt;0,N('Deal maths'!H682),N('Deal maths'!D682))&gt;0),N('Deal maths'!F682)+ROW()/1000000,"")</f>
        <v/>
      </c>
    </row>
    <row r="683">
      <c r="A683" s="91" t="n"/>
      <c r="B683" s="111">
        <f>IF(AND(N('Deal maths'!F683)&gt;AsAt,N('Deal maths'!E683)&lt;=AsAt),IF(N('Deal maths'!H683)&gt;0,N('Deal maths'!H683),N('Deal maths'!D683)),0)</f>
        <v/>
      </c>
      <c r="C683" s="91">
        <f>IF(B683&gt;0,IF('Deal maths'!C683="Local authority","Local authorities",LOWER(TRIM('Deal maths'!B683))),"")</f>
        <v/>
      </c>
      <c r="D683" s="91">
        <f>IF(C683="","",IF(COUNTIF($C$4:C682,C683)=0,SUMIF($C$4:$C$3997,C683,$B$4:$B$3997)-ROW()/1000000,""))</f>
        <v/>
      </c>
      <c r="E683" s="91">
        <f>IF(AND(N('Deal maths'!F683)&gt;AsAt,N('Deal maths'!E683)&lt;=AsAt,IF(N('Deal maths'!H683)&gt;0,N('Deal maths'!H683),N('Deal maths'!D683))&gt;0),N('Deal maths'!F683)+ROW()/1000000,"")</f>
        <v/>
      </c>
    </row>
    <row r="684">
      <c r="A684" s="91" t="n"/>
      <c r="B684" s="111">
        <f>IF(AND(N('Deal maths'!F684)&gt;AsAt,N('Deal maths'!E684)&lt;=AsAt),IF(N('Deal maths'!H684)&gt;0,N('Deal maths'!H684),N('Deal maths'!D684)),0)</f>
        <v/>
      </c>
      <c r="C684" s="91">
        <f>IF(B684&gt;0,IF('Deal maths'!C684="Local authority","Local authorities",LOWER(TRIM('Deal maths'!B684))),"")</f>
        <v/>
      </c>
      <c r="D684" s="91">
        <f>IF(C684="","",IF(COUNTIF($C$4:C683,C684)=0,SUMIF($C$4:$C$3997,C684,$B$4:$B$3997)-ROW()/1000000,""))</f>
        <v/>
      </c>
      <c r="E684" s="91">
        <f>IF(AND(N('Deal maths'!F684)&gt;AsAt,N('Deal maths'!E684)&lt;=AsAt,IF(N('Deal maths'!H684)&gt;0,N('Deal maths'!H684),N('Deal maths'!D684))&gt;0),N('Deal maths'!F684)+ROW()/1000000,"")</f>
        <v/>
      </c>
    </row>
    <row r="685">
      <c r="A685" s="91" t="n"/>
      <c r="B685" s="111">
        <f>IF(AND(N('Deal maths'!F685)&gt;AsAt,N('Deal maths'!E685)&lt;=AsAt),IF(N('Deal maths'!H685)&gt;0,N('Deal maths'!H685),N('Deal maths'!D685)),0)</f>
        <v/>
      </c>
      <c r="C685" s="91">
        <f>IF(B685&gt;0,IF('Deal maths'!C685="Local authority","Local authorities",LOWER(TRIM('Deal maths'!B685))),"")</f>
        <v/>
      </c>
      <c r="D685" s="91">
        <f>IF(C685="","",IF(COUNTIF($C$4:C684,C685)=0,SUMIF($C$4:$C$3997,C685,$B$4:$B$3997)-ROW()/1000000,""))</f>
        <v/>
      </c>
      <c r="E685" s="91">
        <f>IF(AND(N('Deal maths'!F685)&gt;AsAt,N('Deal maths'!E685)&lt;=AsAt,IF(N('Deal maths'!H685)&gt;0,N('Deal maths'!H685),N('Deal maths'!D685))&gt;0),N('Deal maths'!F685)+ROW()/1000000,"")</f>
        <v/>
      </c>
    </row>
    <row r="686">
      <c r="A686" s="91" t="n"/>
      <c r="B686" s="111">
        <f>IF(AND(N('Deal maths'!F686)&gt;AsAt,N('Deal maths'!E686)&lt;=AsAt),IF(N('Deal maths'!H686)&gt;0,N('Deal maths'!H686),N('Deal maths'!D686)),0)</f>
        <v/>
      </c>
      <c r="C686" s="91">
        <f>IF(B686&gt;0,IF('Deal maths'!C686="Local authority","Local authorities",LOWER(TRIM('Deal maths'!B686))),"")</f>
        <v/>
      </c>
      <c r="D686" s="91">
        <f>IF(C686="","",IF(COUNTIF($C$4:C685,C686)=0,SUMIF($C$4:$C$3997,C686,$B$4:$B$3997)-ROW()/1000000,""))</f>
        <v/>
      </c>
      <c r="E686" s="91">
        <f>IF(AND(N('Deal maths'!F686)&gt;AsAt,N('Deal maths'!E686)&lt;=AsAt,IF(N('Deal maths'!H686)&gt;0,N('Deal maths'!H686),N('Deal maths'!D686))&gt;0),N('Deal maths'!F686)+ROW()/1000000,"")</f>
        <v/>
      </c>
    </row>
    <row r="687">
      <c r="A687" s="91" t="n"/>
      <c r="B687" s="111">
        <f>IF(AND(N('Deal maths'!F687)&gt;AsAt,N('Deal maths'!E687)&lt;=AsAt),IF(N('Deal maths'!H687)&gt;0,N('Deal maths'!H687),N('Deal maths'!D687)),0)</f>
        <v/>
      </c>
      <c r="C687" s="91">
        <f>IF(B687&gt;0,IF('Deal maths'!C687="Local authority","Local authorities",LOWER(TRIM('Deal maths'!B687))),"")</f>
        <v/>
      </c>
      <c r="D687" s="91">
        <f>IF(C687="","",IF(COUNTIF($C$4:C686,C687)=0,SUMIF($C$4:$C$3997,C687,$B$4:$B$3997)-ROW()/1000000,""))</f>
        <v/>
      </c>
      <c r="E687" s="91">
        <f>IF(AND(N('Deal maths'!F687)&gt;AsAt,N('Deal maths'!E687)&lt;=AsAt,IF(N('Deal maths'!H687)&gt;0,N('Deal maths'!H687),N('Deal maths'!D687))&gt;0),N('Deal maths'!F687)+ROW()/1000000,"")</f>
        <v/>
      </c>
    </row>
    <row r="688">
      <c r="A688" s="91" t="n"/>
      <c r="B688" s="111">
        <f>IF(AND(N('Deal maths'!F688)&gt;AsAt,N('Deal maths'!E688)&lt;=AsAt),IF(N('Deal maths'!H688)&gt;0,N('Deal maths'!H688),N('Deal maths'!D688)),0)</f>
        <v/>
      </c>
      <c r="C688" s="91">
        <f>IF(B688&gt;0,IF('Deal maths'!C688="Local authority","Local authorities",LOWER(TRIM('Deal maths'!B688))),"")</f>
        <v/>
      </c>
      <c r="D688" s="91">
        <f>IF(C688="","",IF(COUNTIF($C$4:C687,C688)=0,SUMIF($C$4:$C$3997,C688,$B$4:$B$3997)-ROW()/1000000,""))</f>
        <v/>
      </c>
      <c r="E688" s="91">
        <f>IF(AND(N('Deal maths'!F688)&gt;AsAt,N('Deal maths'!E688)&lt;=AsAt,IF(N('Deal maths'!H688)&gt;0,N('Deal maths'!H688),N('Deal maths'!D688))&gt;0),N('Deal maths'!F688)+ROW()/1000000,"")</f>
        <v/>
      </c>
    </row>
    <row r="689">
      <c r="A689" s="91" t="n"/>
      <c r="B689" s="111">
        <f>IF(AND(N('Deal maths'!F689)&gt;AsAt,N('Deal maths'!E689)&lt;=AsAt),IF(N('Deal maths'!H689)&gt;0,N('Deal maths'!H689),N('Deal maths'!D689)),0)</f>
        <v/>
      </c>
      <c r="C689" s="91">
        <f>IF(B689&gt;0,IF('Deal maths'!C689="Local authority","Local authorities",LOWER(TRIM('Deal maths'!B689))),"")</f>
        <v/>
      </c>
      <c r="D689" s="91">
        <f>IF(C689="","",IF(COUNTIF($C$4:C688,C689)=0,SUMIF($C$4:$C$3997,C689,$B$4:$B$3997)-ROW()/1000000,""))</f>
        <v/>
      </c>
      <c r="E689" s="91">
        <f>IF(AND(N('Deal maths'!F689)&gt;AsAt,N('Deal maths'!E689)&lt;=AsAt,IF(N('Deal maths'!H689)&gt;0,N('Deal maths'!H689),N('Deal maths'!D689))&gt;0),N('Deal maths'!F689)+ROW()/1000000,"")</f>
        <v/>
      </c>
    </row>
    <row r="690">
      <c r="A690" s="91" t="n"/>
      <c r="B690" s="111">
        <f>IF(AND(N('Deal maths'!F690)&gt;AsAt,N('Deal maths'!E690)&lt;=AsAt),IF(N('Deal maths'!H690)&gt;0,N('Deal maths'!H690),N('Deal maths'!D690)),0)</f>
        <v/>
      </c>
      <c r="C690" s="91">
        <f>IF(B690&gt;0,IF('Deal maths'!C690="Local authority","Local authorities",LOWER(TRIM('Deal maths'!B690))),"")</f>
        <v/>
      </c>
      <c r="D690" s="91">
        <f>IF(C690="","",IF(COUNTIF($C$4:C689,C690)=0,SUMIF($C$4:$C$3997,C690,$B$4:$B$3997)-ROW()/1000000,""))</f>
        <v/>
      </c>
      <c r="E690" s="91">
        <f>IF(AND(N('Deal maths'!F690)&gt;AsAt,N('Deal maths'!E690)&lt;=AsAt,IF(N('Deal maths'!H690)&gt;0,N('Deal maths'!H690),N('Deal maths'!D690))&gt;0),N('Deal maths'!F690)+ROW()/1000000,"")</f>
        <v/>
      </c>
    </row>
    <row r="691">
      <c r="A691" s="91" t="n"/>
      <c r="B691" s="111">
        <f>IF(AND(N('Deal maths'!F691)&gt;AsAt,N('Deal maths'!E691)&lt;=AsAt),IF(N('Deal maths'!H691)&gt;0,N('Deal maths'!H691),N('Deal maths'!D691)),0)</f>
        <v/>
      </c>
      <c r="C691" s="91">
        <f>IF(B691&gt;0,IF('Deal maths'!C691="Local authority","Local authorities",LOWER(TRIM('Deal maths'!B691))),"")</f>
        <v/>
      </c>
      <c r="D691" s="91">
        <f>IF(C691="","",IF(COUNTIF($C$4:C690,C691)=0,SUMIF($C$4:$C$3997,C691,$B$4:$B$3997)-ROW()/1000000,""))</f>
        <v/>
      </c>
      <c r="E691" s="91">
        <f>IF(AND(N('Deal maths'!F691)&gt;AsAt,N('Deal maths'!E691)&lt;=AsAt,IF(N('Deal maths'!H691)&gt;0,N('Deal maths'!H691),N('Deal maths'!D691))&gt;0),N('Deal maths'!F691)+ROW()/1000000,"")</f>
        <v/>
      </c>
    </row>
    <row r="692">
      <c r="A692" s="91" t="n"/>
      <c r="B692" s="111">
        <f>IF(AND(N('Deal maths'!F692)&gt;AsAt,N('Deal maths'!E692)&lt;=AsAt),IF(N('Deal maths'!H692)&gt;0,N('Deal maths'!H692),N('Deal maths'!D692)),0)</f>
        <v/>
      </c>
      <c r="C692" s="91">
        <f>IF(B692&gt;0,IF('Deal maths'!C692="Local authority","Local authorities",LOWER(TRIM('Deal maths'!B692))),"")</f>
        <v/>
      </c>
      <c r="D692" s="91">
        <f>IF(C692="","",IF(COUNTIF($C$4:C691,C692)=0,SUMIF($C$4:$C$3997,C692,$B$4:$B$3997)-ROW()/1000000,""))</f>
        <v/>
      </c>
      <c r="E692" s="91">
        <f>IF(AND(N('Deal maths'!F692)&gt;AsAt,N('Deal maths'!E692)&lt;=AsAt,IF(N('Deal maths'!H692)&gt;0,N('Deal maths'!H692),N('Deal maths'!D692))&gt;0),N('Deal maths'!F692)+ROW()/1000000,"")</f>
        <v/>
      </c>
    </row>
    <row r="693">
      <c r="A693" s="91" t="n"/>
      <c r="B693" s="111">
        <f>IF(AND(N('Deal maths'!F693)&gt;AsAt,N('Deal maths'!E693)&lt;=AsAt),IF(N('Deal maths'!H693)&gt;0,N('Deal maths'!H693),N('Deal maths'!D693)),0)</f>
        <v/>
      </c>
      <c r="C693" s="91">
        <f>IF(B693&gt;0,IF('Deal maths'!C693="Local authority","Local authorities",LOWER(TRIM('Deal maths'!B693))),"")</f>
        <v/>
      </c>
      <c r="D693" s="91">
        <f>IF(C693="","",IF(COUNTIF($C$4:C692,C693)=0,SUMIF($C$4:$C$3997,C693,$B$4:$B$3997)-ROW()/1000000,""))</f>
        <v/>
      </c>
      <c r="E693" s="91">
        <f>IF(AND(N('Deal maths'!F693)&gt;AsAt,N('Deal maths'!E693)&lt;=AsAt,IF(N('Deal maths'!H693)&gt;0,N('Deal maths'!H693),N('Deal maths'!D693))&gt;0),N('Deal maths'!F693)+ROW()/1000000,"")</f>
        <v/>
      </c>
    </row>
    <row r="694">
      <c r="A694" s="91" t="n"/>
      <c r="B694" s="111">
        <f>IF(AND(N('Deal maths'!F694)&gt;AsAt,N('Deal maths'!E694)&lt;=AsAt),IF(N('Deal maths'!H694)&gt;0,N('Deal maths'!H694),N('Deal maths'!D694)),0)</f>
        <v/>
      </c>
      <c r="C694" s="91">
        <f>IF(B694&gt;0,IF('Deal maths'!C694="Local authority","Local authorities",LOWER(TRIM('Deal maths'!B694))),"")</f>
        <v/>
      </c>
      <c r="D694" s="91">
        <f>IF(C694="","",IF(COUNTIF($C$4:C693,C694)=0,SUMIF($C$4:$C$3997,C694,$B$4:$B$3997)-ROW()/1000000,""))</f>
        <v/>
      </c>
      <c r="E694" s="91">
        <f>IF(AND(N('Deal maths'!F694)&gt;AsAt,N('Deal maths'!E694)&lt;=AsAt,IF(N('Deal maths'!H694)&gt;0,N('Deal maths'!H694),N('Deal maths'!D694))&gt;0),N('Deal maths'!F694)+ROW()/1000000,"")</f>
        <v/>
      </c>
    </row>
    <row r="695">
      <c r="A695" s="91" t="n"/>
      <c r="B695" s="111">
        <f>IF(AND(N('Deal maths'!F695)&gt;AsAt,N('Deal maths'!E695)&lt;=AsAt),IF(N('Deal maths'!H695)&gt;0,N('Deal maths'!H695),N('Deal maths'!D695)),0)</f>
        <v/>
      </c>
      <c r="C695" s="91">
        <f>IF(B695&gt;0,IF('Deal maths'!C695="Local authority","Local authorities",LOWER(TRIM('Deal maths'!B695))),"")</f>
        <v/>
      </c>
      <c r="D695" s="91">
        <f>IF(C695="","",IF(COUNTIF($C$4:C694,C695)=0,SUMIF($C$4:$C$3997,C695,$B$4:$B$3997)-ROW()/1000000,""))</f>
        <v/>
      </c>
      <c r="E695" s="91">
        <f>IF(AND(N('Deal maths'!F695)&gt;AsAt,N('Deal maths'!E695)&lt;=AsAt,IF(N('Deal maths'!H695)&gt;0,N('Deal maths'!H695),N('Deal maths'!D695))&gt;0),N('Deal maths'!F695)+ROW()/1000000,"")</f>
        <v/>
      </c>
    </row>
    <row r="696">
      <c r="A696" s="91" t="n"/>
      <c r="B696" s="111">
        <f>IF(AND(N('Deal maths'!F696)&gt;AsAt,N('Deal maths'!E696)&lt;=AsAt),IF(N('Deal maths'!H696)&gt;0,N('Deal maths'!H696),N('Deal maths'!D696)),0)</f>
        <v/>
      </c>
      <c r="C696" s="91">
        <f>IF(B696&gt;0,IF('Deal maths'!C696="Local authority","Local authorities",LOWER(TRIM('Deal maths'!B696))),"")</f>
        <v/>
      </c>
      <c r="D696" s="91">
        <f>IF(C696="","",IF(COUNTIF($C$4:C695,C696)=0,SUMIF($C$4:$C$3997,C696,$B$4:$B$3997)-ROW()/1000000,""))</f>
        <v/>
      </c>
      <c r="E696" s="91">
        <f>IF(AND(N('Deal maths'!F696)&gt;AsAt,N('Deal maths'!E696)&lt;=AsAt,IF(N('Deal maths'!H696)&gt;0,N('Deal maths'!H696),N('Deal maths'!D696))&gt;0),N('Deal maths'!F696)+ROW()/1000000,"")</f>
        <v/>
      </c>
    </row>
    <row r="697">
      <c r="A697" s="91" t="n"/>
      <c r="B697" s="111">
        <f>IF(AND(N('Deal maths'!F697)&gt;AsAt,N('Deal maths'!E697)&lt;=AsAt),IF(N('Deal maths'!H697)&gt;0,N('Deal maths'!H697),N('Deal maths'!D697)),0)</f>
        <v/>
      </c>
      <c r="C697" s="91">
        <f>IF(B697&gt;0,IF('Deal maths'!C697="Local authority","Local authorities",LOWER(TRIM('Deal maths'!B697))),"")</f>
        <v/>
      </c>
      <c r="D697" s="91">
        <f>IF(C697="","",IF(COUNTIF($C$4:C696,C697)=0,SUMIF($C$4:$C$3997,C697,$B$4:$B$3997)-ROW()/1000000,""))</f>
        <v/>
      </c>
      <c r="E697" s="91">
        <f>IF(AND(N('Deal maths'!F697)&gt;AsAt,N('Deal maths'!E697)&lt;=AsAt,IF(N('Deal maths'!H697)&gt;0,N('Deal maths'!H697),N('Deal maths'!D697))&gt;0),N('Deal maths'!F697)+ROW()/1000000,"")</f>
        <v/>
      </c>
    </row>
    <row r="698">
      <c r="A698" s="91" t="n"/>
      <c r="B698" s="111">
        <f>IF(AND(N('Deal maths'!F698)&gt;AsAt,N('Deal maths'!E698)&lt;=AsAt),IF(N('Deal maths'!H698)&gt;0,N('Deal maths'!H698),N('Deal maths'!D698)),0)</f>
        <v/>
      </c>
      <c r="C698" s="91">
        <f>IF(B698&gt;0,IF('Deal maths'!C698="Local authority","Local authorities",LOWER(TRIM('Deal maths'!B698))),"")</f>
        <v/>
      </c>
      <c r="D698" s="91">
        <f>IF(C698="","",IF(COUNTIF($C$4:C697,C698)=0,SUMIF($C$4:$C$3997,C698,$B$4:$B$3997)-ROW()/1000000,""))</f>
        <v/>
      </c>
      <c r="E698" s="91">
        <f>IF(AND(N('Deal maths'!F698)&gt;AsAt,N('Deal maths'!E698)&lt;=AsAt,IF(N('Deal maths'!H698)&gt;0,N('Deal maths'!H698),N('Deal maths'!D698))&gt;0),N('Deal maths'!F698)+ROW()/1000000,"")</f>
        <v/>
      </c>
    </row>
    <row r="699">
      <c r="A699" s="91" t="n"/>
      <c r="B699" s="111">
        <f>IF(AND(N('Deal maths'!F699)&gt;AsAt,N('Deal maths'!E699)&lt;=AsAt),IF(N('Deal maths'!H699)&gt;0,N('Deal maths'!H699),N('Deal maths'!D699)),0)</f>
        <v/>
      </c>
      <c r="C699" s="91">
        <f>IF(B699&gt;0,IF('Deal maths'!C699="Local authority","Local authorities",LOWER(TRIM('Deal maths'!B699))),"")</f>
        <v/>
      </c>
      <c r="D699" s="91">
        <f>IF(C699="","",IF(COUNTIF($C$4:C698,C699)=0,SUMIF($C$4:$C$3997,C699,$B$4:$B$3997)-ROW()/1000000,""))</f>
        <v/>
      </c>
      <c r="E699" s="91">
        <f>IF(AND(N('Deal maths'!F699)&gt;AsAt,N('Deal maths'!E699)&lt;=AsAt,IF(N('Deal maths'!H699)&gt;0,N('Deal maths'!H699),N('Deal maths'!D699))&gt;0),N('Deal maths'!F699)+ROW()/1000000,"")</f>
        <v/>
      </c>
    </row>
    <row r="700">
      <c r="A700" s="91" t="n"/>
      <c r="B700" s="111">
        <f>IF(AND(N('Deal maths'!F700)&gt;AsAt,N('Deal maths'!E700)&lt;=AsAt),IF(N('Deal maths'!H700)&gt;0,N('Deal maths'!H700),N('Deal maths'!D700)),0)</f>
        <v/>
      </c>
      <c r="C700" s="91">
        <f>IF(B700&gt;0,IF('Deal maths'!C700="Local authority","Local authorities",LOWER(TRIM('Deal maths'!B700))),"")</f>
        <v/>
      </c>
      <c r="D700" s="91">
        <f>IF(C700="","",IF(COUNTIF($C$4:C699,C700)=0,SUMIF($C$4:$C$3997,C700,$B$4:$B$3997)-ROW()/1000000,""))</f>
        <v/>
      </c>
      <c r="E700" s="91">
        <f>IF(AND(N('Deal maths'!F700)&gt;AsAt,N('Deal maths'!E700)&lt;=AsAt,IF(N('Deal maths'!H700)&gt;0,N('Deal maths'!H700),N('Deal maths'!D700))&gt;0),N('Deal maths'!F700)+ROW()/1000000,"")</f>
        <v/>
      </c>
    </row>
    <row r="701">
      <c r="A701" s="91" t="n"/>
      <c r="B701" s="111">
        <f>IF(AND(N('Deal maths'!F701)&gt;AsAt,N('Deal maths'!E701)&lt;=AsAt),IF(N('Deal maths'!H701)&gt;0,N('Deal maths'!H701),N('Deal maths'!D701)),0)</f>
        <v/>
      </c>
      <c r="C701" s="91">
        <f>IF(B701&gt;0,IF('Deal maths'!C701="Local authority","Local authorities",LOWER(TRIM('Deal maths'!B701))),"")</f>
        <v/>
      </c>
      <c r="D701" s="91">
        <f>IF(C701="","",IF(COUNTIF($C$4:C700,C701)=0,SUMIF($C$4:$C$3997,C701,$B$4:$B$3997)-ROW()/1000000,""))</f>
        <v/>
      </c>
      <c r="E701" s="91">
        <f>IF(AND(N('Deal maths'!F701)&gt;AsAt,N('Deal maths'!E701)&lt;=AsAt,IF(N('Deal maths'!H701)&gt;0,N('Deal maths'!H701),N('Deal maths'!D701))&gt;0),N('Deal maths'!F701)+ROW()/1000000,"")</f>
        <v/>
      </c>
    </row>
    <row r="702">
      <c r="A702" s="91" t="n"/>
      <c r="B702" s="111">
        <f>IF(AND(N('Deal maths'!F702)&gt;AsAt,N('Deal maths'!E702)&lt;=AsAt),IF(N('Deal maths'!H702)&gt;0,N('Deal maths'!H702),N('Deal maths'!D702)),0)</f>
        <v/>
      </c>
      <c r="C702" s="91">
        <f>IF(B702&gt;0,IF('Deal maths'!C702="Local authority","Local authorities",LOWER(TRIM('Deal maths'!B702))),"")</f>
        <v/>
      </c>
      <c r="D702" s="91">
        <f>IF(C702="","",IF(COUNTIF($C$4:C701,C702)=0,SUMIF($C$4:$C$3997,C702,$B$4:$B$3997)-ROW()/1000000,""))</f>
        <v/>
      </c>
      <c r="E702" s="91">
        <f>IF(AND(N('Deal maths'!F702)&gt;AsAt,N('Deal maths'!E702)&lt;=AsAt,IF(N('Deal maths'!H702)&gt;0,N('Deal maths'!H702),N('Deal maths'!D702))&gt;0),N('Deal maths'!F702)+ROW()/1000000,"")</f>
        <v/>
      </c>
    </row>
    <row r="703">
      <c r="A703" s="91" t="n"/>
      <c r="B703" s="111">
        <f>IF(AND(N('Deal maths'!F703)&gt;AsAt,N('Deal maths'!E703)&lt;=AsAt),IF(N('Deal maths'!H703)&gt;0,N('Deal maths'!H703),N('Deal maths'!D703)),0)</f>
        <v/>
      </c>
      <c r="C703" s="91">
        <f>IF(B703&gt;0,IF('Deal maths'!C703="Local authority","Local authorities",LOWER(TRIM('Deal maths'!B703))),"")</f>
        <v/>
      </c>
      <c r="D703" s="91">
        <f>IF(C703="","",IF(COUNTIF($C$4:C702,C703)=0,SUMIF($C$4:$C$3997,C703,$B$4:$B$3997)-ROW()/1000000,""))</f>
        <v/>
      </c>
      <c r="E703" s="91">
        <f>IF(AND(N('Deal maths'!F703)&gt;AsAt,N('Deal maths'!E703)&lt;=AsAt,IF(N('Deal maths'!H703)&gt;0,N('Deal maths'!H703),N('Deal maths'!D703))&gt;0),N('Deal maths'!F703)+ROW()/1000000,"")</f>
        <v/>
      </c>
    </row>
    <row r="704">
      <c r="A704" s="91" t="n"/>
      <c r="B704" s="111">
        <f>IF(AND(N('Deal maths'!F704)&gt;AsAt,N('Deal maths'!E704)&lt;=AsAt),IF(N('Deal maths'!H704)&gt;0,N('Deal maths'!H704),N('Deal maths'!D704)),0)</f>
        <v/>
      </c>
      <c r="C704" s="91">
        <f>IF(B704&gt;0,IF('Deal maths'!C704="Local authority","Local authorities",LOWER(TRIM('Deal maths'!B704))),"")</f>
        <v/>
      </c>
      <c r="D704" s="91">
        <f>IF(C704="","",IF(COUNTIF($C$4:C703,C704)=0,SUMIF($C$4:$C$3997,C704,$B$4:$B$3997)-ROW()/1000000,""))</f>
        <v/>
      </c>
      <c r="E704" s="91">
        <f>IF(AND(N('Deal maths'!F704)&gt;AsAt,N('Deal maths'!E704)&lt;=AsAt,IF(N('Deal maths'!H704)&gt;0,N('Deal maths'!H704),N('Deal maths'!D704))&gt;0),N('Deal maths'!F704)+ROW()/1000000,"")</f>
        <v/>
      </c>
    </row>
    <row r="705">
      <c r="A705" s="91" t="n"/>
      <c r="B705" s="111">
        <f>IF(AND(N('Deal maths'!F705)&gt;AsAt,N('Deal maths'!E705)&lt;=AsAt),IF(N('Deal maths'!H705)&gt;0,N('Deal maths'!H705),N('Deal maths'!D705)),0)</f>
        <v/>
      </c>
      <c r="C705" s="91">
        <f>IF(B705&gt;0,IF('Deal maths'!C705="Local authority","Local authorities",LOWER(TRIM('Deal maths'!B705))),"")</f>
        <v/>
      </c>
      <c r="D705" s="91">
        <f>IF(C705="","",IF(COUNTIF($C$4:C704,C705)=0,SUMIF($C$4:$C$3997,C705,$B$4:$B$3997)-ROW()/1000000,""))</f>
        <v/>
      </c>
      <c r="E705" s="91">
        <f>IF(AND(N('Deal maths'!F705)&gt;AsAt,N('Deal maths'!E705)&lt;=AsAt,IF(N('Deal maths'!H705)&gt;0,N('Deal maths'!H705),N('Deal maths'!D705))&gt;0),N('Deal maths'!F705)+ROW()/1000000,"")</f>
        <v/>
      </c>
    </row>
    <row r="706">
      <c r="A706" s="91" t="n"/>
      <c r="B706" s="111">
        <f>IF(AND(N('Deal maths'!F706)&gt;AsAt,N('Deal maths'!E706)&lt;=AsAt),IF(N('Deal maths'!H706)&gt;0,N('Deal maths'!H706),N('Deal maths'!D706)),0)</f>
        <v/>
      </c>
      <c r="C706" s="91">
        <f>IF(B706&gt;0,IF('Deal maths'!C706="Local authority","Local authorities",LOWER(TRIM('Deal maths'!B706))),"")</f>
        <v/>
      </c>
      <c r="D706" s="91">
        <f>IF(C706="","",IF(COUNTIF($C$4:C705,C706)=0,SUMIF($C$4:$C$3997,C706,$B$4:$B$3997)-ROW()/1000000,""))</f>
        <v/>
      </c>
      <c r="E706" s="91">
        <f>IF(AND(N('Deal maths'!F706)&gt;AsAt,N('Deal maths'!E706)&lt;=AsAt,IF(N('Deal maths'!H706)&gt;0,N('Deal maths'!H706),N('Deal maths'!D706))&gt;0),N('Deal maths'!F706)+ROW()/1000000,"")</f>
        <v/>
      </c>
    </row>
    <row r="707">
      <c r="A707" s="91" t="n"/>
      <c r="B707" s="111">
        <f>IF(AND(N('Deal maths'!F707)&gt;AsAt,N('Deal maths'!E707)&lt;=AsAt),IF(N('Deal maths'!H707)&gt;0,N('Deal maths'!H707),N('Deal maths'!D707)),0)</f>
        <v/>
      </c>
      <c r="C707" s="91">
        <f>IF(B707&gt;0,IF('Deal maths'!C707="Local authority","Local authorities",LOWER(TRIM('Deal maths'!B707))),"")</f>
        <v/>
      </c>
      <c r="D707" s="91">
        <f>IF(C707="","",IF(COUNTIF($C$4:C706,C707)=0,SUMIF($C$4:$C$3997,C707,$B$4:$B$3997)-ROW()/1000000,""))</f>
        <v/>
      </c>
      <c r="E707" s="91">
        <f>IF(AND(N('Deal maths'!F707)&gt;AsAt,N('Deal maths'!E707)&lt;=AsAt,IF(N('Deal maths'!H707)&gt;0,N('Deal maths'!H707),N('Deal maths'!D707))&gt;0),N('Deal maths'!F707)+ROW()/1000000,"")</f>
        <v/>
      </c>
    </row>
    <row r="708">
      <c r="A708" s="91" t="n"/>
      <c r="B708" s="111">
        <f>IF(AND(N('Deal maths'!F708)&gt;AsAt,N('Deal maths'!E708)&lt;=AsAt),IF(N('Deal maths'!H708)&gt;0,N('Deal maths'!H708),N('Deal maths'!D708)),0)</f>
        <v/>
      </c>
      <c r="C708" s="91">
        <f>IF(B708&gt;0,IF('Deal maths'!C708="Local authority","Local authorities",LOWER(TRIM('Deal maths'!B708))),"")</f>
        <v/>
      </c>
      <c r="D708" s="91">
        <f>IF(C708="","",IF(COUNTIF($C$4:C707,C708)=0,SUMIF($C$4:$C$3997,C708,$B$4:$B$3997)-ROW()/1000000,""))</f>
        <v/>
      </c>
      <c r="E708" s="91">
        <f>IF(AND(N('Deal maths'!F708)&gt;AsAt,N('Deal maths'!E708)&lt;=AsAt,IF(N('Deal maths'!H708)&gt;0,N('Deal maths'!H708),N('Deal maths'!D708))&gt;0),N('Deal maths'!F708)+ROW()/1000000,"")</f>
        <v/>
      </c>
    </row>
    <row r="709">
      <c r="A709" s="91" t="n"/>
      <c r="B709" s="111">
        <f>IF(AND(N('Deal maths'!F709)&gt;AsAt,N('Deal maths'!E709)&lt;=AsAt),IF(N('Deal maths'!H709)&gt;0,N('Deal maths'!H709),N('Deal maths'!D709)),0)</f>
        <v/>
      </c>
      <c r="C709" s="91">
        <f>IF(B709&gt;0,IF('Deal maths'!C709="Local authority","Local authorities",LOWER(TRIM('Deal maths'!B709))),"")</f>
        <v/>
      </c>
      <c r="D709" s="91">
        <f>IF(C709="","",IF(COUNTIF($C$4:C708,C709)=0,SUMIF($C$4:$C$3997,C709,$B$4:$B$3997)-ROW()/1000000,""))</f>
        <v/>
      </c>
      <c r="E709" s="91">
        <f>IF(AND(N('Deal maths'!F709)&gt;AsAt,N('Deal maths'!E709)&lt;=AsAt,IF(N('Deal maths'!H709)&gt;0,N('Deal maths'!H709),N('Deal maths'!D709))&gt;0),N('Deal maths'!F709)+ROW()/1000000,"")</f>
        <v/>
      </c>
    </row>
    <row r="710">
      <c r="A710" s="91" t="n"/>
      <c r="B710" s="111">
        <f>IF(AND(N('Deal maths'!F710)&gt;AsAt,N('Deal maths'!E710)&lt;=AsAt),IF(N('Deal maths'!H710)&gt;0,N('Deal maths'!H710),N('Deal maths'!D710)),0)</f>
        <v/>
      </c>
      <c r="C710" s="91">
        <f>IF(B710&gt;0,IF('Deal maths'!C710="Local authority","Local authorities",LOWER(TRIM('Deal maths'!B710))),"")</f>
        <v/>
      </c>
      <c r="D710" s="91">
        <f>IF(C710="","",IF(COUNTIF($C$4:C709,C710)=0,SUMIF($C$4:$C$3997,C710,$B$4:$B$3997)-ROW()/1000000,""))</f>
        <v/>
      </c>
      <c r="E710" s="91">
        <f>IF(AND(N('Deal maths'!F710)&gt;AsAt,N('Deal maths'!E710)&lt;=AsAt,IF(N('Deal maths'!H710)&gt;0,N('Deal maths'!H710),N('Deal maths'!D710))&gt;0),N('Deal maths'!F710)+ROW()/1000000,"")</f>
        <v/>
      </c>
    </row>
    <row r="711">
      <c r="A711" s="91" t="n"/>
      <c r="B711" s="111">
        <f>IF(AND(N('Deal maths'!F711)&gt;AsAt,N('Deal maths'!E711)&lt;=AsAt),IF(N('Deal maths'!H711)&gt;0,N('Deal maths'!H711),N('Deal maths'!D711)),0)</f>
        <v/>
      </c>
      <c r="C711" s="91">
        <f>IF(B711&gt;0,IF('Deal maths'!C711="Local authority","Local authorities",LOWER(TRIM('Deal maths'!B711))),"")</f>
        <v/>
      </c>
      <c r="D711" s="91">
        <f>IF(C711="","",IF(COUNTIF($C$4:C710,C711)=0,SUMIF($C$4:$C$3997,C711,$B$4:$B$3997)-ROW()/1000000,""))</f>
        <v/>
      </c>
      <c r="E711" s="91">
        <f>IF(AND(N('Deal maths'!F711)&gt;AsAt,N('Deal maths'!E711)&lt;=AsAt,IF(N('Deal maths'!H711)&gt;0,N('Deal maths'!H711),N('Deal maths'!D711))&gt;0),N('Deal maths'!F711)+ROW()/1000000,"")</f>
        <v/>
      </c>
    </row>
    <row r="712">
      <c r="A712" s="91" t="n"/>
      <c r="B712" s="111">
        <f>IF(AND(N('Deal maths'!F712)&gt;AsAt,N('Deal maths'!E712)&lt;=AsAt),IF(N('Deal maths'!H712)&gt;0,N('Deal maths'!H712),N('Deal maths'!D712)),0)</f>
        <v/>
      </c>
      <c r="C712" s="91">
        <f>IF(B712&gt;0,IF('Deal maths'!C712="Local authority","Local authorities",LOWER(TRIM('Deal maths'!B712))),"")</f>
        <v/>
      </c>
      <c r="D712" s="91">
        <f>IF(C712="","",IF(COUNTIF($C$4:C711,C712)=0,SUMIF($C$4:$C$3997,C712,$B$4:$B$3997)-ROW()/1000000,""))</f>
        <v/>
      </c>
      <c r="E712" s="91">
        <f>IF(AND(N('Deal maths'!F712)&gt;AsAt,N('Deal maths'!E712)&lt;=AsAt,IF(N('Deal maths'!H712)&gt;0,N('Deal maths'!H712),N('Deal maths'!D712))&gt;0),N('Deal maths'!F712)+ROW()/1000000,"")</f>
        <v/>
      </c>
    </row>
    <row r="713">
      <c r="A713" s="91" t="n"/>
      <c r="B713" s="111">
        <f>IF(AND(N('Deal maths'!F713)&gt;AsAt,N('Deal maths'!E713)&lt;=AsAt),IF(N('Deal maths'!H713)&gt;0,N('Deal maths'!H713),N('Deal maths'!D713)),0)</f>
        <v/>
      </c>
      <c r="C713" s="91">
        <f>IF(B713&gt;0,IF('Deal maths'!C713="Local authority","Local authorities",LOWER(TRIM('Deal maths'!B713))),"")</f>
        <v/>
      </c>
      <c r="D713" s="91">
        <f>IF(C713="","",IF(COUNTIF($C$4:C712,C713)=0,SUMIF($C$4:$C$3997,C713,$B$4:$B$3997)-ROW()/1000000,""))</f>
        <v/>
      </c>
      <c r="E713" s="91">
        <f>IF(AND(N('Deal maths'!F713)&gt;AsAt,N('Deal maths'!E713)&lt;=AsAt,IF(N('Deal maths'!H713)&gt;0,N('Deal maths'!H713),N('Deal maths'!D713))&gt;0),N('Deal maths'!F713)+ROW()/1000000,"")</f>
        <v/>
      </c>
    </row>
    <row r="714">
      <c r="A714" s="91" t="n"/>
      <c r="B714" s="111">
        <f>IF(AND(N('Deal maths'!F714)&gt;AsAt,N('Deal maths'!E714)&lt;=AsAt),IF(N('Deal maths'!H714)&gt;0,N('Deal maths'!H714),N('Deal maths'!D714)),0)</f>
        <v/>
      </c>
      <c r="C714" s="91">
        <f>IF(B714&gt;0,IF('Deal maths'!C714="Local authority","Local authorities",LOWER(TRIM('Deal maths'!B714))),"")</f>
        <v/>
      </c>
      <c r="D714" s="91">
        <f>IF(C714="","",IF(COUNTIF($C$4:C713,C714)=0,SUMIF($C$4:$C$3997,C714,$B$4:$B$3997)-ROW()/1000000,""))</f>
        <v/>
      </c>
      <c r="E714" s="91">
        <f>IF(AND(N('Deal maths'!F714)&gt;AsAt,N('Deal maths'!E714)&lt;=AsAt,IF(N('Deal maths'!H714)&gt;0,N('Deal maths'!H714),N('Deal maths'!D714))&gt;0),N('Deal maths'!F714)+ROW()/1000000,"")</f>
        <v/>
      </c>
    </row>
    <row r="715">
      <c r="A715" s="91" t="n"/>
      <c r="B715" s="111">
        <f>IF(AND(N('Deal maths'!F715)&gt;AsAt,N('Deal maths'!E715)&lt;=AsAt),IF(N('Deal maths'!H715)&gt;0,N('Deal maths'!H715),N('Deal maths'!D715)),0)</f>
        <v/>
      </c>
      <c r="C715" s="91">
        <f>IF(B715&gt;0,IF('Deal maths'!C715="Local authority","Local authorities",LOWER(TRIM('Deal maths'!B715))),"")</f>
        <v/>
      </c>
      <c r="D715" s="91">
        <f>IF(C715="","",IF(COUNTIF($C$4:C714,C715)=0,SUMIF($C$4:$C$3997,C715,$B$4:$B$3997)-ROW()/1000000,""))</f>
        <v/>
      </c>
      <c r="E715" s="91">
        <f>IF(AND(N('Deal maths'!F715)&gt;AsAt,N('Deal maths'!E715)&lt;=AsAt,IF(N('Deal maths'!H715)&gt;0,N('Deal maths'!H715),N('Deal maths'!D715))&gt;0),N('Deal maths'!F715)+ROW()/1000000,"")</f>
        <v/>
      </c>
    </row>
    <row r="716">
      <c r="A716" s="91" t="n"/>
      <c r="B716" s="111">
        <f>IF(AND(N('Deal maths'!F716)&gt;AsAt,N('Deal maths'!E716)&lt;=AsAt),IF(N('Deal maths'!H716)&gt;0,N('Deal maths'!H716),N('Deal maths'!D716)),0)</f>
        <v/>
      </c>
      <c r="C716" s="91">
        <f>IF(B716&gt;0,IF('Deal maths'!C716="Local authority","Local authorities",LOWER(TRIM('Deal maths'!B716))),"")</f>
        <v/>
      </c>
      <c r="D716" s="91">
        <f>IF(C716="","",IF(COUNTIF($C$4:C715,C716)=0,SUMIF($C$4:$C$3997,C716,$B$4:$B$3997)-ROW()/1000000,""))</f>
        <v/>
      </c>
      <c r="E716" s="91">
        <f>IF(AND(N('Deal maths'!F716)&gt;AsAt,N('Deal maths'!E716)&lt;=AsAt,IF(N('Deal maths'!H716)&gt;0,N('Deal maths'!H716),N('Deal maths'!D716))&gt;0),N('Deal maths'!F716)+ROW()/1000000,"")</f>
        <v/>
      </c>
    </row>
    <row r="717">
      <c r="A717" s="91" t="n"/>
      <c r="B717" s="111">
        <f>IF(AND(N('Deal maths'!F717)&gt;AsAt,N('Deal maths'!E717)&lt;=AsAt),IF(N('Deal maths'!H717)&gt;0,N('Deal maths'!H717),N('Deal maths'!D717)),0)</f>
        <v/>
      </c>
      <c r="C717" s="91">
        <f>IF(B717&gt;0,IF('Deal maths'!C717="Local authority","Local authorities",LOWER(TRIM('Deal maths'!B717))),"")</f>
        <v/>
      </c>
      <c r="D717" s="91">
        <f>IF(C717="","",IF(COUNTIF($C$4:C716,C717)=0,SUMIF($C$4:$C$3997,C717,$B$4:$B$3997)-ROW()/1000000,""))</f>
        <v/>
      </c>
      <c r="E717" s="91">
        <f>IF(AND(N('Deal maths'!F717)&gt;AsAt,N('Deal maths'!E717)&lt;=AsAt,IF(N('Deal maths'!H717)&gt;0,N('Deal maths'!H717),N('Deal maths'!D717))&gt;0),N('Deal maths'!F717)+ROW()/1000000,"")</f>
        <v/>
      </c>
    </row>
    <row r="718">
      <c r="A718" s="91" t="n"/>
      <c r="B718" s="111">
        <f>IF(AND(N('Deal maths'!F718)&gt;AsAt,N('Deal maths'!E718)&lt;=AsAt),IF(N('Deal maths'!H718)&gt;0,N('Deal maths'!H718),N('Deal maths'!D718)),0)</f>
        <v/>
      </c>
      <c r="C718" s="91">
        <f>IF(B718&gt;0,IF('Deal maths'!C718="Local authority","Local authorities",LOWER(TRIM('Deal maths'!B718))),"")</f>
        <v/>
      </c>
      <c r="D718" s="91">
        <f>IF(C718="","",IF(COUNTIF($C$4:C717,C718)=0,SUMIF($C$4:$C$3997,C718,$B$4:$B$3997)-ROW()/1000000,""))</f>
        <v/>
      </c>
      <c r="E718" s="91">
        <f>IF(AND(N('Deal maths'!F718)&gt;AsAt,N('Deal maths'!E718)&lt;=AsAt,IF(N('Deal maths'!H718)&gt;0,N('Deal maths'!H718),N('Deal maths'!D718))&gt;0),N('Deal maths'!F718)+ROW()/1000000,"")</f>
        <v/>
      </c>
    </row>
    <row r="719">
      <c r="A719" s="91" t="n"/>
      <c r="B719" s="111">
        <f>IF(AND(N('Deal maths'!F719)&gt;AsAt,N('Deal maths'!E719)&lt;=AsAt),IF(N('Deal maths'!H719)&gt;0,N('Deal maths'!H719),N('Deal maths'!D719)),0)</f>
        <v/>
      </c>
      <c r="C719" s="91">
        <f>IF(B719&gt;0,IF('Deal maths'!C719="Local authority","Local authorities",LOWER(TRIM('Deal maths'!B719))),"")</f>
        <v/>
      </c>
      <c r="D719" s="91">
        <f>IF(C719="","",IF(COUNTIF($C$4:C718,C719)=0,SUMIF($C$4:$C$3997,C719,$B$4:$B$3997)-ROW()/1000000,""))</f>
        <v/>
      </c>
      <c r="E719" s="91">
        <f>IF(AND(N('Deal maths'!F719)&gt;AsAt,N('Deal maths'!E719)&lt;=AsAt,IF(N('Deal maths'!H719)&gt;0,N('Deal maths'!H719),N('Deal maths'!D719))&gt;0),N('Deal maths'!F719)+ROW()/1000000,"")</f>
        <v/>
      </c>
    </row>
    <row r="720">
      <c r="A720" s="91" t="n"/>
      <c r="B720" s="111">
        <f>IF(AND(N('Deal maths'!F720)&gt;AsAt,N('Deal maths'!E720)&lt;=AsAt),IF(N('Deal maths'!H720)&gt;0,N('Deal maths'!H720),N('Deal maths'!D720)),0)</f>
        <v/>
      </c>
      <c r="C720" s="91">
        <f>IF(B720&gt;0,IF('Deal maths'!C720="Local authority","Local authorities",LOWER(TRIM('Deal maths'!B720))),"")</f>
        <v/>
      </c>
      <c r="D720" s="91">
        <f>IF(C720="","",IF(COUNTIF($C$4:C719,C720)=0,SUMIF($C$4:$C$3997,C720,$B$4:$B$3997)-ROW()/1000000,""))</f>
        <v/>
      </c>
      <c r="E720" s="91">
        <f>IF(AND(N('Deal maths'!F720)&gt;AsAt,N('Deal maths'!E720)&lt;=AsAt,IF(N('Deal maths'!H720)&gt;0,N('Deal maths'!H720),N('Deal maths'!D720))&gt;0),N('Deal maths'!F720)+ROW()/1000000,"")</f>
        <v/>
      </c>
    </row>
    <row r="721">
      <c r="A721" s="91" t="n"/>
      <c r="B721" s="111">
        <f>IF(AND(N('Deal maths'!F721)&gt;AsAt,N('Deal maths'!E721)&lt;=AsAt),IF(N('Deal maths'!H721)&gt;0,N('Deal maths'!H721),N('Deal maths'!D721)),0)</f>
        <v/>
      </c>
      <c r="C721" s="91">
        <f>IF(B721&gt;0,IF('Deal maths'!C721="Local authority","Local authorities",LOWER(TRIM('Deal maths'!B721))),"")</f>
        <v/>
      </c>
      <c r="D721" s="91">
        <f>IF(C721="","",IF(COUNTIF($C$4:C720,C721)=0,SUMIF($C$4:$C$3997,C721,$B$4:$B$3997)-ROW()/1000000,""))</f>
        <v/>
      </c>
      <c r="E721" s="91">
        <f>IF(AND(N('Deal maths'!F721)&gt;AsAt,N('Deal maths'!E721)&lt;=AsAt,IF(N('Deal maths'!H721)&gt;0,N('Deal maths'!H721),N('Deal maths'!D721))&gt;0),N('Deal maths'!F721)+ROW()/1000000,"")</f>
        <v/>
      </c>
    </row>
    <row r="722">
      <c r="A722" s="91" t="n"/>
      <c r="B722" s="111">
        <f>IF(AND(N('Deal maths'!F722)&gt;AsAt,N('Deal maths'!E722)&lt;=AsAt),IF(N('Deal maths'!H722)&gt;0,N('Deal maths'!H722),N('Deal maths'!D722)),0)</f>
        <v/>
      </c>
      <c r="C722" s="91">
        <f>IF(B722&gt;0,IF('Deal maths'!C722="Local authority","Local authorities",LOWER(TRIM('Deal maths'!B722))),"")</f>
        <v/>
      </c>
      <c r="D722" s="91">
        <f>IF(C722="","",IF(COUNTIF($C$4:C721,C722)=0,SUMIF($C$4:$C$3997,C722,$B$4:$B$3997)-ROW()/1000000,""))</f>
        <v/>
      </c>
      <c r="E722" s="91">
        <f>IF(AND(N('Deal maths'!F722)&gt;AsAt,N('Deal maths'!E722)&lt;=AsAt,IF(N('Deal maths'!H722)&gt;0,N('Deal maths'!H722),N('Deal maths'!D722))&gt;0),N('Deal maths'!F722)+ROW()/1000000,"")</f>
        <v/>
      </c>
    </row>
    <row r="723">
      <c r="A723" s="91" t="n"/>
      <c r="B723" s="111">
        <f>IF(AND(N('Deal maths'!F723)&gt;AsAt,N('Deal maths'!E723)&lt;=AsAt),IF(N('Deal maths'!H723)&gt;0,N('Deal maths'!H723),N('Deal maths'!D723)),0)</f>
        <v/>
      </c>
      <c r="C723" s="91">
        <f>IF(B723&gt;0,IF('Deal maths'!C723="Local authority","Local authorities",LOWER(TRIM('Deal maths'!B723))),"")</f>
        <v/>
      </c>
      <c r="D723" s="91">
        <f>IF(C723="","",IF(COUNTIF($C$4:C722,C723)=0,SUMIF($C$4:$C$3997,C723,$B$4:$B$3997)-ROW()/1000000,""))</f>
        <v/>
      </c>
      <c r="E723" s="91">
        <f>IF(AND(N('Deal maths'!F723)&gt;AsAt,N('Deal maths'!E723)&lt;=AsAt,IF(N('Deal maths'!H723)&gt;0,N('Deal maths'!H723),N('Deal maths'!D723))&gt;0),N('Deal maths'!F723)+ROW()/1000000,"")</f>
        <v/>
      </c>
    </row>
    <row r="724">
      <c r="A724" s="91" t="n"/>
      <c r="B724" s="111">
        <f>IF(AND(N('Deal maths'!F724)&gt;AsAt,N('Deal maths'!E724)&lt;=AsAt),IF(N('Deal maths'!H724)&gt;0,N('Deal maths'!H724),N('Deal maths'!D724)),0)</f>
        <v/>
      </c>
      <c r="C724" s="91">
        <f>IF(B724&gt;0,IF('Deal maths'!C724="Local authority","Local authorities",LOWER(TRIM('Deal maths'!B724))),"")</f>
        <v/>
      </c>
      <c r="D724" s="91">
        <f>IF(C724="","",IF(COUNTIF($C$4:C723,C724)=0,SUMIF($C$4:$C$3997,C724,$B$4:$B$3997)-ROW()/1000000,""))</f>
        <v/>
      </c>
      <c r="E724" s="91">
        <f>IF(AND(N('Deal maths'!F724)&gt;AsAt,N('Deal maths'!E724)&lt;=AsAt,IF(N('Deal maths'!H724)&gt;0,N('Deal maths'!H724),N('Deal maths'!D724))&gt;0),N('Deal maths'!F724)+ROW()/1000000,"")</f>
        <v/>
      </c>
    </row>
    <row r="725">
      <c r="A725" s="91" t="n"/>
      <c r="B725" s="111">
        <f>IF(AND(N('Deal maths'!F725)&gt;AsAt,N('Deal maths'!E725)&lt;=AsAt),IF(N('Deal maths'!H725)&gt;0,N('Deal maths'!H725),N('Deal maths'!D725)),0)</f>
        <v/>
      </c>
      <c r="C725" s="91">
        <f>IF(B725&gt;0,IF('Deal maths'!C725="Local authority","Local authorities",LOWER(TRIM('Deal maths'!B725))),"")</f>
        <v/>
      </c>
      <c r="D725" s="91">
        <f>IF(C725="","",IF(COUNTIF($C$4:C724,C725)=0,SUMIF($C$4:$C$3997,C725,$B$4:$B$3997)-ROW()/1000000,""))</f>
        <v/>
      </c>
      <c r="E725" s="91">
        <f>IF(AND(N('Deal maths'!F725)&gt;AsAt,N('Deal maths'!E725)&lt;=AsAt,IF(N('Deal maths'!H725)&gt;0,N('Deal maths'!H725),N('Deal maths'!D725))&gt;0),N('Deal maths'!F725)+ROW()/1000000,"")</f>
        <v/>
      </c>
    </row>
    <row r="726">
      <c r="A726" s="91" t="n"/>
      <c r="B726" s="111">
        <f>IF(AND(N('Deal maths'!F726)&gt;AsAt,N('Deal maths'!E726)&lt;=AsAt),IF(N('Deal maths'!H726)&gt;0,N('Deal maths'!H726),N('Deal maths'!D726)),0)</f>
        <v/>
      </c>
      <c r="C726" s="91">
        <f>IF(B726&gt;0,IF('Deal maths'!C726="Local authority","Local authorities",LOWER(TRIM('Deal maths'!B726))),"")</f>
        <v/>
      </c>
      <c r="D726" s="91">
        <f>IF(C726="","",IF(COUNTIF($C$4:C725,C726)=0,SUMIF($C$4:$C$3997,C726,$B$4:$B$3997)-ROW()/1000000,""))</f>
        <v/>
      </c>
      <c r="E726" s="91">
        <f>IF(AND(N('Deal maths'!F726)&gt;AsAt,N('Deal maths'!E726)&lt;=AsAt,IF(N('Deal maths'!H726)&gt;0,N('Deal maths'!H726),N('Deal maths'!D726))&gt;0),N('Deal maths'!F726)+ROW()/1000000,"")</f>
        <v/>
      </c>
    </row>
    <row r="727">
      <c r="A727" s="91" t="n"/>
      <c r="B727" s="111">
        <f>IF(AND(N('Deal maths'!F727)&gt;AsAt,N('Deal maths'!E727)&lt;=AsAt),IF(N('Deal maths'!H727)&gt;0,N('Deal maths'!H727),N('Deal maths'!D727)),0)</f>
        <v/>
      </c>
      <c r="C727" s="91">
        <f>IF(B727&gt;0,IF('Deal maths'!C727="Local authority","Local authorities",LOWER(TRIM('Deal maths'!B727))),"")</f>
        <v/>
      </c>
      <c r="D727" s="91">
        <f>IF(C727="","",IF(COUNTIF($C$4:C726,C727)=0,SUMIF($C$4:$C$3997,C727,$B$4:$B$3997)-ROW()/1000000,""))</f>
        <v/>
      </c>
      <c r="E727" s="91">
        <f>IF(AND(N('Deal maths'!F727)&gt;AsAt,N('Deal maths'!E727)&lt;=AsAt,IF(N('Deal maths'!H727)&gt;0,N('Deal maths'!H727),N('Deal maths'!D727))&gt;0),N('Deal maths'!F727)+ROW()/1000000,"")</f>
        <v/>
      </c>
    </row>
    <row r="728">
      <c r="A728" s="91" t="n"/>
      <c r="B728" s="111">
        <f>IF(AND(N('Deal maths'!F728)&gt;AsAt,N('Deal maths'!E728)&lt;=AsAt),IF(N('Deal maths'!H728)&gt;0,N('Deal maths'!H728),N('Deal maths'!D728)),0)</f>
        <v/>
      </c>
      <c r="C728" s="91">
        <f>IF(B728&gt;0,IF('Deal maths'!C728="Local authority","Local authorities",LOWER(TRIM('Deal maths'!B728))),"")</f>
        <v/>
      </c>
      <c r="D728" s="91">
        <f>IF(C728="","",IF(COUNTIF($C$4:C727,C728)=0,SUMIF($C$4:$C$3997,C728,$B$4:$B$3997)-ROW()/1000000,""))</f>
        <v/>
      </c>
      <c r="E728" s="91">
        <f>IF(AND(N('Deal maths'!F728)&gt;AsAt,N('Deal maths'!E728)&lt;=AsAt,IF(N('Deal maths'!H728)&gt;0,N('Deal maths'!H728),N('Deal maths'!D728))&gt;0),N('Deal maths'!F728)+ROW()/1000000,"")</f>
        <v/>
      </c>
    </row>
    <row r="729">
      <c r="A729" s="91" t="n"/>
      <c r="B729" s="111">
        <f>IF(AND(N('Deal maths'!F729)&gt;AsAt,N('Deal maths'!E729)&lt;=AsAt),IF(N('Deal maths'!H729)&gt;0,N('Deal maths'!H729),N('Deal maths'!D729)),0)</f>
        <v/>
      </c>
      <c r="C729" s="91">
        <f>IF(B729&gt;0,IF('Deal maths'!C729="Local authority","Local authorities",LOWER(TRIM('Deal maths'!B729))),"")</f>
        <v/>
      </c>
      <c r="D729" s="91">
        <f>IF(C729="","",IF(COUNTIF($C$4:C728,C729)=0,SUMIF($C$4:$C$3997,C729,$B$4:$B$3997)-ROW()/1000000,""))</f>
        <v/>
      </c>
      <c r="E729" s="91">
        <f>IF(AND(N('Deal maths'!F729)&gt;AsAt,N('Deal maths'!E729)&lt;=AsAt,IF(N('Deal maths'!H729)&gt;0,N('Deal maths'!H729),N('Deal maths'!D729))&gt;0),N('Deal maths'!F729)+ROW()/1000000,"")</f>
        <v/>
      </c>
    </row>
    <row r="730">
      <c r="A730" s="91" t="n"/>
      <c r="B730" s="111">
        <f>IF(AND(N('Deal maths'!F730)&gt;AsAt,N('Deal maths'!E730)&lt;=AsAt),IF(N('Deal maths'!H730)&gt;0,N('Deal maths'!H730),N('Deal maths'!D730)),0)</f>
        <v/>
      </c>
      <c r="C730" s="91">
        <f>IF(B730&gt;0,IF('Deal maths'!C730="Local authority","Local authorities",LOWER(TRIM('Deal maths'!B730))),"")</f>
        <v/>
      </c>
      <c r="D730" s="91">
        <f>IF(C730="","",IF(COUNTIF($C$4:C729,C730)=0,SUMIF($C$4:$C$3997,C730,$B$4:$B$3997)-ROW()/1000000,""))</f>
        <v/>
      </c>
      <c r="E730" s="91">
        <f>IF(AND(N('Deal maths'!F730)&gt;AsAt,N('Deal maths'!E730)&lt;=AsAt,IF(N('Deal maths'!H730)&gt;0,N('Deal maths'!H730),N('Deal maths'!D730))&gt;0),N('Deal maths'!F730)+ROW()/1000000,"")</f>
        <v/>
      </c>
    </row>
    <row r="731">
      <c r="A731" s="91" t="n"/>
      <c r="B731" s="111">
        <f>IF(AND(N('Deal maths'!F731)&gt;AsAt,N('Deal maths'!E731)&lt;=AsAt),IF(N('Deal maths'!H731)&gt;0,N('Deal maths'!H731),N('Deal maths'!D731)),0)</f>
        <v/>
      </c>
      <c r="C731" s="91">
        <f>IF(B731&gt;0,IF('Deal maths'!C731="Local authority","Local authorities",LOWER(TRIM('Deal maths'!B731))),"")</f>
        <v/>
      </c>
      <c r="D731" s="91">
        <f>IF(C731="","",IF(COUNTIF($C$4:C730,C731)=0,SUMIF($C$4:$C$3997,C731,$B$4:$B$3997)-ROW()/1000000,""))</f>
        <v/>
      </c>
      <c r="E731" s="91">
        <f>IF(AND(N('Deal maths'!F731)&gt;AsAt,N('Deal maths'!E731)&lt;=AsAt,IF(N('Deal maths'!H731)&gt;0,N('Deal maths'!H731),N('Deal maths'!D731))&gt;0),N('Deal maths'!F731)+ROW()/1000000,"")</f>
        <v/>
      </c>
    </row>
    <row r="732">
      <c r="A732" s="91" t="n"/>
      <c r="B732" s="111">
        <f>IF(AND(N('Deal maths'!F732)&gt;AsAt,N('Deal maths'!E732)&lt;=AsAt),IF(N('Deal maths'!H732)&gt;0,N('Deal maths'!H732),N('Deal maths'!D732)),0)</f>
        <v/>
      </c>
      <c r="C732" s="91">
        <f>IF(B732&gt;0,IF('Deal maths'!C732="Local authority","Local authorities",LOWER(TRIM('Deal maths'!B732))),"")</f>
        <v/>
      </c>
      <c r="D732" s="91">
        <f>IF(C732="","",IF(COUNTIF($C$4:C731,C732)=0,SUMIF($C$4:$C$3997,C732,$B$4:$B$3997)-ROW()/1000000,""))</f>
        <v/>
      </c>
      <c r="E732" s="91">
        <f>IF(AND(N('Deal maths'!F732)&gt;AsAt,N('Deal maths'!E732)&lt;=AsAt,IF(N('Deal maths'!H732)&gt;0,N('Deal maths'!H732),N('Deal maths'!D732))&gt;0),N('Deal maths'!F732)+ROW()/1000000,"")</f>
        <v/>
      </c>
    </row>
    <row r="733">
      <c r="A733" s="91" t="n"/>
      <c r="B733" s="111">
        <f>IF(AND(N('Deal maths'!F733)&gt;AsAt,N('Deal maths'!E733)&lt;=AsAt),IF(N('Deal maths'!H733)&gt;0,N('Deal maths'!H733),N('Deal maths'!D733)),0)</f>
        <v/>
      </c>
      <c r="C733" s="91">
        <f>IF(B733&gt;0,IF('Deal maths'!C733="Local authority","Local authorities",LOWER(TRIM('Deal maths'!B733))),"")</f>
        <v/>
      </c>
      <c r="D733" s="91">
        <f>IF(C733="","",IF(COUNTIF($C$4:C732,C733)=0,SUMIF($C$4:$C$3997,C733,$B$4:$B$3997)-ROW()/1000000,""))</f>
        <v/>
      </c>
      <c r="E733" s="91">
        <f>IF(AND(N('Deal maths'!F733)&gt;AsAt,N('Deal maths'!E733)&lt;=AsAt,IF(N('Deal maths'!H733)&gt;0,N('Deal maths'!H733),N('Deal maths'!D733))&gt;0),N('Deal maths'!F733)+ROW()/1000000,"")</f>
        <v/>
      </c>
    </row>
    <row r="734">
      <c r="A734" s="91" t="n"/>
      <c r="B734" s="111">
        <f>IF(AND(N('Deal maths'!F734)&gt;AsAt,N('Deal maths'!E734)&lt;=AsAt),IF(N('Deal maths'!H734)&gt;0,N('Deal maths'!H734),N('Deal maths'!D734)),0)</f>
        <v/>
      </c>
      <c r="C734" s="91">
        <f>IF(B734&gt;0,IF('Deal maths'!C734="Local authority","Local authorities",LOWER(TRIM('Deal maths'!B734))),"")</f>
        <v/>
      </c>
      <c r="D734" s="91">
        <f>IF(C734="","",IF(COUNTIF($C$4:C733,C734)=0,SUMIF($C$4:$C$3997,C734,$B$4:$B$3997)-ROW()/1000000,""))</f>
        <v/>
      </c>
      <c r="E734" s="91">
        <f>IF(AND(N('Deal maths'!F734)&gt;AsAt,N('Deal maths'!E734)&lt;=AsAt,IF(N('Deal maths'!H734)&gt;0,N('Deal maths'!H734),N('Deal maths'!D734))&gt;0),N('Deal maths'!F734)+ROW()/1000000,"")</f>
        <v/>
      </c>
    </row>
    <row r="735">
      <c r="A735" s="91" t="n"/>
      <c r="B735" s="111">
        <f>IF(AND(N('Deal maths'!F735)&gt;AsAt,N('Deal maths'!E735)&lt;=AsAt),IF(N('Deal maths'!H735)&gt;0,N('Deal maths'!H735),N('Deal maths'!D735)),0)</f>
        <v/>
      </c>
      <c r="C735" s="91">
        <f>IF(B735&gt;0,IF('Deal maths'!C735="Local authority","Local authorities",LOWER(TRIM('Deal maths'!B735))),"")</f>
        <v/>
      </c>
      <c r="D735" s="91">
        <f>IF(C735="","",IF(COUNTIF($C$4:C734,C735)=0,SUMIF($C$4:$C$3997,C735,$B$4:$B$3997)-ROW()/1000000,""))</f>
        <v/>
      </c>
      <c r="E735" s="91">
        <f>IF(AND(N('Deal maths'!F735)&gt;AsAt,N('Deal maths'!E735)&lt;=AsAt,IF(N('Deal maths'!H735)&gt;0,N('Deal maths'!H735),N('Deal maths'!D735))&gt;0),N('Deal maths'!F735)+ROW()/1000000,"")</f>
        <v/>
      </c>
    </row>
    <row r="736">
      <c r="A736" s="91" t="n"/>
      <c r="B736" s="111">
        <f>IF(AND(N('Deal maths'!F736)&gt;AsAt,N('Deal maths'!E736)&lt;=AsAt),IF(N('Deal maths'!H736)&gt;0,N('Deal maths'!H736),N('Deal maths'!D736)),0)</f>
        <v/>
      </c>
      <c r="C736" s="91">
        <f>IF(B736&gt;0,IF('Deal maths'!C736="Local authority","Local authorities",LOWER(TRIM('Deal maths'!B736))),"")</f>
        <v/>
      </c>
      <c r="D736" s="91">
        <f>IF(C736="","",IF(COUNTIF($C$4:C735,C736)=0,SUMIF($C$4:$C$3997,C736,$B$4:$B$3997)-ROW()/1000000,""))</f>
        <v/>
      </c>
      <c r="E736" s="91">
        <f>IF(AND(N('Deal maths'!F736)&gt;AsAt,N('Deal maths'!E736)&lt;=AsAt,IF(N('Deal maths'!H736)&gt;0,N('Deal maths'!H736),N('Deal maths'!D736))&gt;0),N('Deal maths'!F736)+ROW()/1000000,"")</f>
        <v/>
      </c>
    </row>
    <row r="737">
      <c r="A737" s="91" t="n"/>
      <c r="B737" s="111">
        <f>IF(AND(N('Deal maths'!F737)&gt;AsAt,N('Deal maths'!E737)&lt;=AsAt),IF(N('Deal maths'!H737)&gt;0,N('Deal maths'!H737),N('Deal maths'!D737)),0)</f>
        <v/>
      </c>
      <c r="C737" s="91">
        <f>IF(B737&gt;0,IF('Deal maths'!C737="Local authority","Local authorities",LOWER(TRIM('Deal maths'!B737))),"")</f>
        <v/>
      </c>
      <c r="D737" s="91">
        <f>IF(C737="","",IF(COUNTIF($C$4:C736,C737)=0,SUMIF($C$4:$C$3997,C737,$B$4:$B$3997)-ROW()/1000000,""))</f>
        <v/>
      </c>
      <c r="E737" s="91">
        <f>IF(AND(N('Deal maths'!F737)&gt;AsAt,N('Deal maths'!E737)&lt;=AsAt,IF(N('Deal maths'!H737)&gt;0,N('Deal maths'!H737),N('Deal maths'!D737))&gt;0),N('Deal maths'!F737)+ROW()/1000000,"")</f>
        <v/>
      </c>
    </row>
    <row r="738">
      <c r="A738" s="91" t="n"/>
      <c r="B738" s="111">
        <f>IF(AND(N('Deal maths'!F738)&gt;AsAt,N('Deal maths'!E738)&lt;=AsAt),IF(N('Deal maths'!H738)&gt;0,N('Deal maths'!H738),N('Deal maths'!D738)),0)</f>
        <v/>
      </c>
      <c r="C738" s="91">
        <f>IF(B738&gt;0,IF('Deal maths'!C738="Local authority","Local authorities",LOWER(TRIM('Deal maths'!B738))),"")</f>
        <v/>
      </c>
      <c r="D738" s="91">
        <f>IF(C738="","",IF(COUNTIF($C$4:C737,C738)=0,SUMIF($C$4:$C$3997,C738,$B$4:$B$3997)-ROW()/1000000,""))</f>
        <v/>
      </c>
      <c r="E738" s="91">
        <f>IF(AND(N('Deal maths'!F738)&gt;AsAt,N('Deal maths'!E738)&lt;=AsAt,IF(N('Deal maths'!H738)&gt;0,N('Deal maths'!H738),N('Deal maths'!D738))&gt;0),N('Deal maths'!F738)+ROW()/1000000,"")</f>
        <v/>
      </c>
    </row>
    <row r="739">
      <c r="A739" s="91" t="n"/>
      <c r="B739" s="111">
        <f>IF(AND(N('Deal maths'!F739)&gt;AsAt,N('Deal maths'!E739)&lt;=AsAt),IF(N('Deal maths'!H739)&gt;0,N('Deal maths'!H739),N('Deal maths'!D739)),0)</f>
        <v/>
      </c>
      <c r="C739" s="91">
        <f>IF(B739&gt;0,IF('Deal maths'!C739="Local authority","Local authorities",LOWER(TRIM('Deal maths'!B739))),"")</f>
        <v/>
      </c>
      <c r="D739" s="91">
        <f>IF(C739="","",IF(COUNTIF($C$4:C738,C739)=0,SUMIF($C$4:$C$3997,C739,$B$4:$B$3997)-ROW()/1000000,""))</f>
        <v/>
      </c>
      <c r="E739" s="91">
        <f>IF(AND(N('Deal maths'!F739)&gt;AsAt,N('Deal maths'!E739)&lt;=AsAt,IF(N('Deal maths'!H739)&gt;0,N('Deal maths'!H739),N('Deal maths'!D739))&gt;0),N('Deal maths'!F739)+ROW()/1000000,"")</f>
        <v/>
      </c>
    </row>
    <row r="740">
      <c r="A740" s="91" t="n"/>
      <c r="B740" s="111">
        <f>IF(AND(N('Deal maths'!F740)&gt;AsAt,N('Deal maths'!E740)&lt;=AsAt),IF(N('Deal maths'!H740)&gt;0,N('Deal maths'!H740),N('Deal maths'!D740)),0)</f>
        <v/>
      </c>
      <c r="C740" s="91">
        <f>IF(B740&gt;0,IF('Deal maths'!C740="Local authority","Local authorities",LOWER(TRIM('Deal maths'!B740))),"")</f>
        <v/>
      </c>
      <c r="D740" s="91">
        <f>IF(C740="","",IF(COUNTIF($C$4:C739,C740)=0,SUMIF($C$4:$C$3997,C740,$B$4:$B$3997)-ROW()/1000000,""))</f>
        <v/>
      </c>
      <c r="E740" s="91">
        <f>IF(AND(N('Deal maths'!F740)&gt;AsAt,N('Deal maths'!E740)&lt;=AsAt,IF(N('Deal maths'!H740)&gt;0,N('Deal maths'!H740),N('Deal maths'!D740))&gt;0),N('Deal maths'!F740)+ROW()/1000000,"")</f>
        <v/>
      </c>
    </row>
    <row r="741">
      <c r="A741" s="91" t="n"/>
      <c r="B741" s="111">
        <f>IF(AND(N('Deal maths'!F741)&gt;AsAt,N('Deal maths'!E741)&lt;=AsAt),IF(N('Deal maths'!H741)&gt;0,N('Deal maths'!H741),N('Deal maths'!D741)),0)</f>
        <v/>
      </c>
      <c r="C741" s="91">
        <f>IF(B741&gt;0,IF('Deal maths'!C741="Local authority","Local authorities",LOWER(TRIM('Deal maths'!B741))),"")</f>
        <v/>
      </c>
      <c r="D741" s="91">
        <f>IF(C741="","",IF(COUNTIF($C$4:C740,C741)=0,SUMIF($C$4:$C$3997,C741,$B$4:$B$3997)-ROW()/1000000,""))</f>
        <v/>
      </c>
      <c r="E741" s="91">
        <f>IF(AND(N('Deal maths'!F741)&gt;AsAt,N('Deal maths'!E741)&lt;=AsAt,IF(N('Deal maths'!H741)&gt;0,N('Deal maths'!H741),N('Deal maths'!D741))&gt;0),N('Deal maths'!F741)+ROW()/1000000,"")</f>
        <v/>
      </c>
    </row>
    <row r="742">
      <c r="A742" s="91" t="n"/>
      <c r="B742" s="111">
        <f>IF(AND(N('Deal maths'!F742)&gt;AsAt,N('Deal maths'!E742)&lt;=AsAt),IF(N('Deal maths'!H742)&gt;0,N('Deal maths'!H742),N('Deal maths'!D742)),0)</f>
        <v/>
      </c>
      <c r="C742" s="91">
        <f>IF(B742&gt;0,IF('Deal maths'!C742="Local authority","Local authorities",LOWER(TRIM('Deal maths'!B742))),"")</f>
        <v/>
      </c>
      <c r="D742" s="91">
        <f>IF(C742="","",IF(COUNTIF($C$4:C741,C742)=0,SUMIF($C$4:$C$3997,C742,$B$4:$B$3997)-ROW()/1000000,""))</f>
        <v/>
      </c>
      <c r="E742" s="91">
        <f>IF(AND(N('Deal maths'!F742)&gt;AsAt,N('Deal maths'!E742)&lt;=AsAt,IF(N('Deal maths'!H742)&gt;0,N('Deal maths'!H742),N('Deal maths'!D742))&gt;0),N('Deal maths'!F742)+ROW()/1000000,"")</f>
        <v/>
      </c>
    </row>
    <row r="743">
      <c r="A743" s="91" t="n"/>
      <c r="B743" s="111">
        <f>IF(AND(N('Deal maths'!F743)&gt;AsAt,N('Deal maths'!E743)&lt;=AsAt),IF(N('Deal maths'!H743)&gt;0,N('Deal maths'!H743),N('Deal maths'!D743)),0)</f>
        <v/>
      </c>
      <c r="C743" s="91">
        <f>IF(B743&gt;0,IF('Deal maths'!C743="Local authority","Local authorities",LOWER(TRIM('Deal maths'!B743))),"")</f>
        <v/>
      </c>
      <c r="D743" s="91">
        <f>IF(C743="","",IF(COUNTIF($C$4:C742,C743)=0,SUMIF($C$4:$C$3997,C743,$B$4:$B$3997)-ROW()/1000000,""))</f>
        <v/>
      </c>
      <c r="E743" s="91">
        <f>IF(AND(N('Deal maths'!F743)&gt;AsAt,N('Deal maths'!E743)&lt;=AsAt,IF(N('Deal maths'!H743)&gt;0,N('Deal maths'!H743),N('Deal maths'!D743))&gt;0),N('Deal maths'!F743)+ROW()/1000000,"")</f>
        <v/>
      </c>
    </row>
    <row r="744">
      <c r="A744" s="91" t="n"/>
      <c r="B744" s="111">
        <f>IF(AND(N('Deal maths'!F744)&gt;AsAt,N('Deal maths'!E744)&lt;=AsAt),IF(N('Deal maths'!H744)&gt;0,N('Deal maths'!H744),N('Deal maths'!D744)),0)</f>
        <v/>
      </c>
      <c r="C744" s="91">
        <f>IF(B744&gt;0,IF('Deal maths'!C744="Local authority","Local authorities",LOWER(TRIM('Deal maths'!B744))),"")</f>
        <v/>
      </c>
      <c r="D744" s="91">
        <f>IF(C744="","",IF(COUNTIF($C$4:C743,C744)=0,SUMIF($C$4:$C$3997,C744,$B$4:$B$3997)-ROW()/1000000,""))</f>
        <v/>
      </c>
      <c r="E744" s="91">
        <f>IF(AND(N('Deal maths'!F744)&gt;AsAt,N('Deal maths'!E744)&lt;=AsAt,IF(N('Deal maths'!H744)&gt;0,N('Deal maths'!H744),N('Deal maths'!D744))&gt;0),N('Deal maths'!F744)+ROW()/1000000,"")</f>
        <v/>
      </c>
    </row>
    <row r="745">
      <c r="A745" s="91" t="n"/>
      <c r="B745" s="111">
        <f>IF(AND(N('Deal maths'!F745)&gt;AsAt,N('Deal maths'!E745)&lt;=AsAt),IF(N('Deal maths'!H745)&gt;0,N('Deal maths'!H745),N('Deal maths'!D745)),0)</f>
        <v/>
      </c>
      <c r="C745" s="91">
        <f>IF(B745&gt;0,IF('Deal maths'!C745="Local authority","Local authorities",LOWER(TRIM('Deal maths'!B745))),"")</f>
        <v/>
      </c>
      <c r="D745" s="91">
        <f>IF(C745="","",IF(COUNTIF($C$4:C744,C745)=0,SUMIF($C$4:$C$3997,C745,$B$4:$B$3997)-ROW()/1000000,""))</f>
        <v/>
      </c>
      <c r="E745" s="91">
        <f>IF(AND(N('Deal maths'!F745)&gt;AsAt,N('Deal maths'!E745)&lt;=AsAt,IF(N('Deal maths'!H745)&gt;0,N('Deal maths'!H745),N('Deal maths'!D745))&gt;0),N('Deal maths'!F745)+ROW()/1000000,"")</f>
        <v/>
      </c>
    </row>
    <row r="746">
      <c r="A746" s="91" t="n"/>
      <c r="B746" s="111">
        <f>IF(AND(N('Deal maths'!F746)&gt;AsAt,N('Deal maths'!E746)&lt;=AsAt),IF(N('Deal maths'!H746)&gt;0,N('Deal maths'!H746),N('Deal maths'!D746)),0)</f>
        <v/>
      </c>
      <c r="C746" s="91">
        <f>IF(B746&gt;0,IF('Deal maths'!C746="Local authority","Local authorities",LOWER(TRIM('Deal maths'!B746))),"")</f>
        <v/>
      </c>
      <c r="D746" s="91">
        <f>IF(C746="","",IF(COUNTIF($C$4:C745,C746)=0,SUMIF($C$4:$C$3997,C746,$B$4:$B$3997)-ROW()/1000000,""))</f>
        <v/>
      </c>
      <c r="E746" s="91">
        <f>IF(AND(N('Deal maths'!F746)&gt;AsAt,N('Deal maths'!E746)&lt;=AsAt,IF(N('Deal maths'!H746)&gt;0,N('Deal maths'!H746),N('Deal maths'!D746))&gt;0),N('Deal maths'!F746)+ROW()/1000000,"")</f>
        <v/>
      </c>
    </row>
    <row r="747">
      <c r="A747" s="91" t="n"/>
      <c r="B747" s="111">
        <f>IF(AND(N('Deal maths'!F747)&gt;AsAt,N('Deal maths'!E747)&lt;=AsAt),IF(N('Deal maths'!H747)&gt;0,N('Deal maths'!H747),N('Deal maths'!D747)),0)</f>
        <v/>
      </c>
      <c r="C747" s="91">
        <f>IF(B747&gt;0,IF('Deal maths'!C747="Local authority","Local authorities",LOWER(TRIM('Deal maths'!B747))),"")</f>
        <v/>
      </c>
      <c r="D747" s="91">
        <f>IF(C747="","",IF(COUNTIF($C$4:C746,C747)=0,SUMIF($C$4:$C$3997,C747,$B$4:$B$3997)-ROW()/1000000,""))</f>
        <v/>
      </c>
      <c r="E747" s="91">
        <f>IF(AND(N('Deal maths'!F747)&gt;AsAt,N('Deal maths'!E747)&lt;=AsAt,IF(N('Deal maths'!H747)&gt;0,N('Deal maths'!H747),N('Deal maths'!D747))&gt;0),N('Deal maths'!F747)+ROW()/1000000,"")</f>
        <v/>
      </c>
    </row>
    <row r="748">
      <c r="A748" s="91" t="n"/>
      <c r="B748" s="111">
        <f>IF(AND(N('Deal maths'!F748)&gt;AsAt,N('Deal maths'!E748)&lt;=AsAt),IF(N('Deal maths'!H748)&gt;0,N('Deal maths'!H748),N('Deal maths'!D748)),0)</f>
        <v/>
      </c>
      <c r="C748" s="91">
        <f>IF(B748&gt;0,IF('Deal maths'!C748="Local authority","Local authorities",LOWER(TRIM('Deal maths'!B748))),"")</f>
        <v/>
      </c>
      <c r="D748" s="91">
        <f>IF(C748="","",IF(COUNTIF($C$4:C747,C748)=0,SUMIF($C$4:$C$3997,C748,$B$4:$B$3997)-ROW()/1000000,""))</f>
        <v/>
      </c>
      <c r="E748" s="91">
        <f>IF(AND(N('Deal maths'!F748)&gt;AsAt,N('Deal maths'!E748)&lt;=AsAt,IF(N('Deal maths'!H748)&gt;0,N('Deal maths'!H748),N('Deal maths'!D748))&gt;0),N('Deal maths'!F748)+ROW()/1000000,"")</f>
        <v/>
      </c>
    </row>
    <row r="749">
      <c r="A749" s="91" t="n"/>
      <c r="B749" s="111">
        <f>IF(AND(N('Deal maths'!F749)&gt;AsAt,N('Deal maths'!E749)&lt;=AsAt),IF(N('Deal maths'!H749)&gt;0,N('Deal maths'!H749),N('Deal maths'!D749)),0)</f>
        <v/>
      </c>
      <c r="C749" s="91">
        <f>IF(B749&gt;0,IF('Deal maths'!C749="Local authority","Local authorities",LOWER(TRIM('Deal maths'!B749))),"")</f>
        <v/>
      </c>
      <c r="D749" s="91">
        <f>IF(C749="","",IF(COUNTIF($C$4:C748,C749)=0,SUMIF($C$4:$C$3997,C749,$B$4:$B$3997)-ROW()/1000000,""))</f>
        <v/>
      </c>
      <c r="E749" s="91">
        <f>IF(AND(N('Deal maths'!F749)&gt;AsAt,N('Deal maths'!E749)&lt;=AsAt,IF(N('Deal maths'!H749)&gt;0,N('Deal maths'!H749),N('Deal maths'!D749))&gt;0),N('Deal maths'!F749)+ROW()/1000000,"")</f>
        <v/>
      </c>
    </row>
    <row r="750">
      <c r="A750" s="91" t="n"/>
      <c r="B750" s="111">
        <f>IF(AND(N('Deal maths'!F750)&gt;AsAt,N('Deal maths'!E750)&lt;=AsAt),IF(N('Deal maths'!H750)&gt;0,N('Deal maths'!H750),N('Deal maths'!D750)),0)</f>
        <v/>
      </c>
      <c r="C750" s="91">
        <f>IF(B750&gt;0,IF('Deal maths'!C750="Local authority","Local authorities",LOWER(TRIM('Deal maths'!B750))),"")</f>
        <v/>
      </c>
      <c r="D750" s="91">
        <f>IF(C750="","",IF(COUNTIF($C$4:C749,C750)=0,SUMIF($C$4:$C$3997,C750,$B$4:$B$3997)-ROW()/1000000,""))</f>
        <v/>
      </c>
      <c r="E750" s="91">
        <f>IF(AND(N('Deal maths'!F750)&gt;AsAt,N('Deal maths'!E750)&lt;=AsAt,IF(N('Deal maths'!H750)&gt;0,N('Deal maths'!H750),N('Deal maths'!D750))&gt;0),N('Deal maths'!F750)+ROW()/1000000,"")</f>
        <v/>
      </c>
    </row>
    <row r="751">
      <c r="A751" s="91" t="n"/>
      <c r="B751" s="111">
        <f>IF(AND(N('Deal maths'!F751)&gt;AsAt,N('Deal maths'!E751)&lt;=AsAt),IF(N('Deal maths'!H751)&gt;0,N('Deal maths'!H751),N('Deal maths'!D751)),0)</f>
        <v/>
      </c>
      <c r="C751" s="91">
        <f>IF(B751&gt;0,IF('Deal maths'!C751="Local authority","Local authorities",LOWER(TRIM('Deal maths'!B751))),"")</f>
        <v/>
      </c>
      <c r="D751" s="91">
        <f>IF(C751="","",IF(COUNTIF($C$4:C750,C751)=0,SUMIF($C$4:$C$3997,C751,$B$4:$B$3997)-ROW()/1000000,""))</f>
        <v/>
      </c>
      <c r="E751" s="91">
        <f>IF(AND(N('Deal maths'!F751)&gt;AsAt,N('Deal maths'!E751)&lt;=AsAt,IF(N('Deal maths'!H751)&gt;0,N('Deal maths'!H751),N('Deal maths'!D751))&gt;0),N('Deal maths'!F751)+ROW()/1000000,"")</f>
        <v/>
      </c>
    </row>
    <row r="752">
      <c r="A752" s="91" t="n"/>
      <c r="B752" s="111">
        <f>IF(AND(N('Deal maths'!F752)&gt;AsAt,N('Deal maths'!E752)&lt;=AsAt),IF(N('Deal maths'!H752)&gt;0,N('Deal maths'!H752),N('Deal maths'!D752)),0)</f>
        <v/>
      </c>
      <c r="C752" s="91">
        <f>IF(B752&gt;0,IF('Deal maths'!C752="Local authority","Local authorities",LOWER(TRIM('Deal maths'!B752))),"")</f>
        <v/>
      </c>
      <c r="D752" s="91">
        <f>IF(C752="","",IF(COUNTIF($C$4:C751,C752)=0,SUMIF($C$4:$C$3997,C752,$B$4:$B$3997)-ROW()/1000000,""))</f>
        <v/>
      </c>
      <c r="E752" s="91">
        <f>IF(AND(N('Deal maths'!F752)&gt;AsAt,N('Deal maths'!E752)&lt;=AsAt,IF(N('Deal maths'!H752)&gt;0,N('Deal maths'!H752),N('Deal maths'!D752))&gt;0),N('Deal maths'!F752)+ROW()/1000000,"")</f>
        <v/>
      </c>
    </row>
    <row r="753">
      <c r="A753" s="91" t="n"/>
      <c r="B753" s="111">
        <f>IF(AND(N('Deal maths'!F753)&gt;AsAt,N('Deal maths'!E753)&lt;=AsAt),IF(N('Deal maths'!H753)&gt;0,N('Deal maths'!H753),N('Deal maths'!D753)),0)</f>
        <v/>
      </c>
      <c r="C753" s="91">
        <f>IF(B753&gt;0,IF('Deal maths'!C753="Local authority","Local authorities",LOWER(TRIM('Deal maths'!B753))),"")</f>
        <v/>
      </c>
      <c r="D753" s="91">
        <f>IF(C753="","",IF(COUNTIF($C$4:C752,C753)=0,SUMIF($C$4:$C$3997,C753,$B$4:$B$3997)-ROW()/1000000,""))</f>
        <v/>
      </c>
      <c r="E753" s="91">
        <f>IF(AND(N('Deal maths'!F753)&gt;AsAt,N('Deal maths'!E753)&lt;=AsAt,IF(N('Deal maths'!H753)&gt;0,N('Deal maths'!H753),N('Deal maths'!D753))&gt;0),N('Deal maths'!F753)+ROW()/1000000,"")</f>
        <v/>
      </c>
    </row>
    <row r="754">
      <c r="A754" s="91" t="n"/>
      <c r="B754" s="111">
        <f>IF(AND(N('Deal maths'!F754)&gt;AsAt,N('Deal maths'!E754)&lt;=AsAt),IF(N('Deal maths'!H754)&gt;0,N('Deal maths'!H754),N('Deal maths'!D754)),0)</f>
        <v/>
      </c>
      <c r="C754" s="91">
        <f>IF(B754&gt;0,IF('Deal maths'!C754="Local authority","Local authorities",LOWER(TRIM('Deal maths'!B754))),"")</f>
        <v/>
      </c>
      <c r="D754" s="91">
        <f>IF(C754="","",IF(COUNTIF($C$4:C753,C754)=0,SUMIF($C$4:$C$3997,C754,$B$4:$B$3997)-ROW()/1000000,""))</f>
        <v/>
      </c>
      <c r="E754" s="91">
        <f>IF(AND(N('Deal maths'!F754)&gt;AsAt,N('Deal maths'!E754)&lt;=AsAt,IF(N('Deal maths'!H754)&gt;0,N('Deal maths'!H754),N('Deal maths'!D754))&gt;0),N('Deal maths'!F754)+ROW()/1000000,"")</f>
        <v/>
      </c>
    </row>
    <row r="755">
      <c r="A755" s="91" t="n"/>
      <c r="B755" s="111">
        <f>IF(AND(N('Deal maths'!F755)&gt;AsAt,N('Deal maths'!E755)&lt;=AsAt),IF(N('Deal maths'!H755)&gt;0,N('Deal maths'!H755),N('Deal maths'!D755)),0)</f>
        <v/>
      </c>
      <c r="C755" s="91">
        <f>IF(B755&gt;0,IF('Deal maths'!C755="Local authority","Local authorities",LOWER(TRIM('Deal maths'!B755))),"")</f>
        <v/>
      </c>
      <c r="D755" s="91">
        <f>IF(C755="","",IF(COUNTIF($C$4:C754,C755)=0,SUMIF($C$4:$C$3997,C755,$B$4:$B$3997)-ROW()/1000000,""))</f>
        <v/>
      </c>
      <c r="E755" s="91">
        <f>IF(AND(N('Deal maths'!F755)&gt;AsAt,N('Deal maths'!E755)&lt;=AsAt,IF(N('Deal maths'!H755)&gt;0,N('Deal maths'!H755),N('Deal maths'!D755))&gt;0),N('Deal maths'!F755)+ROW()/1000000,"")</f>
        <v/>
      </c>
    </row>
    <row r="756">
      <c r="A756" s="91" t="n"/>
      <c r="B756" s="111">
        <f>IF(AND(N('Deal maths'!F756)&gt;AsAt,N('Deal maths'!E756)&lt;=AsAt),IF(N('Deal maths'!H756)&gt;0,N('Deal maths'!H756),N('Deal maths'!D756)),0)</f>
        <v/>
      </c>
      <c r="C756" s="91">
        <f>IF(B756&gt;0,IF('Deal maths'!C756="Local authority","Local authorities",LOWER(TRIM('Deal maths'!B756))),"")</f>
        <v/>
      </c>
      <c r="D756" s="91">
        <f>IF(C756="","",IF(COUNTIF($C$4:C755,C756)=0,SUMIF($C$4:$C$3997,C756,$B$4:$B$3997)-ROW()/1000000,""))</f>
        <v/>
      </c>
      <c r="E756" s="91">
        <f>IF(AND(N('Deal maths'!F756)&gt;AsAt,N('Deal maths'!E756)&lt;=AsAt,IF(N('Deal maths'!H756)&gt;0,N('Deal maths'!H756),N('Deal maths'!D756))&gt;0),N('Deal maths'!F756)+ROW()/1000000,"")</f>
        <v/>
      </c>
    </row>
    <row r="757">
      <c r="A757" s="91" t="n"/>
      <c r="B757" s="111">
        <f>IF(AND(N('Deal maths'!F757)&gt;AsAt,N('Deal maths'!E757)&lt;=AsAt),IF(N('Deal maths'!H757)&gt;0,N('Deal maths'!H757),N('Deal maths'!D757)),0)</f>
        <v/>
      </c>
      <c r="C757" s="91">
        <f>IF(B757&gt;0,IF('Deal maths'!C757="Local authority","Local authorities",LOWER(TRIM('Deal maths'!B757))),"")</f>
        <v/>
      </c>
      <c r="D757" s="91">
        <f>IF(C757="","",IF(COUNTIF($C$4:C756,C757)=0,SUMIF($C$4:$C$3997,C757,$B$4:$B$3997)-ROW()/1000000,""))</f>
        <v/>
      </c>
      <c r="E757" s="91">
        <f>IF(AND(N('Deal maths'!F757)&gt;AsAt,N('Deal maths'!E757)&lt;=AsAt,IF(N('Deal maths'!H757)&gt;0,N('Deal maths'!H757),N('Deal maths'!D757))&gt;0),N('Deal maths'!F757)+ROW()/1000000,"")</f>
        <v/>
      </c>
    </row>
    <row r="758">
      <c r="A758" s="91" t="n"/>
      <c r="B758" s="111">
        <f>IF(AND(N('Deal maths'!F758)&gt;AsAt,N('Deal maths'!E758)&lt;=AsAt),IF(N('Deal maths'!H758)&gt;0,N('Deal maths'!H758),N('Deal maths'!D758)),0)</f>
        <v/>
      </c>
      <c r="C758" s="91">
        <f>IF(B758&gt;0,IF('Deal maths'!C758="Local authority","Local authorities",LOWER(TRIM('Deal maths'!B758))),"")</f>
        <v/>
      </c>
      <c r="D758" s="91">
        <f>IF(C758="","",IF(COUNTIF($C$4:C757,C758)=0,SUMIF($C$4:$C$3997,C758,$B$4:$B$3997)-ROW()/1000000,""))</f>
        <v/>
      </c>
      <c r="E758" s="91">
        <f>IF(AND(N('Deal maths'!F758)&gt;AsAt,N('Deal maths'!E758)&lt;=AsAt,IF(N('Deal maths'!H758)&gt;0,N('Deal maths'!H758),N('Deal maths'!D758))&gt;0),N('Deal maths'!F758)+ROW()/1000000,"")</f>
        <v/>
      </c>
    </row>
    <row r="759">
      <c r="A759" s="91" t="n"/>
      <c r="B759" s="111">
        <f>IF(AND(N('Deal maths'!F759)&gt;AsAt,N('Deal maths'!E759)&lt;=AsAt),IF(N('Deal maths'!H759)&gt;0,N('Deal maths'!H759),N('Deal maths'!D759)),0)</f>
        <v/>
      </c>
      <c r="C759" s="91">
        <f>IF(B759&gt;0,IF('Deal maths'!C759="Local authority","Local authorities",LOWER(TRIM('Deal maths'!B759))),"")</f>
        <v/>
      </c>
      <c r="D759" s="91">
        <f>IF(C759="","",IF(COUNTIF($C$4:C758,C759)=0,SUMIF($C$4:$C$3997,C759,$B$4:$B$3997)-ROW()/1000000,""))</f>
        <v/>
      </c>
      <c r="E759" s="91">
        <f>IF(AND(N('Deal maths'!F759)&gt;AsAt,N('Deal maths'!E759)&lt;=AsAt,IF(N('Deal maths'!H759)&gt;0,N('Deal maths'!H759),N('Deal maths'!D759))&gt;0),N('Deal maths'!F759)+ROW()/1000000,"")</f>
        <v/>
      </c>
    </row>
    <row r="760">
      <c r="A760" s="91" t="n"/>
      <c r="B760" s="111">
        <f>IF(AND(N('Deal maths'!F760)&gt;AsAt,N('Deal maths'!E760)&lt;=AsAt),IF(N('Deal maths'!H760)&gt;0,N('Deal maths'!H760),N('Deal maths'!D760)),0)</f>
        <v/>
      </c>
      <c r="C760" s="91">
        <f>IF(B760&gt;0,IF('Deal maths'!C760="Local authority","Local authorities",LOWER(TRIM('Deal maths'!B760))),"")</f>
        <v/>
      </c>
      <c r="D760" s="91">
        <f>IF(C760="","",IF(COUNTIF($C$4:C759,C760)=0,SUMIF($C$4:$C$3997,C760,$B$4:$B$3997)-ROW()/1000000,""))</f>
        <v/>
      </c>
      <c r="E760" s="91">
        <f>IF(AND(N('Deal maths'!F760)&gt;AsAt,N('Deal maths'!E760)&lt;=AsAt,IF(N('Deal maths'!H760)&gt;0,N('Deal maths'!H760),N('Deal maths'!D760))&gt;0),N('Deal maths'!F760)+ROW()/1000000,"")</f>
        <v/>
      </c>
    </row>
    <row r="761">
      <c r="A761" s="91" t="n"/>
      <c r="B761" s="111">
        <f>IF(AND(N('Deal maths'!F761)&gt;AsAt,N('Deal maths'!E761)&lt;=AsAt),IF(N('Deal maths'!H761)&gt;0,N('Deal maths'!H761),N('Deal maths'!D761)),0)</f>
        <v/>
      </c>
      <c r="C761" s="91">
        <f>IF(B761&gt;0,IF('Deal maths'!C761="Local authority","Local authorities",LOWER(TRIM('Deal maths'!B761))),"")</f>
        <v/>
      </c>
      <c r="D761" s="91">
        <f>IF(C761="","",IF(COUNTIF($C$4:C760,C761)=0,SUMIF($C$4:$C$3997,C761,$B$4:$B$3997)-ROW()/1000000,""))</f>
        <v/>
      </c>
      <c r="E761" s="91">
        <f>IF(AND(N('Deal maths'!F761)&gt;AsAt,N('Deal maths'!E761)&lt;=AsAt,IF(N('Deal maths'!H761)&gt;0,N('Deal maths'!H761),N('Deal maths'!D761))&gt;0),N('Deal maths'!F761)+ROW()/1000000,"")</f>
        <v/>
      </c>
    </row>
    <row r="762">
      <c r="A762" s="91" t="n"/>
      <c r="B762" s="111">
        <f>IF(AND(N('Deal maths'!F762)&gt;AsAt,N('Deal maths'!E762)&lt;=AsAt),IF(N('Deal maths'!H762)&gt;0,N('Deal maths'!H762),N('Deal maths'!D762)),0)</f>
        <v/>
      </c>
      <c r="C762" s="91">
        <f>IF(B762&gt;0,IF('Deal maths'!C762="Local authority","Local authorities",LOWER(TRIM('Deal maths'!B762))),"")</f>
        <v/>
      </c>
      <c r="D762" s="91">
        <f>IF(C762="","",IF(COUNTIF($C$4:C761,C762)=0,SUMIF($C$4:$C$3997,C762,$B$4:$B$3997)-ROW()/1000000,""))</f>
        <v/>
      </c>
      <c r="E762" s="91">
        <f>IF(AND(N('Deal maths'!F762)&gt;AsAt,N('Deal maths'!E762)&lt;=AsAt,IF(N('Deal maths'!H762)&gt;0,N('Deal maths'!H762),N('Deal maths'!D762))&gt;0),N('Deal maths'!F762)+ROW()/1000000,"")</f>
        <v/>
      </c>
    </row>
    <row r="763">
      <c r="A763" s="91" t="n"/>
      <c r="B763" s="111">
        <f>IF(AND(N('Deal maths'!F763)&gt;AsAt,N('Deal maths'!E763)&lt;=AsAt),IF(N('Deal maths'!H763)&gt;0,N('Deal maths'!H763),N('Deal maths'!D763)),0)</f>
        <v/>
      </c>
      <c r="C763" s="91">
        <f>IF(B763&gt;0,IF('Deal maths'!C763="Local authority","Local authorities",LOWER(TRIM('Deal maths'!B763))),"")</f>
        <v/>
      </c>
      <c r="D763" s="91">
        <f>IF(C763="","",IF(COUNTIF($C$4:C762,C763)=0,SUMIF($C$4:$C$3997,C763,$B$4:$B$3997)-ROW()/1000000,""))</f>
        <v/>
      </c>
      <c r="E763" s="91">
        <f>IF(AND(N('Deal maths'!F763)&gt;AsAt,N('Deal maths'!E763)&lt;=AsAt,IF(N('Deal maths'!H763)&gt;0,N('Deal maths'!H763),N('Deal maths'!D763))&gt;0),N('Deal maths'!F763)+ROW()/1000000,"")</f>
        <v/>
      </c>
    </row>
    <row r="764">
      <c r="A764" s="91" t="n"/>
      <c r="B764" s="111">
        <f>IF(AND(N('Deal maths'!F764)&gt;AsAt,N('Deal maths'!E764)&lt;=AsAt),IF(N('Deal maths'!H764)&gt;0,N('Deal maths'!H764),N('Deal maths'!D764)),0)</f>
        <v/>
      </c>
      <c r="C764" s="91">
        <f>IF(B764&gt;0,IF('Deal maths'!C764="Local authority","Local authorities",LOWER(TRIM('Deal maths'!B764))),"")</f>
        <v/>
      </c>
      <c r="D764" s="91">
        <f>IF(C764="","",IF(COUNTIF($C$4:C763,C764)=0,SUMIF($C$4:$C$3997,C764,$B$4:$B$3997)-ROW()/1000000,""))</f>
        <v/>
      </c>
      <c r="E764" s="91">
        <f>IF(AND(N('Deal maths'!F764)&gt;AsAt,N('Deal maths'!E764)&lt;=AsAt,IF(N('Deal maths'!H764)&gt;0,N('Deal maths'!H764),N('Deal maths'!D764))&gt;0),N('Deal maths'!F764)+ROW()/1000000,"")</f>
        <v/>
      </c>
    </row>
    <row r="765">
      <c r="A765" s="91" t="n"/>
      <c r="B765" s="111">
        <f>IF(AND(N('Deal maths'!F765)&gt;AsAt,N('Deal maths'!E765)&lt;=AsAt),IF(N('Deal maths'!H765)&gt;0,N('Deal maths'!H765),N('Deal maths'!D765)),0)</f>
        <v/>
      </c>
      <c r="C765" s="91">
        <f>IF(B765&gt;0,IF('Deal maths'!C765="Local authority","Local authorities",LOWER(TRIM('Deal maths'!B765))),"")</f>
        <v/>
      </c>
      <c r="D765" s="91">
        <f>IF(C765="","",IF(COUNTIF($C$4:C764,C765)=0,SUMIF($C$4:$C$3997,C765,$B$4:$B$3997)-ROW()/1000000,""))</f>
        <v/>
      </c>
      <c r="E765" s="91">
        <f>IF(AND(N('Deal maths'!F765)&gt;AsAt,N('Deal maths'!E765)&lt;=AsAt,IF(N('Deal maths'!H765)&gt;0,N('Deal maths'!H765),N('Deal maths'!D765))&gt;0),N('Deal maths'!F765)+ROW()/1000000,"")</f>
        <v/>
      </c>
    </row>
    <row r="766">
      <c r="A766" s="91" t="n"/>
      <c r="B766" s="111">
        <f>IF(AND(N('Deal maths'!F766)&gt;AsAt,N('Deal maths'!E766)&lt;=AsAt),IF(N('Deal maths'!H766)&gt;0,N('Deal maths'!H766),N('Deal maths'!D766)),0)</f>
        <v/>
      </c>
      <c r="C766" s="91">
        <f>IF(B766&gt;0,IF('Deal maths'!C766="Local authority","Local authorities",LOWER(TRIM('Deal maths'!B766))),"")</f>
        <v/>
      </c>
      <c r="D766" s="91">
        <f>IF(C766="","",IF(COUNTIF($C$4:C765,C766)=0,SUMIF($C$4:$C$3997,C766,$B$4:$B$3997)-ROW()/1000000,""))</f>
        <v/>
      </c>
      <c r="E766" s="91">
        <f>IF(AND(N('Deal maths'!F766)&gt;AsAt,N('Deal maths'!E766)&lt;=AsAt,IF(N('Deal maths'!H766)&gt;0,N('Deal maths'!H766),N('Deal maths'!D766))&gt;0),N('Deal maths'!F766)+ROW()/1000000,"")</f>
        <v/>
      </c>
    </row>
    <row r="767">
      <c r="A767" s="91" t="n"/>
      <c r="B767" s="111">
        <f>IF(AND(N('Deal maths'!F767)&gt;AsAt,N('Deal maths'!E767)&lt;=AsAt),IF(N('Deal maths'!H767)&gt;0,N('Deal maths'!H767),N('Deal maths'!D767)),0)</f>
        <v/>
      </c>
      <c r="C767" s="91">
        <f>IF(B767&gt;0,IF('Deal maths'!C767="Local authority","Local authorities",LOWER(TRIM('Deal maths'!B767))),"")</f>
        <v/>
      </c>
      <c r="D767" s="91">
        <f>IF(C767="","",IF(COUNTIF($C$4:C766,C767)=0,SUMIF($C$4:$C$3997,C767,$B$4:$B$3997)-ROW()/1000000,""))</f>
        <v/>
      </c>
      <c r="E767" s="91">
        <f>IF(AND(N('Deal maths'!F767)&gt;AsAt,N('Deal maths'!E767)&lt;=AsAt,IF(N('Deal maths'!H767)&gt;0,N('Deal maths'!H767),N('Deal maths'!D767))&gt;0),N('Deal maths'!F767)+ROW()/1000000,"")</f>
        <v/>
      </c>
    </row>
    <row r="768">
      <c r="A768" s="91" t="n"/>
      <c r="B768" s="111">
        <f>IF(AND(N('Deal maths'!F768)&gt;AsAt,N('Deal maths'!E768)&lt;=AsAt),IF(N('Deal maths'!H768)&gt;0,N('Deal maths'!H768),N('Deal maths'!D768)),0)</f>
        <v/>
      </c>
      <c r="C768" s="91">
        <f>IF(B768&gt;0,IF('Deal maths'!C768="Local authority","Local authorities",LOWER(TRIM('Deal maths'!B768))),"")</f>
        <v/>
      </c>
      <c r="D768" s="91">
        <f>IF(C768="","",IF(COUNTIF($C$4:C767,C768)=0,SUMIF($C$4:$C$3997,C768,$B$4:$B$3997)-ROW()/1000000,""))</f>
        <v/>
      </c>
      <c r="E768" s="91">
        <f>IF(AND(N('Deal maths'!F768)&gt;AsAt,N('Deal maths'!E768)&lt;=AsAt,IF(N('Deal maths'!H768)&gt;0,N('Deal maths'!H768),N('Deal maths'!D768))&gt;0),N('Deal maths'!F768)+ROW()/1000000,"")</f>
        <v/>
      </c>
    </row>
    <row r="769">
      <c r="A769" s="91" t="n"/>
      <c r="B769" s="111">
        <f>IF(AND(N('Deal maths'!F769)&gt;AsAt,N('Deal maths'!E769)&lt;=AsAt),IF(N('Deal maths'!H769)&gt;0,N('Deal maths'!H769),N('Deal maths'!D769)),0)</f>
        <v/>
      </c>
      <c r="C769" s="91">
        <f>IF(B769&gt;0,IF('Deal maths'!C769="Local authority","Local authorities",LOWER(TRIM('Deal maths'!B769))),"")</f>
        <v/>
      </c>
      <c r="D769" s="91">
        <f>IF(C769="","",IF(COUNTIF($C$4:C768,C769)=0,SUMIF($C$4:$C$3997,C769,$B$4:$B$3997)-ROW()/1000000,""))</f>
        <v/>
      </c>
      <c r="E769" s="91">
        <f>IF(AND(N('Deal maths'!F769)&gt;AsAt,N('Deal maths'!E769)&lt;=AsAt,IF(N('Deal maths'!H769)&gt;0,N('Deal maths'!H769),N('Deal maths'!D769))&gt;0),N('Deal maths'!F769)+ROW()/1000000,"")</f>
        <v/>
      </c>
    </row>
    <row r="770">
      <c r="A770" s="91" t="n"/>
      <c r="B770" s="111">
        <f>IF(AND(N('Deal maths'!F770)&gt;AsAt,N('Deal maths'!E770)&lt;=AsAt),IF(N('Deal maths'!H770)&gt;0,N('Deal maths'!H770),N('Deal maths'!D770)),0)</f>
        <v/>
      </c>
      <c r="C770" s="91">
        <f>IF(B770&gt;0,IF('Deal maths'!C770="Local authority","Local authorities",LOWER(TRIM('Deal maths'!B770))),"")</f>
        <v/>
      </c>
      <c r="D770" s="91">
        <f>IF(C770="","",IF(COUNTIF($C$4:C769,C770)=0,SUMIF($C$4:$C$3997,C770,$B$4:$B$3997)-ROW()/1000000,""))</f>
        <v/>
      </c>
      <c r="E770" s="91">
        <f>IF(AND(N('Deal maths'!F770)&gt;AsAt,N('Deal maths'!E770)&lt;=AsAt,IF(N('Deal maths'!H770)&gt;0,N('Deal maths'!H770),N('Deal maths'!D770))&gt;0),N('Deal maths'!F770)+ROW()/1000000,"")</f>
        <v/>
      </c>
    </row>
    <row r="771">
      <c r="A771" s="91" t="n"/>
      <c r="B771" s="111">
        <f>IF(AND(N('Deal maths'!F771)&gt;AsAt,N('Deal maths'!E771)&lt;=AsAt),IF(N('Deal maths'!H771)&gt;0,N('Deal maths'!H771),N('Deal maths'!D771)),0)</f>
        <v/>
      </c>
      <c r="C771" s="91">
        <f>IF(B771&gt;0,IF('Deal maths'!C771="Local authority","Local authorities",LOWER(TRIM('Deal maths'!B771))),"")</f>
        <v/>
      </c>
      <c r="D771" s="91">
        <f>IF(C771="","",IF(COUNTIF($C$4:C770,C771)=0,SUMIF($C$4:$C$3997,C771,$B$4:$B$3997)-ROW()/1000000,""))</f>
        <v/>
      </c>
      <c r="E771" s="91">
        <f>IF(AND(N('Deal maths'!F771)&gt;AsAt,N('Deal maths'!E771)&lt;=AsAt,IF(N('Deal maths'!H771)&gt;0,N('Deal maths'!H771),N('Deal maths'!D771))&gt;0),N('Deal maths'!F771)+ROW()/1000000,"")</f>
        <v/>
      </c>
    </row>
    <row r="772">
      <c r="A772" s="91" t="n"/>
      <c r="B772" s="111">
        <f>IF(AND(N('Deal maths'!F772)&gt;AsAt,N('Deal maths'!E772)&lt;=AsAt),IF(N('Deal maths'!H772)&gt;0,N('Deal maths'!H772),N('Deal maths'!D772)),0)</f>
        <v/>
      </c>
      <c r="C772" s="91">
        <f>IF(B772&gt;0,IF('Deal maths'!C772="Local authority","Local authorities",LOWER(TRIM('Deal maths'!B772))),"")</f>
        <v/>
      </c>
      <c r="D772" s="91">
        <f>IF(C772="","",IF(COUNTIF($C$4:C771,C772)=0,SUMIF($C$4:$C$3997,C772,$B$4:$B$3997)-ROW()/1000000,""))</f>
        <v/>
      </c>
      <c r="E772" s="91">
        <f>IF(AND(N('Deal maths'!F772)&gt;AsAt,N('Deal maths'!E772)&lt;=AsAt,IF(N('Deal maths'!H772)&gt;0,N('Deal maths'!H772),N('Deal maths'!D772))&gt;0),N('Deal maths'!F772)+ROW()/1000000,"")</f>
        <v/>
      </c>
    </row>
    <row r="773">
      <c r="A773" s="91" t="n"/>
      <c r="B773" s="111">
        <f>IF(AND(N('Deal maths'!F773)&gt;AsAt,N('Deal maths'!E773)&lt;=AsAt),IF(N('Deal maths'!H773)&gt;0,N('Deal maths'!H773),N('Deal maths'!D773)),0)</f>
        <v/>
      </c>
      <c r="C773" s="91">
        <f>IF(B773&gt;0,IF('Deal maths'!C773="Local authority","Local authorities",LOWER(TRIM('Deal maths'!B773))),"")</f>
        <v/>
      </c>
      <c r="D773" s="91">
        <f>IF(C773="","",IF(COUNTIF($C$4:C772,C773)=0,SUMIF($C$4:$C$3997,C773,$B$4:$B$3997)-ROW()/1000000,""))</f>
        <v/>
      </c>
      <c r="E773" s="91">
        <f>IF(AND(N('Deal maths'!F773)&gt;AsAt,N('Deal maths'!E773)&lt;=AsAt,IF(N('Deal maths'!H773)&gt;0,N('Deal maths'!H773),N('Deal maths'!D773))&gt;0),N('Deal maths'!F773)+ROW()/1000000,"")</f>
        <v/>
      </c>
    </row>
    <row r="774">
      <c r="A774" s="91" t="n"/>
      <c r="B774" s="111">
        <f>IF(AND(N('Deal maths'!F774)&gt;AsAt,N('Deal maths'!E774)&lt;=AsAt),IF(N('Deal maths'!H774)&gt;0,N('Deal maths'!H774),N('Deal maths'!D774)),0)</f>
        <v/>
      </c>
      <c r="C774" s="91">
        <f>IF(B774&gt;0,IF('Deal maths'!C774="Local authority","Local authorities",LOWER(TRIM('Deal maths'!B774))),"")</f>
        <v/>
      </c>
      <c r="D774" s="91">
        <f>IF(C774="","",IF(COUNTIF($C$4:C773,C774)=0,SUMIF($C$4:$C$3997,C774,$B$4:$B$3997)-ROW()/1000000,""))</f>
        <v/>
      </c>
      <c r="E774" s="91">
        <f>IF(AND(N('Deal maths'!F774)&gt;AsAt,N('Deal maths'!E774)&lt;=AsAt,IF(N('Deal maths'!H774)&gt;0,N('Deal maths'!H774),N('Deal maths'!D774))&gt;0),N('Deal maths'!F774)+ROW()/1000000,"")</f>
        <v/>
      </c>
    </row>
    <row r="775">
      <c r="A775" s="91" t="n"/>
      <c r="B775" s="111">
        <f>IF(AND(N('Deal maths'!F775)&gt;AsAt,N('Deal maths'!E775)&lt;=AsAt),IF(N('Deal maths'!H775)&gt;0,N('Deal maths'!H775),N('Deal maths'!D775)),0)</f>
        <v/>
      </c>
      <c r="C775" s="91">
        <f>IF(B775&gt;0,IF('Deal maths'!C775="Local authority","Local authorities",LOWER(TRIM('Deal maths'!B775))),"")</f>
        <v/>
      </c>
      <c r="D775" s="91">
        <f>IF(C775="","",IF(COUNTIF($C$4:C774,C775)=0,SUMIF($C$4:$C$3997,C775,$B$4:$B$3997)-ROW()/1000000,""))</f>
        <v/>
      </c>
      <c r="E775" s="91">
        <f>IF(AND(N('Deal maths'!F775)&gt;AsAt,N('Deal maths'!E775)&lt;=AsAt,IF(N('Deal maths'!H775)&gt;0,N('Deal maths'!H775),N('Deal maths'!D775))&gt;0),N('Deal maths'!F775)+ROW()/1000000,"")</f>
        <v/>
      </c>
    </row>
    <row r="776">
      <c r="A776" s="91" t="n"/>
      <c r="B776" s="111">
        <f>IF(AND(N('Deal maths'!F776)&gt;AsAt,N('Deal maths'!E776)&lt;=AsAt),IF(N('Deal maths'!H776)&gt;0,N('Deal maths'!H776),N('Deal maths'!D776)),0)</f>
        <v/>
      </c>
      <c r="C776" s="91">
        <f>IF(B776&gt;0,IF('Deal maths'!C776="Local authority","Local authorities",LOWER(TRIM('Deal maths'!B776))),"")</f>
        <v/>
      </c>
      <c r="D776" s="91">
        <f>IF(C776="","",IF(COUNTIF($C$4:C775,C776)=0,SUMIF($C$4:$C$3997,C776,$B$4:$B$3997)-ROW()/1000000,""))</f>
        <v/>
      </c>
      <c r="E776" s="91">
        <f>IF(AND(N('Deal maths'!F776)&gt;AsAt,N('Deal maths'!E776)&lt;=AsAt,IF(N('Deal maths'!H776)&gt;0,N('Deal maths'!H776),N('Deal maths'!D776))&gt;0),N('Deal maths'!F776)+ROW()/1000000,"")</f>
        <v/>
      </c>
    </row>
    <row r="777">
      <c r="A777" s="91" t="n"/>
      <c r="B777" s="111">
        <f>IF(AND(N('Deal maths'!F777)&gt;AsAt,N('Deal maths'!E777)&lt;=AsAt),IF(N('Deal maths'!H777)&gt;0,N('Deal maths'!H777),N('Deal maths'!D777)),0)</f>
        <v/>
      </c>
      <c r="C777" s="91">
        <f>IF(B777&gt;0,IF('Deal maths'!C777="Local authority","Local authorities",LOWER(TRIM('Deal maths'!B777))),"")</f>
        <v/>
      </c>
      <c r="D777" s="91">
        <f>IF(C777="","",IF(COUNTIF($C$4:C776,C777)=0,SUMIF($C$4:$C$3997,C777,$B$4:$B$3997)-ROW()/1000000,""))</f>
        <v/>
      </c>
      <c r="E777" s="91">
        <f>IF(AND(N('Deal maths'!F777)&gt;AsAt,N('Deal maths'!E777)&lt;=AsAt,IF(N('Deal maths'!H777)&gt;0,N('Deal maths'!H777),N('Deal maths'!D777))&gt;0),N('Deal maths'!F777)+ROW()/1000000,"")</f>
        <v/>
      </c>
    </row>
    <row r="778">
      <c r="A778" s="91" t="n"/>
      <c r="B778" s="111">
        <f>IF(AND(N('Deal maths'!F778)&gt;AsAt,N('Deal maths'!E778)&lt;=AsAt),IF(N('Deal maths'!H778)&gt;0,N('Deal maths'!H778),N('Deal maths'!D778)),0)</f>
        <v/>
      </c>
      <c r="C778" s="91">
        <f>IF(B778&gt;0,IF('Deal maths'!C778="Local authority","Local authorities",LOWER(TRIM('Deal maths'!B778))),"")</f>
        <v/>
      </c>
      <c r="D778" s="91">
        <f>IF(C778="","",IF(COUNTIF($C$4:C777,C778)=0,SUMIF($C$4:$C$3997,C778,$B$4:$B$3997)-ROW()/1000000,""))</f>
        <v/>
      </c>
      <c r="E778" s="91">
        <f>IF(AND(N('Deal maths'!F778)&gt;AsAt,N('Deal maths'!E778)&lt;=AsAt,IF(N('Deal maths'!H778)&gt;0,N('Deal maths'!H778),N('Deal maths'!D778))&gt;0),N('Deal maths'!F778)+ROW()/1000000,"")</f>
        <v/>
      </c>
    </row>
    <row r="779">
      <c r="A779" s="91" t="n"/>
      <c r="B779" s="111">
        <f>IF(AND(N('Deal maths'!F779)&gt;AsAt,N('Deal maths'!E779)&lt;=AsAt),IF(N('Deal maths'!H779)&gt;0,N('Deal maths'!H779),N('Deal maths'!D779)),0)</f>
        <v/>
      </c>
      <c r="C779" s="91">
        <f>IF(B779&gt;0,IF('Deal maths'!C779="Local authority","Local authorities",LOWER(TRIM('Deal maths'!B779))),"")</f>
        <v/>
      </c>
      <c r="D779" s="91">
        <f>IF(C779="","",IF(COUNTIF($C$4:C778,C779)=0,SUMIF($C$4:$C$3997,C779,$B$4:$B$3997)-ROW()/1000000,""))</f>
        <v/>
      </c>
      <c r="E779" s="91">
        <f>IF(AND(N('Deal maths'!F779)&gt;AsAt,N('Deal maths'!E779)&lt;=AsAt,IF(N('Deal maths'!H779)&gt;0,N('Deal maths'!H779),N('Deal maths'!D779))&gt;0),N('Deal maths'!F779)+ROW()/1000000,"")</f>
        <v/>
      </c>
    </row>
    <row r="780">
      <c r="A780" s="91" t="n"/>
      <c r="B780" s="111">
        <f>IF(AND(N('Deal maths'!F780)&gt;AsAt,N('Deal maths'!E780)&lt;=AsAt),IF(N('Deal maths'!H780)&gt;0,N('Deal maths'!H780),N('Deal maths'!D780)),0)</f>
        <v/>
      </c>
      <c r="C780" s="91">
        <f>IF(B780&gt;0,IF('Deal maths'!C780="Local authority","Local authorities",LOWER(TRIM('Deal maths'!B780))),"")</f>
        <v/>
      </c>
      <c r="D780" s="91">
        <f>IF(C780="","",IF(COUNTIF($C$4:C779,C780)=0,SUMIF($C$4:$C$3997,C780,$B$4:$B$3997)-ROW()/1000000,""))</f>
        <v/>
      </c>
      <c r="E780" s="91">
        <f>IF(AND(N('Deal maths'!F780)&gt;AsAt,N('Deal maths'!E780)&lt;=AsAt,IF(N('Deal maths'!H780)&gt;0,N('Deal maths'!H780),N('Deal maths'!D780))&gt;0),N('Deal maths'!F780)+ROW()/1000000,"")</f>
        <v/>
      </c>
    </row>
    <row r="781">
      <c r="A781" s="91" t="n"/>
      <c r="B781" s="111">
        <f>IF(AND(N('Deal maths'!F781)&gt;AsAt,N('Deal maths'!E781)&lt;=AsAt),IF(N('Deal maths'!H781)&gt;0,N('Deal maths'!H781),N('Deal maths'!D781)),0)</f>
        <v/>
      </c>
      <c r="C781" s="91">
        <f>IF(B781&gt;0,IF('Deal maths'!C781="Local authority","Local authorities",LOWER(TRIM('Deal maths'!B781))),"")</f>
        <v/>
      </c>
      <c r="D781" s="91">
        <f>IF(C781="","",IF(COUNTIF($C$4:C780,C781)=0,SUMIF($C$4:$C$3997,C781,$B$4:$B$3997)-ROW()/1000000,""))</f>
        <v/>
      </c>
      <c r="E781" s="91">
        <f>IF(AND(N('Deal maths'!F781)&gt;AsAt,N('Deal maths'!E781)&lt;=AsAt,IF(N('Deal maths'!H781)&gt;0,N('Deal maths'!H781),N('Deal maths'!D781))&gt;0),N('Deal maths'!F781)+ROW()/1000000,"")</f>
        <v/>
      </c>
    </row>
    <row r="782">
      <c r="A782" s="91" t="n"/>
      <c r="B782" s="111">
        <f>IF(AND(N('Deal maths'!F782)&gt;AsAt,N('Deal maths'!E782)&lt;=AsAt),IF(N('Deal maths'!H782)&gt;0,N('Deal maths'!H782),N('Deal maths'!D782)),0)</f>
        <v/>
      </c>
      <c r="C782" s="91">
        <f>IF(B782&gt;0,IF('Deal maths'!C782="Local authority","Local authorities",LOWER(TRIM('Deal maths'!B782))),"")</f>
        <v/>
      </c>
      <c r="D782" s="91">
        <f>IF(C782="","",IF(COUNTIF($C$4:C781,C782)=0,SUMIF($C$4:$C$3997,C782,$B$4:$B$3997)-ROW()/1000000,""))</f>
        <v/>
      </c>
      <c r="E782" s="91">
        <f>IF(AND(N('Deal maths'!F782)&gt;AsAt,N('Deal maths'!E782)&lt;=AsAt,IF(N('Deal maths'!H782)&gt;0,N('Deal maths'!H782),N('Deal maths'!D782))&gt;0),N('Deal maths'!F782)+ROW()/1000000,"")</f>
        <v/>
      </c>
    </row>
    <row r="783">
      <c r="A783" s="91" t="n"/>
      <c r="B783" s="111">
        <f>IF(AND(N('Deal maths'!F783)&gt;AsAt,N('Deal maths'!E783)&lt;=AsAt),IF(N('Deal maths'!H783)&gt;0,N('Deal maths'!H783),N('Deal maths'!D783)),0)</f>
        <v/>
      </c>
      <c r="C783" s="91">
        <f>IF(B783&gt;0,IF('Deal maths'!C783="Local authority","Local authorities",LOWER(TRIM('Deal maths'!B783))),"")</f>
        <v/>
      </c>
      <c r="D783" s="91">
        <f>IF(C783="","",IF(COUNTIF($C$4:C782,C783)=0,SUMIF($C$4:$C$3997,C783,$B$4:$B$3997)-ROW()/1000000,""))</f>
        <v/>
      </c>
      <c r="E783" s="91">
        <f>IF(AND(N('Deal maths'!F783)&gt;AsAt,N('Deal maths'!E783)&lt;=AsAt,IF(N('Deal maths'!H783)&gt;0,N('Deal maths'!H783),N('Deal maths'!D783))&gt;0),N('Deal maths'!F783)+ROW()/1000000,"")</f>
        <v/>
      </c>
    </row>
    <row r="784">
      <c r="A784" s="91" t="n"/>
      <c r="B784" s="111">
        <f>IF(AND(N('Deal maths'!F784)&gt;AsAt,N('Deal maths'!E784)&lt;=AsAt),IF(N('Deal maths'!H784)&gt;0,N('Deal maths'!H784),N('Deal maths'!D784)),0)</f>
        <v/>
      </c>
      <c r="C784" s="91">
        <f>IF(B784&gt;0,IF('Deal maths'!C784="Local authority","Local authorities",LOWER(TRIM('Deal maths'!B784))),"")</f>
        <v/>
      </c>
      <c r="D784" s="91">
        <f>IF(C784="","",IF(COUNTIF($C$4:C783,C784)=0,SUMIF($C$4:$C$3997,C784,$B$4:$B$3997)-ROW()/1000000,""))</f>
        <v/>
      </c>
      <c r="E784" s="91">
        <f>IF(AND(N('Deal maths'!F784)&gt;AsAt,N('Deal maths'!E784)&lt;=AsAt,IF(N('Deal maths'!H784)&gt;0,N('Deal maths'!H784),N('Deal maths'!D784))&gt;0),N('Deal maths'!F784)+ROW()/1000000,"")</f>
        <v/>
      </c>
    </row>
    <row r="785">
      <c r="A785" s="91" t="n"/>
      <c r="B785" s="111">
        <f>IF(AND(N('Deal maths'!F785)&gt;AsAt,N('Deal maths'!E785)&lt;=AsAt),IF(N('Deal maths'!H785)&gt;0,N('Deal maths'!H785),N('Deal maths'!D785)),0)</f>
        <v/>
      </c>
      <c r="C785" s="91">
        <f>IF(B785&gt;0,IF('Deal maths'!C785="Local authority","Local authorities",LOWER(TRIM('Deal maths'!B785))),"")</f>
        <v/>
      </c>
      <c r="D785" s="91">
        <f>IF(C785="","",IF(COUNTIF($C$4:C784,C785)=0,SUMIF($C$4:$C$3997,C785,$B$4:$B$3997)-ROW()/1000000,""))</f>
        <v/>
      </c>
      <c r="E785" s="91">
        <f>IF(AND(N('Deal maths'!F785)&gt;AsAt,N('Deal maths'!E785)&lt;=AsAt,IF(N('Deal maths'!H785)&gt;0,N('Deal maths'!H785),N('Deal maths'!D785))&gt;0),N('Deal maths'!F785)+ROW()/1000000,"")</f>
        <v/>
      </c>
    </row>
    <row r="786">
      <c r="A786" s="91" t="n"/>
      <c r="B786" s="111">
        <f>IF(AND(N('Deal maths'!F786)&gt;AsAt,N('Deal maths'!E786)&lt;=AsAt),IF(N('Deal maths'!H786)&gt;0,N('Deal maths'!H786),N('Deal maths'!D786)),0)</f>
        <v/>
      </c>
      <c r="C786" s="91">
        <f>IF(B786&gt;0,IF('Deal maths'!C786="Local authority","Local authorities",LOWER(TRIM('Deal maths'!B786))),"")</f>
        <v/>
      </c>
      <c r="D786" s="91">
        <f>IF(C786="","",IF(COUNTIF($C$4:C785,C786)=0,SUMIF($C$4:$C$3997,C786,$B$4:$B$3997)-ROW()/1000000,""))</f>
        <v/>
      </c>
      <c r="E786" s="91">
        <f>IF(AND(N('Deal maths'!F786)&gt;AsAt,N('Deal maths'!E786)&lt;=AsAt,IF(N('Deal maths'!H786)&gt;0,N('Deal maths'!H786),N('Deal maths'!D786))&gt;0),N('Deal maths'!F786)+ROW()/1000000,"")</f>
        <v/>
      </c>
    </row>
    <row r="787">
      <c r="A787" s="91" t="n"/>
      <c r="B787" s="111">
        <f>IF(AND(N('Deal maths'!F787)&gt;AsAt,N('Deal maths'!E787)&lt;=AsAt),IF(N('Deal maths'!H787)&gt;0,N('Deal maths'!H787),N('Deal maths'!D787)),0)</f>
        <v/>
      </c>
      <c r="C787" s="91">
        <f>IF(B787&gt;0,IF('Deal maths'!C787="Local authority","Local authorities",LOWER(TRIM('Deal maths'!B787))),"")</f>
        <v/>
      </c>
      <c r="D787" s="91">
        <f>IF(C787="","",IF(COUNTIF($C$4:C786,C787)=0,SUMIF($C$4:$C$3997,C787,$B$4:$B$3997)-ROW()/1000000,""))</f>
        <v/>
      </c>
      <c r="E787" s="91">
        <f>IF(AND(N('Deal maths'!F787)&gt;AsAt,N('Deal maths'!E787)&lt;=AsAt,IF(N('Deal maths'!H787)&gt;0,N('Deal maths'!H787),N('Deal maths'!D787))&gt;0),N('Deal maths'!F787)+ROW()/1000000,"")</f>
        <v/>
      </c>
    </row>
    <row r="788">
      <c r="A788" s="91" t="n"/>
      <c r="B788" s="111">
        <f>IF(AND(N('Deal maths'!F788)&gt;AsAt,N('Deal maths'!E788)&lt;=AsAt),IF(N('Deal maths'!H788)&gt;0,N('Deal maths'!H788),N('Deal maths'!D788)),0)</f>
        <v/>
      </c>
      <c r="C788" s="91">
        <f>IF(B788&gt;0,IF('Deal maths'!C788="Local authority","Local authorities",LOWER(TRIM('Deal maths'!B788))),"")</f>
        <v/>
      </c>
      <c r="D788" s="91">
        <f>IF(C788="","",IF(COUNTIF($C$4:C787,C788)=0,SUMIF($C$4:$C$3997,C788,$B$4:$B$3997)-ROW()/1000000,""))</f>
        <v/>
      </c>
      <c r="E788" s="91">
        <f>IF(AND(N('Deal maths'!F788)&gt;AsAt,N('Deal maths'!E788)&lt;=AsAt,IF(N('Deal maths'!H788)&gt;0,N('Deal maths'!H788),N('Deal maths'!D788))&gt;0),N('Deal maths'!F788)+ROW()/1000000,"")</f>
        <v/>
      </c>
    </row>
    <row r="789">
      <c r="A789" s="91" t="n"/>
      <c r="B789" s="111">
        <f>IF(AND(N('Deal maths'!F789)&gt;AsAt,N('Deal maths'!E789)&lt;=AsAt),IF(N('Deal maths'!H789)&gt;0,N('Deal maths'!H789),N('Deal maths'!D789)),0)</f>
        <v/>
      </c>
      <c r="C789" s="91">
        <f>IF(B789&gt;0,IF('Deal maths'!C789="Local authority","Local authorities",LOWER(TRIM('Deal maths'!B789))),"")</f>
        <v/>
      </c>
      <c r="D789" s="91">
        <f>IF(C789="","",IF(COUNTIF($C$4:C788,C789)=0,SUMIF($C$4:$C$3997,C789,$B$4:$B$3997)-ROW()/1000000,""))</f>
        <v/>
      </c>
      <c r="E789" s="91">
        <f>IF(AND(N('Deal maths'!F789)&gt;AsAt,N('Deal maths'!E789)&lt;=AsAt,IF(N('Deal maths'!H789)&gt;0,N('Deal maths'!H789),N('Deal maths'!D789))&gt;0),N('Deal maths'!F789)+ROW()/1000000,"")</f>
        <v/>
      </c>
    </row>
    <row r="790">
      <c r="A790" s="91" t="n"/>
      <c r="B790" s="111">
        <f>IF(AND(N('Deal maths'!F790)&gt;AsAt,N('Deal maths'!E790)&lt;=AsAt),IF(N('Deal maths'!H790)&gt;0,N('Deal maths'!H790),N('Deal maths'!D790)),0)</f>
        <v/>
      </c>
      <c r="C790" s="91">
        <f>IF(B790&gt;0,IF('Deal maths'!C790="Local authority","Local authorities",LOWER(TRIM('Deal maths'!B790))),"")</f>
        <v/>
      </c>
      <c r="D790" s="91">
        <f>IF(C790="","",IF(COUNTIF($C$4:C789,C790)=0,SUMIF($C$4:$C$3997,C790,$B$4:$B$3997)-ROW()/1000000,""))</f>
        <v/>
      </c>
      <c r="E790" s="91">
        <f>IF(AND(N('Deal maths'!F790)&gt;AsAt,N('Deal maths'!E790)&lt;=AsAt,IF(N('Deal maths'!H790)&gt;0,N('Deal maths'!H790),N('Deal maths'!D790))&gt;0),N('Deal maths'!F790)+ROW()/1000000,"")</f>
        <v/>
      </c>
    </row>
    <row r="791">
      <c r="A791" s="91" t="n"/>
      <c r="B791" s="111">
        <f>IF(AND(N('Deal maths'!F791)&gt;AsAt,N('Deal maths'!E791)&lt;=AsAt),IF(N('Deal maths'!H791)&gt;0,N('Deal maths'!H791),N('Deal maths'!D791)),0)</f>
        <v/>
      </c>
      <c r="C791" s="91">
        <f>IF(B791&gt;0,IF('Deal maths'!C791="Local authority","Local authorities",LOWER(TRIM('Deal maths'!B791))),"")</f>
        <v/>
      </c>
      <c r="D791" s="91">
        <f>IF(C791="","",IF(COUNTIF($C$4:C790,C791)=0,SUMIF($C$4:$C$3997,C791,$B$4:$B$3997)-ROW()/1000000,""))</f>
        <v/>
      </c>
      <c r="E791" s="91">
        <f>IF(AND(N('Deal maths'!F791)&gt;AsAt,N('Deal maths'!E791)&lt;=AsAt,IF(N('Deal maths'!H791)&gt;0,N('Deal maths'!H791),N('Deal maths'!D791))&gt;0),N('Deal maths'!F791)+ROW()/1000000,"")</f>
        <v/>
      </c>
    </row>
    <row r="792">
      <c r="A792" s="91" t="n"/>
      <c r="B792" s="111">
        <f>IF(AND(N('Deal maths'!F792)&gt;AsAt,N('Deal maths'!E792)&lt;=AsAt),IF(N('Deal maths'!H792)&gt;0,N('Deal maths'!H792),N('Deal maths'!D792)),0)</f>
        <v/>
      </c>
      <c r="C792" s="91">
        <f>IF(B792&gt;0,IF('Deal maths'!C792="Local authority","Local authorities",LOWER(TRIM('Deal maths'!B792))),"")</f>
        <v/>
      </c>
      <c r="D792" s="91">
        <f>IF(C792="","",IF(COUNTIF($C$4:C791,C792)=0,SUMIF($C$4:$C$3997,C792,$B$4:$B$3997)-ROW()/1000000,""))</f>
        <v/>
      </c>
      <c r="E792" s="91">
        <f>IF(AND(N('Deal maths'!F792)&gt;AsAt,N('Deal maths'!E792)&lt;=AsAt,IF(N('Deal maths'!H792)&gt;0,N('Deal maths'!H792),N('Deal maths'!D792))&gt;0),N('Deal maths'!F792)+ROW()/1000000,"")</f>
        <v/>
      </c>
    </row>
    <row r="793">
      <c r="A793" s="91" t="n"/>
      <c r="B793" s="111">
        <f>IF(AND(N('Deal maths'!F793)&gt;AsAt,N('Deal maths'!E793)&lt;=AsAt),IF(N('Deal maths'!H793)&gt;0,N('Deal maths'!H793),N('Deal maths'!D793)),0)</f>
        <v/>
      </c>
      <c r="C793" s="91">
        <f>IF(B793&gt;0,IF('Deal maths'!C793="Local authority","Local authorities",LOWER(TRIM('Deal maths'!B793))),"")</f>
        <v/>
      </c>
      <c r="D793" s="91">
        <f>IF(C793="","",IF(COUNTIF($C$4:C792,C793)=0,SUMIF($C$4:$C$3997,C793,$B$4:$B$3997)-ROW()/1000000,""))</f>
        <v/>
      </c>
      <c r="E793" s="91">
        <f>IF(AND(N('Deal maths'!F793)&gt;AsAt,N('Deal maths'!E793)&lt;=AsAt,IF(N('Deal maths'!H793)&gt;0,N('Deal maths'!H793),N('Deal maths'!D793))&gt;0),N('Deal maths'!F793)+ROW()/1000000,"")</f>
        <v/>
      </c>
    </row>
    <row r="794">
      <c r="A794" s="91" t="n"/>
      <c r="B794" s="111">
        <f>IF(AND(N('Deal maths'!F794)&gt;AsAt,N('Deal maths'!E794)&lt;=AsAt),IF(N('Deal maths'!H794)&gt;0,N('Deal maths'!H794),N('Deal maths'!D794)),0)</f>
        <v/>
      </c>
      <c r="C794" s="91">
        <f>IF(B794&gt;0,IF('Deal maths'!C794="Local authority","Local authorities",LOWER(TRIM('Deal maths'!B794))),"")</f>
        <v/>
      </c>
      <c r="D794" s="91">
        <f>IF(C794="","",IF(COUNTIF($C$4:C793,C794)=0,SUMIF($C$4:$C$3997,C794,$B$4:$B$3997)-ROW()/1000000,""))</f>
        <v/>
      </c>
      <c r="E794" s="91">
        <f>IF(AND(N('Deal maths'!F794)&gt;AsAt,N('Deal maths'!E794)&lt;=AsAt,IF(N('Deal maths'!H794)&gt;0,N('Deal maths'!H794),N('Deal maths'!D794))&gt;0),N('Deal maths'!F794)+ROW()/1000000,"")</f>
        <v/>
      </c>
    </row>
    <row r="795">
      <c r="A795" s="91" t="n"/>
      <c r="B795" s="111">
        <f>IF(AND(N('Deal maths'!F795)&gt;AsAt,N('Deal maths'!E795)&lt;=AsAt),IF(N('Deal maths'!H795)&gt;0,N('Deal maths'!H795),N('Deal maths'!D795)),0)</f>
        <v/>
      </c>
      <c r="C795" s="91">
        <f>IF(B795&gt;0,IF('Deal maths'!C795="Local authority","Local authorities",LOWER(TRIM('Deal maths'!B795))),"")</f>
        <v/>
      </c>
      <c r="D795" s="91">
        <f>IF(C795="","",IF(COUNTIF($C$4:C794,C795)=0,SUMIF($C$4:$C$3997,C795,$B$4:$B$3997)-ROW()/1000000,""))</f>
        <v/>
      </c>
      <c r="E795" s="91">
        <f>IF(AND(N('Deal maths'!F795)&gt;AsAt,N('Deal maths'!E795)&lt;=AsAt,IF(N('Deal maths'!H795)&gt;0,N('Deal maths'!H795),N('Deal maths'!D795))&gt;0),N('Deal maths'!F795)+ROW()/1000000,"")</f>
        <v/>
      </c>
    </row>
    <row r="796">
      <c r="A796" s="91" t="n"/>
      <c r="B796" s="111">
        <f>IF(AND(N('Deal maths'!F796)&gt;AsAt,N('Deal maths'!E796)&lt;=AsAt),IF(N('Deal maths'!H796)&gt;0,N('Deal maths'!H796),N('Deal maths'!D796)),0)</f>
        <v/>
      </c>
      <c r="C796" s="91">
        <f>IF(B796&gt;0,IF('Deal maths'!C796="Local authority","Local authorities",LOWER(TRIM('Deal maths'!B796))),"")</f>
        <v/>
      </c>
      <c r="D796" s="91">
        <f>IF(C796="","",IF(COUNTIF($C$4:C795,C796)=0,SUMIF($C$4:$C$3997,C796,$B$4:$B$3997)-ROW()/1000000,""))</f>
        <v/>
      </c>
      <c r="E796" s="91">
        <f>IF(AND(N('Deal maths'!F796)&gt;AsAt,N('Deal maths'!E796)&lt;=AsAt,IF(N('Deal maths'!H796)&gt;0,N('Deal maths'!H796),N('Deal maths'!D796))&gt;0),N('Deal maths'!F796)+ROW()/1000000,"")</f>
        <v/>
      </c>
    </row>
    <row r="797">
      <c r="A797" s="91" t="n"/>
      <c r="B797" s="111">
        <f>IF(AND(N('Deal maths'!F797)&gt;AsAt,N('Deal maths'!E797)&lt;=AsAt),IF(N('Deal maths'!H797)&gt;0,N('Deal maths'!H797),N('Deal maths'!D797)),0)</f>
        <v/>
      </c>
      <c r="C797" s="91">
        <f>IF(B797&gt;0,IF('Deal maths'!C797="Local authority","Local authorities",LOWER(TRIM('Deal maths'!B797))),"")</f>
        <v/>
      </c>
      <c r="D797" s="91">
        <f>IF(C797="","",IF(COUNTIF($C$4:C796,C797)=0,SUMIF($C$4:$C$3997,C797,$B$4:$B$3997)-ROW()/1000000,""))</f>
        <v/>
      </c>
      <c r="E797" s="91">
        <f>IF(AND(N('Deal maths'!F797)&gt;AsAt,N('Deal maths'!E797)&lt;=AsAt,IF(N('Deal maths'!H797)&gt;0,N('Deal maths'!H797),N('Deal maths'!D797))&gt;0),N('Deal maths'!F797)+ROW()/1000000,"")</f>
        <v/>
      </c>
    </row>
    <row r="798">
      <c r="A798" s="91" t="n"/>
      <c r="B798" s="111">
        <f>IF(AND(N('Deal maths'!F798)&gt;AsAt,N('Deal maths'!E798)&lt;=AsAt),IF(N('Deal maths'!H798)&gt;0,N('Deal maths'!H798),N('Deal maths'!D798)),0)</f>
        <v/>
      </c>
      <c r="C798" s="91">
        <f>IF(B798&gt;0,IF('Deal maths'!C798="Local authority","Local authorities",LOWER(TRIM('Deal maths'!B798))),"")</f>
        <v/>
      </c>
      <c r="D798" s="91">
        <f>IF(C798="","",IF(COUNTIF($C$4:C797,C798)=0,SUMIF($C$4:$C$3997,C798,$B$4:$B$3997)-ROW()/1000000,""))</f>
        <v/>
      </c>
      <c r="E798" s="91">
        <f>IF(AND(N('Deal maths'!F798)&gt;AsAt,N('Deal maths'!E798)&lt;=AsAt,IF(N('Deal maths'!H798)&gt;0,N('Deal maths'!H798),N('Deal maths'!D798))&gt;0),N('Deal maths'!F798)+ROW()/1000000,"")</f>
        <v/>
      </c>
    </row>
    <row r="799">
      <c r="A799" s="91" t="n"/>
      <c r="B799" s="111">
        <f>IF(AND(N('Deal maths'!F799)&gt;AsAt,N('Deal maths'!E799)&lt;=AsAt),IF(N('Deal maths'!H799)&gt;0,N('Deal maths'!H799),N('Deal maths'!D799)),0)</f>
        <v/>
      </c>
      <c r="C799" s="91">
        <f>IF(B799&gt;0,IF('Deal maths'!C799="Local authority","Local authorities",LOWER(TRIM('Deal maths'!B799))),"")</f>
        <v/>
      </c>
      <c r="D799" s="91">
        <f>IF(C799="","",IF(COUNTIF($C$4:C798,C799)=0,SUMIF($C$4:$C$3997,C799,$B$4:$B$3997)-ROW()/1000000,""))</f>
        <v/>
      </c>
      <c r="E799" s="91">
        <f>IF(AND(N('Deal maths'!F799)&gt;AsAt,N('Deal maths'!E799)&lt;=AsAt,IF(N('Deal maths'!H799)&gt;0,N('Deal maths'!H799),N('Deal maths'!D799))&gt;0),N('Deal maths'!F799)+ROW()/1000000,"")</f>
        <v/>
      </c>
    </row>
    <row r="800">
      <c r="A800" s="91" t="n"/>
      <c r="B800" s="111">
        <f>IF(AND(N('Deal maths'!F800)&gt;AsAt,N('Deal maths'!E800)&lt;=AsAt),IF(N('Deal maths'!H800)&gt;0,N('Deal maths'!H800),N('Deal maths'!D800)),0)</f>
        <v/>
      </c>
      <c r="C800" s="91">
        <f>IF(B800&gt;0,IF('Deal maths'!C800="Local authority","Local authorities",LOWER(TRIM('Deal maths'!B800))),"")</f>
        <v/>
      </c>
      <c r="D800" s="91">
        <f>IF(C800="","",IF(COUNTIF($C$4:C799,C800)=0,SUMIF($C$4:$C$3997,C800,$B$4:$B$3997)-ROW()/1000000,""))</f>
        <v/>
      </c>
      <c r="E800" s="91">
        <f>IF(AND(N('Deal maths'!F800)&gt;AsAt,N('Deal maths'!E800)&lt;=AsAt,IF(N('Deal maths'!H800)&gt;0,N('Deal maths'!H800),N('Deal maths'!D800))&gt;0),N('Deal maths'!F800)+ROW()/1000000,"")</f>
        <v/>
      </c>
    </row>
    <row r="801">
      <c r="A801" s="91" t="n"/>
      <c r="B801" s="111">
        <f>IF(AND(N('Deal maths'!F801)&gt;AsAt,N('Deal maths'!E801)&lt;=AsAt),IF(N('Deal maths'!H801)&gt;0,N('Deal maths'!H801),N('Deal maths'!D801)),0)</f>
        <v/>
      </c>
      <c r="C801" s="91">
        <f>IF(B801&gt;0,IF('Deal maths'!C801="Local authority","Local authorities",LOWER(TRIM('Deal maths'!B801))),"")</f>
        <v/>
      </c>
      <c r="D801" s="91">
        <f>IF(C801="","",IF(COUNTIF($C$4:C800,C801)=0,SUMIF($C$4:$C$3997,C801,$B$4:$B$3997)-ROW()/1000000,""))</f>
        <v/>
      </c>
      <c r="E801" s="91">
        <f>IF(AND(N('Deal maths'!F801)&gt;AsAt,N('Deal maths'!E801)&lt;=AsAt,IF(N('Deal maths'!H801)&gt;0,N('Deal maths'!H801),N('Deal maths'!D801))&gt;0),N('Deal maths'!F801)+ROW()/1000000,"")</f>
        <v/>
      </c>
    </row>
    <row r="802">
      <c r="A802" s="91" t="n"/>
      <c r="B802" s="111">
        <f>IF(AND(N('Deal maths'!F802)&gt;AsAt,N('Deal maths'!E802)&lt;=AsAt),IF(N('Deal maths'!H802)&gt;0,N('Deal maths'!H802),N('Deal maths'!D802)),0)</f>
        <v/>
      </c>
      <c r="C802" s="91">
        <f>IF(B802&gt;0,IF('Deal maths'!C802="Local authority","Local authorities",LOWER(TRIM('Deal maths'!B802))),"")</f>
        <v/>
      </c>
      <c r="D802" s="91">
        <f>IF(C802="","",IF(COUNTIF($C$4:C801,C802)=0,SUMIF($C$4:$C$3997,C802,$B$4:$B$3997)-ROW()/1000000,""))</f>
        <v/>
      </c>
      <c r="E802" s="91">
        <f>IF(AND(N('Deal maths'!F802)&gt;AsAt,N('Deal maths'!E802)&lt;=AsAt,IF(N('Deal maths'!H802)&gt;0,N('Deal maths'!H802),N('Deal maths'!D802))&gt;0),N('Deal maths'!F802)+ROW()/1000000,"")</f>
        <v/>
      </c>
    </row>
    <row r="803">
      <c r="A803" s="91" t="n"/>
      <c r="B803" s="111">
        <f>IF(AND(N('Deal maths'!F803)&gt;AsAt,N('Deal maths'!E803)&lt;=AsAt),IF(N('Deal maths'!H803)&gt;0,N('Deal maths'!H803),N('Deal maths'!D803)),0)</f>
        <v/>
      </c>
      <c r="C803" s="91">
        <f>IF(B803&gt;0,IF('Deal maths'!C803="Local authority","Local authorities",LOWER(TRIM('Deal maths'!B803))),"")</f>
        <v/>
      </c>
      <c r="D803" s="91">
        <f>IF(C803="","",IF(COUNTIF($C$4:C802,C803)=0,SUMIF($C$4:$C$3997,C803,$B$4:$B$3997)-ROW()/1000000,""))</f>
        <v/>
      </c>
      <c r="E803" s="91">
        <f>IF(AND(N('Deal maths'!F803)&gt;AsAt,N('Deal maths'!E803)&lt;=AsAt,IF(N('Deal maths'!H803)&gt;0,N('Deal maths'!H803),N('Deal maths'!D803))&gt;0),N('Deal maths'!F803)+ROW()/1000000,"")</f>
        <v/>
      </c>
    </row>
    <row r="804">
      <c r="A804" s="91" t="n"/>
      <c r="B804" s="111">
        <f>IF(AND(N('Deal maths'!F804)&gt;AsAt,N('Deal maths'!E804)&lt;=AsAt),IF(N('Deal maths'!H804)&gt;0,N('Deal maths'!H804),N('Deal maths'!D804)),0)</f>
        <v/>
      </c>
      <c r="C804" s="91">
        <f>IF(B804&gt;0,IF('Deal maths'!C804="Local authority","Local authorities",LOWER(TRIM('Deal maths'!B804))),"")</f>
        <v/>
      </c>
      <c r="D804" s="91">
        <f>IF(C804="","",IF(COUNTIF($C$4:C803,C804)=0,SUMIF($C$4:$C$3997,C804,$B$4:$B$3997)-ROW()/1000000,""))</f>
        <v/>
      </c>
      <c r="E804" s="91">
        <f>IF(AND(N('Deal maths'!F804)&gt;AsAt,N('Deal maths'!E804)&lt;=AsAt,IF(N('Deal maths'!H804)&gt;0,N('Deal maths'!H804),N('Deal maths'!D804))&gt;0),N('Deal maths'!F804)+ROW()/1000000,"")</f>
        <v/>
      </c>
    </row>
    <row r="805">
      <c r="A805" s="91" t="n"/>
      <c r="B805" s="111">
        <f>IF(AND(N('Deal maths'!F805)&gt;AsAt,N('Deal maths'!E805)&lt;=AsAt),IF(N('Deal maths'!H805)&gt;0,N('Deal maths'!H805),N('Deal maths'!D805)),0)</f>
        <v/>
      </c>
      <c r="C805" s="91">
        <f>IF(B805&gt;0,IF('Deal maths'!C805="Local authority","Local authorities",LOWER(TRIM('Deal maths'!B805))),"")</f>
        <v/>
      </c>
      <c r="D805" s="91">
        <f>IF(C805="","",IF(COUNTIF($C$4:C804,C805)=0,SUMIF($C$4:$C$3997,C805,$B$4:$B$3997)-ROW()/1000000,""))</f>
        <v/>
      </c>
      <c r="E805" s="91">
        <f>IF(AND(N('Deal maths'!F805)&gt;AsAt,N('Deal maths'!E805)&lt;=AsAt,IF(N('Deal maths'!H805)&gt;0,N('Deal maths'!H805),N('Deal maths'!D805))&gt;0),N('Deal maths'!F805)+ROW()/1000000,"")</f>
        <v/>
      </c>
    </row>
    <row r="806">
      <c r="A806" s="91" t="n"/>
      <c r="B806" s="111">
        <f>IF(AND(N('Deal maths'!F806)&gt;AsAt,N('Deal maths'!E806)&lt;=AsAt),IF(N('Deal maths'!H806)&gt;0,N('Deal maths'!H806),N('Deal maths'!D806)),0)</f>
        <v/>
      </c>
      <c r="C806" s="91">
        <f>IF(B806&gt;0,IF('Deal maths'!C806="Local authority","Local authorities",LOWER(TRIM('Deal maths'!B806))),"")</f>
        <v/>
      </c>
      <c r="D806" s="91">
        <f>IF(C806="","",IF(COUNTIF($C$4:C805,C806)=0,SUMIF($C$4:$C$3997,C806,$B$4:$B$3997)-ROW()/1000000,""))</f>
        <v/>
      </c>
      <c r="E806" s="91">
        <f>IF(AND(N('Deal maths'!F806)&gt;AsAt,N('Deal maths'!E806)&lt;=AsAt,IF(N('Deal maths'!H806)&gt;0,N('Deal maths'!H806),N('Deal maths'!D806))&gt;0),N('Deal maths'!F806)+ROW()/1000000,"")</f>
        <v/>
      </c>
    </row>
    <row r="807">
      <c r="A807" s="91" t="n"/>
      <c r="B807" s="111">
        <f>IF(AND(N('Deal maths'!F807)&gt;AsAt,N('Deal maths'!E807)&lt;=AsAt),IF(N('Deal maths'!H807)&gt;0,N('Deal maths'!H807),N('Deal maths'!D807)),0)</f>
        <v/>
      </c>
      <c r="C807" s="91">
        <f>IF(B807&gt;0,IF('Deal maths'!C807="Local authority","Local authorities",LOWER(TRIM('Deal maths'!B807))),"")</f>
        <v/>
      </c>
      <c r="D807" s="91">
        <f>IF(C807="","",IF(COUNTIF($C$4:C806,C807)=0,SUMIF($C$4:$C$3997,C807,$B$4:$B$3997)-ROW()/1000000,""))</f>
        <v/>
      </c>
      <c r="E807" s="91">
        <f>IF(AND(N('Deal maths'!F807)&gt;AsAt,N('Deal maths'!E807)&lt;=AsAt,IF(N('Deal maths'!H807)&gt;0,N('Deal maths'!H807),N('Deal maths'!D807))&gt;0),N('Deal maths'!F807)+ROW()/1000000,"")</f>
        <v/>
      </c>
    </row>
    <row r="808">
      <c r="A808" s="91" t="n"/>
      <c r="B808" s="111">
        <f>IF(AND(N('Deal maths'!F808)&gt;AsAt,N('Deal maths'!E808)&lt;=AsAt),IF(N('Deal maths'!H808)&gt;0,N('Deal maths'!H808),N('Deal maths'!D808)),0)</f>
        <v/>
      </c>
      <c r="C808" s="91">
        <f>IF(B808&gt;0,IF('Deal maths'!C808="Local authority","Local authorities",LOWER(TRIM('Deal maths'!B808))),"")</f>
        <v/>
      </c>
      <c r="D808" s="91">
        <f>IF(C808="","",IF(COUNTIF($C$4:C807,C808)=0,SUMIF($C$4:$C$3997,C808,$B$4:$B$3997)-ROW()/1000000,""))</f>
        <v/>
      </c>
      <c r="E808" s="91">
        <f>IF(AND(N('Deal maths'!F808)&gt;AsAt,N('Deal maths'!E808)&lt;=AsAt,IF(N('Deal maths'!H808)&gt;0,N('Deal maths'!H808),N('Deal maths'!D808))&gt;0),N('Deal maths'!F808)+ROW()/1000000,"")</f>
        <v/>
      </c>
    </row>
    <row r="809">
      <c r="A809" s="91" t="n"/>
      <c r="B809" s="111">
        <f>IF(AND(N('Deal maths'!F809)&gt;AsAt,N('Deal maths'!E809)&lt;=AsAt),IF(N('Deal maths'!H809)&gt;0,N('Deal maths'!H809),N('Deal maths'!D809)),0)</f>
        <v/>
      </c>
      <c r="C809" s="91">
        <f>IF(B809&gt;0,IF('Deal maths'!C809="Local authority","Local authorities",LOWER(TRIM('Deal maths'!B809))),"")</f>
        <v/>
      </c>
      <c r="D809" s="91">
        <f>IF(C809="","",IF(COUNTIF($C$4:C808,C809)=0,SUMIF($C$4:$C$3997,C809,$B$4:$B$3997)-ROW()/1000000,""))</f>
        <v/>
      </c>
      <c r="E809" s="91">
        <f>IF(AND(N('Deal maths'!F809)&gt;AsAt,N('Deal maths'!E809)&lt;=AsAt,IF(N('Deal maths'!H809)&gt;0,N('Deal maths'!H809),N('Deal maths'!D809))&gt;0),N('Deal maths'!F809)+ROW()/1000000,"")</f>
        <v/>
      </c>
    </row>
    <row r="810">
      <c r="A810" s="91" t="n"/>
      <c r="B810" s="111">
        <f>IF(AND(N('Deal maths'!F810)&gt;AsAt,N('Deal maths'!E810)&lt;=AsAt),IF(N('Deal maths'!H810)&gt;0,N('Deal maths'!H810),N('Deal maths'!D810)),0)</f>
        <v/>
      </c>
      <c r="C810" s="91">
        <f>IF(B810&gt;0,IF('Deal maths'!C810="Local authority","Local authorities",LOWER(TRIM('Deal maths'!B810))),"")</f>
        <v/>
      </c>
      <c r="D810" s="91">
        <f>IF(C810="","",IF(COUNTIF($C$4:C809,C810)=0,SUMIF($C$4:$C$3997,C810,$B$4:$B$3997)-ROW()/1000000,""))</f>
        <v/>
      </c>
      <c r="E810" s="91">
        <f>IF(AND(N('Deal maths'!F810)&gt;AsAt,N('Deal maths'!E810)&lt;=AsAt,IF(N('Deal maths'!H810)&gt;0,N('Deal maths'!H810),N('Deal maths'!D810))&gt;0),N('Deal maths'!F810)+ROW()/1000000,"")</f>
        <v/>
      </c>
    </row>
    <row r="811">
      <c r="A811" s="91" t="n"/>
      <c r="B811" s="111">
        <f>IF(AND(N('Deal maths'!F811)&gt;AsAt,N('Deal maths'!E811)&lt;=AsAt),IF(N('Deal maths'!H811)&gt;0,N('Deal maths'!H811),N('Deal maths'!D811)),0)</f>
        <v/>
      </c>
      <c r="C811" s="91">
        <f>IF(B811&gt;0,IF('Deal maths'!C811="Local authority","Local authorities",LOWER(TRIM('Deal maths'!B811))),"")</f>
        <v/>
      </c>
      <c r="D811" s="91">
        <f>IF(C811="","",IF(COUNTIF($C$4:C810,C811)=0,SUMIF($C$4:$C$3997,C811,$B$4:$B$3997)-ROW()/1000000,""))</f>
        <v/>
      </c>
      <c r="E811" s="91">
        <f>IF(AND(N('Deal maths'!F811)&gt;AsAt,N('Deal maths'!E811)&lt;=AsAt,IF(N('Deal maths'!H811)&gt;0,N('Deal maths'!H811),N('Deal maths'!D811))&gt;0),N('Deal maths'!F811)+ROW()/1000000,"")</f>
        <v/>
      </c>
    </row>
    <row r="812">
      <c r="A812" s="91" t="n"/>
      <c r="B812" s="111">
        <f>IF(AND(N('Deal maths'!F812)&gt;AsAt,N('Deal maths'!E812)&lt;=AsAt),IF(N('Deal maths'!H812)&gt;0,N('Deal maths'!H812),N('Deal maths'!D812)),0)</f>
        <v/>
      </c>
      <c r="C812" s="91">
        <f>IF(B812&gt;0,IF('Deal maths'!C812="Local authority","Local authorities",LOWER(TRIM('Deal maths'!B812))),"")</f>
        <v/>
      </c>
      <c r="D812" s="91">
        <f>IF(C812="","",IF(COUNTIF($C$4:C811,C812)=0,SUMIF($C$4:$C$3997,C812,$B$4:$B$3997)-ROW()/1000000,""))</f>
        <v/>
      </c>
      <c r="E812" s="91">
        <f>IF(AND(N('Deal maths'!F812)&gt;AsAt,N('Deal maths'!E812)&lt;=AsAt,IF(N('Deal maths'!H812)&gt;0,N('Deal maths'!H812),N('Deal maths'!D812))&gt;0),N('Deal maths'!F812)+ROW()/1000000,"")</f>
        <v/>
      </c>
    </row>
    <row r="813">
      <c r="A813" s="91" t="n"/>
      <c r="B813" s="111">
        <f>IF(AND(N('Deal maths'!F813)&gt;AsAt,N('Deal maths'!E813)&lt;=AsAt),IF(N('Deal maths'!H813)&gt;0,N('Deal maths'!H813),N('Deal maths'!D813)),0)</f>
        <v/>
      </c>
      <c r="C813" s="91">
        <f>IF(B813&gt;0,IF('Deal maths'!C813="Local authority","Local authorities",LOWER(TRIM('Deal maths'!B813))),"")</f>
        <v/>
      </c>
      <c r="D813" s="91">
        <f>IF(C813="","",IF(COUNTIF($C$4:C812,C813)=0,SUMIF($C$4:$C$3997,C813,$B$4:$B$3997)-ROW()/1000000,""))</f>
        <v/>
      </c>
      <c r="E813" s="91">
        <f>IF(AND(N('Deal maths'!F813)&gt;AsAt,N('Deal maths'!E813)&lt;=AsAt,IF(N('Deal maths'!H813)&gt;0,N('Deal maths'!H813),N('Deal maths'!D813))&gt;0),N('Deal maths'!F813)+ROW()/1000000,"")</f>
        <v/>
      </c>
    </row>
    <row r="814">
      <c r="A814" s="91" t="n"/>
      <c r="B814" s="111">
        <f>IF(AND(N('Deal maths'!F814)&gt;AsAt,N('Deal maths'!E814)&lt;=AsAt),IF(N('Deal maths'!H814)&gt;0,N('Deal maths'!H814),N('Deal maths'!D814)),0)</f>
        <v/>
      </c>
      <c r="C814" s="91">
        <f>IF(B814&gt;0,IF('Deal maths'!C814="Local authority","Local authorities",LOWER(TRIM('Deal maths'!B814))),"")</f>
        <v/>
      </c>
      <c r="D814" s="91">
        <f>IF(C814="","",IF(COUNTIF($C$4:C813,C814)=0,SUMIF($C$4:$C$3997,C814,$B$4:$B$3997)-ROW()/1000000,""))</f>
        <v/>
      </c>
      <c r="E814" s="91">
        <f>IF(AND(N('Deal maths'!F814)&gt;AsAt,N('Deal maths'!E814)&lt;=AsAt,IF(N('Deal maths'!H814)&gt;0,N('Deal maths'!H814),N('Deal maths'!D814))&gt;0),N('Deal maths'!F814)+ROW()/1000000,"")</f>
        <v/>
      </c>
    </row>
    <row r="815">
      <c r="A815" s="91" t="n"/>
      <c r="B815" s="111">
        <f>IF(AND(N('Deal maths'!F815)&gt;AsAt,N('Deal maths'!E815)&lt;=AsAt),IF(N('Deal maths'!H815)&gt;0,N('Deal maths'!H815),N('Deal maths'!D815)),0)</f>
        <v/>
      </c>
      <c r="C815" s="91">
        <f>IF(B815&gt;0,IF('Deal maths'!C815="Local authority","Local authorities",LOWER(TRIM('Deal maths'!B815))),"")</f>
        <v/>
      </c>
      <c r="D815" s="91">
        <f>IF(C815="","",IF(COUNTIF($C$4:C814,C815)=0,SUMIF($C$4:$C$3997,C815,$B$4:$B$3997)-ROW()/1000000,""))</f>
        <v/>
      </c>
      <c r="E815" s="91">
        <f>IF(AND(N('Deal maths'!F815)&gt;AsAt,N('Deal maths'!E815)&lt;=AsAt,IF(N('Deal maths'!H815)&gt;0,N('Deal maths'!H815),N('Deal maths'!D815))&gt;0),N('Deal maths'!F815)+ROW()/1000000,"")</f>
        <v/>
      </c>
    </row>
    <row r="816">
      <c r="A816" s="91" t="n"/>
      <c r="B816" s="111">
        <f>IF(AND(N('Deal maths'!F816)&gt;AsAt,N('Deal maths'!E816)&lt;=AsAt),IF(N('Deal maths'!H816)&gt;0,N('Deal maths'!H816),N('Deal maths'!D816)),0)</f>
        <v/>
      </c>
      <c r="C816" s="91">
        <f>IF(B816&gt;0,IF('Deal maths'!C816="Local authority","Local authorities",LOWER(TRIM('Deal maths'!B816))),"")</f>
        <v/>
      </c>
      <c r="D816" s="91">
        <f>IF(C816="","",IF(COUNTIF($C$4:C815,C816)=0,SUMIF($C$4:$C$3997,C816,$B$4:$B$3997)-ROW()/1000000,""))</f>
        <v/>
      </c>
      <c r="E816" s="91">
        <f>IF(AND(N('Deal maths'!F816)&gt;AsAt,N('Deal maths'!E816)&lt;=AsAt,IF(N('Deal maths'!H816)&gt;0,N('Deal maths'!H816),N('Deal maths'!D816))&gt;0),N('Deal maths'!F816)+ROW()/1000000,"")</f>
        <v/>
      </c>
    </row>
    <row r="817">
      <c r="A817" s="91" t="n"/>
      <c r="B817" s="111">
        <f>IF(AND(N('Deal maths'!F817)&gt;AsAt,N('Deal maths'!E817)&lt;=AsAt),IF(N('Deal maths'!H817)&gt;0,N('Deal maths'!H817),N('Deal maths'!D817)),0)</f>
        <v/>
      </c>
      <c r="C817" s="91">
        <f>IF(B817&gt;0,IF('Deal maths'!C817="Local authority","Local authorities",LOWER(TRIM('Deal maths'!B817))),"")</f>
        <v/>
      </c>
      <c r="D817" s="91">
        <f>IF(C817="","",IF(COUNTIF($C$4:C816,C817)=0,SUMIF($C$4:$C$3997,C817,$B$4:$B$3997)-ROW()/1000000,""))</f>
        <v/>
      </c>
      <c r="E817" s="91">
        <f>IF(AND(N('Deal maths'!F817)&gt;AsAt,N('Deal maths'!E817)&lt;=AsAt,IF(N('Deal maths'!H817)&gt;0,N('Deal maths'!H817),N('Deal maths'!D817))&gt;0),N('Deal maths'!F817)+ROW()/1000000,"")</f>
        <v/>
      </c>
    </row>
    <row r="818">
      <c r="A818" s="91" t="n"/>
      <c r="B818" s="111">
        <f>IF(AND(N('Deal maths'!F818)&gt;AsAt,N('Deal maths'!E818)&lt;=AsAt),IF(N('Deal maths'!H818)&gt;0,N('Deal maths'!H818),N('Deal maths'!D818)),0)</f>
        <v/>
      </c>
      <c r="C818" s="91">
        <f>IF(B818&gt;0,IF('Deal maths'!C818="Local authority","Local authorities",LOWER(TRIM('Deal maths'!B818))),"")</f>
        <v/>
      </c>
      <c r="D818" s="91">
        <f>IF(C818="","",IF(COUNTIF($C$4:C817,C818)=0,SUMIF($C$4:$C$3997,C818,$B$4:$B$3997)-ROW()/1000000,""))</f>
        <v/>
      </c>
      <c r="E818" s="91">
        <f>IF(AND(N('Deal maths'!F818)&gt;AsAt,N('Deal maths'!E818)&lt;=AsAt,IF(N('Deal maths'!H818)&gt;0,N('Deal maths'!H818),N('Deal maths'!D818))&gt;0),N('Deal maths'!F818)+ROW()/1000000,"")</f>
        <v/>
      </c>
    </row>
    <row r="819">
      <c r="A819" s="91" t="n"/>
      <c r="B819" s="111">
        <f>IF(AND(N('Deal maths'!F819)&gt;AsAt,N('Deal maths'!E819)&lt;=AsAt),IF(N('Deal maths'!H819)&gt;0,N('Deal maths'!H819),N('Deal maths'!D819)),0)</f>
        <v/>
      </c>
      <c r="C819" s="91">
        <f>IF(B819&gt;0,IF('Deal maths'!C819="Local authority","Local authorities",LOWER(TRIM('Deal maths'!B819))),"")</f>
        <v/>
      </c>
      <c r="D819" s="91">
        <f>IF(C819="","",IF(COUNTIF($C$4:C818,C819)=0,SUMIF($C$4:$C$3997,C819,$B$4:$B$3997)-ROW()/1000000,""))</f>
        <v/>
      </c>
      <c r="E819" s="91">
        <f>IF(AND(N('Deal maths'!F819)&gt;AsAt,N('Deal maths'!E819)&lt;=AsAt,IF(N('Deal maths'!H819)&gt;0,N('Deal maths'!H819),N('Deal maths'!D819))&gt;0),N('Deal maths'!F819)+ROW()/1000000,"")</f>
        <v/>
      </c>
    </row>
    <row r="820">
      <c r="A820" s="91" t="n"/>
      <c r="B820" s="111">
        <f>IF(AND(N('Deal maths'!F820)&gt;AsAt,N('Deal maths'!E820)&lt;=AsAt),IF(N('Deal maths'!H820)&gt;0,N('Deal maths'!H820),N('Deal maths'!D820)),0)</f>
        <v/>
      </c>
      <c r="C820" s="91">
        <f>IF(B820&gt;0,IF('Deal maths'!C820="Local authority","Local authorities",LOWER(TRIM('Deal maths'!B820))),"")</f>
        <v/>
      </c>
      <c r="D820" s="91">
        <f>IF(C820="","",IF(COUNTIF($C$4:C819,C820)=0,SUMIF($C$4:$C$3997,C820,$B$4:$B$3997)-ROW()/1000000,""))</f>
        <v/>
      </c>
      <c r="E820" s="91">
        <f>IF(AND(N('Deal maths'!F820)&gt;AsAt,N('Deal maths'!E820)&lt;=AsAt,IF(N('Deal maths'!H820)&gt;0,N('Deal maths'!H820),N('Deal maths'!D820))&gt;0),N('Deal maths'!F820)+ROW()/1000000,"")</f>
        <v/>
      </c>
    </row>
    <row r="821">
      <c r="A821" s="91" t="n"/>
      <c r="B821" s="111">
        <f>IF(AND(N('Deal maths'!F821)&gt;AsAt,N('Deal maths'!E821)&lt;=AsAt),IF(N('Deal maths'!H821)&gt;0,N('Deal maths'!H821),N('Deal maths'!D821)),0)</f>
        <v/>
      </c>
      <c r="C821" s="91">
        <f>IF(B821&gt;0,IF('Deal maths'!C821="Local authority","Local authorities",LOWER(TRIM('Deal maths'!B821))),"")</f>
        <v/>
      </c>
      <c r="D821" s="91">
        <f>IF(C821="","",IF(COUNTIF($C$4:C820,C821)=0,SUMIF($C$4:$C$3997,C821,$B$4:$B$3997)-ROW()/1000000,""))</f>
        <v/>
      </c>
      <c r="E821" s="91">
        <f>IF(AND(N('Deal maths'!F821)&gt;AsAt,N('Deal maths'!E821)&lt;=AsAt,IF(N('Deal maths'!H821)&gt;0,N('Deal maths'!H821),N('Deal maths'!D821))&gt;0),N('Deal maths'!F821)+ROW()/1000000,"")</f>
        <v/>
      </c>
    </row>
    <row r="822">
      <c r="A822" s="91" t="n"/>
      <c r="B822" s="111">
        <f>IF(AND(N('Deal maths'!F822)&gt;AsAt,N('Deal maths'!E822)&lt;=AsAt),IF(N('Deal maths'!H822)&gt;0,N('Deal maths'!H822),N('Deal maths'!D822)),0)</f>
        <v/>
      </c>
      <c r="C822" s="91">
        <f>IF(B822&gt;0,IF('Deal maths'!C822="Local authority","Local authorities",LOWER(TRIM('Deal maths'!B822))),"")</f>
        <v/>
      </c>
      <c r="D822" s="91">
        <f>IF(C822="","",IF(COUNTIF($C$4:C821,C822)=0,SUMIF($C$4:$C$3997,C822,$B$4:$B$3997)-ROW()/1000000,""))</f>
        <v/>
      </c>
      <c r="E822" s="91">
        <f>IF(AND(N('Deal maths'!F822)&gt;AsAt,N('Deal maths'!E822)&lt;=AsAt,IF(N('Deal maths'!H822)&gt;0,N('Deal maths'!H822),N('Deal maths'!D822))&gt;0),N('Deal maths'!F822)+ROW()/1000000,"")</f>
        <v/>
      </c>
    </row>
    <row r="823">
      <c r="A823" s="91" t="n"/>
      <c r="B823" s="111">
        <f>IF(AND(N('Deal maths'!F823)&gt;AsAt,N('Deal maths'!E823)&lt;=AsAt),IF(N('Deal maths'!H823)&gt;0,N('Deal maths'!H823),N('Deal maths'!D823)),0)</f>
        <v/>
      </c>
      <c r="C823" s="91">
        <f>IF(B823&gt;0,IF('Deal maths'!C823="Local authority","Local authorities",LOWER(TRIM('Deal maths'!B823))),"")</f>
        <v/>
      </c>
      <c r="D823" s="91">
        <f>IF(C823="","",IF(COUNTIF($C$4:C822,C823)=0,SUMIF($C$4:$C$3997,C823,$B$4:$B$3997)-ROW()/1000000,""))</f>
        <v/>
      </c>
      <c r="E823" s="91">
        <f>IF(AND(N('Deal maths'!F823)&gt;AsAt,N('Deal maths'!E823)&lt;=AsAt,IF(N('Deal maths'!H823)&gt;0,N('Deal maths'!H823),N('Deal maths'!D823))&gt;0),N('Deal maths'!F823)+ROW()/1000000,"")</f>
        <v/>
      </c>
    </row>
    <row r="824">
      <c r="A824" s="91" t="n"/>
      <c r="B824" s="111">
        <f>IF(AND(N('Deal maths'!F824)&gt;AsAt,N('Deal maths'!E824)&lt;=AsAt),IF(N('Deal maths'!H824)&gt;0,N('Deal maths'!H824),N('Deal maths'!D824)),0)</f>
        <v/>
      </c>
      <c r="C824" s="91">
        <f>IF(B824&gt;0,IF('Deal maths'!C824="Local authority","Local authorities",LOWER(TRIM('Deal maths'!B824))),"")</f>
        <v/>
      </c>
      <c r="D824" s="91">
        <f>IF(C824="","",IF(COUNTIF($C$4:C823,C824)=0,SUMIF($C$4:$C$3997,C824,$B$4:$B$3997)-ROW()/1000000,""))</f>
        <v/>
      </c>
      <c r="E824" s="91">
        <f>IF(AND(N('Deal maths'!F824)&gt;AsAt,N('Deal maths'!E824)&lt;=AsAt,IF(N('Deal maths'!H824)&gt;0,N('Deal maths'!H824),N('Deal maths'!D824))&gt;0),N('Deal maths'!F824)+ROW()/1000000,"")</f>
        <v/>
      </c>
    </row>
    <row r="825">
      <c r="A825" s="91" t="n"/>
      <c r="B825" s="111">
        <f>IF(AND(N('Deal maths'!F825)&gt;AsAt,N('Deal maths'!E825)&lt;=AsAt),IF(N('Deal maths'!H825)&gt;0,N('Deal maths'!H825),N('Deal maths'!D825)),0)</f>
        <v/>
      </c>
      <c r="C825" s="91">
        <f>IF(B825&gt;0,IF('Deal maths'!C825="Local authority","Local authorities",LOWER(TRIM('Deal maths'!B825))),"")</f>
        <v/>
      </c>
      <c r="D825" s="91">
        <f>IF(C825="","",IF(COUNTIF($C$4:C824,C825)=0,SUMIF($C$4:$C$3997,C825,$B$4:$B$3997)-ROW()/1000000,""))</f>
        <v/>
      </c>
      <c r="E825" s="91">
        <f>IF(AND(N('Deal maths'!F825)&gt;AsAt,N('Deal maths'!E825)&lt;=AsAt,IF(N('Deal maths'!H825)&gt;0,N('Deal maths'!H825),N('Deal maths'!D825))&gt;0),N('Deal maths'!F825)+ROW()/1000000,"")</f>
        <v/>
      </c>
    </row>
    <row r="826">
      <c r="A826" s="91" t="n"/>
      <c r="B826" s="111">
        <f>IF(AND(N('Deal maths'!F826)&gt;AsAt,N('Deal maths'!E826)&lt;=AsAt),IF(N('Deal maths'!H826)&gt;0,N('Deal maths'!H826),N('Deal maths'!D826)),0)</f>
        <v/>
      </c>
      <c r="C826" s="91">
        <f>IF(B826&gt;0,IF('Deal maths'!C826="Local authority","Local authorities",LOWER(TRIM('Deal maths'!B826))),"")</f>
        <v/>
      </c>
      <c r="D826" s="91">
        <f>IF(C826="","",IF(COUNTIF($C$4:C825,C826)=0,SUMIF($C$4:$C$3997,C826,$B$4:$B$3997)-ROW()/1000000,""))</f>
        <v/>
      </c>
      <c r="E826" s="91">
        <f>IF(AND(N('Deal maths'!F826)&gt;AsAt,N('Deal maths'!E826)&lt;=AsAt,IF(N('Deal maths'!H826)&gt;0,N('Deal maths'!H826),N('Deal maths'!D826))&gt;0),N('Deal maths'!F826)+ROW()/1000000,"")</f>
        <v/>
      </c>
    </row>
    <row r="827">
      <c r="A827" s="91" t="n"/>
      <c r="B827" s="111">
        <f>IF(AND(N('Deal maths'!F827)&gt;AsAt,N('Deal maths'!E827)&lt;=AsAt),IF(N('Deal maths'!H827)&gt;0,N('Deal maths'!H827),N('Deal maths'!D827)),0)</f>
        <v/>
      </c>
      <c r="C827" s="91">
        <f>IF(B827&gt;0,IF('Deal maths'!C827="Local authority","Local authorities",LOWER(TRIM('Deal maths'!B827))),"")</f>
        <v/>
      </c>
      <c r="D827" s="91">
        <f>IF(C827="","",IF(COUNTIF($C$4:C826,C827)=0,SUMIF($C$4:$C$3997,C827,$B$4:$B$3997)-ROW()/1000000,""))</f>
        <v/>
      </c>
      <c r="E827" s="91">
        <f>IF(AND(N('Deal maths'!F827)&gt;AsAt,N('Deal maths'!E827)&lt;=AsAt,IF(N('Deal maths'!H827)&gt;0,N('Deal maths'!H827),N('Deal maths'!D827))&gt;0),N('Deal maths'!F827)+ROW()/1000000,"")</f>
        <v/>
      </c>
    </row>
    <row r="828">
      <c r="A828" s="91" t="n"/>
      <c r="B828" s="111">
        <f>IF(AND(N('Deal maths'!F828)&gt;AsAt,N('Deal maths'!E828)&lt;=AsAt),IF(N('Deal maths'!H828)&gt;0,N('Deal maths'!H828),N('Deal maths'!D828)),0)</f>
        <v/>
      </c>
      <c r="C828" s="91">
        <f>IF(B828&gt;0,IF('Deal maths'!C828="Local authority","Local authorities",LOWER(TRIM('Deal maths'!B828))),"")</f>
        <v/>
      </c>
      <c r="D828" s="91">
        <f>IF(C828="","",IF(COUNTIF($C$4:C827,C828)=0,SUMIF($C$4:$C$3997,C828,$B$4:$B$3997)-ROW()/1000000,""))</f>
        <v/>
      </c>
      <c r="E828" s="91">
        <f>IF(AND(N('Deal maths'!F828)&gt;AsAt,N('Deal maths'!E828)&lt;=AsAt,IF(N('Deal maths'!H828)&gt;0,N('Deal maths'!H828),N('Deal maths'!D828))&gt;0),N('Deal maths'!F828)+ROW()/1000000,"")</f>
        <v/>
      </c>
    </row>
    <row r="829">
      <c r="A829" s="91" t="n"/>
      <c r="B829" s="111">
        <f>IF(AND(N('Deal maths'!F829)&gt;AsAt,N('Deal maths'!E829)&lt;=AsAt),IF(N('Deal maths'!H829)&gt;0,N('Deal maths'!H829),N('Deal maths'!D829)),0)</f>
        <v/>
      </c>
      <c r="C829" s="91">
        <f>IF(B829&gt;0,IF('Deal maths'!C829="Local authority","Local authorities",LOWER(TRIM('Deal maths'!B829))),"")</f>
        <v/>
      </c>
      <c r="D829" s="91">
        <f>IF(C829="","",IF(COUNTIF($C$4:C828,C829)=0,SUMIF($C$4:$C$3997,C829,$B$4:$B$3997)-ROW()/1000000,""))</f>
        <v/>
      </c>
      <c r="E829" s="91">
        <f>IF(AND(N('Deal maths'!F829)&gt;AsAt,N('Deal maths'!E829)&lt;=AsAt,IF(N('Deal maths'!H829)&gt;0,N('Deal maths'!H829),N('Deal maths'!D829))&gt;0),N('Deal maths'!F829)+ROW()/1000000,"")</f>
        <v/>
      </c>
    </row>
    <row r="830">
      <c r="A830" s="91" t="n"/>
      <c r="B830" s="111">
        <f>IF(AND(N('Deal maths'!F830)&gt;AsAt,N('Deal maths'!E830)&lt;=AsAt),IF(N('Deal maths'!H830)&gt;0,N('Deal maths'!H830),N('Deal maths'!D830)),0)</f>
        <v/>
      </c>
      <c r="C830" s="91">
        <f>IF(B830&gt;0,IF('Deal maths'!C830="Local authority","Local authorities",LOWER(TRIM('Deal maths'!B830))),"")</f>
        <v/>
      </c>
      <c r="D830" s="91">
        <f>IF(C830="","",IF(COUNTIF($C$4:C829,C830)=0,SUMIF($C$4:$C$3997,C830,$B$4:$B$3997)-ROW()/1000000,""))</f>
        <v/>
      </c>
      <c r="E830" s="91">
        <f>IF(AND(N('Deal maths'!F830)&gt;AsAt,N('Deal maths'!E830)&lt;=AsAt,IF(N('Deal maths'!H830)&gt;0,N('Deal maths'!H830),N('Deal maths'!D830))&gt;0),N('Deal maths'!F830)+ROW()/1000000,"")</f>
        <v/>
      </c>
    </row>
    <row r="831">
      <c r="A831" s="91" t="n"/>
      <c r="B831" s="111">
        <f>IF(AND(N('Deal maths'!F831)&gt;AsAt,N('Deal maths'!E831)&lt;=AsAt),IF(N('Deal maths'!H831)&gt;0,N('Deal maths'!H831),N('Deal maths'!D831)),0)</f>
        <v/>
      </c>
      <c r="C831" s="91">
        <f>IF(B831&gt;0,IF('Deal maths'!C831="Local authority","Local authorities",LOWER(TRIM('Deal maths'!B831))),"")</f>
        <v/>
      </c>
      <c r="D831" s="91">
        <f>IF(C831="","",IF(COUNTIF($C$4:C830,C831)=0,SUMIF($C$4:$C$3997,C831,$B$4:$B$3997)-ROW()/1000000,""))</f>
        <v/>
      </c>
      <c r="E831" s="91">
        <f>IF(AND(N('Deal maths'!F831)&gt;AsAt,N('Deal maths'!E831)&lt;=AsAt,IF(N('Deal maths'!H831)&gt;0,N('Deal maths'!H831),N('Deal maths'!D831))&gt;0),N('Deal maths'!F831)+ROW()/1000000,"")</f>
        <v/>
      </c>
    </row>
    <row r="832">
      <c r="A832" s="91" t="n"/>
      <c r="B832" s="111">
        <f>IF(AND(N('Deal maths'!F832)&gt;AsAt,N('Deal maths'!E832)&lt;=AsAt),IF(N('Deal maths'!H832)&gt;0,N('Deal maths'!H832),N('Deal maths'!D832)),0)</f>
        <v/>
      </c>
      <c r="C832" s="91">
        <f>IF(B832&gt;0,IF('Deal maths'!C832="Local authority","Local authorities",LOWER(TRIM('Deal maths'!B832))),"")</f>
        <v/>
      </c>
      <c r="D832" s="91">
        <f>IF(C832="","",IF(COUNTIF($C$4:C831,C832)=0,SUMIF($C$4:$C$3997,C832,$B$4:$B$3997)-ROW()/1000000,""))</f>
        <v/>
      </c>
      <c r="E832" s="91">
        <f>IF(AND(N('Deal maths'!F832)&gt;AsAt,N('Deal maths'!E832)&lt;=AsAt,IF(N('Deal maths'!H832)&gt;0,N('Deal maths'!H832),N('Deal maths'!D832))&gt;0),N('Deal maths'!F832)+ROW()/1000000,"")</f>
        <v/>
      </c>
    </row>
    <row r="833">
      <c r="A833" s="91" t="n"/>
      <c r="B833" s="111">
        <f>IF(AND(N('Deal maths'!F833)&gt;AsAt,N('Deal maths'!E833)&lt;=AsAt),IF(N('Deal maths'!H833)&gt;0,N('Deal maths'!H833),N('Deal maths'!D833)),0)</f>
        <v/>
      </c>
      <c r="C833" s="91">
        <f>IF(B833&gt;0,IF('Deal maths'!C833="Local authority","Local authorities",LOWER(TRIM('Deal maths'!B833))),"")</f>
        <v/>
      </c>
      <c r="D833" s="91">
        <f>IF(C833="","",IF(COUNTIF($C$4:C832,C833)=0,SUMIF($C$4:$C$3997,C833,$B$4:$B$3997)-ROW()/1000000,""))</f>
        <v/>
      </c>
      <c r="E833" s="91">
        <f>IF(AND(N('Deal maths'!F833)&gt;AsAt,N('Deal maths'!E833)&lt;=AsAt,IF(N('Deal maths'!H833)&gt;0,N('Deal maths'!H833),N('Deal maths'!D833))&gt;0),N('Deal maths'!F833)+ROW()/1000000,"")</f>
        <v/>
      </c>
    </row>
    <row r="834">
      <c r="A834" s="91" t="n"/>
      <c r="B834" s="111">
        <f>IF(AND(N('Deal maths'!F834)&gt;AsAt,N('Deal maths'!E834)&lt;=AsAt),IF(N('Deal maths'!H834)&gt;0,N('Deal maths'!H834),N('Deal maths'!D834)),0)</f>
        <v/>
      </c>
      <c r="C834" s="91">
        <f>IF(B834&gt;0,IF('Deal maths'!C834="Local authority","Local authorities",LOWER(TRIM('Deal maths'!B834))),"")</f>
        <v/>
      </c>
      <c r="D834" s="91">
        <f>IF(C834="","",IF(COUNTIF($C$4:C833,C834)=0,SUMIF($C$4:$C$3997,C834,$B$4:$B$3997)-ROW()/1000000,""))</f>
        <v/>
      </c>
      <c r="E834" s="91">
        <f>IF(AND(N('Deal maths'!F834)&gt;AsAt,N('Deal maths'!E834)&lt;=AsAt,IF(N('Deal maths'!H834)&gt;0,N('Deal maths'!H834),N('Deal maths'!D834))&gt;0),N('Deal maths'!F834)+ROW()/1000000,"")</f>
        <v/>
      </c>
    </row>
    <row r="835">
      <c r="A835" s="91" t="n"/>
      <c r="B835" s="111">
        <f>IF(AND(N('Deal maths'!F835)&gt;AsAt,N('Deal maths'!E835)&lt;=AsAt),IF(N('Deal maths'!H835)&gt;0,N('Deal maths'!H835),N('Deal maths'!D835)),0)</f>
        <v/>
      </c>
      <c r="C835" s="91">
        <f>IF(B835&gt;0,IF('Deal maths'!C835="Local authority","Local authorities",LOWER(TRIM('Deal maths'!B835))),"")</f>
        <v/>
      </c>
      <c r="D835" s="91">
        <f>IF(C835="","",IF(COUNTIF($C$4:C834,C835)=0,SUMIF($C$4:$C$3997,C835,$B$4:$B$3997)-ROW()/1000000,""))</f>
        <v/>
      </c>
      <c r="E835" s="91">
        <f>IF(AND(N('Deal maths'!F835)&gt;AsAt,N('Deal maths'!E835)&lt;=AsAt,IF(N('Deal maths'!H835)&gt;0,N('Deal maths'!H835),N('Deal maths'!D835))&gt;0),N('Deal maths'!F835)+ROW()/1000000,"")</f>
        <v/>
      </c>
    </row>
    <row r="836">
      <c r="A836" s="91" t="n"/>
      <c r="B836" s="111">
        <f>IF(AND(N('Deal maths'!F836)&gt;AsAt,N('Deal maths'!E836)&lt;=AsAt),IF(N('Deal maths'!H836)&gt;0,N('Deal maths'!H836),N('Deal maths'!D836)),0)</f>
        <v/>
      </c>
      <c r="C836" s="91">
        <f>IF(B836&gt;0,IF('Deal maths'!C836="Local authority","Local authorities",LOWER(TRIM('Deal maths'!B836))),"")</f>
        <v/>
      </c>
      <c r="D836" s="91">
        <f>IF(C836="","",IF(COUNTIF($C$4:C835,C836)=0,SUMIF($C$4:$C$3997,C836,$B$4:$B$3997)-ROW()/1000000,""))</f>
        <v/>
      </c>
      <c r="E836" s="91">
        <f>IF(AND(N('Deal maths'!F836)&gt;AsAt,N('Deal maths'!E836)&lt;=AsAt,IF(N('Deal maths'!H836)&gt;0,N('Deal maths'!H836),N('Deal maths'!D836))&gt;0),N('Deal maths'!F836)+ROW()/1000000,"")</f>
        <v/>
      </c>
    </row>
    <row r="837">
      <c r="A837" s="91" t="n"/>
      <c r="B837" s="111">
        <f>IF(AND(N('Deal maths'!F837)&gt;AsAt,N('Deal maths'!E837)&lt;=AsAt),IF(N('Deal maths'!H837)&gt;0,N('Deal maths'!H837),N('Deal maths'!D837)),0)</f>
        <v/>
      </c>
      <c r="C837" s="91">
        <f>IF(B837&gt;0,IF('Deal maths'!C837="Local authority","Local authorities",LOWER(TRIM('Deal maths'!B837))),"")</f>
        <v/>
      </c>
      <c r="D837" s="91">
        <f>IF(C837="","",IF(COUNTIF($C$4:C836,C837)=0,SUMIF($C$4:$C$3997,C837,$B$4:$B$3997)-ROW()/1000000,""))</f>
        <v/>
      </c>
      <c r="E837" s="91">
        <f>IF(AND(N('Deal maths'!F837)&gt;AsAt,N('Deal maths'!E837)&lt;=AsAt,IF(N('Deal maths'!H837)&gt;0,N('Deal maths'!H837),N('Deal maths'!D837))&gt;0),N('Deal maths'!F837)+ROW()/1000000,"")</f>
        <v/>
      </c>
    </row>
    <row r="838">
      <c r="A838" s="91" t="n"/>
      <c r="B838" s="111">
        <f>IF(AND(N('Deal maths'!F838)&gt;AsAt,N('Deal maths'!E838)&lt;=AsAt),IF(N('Deal maths'!H838)&gt;0,N('Deal maths'!H838),N('Deal maths'!D838)),0)</f>
        <v/>
      </c>
      <c r="C838" s="91">
        <f>IF(B838&gt;0,IF('Deal maths'!C838="Local authority","Local authorities",LOWER(TRIM('Deal maths'!B838))),"")</f>
        <v/>
      </c>
      <c r="D838" s="91">
        <f>IF(C838="","",IF(COUNTIF($C$4:C837,C838)=0,SUMIF($C$4:$C$3997,C838,$B$4:$B$3997)-ROW()/1000000,""))</f>
        <v/>
      </c>
      <c r="E838" s="91">
        <f>IF(AND(N('Deal maths'!F838)&gt;AsAt,N('Deal maths'!E838)&lt;=AsAt,IF(N('Deal maths'!H838)&gt;0,N('Deal maths'!H838),N('Deal maths'!D838))&gt;0),N('Deal maths'!F838)+ROW()/1000000,"")</f>
        <v/>
      </c>
    </row>
    <row r="839">
      <c r="A839" s="91" t="n"/>
      <c r="B839" s="111">
        <f>IF(AND(N('Deal maths'!F839)&gt;AsAt,N('Deal maths'!E839)&lt;=AsAt),IF(N('Deal maths'!H839)&gt;0,N('Deal maths'!H839),N('Deal maths'!D839)),0)</f>
        <v/>
      </c>
      <c r="C839" s="91">
        <f>IF(B839&gt;0,IF('Deal maths'!C839="Local authority","Local authorities",LOWER(TRIM('Deal maths'!B839))),"")</f>
        <v/>
      </c>
      <c r="D839" s="91">
        <f>IF(C839="","",IF(COUNTIF($C$4:C838,C839)=0,SUMIF($C$4:$C$3997,C839,$B$4:$B$3997)-ROW()/1000000,""))</f>
        <v/>
      </c>
      <c r="E839" s="91">
        <f>IF(AND(N('Deal maths'!F839)&gt;AsAt,N('Deal maths'!E839)&lt;=AsAt,IF(N('Deal maths'!H839)&gt;0,N('Deal maths'!H839),N('Deal maths'!D839))&gt;0),N('Deal maths'!F839)+ROW()/1000000,"")</f>
        <v/>
      </c>
    </row>
    <row r="840">
      <c r="A840" s="91" t="n"/>
      <c r="B840" s="111">
        <f>IF(AND(N('Deal maths'!F840)&gt;AsAt,N('Deal maths'!E840)&lt;=AsAt),IF(N('Deal maths'!H840)&gt;0,N('Deal maths'!H840),N('Deal maths'!D840)),0)</f>
        <v/>
      </c>
      <c r="C840" s="91">
        <f>IF(B840&gt;0,IF('Deal maths'!C840="Local authority","Local authorities",LOWER(TRIM('Deal maths'!B840))),"")</f>
        <v/>
      </c>
      <c r="D840" s="91">
        <f>IF(C840="","",IF(COUNTIF($C$4:C839,C840)=0,SUMIF($C$4:$C$3997,C840,$B$4:$B$3997)-ROW()/1000000,""))</f>
        <v/>
      </c>
      <c r="E840" s="91">
        <f>IF(AND(N('Deal maths'!F840)&gt;AsAt,N('Deal maths'!E840)&lt;=AsAt,IF(N('Deal maths'!H840)&gt;0,N('Deal maths'!H840),N('Deal maths'!D840))&gt;0),N('Deal maths'!F840)+ROW()/1000000,"")</f>
        <v/>
      </c>
    </row>
    <row r="841">
      <c r="A841" s="91" t="n"/>
      <c r="B841" s="111">
        <f>IF(AND(N('Deal maths'!F841)&gt;AsAt,N('Deal maths'!E841)&lt;=AsAt),IF(N('Deal maths'!H841)&gt;0,N('Deal maths'!H841),N('Deal maths'!D841)),0)</f>
        <v/>
      </c>
      <c r="C841" s="91">
        <f>IF(B841&gt;0,IF('Deal maths'!C841="Local authority","Local authorities",LOWER(TRIM('Deal maths'!B841))),"")</f>
        <v/>
      </c>
      <c r="D841" s="91">
        <f>IF(C841="","",IF(COUNTIF($C$4:C840,C841)=0,SUMIF($C$4:$C$3997,C841,$B$4:$B$3997)-ROW()/1000000,""))</f>
        <v/>
      </c>
      <c r="E841" s="91">
        <f>IF(AND(N('Deal maths'!F841)&gt;AsAt,N('Deal maths'!E841)&lt;=AsAt,IF(N('Deal maths'!H841)&gt;0,N('Deal maths'!H841),N('Deal maths'!D841))&gt;0),N('Deal maths'!F841)+ROW()/1000000,"")</f>
        <v/>
      </c>
    </row>
    <row r="842">
      <c r="A842" s="91" t="n"/>
      <c r="B842" s="111">
        <f>IF(AND(N('Deal maths'!F842)&gt;AsAt,N('Deal maths'!E842)&lt;=AsAt),IF(N('Deal maths'!H842)&gt;0,N('Deal maths'!H842),N('Deal maths'!D842)),0)</f>
        <v/>
      </c>
      <c r="C842" s="91">
        <f>IF(B842&gt;0,IF('Deal maths'!C842="Local authority","Local authorities",LOWER(TRIM('Deal maths'!B842))),"")</f>
        <v/>
      </c>
      <c r="D842" s="91">
        <f>IF(C842="","",IF(COUNTIF($C$4:C841,C842)=0,SUMIF($C$4:$C$3997,C842,$B$4:$B$3997)-ROW()/1000000,""))</f>
        <v/>
      </c>
      <c r="E842" s="91">
        <f>IF(AND(N('Deal maths'!F842)&gt;AsAt,N('Deal maths'!E842)&lt;=AsAt,IF(N('Deal maths'!H842)&gt;0,N('Deal maths'!H842),N('Deal maths'!D842))&gt;0),N('Deal maths'!F842)+ROW()/1000000,"")</f>
        <v/>
      </c>
    </row>
    <row r="843">
      <c r="A843" s="91" t="n"/>
      <c r="B843" s="111">
        <f>IF(AND(N('Deal maths'!F843)&gt;AsAt,N('Deal maths'!E843)&lt;=AsAt),IF(N('Deal maths'!H843)&gt;0,N('Deal maths'!H843),N('Deal maths'!D843)),0)</f>
        <v/>
      </c>
      <c r="C843" s="91">
        <f>IF(B843&gt;0,IF('Deal maths'!C843="Local authority","Local authorities",LOWER(TRIM('Deal maths'!B843))),"")</f>
        <v/>
      </c>
      <c r="D843" s="91">
        <f>IF(C843="","",IF(COUNTIF($C$4:C842,C843)=0,SUMIF($C$4:$C$3997,C843,$B$4:$B$3997)-ROW()/1000000,""))</f>
        <v/>
      </c>
      <c r="E843" s="91">
        <f>IF(AND(N('Deal maths'!F843)&gt;AsAt,N('Deal maths'!E843)&lt;=AsAt,IF(N('Deal maths'!H843)&gt;0,N('Deal maths'!H843),N('Deal maths'!D843))&gt;0),N('Deal maths'!F843)+ROW()/1000000,"")</f>
        <v/>
      </c>
    </row>
    <row r="844">
      <c r="A844" s="91" t="n"/>
      <c r="B844" s="111">
        <f>IF(AND(N('Deal maths'!F844)&gt;AsAt,N('Deal maths'!E844)&lt;=AsAt),IF(N('Deal maths'!H844)&gt;0,N('Deal maths'!H844),N('Deal maths'!D844)),0)</f>
        <v/>
      </c>
      <c r="C844" s="91">
        <f>IF(B844&gt;0,IF('Deal maths'!C844="Local authority","Local authorities",LOWER(TRIM('Deal maths'!B844))),"")</f>
        <v/>
      </c>
      <c r="D844" s="91">
        <f>IF(C844="","",IF(COUNTIF($C$4:C843,C844)=0,SUMIF($C$4:$C$3997,C844,$B$4:$B$3997)-ROW()/1000000,""))</f>
        <v/>
      </c>
      <c r="E844" s="91">
        <f>IF(AND(N('Deal maths'!F844)&gt;AsAt,N('Deal maths'!E844)&lt;=AsAt,IF(N('Deal maths'!H844)&gt;0,N('Deal maths'!H844),N('Deal maths'!D844))&gt;0),N('Deal maths'!F844)+ROW()/1000000,"")</f>
        <v/>
      </c>
    </row>
    <row r="845">
      <c r="A845" s="91" t="n"/>
      <c r="B845" s="111">
        <f>IF(AND(N('Deal maths'!F845)&gt;AsAt,N('Deal maths'!E845)&lt;=AsAt),IF(N('Deal maths'!H845)&gt;0,N('Deal maths'!H845),N('Deal maths'!D845)),0)</f>
        <v/>
      </c>
      <c r="C845" s="91">
        <f>IF(B845&gt;0,IF('Deal maths'!C845="Local authority","Local authorities",LOWER(TRIM('Deal maths'!B845))),"")</f>
        <v/>
      </c>
      <c r="D845" s="91">
        <f>IF(C845="","",IF(COUNTIF($C$4:C844,C845)=0,SUMIF($C$4:$C$3997,C845,$B$4:$B$3997)-ROW()/1000000,""))</f>
        <v/>
      </c>
      <c r="E845" s="91">
        <f>IF(AND(N('Deal maths'!F845)&gt;AsAt,N('Deal maths'!E845)&lt;=AsAt,IF(N('Deal maths'!H845)&gt;0,N('Deal maths'!H845),N('Deal maths'!D845))&gt;0),N('Deal maths'!F845)+ROW()/1000000,"")</f>
        <v/>
      </c>
    </row>
    <row r="846">
      <c r="A846" s="91" t="n"/>
      <c r="B846" s="111">
        <f>IF(AND(N('Deal maths'!F846)&gt;AsAt,N('Deal maths'!E846)&lt;=AsAt),IF(N('Deal maths'!H846)&gt;0,N('Deal maths'!H846),N('Deal maths'!D846)),0)</f>
        <v/>
      </c>
      <c r="C846" s="91">
        <f>IF(B846&gt;0,IF('Deal maths'!C846="Local authority","Local authorities",LOWER(TRIM('Deal maths'!B846))),"")</f>
        <v/>
      </c>
      <c r="D846" s="91">
        <f>IF(C846="","",IF(COUNTIF($C$4:C845,C846)=0,SUMIF($C$4:$C$3997,C846,$B$4:$B$3997)-ROW()/1000000,""))</f>
        <v/>
      </c>
      <c r="E846" s="91">
        <f>IF(AND(N('Deal maths'!F846)&gt;AsAt,N('Deal maths'!E846)&lt;=AsAt,IF(N('Deal maths'!H846)&gt;0,N('Deal maths'!H846),N('Deal maths'!D846))&gt;0),N('Deal maths'!F846)+ROW()/1000000,"")</f>
        <v/>
      </c>
    </row>
    <row r="847">
      <c r="A847" s="91" t="n"/>
      <c r="B847" s="111">
        <f>IF(AND(N('Deal maths'!F847)&gt;AsAt,N('Deal maths'!E847)&lt;=AsAt),IF(N('Deal maths'!H847)&gt;0,N('Deal maths'!H847),N('Deal maths'!D847)),0)</f>
        <v/>
      </c>
      <c r="C847" s="91">
        <f>IF(B847&gt;0,IF('Deal maths'!C847="Local authority","Local authorities",LOWER(TRIM('Deal maths'!B847))),"")</f>
        <v/>
      </c>
      <c r="D847" s="91">
        <f>IF(C847="","",IF(COUNTIF($C$4:C846,C847)=0,SUMIF($C$4:$C$3997,C847,$B$4:$B$3997)-ROW()/1000000,""))</f>
        <v/>
      </c>
      <c r="E847" s="91">
        <f>IF(AND(N('Deal maths'!F847)&gt;AsAt,N('Deal maths'!E847)&lt;=AsAt,IF(N('Deal maths'!H847)&gt;0,N('Deal maths'!H847),N('Deal maths'!D847))&gt;0),N('Deal maths'!F847)+ROW()/1000000,"")</f>
        <v/>
      </c>
    </row>
    <row r="848">
      <c r="A848" s="91" t="n"/>
      <c r="B848" s="111">
        <f>IF(AND(N('Deal maths'!F848)&gt;AsAt,N('Deal maths'!E848)&lt;=AsAt),IF(N('Deal maths'!H848)&gt;0,N('Deal maths'!H848),N('Deal maths'!D848)),0)</f>
        <v/>
      </c>
      <c r="C848" s="91">
        <f>IF(B848&gt;0,IF('Deal maths'!C848="Local authority","Local authorities",LOWER(TRIM('Deal maths'!B848))),"")</f>
        <v/>
      </c>
      <c r="D848" s="91">
        <f>IF(C848="","",IF(COUNTIF($C$4:C847,C848)=0,SUMIF($C$4:$C$3997,C848,$B$4:$B$3997)-ROW()/1000000,""))</f>
        <v/>
      </c>
      <c r="E848" s="91">
        <f>IF(AND(N('Deal maths'!F848)&gt;AsAt,N('Deal maths'!E848)&lt;=AsAt,IF(N('Deal maths'!H848)&gt;0,N('Deal maths'!H848),N('Deal maths'!D848))&gt;0),N('Deal maths'!F848)+ROW()/1000000,"")</f>
        <v/>
      </c>
    </row>
    <row r="849">
      <c r="A849" s="91" t="n"/>
      <c r="B849" s="111">
        <f>IF(AND(N('Deal maths'!F849)&gt;AsAt,N('Deal maths'!E849)&lt;=AsAt),IF(N('Deal maths'!H849)&gt;0,N('Deal maths'!H849),N('Deal maths'!D849)),0)</f>
        <v/>
      </c>
      <c r="C849" s="91">
        <f>IF(B849&gt;0,IF('Deal maths'!C849="Local authority","Local authorities",LOWER(TRIM('Deal maths'!B849))),"")</f>
        <v/>
      </c>
      <c r="D849" s="91">
        <f>IF(C849="","",IF(COUNTIF($C$4:C848,C849)=0,SUMIF($C$4:$C$3997,C849,$B$4:$B$3997)-ROW()/1000000,""))</f>
        <v/>
      </c>
      <c r="E849" s="91">
        <f>IF(AND(N('Deal maths'!F849)&gt;AsAt,N('Deal maths'!E849)&lt;=AsAt,IF(N('Deal maths'!H849)&gt;0,N('Deal maths'!H849),N('Deal maths'!D849))&gt;0),N('Deal maths'!F849)+ROW()/1000000,"")</f>
        <v/>
      </c>
    </row>
    <row r="850">
      <c r="A850" s="91" t="n"/>
      <c r="B850" s="111">
        <f>IF(AND(N('Deal maths'!F850)&gt;AsAt,N('Deal maths'!E850)&lt;=AsAt),IF(N('Deal maths'!H850)&gt;0,N('Deal maths'!H850),N('Deal maths'!D850)),0)</f>
        <v/>
      </c>
      <c r="C850" s="91">
        <f>IF(B850&gt;0,IF('Deal maths'!C850="Local authority","Local authorities",LOWER(TRIM('Deal maths'!B850))),"")</f>
        <v/>
      </c>
      <c r="D850" s="91">
        <f>IF(C850="","",IF(COUNTIF($C$4:C849,C850)=0,SUMIF($C$4:$C$3997,C850,$B$4:$B$3997)-ROW()/1000000,""))</f>
        <v/>
      </c>
      <c r="E850" s="91">
        <f>IF(AND(N('Deal maths'!F850)&gt;AsAt,N('Deal maths'!E850)&lt;=AsAt,IF(N('Deal maths'!H850)&gt;0,N('Deal maths'!H850),N('Deal maths'!D850))&gt;0),N('Deal maths'!F850)+ROW()/1000000,"")</f>
        <v/>
      </c>
    </row>
    <row r="851">
      <c r="A851" s="91" t="n"/>
      <c r="B851" s="111">
        <f>IF(AND(N('Deal maths'!F851)&gt;AsAt,N('Deal maths'!E851)&lt;=AsAt),IF(N('Deal maths'!H851)&gt;0,N('Deal maths'!H851),N('Deal maths'!D851)),0)</f>
        <v/>
      </c>
      <c r="C851" s="91">
        <f>IF(B851&gt;0,IF('Deal maths'!C851="Local authority","Local authorities",LOWER(TRIM('Deal maths'!B851))),"")</f>
        <v/>
      </c>
      <c r="D851" s="91">
        <f>IF(C851="","",IF(COUNTIF($C$4:C850,C851)=0,SUMIF($C$4:$C$3997,C851,$B$4:$B$3997)-ROW()/1000000,""))</f>
        <v/>
      </c>
      <c r="E851" s="91">
        <f>IF(AND(N('Deal maths'!F851)&gt;AsAt,N('Deal maths'!E851)&lt;=AsAt,IF(N('Deal maths'!H851)&gt;0,N('Deal maths'!H851),N('Deal maths'!D851))&gt;0),N('Deal maths'!F851)+ROW()/1000000,"")</f>
        <v/>
      </c>
    </row>
    <row r="852">
      <c r="A852" s="91" t="n"/>
      <c r="B852" s="111">
        <f>IF(AND(N('Deal maths'!F852)&gt;AsAt,N('Deal maths'!E852)&lt;=AsAt),IF(N('Deal maths'!H852)&gt;0,N('Deal maths'!H852),N('Deal maths'!D852)),0)</f>
        <v/>
      </c>
      <c r="C852" s="91">
        <f>IF(B852&gt;0,IF('Deal maths'!C852="Local authority","Local authorities",LOWER(TRIM('Deal maths'!B852))),"")</f>
        <v/>
      </c>
      <c r="D852" s="91">
        <f>IF(C852="","",IF(COUNTIF($C$4:C851,C852)=0,SUMIF($C$4:$C$3997,C852,$B$4:$B$3997)-ROW()/1000000,""))</f>
        <v/>
      </c>
      <c r="E852" s="91">
        <f>IF(AND(N('Deal maths'!F852)&gt;AsAt,N('Deal maths'!E852)&lt;=AsAt,IF(N('Deal maths'!H852)&gt;0,N('Deal maths'!H852),N('Deal maths'!D852))&gt;0),N('Deal maths'!F852)+ROW()/1000000,"")</f>
        <v/>
      </c>
    </row>
    <row r="853">
      <c r="A853" s="91" t="n"/>
      <c r="B853" s="111">
        <f>IF(AND(N('Deal maths'!F853)&gt;AsAt,N('Deal maths'!E853)&lt;=AsAt),IF(N('Deal maths'!H853)&gt;0,N('Deal maths'!H853),N('Deal maths'!D853)),0)</f>
        <v/>
      </c>
      <c r="C853" s="91">
        <f>IF(B853&gt;0,IF('Deal maths'!C853="Local authority","Local authorities",LOWER(TRIM('Deal maths'!B853))),"")</f>
        <v/>
      </c>
      <c r="D853" s="91">
        <f>IF(C853="","",IF(COUNTIF($C$4:C852,C853)=0,SUMIF($C$4:$C$3997,C853,$B$4:$B$3997)-ROW()/1000000,""))</f>
        <v/>
      </c>
      <c r="E853" s="91">
        <f>IF(AND(N('Deal maths'!F853)&gt;AsAt,N('Deal maths'!E853)&lt;=AsAt,IF(N('Deal maths'!H853)&gt;0,N('Deal maths'!H853),N('Deal maths'!D853))&gt;0),N('Deal maths'!F853)+ROW()/1000000,"")</f>
        <v/>
      </c>
    </row>
    <row r="854">
      <c r="A854" s="91" t="n"/>
      <c r="B854" s="111">
        <f>IF(AND(N('Deal maths'!F854)&gt;AsAt,N('Deal maths'!E854)&lt;=AsAt),IF(N('Deal maths'!H854)&gt;0,N('Deal maths'!H854),N('Deal maths'!D854)),0)</f>
        <v/>
      </c>
      <c r="C854" s="91">
        <f>IF(B854&gt;0,IF('Deal maths'!C854="Local authority","Local authorities",LOWER(TRIM('Deal maths'!B854))),"")</f>
        <v/>
      </c>
      <c r="D854" s="91">
        <f>IF(C854="","",IF(COUNTIF($C$4:C853,C854)=0,SUMIF($C$4:$C$3997,C854,$B$4:$B$3997)-ROW()/1000000,""))</f>
        <v/>
      </c>
      <c r="E854" s="91">
        <f>IF(AND(N('Deal maths'!F854)&gt;AsAt,N('Deal maths'!E854)&lt;=AsAt,IF(N('Deal maths'!H854)&gt;0,N('Deal maths'!H854),N('Deal maths'!D854))&gt;0),N('Deal maths'!F854)+ROW()/1000000,"")</f>
        <v/>
      </c>
    </row>
    <row r="855">
      <c r="A855" s="91" t="n"/>
      <c r="B855" s="111">
        <f>IF(AND(N('Deal maths'!F855)&gt;AsAt,N('Deal maths'!E855)&lt;=AsAt),IF(N('Deal maths'!H855)&gt;0,N('Deal maths'!H855),N('Deal maths'!D855)),0)</f>
        <v/>
      </c>
      <c r="C855" s="91">
        <f>IF(B855&gt;0,IF('Deal maths'!C855="Local authority","Local authorities",LOWER(TRIM('Deal maths'!B855))),"")</f>
        <v/>
      </c>
      <c r="D855" s="91">
        <f>IF(C855="","",IF(COUNTIF($C$4:C854,C855)=0,SUMIF($C$4:$C$3997,C855,$B$4:$B$3997)-ROW()/1000000,""))</f>
        <v/>
      </c>
      <c r="E855" s="91">
        <f>IF(AND(N('Deal maths'!F855)&gt;AsAt,N('Deal maths'!E855)&lt;=AsAt,IF(N('Deal maths'!H855)&gt;0,N('Deal maths'!H855),N('Deal maths'!D855))&gt;0),N('Deal maths'!F855)+ROW()/1000000,"")</f>
        <v/>
      </c>
    </row>
    <row r="856">
      <c r="A856" s="91" t="n"/>
      <c r="B856" s="111">
        <f>IF(AND(N('Deal maths'!F856)&gt;AsAt,N('Deal maths'!E856)&lt;=AsAt),IF(N('Deal maths'!H856)&gt;0,N('Deal maths'!H856),N('Deal maths'!D856)),0)</f>
        <v/>
      </c>
      <c r="C856" s="91">
        <f>IF(B856&gt;0,IF('Deal maths'!C856="Local authority","Local authorities",LOWER(TRIM('Deal maths'!B856))),"")</f>
        <v/>
      </c>
      <c r="D856" s="91">
        <f>IF(C856="","",IF(COUNTIF($C$4:C855,C856)=0,SUMIF($C$4:$C$3997,C856,$B$4:$B$3997)-ROW()/1000000,""))</f>
        <v/>
      </c>
      <c r="E856" s="91">
        <f>IF(AND(N('Deal maths'!F856)&gt;AsAt,N('Deal maths'!E856)&lt;=AsAt,IF(N('Deal maths'!H856)&gt;0,N('Deal maths'!H856),N('Deal maths'!D856))&gt;0),N('Deal maths'!F856)+ROW()/1000000,"")</f>
        <v/>
      </c>
    </row>
    <row r="857">
      <c r="A857" s="91" t="n"/>
      <c r="B857" s="111">
        <f>IF(AND(N('Deal maths'!F857)&gt;AsAt,N('Deal maths'!E857)&lt;=AsAt),IF(N('Deal maths'!H857)&gt;0,N('Deal maths'!H857),N('Deal maths'!D857)),0)</f>
        <v/>
      </c>
      <c r="C857" s="91">
        <f>IF(B857&gt;0,IF('Deal maths'!C857="Local authority","Local authorities",LOWER(TRIM('Deal maths'!B857))),"")</f>
        <v/>
      </c>
      <c r="D857" s="91">
        <f>IF(C857="","",IF(COUNTIF($C$4:C856,C857)=0,SUMIF($C$4:$C$3997,C857,$B$4:$B$3997)-ROW()/1000000,""))</f>
        <v/>
      </c>
      <c r="E857" s="91">
        <f>IF(AND(N('Deal maths'!F857)&gt;AsAt,N('Deal maths'!E857)&lt;=AsAt,IF(N('Deal maths'!H857)&gt;0,N('Deal maths'!H857),N('Deal maths'!D857))&gt;0),N('Deal maths'!F857)+ROW()/1000000,"")</f>
        <v/>
      </c>
    </row>
    <row r="858">
      <c r="A858" s="91" t="n"/>
      <c r="B858" s="111">
        <f>IF(AND(N('Deal maths'!F858)&gt;AsAt,N('Deal maths'!E858)&lt;=AsAt),IF(N('Deal maths'!H858)&gt;0,N('Deal maths'!H858),N('Deal maths'!D858)),0)</f>
        <v/>
      </c>
      <c r="C858" s="91">
        <f>IF(B858&gt;0,IF('Deal maths'!C858="Local authority","Local authorities",LOWER(TRIM('Deal maths'!B858))),"")</f>
        <v/>
      </c>
      <c r="D858" s="91">
        <f>IF(C858="","",IF(COUNTIF($C$4:C857,C858)=0,SUMIF($C$4:$C$3997,C858,$B$4:$B$3997)-ROW()/1000000,""))</f>
        <v/>
      </c>
      <c r="E858" s="91">
        <f>IF(AND(N('Deal maths'!F858)&gt;AsAt,N('Deal maths'!E858)&lt;=AsAt,IF(N('Deal maths'!H858)&gt;0,N('Deal maths'!H858),N('Deal maths'!D858))&gt;0),N('Deal maths'!F858)+ROW()/1000000,"")</f>
        <v/>
      </c>
    </row>
    <row r="859">
      <c r="A859" s="91" t="n"/>
      <c r="B859" s="111">
        <f>IF(AND(N('Deal maths'!F859)&gt;AsAt,N('Deal maths'!E859)&lt;=AsAt),IF(N('Deal maths'!H859)&gt;0,N('Deal maths'!H859),N('Deal maths'!D859)),0)</f>
        <v/>
      </c>
      <c r="C859" s="91">
        <f>IF(B859&gt;0,IF('Deal maths'!C859="Local authority","Local authorities",LOWER(TRIM('Deal maths'!B859))),"")</f>
        <v/>
      </c>
      <c r="D859" s="91">
        <f>IF(C859="","",IF(COUNTIF($C$4:C858,C859)=0,SUMIF($C$4:$C$3997,C859,$B$4:$B$3997)-ROW()/1000000,""))</f>
        <v/>
      </c>
      <c r="E859" s="91">
        <f>IF(AND(N('Deal maths'!F859)&gt;AsAt,N('Deal maths'!E859)&lt;=AsAt,IF(N('Deal maths'!H859)&gt;0,N('Deal maths'!H859),N('Deal maths'!D859))&gt;0),N('Deal maths'!F859)+ROW()/1000000,"")</f>
        <v/>
      </c>
    </row>
    <row r="860">
      <c r="A860" s="91" t="n"/>
      <c r="B860" s="111">
        <f>IF(AND(N('Deal maths'!F860)&gt;AsAt,N('Deal maths'!E860)&lt;=AsAt),IF(N('Deal maths'!H860)&gt;0,N('Deal maths'!H860),N('Deal maths'!D860)),0)</f>
        <v/>
      </c>
      <c r="C860" s="91">
        <f>IF(B860&gt;0,IF('Deal maths'!C860="Local authority","Local authorities",LOWER(TRIM('Deal maths'!B860))),"")</f>
        <v/>
      </c>
      <c r="D860" s="91">
        <f>IF(C860="","",IF(COUNTIF($C$4:C859,C860)=0,SUMIF($C$4:$C$3997,C860,$B$4:$B$3997)-ROW()/1000000,""))</f>
        <v/>
      </c>
      <c r="E860" s="91">
        <f>IF(AND(N('Deal maths'!F860)&gt;AsAt,N('Deal maths'!E860)&lt;=AsAt,IF(N('Deal maths'!H860)&gt;0,N('Deal maths'!H860),N('Deal maths'!D860))&gt;0),N('Deal maths'!F860)+ROW()/1000000,"")</f>
        <v/>
      </c>
    </row>
    <row r="861">
      <c r="A861" s="91" t="n"/>
      <c r="B861" s="111">
        <f>IF(AND(N('Deal maths'!F861)&gt;AsAt,N('Deal maths'!E861)&lt;=AsAt),IF(N('Deal maths'!H861)&gt;0,N('Deal maths'!H861),N('Deal maths'!D861)),0)</f>
        <v/>
      </c>
      <c r="C861" s="91">
        <f>IF(B861&gt;0,IF('Deal maths'!C861="Local authority","Local authorities",LOWER(TRIM('Deal maths'!B861))),"")</f>
        <v/>
      </c>
      <c r="D861" s="91">
        <f>IF(C861="","",IF(COUNTIF($C$4:C860,C861)=0,SUMIF($C$4:$C$3997,C861,$B$4:$B$3997)-ROW()/1000000,""))</f>
        <v/>
      </c>
      <c r="E861" s="91">
        <f>IF(AND(N('Deal maths'!F861)&gt;AsAt,N('Deal maths'!E861)&lt;=AsAt,IF(N('Deal maths'!H861)&gt;0,N('Deal maths'!H861),N('Deal maths'!D861))&gt;0),N('Deal maths'!F861)+ROW()/1000000,"")</f>
        <v/>
      </c>
    </row>
    <row r="862">
      <c r="A862" s="91" t="n"/>
      <c r="B862" s="111">
        <f>IF(AND(N('Deal maths'!F862)&gt;AsAt,N('Deal maths'!E862)&lt;=AsAt),IF(N('Deal maths'!H862)&gt;0,N('Deal maths'!H862),N('Deal maths'!D862)),0)</f>
        <v/>
      </c>
      <c r="C862" s="91">
        <f>IF(B862&gt;0,IF('Deal maths'!C862="Local authority","Local authorities",LOWER(TRIM('Deal maths'!B862))),"")</f>
        <v/>
      </c>
      <c r="D862" s="91">
        <f>IF(C862="","",IF(COUNTIF($C$4:C861,C862)=0,SUMIF($C$4:$C$3997,C862,$B$4:$B$3997)-ROW()/1000000,""))</f>
        <v/>
      </c>
      <c r="E862" s="91">
        <f>IF(AND(N('Deal maths'!F862)&gt;AsAt,N('Deal maths'!E862)&lt;=AsAt,IF(N('Deal maths'!H862)&gt;0,N('Deal maths'!H862),N('Deal maths'!D862))&gt;0),N('Deal maths'!F862)+ROW()/1000000,"")</f>
        <v/>
      </c>
    </row>
    <row r="863">
      <c r="A863" s="91" t="n"/>
      <c r="B863" s="111">
        <f>IF(AND(N('Deal maths'!F863)&gt;AsAt,N('Deal maths'!E863)&lt;=AsAt),IF(N('Deal maths'!H863)&gt;0,N('Deal maths'!H863),N('Deal maths'!D863)),0)</f>
        <v/>
      </c>
      <c r="C863" s="91">
        <f>IF(B863&gt;0,IF('Deal maths'!C863="Local authority","Local authorities",LOWER(TRIM('Deal maths'!B863))),"")</f>
        <v/>
      </c>
      <c r="D863" s="91">
        <f>IF(C863="","",IF(COUNTIF($C$4:C862,C863)=0,SUMIF($C$4:$C$3997,C863,$B$4:$B$3997)-ROW()/1000000,""))</f>
        <v/>
      </c>
      <c r="E863" s="91">
        <f>IF(AND(N('Deal maths'!F863)&gt;AsAt,N('Deal maths'!E863)&lt;=AsAt,IF(N('Deal maths'!H863)&gt;0,N('Deal maths'!H863),N('Deal maths'!D863))&gt;0),N('Deal maths'!F863)+ROW()/1000000,"")</f>
        <v/>
      </c>
    </row>
    <row r="864">
      <c r="A864" s="91" t="n"/>
      <c r="B864" s="111">
        <f>IF(AND(N('Deal maths'!F864)&gt;AsAt,N('Deal maths'!E864)&lt;=AsAt),IF(N('Deal maths'!H864)&gt;0,N('Deal maths'!H864),N('Deal maths'!D864)),0)</f>
        <v/>
      </c>
      <c r="C864" s="91">
        <f>IF(B864&gt;0,IF('Deal maths'!C864="Local authority","Local authorities",LOWER(TRIM('Deal maths'!B864))),"")</f>
        <v/>
      </c>
      <c r="D864" s="91">
        <f>IF(C864="","",IF(COUNTIF($C$4:C863,C864)=0,SUMIF($C$4:$C$3997,C864,$B$4:$B$3997)-ROW()/1000000,""))</f>
        <v/>
      </c>
      <c r="E864" s="91">
        <f>IF(AND(N('Deal maths'!F864)&gt;AsAt,N('Deal maths'!E864)&lt;=AsAt,IF(N('Deal maths'!H864)&gt;0,N('Deal maths'!H864),N('Deal maths'!D864))&gt;0),N('Deal maths'!F864)+ROW()/1000000,"")</f>
        <v/>
      </c>
    </row>
    <row r="865">
      <c r="A865" s="91" t="n"/>
      <c r="B865" s="111">
        <f>IF(AND(N('Deal maths'!F865)&gt;AsAt,N('Deal maths'!E865)&lt;=AsAt),IF(N('Deal maths'!H865)&gt;0,N('Deal maths'!H865),N('Deal maths'!D865)),0)</f>
        <v/>
      </c>
      <c r="C865" s="91">
        <f>IF(B865&gt;0,IF('Deal maths'!C865="Local authority","Local authorities",LOWER(TRIM('Deal maths'!B865))),"")</f>
        <v/>
      </c>
      <c r="D865" s="91">
        <f>IF(C865="","",IF(COUNTIF($C$4:C864,C865)=0,SUMIF($C$4:$C$3997,C865,$B$4:$B$3997)-ROW()/1000000,""))</f>
        <v/>
      </c>
      <c r="E865" s="91">
        <f>IF(AND(N('Deal maths'!F865)&gt;AsAt,N('Deal maths'!E865)&lt;=AsAt,IF(N('Deal maths'!H865)&gt;0,N('Deal maths'!H865),N('Deal maths'!D865))&gt;0),N('Deal maths'!F865)+ROW()/1000000,"")</f>
        <v/>
      </c>
    </row>
    <row r="866">
      <c r="A866" s="91" t="n"/>
      <c r="B866" s="111">
        <f>IF(AND(N('Deal maths'!F866)&gt;AsAt,N('Deal maths'!E866)&lt;=AsAt),IF(N('Deal maths'!H866)&gt;0,N('Deal maths'!H866),N('Deal maths'!D866)),0)</f>
        <v/>
      </c>
      <c r="C866" s="91">
        <f>IF(B866&gt;0,IF('Deal maths'!C866="Local authority","Local authorities",LOWER(TRIM('Deal maths'!B866))),"")</f>
        <v/>
      </c>
      <c r="D866" s="91">
        <f>IF(C866="","",IF(COUNTIF($C$4:C865,C866)=0,SUMIF($C$4:$C$3997,C866,$B$4:$B$3997)-ROW()/1000000,""))</f>
        <v/>
      </c>
      <c r="E866" s="91">
        <f>IF(AND(N('Deal maths'!F866)&gt;AsAt,N('Deal maths'!E866)&lt;=AsAt,IF(N('Deal maths'!H866)&gt;0,N('Deal maths'!H866),N('Deal maths'!D866))&gt;0),N('Deal maths'!F866)+ROW()/1000000,"")</f>
        <v/>
      </c>
    </row>
    <row r="867">
      <c r="A867" s="91" t="n"/>
      <c r="B867" s="111">
        <f>IF(AND(N('Deal maths'!F867)&gt;AsAt,N('Deal maths'!E867)&lt;=AsAt),IF(N('Deal maths'!H867)&gt;0,N('Deal maths'!H867),N('Deal maths'!D867)),0)</f>
        <v/>
      </c>
      <c r="C867" s="91">
        <f>IF(B867&gt;0,IF('Deal maths'!C867="Local authority","Local authorities",LOWER(TRIM('Deal maths'!B867))),"")</f>
        <v/>
      </c>
      <c r="D867" s="91">
        <f>IF(C867="","",IF(COUNTIF($C$4:C866,C867)=0,SUMIF($C$4:$C$3997,C867,$B$4:$B$3997)-ROW()/1000000,""))</f>
        <v/>
      </c>
      <c r="E867" s="91">
        <f>IF(AND(N('Deal maths'!F867)&gt;AsAt,N('Deal maths'!E867)&lt;=AsAt,IF(N('Deal maths'!H867)&gt;0,N('Deal maths'!H867),N('Deal maths'!D867))&gt;0),N('Deal maths'!F867)+ROW()/1000000,"")</f>
        <v/>
      </c>
    </row>
    <row r="868">
      <c r="A868" s="91" t="n"/>
      <c r="B868" s="111">
        <f>IF(AND(N('Deal maths'!F868)&gt;AsAt,N('Deal maths'!E868)&lt;=AsAt),IF(N('Deal maths'!H868)&gt;0,N('Deal maths'!H868),N('Deal maths'!D868)),0)</f>
        <v/>
      </c>
      <c r="C868" s="91">
        <f>IF(B868&gt;0,IF('Deal maths'!C868="Local authority","Local authorities",LOWER(TRIM('Deal maths'!B868))),"")</f>
        <v/>
      </c>
      <c r="D868" s="91">
        <f>IF(C868="","",IF(COUNTIF($C$4:C867,C868)=0,SUMIF($C$4:$C$3997,C868,$B$4:$B$3997)-ROW()/1000000,""))</f>
        <v/>
      </c>
      <c r="E868" s="91">
        <f>IF(AND(N('Deal maths'!F868)&gt;AsAt,N('Deal maths'!E868)&lt;=AsAt,IF(N('Deal maths'!H868)&gt;0,N('Deal maths'!H868),N('Deal maths'!D868))&gt;0),N('Deal maths'!F868)+ROW()/1000000,"")</f>
        <v/>
      </c>
    </row>
    <row r="869">
      <c r="A869" s="91" t="n"/>
      <c r="B869" s="111">
        <f>IF(AND(N('Deal maths'!F869)&gt;AsAt,N('Deal maths'!E869)&lt;=AsAt),IF(N('Deal maths'!H869)&gt;0,N('Deal maths'!H869),N('Deal maths'!D869)),0)</f>
        <v/>
      </c>
      <c r="C869" s="91">
        <f>IF(B869&gt;0,IF('Deal maths'!C869="Local authority","Local authorities",LOWER(TRIM('Deal maths'!B869))),"")</f>
        <v/>
      </c>
      <c r="D869" s="91">
        <f>IF(C869="","",IF(COUNTIF($C$4:C868,C869)=0,SUMIF($C$4:$C$3997,C869,$B$4:$B$3997)-ROW()/1000000,""))</f>
        <v/>
      </c>
      <c r="E869" s="91">
        <f>IF(AND(N('Deal maths'!F869)&gt;AsAt,N('Deal maths'!E869)&lt;=AsAt,IF(N('Deal maths'!H869)&gt;0,N('Deal maths'!H869),N('Deal maths'!D869))&gt;0),N('Deal maths'!F869)+ROW()/1000000,"")</f>
        <v/>
      </c>
    </row>
    <row r="870">
      <c r="A870" s="91" t="n"/>
      <c r="B870" s="111">
        <f>IF(AND(N('Deal maths'!F870)&gt;AsAt,N('Deal maths'!E870)&lt;=AsAt),IF(N('Deal maths'!H870)&gt;0,N('Deal maths'!H870),N('Deal maths'!D870)),0)</f>
        <v/>
      </c>
      <c r="C870" s="91">
        <f>IF(B870&gt;0,IF('Deal maths'!C870="Local authority","Local authorities",LOWER(TRIM('Deal maths'!B870))),"")</f>
        <v/>
      </c>
      <c r="D870" s="91">
        <f>IF(C870="","",IF(COUNTIF($C$4:C869,C870)=0,SUMIF($C$4:$C$3997,C870,$B$4:$B$3997)-ROW()/1000000,""))</f>
        <v/>
      </c>
      <c r="E870" s="91">
        <f>IF(AND(N('Deal maths'!F870)&gt;AsAt,N('Deal maths'!E870)&lt;=AsAt,IF(N('Deal maths'!H870)&gt;0,N('Deal maths'!H870),N('Deal maths'!D870))&gt;0),N('Deal maths'!F870)+ROW()/1000000,"")</f>
        <v/>
      </c>
    </row>
    <row r="871">
      <c r="A871" s="91" t="n"/>
      <c r="B871" s="111">
        <f>IF(AND(N('Deal maths'!F871)&gt;AsAt,N('Deal maths'!E871)&lt;=AsAt),IF(N('Deal maths'!H871)&gt;0,N('Deal maths'!H871),N('Deal maths'!D871)),0)</f>
        <v/>
      </c>
      <c r="C871" s="91">
        <f>IF(B871&gt;0,IF('Deal maths'!C871="Local authority","Local authorities",LOWER(TRIM('Deal maths'!B871))),"")</f>
        <v/>
      </c>
      <c r="D871" s="91">
        <f>IF(C871="","",IF(COUNTIF($C$4:C870,C871)=0,SUMIF($C$4:$C$3997,C871,$B$4:$B$3997)-ROW()/1000000,""))</f>
        <v/>
      </c>
      <c r="E871" s="91">
        <f>IF(AND(N('Deal maths'!F871)&gt;AsAt,N('Deal maths'!E871)&lt;=AsAt,IF(N('Deal maths'!H871)&gt;0,N('Deal maths'!H871),N('Deal maths'!D871))&gt;0),N('Deal maths'!F871)+ROW()/1000000,"")</f>
        <v/>
      </c>
    </row>
    <row r="872">
      <c r="A872" s="91" t="n"/>
      <c r="B872" s="111">
        <f>IF(AND(N('Deal maths'!F872)&gt;AsAt,N('Deal maths'!E872)&lt;=AsAt),IF(N('Deal maths'!H872)&gt;0,N('Deal maths'!H872),N('Deal maths'!D872)),0)</f>
        <v/>
      </c>
      <c r="C872" s="91">
        <f>IF(B872&gt;0,IF('Deal maths'!C872="Local authority","Local authorities",LOWER(TRIM('Deal maths'!B872))),"")</f>
        <v/>
      </c>
      <c r="D872" s="91">
        <f>IF(C872="","",IF(COUNTIF($C$4:C871,C872)=0,SUMIF($C$4:$C$3997,C872,$B$4:$B$3997)-ROW()/1000000,""))</f>
        <v/>
      </c>
      <c r="E872" s="91">
        <f>IF(AND(N('Deal maths'!F872)&gt;AsAt,N('Deal maths'!E872)&lt;=AsAt,IF(N('Deal maths'!H872)&gt;0,N('Deal maths'!H872),N('Deal maths'!D872))&gt;0),N('Deal maths'!F872)+ROW()/1000000,"")</f>
        <v/>
      </c>
    </row>
    <row r="873">
      <c r="A873" s="91" t="n"/>
      <c r="B873" s="111">
        <f>IF(AND(N('Deal maths'!F873)&gt;AsAt,N('Deal maths'!E873)&lt;=AsAt),IF(N('Deal maths'!H873)&gt;0,N('Deal maths'!H873),N('Deal maths'!D873)),0)</f>
        <v/>
      </c>
      <c r="C873" s="91">
        <f>IF(B873&gt;0,IF('Deal maths'!C873="Local authority","Local authorities",LOWER(TRIM('Deal maths'!B873))),"")</f>
        <v/>
      </c>
      <c r="D873" s="91">
        <f>IF(C873="","",IF(COUNTIF($C$4:C872,C873)=0,SUMIF($C$4:$C$3997,C873,$B$4:$B$3997)-ROW()/1000000,""))</f>
        <v/>
      </c>
      <c r="E873" s="91">
        <f>IF(AND(N('Deal maths'!F873)&gt;AsAt,N('Deal maths'!E873)&lt;=AsAt,IF(N('Deal maths'!H873)&gt;0,N('Deal maths'!H873),N('Deal maths'!D873))&gt;0),N('Deal maths'!F873)+ROW()/1000000,"")</f>
        <v/>
      </c>
    </row>
    <row r="874">
      <c r="A874" s="91" t="n"/>
      <c r="B874" s="111">
        <f>IF(AND(N('Deal maths'!F874)&gt;AsAt,N('Deal maths'!E874)&lt;=AsAt),IF(N('Deal maths'!H874)&gt;0,N('Deal maths'!H874),N('Deal maths'!D874)),0)</f>
        <v/>
      </c>
      <c r="C874" s="91">
        <f>IF(B874&gt;0,IF('Deal maths'!C874="Local authority","Local authorities",LOWER(TRIM('Deal maths'!B874))),"")</f>
        <v/>
      </c>
      <c r="D874" s="91">
        <f>IF(C874="","",IF(COUNTIF($C$4:C873,C874)=0,SUMIF($C$4:$C$3997,C874,$B$4:$B$3997)-ROW()/1000000,""))</f>
        <v/>
      </c>
      <c r="E874" s="91">
        <f>IF(AND(N('Deal maths'!F874)&gt;AsAt,N('Deal maths'!E874)&lt;=AsAt,IF(N('Deal maths'!H874)&gt;0,N('Deal maths'!H874),N('Deal maths'!D874))&gt;0),N('Deal maths'!F874)+ROW()/1000000,"")</f>
        <v/>
      </c>
    </row>
    <row r="875">
      <c r="A875" s="91" t="n"/>
      <c r="B875" s="111">
        <f>IF(AND(N('Deal maths'!F875)&gt;AsAt,N('Deal maths'!E875)&lt;=AsAt),IF(N('Deal maths'!H875)&gt;0,N('Deal maths'!H875),N('Deal maths'!D875)),0)</f>
        <v/>
      </c>
      <c r="C875" s="91">
        <f>IF(B875&gt;0,IF('Deal maths'!C875="Local authority","Local authorities",LOWER(TRIM('Deal maths'!B875))),"")</f>
        <v/>
      </c>
      <c r="D875" s="91">
        <f>IF(C875="","",IF(COUNTIF($C$4:C874,C875)=0,SUMIF($C$4:$C$3997,C875,$B$4:$B$3997)-ROW()/1000000,""))</f>
        <v/>
      </c>
      <c r="E875" s="91">
        <f>IF(AND(N('Deal maths'!F875)&gt;AsAt,N('Deal maths'!E875)&lt;=AsAt,IF(N('Deal maths'!H875)&gt;0,N('Deal maths'!H875),N('Deal maths'!D875))&gt;0),N('Deal maths'!F875)+ROW()/1000000,"")</f>
        <v/>
      </c>
    </row>
    <row r="876">
      <c r="A876" s="91" t="n"/>
      <c r="B876" s="111">
        <f>IF(AND(N('Deal maths'!F876)&gt;AsAt,N('Deal maths'!E876)&lt;=AsAt),IF(N('Deal maths'!H876)&gt;0,N('Deal maths'!H876),N('Deal maths'!D876)),0)</f>
        <v/>
      </c>
      <c r="C876" s="91">
        <f>IF(B876&gt;0,IF('Deal maths'!C876="Local authority","Local authorities",LOWER(TRIM('Deal maths'!B876))),"")</f>
        <v/>
      </c>
      <c r="D876" s="91">
        <f>IF(C876="","",IF(COUNTIF($C$4:C875,C876)=0,SUMIF($C$4:$C$3997,C876,$B$4:$B$3997)-ROW()/1000000,""))</f>
        <v/>
      </c>
      <c r="E876" s="91">
        <f>IF(AND(N('Deal maths'!F876)&gt;AsAt,N('Deal maths'!E876)&lt;=AsAt,IF(N('Deal maths'!H876)&gt;0,N('Deal maths'!H876),N('Deal maths'!D876))&gt;0),N('Deal maths'!F876)+ROW()/1000000,"")</f>
        <v/>
      </c>
    </row>
    <row r="877">
      <c r="A877" s="91" t="n"/>
      <c r="B877" s="111">
        <f>IF(AND(N('Deal maths'!F877)&gt;AsAt,N('Deal maths'!E877)&lt;=AsAt),IF(N('Deal maths'!H877)&gt;0,N('Deal maths'!H877),N('Deal maths'!D877)),0)</f>
        <v/>
      </c>
      <c r="C877" s="91">
        <f>IF(B877&gt;0,IF('Deal maths'!C877="Local authority","Local authorities",LOWER(TRIM('Deal maths'!B877))),"")</f>
        <v/>
      </c>
      <c r="D877" s="91">
        <f>IF(C877="","",IF(COUNTIF($C$4:C876,C877)=0,SUMIF($C$4:$C$3997,C877,$B$4:$B$3997)-ROW()/1000000,""))</f>
        <v/>
      </c>
      <c r="E877" s="91">
        <f>IF(AND(N('Deal maths'!F877)&gt;AsAt,N('Deal maths'!E877)&lt;=AsAt,IF(N('Deal maths'!H877)&gt;0,N('Deal maths'!H877),N('Deal maths'!D877))&gt;0),N('Deal maths'!F877)+ROW()/1000000,"")</f>
        <v/>
      </c>
    </row>
    <row r="878">
      <c r="A878" s="91" t="n"/>
      <c r="B878" s="111">
        <f>IF(AND(N('Deal maths'!F878)&gt;AsAt,N('Deal maths'!E878)&lt;=AsAt),IF(N('Deal maths'!H878)&gt;0,N('Deal maths'!H878),N('Deal maths'!D878)),0)</f>
        <v/>
      </c>
      <c r="C878" s="91">
        <f>IF(B878&gt;0,IF('Deal maths'!C878="Local authority","Local authorities",LOWER(TRIM('Deal maths'!B878))),"")</f>
        <v/>
      </c>
      <c r="D878" s="91">
        <f>IF(C878="","",IF(COUNTIF($C$4:C877,C878)=0,SUMIF($C$4:$C$3997,C878,$B$4:$B$3997)-ROW()/1000000,""))</f>
        <v/>
      </c>
      <c r="E878" s="91">
        <f>IF(AND(N('Deal maths'!F878)&gt;AsAt,N('Deal maths'!E878)&lt;=AsAt,IF(N('Deal maths'!H878)&gt;0,N('Deal maths'!H878),N('Deal maths'!D878))&gt;0),N('Deal maths'!F878)+ROW()/1000000,"")</f>
        <v/>
      </c>
    </row>
    <row r="879">
      <c r="A879" s="91" t="n"/>
      <c r="B879" s="111">
        <f>IF(AND(N('Deal maths'!F879)&gt;AsAt,N('Deal maths'!E879)&lt;=AsAt),IF(N('Deal maths'!H879)&gt;0,N('Deal maths'!H879),N('Deal maths'!D879)),0)</f>
        <v/>
      </c>
      <c r="C879" s="91">
        <f>IF(B879&gt;0,IF('Deal maths'!C879="Local authority","Local authorities",LOWER(TRIM('Deal maths'!B879))),"")</f>
        <v/>
      </c>
      <c r="D879" s="91">
        <f>IF(C879="","",IF(COUNTIF($C$4:C878,C879)=0,SUMIF($C$4:$C$3997,C879,$B$4:$B$3997)-ROW()/1000000,""))</f>
        <v/>
      </c>
      <c r="E879" s="91">
        <f>IF(AND(N('Deal maths'!F879)&gt;AsAt,N('Deal maths'!E879)&lt;=AsAt,IF(N('Deal maths'!H879)&gt;0,N('Deal maths'!H879),N('Deal maths'!D879))&gt;0),N('Deal maths'!F879)+ROW()/1000000,"")</f>
        <v/>
      </c>
    </row>
    <row r="880">
      <c r="A880" s="91" t="n"/>
      <c r="B880" s="111">
        <f>IF(AND(N('Deal maths'!F880)&gt;AsAt,N('Deal maths'!E880)&lt;=AsAt),IF(N('Deal maths'!H880)&gt;0,N('Deal maths'!H880),N('Deal maths'!D880)),0)</f>
        <v/>
      </c>
      <c r="C880" s="91">
        <f>IF(B880&gt;0,IF('Deal maths'!C880="Local authority","Local authorities",LOWER(TRIM('Deal maths'!B880))),"")</f>
        <v/>
      </c>
      <c r="D880" s="91">
        <f>IF(C880="","",IF(COUNTIF($C$4:C879,C880)=0,SUMIF($C$4:$C$3997,C880,$B$4:$B$3997)-ROW()/1000000,""))</f>
        <v/>
      </c>
      <c r="E880" s="91">
        <f>IF(AND(N('Deal maths'!F880)&gt;AsAt,N('Deal maths'!E880)&lt;=AsAt,IF(N('Deal maths'!H880)&gt;0,N('Deal maths'!H880),N('Deal maths'!D880))&gt;0),N('Deal maths'!F880)+ROW()/1000000,"")</f>
        <v/>
      </c>
    </row>
    <row r="881">
      <c r="A881" s="91" t="n"/>
      <c r="B881" s="111">
        <f>IF(AND(N('Deal maths'!F881)&gt;AsAt,N('Deal maths'!E881)&lt;=AsAt),IF(N('Deal maths'!H881)&gt;0,N('Deal maths'!H881),N('Deal maths'!D881)),0)</f>
        <v/>
      </c>
      <c r="C881" s="91">
        <f>IF(B881&gt;0,IF('Deal maths'!C881="Local authority","Local authorities",LOWER(TRIM('Deal maths'!B881))),"")</f>
        <v/>
      </c>
      <c r="D881" s="91">
        <f>IF(C881="","",IF(COUNTIF($C$4:C880,C881)=0,SUMIF($C$4:$C$3997,C881,$B$4:$B$3997)-ROW()/1000000,""))</f>
        <v/>
      </c>
      <c r="E881" s="91">
        <f>IF(AND(N('Deal maths'!F881)&gt;AsAt,N('Deal maths'!E881)&lt;=AsAt,IF(N('Deal maths'!H881)&gt;0,N('Deal maths'!H881),N('Deal maths'!D881))&gt;0),N('Deal maths'!F881)+ROW()/1000000,"")</f>
        <v/>
      </c>
    </row>
    <row r="882">
      <c r="A882" s="91" t="n"/>
      <c r="B882" s="111">
        <f>IF(AND(N('Deal maths'!F882)&gt;AsAt,N('Deal maths'!E882)&lt;=AsAt),IF(N('Deal maths'!H882)&gt;0,N('Deal maths'!H882),N('Deal maths'!D882)),0)</f>
        <v/>
      </c>
      <c r="C882" s="91">
        <f>IF(B882&gt;0,IF('Deal maths'!C882="Local authority","Local authorities",LOWER(TRIM('Deal maths'!B882))),"")</f>
        <v/>
      </c>
      <c r="D882" s="91">
        <f>IF(C882="","",IF(COUNTIF($C$4:C881,C882)=0,SUMIF($C$4:$C$3997,C882,$B$4:$B$3997)-ROW()/1000000,""))</f>
        <v/>
      </c>
      <c r="E882" s="91">
        <f>IF(AND(N('Deal maths'!F882)&gt;AsAt,N('Deal maths'!E882)&lt;=AsAt,IF(N('Deal maths'!H882)&gt;0,N('Deal maths'!H882),N('Deal maths'!D882))&gt;0),N('Deal maths'!F882)+ROW()/1000000,"")</f>
        <v/>
      </c>
    </row>
    <row r="883">
      <c r="A883" s="91" t="n"/>
      <c r="B883" s="111">
        <f>IF(AND(N('Deal maths'!F883)&gt;AsAt,N('Deal maths'!E883)&lt;=AsAt),IF(N('Deal maths'!H883)&gt;0,N('Deal maths'!H883),N('Deal maths'!D883)),0)</f>
        <v/>
      </c>
      <c r="C883" s="91">
        <f>IF(B883&gt;0,IF('Deal maths'!C883="Local authority","Local authorities",LOWER(TRIM('Deal maths'!B883))),"")</f>
        <v/>
      </c>
      <c r="D883" s="91">
        <f>IF(C883="","",IF(COUNTIF($C$4:C882,C883)=0,SUMIF($C$4:$C$3997,C883,$B$4:$B$3997)-ROW()/1000000,""))</f>
        <v/>
      </c>
      <c r="E883" s="91">
        <f>IF(AND(N('Deal maths'!F883)&gt;AsAt,N('Deal maths'!E883)&lt;=AsAt,IF(N('Deal maths'!H883)&gt;0,N('Deal maths'!H883),N('Deal maths'!D883))&gt;0),N('Deal maths'!F883)+ROW()/1000000,"")</f>
        <v/>
      </c>
    </row>
    <row r="884">
      <c r="A884" s="91" t="n"/>
      <c r="B884" s="111">
        <f>IF(AND(N('Deal maths'!F884)&gt;AsAt,N('Deal maths'!E884)&lt;=AsAt),IF(N('Deal maths'!H884)&gt;0,N('Deal maths'!H884),N('Deal maths'!D884)),0)</f>
        <v/>
      </c>
      <c r="C884" s="91">
        <f>IF(B884&gt;0,IF('Deal maths'!C884="Local authority","Local authorities",LOWER(TRIM('Deal maths'!B884))),"")</f>
        <v/>
      </c>
      <c r="D884" s="91">
        <f>IF(C884="","",IF(COUNTIF($C$4:C883,C884)=0,SUMIF($C$4:$C$3997,C884,$B$4:$B$3997)-ROW()/1000000,""))</f>
        <v/>
      </c>
      <c r="E884" s="91">
        <f>IF(AND(N('Deal maths'!F884)&gt;AsAt,N('Deal maths'!E884)&lt;=AsAt,IF(N('Deal maths'!H884)&gt;0,N('Deal maths'!H884),N('Deal maths'!D884))&gt;0),N('Deal maths'!F884)+ROW()/1000000,"")</f>
        <v/>
      </c>
    </row>
    <row r="885">
      <c r="A885" s="91" t="n"/>
      <c r="B885" s="111">
        <f>IF(AND(N('Deal maths'!F885)&gt;AsAt,N('Deal maths'!E885)&lt;=AsAt),IF(N('Deal maths'!H885)&gt;0,N('Deal maths'!H885),N('Deal maths'!D885)),0)</f>
        <v/>
      </c>
      <c r="C885" s="91">
        <f>IF(B885&gt;0,IF('Deal maths'!C885="Local authority","Local authorities",LOWER(TRIM('Deal maths'!B885))),"")</f>
        <v/>
      </c>
      <c r="D885" s="91">
        <f>IF(C885="","",IF(COUNTIF($C$4:C884,C885)=0,SUMIF($C$4:$C$3997,C885,$B$4:$B$3997)-ROW()/1000000,""))</f>
        <v/>
      </c>
      <c r="E885" s="91">
        <f>IF(AND(N('Deal maths'!F885)&gt;AsAt,N('Deal maths'!E885)&lt;=AsAt,IF(N('Deal maths'!H885)&gt;0,N('Deal maths'!H885),N('Deal maths'!D885))&gt;0),N('Deal maths'!F885)+ROW()/1000000,"")</f>
        <v/>
      </c>
    </row>
    <row r="886">
      <c r="A886" s="91" t="n"/>
      <c r="B886" s="111">
        <f>IF(AND(N('Deal maths'!F886)&gt;AsAt,N('Deal maths'!E886)&lt;=AsAt),IF(N('Deal maths'!H886)&gt;0,N('Deal maths'!H886),N('Deal maths'!D886)),0)</f>
        <v/>
      </c>
      <c r="C886" s="91">
        <f>IF(B886&gt;0,IF('Deal maths'!C886="Local authority","Local authorities",LOWER(TRIM('Deal maths'!B886))),"")</f>
        <v/>
      </c>
      <c r="D886" s="91">
        <f>IF(C886="","",IF(COUNTIF($C$4:C885,C886)=0,SUMIF($C$4:$C$3997,C886,$B$4:$B$3997)-ROW()/1000000,""))</f>
        <v/>
      </c>
      <c r="E886" s="91">
        <f>IF(AND(N('Deal maths'!F886)&gt;AsAt,N('Deal maths'!E886)&lt;=AsAt,IF(N('Deal maths'!H886)&gt;0,N('Deal maths'!H886),N('Deal maths'!D886))&gt;0),N('Deal maths'!F886)+ROW()/1000000,"")</f>
        <v/>
      </c>
    </row>
    <row r="887">
      <c r="A887" s="91" t="n"/>
      <c r="B887" s="111">
        <f>IF(AND(N('Deal maths'!F887)&gt;AsAt,N('Deal maths'!E887)&lt;=AsAt),IF(N('Deal maths'!H887)&gt;0,N('Deal maths'!H887),N('Deal maths'!D887)),0)</f>
        <v/>
      </c>
      <c r="C887" s="91">
        <f>IF(B887&gt;0,IF('Deal maths'!C887="Local authority","Local authorities",LOWER(TRIM('Deal maths'!B887))),"")</f>
        <v/>
      </c>
      <c r="D887" s="91">
        <f>IF(C887="","",IF(COUNTIF($C$4:C886,C887)=0,SUMIF($C$4:$C$3997,C887,$B$4:$B$3997)-ROW()/1000000,""))</f>
        <v/>
      </c>
      <c r="E887" s="91">
        <f>IF(AND(N('Deal maths'!F887)&gt;AsAt,N('Deal maths'!E887)&lt;=AsAt,IF(N('Deal maths'!H887)&gt;0,N('Deal maths'!H887),N('Deal maths'!D887))&gt;0),N('Deal maths'!F887)+ROW()/1000000,"")</f>
        <v/>
      </c>
    </row>
    <row r="888">
      <c r="A888" s="91" t="n"/>
      <c r="B888" s="111">
        <f>IF(AND(N('Deal maths'!F888)&gt;AsAt,N('Deal maths'!E888)&lt;=AsAt),IF(N('Deal maths'!H888)&gt;0,N('Deal maths'!H888),N('Deal maths'!D888)),0)</f>
        <v/>
      </c>
      <c r="C888" s="91">
        <f>IF(B888&gt;0,IF('Deal maths'!C888="Local authority","Local authorities",LOWER(TRIM('Deal maths'!B888))),"")</f>
        <v/>
      </c>
      <c r="D888" s="91">
        <f>IF(C888="","",IF(COUNTIF($C$4:C887,C888)=0,SUMIF($C$4:$C$3997,C888,$B$4:$B$3997)-ROW()/1000000,""))</f>
        <v/>
      </c>
      <c r="E888" s="91">
        <f>IF(AND(N('Deal maths'!F888)&gt;AsAt,N('Deal maths'!E888)&lt;=AsAt,IF(N('Deal maths'!H888)&gt;0,N('Deal maths'!H888),N('Deal maths'!D888))&gt;0),N('Deal maths'!F888)+ROW()/1000000,"")</f>
        <v/>
      </c>
    </row>
    <row r="889">
      <c r="A889" s="91" t="n"/>
      <c r="B889" s="111">
        <f>IF(AND(N('Deal maths'!F889)&gt;AsAt,N('Deal maths'!E889)&lt;=AsAt),IF(N('Deal maths'!H889)&gt;0,N('Deal maths'!H889),N('Deal maths'!D889)),0)</f>
        <v/>
      </c>
      <c r="C889" s="91">
        <f>IF(B889&gt;0,IF('Deal maths'!C889="Local authority","Local authorities",LOWER(TRIM('Deal maths'!B889))),"")</f>
        <v/>
      </c>
      <c r="D889" s="91">
        <f>IF(C889="","",IF(COUNTIF($C$4:C888,C889)=0,SUMIF($C$4:$C$3997,C889,$B$4:$B$3997)-ROW()/1000000,""))</f>
        <v/>
      </c>
      <c r="E889" s="91">
        <f>IF(AND(N('Deal maths'!F889)&gt;AsAt,N('Deal maths'!E889)&lt;=AsAt,IF(N('Deal maths'!H889)&gt;0,N('Deal maths'!H889),N('Deal maths'!D889))&gt;0),N('Deal maths'!F889)+ROW()/1000000,"")</f>
        <v/>
      </c>
    </row>
    <row r="890">
      <c r="A890" s="91" t="n"/>
      <c r="B890" s="111">
        <f>IF(AND(N('Deal maths'!F890)&gt;AsAt,N('Deal maths'!E890)&lt;=AsAt),IF(N('Deal maths'!H890)&gt;0,N('Deal maths'!H890),N('Deal maths'!D890)),0)</f>
        <v/>
      </c>
      <c r="C890" s="91">
        <f>IF(B890&gt;0,IF('Deal maths'!C890="Local authority","Local authorities",LOWER(TRIM('Deal maths'!B890))),"")</f>
        <v/>
      </c>
      <c r="D890" s="91">
        <f>IF(C890="","",IF(COUNTIF($C$4:C889,C890)=0,SUMIF($C$4:$C$3997,C890,$B$4:$B$3997)-ROW()/1000000,""))</f>
        <v/>
      </c>
      <c r="E890" s="91">
        <f>IF(AND(N('Deal maths'!F890)&gt;AsAt,N('Deal maths'!E890)&lt;=AsAt,IF(N('Deal maths'!H890)&gt;0,N('Deal maths'!H890),N('Deal maths'!D890))&gt;0),N('Deal maths'!F890)+ROW()/1000000,"")</f>
        <v/>
      </c>
    </row>
    <row r="891">
      <c r="A891" s="91" t="n"/>
      <c r="B891" s="111">
        <f>IF(AND(N('Deal maths'!F891)&gt;AsAt,N('Deal maths'!E891)&lt;=AsAt),IF(N('Deal maths'!H891)&gt;0,N('Deal maths'!H891),N('Deal maths'!D891)),0)</f>
        <v/>
      </c>
      <c r="C891" s="91">
        <f>IF(B891&gt;0,IF('Deal maths'!C891="Local authority","Local authorities",LOWER(TRIM('Deal maths'!B891))),"")</f>
        <v/>
      </c>
      <c r="D891" s="91">
        <f>IF(C891="","",IF(COUNTIF($C$4:C890,C891)=0,SUMIF($C$4:$C$3997,C891,$B$4:$B$3997)-ROW()/1000000,""))</f>
        <v/>
      </c>
      <c r="E891" s="91">
        <f>IF(AND(N('Deal maths'!F891)&gt;AsAt,N('Deal maths'!E891)&lt;=AsAt,IF(N('Deal maths'!H891)&gt;0,N('Deal maths'!H891),N('Deal maths'!D891))&gt;0),N('Deal maths'!F891)+ROW()/1000000,"")</f>
        <v/>
      </c>
    </row>
    <row r="892">
      <c r="A892" s="91" t="n"/>
      <c r="B892" s="111">
        <f>IF(AND(N('Deal maths'!F892)&gt;AsAt,N('Deal maths'!E892)&lt;=AsAt),IF(N('Deal maths'!H892)&gt;0,N('Deal maths'!H892),N('Deal maths'!D892)),0)</f>
        <v/>
      </c>
      <c r="C892" s="91">
        <f>IF(B892&gt;0,IF('Deal maths'!C892="Local authority","Local authorities",LOWER(TRIM('Deal maths'!B892))),"")</f>
        <v/>
      </c>
      <c r="D892" s="91">
        <f>IF(C892="","",IF(COUNTIF($C$4:C891,C892)=0,SUMIF($C$4:$C$3997,C892,$B$4:$B$3997)-ROW()/1000000,""))</f>
        <v/>
      </c>
      <c r="E892" s="91">
        <f>IF(AND(N('Deal maths'!F892)&gt;AsAt,N('Deal maths'!E892)&lt;=AsAt,IF(N('Deal maths'!H892)&gt;0,N('Deal maths'!H892),N('Deal maths'!D892))&gt;0),N('Deal maths'!F892)+ROW()/1000000,"")</f>
        <v/>
      </c>
    </row>
    <row r="893">
      <c r="A893" s="91" t="n"/>
      <c r="B893" s="111">
        <f>IF(AND(N('Deal maths'!F893)&gt;AsAt,N('Deal maths'!E893)&lt;=AsAt),IF(N('Deal maths'!H893)&gt;0,N('Deal maths'!H893),N('Deal maths'!D893)),0)</f>
        <v/>
      </c>
      <c r="C893" s="91">
        <f>IF(B893&gt;0,IF('Deal maths'!C893="Local authority","Local authorities",LOWER(TRIM('Deal maths'!B893))),"")</f>
        <v/>
      </c>
      <c r="D893" s="91">
        <f>IF(C893="","",IF(COUNTIF($C$4:C892,C893)=0,SUMIF($C$4:$C$3997,C893,$B$4:$B$3997)-ROW()/1000000,""))</f>
        <v/>
      </c>
      <c r="E893" s="91">
        <f>IF(AND(N('Deal maths'!F893)&gt;AsAt,N('Deal maths'!E893)&lt;=AsAt,IF(N('Deal maths'!H893)&gt;0,N('Deal maths'!H893),N('Deal maths'!D893))&gt;0),N('Deal maths'!F893)+ROW()/1000000,"")</f>
        <v/>
      </c>
    </row>
    <row r="894">
      <c r="A894" s="91" t="n"/>
      <c r="B894" s="111">
        <f>IF(AND(N('Deal maths'!F894)&gt;AsAt,N('Deal maths'!E894)&lt;=AsAt),IF(N('Deal maths'!H894)&gt;0,N('Deal maths'!H894),N('Deal maths'!D894)),0)</f>
        <v/>
      </c>
      <c r="C894" s="91">
        <f>IF(B894&gt;0,IF('Deal maths'!C894="Local authority","Local authorities",LOWER(TRIM('Deal maths'!B894))),"")</f>
        <v/>
      </c>
      <c r="D894" s="91">
        <f>IF(C894="","",IF(COUNTIF($C$4:C893,C894)=0,SUMIF($C$4:$C$3997,C894,$B$4:$B$3997)-ROW()/1000000,""))</f>
        <v/>
      </c>
      <c r="E894" s="91">
        <f>IF(AND(N('Deal maths'!F894)&gt;AsAt,N('Deal maths'!E894)&lt;=AsAt,IF(N('Deal maths'!H894)&gt;0,N('Deal maths'!H894),N('Deal maths'!D894))&gt;0),N('Deal maths'!F894)+ROW()/1000000,"")</f>
        <v/>
      </c>
    </row>
    <row r="895">
      <c r="A895" s="91" t="n"/>
      <c r="B895" s="111">
        <f>IF(AND(N('Deal maths'!F895)&gt;AsAt,N('Deal maths'!E895)&lt;=AsAt),IF(N('Deal maths'!H895)&gt;0,N('Deal maths'!H895),N('Deal maths'!D895)),0)</f>
        <v/>
      </c>
      <c r="C895" s="91">
        <f>IF(B895&gt;0,IF('Deal maths'!C895="Local authority","Local authorities",LOWER(TRIM('Deal maths'!B895))),"")</f>
        <v/>
      </c>
      <c r="D895" s="91">
        <f>IF(C895="","",IF(COUNTIF($C$4:C894,C895)=0,SUMIF($C$4:$C$3997,C895,$B$4:$B$3997)-ROW()/1000000,""))</f>
        <v/>
      </c>
      <c r="E895" s="91">
        <f>IF(AND(N('Deal maths'!F895)&gt;AsAt,N('Deal maths'!E895)&lt;=AsAt,IF(N('Deal maths'!H895)&gt;0,N('Deal maths'!H895),N('Deal maths'!D895))&gt;0),N('Deal maths'!F895)+ROW()/1000000,"")</f>
        <v/>
      </c>
    </row>
    <row r="896">
      <c r="A896" s="91" t="n"/>
      <c r="B896" s="111">
        <f>IF(AND(N('Deal maths'!F896)&gt;AsAt,N('Deal maths'!E896)&lt;=AsAt),IF(N('Deal maths'!H896)&gt;0,N('Deal maths'!H896),N('Deal maths'!D896)),0)</f>
        <v/>
      </c>
      <c r="C896" s="91">
        <f>IF(B896&gt;0,IF('Deal maths'!C896="Local authority","Local authorities",LOWER(TRIM('Deal maths'!B896))),"")</f>
        <v/>
      </c>
      <c r="D896" s="91">
        <f>IF(C896="","",IF(COUNTIF($C$4:C895,C896)=0,SUMIF($C$4:$C$3997,C896,$B$4:$B$3997)-ROW()/1000000,""))</f>
        <v/>
      </c>
      <c r="E896" s="91">
        <f>IF(AND(N('Deal maths'!F896)&gt;AsAt,N('Deal maths'!E896)&lt;=AsAt,IF(N('Deal maths'!H896)&gt;0,N('Deal maths'!H896),N('Deal maths'!D896))&gt;0),N('Deal maths'!F896)+ROW()/1000000,"")</f>
        <v/>
      </c>
    </row>
    <row r="897">
      <c r="A897" s="91" t="n"/>
      <c r="B897" s="111">
        <f>IF(AND(N('Deal maths'!F897)&gt;AsAt,N('Deal maths'!E897)&lt;=AsAt),IF(N('Deal maths'!H897)&gt;0,N('Deal maths'!H897),N('Deal maths'!D897)),0)</f>
        <v/>
      </c>
      <c r="C897" s="91">
        <f>IF(B897&gt;0,IF('Deal maths'!C897="Local authority","Local authorities",LOWER(TRIM('Deal maths'!B897))),"")</f>
        <v/>
      </c>
      <c r="D897" s="91">
        <f>IF(C897="","",IF(COUNTIF($C$4:C896,C897)=0,SUMIF($C$4:$C$3997,C897,$B$4:$B$3997)-ROW()/1000000,""))</f>
        <v/>
      </c>
      <c r="E897" s="91">
        <f>IF(AND(N('Deal maths'!F897)&gt;AsAt,N('Deal maths'!E897)&lt;=AsAt,IF(N('Deal maths'!H897)&gt;0,N('Deal maths'!H897),N('Deal maths'!D897))&gt;0),N('Deal maths'!F897)+ROW()/1000000,"")</f>
        <v/>
      </c>
    </row>
    <row r="898">
      <c r="A898" s="91" t="n"/>
      <c r="B898" s="111">
        <f>IF(AND(N('Deal maths'!F898)&gt;AsAt,N('Deal maths'!E898)&lt;=AsAt),IF(N('Deal maths'!H898)&gt;0,N('Deal maths'!H898),N('Deal maths'!D898)),0)</f>
        <v/>
      </c>
      <c r="C898" s="91">
        <f>IF(B898&gt;0,IF('Deal maths'!C898="Local authority","Local authorities",LOWER(TRIM('Deal maths'!B898))),"")</f>
        <v/>
      </c>
      <c r="D898" s="91">
        <f>IF(C898="","",IF(COUNTIF($C$4:C897,C898)=0,SUMIF($C$4:$C$3997,C898,$B$4:$B$3997)-ROW()/1000000,""))</f>
        <v/>
      </c>
      <c r="E898" s="91">
        <f>IF(AND(N('Deal maths'!F898)&gt;AsAt,N('Deal maths'!E898)&lt;=AsAt,IF(N('Deal maths'!H898)&gt;0,N('Deal maths'!H898),N('Deal maths'!D898))&gt;0),N('Deal maths'!F898)+ROW()/1000000,"")</f>
        <v/>
      </c>
    </row>
    <row r="899">
      <c r="A899" s="91" t="n"/>
      <c r="B899" s="111">
        <f>IF(AND(N('Deal maths'!F899)&gt;AsAt,N('Deal maths'!E899)&lt;=AsAt),IF(N('Deal maths'!H899)&gt;0,N('Deal maths'!H899),N('Deal maths'!D899)),0)</f>
        <v/>
      </c>
      <c r="C899" s="91">
        <f>IF(B899&gt;0,IF('Deal maths'!C899="Local authority","Local authorities",LOWER(TRIM('Deal maths'!B899))),"")</f>
        <v/>
      </c>
      <c r="D899" s="91">
        <f>IF(C899="","",IF(COUNTIF($C$4:C898,C899)=0,SUMIF($C$4:$C$3997,C899,$B$4:$B$3997)-ROW()/1000000,""))</f>
        <v/>
      </c>
      <c r="E899" s="91">
        <f>IF(AND(N('Deal maths'!F899)&gt;AsAt,N('Deal maths'!E899)&lt;=AsAt,IF(N('Deal maths'!H899)&gt;0,N('Deal maths'!H899),N('Deal maths'!D899))&gt;0),N('Deal maths'!F899)+ROW()/1000000,"")</f>
        <v/>
      </c>
    </row>
    <row r="900">
      <c r="A900" s="91" t="n"/>
      <c r="B900" s="111">
        <f>IF(AND(N('Deal maths'!F900)&gt;AsAt,N('Deal maths'!E900)&lt;=AsAt),IF(N('Deal maths'!H900)&gt;0,N('Deal maths'!H900),N('Deal maths'!D900)),0)</f>
        <v/>
      </c>
      <c r="C900" s="91">
        <f>IF(B900&gt;0,IF('Deal maths'!C900="Local authority","Local authorities",LOWER(TRIM('Deal maths'!B900))),"")</f>
        <v/>
      </c>
      <c r="D900" s="91">
        <f>IF(C900="","",IF(COUNTIF($C$4:C899,C900)=0,SUMIF($C$4:$C$3997,C900,$B$4:$B$3997)-ROW()/1000000,""))</f>
        <v/>
      </c>
      <c r="E900" s="91">
        <f>IF(AND(N('Deal maths'!F900)&gt;AsAt,N('Deal maths'!E900)&lt;=AsAt,IF(N('Deal maths'!H900)&gt;0,N('Deal maths'!H900),N('Deal maths'!D900))&gt;0),N('Deal maths'!F900)+ROW()/1000000,"")</f>
        <v/>
      </c>
    </row>
    <row r="901">
      <c r="A901" s="91" t="n"/>
      <c r="B901" s="111">
        <f>IF(AND(N('Deal maths'!F901)&gt;AsAt,N('Deal maths'!E901)&lt;=AsAt),IF(N('Deal maths'!H901)&gt;0,N('Deal maths'!H901),N('Deal maths'!D901)),0)</f>
        <v/>
      </c>
      <c r="C901" s="91">
        <f>IF(B901&gt;0,IF('Deal maths'!C901="Local authority","Local authorities",LOWER(TRIM('Deal maths'!B901))),"")</f>
        <v/>
      </c>
      <c r="D901" s="91">
        <f>IF(C901="","",IF(COUNTIF($C$4:C900,C901)=0,SUMIF($C$4:$C$3997,C901,$B$4:$B$3997)-ROW()/1000000,""))</f>
        <v/>
      </c>
      <c r="E901" s="91">
        <f>IF(AND(N('Deal maths'!F901)&gt;AsAt,N('Deal maths'!E901)&lt;=AsAt,IF(N('Deal maths'!H901)&gt;0,N('Deal maths'!H901),N('Deal maths'!D901))&gt;0),N('Deal maths'!F901)+ROW()/1000000,"")</f>
        <v/>
      </c>
    </row>
    <row r="902">
      <c r="A902" s="91" t="n"/>
      <c r="B902" s="111">
        <f>IF(AND(N('Deal maths'!F902)&gt;AsAt,N('Deal maths'!E902)&lt;=AsAt),IF(N('Deal maths'!H902)&gt;0,N('Deal maths'!H902),N('Deal maths'!D902)),0)</f>
        <v/>
      </c>
      <c r="C902" s="91">
        <f>IF(B902&gt;0,IF('Deal maths'!C902="Local authority","Local authorities",LOWER(TRIM('Deal maths'!B902))),"")</f>
        <v/>
      </c>
      <c r="D902" s="91">
        <f>IF(C902="","",IF(COUNTIF($C$4:C901,C902)=0,SUMIF($C$4:$C$3997,C902,$B$4:$B$3997)-ROW()/1000000,""))</f>
        <v/>
      </c>
      <c r="E902" s="91">
        <f>IF(AND(N('Deal maths'!F902)&gt;AsAt,N('Deal maths'!E902)&lt;=AsAt,IF(N('Deal maths'!H902)&gt;0,N('Deal maths'!H902),N('Deal maths'!D902))&gt;0),N('Deal maths'!F902)+ROW()/1000000,"")</f>
        <v/>
      </c>
    </row>
    <row r="903">
      <c r="A903" s="91" t="n"/>
      <c r="B903" s="111">
        <f>IF(AND(N('Deal maths'!F903)&gt;AsAt,N('Deal maths'!E903)&lt;=AsAt),IF(N('Deal maths'!H903)&gt;0,N('Deal maths'!H903),N('Deal maths'!D903)),0)</f>
        <v/>
      </c>
      <c r="C903" s="91">
        <f>IF(B903&gt;0,IF('Deal maths'!C903="Local authority","Local authorities",LOWER(TRIM('Deal maths'!B903))),"")</f>
        <v/>
      </c>
      <c r="D903" s="91">
        <f>IF(C903="","",IF(COUNTIF($C$4:C902,C903)=0,SUMIF($C$4:$C$3997,C903,$B$4:$B$3997)-ROW()/1000000,""))</f>
        <v/>
      </c>
      <c r="E903" s="91">
        <f>IF(AND(N('Deal maths'!F903)&gt;AsAt,N('Deal maths'!E903)&lt;=AsAt,IF(N('Deal maths'!H903)&gt;0,N('Deal maths'!H903),N('Deal maths'!D903))&gt;0),N('Deal maths'!F903)+ROW()/1000000,"")</f>
        <v/>
      </c>
    </row>
    <row r="904">
      <c r="A904" s="91" t="n"/>
      <c r="B904" s="111">
        <f>IF(AND(N('Deal maths'!F904)&gt;AsAt,N('Deal maths'!E904)&lt;=AsAt),IF(N('Deal maths'!H904)&gt;0,N('Deal maths'!H904),N('Deal maths'!D904)),0)</f>
        <v/>
      </c>
      <c r="C904" s="91">
        <f>IF(B904&gt;0,IF('Deal maths'!C904="Local authority","Local authorities",LOWER(TRIM('Deal maths'!B904))),"")</f>
        <v/>
      </c>
      <c r="D904" s="91">
        <f>IF(C904="","",IF(COUNTIF($C$4:C903,C904)=0,SUMIF($C$4:$C$3997,C904,$B$4:$B$3997)-ROW()/1000000,""))</f>
        <v/>
      </c>
      <c r="E904" s="91">
        <f>IF(AND(N('Deal maths'!F904)&gt;AsAt,N('Deal maths'!E904)&lt;=AsAt,IF(N('Deal maths'!H904)&gt;0,N('Deal maths'!H904),N('Deal maths'!D904))&gt;0),N('Deal maths'!F904)+ROW()/1000000,"")</f>
        <v/>
      </c>
    </row>
    <row r="905">
      <c r="A905" s="91" t="n"/>
      <c r="B905" s="111">
        <f>IF(AND(N('Deal maths'!F905)&gt;AsAt,N('Deal maths'!E905)&lt;=AsAt),IF(N('Deal maths'!H905)&gt;0,N('Deal maths'!H905),N('Deal maths'!D905)),0)</f>
        <v/>
      </c>
      <c r="C905" s="91">
        <f>IF(B905&gt;0,IF('Deal maths'!C905="Local authority","Local authorities",LOWER(TRIM('Deal maths'!B905))),"")</f>
        <v/>
      </c>
      <c r="D905" s="91">
        <f>IF(C905="","",IF(COUNTIF($C$4:C904,C905)=0,SUMIF($C$4:$C$3997,C905,$B$4:$B$3997)-ROW()/1000000,""))</f>
        <v/>
      </c>
      <c r="E905" s="91">
        <f>IF(AND(N('Deal maths'!F905)&gt;AsAt,N('Deal maths'!E905)&lt;=AsAt,IF(N('Deal maths'!H905)&gt;0,N('Deal maths'!H905),N('Deal maths'!D905))&gt;0),N('Deal maths'!F905)+ROW()/1000000,"")</f>
        <v/>
      </c>
    </row>
    <row r="906">
      <c r="A906" s="91" t="n"/>
      <c r="B906" s="111">
        <f>IF(AND(N('Deal maths'!F906)&gt;AsAt,N('Deal maths'!E906)&lt;=AsAt),IF(N('Deal maths'!H906)&gt;0,N('Deal maths'!H906),N('Deal maths'!D906)),0)</f>
        <v/>
      </c>
      <c r="C906" s="91">
        <f>IF(B906&gt;0,IF('Deal maths'!C906="Local authority","Local authorities",LOWER(TRIM('Deal maths'!B906))),"")</f>
        <v/>
      </c>
      <c r="D906" s="91">
        <f>IF(C906="","",IF(COUNTIF($C$4:C905,C906)=0,SUMIF($C$4:$C$3997,C906,$B$4:$B$3997)-ROW()/1000000,""))</f>
        <v/>
      </c>
      <c r="E906" s="91">
        <f>IF(AND(N('Deal maths'!F906)&gt;AsAt,N('Deal maths'!E906)&lt;=AsAt,IF(N('Deal maths'!H906)&gt;0,N('Deal maths'!H906),N('Deal maths'!D906))&gt;0),N('Deal maths'!F906)+ROW()/1000000,"")</f>
        <v/>
      </c>
    </row>
    <row r="907">
      <c r="A907" s="91" t="n"/>
      <c r="B907" s="111">
        <f>IF(AND(N('Deal maths'!F907)&gt;AsAt,N('Deal maths'!E907)&lt;=AsAt),IF(N('Deal maths'!H907)&gt;0,N('Deal maths'!H907),N('Deal maths'!D907)),0)</f>
        <v/>
      </c>
      <c r="C907" s="91">
        <f>IF(B907&gt;0,IF('Deal maths'!C907="Local authority","Local authorities",LOWER(TRIM('Deal maths'!B907))),"")</f>
        <v/>
      </c>
      <c r="D907" s="91">
        <f>IF(C907="","",IF(COUNTIF($C$4:C906,C907)=0,SUMIF($C$4:$C$3997,C907,$B$4:$B$3997)-ROW()/1000000,""))</f>
        <v/>
      </c>
      <c r="E907" s="91">
        <f>IF(AND(N('Deal maths'!F907)&gt;AsAt,N('Deal maths'!E907)&lt;=AsAt,IF(N('Deal maths'!H907)&gt;0,N('Deal maths'!H907),N('Deal maths'!D907))&gt;0),N('Deal maths'!F907)+ROW()/1000000,"")</f>
        <v/>
      </c>
    </row>
    <row r="908">
      <c r="A908" s="91" t="n"/>
      <c r="B908" s="111">
        <f>IF(AND(N('Deal maths'!F908)&gt;AsAt,N('Deal maths'!E908)&lt;=AsAt),IF(N('Deal maths'!H908)&gt;0,N('Deal maths'!H908),N('Deal maths'!D908)),0)</f>
        <v/>
      </c>
      <c r="C908" s="91">
        <f>IF(B908&gt;0,IF('Deal maths'!C908="Local authority","Local authorities",LOWER(TRIM('Deal maths'!B908))),"")</f>
        <v/>
      </c>
      <c r="D908" s="91">
        <f>IF(C908="","",IF(COUNTIF($C$4:C907,C908)=0,SUMIF($C$4:$C$3997,C908,$B$4:$B$3997)-ROW()/1000000,""))</f>
        <v/>
      </c>
      <c r="E908" s="91">
        <f>IF(AND(N('Deal maths'!F908)&gt;AsAt,N('Deal maths'!E908)&lt;=AsAt,IF(N('Deal maths'!H908)&gt;0,N('Deal maths'!H908),N('Deal maths'!D908))&gt;0),N('Deal maths'!F908)+ROW()/1000000,"")</f>
        <v/>
      </c>
    </row>
    <row r="909">
      <c r="A909" s="91" t="n"/>
      <c r="B909" s="111">
        <f>IF(AND(N('Deal maths'!F909)&gt;AsAt,N('Deal maths'!E909)&lt;=AsAt),IF(N('Deal maths'!H909)&gt;0,N('Deal maths'!H909),N('Deal maths'!D909)),0)</f>
        <v/>
      </c>
      <c r="C909" s="91">
        <f>IF(B909&gt;0,IF('Deal maths'!C909="Local authority","Local authorities",LOWER(TRIM('Deal maths'!B909))),"")</f>
        <v/>
      </c>
      <c r="D909" s="91">
        <f>IF(C909="","",IF(COUNTIF($C$4:C908,C909)=0,SUMIF($C$4:$C$3997,C909,$B$4:$B$3997)-ROW()/1000000,""))</f>
        <v/>
      </c>
      <c r="E909" s="91">
        <f>IF(AND(N('Deal maths'!F909)&gt;AsAt,N('Deal maths'!E909)&lt;=AsAt,IF(N('Deal maths'!H909)&gt;0,N('Deal maths'!H909),N('Deal maths'!D909))&gt;0),N('Deal maths'!F909)+ROW()/1000000,"")</f>
        <v/>
      </c>
    </row>
    <row r="910">
      <c r="A910" s="91" t="n"/>
      <c r="B910" s="111">
        <f>IF(AND(N('Deal maths'!F910)&gt;AsAt,N('Deal maths'!E910)&lt;=AsAt),IF(N('Deal maths'!H910)&gt;0,N('Deal maths'!H910),N('Deal maths'!D910)),0)</f>
        <v/>
      </c>
      <c r="C910" s="91">
        <f>IF(B910&gt;0,IF('Deal maths'!C910="Local authority","Local authorities",LOWER(TRIM('Deal maths'!B910))),"")</f>
        <v/>
      </c>
      <c r="D910" s="91">
        <f>IF(C910="","",IF(COUNTIF($C$4:C909,C910)=0,SUMIF($C$4:$C$3997,C910,$B$4:$B$3997)-ROW()/1000000,""))</f>
        <v/>
      </c>
      <c r="E910" s="91">
        <f>IF(AND(N('Deal maths'!F910)&gt;AsAt,N('Deal maths'!E910)&lt;=AsAt,IF(N('Deal maths'!H910)&gt;0,N('Deal maths'!H910),N('Deal maths'!D910))&gt;0),N('Deal maths'!F910)+ROW()/1000000,"")</f>
        <v/>
      </c>
    </row>
    <row r="911">
      <c r="A911" s="91" t="n"/>
      <c r="B911" s="111">
        <f>IF(AND(N('Deal maths'!F911)&gt;AsAt,N('Deal maths'!E911)&lt;=AsAt),IF(N('Deal maths'!H911)&gt;0,N('Deal maths'!H911),N('Deal maths'!D911)),0)</f>
        <v/>
      </c>
      <c r="C911" s="91">
        <f>IF(B911&gt;0,IF('Deal maths'!C911="Local authority","Local authorities",LOWER(TRIM('Deal maths'!B911))),"")</f>
        <v/>
      </c>
      <c r="D911" s="91">
        <f>IF(C911="","",IF(COUNTIF($C$4:C910,C911)=0,SUMIF($C$4:$C$3997,C911,$B$4:$B$3997)-ROW()/1000000,""))</f>
        <v/>
      </c>
      <c r="E911" s="91">
        <f>IF(AND(N('Deal maths'!F911)&gt;AsAt,N('Deal maths'!E911)&lt;=AsAt,IF(N('Deal maths'!H911)&gt;0,N('Deal maths'!H911),N('Deal maths'!D911))&gt;0),N('Deal maths'!F911)+ROW()/1000000,"")</f>
        <v/>
      </c>
    </row>
    <row r="912">
      <c r="A912" s="91" t="n"/>
      <c r="B912" s="111">
        <f>IF(AND(N('Deal maths'!F912)&gt;AsAt,N('Deal maths'!E912)&lt;=AsAt),IF(N('Deal maths'!H912)&gt;0,N('Deal maths'!H912),N('Deal maths'!D912)),0)</f>
        <v/>
      </c>
      <c r="C912" s="91">
        <f>IF(B912&gt;0,IF('Deal maths'!C912="Local authority","Local authorities",LOWER(TRIM('Deal maths'!B912))),"")</f>
        <v/>
      </c>
      <c r="D912" s="91">
        <f>IF(C912="","",IF(COUNTIF($C$4:C911,C912)=0,SUMIF($C$4:$C$3997,C912,$B$4:$B$3997)-ROW()/1000000,""))</f>
        <v/>
      </c>
      <c r="E912" s="91">
        <f>IF(AND(N('Deal maths'!F912)&gt;AsAt,N('Deal maths'!E912)&lt;=AsAt,IF(N('Deal maths'!H912)&gt;0,N('Deal maths'!H912),N('Deal maths'!D912))&gt;0),N('Deal maths'!F912)+ROW()/1000000,"")</f>
        <v/>
      </c>
    </row>
    <row r="913">
      <c r="A913" s="91" t="n"/>
      <c r="B913" s="111">
        <f>IF(AND(N('Deal maths'!F913)&gt;AsAt,N('Deal maths'!E913)&lt;=AsAt),IF(N('Deal maths'!H913)&gt;0,N('Deal maths'!H913),N('Deal maths'!D913)),0)</f>
        <v/>
      </c>
      <c r="C913" s="91">
        <f>IF(B913&gt;0,IF('Deal maths'!C913="Local authority","Local authorities",LOWER(TRIM('Deal maths'!B913))),"")</f>
        <v/>
      </c>
      <c r="D913" s="91">
        <f>IF(C913="","",IF(COUNTIF($C$4:C912,C913)=0,SUMIF($C$4:$C$3997,C913,$B$4:$B$3997)-ROW()/1000000,""))</f>
        <v/>
      </c>
      <c r="E913" s="91">
        <f>IF(AND(N('Deal maths'!F913)&gt;AsAt,N('Deal maths'!E913)&lt;=AsAt,IF(N('Deal maths'!H913)&gt;0,N('Deal maths'!H913),N('Deal maths'!D913))&gt;0),N('Deal maths'!F913)+ROW()/1000000,"")</f>
        <v/>
      </c>
    </row>
    <row r="914">
      <c r="A914" s="91" t="n"/>
      <c r="B914" s="111">
        <f>IF(AND(N('Deal maths'!F914)&gt;AsAt,N('Deal maths'!E914)&lt;=AsAt),IF(N('Deal maths'!H914)&gt;0,N('Deal maths'!H914),N('Deal maths'!D914)),0)</f>
        <v/>
      </c>
      <c r="C914" s="91">
        <f>IF(B914&gt;0,IF('Deal maths'!C914="Local authority","Local authorities",LOWER(TRIM('Deal maths'!B914))),"")</f>
        <v/>
      </c>
      <c r="D914" s="91">
        <f>IF(C914="","",IF(COUNTIF($C$4:C913,C914)=0,SUMIF($C$4:$C$3997,C914,$B$4:$B$3997)-ROW()/1000000,""))</f>
        <v/>
      </c>
      <c r="E914" s="91">
        <f>IF(AND(N('Deal maths'!F914)&gt;AsAt,N('Deal maths'!E914)&lt;=AsAt,IF(N('Deal maths'!H914)&gt;0,N('Deal maths'!H914),N('Deal maths'!D914))&gt;0),N('Deal maths'!F914)+ROW()/1000000,"")</f>
        <v/>
      </c>
    </row>
    <row r="915">
      <c r="A915" s="91" t="n"/>
      <c r="B915" s="111">
        <f>IF(AND(N('Deal maths'!F915)&gt;AsAt,N('Deal maths'!E915)&lt;=AsAt),IF(N('Deal maths'!H915)&gt;0,N('Deal maths'!H915),N('Deal maths'!D915)),0)</f>
        <v/>
      </c>
      <c r="C915" s="91">
        <f>IF(B915&gt;0,IF('Deal maths'!C915="Local authority","Local authorities",LOWER(TRIM('Deal maths'!B915))),"")</f>
        <v/>
      </c>
      <c r="D915" s="91">
        <f>IF(C915="","",IF(COUNTIF($C$4:C914,C915)=0,SUMIF($C$4:$C$3997,C915,$B$4:$B$3997)-ROW()/1000000,""))</f>
        <v/>
      </c>
      <c r="E915" s="91">
        <f>IF(AND(N('Deal maths'!F915)&gt;AsAt,N('Deal maths'!E915)&lt;=AsAt,IF(N('Deal maths'!H915)&gt;0,N('Deal maths'!H915),N('Deal maths'!D915))&gt;0),N('Deal maths'!F915)+ROW()/1000000,"")</f>
        <v/>
      </c>
    </row>
    <row r="916">
      <c r="A916" s="91" t="n"/>
      <c r="B916" s="111">
        <f>IF(AND(N('Deal maths'!F916)&gt;AsAt,N('Deal maths'!E916)&lt;=AsAt),IF(N('Deal maths'!H916)&gt;0,N('Deal maths'!H916),N('Deal maths'!D916)),0)</f>
        <v/>
      </c>
      <c r="C916" s="91">
        <f>IF(B916&gt;0,IF('Deal maths'!C916="Local authority","Local authorities",LOWER(TRIM('Deal maths'!B916))),"")</f>
        <v/>
      </c>
      <c r="D916" s="91">
        <f>IF(C916="","",IF(COUNTIF($C$4:C915,C916)=0,SUMIF($C$4:$C$3997,C916,$B$4:$B$3997)-ROW()/1000000,""))</f>
        <v/>
      </c>
      <c r="E916" s="91">
        <f>IF(AND(N('Deal maths'!F916)&gt;AsAt,N('Deal maths'!E916)&lt;=AsAt,IF(N('Deal maths'!H916)&gt;0,N('Deal maths'!H916),N('Deal maths'!D916))&gt;0),N('Deal maths'!F916)+ROW()/1000000,"")</f>
        <v/>
      </c>
    </row>
    <row r="917">
      <c r="A917" s="91" t="n"/>
      <c r="B917" s="111">
        <f>IF(AND(N('Deal maths'!F917)&gt;AsAt,N('Deal maths'!E917)&lt;=AsAt),IF(N('Deal maths'!H917)&gt;0,N('Deal maths'!H917),N('Deal maths'!D917)),0)</f>
        <v/>
      </c>
      <c r="C917" s="91">
        <f>IF(B917&gt;0,IF('Deal maths'!C917="Local authority","Local authorities",LOWER(TRIM('Deal maths'!B917))),"")</f>
        <v/>
      </c>
      <c r="D917" s="91">
        <f>IF(C917="","",IF(COUNTIF($C$4:C916,C917)=0,SUMIF($C$4:$C$3997,C917,$B$4:$B$3997)-ROW()/1000000,""))</f>
        <v/>
      </c>
      <c r="E917" s="91">
        <f>IF(AND(N('Deal maths'!F917)&gt;AsAt,N('Deal maths'!E917)&lt;=AsAt,IF(N('Deal maths'!H917)&gt;0,N('Deal maths'!H917),N('Deal maths'!D917))&gt;0),N('Deal maths'!F917)+ROW()/1000000,"")</f>
        <v/>
      </c>
    </row>
    <row r="918">
      <c r="A918" s="91" t="n"/>
      <c r="B918" s="111">
        <f>IF(AND(N('Deal maths'!F918)&gt;AsAt,N('Deal maths'!E918)&lt;=AsAt),IF(N('Deal maths'!H918)&gt;0,N('Deal maths'!H918),N('Deal maths'!D918)),0)</f>
        <v/>
      </c>
      <c r="C918" s="91">
        <f>IF(B918&gt;0,IF('Deal maths'!C918="Local authority","Local authorities",LOWER(TRIM('Deal maths'!B918))),"")</f>
        <v/>
      </c>
      <c r="D918" s="91">
        <f>IF(C918="","",IF(COUNTIF($C$4:C917,C918)=0,SUMIF($C$4:$C$3997,C918,$B$4:$B$3997)-ROW()/1000000,""))</f>
        <v/>
      </c>
      <c r="E918" s="91">
        <f>IF(AND(N('Deal maths'!F918)&gt;AsAt,N('Deal maths'!E918)&lt;=AsAt,IF(N('Deal maths'!H918)&gt;0,N('Deal maths'!H918),N('Deal maths'!D918))&gt;0),N('Deal maths'!F918)+ROW()/1000000,"")</f>
        <v/>
      </c>
    </row>
    <row r="919">
      <c r="A919" s="91" t="n"/>
      <c r="B919" s="111">
        <f>IF(AND(N('Deal maths'!F919)&gt;AsAt,N('Deal maths'!E919)&lt;=AsAt),IF(N('Deal maths'!H919)&gt;0,N('Deal maths'!H919),N('Deal maths'!D919)),0)</f>
        <v/>
      </c>
      <c r="C919" s="91">
        <f>IF(B919&gt;0,IF('Deal maths'!C919="Local authority","Local authorities",LOWER(TRIM('Deal maths'!B919))),"")</f>
        <v/>
      </c>
      <c r="D919" s="91">
        <f>IF(C919="","",IF(COUNTIF($C$4:C918,C919)=0,SUMIF($C$4:$C$3997,C919,$B$4:$B$3997)-ROW()/1000000,""))</f>
        <v/>
      </c>
      <c r="E919" s="91">
        <f>IF(AND(N('Deal maths'!F919)&gt;AsAt,N('Deal maths'!E919)&lt;=AsAt,IF(N('Deal maths'!H919)&gt;0,N('Deal maths'!H919),N('Deal maths'!D919))&gt;0),N('Deal maths'!F919)+ROW()/1000000,"")</f>
        <v/>
      </c>
    </row>
    <row r="920">
      <c r="A920" s="91" t="n"/>
      <c r="B920" s="111">
        <f>IF(AND(N('Deal maths'!F920)&gt;AsAt,N('Deal maths'!E920)&lt;=AsAt),IF(N('Deal maths'!H920)&gt;0,N('Deal maths'!H920),N('Deal maths'!D920)),0)</f>
        <v/>
      </c>
      <c r="C920" s="91">
        <f>IF(B920&gt;0,IF('Deal maths'!C920="Local authority","Local authorities",LOWER(TRIM('Deal maths'!B920))),"")</f>
        <v/>
      </c>
      <c r="D920" s="91">
        <f>IF(C920="","",IF(COUNTIF($C$4:C919,C920)=0,SUMIF($C$4:$C$3997,C920,$B$4:$B$3997)-ROW()/1000000,""))</f>
        <v/>
      </c>
      <c r="E920" s="91">
        <f>IF(AND(N('Deal maths'!F920)&gt;AsAt,N('Deal maths'!E920)&lt;=AsAt,IF(N('Deal maths'!H920)&gt;0,N('Deal maths'!H920),N('Deal maths'!D920))&gt;0),N('Deal maths'!F920)+ROW()/1000000,"")</f>
        <v/>
      </c>
    </row>
    <row r="921">
      <c r="A921" s="91" t="n"/>
      <c r="B921" s="111">
        <f>IF(AND(N('Deal maths'!F921)&gt;AsAt,N('Deal maths'!E921)&lt;=AsAt),IF(N('Deal maths'!H921)&gt;0,N('Deal maths'!H921),N('Deal maths'!D921)),0)</f>
        <v/>
      </c>
      <c r="C921" s="91">
        <f>IF(B921&gt;0,IF('Deal maths'!C921="Local authority","Local authorities",LOWER(TRIM('Deal maths'!B921))),"")</f>
        <v/>
      </c>
      <c r="D921" s="91">
        <f>IF(C921="","",IF(COUNTIF($C$4:C920,C921)=0,SUMIF($C$4:$C$3997,C921,$B$4:$B$3997)-ROW()/1000000,""))</f>
        <v/>
      </c>
      <c r="E921" s="91">
        <f>IF(AND(N('Deal maths'!F921)&gt;AsAt,N('Deal maths'!E921)&lt;=AsAt,IF(N('Deal maths'!H921)&gt;0,N('Deal maths'!H921),N('Deal maths'!D921))&gt;0),N('Deal maths'!F921)+ROW()/1000000,"")</f>
        <v/>
      </c>
    </row>
    <row r="922">
      <c r="A922" s="91" t="n"/>
      <c r="B922" s="111">
        <f>IF(AND(N('Deal maths'!F922)&gt;AsAt,N('Deal maths'!E922)&lt;=AsAt),IF(N('Deal maths'!H922)&gt;0,N('Deal maths'!H922),N('Deal maths'!D922)),0)</f>
        <v/>
      </c>
      <c r="C922" s="91">
        <f>IF(B922&gt;0,IF('Deal maths'!C922="Local authority","Local authorities",LOWER(TRIM('Deal maths'!B922))),"")</f>
        <v/>
      </c>
      <c r="D922" s="91">
        <f>IF(C922="","",IF(COUNTIF($C$4:C921,C922)=0,SUMIF($C$4:$C$3997,C922,$B$4:$B$3997)-ROW()/1000000,""))</f>
        <v/>
      </c>
      <c r="E922" s="91">
        <f>IF(AND(N('Deal maths'!F922)&gt;AsAt,N('Deal maths'!E922)&lt;=AsAt,IF(N('Deal maths'!H922)&gt;0,N('Deal maths'!H922),N('Deal maths'!D922))&gt;0),N('Deal maths'!F922)+ROW()/1000000,"")</f>
        <v/>
      </c>
    </row>
    <row r="923">
      <c r="A923" s="91" t="n"/>
      <c r="B923" s="111">
        <f>IF(AND(N('Deal maths'!F923)&gt;AsAt,N('Deal maths'!E923)&lt;=AsAt),IF(N('Deal maths'!H923)&gt;0,N('Deal maths'!H923),N('Deal maths'!D923)),0)</f>
        <v/>
      </c>
      <c r="C923" s="91">
        <f>IF(B923&gt;0,IF('Deal maths'!C923="Local authority","Local authorities",LOWER(TRIM('Deal maths'!B923))),"")</f>
        <v/>
      </c>
      <c r="D923" s="91">
        <f>IF(C923="","",IF(COUNTIF($C$4:C922,C923)=0,SUMIF($C$4:$C$3997,C923,$B$4:$B$3997)-ROW()/1000000,""))</f>
        <v/>
      </c>
      <c r="E923" s="91">
        <f>IF(AND(N('Deal maths'!F923)&gt;AsAt,N('Deal maths'!E923)&lt;=AsAt,IF(N('Deal maths'!H923)&gt;0,N('Deal maths'!H923),N('Deal maths'!D923))&gt;0),N('Deal maths'!F923)+ROW()/1000000,"")</f>
        <v/>
      </c>
    </row>
    <row r="924">
      <c r="A924" s="91" t="n"/>
      <c r="B924" s="111">
        <f>IF(AND(N('Deal maths'!F924)&gt;AsAt,N('Deal maths'!E924)&lt;=AsAt),IF(N('Deal maths'!H924)&gt;0,N('Deal maths'!H924),N('Deal maths'!D924)),0)</f>
        <v/>
      </c>
      <c r="C924" s="91">
        <f>IF(B924&gt;0,IF('Deal maths'!C924="Local authority","Local authorities",LOWER(TRIM('Deal maths'!B924))),"")</f>
        <v/>
      </c>
      <c r="D924" s="91">
        <f>IF(C924="","",IF(COUNTIF($C$4:C923,C924)=0,SUMIF($C$4:$C$3997,C924,$B$4:$B$3997)-ROW()/1000000,""))</f>
        <v/>
      </c>
      <c r="E924" s="91">
        <f>IF(AND(N('Deal maths'!F924)&gt;AsAt,N('Deal maths'!E924)&lt;=AsAt,IF(N('Deal maths'!H924)&gt;0,N('Deal maths'!H924),N('Deal maths'!D924))&gt;0),N('Deal maths'!F924)+ROW()/1000000,"")</f>
        <v/>
      </c>
    </row>
    <row r="925">
      <c r="A925" s="91" t="n"/>
      <c r="B925" s="111">
        <f>IF(AND(N('Deal maths'!F925)&gt;AsAt,N('Deal maths'!E925)&lt;=AsAt),IF(N('Deal maths'!H925)&gt;0,N('Deal maths'!H925),N('Deal maths'!D925)),0)</f>
        <v/>
      </c>
      <c r="C925" s="91">
        <f>IF(B925&gt;0,IF('Deal maths'!C925="Local authority","Local authorities",LOWER(TRIM('Deal maths'!B925))),"")</f>
        <v/>
      </c>
      <c r="D925" s="91">
        <f>IF(C925="","",IF(COUNTIF($C$4:C924,C925)=0,SUMIF($C$4:$C$3997,C925,$B$4:$B$3997)-ROW()/1000000,""))</f>
        <v/>
      </c>
      <c r="E925" s="91">
        <f>IF(AND(N('Deal maths'!F925)&gt;AsAt,N('Deal maths'!E925)&lt;=AsAt,IF(N('Deal maths'!H925)&gt;0,N('Deal maths'!H925),N('Deal maths'!D925))&gt;0),N('Deal maths'!F925)+ROW()/1000000,"")</f>
        <v/>
      </c>
    </row>
    <row r="926">
      <c r="A926" s="91" t="n"/>
      <c r="B926" s="111">
        <f>IF(AND(N('Deal maths'!F926)&gt;AsAt,N('Deal maths'!E926)&lt;=AsAt),IF(N('Deal maths'!H926)&gt;0,N('Deal maths'!H926),N('Deal maths'!D926)),0)</f>
        <v/>
      </c>
      <c r="C926" s="91">
        <f>IF(B926&gt;0,IF('Deal maths'!C926="Local authority","Local authorities",LOWER(TRIM('Deal maths'!B926))),"")</f>
        <v/>
      </c>
      <c r="D926" s="91">
        <f>IF(C926="","",IF(COUNTIF($C$4:C925,C926)=0,SUMIF($C$4:$C$3997,C926,$B$4:$B$3997)-ROW()/1000000,""))</f>
        <v/>
      </c>
      <c r="E926" s="91">
        <f>IF(AND(N('Deal maths'!F926)&gt;AsAt,N('Deal maths'!E926)&lt;=AsAt,IF(N('Deal maths'!H926)&gt;0,N('Deal maths'!H926),N('Deal maths'!D926))&gt;0),N('Deal maths'!F926)+ROW()/1000000,"")</f>
        <v/>
      </c>
    </row>
    <row r="927">
      <c r="A927" s="91" t="n"/>
      <c r="B927" s="111">
        <f>IF(AND(N('Deal maths'!F927)&gt;AsAt,N('Deal maths'!E927)&lt;=AsAt),IF(N('Deal maths'!H927)&gt;0,N('Deal maths'!H927),N('Deal maths'!D927)),0)</f>
        <v/>
      </c>
      <c r="C927" s="91">
        <f>IF(B927&gt;0,IF('Deal maths'!C927="Local authority","Local authorities",LOWER(TRIM('Deal maths'!B927))),"")</f>
        <v/>
      </c>
      <c r="D927" s="91">
        <f>IF(C927="","",IF(COUNTIF($C$4:C926,C927)=0,SUMIF($C$4:$C$3997,C927,$B$4:$B$3997)-ROW()/1000000,""))</f>
        <v/>
      </c>
      <c r="E927" s="91">
        <f>IF(AND(N('Deal maths'!F927)&gt;AsAt,N('Deal maths'!E927)&lt;=AsAt,IF(N('Deal maths'!H927)&gt;0,N('Deal maths'!H927),N('Deal maths'!D927))&gt;0),N('Deal maths'!F927)+ROW()/1000000,"")</f>
        <v/>
      </c>
    </row>
    <row r="928">
      <c r="A928" s="91" t="n"/>
      <c r="B928" s="111">
        <f>IF(AND(N('Deal maths'!F928)&gt;AsAt,N('Deal maths'!E928)&lt;=AsAt),IF(N('Deal maths'!H928)&gt;0,N('Deal maths'!H928),N('Deal maths'!D928)),0)</f>
        <v/>
      </c>
      <c r="C928" s="91">
        <f>IF(B928&gt;0,IF('Deal maths'!C928="Local authority","Local authorities",LOWER(TRIM('Deal maths'!B928))),"")</f>
        <v/>
      </c>
      <c r="D928" s="91">
        <f>IF(C928="","",IF(COUNTIF($C$4:C927,C928)=0,SUMIF($C$4:$C$3997,C928,$B$4:$B$3997)-ROW()/1000000,""))</f>
        <v/>
      </c>
      <c r="E928" s="91">
        <f>IF(AND(N('Deal maths'!F928)&gt;AsAt,N('Deal maths'!E928)&lt;=AsAt,IF(N('Deal maths'!H928)&gt;0,N('Deal maths'!H928),N('Deal maths'!D928))&gt;0),N('Deal maths'!F928)+ROW()/1000000,"")</f>
        <v/>
      </c>
    </row>
    <row r="929">
      <c r="A929" s="91" t="n"/>
      <c r="B929" s="111">
        <f>IF(AND(N('Deal maths'!F929)&gt;AsAt,N('Deal maths'!E929)&lt;=AsAt),IF(N('Deal maths'!H929)&gt;0,N('Deal maths'!H929),N('Deal maths'!D929)),0)</f>
        <v/>
      </c>
      <c r="C929" s="91">
        <f>IF(B929&gt;0,IF('Deal maths'!C929="Local authority","Local authorities",LOWER(TRIM('Deal maths'!B929))),"")</f>
        <v/>
      </c>
      <c r="D929" s="91">
        <f>IF(C929="","",IF(COUNTIF($C$4:C928,C929)=0,SUMIF($C$4:$C$3997,C929,$B$4:$B$3997)-ROW()/1000000,""))</f>
        <v/>
      </c>
      <c r="E929" s="91">
        <f>IF(AND(N('Deal maths'!F929)&gt;AsAt,N('Deal maths'!E929)&lt;=AsAt,IF(N('Deal maths'!H929)&gt;0,N('Deal maths'!H929),N('Deal maths'!D929))&gt;0),N('Deal maths'!F929)+ROW()/1000000,"")</f>
        <v/>
      </c>
    </row>
    <row r="930">
      <c r="A930" s="91" t="n"/>
      <c r="B930" s="111">
        <f>IF(AND(N('Deal maths'!F930)&gt;AsAt,N('Deal maths'!E930)&lt;=AsAt),IF(N('Deal maths'!H930)&gt;0,N('Deal maths'!H930),N('Deal maths'!D930)),0)</f>
        <v/>
      </c>
      <c r="C930" s="91">
        <f>IF(B930&gt;0,IF('Deal maths'!C930="Local authority","Local authorities",LOWER(TRIM('Deal maths'!B930))),"")</f>
        <v/>
      </c>
      <c r="D930" s="91">
        <f>IF(C930="","",IF(COUNTIF($C$4:C929,C930)=0,SUMIF($C$4:$C$3997,C930,$B$4:$B$3997)-ROW()/1000000,""))</f>
        <v/>
      </c>
      <c r="E930" s="91">
        <f>IF(AND(N('Deal maths'!F930)&gt;AsAt,N('Deal maths'!E930)&lt;=AsAt,IF(N('Deal maths'!H930)&gt;0,N('Deal maths'!H930),N('Deal maths'!D930))&gt;0),N('Deal maths'!F930)+ROW()/1000000,"")</f>
        <v/>
      </c>
    </row>
    <row r="931">
      <c r="A931" s="91" t="n"/>
      <c r="B931" s="111">
        <f>IF(AND(N('Deal maths'!F931)&gt;AsAt,N('Deal maths'!E931)&lt;=AsAt),IF(N('Deal maths'!H931)&gt;0,N('Deal maths'!H931),N('Deal maths'!D931)),0)</f>
        <v/>
      </c>
      <c r="C931" s="91">
        <f>IF(B931&gt;0,IF('Deal maths'!C931="Local authority","Local authorities",LOWER(TRIM('Deal maths'!B931))),"")</f>
        <v/>
      </c>
      <c r="D931" s="91">
        <f>IF(C931="","",IF(COUNTIF($C$4:C930,C931)=0,SUMIF($C$4:$C$3997,C931,$B$4:$B$3997)-ROW()/1000000,""))</f>
        <v/>
      </c>
      <c r="E931" s="91">
        <f>IF(AND(N('Deal maths'!F931)&gt;AsAt,N('Deal maths'!E931)&lt;=AsAt,IF(N('Deal maths'!H931)&gt;0,N('Deal maths'!H931),N('Deal maths'!D931))&gt;0),N('Deal maths'!F931)+ROW()/1000000,"")</f>
        <v/>
      </c>
    </row>
    <row r="932">
      <c r="A932" s="91" t="n"/>
      <c r="B932" s="111">
        <f>IF(AND(N('Deal maths'!F932)&gt;AsAt,N('Deal maths'!E932)&lt;=AsAt),IF(N('Deal maths'!H932)&gt;0,N('Deal maths'!H932),N('Deal maths'!D932)),0)</f>
        <v/>
      </c>
      <c r="C932" s="91">
        <f>IF(B932&gt;0,IF('Deal maths'!C932="Local authority","Local authorities",LOWER(TRIM('Deal maths'!B932))),"")</f>
        <v/>
      </c>
      <c r="D932" s="91">
        <f>IF(C932="","",IF(COUNTIF($C$4:C931,C932)=0,SUMIF($C$4:$C$3997,C932,$B$4:$B$3997)-ROW()/1000000,""))</f>
        <v/>
      </c>
      <c r="E932" s="91">
        <f>IF(AND(N('Deal maths'!F932)&gt;AsAt,N('Deal maths'!E932)&lt;=AsAt,IF(N('Deal maths'!H932)&gt;0,N('Deal maths'!H932),N('Deal maths'!D932))&gt;0),N('Deal maths'!F932)+ROW()/1000000,"")</f>
        <v/>
      </c>
    </row>
    <row r="933">
      <c r="A933" s="91" t="n"/>
      <c r="B933" s="111">
        <f>IF(AND(N('Deal maths'!F933)&gt;AsAt,N('Deal maths'!E933)&lt;=AsAt),IF(N('Deal maths'!H933)&gt;0,N('Deal maths'!H933),N('Deal maths'!D933)),0)</f>
        <v/>
      </c>
      <c r="C933" s="91">
        <f>IF(B933&gt;0,IF('Deal maths'!C933="Local authority","Local authorities",LOWER(TRIM('Deal maths'!B933))),"")</f>
        <v/>
      </c>
      <c r="D933" s="91">
        <f>IF(C933="","",IF(COUNTIF($C$4:C932,C933)=0,SUMIF($C$4:$C$3997,C933,$B$4:$B$3997)-ROW()/1000000,""))</f>
        <v/>
      </c>
      <c r="E933" s="91">
        <f>IF(AND(N('Deal maths'!F933)&gt;AsAt,N('Deal maths'!E933)&lt;=AsAt,IF(N('Deal maths'!H933)&gt;0,N('Deal maths'!H933),N('Deal maths'!D933))&gt;0),N('Deal maths'!F933)+ROW()/1000000,"")</f>
        <v/>
      </c>
    </row>
    <row r="934">
      <c r="A934" s="91" t="n"/>
      <c r="B934" s="111">
        <f>IF(AND(N('Deal maths'!F934)&gt;AsAt,N('Deal maths'!E934)&lt;=AsAt),IF(N('Deal maths'!H934)&gt;0,N('Deal maths'!H934),N('Deal maths'!D934)),0)</f>
        <v/>
      </c>
      <c r="C934" s="91">
        <f>IF(B934&gt;0,IF('Deal maths'!C934="Local authority","Local authorities",LOWER(TRIM('Deal maths'!B934))),"")</f>
        <v/>
      </c>
      <c r="D934" s="91">
        <f>IF(C934="","",IF(COUNTIF($C$4:C933,C934)=0,SUMIF($C$4:$C$3997,C934,$B$4:$B$3997)-ROW()/1000000,""))</f>
        <v/>
      </c>
      <c r="E934" s="91">
        <f>IF(AND(N('Deal maths'!F934)&gt;AsAt,N('Deal maths'!E934)&lt;=AsAt,IF(N('Deal maths'!H934)&gt;0,N('Deal maths'!H934),N('Deal maths'!D934))&gt;0),N('Deal maths'!F934)+ROW()/1000000,"")</f>
        <v/>
      </c>
    </row>
    <row r="935">
      <c r="A935" s="91" t="n"/>
      <c r="B935" s="111">
        <f>IF(AND(N('Deal maths'!F935)&gt;AsAt,N('Deal maths'!E935)&lt;=AsAt),IF(N('Deal maths'!H935)&gt;0,N('Deal maths'!H935),N('Deal maths'!D935)),0)</f>
        <v/>
      </c>
      <c r="C935" s="91">
        <f>IF(B935&gt;0,IF('Deal maths'!C935="Local authority","Local authorities",LOWER(TRIM('Deal maths'!B935))),"")</f>
        <v/>
      </c>
      <c r="D935" s="91">
        <f>IF(C935="","",IF(COUNTIF($C$4:C934,C935)=0,SUMIF($C$4:$C$3997,C935,$B$4:$B$3997)-ROW()/1000000,""))</f>
        <v/>
      </c>
      <c r="E935" s="91">
        <f>IF(AND(N('Deal maths'!F935)&gt;AsAt,N('Deal maths'!E935)&lt;=AsAt,IF(N('Deal maths'!H935)&gt;0,N('Deal maths'!H935),N('Deal maths'!D935))&gt;0),N('Deal maths'!F935)+ROW()/1000000,"")</f>
        <v/>
      </c>
    </row>
    <row r="936">
      <c r="A936" s="91" t="n"/>
      <c r="B936" s="111">
        <f>IF(AND(N('Deal maths'!F936)&gt;AsAt,N('Deal maths'!E936)&lt;=AsAt),IF(N('Deal maths'!H936)&gt;0,N('Deal maths'!H936),N('Deal maths'!D936)),0)</f>
        <v/>
      </c>
      <c r="C936" s="91">
        <f>IF(B936&gt;0,IF('Deal maths'!C936="Local authority","Local authorities",LOWER(TRIM('Deal maths'!B936))),"")</f>
        <v/>
      </c>
      <c r="D936" s="91">
        <f>IF(C936="","",IF(COUNTIF($C$4:C935,C936)=0,SUMIF($C$4:$C$3997,C936,$B$4:$B$3997)-ROW()/1000000,""))</f>
        <v/>
      </c>
      <c r="E936" s="91">
        <f>IF(AND(N('Deal maths'!F936)&gt;AsAt,N('Deal maths'!E936)&lt;=AsAt,IF(N('Deal maths'!H936)&gt;0,N('Deal maths'!H936),N('Deal maths'!D936))&gt;0),N('Deal maths'!F936)+ROW()/1000000,"")</f>
        <v/>
      </c>
    </row>
    <row r="937">
      <c r="A937" s="91" t="n"/>
      <c r="B937" s="111">
        <f>IF(AND(N('Deal maths'!F937)&gt;AsAt,N('Deal maths'!E937)&lt;=AsAt),IF(N('Deal maths'!H937)&gt;0,N('Deal maths'!H937),N('Deal maths'!D937)),0)</f>
        <v/>
      </c>
      <c r="C937" s="91">
        <f>IF(B937&gt;0,IF('Deal maths'!C937="Local authority","Local authorities",LOWER(TRIM('Deal maths'!B937))),"")</f>
        <v/>
      </c>
      <c r="D937" s="91">
        <f>IF(C937="","",IF(COUNTIF($C$4:C936,C937)=0,SUMIF($C$4:$C$3997,C937,$B$4:$B$3997)-ROW()/1000000,""))</f>
        <v/>
      </c>
      <c r="E937" s="91">
        <f>IF(AND(N('Deal maths'!F937)&gt;AsAt,N('Deal maths'!E937)&lt;=AsAt,IF(N('Deal maths'!H937)&gt;0,N('Deal maths'!H937),N('Deal maths'!D937))&gt;0),N('Deal maths'!F937)+ROW()/1000000,"")</f>
        <v/>
      </c>
    </row>
    <row r="938">
      <c r="A938" s="91" t="n"/>
      <c r="B938" s="111">
        <f>IF(AND(N('Deal maths'!F938)&gt;AsAt,N('Deal maths'!E938)&lt;=AsAt),IF(N('Deal maths'!H938)&gt;0,N('Deal maths'!H938),N('Deal maths'!D938)),0)</f>
        <v/>
      </c>
      <c r="C938" s="91">
        <f>IF(B938&gt;0,IF('Deal maths'!C938="Local authority","Local authorities",LOWER(TRIM('Deal maths'!B938))),"")</f>
        <v/>
      </c>
      <c r="D938" s="91">
        <f>IF(C938="","",IF(COUNTIF($C$4:C937,C938)=0,SUMIF($C$4:$C$3997,C938,$B$4:$B$3997)-ROW()/1000000,""))</f>
        <v/>
      </c>
      <c r="E938" s="91">
        <f>IF(AND(N('Deal maths'!F938)&gt;AsAt,N('Deal maths'!E938)&lt;=AsAt,IF(N('Deal maths'!H938)&gt;0,N('Deal maths'!H938),N('Deal maths'!D938))&gt;0),N('Deal maths'!F938)+ROW()/1000000,"")</f>
        <v/>
      </c>
    </row>
    <row r="939">
      <c r="A939" s="91" t="n"/>
      <c r="B939" s="111">
        <f>IF(AND(N('Deal maths'!F939)&gt;AsAt,N('Deal maths'!E939)&lt;=AsAt),IF(N('Deal maths'!H939)&gt;0,N('Deal maths'!H939),N('Deal maths'!D939)),0)</f>
        <v/>
      </c>
      <c r="C939" s="91">
        <f>IF(B939&gt;0,IF('Deal maths'!C939="Local authority","Local authorities",LOWER(TRIM('Deal maths'!B939))),"")</f>
        <v/>
      </c>
      <c r="D939" s="91">
        <f>IF(C939="","",IF(COUNTIF($C$4:C938,C939)=0,SUMIF($C$4:$C$3997,C939,$B$4:$B$3997)-ROW()/1000000,""))</f>
        <v/>
      </c>
      <c r="E939" s="91">
        <f>IF(AND(N('Deal maths'!F939)&gt;AsAt,N('Deal maths'!E939)&lt;=AsAt,IF(N('Deal maths'!H939)&gt;0,N('Deal maths'!H939),N('Deal maths'!D939))&gt;0),N('Deal maths'!F939)+ROW()/1000000,"")</f>
        <v/>
      </c>
    </row>
    <row r="940">
      <c r="A940" s="91" t="n"/>
      <c r="B940" s="111">
        <f>IF(AND(N('Deal maths'!F940)&gt;AsAt,N('Deal maths'!E940)&lt;=AsAt),IF(N('Deal maths'!H940)&gt;0,N('Deal maths'!H940),N('Deal maths'!D940)),0)</f>
        <v/>
      </c>
      <c r="C940" s="91">
        <f>IF(B940&gt;0,IF('Deal maths'!C940="Local authority","Local authorities",LOWER(TRIM('Deal maths'!B940))),"")</f>
        <v/>
      </c>
      <c r="D940" s="91">
        <f>IF(C940="","",IF(COUNTIF($C$4:C939,C940)=0,SUMIF($C$4:$C$3997,C940,$B$4:$B$3997)-ROW()/1000000,""))</f>
        <v/>
      </c>
      <c r="E940" s="91">
        <f>IF(AND(N('Deal maths'!F940)&gt;AsAt,N('Deal maths'!E940)&lt;=AsAt,IF(N('Deal maths'!H940)&gt;0,N('Deal maths'!H940),N('Deal maths'!D940))&gt;0),N('Deal maths'!F940)+ROW()/1000000,"")</f>
        <v/>
      </c>
    </row>
    <row r="941">
      <c r="A941" s="91" t="n"/>
      <c r="B941" s="111">
        <f>IF(AND(N('Deal maths'!F941)&gt;AsAt,N('Deal maths'!E941)&lt;=AsAt),IF(N('Deal maths'!H941)&gt;0,N('Deal maths'!H941),N('Deal maths'!D941)),0)</f>
        <v/>
      </c>
      <c r="C941" s="91">
        <f>IF(B941&gt;0,IF('Deal maths'!C941="Local authority","Local authorities",LOWER(TRIM('Deal maths'!B941))),"")</f>
        <v/>
      </c>
      <c r="D941" s="91">
        <f>IF(C941="","",IF(COUNTIF($C$4:C940,C941)=0,SUMIF($C$4:$C$3997,C941,$B$4:$B$3997)-ROW()/1000000,""))</f>
        <v/>
      </c>
      <c r="E941" s="91">
        <f>IF(AND(N('Deal maths'!F941)&gt;AsAt,N('Deal maths'!E941)&lt;=AsAt,IF(N('Deal maths'!H941)&gt;0,N('Deal maths'!H941),N('Deal maths'!D941))&gt;0),N('Deal maths'!F941)+ROW()/1000000,"")</f>
        <v/>
      </c>
    </row>
    <row r="942">
      <c r="A942" s="91" t="n"/>
      <c r="B942" s="111">
        <f>IF(AND(N('Deal maths'!F942)&gt;AsAt,N('Deal maths'!E942)&lt;=AsAt),IF(N('Deal maths'!H942)&gt;0,N('Deal maths'!H942),N('Deal maths'!D942)),0)</f>
        <v/>
      </c>
      <c r="C942" s="91">
        <f>IF(B942&gt;0,IF('Deal maths'!C942="Local authority","Local authorities",LOWER(TRIM('Deal maths'!B942))),"")</f>
        <v/>
      </c>
      <c r="D942" s="91">
        <f>IF(C942="","",IF(COUNTIF($C$4:C941,C942)=0,SUMIF($C$4:$C$3997,C942,$B$4:$B$3997)-ROW()/1000000,""))</f>
        <v/>
      </c>
      <c r="E942" s="91">
        <f>IF(AND(N('Deal maths'!F942)&gt;AsAt,N('Deal maths'!E942)&lt;=AsAt,IF(N('Deal maths'!H942)&gt;0,N('Deal maths'!H942),N('Deal maths'!D942))&gt;0),N('Deal maths'!F942)+ROW()/1000000,"")</f>
        <v/>
      </c>
    </row>
    <row r="943">
      <c r="A943" s="91" t="n"/>
      <c r="B943" s="111">
        <f>IF(AND(N('Deal maths'!F943)&gt;AsAt,N('Deal maths'!E943)&lt;=AsAt),IF(N('Deal maths'!H943)&gt;0,N('Deal maths'!H943),N('Deal maths'!D943)),0)</f>
        <v/>
      </c>
      <c r="C943" s="91">
        <f>IF(B943&gt;0,IF('Deal maths'!C943="Local authority","Local authorities",LOWER(TRIM('Deal maths'!B943))),"")</f>
        <v/>
      </c>
      <c r="D943" s="91">
        <f>IF(C943="","",IF(COUNTIF($C$4:C942,C943)=0,SUMIF($C$4:$C$3997,C943,$B$4:$B$3997)-ROW()/1000000,""))</f>
        <v/>
      </c>
      <c r="E943" s="91">
        <f>IF(AND(N('Deal maths'!F943)&gt;AsAt,N('Deal maths'!E943)&lt;=AsAt,IF(N('Deal maths'!H943)&gt;0,N('Deal maths'!H943),N('Deal maths'!D943))&gt;0),N('Deal maths'!F943)+ROW()/1000000,"")</f>
        <v/>
      </c>
    </row>
    <row r="944">
      <c r="A944" s="91" t="n"/>
      <c r="B944" s="111">
        <f>IF(AND(N('Deal maths'!F944)&gt;AsAt,N('Deal maths'!E944)&lt;=AsAt),IF(N('Deal maths'!H944)&gt;0,N('Deal maths'!H944),N('Deal maths'!D944)),0)</f>
        <v/>
      </c>
      <c r="C944" s="91">
        <f>IF(B944&gt;0,IF('Deal maths'!C944="Local authority","Local authorities",LOWER(TRIM('Deal maths'!B944))),"")</f>
        <v/>
      </c>
      <c r="D944" s="91">
        <f>IF(C944="","",IF(COUNTIF($C$4:C943,C944)=0,SUMIF($C$4:$C$3997,C944,$B$4:$B$3997)-ROW()/1000000,""))</f>
        <v/>
      </c>
      <c r="E944" s="91">
        <f>IF(AND(N('Deal maths'!F944)&gt;AsAt,N('Deal maths'!E944)&lt;=AsAt,IF(N('Deal maths'!H944)&gt;0,N('Deal maths'!H944),N('Deal maths'!D944))&gt;0),N('Deal maths'!F944)+ROW()/1000000,"")</f>
        <v/>
      </c>
    </row>
    <row r="945">
      <c r="A945" s="91" t="n"/>
      <c r="B945" s="111">
        <f>IF(AND(N('Deal maths'!F945)&gt;AsAt,N('Deal maths'!E945)&lt;=AsAt),IF(N('Deal maths'!H945)&gt;0,N('Deal maths'!H945),N('Deal maths'!D945)),0)</f>
        <v/>
      </c>
      <c r="C945" s="91">
        <f>IF(B945&gt;0,IF('Deal maths'!C945="Local authority","Local authorities",LOWER(TRIM('Deal maths'!B945))),"")</f>
        <v/>
      </c>
      <c r="D945" s="91">
        <f>IF(C945="","",IF(COUNTIF($C$4:C944,C945)=0,SUMIF($C$4:$C$3997,C945,$B$4:$B$3997)-ROW()/1000000,""))</f>
        <v/>
      </c>
      <c r="E945" s="91">
        <f>IF(AND(N('Deal maths'!F945)&gt;AsAt,N('Deal maths'!E945)&lt;=AsAt,IF(N('Deal maths'!H945)&gt;0,N('Deal maths'!H945),N('Deal maths'!D945))&gt;0),N('Deal maths'!F945)+ROW()/1000000,"")</f>
        <v/>
      </c>
    </row>
    <row r="946">
      <c r="A946" s="91" t="n"/>
      <c r="B946" s="111">
        <f>IF(AND(N('Deal maths'!F946)&gt;AsAt,N('Deal maths'!E946)&lt;=AsAt),IF(N('Deal maths'!H946)&gt;0,N('Deal maths'!H946),N('Deal maths'!D946)),0)</f>
        <v/>
      </c>
      <c r="C946" s="91">
        <f>IF(B946&gt;0,IF('Deal maths'!C946="Local authority","Local authorities",LOWER(TRIM('Deal maths'!B946))),"")</f>
        <v/>
      </c>
      <c r="D946" s="91">
        <f>IF(C946="","",IF(COUNTIF($C$4:C945,C946)=0,SUMIF($C$4:$C$3997,C946,$B$4:$B$3997)-ROW()/1000000,""))</f>
        <v/>
      </c>
      <c r="E946" s="91">
        <f>IF(AND(N('Deal maths'!F946)&gt;AsAt,N('Deal maths'!E946)&lt;=AsAt,IF(N('Deal maths'!H946)&gt;0,N('Deal maths'!H946),N('Deal maths'!D946))&gt;0),N('Deal maths'!F946)+ROW()/1000000,"")</f>
        <v/>
      </c>
    </row>
    <row r="947">
      <c r="A947" s="91" t="n"/>
      <c r="B947" s="111">
        <f>IF(AND(N('Deal maths'!F947)&gt;AsAt,N('Deal maths'!E947)&lt;=AsAt),IF(N('Deal maths'!H947)&gt;0,N('Deal maths'!H947),N('Deal maths'!D947)),0)</f>
        <v/>
      </c>
      <c r="C947" s="91">
        <f>IF(B947&gt;0,IF('Deal maths'!C947="Local authority","Local authorities",LOWER(TRIM('Deal maths'!B947))),"")</f>
        <v/>
      </c>
      <c r="D947" s="91">
        <f>IF(C947="","",IF(COUNTIF($C$4:C946,C947)=0,SUMIF($C$4:$C$3997,C947,$B$4:$B$3997)-ROW()/1000000,""))</f>
        <v/>
      </c>
      <c r="E947" s="91">
        <f>IF(AND(N('Deal maths'!F947)&gt;AsAt,N('Deal maths'!E947)&lt;=AsAt,IF(N('Deal maths'!H947)&gt;0,N('Deal maths'!H947),N('Deal maths'!D947))&gt;0),N('Deal maths'!F947)+ROW()/1000000,"")</f>
        <v/>
      </c>
    </row>
    <row r="948">
      <c r="A948" s="91" t="n"/>
      <c r="B948" s="111">
        <f>IF(AND(N('Deal maths'!F948)&gt;AsAt,N('Deal maths'!E948)&lt;=AsAt),IF(N('Deal maths'!H948)&gt;0,N('Deal maths'!H948),N('Deal maths'!D948)),0)</f>
        <v/>
      </c>
      <c r="C948" s="91">
        <f>IF(B948&gt;0,IF('Deal maths'!C948="Local authority","Local authorities",LOWER(TRIM('Deal maths'!B948))),"")</f>
        <v/>
      </c>
      <c r="D948" s="91">
        <f>IF(C948="","",IF(COUNTIF($C$4:C947,C948)=0,SUMIF($C$4:$C$3997,C948,$B$4:$B$3997)-ROW()/1000000,""))</f>
        <v/>
      </c>
      <c r="E948" s="91">
        <f>IF(AND(N('Deal maths'!F948)&gt;AsAt,N('Deal maths'!E948)&lt;=AsAt,IF(N('Deal maths'!H948)&gt;0,N('Deal maths'!H948),N('Deal maths'!D948))&gt;0),N('Deal maths'!F948)+ROW()/1000000,"")</f>
        <v/>
      </c>
    </row>
    <row r="949">
      <c r="A949" s="91" t="n"/>
      <c r="B949" s="111">
        <f>IF(AND(N('Deal maths'!F949)&gt;AsAt,N('Deal maths'!E949)&lt;=AsAt),IF(N('Deal maths'!H949)&gt;0,N('Deal maths'!H949),N('Deal maths'!D949)),0)</f>
        <v/>
      </c>
      <c r="C949" s="91">
        <f>IF(B949&gt;0,IF('Deal maths'!C949="Local authority","Local authorities",LOWER(TRIM('Deal maths'!B949))),"")</f>
        <v/>
      </c>
      <c r="D949" s="91">
        <f>IF(C949="","",IF(COUNTIF($C$4:C948,C949)=0,SUMIF($C$4:$C$3997,C949,$B$4:$B$3997)-ROW()/1000000,""))</f>
        <v/>
      </c>
      <c r="E949" s="91">
        <f>IF(AND(N('Deal maths'!F949)&gt;AsAt,N('Deal maths'!E949)&lt;=AsAt,IF(N('Deal maths'!H949)&gt;0,N('Deal maths'!H949),N('Deal maths'!D949))&gt;0),N('Deal maths'!F949)+ROW()/1000000,"")</f>
        <v/>
      </c>
    </row>
    <row r="950">
      <c r="A950" s="91" t="n"/>
      <c r="B950" s="111">
        <f>IF(AND(N('Deal maths'!F950)&gt;AsAt,N('Deal maths'!E950)&lt;=AsAt),IF(N('Deal maths'!H950)&gt;0,N('Deal maths'!H950),N('Deal maths'!D950)),0)</f>
        <v/>
      </c>
      <c r="C950" s="91">
        <f>IF(B950&gt;0,IF('Deal maths'!C950="Local authority","Local authorities",LOWER(TRIM('Deal maths'!B950))),"")</f>
        <v/>
      </c>
      <c r="D950" s="91">
        <f>IF(C950="","",IF(COUNTIF($C$4:C949,C950)=0,SUMIF($C$4:$C$3997,C950,$B$4:$B$3997)-ROW()/1000000,""))</f>
        <v/>
      </c>
      <c r="E950" s="91">
        <f>IF(AND(N('Deal maths'!F950)&gt;AsAt,N('Deal maths'!E950)&lt;=AsAt,IF(N('Deal maths'!H950)&gt;0,N('Deal maths'!H950),N('Deal maths'!D950))&gt;0),N('Deal maths'!F950)+ROW()/1000000,"")</f>
        <v/>
      </c>
    </row>
    <row r="951">
      <c r="A951" s="91" t="n"/>
      <c r="B951" s="111">
        <f>IF(AND(N('Deal maths'!F951)&gt;AsAt,N('Deal maths'!E951)&lt;=AsAt),IF(N('Deal maths'!H951)&gt;0,N('Deal maths'!H951),N('Deal maths'!D951)),0)</f>
        <v/>
      </c>
      <c r="C951" s="91">
        <f>IF(B951&gt;0,IF('Deal maths'!C951="Local authority","Local authorities",LOWER(TRIM('Deal maths'!B951))),"")</f>
        <v/>
      </c>
      <c r="D951" s="91">
        <f>IF(C951="","",IF(COUNTIF($C$4:C950,C951)=0,SUMIF($C$4:$C$3997,C951,$B$4:$B$3997)-ROW()/1000000,""))</f>
        <v/>
      </c>
      <c r="E951" s="91">
        <f>IF(AND(N('Deal maths'!F951)&gt;AsAt,N('Deal maths'!E951)&lt;=AsAt,IF(N('Deal maths'!H951)&gt;0,N('Deal maths'!H951),N('Deal maths'!D951))&gt;0),N('Deal maths'!F951)+ROW()/1000000,"")</f>
        <v/>
      </c>
    </row>
    <row r="952">
      <c r="A952" s="91" t="n"/>
      <c r="B952" s="111">
        <f>IF(AND(N('Deal maths'!F952)&gt;AsAt,N('Deal maths'!E952)&lt;=AsAt),IF(N('Deal maths'!H952)&gt;0,N('Deal maths'!H952),N('Deal maths'!D952)),0)</f>
        <v/>
      </c>
      <c r="C952" s="91">
        <f>IF(B952&gt;0,IF('Deal maths'!C952="Local authority","Local authorities",LOWER(TRIM('Deal maths'!B952))),"")</f>
        <v/>
      </c>
      <c r="D952" s="91">
        <f>IF(C952="","",IF(COUNTIF($C$4:C951,C952)=0,SUMIF($C$4:$C$3997,C952,$B$4:$B$3997)-ROW()/1000000,""))</f>
        <v/>
      </c>
      <c r="E952" s="91">
        <f>IF(AND(N('Deal maths'!F952)&gt;AsAt,N('Deal maths'!E952)&lt;=AsAt,IF(N('Deal maths'!H952)&gt;0,N('Deal maths'!H952),N('Deal maths'!D952))&gt;0),N('Deal maths'!F952)+ROW()/1000000,"")</f>
        <v/>
      </c>
    </row>
    <row r="953">
      <c r="A953" s="91" t="n"/>
      <c r="B953" s="111">
        <f>IF(AND(N('Deal maths'!F953)&gt;AsAt,N('Deal maths'!E953)&lt;=AsAt),IF(N('Deal maths'!H953)&gt;0,N('Deal maths'!H953),N('Deal maths'!D953)),0)</f>
        <v/>
      </c>
      <c r="C953" s="91">
        <f>IF(B953&gt;0,IF('Deal maths'!C953="Local authority","Local authorities",LOWER(TRIM('Deal maths'!B953))),"")</f>
        <v/>
      </c>
      <c r="D953" s="91">
        <f>IF(C953="","",IF(COUNTIF($C$4:C952,C953)=0,SUMIF($C$4:$C$3997,C953,$B$4:$B$3997)-ROW()/1000000,""))</f>
        <v/>
      </c>
      <c r="E953" s="91">
        <f>IF(AND(N('Deal maths'!F953)&gt;AsAt,N('Deal maths'!E953)&lt;=AsAt,IF(N('Deal maths'!H953)&gt;0,N('Deal maths'!H953),N('Deal maths'!D953))&gt;0),N('Deal maths'!F953)+ROW()/1000000,"")</f>
        <v/>
      </c>
    </row>
    <row r="954">
      <c r="A954" s="91" t="n"/>
      <c r="B954" s="111">
        <f>IF(AND(N('Deal maths'!F954)&gt;AsAt,N('Deal maths'!E954)&lt;=AsAt),IF(N('Deal maths'!H954)&gt;0,N('Deal maths'!H954),N('Deal maths'!D954)),0)</f>
        <v/>
      </c>
      <c r="C954" s="91">
        <f>IF(B954&gt;0,IF('Deal maths'!C954="Local authority","Local authorities",LOWER(TRIM('Deal maths'!B954))),"")</f>
        <v/>
      </c>
      <c r="D954" s="91">
        <f>IF(C954="","",IF(COUNTIF($C$4:C953,C954)=0,SUMIF($C$4:$C$3997,C954,$B$4:$B$3997)-ROW()/1000000,""))</f>
        <v/>
      </c>
      <c r="E954" s="91">
        <f>IF(AND(N('Deal maths'!F954)&gt;AsAt,N('Deal maths'!E954)&lt;=AsAt,IF(N('Deal maths'!H954)&gt;0,N('Deal maths'!H954),N('Deal maths'!D954))&gt;0),N('Deal maths'!F954)+ROW()/1000000,"")</f>
        <v/>
      </c>
    </row>
    <row r="955">
      <c r="A955" s="91" t="n"/>
      <c r="B955" s="111">
        <f>IF(AND(N('Deal maths'!F955)&gt;AsAt,N('Deal maths'!E955)&lt;=AsAt),IF(N('Deal maths'!H955)&gt;0,N('Deal maths'!H955),N('Deal maths'!D955)),0)</f>
        <v/>
      </c>
      <c r="C955" s="91">
        <f>IF(B955&gt;0,IF('Deal maths'!C955="Local authority","Local authorities",LOWER(TRIM('Deal maths'!B955))),"")</f>
        <v/>
      </c>
      <c r="D955" s="91">
        <f>IF(C955="","",IF(COUNTIF($C$4:C954,C955)=0,SUMIF($C$4:$C$3997,C955,$B$4:$B$3997)-ROW()/1000000,""))</f>
        <v/>
      </c>
      <c r="E955" s="91">
        <f>IF(AND(N('Deal maths'!F955)&gt;AsAt,N('Deal maths'!E955)&lt;=AsAt,IF(N('Deal maths'!H955)&gt;0,N('Deal maths'!H955),N('Deal maths'!D955))&gt;0),N('Deal maths'!F955)+ROW()/1000000,"")</f>
        <v/>
      </c>
    </row>
    <row r="956">
      <c r="A956" s="91" t="n"/>
      <c r="B956" s="111">
        <f>IF(AND(N('Deal maths'!F956)&gt;AsAt,N('Deal maths'!E956)&lt;=AsAt),IF(N('Deal maths'!H956)&gt;0,N('Deal maths'!H956),N('Deal maths'!D956)),0)</f>
        <v/>
      </c>
      <c r="C956" s="91">
        <f>IF(B956&gt;0,IF('Deal maths'!C956="Local authority","Local authorities",LOWER(TRIM('Deal maths'!B956))),"")</f>
        <v/>
      </c>
      <c r="D956" s="91">
        <f>IF(C956="","",IF(COUNTIF($C$4:C955,C956)=0,SUMIF($C$4:$C$3997,C956,$B$4:$B$3997)-ROW()/1000000,""))</f>
        <v/>
      </c>
      <c r="E956" s="91">
        <f>IF(AND(N('Deal maths'!F956)&gt;AsAt,N('Deal maths'!E956)&lt;=AsAt,IF(N('Deal maths'!H956)&gt;0,N('Deal maths'!H956),N('Deal maths'!D956))&gt;0),N('Deal maths'!F956)+ROW()/1000000,"")</f>
        <v/>
      </c>
    </row>
    <row r="957">
      <c r="A957" s="91" t="n"/>
      <c r="B957" s="111">
        <f>IF(AND(N('Deal maths'!F957)&gt;AsAt,N('Deal maths'!E957)&lt;=AsAt),IF(N('Deal maths'!H957)&gt;0,N('Deal maths'!H957),N('Deal maths'!D957)),0)</f>
        <v/>
      </c>
      <c r="C957" s="91">
        <f>IF(B957&gt;0,IF('Deal maths'!C957="Local authority","Local authorities",LOWER(TRIM('Deal maths'!B957))),"")</f>
        <v/>
      </c>
      <c r="D957" s="91">
        <f>IF(C957="","",IF(COUNTIF($C$4:C956,C957)=0,SUMIF($C$4:$C$3997,C957,$B$4:$B$3997)-ROW()/1000000,""))</f>
        <v/>
      </c>
      <c r="E957" s="91">
        <f>IF(AND(N('Deal maths'!F957)&gt;AsAt,N('Deal maths'!E957)&lt;=AsAt,IF(N('Deal maths'!H957)&gt;0,N('Deal maths'!H957),N('Deal maths'!D957))&gt;0),N('Deal maths'!F957)+ROW()/1000000,"")</f>
        <v/>
      </c>
    </row>
    <row r="958">
      <c r="A958" s="91" t="n"/>
      <c r="B958" s="111">
        <f>IF(AND(N('Deal maths'!F958)&gt;AsAt,N('Deal maths'!E958)&lt;=AsAt),IF(N('Deal maths'!H958)&gt;0,N('Deal maths'!H958),N('Deal maths'!D958)),0)</f>
        <v/>
      </c>
      <c r="C958" s="91">
        <f>IF(B958&gt;0,IF('Deal maths'!C958="Local authority","Local authorities",LOWER(TRIM('Deal maths'!B958))),"")</f>
        <v/>
      </c>
      <c r="D958" s="91">
        <f>IF(C958="","",IF(COUNTIF($C$4:C957,C958)=0,SUMIF($C$4:$C$3997,C958,$B$4:$B$3997)-ROW()/1000000,""))</f>
        <v/>
      </c>
      <c r="E958" s="91">
        <f>IF(AND(N('Deal maths'!F958)&gt;AsAt,N('Deal maths'!E958)&lt;=AsAt,IF(N('Deal maths'!H958)&gt;0,N('Deal maths'!H958),N('Deal maths'!D958))&gt;0),N('Deal maths'!F958)+ROW()/1000000,"")</f>
        <v/>
      </c>
    </row>
    <row r="959">
      <c r="A959" s="91" t="n"/>
      <c r="B959" s="111">
        <f>IF(AND(N('Deal maths'!F959)&gt;AsAt,N('Deal maths'!E959)&lt;=AsAt),IF(N('Deal maths'!H959)&gt;0,N('Deal maths'!H959),N('Deal maths'!D959)),0)</f>
        <v/>
      </c>
      <c r="C959" s="91">
        <f>IF(B959&gt;0,IF('Deal maths'!C959="Local authority","Local authorities",LOWER(TRIM('Deal maths'!B959))),"")</f>
        <v/>
      </c>
      <c r="D959" s="91">
        <f>IF(C959="","",IF(COUNTIF($C$4:C958,C959)=0,SUMIF($C$4:$C$3997,C959,$B$4:$B$3997)-ROW()/1000000,""))</f>
        <v/>
      </c>
      <c r="E959" s="91">
        <f>IF(AND(N('Deal maths'!F959)&gt;AsAt,N('Deal maths'!E959)&lt;=AsAt,IF(N('Deal maths'!H959)&gt;0,N('Deal maths'!H959),N('Deal maths'!D959))&gt;0),N('Deal maths'!F959)+ROW()/1000000,"")</f>
        <v/>
      </c>
    </row>
    <row r="960">
      <c r="A960" s="91" t="n"/>
      <c r="B960" s="111">
        <f>IF(AND(N('Deal maths'!F960)&gt;AsAt,N('Deal maths'!E960)&lt;=AsAt),IF(N('Deal maths'!H960)&gt;0,N('Deal maths'!H960),N('Deal maths'!D960)),0)</f>
        <v/>
      </c>
      <c r="C960" s="91">
        <f>IF(B960&gt;0,IF('Deal maths'!C960="Local authority","Local authorities",LOWER(TRIM('Deal maths'!B960))),"")</f>
        <v/>
      </c>
      <c r="D960" s="91">
        <f>IF(C960="","",IF(COUNTIF($C$4:C959,C960)=0,SUMIF($C$4:$C$3997,C960,$B$4:$B$3997)-ROW()/1000000,""))</f>
        <v/>
      </c>
      <c r="E960" s="91">
        <f>IF(AND(N('Deal maths'!F960)&gt;AsAt,N('Deal maths'!E960)&lt;=AsAt,IF(N('Deal maths'!H960)&gt;0,N('Deal maths'!H960),N('Deal maths'!D960))&gt;0),N('Deal maths'!F960)+ROW()/1000000,"")</f>
        <v/>
      </c>
    </row>
    <row r="961">
      <c r="A961" s="91" t="n"/>
      <c r="B961" s="111">
        <f>IF(AND(N('Deal maths'!F961)&gt;AsAt,N('Deal maths'!E961)&lt;=AsAt),IF(N('Deal maths'!H961)&gt;0,N('Deal maths'!H961),N('Deal maths'!D961)),0)</f>
        <v/>
      </c>
      <c r="C961" s="91">
        <f>IF(B961&gt;0,IF('Deal maths'!C961="Local authority","Local authorities",LOWER(TRIM('Deal maths'!B961))),"")</f>
        <v/>
      </c>
      <c r="D961" s="91">
        <f>IF(C961="","",IF(COUNTIF($C$4:C960,C961)=0,SUMIF($C$4:$C$3997,C961,$B$4:$B$3997)-ROW()/1000000,""))</f>
        <v/>
      </c>
      <c r="E961" s="91">
        <f>IF(AND(N('Deal maths'!F961)&gt;AsAt,N('Deal maths'!E961)&lt;=AsAt,IF(N('Deal maths'!H961)&gt;0,N('Deal maths'!H961),N('Deal maths'!D961))&gt;0),N('Deal maths'!F961)+ROW()/1000000,"")</f>
        <v/>
      </c>
    </row>
    <row r="962">
      <c r="A962" s="91" t="n"/>
      <c r="B962" s="111">
        <f>IF(AND(N('Deal maths'!F962)&gt;AsAt,N('Deal maths'!E962)&lt;=AsAt),IF(N('Deal maths'!H962)&gt;0,N('Deal maths'!H962),N('Deal maths'!D962)),0)</f>
        <v/>
      </c>
      <c r="C962" s="91">
        <f>IF(B962&gt;0,IF('Deal maths'!C962="Local authority","Local authorities",LOWER(TRIM('Deal maths'!B962))),"")</f>
        <v/>
      </c>
      <c r="D962" s="91">
        <f>IF(C962="","",IF(COUNTIF($C$4:C961,C962)=0,SUMIF($C$4:$C$3997,C962,$B$4:$B$3997)-ROW()/1000000,""))</f>
        <v/>
      </c>
      <c r="E962" s="91">
        <f>IF(AND(N('Deal maths'!F962)&gt;AsAt,N('Deal maths'!E962)&lt;=AsAt,IF(N('Deal maths'!H962)&gt;0,N('Deal maths'!H962),N('Deal maths'!D962))&gt;0),N('Deal maths'!F962)+ROW()/1000000,"")</f>
        <v/>
      </c>
    </row>
    <row r="963">
      <c r="A963" s="91" t="n"/>
      <c r="B963" s="111">
        <f>IF(AND(N('Deal maths'!F963)&gt;AsAt,N('Deal maths'!E963)&lt;=AsAt),IF(N('Deal maths'!H963)&gt;0,N('Deal maths'!H963),N('Deal maths'!D963)),0)</f>
        <v/>
      </c>
      <c r="C963" s="91">
        <f>IF(B963&gt;0,IF('Deal maths'!C963="Local authority","Local authorities",LOWER(TRIM('Deal maths'!B963))),"")</f>
        <v/>
      </c>
      <c r="D963" s="91">
        <f>IF(C963="","",IF(COUNTIF($C$4:C962,C963)=0,SUMIF($C$4:$C$3997,C963,$B$4:$B$3997)-ROW()/1000000,""))</f>
        <v/>
      </c>
      <c r="E963" s="91">
        <f>IF(AND(N('Deal maths'!F963)&gt;AsAt,N('Deal maths'!E963)&lt;=AsAt,IF(N('Deal maths'!H963)&gt;0,N('Deal maths'!H963),N('Deal maths'!D963))&gt;0),N('Deal maths'!F963)+ROW()/1000000,"")</f>
        <v/>
      </c>
    </row>
    <row r="964">
      <c r="A964" s="91" t="n"/>
      <c r="B964" s="111">
        <f>IF(AND(N('Deal maths'!F964)&gt;AsAt,N('Deal maths'!E964)&lt;=AsAt),IF(N('Deal maths'!H964)&gt;0,N('Deal maths'!H964),N('Deal maths'!D964)),0)</f>
        <v/>
      </c>
      <c r="C964" s="91">
        <f>IF(B964&gt;0,IF('Deal maths'!C964="Local authority","Local authorities",LOWER(TRIM('Deal maths'!B964))),"")</f>
        <v/>
      </c>
      <c r="D964" s="91">
        <f>IF(C964="","",IF(COUNTIF($C$4:C963,C964)=0,SUMIF($C$4:$C$3997,C964,$B$4:$B$3997)-ROW()/1000000,""))</f>
        <v/>
      </c>
      <c r="E964" s="91">
        <f>IF(AND(N('Deal maths'!F964)&gt;AsAt,N('Deal maths'!E964)&lt;=AsAt,IF(N('Deal maths'!H964)&gt;0,N('Deal maths'!H964),N('Deal maths'!D964))&gt;0),N('Deal maths'!F964)+ROW()/1000000,"")</f>
        <v/>
      </c>
    </row>
    <row r="965">
      <c r="A965" s="91" t="n"/>
      <c r="B965" s="111">
        <f>IF(AND(N('Deal maths'!F965)&gt;AsAt,N('Deal maths'!E965)&lt;=AsAt),IF(N('Deal maths'!H965)&gt;0,N('Deal maths'!H965),N('Deal maths'!D965)),0)</f>
        <v/>
      </c>
      <c r="C965" s="91">
        <f>IF(B965&gt;0,IF('Deal maths'!C965="Local authority","Local authorities",LOWER(TRIM('Deal maths'!B965))),"")</f>
        <v/>
      </c>
      <c r="D965" s="91">
        <f>IF(C965="","",IF(COUNTIF($C$4:C964,C965)=0,SUMIF($C$4:$C$3997,C965,$B$4:$B$3997)-ROW()/1000000,""))</f>
        <v/>
      </c>
      <c r="E965" s="91">
        <f>IF(AND(N('Deal maths'!F965)&gt;AsAt,N('Deal maths'!E965)&lt;=AsAt,IF(N('Deal maths'!H965)&gt;0,N('Deal maths'!H965),N('Deal maths'!D965))&gt;0),N('Deal maths'!F965)+ROW()/1000000,"")</f>
        <v/>
      </c>
    </row>
    <row r="966">
      <c r="A966" s="91" t="n"/>
      <c r="B966" s="111">
        <f>IF(AND(N('Deal maths'!F966)&gt;AsAt,N('Deal maths'!E966)&lt;=AsAt),IF(N('Deal maths'!H966)&gt;0,N('Deal maths'!H966),N('Deal maths'!D966)),0)</f>
        <v/>
      </c>
      <c r="C966" s="91">
        <f>IF(B966&gt;0,IF('Deal maths'!C966="Local authority","Local authorities",LOWER(TRIM('Deal maths'!B966))),"")</f>
        <v/>
      </c>
      <c r="D966" s="91">
        <f>IF(C966="","",IF(COUNTIF($C$4:C965,C966)=0,SUMIF($C$4:$C$3997,C966,$B$4:$B$3997)-ROW()/1000000,""))</f>
        <v/>
      </c>
      <c r="E966" s="91">
        <f>IF(AND(N('Deal maths'!F966)&gt;AsAt,N('Deal maths'!E966)&lt;=AsAt,IF(N('Deal maths'!H966)&gt;0,N('Deal maths'!H966),N('Deal maths'!D966))&gt;0),N('Deal maths'!F966)+ROW()/1000000,"")</f>
        <v/>
      </c>
    </row>
    <row r="967">
      <c r="A967" s="91" t="n"/>
      <c r="B967" s="111">
        <f>IF(AND(N('Deal maths'!F967)&gt;AsAt,N('Deal maths'!E967)&lt;=AsAt),IF(N('Deal maths'!H967)&gt;0,N('Deal maths'!H967),N('Deal maths'!D967)),0)</f>
        <v/>
      </c>
      <c r="C967" s="91">
        <f>IF(B967&gt;0,IF('Deal maths'!C967="Local authority","Local authorities",LOWER(TRIM('Deal maths'!B967))),"")</f>
        <v/>
      </c>
      <c r="D967" s="91">
        <f>IF(C967="","",IF(COUNTIF($C$4:C966,C967)=0,SUMIF($C$4:$C$3997,C967,$B$4:$B$3997)-ROW()/1000000,""))</f>
        <v/>
      </c>
      <c r="E967" s="91">
        <f>IF(AND(N('Deal maths'!F967)&gt;AsAt,N('Deal maths'!E967)&lt;=AsAt,IF(N('Deal maths'!H967)&gt;0,N('Deal maths'!H967),N('Deal maths'!D967))&gt;0),N('Deal maths'!F967)+ROW()/1000000,"")</f>
        <v/>
      </c>
    </row>
    <row r="968">
      <c r="A968" s="91" t="n"/>
      <c r="B968" s="111">
        <f>IF(AND(N('Deal maths'!F968)&gt;AsAt,N('Deal maths'!E968)&lt;=AsAt),IF(N('Deal maths'!H968)&gt;0,N('Deal maths'!H968),N('Deal maths'!D968)),0)</f>
        <v/>
      </c>
      <c r="C968" s="91">
        <f>IF(B968&gt;0,IF('Deal maths'!C968="Local authority","Local authorities",LOWER(TRIM('Deal maths'!B968))),"")</f>
        <v/>
      </c>
      <c r="D968" s="91">
        <f>IF(C968="","",IF(COUNTIF($C$4:C967,C968)=0,SUMIF($C$4:$C$3997,C968,$B$4:$B$3997)-ROW()/1000000,""))</f>
        <v/>
      </c>
      <c r="E968" s="91">
        <f>IF(AND(N('Deal maths'!F968)&gt;AsAt,N('Deal maths'!E968)&lt;=AsAt,IF(N('Deal maths'!H968)&gt;0,N('Deal maths'!H968),N('Deal maths'!D968))&gt;0),N('Deal maths'!F968)+ROW()/1000000,"")</f>
        <v/>
      </c>
    </row>
    <row r="969">
      <c r="A969" s="91" t="n"/>
      <c r="B969" s="111">
        <f>IF(AND(N('Deal maths'!F969)&gt;AsAt,N('Deal maths'!E969)&lt;=AsAt),IF(N('Deal maths'!H969)&gt;0,N('Deal maths'!H969),N('Deal maths'!D969)),0)</f>
        <v/>
      </c>
      <c r="C969" s="91">
        <f>IF(B969&gt;0,IF('Deal maths'!C969="Local authority","Local authorities",LOWER(TRIM('Deal maths'!B969))),"")</f>
        <v/>
      </c>
      <c r="D969" s="91">
        <f>IF(C969="","",IF(COUNTIF($C$4:C968,C969)=0,SUMIF($C$4:$C$3997,C969,$B$4:$B$3997)-ROW()/1000000,""))</f>
        <v/>
      </c>
      <c r="E969" s="91">
        <f>IF(AND(N('Deal maths'!F969)&gt;AsAt,N('Deal maths'!E969)&lt;=AsAt,IF(N('Deal maths'!H969)&gt;0,N('Deal maths'!H969),N('Deal maths'!D969))&gt;0),N('Deal maths'!F969)+ROW()/1000000,"")</f>
        <v/>
      </c>
    </row>
    <row r="970">
      <c r="A970" s="91" t="n"/>
      <c r="B970" s="111">
        <f>IF(AND(N('Deal maths'!F970)&gt;AsAt,N('Deal maths'!E970)&lt;=AsAt),IF(N('Deal maths'!H970)&gt;0,N('Deal maths'!H970),N('Deal maths'!D970)),0)</f>
        <v/>
      </c>
      <c r="C970" s="91">
        <f>IF(B970&gt;0,IF('Deal maths'!C970="Local authority","Local authorities",LOWER(TRIM('Deal maths'!B970))),"")</f>
        <v/>
      </c>
      <c r="D970" s="91">
        <f>IF(C970="","",IF(COUNTIF($C$4:C969,C970)=0,SUMIF($C$4:$C$3997,C970,$B$4:$B$3997)-ROW()/1000000,""))</f>
        <v/>
      </c>
      <c r="E970" s="91">
        <f>IF(AND(N('Deal maths'!F970)&gt;AsAt,N('Deal maths'!E970)&lt;=AsAt,IF(N('Deal maths'!H970)&gt;0,N('Deal maths'!H970),N('Deal maths'!D970))&gt;0),N('Deal maths'!F970)+ROW()/1000000,"")</f>
        <v/>
      </c>
    </row>
    <row r="971">
      <c r="A971" s="91" t="n"/>
      <c r="B971" s="111">
        <f>IF(AND(N('Deal maths'!F971)&gt;AsAt,N('Deal maths'!E971)&lt;=AsAt),IF(N('Deal maths'!H971)&gt;0,N('Deal maths'!H971),N('Deal maths'!D971)),0)</f>
        <v/>
      </c>
      <c r="C971" s="91">
        <f>IF(B971&gt;0,IF('Deal maths'!C971="Local authority","Local authorities",LOWER(TRIM('Deal maths'!B971))),"")</f>
        <v/>
      </c>
      <c r="D971" s="91">
        <f>IF(C971="","",IF(COUNTIF($C$4:C970,C971)=0,SUMIF($C$4:$C$3997,C971,$B$4:$B$3997)-ROW()/1000000,""))</f>
        <v/>
      </c>
      <c r="E971" s="91">
        <f>IF(AND(N('Deal maths'!F971)&gt;AsAt,N('Deal maths'!E971)&lt;=AsAt,IF(N('Deal maths'!H971)&gt;0,N('Deal maths'!H971),N('Deal maths'!D971))&gt;0),N('Deal maths'!F971)+ROW()/1000000,"")</f>
        <v/>
      </c>
    </row>
    <row r="972">
      <c r="A972" s="91" t="n"/>
      <c r="B972" s="111">
        <f>IF(AND(N('Deal maths'!F972)&gt;AsAt,N('Deal maths'!E972)&lt;=AsAt),IF(N('Deal maths'!H972)&gt;0,N('Deal maths'!H972),N('Deal maths'!D972)),0)</f>
        <v/>
      </c>
      <c r="C972" s="91">
        <f>IF(B972&gt;0,IF('Deal maths'!C972="Local authority","Local authorities",LOWER(TRIM('Deal maths'!B972))),"")</f>
        <v/>
      </c>
      <c r="D972" s="91">
        <f>IF(C972="","",IF(COUNTIF($C$4:C971,C972)=0,SUMIF($C$4:$C$3997,C972,$B$4:$B$3997)-ROW()/1000000,""))</f>
        <v/>
      </c>
      <c r="E972" s="91">
        <f>IF(AND(N('Deal maths'!F972)&gt;AsAt,N('Deal maths'!E972)&lt;=AsAt,IF(N('Deal maths'!H972)&gt;0,N('Deal maths'!H972),N('Deal maths'!D972))&gt;0),N('Deal maths'!F972)+ROW()/1000000,"")</f>
        <v/>
      </c>
    </row>
    <row r="973">
      <c r="A973" s="91" t="n"/>
      <c r="B973" s="111">
        <f>IF(AND(N('Deal maths'!F973)&gt;AsAt,N('Deal maths'!E973)&lt;=AsAt),IF(N('Deal maths'!H973)&gt;0,N('Deal maths'!H973),N('Deal maths'!D973)),0)</f>
        <v/>
      </c>
      <c r="C973" s="91">
        <f>IF(B973&gt;0,IF('Deal maths'!C973="Local authority","Local authorities",LOWER(TRIM('Deal maths'!B973))),"")</f>
        <v/>
      </c>
      <c r="D973" s="91">
        <f>IF(C973="","",IF(COUNTIF($C$4:C972,C973)=0,SUMIF($C$4:$C$3997,C973,$B$4:$B$3997)-ROW()/1000000,""))</f>
        <v/>
      </c>
      <c r="E973" s="91">
        <f>IF(AND(N('Deal maths'!F973)&gt;AsAt,N('Deal maths'!E973)&lt;=AsAt,IF(N('Deal maths'!H973)&gt;0,N('Deal maths'!H973),N('Deal maths'!D973))&gt;0),N('Deal maths'!F973)+ROW()/1000000,"")</f>
        <v/>
      </c>
    </row>
    <row r="974">
      <c r="A974" s="91" t="n"/>
      <c r="B974" s="111">
        <f>IF(AND(N('Deal maths'!F974)&gt;AsAt,N('Deal maths'!E974)&lt;=AsAt),IF(N('Deal maths'!H974)&gt;0,N('Deal maths'!H974),N('Deal maths'!D974)),0)</f>
        <v/>
      </c>
      <c r="C974" s="91">
        <f>IF(B974&gt;0,IF('Deal maths'!C974="Local authority","Local authorities",LOWER(TRIM('Deal maths'!B974))),"")</f>
        <v/>
      </c>
      <c r="D974" s="91">
        <f>IF(C974="","",IF(COUNTIF($C$4:C973,C974)=0,SUMIF($C$4:$C$3997,C974,$B$4:$B$3997)-ROW()/1000000,""))</f>
        <v/>
      </c>
      <c r="E974" s="91">
        <f>IF(AND(N('Deal maths'!F974)&gt;AsAt,N('Deal maths'!E974)&lt;=AsAt,IF(N('Deal maths'!H974)&gt;0,N('Deal maths'!H974),N('Deal maths'!D974))&gt;0),N('Deal maths'!F974)+ROW()/1000000,"")</f>
        <v/>
      </c>
    </row>
    <row r="975">
      <c r="A975" s="91" t="n"/>
      <c r="B975" s="111">
        <f>IF(AND(N('Deal maths'!F975)&gt;AsAt,N('Deal maths'!E975)&lt;=AsAt),IF(N('Deal maths'!H975)&gt;0,N('Deal maths'!H975),N('Deal maths'!D975)),0)</f>
        <v/>
      </c>
      <c r="C975" s="91">
        <f>IF(B975&gt;0,IF('Deal maths'!C975="Local authority","Local authorities",LOWER(TRIM('Deal maths'!B975))),"")</f>
        <v/>
      </c>
      <c r="D975" s="91">
        <f>IF(C975="","",IF(COUNTIF($C$4:C974,C975)=0,SUMIF($C$4:$C$3997,C975,$B$4:$B$3997)-ROW()/1000000,""))</f>
        <v/>
      </c>
      <c r="E975" s="91">
        <f>IF(AND(N('Deal maths'!F975)&gt;AsAt,N('Deal maths'!E975)&lt;=AsAt,IF(N('Deal maths'!H975)&gt;0,N('Deal maths'!H975),N('Deal maths'!D975))&gt;0),N('Deal maths'!F975)+ROW()/1000000,"")</f>
        <v/>
      </c>
    </row>
    <row r="976">
      <c r="A976" s="91" t="n"/>
      <c r="B976" s="111">
        <f>IF(AND(N('Deal maths'!F976)&gt;AsAt,N('Deal maths'!E976)&lt;=AsAt),IF(N('Deal maths'!H976)&gt;0,N('Deal maths'!H976),N('Deal maths'!D976)),0)</f>
        <v/>
      </c>
      <c r="C976" s="91">
        <f>IF(B976&gt;0,IF('Deal maths'!C976="Local authority","Local authorities",LOWER(TRIM('Deal maths'!B976))),"")</f>
        <v/>
      </c>
      <c r="D976" s="91">
        <f>IF(C976="","",IF(COUNTIF($C$4:C975,C976)=0,SUMIF($C$4:$C$3997,C976,$B$4:$B$3997)-ROW()/1000000,""))</f>
        <v/>
      </c>
      <c r="E976" s="91">
        <f>IF(AND(N('Deal maths'!F976)&gt;AsAt,N('Deal maths'!E976)&lt;=AsAt,IF(N('Deal maths'!H976)&gt;0,N('Deal maths'!H976),N('Deal maths'!D976))&gt;0),N('Deal maths'!F976)+ROW()/1000000,"")</f>
        <v/>
      </c>
    </row>
    <row r="977">
      <c r="A977" s="91" t="n"/>
      <c r="B977" s="111">
        <f>IF(AND(N('Deal maths'!F977)&gt;AsAt,N('Deal maths'!E977)&lt;=AsAt),IF(N('Deal maths'!H977)&gt;0,N('Deal maths'!H977),N('Deal maths'!D977)),0)</f>
        <v/>
      </c>
      <c r="C977" s="91">
        <f>IF(B977&gt;0,IF('Deal maths'!C977="Local authority","Local authorities",LOWER(TRIM('Deal maths'!B977))),"")</f>
        <v/>
      </c>
      <c r="D977" s="91">
        <f>IF(C977="","",IF(COUNTIF($C$4:C976,C977)=0,SUMIF($C$4:$C$3997,C977,$B$4:$B$3997)-ROW()/1000000,""))</f>
        <v/>
      </c>
      <c r="E977" s="91">
        <f>IF(AND(N('Deal maths'!F977)&gt;AsAt,N('Deal maths'!E977)&lt;=AsAt,IF(N('Deal maths'!H977)&gt;0,N('Deal maths'!H977),N('Deal maths'!D977))&gt;0),N('Deal maths'!F977)+ROW()/1000000,"")</f>
        <v/>
      </c>
    </row>
    <row r="978">
      <c r="A978" s="91" t="n"/>
      <c r="B978" s="111">
        <f>IF(AND(N('Deal maths'!F978)&gt;AsAt,N('Deal maths'!E978)&lt;=AsAt),IF(N('Deal maths'!H978)&gt;0,N('Deal maths'!H978),N('Deal maths'!D978)),0)</f>
        <v/>
      </c>
      <c r="C978" s="91">
        <f>IF(B978&gt;0,IF('Deal maths'!C978="Local authority","Local authorities",LOWER(TRIM('Deal maths'!B978))),"")</f>
        <v/>
      </c>
      <c r="D978" s="91">
        <f>IF(C978="","",IF(COUNTIF($C$4:C977,C978)=0,SUMIF($C$4:$C$3997,C978,$B$4:$B$3997)-ROW()/1000000,""))</f>
        <v/>
      </c>
      <c r="E978" s="91">
        <f>IF(AND(N('Deal maths'!F978)&gt;AsAt,N('Deal maths'!E978)&lt;=AsAt,IF(N('Deal maths'!H978)&gt;0,N('Deal maths'!H978),N('Deal maths'!D978))&gt;0),N('Deal maths'!F978)+ROW()/1000000,"")</f>
        <v/>
      </c>
    </row>
    <row r="979">
      <c r="A979" s="91" t="n"/>
      <c r="B979" s="111">
        <f>IF(AND(N('Deal maths'!F979)&gt;AsAt,N('Deal maths'!E979)&lt;=AsAt),IF(N('Deal maths'!H979)&gt;0,N('Deal maths'!H979),N('Deal maths'!D979)),0)</f>
        <v/>
      </c>
      <c r="C979" s="91">
        <f>IF(B979&gt;0,IF('Deal maths'!C979="Local authority","Local authorities",LOWER(TRIM('Deal maths'!B979))),"")</f>
        <v/>
      </c>
      <c r="D979" s="91">
        <f>IF(C979="","",IF(COUNTIF($C$4:C978,C979)=0,SUMIF($C$4:$C$3997,C979,$B$4:$B$3997)-ROW()/1000000,""))</f>
        <v/>
      </c>
      <c r="E979" s="91">
        <f>IF(AND(N('Deal maths'!F979)&gt;AsAt,N('Deal maths'!E979)&lt;=AsAt,IF(N('Deal maths'!H979)&gt;0,N('Deal maths'!H979),N('Deal maths'!D979))&gt;0),N('Deal maths'!F979)+ROW()/1000000,"")</f>
        <v/>
      </c>
    </row>
    <row r="980">
      <c r="A980" s="91" t="n"/>
      <c r="B980" s="111">
        <f>IF(AND(N('Deal maths'!F980)&gt;AsAt,N('Deal maths'!E980)&lt;=AsAt),IF(N('Deal maths'!H980)&gt;0,N('Deal maths'!H980),N('Deal maths'!D980)),0)</f>
        <v/>
      </c>
      <c r="C980" s="91">
        <f>IF(B980&gt;0,IF('Deal maths'!C980="Local authority","Local authorities",LOWER(TRIM('Deal maths'!B980))),"")</f>
        <v/>
      </c>
      <c r="D980" s="91">
        <f>IF(C980="","",IF(COUNTIF($C$4:C979,C980)=0,SUMIF($C$4:$C$3997,C980,$B$4:$B$3997)-ROW()/1000000,""))</f>
        <v/>
      </c>
      <c r="E980" s="91">
        <f>IF(AND(N('Deal maths'!F980)&gt;AsAt,N('Deal maths'!E980)&lt;=AsAt,IF(N('Deal maths'!H980)&gt;0,N('Deal maths'!H980),N('Deal maths'!D980))&gt;0),N('Deal maths'!F980)+ROW()/1000000,"")</f>
        <v/>
      </c>
    </row>
    <row r="981">
      <c r="A981" s="91" t="n"/>
      <c r="B981" s="111">
        <f>IF(AND(N('Deal maths'!F981)&gt;AsAt,N('Deal maths'!E981)&lt;=AsAt),IF(N('Deal maths'!H981)&gt;0,N('Deal maths'!H981),N('Deal maths'!D981)),0)</f>
        <v/>
      </c>
      <c r="C981" s="91">
        <f>IF(B981&gt;0,IF('Deal maths'!C981="Local authority","Local authorities",LOWER(TRIM('Deal maths'!B981))),"")</f>
        <v/>
      </c>
      <c r="D981" s="91">
        <f>IF(C981="","",IF(COUNTIF($C$4:C980,C981)=0,SUMIF($C$4:$C$3997,C981,$B$4:$B$3997)-ROW()/1000000,""))</f>
        <v/>
      </c>
      <c r="E981" s="91">
        <f>IF(AND(N('Deal maths'!F981)&gt;AsAt,N('Deal maths'!E981)&lt;=AsAt,IF(N('Deal maths'!H981)&gt;0,N('Deal maths'!H981),N('Deal maths'!D981))&gt;0),N('Deal maths'!F981)+ROW()/1000000,"")</f>
        <v/>
      </c>
    </row>
    <row r="982">
      <c r="A982" s="91" t="n"/>
      <c r="B982" s="111">
        <f>IF(AND(N('Deal maths'!F982)&gt;AsAt,N('Deal maths'!E982)&lt;=AsAt),IF(N('Deal maths'!H982)&gt;0,N('Deal maths'!H982),N('Deal maths'!D982)),0)</f>
        <v/>
      </c>
      <c r="C982" s="91">
        <f>IF(B982&gt;0,IF('Deal maths'!C982="Local authority","Local authorities",LOWER(TRIM('Deal maths'!B982))),"")</f>
        <v/>
      </c>
      <c r="D982" s="91">
        <f>IF(C982="","",IF(COUNTIF($C$4:C981,C982)=0,SUMIF($C$4:$C$3997,C982,$B$4:$B$3997)-ROW()/1000000,""))</f>
        <v/>
      </c>
      <c r="E982" s="91">
        <f>IF(AND(N('Deal maths'!F982)&gt;AsAt,N('Deal maths'!E982)&lt;=AsAt,IF(N('Deal maths'!H982)&gt;0,N('Deal maths'!H982),N('Deal maths'!D982))&gt;0),N('Deal maths'!F982)+ROW()/1000000,"")</f>
        <v/>
      </c>
    </row>
    <row r="983">
      <c r="A983" s="91" t="n"/>
      <c r="B983" s="111">
        <f>IF(AND(N('Deal maths'!F983)&gt;AsAt,N('Deal maths'!E983)&lt;=AsAt),IF(N('Deal maths'!H983)&gt;0,N('Deal maths'!H983),N('Deal maths'!D983)),0)</f>
        <v/>
      </c>
      <c r="C983" s="91">
        <f>IF(B983&gt;0,IF('Deal maths'!C983="Local authority","Local authorities",LOWER(TRIM('Deal maths'!B983))),"")</f>
        <v/>
      </c>
      <c r="D983" s="91">
        <f>IF(C983="","",IF(COUNTIF($C$4:C982,C983)=0,SUMIF($C$4:$C$3997,C983,$B$4:$B$3997)-ROW()/1000000,""))</f>
        <v/>
      </c>
      <c r="E983" s="91">
        <f>IF(AND(N('Deal maths'!F983)&gt;AsAt,N('Deal maths'!E983)&lt;=AsAt,IF(N('Deal maths'!H983)&gt;0,N('Deal maths'!H983),N('Deal maths'!D983))&gt;0),N('Deal maths'!F983)+ROW()/1000000,"")</f>
        <v/>
      </c>
    </row>
    <row r="984">
      <c r="A984" s="91" t="n"/>
      <c r="B984" s="111">
        <f>IF(AND(N('Deal maths'!F984)&gt;AsAt,N('Deal maths'!E984)&lt;=AsAt),IF(N('Deal maths'!H984)&gt;0,N('Deal maths'!H984),N('Deal maths'!D984)),0)</f>
        <v/>
      </c>
      <c r="C984" s="91">
        <f>IF(B984&gt;0,IF('Deal maths'!C984="Local authority","Local authorities",LOWER(TRIM('Deal maths'!B984))),"")</f>
        <v/>
      </c>
      <c r="D984" s="91">
        <f>IF(C984="","",IF(COUNTIF($C$4:C983,C984)=0,SUMIF($C$4:$C$3997,C984,$B$4:$B$3997)-ROW()/1000000,""))</f>
        <v/>
      </c>
      <c r="E984" s="91">
        <f>IF(AND(N('Deal maths'!F984)&gt;AsAt,N('Deal maths'!E984)&lt;=AsAt,IF(N('Deal maths'!H984)&gt;0,N('Deal maths'!H984),N('Deal maths'!D984))&gt;0),N('Deal maths'!F984)+ROW()/1000000,"")</f>
        <v/>
      </c>
    </row>
    <row r="985">
      <c r="A985" s="91" t="n"/>
      <c r="B985" s="111">
        <f>IF(AND(N('Deal maths'!F985)&gt;AsAt,N('Deal maths'!E985)&lt;=AsAt),IF(N('Deal maths'!H985)&gt;0,N('Deal maths'!H985),N('Deal maths'!D985)),0)</f>
        <v/>
      </c>
      <c r="C985" s="91">
        <f>IF(B985&gt;0,IF('Deal maths'!C985="Local authority","Local authorities",LOWER(TRIM('Deal maths'!B985))),"")</f>
        <v/>
      </c>
      <c r="D985" s="91">
        <f>IF(C985="","",IF(COUNTIF($C$4:C984,C985)=0,SUMIF($C$4:$C$3997,C985,$B$4:$B$3997)-ROW()/1000000,""))</f>
        <v/>
      </c>
      <c r="E985" s="91">
        <f>IF(AND(N('Deal maths'!F985)&gt;AsAt,N('Deal maths'!E985)&lt;=AsAt,IF(N('Deal maths'!H985)&gt;0,N('Deal maths'!H985),N('Deal maths'!D985))&gt;0),N('Deal maths'!F985)+ROW()/1000000,"")</f>
        <v/>
      </c>
    </row>
    <row r="986">
      <c r="A986" s="91" t="n"/>
      <c r="B986" s="111">
        <f>IF(AND(N('Deal maths'!F986)&gt;AsAt,N('Deal maths'!E986)&lt;=AsAt),IF(N('Deal maths'!H986)&gt;0,N('Deal maths'!H986),N('Deal maths'!D986)),0)</f>
        <v/>
      </c>
      <c r="C986" s="91">
        <f>IF(B986&gt;0,IF('Deal maths'!C986="Local authority","Local authorities",LOWER(TRIM('Deal maths'!B986))),"")</f>
        <v/>
      </c>
      <c r="D986" s="91">
        <f>IF(C986="","",IF(COUNTIF($C$4:C985,C986)=0,SUMIF($C$4:$C$3997,C986,$B$4:$B$3997)-ROW()/1000000,""))</f>
        <v/>
      </c>
      <c r="E986" s="91">
        <f>IF(AND(N('Deal maths'!F986)&gt;AsAt,N('Deal maths'!E986)&lt;=AsAt,IF(N('Deal maths'!H986)&gt;0,N('Deal maths'!H986),N('Deal maths'!D986))&gt;0),N('Deal maths'!F986)+ROW()/1000000,"")</f>
        <v/>
      </c>
    </row>
    <row r="987">
      <c r="A987" s="91" t="n"/>
      <c r="B987" s="111">
        <f>IF(AND(N('Deal maths'!F987)&gt;AsAt,N('Deal maths'!E987)&lt;=AsAt),IF(N('Deal maths'!H987)&gt;0,N('Deal maths'!H987),N('Deal maths'!D987)),0)</f>
        <v/>
      </c>
      <c r="C987" s="91">
        <f>IF(B987&gt;0,IF('Deal maths'!C987="Local authority","Local authorities",LOWER(TRIM('Deal maths'!B987))),"")</f>
        <v/>
      </c>
      <c r="D987" s="91">
        <f>IF(C987="","",IF(COUNTIF($C$4:C986,C987)=0,SUMIF($C$4:$C$3997,C987,$B$4:$B$3997)-ROW()/1000000,""))</f>
        <v/>
      </c>
      <c r="E987" s="91">
        <f>IF(AND(N('Deal maths'!F987)&gt;AsAt,N('Deal maths'!E987)&lt;=AsAt,IF(N('Deal maths'!H987)&gt;0,N('Deal maths'!H987),N('Deal maths'!D987))&gt;0),N('Deal maths'!F987)+ROW()/1000000,"")</f>
        <v/>
      </c>
    </row>
    <row r="988">
      <c r="A988" s="91" t="n"/>
      <c r="B988" s="111">
        <f>IF(AND(N('Deal maths'!F988)&gt;AsAt,N('Deal maths'!E988)&lt;=AsAt),IF(N('Deal maths'!H988)&gt;0,N('Deal maths'!H988),N('Deal maths'!D988)),0)</f>
        <v/>
      </c>
      <c r="C988" s="91">
        <f>IF(B988&gt;0,IF('Deal maths'!C988="Local authority","Local authorities",LOWER(TRIM('Deal maths'!B988))),"")</f>
        <v/>
      </c>
      <c r="D988" s="91">
        <f>IF(C988="","",IF(COUNTIF($C$4:C987,C988)=0,SUMIF($C$4:$C$3997,C988,$B$4:$B$3997)-ROW()/1000000,""))</f>
        <v/>
      </c>
      <c r="E988" s="91">
        <f>IF(AND(N('Deal maths'!F988)&gt;AsAt,N('Deal maths'!E988)&lt;=AsAt,IF(N('Deal maths'!H988)&gt;0,N('Deal maths'!H988),N('Deal maths'!D988))&gt;0),N('Deal maths'!F988)+ROW()/1000000,"")</f>
        <v/>
      </c>
    </row>
    <row r="989">
      <c r="A989" s="91" t="n"/>
      <c r="B989" s="111">
        <f>IF(AND(N('Deal maths'!F989)&gt;AsAt,N('Deal maths'!E989)&lt;=AsAt),IF(N('Deal maths'!H989)&gt;0,N('Deal maths'!H989),N('Deal maths'!D989)),0)</f>
        <v/>
      </c>
      <c r="C989" s="91">
        <f>IF(B989&gt;0,IF('Deal maths'!C989="Local authority","Local authorities",LOWER(TRIM('Deal maths'!B989))),"")</f>
        <v/>
      </c>
      <c r="D989" s="91">
        <f>IF(C989="","",IF(COUNTIF($C$4:C988,C989)=0,SUMIF($C$4:$C$3997,C989,$B$4:$B$3997)-ROW()/1000000,""))</f>
        <v/>
      </c>
      <c r="E989" s="91">
        <f>IF(AND(N('Deal maths'!F989)&gt;AsAt,N('Deal maths'!E989)&lt;=AsAt,IF(N('Deal maths'!H989)&gt;0,N('Deal maths'!H989),N('Deal maths'!D989))&gt;0),N('Deal maths'!F989)+ROW()/1000000,"")</f>
        <v/>
      </c>
    </row>
    <row r="990">
      <c r="A990" s="91" t="n"/>
      <c r="B990" s="111">
        <f>IF(AND(N('Deal maths'!F990)&gt;AsAt,N('Deal maths'!E990)&lt;=AsAt),IF(N('Deal maths'!H990)&gt;0,N('Deal maths'!H990),N('Deal maths'!D990)),0)</f>
        <v/>
      </c>
      <c r="C990" s="91">
        <f>IF(B990&gt;0,IF('Deal maths'!C990="Local authority","Local authorities",LOWER(TRIM('Deal maths'!B990))),"")</f>
        <v/>
      </c>
      <c r="D990" s="91">
        <f>IF(C990="","",IF(COUNTIF($C$4:C989,C990)=0,SUMIF($C$4:$C$3997,C990,$B$4:$B$3997)-ROW()/1000000,""))</f>
        <v/>
      </c>
      <c r="E990" s="91">
        <f>IF(AND(N('Deal maths'!F990)&gt;AsAt,N('Deal maths'!E990)&lt;=AsAt,IF(N('Deal maths'!H990)&gt;0,N('Deal maths'!H990),N('Deal maths'!D990))&gt;0),N('Deal maths'!F990)+ROW()/1000000,"")</f>
        <v/>
      </c>
    </row>
    <row r="991">
      <c r="A991" s="91" t="n"/>
      <c r="B991" s="111">
        <f>IF(AND(N('Deal maths'!F991)&gt;AsAt,N('Deal maths'!E991)&lt;=AsAt),IF(N('Deal maths'!H991)&gt;0,N('Deal maths'!H991),N('Deal maths'!D991)),0)</f>
        <v/>
      </c>
      <c r="C991" s="91">
        <f>IF(B991&gt;0,IF('Deal maths'!C991="Local authority","Local authorities",LOWER(TRIM('Deal maths'!B991))),"")</f>
        <v/>
      </c>
      <c r="D991" s="91">
        <f>IF(C991="","",IF(COUNTIF($C$4:C990,C991)=0,SUMIF($C$4:$C$3997,C991,$B$4:$B$3997)-ROW()/1000000,""))</f>
        <v/>
      </c>
      <c r="E991" s="91">
        <f>IF(AND(N('Deal maths'!F991)&gt;AsAt,N('Deal maths'!E991)&lt;=AsAt,IF(N('Deal maths'!H991)&gt;0,N('Deal maths'!H991),N('Deal maths'!D991))&gt;0),N('Deal maths'!F991)+ROW()/1000000,"")</f>
        <v/>
      </c>
    </row>
    <row r="992">
      <c r="A992" s="91" t="n"/>
      <c r="B992" s="111">
        <f>IF(AND(N('Deal maths'!F992)&gt;AsAt,N('Deal maths'!E992)&lt;=AsAt),IF(N('Deal maths'!H992)&gt;0,N('Deal maths'!H992),N('Deal maths'!D992)),0)</f>
        <v/>
      </c>
      <c r="C992" s="91">
        <f>IF(B992&gt;0,IF('Deal maths'!C992="Local authority","Local authorities",LOWER(TRIM('Deal maths'!B992))),"")</f>
        <v/>
      </c>
      <c r="D992" s="91">
        <f>IF(C992="","",IF(COUNTIF($C$4:C991,C992)=0,SUMIF($C$4:$C$3997,C992,$B$4:$B$3997)-ROW()/1000000,""))</f>
        <v/>
      </c>
      <c r="E992" s="91">
        <f>IF(AND(N('Deal maths'!F992)&gt;AsAt,N('Deal maths'!E992)&lt;=AsAt,IF(N('Deal maths'!H992)&gt;0,N('Deal maths'!H992),N('Deal maths'!D992))&gt;0),N('Deal maths'!F992)+ROW()/1000000,"")</f>
        <v/>
      </c>
    </row>
    <row r="993">
      <c r="A993" s="91" t="n"/>
      <c r="B993" s="111">
        <f>IF(AND(N('Deal maths'!F993)&gt;AsAt,N('Deal maths'!E993)&lt;=AsAt),IF(N('Deal maths'!H993)&gt;0,N('Deal maths'!H993),N('Deal maths'!D993)),0)</f>
        <v/>
      </c>
      <c r="C993" s="91">
        <f>IF(B993&gt;0,IF('Deal maths'!C993="Local authority","Local authorities",LOWER(TRIM('Deal maths'!B993))),"")</f>
        <v/>
      </c>
      <c r="D993" s="91">
        <f>IF(C993="","",IF(COUNTIF($C$4:C992,C993)=0,SUMIF($C$4:$C$3997,C993,$B$4:$B$3997)-ROW()/1000000,""))</f>
        <v/>
      </c>
      <c r="E993" s="91">
        <f>IF(AND(N('Deal maths'!F993)&gt;AsAt,N('Deal maths'!E993)&lt;=AsAt,IF(N('Deal maths'!H993)&gt;0,N('Deal maths'!H993),N('Deal maths'!D993))&gt;0),N('Deal maths'!F993)+ROW()/1000000,"")</f>
        <v/>
      </c>
    </row>
    <row r="994">
      <c r="A994" s="91" t="n"/>
      <c r="B994" s="111">
        <f>IF(AND(N('Deal maths'!F994)&gt;AsAt,N('Deal maths'!E994)&lt;=AsAt),IF(N('Deal maths'!H994)&gt;0,N('Deal maths'!H994),N('Deal maths'!D994)),0)</f>
        <v/>
      </c>
      <c r="C994" s="91">
        <f>IF(B994&gt;0,IF('Deal maths'!C994="Local authority","Local authorities",LOWER(TRIM('Deal maths'!B994))),"")</f>
        <v/>
      </c>
      <c r="D994" s="91">
        <f>IF(C994="","",IF(COUNTIF($C$4:C993,C994)=0,SUMIF($C$4:$C$3997,C994,$B$4:$B$3997)-ROW()/1000000,""))</f>
        <v/>
      </c>
      <c r="E994" s="91">
        <f>IF(AND(N('Deal maths'!F994)&gt;AsAt,N('Deal maths'!E994)&lt;=AsAt,IF(N('Deal maths'!H994)&gt;0,N('Deal maths'!H994),N('Deal maths'!D994))&gt;0),N('Deal maths'!F994)+ROW()/1000000,"")</f>
        <v/>
      </c>
    </row>
    <row r="995">
      <c r="A995" s="91" t="n"/>
      <c r="B995" s="111">
        <f>IF(AND(N('Deal maths'!F995)&gt;AsAt,N('Deal maths'!E995)&lt;=AsAt),IF(N('Deal maths'!H995)&gt;0,N('Deal maths'!H995),N('Deal maths'!D995)),0)</f>
        <v/>
      </c>
      <c r="C995" s="91">
        <f>IF(B995&gt;0,IF('Deal maths'!C995="Local authority","Local authorities",LOWER(TRIM('Deal maths'!B995))),"")</f>
        <v/>
      </c>
      <c r="D995" s="91">
        <f>IF(C995="","",IF(COUNTIF($C$4:C994,C995)=0,SUMIF($C$4:$C$3997,C995,$B$4:$B$3997)-ROW()/1000000,""))</f>
        <v/>
      </c>
      <c r="E995" s="91">
        <f>IF(AND(N('Deal maths'!F995)&gt;AsAt,N('Deal maths'!E995)&lt;=AsAt,IF(N('Deal maths'!H995)&gt;0,N('Deal maths'!H995),N('Deal maths'!D995))&gt;0),N('Deal maths'!F995)+ROW()/1000000,"")</f>
        <v/>
      </c>
    </row>
    <row r="996">
      <c r="A996" s="91" t="n"/>
      <c r="B996" s="111">
        <f>IF(AND(N('Deal maths'!F996)&gt;AsAt,N('Deal maths'!E996)&lt;=AsAt),IF(N('Deal maths'!H996)&gt;0,N('Deal maths'!H996),N('Deal maths'!D996)),0)</f>
        <v/>
      </c>
      <c r="C996" s="91">
        <f>IF(B996&gt;0,IF('Deal maths'!C996="Local authority","Local authorities",LOWER(TRIM('Deal maths'!B996))),"")</f>
        <v/>
      </c>
      <c r="D996" s="91">
        <f>IF(C996="","",IF(COUNTIF($C$4:C995,C996)=0,SUMIF($C$4:$C$3997,C996,$B$4:$B$3997)-ROW()/1000000,""))</f>
        <v/>
      </c>
      <c r="E996" s="91">
        <f>IF(AND(N('Deal maths'!F996)&gt;AsAt,N('Deal maths'!E996)&lt;=AsAt,IF(N('Deal maths'!H996)&gt;0,N('Deal maths'!H996),N('Deal maths'!D996))&gt;0),N('Deal maths'!F996)+ROW()/1000000,"")</f>
        <v/>
      </c>
    </row>
    <row r="997">
      <c r="A997" s="91" t="n"/>
      <c r="B997" s="111">
        <f>IF(AND(N('Deal maths'!F997)&gt;AsAt,N('Deal maths'!E997)&lt;=AsAt),IF(N('Deal maths'!H997)&gt;0,N('Deal maths'!H997),N('Deal maths'!D997)),0)</f>
        <v/>
      </c>
      <c r="C997" s="91">
        <f>IF(B997&gt;0,IF('Deal maths'!C997="Local authority","Local authorities",LOWER(TRIM('Deal maths'!B997))),"")</f>
        <v/>
      </c>
      <c r="D997" s="91">
        <f>IF(C997="","",IF(COUNTIF($C$4:C996,C997)=0,SUMIF($C$4:$C$3997,C997,$B$4:$B$3997)-ROW()/1000000,""))</f>
        <v/>
      </c>
      <c r="E997" s="91">
        <f>IF(AND(N('Deal maths'!F997)&gt;AsAt,N('Deal maths'!E997)&lt;=AsAt,IF(N('Deal maths'!H997)&gt;0,N('Deal maths'!H997),N('Deal maths'!D997))&gt;0),N('Deal maths'!F997)+ROW()/1000000,"")</f>
        <v/>
      </c>
    </row>
    <row r="998">
      <c r="A998" s="91" t="n"/>
      <c r="B998" s="111">
        <f>IF(AND(N('Deal maths'!F998)&gt;AsAt,N('Deal maths'!E998)&lt;=AsAt),IF(N('Deal maths'!H998)&gt;0,N('Deal maths'!H998),N('Deal maths'!D998)),0)</f>
        <v/>
      </c>
      <c r="C998" s="91">
        <f>IF(B998&gt;0,IF('Deal maths'!C998="Local authority","Local authorities",LOWER(TRIM('Deal maths'!B998))),"")</f>
        <v/>
      </c>
      <c r="D998" s="91">
        <f>IF(C998="","",IF(COUNTIF($C$4:C997,C998)=0,SUMIF($C$4:$C$3997,C998,$B$4:$B$3997)-ROW()/1000000,""))</f>
        <v/>
      </c>
      <c r="E998" s="91">
        <f>IF(AND(N('Deal maths'!F998)&gt;AsAt,N('Deal maths'!E998)&lt;=AsAt,IF(N('Deal maths'!H998)&gt;0,N('Deal maths'!H998),N('Deal maths'!D998))&gt;0),N('Deal maths'!F998)+ROW()/1000000,"")</f>
        <v/>
      </c>
    </row>
    <row r="999">
      <c r="A999" s="91" t="n"/>
      <c r="B999" s="111">
        <f>IF(AND(N('Deal maths'!F999)&gt;AsAt,N('Deal maths'!E999)&lt;=AsAt),IF(N('Deal maths'!H999)&gt;0,N('Deal maths'!H999),N('Deal maths'!D999)),0)</f>
        <v/>
      </c>
      <c r="C999" s="91">
        <f>IF(B999&gt;0,IF('Deal maths'!C999="Local authority","Local authorities",LOWER(TRIM('Deal maths'!B999))),"")</f>
        <v/>
      </c>
      <c r="D999" s="91">
        <f>IF(C999="","",IF(COUNTIF($C$4:C998,C999)=0,SUMIF($C$4:$C$3997,C999,$B$4:$B$3997)-ROW()/1000000,""))</f>
        <v/>
      </c>
      <c r="E999" s="91">
        <f>IF(AND(N('Deal maths'!F999)&gt;AsAt,N('Deal maths'!E999)&lt;=AsAt,IF(N('Deal maths'!H999)&gt;0,N('Deal maths'!H999),N('Deal maths'!D999))&gt;0),N('Deal maths'!F999)+ROW()/1000000,"")</f>
        <v/>
      </c>
    </row>
    <row r="1000">
      <c r="A1000" s="91" t="n"/>
      <c r="B1000" s="111">
        <f>IF(AND(N('Deal maths'!F1000)&gt;AsAt,N('Deal maths'!E1000)&lt;=AsAt),IF(N('Deal maths'!H1000)&gt;0,N('Deal maths'!H1000),N('Deal maths'!D1000)),0)</f>
        <v/>
      </c>
      <c r="C1000" s="91">
        <f>IF(B1000&gt;0,IF('Deal maths'!C1000="Local authority","Local authorities",LOWER(TRIM('Deal maths'!B1000))),"")</f>
        <v/>
      </c>
      <c r="D1000" s="91">
        <f>IF(C1000="","",IF(COUNTIF($C$4:C999,C1000)=0,SUMIF($C$4:$C$3997,C1000,$B$4:$B$3997)-ROW()/1000000,""))</f>
        <v/>
      </c>
      <c r="E1000" s="91">
        <f>IF(AND(N('Deal maths'!F1000)&gt;AsAt,N('Deal maths'!E1000)&lt;=AsAt,IF(N('Deal maths'!H1000)&gt;0,N('Deal maths'!H1000),N('Deal maths'!D1000))&gt;0),N('Deal maths'!F1000)+ROW()/1000000,"")</f>
        <v/>
      </c>
    </row>
    <row r="1001">
      <c r="A1001" s="91" t="n"/>
      <c r="B1001" s="111">
        <f>IF(AND(N('Deal maths'!F1001)&gt;AsAt,N('Deal maths'!E1001)&lt;=AsAt),IF(N('Deal maths'!H1001)&gt;0,N('Deal maths'!H1001),N('Deal maths'!D1001)),0)</f>
        <v/>
      </c>
      <c r="C1001" s="91">
        <f>IF(B1001&gt;0,IF('Deal maths'!C1001="Local authority","Local authorities",LOWER(TRIM('Deal maths'!B1001))),"")</f>
        <v/>
      </c>
      <c r="D1001" s="91">
        <f>IF(C1001="","",IF(COUNTIF($C$4:C1000,C1001)=0,SUMIF($C$4:$C$3997,C1001,$B$4:$B$3997)-ROW()/1000000,""))</f>
        <v/>
      </c>
      <c r="E1001" s="91">
        <f>IF(AND(N('Deal maths'!F1001)&gt;AsAt,N('Deal maths'!E1001)&lt;=AsAt,IF(N('Deal maths'!H1001)&gt;0,N('Deal maths'!H1001),N('Deal maths'!D1001))&gt;0),N('Deal maths'!F1001)+ROW()/1000000,"")</f>
        <v/>
      </c>
    </row>
    <row r="1002">
      <c r="A1002" s="91" t="n"/>
      <c r="B1002" s="111">
        <f>IF(AND(N('Deal maths'!F1002)&gt;AsAt,N('Deal maths'!E1002)&lt;=AsAt),IF(N('Deal maths'!H1002)&gt;0,N('Deal maths'!H1002),N('Deal maths'!D1002)),0)</f>
        <v/>
      </c>
      <c r="C1002" s="91">
        <f>IF(B1002&gt;0,IF('Deal maths'!C1002="Local authority","Local authorities",LOWER(TRIM('Deal maths'!B1002))),"")</f>
        <v/>
      </c>
      <c r="D1002" s="91">
        <f>IF(C1002="","",IF(COUNTIF($C$4:C1001,C1002)=0,SUMIF($C$4:$C$3997,C1002,$B$4:$B$3997)-ROW()/1000000,""))</f>
        <v/>
      </c>
      <c r="E1002" s="91">
        <f>IF(AND(N('Deal maths'!F1002)&gt;AsAt,N('Deal maths'!E1002)&lt;=AsAt,IF(N('Deal maths'!H1002)&gt;0,N('Deal maths'!H1002),N('Deal maths'!D1002))&gt;0),N('Deal maths'!F1002)+ROW()/1000000,"")</f>
        <v/>
      </c>
    </row>
    <row r="1003">
      <c r="A1003" s="91" t="n"/>
      <c r="B1003" s="111">
        <f>IF(AND(N('Deal maths'!F1003)&gt;AsAt,N('Deal maths'!E1003)&lt;=AsAt),IF(N('Deal maths'!H1003)&gt;0,N('Deal maths'!H1003),N('Deal maths'!D1003)),0)</f>
        <v/>
      </c>
      <c r="C1003" s="91">
        <f>IF(B1003&gt;0,IF('Deal maths'!C1003="Local authority","Local authorities",LOWER(TRIM('Deal maths'!B1003))),"")</f>
        <v/>
      </c>
      <c r="D1003" s="91">
        <f>IF(C1003="","",IF(COUNTIF($C$4:C1002,C1003)=0,SUMIF($C$4:$C$3997,C1003,$B$4:$B$3997)-ROW()/1000000,""))</f>
        <v/>
      </c>
      <c r="E1003" s="91">
        <f>IF(AND(N('Deal maths'!F1003)&gt;AsAt,N('Deal maths'!E1003)&lt;=AsAt,IF(N('Deal maths'!H1003)&gt;0,N('Deal maths'!H1003),N('Deal maths'!D1003))&gt;0),N('Deal maths'!F1003)+ROW()/1000000,"")</f>
        <v/>
      </c>
    </row>
    <row r="1004">
      <c r="A1004" s="91" t="n"/>
      <c r="B1004" s="111">
        <f>IF(AND(N('Deal maths'!F1004)&gt;AsAt,N('Deal maths'!E1004)&lt;=AsAt),IF(N('Deal maths'!H1004)&gt;0,N('Deal maths'!H1004),N('Deal maths'!D1004)),0)</f>
        <v/>
      </c>
      <c r="C1004" s="91">
        <f>IF(B1004&gt;0,IF('Deal maths'!C1004="Local authority","Local authorities",LOWER(TRIM('Deal maths'!B1004))),"")</f>
        <v/>
      </c>
      <c r="D1004" s="91">
        <f>IF(C1004="","",IF(COUNTIF($C$4:C1003,C1004)=0,SUMIF($C$4:$C$3997,C1004,$B$4:$B$3997)-ROW()/1000000,""))</f>
        <v/>
      </c>
      <c r="E1004" s="91">
        <f>IF(AND(N('Deal maths'!F1004)&gt;AsAt,N('Deal maths'!E1004)&lt;=AsAt,IF(N('Deal maths'!H1004)&gt;0,N('Deal maths'!H1004),N('Deal maths'!D1004))&gt;0),N('Deal maths'!F1004)+ROW()/1000000,"")</f>
        <v/>
      </c>
    </row>
    <row r="1005">
      <c r="A1005" s="91" t="n"/>
      <c r="B1005" s="111">
        <f>IF(AND(N('Deal maths'!F1005)&gt;AsAt,N('Deal maths'!E1005)&lt;=AsAt),IF(N('Deal maths'!H1005)&gt;0,N('Deal maths'!H1005),N('Deal maths'!D1005)),0)</f>
        <v/>
      </c>
      <c r="C1005" s="91">
        <f>IF(B1005&gt;0,IF('Deal maths'!C1005="Local authority","Local authorities",LOWER(TRIM('Deal maths'!B1005))),"")</f>
        <v/>
      </c>
      <c r="D1005" s="91">
        <f>IF(C1005="","",IF(COUNTIF($C$4:C1004,C1005)=0,SUMIF($C$4:$C$3997,C1005,$B$4:$B$3997)-ROW()/1000000,""))</f>
        <v/>
      </c>
      <c r="E1005" s="91">
        <f>IF(AND(N('Deal maths'!F1005)&gt;AsAt,N('Deal maths'!E1005)&lt;=AsAt,IF(N('Deal maths'!H1005)&gt;0,N('Deal maths'!H1005),N('Deal maths'!D1005))&gt;0),N('Deal maths'!F1005)+ROW()/1000000,"")</f>
        <v/>
      </c>
    </row>
    <row r="1006">
      <c r="A1006" s="91" t="n"/>
      <c r="B1006" s="111">
        <f>IF(AND(N('Deal maths'!F1006)&gt;AsAt,N('Deal maths'!E1006)&lt;=AsAt),IF(N('Deal maths'!H1006)&gt;0,N('Deal maths'!H1006),N('Deal maths'!D1006)),0)</f>
        <v/>
      </c>
      <c r="C1006" s="91">
        <f>IF(B1006&gt;0,IF('Deal maths'!C1006="Local authority","Local authorities",LOWER(TRIM('Deal maths'!B1006))),"")</f>
        <v/>
      </c>
      <c r="D1006" s="91">
        <f>IF(C1006="","",IF(COUNTIF($C$4:C1005,C1006)=0,SUMIF($C$4:$C$3997,C1006,$B$4:$B$3997)-ROW()/1000000,""))</f>
        <v/>
      </c>
      <c r="E1006" s="91">
        <f>IF(AND(N('Deal maths'!F1006)&gt;AsAt,N('Deal maths'!E1006)&lt;=AsAt,IF(N('Deal maths'!H1006)&gt;0,N('Deal maths'!H1006),N('Deal maths'!D1006))&gt;0),N('Deal maths'!F1006)+ROW()/1000000,"")</f>
        <v/>
      </c>
    </row>
    <row r="1007">
      <c r="A1007" s="91" t="n"/>
      <c r="B1007" s="111">
        <f>IF(AND(N('Deal maths'!F1007)&gt;AsAt,N('Deal maths'!E1007)&lt;=AsAt),IF(N('Deal maths'!H1007)&gt;0,N('Deal maths'!H1007),N('Deal maths'!D1007)),0)</f>
        <v/>
      </c>
      <c r="C1007" s="91">
        <f>IF(B1007&gt;0,IF('Deal maths'!C1007="Local authority","Local authorities",LOWER(TRIM('Deal maths'!B1007))),"")</f>
        <v/>
      </c>
      <c r="D1007" s="91">
        <f>IF(C1007="","",IF(COUNTIF($C$4:C1006,C1007)=0,SUMIF($C$4:$C$3997,C1007,$B$4:$B$3997)-ROW()/1000000,""))</f>
        <v/>
      </c>
      <c r="E1007" s="91">
        <f>IF(AND(N('Deal maths'!F1007)&gt;AsAt,N('Deal maths'!E1007)&lt;=AsAt,IF(N('Deal maths'!H1007)&gt;0,N('Deal maths'!H1007),N('Deal maths'!D1007))&gt;0),N('Deal maths'!F1007)+ROW()/1000000,"")</f>
        <v/>
      </c>
    </row>
    <row r="1008">
      <c r="A1008" s="91" t="n"/>
      <c r="B1008" s="111">
        <f>IF(AND(N('Deal maths'!F1008)&gt;AsAt,N('Deal maths'!E1008)&lt;=AsAt),IF(N('Deal maths'!H1008)&gt;0,N('Deal maths'!H1008),N('Deal maths'!D1008)),0)</f>
        <v/>
      </c>
      <c r="C1008" s="91">
        <f>IF(B1008&gt;0,IF('Deal maths'!C1008="Local authority","Local authorities",LOWER(TRIM('Deal maths'!B1008))),"")</f>
        <v/>
      </c>
      <c r="D1008" s="91">
        <f>IF(C1008="","",IF(COUNTIF($C$4:C1007,C1008)=0,SUMIF($C$4:$C$3997,C1008,$B$4:$B$3997)-ROW()/1000000,""))</f>
        <v/>
      </c>
      <c r="E1008" s="91">
        <f>IF(AND(N('Deal maths'!F1008)&gt;AsAt,N('Deal maths'!E1008)&lt;=AsAt,IF(N('Deal maths'!H1008)&gt;0,N('Deal maths'!H1008),N('Deal maths'!D1008))&gt;0),N('Deal maths'!F1008)+ROW()/1000000,"")</f>
        <v/>
      </c>
    </row>
    <row r="1009">
      <c r="A1009" s="91" t="n"/>
      <c r="B1009" s="111">
        <f>IF(AND(N('Deal maths'!F1009)&gt;AsAt,N('Deal maths'!E1009)&lt;=AsAt),IF(N('Deal maths'!H1009)&gt;0,N('Deal maths'!H1009),N('Deal maths'!D1009)),0)</f>
        <v/>
      </c>
      <c r="C1009" s="91">
        <f>IF(B1009&gt;0,IF('Deal maths'!C1009="Local authority","Local authorities",LOWER(TRIM('Deal maths'!B1009))),"")</f>
        <v/>
      </c>
      <c r="D1009" s="91">
        <f>IF(C1009="","",IF(COUNTIF($C$4:C1008,C1009)=0,SUMIF($C$4:$C$3997,C1009,$B$4:$B$3997)-ROW()/1000000,""))</f>
        <v/>
      </c>
      <c r="E1009" s="91">
        <f>IF(AND(N('Deal maths'!F1009)&gt;AsAt,N('Deal maths'!E1009)&lt;=AsAt,IF(N('Deal maths'!H1009)&gt;0,N('Deal maths'!H1009),N('Deal maths'!D1009))&gt;0),N('Deal maths'!F1009)+ROW()/1000000,"")</f>
        <v/>
      </c>
    </row>
    <row r="1010">
      <c r="A1010" s="91" t="n"/>
      <c r="B1010" s="111">
        <f>IF(AND(N('Deal maths'!F1010)&gt;AsAt,N('Deal maths'!E1010)&lt;=AsAt),IF(N('Deal maths'!H1010)&gt;0,N('Deal maths'!H1010),N('Deal maths'!D1010)),0)</f>
        <v/>
      </c>
      <c r="C1010" s="91">
        <f>IF(B1010&gt;0,IF('Deal maths'!C1010="Local authority","Local authorities",LOWER(TRIM('Deal maths'!B1010))),"")</f>
        <v/>
      </c>
      <c r="D1010" s="91">
        <f>IF(C1010="","",IF(COUNTIF($C$4:C1009,C1010)=0,SUMIF($C$4:$C$3997,C1010,$B$4:$B$3997)-ROW()/1000000,""))</f>
        <v/>
      </c>
      <c r="E1010" s="91">
        <f>IF(AND(N('Deal maths'!F1010)&gt;AsAt,N('Deal maths'!E1010)&lt;=AsAt,IF(N('Deal maths'!H1010)&gt;0,N('Deal maths'!H1010),N('Deal maths'!D1010))&gt;0),N('Deal maths'!F1010)+ROW()/1000000,"")</f>
        <v/>
      </c>
    </row>
    <row r="1011">
      <c r="A1011" s="91" t="n"/>
      <c r="B1011" s="111">
        <f>IF(AND(N('Deal maths'!F1011)&gt;AsAt,N('Deal maths'!E1011)&lt;=AsAt),IF(N('Deal maths'!H1011)&gt;0,N('Deal maths'!H1011),N('Deal maths'!D1011)),0)</f>
        <v/>
      </c>
      <c r="C1011" s="91">
        <f>IF(B1011&gt;0,IF('Deal maths'!C1011="Local authority","Local authorities",LOWER(TRIM('Deal maths'!B1011))),"")</f>
        <v/>
      </c>
      <c r="D1011" s="91">
        <f>IF(C1011="","",IF(COUNTIF($C$4:C1010,C1011)=0,SUMIF($C$4:$C$3997,C1011,$B$4:$B$3997)-ROW()/1000000,""))</f>
        <v/>
      </c>
      <c r="E1011" s="91">
        <f>IF(AND(N('Deal maths'!F1011)&gt;AsAt,N('Deal maths'!E1011)&lt;=AsAt,IF(N('Deal maths'!H1011)&gt;0,N('Deal maths'!H1011),N('Deal maths'!D1011))&gt;0),N('Deal maths'!F1011)+ROW()/1000000,"")</f>
        <v/>
      </c>
    </row>
    <row r="1012">
      <c r="A1012" s="91" t="n"/>
      <c r="B1012" s="111">
        <f>IF(AND(N('Deal maths'!F1012)&gt;AsAt,N('Deal maths'!E1012)&lt;=AsAt),IF(N('Deal maths'!H1012)&gt;0,N('Deal maths'!H1012),N('Deal maths'!D1012)),0)</f>
        <v/>
      </c>
      <c r="C1012" s="91">
        <f>IF(B1012&gt;0,IF('Deal maths'!C1012="Local authority","Local authorities",LOWER(TRIM('Deal maths'!B1012))),"")</f>
        <v/>
      </c>
      <c r="D1012" s="91">
        <f>IF(C1012="","",IF(COUNTIF($C$4:C1011,C1012)=0,SUMIF($C$4:$C$3997,C1012,$B$4:$B$3997)-ROW()/1000000,""))</f>
        <v/>
      </c>
      <c r="E1012" s="91">
        <f>IF(AND(N('Deal maths'!F1012)&gt;AsAt,N('Deal maths'!E1012)&lt;=AsAt,IF(N('Deal maths'!H1012)&gt;0,N('Deal maths'!H1012),N('Deal maths'!D1012))&gt;0),N('Deal maths'!F1012)+ROW()/1000000,"")</f>
        <v/>
      </c>
    </row>
    <row r="1013">
      <c r="A1013" s="91" t="n"/>
      <c r="B1013" s="111">
        <f>IF(AND(N('Deal maths'!F1013)&gt;AsAt,N('Deal maths'!E1013)&lt;=AsAt),IF(N('Deal maths'!H1013)&gt;0,N('Deal maths'!H1013),N('Deal maths'!D1013)),0)</f>
        <v/>
      </c>
      <c r="C1013" s="91">
        <f>IF(B1013&gt;0,IF('Deal maths'!C1013="Local authority","Local authorities",LOWER(TRIM('Deal maths'!B1013))),"")</f>
        <v/>
      </c>
      <c r="D1013" s="91">
        <f>IF(C1013="","",IF(COUNTIF($C$4:C1012,C1013)=0,SUMIF($C$4:$C$3997,C1013,$B$4:$B$3997)-ROW()/1000000,""))</f>
        <v/>
      </c>
      <c r="E1013" s="91">
        <f>IF(AND(N('Deal maths'!F1013)&gt;AsAt,N('Deal maths'!E1013)&lt;=AsAt,IF(N('Deal maths'!H1013)&gt;0,N('Deal maths'!H1013),N('Deal maths'!D1013))&gt;0),N('Deal maths'!F1013)+ROW()/1000000,"")</f>
        <v/>
      </c>
    </row>
    <row r="1014">
      <c r="A1014" s="91" t="n"/>
      <c r="B1014" s="111">
        <f>IF(AND(N('Deal maths'!F1014)&gt;AsAt,N('Deal maths'!E1014)&lt;=AsAt),IF(N('Deal maths'!H1014)&gt;0,N('Deal maths'!H1014),N('Deal maths'!D1014)),0)</f>
        <v/>
      </c>
      <c r="C1014" s="91">
        <f>IF(B1014&gt;0,IF('Deal maths'!C1014="Local authority","Local authorities",LOWER(TRIM('Deal maths'!B1014))),"")</f>
        <v/>
      </c>
      <c r="D1014" s="91">
        <f>IF(C1014="","",IF(COUNTIF($C$4:C1013,C1014)=0,SUMIF($C$4:$C$3997,C1014,$B$4:$B$3997)-ROW()/1000000,""))</f>
        <v/>
      </c>
      <c r="E1014" s="91">
        <f>IF(AND(N('Deal maths'!F1014)&gt;AsAt,N('Deal maths'!E1014)&lt;=AsAt,IF(N('Deal maths'!H1014)&gt;0,N('Deal maths'!H1014),N('Deal maths'!D1014))&gt;0),N('Deal maths'!F1014)+ROW()/1000000,"")</f>
        <v/>
      </c>
    </row>
    <row r="1015">
      <c r="A1015" s="91" t="n"/>
      <c r="B1015" s="111">
        <f>IF(AND(N('Deal maths'!F1015)&gt;AsAt,N('Deal maths'!E1015)&lt;=AsAt),IF(N('Deal maths'!H1015)&gt;0,N('Deal maths'!H1015),N('Deal maths'!D1015)),0)</f>
        <v/>
      </c>
      <c r="C1015" s="91">
        <f>IF(B1015&gt;0,IF('Deal maths'!C1015="Local authority","Local authorities",LOWER(TRIM('Deal maths'!B1015))),"")</f>
        <v/>
      </c>
      <c r="D1015" s="91">
        <f>IF(C1015="","",IF(COUNTIF($C$4:C1014,C1015)=0,SUMIF($C$4:$C$3997,C1015,$B$4:$B$3997)-ROW()/1000000,""))</f>
        <v/>
      </c>
      <c r="E1015" s="91">
        <f>IF(AND(N('Deal maths'!F1015)&gt;AsAt,N('Deal maths'!E1015)&lt;=AsAt,IF(N('Deal maths'!H1015)&gt;0,N('Deal maths'!H1015),N('Deal maths'!D1015))&gt;0),N('Deal maths'!F1015)+ROW()/1000000,"")</f>
        <v/>
      </c>
    </row>
    <row r="1016">
      <c r="A1016" s="91" t="n"/>
      <c r="B1016" s="111">
        <f>IF(AND(N('Deal maths'!F1016)&gt;AsAt,N('Deal maths'!E1016)&lt;=AsAt),IF(N('Deal maths'!H1016)&gt;0,N('Deal maths'!H1016),N('Deal maths'!D1016)),0)</f>
        <v/>
      </c>
      <c r="C1016" s="91">
        <f>IF(B1016&gt;0,IF('Deal maths'!C1016="Local authority","Local authorities",LOWER(TRIM('Deal maths'!B1016))),"")</f>
        <v/>
      </c>
      <c r="D1016" s="91">
        <f>IF(C1016="","",IF(COUNTIF($C$4:C1015,C1016)=0,SUMIF($C$4:$C$3997,C1016,$B$4:$B$3997)-ROW()/1000000,""))</f>
        <v/>
      </c>
      <c r="E1016" s="91">
        <f>IF(AND(N('Deal maths'!F1016)&gt;AsAt,N('Deal maths'!E1016)&lt;=AsAt,IF(N('Deal maths'!H1016)&gt;0,N('Deal maths'!H1016),N('Deal maths'!D1016))&gt;0),N('Deal maths'!F1016)+ROW()/1000000,"")</f>
        <v/>
      </c>
    </row>
    <row r="1017">
      <c r="A1017" s="91" t="n"/>
      <c r="B1017" s="111">
        <f>IF(AND(N('Deal maths'!F1017)&gt;AsAt,N('Deal maths'!E1017)&lt;=AsAt),IF(N('Deal maths'!H1017)&gt;0,N('Deal maths'!H1017),N('Deal maths'!D1017)),0)</f>
        <v/>
      </c>
      <c r="C1017" s="91">
        <f>IF(B1017&gt;0,IF('Deal maths'!C1017="Local authority","Local authorities",LOWER(TRIM('Deal maths'!B1017))),"")</f>
        <v/>
      </c>
      <c r="D1017" s="91">
        <f>IF(C1017="","",IF(COUNTIF($C$4:C1016,C1017)=0,SUMIF($C$4:$C$3997,C1017,$B$4:$B$3997)-ROW()/1000000,""))</f>
        <v/>
      </c>
      <c r="E1017" s="91">
        <f>IF(AND(N('Deal maths'!F1017)&gt;AsAt,N('Deal maths'!E1017)&lt;=AsAt,IF(N('Deal maths'!H1017)&gt;0,N('Deal maths'!H1017),N('Deal maths'!D1017))&gt;0),N('Deal maths'!F1017)+ROW()/1000000,"")</f>
        <v/>
      </c>
    </row>
    <row r="1018">
      <c r="A1018" s="91" t="n"/>
      <c r="B1018" s="111">
        <f>IF(AND(N('Deal maths'!F1018)&gt;AsAt,N('Deal maths'!E1018)&lt;=AsAt),IF(N('Deal maths'!H1018)&gt;0,N('Deal maths'!H1018),N('Deal maths'!D1018)),0)</f>
        <v/>
      </c>
      <c r="C1018" s="91">
        <f>IF(B1018&gt;0,IF('Deal maths'!C1018="Local authority","Local authorities",LOWER(TRIM('Deal maths'!B1018))),"")</f>
        <v/>
      </c>
      <c r="D1018" s="91">
        <f>IF(C1018="","",IF(COUNTIF($C$4:C1017,C1018)=0,SUMIF($C$4:$C$3997,C1018,$B$4:$B$3997)-ROW()/1000000,""))</f>
        <v/>
      </c>
      <c r="E1018" s="91">
        <f>IF(AND(N('Deal maths'!F1018)&gt;AsAt,N('Deal maths'!E1018)&lt;=AsAt,IF(N('Deal maths'!H1018)&gt;0,N('Deal maths'!H1018),N('Deal maths'!D1018))&gt;0),N('Deal maths'!F1018)+ROW()/1000000,"")</f>
        <v/>
      </c>
    </row>
    <row r="1019">
      <c r="A1019" s="91" t="n"/>
      <c r="B1019" s="111">
        <f>IF(AND(N('Deal maths'!F1019)&gt;AsAt,N('Deal maths'!E1019)&lt;=AsAt),IF(N('Deal maths'!H1019)&gt;0,N('Deal maths'!H1019),N('Deal maths'!D1019)),0)</f>
        <v/>
      </c>
      <c r="C1019" s="91">
        <f>IF(B1019&gt;0,IF('Deal maths'!C1019="Local authority","Local authorities",LOWER(TRIM('Deal maths'!B1019))),"")</f>
        <v/>
      </c>
      <c r="D1019" s="91">
        <f>IF(C1019="","",IF(COUNTIF($C$4:C1018,C1019)=0,SUMIF($C$4:$C$3997,C1019,$B$4:$B$3997)-ROW()/1000000,""))</f>
        <v/>
      </c>
      <c r="E1019" s="91">
        <f>IF(AND(N('Deal maths'!F1019)&gt;AsAt,N('Deal maths'!E1019)&lt;=AsAt,IF(N('Deal maths'!H1019)&gt;0,N('Deal maths'!H1019),N('Deal maths'!D1019))&gt;0),N('Deal maths'!F1019)+ROW()/1000000,"")</f>
        <v/>
      </c>
    </row>
    <row r="1020">
      <c r="A1020" s="91" t="n"/>
      <c r="B1020" s="111">
        <f>IF(AND(N('Deal maths'!F1020)&gt;AsAt,N('Deal maths'!E1020)&lt;=AsAt),IF(N('Deal maths'!H1020)&gt;0,N('Deal maths'!H1020),N('Deal maths'!D1020)),0)</f>
        <v/>
      </c>
      <c r="C1020" s="91">
        <f>IF(B1020&gt;0,IF('Deal maths'!C1020="Local authority","Local authorities",LOWER(TRIM('Deal maths'!B1020))),"")</f>
        <v/>
      </c>
      <c r="D1020" s="91">
        <f>IF(C1020="","",IF(COUNTIF($C$4:C1019,C1020)=0,SUMIF($C$4:$C$3997,C1020,$B$4:$B$3997)-ROW()/1000000,""))</f>
        <v/>
      </c>
      <c r="E1020" s="91">
        <f>IF(AND(N('Deal maths'!F1020)&gt;AsAt,N('Deal maths'!E1020)&lt;=AsAt,IF(N('Deal maths'!H1020)&gt;0,N('Deal maths'!H1020),N('Deal maths'!D1020))&gt;0),N('Deal maths'!F1020)+ROW()/1000000,"")</f>
        <v/>
      </c>
    </row>
    <row r="1021">
      <c r="A1021" s="91" t="n"/>
      <c r="B1021" s="111">
        <f>IF(AND(N('Deal maths'!F1021)&gt;AsAt,N('Deal maths'!E1021)&lt;=AsAt),IF(N('Deal maths'!H1021)&gt;0,N('Deal maths'!H1021),N('Deal maths'!D1021)),0)</f>
        <v/>
      </c>
      <c r="C1021" s="91">
        <f>IF(B1021&gt;0,IF('Deal maths'!C1021="Local authority","Local authorities",LOWER(TRIM('Deal maths'!B1021))),"")</f>
        <v/>
      </c>
      <c r="D1021" s="91">
        <f>IF(C1021="","",IF(COUNTIF($C$4:C1020,C1021)=0,SUMIF($C$4:$C$3997,C1021,$B$4:$B$3997)-ROW()/1000000,""))</f>
        <v/>
      </c>
      <c r="E1021" s="91">
        <f>IF(AND(N('Deal maths'!F1021)&gt;AsAt,N('Deal maths'!E1021)&lt;=AsAt,IF(N('Deal maths'!H1021)&gt;0,N('Deal maths'!H1021),N('Deal maths'!D1021))&gt;0),N('Deal maths'!F1021)+ROW()/1000000,"")</f>
        <v/>
      </c>
    </row>
    <row r="1022">
      <c r="A1022" s="91" t="n"/>
      <c r="B1022" s="111">
        <f>IF(AND(N('Deal maths'!F1022)&gt;AsAt,N('Deal maths'!E1022)&lt;=AsAt),IF(N('Deal maths'!H1022)&gt;0,N('Deal maths'!H1022),N('Deal maths'!D1022)),0)</f>
        <v/>
      </c>
      <c r="C1022" s="91">
        <f>IF(B1022&gt;0,IF('Deal maths'!C1022="Local authority","Local authorities",LOWER(TRIM('Deal maths'!B1022))),"")</f>
        <v/>
      </c>
      <c r="D1022" s="91">
        <f>IF(C1022="","",IF(COUNTIF($C$4:C1021,C1022)=0,SUMIF($C$4:$C$3997,C1022,$B$4:$B$3997)-ROW()/1000000,""))</f>
        <v/>
      </c>
      <c r="E1022" s="91">
        <f>IF(AND(N('Deal maths'!F1022)&gt;AsAt,N('Deal maths'!E1022)&lt;=AsAt,IF(N('Deal maths'!H1022)&gt;0,N('Deal maths'!H1022),N('Deal maths'!D1022))&gt;0),N('Deal maths'!F1022)+ROW()/1000000,"")</f>
        <v/>
      </c>
    </row>
    <row r="1023">
      <c r="A1023" s="91" t="n"/>
      <c r="B1023" s="111">
        <f>IF(AND(N('Deal maths'!F1023)&gt;AsAt,N('Deal maths'!E1023)&lt;=AsAt),IF(N('Deal maths'!H1023)&gt;0,N('Deal maths'!H1023),N('Deal maths'!D1023)),0)</f>
        <v/>
      </c>
      <c r="C1023" s="91">
        <f>IF(B1023&gt;0,IF('Deal maths'!C1023="Local authority","Local authorities",LOWER(TRIM('Deal maths'!B1023))),"")</f>
        <v/>
      </c>
      <c r="D1023" s="91">
        <f>IF(C1023="","",IF(COUNTIF($C$4:C1022,C1023)=0,SUMIF($C$4:$C$3997,C1023,$B$4:$B$3997)-ROW()/1000000,""))</f>
        <v/>
      </c>
      <c r="E1023" s="91">
        <f>IF(AND(N('Deal maths'!F1023)&gt;AsAt,N('Deal maths'!E1023)&lt;=AsAt,IF(N('Deal maths'!H1023)&gt;0,N('Deal maths'!H1023),N('Deal maths'!D1023))&gt;0),N('Deal maths'!F1023)+ROW()/1000000,"")</f>
        <v/>
      </c>
    </row>
    <row r="1024">
      <c r="A1024" s="91" t="n"/>
      <c r="B1024" s="111">
        <f>IF(AND(N('Deal maths'!F1024)&gt;AsAt,N('Deal maths'!E1024)&lt;=AsAt),IF(N('Deal maths'!H1024)&gt;0,N('Deal maths'!H1024),N('Deal maths'!D1024)),0)</f>
        <v/>
      </c>
      <c r="C1024" s="91">
        <f>IF(B1024&gt;0,IF('Deal maths'!C1024="Local authority","Local authorities",LOWER(TRIM('Deal maths'!B1024))),"")</f>
        <v/>
      </c>
      <c r="D1024" s="91">
        <f>IF(C1024="","",IF(COUNTIF($C$4:C1023,C1024)=0,SUMIF($C$4:$C$3997,C1024,$B$4:$B$3997)-ROW()/1000000,""))</f>
        <v/>
      </c>
      <c r="E1024" s="91">
        <f>IF(AND(N('Deal maths'!F1024)&gt;AsAt,N('Deal maths'!E1024)&lt;=AsAt,IF(N('Deal maths'!H1024)&gt;0,N('Deal maths'!H1024),N('Deal maths'!D1024))&gt;0),N('Deal maths'!F1024)+ROW()/1000000,"")</f>
        <v/>
      </c>
    </row>
    <row r="1025">
      <c r="A1025" s="91" t="n"/>
      <c r="B1025" s="111">
        <f>IF(AND(N('Deal maths'!F1025)&gt;AsAt,N('Deal maths'!E1025)&lt;=AsAt),IF(N('Deal maths'!H1025)&gt;0,N('Deal maths'!H1025),N('Deal maths'!D1025)),0)</f>
        <v/>
      </c>
      <c r="C1025" s="91">
        <f>IF(B1025&gt;0,IF('Deal maths'!C1025="Local authority","Local authorities",LOWER(TRIM('Deal maths'!B1025))),"")</f>
        <v/>
      </c>
      <c r="D1025" s="91">
        <f>IF(C1025="","",IF(COUNTIF($C$4:C1024,C1025)=0,SUMIF($C$4:$C$3997,C1025,$B$4:$B$3997)-ROW()/1000000,""))</f>
        <v/>
      </c>
      <c r="E1025" s="91">
        <f>IF(AND(N('Deal maths'!F1025)&gt;AsAt,N('Deal maths'!E1025)&lt;=AsAt,IF(N('Deal maths'!H1025)&gt;0,N('Deal maths'!H1025),N('Deal maths'!D1025))&gt;0),N('Deal maths'!F1025)+ROW()/1000000,"")</f>
        <v/>
      </c>
    </row>
    <row r="1026">
      <c r="A1026" s="91" t="n"/>
      <c r="B1026" s="111">
        <f>IF(AND(N('Deal maths'!F1026)&gt;AsAt,N('Deal maths'!E1026)&lt;=AsAt),IF(N('Deal maths'!H1026)&gt;0,N('Deal maths'!H1026),N('Deal maths'!D1026)),0)</f>
        <v/>
      </c>
      <c r="C1026" s="91">
        <f>IF(B1026&gt;0,IF('Deal maths'!C1026="Local authority","Local authorities",LOWER(TRIM('Deal maths'!B1026))),"")</f>
        <v/>
      </c>
      <c r="D1026" s="91">
        <f>IF(C1026="","",IF(COUNTIF($C$4:C1025,C1026)=0,SUMIF($C$4:$C$3997,C1026,$B$4:$B$3997)-ROW()/1000000,""))</f>
        <v/>
      </c>
      <c r="E1026" s="91">
        <f>IF(AND(N('Deal maths'!F1026)&gt;AsAt,N('Deal maths'!E1026)&lt;=AsAt,IF(N('Deal maths'!H1026)&gt;0,N('Deal maths'!H1026),N('Deal maths'!D1026))&gt;0),N('Deal maths'!F1026)+ROW()/1000000,"")</f>
        <v/>
      </c>
    </row>
    <row r="1027">
      <c r="A1027" s="91" t="n"/>
      <c r="B1027" s="111">
        <f>IF(AND(N('Deal maths'!F1027)&gt;AsAt,N('Deal maths'!E1027)&lt;=AsAt),IF(N('Deal maths'!H1027)&gt;0,N('Deal maths'!H1027),N('Deal maths'!D1027)),0)</f>
        <v/>
      </c>
      <c r="C1027" s="91">
        <f>IF(B1027&gt;0,IF('Deal maths'!C1027="Local authority","Local authorities",LOWER(TRIM('Deal maths'!B1027))),"")</f>
        <v/>
      </c>
      <c r="D1027" s="91">
        <f>IF(C1027="","",IF(COUNTIF($C$4:C1026,C1027)=0,SUMIF($C$4:$C$3997,C1027,$B$4:$B$3997)-ROW()/1000000,""))</f>
        <v/>
      </c>
      <c r="E1027" s="91">
        <f>IF(AND(N('Deal maths'!F1027)&gt;AsAt,N('Deal maths'!E1027)&lt;=AsAt,IF(N('Deal maths'!H1027)&gt;0,N('Deal maths'!H1027),N('Deal maths'!D1027))&gt;0),N('Deal maths'!F1027)+ROW()/1000000,"")</f>
        <v/>
      </c>
    </row>
    <row r="1028">
      <c r="A1028" s="91" t="n"/>
      <c r="B1028" s="111">
        <f>IF(AND(N('Deal maths'!F1028)&gt;AsAt,N('Deal maths'!E1028)&lt;=AsAt),IF(N('Deal maths'!H1028)&gt;0,N('Deal maths'!H1028),N('Deal maths'!D1028)),0)</f>
        <v/>
      </c>
      <c r="C1028" s="91">
        <f>IF(B1028&gt;0,IF('Deal maths'!C1028="Local authority","Local authorities",LOWER(TRIM('Deal maths'!B1028))),"")</f>
        <v/>
      </c>
      <c r="D1028" s="91">
        <f>IF(C1028="","",IF(COUNTIF($C$4:C1027,C1028)=0,SUMIF($C$4:$C$3997,C1028,$B$4:$B$3997)-ROW()/1000000,""))</f>
        <v/>
      </c>
      <c r="E1028" s="91">
        <f>IF(AND(N('Deal maths'!F1028)&gt;AsAt,N('Deal maths'!E1028)&lt;=AsAt,IF(N('Deal maths'!H1028)&gt;0,N('Deal maths'!H1028),N('Deal maths'!D1028))&gt;0),N('Deal maths'!F1028)+ROW()/1000000,"")</f>
        <v/>
      </c>
    </row>
    <row r="1029">
      <c r="A1029" s="91" t="n"/>
      <c r="B1029" s="111">
        <f>IF(AND(N('Deal maths'!F1029)&gt;AsAt,N('Deal maths'!E1029)&lt;=AsAt),IF(N('Deal maths'!H1029)&gt;0,N('Deal maths'!H1029),N('Deal maths'!D1029)),0)</f>
        <v/>
      </c>
      <c r="C1029" s="91">
        <f>IF(B1029&gt;0,IF('Deal maths'!C1029="Local authority","Local authorities",LOWER(TRIM('Deal maths'!B1029))),"")</f>
        <v/>
      </c>
      <c r="D1029" s="91">
        <f>IF(C1029="","",IF(COUNTIF($C$4:C1028,C1029)=0,SUMIF($C$4:$C$3997,C1029,$B$4:$B$3997)-ROW()/1000000,""))</f>
        <v/>
      </c>
      <c r="E1029" s="91">
        <f>IF(AND(N('Deal maths'!F1029)&gt;AsAt,N('Deal maths'!E1029)&lt;=AsAt,IF(N('Deal maths'!H1029)&gt;0,N('Deal maths'!H1029),N('Deal maths'!D1029))&gt;0),N('Deal maths'!F1029)+ROW()/1000000,"")</f>
        <v/>
      </c>
    </row>
    <row r="1030">
      <c r="A1030" s="91" t="n"/>
      <c r="B1030" s="111">
        <f>IF(AND(N('Deal maths'!F1030)&gt;AsAt,N('Deal maths'!E1030)&lt;=AsAt),IF(N('Deal maths'!H1030)&gt;0,N('Deal maths'!H1030),N('Deal maths'!D1030)),0)</f>
        <v/>
      </c>
      <c r="C1030" s="91">
        <f>IF(B1030&gt;0,IF('Deal maths'!C1030="Local authority","Local authorities",LOWER(TRIM('Deal maths'!B1030))),"")</f>
        <v/>
      </c>
      <c r="D1030" s="91">
        <f>IF(C1030="","",IF(COUNTIF($C$4:C1029,C1030)=0,SUMIF($C$4:$C$3997,C1030,$B$4:$B$3997)-ROW()/1000000,""))</f>
        <v/>
      </c>
      <c r="E1030" s="91">
        <f>IF(AND(N('Deal maths'!F1030)&gt;AsAt,N('Deal maths'!E1030)&lt;=AsAt,IF(N('Deal maths'!H1030)&gt;0,N('Deal maths'!H1030),N('Deal maths'!D1030))&gt;0),N('Deal maths'!F1030)+ROW()/1000000,"")</f>
        <v/>
      </c>
    </row>
    <row r="1031">
      <c r="A1031" s="91" t="n"/>
      <c r="B1031" s="111">
        <f>IF(AND(N('Deal maths'!F1031)&gt;AsAt,N('Deal maths'!E1031)&lt;=AsAt),IF(N('Deal maths'!H1031)&gt;0,N('Deal maths'!H1031),N('Deal maths'!D1031)),0)</f>
        <v/>
      </c>
      <c r="C1031" s="91">
        <f>IF(B1031&gt;0,IF('Deal maths'!C1031="Local authority","Local authorities",LOWER(TRIM('Deal maths'!B1031))),"")</f>
        <v/>
      </c>
      <c r="D1031" s="91">
        <f>IF(C1031="","",IF(COUNTIF($C$4:C1030,C1031)=0,SUMIF($C$4:$C$3997,C1031,$B$4:$B$3997)-ROW()/1000000,""))</f>
        <v/>
      </c>
      <c r="E1031" s="91">
        <f>IF(AND(N('Deal maths'!F1031)&gt;AsAt,N('Deal maths'!E1031)&lt;=AsAt,IF(N('Deal maths'!H1031)&gt;0,N('Deal maths'!H1031),N('Deal maths'!D1031))&gt;0),N('Deal maths'!F1031)+ROW()/1000000,"")</f>
        <v/>
      </c>
    </row>
    <row r="1032">
      <c r="A1032" s="91" t="n"/>
      <c r="B1032" s="111">
        <f>IF(AND(N('Deal maths'!F1032)&gt;AsAt,N('Deal maths'!E1032)&lt;=AsAt),IF(N('Deal maths'!H1032)&gt;0,N('Deal maths'!H1032),N('Deal maths'!D1032)),0)</f>
        <v/>
      </c>
      <c r="C1032" s="91">
        <f>IF(B1032&gt;0,IF('Deal maths'!C1032="Local authority","Local authorities",LOWER(TRIM('Deal maths'!B1032))),"")</f>
        <v/>
      </c>
      <c r="D1032" s="91">
        <f>IF(C1032="","",IF(COUNTIF($C$4:C1031,C1032)=0,SUMIF($C$4:$C$3997,C1032,$B$4:$B$3997)-ROW()/1000000,""))</f>
        <v/>
      </c>
      <c r="E1032" s="91">
        <f>IF(AND(N('Deal maths'!F1032)&gt;AsAt,N('Deal maths'!E1032)&lt;=AsAt,IF(N('Deal maths'!H1032)&gt;0,N('Deal maths'!H1032),N('Deal maths'!D1032))&gt;0),N('Deal maths'!F1032)+ROW()/1000000,"")</f>
        <v/>
      </c>
    </row>
    <row r="1033">
      <c r="A1033" s="91" t="n"/>
      <c r="B1033" s="111">
        <f>IF(AND(N('Deal maths'!F1033)&gt;AsAt,N('Deal maths'!E1033)&lt;=AsAt),IF(N('Deal maths'!H1033)&gt;0,N('Deal maths'!H1033),N('Deal maths'!D1033)),0)</f>
        <v/>
      </c>
      <c r="C1033" s="91">
        <f>IF(B1033&gt;0,IF('Deal maths'!C1033="Local authority","Local authorities",LOWER(TRIM('Deal maths'!B1033))),"")</f>
        <v/>
      </c>
      <c r="D1033" s="91">
        <f>IF(C1033="","",IF(COUNTIF($C$4:C1032,C1033)=0,SUMIF($C$4:$C$3997,C1033,$B$4:$B$3997)-ROW()/1000000,""))</f>
        <v/>
      </c>
      <c r="E1033" s="91">
        <f>IF(AND(N('Deal maths'!F1033)&gt;AsAt,N('Deal maths'!E1033)&lt;=AsAt,IF(N('Deal maths'!H1033)&gt;0,N('Deal maths'!H1033),N('Deal maths'!D1033))&gt;0),N('Deal maths'!F1033)+ROW()/1000000,"")</f>
        <v/>
      </c>
    </row>
    <row r="1034">
      <c r="A1034" s="91" t="n"/>
      <c r="B1034" s="111">
        <f>IF(AND(N('Deal maths'!F1034)&gt;AsAt,N('Deal maths'!E1034)&lt;=AsAt),IF(N('Deal maths'!H1034)&gt;0,N('Deal maths'!H1034),N('Deal maths'!D1034)),0)</f>
        <v/>
      </c>
      <c r="C1034" s="91">
        <f>IF(B1034&gt;0,IF('Deal maths'!C1034="Local authority","Local authorities",LOWER(TRIM('Deal maths'!B1034))),"")</f>
        <v/>
      </c>
      <c r="D1034" s="91">
        <f>IF(C1034="","",IF(COUNTIF($C$4:C1033,C1034)=0,SUMIF($C$4:$C$3997,C1034,$B$4:$B$3997)-ROW()/1000000,""))</f>
        <v/>
      </c>
      <c r="E1034" s="91">
        <f>IF(AND(N('Deal maths'!F1034)&gt;AsAt,N('Deal maths'!E1034)&lt;=AsAt,IF(N('Deal maths'!H1034)&gt;0,N('Deal maths'!H1034),N('Deal maths'!D1034))&gt;0),N('Deal maths'!F1034)+ROW()/1000000,"")</f>
        <v/>
      </c>
    </row>
    <row r="1035">
      <c r="A1035" s="91" t="n"/>
      <c r="B1035" s="111">
        <f>IF(AND(N('Deal maths'!F1035)&gt;AsAt,N('Deal maths'!E1035)&lt;=AsAt),IF(N('Deal maths'!H1035)&gt;0,N('Deal maths'!H1035),N('Deal maths'!D1035)),0)</f>
        <v/>
      </c>
      <c r="C1035" s="91">
        <f>IF(B1035&gt;0,IF('Deal maths'!C1035="Local authority","Local authorities",LOWER(TRIM('Deal maths'!B1035))),"")</f>
        <v/>
      </c>
      <c r="D1035" s="91">
        <f>IF(C1035="","",IF(COUNTIF($C$4:C1034,C1035)=0,SUMIF($C$4:$C$3997,C1035,$B$4:$B$3997)-ROW()/1000000,""))</f>
        <v/>
      </c>
      <c r="E1035" s="91">
        <f>IF(AND(N('Deal maths'!F1035)&gt;AsAt,N('Deal maths'!E1035)&lt;=AsAt,IF(N('Deal maths'!H1035)&gt;0,N('Deal maths'!H1035),N('Deal maths'!D1035))&gt;0),N('Deal maths'!F1035)+ROW()/1000000,"")</f>
        <v/>
      </c>
    </row>
    <row r="1036">
      <c r="A1036" s="91" t="n"/>
      <c r="B1036" s="111">
        <f>IF(AND(N('Deal maths'!F1036)&gt;AsAt,N('Deal maths'!E1036)&lt;=AsAt),IF(N('Deal maths'!H1036)&gt;0,N('Deal maths'!H1036),N('Deal maths'!D1036)),0)</f>
        <v/>
      </c>
      <c r="C1036" s="91">
        <f>IF(B1036&gt;0,IF('Deal maths'!C1036="Local authority","Local authorities",LOWER(TRIM('Deal maths'!B1036))),"")</f>
        <v/>
      </c>
      <c r="D1036" s="91">
        <f>IF(C1036="","",IF(COUNTIF($C$4:C1035,C1036)=0,SUMIF($C$4:$C$3997,C1036,$B$4:$B$3997)-ROW()/1000000,""))</f>
        <v/>
      </c>
      <c r="E1036" s="91">
        <f>IF(AND(N('Deal maths'!F1036)&gt;AsAt,N('Deal maths'!E1036)&lt;=AsAt,IF(N('Deal maths'!H1036)&gt;0,N('Deal maths'!H1036),N('Deal maths'!D1036))&gt;0),N('Deal maths'!F1036)+ROW()/1000000,"")</f>
        <v/>
      </c>
    </row>
    <row r="1037">
      <c r="A1037" s="91" t="n"/>
      <c r="B1037" s="111">
        <f>IF(AND(N('Deal maths'!F1037)&gt;AsAt,N('Deal maths'!E1037)&lt;=AsAt),IF(N('Deal maths'!H1037)&gt;0,N('Deal maths'!H1037),N('Deal maths'!D1037)),0)</f>
        <v/>
      </c>
      <c r="C1037" s="91">
        <f>IF(B1037&gt;0,IF('Deal maths'!C1037="Local authority","Local authorities",LOWER(TRIM('Deal maths'!B1037))),"")</f>
        <v/>
      </c>
      <c r="D1037" s="91">
        <f>IF(C1037="","",IF(COUNTIF($C$4:C1036,C1037)=0,SUMIF($C$4:$C$3997,C1037,$B$4:$B$3997)-ROW()/1000000,""))</f>
        <v/>
      </c>
      <c r="E1037" s="91">
        <f>IF(AND(N('Deal maths'!F1037)&gt;AsAt,N('Deal maths'!E1037)&lt;=AsAt,IF(N('Deal maths'!H1037)&gt;0,N('Deal maths'!H1037),N('Deal maths'!D1037))&gt;0),N('Deal maths'!F1037)+ROW()/1000000,"")</f>
        <v/>
      </c>
    </row>
    <row r="1038">
      <c r="A1038" s="91" t="n"/>
      <c r="B1038" s="111">
        <f>IF(AND(N('Deal maths'!F1038)&gt;AsAt,N('Deal maths'!E1038)&lt;=AsAt),IF(N('Deal maths'!H1038)&gt;0,N('Deal maths'!H1038),N('Deal maths'!D1038)),0)</f>
        <v/>
      </c>
      <c r="C1038" s="91">
        <f>IF(B1038&gt;0,IF('Deal maths'!C1038="Local authority","Local authorities",LOWER(TRIM('Deal maths'!B1038))),"")</f>
        <v/>
      </c>
      <c r="D1038" s="91">
        <f>IF(C1038="","",IF(COUNTIF($C$4:C1037,C1038)=0,SUMIF($C$4:$C$3997,C1038,$B$4:$B$3997)-ROW()/1000000,""))</f>
        <v/>
      </c>
      <c r="E1038" s="91">
        <f>IF(AND(N('Deal maths'!F1038)&gt;AsAt,N('Deal maths'!E1038)&lt;=AsAt,IF(N('Deal maths'!H1038)&gt;0,N('Deal maths'!H1038),N('Deal maths'!D1038))&gt;0),N('Deal maths'!F1038)+ROW()/1000000,"")</f>
        <v/>
      </c>
    </row>
    <row r="1039">
      <c r="A1039" s="91" t="n"/>
      <c r="B1039" s="111">
        <f>IF(AND(N('Deal maths'!F1039)&gt;AsAt,N('Deal maths'!E1039)&lt;=AsAt),IF(N('Deal maths'!H1039)&gt;0,N('Deal maths'!H1039),N('Deal maths'!D1039)),0)</f>
        <v/>
      </c>
      <c r="C1039" s="91">
        <f>IF(B1039&gt;0,IF('Deal maths'!C1039="Local authority","Local authorities",LOWER(TRIM('Deal maths'!B1039))),"")</f>
        <v/>
      </c>
      <c r="D1039" s="91">
        <f>IF(C1039="","",IF(COUNTIF($C$4:C1038,C1039)=0,SUMIF($C$4:$C$3997,C1039,$B$4:$B$3997)-ROW()/1000000,""))</f>
        <v/>
      </c>
      <c r="E1039" s="91">
        <f>IF(AND(N('Deal maths'!F1039)&gt;AsAt,N('Deal maths'!E1039)&lt;=AsAt,IF(N('Deal maths'!H1039)&gt;0,N('Deal maths'!H1039),N('Deal maths'!D1039))&gt;0),N('Deal maths'!F1039)+ROW()/1000000,"")</f>
        <v/>
      </c>
    </row>
    <row r="1040">
      <c r="A1040" s="91" t="n"/>
      <c r="B1040" s="111">
        <f>IF(AND(N('Deal maths'!F1040)&gt;AsAt,N('Deal maths'!E1040)&lt;=AsAt),IF(N('Deal maths'!H1040)&gt;0,N('Deal maths'!H1040),N('Deal maths'!D1040)),0)</f>
        <v/>
      </c>
      <c r="C1040" s="91">
        <f>IF(B1040&gt;0,IF('Deal maths'!C1040="Local authority","Local authorities",LOWER(TRIM('Deal maths'!B1040))),"")</f>
        <v/>
      </c>
      <c r="D1040" s="91">
        <f>IF(C1040="","",IF(COUNTIF($C$4:C1039,C1040)=0,SUMIF($C$4:$C$3997,C1040,$B$4:$B$3997)-ROW()/1000000,""))</f>
        <v/>
      </c>
      <c r="E1040" s="91">
        <f>IF(AND(N('Deal maths'!F1040)&gt;AsAt,N('Deal maths'!E1040)&lt;=AsAt,IF(N('Deal maths'!H1040)&gt;0,N('Deal maths'!H1040),N('Deal maths'!D1040))&gt;0),N('Deal maths'!F1040)+ROW()/1000000,"")</f>
        <v/>
      </c>
    </row>
    <row r="1041">
      <c r="A1041" s="91" t="n"/>
      <c r="B1041" s="111">
        <f>IF(AND(N('Deal maths'!F1041)&gt;AsAt,N('Deal maths'!E1041)&lt;=AsAt),IF(N('Deal maths'!H1041)&gt;0,N('Deal maths'!H1041),N('Deal maths'!D1041)),0)</f>
        <v/>
      </c>
      <c r="C1041" s="91">
        <f>IF(B1041&gt;0,IF('Deal maths'!C1041="Local authority","Local authorities",LOWER(TRIM('Deal maths'!B1041))),"")</f>
        <v/>
      </c>
      <c r="D1041" s="91">
        <f>IF(C1041="","",IF(COUNTIF($C$4:C1040,C1041)=0,SUMIF($C$4:$C$3997,C1041,$B$4:$B$3997)-ROW()/1000000,""))</f>
        <v/>
      </c>
      <c r="E1041" s="91">
        <f>IF(AND(N('Deal maths'!F1041)&gt;AsAt,N('Deal maths'!E1041)&lt;=AsAt,IF(N('Deal maths'!H1041)&gt;0,N('Deal maths'!H1041),N('Deal maths'!D1041))&gt;0),N('Deal maths'!F1041)+ROW()/1000000,"")</f>
        <v/>
      </c>
    </row>
    <row r="1042">
      <c r="A1042" s="91" t="n"/>
      <c r="B1042" s="111">
        <f>IF(AND(N('Deal maths'!F1042)&gt;AsAt,N('Deal maths'!E1042)&lt;=AsAt),IF(N('Deal maths'!H1042)&gt;0,N('Deal maths'!H1042),N('Deal maths'!D1042)),0)</f>
        <v/>
      </c>
      <c r="C1042" s="91">
        <f>IF(B1042&gt;0,IF('Deal maths'!C1042="Local authority","Local authorities",LOWER(TRIM('Deal maths'!B1042))),"")</f>
        <v/>
      </c>
      <c r="D1042" s="91">
        <f>IF(C1042="","",IF(COUNTIF($C$4:C1041,C1042)=0,SUMIF($C$4:$C$3997,C1042,$B$4:$B$3997)-ROW()/1000000,""))</f>
        <v/>
      </c>
      <c r="E1042" s="91">
        <f>IF(AND(N('Deal maths'!F1042)&gt;AsAt,N('Deal maths'!E1042)&lt;=AsAt,IF(N('Deal maths'!H1042)&gt;0,N('Deal maths'!H1042),N('Deal maths'!D1042))&gt;0),N('Deal maths'!F1042)+ROW()/1000000,"")</f>
        <v/>
      </c>
    </row>
    <row r="1043">
      <c r="A1043" s="91" t="n"/>
      <c r="B1043" s="111">
        <f>IF(AND(N('Deal maths'!F1043)&gt;AsAt,N('Deal maths'!E1043)&lt;=AsAt),IF(N('Deal maths'!H1043)&gt;0,N('Deal maths'!H1043),N('Deal maths'!D1043)),0)</f>
        <v/>
      </c>
      <c r="C1043" s="91">
        <f>IF(B1043&gt;0,IF('Deal maths'!C1043="Local authority","Local authorities",LOWER(TRIM('Deal maths'!B1043))),"")</f>
        <v/>
      </c>
      <c r="D1043" s="91">
        <f>IF(C1043="","",IF(COUNTIF($C$4:C1042,C1043)=0,SUMIF($C$4:$C$3997,C1043,$B$4:$B$3997)-ROW()/1000000,""))</f>
        <v/>
      </c>
      <c r="E1043" s="91">
        <f>IF(AND(N('Deal maths'!F1043)&gt;AsAt,N('Deal maths'!E1043)&lt;=AsAt,IF(N('Deal maths'!H1043)&gt;0,N('Deal maths'!H1043),N('Deal maths'!D1043))&gt;0),N('Deal maths'!F1043)+ROW()/1000000,"")</f>
        <v/>
      </c>
    </row>
    <row r="1044">
      <c r="A1044" s="91" t="n"/>
      <c r="B1044" s="111">
        <f>IF(AND(N('Deal maths'!F1044)&gt;AsAt,N('Deal maths'!E1044)&lt;=AsAt),IF(N('Deal maths'!H1044)&gt;0,N('Deal maths'!H1044),N('Deal maths'!D1044)),0)</f>
        <v/>
      </c>
      <c r="C1044" s="91">
        <f>IF(B1044&gt;0,IF('Deal maths'!C1044="Local authority","Local authorities",LOWER(TRIM('Deal maths'!B1044))),"")</f>
        <v/>
      </c>
      <c r="D1044" s="91">
        <f>IF(C1044="","",IF(COUNTIF($C$4:C1043,C1044)=0,SUMIF($C$4:$C$3997,C1044,$B$4:$B$3997)-ROW()/1000000,""))</f>
        <v/>
      </c>
      <c r="E1044" s="91">
        <f>IF(AND(N('Deal maths'!F1044)&gt;AsAt,N('Deal maths'!E1044)&lt;=AsAt,IF(N('Deal maths'!H1044)&gt;0,N('Deal maths'!H1044),N('Deal maths'!D1044))&gt;0),N('Deal maths'!F1044)+ROW()/1000000,"")</f>
        <v/>
      </c>
    </row>
    <row r="1045">
      <c r="A1045" s="91" t="n"/>
      <c r="B1045" s="111">
        <f>IF(AND(N('Deal maths'!F1045)&gt;AsAt,N('Deal maths'!E1045)&lt;=AsAt),IF(N('Deal maths'!H1045)&gt;0,N('Deal maths'!H1045),N('Deal maths'!D1045)),0)</f>
        <v/>
      </c>
      <c r="C1045" s="91">
        <f>IF(B1045&gt;0,IF('Deal maths'!C1045="Local authority","Local authorities",LOWER(TRIM('Deal maths'!B1045))),"")</f>
        <v/>
      </c>
      <c r="D1045" s="91">
        <f>IF(C1045="","",IF(COUNTIF($C$4:C1044,C1045)=0,SUMIF($C$4:$C$3997,C1045,$B$4:$B$3997)-ROW()/1000000,""))</f>
        <v/>
      </c>
      <c r="E1045" s="91">
        <f>IF(AND(N('Deal maths'!F1045)&gt;AsAt,N('Deal maths'!E1045)&lt;=AsAt,IF(N('Deal maths'!H1045)&gt;0,N('Deal maths'!H1045),N('Deal maths'!D1045))&gt;0),N('Deal maths'!F1045)+ROW()/1000000,"")</f>
        <v/>
      </c>
    </row>
    <row r="1046">
      <c r="A1046" s="91" t="n"/>
      <c r="B1046" s="111">
        <f>IF(AND(N('Deal maths'!F1046)&gt;AsAt,N('Deal maths'!E1046)&lt;=AsAt),IF(N('Deal maths'!H1046)&gt;0,N('Deal maths'!H1046),N('Deal maths'!D1046)),0)</f>
        <v/>
      </c>
      <c r="C1046" s="91">
        <f>IF(B1046&gt;0,IF('Deal maths'!C1046="Local authority","Local authorities",LOWER(TRIM('Deal maths'!B1046))),"")</f>
        <v/>
      </c>
      <c r="D1046" s="91">
        <f>IF(C1046="","",IF(COUNTIF($C$4:C1045,C1046)=0,SUMIF($C$4:$C$3997,C1046,$B$4:$B$3997)-ROW()/1000000,""))</f>
        <v/>
      </c>
      <c r="E1046" s="91">
        <f>IF(AND(N('Deal maths'!F1046)&gt;AsAt,N('Deal maths'!E1046)&lt;=AsAt,IF(N('Deal maths'!H1046)&gt;0,N('Deal maths'!H1046),N('Deal maths'!D1046))&gt;0),N('Deal maths'!F1046)+ROW()/1000000,"")</f>
        <v/>
      </c>
    </row>
    <row r="1047">
      <c r="A1047" s="91" t="n"/>
      <c r="B1047" s="111">
        <f>IF(AND(N('Deal maths'!F1047)&gt;AsAt,N('Deal maths'!E1047)&lt;=AsAt),IF(N('Deal maths'!H1047)&gt;0,N('Deal maths'!H1047),N('Deal maths'!D1047)),0)</f>
        <v/>
      </c>
      <c r="C1047" s="91">
        <f>IF(B1047&gt;0,IF('Deal maths'!C1047="Local authority","Local authorities",LOWER(TRIM('Deal maths'!B1047))),"")</f>
        <v/>
      </c>
      <c r="D1047" s="91">
        <f>IF(C1047="","",IF(COUNTIF($C$4:C1046,C1047)=0,SUMIF($C$4:$C$3997,C1047,$B$4:$B$3997)-ROW()/1000000,""))</f>
        <v/>
      </c>
      <c r="E1047" s="91">
        <f>IF(AND(N('Deal maths'!F1047)&gt;AsAt,N('Deal maths'!E1047)&lt;=AsAt,IF(N('Deal maths'!H1047)&gt;0,N('Deal maths'!H1047),N('Deal maths'!D1047))&gt;0),N('Deal maths'!F1047)+ROW()/1000000,"")</f>
        <v/>
      </c>
    </row>
    <row r="1048">
      <c r="A1048" s="91" t="n"/>
      <c r="B1048" s="111">
        <f>IF(AND(N('Deal maths'!F1048)&gt;AsAt,N('Deal maths'!E1048)&lt;=AsAt),IF(N('Deal maths'!H1048)&gt;0,N('Deal maths'!H1048),N('Deal maths'!D1048)),0)</f>
        <v/>
      </c>
      <c r="C1048" s="91">
        <f>IF(B1048&gt;0,IF('Deal maths'!C1048="Local authority","Local authorities",LOWER(TRIM('Deal maths'!B1048))),"")</f>
        <v/>
      </c>
      <c r="D1048" s="91">
        <f>IF(C1048="","",IF(COUNTIF($C$4:C1047,C1048)=0,SUMIF($C$4:$C$3997,C1048,$B$4:$B$3997)-ROW()/1000000,""))</f>
        <v/>
      </c>
      <c r="E1048" s="91">
        <f>IF(AND(N('Deal maths'!F1048)&gt;AsAt,N('Deal maths'!E1048)&lt;=AsAt,IF(N('Deal maths'!H1048)&gt;0,N('Deal maths'!H1048),N('Deal maths'!D1048))&gt;0),N('Deal maths'!F1048)+ROW()/1000000,"")</f>
        <v/>
      </c>
    </row>
    <row r="1049">
      <c r="A1049" s="91" t="n"/>
      <c r="B1049" s="111">
        <f>IF(AND(N('Deal maths'!F1049)&gt;AsAt,N('Deal maths'!E1049)&lt;=AsAt),IF(N('Deal maths'!H1049)&gt;0,N('Deal maths'!H1049),N('Deal maths'!D1049)),0)</f>
        <v/>
      </c>
      <c r="C1049" s="91">
        <f>IF(B1049&gt;0,IF('Deal maths'!C1049="Local authority","Local authorities",LOWER(TRIM('Deal maths'!B1049))),"")</f>
        <v/>
      </c>
      <c r="D1049" s="91">
        <f>IF(C1049="","",IF(COUNTIF($C$4:C1048,C1049)=0,SUMIF($C$4:$C$3997,C1049,$B$4:$B$3997)-ROW()/1000000,""))</f>
        <v/>
      </c>
      <c r="E1049" s="91">
        <f>IF(AND(N('Deal maths'!F1049)&gt;AsAt,N('Deal maths'!E1049)&lt;=AsAt,IF(N('Deal maths'!H1049)&gt;0,N('Deal maths'!H1049),N('Deal maths'!D1049))&gt;0),N('Deal maths'!F1049)+ROW()/1000000,"")</f>
        <v/>
      </c>
    </row>
    <row r="1050">
      <c r="A1050" s="91" t="n"/>
      <c r="B1050" s="111">
        <f>IF(AND(N('Deal maths'!F1050)&gt;AsAt,N('Deal maths'!E1050)&lt;=AsAt),IF(N('Deal maths'!H1050)&gt;0,N('Deal maths'!H1050),N('Deal maths'!D1050)),0)</f>
        <v/>
      </c>
      <c r="C1050" s="91">
        <f>IF(B1050&gt;0,IF('Deal maths'!C1050="Local authority","Local authorities",LOWER(TRIM('Deal maths'!B1050))),"")</f>
        <v/>
      </c>
      <c r="D1050" s="91">
        <f>IF(C1050="","",IF(COUNTIF($C$4:C1049,C1050)=0,SUMIF($C$4:$C$3997,C1050,$B$4:$B$3997)-ROW()/1000000,""))</f>
        <v/>
      </c>
      <c r="E1050" s="91">
        <f>IF(AND(N('Deal maths'!F1050)&gt;AsAt,N('Deal maths'!E1050)&lt;=AsAt,IF(N('Deal maths'!H1050)&gt;0,N('Deal maths'!H1050),N('Deal maths'!D1050))&gt;0),N('Deal maths'!F1050)+ROW()/1000000,"")</f>
        <v/>
      </c>
    </row>
    <row r="1051">
      <c r="A1051" s="91" t="n"/>
      <c r="B1051" s="111">
        <f>IF(AND(N('Deal maths'!F1051)&gt;AsAt,N('Deal maths'!E1051)&lt;=AsAt),IF(N('Deal maths'!H1051)&gt;0,N('Deal maths'!H1051),N('Deal maths'!D1051)),0)</f>
        <v/>
      </c>
      <c r="C1051" s="91">
        <f>IF(B1051&gt;0,IF('Deal maths'!C1051="Local authority","Local authorities",LOWER(TRIM('Deal maths'!B1051))),"")</f>
        <v/>
      </c>
      <c r="D1051" s="91">
        <f>IF(C1051="","",IF(COUNTIF($C$4:C1050,C1051)=0,SUMIF($C$4:$C$3997,C1051,$B$4:$B$3997)-ROW()/1000000,""))</f>
        <v/>
      </c>
      <c r="E1051" s="91">
        <f>IF(AND(N('Deal maths'!F1051)&gt;AsAt,N('Deal maths'!E1051)&lt;=AsAt,IF(N('Deal maths'!H1051)&gt;0,N('Deal maths'!H1051),N('Deal maths'!D1051))&gt;0),N('Deal maths'!F1051)+ROW()/1000000,"")</f>
        <v/>
      </c>
    </row>
    <row r="1052">
      <c r="A1052" s="91" t="n"/>
      <c r="B1052" s="111">
        <f>IF(AND(N('Deal maths'!F1052)&gt;AsAt,N('Deal maths'!E1052)&lt;=AsAt),IF(N('Deal maths'!H1052)&gt;0,N('Deal maths'!H1052),N('Deal maths'!D1052)),0)</f>
        <v/>
      </c>
      <c r="C1052" s="91">
        <f>IF(B1052&gt;0,IF('Deal maths'!C1052="Local authority","Local authorities",LOWER(TRIM('Deal maths'!B1052))),"")</f>
        <v/>
      </c>
      <c r="D1052" s="91">
        <f>IF(C1052="","",IF(COUNTIF($C$4:C1051,C1052)=0,SUMIF($C$4:$C$3997,C1052,$B$4:$B$3997)-ROW()/1000000,""))</f>
        <v/>
      </c>
      <c r="E1052" s="91">
        <f>IF(AND(N('Deal maths'!F1052)&gt;AsAt,N('Deal maths'!E1052)&lt;=AsAt,IF(N('Deal maths'!H1052)&gt;0,N('Deal maths'!H1052),N('Deal maths'!D1052))&gt;0),N('Deal maths'!F1052)+ROW()/1000000,"")</f>
        <v/>
      </c>
    </row>
    <row r="1053">
      <c r="A1053" s="91" t="n"/>
      <c r="B1053" s="111">
        <f>IF(AND(N('Deal maths'!F1053)&gt;AsAt,N('Deal maths'!E1053)&lt;=AsAt),IF(N('Deal maths'!H1053)&gt;0,N('Deal maths'!H1053),N('Deal maths'!D1053)),0)</f>
        <v/>
      </c>
      <c r="C1053" s="91">
        <f>IF(B1053&gt;0,IF('Deal maths'!C1053="Local authority","Local authorities",LOWER(TRIM('Deal maths'!B1053))),"")</f>
        <v/>
      </c>
      <c r="D1053" s="91">
        <f>IF(C1053="","",IF(COUNTIF($C$4:C1052,C1053)=0,SUMIF($C$4:$C$3997,C1053,$B$4:$B$3997)-ROW()/1000000,""))</f>
        <v/>
      </c>
      <c r="E1053" s="91">
        <f>IF(AND(N('Deal maths'!F1053)&gt;AsAt,N('Deal maths'!E1053)&lt;=AsAt,IF(N('Deal maths'!H1053)&gt;0,N('Deal maths'!H1053),N('Deal maths'!D1053))&gt;0),N('Deal maths'!F1053)+ROW()/1000000,"")</f>
        <v/>
      </c>
    </row>
    <row r="1054">
      <c r="A1054" s="91" t="n"/>
      <c r="B1054" s="111">
        <f>IF(AND(N('Deal maths'!F1054)&gt;AsAt,N('Deal maths'!E1054)&lt;=AsAt),IF(N('Deal maths'!H1054)&gt;0,N('Deal maths'!H1054),N('Deal maths'!D1054)),0)</f>
        <v/>
      </c>
      <c r="C1054" s="91">
        <f>IF(B1054&gt;0,IF('Deal maths'!C1054="Local authority","Local authorities",LOWER(TRIM('Deal maths'!B1054))),"")</f>
        <v/>
      </c>
      <c r="D1054" s="91">
        <f>IF(C1054="","",IF(COUNTIF($C$4:C1053,C1054)=0,SUMIF($C$4:$C$3997,C1054,$B$4:$B$3997)-ROW()/1000000,""))</f>
        <v/>
      </c>
      <c r="E1054" s="91">
        <f>IF(AND(N('Deal maths'!F1054)&gt;AsAt,N('Deal maths'!E1054)&lt;=AsAt,IF(N('Deal maths'!H1054)&gt;0,N('Deal maths'!H1054),N('Deal maths'!D1054))&gt;0),N('Deal maths'!F1054)+ROW()/1000000,"")</f>
        <v/>
      </c>
    </row>
    <row r="1055">
      <c r="A1055" s="91" t="n"/>
      <c r="B1055" s="111">
        <f>IF(AND(N('Deal maths'!F1055)&gt;AsAt,N('Deal maths'!E1055)&lt;=AsAt),IF(N('Deal maths'!H1055)&gt;0,N('Deal maths'!H1055),N('Deal maths'!D1055)),0)</f>
        <v/>
      </c>
      <c r="C1055" s="91">
        <f>IF(B1055&gt;0,IF('Deal maths'!C1055="Local authority","Local authorities",LOWER(TRIM('Deal maths'!B1055))),"")</f>
        <v/>
      </c>
      <c r="D1055" s="91">
        <f>IF(C1055="","",IF(COUNTIF($C$4:C1054,C1055)=0,SUMIF($C$4:$C$3997,C1055,$B$4:$B$3997)-ROW()/1000000,""))</f>
        <v/>
      </c>
      <c r="E1055" s="91">
        <f>IF(AND(N('Deal maths'!F1055)&gt;AsAt,N('Deal maths'!E1055)&lt;=AsAt,IF(N('Deal maths'!H1055)&gt;0,N('Deal maths'!H1055),N('Deal maths'!D1055))&gt;0),N('Deal maths'!F1055)+ROW()/1000000,"")</f>
        <v/>
      </c>
    </row>
    <row r="1056">
      <c r="A1056" s="91" t="n"/>
      <c r="B1056" s="111">
        <f>IF(AND(N('Deal maths'!F1056)&gt;AsAt,N('Deal maths'!E1056)&lt;=AsAt),IF(N('Deal maths'!H1056)&gt;0,N('Deal maths'!H1056),N('Deal maths'!D1056)),0)</f>
        <v/>
      </c>
      <c r="C1056" s="91">
        <f>IF(B1056&gt;0,IF('Deal maths'!C1056="Local authority","Local authorities",LOWER(TRIM('Deal maths'!B1056))),"")</f>
        <v/>
      </c>
      <c r="D1056" s="91">
        <f>IF(C1056="","",IF(COUNTIF($C$4:C1055,C1056)=0,SUMIF($C$4:$C$3997,C1056,$B$4:$B$3997)-ROW()/1000000,""))</f>
        <v/>
      </c>
      <c r="E1056" s="91">
        <f>IF(AND(N('Deal maths'!F1056)&gt;AsAt,N('Deal maths'!E1056)&lt;=AsAt,IF(N('Deal maths'!H1056)&gt;0,N('Deal maths'!H1056),N('Deal maths'!D1056))&gt;0),N('Deal maths'!F1056)+ROW()/1000000,"")</f>
        <v/>
      </c>
    </row>
    <row r="1057">
      <c r="A1057" s="91" t="n"/>
      <c r="B1057" s="111">
        <f>IF(AND(N('Deal maths'!F1057)&gt;AsAt,N('Deal maths'!E1057)&lt;=AsAt),IF(N('Deal maths'!H1057)&gt;0,N('Deal maths'!H1057),N('Deal maths'!D1057)),0)</f>
        <v/>
      </c>
      <c r="C1057" s="91">
        <f>IF(B1057&gt;0,IF('Deal maths'!C1057="Local authority","Local authorities",LOWER(TRIM('Deal maths'!B1057))),"")</f>
        <v/>
      </c>
      <c r="D1057" s="91">
        <f>IF(C1057="","",IF(COUNTIF($C$4:C1056,C1057)=0,SUMIF($C$4:$C$3997,C1057,$B$4:$B$3997)-ROW()/1000000,""))</f>
        <v/>
      </c>
      <c r="E1057" s="91">
        <f>IF(AND(N('Deal maths'!F1057)&gt;AsAt,N('Deal maths'!E1057)&lt;=AsAt,IF(N('Deal maths'!H1057)&gt;0,N('Deal maths'!H1057),N('Deal maths'!D1057))&gt;0),N('Deal maths'!F1057)+ROW()/1000000,"")</f>
        <v/>
      </c>
    </row>
    <row r="1058">
      <c r="A1058" s="91" t="n"/>
      <c r="B1058" s="111">
        <f>IF(AND(N('Deal maths'!F1058)&gt;AsAt,N('Deal maths'!E1058)&lt;=AsAt),IF(N('Deal maths'!H1058)&gt;0,N('Deal maths'!H1058),N('Deal maths'!D1058)),0)</f>
        <v/>
      </c>
      <c r="C1058" s="91">
        <f>IF(B1058&gt;0,IF('Deal maths'!C1058="Local authority","Local authorities",LOWER(TRIM('Deal maths'!B1058))),"")</f>
        <v/>
      </c>
      <c r="D1058" s="91">
        <f>IF(C1058="","",IF(COUNTIF($C$4:C1057,C1058)=0,SUMIF($C$4:$C$3997,C1058,$B$4:$B$3997)-ROW()/1000000,""))</f>
        <v/>
      </c>
      <c r="E1058" s="91">
        <f>IF(AND(N('Deal maths'!F1058)&gt;AsAt,N('Deal maths'!E1058)&lt;=AsAt,IF(N('Deal maths'!H1058)&gt;0,N('Deal maths'!H1058),N('Deal maths'!D1058))&gt;0),N('Deal maths'!F1058)+ROW()/1000000,"")</f>
        <v/>
      </c>
    </row>
    <row r="1059">
      <c r="A1059" s="91" t="n"/>
      <c r="B1059" s="111">
        <f>IF(AND(N('Deal maths'!F1059)&gt;AsAt,N('Deal maths'!E1059)&lt;=AsAt),IF(N('Deal maths'!H1059)&gt;0,N('Deal maths'!H1059),N('Deal maths'!D1059)),0)</f>
        <v/>
      </c>
      <c r="C1059" s="91">
        <f>IF(B1059&gt;0,IF('Deal maths'!C1059="Local authority","Local authorities",LOWER(TRIM('Deal maths'!B1059))),"")</f>
        <v/>
      </c>
      <c r="D1059" s="91">
        <f>IF(C1059="","",IF(COUNTIF($C$4:C1058,C1059)=0,SUMIF($C$4:$C$3997,C1059,$B$4:$B$3997)-ROW()/1000000,""))</f>
        <v/>
      </c>
      <c r="E1059" s="91">
        <f>IF(AND(N('Deal maths'!F1059)&gt;AsAt,N('Deal maths'!E1059)&lt;=AsAt,IF(N('Deal maths'!H1059)&gt;0,N('Deal maths'!H1059),N('Deal maths'!D1059))&gt;0),N('Deal maths'!F1059)+ROW()/1000000,"")</f>
        <v/>
      </c>
    </row>
    <row r="1060">
      <c r="A1060" s="91" t="n"/>
      <c r="B1060" s="111">
        <f>IF(AND(N('Deal maths'!F1060)&gt;AsAt,N('Deal maths'!E1060)&lt;=AsAt),IF(N('Deal maths'!H1060)&gt;0,N('Deal maths'!H1060),N('Deal maths'!D1060)),0)</f>
        <v/>
      </c>
      <c r="C1060" s="91">
        <f>IF(B1060&gt;0,IF('Deal maths'!C1060="Local authority","Local authorities",LOWER(TRIM('Deal maths'!B1060))),"")</f>
        <v/>
      </c>
      <c r="D1060" s="91">
        <f>IF(C1060="","",IF(COUNTIF($C$4:C1059,C1060)=0,SUMIF($C$4:$C$3997,C1060,$B$4:$B$3997)-ROW()/1000000,""))</f>
        <v/>
      </c>
      <c r="E1060" s="91">
        <f>IF(AND(N('Deal maths'!F1060)&gt;AsAt,N('Deal maths'!E1060)&lt;=AsAt,IF(N('Deal maths'!H1060)&gt;0,N('Deal maths'!H1060),N('Deal maths'!D1060))&gt;0),N('Deal maths'!F1060)+ROW()/1000000,"")</f>
        <v/>
      </c>
    </row>
    <row r="1061">
      <c r="A1061" s="91" t="n"/>
      <c r="B1061" s="111">
        <f>IF(AND(N('Deal maths'!F1061)&gt;AsAt,N('Deal maths'!E1061)&lt;=AsAt),IF(N('Deal maths'!H1061)&gt;0,N('Deal maths'!H1061),N('Deal maths'!D1061)),0)</f>
        <v/>
      </c>
      <c r="C1061" s="91">
        <f>IF(B1061&gt;0,IF('Deal maths'!C1061="Local authority","Local authorities",LOWER(TRIM('Deal maths'!B1061))),"")</f>
        <v/>
      </c>
      <c r="D1061" s="91">
        <f>IF(C1061="","",IF(COUNTIF($C$4:C1060,C1061)=0,SUMIF($C$4:$C$3997,C1061,$B$4:$B$3997)-ROW()/1000000,""))</f>
        <v/>
      </c>
      <c r="E1061" s="91">
        <f>IF(AND(N('Deal maths'!F1061)&gt;AsAt,N('Deal maths'!E1061)&lt;=AsAt,IF(N('Deal maths'!H1061)&gt;0,N('Deal maths'!H1061),N('Deal maths'!D1061))&gt;0),N('Deal maths'!F1061)+ROW()/1000000,"")</f>
        <v/>
      </c>
    </row>
    <row r="1062">
      <c r="A1062" s="91" t="n"/>
      <c r="B1062" s="111">
        <f>IF(AND(N('Deal maths'!F1062)&gt;AsAt,N('Deal maths'!E1062)&lt;=AsAt),IF(N('Deal maths'!H1062)&gt;0,N('Deal maths'!H1062),N('Deal maths'!D1062)),0)</f>
        <v/>
      </c>
      <c r="C1062" s="91">
        <f>IF(B1062&gt;0,IF('Deal maths'!C1062="Local authority","Local authorities",LOWER(TRIM('Deal maths'!B1062))),"")</f>
        <v/>
      </c>
      <c r="D1062" s="91">
        <f>IF(C1062="","",IF(COUNTIF($C$4:C1061,C1062)=0,SUMIF($C$4:$C$3997,C1062,$B$4:$B$3997)-ROW()/1000000,""))</f>
        <v/>
      </c>
      <c r="E1062" s="91">
        <f>IF(AND(N('Deal maths'!F1062)&gt;AsAt,N('Deal maths'!E1062)&lt;=AsAt,IF(N('Deal maths'!H1062)&gt;0,N('Deal maths'!H1062),N('Deal maths'!D1062))&gt;0),N('Deal maths'!F1062)+ROW()/1000000,"")</f>
        <v/>
      </c>
    </row>
    <row r="1063">
      <c r="A1063" s="91" t="n"/>
      <c r="B1063" s="111">
        <f>IF(AND(N('Deal maths'!F1063)&gt;AsAt,N('Deal maths'!E1063)&lt;=AsAt),IF(N('Deal maths'!H1063)&gt;0,N('Deal maths'!H1063),N('Deal maths'!D1063)),0)</f>
        <v/>
      </c>
      <c r="C1063" s="91">
        <f>IF(B1063&gt;0,IF('Deal maths'!C1063="Local authority","Local authorities",LOWER(TRIM('Deal maths'!B1063))),"")</f>
        <v/>
      </c>
      <c r="D1063" s="91">
        <f>IF(C1063="","",IF(COUNTIF($C$4:C1062,C1063)=0,SUMIF($C$4:$C$3997,C1063,$B$4:$B$3997)-ROW()/1000000,""))</f>
        <v/>
      </c>
      <c r="E1063" s="91">
        <f>IF(AND(N('Deal maths'!F1063)&gt;AsAt,N('Deal maths'!E1063)&lt;=AsAt,IF(N('Deal maths'!H1063)&gt;0,N('Deal maths'!H1063),N('Deal maths'!D1063))&gt;0),N('Deal maths'!F1063)+ROW()/1000000,"")</f>
        <v/>
      </c>
    </row>
    <row r="1064">
      <c r="A1064" s="91" t="n"/>
      <c r="B1064" s="111">
        <f>IF(AND(N('Deal maths'!F1064)&gt;AsAt,N('Deal maths'!E1064)&lt;=AsAt),IF(N('Deal maths'!H1064)&gt;0,N('Deal maths'!H1064),N('Deal maths'!D1064)),0)</f>
        <v/>
      </c>
      <c r="C1064" s="91">
        <f>IF(B1064&gt;0,IF('Deal maths'!C1064="Local authority","Local authorities",LOWER(TRIM('Deal maths'!B1064))),"")</f>
        <v/>
      </c>
      <c r="D1064" s="91">
        <f>IF(C1064="","",IF(COUNTIF($C$4:C1063,C1064)=0,SUMIF($C$4:$C$3997,C1064,$B$4:$B$3997)-ROW()/1000000,""))</f>
        <v/>
      </c>
      <c r="E1064" s="91">
        <f>IF(AND(N('Deal maths'!F1064)&gt;AsAt,N('Deal maths'!E1064)&lt;=AsAt,IF(N('Deal maths'!H1064)&gt;0,N('Deal maths'!H1064),N('Deal maths'!D1064))&gt;0),N('Deal maths'!F1064)+ROW()/1000000,"")</f>
        <v/>
      </c>
    </row>
    <row r="1065">
      <c r="A1065" s="91" t="n"/>
      <c r="B1065" s="111">
        <f>IF(AND(N('Deal maths'!F1065)&gt;AsAt,N('Deal maths'!E1065)&lt;=AsAt),IF(N('Deal maths'!H1065)&gt;0,N('Deal maths'!H1065),N('Deal maths'!D1065)),0)</f>
        <v/>
      </c>
      <c r="C1065" s="91">
        <f>IF(B1065&gt;0,IF('Deal maths'!C1065="Local authority","Local authorities",LOWER(TRIM('Deal maths'!B1065))),"")</f>
        <v/>
      </c>
      <c r="D1065" s="91">
        <f>IF(C1065="","",IF(COUNTIF($C$4:C1064,C1065)=0,SUMIF($C$4:$C$3997,C1065,$B$4:$B$3997)-ROW()/1000000,""))</f>
        <v/>
      </c>
      <c r="E1065" s="91">
        <f>IF(AND(N('Deal maths'!F1065)&gt;AsAt,N('Deal maths'!E1065)&lt;=AsAt,IF(N('Deal maths'!H1065)&gt;0,N('Deal maths'!H1065),N('Deal maths'!D1065))&gt;0),N('Deal maths'!F1065)+ROW()/1000000,"")</f>
        <v/>
      </c>
    </row>
    <row r="1066">
      <c r="A1066" s="91" t="n"/>
      <c r="B1066" s="111">
        <f>IF(AND(N('Deal maths'!F1066)&gt;AsAt,N('Deal maths'!E1066)&lt;=AsAt),IF(N('Deal maths'!H1066)&gt;0,N('Deal maths'!H1066),N('Deal maths'!D1066)),0)</f>
        <v/>
      </c>
      <c r="C1066" s="91">
        <f>IF(B1066&gt;0,IF('Deal maths'!C1066="Local authority","Local authorities",LOWER(TRIM('Deal maths'!B1066))),"")</f>
        <v/>
      </c>
      <c r="D1066" s="91">
        <f>IF(C1066="","",IF(COUNTIF($C$4:C1065,C1066)=0,SUMIF($C$4:$C$3997,C1066,$B$4:$B$3997)-ROW()/1000000,""))</f>
        <v/>
      </c>
      <c r="E1066" s="91">
        <f>IF(AND(N('Deal maths'!F1066)&gt;AsAt,N('Deal maths'!E1066)&lt;=AsAt,IF(N('Deal maths'!H1066)&gt;0,N('Deal maths'!H1066),N('Deal maths'!D1066))&gt;0),N('Deal maths'!F1066)+ROW()/1000000,"")</f>
        <v/>
      </c>
    </row>
    <row r="1067">
      <c r="A1067" s="91" t="n"/>
      <c r="B1067" s="111">
        <f>IF(AND(N('Deal maths'!F1067)&gt;AsAt,N('Deal maths'!E1067)&lt;=AsAt),IF(N('Deal maths'!H1067)&gt;0,N('Deal maths'!H1067),N('Deal maths'!D1067)),0)</f>
        <v/>
      </c>
      <c r="C1067" s="91">
        <f>IF(B1067&gt;0,IF('Deal maths'!C1067="Local authority","Local authorities",LOWER(TRIM('Deal maths'!B1067))),"")</f>
        <v/>
      </c>
      <c r="D1067" s="91">
        <f>IF(C1067="","",IF(COUNTIF($C$4:C1066,C1067)=0,SUMIF($C$4:$C$3997,C1067,$B$4:$B$3997)-ROW()/1000000,""))</f>
        <v/>
      </c>
      <c r="E1067" s="91">
        <f>IF(AND(N('Deal maths'!F1067)&gt;AsAt,N('Deal maths'!E1067)&lt;=AsAt,IF(N('Deal maths'!H1067)&gt;0,N('Deal maths'!H1067),N('Deal maths'!D1067))&gt;0),N('Deal maths'!F1067)+ROW()/1000000,"")</f>
        <v/>
      </c>
    </row>
    <row r="1068">
      <c r="A1068" s="91" t="n"/>
      <c r="B1068" s="111">
        <f>IF(AND(N('Deal maths'!F1068)&gt;AsAt,N('Deal maths'!E1068)&lt;=AsAt),IF(N('Deal maths'!H1068)&gt;0,N('Deal maths'!H1068),N('Deal maths'!D1068)),0)</f>
        <v/>
      </c>
      <c r="C1068" s="91">
        <f>IF(B1068&gt;0,IF('Deal maths'!C1068="Local authority","Local authorities",LOWER(TRIM('Deal maths'!B1068))),"")</f>
        <v/>
      </c>
      <c r="D1068" s="91">
        <f>IF(C1068="","",IF(COUNTIF($C$4:C1067,C1068)=0,SUMIF($C$4:$C$3997,C1068,$B$4:$B$3997)-ROW()/1000000,""))</f>
        <v/>
      </c>
      <c r="E1068" s="91">
        <f>IF(AND(N('Deal maths'!F1068)&gt;AsAt,N('Deal maths'!E1068)&lt;=AsAt,IF(N('Deal maths'!H1068)&gt;0,N('Deal maths'!H1068),N('Deal maths'!D1068))&gt;0),N('Deal maths'!F1068)+ROW()/1000000,"")</f>
        <v/>
      </c>
    </row>
    <row r="1069">
      <c r="A1069" s="91" t="n"/>
      <c r="B1069" s="111">
        <f>IF(AND(N('Deal maths'!F1069)&gt;AsAt,N('Deal maths'!E1069)&lt;=AsAt),IF(N('Deal maths'!H1069)&gt;0,N('Deal maths'!H1069),N('Deal maths'!D1069)),0)</f>
        <v/>
      </c>
      <c r="C1069" s="91">
        <f>IF(B1069&gt;0,IF('Deal maths'!C1069="Local authority","Local authorities",LOWER(TRIM('Deal maths'!B1069))),"")</f>
        <v/>
      </c>
      <c r="D1069" s="91">
        <f>IF(C1069="","",IF(COUNTIF($C$4:C1068,C1069)=0,SUMIF($C$4:$C$3997,C1069,$B$4:$B$3997)-ROW()/1000000,""))</f>
        <v/>
      </c>
      <c r="E1069" s="91">
        <f>IF(AND(N('Deal maths'!F1069)&gt;AsAt,N('Deal maths'!E1069)&lt;=AsAt,IF(N('Deal maths'!H1069)&gt;0,N('Deal maths'!H1069),N('Deal maths'!D1069))&gt;0),N('Deal maths'!F1069)+ROW()/1000000,"")</f>
        <v/>
      </c>
    </row>
    <row r="1070">
      <c r="A1070" s="91" t="n"/>
      <c r="B1070" s="111">
        <f>IF(AND(N('Deal maths'!F1070)&gt;AsAt,N('Deal maths'!E1070)&lt;=AsAt),IF(N('Deal maths'!H1070)&gt;0,N('Deal maths'!H1070),N('Deal maths'!D1070)),0)</f>
        <v/>
      </c>
      <c r="C1070" s="91">
        <f>IF(B1070&gt;0,IF('Deal maths'!C1070="Local authority","Local authorities",LOWER(TRIM('Deal maths'!B1070))),"")</f>
        <v/>
      </c>
      <c r="D1070" s="91">
        <f>IF(C1070="","",IF(COUNTIF($C$4:C1069,C1070)=0,SUMIF($C$4:$C$3997,C1070,$B$4:$B$3997)-ROW()/1000000,""))</f>
        <v/>
      </c>
      <c r="E1070" s="91">
        <f>IF(AND(N('Deal maths'!F1070)&gt;AsAt,N('Deal maths'!E1070)&lt;=AsAt,IF(N('Deal maths'!H1070)&gt;0,N('Deal maths'!H1070),N('Deal maths'!D1070))&gt;0),N('Deal maths'!F1070)+ROW()/1000000,"")</f>
        <v/>
      </c>
    </row>
    <row r="1071">
      <c r="A1071" s="91" t="n"/>
      <c r="B1071" s="111">
        <f>IF(AND(N('Deal maths'!F1071)&gt;AsAt,N('Deal maths'!E1071)&lt;=AsAt),IF(N('Deal maths'!H1071)&gt;0,N('Deal maths'!H1071),N('Deal maths'!D1071)),0)</f>
        <v/>
      </c>
      <c r="C1071" s="91">
        <f>IF(B1071&gt;0,IF('Deal maths'!C1071="Local authority","Local authorities",LOWER(TRIM('Deal maths'!B1071))),"")</f>
        <v/>
      </c>
      <c r="D1071" s="91">
        <f>IF(C1071="","",IF(COUNTIF($C$4:C1070,C1071)=0,SUMIF($C$4:$C$3997,C1071,$B$4:$B$3997)-ROW()/1000000,""))</f>
        <v/>
      </c>
      <c r="E1071" s="91">
        <f>IF(AND(N('Deal maths'!F1071)&gt;AsAt,N('Deal maths'!E1071)&lt;=AsAt,IF(N('Deal maths'!H1071)&gt;0,N('Deal maths'!H1071),N('Deal maths'!D1071))&gt;0),N('Deal maths'!F1071)+ROW()/1000000,"")</f>
        <v/>
      </c>
    </row>
    <row r="1072">
      <c r="A1072" s="91" t="n"/>
      <c r="B1072" s="111">
        <f>IF(AND(N('Deal maths'!F1072)&gt;AsAt,N('Deal maths'!E1072)&lt;=AsAt),IF(N('Deal maths'!H1072)&gt;0,N('Deal maths'!H1072),N('Deal maths'!D1072)),0)</f>
        <v/>
      </c>
      <c r="C1072" s="91">
        <f>IF(B1072&gt;0,IF('Deal maths'!C1072="Local authority","Local authorities",LOWER(TRIM('Deal maths'!B1072))),"")</f>
        <v/>
      </c>
      <c r="D1072" s="91">
        <f>IF(C1072="","",IF(COUNTIF($C$4:C1071,C1072)=0,SUMIF($C$4:$C$3997,C1072,$B$4:$B$3997)-ROW()/1000000,""))</f>
        <v/>
      </c>
      <c r="E1072" s="91">
        <f>IF(AND(N('Deal maths'!F1072)&gt;AsAt,N('Deal maths'!E1072)&lt;=AsAt,IF(N('Deal maths'!H1072)&gt;0,N('Deal maths'!H1072),N('Deal maths'!D1072))&gt;0),N('Deal maths'!F1072)+ROW()/1000000,"")</f>
        <v/>
      </c>
    </row>
    <row r="1073">
      <c r="A1073" s="91" t="n"/>
      <c r="B1073" s="111">
        <f>IF(AND(N('Deal maths'!F1073)&gt;AsAt,N('Deal maths'!E1073)&lt;=AsAt),IF(N('Deal maths'!H1073)&gt;0,N('Deal maths'!H1073),N('Deal maths'!D1073)),0)</f>
        <v/>
      </c>
      <c r="C1073" s="91">
        <f>IF(B1073&gt;0,IF('Deal maths'!C1073="Local authority","Local authorities",LOWER(TRIM('Deal maths'!B1073))),"")</f>
        <v/>
      </c>
      <c r="D1073" s="91">
        <f>IF(C1073="","",IF(COUNTIF($C$4:C1072,C1073)=0,SUMIF($C$4:$C$3997,C1073,$B$4:$B$3997)-ROW()/1000000,""))</f>
        <v/>
      </c>
      <c r="E1073" s="91">
        <f>IF(AND(N('Deal maths'!F1073)&gt;AsAt,N('Deal maths'!E1073)&lt;=AsAt,IF(N('Deal maths'!H1073)&gt;0,N('Deal maths'!H1073),N('Deal maths'!D1073))&gt;0),N('Deal maths'!F1073)+ROW()/1000000,"")</f>
        <v/>
      </c>
    </row>
    <row r="1074">
      <c r="A1074" s="91" t="n"/>
      <c r="B1074" s="111">
        <f>IF(AND(N('Deal maths'!F1074)&gt;AsAt,N('Deal maths'!E1074)&lt;=AsAt),IF(N('Deal maths'!H1074)&gt;0,N('Deal maths'!H1074),N('Deal maths'!D1074)),0)</f>
        <v/>
      </c>
      <c r="C1074" s="91">
        <f>IF(B1074&gt;0,IF('Deal maths'!C1074="Local authority","Local authorities",LOWER(TRIM('Deal maths'!B1074))),"")</f>
        <v/>
      </c>
      <c r="D1074" s="91">
        <f>IF(C1074="","",IF(COUNTIF($C$4:C1073,C1074)=0,SUMIF($C$4:$C$3997,C1074,$B$4:$B$3997)-ROW()/1000000,""))</f>
        <v/>
      </c>
      <c r="E1074" s="91">
        <f>IF(AND(N('Deal maths'!F1074)&gt;AsAt,N('Deal maths'!E1074)&lt;=AsAt,IF(N('Deal maths'!H1074)&gt;0,N('Deal maths'!H1074),N('Deal maths'!D1074))&gt;0),N('Deal maths'!F1074)+ROW()/1000000,"")</f>
        <v/>
      </c>
    </row>
    <row r="1075">
      <c r="A1075" s="91" t="n"/>
      <c r="B1075" s="111">
        <f>IF(AND(N('Deal maths'!F1075)&gt;AsAt,N('Deal maths'!E1075)&lt;=AsAt),IF(N('Deal maths'!H1075)&gt;0,N('Deal maths'!H1075),N('Deal maths'!D1075)),0)</f>
        <v/>
      </c>
      <c r="C1075" s="91">
        <f>IF(B1075&gt;0,IF('Deal maths'!C1075="Local authority","Local authorities",LOWER(TRIM('Deal maths'!B1075))),"")</f>
        <v/>
      </c>
      <c r="D1075" s="91">
        <f>IF(C1075="","",IF(COUNTIF($C$4:C1074,C1075)=0,SUMIF($C$4:$C$3997,C1075,$B$4:$B$3997)-ROW()/1000000,""))</f>
        <v/>
      </c>
      <c r="E1075" s="91">
        <f>IF(AND(N('Deal maths'!F1075)&gt;AsAt,N('Deal maths'!E1075)&lt;=AsAt,IF(N('Deal maths'!H1075)&gt;0,N('Deal maths'!H1075),N('Deal maths'!D1075))&gt;0),N('Deal maths'!F1075)+ROW()/1000000,"")</f>
        <v/>
      </c>
    </row>
    <row r="1076">
      <c r="A1076" s="91" t="n"/>
      <c r="B1076" s="111">
        <f>IF(AND(N('Deal maths'!F1076)&gt;AsAt,N('Deal maths'!E1076)&lt;=AsAt),IF(N('Deal maths'!H1076)&gt;0,N('Deal maths'!H1076),N('Deal maths'!D1076)),0)</f>
        <v/>
      </c>
      <c r="C1076" s="91">
        <f>IF(B1076&gt;0,IF('Deal maths'!C1076="Local authority","Local authorities",LOWER(TRIM('Deal maths'!B1076))),"")</f>
        <v/>
      </c>
      <c r="D1076" s="91">
        <f>IF(C1076="","",IF(COUNTIF($C$4:C1075,C1076)=0,SUMIF($C$4:$C$3997,C1076,$B$4:$B$3997)-ROW()/1000000,""))</f>
        <v/>
      </c>
      <c r="E1076" s="91">
        <f>IF(AND(N('Deal maths'!F1076)&gt;AsAt,N('Deal maths'!E1076)&lt;=AsAt,IF(N('Deal maths'!H1076)&gt;0,N('Deal maths'!H1076),N('Deal maths'!D1076))&gt;0),N('Deal maths'!F1076)+ROW()/1000000,"")</f>
        <v/>
      </c>
    </row>
    <row r="1077">
      <c r="A1077" s="91" t="n"/>
      <c r="B1077" s="111">
        <f>IF(AND(N('Deal maths'!F1077)&gt;AsAt,N('Deal maths'!E1077)&lt;=AsAt),IF(N('Deal maths'!H1077)&gt;0,N('Deal maths'!H1077),N('Deal maths'!D1077)),0)</f>
        <v/>
      </c>
      <c r="C1077" s="91">
        <f>IF(B1077&gt;0,IF('Deal maths'!C1077="Local authority","Local authorities",LOWER(TRIM('Deal maths'!B1077))),"")</f>
        <v/>
      </c>
      <c r="D1077" s="91">
        <f>IF(C1077="","",IF(COUNTIF($C$4:C1076,C1077)=0,SUMIF($C$4:$C$3997,C1077,$B$4:$B$3997)-ROW()/1000000,""))</f>
        <v/>
      </c>
      <c r="E1077" s="91">
        <f>IF(AND(N('Deal maths'!F1077)&gt;AsAt,N('Deal maths'!E1077)&lt;=AsAt,IF(N('Deal maths'!H1077)&gt;0,N('Deal maths'!H1077),N('Deal maths'!D1077))&gt;0),N('Deal maths'!F1077)+ROW()/1000000,"")</f>
        <v/>
      </c>
    </row>
    <row r="1078">
      <c r="A1078" s="91" t="n"/>
      <c r="B1078" s="111">
        <f>IF(AND(N('Deal maths'!F1078)&gt;AsAt,N('Deal maths'!E1078)&lt;=AsAt),IF(N('Deal maths'!H1078)&gt;0,N('Deal maths'!H1078),N('Deal maths'!D1078)),0)</f>
        <v/>
      </c>
      <c r="C1078" s="91">
        <f>IF(B1078&gt;0,IF('Deal maths'!C1078="Local authority","Local authorities",LOWER(TRIM('Deal maths'!B1078))),"")</f>
        <v/>
      </c>
      <c r="D1078" s="91">
        <f>IF(C1078="","",IF(COUNTIF($C$4:C1077,C1078)=0,SUMIF($C$4:$C$3997,C1078,$B$4:$B$3997)-ROW()/1000000,""))</f>
        <v/>
      </c>
      <c r="E1078" s="91">
        <f>IF(AND(N('Deal maths'!F1078)&gt;AsAt,N('Deal maths'!E1078)&lt;=AsAt,IF(N('Deal maths'!H1078)&gt;0,N('Deal maths'!H1078),N('Deal maths'!D1078))&gt;0),N('Deal maths'!F1078)+ROW()/1000000,"")</f>
        <v/>
      </c>
    </row>
    <row r="1079">
      <c r="A1079" s="91" t="n"/>
      <c r="B1079" s="111">
        <f>IF(AND(N('Deal maths'!F1079)&gt;AsAt,N('Deal maths'!E1079)&lt;=AsAt),IF(N('Deal maths'!H1079)&gt;0,N('Deal maths'!H1079),N('Deal maths'!D1079)),0)</f>
        <v/>
      </c>
      <c r="C1079" s="91">
        <f>IF(B1079&gt;0,IF('Deal maths'!C1079="Local authority","Local authorities",LOWER(TRIM('Deal maths'!B1079))),"")</f>
        <v/>
      </c>
      <c r="D1079" s="91">
        <f>IF(C1079="","",IF(COUNTIF($C$4:C1078,C1079)=0,SUMIF($C$4:$C$3997,C1079,$B$4:$B$3997)-ROW()/1000000,""))</f>
        <v/>
      </c>
      <c r="E1079" s="91">
        <f>IF(AND(N('Deal maths'!F1079)&gt;AsAt,N('Deal maths'!E1079)&lt;=AsAt,IF(N('Deal maths'!H1079)&gt;0,N('Deal maths'!H1079),N('Deal maths'!D1079))&gt;0),N('Deal maths'!F1079)+ROW()/1000000,"")</f>
        <v/>
      </c>
    </row>
    <row r="1080">
      <c r="A1080" s="91" t="n"/>
      <c r="B1080" s="111">
        <f>IF(AND(N('Deal maths'!F1080)&gt;AsAt,N('Deal maths'!E1080)&lt;=AsAt),IF(N('Deal maths'!H1080)&gt;0,N('Deal maths'!H1080),N('Deal maths'!D1080)),0)</f>
        <v/>
      </c>
      <c r="C1080" s="91">
        <f>IF(B1080&gt;0,IF('Deal maths'!C1080="Local authority","Local authorities",LOWER(TRIM('Deal maths'!B1080))),"")</f>
        <v/>
      </c>
      <c r="D1080" s="91">
        <f>IF(C1080="","",IF(COUNTIF($C$4:C1079,C1080)=0,SUMIF($C$4:$C$3997,C1080,$B$4:$B$3997)-ROW()/1000000,""))</f>
        <v/>
      </c>
      <c r="E1080" s="91">
        <f>IF(AND(N('Deal maths'!F1080)&gt;AsAt,N('Deal maths'!E1080)&lt;=AsAt,IF(N('Deal maths'!H1080)&gt;0,N('Deal maths'!H1080),N('Deal maths'!D1080))&gt;0),N('Deal maths'!F1080)+ROW()/1000000,"")</f>
        <v/>
      </c>
    </row>
    <row r="1081">
      <c r="A1081" s="91" t="n"/>
      <c r="B1081" s="111">
        <f>IF(AND(N('Deal maths'!F1081)&gt;AsAt,N('Deal maths'!E1081)&lt;=AsAt),IF(N('Deal maths'!H1081)&gt;0,N('Deal maths'!H1081),N('Deal maths'!D1081)),0)</f>
        <v/>
      </c>
      <c r="C1081" s="91">
        <f>IF(B1081&gt;0,IF('Deal maths'!C1081="Local authority","Local authorities",LOWER(TRIM('Deal maths'!B1081))),"")</f>
        <v/>
      </c>
      <c r="D1081" s="91">
        <f>IF(C1081="","",IF(COUNTIF($C$4:C1080,C1081)=0,SUMIF($C$4:$C$3997,C1081,$B$4:$B$3997)-ROW()/1000000,""))</f>
        <v/>
      </c>
      <c r="E1081" s="91">
        <f>IF(AND(N('Deal maths'!F1081)&gt;AsAt,N('Deal maths'!E1081)&lt;=AsAt,IF(N('Deal maths'!H1081)&gt;0,N('Deal maths'!H1081),N('Deal maths'!D1081))&gt;0),N('Deal maths'!F1081)+ROW()/1000000,"")</f>
        <v/>
      </c>
    </row>
    <row r="1082">
      <c r="A1082" s="91" t="n"/>
      <c r="B1082" s="111">
        <f>IF(AND(N('Deal maths'!F1082)&gt;AsAt,N('Deal maths'!E1082)&lt;=AsAt),IF(N('Deal maths'!H1082)&gt;0,N('Deal maths'!H1082),N('Deal maths'!D1082)),0)</f>
        <v/>
      </c>
      <c r="C1082" s="91">
        <f>IF(B1082&gt;0,IF('Deal maths'!C1082="Local authority","Local authorities",LOWER(TRIM('Deal maths'!B1082))),"")</f>
        <v/>
      </c>
      <c r="D1082" s="91">
        <f>IF(C1082="","",IF(COUNTIF($C$4:C1081,C1082)=0,SUMIF($C$4:$C$3997,C1082,$B$4:$B$3997)-ROW()/1000000,""))</f>
        <v/>
      </c>
      <c r="E1082" s="91">
        <f>IF(AND(N('Deal maths'!F1082)&gt;AsAt,N('Deal maths'!E1082)&lt;=AsAt,IF(N('Deal maths'!H1082)&gt;0,N('Deal maths'!H1082),N('Deal maths'!D1082))&gt;0),N('Deal maths'!F1082)+ROW()/1000000,"")</f>
        <v/>
      </c>
    </row>
    <row r="1083">
      <c r="A1083" s="91" t="n"/>
      <c r="B1083" s="111">
        <f>IF(AND(N('Deal maths'!F1083)&gt;AsAt,N('Deal maths'!E1083)&lt;=AsAt),IF(N('Deal maths'!H1083)&gt;0,N('Deal maths'!H1083),N('Deal maths'!D1083)),0)</f>
        <v/>
      </c>
      <c r="C1083" s="91">
        <f>IF(B1083&gt;0,IF('Deal maths'!C1083="Local authority","Local authorities",LOWER(TRIM('Deal maths'!B1083))),"")</f>
        <v/>
      </c>
      <c r="D1083" s="91">
        <f>IF(C1083="","",IF(COUNTIF($C$4:C1082,C1083)=0,SUMIF($C$4:$C$3997,C1083,$B$4:$B$3997)-ROW()/1000000,""))</f>
        <v/>
      </c>
      <c r="E1083" s="91">
        <f>IF(AND(N('Deal maths'!F1083)&gt;AsAt,N('Deal maths'!E1083)&lt;=AsAt,IF(N('Deal maths'!H1083)&gt;0,N('Deal maths'!H1083),N('Deal maths'!D1083))&gt;0),N('Deal maths'!F1083)+ROW()/1000000,"")</f>
        <v/>
      </c>
    </row>
    <row r="1084">
      <c r="A1084" s="91" t="n"/>
      <c r="B1084" s="111">
        <f>IF(AND(N('Deal maths'!F1084)&gt;AsAt,N('Deal maths'!E1084)&lt;=AsAt),IF(N('Deal maths'!H1084)&gt;0,N('Deal maths'!H1084),N('Deal maths'!D1084)),0)</f>
        <v/>
      </c>
      <c r="C1084" s="91">
        <f>IF(B1084&gt;0,IF('Deal maths'!C1084="Local authority","Local authorities",LOWER(TRIM('Deal maths'!B1084))),"")</f>
        <v/>
      </c>
      <c r="D1084" s="91">
        <f>IF(C1084="","",IF(COUNTIF($C$4:C1083,C1084)=0,SUMIF($C$4:$C$3997,C1084,$B$4:$B$3997)-ROW()/1000000,""))</f>
        <v/>
      </c>
      <c r="E1084" s="91">
        <f>IF(AND(N('Deal maths'!F1084)&gt;AsAt,N('Deal maths'!E1084)&lt;=AsAt,IF(N('Deal maths'!H1084)&gt;0,N('Deal maths'!H1084),N('Deal maths'!D1084))&gt;0),N('Deal maths'!F1084)+ROW()/1000000,"")</f>
        <v/>
      </c>
    </row>
    <row r="1085">
      <c r="A1085" s="91" t="n"/>
      <c r="B1085" s="111">
        <f>IF(AND(N('Deal maths'!F1085)&gt;AsAt,N('Deal maths'!E1085)&lt;=AsAt),IF(N('Deal maths'!H1085)&gt;0,N('Deal maths'!H1085),N('Deal maths'!D1085)),0)</f>
        <v/>
      </c>
      <c r="C1085" s="91">
        <f>IF(B1085&gt;0,IF('Deal maths'!C1085="Local authority","Local authorities",LOWER(TRIM('Deal maths'!B1085))),"")</f>
        <v/>
      </c>
      <c r="D1085" s="91">
        <f>IF(C1085="","",IF(COUNTIF($C$4:C1084,C1085)=0,SUMIF($C$4:$C$3997,C1085,$B$4:$B$3997)-ROW()/1000000,""))</f>
        <v/>
      </c>
      <c r="E1085" s="91">
        <f>IF(AND(N('Deal maths'!F1085)&gt;AsAt,N('Deal maths'!E1085)&lt;=AsAt,IF(N('Deal maths'!H1085)&gt;0,N('Deal maths'!H1085),N('Deal maths'!D1085))&gt;0),N('Deal maths'!F1085)+ROW()/1000000,"")</f>
        <v/>
      </c>
    </row>
    <row r="1086">
      <c r="A1086" s="91" t="n"/>
      <c r="B1086" s="111">
        <f>IF(AND(N('Deal maths'!F1086)&gt;AsAt,N('Deal maths'!E1086)&lt;=AsAt),IF(N('Deal maths'!H1086)&gt;0,N('Deal maths'!H1086),N('Deal maths'!D1086)),0)</f>
        <v/>
      </c>
      <c r="C1086" s="91">
        <f>IF(B1086&gt;0,IF('Deal maths'!C1086="Local authority","Local authorities",LOWER(TRIM('Deal maths'!B1086))),"")</f>
        <v/>
      </c>
      <c r="D1086" s="91">
        <f>IF(C1086="","",IF(COUNTIF($C$4:C1085,C1086)=0,SUMIF($C$4:$C$3997,C1086,$B$4:$B$3997)-ROW()/1000000,""))</f>
        <v/>
      </c>
      <c r="E1086" s="91">
        <f>IF(AND(N('Deal maths'!F1086)&gt;AsAt,N('Deal maths'!E1086)&lt;=AsAt,IF(N('Deal maths'!H1086)&gt;0,N('Deal maths'!H1086),N('Deal maths'!D1086))&gt;0),N('Deal maths'!F1086)+ROW()/1000000,"")</f>
        <v/>
      </c>
    </row>
    <row r="1087">
      <c r="A1087" s="91" t="n"/>
      <c r="B1087" s="111">
        <f>IF(AND(N('Deal maths'!F1087)&gt;AsAt,N('Deal maths'!E1087)&lt;=AsAt),IF(N('Deal maths'!H1087)&gt;0,N('Deal maths'!H1087),N('Deal maths'!D1087)),0)</f>
        <v/>
      </c>
      <c r="C1087" s="91">
        <f>IF(B1087&gt;0,IF('Deal maths'!C1087="Local authority","Local authorities",LOWER(TRIM('Deal maths'!B1087))),"")</f>
        <v/>
      </c>
      <c r="D1087" s="91">
        <f>IF(C1087="","",IF(COUNTIF($C$4:C1086,C1087)=0,SUMIF($C$4:$C$3997,C1087,$B$4:$B$3997)-ROW()/1000000,""))</f>
        <v/>
      </c>
      <c r="E1087" s="91">
        <f>IF(AND(N('Deal maths'!F1087)&gt;AsAt,N('Deal maths'!E1087)&lt;=AsAt,IF(N('Deal maths'!H1087)&gt;0,N('Deal maths'!H1087),N('Deal maths'!D1087))&gt;0),N('Deal maths'!F1087)+ROW()/1000000,"")</f>
        <v/>
      </c>
    </row>
    <row r="1088">
      <c r="A1088" s="91" t="n"/>
      <c r="B1088" s="111">
        <f>IF(AND(N('Deal maths'!F1088)&gt;AsAt,N('Deal maths'!E1088)&lt;=AsAt),IF(N('Deal maths'!H1088)&gt;0,N('Deal maths'!H1088),N('Deal maths'!D1088)),0)</f>
        <v/>
      </c>
      <c r="C1088" s="91">
        <f>IF(B1088&gt;0,IF('Deal maths'!C1088="Local authority","Local authorities",LOWER(TRIM('Deal maths'!B1088))),"")</f>
        <v/>
      </c>
      <c r="D1088" s="91">
        <f>IF(C1088="","",IF(COUNTIF($C$4:C1087,C1088)=0,SUMIF($C$4:$C$3997,C1088,$B$4:$B$3997)-ROW()/1000000,""))</f>
        <v/>
      </c>
      <c r="E1088" s="91">
        <f>IF(AND(N('Deal maths'!F1088)&gt;AsAt,N('Deal maths'!E1088)&lt;=AsAt,IF(N('Deal maths'!H1088)&gt;0,N('Deal maths'!H1088),N('Deal maths'!D1088))&gt;0),N('Deal maths'!F1088)+ROW()/1000000,"")</f>
        <v/>
      </c>
    </row>
    <row r="1089">
      <c r="A1089" s="91" t="n"/>
      <c r="B1089" s="111">
        <f>IF(AND(N('Deal maths'!F1089)&gt;AsAt,N('Deal maths'!E1089)&lt;=AsAt),IF(N('Deal maths'!H1089)&gt;0,N('Deal maths'!H1089),N('Deal maths'!D1089)),0)</f>
        <v/>
      </c>
      <c r="C1089" s="91">
        <f>IF(B1089&gt;0,IF('Deal maths'!C1089="Local authority","Local authorities",LOWER(TRIM('Deal maths'!B1089))),"")</f>
        <v/>
      </c>
      <c r="D1089" s="91">
        <f>IF(C1089="","",IF(COUNTIF($C$4:C1088,C1089)=0,SUMIF($C$4:$C$3997,C1089,$B$4:$B$3997)-ROW()/1000000,""))</f>
        <v/>
      </c>
      <c r="E1089" s="91">
        <f>IF(AND(N('Deal maths'!F1089)&gt;AsAt,N('Deal maths'!E1089)&lt;=AsAt,IF(N('Deal maths'!H1089)&gt;0,N('Deal maths'!H1089),N('Deal maths'!D1089))&gt;0),N('Deal maths'!F1089)+ROW()/1000000,"")</f>
        <v/>
      </c>
    </row>
    <row r="1090">
      <c r="A1090" s="91" t="n"/>
      <c r="B1090" s="111">
        <f>IF(AND(N('Deal maths'!F1090)&gt;AsAt,N('Deal maths'!E1090)&lt;=AsAt),IF(N('Deal maths'!H1090)&gt;0,N('Deal maths'!H1090),N('Deal maths'!D1090)),0)</f>
        <v/>
      </c>
      <c r="C1090" s="91">
        <f>IF(B1090&gt;0,IF('Deal maths'!C1090="Local authority","Local authorities",LOWER(TRIM('Deal maths'!B1090))),"")</f>
        <v/>
      </c>
      <c r="D1090" s="91">
        <f>IF(C1090="","",IF(COUNTIF($C$4:C1089,C1090)=0,SUMIF($C$4:$C$3997,C1090,$B$4:$B$3997)-ROW()/1000000,""))</f>
        <v/>
      </c>
      <c r="E1090" s="91">
        <f>IF(AND(N('Deal maths'!F1090)&gt;AsAt,N('Deal maths'!E1090)&lt;=AsAt,IF(N('Deal maths'!H1090)&gt;0,N('Deal maths'!H1090),N('Deal maths'!D1090))&gt;0),N('Deal maths'!F1090)+ROW()/1000000,"")</f>
        <v/>
      </c>
    </row>
    <row r="1091">
      <c r="A1091" s="91" t="n"/>
      <c r="B1091" s="111">
        <f>IF(AND(N('Deal maths'!F1091)&gt;AsAt,N('Deal maths'!E1091)&lt;=AsAt),IF(N('Deal maths'!H1091)&gt;0,N('Deal maths'!H1091),N('Deal maths'!D1091)),0)</f>
        <v/>
      </c>
      <c r="C1091" s="91">
        <f>IF(B1091&gt;0,IF('Deal maths'!C1091="Local authority","Local authorities",LOWER(TRIM('Deal maths'!B1091))),"")</f>
        <v/>
      </c>
      <c r="D1091" s="91">
        <f>IF(C1091="","",IF(COUNTIF($C$4:C1090,C1091)=0,SUMIF($C$4:$C$3997,C1091,$B$4:$B$3997)-ROW()/1000000,""))</f>
        <v/>
      </c>
      <c r="E1091" s="91">
        <f>IF(AND(N('Deal maths'!F1091)&gt;AsAt,N('Deal maths'!E1091)&lt;=AsAt,IF(N('Deal maths'!H1091)&gt;0,N('Deal maths'!H1091),N('Deal maths'!D1091))&gt;0),N('Deal maths'!F1091)+ROW()/1000000,"")</f>
        <v/>
      </c>
    </row>
    <row r="1092">
      <c r="A1092" s="91" t="n"/>
      <c r="B1092" s="111">
        <f>IF(AND(N('Deal maths'!F1092)&gt;AsAt,N('Deal maths'!E1092)&lt;=AsAt),IF(N('Deal maths'!H1092)&gt;0,N('Deal maths'!H1092),N('Deal maths'!D1092)),0)</f>
        <v/>
      </c>
      <c r="C1092" s="91">
        <f>IF(B1092&gt;0,IF('Deal maths'!C1092="Local authority","Local authorities",LOWER(TRIM('Deal maths'!B1092))),"")</f>
        <v/>
      </c>
      <c r="D1092" s="91">
        <f>IF(C1092="","",IF(COUNTIF($C$4:C1091,C1092)=0,SUMIF($C$4:$C$3997,C1092,$B$4:$B$3997)-ROW()/1000000,""))</f>
        <v/>
      </c>
      <c r="E1092" s="91">
        <f>IF(AND(N('Deal maths'!F1092)&gt;AsAt,N('Deal maths'!E1092)&lt;=AsAt,IF(N('Deal maths'!H1092)&gt;0,N('Deal maths'!H1092),N('Deal maths'!D1092))&gt;0),N('Deal maths'!F1092)+ROW()/1000000,"")</f>
        <v/>
      </c>
    </row>
    <row r="1093">
      <c r="A1093" s="91" t="n"/>
      <c r="B1093" s="111">
        <f>IF(AND(N('Deal maths'!F1093)&gt;AsAt,N('Deal maths'!E1093)&lt;=AsAt),IF(N('Deal maths'!H1093)&gt;0,N('Deal maths'!H1093),N('Deal maths'!D1093)),0)</f>
        <v/>
      </c>
      <c r="C1093" s="91">
        <f>IF(B1093&gt;0,IF('Deal maths'!C1093="Local authority","Local authorities",LOWER(TRIM('Deal maths'!B1093))),"")</f>
        <v/>
      </c>
      <c r="D1093" s="91">
        <f>IF(C1093="","",IF(COUNTIF($C$4:C1092,C1093)=0,SUMIF($C$4:$C$3997,C1093,$B$4:$B$3997)-ROW()/1000000,""))</f>
        <v/>
      </c>
      <c r="E1093" s="91">
        <f>IF(AND(N('Deal maths'!F1093)&gt;AsAt,N('Deal maths'!E1093)&lt;=AsAt,IF(N('Deal maths'!H1093)&gt;0,N('Deal maths'!H1093),N('Deal maths'!D1093))&gt;0),N('Deal maths'!F1093)+ROW()/1000000,"")</f>
        <v/>
      </c>
    </row>
    <row r="1094">
      <c r="A1094" s="91" t="n"/>
      <c r="B1094" s="111">
        <f>IF(AND(N('Deal maths'!F1094)&gt;AsAt,N('Deal maths'!E1094)&lt;=AsAt),IF(N('Deal maths'!H1094)&gt;0,N('Deal maths'!H1094),N('Deal maths'!D1094)),0)</f>
        <v/>
      </c>
      <c r="C1094" s="91">
        <f>IF(B1094&gt;0,IF('Deal maths'!C1094="Local authority","Local authorities",LOWER(TRIM('Deal maths'!B1094))),"")</f>
        <v/>
      </c>
      <c r="D1094" s="91">
        <f>IF(C1094="","",IF(COUNTIF($C$4:C1093,C1094)=0,SUMIF($C$4:$C$3997,C1094,$B$4:$B$3997)-ROW()/1000000,""))</f>
        <v/>
      </c>
      <c r="E1094" s="91">
        <f>IF(AND(N('Deal maths'!F1094)&gt;AsAt,N('Deal maths'!E1094)&lt;=AsAt,IF(N('Deal maths'!H1094)&gt;0,N('Deal maths'!H1094),N('Deal maths'!D1094))&gt;0),N('Deal maths'!F1094)+ROW()/1000000,"")</f>
        <v/>
      </c>
    </row>
    <row r="1095">
      <c r="A1095" s="91" t="n"/>
      <c r="B1095" s="111">
        <f>IF(AND(N('Deal maths'!F1095)&gt;AsAt,N('Deal maths'!E1095)&lt;=AsAt),IF(N('Deal maths'!H1095)&gt;0,N('Deal maths'!H1095),N('Deal maths'!D1095)),0)</f>
        <v/>
      </c>
      <c r="C1095" s="91">
        <f>IF(B1095&gt;0,IF('Deal maths'!C1095="Local authority","Local authorities",LOWER(TRIM('Deal maths'!B1095))),"")</f>
        <v/>
      </c>
      <c r="D1095" s="91">
        <f>IF(C1095="","",IF(COUNTIF($C$4:C1094,C1095)=0,SUMIF($C$4:$C$3997,C1095,$B$4:$B$3997)-ROW()/1000000,""))</f>
        <v/>
      </c>
      <c r="E1095" s="91">
        <f>IF(AND(N('Deal maths'!F1095)&gt;AsAt,N('Deal maths'!E1095)&lt;=AsAt,IF(N('Deal maths'!H1095)&gt;0,N('Deal maths'!H1095),N('Deal maths'!D1095))&gt;0),N('Deal maths'!F1095)+ROW()/1000000,"")</f>
        <v/>
      </c>
    </row>
    <row r="1096">
      <c r="A1096" s="91" t="n"/>
      <c r="B1096" s="111">
        <f>IF(AND(N('Deal maths'!F1096)&gt;AsAt,N('Deal maths'!E1096)&lt;=AsAt),IF(N('Deal maths'!H1096)&gt;0,N('Deal maths'!H1096),N('Deal maths'!D1096)),0)</f>
        <v/>
      </c>
      <c r="C1096" s="91">
        <f>IF(B1096&gt;0,IF('Deal maths'!C1096="Local authority","Local authorities",LOWER(TRIM('Deal maths'!B1096))),"")</f>
        <v/>
      </c>
      <c r="D1096" s="91">
        <f>IF(C1096="","",IF(COUNTIF($C$4:C1095,C1096)=0,SUMIF($C$4:$C$3997,C1096,$B$4:$B$3997)-ROW()/1000000,""))</f>
        <v/>
      </c>
      <c r="E1096" s="91">
        <f>IF(AND(N('Deal maths'!F1096)&gt;AsAt,N('Deal maths'!E1096)&lt;=AsAt,IF(N('Deal maths'!H1096)&gt;0,N('Deal maths'!H1096),N('Deal maths'!D1096))&gt;0),N('Deal maths'!F1096)+ROW()/1000000,"")</f>
        <v/>
      </c>
    </row>
    <row r="1097">
      <c r="A1097" s="91" t="n"/>
      <c r="B1097" s="111">
        <f>IF(AND(N('Deal maths'!F1097)&gt;AsAt,N('Deal maths'!E1097)&lt;=AsAt),IF(N('Deal maths'!H1097)&gt;0,N('Deal maths'!H1097),N('Deal maths'!D1097)),0)</f>
        <v/>
      </c>
      <c r="C1097" s="91">
        <f>IF(B1097&gt;0,IF('Deal maths'!C1097="Local authority","Local authorities",LOWER(TRIM('Deal maths'!B1097))),"")</f>
        <v/>
      </c>
      <c r="D1097" s="91">
        <f>IF(C1097="","",IF(COUNTIF($C$4:C1096,C1097)=0,SUMIF($C$4:$C$3997,C1097,$B$4:$B$3997)-ROW()/1000000,""))</f>
        <v/>
      </c>
      <c r="E1097" s="91">
        <f>IF(AND(N('Deal maths'!F1097)&gt;AsAt,N('Deal maths'!E1097)&lt;=AsAt,IF(N('Deal maths'!H1097)&gt;0,N('Deal maths'!H1097),N('Deal maths'!D1097))&gt;0),N('Deal maths'!F1097)+ROW()/1000000,"")</f>
        <v/>
      </c>
    </row>
    <row r="1098">
      <c r="A1098" s="91" t="n"/>
      <c r="B1098" s="111">
        <f>IF(AND(N('Deal maths'!F1098)&gt;AsAt,N('Deal maths'!E1098)&lt;=AsAt),IF(N('Deal maths'!H1098)&gt;0,N('Deal maths'!H1098),N('Deal maths'!D1098)),0)</f>
        <v/>
      </c>
      <c r="C1098" s="91">
        <f>IF(B1098&gt;0,IF('Deal maths'!C1098="Local authority","Local authorities",LOWER(TRIM('Deal maths'!B1098))),"")</f>
        <v/>
      </c>
      <c r="D1098" s="91">
        <f>IF(C1098="","",IF(COUNTIF($C$4:C1097,C1098)=0,SUMIF($C$4:$C$3997,C1098,$B$4:$B$3997)-ROW()/1000000,""))</f>
        <v/>
      </c>
      <c r="E1098" s="91">
        <f>IF(AND(N('Deal maths'!F1098)&gt;AsAt,N('Deal maths'!E1098)&lt;=AsAt,IF(N('Deal maths'!H1098)&gt;0,N('Deal maths'!H1098),N('Deal maths'!D1098))&gt;0),N('Deal maths'!F1098)+ROW()/1000000,"")</f>
        <v/>
      </c>
    </row>
    <row r="1099">
      <c r="A1099" s="91" t="n"/>
      <c r="B1099" s="111">
        <f>IF(AND(N('Deal maths'!F1099)&gt;AsAt,N('Deal maths'!E1099)&lt;=AsAt),IF(N('Deal maths'!H1099)&gt;0,N('Deal maths'!H1099),N('Deal maths'!D1099)),0)</f>
        <v/>
      </c>
      <c r="C1099" s="91">
        <f>IF(B1099&gt;0,IF('Deal maths'!C1099="Local authority","Local authorities",LOWER(TRIM('Deal maths'!B1099))),"")</f>
        <v/>
      </c>
      <c r="D1099" s="91">
        <f>IF(C1099="","",IF(COUNTIF($C$4:C1098,C1099)=0,SUMIF($C$4:$C$3997,C1099,$B$4:$B$3997)-ROW()/1000000,""))</f>
        <v/>
      </c>
      <c r="E1099" s="91">
        <f>IF(AND(N('Deal maths'!F1099)&gt;AsAt,N('Deal maths'!E1099)&lt;=AsAt,IF(N('Deal maths'!H1099)&gt;0,N('Deal maths'!H1099),N('Deal maths'!D1099))&gt;0),N('Deal maths'!F1099)+ROW()/1000000,"")</f>
        <v/>
      </c>
    </row>
    <row r="1100">
      <c r="A1100" s="91" t="n"/>
      <c r="B1100" s="111">
        <f>IF(AND(N('Deal maths'!F1100)&gt;AsAt,N('Deal maths'!E1100)&lt;=AsAt),IF(N('Deal maths'!H1100)&gt;0,N('Deal maths'!H1100),N('Deal maths'!D1100)),0)</f>
        <v/>
      </c>
      <c r="C1100" s="91">
        <f>IF(B1100&gt;0,IF('Deal maths'!C1100="Local authority","Local authorities",LOWER(TRIM('Deal maths'!B1100))),"")</f>
        <v/>
      </c>
      <c r="D1100" s="91">
        <f>IF(C1100="","",IF(COUNTIF($C$4:C1099,C1100)=0,SUMIF($C$4:$C$3997,C1100,$B$4:$B$3997)-ROW()/1000000,""))</f>
        <v/>
      </c>
      <c r="E1100" s="91">
        <f>IF(AND(N('Deal maths'!F1100)&gt;AsAt,N('Deal maths'!E1100)&lt;=AsAt,IF(N('Deal maths'!H1100)&gt;0,N('Deal maths'!H1100),N('Deal maths'!D1100))&gt;0),N('Deal maths'!F1100)+ROW()/1000000,"")</f>
        <v/>
      </c>
    </row>
    <row r="1101">
      <c r="A1101" s="91" t="n"/>
      <c r="B1101" s="111">
        <f>IF(AND(N('Deal maths'!F1101)&gt;AsAt,N('Deal maths'!E1101)&lt;=AsAt),IF(N('Deal maths'!H1101)&gt;0,N('Deal maths'!H1101),N('Deal maths'!D1101)),0)</f>
        <v/>
      </c>
      <c r="C1101" s="91">
        <f>IF(B1101&gt;0,IF('Deal maths'!C1101="Local authority","Local authorities",LOWER(TRIM('Deal maths'!B1101))),"")</f>
        <v/>
      </c>
      <c r="D1101" s="91">
        <f>IF(C1101="","",IF(COUNTIF($C$4:C1100,C1101)=0,SUMIF($C$4:$C$3997,C1101,$B$4:$B$3997)-ROW()/1000000,""))</f>
        <v/>
      </c>
      <c r="E1101" s="91">
        <f>IF(AND(N('Deal maths'!F1101)&gt;AsAt,N('Deal maths'!E1101)&lt;=AsAt,IF(N('Deal maths'!H1101)&gt;0,N('Deal maths'!H1101),N('Deal maths'!D1101))&gt;0),N('Deal maths'!F1101)+ROW()/1000000,"")</f>
        <v/>
      </c>
    </row>
    <row r="1102">
      <c r="A1102" s="91" t="n"/>
      <c r="B1102" s="111">
        <f>IF(AND(N('Deal maths'!F1102)&gt;AsAt,N('Deal maths'!E1102)&lt;=AsAt),IF(N('Deal maths'!H1102)&gt;0,N('Deal maths'!H1102),N('Deal maths'!D1102)),0)</f>
        <v/>
      </c>
      <c r="C1102" s="91">
        <f>IF(B1102&gt;0,IF('Deal maths'!C1102="Local authority","Local authorities",LOWER(TRIM('Deal maths'!B1102))),"")</f>
        <v/>
      </c>
      <c r="D1102" s="91">
        <f>IF(C1102="","",IF(COUNTIF($C$4:C1101,C1102)=0,SUMIF($C$4:$C$3997,C1102,$B$4:$B$3997)-ROW()/1000000,""))</f>
        <v/>
      </c>
      <c r="E1102" s="91">
        <f>IF(AND(N('Deal maths'!F1102)&gt;AsAt,N('Deal maths'!E1102)&lt;=AsAt,IF(N('Deal maths'!H1102)&gt;0,N('Deal maths'!H1102),N('Deal maths'!D1102))&gt;0),N('Deal maths'!F1102)+ROW()/1000000,"")</f>
        <v/>
      </c>
    </row>
    <row r="1103">
      <c r="A1103" s="91" t="n"/>
      <c r="B1103" s="111">
        <f>IF(AND(N('Deal maths'!F1103)&gt;AsAt,N('Deal maths'!E1103)&lt;=AsAt),IF(N('Deal maths'!H1103)&gt;0,N('Deal maths'!H1103),N('Deal maths'!D1103)),0)</f>
        <v/>
      </c>
      <c r="C1103" s="91">
        <f>IF(B1103&gt;0,IF('Deal maths'!C1103="Local authority","Local authorities",LOWER(TRIM('Deal maths'!B1103))),"")</f>
        <v/>
      </c>
      <c r="D1103" s="91">
        <f>IF(C1103="","",IF(COUNTIF($C$4:C1102,C1103)=0,SUMIF($C$4:$C$3997,C1103,$B$4:$B$3997)-ROW()/1000000,""))</f>
        <v/>
      </c>
      <c r="E1103" s="91">
        <f>IF(AND(N('Deal maths'!F1103)&gt;AsAt,N('Deal maths'!E1103)&lt;=AsAt,IF(N('Deal maths'!H1103)&gt;0,N('Deal maths'!H1103),N('Deal maths'!D1103))&gt;0),N('Deal maths'!F1103)+ROW()/1000000,"")</f>
        <v/>
      </c>
    </row>
    <row r="1104">
      <c r="A1104" s="91" t="n"/>
      <c r="B1104" s="111">
        <f>IF(AND(N('Deal maths'!F1104)&gt;AsAt,N('Deal maths'!E1104)&lt;=AsAt),IF(N('Deal maths'!H1104)&gt;0,N('Deal maths'!H1104),N('Deal maths'!D1104)),0)</f>
        <v/>
      </c>
      <c r="C1104" s="91">
        <f>IF(B1104&gt;0,IF('Deal maths'!C1104="Local authority","Local authorities",LOWER(TRIM('Deal maths'!B1104))),"")</f>
        <v/>
      </c>
      <c r="D1104" s="91">
        <f>IF(C1104="","",IF(COUNTIF($C$4:C1103,C1104)=0,SUMIF($C$4:$C$3997,C1104,$B$4:$B$3997)-ROW()/1000000,""))</f>
        <v/>
      </c>
      <c r="E1104" s="91">
        <f>IF(AND(N('Deal maths'!F1104)&gt;AsAt,N('Deal maths'!E1104)&lt;=AsAt,IF(N('Deal maths'!H1104)&gt;0,N('Deal maths'!H1104),N('Deal maths'!D1104))&gt;0),N('Deal maths'!F1104)+ROW()/1000000,"")</f>
        <v/>
      </c>
    </row>
    <row r="1105">
      <c r="A1105" s="91" t="n"/>
      <c r="B1105" s="111">
        <f>IF(AND(N('Deal maths'!F1105)&gt;AsAt,N('Deal maths'!E1105)&lt;=AsAt),IF(N('Deal maths'!H1105)&gt;0,N('Deal maths'!H1105),N('Deal maths'!D1105)),0)</f>
        <v/>
      </c>
      <c r="C1105" s="91">
        <f>IF(B1105&gt;0,IF('Deal maths'!C1105="Local authority","Local authorities",LOWER(TRIM('Deal maths'!B1105))),"")</f>
        <v/>
      </c>
      <c r="D1105" s="91">
        <f>IF(C1105="","",IF(COUNTIF($C$4:C1104,C1105)=0,SUMIF($C$4:$C$3997,C1105,$B$4:$B$3997)-ROW()/1000000,""))</f>
        <v/>
      </c>
      <c r="E1105" s="91">
        <f>IF(AND(N('Deal maths'!F1105)&gt;AsAt,N('Deal maths'!E1105)&lt;=AsAt,IF(N('Deal maths'!H1105)&gt;0,N('Deal maths'!H1105),N('Deal maths'!D1105))&gt;0),N('Deal maths'!F1105)+ROW()/1000000,"")</f>
        <v/>
      </c>
    </row>
    <row r="1106">
      <c r="A1106" s="91" t="n"/>
      <c r="B1106" s="111">
        <f>IF(AND(N('Deal maths'!F1106)&gt;AsAt,N('Deal maths'!E1106)&lt;=AsAt),IF(N('Deal maths'!H1106)&gt;0,N('Deal maths'!H1106),N('Deal maths'!D1106)),0)</f>
        <v/>
      </c>
      <c r="C1106" s="91">
        <f>IF(B1106&gt;0,IF('Deal maths'!C1106="Local authority","Local authorities",LOWER(TRIM('Deal maths'!B1106))),"")</f>
        <v/>
      </c>
      <c r="D1106" s="91">
        <f>IF(C1106="","",IF(COUNTIF($C$4:C1105,C1106)=0,SUMIF($C$4:$C$3997,C1106,$B$4:$B$3997)-ROW()/1000000,""))</f>
        <v/>
      </c>
      <c r="E1106" s="91">
        <f>IF(AND(N('Deal maths'!F1106)&gt;AsAt,N('Deal maths'!E1106)&lt;=AsAt,IF(N('Deal maths'!H1106)&gt;0,N('Deal maths'!H1106),N('Deal maths'!D1106))&gt;0),N('Deal maths'!F1106)+ROW()/1000000,"")</f>
        <v/>
      </c>
    </row>
    <row r="1107">
      <c r="A1107" s="91" t="n"/>
      <c r="B1107" s="111">
        <f>IF(AND(N('Deal maths'!F1107)&gt;AsAt,N('Deal maths'!E1107)&lt;=AsAt),IF(N('Deal maths'!H1107)&gt;0,N('Deal maths'!H1107),N('Deal maths'!D1107)),0)</f>
        <v/>
      </c>
      <c r="C1107" s="91">
        <f>IF(B1107&gt;0,IF('Deal maths'!C1107="Local authority","Local authorities",LOWER(TRIM('Deal maths'!B1107))),"")</f>
        <v/>
      </c>
      <c r="D1107" s="91">
        <f>IF(C1107="","",IF(COUNTIF($C$4:C1106,C1107)=0,SUMIF($C$4:$C$3997,C1107,$B$4:$B$3997)-ROW()/1000000,""))</f>
        <v/>
      </c>
      <c r="E1107" s="91">
        <f>IF(AND(N('Deal maths'!F1107)&gt;AsAt,N('Deal maths'!E1107)&lt;=AsAt,IF(N('Deal maths'!H1107)&gt;0,N('Deal maths'!H1107),N('Deal maths'!D1107))&gt;0),N('Deal maths'!F1107)+ROW()/1000000,"")</f>
        <v/>
      </c>
    </row>
    <row r="1108">
      <c r="A1108" s="91" t="n"/>
      <c r="B1108" s="111">
        <f>IF(AND(N('Deal maths'!F1108)&gt;AsAt,N('Deal maths'!E1108)&lt;=AsAt),IF(N('Deal maths'!H1108)&gt;0,N('Deal maths'!H1108),N('Deal maths'!D1108)),0)</f>
        <v/>
      </c>
      <c r="C1108" s="91">
        <f>IF(B1108&gt;0,IF('Deal maths'!C1108="Local authority","Local authorities",LOWER(TRIM('Deal maths'!B1108))),"")</f>
        <v/>
      </c>
      <c r="D1108" s="91">
        <f>IF(C1108="","",IF(COUNTIF($C$4:C1107,C1108)=0,SUMIF($C$4:$C$3997,C1108,$B$4:$B$3997)-ROW()/1000000,""))</f>
        <v/>
      </c>
      <c r="E1108" s="91">
        <f>IF(AND(N('Deal maths'!F1108)&gt;AsAt,N('Deal maths'!E1108)&lt;=AsAt,IF(N('Deal maths'!H1108)&gt;0,N('Deal maths'!H1108),N('Deal maths'!D1108))&gt;0),N('Deal maths'!F1108)+ROW()/1000000,"")</f>
        <v/>
      </c>
    </row>
    <row r="1109">
      <c r="A1109" s="91" t="n"/>
      <c r="B1109" s="111">
        <f>IF(AND(N('Deal maths'!F1109)&gt;AsAt,N('Deal maths'!E1109)&lt;=AsAt),IF(N('Deal maths'!H1109)&gt;0,N('Deal maths'!H1109),N('Deal maths'!D1109)),0)</f>
        <v/>
      </c>
      <c r="C1109" s="91">
        <f>IF(B1109&gt;0,IF('Deal maths'!C1109="Local authority","Local authorities",LOWER(TRIM('Deal maths'!B1109))),"")</f>
        <v/>
      </c>
      <c r="D1109" s="91">
        <f>IF(C1109="","",IF(COUNTIF($C$4:C1108,C1109)=0,SUMIF($C$4:$C$3997,C1109,$B$4:$B$3997)-ROW()/1000000,""))</f>
        <v/>
      </c>
      <c r="E1109" s="91">
        <f>IF(AND(N('Deal maths'!F1109)&gt;AsAt,N('Deal maths'!E1109)&lt;=AsAt,IF(N('Deal maths'!H1109)&gt;0,N('Deal maths'!H1109),N('Deal maths'!D1109))&gt;0),N('Deal maths'!F1109)+ROW()/1000000,"")</f>
        <v/>
      </c>
    </row>
    <row r="1110">
      <c r="A1110" s="91" t="n"/>
      <c r="B1110" s="111">
        <f>IF(AND(N('Deal maths'!F1110)&gt;AsAt,N('Deal maths'!E1110)&lt;=AsAt),IF(N('Deal maths'!H1110)&gt;0,N('Deal maths'!H1110),N('Deal maths'!D1110)),0)</f>
        <v/>
      </c>
      <c r="C1110" s="91">
        <f>IF(B1110&gt;0,IF('Deal maths'!C1110="Local authority","Local authorities",LOWER(TRIM('Deal maths'!B1110))),"")</f>
        <v/>
      </c>
      <c r="D1110" s="91">
        <f>IF(C1110="","",IF(COUNTIF($C$4:C1109,C1110)=0,SUMIF($C$4:$C$3997,C1110,$B$4:$B$3997)-ROW()/1000000,""))</f>
        <v/>
      </c>
      <c r="E1110" s="91">
        <f>IF(AND(N('Deal maths'!F1110)&gt;AsAt,N('Deal maths'!E1110)&lt;=AsAt,IF(N('Deal maths'!H1110)&gt;0,N('Deal maths'!H1110),N('Deal maths'!D1110))&gt;0),N('Deal maths'!F1110)+ROW()/1000000,"")</f>
        <v/>
      </c>
    </row>
    <row r="1111">
      <c r="A1111" s="91" t="n"/>
      <c r="B1111" s="111">
        <f>IF(AND(N('Deal maths'!F1111)&gt;AsAt,N('Deal maths'!E1111)&lt;=AsAt),IF(N('Deal maths'!H1111)&gt;0,N('Deal maths'!H1111),N('Deal maths'!D1111)),0)</f>
        <v/>
      </c>
      <c r="C1111" s="91">
        <f>IF(B1111&gt;0,IF('Deal maths'!C1111="Local authority","Local authorities",LOWER(TRIM('Deal maths'!B1111))),"")</f>
        <v/>
      </c>
      <c r="D1111" s="91">
        <f>IF(C1111="","",IF(COUNTIF($C$4:C1110,C1111)=0,SUMIF($C$4:$C$3997,C1111,$B$4:$B$3997)-ROW()/1000000,""))</f>
        <v/>
      </c>
      <c r="E1111" s="91">
        <f>IF(AND(N('Deal maths'!F1111)&gt;AsAt,N('Deal maths'!E1111)&lt;=AsAt,IF(N('Deal maths'!H1111)&gt;0,N('Deal maths'!H1111),N('Deal maths'!D1111))&gt;0),N('Deal maths'!F1111)+ROW()/1000000,"")</f>
        <v/>
      </c>
    </row>
    <row r="1112">
      <c r="A1112" s="91" t="n"/>
      <c r="B1112" s="111">
        <f>IF(AND(N('Deal maths'!F1112)&gt;AsAt,N('Deal maths'!E1112)&lt;=AsAt),IF(N('Deal maths'!H1112)&gt;0,N('Deal maths'!H1112),N('Deal maths'!D1112)),0)</f>
        <v/>
      </c>
      <c r="C1112" s="91">
        <f>IF(B1112&gt;0,IF('Deal maths'!C1112="Local authority","Local authorities",LOWER(TRIM('Deal maths'!B1112))),"")</f>
        <v/>
      </c>
      <c r="D1112" s="91">
        <f>IF(C1112="","",IF(COUNTIF($C$4:C1111,C1112)=0,SUMIF($C$4:$C$3997,C1112,$B$4:$B$3997)-ROW()/1000000,""))</f>
        <v/>
      </c>
      <c r="E1112" s="91">
        <f>IF(AND(N('Deal maths'!F1112)&gt;AsAt,N('Deal maths'!E1112)&lt;=AsAt,IF(N('Deal maths'!H1112)&gt;0,N('Deal maths'!H1112),N('Deal maths'!D1112))&gt;0),N('Deal maths'!F1112)+ROW()/1000000,"")</f>
        <v/>
      </c>
    </row>
    <row r="1113">
      <c r="A1113" s="91" t="n"/>
      <c r="B1113" s="111">
        <f>IF(AND(N('Deal maths'!F1113)&gt;AsAt,N('Deal maths'!E1113)&lt;=AsAt),IF(N('Deal maths'!H1113)&gt;0,N('Deal maths'!H1113),N('Deal maths'!D1113)),0)</f>
        <v/>
      </c>
      <c r="C1113" s="91">
        <f>IF(B1113&gt;0,IF('Deal maths'!C1113="Local authority","Local authorities",LOWER(TRIM('Deal maths'!B1113))),"")</f>
        <v/>
      </c>
      <c r="D1113" s="91">
        <f>IF(C1113="","",IF(COUNTIF($C$4:C1112,C1113)=0,SUMIF($C$4:$C$3997,C1113,$B$4:$B$3997)-ROW()/1000000,""))</f>
        <v/>
      </c>
      <c r="E1113" s="91">
        <f>IF(AND(N('Deal maths'!F1113)&gt;AsAt,N('Deal maths'!E1113)&lt;=AsAt,IF(N('Deal maths'!H1113)&gt;0,N('Deal maths'!H1113),N('Deal maths'!D1113))&gt;0),N('Deal maths'!F1113)+ROW()/1000000,"")</f>
        <v/>
      </c>
    </row>
    <row r="1114">
      <c r="A1114" s="91" t="n"/>
      <c r="B1114" s="111">
        <f>IF(AND(N('Deal maths'!F1114)&gt;AsAt,N('Deal maths'!E1114)&lt;=AsAt),IF(N('Deal maths'!H1114)&gt;0,N('Deal maths'!H1114),N('Deal maths'!D1114)),0)</f>
        <v/>
      </c>
      <c r="C1114" s="91">
        <f>IF(B1114&gt;0,IF('Deal maths'!C1114="Local authority","Local authorities",LOWER(TRIM('Deal maths'!B1114))),"")</f>
        <v/>
      </c>
      <c r="D1114" s="91">
        <f>IF(C1114="","",IF(COUNTIF($C$4:C1113,C1114)=0,SUMIF($C$4:$C$3997,C1114,$B$4:$B$3997)-ROW()/1000000,""))</f>
        <v/>
      </c>
      <c r="E1114" s="91">
        <f>IF(AND(N('Deal maths'!F1114)&gt;AsAt,N('Deal maths'!E1114)&lt;=AsAt,IF(N('Deal maths'!H1114)&gt;0,N('Deal maths'!H1114),N('Deal maths'!D1114))&gt;0),N('Deal maths'!F1114)+ROW()/1000000,"")</f>
        <v/>
      </c>
    </row>
    <row r="1115">
      <c r="A1115" s="91" t="n"/>
      <c r="B1115" s="111">
        <f>IF(AND(N('Deal maths'!F1115)&gt;AsAt,N('Deal maths'!E1115)&lt;=AsAt),IF(N('Deal maths'!H1115)&gt;0,N('Deal maths'!H1115),N('Deal maths'!D1115)),0)</f>
        <v/>
      </c>
      <c r="C1115" s="91">
        <f>IF(B1115&gt;0,IF('Deal maths'!C1115="Local authority","Local authorities",LOWER(TRIM('Deal maths'!B1115))),"")</f>
        <v/>
      </c>
      <c r="D1115" s="91">
        <f>IF(C1115="","",IF(COUNTIF($C$4:C1114,C1115)=0,SUMIF($C$4:$C$3997,C1115,$B$4:$B$3997)-ROW()/1000000,""))</f>
        <v/>
      </c>
      <c r="E1115" s="91">
        <f>IF(AND(N('Deal maths'!F1115)&gt;AsAt,N('Deal maths'!E1115)&lt;=AsAt,IF(N('Deal maths'!H1115)&gt;0,N('Deal maths'!H1115),N('Deal maths'!D1115))&gt;0),N('Deal maths'!F1115)+ROW()/1000000,"")</f>
        <v/>
      </c>
    </row>
    <row r="1116">
      <c r="A1116" s="91" t="n"/>
      <c r="B1116" s="111">
        <f>IF(AND(N('Deal maths'!F1116)&gt;AsAt,N('Deal maths'!E1116)&lt;=AsAt),IF(N('Deal maths'!H1116)&gt;0,N('Deal maths'!H1116),N('Deal maths'!D1116)),0)</f>
        <v/>
      </c>
      <c r="C1116" s="91">
        <f>IF(B1116&gt;0,IF('Deal maths'!C1116="Local authority","Local authorities",LOWER(TRIM('Deal maths'!B1116))),"")</f>
        <v/>
      </c>
      <c r="D1116" s="91">
        <f>IF(C1116="","",IF(COUNTIF($C$4:C1115,C1116)=0,SUMIF($C$4:$C$3997,C1116,$B$4:$B$3997)-ROW()/1000000,""))</f>
        <v/>
      </c>
      <c r="E1116" s="91">
        <f>IF(AND(N('Deal maths'!F1116)&gt;AsAt,N('Deal maths'!E1116)&lt;=AsAt,IF(N('Deal maths'!H1116)&gt;0,N('Deal maths'!H1116),N('Deal maths'!D1116))&gt;0),N('Deal maths'!F1116)+ROW()/1000000,"")</f>
        <v/>
      </c>
    </row>
    <row r="1117">
      <c r="A1117" s="91" t="n"/>
      <c r="B1117" s="111">
        <f>IF(AND(N('Deal maths'!F1117)&gt;AsAt,N('Deal maths'!E1117)&lt;=AsAt),IF(N('Deal maths'!H1117)&gt;0,N('Deal maths'!H1117),N('Deal maths'!D1117)),0)</f>
        <v/>
      </c>
      <c r="C1117" s="91">
        <f>IF(B1117&gt;0,IF('Deal maths'!C1117="Local authority","Local authorities",LOWER(TRIM('Deal maths'!B1117))),"")</f>
        <v/>
      </c>
      <c r="D1117" s="91">
        <f>IF(C1117="","",IF(COUNTIF($C$4:C1116,C1117)=0,SUMIF($C$4:$C$3997,C1117,$B$4:$B$3997)-ROW()/1000000,""))</f>
        <v/>
      </c>
      <c r="E1117" s="91">
        <f>IF(AND(N('Deal maths'!F1117)&gt;AsAt,N('Deal maths'!E1117)&lt;=AsAt,IF(N('Deal maths'!H1117)&gt;0,N('Deal maths'!H1117),N('Deal maths'!D1117))&gt;0),N('Deal maths'!F1117)+ROW()/1000000,"")</f>
        <v/>
      </c>
    </row>
    <row r="1118">
      <c r="A1118" s="91" t="n"/>
      <c r="B1118" s="111">
        <f>IF(AND(N('Deal maths'!F1118)&gt;AsAt,N('Deal maths'!E1118)&lt;=AsAt),IF(N('Deal maths'!H1118)&gt;0,N('Deal maths'!H1118),N('Deal maths'!D1118)),0)</f>
        <v/>
      </c>
      <c r="C1118" s="91">
        <f>IF(B1118&gt;0,IF('Deal maths'!C1118="Local authority","Local authorities",LOWER(TRIM('Deal maths'!B1118))),"")</f>
        <v/>
      </c>
      <c r="D1118" s="91">
        <f>IF(C1118="","",IF(COUNTIF($C$4:C1117,C1118)=0,SUMIF($C$4:$C$3997,C1118,$B$4:$B$3997)-ROW()/1000000,""))</f>
        <v/>
      </c>
      <c r="E1118" s="91">
        <f>IF(AND(N('Deal maths'!F1118)&gt;AsAt,N('Deal maths'!E1118)&lt;=AsAt,IF(N('Deal maths'!H1118)&gt;0,N('Deal maths'!H1118),N('Deal maths'!D1118))&gt;0),N('Deal maths'!F1118)+ROW()/1000000,"")</f>
        <v/>
      </c>
    </row>
    <row r="1119">
      <c r="A1119" s="91" t="n"/>
      <c r="B1119" s="111">
        <f>IF(AND(N('Deal maths'!F1119)&gt;AsAt,N('Deal maths'!E1119)&lt;=AsAt),IF(N('Deal maths'!H1119)&gt;0,N('Deal maths'!H1119),N('Deal maths'!D1119)),0)</f>
        <v/>
      </c>
      <c r="C1119" s="91">
        <f>IF(B1119&gt;0,IF('Deal maths'!C1119="Local authority","Local authorities",LOWER(TRIM('Deal maths'!B1119))),"")</f>
        <v/>
      </c>
      <c r="D1119" s="91">
        <f>IF(C1119="","",IF(COUNTIF($C$4:C1118,C1119)=0,SUMIF($C$4:$C$3997,C1119,$B$4:$B$3997)-ROW()/1000000,""))</f>
        <v/>
      </c>
      <c r="E1119" s="91">
        <f>IF(AND(N('Deal maths'!F1119)&gt;AsAt,N('Deal maths'!E1119)&lt;=AsAt,IF(N('Deal maths'!H1119)&gt;0,N('Deal maths'!H1119),N('Deal maths'!D1119))&gt;0),N('Deal maths'!F1119)+ROW()/1000000,"")</f>
        <v/>
      </c>
    </row>
    <row r="1120">
      <c r="A1120" s="91" t="n"/>
      <c r="B1120" s="111">
        <f>IF(AND(N('Deal maths'!F1120)&gt;AsAt,N('Deal maths'!E1120)&lt;=AsAt),IF(N('Deal maths'!H1120)&gt;0,N('Deal maths'!H1120),N('Deal maths'!D1120)),0)</f>
        <v/>
      </c>
      <c r="C1120" s="91">
        <f>IF(B1120&gt;0,IF('Deal maths'!C1120="Local authority","Local authorities",LOWER(TRIM('Deal maths'!B1120))),"")</f>
        <v/>
      </c>
      <c r="D1120" s="91">
        <f>IF(C1120="","",IF(COUNTIF($C$4:C1119,C1120)=0,SUMIF($C$4:$C$3997,C1120,$B$4:$B$3997)-ROW()/1000000,""))</f>
        <v/>
      </c>
      <c r="E1120" s="91">
        <f>IF(AND(N('Deal maths'!F1120)&gt;AsAt,N('Deal maths'!E1120)&lt;=AsAt,IF(N('Deal maths'!H1120)&gt;0,N('Deal maths'!H1120),N('Deal maths'!D1120))&gt;0),N('Deal maths'!F1120)+ROW()/1000000,"")</f>
        <v/>
      </c>
    </row>
    <row r="1121">
      <c r="A1121" s="91" t="n"/>
      <c r="B1121" s="111">
        <f>IF(AND(N('Deal maths'!F1121)&gt;AsAt,N('Deal maths'!E1121)&lt;=AsAt),IF(N('Deal maths'!H1121)&gt;0,N('Deal maths'!H1121),N('Deal maths'!D1121)),0)</f>
        <v/>
      </c>
      <c r="C1121" s="91">
        <f>IF(B1121&gt;0,IF('Deal maths'!C1121="Local authority","Local authorities",LOWER(TRIM('Deal maths'!B1121))),"")</f>
        <v/>
      </c>
      <c r="D1121" s="91">
        <f>IF(C1121="","",IF(COUNTIF($C$4:C1120,C1121)=0,SUMIF($C$4:$C$3997,C1121,$B$4:$B$3997)-ROW()/1000000,""))</f>
        <v/>
      </c>
      <c r="E1121" s="91">
        <f>IF(AND(N('Deal maths'!F1121)&gt;AsAt,N('Deal maths'!E1121)&lt;=AsAt,IF(N('Deal maths'!H1121)&gt;0,N('Deal maths'!H1121),N('Deal maths'!D1121))&gt;0),N('Deal maths'!F1121)+ROW()/1000000,"")</f>
        <v/>
      </c>
    </row>
    <row r="1122">
      <c r="A1122" s="91" t="n"/>
      <c r="B1122" s="111">
        <f>IF(AND(N('Deal maths'!F1122)&gt;AsAt,N('Deal maths'!E1122)&lt;=AsAt),IF(N('Deal maths'!H1122)&gt;0,N('Deal maths'!H1122),N('Deal maths'!D1122)),0)</f>
        <v/>
      </c>
      <c r="C1122" s="91">
        <f>IF(B1122&gt;0,IF('Deal maths'!C1122="Local authority","Local authorities",LOWER(TRIM('Deal maths'!B1122))),"")</f>
        <v/>
      </c>
      <c r="D1122" s="91">
        <f>IF(C1122="","",IF(COUNTIF($C$4:C1121,C1122)=0,SUMIF($C$4:$C$3997,C1122,$B$4:$B$3997)-ROW()/1000000,""))</f>
        <v/>
      </c>
      <c r="E1122" s="91">
        <f>IF(AND(N('Deal maths'!F1122)&gt;AsAt,N('Deal maths'!E1122)&lt;=AsAt,IF(N('Deal maths'!H1122)&gt;0,N('Deal maths'!H1122),N('Deal maths'!D1122))&gt;0),N('Deal maths'!F1122)+ROW()/1000000,"")</f>
        <v/>
      </c>
    </row>
    <row r="1123">
      <c r="A1123" s="91" t="n"/>
      <c r="B1123" s="111">
        <f>IF(AND(N('Deal maths'!F1123)&gt;AsAt,N('Deal maths'!E1123)&lt;=AsAt),IF(N('Deal maths'!H1123)&gt;0,N('Deal maths'!H1123),N('Deal maths'!D1123)),0)</f>
        <v/>
      </c>
      <c r="C1123" s="91">
        <f>IF(B1123&gt;0,IF('Deal maths'!C1123="Local authority","Local authorities",LOWER(TRIM('Deal maths'!B1123))),"")</f>
        <v/>
      </c>
      <c r="D1123" s="91">
        <f>IF(C1123="","",IF(COUNTIF($C$4:C1122,C1123)=0,SUMIF($C$4:$C$3997,C1123,$B$4:$B$3997)-ROW()/1000000,""))</f>
        <v/>
      </c>
      <c r="E1123" s="91">
        <f>IF(AND(N('Deal maths'!F1123)&gt;AsAt,N('Deal maths'!E1123)&lt;=AsAt,IF(N('Deal maths'!H1123)&gt;0,N('Deal maths'!H1123),N('Deal maths'!D1123))&gt;0),N('Deal maths'!F1123)+ROW()/1000000,"")</f>
        <v/>
      </c>
    </row>
    <row r="1124">
      <c r="A1124" s="91" t="n"/>
      <c r="B1124" s="111">
        <f>IF(AND(N('Deal maths'!F1124)&gt;AsAt,N('Deal maths'!E1124)&lt;=AsAt),IF(N('Deal maths'!H1124)&gt;0,N('Deal maths'!H1124),N('Deal maths'!D1124)),0)</f>
        <v/>
      </c>
      <c r="C1124" s="91">
        <f>IF(B1124&gt;0,IF('Deal maths'!C1124="Local authority","Local authorities",LOWER(TRIM('Deal maths'!B1124))),"")</f>
        <v/>
      </c>
      <c r="D1124" s="91">
        <f>IF(C1124="","",IF(COUNTIF($C$4:C1123,C1124)=0,SUMIF($C$4:$C$3997,C1124,$B$4:$B$3997)-ROW()/1000000,""))</f>
        <v/>
      </c>
      <c r="E1124" s="91">
        <f>IF(AND(N('Deal maths'!F1124)&gt;AsAt,N('Deal maths'!E1124)&lt;=AsAt,IF(N('Deal maths'!H1124)&gt;0,N('Deal maths'!H1124),N('Deal maths'!D1124))&gt;0),N('Deal maths'!F1124)+ROW()/1000000,"")</f>
        <v/>
      </c>
    </row>
    <row r="1125">
      <c r="A1125" s="91" t="n"/>
      <c r="B1125" s="111">
        <f>IF(AND(N('Deal maths'!F1125)&gt;AsAt,N('Deal maths'!E1125)&lt;=AsAt),IF(N('Deal maths'!H1125)&gt;0,N('Deal maths'!H1125),N('Deal maths'!D1125)),0)</f>
        <v/>
      </c>
      <c r="C1125" s="91">
        <f>IF(B1125&gt;0,IF('Deal maths'!C1125="Local authority","Local authorities",LOWER(TRIM('Deal maths'!B1125))),"")</f>
        <v/>
      </c>
      <c r="D1125" s="91">
        <f>IF(C1125="","",IF(COUNTIF($C$4:C1124,C1125)=0,SUMIF($C$4:$C$3997,C1125,$B$4:$B$3997)-ROW()/1000000,""))</f>
        <v/>
      </c>
      <c r="E1125" s="91">
        <f>IF(AND(N('Deal maths'!F1125)&gt;AsAt,N('Deal maths'!E1125)&lt;=AsAt,IF(N('Deal maths'!H1125)&gt;0,N('Deal maths'!H1125),N('Deal maths'!D1125))&gt;0),N('Deal maths'!F1125)+ROW()/1000000,"")</f>
        <v/>
      </c>
    </row>
    <row r="1126">
      <c r="A1126" s="91" t="n"/>
      <c r="B1126" s="111">
        <f>IF(AND(N('Deal maths'!F1126)&gt;AsAt,N('Deal maths'!E1126)&lt;=AsAt),IF(N('Deal maths'!H1126)&gt;0,N('Deal maths'!H1126),N('Deal maths'!D1126)),0)</f>
        <v/>
      </c>
      <c r="C1126" s="91">
        <f>IF(B1126&gt;0,IF('Deal maths'!C1126="Local authority","Local authorities",LOWER(TRIM('Deal maths'!B1126))),"")</f>
        <v/>
      </c>
      <c r="D1126" s="91">
        <f>IF(C1126="","",IF(COUNTIF($C$4:C1125,C1126)=0,SUMIF($C$4:$C$3997,C1126,$B$4:$B$3997)-ROW()/1000000,""))</f>
        <v/>
      </c>
      <c r="E1126" s="91">
        <f>IF(AND(N('Deal maths'!F1126)&gt;AsAt,N('Deal maths'!E1126)&lt;=AsAt,IF(N('Deal maths'!H1126)&gt;0,N('Deal maths'!H1126),N('Deal maths'!D1126))&gt;0),N('Deal maths'!F1126)+ROW()/1000000,"")</f>
        <v/>
      </c>
    </row>
    <row r="1127">
      <c r="A1127" s="91" t="n"/>
      <c r="B1127" s="111">
        <f>IF(AND(N('Deal maths'!F1127)&gt;AsAt,N('Deal maths'!E1127)&lt;=AsAt),IF(N('Deal maths'!H1127)&gt;0,N('Deal maths'!H1127),N('Deal maths'!D1127)),0)</f>
        <v/>
      </c>
      <c r="C1127" s="91">
        <f>IF(B1127&gt;0,IF('Deal maths'!C1127="Local authority","Local authorities",LOWER(TRIM('Deal maths'!B1127))),"")</f>
        <v/>
      </c>
      <c r="D1127" s="91">
        <f>IF(C1127="","",IF(COUNTIF($C$4:C1126,C1127)=0,SUMIF($C$4:$C$3997,C1127,$B$4:$B$3997)-ROW()/1000000,""))</f>
        <v/>
      </c>
      <c r="E1127" s="91">
        <f>IF(AND(N('Deal maths'!F1127)&gt;AsAt,N('Deal maths'!E1127)&lt;=AsAt,IF(N('Deal maths'!H1127)&gt;0,N('Deal maths'!H1127),N('Deal maths'!D1127))&gt;0),N('Deal maths'!F1127)+ROW()/1000000,"")</f>
        <v/>
      </c>
    </row>
    <row r="1128">
      <c r="A1128" s="91" t="n"/>
      <c r="B1128" s="111">
        <f>IF(AND(N('Deal maths'!F1128)&gt;AsAt,N('Deal maths'!E1128)&lt;=AsAt),IF(N('Deal maths'!H1128)&gt;0,N('Deal maths'!H1128),N('Deal maths'!D1128)),0)</f>
        <v/>
      </c>
      <c r="C1128" s="91">
        <f>IF(B1128&gt;0,IF('Deal maths'!C1128="Local authority","Local authorities",LOWER(TRIM('Deal maths'!B1128))),"")</f>
        <v/>
      </c>
      <c r="D1128" s="91">
        <f>IF(C1128="","",IF(COUNTIF($C$4:C1127,C1128)=0,SUMIF($C$4:$C$3997,C1128,$B$4:$B$3997)-ROW()/1000000,""))</f>
        <v/>
      </c>
      <c r="E1128" s="91">
        <f>IF(AND(N('Deal maths'!F1128)&gt;AsAt,N('Deal maths'!E1128)&lt;=AsAt,IF(N('Deal maths'!H1128)&gt;0,N('Deal maths'!H1128),N('Deal maths'!D1128))&gt;0),N('Deal maths'!F1128)+ROW()/1000000,"")</f>
        <v/>
      </c>
    </row>
    <row r="1129">
      <c r="A1129" s="91" t="n"/>
      <c r="B1129" s="111">
        <f>IF(AND(N('Deal maths'!F1129)&gt;AsAt,N('Deal maths'!E1129)&lt;=AsAt),IF(N('Deal maths'!H1129)&gt;0,N('Deal maths'!H1129),N('Deal maths'!D1129)),0)</f>
        <v/>
      </c>
      <c r="C1129" s="91">
        <f>IF(B1129&gt;0,IF('Deal maths'!C1129="Local authority","Local authorities",LOWER(TRIM('Deal maths'!B1129))),"")</f>
        <v/>
      </c>
      <c r="D1129" s="91">
        <f>IF(C1129="","",IF(COUNTIF($C$4:C1128,C1129)=0,SUMIF($C$4:$C$3997,C1129,$B$4:$B$3997)-ROW()/1000000,""))</f>
        <v/>
      </c>
      <c r="E1129" s="91">
        <f>IF(AND(N('Deal maths'!F1129)&gt;AsAt,N('Deal maths'!E1129)&lt;=AsAt,IF(N('Deal maths'!H1129)&gt;0,N('Deal maths'!H1129),N('Deal maths'!D1129))&gt;0),N('Deal maths'!F1129)+ROW()/1000000,"")</f>
        <v/>
      </c>
    </row>
    <row r="1130">
      <c r="A1130" s="91" t="n"/>
      <c r="B1130" s="111">
        <f>IF(AND(N('Deal maths'!F1130)&gt;AsAt,N('Deal maths'!E1130)&lt;=AsAt),IF(N('Deal maths'!H1130)&gt;0,N('Deal maths'!H1130),N('Deal maths'!D1130)),0)</f>
        <v/>
      </c>
      <c r="C1130" s="91">
        <f>IF(B1130&gt;0,IF('Deal maths'!C1130="Local authority","Local authorities",LOWER(TRIM('Deal maths'!B1130))),"")</f>
        <v/>
      </c>
      <c r="D1130" s="91">
        <f>IF(C1130="","",IF(COUNTIF($C$4:C1129,C1130)=0,SUMIF($C$4:$C$3997,C1130,$B$4:$B$3997)-ROW()/1000000,""))</f>
        <v/>
      </c>
      <c r="E1130" s="91">
        <f>IF(AND(N('Deal maths'!F1130)&gt;AsAt,N('Deal maths'!E1130)&lt;=AsAt,IF(N('Deal maths'!H1130)&gt;0,N('Deal maths'!H1130),N('Deal maths'!D1130))&gt;0),N('Deal maths'!F1130)+ROW()/1000000,"")</f>
        <v/>
      </c>
    </row>
    <row r="1131">
      <c r="A1131" s="91" t="n"/>
      <c r="B1131" s="111">
        <f>IF(AND(N('Deal maths'!F1131)&gt;AsAt,N('Deal maths'!E1131)&lt;=AsAt),IF(N('Deal maths'!H1131)&gt;0,N('Deal maths'!H1131),N('Deal maths'!D1131)),0)</f>
        <v/>
      </c>
      <c r="C1131" s="91">
        <f>IF(B1131&gt;0,IF('Deal maths'!C1131="Local authority","Local authorities",LOWER(TRIM('Deal maths'!B1131))),"")</f>
        <v/>
      </c>
      <c r="D1131" s="91">
        <f>IF(C1131="","",IF(COUNTIF($C$4:C1130,C1131)=0,SUMIF($C$4:$C$3997,C1131,$B$4:$B$3997)-ROW()/1000000,""))</f>
        <v/>
      </c>
      <c r="E1131" s="91">
        <f>IF(AND(N('Deal maths'!F1131)&gt;AsAt,N('Deal maths'!E1131)&lt;=AsAt,IF(N('Deal maths'!H1131)&gt;0,N('Deal maths'!H1131),N('Deal maths'!D1131))&gt;0),N('Deal maths'!F1131)+ROW()/1000000,"")</f>
        <v/>
      </c>
    </row>
    <row r="1132">
      <c r="A1132" s="91" t="n"/>
      <c r="B1132" s="111">
        <f>IF(AND(N('Deal maths'!F1132)&gt;AsAt,N('Deal maths'!E1132)&lt;=AsAt),IF(N('Deal maths'!H1132)&gt;0,N('Deal maths'!H1132),N('Deal maths'!D1132)),0)</f>
        <v/>
      </c>
      <c r="C1132" s="91">
        <f>IF(B1132&gt;0,IF('Deal maths'!C1132="Local authority","Local authorities",LOWER(TRIM('Deal maths'!B1132))),"")</f>
        <v/>
      </c>
      <c r="D1132" s="91">
        <f>IF(C1132="","",IF(COUNTIF($C$4:C1131,C1132)=0,SUMIF($C$4:$C$3997,C1132,$B$4:$B$3997)-ROW()/1000000,""))</f>
        <v/>
      </c>
      <c r="E1132" s="91">
        <f>IF(AND(N('Deal maths'!F1132)&gt;AsAt,N('Deal maths'!E1132)&lt;=AsAt,IF(N('Deal maths'!H1132)&gt;0,N('Deal maths'!H1132),N('Deal maths'!D1132))&gt;0),N('Deal maths'!F1132)+ROW()/1000000,"")</f>
        <v/>
      </c>
    </row>
    <row r="1133">
      <c r="A1133" s="91" t="n"/>
      <c r="B1133" s="111">
        <f>IF(AND(N('Deal maths'!F1133)&gt;AsAt,N('Deal maths'!E1133)&lt;=AsAt),IF(N('Deal maths'!H1133)&gt;0,N('Deal maths'!H1133),N('Deal maths'!D1133)),0)</f>
        <v/>
      </c>
      <c r="C1133" s="91">
        <f>IF(B1133&gt;0,IF('Deal maths'!C1133="Local authority","Local authorities",LOWER(TRIM('Deal maths'!B1133))),"")</f>
        <v/>
      </c>
      <c r="D1133" s="91">
        <f>IF(C1133="","",IF(COUNTIF($C$4:C1132,C1133)=0,SUMIF($C$4:$C$3997,C1133,$B$4:$B$3997)-ROW()/1000000,""))</f>
        <v/>
      </c>
      <c r="E1133" s="91">
        <f>IF(AND(N('Deal maths'!F1133)&gt;AsAt,N('Deal maths'!E1133)&lt;=AsAt,IF(N('Deal maths'!H1133)&gt;0,N('Deal maths'!H1133),N('Deal maths'!D1133))&gt;0),N('Deal maths'!F1133)+ROW()/1000000,"")</f>
        <v/>
      </c>
    </row>
    <row r="1134">
      <c r="A1134" s="91" t="n"/>
      <c r="B1134" s="111">
        <f>IF(AND(N('Deal maths'!F1134)&gt;AsAt,N('Deal maths'!E1134)&lt;=AsAt),IF(N('Deal maths'!H1134)&gt;0,N('Deal maths'!H1134),N('Deal maths'!D1134)),0)</f>
        <v/>
      </c>
      <c r="C1134" s="91">
        <f>IF(B1134&gt;0,IF('Deal maths'!C1134="Local authority","Local authorities",LOWER(TRIM('Deal maths'!B1134))),"")</f>
        <v/>
      </c>
      <c r="D1134" s="91">
        <f>IF(C1134="","",IF(COUNTIF($C$4:C1133,C1134)=0,SUMIF($C$4:$C$3997,C1134,$B$4:$B$3997)-ROW()/1000000,""))</f>
        <v/>
      </c>
      <c r="E1134" s="91">
        <f>IF(AND(N('Deal maths'!F1134)&gt;AsAt,N('Deal maths'!E1134)&lt;=AsAt,IF(N('Deal maths'!H1134)&gt;0,N('Deal maths'!H1134),N('Deal maths'!D1134))&gt;0),N('Deal maths'!F1134)+ROW()/1000000,"")</f>
        <v/>
      </c>
    </row>
    <row r="1135">
      <c r="A1135" s="91" t="n"/>
      <c r="B1135" s="111">
        <f>IF(AND(N('Deal maths'!F1135)&gt;AsAt,N('Deal maths'!E1135)&lt;=AsAt),IF(N('Deal maths'!H1135)&gt;0,N('Deal maths'!H1135),N('Deal maths'!D1135)),0)</f>
        <v/>
      </c>
      <c r="C1135" s="91">
        <f>IF(B1135&gt;0,IF('Deal maths'!C1135="Local authority","Local authorities",LOWER(TRIM('Deal maths'!B1135))),"")</f>
        <v/>
      </c>
      <c r="D1135" s="91">
        <f>IF(C1135="","",IF(COUNTIF($C$4:C1134,C1135)=0,SUMIF($C$4:$C$3997,C1135,$B$4:$B$3997)-ROW()/1000000,""))</f>
        <v/>
      </c>
      <c r="E1135" s="91">
        <f>IF(AND(N('Deal maths'!F1135)&gt;AsAt,N('Deal maths'!E1135)&lt;=AsAt,IF(N('Deal maths'!H1135)&gt;0,N('Deal maths'!H1135),N('Deal maths'!D1135))&gt;0),N('Deal maths'!F1135)+ROW()/1000000,"")</f>
        <v/>
      </c>
    </row>
    <row r="1136">
      <c r="A1136" s="91" t="n"/>
      <c r="B1136" s="111">
        <f>IF(AND(N('Deal maths'!F1136)&gt;AsAt,N('Deal maths'!E1136)&lt;=AsAt),IF(N('Deal maths'!H1136)&gt;0,N('Deal maths'!H1136),N('Deal maths'!D1136)),0)</f>
        <v/>
      </c>
      <c r="C1136" s="91">
        <f>IF(B1136&gt;0,IF('Deal maths'!C1136="Local authority","Local authorities",LOWER(TRIM('Deal maths'!B1136))),"")</f>
        <v/>
      </c>
      <c r="D1136" s="91">
        <f>IF(C1136="","",IF(COUNTIF($C$4:C1135,C1136)=0,SUMIF($C$4:$C$3997,C1136,$B$4:$B$3997)-ROW()/1000000,""))</f>
        <v/>
      </c>
      <c r="E1136" s="91">
        <f>IF(AND(N('Deal maths'!F1136)&gt;AsAt,N('Deal maths'!E1136)&lt;=AsAt,IF(N('Deal maths'!H1136)&gt;0,N('Deal maths'!H1136),N('Deal maths'!D1136))&gt;0),N('Deal maths'!F1136)+ROW()/1000000,"")</f>
        <v/>
      </c>
    </row>
    <row r="1137">
      <c r="A1137" s="91" t="n"/>
      <c r="B1137" s="111">
        <f>IF(AND(N('Deal maths'!F1137)&gt;AsAt,N('Deal maths'!E1137)&lt;=AsAt),IF(N('Deal maths'!H1137)&gt;0,N('Deal maths'!H1137),N('Deal maths'!D1137)),0)</f>
        <v/>
      </c>
      <c r="C1137" s="91">
        <f>IF(B1137&gt;0,IF('Deal maths'!C1137="Local authority","Local authorities",LOWER(TRIM('Deal maths'!B1137))),"")</f>
        <v/>
      </c>
      <c r="D1137" s="91">
        <f>IF(C1137="","",IF(COUNTIF($C$4:C1136,C1137)=0,SUMIF($C$4:$C$3997,C1137,$B$4:$B$3997)-ROW()/1000000,""))</f>
        <v/>
      </c>
      <c r="E1137" s="91">
        <f>IF(AND(N('Deal maths'!F1137)&gt;AsAt,N('Deal maths'!E1137)&lt;=AsAt,IF(N('Deal maths'!H1137)&gt;0,N('Deal maths'!H1137),N('Deal maths'!D1137))&gt;0),N('Deal maths'!F1137)+ROW()/1000000,"")</f>
        <v/>
      </c>
    </row>
    <row r="1138">
      <c r="A1138" s="91" t="n"/>
      <c r="B1138" s="111">
        <f>IF(AND(N('Deal maths'!F1138)&gt;AsAt,N('Deal maths'!E1138)&lt;=AsAt),IF(N('Deal maths'!H1138)&gt;0,N('Deal maths'!H1138),N('Deal maths'!D1138)),0)</f>
        <v/>
      </c>
      <c r="C1138" s="91">
        <f>IF(B1138&gt;0,IF('Deal maths'!C1138="Local authority","Local authorities",LOWER(TRIM('Deal maths'!B1138))),"")</f>
        <v/>
      </c>
      <c r="D1138" s="91">
        <f>IF(C1138="","",IF(COUNTIF($C$4:C1137,C1138)=0,SUMIF($C$4:$C$3997,C1138,$B$4:$B$3997)-ROW()/1000000,""))</f>
        <v/>
      </c>
      <c r="E1138" s="91">
        <f>IF(AND(N('Deal maths'!F1138)&gt;AsAt,N('Deal maths'!E1138)&lt;=AsAt,IF(N('Deal maths'!H1138)&gt;0,N('Deal maths'!H1138),N('Deal maths'!D1138))&gt;0),N('Deal maths'!F1138)+ROW()/1000000,"")</f>
        <v/>
      </c>
    </row>
    <row r="1139">
      <c r="A1139" s="91" t="n"/>
      <c r="B1139" s="111">
        <f>IF(AND(N('Deal maths'!F1139)&gt;AsAt,N('Deal maths'!E1139)&lt;=AsAt),IF(N('Deal maths'!H1139)&gt;0,N('Deal maths'!H1139),N('Deal maths'!D1139)),0)</f>
        <v/>
      </c>
      <c r="C1139" s="91">
        <f>IF(B1139&gt;0,IF('Deal maths'!C1139="Local authority","Local authorities",LOWER(TRIM('Deal maths'!B1139))),"")</f>
        <v/>
      </c>
      <c r="D1139" s="91">
        <f>IF(C1139="","",IF(COUNTIF($C$4:C1138,C1139)=0,SUMIF($C$4:$C$3997,C1139,$B$4:$B$3997)-ROW()/1000000,""))</f>
        <v/>
      </c>
      <c r="E1139" s="91">
        <f>IF(AND(N('Deal maths'!F1139)&gt;AsAt,N('Deal maths'!E1139)&lt;=AsAt,IF(N('Deal maths'!H1139)&gt;0,N('Deal maths'!H1139),N('Deal maths'!D1139))&gt;0),N('Deal maths'!F1139)+ROW()/1000000,"")</f>
        <v/>
      </c>
    </row>
    <row r="1140">
      <c r="A1140" s="91" t="n"/>
      <c r="B1140" s="111">
        <f>IF(AND(N('Deal maths'!F1140)&gt;AsAt,N('Deal maths'!E1140)&lt;=AsAt),IF(N('Deal maths'!H1140)&gt;0,N('Deal maths'!H1140),N('Deal maths'!D1140)),0)</f>
        <v/>
      </c>
      <c r="C1140" s="91">
        <f>IF(B1140&gt;0,IF('Deal maths'!C1140="Local authority","Local authorities",LOWER(TRIM('Deal maths'!B1140))),"")</f>
        <v/>
      </c>
      <c r="D1140" s="91">
        <f>IF(C1140="","",IF(COUNTIF($C$4:C1139,C1140)=0,SUMIF($C$4:$C$3997,C1140,$B$4:$B$3997)-ROW()/1000000,""))</f>
        <v/>
      </c>
      <c r="E1140" s="91">
        <f>IF(AND(N('Deal maths'!F1140)&gt;AsAt,N('Deal maths'!E1140)&lt;=AsAt,IF(N('Deal maths'!H1140)&gt;0,N('Deal maths'!H1140),N('Deal maths'!D1140))&gt;0),N('Deal maths'!F1140)+ROW()/1000000,"")</f>
        <v/>
      </c>
    </row>
    <row r="1141">
      <c r="A1141" s="91" t="n"/>
      <c r="B1141" s="111">
        <f>IF(AND(N('Deal maths'!F1141)&gt;AsAt,N('Deal maths'!E1141)&lt;=AsAt),IF(N('Deal maths'!H1141)&gt;0,N('Deal maths'!H1141),N('Deal maths'!D1141)),0)</f>
        <v/>
      </c>
      <c r="C1141" s="91">
        <f>IF(B1141&gt;0,IF('Deal maths'!C1141="Local authority","Local authorities",LOWER(TRIM('Deal maths'!B1141))),"")</f>
        <v/>
      </c>
      <c r="D1141" s="91">
        <f>IF(C1141="","",IF(COUNTIF($C$4:C1140,C1141)=0,SUMIF($C$4:$C$3997,C1141,$B$4:$B$3997)-ROW()/1000000,""))</f>
        <v/>
      </c>
      <c r="E1141" s="91">
        <f>IF(AND(N('Deal maths'!F1141)&gt;AsAt,N('Deal maths'!E1141)&lt;=AsAt,IF(N('Deal maths'!H1141)&gt;0,N('Deal maths'!H1141),N('Deal maths'!D1141))&gt;0),N('Deal maths'!F1141)+ROW()/1000000,"")</f>
        <v/>
      </c>
    </row>
    <row r="1142">
      <c r="A1142" s="91" t="n"/>
      <c r="B1142" s="111">
        <f>IF(AND(N('Deal maths'!F1142)&gt;AsAt,N('Deal maths'!E1142)&lt;=AsAt),IF(N('Deal maths'!H1142)&gt;0,N('Deal maths'!H1142),N('Deal maths'!D1142)),0)</f>
        <v/>
      </c>
      <c r="C1142" s="91">
        <f>IF(B1142&gt;0,IF('Deal maths'!C1142="Local authority","Local authorities",LOWER(TRIM('Deal maths'!B1142))),"")</f>
        <v/>
      </c>
      <c r="D1142" s="91">
        <f>IF(C1142="","",IF(COUNTIF($C$4:C1141,C1142)=0,SUMIF($C$4:$C$3997,C1142,$B$4:$B$3997)-ROW()/1000000,""))</f>
        <v/>
      </c>
      <c r="E1142" s="91">
        <f>IF(AND(N('Deal maths'!F1142)&gt;AsAt,N('Deal maths'!E1142)&lt;=AsAt,IF(N('Deal maths'!H1142)&gt;0,N('Deal maths'!H1142),N('Deal maths'!D1142))&gt;0),N('Deal maths'!F1142)+ROW()/1000000,"")</f>
        <v/>
      </c>
    </row>
    <row r="1143">
      <c r="A1143" s="91" t="n"/>
      <c r="B1143" s="111">
        <f>IF(AND(N('Deal maths'!F1143)&gt;AsAt,N('Deal maths'!E1143)&lt;=AsAt),IF(N('Deal maths'!H1143)&gt;0,N('Deal maths'!H1143),N('Deal maths'!D1143)),0)</f>
        <v/>
      </c>
      <c r="C1143" s="91">
        <f>IF(B1143&gt;0,IF('Deal maths'!C1143="Local authority","Local authorities",LOWER(TRIM('Deal maths'!B1143))),"")</f>
        <v/>
      </c>
      <c r="D1143" s="91">
        <f>IF(C1143="","",IF(COUNTIF($C$4:C1142,C1143)=0,SUMIF($C$4:$C$3997,C1143,$B$4:$B$3997)-ROW()/1000000,""))</f>
        <v/>
      </c>
      <c r="E1143" s="91">
        <f>IF(AND(N('Deal maths'!F1143)&gt;AsAt,N('Deal maths'!E1143)&lt;=AsAt,IF(N('Deal maths'!H1143)&gt;0,N('Deal maths'!H1143),N('Deal maths'!D1143))&gt;0),N('Deal maths'!F1143)+ROW()/1000000,"")</f>
        <v/>
      </c>
    </row>
    <row r="1144">
      <c r="A1144" s="91" t="n"/>
      <c r="B1144" s="111">
        <f>IF(AND(N('Deal maths'!F1144)&gt;AsAt,N('Deal maths'!E1144)&lt;=AsAt),IF(N('Deal maths'!H1144)&gt;0,N('Deal maths'!H1144),N('Deal maths'!D1144)),0)</f>
        <v/>
      </c>
      <c r="C1144" s="91">
        <f>IF(B1144&gt;0,IF('Deal maths'!C1144="Local authority","Local authorities",LOWER(TRIM('Deal maths'!B1144))),"")</f>
        <v/>
      </c>
      <c r="D1144" s="91">
        <f>IF(C1144="","",IF(COUNTIF($C$4:C1143,C1144)=0,SUMIF($C$4:$C$3997,C1144,$B$4:$B$3997)-ROW()/1000000,""))</f>
        <v/>
      </c>
      <c r="E1144" s="91">
        <f>IF(AND(N('Deal maths'!F1144)&gt;AsAt,N('Deal maths'!E1144)&lt;=AsAt,IF(N('Deal maths'!H1144)&gt;0,N('Deal maths'!H1144),N('Deal maths'!D1144))&gt;0),N('Deal maths'!F1144)+ROW()/1000000,"")</f>
        <v/>
      </c>
    </row>
    <row r="1145">
      <c r="A1145" s="91" t="n"/>
      <c r="B1145" s="111">
        <f>IF(AND(N('Deal maths'!F1145)&gt;AsAt,N('Deal maths'!E1145)&lt;=AsAt),IF(N('Deal maths'!H1145)&gt;0,N('Deal maths'!H1145),N('Deal maths'!D1145)),0)</f>
        <v/>
      </c>
      <c r="C1145" s="91">
        <f>IF(B1145&gt;0,IF('Deal maths'!C1145="Local authority","Local authorities",LOWER(TRIM('Deal maths'!B1145))),"")</f>
        <v/>
      </c>
      <c r="D1145" s="91">
        <f>IF(C1145="","",IF(COUNTIF($C$4:C1144,C1145)=0,SUMIF($C$4:$C$3997,C1145,$B$4:$B$3997)-ROW()/1000000,""))</f>
        <v/>
      </c>
      <c r="E1145" s="91">
        <f>IF(AND(N('Deal maths'!F1145)&gt;AsAt,N('Deal maths'!E1145)&lt;=AsAt,IF(N('Deal maths'!H1145)&gt;0,N('Deal maths'!H1145),N('Deal maths'!D1145))&gt;0),N('Deal maths'!F1145)+ROW()/1000000,"")</f>
        <v/>
      </c>
    </row>
    <row r="1146">
      <c r="A1146" s="91" t="n"/>
      <c r="B1146" s="111">
        <f>IF(AND(N('Deal maths'!F1146)&gt;AsAt,N('Deal maths'!E1146)&lt;=AsAt),IF(N('Deal maths'!H1146)&gt;0,N('Deal maths'!H1146),N('Deal maths'!D1146)),0)</f>
        <v/>
      </c>
      <c r="C1146" s="91">
        <f>IF(B1146&gt;0,IF('Deal maths'!C1146="Local authority","Local authorities",LOWER(TRIM('Deal maths'!B1146))),"")</f>
        <v/>
      </c>
      <c r="D1146" s="91">
        <f>IF(C1146="","",IF(COUNTIF($C$4:C1145,C1146)=0,SUMIF($C$4:$C$3997,C1146,$B$4:$B$3997)-ROW()/1000000,""))</f>
        <v/>
      </c>
      <c r="E1146" s="91">
        <f>IF(AND(N('Deal maths'!F1146)&gt;AsAt,N('Deal maths'!E1146)&lt;=AsAt,IF(N('Deal maths'!H1146)&gt;0,N('Deal maths'!H1146),N('Deal maths'!D1146))&gt;0),N('Deal maths'!F1146)+ROW()/1000000,"")</f>
        <v/>
      </c>
    </row>
    <row r="1147">
      <c r="A1147" s="91" t="n"/>
      <c r="B1147" s="111">
        <f>IF(AND(N('Deal maths'!F1147)&gt;AsAt,N('Deal maths'!E1147)&lt;=AsAt),IF(N('Deal maths'!H1147)&gt;0,N('Deal maths'!H1147),N('Deal maths'!D1147)),0)</f>
        <v/>
      </c>
      <c r="C1147" s="91">
        <f>IF(B1147&gt;0,IF('Deal maths'!C1147="Local authority","Local authorities",LOWER(TRIM('Deal maths'!B1147))),"")</f>
        <v/>
      </c>
      <c r="D1147" s="91">
        <f>IF(C1147="","",IF(COUNTIF($C$4:C1146,C1147)=0,SUMIF($C$4:$C$3997,C1147,$B$4:$B$3997)-ROW()/1000000,""))</f>
        <v/>
      </c>
      <c r="E1147" s="91">
        <f>IF(AND(N('Deal maths'!F1147)&gt;AsAt,N('Deal maths'!E1147)&lt;=AsAt,IF(N('Deal maths'!H1147)&gt;0,N('Deal maths'!H1147),N('Deal maths'!D1147))&gt;0),N('Deal maths'!F1147)+ROW()/1000000,"")</f>
        <v/>
      </c>
    </row>
    <row r="1148">
      <c r="A1148" s="91" t="n"/>
      <c r="B1148" s="111">
        <f>IF(AND(N('Deal maths'!F1148)&gt;AsAt,N('Deal maths'!E1148)&lt;=AsAt),IF(N('Deal maths'!H1148)&gt;0,N('Deal maths'!H1148),N('Deal maths'!D1148)),0)</f>
        <v/>
      </c>
      <c r="C1148" s="91">
        <f>IF(B1148&gt;0,IF('Deal maths'!C1148="Local authority","Local authorities",LOWER(TRIM('Deal maths'!B1148))),"")</f>
        <v/>
      </c>
      <c r="D1148" s="91">
        <f>IF(C1148="","",IF(COUNTIF($C$4:C1147,C1148)=0,SUMIF($C$4:$C$3997,C1148,$B$4:$B$3997)-ROW()/1000000,""))</f>
        <v/>
      </c>
      <c r="E1148" s="91">
        <f>IF(AND(N('Deal maths'!F1148)&gt;AsAt,N('Deal maths'!E1148)&lt;=AsAt,IF(N('Deal maths'!H1148)&gt;0,N('Deal maths'!H1148),N('Deal maths'!D1148))&gt;0),N('Deal maths'!F1148)+ROW()/1000000,"")</f>
        <v/>
      </c>
    </row>
    <row r="1149">
      <c r="A1149" s="91" t="n"/>
      <c r="B1149" s="111">
        <f>IF(AND(N('Deal maths'!F1149)&gt;AsAt,N('Deal maths'!E1149)&lt;=AsAt),IF(N('Deal maths'!H1149)&gt;0,N('Deal maths'!H1149),N('Deal maths'!D1149)),0)</f>
        <v/>
      </c>
      <c r="C1149" s="91">
        <f>IF(B1149&gt;0,IF('Deal maths'!C1149="Local authority","Local authorities",LOWER(TRIM('Deal maths'!B1149))),"")</f>
        <v/>
      </c>
      <c r="D1149" s="91">
        <f>IF(C1149="","",IF(COUNTIF($C$4:C1148,C1149)=0,SUMIF($C$4:$C$3997,C1149,$B$4:$B$3997)-ROW()/1000000,""))</f>
        <v/>
      </c>
      <c r="E1149" s="91">
        <f>IF(AND(N('Deal maths'!F1149)&gt;AsAt,N('Deal maths'!E1149)&lt;=AsAt,IF(N('Deal maths'!H1149)&gt;0,N('Deal maths'!H1149),N('Deal maths'!D1149))&gt;0),N('Deal maths'!F1149)+ROW()/1000000,"")</f>
        <v/>
      </c>
    </row>
    <row r="1150">
      <c r="A1150" s="91" t="n"/>
      <c r="B1150" s="111">
        <f>IF(AND(N('Deal maths'!F1150)&gt;AsAt,N('Deal maths'!E1150)&lt;=AsAt),IF(N('Deal maths'!H1150)&gt;0,N('Deal maths'!H1150),N('Deal maths'!D1150)),0)</f>
        <v/>
      </c>
      <c r="C1150" s="91">
        <f>IF(B1150&gt;0,IF('Deal maths'!C1150="Local authority","Local authorities",LOWER(TRIM('Deal maths'!B1150))),"")</f>
        <v/>
      </c>
      <c r="D1150" s="91">
        <f>IF(C1150="","",IF(COUNTIF($C$4:C1149,C1150)=0,SUMIF($C$4:$C$3997,C1150,$B$4:$B$3997)-ROW()/1000000,""))</f>
        <v/>
      </c>
      <c r="E1150" s="91">
        <f>IF(AND(N('Deal maths'!F1150)&gt;AsAt,N('Deal maths'!E1150)&lt;=AsAt,IF(N('Deal maths'!H1150)&gt;0,N('Deal maths'!H1150),N('Deal maths'!D1150))&gt;0),N('Deal maths'!F1150)+ROW()/1000000,"")</f>
        <v/>
      </c>
    </row>
    <row r="1151">
      <c r="A1151" s="91" t="n"/>
      <c r="B1151" s="111">
        <f>IF(AND(N('Deal maths'!F1151)&gt;AsAt,N('Deal maths'!E1151)&lt;=AsAt),IF(N('Deal maths'!H1151)&gt;0,N('Deal maths'!H1151),N('Deal maths'!D1151)),0)</f>
        <v/>
      </c>
      <c r="C1151" s="91">
        <f>IF(B1151&gt;0,IF('Deal maths'!C1151="Local authority","Local authorities",LOWER(TRIM('Deal maths'!B1151))),"")</f>
        <v/>
      </c>
      <c r="D1151" s="91">
        <f>IF(C1151="","",IF(COUNTIF($C$4:C1150,C1151)=0,SUMIF($C$4:$C$3997,C1151,$B$4:$B$3997)-ROW()/1000000,""))</f>
        <v/>
      </c>
      <c r="E1151" s="91">
        <f>IF(AND(N('Deal maths'!F1151)&gt;AsAt,N('Deal maths'!E1151)&lt;=AsAt,IF(N('Deal maths'!H1151)&gt;0,N('Deal maths'!H1151),N('Deal maths'!D1151))&gt;0),N('Deal maths'!F1151)+ROW()/1000000,"")</f>
        <v/>
      </c>
    </row>
    <row r="1152">
      <c r="A1152" s="91" t="n"/>
      <c r="B1152" s="111">
        <f>IF(AND(N('Deal maths'!F1152)&gt;AsAt,N('Deal maths'!E1152)&lt;=AsAt),IF(N('Deal maths'!H1152)&gt;0,N('Deal maths'!H1152),N('Deal maths'!D1152)),0)</f>
        <v/>
      </c>
      <c r="C1152" s="91">
        <f>IF(B1152&gt;0,IF('Deal maths'!C1152="Local authority","Local authorities",LOWER(TRIM('Deal maths'!B1152))),"")</f>
        <v/>
      </c>
      <c r="D1152" s="91">
        <f>IF(C1152="","",IF(COUNTIF($C$4:C1151,C1152)=0,SUMIF($C$4:$C$3997,C1152,$B$4:$B$3997)-ROW()/1000000,""))</f>
        <v/>
      </c>
      <c r="E1152" s="91">
        <f>IF(AND(N('Deal maths'!F1152)&gt;AsAt,N('Deal maths'!E1152)&lt;=AsAt,IF(N('Deal maths'!H1152)&gt;0,N('Deal maths'!H1152),N('Deal maths'!D1152))&gt;0),N('Deal maths'!F1152)+ROW()/1000000,"")</f>
        <v/>
      </c>
    </row>
    <row r="1153">
      <c r="A1153" s="91" t="n"/>
      <c r="B1153" s="111">
        <f>IF(AND(N('Deal maths'!F1153)&gt;AsAt,N('Deal maths'!E1153)&lt;=AsAt),IF(N('Deal maths'!H1153)&gt;0,N('Deal maths'!H1153),N('Deal maths'!D1153)),0)</f>
        <v/>
      </c>
      <c r="C1153" s="91">
        <f>IF(B1153&gt;0,IF('Deal maths'!C1153="Local authority","Local authorities",LOWER(TRIM('Deal maths'!B1153))),"")</f>
        <v/>
      </c>
      <c r="D1153" s="91">
        <f>IF(C1153="","",IF(COUNTIF($C$4:C1152,C1153)=0,SUMIF($C$4:$C$3997,C1153,$B$4:$B$3997)-ROW()/1000000,""))</f>
        <v/>
      </c>
      <c r="E1153" s="91">
        <f>IF(AND(N('Deal maths'!F1153)&gt;AsAt,N('Deal maths'!E1153)&lt;=AsAt,IF(N('Deal maths'!H1153)&gt;0,N('Deal maths'!H1153),N('Deal maths'!D1153))&gt;0),N('Deal maths'!F1153)+ROW()/1000000,"")</f>
        <v/>
      </c>
    </row>
    <row r="1154">
      <c r="A1154" s="91" t="n"/>
      <c r="B1154" s="111">
        <f>IF(AND(N('Deal maths'!F1154)&gt;AsAt,N('Deal maths'!E1154)&lt;=AsAt),IF(N('Deal maths'!H1154)&gt;0,N('Deal maths'!H1154),N('Deal maths'!D1154)),0)</f>
        <v/>
      </c>
      <c r="C1154" s="91">
        <f>IF(B1154&gt;0,IF('Deal maths'!C1154="Local authority","Local authorities",LOWER(TRIM('Deal maths'!B1154))),"")</f>
        <v/>
      </c>
      <c r="D1154" s="91">
        <f>IF(C1154="","",IF(COUNTIF($C$4:C1153,C1154)=0,SUMIF($C$4:$C$3997,C1154,$B$4:$B$3997)-ROW()/1000000,""))</f>
        <v/>
      </c>
      <c r="E1154" s="91">
        <f>IF(AND(N('Deal maths'!F1154)&gt;AsAt,N('Deal maths'!E1154)&lt;=AsAt,IF(N('Deal maths'!H1154)&gt;0,N('Deal maths'!H1154),N('Deal maths'!D1154))&gt;0),N('Deal maths'!F1154)+ROW()/1000000,"")</f>
        <v/>
      </c>
    </row>
    <row r="1155">
      <c r="A1155" s="91" t="n"/>
      <c r="B1155" s="111">
        <f>IF(AND(N('Deal maths'!F1155)&gt;AsAt,N('Deal maths'!E1155)&lt;=AsAt),IF(N('Deal maths'!H1155)&gt;0,N('Deal maths'!H1155),N('Deal maths'!D1155)),0)</f>
        <v/>
      </c>
      <c r="C1155" s="91">
        <f>IF(B1155&gt;0,IF('Deal maths'!C1155="Local authority","Local authorities",LOWER(TRIM('Deal maths'!B1155))),"")</f>
        <v/>
      </c>
      <c r="D1155" s="91">
        <f>IF(C1155="","",IF(COUNTIF($C$4:C1154,C1155)=0,SUMIF($C$4:$C$3997,C1155,$B$4:$B$3997)-ROW()/1000000,""))</f>
        <v/>
      </c>
      <c r="E1155" s="91">
        <f>IF(AND(N('Deal maths'!F1155)&gt;AsAt,N('Deal maths'!E1155)&lt;=AsAt,IF(N('Deal maths'!H1155)&gt;0,N('Deal maths'!H1155),N('Deal maths'!D1155))&gt;0),N('Deal maths'!F1155)+ROW()/1000000,"")</f>
        <v/>
      </c>
    </row>
    <row r="1156">
      <c r="A1156" s="91" t="n"/>
      <c r="B1156" s="111">
        <f>IF(AND(N('Deal maths'!F1156)&gt;AsAt,N('Deal maths'!E1156)&lt;=AsAt),IF(N('Deal maths'!H1156)&gt;0,N('Deal maths'!H1156),N('Deal maths'!D1156)),0)</f>
        <v/>
      </c>
      <c r="C1156" s="91">
        <f>IF(B1156&gt;0,IF('Deal maths'!C1156="Local authority","Local authorities",LOWER(TRIM('Deal maths'!B1156))),"")</f>
        <v/>
      </c>
      <c r="D1156" s="91">
        <f>IF(C1156="","",IF(COUNTIF($C$4:C1155,C1156)=0,SUMIF($C$4:$C$3997,C1156,$B$4:$B$3997)-ROW()/1000000,""))</f>
        <v/>
      </c>
      <c r="E1156" s="91">
        <f>IF(AND(N('Deal maths'!F1156)&gt;AsAt,N('Deal maths'!E1156)&lt;=AsAt,IF(N('Deal maths'!H1156)&gt;0,N('Deal maths'!H1156),N('Deal maths'!D1156))&gt;0),N('Deal maths'!F1156)+ROW()/1000000,"")</f>
        <v/>
      </c>
    </row>
    <row r="1157">
      <c r="A1157" s="91" t="n"/>
      <c r="B1157" s="111">
        <f>IF(AND(N('Deal maths'!F1157)&gt;AsAt,N('Deal maths'!E1157)&lt;=AsAt),IF(N('Deal maths'!H1157)&gt;0,N('Deal maths'!H1157),N('Deal maths'!D1157)),0)</f>
        <v/>
      </c>
      <c r="C1157" s="91">
        <f>IF(B1157&gt;0,IF('Deal maths'!C1157="Local authority","Local authorities",LOWER(TRIM('Deal maths'!B1157))),"")</f>
        <v/>
      </c>
      <c r="D1157" s="91">
        <f>IF(C1157="","",IF(COUNTIF($C$4:C1156,C1157)=0,SUMIF($C$4:$C$3997,C1157,$B$4:$B$3997)-ROW()/1000000,""))</f>
        <v/>
      </c>
      <c r="E1157" s="91">
        <f>IF(AND(N('Deal maths'!F1157)&gt;AsAt,N('Deal maths'!E1157)&lt;=AsAt,IF(N('Deal maths'!H1157)&gt;0,N('Deal maths'!H1157),N('Deal maths'!D1157))&gt;0),N('Deal maths'!F1157)+ROW()/1000000,"")</f>
        <v/>
      </c>
    </row>
    <row r="1158">
      <c r="A1158" s="91" t="n"/>
      <c r="B1158" s="111">
        <f>IF(AND(N('Deal maths'!F1158)&gt;AsAt,N('Deal maths'!E1158)&lt;=AsAt),IF(N('Deal maths'!H1158)&gt;0,N('Deal maths'!H1158),N('Deal maths'!D1158)),0)</f>
        <v/>
      </c>
      <c r="C1158" s="91">
        <f>IF(B1158&gt;0,IF('Deal maths'!C1158="Local authority","Local authorities",LOWER(TRIM('Deal maths'!B1158))),"")</f>
        <v/>
      </c>
      <c r="D1158" s="91">
        <f>IF(C1158="","",IF(COUNTIF($C$4:C1157,C1158)=0,SUMIF($C$4:$C$3997,C1158,$B$4:$B$3997)-ROW()/1000000,""))</f>
        <v/>
      </c>
      <c r="E1158" s="91">
        <f>IF(AND(N('Deal maths'!F1158)&gt;AsAt,N('Deal maths'!E1158)&lt;=AsAt,IF(N('Deal maths'!H1158)&gt;0,N('Deal maths'!H1158),N('Deal maths'!D1158))&gt;0),N('Deal maths'!F1158)+ROW()/1000000,"")</f>
        <v/>
      </c>
    </row>
    <row r="1159">
      <c r="A1159" s="91" t="n"/>
      <c r="B1159" s="111">
        <f>IF(AND(N('Deal maths'!F1159)&gt;AsAt,N('Deal maths'!E1159)&lt;=AsAt),IF(N('Deal maths'!H1159)&gt;0,N('Deal maths'!H1159),N('Deal maths'!D1159)),0)</f>
        <v/>
      </c>
      <c r="C1159" s="91">
        <f>IF(B1159&gt;0,IF('Deal maths'!C1159="Local authority","Local authorities",LOWER(TRIM('Deal maths'!B1159))),"")</f>
        <v/>
      </c>
      <c r="D1159" s="91">
        <f>IF(C1159="","",IF(COUNTIF($C$4:C1158,C1159)=0,SUMIF($C$4:$C$3997,C1159,$B$4:$B$3997)-ROW()/1000000,""))</f>
        <v/>
      </c>
      <c r="E1159" s="91">
        <f>IF(AND(N('Deal maths'!F1159)&gt;AsAt,N('Deal maths'!E1159)&lt;=AsAt,IF(N('Deal maths'!H1159)&gt;0,N('Deal maths'!H1159),N('Deal maths'!D1159))&gt;0),N('Deal maths'!F1159)+ROW()/1000000,"")</f>
        <v/>
      </c>
    </row>
    <row r="1160">
      <c r="A1160" s="91" t="n"/>
      <c r="B1160" s="111">
        <f>IF(AND(N('Deal maths'!F1160)&gt;AsAt,N('Deal maths'!E1160)&lt;=AsAt),IF(N('Deal maths'!H1160)&gt;0,N('Deal maths'!H1160),N('Deal maths'!D1160)),0)</f>
        <v/>
      </c>
      <c r="C1160" s="91">
        <f>IF(B1160&gt;0,IF('Deal maths'!C1160="Local authority","Local authorities",LOWER(TRIM('Deal maths'!B1160))),"")</f>
        <v/>
      </c>
      <c r="D1160" s="91">
        <f>IF(C1160="","",IF(COUNTIF($C$4:C1159,C1160)=0,SUMIF($C$4:$C$3997,C1160,$B$4:$B$3997)-ROW()/1000000,""))</f>
        <v/>
      </c>
      <c r="E1160" s="91">
        <f>IF(AND(N('Deal maths'!F1160)&gt;AsAt,N('Deal maths'!E1160)&lt;=AsAt,IF(N('Deal maths'!H1160)&gt;0,N('Deal maths'!H1160),N('Deal maths'!D1160))&gt;0),N('Deal maths'!F1160)+ROW()/1000000,"")</f>
        <v/>
      </c>
    </row>
    <row r="1161">
      <c r="A1161" s="91" t="n"/>
      <c r="B1161" s="111">
        <f>IF(AND(N('Deal maths'!F1161)&gt;AsAt,N('Deal maths'!E1161)&lt;=AsAt),IF(N('Deal maths'!H1161)&gt;0,N('Deal maths'!H1161),N('Deal maths'!D1161)),0)</f>
        <v/>
      </c>
      <c r="C1161" s="91">
        <f>IF(B1161&gt;0,IF('Deal maths'!C1161="Local authority","Local authorities",LOWER(TRIM('Deal maths'!B1161))),"")</f>
        <v/>
      </c>
      <c r="D1161" s="91">
        <f>IF(C1161="","",IF(COUNTIF($C$4:C1160,C1161)=0,SUMIF($C$4:$C$3997,C1161,$B$4:$B$3997)-ROW()/1000000,""))</f>
        <v/>
      </c>
      <c r="E1161" s="91">
        <f>IF(AND(N('Deal maths'!F1161)&gt;AsAt,N('Deal maths'!E1161)&lt;=AsAt,IF(N('Deal maths'!H1161)&gt;0,N('Deal maths'!H1161),N('Deal maths'!D1161))&gt;0),N('Deal maths'!F1161)+ROW()/1000000,"")</f>
        <v/>
      </c>
    </row>
    <row r="1162">
      <c r="A1162" s="91" t="n"/>
      <c r="B1162" s="111">
        <f>IF(AND(N('Deal maths'!F1162)&gt;AsAt,N('Deal maths'!E1162)&lt;=AsAt),IF(N('Deal maths'!H1162)&gt;0,N('Deal maths'!H1162),N('Deal maths'!D1162)),0)</f>
        <v/>
      </c>
      <c r="C1162" s="91">
        <f>IF(B1162&gt;0,IF('Deal maths'!C1162="Local authority","Local authorities",LOWER(TRIM('Deal maths'!B1162))),"")</f>
        <v/>
      </c>
      <c r="D1162" s="91">
        <f>IF(C1162="","",IF(COUNTIF($C$4:C1161,C1162)=0,SUMIF($C$4:$C$3997,C1162,$B$4:$B$3997)-ROW()/1000000,""))</f>
        <v/>
      </c>
      <c r="E1162" s="91">
        <f>IF(AND(N('Deal maths'!F1162)&gt;AsAt,N('Deal maths'!E1162)&lt;=AsAt,IF(N('Deal maths'!H1162)&gt;0,N('Deal maths'!H1162),N('Deal maths'!D1162))&gt;0),N('Deal maths'!F1162)+ROW()/1000000,"")</f>
        <v/>
      </c>
    </row>
    <row r="1163">
      <c r="A1163" s="91" t="n"/>
      <c r="B1163" s="111">
        <f>IF(AND(N('Deal maths'!F1163)&gt;AsAt,N('Deal maths'!E1163)&lt;=AsAt),IF(N('Deal maths'!H1163)&gt;0,N('Deal maths'!H1163),N('Deal maths'!D1163)),0)</f>
        <v/>
      </c>
      <c r="C1163" s="91">
        <f>IF(B1163&gt;0,IF('Deal maths'!C1163="Local authority","Local authorities",LOWER(TRIM('Deal maths'!B1163))),"")</f>
        <v/>
      </c>
      <c r="D1163" s="91">
        <f>IF(C1163="","",IF(COUNTIF($C$4:C1162,C1163)=0,SUMIF($C$4:$C$3997,C1163,$B$4:$B$3997)-ROW()/1000000,""))</f>
        <v/>
      </c>
      <c r="E1163" s="91">
        <f>IF(AND(N('Deal maths'!F1163)&gt;AsAt,N('Deal maths'!E1163)&lt;=AsAt,IF(N('Deal maths'!H1163)&gt;0,N('Deal maths'!H1163),N('Deal maths'!D1163))&gt;0),N('Deal maths'!F1163)+ROW()/1000000,"")</f>
        <v/>
      </c>
    </row>
    <row r="1164">
      <c r="A1164" s="91" t="n"/>
      <c r="B1164" s="111">
        <f>IF(AND(N('Deal maths'!F1164)&gt;AsAt,N('Deal maths'!E1164)&lt;=AsAt),IF(N('Deal maths'!H1164)&gt;0,N('Deal maths'!H1164),N('Deal maths'!D1164)),0)</f>
        <v/>
      </c>
      <c r="C1164" s="91">
        <f>IF(B1164&gt;0,IF('Deal maths'!C1164="Local authority","Local authorities",LOWER(TRIM('Deal maths'!B1164))),"")</f>
        <v/>
      </c>
      <c r="D1164" s="91">
        <f>IF(C1164="","",IF(COUNTIF($C$4:C1163,C1164)=0,SUMIF($C$4:$C$3997,C1164,$B$4:$B$3997)-ROW()/1000000,""))</f>
        <v/>
      </c>
      <c r="E1164" s="91">
        <f>IF(AND(N('Deal maths'!F1164)&gt;AsAt,N('Deal maths'!E1164)&lt;=AsAt,IF(N('Deal maths'!H1164)&gt;0,N('Deal maths'!H1164),N('Deal maths'!D1164))&gt;0),N('Deal maths'!F1164)+ROW()/1000000,"")</f>
        <v/>
      </c>
    </row>
    <row r="1165">
      <c r="A1165" s="91" t="n"/>
      <c r="B1165" s="111">
        <f>IF(AND(N('Deal maths'!F1165)&gt;AsAt,N('Deal maths'!E1165)&lt;=AsAt),IF(N('Deal maths'!H1165)&gt;0,N('Deal maths'!H1165),N('Deal maths'!D1165)),0)</f>
        <v/>
      </c>
      <c r="C1165" s="91">
        <f>IF(B1165&gt;0,IF('Deal maths'!C1165="Local authority","Local authorities",LOWER(TRIM('Deal maths'!B1165))),"")</f>
        <v/>
      </c>
      <c r="D1165" s="91">
        <f>IF(C1165="","",IF(COUNTIF($C$4:C1164,C1165)=0,SUMIF($C$4:$C$3997,C1165,$B$4:$B$3997)-ROW()/1000000,""))</f>
        <v/>
      </c>
      <c r="E1165" s="91">
        <f>IF(AND(N('Deal maths'!F1165)&gt;AsAt,N('Deal maths'!E1165)&lt;=AsAt,IF(N('Deal maths'!H1165)&gt;0,N('Deal maths'!H1165),N('Deal maths'!D1165))&gt;0),N('Deal maths'!F1165)+ROW()/1000000,"")</f>
        <v/>
      </c>
    </row>
    <row r="1166">
      <c r="A1166" s="91" t="n"/>
      <c r="B1166" s="111">
        <f>IF(AND(N('Deal maths'!F1166)&gt;AsAt,N('Deal maths'!E1166)&lt;=AsAt),IF(N('Deal maths'!H1166)&gt;0,N('Deal maths'!H1166),N('Deal maths'!D1166)),0)</f>
        <v/>
      </c>
      <c r="C1166" s="91">
        <f>IF(B1166&gt;0,IF('Deal maths'!C1166="Local authority","Local authorities",LOWER(TRIM('Deal maths'!B1166))),"")</f>
        <v/>
      </c>
      <c r="D1166" s="91">
        <f>IF(C1166="","",IF(COUNTIF($C$4:C1165,C1166)=0,SUMIF($C$4:$C$3997,C1166,$B$4:$B$3997)-ROW()/1000000,""))</f>
        <v/>
      </c>
      <c r="E1166" s="91">
        <f>IF(AND(N('Deal maths'!F1166)&gt;AsAt,N('Deal maths'!E1166)&lt;=AsAt,IF(N('Deal maths'!H1166)&gt;0,N('Deal maths'!H1166),N('Deal maths'!D1166))&gt;0),N('Deal maths'!F1166)+ROW()/1000000,"")</f>
        <v/>
      </c>
    </row>
    <row r="1167">
      <c r="A1167" s="91" t="n"/>
      <c r="B1167" s="111">
        <f>IF(AND(N('Deal maths'!F1167)&gt;AsAt,N('Deal maths'!E1167)&lt;=AsAt),IF(N('Deal maths'!H1167)&gt;0,N('Deal maths'!H1167),N('Deal maths'!D1167)),0)</f>
        <v/>
      </c>
      <c r="C1167" s="91">
        <f>IF(B1167&gt;0,IF('Deal maths'!C1167="Local authority","Local authorities",LOWER(TRIM('Deal maths'!B1167))),"")</f>
        <v/>
      </c>
      <c r="D1167" s="91">
        <f>IF(C1167="","",IF(COUNTIF($C$4:C1166,C1167)=0,SUMIF($C$4:$C$3997,C1167,$B$4:$B$3997)-ROW()/1000000,""))</f>
        <v/>
      </c>
      <c r="E1167" s="91">
        <f>IF(AND(N('Deal maths'!F1167)&gt;AsAt,N('Deal maths'!E1167)&lt;=AsAt,IF(N('Deal maths'!H1167)&gt;0,N('Deal maths'!H1167),N('Deal maths'!D1167))&gt;0),N('Deal maths'!F1167)+ROW()/1000000,"")</f>
        <v/>
      </c>
    </row>
    <row r="1168">
      <c r="A1168" s="91" t="n"/>
      <c r="B1168" s="111">
        <f>IF(AND(N('Deal maths'!F1168)&gt;AsAt,N('Deal maths'!E1168)&lt;=AsAt),IF(N('Deal maths'!H1168)&gt;0,N('Deal maths'!H1168),N('Deal maths'!D1168)),0)</f>
        <v/>
      </c>
      <c r="C1168" s="91">
        <f>IF(B1168&gt;0,IF('Deal maths'!C1168="Local authority","Local authorities",LOWER(TRIM('Deal maths'!B1168))),"")</f>
        <v/>
      </c>
      <c r="D1168" s="91">
        <f>IF(C1168="","",IF(COUNTIF($C$4:C1167,C1168)=0,SUMIF($C$4:$C$3997,C1168,$B$4:$B$3997)-ROW()/1000000,""))</f>
        <v/>
      </c>
      <c r="E1168" s="91">
        <f>IF(AND(N('Deal maths'!F1168)&gt;AsAt,N('Deal maths'!E1168)&lt;=AsAt,IF(N('Deal maths'!H1168)&gt;0,N('Deal maths'!H1168),N('Deal maths'!D1168))&gt;0),N('Deal maths'!F1168)+ROW()/1000000,"")</f>
        <v/>
      </c>
    </row>
    <row r="1169">
      <c r="A1169" s="91" t="n"/>
      <c r="B1169" s="111">
        <f>IF(AND(N('Deal maths'!F1169)&gt;AsAt,N('Deal maths'!E1169)&lt;=AsAt),IF(N('Deal maths'!H1169)&gt;0,N('Deal maths'!H1169),N('Deal maths'!D1169)),0)</f>
        <v/>
      </c>
      <c r="C1169" s="91">
        <f>IF(B1169&gt;0,IF('Deal maths'!C1169="Local authority","Local authorities",LOWER(TRIM('Deal maths'!B1169))),"")</f>
        <v/>
      </c>
      <c r="D1169" s="91">
        <f>IF(C1169="","",IF(COUNTIF($C$4:C1168,C1169)=0,SUMIF($C$4:$C$3997,C1169,$B$4:$B$3997)-ROW()/1000000,""))</f>
        <v/>
      </c>
      <c r="E1169" s="91">
        <f>IF(AND(N('Deal maths'!F1169)&gt;AsAt,N('Deal maths'!E1169)&lt;=AsAt,IF(N('Deal maths'!H1169)&gt;0,N('Deal maths'!H1169),N('Deal maths'!D1169))&gt;0),N('Deal maths'!F1169)+ROW()/1000000,"")</f>
        <v/>
      </c>
    </row>
    <row r="1170">
      <c r="A1170" s="91" t="n"/>
      <c r="B1170" s="111">
        <f>IF(AND(N('Deal maths'!F1170)&gt;AsAt,N('Deal maths'!E1170)&lt;=AsAt),IF(N('Deal maths'!H1170)&gt;0,N('Deal maths'!H1170),N('Deal maths'!D1170)),0)</f>
        <v/>
      </c>
      <c r="C1170" s="91">
        <f>IF(B1170&gt;0,IF('Deal maths'!C1170="Local authority","Local authorities",LOWER(TRIM('Deal maths'!B1170))),"")</f>
        <v/>
      </c>
      <c r="D1170" s="91">
        <f>IF(C1170="","",IF(COUNTIF($C$4:C1169,C1170)=0,SUMIF($C$4:$C$3997,C1170,$B$4:$B$3997)-ROW()/1000000,""))</f>
        <v/>
      </c>
      <c r="E1170" s="91">
        <f>IF(AND(N('Deal maths'!F1170)&gt;AsAt,N('Deal maths'!E1170)&lt;=AsAt,IF(N('Deal maths'!H1170)&gt;0,N('Deal maths'!H1170),N('Deal maths'!D1170))&gt;0),N('Deal maths'!F1170)+ROW()/1000000,"")</f>
        <v/>
      </c>
    </row>
    <row r="1171">
      <c r="A1171" s="91" t="n"/>
      <c r="B1171" s="111">
        <f>IF(AND(N('Deal maths'!F1171)&gt;AsAt,N('Deal maths'!E1171)&lt;=AsAt),IF(N('Deal maths'!H1171)&gt;0,N('Deal maths'!H1171),N('Deal maths'!D1171)),0)</f>
        <v/>
      </c>
      <c r="C1171" s="91">
        <f>IF(B1171&gt;0,IF('Deal maths'!C1171="Local authority","Local authorities",LOWER(TRIM('Deal maths'!B1171))),"")</f>
        <v/>
      </c>
      <c r="D1171" s="91">
        <f>IF(C1171="","",IF(COUNTIF($C$4:C1170,C1171)=0,SUMIF($C$4:$C$3997,C1171,$B$4:$B$3997)-ROW()/1000000,""))</f>
        <v/>
      </c>
      <c r="E1171" s="91">
        <f>IF(AND(N('Deal maths'!F1171)&gt;AsAt,N('Deal maths'!E1171)&lt;=AsAt,IF(N('Deal maths'!H1171)&gt;0,N('Deal maths'!H1171),N('Deal maths'!D1171))&gt;0),N('Deal maths'!F1171)+ROW()/1000000,"")</f>
        <v/>
      </c>
    </row>
    <row r="1172">
      <c r="A1172" s="91" t="n"/>
      <c r="B1172" s="111">
        <f>IF(AND(N('Deal maths'!F1172)&gt;AsAt,N('Deal maths'!E1172)&lt;=AsAt),IF(N('Deal maths'!H1172)&gt;0,N('Deal maths'!H1172),N('Deal maths'!D1172)),0)</f>
        <v/>
      </c>
      <c r="C1172" s="91">
        <f>IF(B1172&gt;0,IF('Deal maths'!C1172="Local authority","Local authorities",LOWER(TRIM('Deal maths'!B1172))),"")</f>
        <v/>
      </c>
      <c r="D1172" s="91">
        <f>IF(C1172="","",IF(COUNTIF($C$4:C1171,C1172)=0,SUMIF($C$4:$C$3997,C1172,$B$4:$B$3997)-ROW()/1000000,""))</f>
        <v/>
      </c>
      <c r="E1172" s="91">
        <f>IF(AND(N('Deal maths'!F1172)&gt;AsAt,N('Deal maths'!E1172)&lt;=AsAt,IF(N('Deal maths'!H1172)&gt;0,N('Deal maths'!H1172),N('Deal maths'!D1172))&gt;0),N('Deal maths'!F1172)+ROW()/1000000,"")</f>
        <v/>
      </c>
    </row>
    <row r="1173">
      <c r="A1173" s="91" t="n"/>
      <c r="B1173" s="111">
        <f>IF(AND(N('Deal maths'!F1173)&gt;AsAt,N('Deal maths'!E1173)&lt;=AsAt),IF(N('Deal maths'!H1173)&gt;0,N('Deal maths'!H1173),N('Deal maths'!D1173)),0)</f>
        <v/>
      </c>
      <c r="C1173" s="91">
        <f>IF(B1173&gt;0,IF('Deal maths'!C1173="Local authority","Local authorities",LOWER(TRIM('Deal maths'!B1173))),"")</f>
        <v/>
      </c>
      <c r="D1173" s="91">
        <f>IF(C1173="","",IF(COUNTIF($C$4:C1172,C1173)=0,SUMIF($C$4:$C$3997,C1173,$B$4:$B$3997)-ROW()/1000000,""))</f>
        <v/>
      </c>
      <c r="E1173" s="91">
        <f>IF(AND(N('Deal maths'!F1173)&gt;AsAt,N('Deal maths'!E1173)&lt;=AsAt,IF(N('Deal maths'!H1173)&gt;0,N('Deal maths'!H1173),N('Deal maths'!D1173))&gt;0),N('Deal maths'!F1173)+ROW()/1000000,"")</f>
        <v/>
      </c>
    </row>
    <row r="1174">
      <c r="A1174" s="91" t="n"/>
      <c r="B1174" s="111">
        <f>IF(AND(N('Deal maths'!F1174)&gt;AsAt,N('Deal maths'!E1174)&lt;=AsAt),IF(N('Deal maths'!H1174)&gt;0,N('Deal maths'!H1174),N('Deal maths'!D1174)),0)</f>
        <v/>
      </c>
      <c r="C1174" s="91">
        <f>IF(B1174&gt;0,IF('Deal maths'!C1174="Local authority","Local authorities",LOWER(TRIM('Deal maths'!B1174))),"")</f>
        <v/>
      </c>
      <c r="D1174" s="91">
        <f>IF(C1174="","",IF(COUNTIF($C$4:C1173,C1174)=0,SUMIF($C$4:$C$3997,C1174,$B$4:$B$3997)-ROW()/1000000,""))</f>
        <v/>
      </c>
      <c r="E1174" s="91">
        <f>IF(AND(N('Deal maths'!F1174)&gt;AsAt,N('Deal maths'!E1174)&lt;=AsAt,IF(N('Deal maths'!H1174)&gt;0,N('Deal maths'!H1174),N('Deal maths'!D1174))&gt;0),N('Deal maths'!F1174)+ROW()/1000000,"")</f>
        <v/>
      </c>
    </row>
    <row r="1175">
      <c r="A1175" s="91" t="n"/>
      <c r="B1175" s="111">
        <f>IF(AND(N('Deal maths'!F1175)&gt;AsAt,N('Deal maths'!E1175)&lt;=AsAt),IF(N('Deal maths'!H1175)&gt;0,N('Deal maths'!H1175),N('Deal maths'!D1175)),0)</f>
        <v/>
      </c>
      <c r="C1175" s="91">
        <f>IF(B1175&gt;0,IF('Deal maths'!C1175="Local authority","Local authorities",LOWER(TRIM('Deal maths'!B1175))),"")</f>
        <v/>
      </c>
      <c r="D1175" s="91">
        <f>IF(C1175="","",IF(COUNTIF($C$4:C1174,C1175)=0,SUMIF($C$4:$C$3997,C1175,$B$4:$B$3997)-ROW()/1000000,""))</f>
        <v/>
      </c>
      <c r="E1175" s="91">
        <f>IF(AND(N('Deal maths'!F1175)&gt;AsAt,N('Deal maths'!E1175)&lt;=AsAt,IF(N('Deal maths'!H1175)&gt;0,N('Deal maths'!H1175),N('Deal maths'!D1175))&gt;0),N('Deal maths'!F1175)+ROW()/1000000,"")</f>
        <v/>
      </c>
    </row>
    <row r="1176">
      <c r="A1176" s="91" t="n"/>
      <c r="B1176" s="111">
        <f>IF(AND(N('Deal maths'!F1176)&gt;AsAt,N('Deal maths'!E1176)&lt;=AsAt),IF(N('Deal maths'!H1176)&gt;0,N('Deal maths'!H1176),N('Deal maths'!D1176)),0)</f>
        <v/>
      </c>
      <c r="C1176" s="91">
        <f>IF(B1176&gt;0,IF('Deal maths'!C1176="Local authority","Local authorities",LOWER(TRIM('Deal maths'!B1176))),"")</f>
        <v/>
      </c>
      <c r="D1176" s="91">
        <f>IF(C1176="","",IF(COUNTIF($C$4:C1175,C1176)=0,SUMIF($C$4:$C$3997,C1176,$B$4:$B$3997)-ROW()/1000000,""))</f>
        <v/>
      </c>
      <c r="E1176" s="91">
        <f>IF(AND(N('Deal maths'!F1176)&gt;AsAt,N('Deal maths'!E1176)&lt;=AsAt,IF(N('Deal maths'!H1176)&gt;0,N('Deal maths'!H1176),N('Deal maths'!D1176))&gt;0),N('Deal maths'!F1176)+ROW()/1000000,"")</f>
        <v/>
      </c>
    </row>
    <row r="1177">
      <c r="A1177" s="91" t="n"/>
      <c r="B1177" s="111">
        <f>IF(AND(N('Deal maths'!F1177)&gt;AsAt,N('Deal maths'!E1177)&lt;=AsAt),IF(N('Deal maths'!H1177)&gt;0,N('Deal maths'!H1177),N('Deal maths'!D1177)),0)</f>
        <v/>
      </c>
      <c r="C1177" s="91">
        <f>IF(B1177&gt;0,IF('Deal maths'!C1177="Local authority","Local authorities",LOWER(TRIM('Deal maths'!B1177))),"")</f>
        <v/>
      </c>
      <c r="D1177" s="91">
        <f>IF(C1177="","",IF(COUNTIF($C$4:C1176,C1177)=0,SUMIF($C$4:$C$3997,C1177,$B$4:$B$3997)-ROW()/1000000,""))</f>
        <v/>
      </c>
      <c r="E1177" s="91">
        <f>IF(AND(N('Deal maths'!F1177)&gt;AsAt,N('Deal maths'!E1177)&lt;=AsAt,IF(N('Deal maths'!H1177)&gt;0,N('Deal maths'!H1177),N('Deal maths'!D1177))&gt;0),N('Deal maths'!F1177)+ROW()/1000000,"")</f>
        <v/>
      </c>
    </row>
    <row r="1178">
      <c r="A1178" s="91" t="n"/>
      <c r="B1178" s="111">
        <f>IF(AND(N('Deal maths'!F1178)&gt;AsAt,N('Deal maths'!E1178)&lt;=AsAt),IF(N('Deal maths'!H1178)&gt;0,N('Deal maths'!H1178),N('Deal maths'!D1178)),0)</f>
        <v/>
      </c>
      <c r="C1178" s="91">
        <f>IF(B1178&gt;0,IF('Deal maths'!C1178="Local authority","Local authorities",LOWER(TRIM('Deal maths'!B1178))),"")</f>
        <v/>
      </c>
      <c r="D1178" s="91">
        <f>IF(C1178="","",IF(COUNTIF($C$4:C1177,C1178)=0,SUMIF($C$4:$C$3997,C1178,$B$4:$B$3997)-ROW()/1000000,""))</f>
        <v/>
      </c>
      <c r="E1178" s="91">
        <f>IF(AND(N('Deal maths'!F1178)&gt;AsAt,N('Deal maths'!E1178)&lt;=AsAt,IF(N('Deal maths'!H1178)&gt;0,N('Deal maths'!H1178),N('Deal maths'!D1178))&gt;0),N('Deal maths'!F1178)+ROW()/1000000,"")</f>
        <v/>
      </c>
    </row>
    <row r="1179">
      <c r="A1179" s="91" t="n"/>
      <c r="B1179" s="111">
        <f>IF(AND(N('Deal maths'!F1179)&gt;AsAt,N('Deal maths'!E1179)&lt;=AsAt),IF(N('Deal maths'!H1179)&gt;0,N('Deal maths'!H1179),N('Deal maths'!D1179)),0)</f>
        <v/>
      </c>
      <c r="C1179" s="91">
        <f>IF(B1179&gt;0,IF('Deal maths'!C1179="Local authority","Local authorities",LOWER(TRIM('Deal maths'!B1179))),"")</f>
        <v/>
      </c>
      <c r="D1179" s="91">
        <f>IF(C1179="","",IF(COUNTIF($C$4:C1178,C1179)=0,SUMIF($C$4:$C$3997,C1179,$B$4:$B$3997)-ROW()/1000000,""))</f>
        <v/>
      </c>
      <c r="E1179" s="91">
        <f>IF(AND(N('Deal maths'!F1179)&gt;AsAt,N('Deal maths'!E1179)&lt;=AsAt,IF(N('Deal maths'!H1179)&gt;0,N('Deal maths'!H1179),N('Deal maths'!D1179))&gt;0),N('Deal maths'!F1179)+ROW()/1000000,"")</f>
        <v/>
      </c>
    </row>
    <row r="1180">
      <c r="A1180" s="91" t="n"/>
      <c r="B1180" s="111">
        <f>IF(AND(N('Deal maths'!F1180)&gt;AsAt,N('Deal maths'!E1180)&lt;=AsAt),IF(N('Deal maths'!H1180)&gt;0,N('Deal maths'!H1180),N('Deal maths'!D1180)),0)</f>
        <v/>
      </c>
      <c r="C1180" s="91">
        <f>IF(B1180&gt;0,IF('Deal maths'!C1180="Local authority","Local authorities",LOWER(TRIM('Deal maths'!B1180))),"")</f>
        <v/>
      </c>
      <c r="D1180" s="91">
        <f>IF(C1180="","",IF(COUNTIF($C$4:C1179,C1180)=0,SUMIF($C$4:$C$3997,C1180,$B$4:$B$3997)-ROW()/1000000,""))</f>
        <v/>
      </c>
      <c r="E1180" s="91">
        <f>IF(AND(N('Deal maths'!F1180)&gt;AsAt,N('Deal maths'!E1180)&lt;=AsAt,IF(N('Deal maths'!H1180)&gt;0,N('Deal maths'!H1180),N('Deal maths'!D1180))&gt;0),N('Deal maths'!F1180)+ROW()/1000000,"")</f>
        <v/>
      </c>
    </row>
    <row r="1181">
      <c r="A1181" s="91" t="n"/>
      <c r="B1181" s="111">
        <f>IF(AND(N('Deal maths'!F1181)&gt;AsAt,N('Deal maths'!E1181)&lt;=AsAt),IF(N('Deal maths'!H1181)&gt;0,N('Deal maths'!H1181),N('Deal maths'!D1181)),0)</f>
        <v/>
      </c>
      <c r="C1181" s="91">
        <f>IF(B1181&gt;0,IF('Deal maths'!C1181="Local authority","Local authorities",LOWER(TRIM('Deal maths'!B1181))),"")</f>
        <v/>
      </c>
      <c r="D1181" s="91">
        <f>IF(C1181="","",IF(COUNTIF($C$4:C1180,C1181)=0,SUMIF($C$4:$C$3997,C1181,$B$4:$B$3997)-ROW()/1000000,""))</f>
        <v/>
      </c>
      <c r="E1181" s="91">
        <f>IF(AND(N('Deal maths'!F1181)&gt;AsAt,N('Deal maths'!E1181)&lt;=AsAt,IF(N('Deal maths'!H1181)&gt;0,N('Deal maths'!H1181),N('Deal maths'!D1181))&gt;0),N('Deal maths'!F1181)+ROW()/1000000,"")</f>
        <v/>
      </c>
    </row>
    <row r="1182">
      <c r="A1182" s="91" t="n"/>
      <c r="B1182" s="111">
        <f>IF(AND(N('Deal maths'!F1182)&gt;AsAt,N('Deal maths'!E1182)&lt;=AsAt),IF(N('Deal maths'!H1182)&gt;0,N('Deal maths'!H1182),N('Deal maths'!D1182)),0)</f>
        <v/>
      </c>
      <c r="C1182" s="91">
        <f>IF(B1182&gt;0,IF('Deal maths'!C1182="Local authority","Local authorities",LOWER(TRIM('Deal maths'!B1182))),"")</f>
        <v/>
      </c>
      <c r="D1182" s="91">
        <f>IF(C1182="","",IF(COUNTIF($C$4:C1181,C1182)=0,SUMIF($C$4:$C$3997,C1182,$B$4:$B$3997)-ROW()/1000000,""))</f>
        <v/>
      </c>
      <c r="E1182" s="91">
        <f>IF(AND(N('Deal maths'!F1182)&gt;AsAt,N('Deal maths'!E1182)&lt;=AsAt,IF(N('Deal maths'!H1182)&gt;0,N('Deal maths'!H1182),N('Deal maths'!D1182))&gt;0),N('Deal maths'!F1182)+ROW()/1000000,"")</f>
        <v/>
      </c>
    </row>
    <row r="1183">
      <c r="A1183" s="91" t="n"/>
      <c r="B1183" s="111">
        <f>IF(AND(N('Deal maths'!F1183)&gt;AsAt,N('Deal maths'!E1183)&lt;=AsAt),IF(N('Deal maths'!H1183)&gt;0,N('Deal maths'!H1183),N('Deal maths'!D1183)),0)</f>
        <v/>
      </c>
      <c r="C1183" s="91">
        <f>IF(B1183&gt;0,IF('Deal maths'!C1183="Local authority","Local authorities",LOWER(TRIM('Deal maths'!B1183))),"")</f>
        <v/>
      </c>
      <c r="D1183" s="91">
        <f>IF(C1183="","",IF(COUNTIF($C$4:C1182,C1183)=0,SUMIF($C$4:$C$3997,C1183,$B$4:$B$3997)-ROW()/1000000,""))</f>
        <v/>
      </c>
      <c r="E1183" s="91">
        <f>IF(AND(N('Deal maths'!F1183)&gt;AsAt,N('Deal maths'!E1183)&lt;=AsAt,IF(N('Deal maths'!H1183)&gt;0,N('Deal maths'!H1183),N('Deal maths'!D1183))&gt;0),N('Deal maths'!F1183)+ROW()/1000000,"")</f>
        <v/>
      </c>
    </row>
    <row r="1184">
      <c r="A1184" s="91" t="n"/>
      <c r="B1184" s="111">
        <f>IF(AND(N('Deal maths'!F1184)&gt;AsAt,N('Deal maths'!E1184)&lt;=AsAt),IF(N('Deal maths'!H1184)&gt;0,N('Deal maths'!H1184),N('Deal maths'!D1184)),0)</f>
        <v/>
      </c>
      <c r="C1184" s="91">
        <f>IF(B1184&gt;0,IF('Deal maths'!C1184="Local authority","Local authorities",LOWER(TRIM('Deal maths'!B1184))),"")</f>
        <v/>
      </c>
      <c r="D1184" s="91">
        <f>IF(C1184="","",IF(COUNTIF($C$4:C1183,C1184)=0,SUMIF($C$4:$C$3997,C1184,$B$4:$B$3997)-ROW()/1000000,""))</f>
        <v/>
      </c>
      <c r="E1184" s="91">
        <f>IF(AND(N('Deal maths'!F1184)&gt;AsAt,N('Deal maths'!E1184)&lt;=AsAt,IF(N('Deal maths'!H1184)&gt;0,N('Deal maths'!H1184),N('Deal maths'!D1184))&gt;0),N('Deal maths'!F1184)+ROW()/1000000,"")</f>
        <v/>
      </c>
    </row>
    <row r="1185">
      <c r="A1185" s="91" t="n"/>
      <c r="B1185" s="111">
        <f>IF(AND(N('Deal maths'!F1185)&gt;AsAt,N('Deal maths'!E1185)&lt;=AsAt),IF(N('Deal maths'!H1185)&gt;0,N('Deal maths'!H1185),N('Deal maths'!D1185)),0)</f>
        <v/>
      </c>
      <c r="C1185" s="91">
        <f>IF(B1185&gt;0,IF('Deal maths'!C1185="Local authority","Local authorities",LOWER(TRIM('Deal maths'!B1185))),"")</f>
        <v/>
      </c>
      <c r="D1185" s="91">
        <f>IF(C1185="","",IF(COUNTIF($C$4:C1184,C1185)=0,SUMIF($C$4:$C$3997,C1185,$B$4:$B$3997)-ROW()/1000000,""))</f>
        <v/>
      </c>
      <c r="E1185" s="91">
        <f>IF(AND(N('Deal maths'!F1185)&gt;AsAt,N('Deal maths'!E1185)&lt;=AsAt,IF(N('Deal maths'!H1185)&gt;0,N('Deal maths'!H1185),N('Deal maths'!D1185))&gt;0),N('Deal maths'!F1185)+ROW()/1000000,"")</f>
        <v/>
      </c>
    </row>
    <row r="1186">
      <c r="A1186" s="91" t="n"/>
      <c r="B1186" s="111">
        <f>IF(AND(N('Deal maths'!F1186)&gt;AsAt,N('Deal maths'!E1186)&lt;=AsAt),IF(N('Deal maths'!H1186)&gt;0,N('Deal maths'!H1186),N('Deal maths'!D1186)),0)</f>
        <v/>
      </c>
      <c r="C1186" s="91">
        <f>IF(B1186&gt;0,IF('Deal maths'!C1186="Local authority","Local authorities",LOWER(TRIM('Deal maths'!B1186))),"")</f>
        <v/>
      </c>
      <c r="D1186" s="91">
        <f>IF(C1186="","",IF(COUNTIF($C$4:C1185,C1186)=0,SUMIF($C$4:$C$3997,C1186,$B$4:$B$3997)-ROW()/1000000,""))</f>
        <v/>
      </c>
      <c r="E1186" s="91">
        <f>IF(AND(N('Deal maths'!F1186)&gt;AsAt,N('Deal maths'!E1186)&lt;=AsAt,IF(N('Deal maths'!H1186)&gt;0,N('Deal maths'!H1186),N('Deal maths'!D1186))&gt;0),N('Deal maths'!F1186)+ROW()/1000000,"")</f>
        <v/>
      </c>
    </row>
    <row r="1187">
      <c r="A1187" s="91" t="n"/>
      <c r="B1187" s="111">
        <f>IF(AND(N('Deal maths'!F1187)&gt;AsAt,N('Deal maths'!E1187)&lt;=AsAt),IF(N('Deal maths'!H1187)&gt;0,N('Deal maths'!H1187),N('Deal maths'!D1187)),0)</f>
        <v/>
      </c>
      <c r="C1187" s="91">
        <f>IF(B1187&gt;0,IF('Deal maths'!C1187="Local authority","Local authorities",LOWER(TRIM('Deal maths'!B1187))),"")</f>
        <v/>
      </c>
      <c r="D1187" s="91">
        <f>IF(C1187="","",IF(COUNTIF($C$4:C1186,C1187)=0,SUMIF($C$4:$C$3997,C1187,$B$4:$B$3997)-ROW()/1000000,""))</f>
        <v/>
      </c>
      <c r="E1187" s="91">
        <f>IF(AND(N('Deal maths'!F1187)&gt;AsAt,N('Deal maths'!E1187)&lt;=AsAt,IF(N('Deal maths'!H1187)&gt;0,N('Deal maths'!H1187),N('Deal maths'!D1187))&gt;0),N('Deal maths'!F1187)+ROW()/1000000,"")</f>
        <v/>
      </c>
    </row>
    <row r="1188">
      <c r="A1188" s="91" t="n"/>
      <c r="B1188" s="111">
        <f>IF(AND(N('Deal maths'!F1188)&gt;AsAt,N('Deal maths'!E1188)&lt;=AsAt),IF(N('Deal maths'!H1188)&gt;0,N('Deal maths'!H1188),N('Deal maths'!D1188)),0)</f>
        <v/>
      </c>
      <c r="C1188" s="91">
        <f>IF(B1188&gt;0,IF('Deal maths'!C1188="Local authority","Local authorities",LOWER(TRIM('Deal maths'!B1188))),"")</f>
        <v/>
      </c>
      <c r="D1188" s="91">
        <f>IF(C1188="","",IF(COUNTIF($C$4:C1187,C1188)=0,SUMIF($C$4:$C$3997,C1188,$B$4:$B$3997)-ROW()/1000000,""))</f>
        <v/>
      </c>
      <c r="E1188" s="91">
        <f>IF(AND(N('Deal maths'!F1188)&gt;AsAt,N('Deal maths'!E1188)&lt;=AsAt,IF(N('Deal maths'!H1188)&gt;0,N('Deal maths'!H1188),N('Deal maths'!D1188))&gt;0),N('Deal maths'!F1188)+ROW()/1000000,"")</f>
        <v/>
      </c>
    </row>
    <row r="1189">
      <c r="A1189" s="91" t="n"/>
      <c r="B1189" s="111">
        <f>IF(AND(N('Deal maths'!F1189)&gt;AsAt,N('Deal maths'!E1189)&lt;=AsAt),IF(N('Deal maths'!H1189)&gt;0,N('Deal maths'!H1189),N('Deal maths'!D1189)),0)</f>
        <v/>
      </c>
      <c r="C1189" s="91">
        <f>IF(B1189&gt;0,IF('Deal maths'!C1189="Local authority","Local authorities",LOWER(TRIM('Deal maths'!B1189))),"")</f>
        <v/>
      </c>
      <c r="D1189" s="91">
        <f>IF(C1189="","",IF(COUNTIF($C$4:C1188,C1189)=0,SUMIF($C$4:$C$3997,C1189,$B$4:$B$3997)-ROW()/1000000,""))</f>
        <v/>
      </c>
      <c r="E1189" s="91">
        <f>IF(AND(N('Deal maths'!F1189)&gt;AsAt,N('Deal maths'!E1189)&lt;=AsAt,IF(N('Deal maths'!H1189)&gt;0,N('Deal maths'!H1189),N('Deal maths'!D1189))&gt;0),N('Deal maths'!F1189)+ROW()/1000000,"")</f>
        <v/>
      </c>
    </row>
    <row r="1190">
      <c r="A1190" s="91" t="n"/>
      <c r="B1190" s="111">
        <f>IF(AND(N('Deal maths'!F1190)&gt;AsAt,N('Deal maths'!E1190)&lt;=AsAt),IF(N('Deal maths'!H1190)&gt;0,N('Deal maths'!H1190),N('Deal maths'!D1190)),0)</f>
        <v/>
      </c>
      <c r="C1190" s="91">
        <f>IF(B1190&gt;0,IF('Deal maths'!C1190="Local authority","Local authorities",LOWER(TRIM('Deal maths'!B1190))),"")</f>
        <v/>
      </c>
      <c r="D1190" s="91">
        <f>IF(C1190="","",IF(COUNTIF($C$4:C1189,C1190)=0,SUMIF($C$4:$C$3997,C1190,$B$4:$B$3997)-ROW()/1000000,""))</f>
        <v/>
      </c>
      <c r="E1190" s="91">
        <f>IF(AND(N('Deal maths'!F1190)&gt;AsAt,N('Deal maths'!E1190)&lt;=AsAt,IF(N('Deal maths'!H1190)&gt;0,N('Deal maths'!H1190),N('Deal maths'!D1190))&gt;0),N('Deal maths'!F1190)+ROW()/1000000,"")</f>
        <v/>
      </c>
    </row>
    <row r="1191">
      <c r="A1191" s="91" t="n"/>
      <c r="B1191" s="111">
        <f>IF(AND(N('Deal maths'!F1191)&gt;AsAt,N('Deal maths'!E1191)&lt;=AsAt),IF(N('Deal maths'!H1191)&gt;0,N('Deal maths'!H1191),N('Deal maths'!D1191)),0)</f>
        <v/>
      </c>
      <c r="C1191" s="91">
        <f>IF(B1191&gt;0,IF('Deal maths'!C1191="Local authority","Local authorities",LOWER(TRIM('Deal maths'!B1191))),"")</f>
        <v/>
      </c>
      <c r="D1191" s="91">
        <f>IF(C1191="","",IF(COUNTIF($C$4:C1190,C1191)=0,SUMIF($C$4:$C$3997,C1191,$B$4:$B$3997)-ROW()/1000000,""))</f>
        <v/>
      </c>
      <c r="E1191" s="91">
        <f>IF(AND(N('Deal maths'!F1191)&gt;AsAt,N('Deal maths'!E1191)&lt;=AsAt,IF(N('Deal maths'!H1191)&gt;0,N('Deal maths'!H1191),N('Deal maths'!D1191))&gt;0),N('Deal maths'!F1191)+ROW()/1000000,"")</f>
        <v/>
      </c>
    </row>
    <row r="1192">
      <c r="A1192" s="91" t="n"/>
      <c r="B1192" s="111">
        <f>IF(AND(N('Deal maths'!F1192)&gt;AsAt,N('Deal maths'!E1192)&lt;=AsAt),IF(N('Deal maths'!H1192)&gt;0,N('Deal maths'!H1192),N('Deal maths'!D1192)),0)</f>
        <v/>
      </c>
      <c r="C1192" s="91">
        <f>IF(B1192&gt;0,IF('Deal maths'!C1192="Local authority","Local authorities",LOWER(TRIM('Deal maths'!B1192))),"")</f>
        <v/>
      </c>
      <c r="D1192" s="91">
        <f>IF(C1192="","",IF(COUNTIF($C$4:C1191,C1192)=0,SUMIF($C$4:$C$3997,C1192,$B$4:$B$3997)-ROW()/1000000,""))</f>
        <v/>
      </c>
      <c r="E1192" s="91">
        <f>IF(AND(N('Deal maths'!F1192)&gt;AsAt,N('Deal maths'!E1192)&lt;=AsAt,IF(N('Deal maths'!H1192)&gt;0,N('Deal maths'!H1192),N('Deal maths'!D1192))&gt;0),N('Deal maths'!F1192)+ROW()/1000000,"")</f>
        <v/>
      </c>
    </row>
    <row r="1193">
      <c r="A1193" s="91" t="n"/>
      <c r="B1193" s="111">
        <f>IF(AND(N('Deal maths'!F1193)&gt;AsAt,N('Deal maths'!E1193)&lt;=AsAt),IF(N('Deal maths'!H1193)&gt;0,N('Deal maths'!H1193),N('Deal maths'!D1193)),0)</f>
        <v/>
      </c>
      <c r="C1193" s="91">
        <f>IF(B1193&gt;0,IF('Deal maths'!C1193="Local authority","Local authorities",LOWER(TRIM('Deal maths'!B1193))),"")</f>
        <v/>
      </c>
      <c r="D1193" s="91">
        <f>IF(C1193="","",IF(COUNTIF($C$4:C1192,C1193)=0,SUMIF($C$4:$C$3997,C1193,$B$4:$B$3997)-ROW()/1000000,""))</f>
        <v/>
      </c>
      <c r="E1193" s="91">
        <f>IF(AND(N('Deal maths'!F1193)&gt;AsAt,N('Deal maths'!E1193)&lt;=AsAt,IF(N('Deal maths'!H1193)&gt;0,N('Deal maths'!H1193),N('Deal maths'!D1193))&gt;0),N('Deal maths'!F1193)+ROW()/1000000,"")</f>
        <v/>
      </c>
    </row>
    <row r="1194">
      <c r="A1194" s="91" t="n"/>
      <c r="B1194" s="111">
        <f>IF(AND(N('Deal maths'!F1194)&gt;AsAt,N('Deal maths'!E1194)&lt;=AsAt),IF(N('Deal maths'!H1194)&gt;0,N('Deal maths'!H1194),N('Deal maths'!D1194)),0)</f>
        <v/>
      </c>
      <c r="C1194" s="91">
        <f>IF(B1194&gt;0,IF('Deal maths'!C1194="Local authority","Local authorities",LOWER(TRIM('Deal maths'!B1194))),"")</f>
        <v/>
      </c>
      <c r="D1194" s="91">
        <f>IF(C1194="","",IF(COUNTIF($C$4:C1193,C1194)=0,SUMIF($C$4:$C$3997,C1194,$B$4:$B$3997)-ROW()/1000000,""))</f>
        <v/>
      </c>
      <c r="E1194" s="91">
        <f>IF(AND(N('Deal maths'!F1194)&gt;AsAt,N('Deal maths'!E1194)&lt;=AsAt,IF(N('Deal maths'!H1194)&gt;0,N('Deal maths'!H1194),N('Deal maths'!D1194))&gt;0),N('Deal maths'!F1194)+ROW()/1000000,"")</f>
        <v/>
      </c>
    </row>
    <row r="1195">
      <c r="A1195" s="91" t="n"/>
      <c r="B1195" s="111">
        <f>IF(AND(N('Deal maths'!F1195)&gt;AsAt,N('Deal maths'!E1195)&lt;=AsAt),IF(N('Deal maths'!H1195)&gt;0,N('Deal maths'!H1195),N('Deal maths'!D1195)),0)</f>
        <v/>
      </c>
      <c r="C1195" s="91">
        <f>IF(B1195&gt;0,IF('Deal maths'!C1195="Local authority","Local authorities",LOWER(TRIM('Deal maths'!B1195))),"")</f>
        <v/>
      </c>
      <c r="D1195" s="91">
        <f>IF(C1195="","",IF(COUNTIF($C$4:C1194,C1195)=0,SUMIF($C$4:$C$3997,C1195,$B$4:$B$3997)-ROW()/1000000,""))</f>
        <v/>
      </c>
      <c r="E1195" s="91">
        <f>IF(AND(N('Deal maths'!F1195)&gt;AsAt,N('Deal maths'!E1195)&lt;=AsAt,IF(N('Deal maths'!H1195)&gt;0,N('Deal maths'!H1195),N('Deal maths'!D1195))&gt;0),N('Deal maths'!F1195)+ROW()/1000000,"")</f>
        <v/>
      </c>
    </row>
    <row r="1196">
      <c r="A1196" s="91" t="n"/>
      <c r="B1196" s="111">
        <f>IF(AND(N('Deal maths'!F1196)&gt;AsAt,N('Deal maths'!E1196)&lt;=AsAt),IF(N('Deal maths'!H1196)&gt;0,N('Deal maths'!H1196),N('Deal maths'!D1196)),0)</f>
        <v/>
      </c>
      <c r="C1196" s="91">
        <f>IF(B1196&gt;0,IF('Deal maths'!C1196="Local authority","Local authorities",LOWER(TRIM('Deal maths'!B1196))),"")</f>
        <v/>
      </c>
      <c r="D1196" s="91">
        <f>IF(C1196="","",IF(COUNTIF($C$4:C1195,C1196)=0,SUMIF($C$4:$C$3997,C1196,$B$4:$B$3997)-ROW()/1000000,""))</f>
        <v/>
      </c>
      <c r="E1196" s="91">
        <f>IF(AND(N('Deal maths'!F1196)&gt;AsAt,N('Deal maths'!E1196)&lt;=AsAt,IF(N('Deal maths'!H1196)&gt;0,N('Deal maths'!H1196),N('Deal maths'!D1196))&gt;0),N('Deal maths'!F1196)+ROW()/1000000,"")</f>
        <v/>
      </c>
    </row>
    <row r="1197">
      <c r="A1197" s="91" t="n"/>
      <c r="B1197" s="111">
        <f>IF(AND(N('Deal maths'!F1197)&gt;AsAt,N('Deal maths'!E1197)&lt;=AsAt),IF(N('Deal maths'!H1197)&gt;0,N('Deal maths'!H1197),N('Deal maths'!D1197)),0)</f>
        <v/>
      </c>
      <c r="C1197" s="91">
        <f>IF(B1197&gt;0,IF('Deal maths'!C1197="Local authority","Local authorities",LOWER(TRIM('Deal maths'!B1197))),"")</f>
        <v/>
      </c>
      <c r="D1197" s="91">
        <f>IF(C1197="","",IF(COUNTIF($C$4:C1196,C1197)=0,SUMIF($C$4:$C$3997,C1197,$B$4:$B$3997)-ROW()/1000000,""))</f>
        <v/>
      </c>
      <c r="E1197" s="91">
        <f>IF(AND(N('Deal maths'!F1197)&gt;AsAt,N('Deal maths'!E1197)&lt;=AsAt,IF(N('Deal maths'!H1197)&gt;0,N('Deal maths'!H1197),N('Deal maths'!D1197))&gt;0),N('Deal maths'!F1197)+ROW()/1000000,"")</f>
        <v/>
      </c>
    </row>
    <row r="1198">
      <c r="A1198" s="91" t="n"/>
      <c r="B1198" s="111">
        <f>IF(AND(N('Deal maths'!F1198)&gt;AsAt,N('Deal maths'!E1198)&lt;=AsAt),IF(N('Deal maths'!H1198)&gt;0,N('Deal maths'!H1198),N('Deal maths'!D1198)),0)</f>
        <v/>
      </c>
      <c r="C1198" s="91">
        <f>IF(B1198&gt;0,IF('Deal maths'!C1198="Local authority","Local authorities",LOWER(TRIM('Deal maths'!B1198))),"")</f>
        <v/>
      </c>
      <c r="D1198" s="91">
        <f>IF(C1198="","",IF(COUNTIF($C$4:C1197,C1198)=0,SUMIF($C$4:$C$3997,C1198,$B$4:$B$3997)-ROW()/1000000,""))</f>
        <v/>
      </c>
      <c r="E1198" s="91">
        <f>IF(AND(N('Deal maths'!F1198)&gt;AsAt,N('Deal maths'!E1198)&lt;=AsAt,IF(N('Deal maths'!H1198)&gt;0,N('Deal maths'!H1198),N('Deal maths'!D1198))&gt;0),N('Deal maths'!F1198)+ROW()/1000000,"")</f>
        <v/>
      </c>
    </row>
    <row r="1199">
      <c r="A1199" s="91" t="n"/>
      <c r="B1199" s="111">
        <f>IF(AND(N('Deal maths'!F1199)&gt;AsAt,N('Deal maths'!E1199)&lt;=AsAt),IF(N('Deal maths'!H1199)&gt;0,N('Deal maths'!H1199),N('Deal maths'!D1199)),0)</f>
        <v/>
      </c>
      <c r="C1199" s="91">
        <f>IF(B1199&gt;0,IF('Deal maths'!C1199="Local authority","Local authorities",LOWER(TRIM('Deal maths'!B1199))),"")</f>
        <v/>
      </c>
      <c r="D1199" s="91">
        <f>IF(C1199="","",IF(COUNTIF($C$4:C1198,C1199)=0,SUMIF($C$4:$C$3997,C1199,$B$4:$B$3997)-ROW()/1000000,""))</f>
        <v/>
      </c>
      <c r="E1199" s="91">
        <f>IF(AND(N('Deal maths'!F1199)&gt;AsAt,N('Deal maths'!E1199)&lt;=AsAt,IF(N('Deal maths'!H1199)&gt;0,N('Deal maths'!H1199),N('Deal maths'!D1199))&gt;0),N('Deal maths'!F1199)+ROW()/1000000,"")</f>
        <v/>
      </c>
    </row>
    <row r="1200">
      <c r="A1200" s="91" t="n"/>
      <c r="B1200" s="111">
        <f>IF(AND(N('Deal maths'!F1200)&gt;AsAt,N('Deal maths'!E1200)&lt;=AsAt),IF(N('Deal maths'!H1200)&gt;0,N('Deal maths'!H1200),N('Deal maths'!D1200)),0)</f>
        <v/>
      </c>
      <c r="C1200" s="91">
        <f>IF(B1200&gt;0,IF('Deal maths'!C1200="Local authority","Local authorities",LOWER(TRIM('Deal maths'!B1200))),"")</f>
        <v/>
      </c>
      <c r="D1200" s="91">
        <f>IF(C1200="","",IF(COUNTIF($C$4:C1199,C1200)=0,SUMIF($C$4:$C$3997,C1200,$B$4:$B$3997)-ROW()/1000000,""))</f>
        <v/>
      </c>
      <c r="E1200" s="91">
        <f>IF(AND(N('Deal maths'!F1200)&gt;AsAt,N('Deal maths'!E1200)&lt;=AsAt,IF(N('Deal maths'!H1200)&gt;0,N('Deal maths'!H1200),N('Deal maths'!D1200))&gt;0),N('Deal maths'!F1200)+ROW()/1000000,"")</f>
        <v/>
      </c>
    </row>
    <row r="1201">
      <c r="A1201" s="91" t="n"/>
      <c r="B1201" s="111">
        <f>IF(AND(N('Deal maths'!F1201)&gt;AsAt,N('Deal maths'!E1201)&lt;=AsAt),IF(N('Deal maths'!H1201)&gt;0,N('Deal maths'!H1201),N('Deal maths'!D1201)),0)</f>
        <v/>
      </c>
      <c r="C1201" s="91">
        <f>IF(B1201&gt;0,IF('Deal maths'!C1201="Local authority","Local authorities",LOWER(TRIM('Deal maths'!B1201))),"")</f>
        <v/>
      </c>
      <c r="D1201" s="91">
        <f>IF(C1201="","",IF(COUNTIF($C$4:C1200,C1201)=0,SUMIF($C$4:$C$3997,C1201,$B$4:$B$3997)-ROW()/1000000,""))</f>
        <v/>
      </c>
      <c r="E1201" s="91">
        <f>IF(AND(N('Deal maths'!F1201)&gt;AsAt,N('Deal maths'!E1201)&lt;=AsAt,IF(N('Deal maths'!H1201)&gt;0,N('Deal maths'!H1201),N('Deal maths'!D1201))&gt;0),N('Deal maths'!F1201)+ROW()/1000000,"")</f>
        <v/>
      </c>
    </row>
    <row r="1202">
      <c r="A1202" s="91" t="n"/>
      <c r="B1202" s="111">
        <f>IF(AND(N('Deal maths'!F1202)&gt;AsAt,N('Deal maths'!E1202)&lt;=AsAt),IF(N('Deal maths'!H1202)&gt;0,N('Deal maths'!H1202),N('Deal maths'!D1202)),0)</f>
        <v/>
      </c>
      <c r="C1202" s="91">
        <f>IF(B1202&gt;0,IF('Deal maths'!C1202="Local authority","Local authorities",LOWER(TRIM('Deal maths'!B1202))),"")</f>
        <v/>
      </c>
      <c r="D1202" s="91">
        <f>IF(C1202="","",IF(COUNTIF($C$4:C1201,C1202)=0,SUMIF($C$4:$C$3997,C1202,$B$4:$B$3997)-ROW()/1000000,""))</f>
        <v/>
      </c>
      <c r="E1202" s="91">
        <f>IF(AND(N('Deal maths'!F1202)&gt;AsAt,N('Deal maths'!E1202)&lt;=AsAt,IF(N('Deal maths'!H1202)&gt;0,N('Deal maths'!H1202),N('Deal maths'!D1202))&gt;0),N('Deal maths'!F1202)+ROW()/1000000,"")</f>
        <v/>
      </c>
    </row>
    <row r="1203">
      <c r="A1203" s="91" t="n"/>
      <c r="B1203" s="111">
        <f>IF(AND(N('Deal maths'!F1203)&gt;AsAt,N('Deal maths'!E1203)&lt;=AsAt),IF(N('Deal maths'!H1203)&gt;0,N('Deal maths'!H1203),N('Deal maths'!D1203)),0)</f>
        <v/>
      </c>
      <c r="C1203" s="91">
        <f>IF(B1203&gt;0,IF('Deal maths'!C1203="Local authority","Local authorities",LOWER(TRIM('Deal maths'!B1203))),"")</f>
        <v/>
      </c>
      <c r="D1203" s="91">
        <f>IF(C1203="","",IF(COUNTIF($C$4:C1202,C1203)=0,SUMIF($C$4:$C$3997,C1203,$B$4:$B$3997)-ROW()/1000000,""))</f>
        <v/>
      </c>
      <c r="E1203" s="91">
        <f>IF(AND(N('Deal maths'!F1203)&gt;AsAt,N('Deal maths'!E1203)&lt;=AsAt,IF(N('Deal maths'!H1203)&gt;0,N('Deal maths'!H1203),N('Deal maths'!D1203))&gt;0),N('Deal maths'!F1203)+ROW()/1000000,"")</f>
        <v/>
      </c>
    </row>
    <row r="1204">
      <c r="A1204" s="91" t="n"/>
      <c r="B1204" s="111">
        <f>IF(AND(N('Deal maths'!F1204)&gt;AsAt,N('Deal maths'!E1204)&lt;=AsAt),IF(N('Deal maths'!H1204)&gt;0,N('Deal maths'!H1204),N('Deal maths'!D1204)),0)</f>
        <v/>
      </c>
      <c r="C1204" s="91">
        <f>IF(B1204&gt;0,IF('Deal maths'!C1204="Local authority","Local authorities",LOWER(TRIM('Deal maths'!B1204))),"")</f>
        <v/>
      </c>
      <c r="D1204" s="91">
        <f>IF(C1204="","",IF(COUNTIF($C$4:C1203,C1204)=0,SUMIF($C$4:$C$3997,C1204,$B$4:$B$3997)-ROW()/1000000,""))</f>
        <v/>
      </c>
      <c r="E1204" s="91">
        <f>IF(AND(N('Deal maths'!F1204)&gt;AsAt,N('Deal maths'!E1204)&lt;=AsAt,IF(N('Deal maths'!H1204)&gt;0,N('Deal maths'!H1204),N('Deal maths'!D1204))&gt;0),N('Deal maths'!F1204)+ROW()/1000000,"")</f>
        <v/>
      </c>
    </row>
    <row r="1205">
      <c r="A1205" s="91" t="n"/>
      <c r="B1205" s="111">
        <f>IF(AND(N('Deal maths'!F1205)&gt;AsAt,N('Deal maths'!E1205)&lt;=AsAt),IF(N('Deal maths'!H1205)&gt;0,N('Deal maths'!H1205),N('Deal maths'!D1205)),0)</f>
        <v/>
      </c>
      <c r="C1205" s="91">
        <f>IF(B1205&gt;0,IF('Deal maths'!C1205="Local authority","Local authorities",LOWER(TRIM('Deal maths'!B1205))),"")</f>
        <v/>
      </c>
      <c r="D1205" s="91">
        <f>IF(C1205="","",IF(COUNTIF($C$4:C1204,C1205)=0,SUMIF($C$4:$C$3997,C1205,$B$4:$B$3997)-ROW()/1000000,""))</f>
        <v/>
      </c>
      <c r="E1205" s="91">
        <f>IF(AND(N('Deal maths'!F1205)&gt;AsAt,N('Deal maths'!E1205)&lt;=AsAt,IF(N('Deal maths'!H1205)&gt;0,N('Deal maths'!H1205),N('Deal maths'!D1205))&gt;0),N('Deal maths'!F1205)+ROW()/1000000,"")</f>
        <v/>
      </c>
    </row>
    <row r="1206">
      <c r="A1206" s="91" t="n"/>
      <c r="B1206" s="111">
        <f>IF(AND(N('Deal maths'!F1206)&gt;AsAt,N('Deal maths'!E1206)&lt;=AsAt),IF(N('Deal maths'!H1206)&gt;0,N('Deal maths'!H1206),N('Deal maths'!D1206)),0)</f>
        <v/>
      </c>
      <c r="C1206" s="91">
        <f>IF(B1206&gt;0,IF('Deal maths'!C1206="Local authority","Local authorities",LOWER(TRIM('Deal maths'!B1206))),"")</f>
        <v/>
      </c>
      <c r="D1206" s="91">
        <f>IF(C1206="","",IF(COUNTIF($C$4:C1205,C1206)=0,SUMIF($C$4:$C$3997,C1206,$B$4:$B$3997)-ROW()/1000000,""))</f>
        <v/>
      </c>
      <c r="E1206" s="91">
        <f>IF(AND(N('Deal maths'!F1206)&gt;AsAt,N('Deal maths'!E1206)&lt;=AsAt,IF(N('Deal maths'!H1206)&gt;0,N('Deal maths'!H1206),N('Deal maths'!D1206))&gt;0),N('Deal maths'!F1206)+ROW()/1000000,"")</f>
        <v/>
      </c>
    </row>
    <row r="1207">
      <c r="A1207" s="91" t="n"/>
      <c r="B1207" s="111">
        <f>IF(AND(N('Deal maths'!F1207)&gt;AsAt,N('Deal maths'!E1207)&lt;=AsAt),IF(N('Deal maths'!H1207)&gt;0,N('Deal maths'!H1207),N('Deal maths'!D1207)),0)</f>
        <v/>
      </c>
      <c r="C1207" s="91">
        <f>IF(B1207&gt;0,IF('Deal maths'!C1207="Local authority","Local authorities",LOWER(TRIM('Deal maths'!B1207))),"")</f>
        <v/>
      </c>
      <c r="D1207" s="91">
        <f>IF(C1207="","",IF(COUNTIF($C$4:C1206,C1207)=0,SUMIF($C$4:$C$3997,C1207,$B$4:$B$3997)-ROW()/1000000,""))</f>
        <v/>
      </c>
      <c r="E1207" s="91">
        <f>IF(AND(N('Deal maths'!F1207)&gt;AsAt,N('Deal maths'!E1207)&lt;=AsAt,IF(N('Deal maths'!H1207)&gt;0,N('Deal maths'!H1207),N('Deal maths'!D1207))&gt;0),N('Deal maths'!F1207)+ROW()/1000000,"")</f>
        <v/>
      </c>
    </row>
    <row r="1208">
      <c r="A1208" s="91" t="n"/>
      <c r="B1208" s="111">
        <f>IF(AND(N('Deal maths'!F1208)&gt;AsAt,N('Deal maths'!E1208)&lt;=AsAt),IF(N('Deal maths'!H1208)&gt;0,N('Deal maths'!H1208),N('Deal maths'!D1208)),0)</f>
        <v/>
      </c>
      <c r="C1208" s="91">
        <f>IF(B1208&gt;0,IF('Deal maths'!C1208="Local authority","Local authorities",LOWER(TRIM('Deal maths'!B1208))),"")</f>
        <v/>
      </c>
      <c r="D1208" s="91">
        <f>IF(C1208="","",IF(COUNTIF($C$4:C1207,C1208)=0,SUMIF($C$4:$C$3997,C1208,$B$4:$B$3997)-ROW()/1000000,""))</f>
        <v/>
      </c>
      <c r="E1208" s="91">
        <f>IF(AND(N('Deal maths'!F1208)&gt;AsAt,N('Deal maths'!E1208)&lt;=AsAt,IF(N('Deal maths'!H1208)&gt;0,N('Deal maths'!H1208),N('Deal maths'!D1208))&gt;0),N('Deal maths'!F1208)+ROW()/1000000,"")</f>
        <v/>
      </c>
    </row>
    <row r="1209">
      <c r="A1209" s="91" t="n"/>
      <c r="B1209" s="111">
        <f>IF(AND(N('Deal maths'!F1209)&gt;AsAt,N('Deal maths'!E1209)&lt;=AsAt),IF(N('Deal maths'!H1209)&gt;0,N('Deal maths'!H1209),N('Deal maths'!D1209)),0)</f>
        <v/>
      </c>
      <c r="C1209" s="91">
        <f>IF(B1209&gt;0,IF('Deal maths'!C1209="Local authority","Local authorities",LOWER(TRIM('Deal maths'!B1209))),"")</f>
        <v/>
      </c>
      <c r="D1209" s="91">
        <f>IF(C1209="","",IF(COUNTIF($C$4:C1208,C1209)=0,SUMIF($C$4:$C$3997,C1209,$B$4:$B$3997)-ROW()/1000000,""))</f>
        <v/>
      </c>
      <c r="E1209" s="91">
        <f>IF(AND(N('Deal maths'!F1209)&gt;AsAt,N('Deal maths'!E1209)&lt;=AsAt,IF(N('Deal maths'!H1209)&gt;0,N('Deal maths'!H1209),N('Deal maths'!D1209))&gt;0),N('Deal maths'!F1209)+ROW()/1000000,"")</f>
        <v/>
      </c>
    </row>
    <row r="1210">
      <c r="A1210" s="91" t="n"/>
      <c r="B1210" s="111">
        <f>IF(AND(N('Deal maths'!F1210)&gt;AsAt,N('Deal maths'!E1210)&lt;=AsAt),IF(N('Deal maths'!H1210)&gt;0,N('Deal maths'!H1210),N('Deal maths'!D1210)),0)</f>
        <v/>
      </c>
      <c r="C1210" s="91">
        <f>IF(B1210&gt;0,IF('Deal maths'!C1210="Local authority","Local authorities",LOWER(TRIM('Deal maths'!B1210))),"")</f>
        <v/>
      </c>
      <c r="D1210" s="91">
        <f>IF(C1210="","",IF(COUNTIF($C$4:C1209,C1210)=0,SUMIF($C$4:$C$3997,C1210,$B$4:$B$3997)-ROW()/1000000,""))</f>
        <v/>
      </c>
      <c r="E1210" s="91">
        <f>IF(AND(N('Deal maths'!F1210)&gt;AsAt,N('Deal maths'!E1210)&lt;=AsAt,IF(N('Deal maths'!H1210)&gt;0,N('Deal maths'!H1210),N('Deal maths'!D1210))&gt;0),N('Deal maths'!F1210)+ROW()/1000000,"")</f>
        <v/>
      </c>
    </row>
    <row r="1211">
      <c r="A1211" s="91" t="n"/>
      <c r="B1211" s="111">
        <f>IF(AND(N('Deal maths'!F1211)&gt;AsAt,N('Deal maths'!E1211)&lt;=AsAt),IF(N('Deal maths'!H1211)&gt;0,N('Deal maths'!H1211),N('Deal maths'!D1211)),0)</f>
        <v/>
      </c>
      <c r="C1211" s="91">
        <f>IF(B1211&gt;0,IF('Deal maths'!C1211="Local authority","Local authorities",LOWER(TRIM('Deal maths'!B1211))),"")</f>
        <v/>
      </c>
      <c r="D1211" s="91">
        <f>IF(C1211="","",IF(COUNTIF($C$4:C1210,C1211)=0,SUMIF($C$4:$C$3997,C1211,$B$4:$B$3997)-ROW()/1000000,""))</f>
        <v/>
      </c>
      <c r="E1211" s="91">
        <f>IF(AND(N('Deal maths'!F1211)&gt;AsAt,N('Deal maths'!E1211)&lt;=AsAt,IF(N('Deal maths'!H1211)&gt;0,N('Deal maths'!H1211),N('Deal maths'!D1211))&gt;0),N('Deal maths'!F1211)+ROW()/1000000,"")</f>
        <v/>
      </c>
    </row>
    <row r="1212">
      <c r="A1212" s="91" t="n"/>
      <c r="B1212" s="111">
        <f>IF(AND(N('Deal maths'!F1212)&gt;AsAt,N('Deal maths'!E1212)&lt;=AsAt),IF(N('Deal maths'!H1212)&gt;0,N('Deal maths'!H1212),N('Deal maths'!D1212)),0)</f>
        <v/>
      </c>
      <c r="C1212" s="91">
        <f>IF(B1212&gt;0,IF('Deal maths'!C1212="Local authority","Local authorities",LOWER(TRIM('Deal maths'!B1212))),"")</f>
        <v/>
      </c>
      <c r="D1212" s="91">
        <f>IF(C1212="","",IF(COUNTIF($C$4:C1211,C1212)=0,SUMIF($C$4:$C$3997,C1212,$B$4:$B$3997)-ROW()/1000000,""))</f>
        <v/>
      </c>
      <c r="E1212" s="91">
        <f>IF(AND(N('Deal maths'!F1212)&gt;AsAt,N('Deal maths'!E1212)&lt;=AsAt,IF(N('Deal maths'!H1212)&gt;0,N('Deal maths'!H1212),N('Deal maths'!D1212))&gt;0),N('Deal maths'!F1212)+ROW()/1000000,"")</f>
        <v/>
      </c>
    </row>
    <row r="1213">
      <c r="A1213" s="91" t="n"/>
      <c r="B1213" s="111">
        <f>IF(AND(N('Deal maths'!F1213)&gt;AsAt,N('Deal maths'!E1213)&lt;=AsAt),IF(N('Deal maths'!H1213)&gt;0,N('Deal maths'!H1213),N('Deal maths'!D1213)),0)</f>
        <v/>
      </c>
      <c r="C1213" s="91">
        <f>IF(B1213&gt;0,IF('Deal maths'!C1213="Local authority","Local authorities",LOWER(TRIM('Deal maths'!B1213))),"")</f>
        <v/>
      </c>
      <c r="D1213" s="91">
        <f>IF(C1213="","",IF(COUNTIF($C$4:C1212,C1213)=0,SUMIF($C$4:$C$3997,C1213,$B$4:$B$3997)-ROW()/1000000,""))</f>
        <v/>
      </c>
      <c r="E1213" s="91">
        <f>IF(AND(N('Deal maths'!F1213)&gt;AsAt,N('Deal maths'!E1213)&lt;=AsAt,IF(N('Deal maths'!H1213)&gt;0,N('Deal maths'!H1213),N('Deal maths'!D1213))&gt;0),N('Deal maths'!F1213)+ROW()/1000000,"")</f>
        <v/>
      </c>
    </row>
    <row r="1214">
      <c r="A1214" s="91" t="n"/>
      <c r="B1214" s="111">
        <f>IF(AND(N('Deal maths'!F1214)&gt;AsAt,N('Deal maths'!E1214)&lt;=AsAt),IF(N('Deal maths'!H1214)&gt;0,N('Deal maths'!H1214),N('Deal maths'!D1214)),0)</f>
        <v/>
      </c>
      <c r="C1214" s="91">
        <f>IF(B1214&gt;0,IF('Deal maths'!C1214="Local authority","Local authorities",LOWER(TRIM('Deal maths'!B1214))),"")</f>
        <v/>
      </c>
      <c r="D1214" s="91">
        <f>IF(C1214="","",IF(COUNTIF($C$4:C1213,C1214)=0,SUMIF($C$4:$C$3997,C1214,$B$4:$B$3997)-ROW()/1000000,""))</f>
        <v/>
      </c>
      <c r="E1214" s="91">
        <f>IF(AND(N('Deal maths'!F1214)&gt;AsAt,N('Deal maths'!E1214)&lt;=AsAt,IF(N('Deal maths'!H1214)&gt;0,N('Deal maths'!H1214),N('Deal maths'!D1214))&gt;0),N('Deal maths'!F1214)+ROW()/1000000,"")</f>
        <v/>
      </c>
    </row>
    <row r="1215">
      <c r="A1215" s="91" t="n"/>
      <c r="B1215" s="111">
        <f>IF(AND(N('Deal maths'!F1215)&gt;AsAt,N('Deal maths'!E1215)&lt;=AsAt),IF(N('Deal maths'!H1215)&gt;0,N('Deal maths'!H1215),N('Deal maths'!D1215)),0)</f>
        <v/>
      </c>
      <c r="C1215" s="91">
        <f>IF(B1215&gt;0,IF('Deal maths'!C1215="Local authority","Local authorities",LOWER(TRIM('Deal maths'!B1215))),"")</f>
        <v/>
      </c>
      <c r="D1215" s="91">
        <f>IF(C1215="","",IF(COUNTIF($C$4:C1214,C1215)=0,SUMIF($C$4:$C$3997,C1215,$B$4:$B$3997)-ROW()/1000000,""))</f>
        <v/>
      </c>
      <c r="E1215" s="91">
        <f>IF(AND(N('Deal maths'!F1215)&gt;AsAt,N('Deal maths'!E1215)&lt;=AsAt,IF(N('Deal maths'!H1215)&gt;0,N('Deal maths'!H1215),N('Deal maths'!D1215))&gt;0),N('Deal maths'!F1215)+ROW()/1000000,"")</f>
        <v/>
      </c>
    </row>
    <row r="1216">
      <c r="A1216" s="91" t="n"/>
      <c r="B1216" s="111">
        <f>IF(AND(N('Deal maths'!F1216)&gt;AsAt,N('Deal maths'!E1216)&lt;=AsAt),IF(N('Deal maths'!H1216)&gt;0,N('Deal maths'!H1216),N('Deal maths'!D1216)),0)</f>
        <v/>
      </c>
      <c r="C1216" s="91">
        <f>IF(B1216&gt;0,IF('Deal maths'!C1216="Local authority","Local authorities",LOWER(TRIM('Deal maths'!B1216))),"")</f>
        <v/>
      </c>
      <c r="D1216" s="91">
        <f>IF(C1216="","",IF(COUNTIF($C$4:C1215,C1216)=0,SUMIF($C$4:$C$3997,C1216,$B$4:$B$3997)-ROW()/1000000,""))</f>
        <v/>
      </c>
      <c r="E1216" s="91">
        <f>IF(AND(N('Deal maths'!F1216)&gt;AsAt,N('Deal maths'!E1216)&lt;=AsAt,IF(N('Deal maths'!H1216)&gt;0,N('Deal maths'!H1216),N('Deal maths'!D1216))&gt;0),N('Deal maths'!F1216)+ROW()/1000000,"")</f>
        <v/>
      </c>
    </row>
    <row r="1217">
      <c r="A1217" s="91" t="n"/>
      <c r="B1217" s="111">
        <f>IF(AND(N('Deal maths'!F1217)&gt;AsAt,N('Deal maths'!E1217)&lt;=AsAt),IF(N('Deal maths'!H1217)&gt;0,N('Deal maths'!H1217),N('Deal maths'!D1217)),0)</f>
        <v/>
      </c>
      <c r="C1217" s="91">
        <f>IF(B1217&gt;0,IF('Deal maths'!C1217="Local authority","Local authorities",LOWER(TRIM('Deal maths'!B1217))),"")</f>
        <v/>
      </c>
      <c r="D1217" s="91">
        <f>IF(C1217="","",IF(COUNTIF($C$4:C1216,C1217)=0,SUMIF($C$4:$C$3997,C1217,$B$4:$B$3997)-ROW()/1000000,""))</f>
        <v/>
      </c>
      <c r="E1217" s="91">
        <f>IF(AND(N('Deal maths'!F1217)&gt;AsAt,N('Deal maths'!E1217)&lt;=AsAt,IF(N('Deal maths'!H1217)&gt;0,N('Deal maths'!H1217),N('Deal maths'!D1217))&gt;0),N('Deal maths'!F1217)+ROW()/1000000,"")</f>
        <v/>
      </c>
    </row>
    <row r="1218">
      <c r="A1218" s="91" t="n"/>
      <c r="B1218" s="111">
        <f>IF(AND(N('Deal maths'!F1218)&gt;AsAt,N('Deal maths'!E1218)&lt;=AsAt),IF(N('Deal maths'!H1218)&gt;0,N('Deal maths'!H1218),N('Deal maths'!D1218)),0)</f>
        <v/>
      </c>
      <c r="C1218" s="91">
        <f>IF(B1218&gt;0,IF('Deal maths'!C1218="Local authority","Local authorities",LOWER(TRIM('Deal maths'!B1218))),"")</f>
        <v/>
      </c>
      <c r="D1218" s="91">
        <f>IF(C1218="","",IF(COUNTIF($C$4:C1217,C1218)=0,SUMIF($C$4:$C$3997,C1218,$B$4:$B$3997)-ROW()/1000000,""))</f>
        <v/>
      </c>
      <c r="E1218" s="91">
        <f>IF(AND(N('Deal maths'!F1218)&gt;AsAt,N('Deal maths'!E1218)&lt;=AsAt,IF(N('Deal maths'!H1218)&gt;0,N('Deal maths'!H1218),N('Deal maths'!D1218))&gt;0),N('Deal maths'!F1218)+ROW()/1000000,"")</f>
        <v/>
      </c>
    </row>
    <row r="1219">
      <c r="A1219" s="91" t="n"/>
      <c r="B1219" s="111">
        <f>IF(AND(N('Deal maths'!F1219)&gt;AsAt,N('Deal maths'!E1219)&lt;=AsAt),IF(N('Deal maths'!H1219)&gt;0,N('Deal maths'!H1219),N('Deal maths'!D1219)),0)</f>
        <v/>
      </c>
      <c r="C1219" s="91">
        <f>IF(B1219&gt;0,IF('Deal maths'!C1219="Local authority","Local authorities",LOWER(TRIM('Deal maths'!B1219))),"")</f>
        <v/>
      </c>
      <c r="D1219" s="91">
        <f>IF(C1219="","",IF(COUNTIF($C$4:C1218,C1219)=0,SUMIF($C$4:$C$3997,C1219,$B$4:$B$3997)-ROW()/1000000,""))</f>
        <v/>
      </c>
      <c r="E1219" s="91">
        <f>IF(AND(N('Deal maths'!F1219)&gt;AsAt,N('Deal maths'!E1219)&lt;=AsAt,IF(N('Deal maths'!H1219)&gt;0,N('Deal maths'!H1219),N('Deal maths'!D1219))&gt;0),N('Deal maths'!F1219)+ROW()/1000000,"")</f>
        <v/>
      </c>
    </row>
    <row r="1220">
      <c r="A1220" s="91" t="n"/>
      <c r="B1220" s="111">
        <f>IF(AND(N('Deal maths'!F1220)&gt;AsAt,N('Deal maths'!E1220)&lt;=AsAt),IF(N('Deal maths'!H1220)&gt;0,N('Deal maths'!H1220),N('Deal maths'!D1220)),0)</f>
        <v/>
      </c>
      <c r="C1220" s="91">
        <f>IF(B1220&gt;0,IF('Deal maths'!C1220="Local authority","Local authorities",LOWER(TRIM('Deal maths'!B1220))),"")</f>
        <v/>
      </c>
      <c r="D1220" s="91">
        <f>IF(C1220="","",IF(COUNTIF($C$4:C1219,C1220)=0,SUMIF($C$4:$C$3997,C1220,$B$4:$B$3997)-ROW()/1000000,""))</f>
        <v/>
      </c>
      <c r="E1220" s="91">
        <f>IF(AND(N('Deal maths'!F1220)&gt;AsAt,N('Deal maths'!E1220)&lt;=AsAt,IF(N('Deal maths'!H1220)&gt;0,N('Deal maths'!H1220),N('Deal maths'!D1220))&gt;0),N('Deal maths'!F1220)+ROW()/1000000,"")</f>
        <v/>
      </c>
    </row>
    <row r="1221">
      <c r="A1221" s="91" t="n"/>
      <c r="B1221" s="111">
        <f>IF(AND(N('Deal maths'!F1221)&gt;AsAt,N('Deal maths'!E1221)&lt;=AsAt),IF(N('Deal maths'!H1221)&gt;0,N('Deal maths'!H1221),N('Deal maths'!D1221)),0)</f>
        <v/>
      </c>
      <c r="C1221" s="91">
        <f>IF(B1221&gt;0,IF('Deal maths'!C1221="Local authority","Local authorities",LOWER(TRIM('Deal maths'!B1221))),"")</f>
        <v/>
      </c>
      <c r="D1221" s="91">
        <f>IF(C1221="","",IF(COUNTIF($C$4:C1220,C1221)=0,SUMIF($C$4:$C$3997,C1221,$B$4:$B$3997)-ROW()/1000000,""))</f>
        <v/>
      </c>
      <c r="E1221" s="91">
        <f>IF(AND(N('Deal maths'!F1221)&gt;AsAt,N('Deal maths'!E1221)&lt;=AsAt,IF(N('Deal maths'!H1221)&gt;0,N('Deal maths'!H1221),N('Deal maths'!D1221))&gt;0),N('Deal maths'!F1221)+ROW()/1000000,"")</f>
        <v/>
      </c>
    </row>
    <row r="1222">
      <c r="A1222" s="91" t="n"/>
      <c r="B1222" s="111">
        <f>IF(AND(N('Deal maths'!F1222)&gt;AsAt,N('Deal maths'!E1222)&lt;=AsAt),IF(N('Deal maths'!H1222)&gt;0,N('Deal maths'!H1222),N('Deal maths'!D1222)),0)</f>
        <v/>
      </c>
      <c r="C1222" s="91">
        <f>IF(B1222&gt;0,IF('Deal maths'!C1222="Local authority","Local authorities",LOWER(TRIM('Deal maths'!B1222))),"")</f>
        <v/>
      </c>
      <c r="D1222" s="91">
        <f>IF(C1222="","",IF(COUNTIF($C$4:C1221,C1222)=0,SUMIF($C$4:$C$3997,C1222,$B$4:$B$3997)-ROW()/1000000,""))</f>
        <v/>
      </c>
      <c r="E1222" s="91">
        <f>IF(AND(N('Deal maths'!F1222)&gt;AsAt,N('Deal maths'!E1222)&lt;=AsAt,IF(N('Deal maths'!H1222)&gt;0,N('Deal maths'!H1222),N('Deal maths'!D1222))&gt;0),N('Deal maths'!F1222)+ROW()/1000000,"")</f>
        <v/>
      </c>
    </row>
    <row r="1223">
      <c r="A1223" s="91" t="n"/>
      <c r="B1223" s="111">
        <f>IF(AND(N('Deal maths'!F1223)&gt;AsAt,N('Deal maths'!E1223)&lt;=AsAt),IF(N('Deal maths'!H1223)&gt;0,N('Deal maths'!H1223),N('Deal maths'!D1223)),0)</f>
        <v/>
      </c>
      <c r="C1223" s="91">
        <f>IF(B1223&gt;0,IF('Deal maths'!C1223="Local authority","Local authorities",LOWER(TRIM('Deal maths'!B1223))),"")</f>
        <v/>
      </c>
      <c r="D1223" s="91">
        <f>IF(C1223="","",IF(COUNTIF($C$4:C1222,C1223)=0,SUMIF($C$4:$C$3997,C1223,$B$4:$B$3997)-ROW()/1000000,""))</f>
        <v/>
      </c>
      <c r="E1223" s="91">
        <f>IF(AND(N('Deal maths'!F1223)&gt;AsAt,N('Deal maths'!E1223)&lt;=AsAt,IF(N('Deal maths'!H1223)&gt;0,N('Deal maths'!H1223),N('Deal maths'!D1223))&gt;0),N('Deal maths'!F1223)+ROW()/1000000,"")</f>
        <v/>
      </c>
    </row>
    <row r="1224">
      <c r="A1224" s="91" t="n"/>
      <c r="B1224" s="111">
        <f>IF(AND(N('Deal maths'!F1224)&gt;AsAt,N('Deal maths'!E1224)&lt;=AsAt),IF(N('Deal maths'!H1224)&gt;0,N('Deal maths'!H1224),N('Deal maths'!D1224)),0)</f>
        <v/>
      </c>
      <c r="C1224" s="91">
        <f>IF(B1224&gt;0,IF('Deal maths'!C1224="Local authority","Local authorities",LOWER(TRIM('Deal maths'!B1224))),"")</f>
        <v/>
      </c>
      <c r="D1224" s="91">
        <f>IF(C1224="","",IF(COUNTIF($C$4:C1223,C1224)=0,SUMIF($C$4:$C$3997,C1224,$B$4:$B$3997)-ROW()/1000000,""))</f>
        <v/>
      </c>
      <c r="E1224" s="91">
        <f>IF(AND(N('Deal maths'!F1224)&gt;AsAt,N('Deal maths'!E1224)&lt;=AsAt,IF(N('Deal maths'!H1224)&gt;0,N('Deal maths'!H1224),N('Deal maths'!D1224))&gt;0),N('Deal maths'!F1224)+ROW()/1000000,"")</f>
        <v/>
      </c>
    </row>
    <row r="1225">
      <c r="A1225" s="91" t="n"/>
      <c r="B1225" s="111">
        <f>IF(AND(N('Deal maths'!F1225)&gt;AsAt,N('Deal maths'!E1225)&lt;=AsAt),IF(N('Deal maths'!H1225)&gt;0,N('Deal maths'!H1225),N('Deal maths'!D1225)),0)</f>
        <v/>
      </c>
      <c r="C1225" s="91">
        <f>IF(B1225&gt;0,IF('Deal maths'!C1225="Local authority","Local authorities",LOWER(TRIM('Deal maths'!B1225))),"")</f>
        <v/>
      </c>
      <c r="D1225" s="91">
        <f>IF(C1225="","",IF(COUNTIF($C$4:C1224,C1225)=0,SUMIF($C$4:$C$3997,C1225,$B$4:$B$3997)-ROW()/1000000,""))</f>
        <v/>
      </c>
      <c r="E1225" s="91">
        <f>IF(AND(N('Deal maths'!F1225)&gt;AsAt,N('Deal maths'!E1225)&lt;=AsAt,IF(N('Deal maths'!H1225)&gt;0,N('Deal maths'!H1225),N('Deal maths'!D1225))&gt;0),N('Deal maths'!F1225)+ROW()/1000000,"")</f>
        <v/>
      </c>
    </row>
    <row r="1226">
      <c r="A1226" s="91" t="n"/>
      <c r="B1226" s="111">
        <f>IF(AND(N('Deal maths'!F1226)&gt;AsAt,N('Deal maths'!E1226)&lt;=AsAt),IF(N('Deal maths'!H1226)&gt;0,N('Deal maths'!H1226),N('Deal maths'!D1226)),0)</f>
        <v/>
      </c>
      <c r="C1226" s="91">
        <f>IF(B1226&gt;0,IF('Deal maths'!C1226="Local authority","Local authorities",LOWER(TRIM('Deal maths'!B1226))),"")</f>
        <v/>
      </c>
      <c r="D1226" s="91">
        <f>IF(C1226="","",IF(COUNTIF($C$4:C1225,C1226)=0,SUMIF($C$4:$C$3997,C1226,$B$4:$B$3997)-ROW()/1000000,""))</f>
        <v/>
      </c>
      <c r="E1226" s="91">
        <f>IF(AND(N('Deal maths'!F1226)&gt;AsAt,N('Deal maths'!E1226)&lt;=AsAt,IF(N('Deal maths'!H1226)&gt;0,N('Deal maths'!H1226),N('Deal maths'!D1226))&gt;0),N('Deal maths'!F1226)+ROW()/1000000,"")</f>
        <v/>
      </c>
    </row>
    <row r="1227">
      <c r="A1227" s="91" t="n"/>
      <c r="B1227" s="111">
        <f>IF(AND(N('Deal maths'!F1227)&gt;AsAt,N('Deal maths'!E1227)&lt;=AsAt),IF(N('Deal maths'!H1227)&gt;0,N('Deal maths'!H1227),N('Deal maths'!D1227)),0)</f>
        <v/>
      </c>
      <c r="C1227" s="91">
        <f>IF(B1227&gt;0,IF('Deal maths'!C1227="Local authority","Local authorities",LOWER(TRIM('Deal maths'!B1227))),"")</f>
        <v/>
      </c>
      <c r="D1227" s="91">
        <f>IF(C1227="","",IF(COUNTIF($C$4:C1226,C1227)=0,SUMIF($C$4:$C$3997,C1227,$B$4:$B$3997)-ROW()/1000000,""))</f>
        <v/>
      </c>
      <c r="E1227" s="91">
        <f>IF(AND(N('Deal maths'!F1227)&gt;AsAt,N('Deal maths'!E1227)&lt;=AsAt,IF(N('Deal maths'!H1227)&gt;0,N('Deal maths'!H1227),N('Deal maths'!D1227))&gt;0),N('Deal maths'!F1227)+ROW()/1000000,"")</f>
        <v/>
      </c>
    </row>
    <row r="1228">
      <c r="A1228" s="91" t="n"/>
      <c r="B1228" s="111">
        <f>IF(AND(N('Deal maths'!F1228)&gt;AsAt,N('Deal maths'!E1228)&lt;=AsAt),IF(N('Deal maths'!H1228)&gt;0,N('Deal maths'!H1228),N('Deal maths'!D1228)),0)</f>
        <v/>
      </c>
      <c r="C1228" s="91">
        <f>IF(B1228&gt;0,IF('Deal maths'!C1228="Local authority","Local authorities",LOWER(TRIM('Deal maths'!B1228))),"")</f>
        <v/>
      </c>
      <c r="D1228" s="91">
        <f>IF(C1228="","",IF(COUNTIF($C$4:C1227,C1228)=0,SUMIF($C$4:$C$3997,C1228,$B$4:$B$3997)-ROW()/1000000,""))</f>
        <v/>
      </c>
      <c r="E1228" s="91">
        <f>IF(AND(N('Deal maths'!F1228)&gt;AsAt,N('Deal maths'!E1228)&lt;=AsAt,IF(N('Deal maths'!H1228)&gt;0,N('Deal maths'!H1228),N('Deal maths'!D1228))&gt;0),N('Deal maths'!F1228)+ROW()/1000000,"")</f>
        <v/>
      </c>
    </row>
    <row r="1229">
      <c r="A1229" s="91" t="n"/>
      <c r="B1229" s="111">
        <f>IF(AND(N('Deal maths'!F1229)&gt;AsAt,N('Deal maths'!E1229)&lt;=AsAt),IF(N('Deal maths'!H1229)&gt;0,N('Deal maths'!H1229),N('Deal maths'!D1229)),0)</f>
        <v/>
      </c>
      <c r="C1229" s="91">
        <f>IF(B1229&gt;0,IF('Deal maths'!C1229="Local authority","Local authorities",LOWER(TRIM('Deal maths'!B1229))),"")</f>
        <v/>
      </c>
      <c r="D1229" s="91">
        <f>IF(C1229="","",IF(COUNTIF($C$4:C1228,C1229)=0,SUMIF($C$4:$C$3997,C1229,$B$4:$B$3997)-ROW()/1000000,""))</f>
        <v/>
      </c>
      <c r="E1229" s="91">
        <f>IF(AND(N('Deal maths'!F1229)&gt;AsAt,N('Deal maths'!E1229)&lt;=AsAt,IF(N('Deal maths'!H1229)&gt;0,N('Deal maths'!H1229),N('Deal maths'!D1229))&gt;0),N('Deal maths'!F1229)+ROW()/1000000,"")</f>
        <v/>
      </c>
    </row>
    <row r="1230">
      <c r="A1230" s="91" t="n"/>
      <c r="B1230" s="111">
        <f>IF(AND(N('Deal maths'!F1230)&gt;AsAt,N('Deal maths'!E1230)&lt;=AsAt),IF(N('Deal maths'!H1230)&gt;0,N('Deal maths'!H1230),N('Deal maths'!D1230)),0)</f>
        <v/>
      </c>
      <c r="C1230" s="91">
        <f>IF(B1230&gt;0,IF('Deal maths'!C1230="Local authority","Local authorities",LOWER(TRIM('Deal maths'!B1230))),"")</f>
        <v/>
      </c>
      <c r="D1230" s="91">
        <f>IF(C1230="","",IF(COUNTIF($C$4:C1229,C1230)=0,SUMIF($C$4:$C$3997,C1230,$B$4:$B$3997)-ROW()/1000000,""))</f>
        <v/>
      </c>
      <c r="E1230" s="91">
        <f>IF(AND(N('Deal maths'!F1230)&gt;AsAt,N('Deal maths'!E1230)&lt;=AsAt,IF(N('Deal maths'!H1230)&gt;0,N('Deal maths'!H1230),N('Deal maths'!D1230))&gt;0),N('Deal maths'!F1230)+ROW()/1000000,"")</f>
        <v/>
      </c>
    </row>
    <row r="1231">
      <c r="A1231" s="91" t="n"/>
      <c r="B1231" s="111">
        <f>IF(AND(N('Deal maths'!F1231)&gt;AsAt,N('Deal maths'!E1231)&lt;=AsAt),IF(N('Deal maths'!H1231)&gt;0,N('Deal maths'!H1231),N('Deal maths'!D1231)),0)</f>
        <v/>
      </c>
      <c r="C1231" s="91">
        <f>IF(B1231&gt;0,IF('Deal maths'!C1231="Local authority","Local authorities",LOWER(TRIM('Deal maths'!B1231))),"")</f>
        <v/>
      </c>
      <c r="D1231" s="91">
        <f>IF(C1231="","",IF(COUNTIF($C$4:C1230,C1231)=0,SUMIF($C$4:$C$3997,C1231,$B$4:$B$3997)-ROW()/1000000,""))</f>
        <v/>
      </c>
      <c r="E1231" s="91">
        <f>IF(AND(N('Deal maths'!F1231)&gt;AsAt,N('Deal maths'!E1231)&lt;=AsAt,IF(N('Deal maths'!H1231)&gt;0,N('Deal maths'!H1231),N('Deal maths'!D1231))&gt;0),N('Deal maths'!F1231)+ROW()/1000000,"")</f>
        <v/>
      </c>
    </row>
    <row r="1232">
      <c r="A1232" s="91" t="n"/>
      <c r="B1232" s="111">
        <f>IF(AND(N('Deal maths'!F1232)&gt;AsAt,N('Deal maths'!E1232)&lt;=AsAt),IF(N('Deal maths'!H1232)&gt;0,N('Deal maths'!H1232),N('Deal maths'!D1232)),0)</f>
        <v/>
      </c>
      <c r="C1232" s="91">
        <f>IF(B1232&gt;0,IF('Deal maths'!C1232="Local authority","Local authorities",LOWER(TRIM('Deal maths'!B1232))),"")</f>
        <v/>
      </c>
      <c r="D1232" s="91">
        <f>IF(C1232="","",IF(COUNTIF($C$4:C1231,C1232)=0,SUMIF($C$4:$C$3997,C1232,$B$4:$B$3997)-ROW()/1000000,""))</f>
        <v/>
      </c>
      <c r="E1232" s="91">
        <f>IF(AND(N('Deal maths'!F1232)&gt;AsAt,N('Deal maths'!E1232)&lt;=AsAt,IF(N('Deal maths'!H1232)&gt;0,N('Deal maths'!H1232),N('Deal maths'!D1232))&gt;0),N('Deal maths'!F1232)+ROW()/1000000,"")</f>
        <v/>
      </c>
    </row>
    <row r="1233">
      <c r="A1233" s="91" t="n"/>
      <c r="B1233" s="111">
        <f>IF(AND(N('Deal maths'!F1233)&gt;AsAt,N('Deal maths'!E1233)&lt;=AsAt),IF(N('Deal maths'!H1233)&gt;0,N('Deal maths'!H1233),N('Deal maths'!D1233)),0)</f>
        <v/>
      </c>
      <c r="C1233" s="91">
        <f>IF(B1233&gt;0,IF('Deal maths'!C1233="Local authority","Local authorities",LOWER(TRIM('Deal maths'!B1233))),"")</f>
        <v/>
      </c>
      <c r="D1233" s="91">
        <f>IF(C1233="","",IF(COUNTIF($C$4:C1232,C1233)=0,SUMIF($C$4:$C$3997,C1233,$B$4:$B$3997)-ROW()/1000000,""))</f>
        <v/>
      </c>
      <c r="E1233" s="91">
        <f>IF(AND(N('Deal maths'!F1233)&gt;AsAt,N('Deal maths'!E1233)&lt;=AsAt,IF(N('Deal maths'!H1233)&gt;0,N('Deal maths'!H1233),N('Deal maths'!D1233))&gt;0),N('Deal maths'!F1233)+ROW()/1000000,"")</f>
        <v/>
      </c>
    </row>
    <row r="1234">
      <c r="A1234" s="91" t="n"/>
      <c r="B1234" s="111">
        <f>IF(AND(N('Deal maths'!F1234)&gt;AsAt,N('Deal maths'!E1234)&lt;=AsAt),IF(N('Deal maths'!H1234)&gt;0,N('Deal maths'!H1234),N('Deal maths'!D1234)),0)</f>
        <v/>
      </c>
      <c r="C1234" s="91">
        <f>IF(B1234&gt;0,IF('Deal maths'!C1234="Local authority","Local authorities",LOWER(TRIM('Deal maths'!B1234))),"")</f>
        <v/>
      </c>
      <c r="D1234" s="91">
        <f>IF(C1234="","",IF(COUNTIF($C$4:C1233,C1234)=0,SUMIF($C$4:$C$3997,C1234,$B$4:$B$3997)-ROW()/1000000,""))</f>
        <v/>
      </c>
      <c r="E1234" s="91">
        <f>IF(AND(N('Deal maths'!F1234)&gt;AsAt,N('Deal maths'!E1234)&lt;=AsAt,IF(N('Deal maths'!H1234)&gt;0,N('Deal maths'!H1234),N('Deal maths'!D1234))&gt;0),N('Deal maths'!F1234)+ROW()/1000000,"")</f>
        <v/>
      </c>
    </row>
    <row r="1235">
      <c r="A1235" s="91" t="n"/>
      <c r="B1235" s="111">
        <f>IF(AND(N('Deal maths'!F1235)&gt;AsAt,N('Deal maths'!E1235)&lt;=AsAt),IF(N('Deal maths'!H1235)&gt;0,N('Deal maths'!H1235),N('Deal maths'!D1235)),0)</f>
        <v/>
      </c>
      <c r="C1235" s="91">
        <f>IF(B1235&gt;0,IF('Deal maths'!C1235="Local authority","Local authorities",LOWER(TRIM('Deal maths'!B1235))),"")</f>
        <v/>
      </c>
      <c r="D1235" s="91">
        <f>IF(C1235="","",IF(COUNTIF($C$4:C1234,C1235)=0,SUMIF($C$4:$C$3997,C1235,$B$4:$B$3997)-ROW()/1000000,""))</f>
        <v/>
      </c>
      <c r="E1235" s="91">
        <f>IF(AND(N('Deal maths'!F1235)&gt;AsAt,N('Deal maths'!E1235)&lt;=AsAt,IF(N('Deal maths'!H1235)&gt;0,N('Deal maths'!H1235),N('Deal maths'!D1235))&gt;0),N('Deal maths'!F1235)+ROW()/1000000,"")</f>
        <v/>
      </c>
    </row>
    <row r="1236">
      <c r="A1236" s="91" t="n"/>
      <c r="B1236" s="111">
        <f>IF(AND(N('Deal maths'!F1236)&gt;AsAt,N('Deal maths'!E1236)&lt;=AsAt),IF(N('Deal maths'!H1236)&gt;0,N('Deal maths'!H1236),N('Deal maths'!D1236)),0)</f>
        <v/>
      </c>
      <c r="C1236" s="91">
        <f>IF(B1236&gt;0,IF('Deal maths'!C1236="Local authority","Local authorities",LOWER(TRIM('Deal maths'!B1236))),"")</f>
        <v/>
      </c>
      <c r="D1236" s="91">
        <f>IF(C1236="","",IF(COUNTIF($C$4:C1235,C1236)=0,SUMIF($C$4:$C$3997,C1236,$B$4:$B$3997)-ROW()/1000000,""))</f>
        <v/>
      </c>
      <c r="E1236" s="91">
        <f>IF(AND(N('Deal maths'!F1236)&gt;AsAt,N('Deal maths'!E1236)&lt;=AsAt,IF(N('Deal maths'!H1236)&gt;0,N('Deal maths'!H1236),N('Deal maths'!D1236))&gt;0),N('Deal maths'!F1236)+ROW()/1000000,"")</f>
        <v/>
      </c>
    </row>
    <row r="1237">
      <c r="A1237" s="91" t="n"/>
      <c r="B1237" s="111">
        <f>IF(AND(N('Deal maths'!F1237)&gt;AsAt,N('Deal maths'!E1237)&lt;=AsAt),IF(N('Deal maths'!H1237)&gt;0,N('Deal maths'!H1237),N('Deal maths'!D1237)),0)</f>
        <v/>
      </c>
      <c r="C1237" s="91">
        <f>IF(B1237&gt;0,IF('Deal maths'!C1237="Local authority","Local authorities",LOWER(TRIM('Deal maths'!B1237))),"")</f>
        <v/>
      </c>
      <c r="D1237" s="91">
        <f>IF(C1237="","",IF(COUNTIF($C$4:C1236,C1237)=0,SUMIF($C$4:$C$3997,C1237,$B$4:$B$3997)-ROW()/1000000,""))</f>
        <v/>
      </c>
      <c r="E1237" s="91">
        <f>IF(AND(N('Deal maths'!F1237)&gt;AsAt,N('Deal maths'!E1237)&lt;=AsAt,IF(N('Deal maths'!H1237)&gt;0,N('Deal maths'!H1237),N('Deal maths'!D1237))&gt;0),N('Deal maths'!F1237)+ROW()/1000000,"")</f>
        <v/>
      </c>
    </row>
    <row r="1238">
      <c r="A1238" s="91" t="n"/>
      <c r="B1238" s="111">
        <f>IF(AND(N('Deal maths'!F1238)&gt;AsAt,N('Deal maths'!E1238)&lt;=AsAt),IF(N('Deal maths'!H1238)&gt;0,N('Deal maths'!H1238),N('Deal maths'!D1238)),0)</f>
        <v/>
      </c>
      <c r="C1238" s="91">
        <f>IF(B1238&gt;0,IF('Deal maths'!C1238="Local authority","Local authorities",LOWER(TRIM('Deal maths'!B1238))),"")</f>
        <v/>
      </c>
      <c r="D1238" s="91">
        <f>IF(C1238="","",IF(COUNTIF($C$4:C1237,C1238)=0,SUMIF($C$4:$C$3997,C1238,$B$4:$B$3997)-ROW()/1000000,""))</f>
        <v/>
      </c>
      <c r="E1238" s="91">
        <f>IF(AND(N('Deal maths'!F1238)&gt;AsAt,N('Deal maths'!E1238)&lt;=AsAt,IF(N('Deal maths'!H1238)&gt;0,N('Deal maths'!H1238),N('Deal maths'!D1238))&gt;0),N('Deal maths'!F1238)+ROW()/1000000,"")</f>
        <v/>
      </c>
    </row>
    <row r="1239">
      <c r="A1239" s="91" t="n"/>
      <c r="B1239" s="111">
        <f>IF(AND(N('Deal maths'!F1239)&gt;AsAt,N('Deal maths'!E1239)&lt;=AsAt),IF(N('Deal maths'!H1239)&gt;0,N('Deal maths'!H1239),N('Deal maths'!D1239)),0)</f>
        <v/>
      </c>
      <c r="C1239" s="91">
        <f>IF(B1239&gt;0,IF('Deal maths'!C1239="Local authority","Local authorities",LOWER(TRIM('Deal maths'!B1239))),"")</f>
        <v/>
      </c>
      <c r="D1239" s="91">
        <f>IF(C1239="","",IF(COUNTIF($C$4:C1238,C1239)=0,SUMIF($C$4:$C$3997,C1239,$B$4:$B$3997)-ROW()/1000000,""))</f>
        <v/>
      </c>
      <c r="E1239" s="91">
        <f>IF(AND(N('Deal maths'!F1239)&gt;AsAt,N('Deal maths'!E1239)&lt;=AsAt,IF(N('Deal maths'!H1239)&gt;0,N('Deal maths'!H1239),N('Deal maths'!D1239))&gt;0),N('Deal maths'!F1239)+ROW()/1000000,"")</f>
        <v/>
      </c>
    </row>
    <row r="1240">
      <c r="A1240" s="91" t="n"/>
      <c r="B1240" s="111">
        <f>IF(AND(N('Deal maths'!F1240)&gt;AsAt,N('Deal maths'!E1240)&lt;=AsAt),IF(N('Deal maths'!H1240)&gt;0,N('Deal maths'!H1240),N('Deal maths'!D1240)),0)</f>
        <v/>
      </c>
      <c r="C1240" s="91">
        <f>IF(B1240&gt;0,IF('Deal maths'!C1240="Local authority","Local authorities",LOWER(TRIM('Deal maths'!B1240))),"")</f>
        <v/>
      </c>
      <c r="D1240" s="91">
        <f>IF(C1240="","",IF(COUNTIF($C$4:C1239,C1240)=0,SUMIF($C$4:$C$3997,C1240,$B$4:$B$3997)-ROW()/1000000,""))</f>
        <v/>
      </c>
      <c r="E1240" s="91">
        <f>IF(AND(N('Deal maths'!F1240)&gt;AsAt,N('Deal maths'!E1240)&lt;=AsAt,IF(N('Deal maths'!H1240)&gt;0,N('Deal maths'!H1240),N('Deal maths'!D1240))&gt;0),N('Deal maths'!F1240)+ROW()/1000000,"")</f>
        <v/>
      </c>
    </row>
    <row r="1241">
      <c r="A1241" s="91" t="n"/>
      <c r="B1241" s="111">
        <f>IF(AND(N('Deal maths'!F1241)&gt;AsAt,N('Deal maths'!E1241)&lt;=AsAt),IF(N('Deal maths'!H1241)&gt;0,N('Deal maths'!H1241),N('Deal maths'!D1241)),0)</f>
        <v/>
      </c>
      <c r="C1241" s="91">
        <f>IF(B1241&gt;0,IF('Deal maths'!C1241="Local authority","Local authorities",LOWER(TRIM('Deal maths'!B1241))),"")</f>
        <v/>
      </c>
      <c r="D1241" s="91">
        <f>IF(C1241="","",IF(COUNTIF($C$4:C1240,C1241)=0,SUMIF($C$4:$C$3997,C1241,$B$4:$B$3997)-ROW()/1000000,""))</f>
        <v/>
      </c>
      <c r="E1241" s="91">
        <f>IF(AND(N('Deal maths'!F1241)&gt;AsAt,N('Deal maths'!E1241)&lt;=AsAt,IF(N('Deal maths'!H1241)&gt;0,N('Deal maths'!H1241),N('Deal maths'!D1241))&gt;0),N('Deal maths'!F1241)+ROW()/1000000,"")</f>
        <v/>
      </c>
    </row>
    <row r="1242">
      <c r="A1242" s="91" t="n"/>
      <c r="B1242" s="111">
        <f>IF(AND(N('Deal maths'!F1242)&gt;AsAt,N('Deal maths'!E1242)&lt;=AsAt),IF(N('Deal maths'!H1242)&gt;0,N('Deal maths'!H1242),N('Deal maths'!D1242)),0)</f>
        <v/>
      </c>
      <c r="C1242" s="91">
        <f>IF(B1242&gt;0,IF('Deal maths'!C1242="Local authority","Local authorities",LOWER(TRIM('Deal maths'!B1242))),"")</f>
        <v/>
      </c>
      <c r="D1242" s="91">
        <f>IF(C1242="","",IF(COUNTIF($C$4:C1241,C1242)=0,SUMIF($C$4:$C$3997,C1242,$B$4:$B$3997)-ROW()/1000000,""))</f>
        <v/>
      </c>
      <c r="E1242" s="91">
        <f>IF(AND(N('Deal maths'!F1242)&gt;AsAt,N('Deal maths'!E1242)&lt;=AsAt,IF(N('Deal maths'!H1242)&gt;0,N('Deal maths'!H1242),N('Deal maths'!D1242))&gt;0),N('Deal maths'!F1242)+ROW()/1000000,"")</f>
        <v/>
      </c>
    </row>
    <row r="1243">
      <c r="A1243" s="91" t="n"/>
      <c r="B1243" s="111">
        <f>IF(AND(N('Deal maths'!F1243)&gt;AsAt,N('Deal maths'!E1243)&lt;=AsAt),IF(N('Deal maths'!H1243)&gt;0,N('Deal maths'!H1243),N('Deal maths'!D1243)),0)</f>
        <v/>
      </c>
      <c r="C1243" s="91">
        <f>IF(B1243&gt;0,IF('Deal maths'!C1243="Local authority","Local authorities",LOWER(TRIM('Deal maths'!B1243))),"")</f>
        <v/>
      </c>
      <c r="D1243" s="91">
        <f>IF(C1243="","",IF(COUNTIF($C$4:C1242,C1243)=0,SUMIF($C$4:$C$3997,C1243,$B$4:$B$3997)-ROW()/1000000,""))</f>
        <v/>
      </c>
      <c r="E1243" s="91">
        <f>IF(AND(N('Deal maths'!F1243)&gt;AsAt,N('Deal maths'!E1243)&lt;=AsAt,IF(N('Deal maths'!H1243)&gt;0,N('Deal maths'!H1243),N('Deal maths'!D1243))&gt;0),N('Deal maths'!F1243)+ROW()/1000000,"")</f>
        <v/>
      </c>
    </row>
    <row r="1244">
      <c r="A1244" s="91" t="n"/>
      <c r="B1244" s="111">
        <f>IF(AND(N('Deal maths'!F1244)&gt;AsAt,N('Deal maths'!E1244)&lt;=AsAt),IF(N('Deal maths'!H1244)&gt;0,N('Deal maths'!H1244),N('Deal maths'!D1244)),0)</f>
        <v/>
      </c>
      <c r="C1244" s="91">
        <f>IF(B1244&gt;0,IF('Deal maths'!C1244="Local authority","Local authorities",LOWER(TRIM('Deal maths'!B1244))),"")</f>
        <v/>
      </c>
      <c r="D1244" s="91">
        <f>IF(C1244="","",IF(COUNTIF($C$4:C1243,C1244)=0,SUMIF($C$4:$C$3997,C1244,$B$4:$B$3997)-ROW()/1000000,""))</f>
        <v/>
      </c>
      <c r="E1244" s="91">
        <f>IF(AND(N('Deal maths'!F1244)&gt;AsAt,N('Deal maths'!E1244)&lt;=AsAt,IF(N('Deal maths'!H1244)&gt;0,N('Deal maths'!H1244),N('Deal maths'!D1244))&gt;0),N('Deal maths'!F1244)+ROW()/1000000,"")</f>
        <v/>
      </c>
    </row>
    <row r="1245">
      <c r="A1245" s="91" t="n"/>
      <c r="B1245" s="111">
        <f>IF(AND(N('Deal maths'!F1245)&gt;AsAt,N('Deal maths'!E1245)&lt;=AsAt),IF(N('Deal maths'!H1245)&gt;0,N('Deal maths'!H1245),N('Deal maths'!D1245)),0)</f>
        <v/>
      </c>
      <c r="C1245" s="91">
        <f>IF(B1245&gt;0,IF('Deal maths'!C1245="Local authority","Local authorities",LOWER(TRIM('Deal maths'!B1245))),"")</f>
        <v/>
      </c>
      <c r="D1245" s="91">
        <f>IF(C1245="","",IF(COUNTIF($C$4:C1244,C1245)=0,SUMIF($C$4:$C$3997,C1245,$B$4:$B$3997)-ROW()/1000000,""))</f>
        <v/>
      </c>
      <c r="E1245" s="91">
        <f>IF(AND(N('Deal maths'!F1245)&gt;AsAt,N('Deal maths'!E1245)&lt;=AsAt,IF(N('Deal maths'!H1245)&gt;0,N('Deal maths'!H1245),N('Deal maths'!D1245))&gt;0),N('Deal maths'!F1245)+ROW()/1000000,"")</f>
        <v/>
      </c>
    </row>
    <row r="1246">
      <c r="A1246" s="91" t="n"/>
      <c r="B1246" s="111">
        <f>IF(AND(N('Deal maths'!F1246)&gt;AsAt,N('Deal maths'!E1246)&lt;=AsAt),IF(N('Deal maths'!H1246)&gt;0,N('Deal maths'!H1246),N('Deal maths'!D1246)),0)</f>
        <v/>
      </c>
      <c r="C1246" s="91">
        <f>IF(B1246&gt;0,IF('Deal maths'!C1246="Local authority","Local authorities",LOWER(TRIM('Deal maths'!B1246))),"")</f>
        <v/>
      </c>
      <c r="D1246" s="91">
        <f>IF(C1246="","",IF(COUNTIF($C$4:C1245,C1246)=0,SUMIF($C$4:$C$3997,C1246,$B$4:$B$3997)-ROW()/1000000,""))</f>
        <v/>
      </c>
      <c r="E1246" s="91">
        <f>IF(AND(N('Deal maths'!F1246)&gt;AsAt,N('Deal maths'!E1246)&lt;=AsAt,IF(N('Deal maths'!H1246)&gt;0,N('Deal maths'!H1246),N('Deal maths'!D1246))&gt;0),N('Deal maths'!F1246)+ROW()/1000000,"")</f>
        <v/>
      </c>
    </row>
    <row r="1247">
      <c r="A1247" s="91" t="n"/>
      <c r="B1247" s="111">
        <f>IF(AND(N('Deal maths'!F1247)&gt;AsAt,N('Deal maths'!E1247)&lt;=AsAt),IF(N('Deal maths'!H1247)&gt;0,N('Deal maths'!H1247),N('Deal maths'!D1247)),0)</f>
        <v/>
      </c>
      <c r="C1247" s="91">
        <f>IF(B1247&gt;0,IF('Deal maths'!C1247="Local authority","Local authorities",LOWER(TRIM('Deal maths'!B1247))),"")</f>
        <v/>
      </c>
      <c r="D1247" s="91">
        <f>IF(C1247="","",IF(COUNTIF($C$4:C1246,C1247)=0,SUMIF($C$4:$C$3997,C1247,$B$4:$B$3997)-ROW()/1000000,""))</f>
        <v/>
      </c>
      <c r="E1247" s="91">
        <f>IF(AND(N('Deal maths'!F1247)&gt;AsAt,N('Deal maths'!E1247)&lt;=AsAt,IF(N('Deal maths'!H1247)&gt;0,N('Deal maths'!H1247),N('Deal maths'!D1247))&gt;0),N('Deal maths'!F1247)+ROW()/1000000,"")</f>
        <v/>
      </c>
    </row>
    <row r="1248">
      <c r="A1248" s="91" t="n"/>
      <c r="B1248" s="111">
        <f>IF(AND(N('Deal maths'!F1248)&gt;AsAt,N('Deal maths'!E1248)&lt;=AsAt),IF(N('Deal maths'!H1248)&gt;0,N('Deal maths'!H1248),N('Deal maths'!D1248)),0)</f>
        <v/>
      </c>
      <c r="C1248" s="91">
        <f>IF(B1248&gt;0,IF('Deal maths'!C1248="Local authority","Local authorities",LOWER(TRIM('Deal maths'!B1248))),"")</f>
        <v/>
      </c>
      <c r="D1248" s="91">
        <f>IF(C1248="","",IF(COUNTIF($C$4:C1247,C1248)=0,SUMIF($C$4:$C$3997,C1248,$B$4:$B$3997)-ROW()/1000000,""))</f>
        <v/>
      </c>
      <c r="E1248" s="91">
        <f>IF(AND(N('Deal maths'!F1248)&gt;AsAt,N('Deal maths'!E1248)&lt;=AsAt,IF(N('Deal maths'!H1248)&gt;0,N('Deal maths'!H1248),N('Deal maths'!D1248))&gt;0),N('Deal maths'!F1248)+ROW()/1000000,"")</f>
        <v/>
      </c>
    </row>
    <row r="1249">
      <c r="A1249" s="91" t="n"/>
      <c r="B1249" s="111">
        <f>IF(AND(N('Deal maths'!F1249)&gt;AsAt,N('Deal maths'!E1249)&lt;=AsAt),IF(N('Deal maths'!H1249)&gt;0,N('Deal maths'!H1249),N('Deal maths'!D1249)),0)</f>
        <v/>
      </c>
      <c r="C1249" s="91">
        <f>IF(B1249&gt;0,IF('Deal maths'!C1249="Local authority","Local authorities",LOWER(TRIM('Deal maths'!B1249))),"")</f>
        <v/>
      </c>
      <c r="D1249" s="91">
        <f>IF(C1249="","",IF(COUNTIF($C$4:C1248,C1249)=0,SUMIF($C$4:$C$3997,C1249,$B$4:$B$3997)-ROW()/1000000,""))</f>
        <v/>
      </c>
      <c r="E1249" s="91">
        <f>IF(AND(N('Deal maths'!F1249)&gt;AsAt,N('Deal maths'!E1249)&lt;=AsAt,IF(N('Deal maths'!H1249)&gt;0,N('Deal maths'!H1249),N('Deal maths'!D1249))&gt;0),N('Deal maths'!F1249)+ROW()/1000000,"")</f>
        <v/>
      </c>
    </row>
    <row r="1250">
      <c r="A1250" s="91" t="n"/>
      <c r="B1250" s="111">
        <f>IF(AND(N('Deal maths'!F1250)&gt;AsAt,N('Deal maths'!E1250)&lt;=AsAt),IF(N('Deal maths'!H1250)&gt;0,N('Deal maths'!H1250),N('Deal maths'!D1250)),0)</f>
        <v/>
      </c>
      <c r="C1250" s="91">
        <f>IF(B1250&gt;0,IF('Deal maths'!C1250="Local authority","Local authorities",LOWER(TRIM('Deal maths'!B1250))),"")</f>
        <v/>
      </c>
      <c r="D1250" s="91">
        <f>IF(C1250="","",IF(COUNTIF($C$4:C1249,C1250)=0,SUMIF($C$4:$C$3997,C1250,$B$4:$B$3997)-ROW()/1000000,""))</f>
        <v/>
      </c>
      <c r="E1250" s="91">
        <f>IF(AND(N('Deal maths'!F1250)&gt;AsAt,N('Deal maths'!E1250)&lt;=AsAt,IF(N('Deal maths'!H1250)&gt;0,N('Deal maths'!H1250),N('Deal maths'!D1250))&gt;0),N('Deal maths'!F1250)+ROW()/1000000,"")</f>
        <v/>
      </c>
    </row>
    <row r="1251">
      <c r="A1251" s="91" t="n"/>
      <c r="B1251" s="111">
        <f>IF(AND(N('Deal maths'!F1251)&gt;AsAt,N('Deal maths'!E1251)&lt;=AsAt),IF(N('Deal maths'!H1251)&gt;0,N('Deal maths'!H1251),N('Deal maths'!D1251)),0)</f>
        <v/>
      </c>
      <c r="C1251" s="91">
        <f>IF(B1251&gt;0,IF('Deal maths'!C1251="Local authority","Local authorities",LOWER(TRIM('Deal maths'!B1251))),"")</f>
        <v/>
      </c>
      <c r="D1251" s="91">
        <f>IF(C1251="","",IF(COUNTIF($C$4:C1250,C1251)=0,SUMIF($C$4:$C$3997,C1251,$B$4:$B$3997)-ROW()/1000000,""))</f>
        <v/>
      </c>
      <c r="E1251" s="91">
        <f>IF(AND(N('Deal maths'!F1251)&gt;AsAt,N('Deal maths'!E1251)&lt;=AsAt,IF(N('Deal maths'!H1251)&gt;0,N('Deal maths'!H1251),N('Deal maths'!D1251))&gt;0),N('Deal maths'!F1251)+ROW()/1000000,"")</f>
        <v/>
      </c>
    </row>
    <row r="1252">
      <c r="A1252" s="91" t="n"/>
      <c r="B1252" s="111">
        <f>IF(AND(N('Deal maths'!F1252)&gt;AsAt,N('Deal maths'!E1252)&lt;=AsAt),IF(N('Deal maths'!H1252)&gt;0,N('Deal maths'!H1252),N('Deal maths'!D1252)),0)</f>
        <v/>
      </c>
      <c r="C1252" s="91">
        <f>IF(B1252&gt;0,IF('Deal maths'!C1252="Local authority","Local authorities",LOWER(TRIM('Deal maths'!B1252))),"")</f>
        <v/>
      </c>
      <c r="D1252" s="91">
        <f>IF(C1252="","",IF(COUNTIF($C$4:C1251,C1252)=0,SUMIF($C$4:$C$3997,C1252,$B$4:$B$3997)-ROW()/1000000,""))</f>
        <v/>
      </c>
      <c r="E1252" s="91">
        <f>IF(AND(N('Deal maths'!F1252)&gt;AsAt,N('Deal maths'!E1252)&lt;=AsAt,IF(N('Deal maths'!H1252)&gt;0,N('Deal maths'!H1252),N('Deal maths'!D1252))&gt;0),N('Deal maths'!F1252)+ROW()/1000000,"")</f>
        <v/>
      </c>
    </row>
    <row r="1253">
      <c r="A1253" s="91" t="n"/>
      <c r="B1253" s="111">
        <f>IF(AND(N('Deal maths'!F1253)&gt;AsAt,N('Deal maths'!E1253)&lt;=AsAt),IF(N('Deal maths'!H1253)&gt;0,N('Deal maths'!H1253),N('Deal maths'!D1253)),0)</f>
        <v/>
      </c>
      <c r="C1253" s="91">
        <f>IF(B1253&gt;0,IF('Deal maths'!C1253="Local authority","Local authorities",LOWER(TRIM('Deal maths'!B1253))),"")</f>
        <v/>
      </c>
      <c r="D1253" s="91">
        <f>IF(C1253="","",IF(COUNTIF($C$4:C1252,C1253)=0,SUMIF($C$4:$C$3997,C1253,$B$4:$B$3997)-ROW()/1000000,""))</f>
        <v/>
      </c>
      <c r="E1253" s="91">
        <f>IF(AND(N('Deal maths'!F1253)&gt;AsAt,N('Deal maths'!E1253)&lt;=AsAt,IF(N('Deal maths'!H1253)&gt;0,N('Deal maths'!H1253),N('Deal maths'!D1253))&gt;0),N('Deal maths'!F1253)+ROW()/1000000,"")</f>
        <v/>
      </c>
    </row>
    <row r="1254">
      <c r="A1254" s="91" t="n"/>
      <c r="B1254" s="111">
        <f>IF(AND(N('Deal maths'!F1254)&gt;AsAt,N('Deal maths'!E1254)&lt;=AsAt),IF(N('Deal maths'!H1254)&gt;0,N('Deal maths'!H1254),N('Deal maths'!D1254)),0)</f>
        <v/>
      </c>
      <c r="C1254" s="91">
        <f>IF(B1254&gt;0,IF('Deal maths'!C1254="Local authority","Local authorities",LOWER(TRIM('Deal maths'!B1254))),"")</f>
        <v/>
      </c>
      <c r="D1254" s="91">
        <f>IF(C1254="","",IF(COUNTIF($C$4:C1253,C1254)=0,SUMIF($C$4:$C$3997,C1254,$B$4:$B$3997)-ROW()/1000000,""))</f>
        <v/>
      </c>
      <c r="E1254" s="91">
        <f>IF(AND(N('Deal maths'!F1254)&gt;AsAt,N('Deal maths'!E1254)&lt;=AsAt,IF(N('Deal maths'!H1254)&gt;0,N('Deal maths'!H1254),N('Deal maths'!D1254))&gt;0),N('Deal maths'!F1254)+ROW()/1000000,"")</f>
        <v/>
      </c>
    </row>
    <row r="1255">
      <c r="A1255" s="91" t="n"/>
      <c r="B1255" s="111">
        <f>IF(AND(N('Deal maths'!F1255)&gt;AsAt,N('Deal maths'!E1255)&lt;=AsAt),IF(N('Deal maths'!H1255)&gt;0,N('Deal maths'!H1255),N('Deal maths'!D1255)),0)</f>
        <v/>
      </c>
      <c r="C1255" s="91">
        <f>IF(B1255&gt;0,IF('Deal maths'!C1255="Local authority","Local authorities",LOWER(TRIM('Deal maths'!B1255))),"")</f>
        <v/>
      </c>
      <c r="D1255" s="91">
        <f>IF(C1255="","",IF(COUNTIF($C$4:C1254,C1255)=0,SUMIF($C$4:$C$3997,C1255,$B$4:$B$3997)-ROW()/1000000,""))</f>
        <v/>
      </c>
      <c r="E1255" s="91">
        <f>IF(AND(N('Deal maths'!F1255)&gt;AsAt,N('Deal maths'!E1255)&lt;=AsAt,IF(N('Deal maths'!H1255)&gt;0,N('Deal maths'!H1255),N('Deal maths'!D1255))&gt;0),N('Deal maths'!F1255)+ROW()/1000000,"")</f>
        <v/>
      </c>
    </row>
    <row r="1256">
      <c r="A1256" s="91" t="n"/>
      <c r="B1256" s="111">
        <f>IF(AND(N('Deal maths'!F1256)&gt;AsAt,N('Deal maths'!E1256)&lt;=AsAt),IF(N('Deal maths'!H1256)&gt;0,N('Deal maths'!H1256),N('Deal maths'!D1256)),0)</f>
        <v/>
      </c>
      <c r="C1256" s="91">
        <f>IF(B1256&gt;0,IF('Deal maths'!C1256="Local authority","Local authorities",LOWER(TRIM('Deal maths'!B1256))),"")</f>
        <v/>
      </c>
      <c r="D1256" s="91">
        <f>IF(C1256="","",IF(COUNTIF($C$4:C1255,C1256)=0,SUMIF($C$4:$C$3997,C1256,$B$4:$B$3997)-ROW()/1000000,""))</f>
        <v/>
      </c>
      <c r="E1256" s="91">
        <f>IF(AND(N('Deal maths'!F1256)&gt;AsAt,N('Deal maths'!E1256)&lt;=AsAt,IF(N('Deal maths'!H1256)&gt;0,N('Deal maths'!H1256),N('Deal maths'!D1256))&gt;0),N('Deal maths'!F1256)+ROW()/1000000,"")</f>
        <v/>
      </c>
    </row>
    <row r="1257">
      <c r="A1257" s="91" t="n"/>
      <c r="B1257" s="111">
        <f>IF(AND(N('Deal maths'!F1257)&gt;AsAt,N('Deal maths'!E1257)&lt;=AsAt),IF(N('Deal maths'!H1257)&gt;0,N('Deal maths'!H1257),N('Deal maths'!D1257)),0)</f>
        <v/>
      </c>
      <c r="C1257" s="91">
        <f>IF(B1257&gt;0,IF('Deal maths'!C1257="Local authority","Local authorities",LOWER(TRIM('Deal maths'!B1257))),"")</f>
        <v/>
      </c>
      <c r="D1257" s="91">
        <f>IF(C1257="","",IF(COUNTIF($C$4:C1256,C1257)=0,SUMIF($C$4:$C$3997,C1257,$B$4:$B$3997)-ROW()/1000000,""))</f>
        <v/>
      </c>
      <c r="E1257" s="91">
        <f>IF(AND(N('Deal maths'!F1257)&gt;AsAt,N('Deal maths'!E1257)&lt;=AsAt,IF(N('Deal maths'!H1257)&gt;0,N('Deal maths'!H1257),N('Deal maths'!D1257))&gt;0),N('Deal maths'!F1257)+ROW()/1000000,"")</f>
        <v/>
      </c>
    </row>
    <row r="1258">
      <c r="A1258" s="91" t="n"/>
      <c r="B1258" s="111">
        <f>IF(AND(N('Deal maths'!F1258)&gt;AsAt,N('Deal maths'!E1258)&lt;=AsAt),IF(N('Deal maths'!H1258)&gt;0,N('Deal maths'!H1258),N('Deal maths'!D1258)),0)</f>
        <v/>
      </c>
      <c r="C1258" s="91">
        <f>IF(B1258&gt;0,IF('Deal maths'!C1258="Local authority","Local authorities",LOWER(TRIM('Deal maths'!B1258))),"")</f>
        <v/>
      </c>
      <c r="D1258" s="91">
        <f>IF(C1258="","",IF(COUNTIF($C$4:C1257,C1258)=0,SUMIF($C$4:$C$3997,C1258,$B$4:$B$3997)-ROW()/1000000,""))</f>
        <v/>
      </c>
      <c r="E1258" s="91">
        <f>IF(AND(N('Deal maths'!F1258)&gt;AsAt,N('Deal maths'!E1258)&lt;=AsAt,IF(N('Deal maths'!H1258)&gt;0,N('Deal maths'!H1258),N('Deal maths'!D1258))&gt;0),N('Deal maths'!F1258)+ROW()/1000000,"")</f>
        <v/>
      </c>
    </row>
    <row r="1259">
      <c r="A1259" s="91" t="n"/>
      <c r="B1259" s="111">
        <f>IF(AND(N('Deal maths'!F1259)&gt;AsAt,N('Deal maths'!E1259)&lt;=AsAt),IF(N('Deal maths'!H1259)&gt;0,N('Deal maths'!H1259),N('Deal maths'!D1259)),0)</f>
        <v/>
      </c>
      <c r="C1259" s="91">
        <f>IF(B1259&gt;0,IF('Deal maths'!C1259="Local authority","Local authorities",LOWER(TRIM('Deal maths'!B1259))),"")</f>
        <v/>
      </c>
      <c r="D1259" s="91">
        <f>IF(C1259="","",IF(COUNTIF($C$4:C1258,C1259)=0,SUMIF($C$4:$C$3997,C1259,$B$4:$B$3997)-ROW()/1000000,""))</f>
        <v/>
      </c>
      <c r="E1259" s="91">
        <f>IF(AND(N('Deal maths'!F1259)&gt;AsAt,N('Deal maths'!E1259)&lt;=AsAt,IF(N('Deal maths'!H1259)&gt;0,N('Deal maths'!H1259),N('Deal maths'!D1259))&gt;0),N('Deal maths'!F1259)+ROW()/1000000,"")</f>
        <v/>
      </c>
    </row>
    <row r="1260">
      <c r="A1260" s="91" t="n"/>
      <c r="B1260" s="111">
        <f>IF(AND(N('Deal maths'!F1260)&gt;AsAt,N('Deal maths'!E1260)&lt;=AsAt),IF(N('Deal maths'!H1260)&gt;0,N('Deal maths'!H1260),N('Deal maths'!D1260)),0)</f>
        <v/>
      </c>
      <c r="C1260" s="91">
        <f>IF(B1260&gt;0,IF('Deal maths'!C1260="Local authority","Local authorities",LOWER(TRIM('Deal maths'!B1260))),"")</f>
        <v/>
      </c>
      <c r="D1260" s="91">
        <f>IF(C1260="","",IF(COUNTIF($C$4:C1259,C1260)=0,SUMIF($C$4:$C$3997,C1260,$B$4:$B$3997)-ROW()/1000000,""))</f>
        <v/>
      </c>
      <c r="E1260" s="91">
        <f>IF(AND(N('Deal maths'!F1260)&gt;AsAt,N('Deal maths'!E1260)&lt;=AsAt,IF(N('Deal maths'!H1260)&gt;0,N('Deal maths'!H1260),N('Deal maths'!D1260))&gt;0),N('Deal maths'!F1260)+ROW()/1000000,"")</f>
        <v/>
      </c>
    </row>
    <row r="1261">
      <c r="A1261" s="91" t="n"/>
      <c r="B1261" s="111">
        <f>IF(AND(N('Deal maths'!F1261)&gt;AsAt,N('Deal maths'!E1261)&lt;=AsAt),IF(N('Deal maths'!H1261)&gt;0,N('Deal maths'!H1261),N('Deal maths'!D1261)),0)</f>
        <v/>
      </c>
      <c r="C1261" s="91">
        <f>IF(B1261&gt;0,IF('Deal maths'!C1261="Local authority","Local authorities",LOWER(TRIM('Deal maths'!B1261))),"")</f>
        <v/>
      </c>
      <c r="D1261" s="91">
        <f>IF(C1261="","",IF(COUNTIF($C$4:C1260,C1261)=0,SUMIF($C$4:$C$3997,C1261,$B$4:$B$3997)-ROW()/1000000,""))</f>
        <v/>
      </c>
      <c r="E1261" s="91">
        <f>IF(AND(N('Deal maths'!F1261)&gt;AsAt,N('Deal maths'!E1261)&lt;=AsAt,IF(N('Deal maths'!H1261)&gt;0,N('Deal maths'!H1261),N('Deal maths'!D1261))&gt;0),N('Deal maths'!F1261)+ROW()/1000000,"")</f>
        <v/>
      </c>
    </row>
    <row r="1262">
      <c r="A1262" s="91" t="n"/>
      <c r="B1262" s="111">
        <f>IF(AND(N('Deal maths'!F1262)&gt;AsAt,N('Deal maths'!E1262)&lt;=AsAt),IF(N('Deal maths'!H1262)&gt;0,N('Deal maths'!H1262),N('Deal maths'!D1262)),0)</f>
        <v/>
      </c>
      <c r="C1262" s="91">
        <f>IF(B1262&gt;0,IF('Deal maths'!C1262="Local authority","Local authorities",LOWER(TRIM('Deal maths'!B1262))),"")</f>
        <v/>
      </c>
      <c r="D1262" s="91">
        <f>IF(C1262="","",IF(COUNTIF($C$4:C1261,C1262)=0,SUMIF($C$4:$C$3997,C1262,$B$4:$B$3997)-ROW()/1000000,""))</f>
        <v/>
      </c>
      <c r="E1262" s="91">
        <f>IF(AND(N('Deal maths'!F1262)&gt;AsAt,N('Deal maths'!E1262)&lt;=AsAt,IF(N('Deal maths'!H1262)&gt;0,N('Deal maths'!H1262),N('Deal maths'!D1262))&gt;0),N('Deal maths'!F1262)+ROW()/1000000,"")</f>
        <v/>
      </c>
    </row>
    <row r="1263">
      <c r="A1263" s="91" t="n"/>
      <c r="B1263" s="111">
        <f>IF(AND(N('Deal maths'!F1263)&gt;AsAt,N('Deal maths'!E1263)&lt;=AsAt),IF(N('Deal maths'!H1263)&gt;0,N('Deal maths'!H1263),N('Deal maths'!D1263)),0)</f>
        <v/>
      </c>
      <c r="C1263" s="91">
        <f>IF(B1263&gt;0,IF('Deal maths'!C1263="Local authority","Local authorities",LOWER(TRIM('Deal maths'!B1263))),"")</f>
        <v/>
      </c>
      <c r="D1263" s="91">
        <f>IF(C1263="","",IF(COUNTIF($C$4:C1262,C1263)=0,SUMIF($C$4:$C$3997,C1263,$B$4:$B$3997)-ROW()/1000000,""))</f>
        <v/>
      </c>
      <c r="E1263" s="91">
        <f>IF(AND(N('Deal maths'!F1263)&gt;AsAt,N('Deal maths'!E1263)&lt;=AsAt,IF(N('Deal maths'!H1263)&gt;0,N('Deal maths'!H1263),N('Deal maths'!D1263))&gt;0),N('Deal maths'!F1263)+ROW()/1000000,"")</f>
        <v/>
      </c>
    </row>
    <row r="1264">
      <c r="A1264" s="91" t="n"/>
      <c r="B1264" s="111">
        <f>IF(AND(N('Deal maths'!F1264)&gt;AsAt,N('Deal maths'!E1264)&lt;=AsAt),IF(N('Deal maths'!H1264)&gt;0,N('Deal maths'!H1264),N('Deal maths'!D1264)),0)</f>
        <v/>
      </c>
      <c r="C1264" s="91">
        <f>IF(B1264&gt;0,IF('Deal maths'!C1264="Local authority","Local authorities",LOWER(TRIM('Deal maths'!B1264))),"")</f>
        <v/>
      </c>
      <c r="D1264" s="91">
        <f>IF(C1264="","",IF(COUNTIF($C$4:C1263,C1264)=0,SUMIF($C$4:$C$3997,C1264,$B$4:$B$3997)-ROW()/1000000,""))</f>
        <v/>
      </c>
      <c r="E1264" s="91">
        <f>IF(AND(N('Deal maths'!F1264)&gt;AsAt,N('Deal maths'!E1264)&lt;=AsAt,IF(N('Deal maths'!H1264)&gt;0,N('Deal maths'!H1264),N('Deal maths'!D1264))&gt;0),N('Deal maths'!F1264)+ROW()/1000000,"")</f>
        <v/>
      </c>
    </row>
    <row r="1265">
      <c r="A1265" s="91" t="n"/>
      <c r="B1265" s="111">
        <f>IF(AND(N('Deal maths'!F1265)&gt;AsAt,N('Deal maths'!E1265)&lt;=AsAt),IF(N('Deal maths'!H1265)&gt;0,N('Deal maths'!H1265),N('Deal maths'!D1265)),0)</f>
        <v/>
      </c>
      <c r="C1265" s="91">
        <f>IF(B1265&gt;0,IF('Deal maths'!C1265="Local authority","Local authorities",LOWER(TRIM('Deal maths'!B1265))),"")</f>
        <v/>
      </c>
      <c r="D1265" s="91">
        <f>IF(C1265="","",IF(COUNTIF($C$4:C1264,C1265)=0,SUMIF($C$4:$C$3997,C1265,$B$4:$B$3997)-ROW()/1000000,""))</f>
        <v/>
      </c>
      <c r="E1265" s="91">
        <f>IF(AND(N('Deal maths'!F1265)&gt;AsAt,N('Deal maths'!E1265)&lt;=AsAt,IF(N('Deal maths'!H1265)&gt;0,N('Deal maths'!H1265),N('Deal maths'!D1265))&gt;0),N('Deal maths'!F1265)+ROW()/1000000,"")</f>
        <v/>
      </c>
    </row>
    <row r="1266">
      <c r="A1266" s="91" t="n"/>
      <c r="B1266" s="111">
        <f>IF(AND(N('Deal maths'!F1266)&gt;AsAt,N('Deal maths'!E1266)&lt;=AsAt),IF(N('Deal maths'!H1266)&gt;0,N('Deal maths'!H1266),N('Deal maths'!D1266)),0)</f>
        <v/>
      </c>
      <c r="C1266" s="91">
        <f>IF(B1266&gt;0,IF('Deal maths'!C1266="Local authority","Local authorities",LOWER(TRIM('Deal maths'!B1266))),"")</f>
        <v/>
      </c>
      <c r="D1266" s="91">
        <f>IF(C1266="","",IF(COUNTIF($C$4:C1265,C1266)=0,SUMIF($C$4:$C$3997,C1266,$B$4:$B$3997)-ROW()/1000000,""))</f>
        <v/>
      </c>
      <c r="E1266" s="91">
        <f>IF(AND(N('Deal maths'!F1266)&gt;AsAt,N('Deal maths'!E1266)&lt;=AsAt,IF(N('Deal maths'!H1266)&gt;0,N('Deal maths'!H1266),N('Deal maths'!D1266))&gt;0),N('Deal maths'!F1266)+ROW()/1000000,"")</f>
        <v/>
      </c>
    </row>
    <row r="1267">
      <c r="A1267" s="91" t="n"/>
      <c r="B1267" s="111">
        <f>IF(AND(N('Deal maths'!F1267)&gt;AsAt,N('Deal maths'!E1267)&lt;=AsAt),IF(N('Deal maths'!H1267)&gt;0,N('Deal maths'!H1267),N('Deal maths'!D1267)),0)</f>
        <v/>
      </c>
      <c r="C1267" s="91">
        <f>IF(B1267&gt;0,IF('Deal maths'!C1267="Local authority","Local authorities",LOWER(TRIM('Deal maths'!B1267))),"")</f>
        <v/>
      </c>
      <c r="D1267" s="91">
        <f>IF(C1267="","",IF(COUNTIF($C$4:C1266,C1267)=0,SUMIF($C$4:$C$3997,C1267,$B$4:$B$3997)-ROW()/1000000,""))</f>
        <v/>
      </c>
      <c r="E1267" s="91">
        <f>IF(AND(N('Deal maths'!F1267)&gt;AsAt,N('Deal maths'!E1267)&lt;=AsAt,IF(N('Deal maths'!H1267)&gt;0,N('Deal maths'!H1267),N('Deal maths'!D1267))&gt;0),N('Deal maths'!F1267)+ROW()/1000000,"")</f>
        <v/>
      </c>
    </row>
    <row r="1268">
      <c r="A1268" s="91" t="n"/>
      <c r="B1268" s="111">
        <f>IF(AND(N('Deal maths'!F1268)&gt;AsAt,N('Deal maths'!E1268)&lt;=AsAt),IF(N('Deal maths'!H1268)&gt;0,N('Deal maths'!H1268),N('Deal maths'!D1268)),0)</f>
        <v/>
      </c>
      <c r="C1268" s="91">
        <f>IF(B1268&gt;0,IF('Deal maths'!C1268="Local authority","Local authorities",LOWER(TRIM('Deal maths'!B1268))),"")</f>
        <v/>
      </c>
      <c r="D1268" s="91">
        <f>IF(C1268="","",IF(COUNTIF($C$4:C1267,C1268)=0,SUMIF($C$4:$C$3997,C1268,$B$4:$B$3997)-ROW()/1000000,""))</f>
        <v/>
      </c>
      <c r="E1268" s="91">
        <f>IF(AND(N('Deal maths'!F1268)&gt;AsAt,N('Deal maths'!E1268)&lt;=AsAt,IF(N('Deal maths'!H1268)&gt;0,N('Deal maths'!H1268),N('Deal maths'!D1268))&gt;0),N('Deal maths'!F1268)+ROW()/1000000,"")</f>
        <v/>
      </c>
    </row>
    <row r="1269">
      <c r="A1269" s="91" t="n"/>
      <c r="B1269" s="111">
        <f>IF(AND(N('Deal maths'!F1269)&gt;AsAt,N('Deal maths'!E1269)&lt;=AsAt),IF(N('Deal maths'!H1269)&gt;0,N('Deal maths'!H1269),N('Deal maths'!D1269)),0)</f>
        <v/>
      </c>
      <c r="C1269" s="91">
        <f>IF(B1269&gt;0,IF('Deal maths'!C1269="Local authority","Local authorities",LOWER(TRIM('Deal maths'!B1269))),"")</f>
        <v/>
      </c>
      <c r="D1269" s="91">
        <f>IF(C1269="","",IF(COUNTIF($C$4:C1268,C1269)=0,SUMIF($C$4:$C$3997,C1269,$B$4:$B$3997)-ROW()/1000000,""))</f>
        <v/>
      </c>
      <c r="E1269" s="91">
        <f>IF(AND(N('Deal maths'!F1269)&gt;AsAt,N('Deal maths'!E1269)&lt;=AsAt,IF(N('Deal maths'!H1269)&gt;0,N('Deal maths'!H1269),N('Deal maths'!D1269))&gt;0),N('Deal maths'!F1269)+ROW()/1000000,"")</f>
        <v/>
      </c>
    </row>
    <row r="1270">
      <c r="A1270" s="91" t="n"/>
      <c r="B1270" s="111">
        <f>IF(AND(N('Deal maths'!F1270)&gt;AsAt,N('Deal maths'!E1270)&lt;=AsAt),IF(N('Deal maths'!H1270)&gt;0,N('Deal maths'!H1270),N('Deal maths'!D1270)),0)</f>
        <v/>
      </c>
      <c r="C1270" s="91">
        <f>IF(B1270&gt;0,IF('Deal maths'!C1270="Local authority","Local authorities",LOWER(TRIM('Deal maths'!B1270))),"")</f>
        <v/>
      </c>
      <c r="D1270" s="91">
        <f>IF(C1270="","",IF(COUNTIF($C$4:C1269,C1270)=0,SUMIF($C$4:$C$3997,C1270,$B$4:$B$3997)-ROW()/1000000,""))</f>
        <v/>
      </c>
      <c r="E1270" s="91">
        <f>IF(AND(N('Deal maths'!F1270)&gt;AsAt,N('Deal maths'!E1270)&lt;=AsAt,IF(N('Deal maths'!H1270)&gt;0,N('Deal maths'!H1270),N('Deal maths'!D1270))&gt;0),N('Deal maths'!F1270)+ROW()/1000000,"")</f>
        <v/>
      </c>
    </row>
    <row r="1271">
      <c r="A1271" s="91" t="n"/>
      <c r="B1271" s="111">
        <f>IF(AND(N('Deal maths'!F1271)&gt;AsAt,N('Deal maths'!E1271)&lt;=AsAt),IF(N('Deal maths'!H1271)&gt;0,N('Deal maths'!H1271),N('Deal maths'!D1271)),0)</f>
        <v/>
      </c>
      <c r="C1271" s="91">
        <f>IF(B1271&gt;0,IF('Deal maths'!C1271="Local authority","Local authorities",LOWER(TRIM('Deal maths'!B1271))),"")</f>
        <v/>
      </c>
      <c r="D1271" s="91">
        <f>IF(C1271="","",IF(COUNTIF($C$4:C1270,C1271)=0,SUMIF($C$4:$C$3997,C1271,$B$4:$B$3997)-ROW()/1000000,""))</f>
        <v/>
      </c>
      <c r="E1271" s="91">
        <f>IF(AND(N('Deal maths'!F1271)&gt;AsAt,N('Deal maths'!E1271)&lt;=AsAt,IF(N('Deal maths'!H1271)&gt;0,N('Deal maths'!H1271),N('Deal maths'!D1271))&gt;0),N('Deal maths'!F1271)+ROW()/1000000,"")</f>
        <v/>
      </c>
    </row>
    <row r="1272">
      <c r="A1272" s="91" t="n"/>
      <c r="B1272" s="111">
        <f>IF(AND(N('Deal maths'!F1272)&gt;AsAt,N('Deal maths'!E1272)&lt;=AsAt),IF(N('Deal maths'!H1272)&gt;0,N('Deal maths'!H1272),N('Deal maths'!D1272)),0)</f>
        <v/>
      </c>
      <c r="C1272" s="91">
        <f>IF(B1272&gt;0,IF('Deal maths'!C1272="Local authority","Local authorities",LOWER(TRIM('Deal maths'!B1272))),"")</f>
        <v/>
      </c>
      <c r="D1272" s="91">
        <f>IF(C1272="","",IF(COUNTIF($C$4:C1271,C1272)=0,SUMIF($C$4:$C$3997,C1272,$B$4:$B$3997)-ROW()/1000000,""))</f>
        <v/>
      </c>
      <c r="E1272" s="91">
        <f>IF(AND(N('Deal maths'!F1272)&gt;AsAt,N('Deal maths'!E1272)&lt;=AsAt,IF(N('Deal maths'!H1272)&gt;0,N('Deal maths'!H1272),N('Deal maths'!D1272))&gt;0),N('Deal maths'!F1272)+ROW()/1000000,"")</f>
        <v/>
      </c>
    </row>
    <row r="1273">
      <c r="A1273" s="91" t="n"/>
      <c r="B1273" s="111">
        <f>IF(AND(N('Deal maths'!F1273)&gt;AsAt,N('Deal maths'!E1273)&lt;=AsAt),IF(N('Deal maths'!H1273)&gt;0,N('Deal maths'!H1273),N('Deal maths'!D1273)),0)</f>
        <v/>
      </c>
      <c r="C1273" s="91">
        <f>IF(B1273&gt;0,IF('Deal maths'!C1273="Local authority","Local authorities",LOWER(TRIM('Deal maths'!B1273))),"")</f>
        <v/>
      </c>
      <c r="D1273" s="91">
        <f>IF(C1273="","",IF(COUNTIF($C$4:C1272,C1273)=0,SUMIF($C$4:$C$3997,C1273,$B$4:$B$3997)-ROW()/1000000,""))</f>
        <v/>
      </c>
      <c r="E1273" s="91">
        <f>IF(AND(N('Deal maths'!F1273)&gt;AsAt,N('Deal maths'!E1273)&lt;=AsAt,IF(N('Deal maths'!H1273)&gt;0,N('Deal maths'!H1273),N('Deal maths'!D1273))&gt;0),N('Deal maths'!F1273)+ROW()/1000000,"")</f>
        <v/>
      </c>
    </row>
    <row r="1274">
      <c r="A1274" s="91" t="n"/>
      <c r="B1274" s="111">
        <f>IF(AND(N('Deal maths'!F1274)&gt;AsAt,N('Deal maths'!E1274)&lt;=AsAt),IF(N('Deal maths'!H1274)&gt;0,N('Deal maths'!H1274),N('Deal maths'!D1274)),0)</f>
        <v/>
      </c>
      <c r="C1274" s="91">
        <f>IF(B1274&gt;0,IF('Deal maths'!C1274="Local authority","Local authorities",LOWER(TRIM('Deal maths'!B1274))),"")</f>
        <v/>
      </c>
      <c r="D1274" s="91">
        <f>IF(C1274="","",IF(COUNTIF($C$4:C1273,C1274)=0,SUMIF($C$4:$C$3997,C1274,$B$4:$B$3997)-ROW()/1000000,""))</f>
        <v/>
      </c>
      <c r="E1274" s="91">
        <f>IF(AND(N('Deal maths'!F1274)&gt;AsAt,N('Deal maths'!E1274)&lt;=AsAt,IF(N('Deal maths'!H1274)&gt;0,N('Deal maths'!H1274),N('Deal maths'!D1274))&gt;0),N('Deal maths'!F1274)+ROW()/1000000,"")</f>
        <v/>
      </c>
    </row>
    <row r="1275">
      <c r="A1275" s="91" t="n"/>
      <c r="B1275" s="111">
        <f>IF(AND(N('Deal maths'!F1275)&gt;AsAt,N('Deal maths'!E1275)&lt;=AsAt),IF(N('Deal maths'!H1275)&gt;0,N('Deal maths'!H1275),N('Deal maths'!D1275)),0)</f>
        <v/>
      </c>
      <c r="C1275" s="91">
        <f>IF(B1275&gt;0,IF('Deal maths'!C1275="Local authority","Local authorities",LOWER(TRIM('Deal maths'!B1275))),"")</f>
        <v/>
      </c>
      <c r="D1275" s="91">
        <f>IF(C1275="","",IF(COUNTIF($C$4:C1274,C1275)=0,SUMIF($C$4:$C$3997,C1275,$B$4:$B$3997)-ROW()/1000000,""))</f>
        <v/>
      </c>
      <c r="E1275" s="91">
        <f>IF(AND(N('Deal maths'!F1275)&gt;AsAt,N('Deal maths'!E1275)&lt;=AsAt,IF(N('Deal maths'!H1275)&gt;0,N('Deal maths'!H1275),N('Deal maths'!D1275))&gt;0),N('Deal maths'!F1275)+ROW()/1000000,"")</f>
        <v/>
      </c>
    </row>
    <row r="1276">
      <c r="A1276" s="91" t="n"/>
      <c r="B1276" s="111">
        <f>IF(AND(N('Deal maths'!F1276)&gt;AsAt,N('Deal maths'!E1276)&lt;=AsAt),IF(N('Deal maths'!H1276)&gt;0,N('Deal maths'!H1276),N('Deal maths'!D1276)),0)</f>
        <v/>
      </c>
      <c r="C1276" s="91">
        <f>IF(B1276&gt;0,IF('Deal maths'!C1276="Local authority","Local authorities",LOWER(TRIM('Deal maths'!B1276))),"")</f>
        <v/>
      </c>
      <c r="D1276" s="91">
        <f>IF(C1276="","",IF(COUNTIF($C$4:C1275,C1276)=0,SUMIF($C$4:$C$3997,C1276,$B$4:$B$3997)-ROW()/1000000,""))</f>
        <v/>
      </c>
      <c r="E1276" s="91">
        <f>IF(AND(N('Deal maths'!F1276)&gt;AsAt,N('Deal maths'!E1276)&lt;=AsAt,IF(N('Deal maths'!H1276)&gt;0,N('Deal maths'!H1276),N('Deal maths'!D1276))&gt;0),N('Deal maths'!F1276)+ROW()/1000000,"")</f>
        <v/>
      </c>
    </row>
    <row r="1277">
      <c r="A1277" s="91" t="n"/>
      <c r="B1277" s="111">
        <f>IF(AND(N('Deal maths'!F1277)&gt;AsAt,N('Deal maths'!E1277)&lt;=AsAt),IF(N('Deal maths'!H1277)&gt;0,N('Deal maths'!H1277),N('Deal maths'!D1277)),0)</f>
        <v/>
      </c>
      <c r="C1277" s="91">
        <f>IF(B1277&gt;0,IF('Deal maths'!C1277="Local authority","Local authorities",LOWER(TRIM('Deal maths'!B1277))),"")</f>
        <v/>
      </c>
      <c r="D1277" s="91">
        <f>IF(C1277="","",IF(COUNTIF($C$4:C1276,C1277)=0,SUMIF($C$4:$C$3997,C1277,$B$4:$B$3997)-ROW()/1000000,""))</f>
        <v/>
      </c>
      <c r="E1277" s="91">
        <f>IF(AND(N('Deal maths'!F1277)&gt;AsAt,N('Deal maths'!E1277)&lt;=AsAt,IF(N('Deal maths'!H1277)&gt;0,N('Deal maths'!H1277),N('Deal maths'!D1277))&gt;0),N('Deal maths'!F1277)+ROW()/1000000,"")</f>
        <v/>
      </c>
    </row>
    <row r="1278">
      <c r="A1278" s="91" t="n"/>
      <c r="B1278" s="111">
        <f>IF(AND(N('Deal maths'!F1278)&gt;AsAt,N('Deal maths'!E1278)&lt;=AsAt),IF(N('Deal maths'!H1278)&gt;0,N('Deal maths'!H1278),N('Deal maths'!D1278)),0)</f>
        <v/>
      </c>
      <c r="C1278" s="91">
        <f>IF(B1278&gt;0,IF('Deal maths'!C1278="Local authority","Local authorities",LOWER(TRIM('Deal maths'!B1278))),"")</f>
        <v/>
      </c>
      <c r="D1278" s="91">
        <f>IF(C1278="","",IF(COUNTIF($C$4:C1277,C1278)=0,SUMIF($C$4:$C$3997,C1278,$B$4:$B$3997)-ROW()/1000000,""))</f>
        <v/>
      </c>
      <c r="E1278" s="91">
        <f>IF(AND(N('Deal maths'!F1278)&gt;AsAt,N('Deal maths'!E1278)&lt;=AsAt,IF(N('Deal maths'!H1278)&gt;0,N('Deal maths'!H1278),N('Deal maths'!D1278))&gt;0),N('Deal maths'!F1278)+ROW()/1000000,"")</f>
        <v/>
      </c>
    </row>
    <row r="1279">
      <c r="A1279" s="91" t="n"/>
      <c r="B1279" s="111">
        <f>IF(AND(N('Deal maths'!F1279)&gt;AsAt,N('Deal maths'!E1279)&lt;=AsAt),IF(N('Deal maths'!H1279)&gt;0,N('Deal maths'!H1279),N('Deal maths'!D1279)),0)</f>
        <v/>
      </c>
      <c r="C1279" s="91">
        <f>IF(B1279&gt;0,IF('Deal maths'!C1279="Local authority","Local authorities",LOWER(TRIM('Deal maths'!B1279))),"")</f>
        <v/>
      </c>
      <c r="D1279" s="91">
        <f>IF(C1279="","",IF(COUNTIF($C$4:C1278,C1279)=0,SUMIF($C$4:$C$3997,C1279,$B$4:$B$3997)-ROW()/1000000,""))</f>
        <v/>
      </c>
      <c r="E1279" s="91">
        <f>IF(AND(N('Deal maths'!F1279)&gt;AsAt,N('Deal maths'!E1279)&lt;=AsAt,IF(N('Deal maths'!H1279)&gt;0,N('Deal maths'!H1279),N('Deal maths'!D1279))&gt;0),N('Deal maths'!F1279)+ROW()/1000000,"")</f>
        <v/>
      </c>
    </row>
    <row r="1280">
      <c r="A1280" s="91" t="n"/>
      <c r="B1280" s="111">
        <f>IF(AND(N('Deal maths'!F1280)&gt;AsAt,N('Deal maths'!E1280)&lt;=AsAt),IF(N('Deal maths'!H1280)&gt;0,N('Deal maths'!H1280),N('Deal maths'!D1280)),0)</f>
        <v/>
      </c>
      <c r="C1280" s="91">
        <f>IF(B1280&gt;0,IF('Deal maths'!C1280="Local authority","Local authorities",LOWER(TRIM('Deal maths'!B1280))),"")</f>
        <v/>
      </c>
      <c r="D1280" s="91">
        <f>IF(C1280="","",IF(COUNTIF($C$4:C1279,C1280)=0,SUMIF($C$4:$C$3997,C1280,$B$4:$B$3997)-ROW()/1000000,""))</f>
        <v/>
      </c>
      <c r="E1280" s="91">
        <f>IF(AND(N('Deal maths'!F1280)&gt;AsAt,N('Deal maths'!E1280)&lt;=AsAt,IF(N('Deal maths'!H1280)&gt;0,N('Deal maths'!H1280),N('Deal maths'!D1280))&gt;0),N('Deal maths'!F1280)+ROW()/1000000,"")</f>
        <v/>
      </c>
    </row>
    <row r="1281">
      <c r="A1281" s="91" t="n"/>
      <c r="B1281" s="111">
        <f>IF(AND(N('Deal maths'!F1281)&gt;AsAt,N('Deal maths'!E1281)&lt;=AsAt),IF(N('Deal maths'!H1281)&gt;0,N('Deal maths'!H1281),N('Deal maths'!D1281)),0)</f>
        <v/>
      </c>
      <c r="C1281" s="91">
        <f>IF(B1281&gt;0,IF('Deal maths'!C1281="Local authority","Local authorities",LOWER(TRIM('Deal maths'!B1281))),"")</f>
        <v/>
      </c>
      <c r="D1281" s="91">
        <f>IF(C1281="","",IF(COUNTIF($C$4:C1280,C1281)=0,SUMIF($C$4:$C$3997,C1281,$B$4:$B$3997)-ROW()/1000000,""))</f>
        <v/>
      </c>
      <c r="E1281" s="91">
        <f>IF(AND(N('Deal maths'!F1281)&gt;AsAt,N('Deal maths'!E1281)&lt;=AsAt,IF(N('Deal maths'!H1281)&gt;0,N('Deal maths'!H1281),N('Deal maths'!D1281))&gt;0),N('Deal maths'!F1281)+ROW()/1000000,"")</f>
        <v/>
      </c>
    </row>
    <row r="1282">
      <c r="A1282" s="91" t="n"/>
      <c r="B1282" s="111">
        <f>IF(AND(N('Deal maths'!F1282)&gt;AsAt,N('Deal maths'!E1282)&lt;=AsAt),IF(N('Deal maths'!H1282)&gt;0,N('Deal maths'!H1282),N('Deal maths'!D1282)),0)</f>
        <v/>
      </c>
      <c r="C1282" s="91">
        <f>IF(B1282&gt;0,IF('Deal maths'!C1282="Local authority","Local authorities",LOWER(TRIM('Deal maths'!B1282))),"")</f>
        <v/>
      </c>
      <c r="D1282" s="91">
        <f>IF(C1282="","",IF(COUNTIF($C$4:C1281,C1282)=0,SUMIF($C$4:$C$3997,C1282,$B$4:$B$3997)-ROW()/1000000,""))</f>
        <v/>
      </c>
      <c r="E1282" s="91">
        <f>IF(AND(N('Deal maths'!F1282)&gt;AsAt,N('Deal maths'!E1282)&lt;=AsAt,IF(N('Deal maths'!H1282)&gt;0,N('Deal maths'!H1282),N('Deal maths'!D1282))&gt;0),N('Deal maths'!F1282)+ROW()/1000000,"")</f>
        <v/>
      </c>
    </row>
    <row r="1283">
      <c r="A1283" s="91" t="n"/>
      <c r="B1283" s="111">
        <f>IF(AND(N('Deal maths'!F1283)&gt;AsAt,N('Deal maths'!E1283)&lt;=AsAt),IF(N('Deal maths'!H1283)&gt;0,N('Deal maths'!H1283),N('Deal maths'!D1283)),0)</f>
        <v/>
      </c>
      <c r="C1283" s="91">
        <f>IF(B1283&gt;0,IF('Deal maths'!C1283="Local authority","Local authorities",LOWER(TRIM('Deal maths'!B1283))),"")</f>
        <v/>
      </c>
      <c r="D1283" s="91">
        <f>IF(C1283="","",IF(COUNTIF($C$4:C1282,C1283)=0,SUMIF($C$4:$C$3997,C1283,$B$4:$B$3997)-ROW()/1000000,""))</f>
        <v/>
      </c>
      <c r="E1283" s="91">
        <f>IF(AND(N('Deal maths'!F1283)&gt;AsAt,N('Deal maths'!E1283)&lt;=AsAt,IF(N('Deal maths'!H1283)&gt;0,N('Deal maths'!H1283),N('Deal maths'!D1283))&gt;0),N('Deal maths'!F1283)+ROW()/1000000,"")</f>
        <v/>
      </c>
    </row>
    <row r="1284">
      <c r="A1284" s="91" t="n"/>
      <c r="B1284" s="111">
        <f>IF(AND(N('Deal maths'!F1284)&gt;AsAt,N('Deal maths'!E1284)&lt;=AsAt),IF(N('Deal maths'!H1284)&gt;0,N('Deal maths'!H1284),N('Deal maths'!D1284)),0)</f>
        <v/>
      </c>
      <c r="C1284" s="91">
        <f>IF(B1284&gt;0,IF('Deal maths'!C1284="Local authority","Local authorities",LOWER(TRIM('Deal maths'!B1284))),"")</f>
        <v/>
      </c>
      <c r="D1284" s="91">
        <f>IF(C1284="","",IF(COUNTIF($C$4:C1283,C1284)=0,SUMIF($C$4:$C$3997,C1284,$B$4:$B$3997)-ROW()/1000000,""))</f>
        <v/>
      </c>
      <c r="E1284" s="91">
        <f>IF(AND(N('Deal maths'!F1284)&gt;AsAt,N('Deal maths'!E1284)&lt;=AsAt,IF(N('Deal maths'!H1284)&gt;0,N('Deal maths'!H1284),N('Deal maths'!D1284))&gt;0),N('Deal maths'!F1284)+ROW()/1000000,"")</f>
        <v/>
      </c>
    </row>
    <row r="1285">
      <c r="A1285" s="91" t="n"/>
      <c r="B1285" s="111">
        <f>IF(AND(N('Deal maths'!F1285)&gt;AsAt,N('Deal maths'!E1285)&lt;=AsAt),IF(N('Deal maths'!H1285)&gt;0,N('Deal maths'!H1285),N('Deal maths'!D1285)),0)</f>
        <v/>
      </c>
      <c r="C1285" s="91">
        <f>IF(B1285&gt;0,IF('Deal maths'!C1285="Local authority","Local authorities",LOWER(TRIM('Deal maths'!B1285))),"")</f>
        <v/>
      </c>
      <c r="D1285" s="91">
        <f>IF(C1285="","",IF(COUNTIF($C$4:C1284,C1285)=0,SUMIF($C$4:$C$3997,C1285,$B$4:$B$3997)-ROW()/1000000,""))</f>
        <v/>
      </c>
      <c r="E1285" s="91">
        <f>IF(AND(N('Deal maths'!F1285)&gt;AsAt,N('Deal maths'!E1285)&lt;=AsAt,IF(N('Deal maths'!H1285)&gt;0,N('Deal maths'!H1285),N('Deal maths'!D1285))&gt;0),N('Deal maths'!F1285)+ROW()/1000000,"")</f>
        <v/>
      </c>
    </row>
    <row r="1286">
      <c r="A1286" s="91" t="n"/>
      <c r="B1286" s="111">
        <f>IF(AND(N('Deal maths'!F1286)&gt;AsAt,N('Deal maths'!E1286)&lt;=AsAt),IF(N('Deal maths'!H1286)&gt;0,N('Deal maths'!H1286),N('Deal maths'!D1286)),0)</f>
        <v/>
      </c>
      <c r="C1286" s="91">
        <f>IF(B1286&gt;0,IF('Deal maths'!C1286="Local authority","Local authorities",LOWER(TRIM('Deal maths'!B1286))),"")</f>
        <v/>
      </c>
      <c r="D1286" s="91">
        <f>IF(C1286="","",IF(COUNTIF($C$4:C1285,C1286)=0,SUMIF($C$4:$C$3997,C1286,$B$4:$B$3997)-ROW()/1000000,""))</f>
        <v/>
      </c>
      <c r="E1286" s="91">
        <f>IF(AND(N('Deal maths'!F1286)&gt;AsAt,N('Deal maths'!E1286)&lt;=AsAt,IF(N('Deal maths'!H1286)&gt;0,N('Deal maths'!H1286),N('Deal maths'!D1286))&gt;0),N('Deal maths'!F1286)+ROW()/1000000,"")</f>
        <v/>
      </c>
    </row>
    <row r="1287">
      <c r="A1287" s="91" t="n"/>
      <c r="B1287" s="111">
        <f>IF(AND(N('Deal maths'!F1287)&gt;AsAt,N('Deal maths'!E1287)&lt;=AsAt),IF(N('Deal maths'!H1287)&gt;0,N('Deal maths'!H1287),N('Deal maths'!D1287)),0)</f>
        <v/>
      </c>
      <c r="C1287" s="91">
        <f>IF(B1287&gt;0,IF('Deal maths'!C1287="Local authority","Local authorities",LOWER(TRIM('Deal maths'!B1287))),"")</f>
        <v/>
      </c>
      <c r="D1287" s="91">
        <f>IF(C1287="","",IF(COUNTIF($C$4:C1286,C1287)=0,SUMIF($C$4:$C$3997,C1287,$B$4:$B$3997)-ROW()/1000000,""))</f>
        <v/>
      </c>
      <c r="E1287" s="91">
        <f>IF(AND(N('Deal maths'!F1287)&gt;AsAt,N('Deal maths'!E1287)&lt;=AsAt,IF(N('Deal maths'!H1287)&gt;0,N('Deal maths'!H1287),N('Deal maths'!D1287))&gt;0),N('Deal maths'!F1287)+ROW()/1000000,"")</f>
        <v/>
      </c>
    </row>
    <row r="1288">
      <c r="A1288" s="91" t="n"/>
      <c r="B1288" s="111">
        <f>IF(AND(N('Deal maths'!F1288)&gt;AsAt,N('Deal maths'!E1288)&lt;=AsAt),IF(N('Deal maths'!H1288)&gt;0,N('Deal maths'!H1288),N('Deal maths'!D1288)),0)</f>
        <v/>
      </c>
      <c r="C1288" s="91">
        <f>IF(B1288&gt;0,IF('Deal maths'!C1288="Local authority","Local authorities",LOWER(TRIM('Deal maths'!B1288))),"")</f>
        <v/>
      </c>
      <c r="D1288" s="91">
        <f>IF(C1288="","",IF(COUNTIF($C$4:C1287,C1288)=0,SUMIF($C$4:$C$3997,C1288,$B$4:$B$3997)-ROW()/1000000,""))</f>
        <v/>
      </c>
      <c r="E1288" s="91">
        <f>IF(AND(N('Deal maths'!F1288)&gt;AsAt,N('Deal maths'!E1288)&lt;=AsAt,IF(N('Deal maths'!H1288)&gt;0,N('Deal maths'!H1288),N('Deal maths'!D1288))&gt;0),N('Deal maths'!F1288)+ROW()/1000000,"")</f>
        <v/>
      </c>
    </row>
    <row r="1289">
      <c r="A1289" s="91" t="n"/>
      <c r="B1289" s="111">
        <f>IF(AND(N('Deal maths'!F1289)&gt;AsAt,N('Deal maths'!E1289)&lt;=AsAt),IF(N('Deal maths'!H1289)&gt;0,N('Deal maths'!H1289),N('Deal maths'!D1289)),0)</f>
        <v/>
      </c>
      <c r="C1289" s="91">
        <f>IF(B1289&gt;0,IF('Deal maths'!C1289="Local authority","Local authorities",LOWER(TRIM('Deal maths'!B1289))),"")</f>
        <v/>
      </c>
      <c r="D1289" s="91">
        <f>IF(C1289="","",IF(COUNTIF($C$4:C1288,C1289)=0,SUMIF($C$4:$C$3997,C1289,$B$4:$B$3997)-ROW()/1000000,""))</f>
        <v/>
      </c>
      <c r="E1289" s="91">
        <f>IF(AND(N('Deal maths'!F1289)&gt;AsAt,N('Deal maths'!E1289)&lt;=AsAt,IF(N('Deal maths'!H1289)&gt;0,N('Deal maths'!H1289),N('Deal maths'!D1289))&gt;0),N('Deal maths'!F1289)+ROW()/1000000,"")</f>
        <v/>
      </c>
    </row>
    <row r="1290">
      <c r="A1290" s="91" t="n"/>
      <c r="B1290" s="111">
        <f>IF(AND(N('Deal maths'!F1290)&gt;AsAt,N('Deal maths'!E1290)&lt;=AsAt),IF(N('Deal maths'!H1290)&gt;0,N('Deal maths'!H1290),N('Deal maths'!D1290)),0)</f>
        <v/>
      </c>
      <c r="C1290" s="91">
        <f>IF(B1290&gt;0,IF('Deal maths'!C1290="Local authority","Local authorities",LOWER(TRIM('Deal maths'!B1290))),"")</f>
        <v/>
      </c>
      <c r="D1290" s="91">
        <f>IF(C1290="","",IF(COUNTIF($C$4:C1289,C1290)=0,SUMIF($C$4:$C$3997,C1290,$B$4:$B$3997)-ROW()/1000000,""))</f>
        <v/>
      </c>
      <c r="E1290" s="91">
        <f>IF(AND(N('Deal maths'!F1290)&gt;AsAt,N('Deal maths'!E1290)&lt;=AsAt,IF(N('Deal maths'!H1290)&gt;0,N('Deal maths'!H1290),N('Deal maths'!D1290))&gt;0),N('Deal maths'!F1290)+ROW()/1000000,"")</f>
        <v/>
      </c>
    </row>
    <row r="1291">
      <c r="A1291" s="91" t="n"/>
      <c r="B1291" s="111">
        <f>IF(AND(N('Deal maths'!F1291)&gt;AsAt,N('Deal maths'!E1291)&lt;=AsAt),IF(N('Deal maths'!H1291)&gt;0,N('Deal maths'!H1291),N('Deal maths'!D1291)),0)</f>
        <v/>
      </c>
      <c r="C1291" s="91">
        <f>IF(B1291&gt;0,IF('Deal maths'!C1291="Local authority","Local authorities",LOWER(TRIM('Deal maths'!B1291))),"")</f>
        <v/>
      </c>
      <c r="D1291" s="91">
        <f>IF(C1291="","",IF(COUNTIF($C$4:C1290,C1291)=0,SUMIF($C$4:$C$3997,C1291,$B$4:$B$3997)-ROW()/1000000,""))</f>
        <v/>
      </c>
      <c r="E1291" s="91">
        <f>IF(AND(N('Deal maths'!F1291)&gt;AsAt,N('Deal maths'!E1291)&lt;=AsAt,IF(N('Deal maths'!H1291)&gt;0,N('Deal maths'!H1291),N('Deal maths'!D1291))&gt;0),N('Deal maths'!F1291)+ROW()/1000000,"")</f>
        <v/>
      </c>
    </row>
    <row r="1292">
      <c r="A1292" s="91" t="n"/>
      <c r="B1292" s="111">
        <f>IF(AND(N('Deal maths'!F1292)&gt;AsAt,N('Deal maths'!E1292)&lt;=AsAt),IF(N('Deal maths'!H1292)&gt;0,N('Deal maths'!H1292),N('Deal maths'!D1292)),0)</f>
        <v/>
      </c>
      <c r="C1292" s="91">
        <f>IF(B1292&gt;0,IF('Deal maths'!C1292="Local authority","Local authorities",LOWER(TRIM('Deal maths'!B1292))),"")</f>
        <v/>
      </c>
      <c r="D1292" s="91">
        <f>IF(C1292="","",IF(COUNTIF($C$4:C1291,C1292)=0,SUMIF($C$4:$C$3997,C1292,$B$4:$B$3997)-ROW()/1000000,""))</f>
        <v/>
      </c>
      <c r="E1292" s="91">
        <f>IF(AND(N('Deal maths'!F1292)&gt;AsAt,N('Deal maths'!E1292)&lt;=AsAt,IF(N('Deal maths'!H1292)&gt;0,N('Deal maths'!H1292),N('Deal maths'!D1292))&gt;0),N('Deal maths'!F1292)+ROW()/1000000,"")</f>
        <v/>
      </c>
    </row>
    <row r="1293">
      <c r="A1293" s="91" t="n"/>
      <c r="B1293" s="111">
        <f>IF(AND(N('Deal maths'!F1293)&gt;AsAt,N('Deal maths'!E1293)&lt;=AsAt),IF(N('Deal maths'!H1293)&gt;0,N('Deal maths'!H1293),N('Deal maths'!D1293)),0)</f>
        <v/>
      </c>
      <c r="C1293" s="91">
        <f>IF(B1293&gt;0,IF('Deal maths'!C1293="Local authority","Local authorities",LOWER(TRIM('Deal maths'!B1293))),"")</f>
        <v/>
      </c>
      <c r="D1293" s="91">
        <f>IF(C1293="","",IF(COUNTIF($C$4:C1292,C1293)=0,SUMIF($C$4:$C$3997,C1293,$B$4:$B$3997)-ROW()/1000000,""))</f>
        <v/>
      </c>
      <c r="E1293" s="91">
        <f>IF(AND(N('Deal maths'!F1293)&gt;AsAt,N('Deal maths'!E1293)&lt;=AsAt,IF(N('Deal maths'!H1293)&gt;0,N('Deal maths'!H1293),N('Deal maths'!D1293))&gt;0),N('Deal maths'!F1293)+ROW()/1000000,"")</f>
        <v/>
      </c>
    </row>
    <row r="1294">
      <c r="A1294" s="91" t="n"/>
      <c r="B1294" s="111">
        <f>IF(AND(N('Deal maths'!F1294)&gt;AsAt,N('Deal maths'!E1294)&lt;=AsAt),IF(N('Deal maths'!H1294)&gt;0,N('Deal maths'!H1294),N('Deal maths'!D1294)),0)</f>
        <v/>
      </c>
      <c r="C1294" s="91">
        <f>IF(B1294&gt;0,IF('Deal maths'!C1294="Local authority","Local authorities",LOWER(TRIM('Deal maths'!B1294))),"")</f>
        <v/>
      </c>
      <c r="D1294" s="91">
        <f>IF(C1294="","",IF(COUNTIF($C$4:C1293,C1294)=0,SUMIF($C$4:$C$3997,C1294,$B$4:$B$3997)-ROW()/1000000,""))</f>
        <v/>
      </c>
      <c r="E1294" s="91">
        <f>IF(AND(N('Deal maths'!F1294)&gt;AsAt,N('Deal maths'!E1294)&lt;=AsAt,IF(N('Deal maths'!H1294)&gt;0,N('Deal maths'!H1294),N('Deal maths'!D1294))&gt;0),N('Deal maths'!F1294)+ROW()/1000000,"")</f>
        <v/>
      </c>
    </row>
    <row r="1295">
      <c r="A1295" s="91" t="n"/>
      <c r="B1295" s="111">
        <f>IF(AND(N('Deal maths'!F1295)&gt;AsAt,N('Deal maths'!E1295)&lt;=AsAt),IF(N('Deal maths'!H1295)&gt;0,N('Deal maths'!H1295),N('Deal maths'!D1295)),0)</f>
        <v/>
      </c>
      <c r="C1295" s="91">
        <f>IF(B1295&gt;0,IF('Deal maths'!C1295="Local authority","Local authorities",LOWER(TRIM('Deal maths'!B1295))),"")</f>
        <v/>
      </c>
      <c r="D1295" s="91">
        <f>IF(C1295="","",IF(COUNTIF($C$4:C1294,C1295)=0,SUMIF($C$4:$C$3997,C1295,$B$4:$B$3997)-ROW()/1000000,""))</f>
        <v/>
      </c>
      <c r="E1295" s="91">
        <f>IF(AND(N('Deal maths'!F1295)&gt;AsAt,N('Deal maths'!E1295)&lt;=AsAt,IF(N('Deal maths'!H1295)&gt;0,N('Deal maths'!H1295),N('Deal maths'!D1295))&gt;0),N('Deal maths'!F1295)+ROW()/1000000,"")</f>
        <v/>
      </c>
    </row>
    <row r="1296">
      <c r="A1296" s="91" t="n"/>
      <c r="B1296" s="111">
        <f>IF(AND(N('Deal maths'!F1296)&gt;AsAt,N('Deal maths'!E1296)&lt;=AsAt),IF(N('Deal maths'!H1296)&gt;0,N('Deal maths'!H1296),N('Deal maths'!D1296)),0)</f>
        <v/>
      </c>
      <c r="C1296" s="91">
        <f>IF(B1296&gt;0,IF('Deal maths'!C1296="Local authority","Local authorities",LOWER(TRIM('Deal maths'!B1296))),"")</f>
        <v/>
      </c>
      <c r="D1296" s="91">
        <f>IF(C1296="","",IF(COUNTIF($C$4:C1295,C1296)=0,SUMIF($C$4:$C$3997,C1296,$B$4:$B$3997)-ROW()/1000000,""))</f>
        <v/>
      </c>
      <c r="E1296" s="91">
        <f>IF(AND(N('Deal maths'!F1296)&gt;AsAt,N('Deal maths'!E1296)&lt;=AsAt,IF(N('Deal maths'!H1296)&gt;0,N('Deal maths'!H1296),N('Deal maths'!D1296))&gt;0),N('Deal maths'!F1296)+ROW()/1000000,"")</f>
        <v/>
      </c>
    </row>
    <row r="1297">
      <c r="A1297" s="91" t="n"/>
      <c r="B1297" s="111">
        <f>IF(AND(N('Deal maths'!F1297)&gt;AsAt,N('Deal maths'!E1297)&lt;=AsAt),IF(N('Deal maths'!H1297)&gt;0,N('Deal maths'!H1297),N('Deal maths'!D1297)),0)</f>
        <v/>
      </c>
      <c r="C1297" s="91">
        <f>IF(B1297&gt;0,IF('Deal maths'!C1297="Local authority","Local authorities",LOWER(TRIM('Deal maths'!B1297))),"")</f>
        <v/>
      </c>
      <c r="D1297" s="91">
        <f>IF(C1297="","",IF(COUNTIF($C$4:C1296,C1297)=0,SUMIF($C$4:$C$3997,C1297,$B$4:$B$3997)-ROW()/1000000,""))</f>
        <v/>
      </c>
      <c r="E1297" s="91">
        <f>IF(AND(N('Deal maths'!F1297)&gt;AsAt,N('Deal maths'!E1297)&lt;=AsAt,IF(N('Deal maths'!H1297)&gt;0,N('Deal maths'!H1297),N('Deal maths'!D1297))&gt;0),N('Deal maths'!F1297)+ROW()/1000000,"")</f>
        <v/>
      </c>
    </row>
    <row r="1298">
      <c r="A1298" s="91" t="n"/>
      <c r="B1298" s="111">
        <f>IF(AND(N('Deal maths'!F1298)&gt;AsAt,N('Deal maths'!E1298)&lt;=AsAt),IF(N('Deal maths'!H1298)&gt;0,N('Deal maths'!H1298),N('Deal maths'!D1298)),0)</f>
        <v/>
      </c>
      <c r="C1298" s="91">
        <f>IF(B1298&gt;0,IF('Deal maths'!C1298="Local authority","Local authorities",LOWER(TRIM('Deal maths'!B1298))),"")</f>
        <v/>
      </c>
      <c r="D1298" s="91">
        <f>IF(C1298="","",IF(COUNTIF($C$4:C1297,C1298)=0,SUMIF($C$4:$C$3997,C1298,$B$4:$B$3997)-ROW()/1000000,""))</f>
        <v/>
      </c>
      <c r="E1298" s="91">
        <f>IF(AND(N('Deal maths'!F1298)&gt;AsAt,N('Deal maths'!E1298)&lt;=AsAt,IF(N('Deal maths'!H1298)&gt;0,N('Deal maths'!H1298),N('Deal maths'!D1298))&gt;0),N('Deal maths'!F1298)+ROW()/1000000,"")</f>
        <v/>
      </c>
    </row>
    <row r="1299">
      <c r="A1299" s="91" t="n"/>
      <c r="B1299" s="111">
        <f>IF(AND(N('Deal maths'!F1299)&gt;AsAt,N('Deal maths'!E1299)&lt;=AsAt),IF(N('Deal maths'!H1299)&gt;0,N('Deal maths'!H1299),N('Deal maths'!D1299)),0)</f>
        <v/>
      </c>
      <c r="C1299" s="91">
        <f>IF(B1299&gt;0,IF('Deal maths'!C1299="Local authority","Local authorities",LOWER(TRIM('Deal maths'!B1299))),"")</f>
        <v/>
      </c>
      <c r="D1299" s="91">
        <f>IF(C1299="","",IF(COUNTIF($C$4:C1298,C1299)=0,SUMIF($C$4:$C$3997,C1299,$B$4:$B$3997)-ROW()/1000000,""))</f>
        <v/>
      </c>
      <c r="E1299" s="91">
        <f>IF(AND(N('Deal maths'!F1299)&gt;AsAt,N('Deal maths'!E1299)&lt;=AsAt,IF(N('Deal maths'!H1299)&gt;0,N('Deal maths'!H1299),N('Deal maths'!D1299))&gt;0),N('Deal maths'!F1299)+ROW()/1000000,"")</f>
        <v/>
      </c>
    </row>
    <row r="1300">
      <c r="A1300" s="91" t="n"/>
      <c r="B1300" s="111">
        <f>IF(AND(N('Deal maths'!F1300)&gt;AsAt,N('Deal maths'!E1300)&lt;=AsAt),IF(N('Deal maths'!H1300)&gt;0,N('Deal maths'!H1300),N('Deal maths'!D1300)),0)</f>
        <v/>
      </c>
      <c r="C1300" s="91">
        <f>IF(B1300&gt;0,IF('Deal maths'!C1300="Local authority","Local authorities",LOWER(TRIM('Deal maths'!B1300))),"")</f>
        <v/>
      </c>
      <c r="D1300" s="91">
        <f>IF(C1300="","",IF(COUNTIF($C$4:C1299,C1300)=0,SUMIF($C$4:$C$3997,C1300,$B$4:$B$3997)-ROW()/1000000,""))</f>
        <v/>
      </c>
      <c r="E1300" s="91">
        <f>IF(AND(N('Deal maths'!F1300)&gt;AsAt,N('Deal maths'!E1300)&lt;=AsAt,IF(N('Deal maths'!H1300)&gt;0,N('Deal maths'!H1300),N('Deal maths'!D1300))&gt;0),N('Deal maths'!F1300)+ROW()/1000000,"")</f>
        <v/>
      </c>
    </row>
    <row r="1301">
      <c r="A1301" s="91" t="n"/>
      <c r="B1301" s="111">
        <f>IF(AND(N('Deal maths'!F1301)&gt;AsAt,N('Deal maths'!E1301)&lt;=AsAt),IF(N('Deal maths'!H1301)&gt;0,N('Deal maths'!H1301),N('Deal maths'!D1301)),0)</f>
        <v/>
      </c>
      <c r="C1301" s="91">
        <f>IF(B1301&gt;0,IF('Deal maths'!C1301="Local authority","Local authorities",LOWER(TRIM('Deal maths'!B1301))),"")</f>
        <v/>
      </c>
      <c r="D1301" s="91">
        <f>IF(C1301="","",IF(COUNTIF($C$4:C1300,C1301)=0,SUMIF($C$4:$C$3997,C1301,$B$4:$B$3997)-ROW()/1000000,""))</f>
        <v/>
      </c>
      <c r="E1301" s="91">
        <f>IF(AND(N('Deal maths'!F1301)&gt;AsAt,N('Deal maths'!E1301)&lt;=AsAt,IF(N('Deal maths'!H1301)&gt;0,N('Deal maths'!H1301),N('Deal maths'!D1301))&gt;0),N('Deal maths'!F1301)+ROW()/1000000,"")</f>
        <v/>
      </c>
    </row>
    <row r="1302">
      <c r="A1302" s="91" t="n"/>
      <c r="B1302" s="111">
        <f>IF(AND(N('Deal maths'!F1302)&gt;AsAt,N('Deal maths'!E1302)&lt;=AsAt),IF(N('Deal maths'!H1302)&gt;0,N('Deal maths'!H1302),N('Deal maths'!D1302)),0)</f>
        <v/>
      </c>
      <c r="C1302" s="91">
        <f>IF(B1302&gt;0,IF('Deal maths'!C1302="Local authority","Local authorities",LOWER(TRIM('Deal maths'!B1302))),"")</f>
        <v/>
      </c>
      <c r="D1302" s="91">
        <f>IF(C1302="","",IF(COUNTIF($C$4:C1301,C1302)=0,SUMIF($C$4:$C$3997,C1302,$B$4:$B$3997)-ROW()/1000000,""))</f>
        <v/>
      </c>
      <c r="E1302" s="91">
        <f>IF(AND(N('Deal maths'!F1302)&gt;AsAt,N('Deal maths'!E1302)&lt;=AsAt,IF(N('Deal maths'!H1302)&gt;0,N('Deal maths'!H1302),N('Deal maths'!D1302))&gt;0),N('Deal maths'!F1302)+ROW()/1000000,"")</f>
        <v/>
      </c>
    </row>
    <row r="1303">
      <c r="A1303" s="91" t="n"/>
      <c r="B1303" s="111">
        <f>IF(AND(N('Deal maths'!F1303)&gt;AsAt,N('Deal maths'!E1303)&lt;=AsAt),IF(N('Deal maths'!H1303)&gt;0,N('Deal maths'!H1303),N('Deal maths'!D1303)),0)</f>
        <v/>
      </c>
      <c r="C1303" s="91">
        <f>IF(B1303&gt;0,IF('Deal maths'!C1303="Local authority","Local authorities",LOWER(TRIM('Deal maths'!B1303))),"")</f>
        <v/>
      </c>
      <c r="D1303" s="91">
        <f>IF(C1303="","",IF(COUNTIF($C$4:C1302,C1303)=0,SUMIF($C$4:$C$3997,C1303,$B$4:$B$3997)-ROW()/1000000,""))</f>
        <v/>
      </c>
      <c r="E1303" s="91">
        <f>IF(AND(N('Deal maths'!F1303)&gt;AsAt,N('Deal maths'!E1303)&lt;=AsAt,IF(N('Deal maths'!H1303)&gt;0,N('Deal maths'!H1303),N('Deal maths'!D1303))&gt;0),N('Deal maths'!F1303)+ROW()/1000000,"")</f>
        <v/>
      </c>
    </row>
    <row r="1304">
      <c r="A1304" s="91" t="n"/>
      <c r="B1304" s="111">
        <f>IF(AND(N('Deal maths'!F1304)&gt;AsAt,N('Deal maths'!E1304)&lt;=AsAt),IF(N('Deal maths'!H1304)&gt;0,N('Deal maths'!H1304),N('Deal maths'!D1304)),0)</f>
        <v/>
      </c>
      <c r="C1304" s="91">
        <f>IF(B1304&gt;0,IF('Deal maths'!C1304="Local authority","Local authorities",LOWER(TRIM('Deal maths'!B1304))),"")</f>
        <v/>
      </c>
      <c r="D1304" s="91">
        <f>IF(C1304="","",IF(COUNTIF($C$4:C1303,C1304)=0,SUMIF($C$4:$C$3997,C1304,$B$4:$B$3997)-ROW()/1000000,""))</f>
        <v/>
      </c>
      <c r="E1304" s="91">
        <f>IF(AND(N('Deal maths'!F1304)&gt;AsAt,N('Deal maths'!E1304)&lt;=AsAt,IF(N('Deal maths'!H1304)&gt;0,N('Deal maths'!H1304),N('Deal maths'!D1304))&gt;0),N('Deal maths'!F1304)+ROW()/1000000,"")</f>
        <v/>
      </c>
    </row>
    <row r="1305">
      <c r="A1305" s="91" t="n"/>
      <c r="B1305" s="111">
        <f>IF(AND(N('Deal maths'!F1305)&gt;AsAt,N('Deal maths'!E1305)&lt;=AsAt),IF(N('Deal maths'!H1305)&gt;0,N('Deal maths'!H1305),N('Deal maths'!D1305)),0)</f>
        <v/>
      </c>
      <c r="C1305" s="91">
        <f>IF(B1305&gt;0,IF('Deal maths'!C1305="Local authority","Local authorities",LOWER(TRIM('Deal maths'!B1305))),"")</f>
        <v/>
      </c>
      <c r="D1305" s="91">
        <f>IF(C1305="","",IF(COUNTIF($C$4:C1304,C1305)=0,SUMIF($C$4:$C$3997,C1305,$B$4:$B$3997)-ROW()/1000000,""))</f>
        <v/>
      </c>
      <c r="E1305" s="91">
        <f>IF(AND(N('Deal maths'!F1305)&gt;AsAt,N('Deal maths'!E1305)&lt;=AsAt,IF(N('Deal maths'!H1305)&gt;0,N('Deal maths'!H1305),N('Deal maths'!D1305))&gt;0),N('Deal maths'!F1305)+ROW()/1000000,"")</f>
        <v/>
      </c>
    </row>
    <row r="1306">
      <c r="A1306" s="91" t="n"/>
      <c r="B1306" s="111">
        <f>IF(AND(N('Deal maths'!F1306)&gt;AsAt,N('Deal maths'!E1306)&lt;=AsAt),IF(N('Deal maths'!H1306)&gt;0,N('Deal maths'!H1306),N('Deal maths'!D1306)),0)</f>
        <v/>
      </c>
      <c r="C1306" s="91">
        <f>IF(B1306&gt;0,IF('Deal maths'!C1306="Local authority","Local authorities",LOWER(TRIM('Deal maths'!B1306))),"")</f>
        <v/>
      </c>
      <c r="D1306" s="91">
        <f>IF(C1306="","",IF(COUNTIF($C$4:C1305,C1306)=0,SUMIF($C$4:$C$3997,C1306,$B$4:$B$3997)-ROW()/1000000,""))</f>
        <v/>
      </c>
      <c r="E1306" s="91">
        <f>IF(AND(N('Deal maths'!F1306)&gt;AsAt,N('Deal maths'!E1306)&lt;=AsAt,IF(N('Deal maths'!H1306)&gt;0,N('Deal maths'!H1306),N('Deal maths'!D1306))&gt;0),N('Deal maths'!F1306)+ROW()/1000000,"")</f>
        <v/>
      </c>
    </row>
    <row r="1307">
      <c r="A1307" s="91" t="n"/>
      <c r="B1307" s="111">
        <f>IF(AND(N('Deal maths'!F1307)&gt;AsAt,N('Deal maths'!E1307)&lt;=AsAt),IF(N('Deal maths'!H1307)&gt;0,N('Deal maths'!H1307),N('Deal maths'!D1307)),0)</f>
        <v/>
      </c>
      <c r="C1307" s="91">
        <f>IF(B1307&gt;0,IF('Deal maths'!C1307="Local authority","Local authorities",LOWER(TRIM('Deal maths'!B1307))),"")</f>
        <v/>
      </c>
      <c r="D1307" s="91">
        <f>IF(C1307="","",IF(COUNTIF($C$4:C1306,C1307)=0,SUMIF($C$4:$C$3997,C1307,$B$4:$B$3997)-ROW()/1000000,""))</f>
        <v/>
      </c>
      <c r="E1307" s="91">
        <f>IF(AND(N('Deal maths'!F1307)&gt;AsAt,N('Deal maths'!E1307)&lt;=AsAt,IF(N('Deal maths'!H1307)&gt;0,N('Deal maths'!H1307),N('Deal maths'!D1307))&gt;0),N('Deal maths'!F1307)+ROW()/1000000,"")</f>
        <v/>
      </c>
    </row>
    <row r="1308">
      <c r="A1308" s="91" t="n"/>
      <c r="B1308" s="111">
        <f>IF(AND(N('Deal maths'!F1308)&gt;AsAt,N('Deal maths'!E1308)&lt;=AsAt),IF(N('Deal maths'!H1308)&gt;0,N('Deal maths'!H1308),N('Deal maths'!D1308)),0)</f>
        <v/>
      </c>
      <c r="C1308" s="91">
        <f>IF(B1308&gt;0,IF('Deal maths'!C1308="Local authority","Local authorities",LOWER(TRIM('Deal maths'!B1308))),"")</f>
        <v/>
      </c>
      <c r="D1308" s="91">
        <f>IF(C1308="","",IF(COUNTIF($C$4:C1307,C1308)=0,SUMIF($C$4:$C$3997,C1308,$B$4:$B$3997)-ROW()/1000000,""))</f>
        <v/>
      </c>
      <c r="E1308" s="91">
        <f>IF(AND(N('Deal maths'!F1308)&gt;AsAt,N('Deal maths'!E1308)&lt;=AsAt,IF(N('Deal maths'!H1308)&gt;0,N('Deal maths'!H1308),N('Deal maths'!D1308))&gt;0),N('Deal maths'!F1308)+ROW()/1000000,"")</f>
        <v/>
      </c>
    </row>
    <row r="1309">
      <c r="A1309" s="91" t="n"/>
      <c r="B1309" s="111">
        <f>IF(AND(N('Deal maths'!F1309)&gt;AsAt,N('Deal maths'!E1309)&lt;=AsAt),IF(N('Deal maths'!H1309)&gt;0,N('Deal maths'!H1309),N('Deal maths'!D1309)),0)</f>
        <v/>
      </c>
      <c r="C1309" s="91">
        <f>IF(B1309&gt;0,IF('Deal maths'!C1309="Local authority","Local authorities",LOWER(TRIM('Deal maths'!B1309))),"")</f>
        <v/>
      </c>
      <c r="D1309" s="91">
        <f>IF(C1309="","",IF(COUNTIF($C$4:C1308,C1309)=0,SUMIF($C$4:$C$3997,C1309,$B$4:$B$3997)-ROW()/1000000,""))</f>
        <v/>
      </c>
      <c r="E1309" s="91">
        <f>IF(AND(N('Deal maths'!F1309)&gt;AsAt,N('Deal maths'!E1309)&lt;=AsAt,IF(N('Deal maths'!H1309)&gt;0,N('Deal maths'!H1309),N('Deal maths'!D1309))&gt;0),N('Deal maths'!F1309)+ROW()/1000000,"")</f>
        <v/>
      </c>
    </row>
    <row r="1310">
      <c r="A1310" s="91" t="n"/>
      <c r="B1310" s="111">
        <f>IF(AND(N('Deal maths'!F1310)&gt;AsAt,N('Deal maths'!E1310)&lt;=AsAt),IF(N('Deal maths'!H1310)&gt;0,N('Deal maths'!H1310),N('Deal maths'!D1310)),0)</f>
        <v/>
      </c>
      <c r="C1310" s="91">
        <f>IF(B1310&gt;0,IF('Deal maths'!C1310="Local authority","Local authorities",LOWER(TRIM('Deal maths'!B1310))),"")</f>
        <v/>
      </c>
      <c r="D1310" s="91">
        <f>IF(C1310="","",IF(COUNTIF($C$4:C1309,C1310)=0,SUMIF($C$4:$C$3997,C1310,$B$4:$B$3997)-ROW()/1000000,""))</f>
        <v/>
      </c>
      <c r="E1310" s="91">
        <f>IF(AND(N('Deal maths'!F1310)&gt;AsAt,N('Deal maths'!E1310)&lt;=AsAt,IF(N('Deal maths'!H1310)&gt;0,N('Deal maths'!H1310),N('Deal maths'!D1310))&gt;0),N('Deal maths'!F1310)+ROW()/1000000,"")</f>
        <v/>
      </c>
    </row>
    <row r="1311">
      <c r="A1311" s="91" t="n"/>
      <c r="B1311" s="111">
        <f>IF(AND(N('Deal maths'!F1311)&gt;AsAt,N('Deal maths'!E1311)&lt;=AsAt),IF(N('Deal maths'!H1311)&gt;0,N('Deal maths'!H1311),N('Deal maths'!D1311)),0)</f>
        <v/>
      </c>
      <c r="C1311" s="91">
        <f>IF(B1311&gt;0,IF('Deal maths'!C1311="Local authority","Local authorities",LOWER(TRIM('Deal maths'!B1311))),"")</f>
        <v/>
      </c>
      <c r="D1311" s="91">
        <f>IF(C1311="","",IF(COUNTIF($C$4:C1310,C1311)=0,SUMIF($C$4:$C$3997,C1311,$B$4:$B$3997)-ROW()/1000000,""))</f>
        <v/>
      </c>
      <c r="E1311" s="91">
        <f>IF(AND(N('Deal maths'!F1311)&gt;AsAt,N('Deal maths'!E1311)&lt;=AsAt,IF(N('Deal maths'!H1311)&gt;0,N('Deal maths'!H1311),N('Deal maths'!D1311))&gt;0),N('Deal maths'!F1311)+ROW()/1000000,"")</f>
        <v/>
      </c>
    </row>
    <row r="1312">
      <c r="A1312" s="91" t="n"/>
      <c r="B1312" s="111">
        <f>IF(AND(N('Deal maths'!F1312)&gt;AsAt,N('Deal maths'!E1312)&lt;=AsAt),IF(N('Deal maths'!H1312)&gt;0,N('Deal maths'!H1312),N('Deal maths'!D1312)),0)</f>
        <v/>
      </c>
      <c r="C1312" s="91">
        <f>IF(B1312&gt;0,IF('Deal maths'!C1312="Local authority","Local authorities",LOWER(TRIM('Deal maths'!B1312))),"")</f>
        <v/>
      </c>
      <c r="D1312" s="91">
        <f>IF(C1312="","",IF(COUNTIF($C$4:C1311,C1312)=0,SUMIF($C$4:$C$3997,C1312,$B$4:$B$3997)-ROW()/1000000,""))</f>
        <v/>
      </c>
      <c r="E1312" s="91">
        <f>IF(AND(N('Deal maths'!F1312)&gt;AsAt,N('Deal maths'!E1312)&lt;=AsAt,IF(N('Deal maths'!H1312)&gt;0,N('Deal maths'!H1312),N('Deal maths'!D1312))&gt;0),N('Deal maths'!F1312)+ROW()/1000000,"")</f>
        <v/>
      </c>
    </row>
    <row r="1313">
      <c r="A1313" s="91" t="n"/>
      <c r="B1313" s="111">
        <f>IF(AND(N('Deal maths'!F1313)&gt;AsAt,N('Deal maths'!E1313)&lt;=AsAt),IF(N('Deal maths'!H1313)&gt;0,N('Deal maths'!H1313),N('Deal maths'!D1313)),0)</f>
        <v/>
      </c>
      <c r="C1313" s="91">
        <f>IF(B1313&gt;0,IF('Deal maths'!C1313="Local authority","Local authorities",LOWER(TRIM('Deal maths'!B1313))),"")</f>
        <v/>
      </c>
      <c r="D1313" s="91">
        <f>IF(C1313="","",IF(COUNTIF($C$4:C1312,C1313)=0,SUMIF($C$4:$C$3997,C1313,$B$4:$B$3997)-ROW()/1000000,""))</f>
        <v/>
      </c>
      <c r="E1313" s="91">
        <f>IF(AND(N('Deal maths'!F1313)&gt;AsAt,N('Deal maths'!E1313)&lt;=AsAt,IF(N('Deal maths'!H1313)&gt;0,N('Deal maths'!H1313),N('Deal maths'!D1313))&gt;0),N('Deal maths'!F1313)+ROW()/1000000,"")</f>
        <v/>
      </c>
    </row>
    <row r="1314">
      <c r="A1314" s="91" t="n"/>
      <c r="B1314" s="111">
        <f>IF(AND(N('Deal maths'!F1314)&gt;AsAt,N('Deal maths'!E1314)&lt;=AsAt),IF(N('Deal maths'!H1314)&gt;0,N('Deal maths'!H1314),N('Deal maths'!D1314)),0)</f>
        <v/>
      </c>
      <c r="C1314" s="91">
        <f>IF(B1314&gt;0,IF('Deal maths'!C1314="Local authority","Local authorities",LOWER(TRIM('Deal maths'!B1314))),"")</f>
        <v/>
      </c>
      <c r="D1314" s="91">
        <f>IF(C1314="","",IF(COUNTIF($C$4:C1313,C1314)=0,SUMIF($C$4:$C$3997,C1314,$B$4:$B$3997)-ROW()/1000000,""))</f>
        <v/>
      </c>
      <c r="E1314" s="91">
        <f>IF(AND(N('Deal maths'!F1314)&gt;AsAt,N('Deal maths'!E1314)&lt;=AsAt,IF(N('Deal maths'!H1314)&gt;0,N('Deal maths'!H1314),N('Deal maths'!D1314))&gt;0),N('Deal maths'!F1314)+ROW()/1000000,"")</f>
        <v/>
      </c>
    </row>
    <row r="1315">
      <c r="A1315" s="91" t="n"/>
      <c r="B1315" s="111">
        <f>IF(AND(N('Deal maths'!F1315)&gt;AsAt,N('Deal maths'!E1315)&lt;=AsAt),IF(N('Deal maths'!H1315)&gt;0,N('Deal maths'!H1315),N('Deal maths'!D1315)),0)</f>
        <v/>
      </c>
      <c r="C1315" s="91">
        <f>IF(B1315&gt;0,IF('Deal maths'!C1315="Local authority","Local authorities",LOWER(TRIM('Deal maths'!B1315))),"")</f>
        <v/>
      </c>
      <c r="D1315" s="91">
        <f>IF(C1315="","",IF(COUNTIF($C$4:C1314,C1315)=0,SUMIF($C$4:$C$3997,C1315,$B$4:$B$3997)-ROW()/1000000,""))</f>
        <v/>
      </c>
      <c r="E1315" s="91">
        <f>IF(AND(N('Deal maths'!F1315)&gt;AsAt,N('Deal maths'!E1315)&lt;=AsAt,IF(N('Deal maths'!H1315)&gt;0,N('Deal maths'!H1315),N('Deal maths'!D1315))&gt;0),N('Deal maths'!F1315)+ROW()/1000000,"")</f>
        <v/>
      </c>
    </row>
    <row r="1316">
      <c r="A1316" s="91" t="n"/>
      <c r="B1316" s="111">
        <f>IF(AND(N('Deal maths'!F1316)&gt;AsAt,N('Deal maths'!E1316)&lt;=AsAt),IF(N('Deal maths'!H1316)&gt;0,N('Deal maths'!H1316),N('Deal maths'!D1316)),0)</f>
        <v/>
      </c>
      <c r="C1316" s="91">
        <f>IF(B1316&gt;0,IF('Deal maths'!C1316="Local authority","Local authorities",LOWER(TRIM('Deal maths'!B1316))),"")</f>
        <v/>
      </c>
      <c r="D1316" s="91">
        <f>IF(C1316="","",IF(COUNTIF($C$4:C1315,C1316)=0,SUMIF($C$4:$C$3997,C1316,$B$4:$B$3997)-ROW()/1000000,""))</f>
        <v/>
      </c>
      <c r="E1316" s="91">
        <f>IF(AND(N('Deal maths'!F1316)&gt;AsAt,N('Deal maths'!E1316)&lt;=AsAt,IF(N('Deal maths'!H1316)&gt;0,N('Deal maths'!H1316),N('Deal maths'!D1316))&gt;0),N('Deal maths'!F1316)+ROW()/1000000,"")</f>
        <v/>
      </c>
    </row>
    <row r="1317">
      <c r="A1317" s="91" t="n"/>
      <c r="B1317" s="111">
        <f>IF(AND(N('Deal maths'!F1317)&gt;AsAt,N('Deal maths'!E1317)&lt;=AsAt),IF(N('Deal maths'!H1317)&gt;0,N('Deal maths'!H1317),N('Deal maths'!D1317)),0)</f>
        <v/>
      </c>
      <c r="C1317" s="91">
        <f>IF(B1317&gt;0,IF('Deal maths'!C1317="Local authority","Local authorities",LOWER(TRIM('Deal maths'!B1317))),"")</f>
        <v/>
      </c>
      <c r="D1317" s="91">
        <f>IF(C1317="","",IF(COUNTIF($C$4:C1316,C1317)=0,SUMIF($C$4:$C$3997,C1317,$B$4:$B$3997)-ROW()/1000000,""))</f>
        <v/>
      </c>
      <c r="E1317" s="91">
        <f>IF(AND(N('Deal maths'!F1317)&gt;AsAt,N('Deal maths'!E1317)&lt;=AsAt,IF(N('Deal maths'!H1317)&gt;0,N('Deal maths'!H1317),N('Deal maths'!D1317))&gt;0),N('Deal maths'!F1317)+ROW()/1000000,"")</f>
        <v/>
      </c>
    </row>
    <row r="1318">
      <c r="A1318" s="91" t="n"/>
      <c r="B1318" s="111">
        <f>IF(AND(N('Deal maths'!F1318)&gt;AsAt,N('Deal maths'!E1318)&lt;=AsAt),IF(N('Deal maths'!H1318)&gt;0,N('Deal maths'!H1318),N('Deal maths'!D1318)),0)</f>
        <v/>
      </c>
      <c r="C1318" s="91">
        <f>IF(B1318&gt;0,IF('Deal maths'!C1318="Local authority","Local authorities",LOWER(TRIM('Deal maths'!B1318))),"")</f>
        <v/>
      </c>
      <c r="D1318" s="91">
        <f>IF(C1318="","",IF(COUNTIF($C$4:C1317,C1318)=0,SUMIF($C$4:$C$3997,C1318,$B$4:$B$3997)-ROW()/1000000,""))</f>
        <v/>
      </c>
      <c r="E1318" s="91">
        <f>IF(AND(N('Deal maths'!F1318)&gt;AsAt,N('Deal maths'!E1318)&lt;=AsAt,IF(N('Deal maths'!H1318)&gt;0,N('Deal maths'!H1318),N('Deal maths'!D1318))&gt;0),N('Deal maths'!F1318)+ROW()/1000000,"")</f>
        <v/>
      </c>
    </row>
    <row r="1319">
      <c r="A1319" s="91" t="n"/>
      <c r="B1319" s="111">
        <f>IF(AND(N('Deal maths'!F1319)&gt;AsAt,N('Deal maths'!E1319)&lt;=AsAt),IF(N('Deal maths'!H1319)&gt;0,N('Deal maths'!H1319),N('Deal maths'!D1319)),0)</f>
        <v/>
      </c>
      <c r="C1319" s="91">
        <f>IF(B1319&gt;0,IF('Deal maths'!C1319="Local authority","Local authorities",LOWER(TRIM('Deal maths'!B1319))),"")</f>
        <v/>
      </c>
      <c r="D1319" s="91">
        <f>IF(C1319="","",IF(COUNTIF($C$4:C1318,C1319)=0,SUMIF($C$4:$C$3997,C1319,$B$4:$B$3997)-ROW()/1000000,""))</f>
        <v/>
      </c>
      <c r="E1319" s="91">
        <f>IF(AND(N('Deal maths'!F1319)&gt;AsAt,N('Deal maths'!E1319)&lt;=AsAt,IF(N('Deal maths'!H1319)&gt;0,N('Deal maths'!H1319),N('Deal maths'!D1319))&gt;0),N('Deal maths'!F1319)+ROW()/1000000,"")</f>
        <v/>
      </c>
    </row>
    <row r="1320">
      <c r="A1320" s="91" t="n"/>
      <c r="B1320" s="111">
        <f>IF(AND(N('Deal maths'!F1320)&gt;AsAt,N('Deal maths'!E1320)&lt;=AsAt),IF(N('Deal maths'!H1320)&gt;0,N('Deal maths'!H1320),N('Deal maths'!D1320)),0)</f>
        <v/>
      </c>
      <c r="C1320" s="91">
        <f>IF(B1320&gt;0,IF('Deal maths'!C1320="Local authority","Local authorities",LOWER(TRIM('Deal maths'!B1320))),"")</f>
        <v/>
      </c>
      <c r="D1320" s="91">
        <f>IF(C1320="","",IF(COUNTIF($C$4:C1319,C1320)=0,SUMIF($C$4:$C$3997,C1320,$B$4:$B$3997)-ROW()/1000000,""))</f>
        <v/>
      </c>
      <c r="E1320" s="91">
        <f>IF(AND(N('Deal maths'!F1320)&gt;AsAt,N('Deal maths'!E1320)&lt;=AsAt,IF(N('Deal maths'!H1320)&gt;0,N('Deal maths'!H1320),N('Deal maths'!D1320))&gt;0),N('Deal maths'!F1320)+ROW()/1000000,"")</f>
        <v/>
      </c>
    </row>
    <row r="1321">
      <c r="A1321" s="91" t="n"/>
      <c r="B1321" s="111">
        <f>IF(AND(N('Deal maths'!F1321)&gt;AsAt,N('Deal maths'!E1321)&lt;=AsAt),IF(N('Deal maths'!H1321)&gt;0,N('Deal maths'!H1321),N('Deal maths'!D1321)),0)</f>
        <v/>
      </c>
      <c r="C1321" s="91">
        <f>IF(B1321&gt;0,IF('Deal maths'!C1321="Local authority","Local authorities",LOWER(TRIM('Deal maths'!B1321))),"")</f>
        <v/>
      </c>
      <c r="D1321" s="91">
        <f>IF(C1321="","",IF(COUNTIF($C$4:C1320,C1321)=0,SUMIF($C$4:$C$3997,C1321,$B$4:$B$3997)-ROW()/1000000,""))</f>
        <v/>
      </c>
      <c r="E1321" s="91">
        <f>IF(AND(N('Deal maths'!F1321)&gt;AsAt,N('Deal maths'!E1321)&lt;=AsAt,IF(N('Deal maths'!H1321)&gt;0,N('Deal maths'!H1321),N('Deal maths'!D1321))&gt;0),N('Deal maths'!F1321)+ROW()/1000000,"")</f>
        <v/>
      </c>
    </row>
    <row r="1322">
      <c r="A1322" s="91" t="n"/>
      <c r="B1322" s="111">
        <f>IF(AND(N('Deal maths'!F1322)&gt;AsAt,N('Deal maths'!E1322)&lt;=AsAt),IF(N('Deal maths'!H1322)&gt;0,N('Deal maths'!H1322),N('Deal maths'!D1322)),0)</f>
        <v/>
      </c>
      <c r="C1322" s="91">
        <f>IF(B1322&gt;0,IF('Deal maths'!C1322="Local authority","Local authorities",LOWER(TRIM('Deal maths'!B1322))),"")</f>
        <v/>
      </c>
      <c r="D1322" s="91">
        <f>IF(C1322="","",IF(COUNTIF($C$4:C1321,C1322)=0,SUMIF($C$4:$C$3997,C1322,$B$4:$B$3997)-ROW()/1000000,""))</f>
        <v/>
      </c>
      <c r="E1322" s="91">
        <f>IF(AND(N('Deal maths'!F1322)&gt;AsAt,N('Deal maths'!E1322)&lt;=AsAt,IF(N('Deal maths'!H1322)&gt;0,N('Deal maths'!H1322),N('Deal maths'!D1322))&gt;0),N('Deal maths'!F1322)+ROW()/1000000,"")</f>
        <v/>
      </c>
    </row>
    <row r="1323">
      <c r="A1323" s="91" t="n"/>
      <c r="B1323" s="111">
        <f>IF(AND(N('Deal maths'!F1323)&gt;AsAt,N('Deal maths'!E1323)&lt;=AsAt),IF(N('Deal maths'!H1323)&gt;0,N('Deal maths'!H1323),N('Deal maths'!D1323)),0)</f>
        <v/>
      </c>
      <c r="C1323" s="91">
        <f>IF(B1323&gt;0,IF('Deal maths'!C1323="Local authority","Local authorities",LOWER(TRIM('Deal maths'!B1323))),"")</f>
        <v/>
      </c>
      <c r="D1323" s="91">
        <f>IF(C1323="","",IF(COUNTIF($C$4:C1322,C1323)=0,SUMIF($C$4:$C$3997,C1323,$B$4:$B$3997)-ROW()/1000000,""))</f>
        <v/>
      </c>
      <c r="E1323" s="91">
        <f>IF(AND(N('Deal maths'!F1323)&gt;AsAt,N('Deal maths'!E1323)&lt;=AsAt,IF(N('Deal maths'!H1323)&gt;0,N('Deal maths'!H1323),N('Deal maths'!D1323))&gt;0),N('Deal maths'!F1323)+ROW()/1000000,"")</f>
        <v/>
      </c>
    </row>
    <row r="1324">
      <c r="A1324" s="91" t="n"/>
      <c r="B1324" s="111">
        <f>IF(AND(N('Deal maths'!F1324)&gt;AsAt,N('Deal maths'!E1324)&lt;=AsAt),IF(N('Deal maths'!H1324)&gt;0,N('Deal maths'!H1324),N('Deal maths'!D1324)),0)</f>
        <v/>
      </c>
      <c r="C1324" s="91">
        <f>IF(B1324&gt;0,IF('Deal maths'!C1324="Local authority","Local authorities",LOWER(TRIM('Deal maths'!B1324))),"")</f>
        <v/>
      </c>
      <c r="D1324" s="91">
        <f>IF(C1324="","",IF(COUNTIF($C$4:C1323,C1324)=0,SUMIF($C$4:$C$3997,C1324,$B$4:$B$3997)-ROW()/1000000,""))</f>
        <v/>
      </c>
      <c r="E1324" s="91">
        <f>IF(AND(N('Deal maths'!F1324)&gt;AsAt,N('Deal maths'!E1324)&lt;=AsAt,IF(N('Deal maths'!H1324)&gt;0,N('Deal maths'!H1324),N('Deal maths'!D1324))&gt;0),N('Deal maths'!F1324)+ROW()/1000000,"")</f>
        <v/>
      </c>
    </row>
    <row r="1325">
      <c r="A1325" s="91" t="n"/>
      <c r="B1325" s="111">
        <f>IF(AND(N('Deal maths'!F1325)&gt;AsAt,N('Deal maths'!E1325)&lt;=AsAt),IF(N('Deal maths'!H1325)&gt;0,N('Deal maths'!H1325),N('Deal maths'!D1325)),0)</f>
        <v/>
      </c>
      <c r="C1325" s="91">
        <f>IF(B1325&gt;0,IF('Deal maths'!C1325="Local authority","Local authorities",LOWER(TRIM('Deal maths'!B1325))),"")</f>
        <v/>
      </c>
      <c r="D1325" s="91">
        <f>IF(C1325="","",IF(COUNTIF($C$4:C1324,C1325)=0,SUMIF($C$4:$C$3997,C1325,$B$4:$B$3997)-ROW()/1000000,""))</f>
        <v/>
      </c>
      <c r="E1325" s="91">
        <f>IF(AND(N('Deal maths'!F1325)&gt;AsAt,N('Deal maths'!E1325)&lt;=AsAt,IF(N('Deal maths'!H1325)&gt;0,N('Deal maths'!H1325),N('Deal maths'!D1325))&gt;0),N('Deal maths'!F1325)+ROW()/1000000,"")</f>
        <v/>
      </c>
    </row>
    <row r="1326">
      <c r="A1326" s="91" t="n"/>
      <c r="B1326" s="111">
        <f>IF(AND(N('Deal maths'!F1326)&gt;AsAt,N('Deal maths'!E1326)&lt;=AsAt),IF(N('Deal maths'!H1326)&gt;0,N('Deal maths'!H1326),N('Deal maths'!D1326)),0)</f>
        <v/>
      </c>
      <c r="C1326" s="91">
        <f>IF(B1326&gt;0,IF('Deal maths'!C1326="Local authority","Local authorities",LOWER(TRIM('Deal maths'!B1326))),"")</f>
        <v/>
      </c>
      <c r="D1326" s="91">
        <f>IF(C1326="","",IF(COUNTIF($C$4:C1325,C1326)=0,SUMIF($C$4:$C$3997,C1326,$B$4:$B$3997)-ROW()/1000000,""))</f>
        <v/>
      </c>
      <c r="E1326" s="91">
        <f>IF(AND(N('Deal maths'!F1326)&gt;AsAt,N('Deal maths'!E1326)&lt;=AsAt,IF(N('Deal maths'!H1326)&gt;0,N('Deal maths'!H1326),N('Deal maths'!D1326))&gt;0),N('Deal maths'!F1326)+ROW()/1000000,"")</f>
        <v/>
      </c>
    </row>
    <row r="1327">
      <c r="A1327" s="91" t="n"/>
      <c r="B1327" s="111">
        <f>IF(AND(N('Deal maths'!F1327)&gt;AsAt,N('Deal maths'!E1327)&lt;=AsAt),IF(N('Deal maths'!H1327)&gt;0,N('Deal maths'!H1327),N('Deal maths'!D1327)),0)</f>
        <v/>
      </c>
      <c r="C1327" s="91">
        <f>IF(B1327&gt;0,IF('Deal maths'!C1327="Local authority","Local authorities",LOWER(TRIM('Deal maths'!B1327))),"")</f>
        <v/>
      </c>
      <c r="D1327" s="91">
        <f>IF(C1327="","",IF(COUNTIF($C$4:C1326,C1327)=0,SUMIF($C$4:$C$3997,C1327,$B$4:$B$3997)-ROW()/1000000,""))</f>
        <v/>
      </c>
      <c r="E1327" s="91">
        <f>IF(AND(N('Deal maths'!F1327)&gt;AsAt,N('Deal maths'!E1327)&lt;=AsAt,IF(N('Deal maths'!H1327)&gt;0,N('Deal maths'!H1327),N('Deal maths'!D1327))&gt;0),N('Deal maths'!F1327)+ROW()/1000000,"")</f>
        <v/>
      </c>
    </row>
    <row r="1328">
      <c r="A1328" s="91" t="n"/>
      <c r="B1328" s="111">
        <f>IF(AND(N('Deal maths'!F1328)&gt;AsAt,N('Deal maths'!E1328)&lt;=AsAt),IF(N('Deal maths'!H1328)&gt;0,N('Deal maths'!H1328),N('Deal maths'!D1328)),0)</f>
        <v/>
      </c>
      <c r="C1328" s="91">
        <f>IF(B1328&gt;0,IF('Deal maths'!C1328="Local authority","Local authorities",LOWER(TRIM('Deal maths'!B1328))),"")</f>
        <v/>
      </c>
      <c r="D1328" s="91">
        <f>IF(C1328="","",IF(COUNTIF($C$4:C1327,C1328)=0,SUMIF($C$4:$C$3997,C1328,$B$4:$B$3997)-ROW()/1000000,""))</f>
        <v/>
      </c>
      <c r="E1328" s="91">
        <f>IF(AND(N('Deal maths'!F1328)&gt;AsAt,N('Deal maths'!E1328)&lt;=AsAt,IF(N('Deal maths'!H1328)&gt;0,N('Deal maths'!H1328),N('Deal maths'!D1328))&gt;0),N('Deal maths'!F1328)+ROW()/1000000,"")</f>
        <v/>
      </c>
    </row>
    <row r="1329">
      <c r="A1329" s="91" t="n"/>
      <c r="B1329" s="111">
        <f>IF(AND(N('Deal maths'!F1329)&gt;AsAt,N('Deal maths'!E1329)&lt;=AsAt),IF(N('Deal maths'!H1329)&gt;0,N('Deal maths'!H1329),N('Deal maths'!D1329)),0)</f>
        <v/>
      </c>
      <c r="C1329" s="91">
        <f>IF(B1329&gt;0,IF('Deal maths'!C1329="Local authority","Local authorities",LOWER(TRIM('Deal maths'!B1329))),"")</f>
        <v/>
      </c>
      <c r="D1329" s="91">
        <f>IF(C1329="","",IF(COUNTIF($C$4:C1328,C1329)=0,SUMIF($C$4:$C$3997,C1329,$B$4:$B$3997)-ROW()/1000000,""))</f>
        <v/>
      </c>
      <c r="E1329" s="91">
        <f>IF(AND(N('Deal maths'!F1329)&gt;AsAt,N('Deal maths'!E1329)&lt;=AsAt,IF(N('Deal maths'!H1329)&gt;0,N('Deal maths'!H1329),N('Deal maths'!D1329))&gt;0),N('Deal maths'!F1329)+ROW()/1000000,"")</f>
        <v/>
      </c>
    </row>
    <row r="1330">
      <c r="A1330" s="91" t="n"/>
      <c r="B1330" s="111">
        <f>IF(AND(N('Deal maths'!F1330)&gt;AsAt,N('Deal maths'!E1330)&lt;=AsAt),IF(N('Deal maths'!H1330)&gt;0,N('Deal maths'!H1330),N('Deal maths'!D1330)),0)</f>
        <v/>
      </c>
      <c r="C1330" s="91">
        <f>IF(B1330&gt;0,IF('Deal maths'!C1330="Local authority","Local authorities",LOWER(TRIM('Deal maths'!B1330))),"")</f>
        <v/>
      </c>
      <c r="D1330" s="91">
        <f>IF(C1330="","",IF(COUNTIF($C$4:C1329,C1330)=0,SUMIF($C$4:$C$3997,C1330,$B$4:$B$3997)-ROW()/1000000,""))</f>
        <v/>
      </c>
      <c r="E1330" s="91">
        <f>IF(AND(N('Deal maths'!F1330)&gt;AsAt,N('Deal maths'!E1330)&lt;=AsAt,IF(N('Deal maths'!H1330)&gt;0,N('Deal maths'!H1330),N('Deal maths'!D1330))&gt;0),N('Deal maths'!F1330)+ROW()/1000000,"")</f>
        <v/>
      </c>
    </row>
    <row r="1331">
      <c r="A1331" s="91" t="n"/>
      <c r="B1331" s="111">
        <f>IF(AND(N('Deal maths'!F1331)&gt;AsAt,N('Deal maths'!E1331)&lt;=AsAt),IF(N('Deal maths'!H1331)&gt;0,N('Deal maths'!H1331),N('Deal maths'!D1331)),0)</f>
        <v/>
      </c>
      <c r="C1331" s="91">
        <f>IF(B1331&gt;0,IF('Deal maths'!C1331="Local authority","Local authorities",LOWER(TRIM('Deal maths'!B1331))),"")</f>
        <v/>
      </c>
      <c r="D1331" s="91">
        <f>IF(C1331="","",IF(COUNTIF($C$4:C1330,C1331)=0,SUMIF($C$4:$C$3997,C1331,$B$4:$B$3997)-ROW()/1000000,""))</f>
        <v/>
      </c>
      <c r="E1331" s="91">
        <f>IF(AND(N('Deal maths'!F1331)&gt;AsAt,N('Deal maths'!E1331)&lt;=AsAt,IF(N('Deal maths'!H1331)&gt;0,N('Deal maths'!H1331),N('Deal maths'!D1331))&gt;0),N('Deal maths'!F1331)+ROW()/1000000,"")</f>
        <v/>
      </c>
    </row>
    <row r="1332">
      <c r="A1332" s="91" t="n"/>
      <c r="B1332" s="111">
        <f>IF(AND(N('Deal maths'!F1332)&gt;AsAt,N('Deal maths'!E1332)&lt;=AsAt),IF(N('Deal maths'!H1332)&gt;0,N('Deal maths'!H1332),N('Deal maths'!D1332)),0)</f>
        <v/>
      </c>
      <c r="C1332" s="91">
        <f>IF(B1332&gt;0,IF('Deal maths'!C1332="Local authority","Local authorities",LOWER(TRIM('Deal maths'!B1332))),"")</f>
        <v/>
      </c>
      <c r="D1332" s="91">
        <f>IF(C1332="","",IF(COUNTIF($C$4:C1331,C1332)=0,SUMIF($C$4:$C$3997,C1332,$B$4:$B$3997)-ROW()/1000000,""))</f>
        <v/>
      </c>
      <c r="E1332" s="91">
        <f>IF(AND(N('Deal maths'!F1332)&gt;AsAt,N('Deal maths'!E1332)&lt;=AsAt,IF(N('Deal maths'!H1332)&gt;0,N('Deal maths'!H1332),N('Deal maths'!D1332))&gt;0),N('Deal maths'!F1332)+ROW()/1000000,"")</f>
        <v/>
      </c>
    </row>
    <row r="1333">
      <c r="A1333" s="91" t="n"/>
      <c r="B1333" s="111">
        <f>IF(AND(N('Deal maths'!F1333)&gt;AsAt,N('Deal maths'!E1333)&lt;=AsAt),IF(N('Deal maths'!H1333)&gt;0,N('Deal maths'!H1333),N('Deal maths'!D1333)),0)</f>
        <v/>
      </c>
      <c r="C1333" s="91">
        <f>IF(B1333&gt;0,IF('Deal maths'!C1333="Local authority","Local authorities",LOWER(TRIM('Deal maths'!B1333))),"")</f>
        <v/>
      </c>
      <c r="D1333" s="91">
        <f>IF(C1333="","",IF(COUNTIF($C$4:C1332,C1333)=0,SUMIF($C$4:$C$3997,C1333,$B$4:$B$3997)-ROW()/1000000,""))</f>
        <v/>
      </c>
      <c r="E1333" s="91">
        <f>IF(AND(N('Deal maths'!F1333)&gt;AsAt,N('Deal maths'!E1333)&lt;=AsAt,IF(N('Deal maths'!H1333)&gt;0,N('Deal maths'!H1333),N('Deal maths'!D1333))&gt;0),N('Deal maths'!F1333)+ROW()/1000000,"")</f>
        <v/>
      </c>
    </row>
    <row r="1334">
      <c r="A1334" s="91" t="n"/>
      <c r="B1334" s="111">
        <f>IF(AND(N('Deal maths'!F1334)&gt;AsAt,N('Deal maths'!E1334)&lt;=AsAt),IF(N('Deal maths'!H1334)&gt;0,N('Deal maths'!H1334),N('Deal maths'!D1334)),0)</f>
        <v/>
      </c>
      <c r="C1334" s="91">
        <f>IF(B1334&gt;0,IF('Deal maths'!C1334="Local authority","Local authorities",LOWER(TRIM('Deal maths'!B1334))),"")</f>
        <v/>
      </c>
      <c r="D1334" s="91">
        <f>IF(C1334="","",IF(COUNTIF($C$4:C1333,C1334)=0,SUMIF($C$4:$C$3997,C1334,$B$4:$B$3997)-ROW()/1000000,""))</f>
        <v/>
      </c>
      <c r="E1334" s="91">
        <f>IF(AND(N('Deal maths'!F1334)&gt;AsAt,N('Deal maths'!E1334)&lt;=AsAt,IF(N('Deal maths'!H1334)&gt;0,N('Deal maths'!H1334),N('Deal maths'!D1334))&gt;0),N('Deal maths'!F1334)+ROW()/1000000,"")</f>
        <v/>
      </c>
    </row>
    <row r="1335">
      <c r="A1335" s="91" t="n"/>
      <c r="B1335" s="111">
        <f>IF(AND(N('Deal maths'!F1335)&gt;AsAt,N('Deal maths'!E1335)&lt;=AsAt),IF(N('Deal maths'!H1335)&gt;0,N('Deal maths'!H1335),N('Deal maths'!D1335)),0)</f>
        <v/>
      </c>
      <c r="C1335" s="91">
        <f>IF(B1335&gt;0,IF('Deal maths'!C1335="Local authority","Local authorities",LOWER(TRIM('Deal maths'!B1335))),"")</f>
        <v/>
      </c>
      <c r="D1335" s="91">
        <f>IF(C1335="","",IF(COUNTIF($C$4:C1334,C1335)=0,SUMIF($C$4:$C$3997,C1335,$B$4:$B$3997)-ROW()/1000000,""))</f>
        <v/>
      </c>
      <c r="E1335" s="91">
        <f>IF(AND(N('Deal maths'!F1335)&gt;AsAt,N('Deal maths'!E1335)&lt;=AsAt,IF(N('Deal maths'!H1335)&gt;0,N('Deal maths'!H1335),N('Deal maths'!D1335))&gt;0),N('Deal maths'!F1335)+ROW()/1000000,"")</f>
        <v/>
      </c>
    </row>
    <row r="1336">
      <c r="A1336" s="91" t="n"/>
      <c r="B1336" s="111">
        <f>IF(AND(N('Deal maths'!F1336)&gt;AsAt,N('Deal maths'!E1336)&lt;=AsAt),IF(N('Deal maths'!H1336)&gt;0,N('Deal maths'!H1336),N('Deal maths'!D1336)),0)</f>
        <v/>
      </c>
      <c r="C1336" s="91">
        <f>IF(B1336&gt;0,IF('Deal maths'!C1336="Local authority","Local authorities",LOWER(TRIM('Deal maths'!B1336))),"")</f>
        <v/>
      </c>
      <c r="D1336" s="91">
        <f>IF(C1336="","",IF(COUNTIF($C$4:C1335,C1336)=0,SUMIF($C$4:$C$3997,C1336,$B$4:$B$3997)-ROW()/1000000,""))</f>
        <v/>
      </c>
      <c r="E1336" s="91">
        <f>IF(AND(N('Deal maths'!F1336)&gt;AsAt,N('Deal maths'!E1336)&lt;=AsAt,IF(N('Deal maths'!H1336)&gt;0,N('Deal maths'!H1336),N('Deal maths'!D1336))&gt;0),N('Deal maths'!F1336)+ROW()/1000000,"")</f>
        <v/>
      </c>
    </row>
    <row r="1337">
      <c r="A1337" s="91" t="n"/>
      <c r="B1337" s="111">
        <f>IF(AND(N('Deal maths'!F1337)&gt;AsAt,N('Deal maths'!E1337)&lt;=AsAt),IF(N('Deal maths'!H1337)&gt;0,N('Deal maths'!H1337),N('Deal maths'!D1337)),0)</f>
        <v/>
      </c>
      <c r="C1337" s="91">
        <f>IF(B1337&gt;0,IF('Deal maths'!C1337="Local authority","Local authorities",LOWER(TRIM('Deal maths'!B1337))),"")</f>
        <v/>
      </c>
      <c r="D1337" s="91">
        <f>IF(C1337="","",IF(COUNTIF($C$4:C1336,C1337)=0,SUMIF($C$4:$C$3997,C1337,$B$4:$B$3997)-ROW()/1000000,""))</f>
        <v/>
      </c>
      <c r="E1337" s="91">
        <f>IF(AND(N('Deal maths'!F1337)&gt;AsAt,N('Deal maths'!E1337)&lt;=AsAt,IF(N('Deal maths'!H1337)&gt;0,N('Deal maths'!H1337),N('Deal maths'!D1337))&gt;0),N('Deal maths'!F1337)+ROW()/1000000,"")</f>
        <v/>
      </c>
    </row>
    <row r="1338">
      <c r="A1338" s="91" t="n"/>
      <c r="B1338" s="111">
        <f>IF(AND(N('Deal maths'!F1338)&gt;AsAt,N('Deal maths'!E1338)&lt;=AsAt),IF(N('Deal maths'!H1338)&gt;0,N('Deal maths'!H1338),N('Deal maths'!D1338)),0)</f>
        <v/>
      </c>
      <c r="C1338" s="91">
        <f>IF(B1338&gt;0,IF('Deal maths'!C1338="Local authority","Local authorities",LOWER(TRIM('Deal maths'!B1338))),"")</f>
        <v/>
      </c>
      <c r="D1338" s="91">
        <f>IF(C1338="","",IF(COUNTIF($C$4:C1337,C1338)=0,SUMIF($C$4:$C$3997,C1338,$B$4:$B$3997)-ROW()/1000000,""))</f>
        <v/>
      </c>
      <c r="E1338" s="91">
        <f>IF(AND(N('Deal maths'!F1338)&gt;AsAt,N('Deal maths'!E1338)&lt;=AsAt,IF(N('Deal maths'!H1338)&gt;0,N('Deal maths'!H1338),N('Deal maths'!D1338))&gt;0),N('Deal maths'!F1338)+ROW()/1000000,"")</f>
        <v/>
      </c>
    </row>
    <row r="1339">
      <c r="A1339" s="91" t="n"/>
      <c r="B1339" s="111">
        <f>IF(AND(N('Deal maths'!F1339)&gt;AsAt,N('Deal maths'!E1339)&lt;=AsAt),IF(N('Deal maths'!H1339)&gt;0,N('Deal maths'!H1339),N('Deal maths'!D1339)),0)</f>
        <v/>
      </c>
      <c r="C1339" s="91">
        <f>IF(B1339&gt;0,IF('Deal maths'!C1339="Local authority","Local authorities",LOWER(TRIM('Deal maths'!B1339))),"")</f>
        <v/>
      </c>
      <c r="D1339" s="91">
        <f>IF(C1339="","",IF(COUNTIF($C$4:C1338,C1339)=0,SUMIF($C$4:$C$3997,C1339,$B$4:$B$3997)-ROW()/1000000,""))</f>
        <v/>
      </c>
      <c r="E1339" s="91">
        <f>IF(AND(N('Deal maths'!F1339)&gt;AsAt,N('Deal maths'!E1339)&lt;=AsAt,IF(N('Deal maths'!H1339)&gt;0,N('Deal maths'!H1339),N('Deal maths'!D1339))&gt;0),N('Deal maths'!F1339)+ROW()/1000000,"")</f>
        <v/>
      </c>
    </row>
    <row r="1340">
      <c r="A1340" s="91" t="n"/>
      <c r="B1340" s="111">
        <f>IF(AND(N('Deal maths'!F1340)&gt;AsAt,N('Deal maths'!E1340)&lt;=AsAt),IF(N('Deal maths'!H1340)&gt;0,N('Deal maths'!H1340),N('Deal maths'!D1340)),0)</f>
        <v/>
      </c>
      <c r="C1340" s="91">
        <f>IF(B1340&gt;0,IF('Deal maths'!C1340="Local authority","Local authorities",LOWER(TRIM('Deal maths'!B1340))),"")</f>
        <v/>
      </c>
      <c r="D1340" s="91">
        <f>IF(C1340="","",IF(COUNTIF($C$4:C1339,C1340)=0,SUMIF($C$4:$C$3997,C1340,$B$4:$B$3997)-ROW()/1000000,""))</f>
        <v/>
      </c>
      <c r="E1340" s="91">
        <f>IF(AND(N('Deal maths'!F1340)&gt;AsAt,N('Deal maths'!E1340)&lt;=AsAt,IF(N('Deal maths'!H1340)&gt;0,N('Deal maths'!H1340),N('Deal maths'!D1340))&gt;0),N('Deal maths'!F1340)+ROW()/1000000,"")</f>
        <v/>
      </c>
    </row>
    <row r="1341">
      <c r="A1341" s="91" t="n"/>
      <c r="B1341" s="111">
        <f>IF(AND(N('Deal maths'!F1341)&gt;AsAt,N('Deal maths'!E1341)&lt;=AsAt),IF(N('Deal maths'!H1341)&gt;0,N('Deal maths'!H1341),N('Deal maths'!D1341)),0)</f>
        <v/>
      </c>
      <c r="C1341" s="91">
        <f>IF(B1341&gt;0,IF('Deal maths'!C1341="Local authority","Local authorities",LOWER(TRIM('Deal maths'!B1341))),"")</f>
        <v/>
      </c>
      <c r="D1341" s="91">
        <f>IF(C1341="","",IF(COUNTIF($C$4:C1340,C1341)=0,SUMIF($C$4:$C$3997,C1341,$B$4:$B$3997)-ROW()/1000000,""))</f>
        <v/>
      </c>
      <c r="E1341" s="91">
        <f>IF(AND(N('Deal maths'!F1341)&gt;AsAt,N('Deal maths'!E1341)&lt;=AsAt,IF(N('Deal maths'!H1341)&gt;0,N('Deal maths'!H1341),N('Deal maths'!D1341))&gt;0),N('Deal maths'!F1341)+ROW()/1000000,"")</f>
        <v/>
      </c>
    </row>
    <row r="1342">
      <c r="A1342" s="91" t="n"/>
      <c r="B1342" s="111">
        <f>IF(AND(N('Deal maths'!F1342)&gt;AsAt,N('Deal maths'!E1342)&lt;=AsAt),IF(N('Deal maths'!H1342)&gt;0,N('Deal maths'!H1342),N('Deal maths'!D1342)),0)</f>
        <v/>
      </c>
      <c r="C1342" s="91">
        <f>IF(B1342&gt;0,IF('Deal maths'!C1342="Local authority","Local authorities",LOWER(TRIM('Deal maths'!B1342))),"")</f>
        <v/>
      </c>
      <c r="D1342" s="91">
        <f>IF(C1342="","",IF(COUNTIF($C$4:C1341,C1342)=0,SUMIF($C$4:$C$3997,C1342,$B$4:$B$3997)-ROW()/1000000,""))</f>
        <v/>
      </c>
      <c r="E1342" s="91">
        <f>IF(AND(N('Deal maths'!F1342)&gt;AsAt,N('Deal maths'!E1342)&lt;=AsAt,IF(N('Deal maths'!H1342)&gt;0,N('Deal maths'!H1342),N('Deal maths'!D1342))&gt;0),N('Deal maths'!F1342)+ROW()/1000000,"")</f>
        <v/>
      </c>
    </row>
    <row r="1343">
      <c r="A1343" s="91" t="n"/>
      <c r="B1343" s="111">
        <f>IF(AND(N('Deal maths'!F1343)&gt;AsAt,N('Deal maths'!E1343)&lt;=AsAt),IF(N('Deal maths'!H1343)&gt;0,N('Deal maths'!H1343),N('Deal maths'!D1343)),0)</f>
        <v/>
      </c>
      <c r="C1343" s="91">
        <f>IF(B1343&gt;0,IF('Deal maths'!C1343="Local authority","Local authorities",LOWER(TRIM('Deal maths'!B1343))),"")</f>
        <v/>
      </c>
      <c r="D1343" s="91">
        <f>IF(C1343="","",IF(COUNTIF($C$4:C1342,C1343)=0,SUMIF($C$4:$C$3997,C1343,$B$4:$B$3997)-ROW()/1000000,""))</f>
        <v/>
      </c>
      <c r="E1343" s="91">
        <f>IF(AND(N('Deal maths'!F1343)&gt;AsAt,N('Deal maths'!E1343)&lt;=AsAt,IF(N('Deal maths'!H1343)&gt;0,N('Deal maths'!H1343),N('Deal maths'!D1343))&gt;0),N('Deal maths'!F1343)+ROW()/1000000,"")</f>
        <v/>
      </c>
    </row>
    <row r="1344">
      <c r="A1344" s="91" t="n"/>
      <c r="B1344" s="111">
        <f>IF(AND(N('Deal maths'!F1344)&gt;AsAt,N('Deal maths'!E1344)&lt;=AsAt),IF(N('Deal maths'!H1344)&gt;0,N('Deal maths'!H1344),N('Deal maths'!D1344)),0)</f>
        <v/>
      </c>
      <c r="C1344" s="91">
        <f>IF(B1344&gt;0,IF('Deal maths'!C1344="Local authority","Local authorities",LOWER(TRIM('Deal maths'!B1344))),"")</f>
        <v/>
      </c>
      <c r="D1344" s="91">
        <f>IF(C1344="","",IF(COUNTIF($C$4:C1343,C1344)=0,SUMIF($C$4:$C$3997,C1344,$B$4:$B$3997)-ROW()/1000000,""))</f>
        <v/>
      </c>
      <c r="E1344" s="91">
        <f>IF(AND(N('Deal maths'!F1344)&gt;AsAt,N('Deal maths'!E1344)&lt;=AsAt,IF(N('Deal maths'!H1344)&gt;0,N('Deal maths'!H1344),N('Deal maths'!D1344))&gt;0),N('Deal maths'!F1344)+ROW()/1000000,"")</f>
        <v/>
      </c>
    </row>
    <row r="1345">
      <c r="A1345" s="91" t="n"/>
      <c r="B1345" s="111">
        <f>IF(AND(N('Deal maths'!F1345)&gt;AsAt,N('Deal maths'!E1345)&lt;=AsAt),IF(N('Deal maths'!H1345)&gt;0,N('Deal maths'!H1345),N('Deal maths'!D1345)),0)</f>
        <v/>
      </c>
      <c r="C1345" s="91">
        <f>IF(B1345&gt;0,IF('Deal maths'!C1345="Local authority","Local authorities",LOWER(TRIM('Deal maths'!B1345))),"")</f>
        <v/>
      </c>
      <c r="D1345" s="91">
        <f>IF(C1345="","",IF(COUNTIF($C$4:C1344,C1345)=0,SUMIF($C$4:$C$3997,C1345,$B$4:$B$3997)-ROW()/1000000,""))</f>
        <v/>
      </c>
      <c r="E1345" s="91">
        <f>IF(AND(N('Deal maths'!F1345)&gt;AsAt,N('Deal maths'!E1345)&lt;=AsAt,IF(N('Deal maths'!H1345)&gt;0,N('Deal maths'!H1345),N('Deal maths'!D1345))&gt;0),N('Deal maths'!F1345)+ROW()/1000000,"")</f>
        <v/>
      </c>
    </row>
    <row r="1346">
      <c r="A1346" s="91" t="n"/>
      <c r="B1346" s="111">
        <f>IF(AND(N('Deal maths'!F1346)&gt;AsAt,N('Deal maths'!E1346)&lt;=AsAt),IF(N('Deal maths'!H1346)&gt;0,N('Deal maths'!H1346),N('Deal maths'!D1346)),0)</f>
        <v/>
      </c>
      <c r="C1346" s="91">
        <f>IF(B1346&gt;0,IF('Deal maths'!C1346="Local authority","Local authorities",LOWER(TRIM('Deal maths'!B1346))),"")</f>
        <v/>
      </c>
      <c r="D1346" s="91">
        <f>IF(C1346="","",IF(COUNTIF($C$4:C1345,C1346)=0,SUMIF($C$4:$C$3997,C1346,$B$4:$B$3997)-ROW()/1000000,""))</f>
        <v/>
      </c>
      <c r="E1346" s="91">
        <f>IF(AND(N('Deal maths'!F1346)&gt;AsAt,N('Deal maths'!E1346)&lt;=AsAt,IF(N('Deal maths'!H1346)&gt;0,N('Deal maths'!H1346),N('Deal maths'!D1346))&gt;0),N('Deal maths'!F1346)+ROW()/1000000,"")</f>
        <v/>
      </c>
    </row>
    <row r="1347">
      <c r="A1347" s="91" t="n"/>
      <c r="B1347" s="111">
        <f>IF(AND(N('Deal maths'!F1347)&gt;AsAt,N('Deal maths'!E1347)&lt;=AsAt),IF(N('Deal maths'!H1347)&gt;0,N('Deal maths'!H1347),N('Deal maths'!D1347)),0)</f>
        <v/>
      </c>
      <c r="C1347" s="91">
        <f>IF(B1347&gt;0,IF('Deal maths'!C1347="Local authority","Local authorities",LOWER(TRIM('Deal maths'!B1347))),"")</f>
        <v/>
      </c>
      <c r="D1347" s="91">
        <f>IF(C1347="","",IF(COUNTIF($C$4:C1346,C1347)=0,SUMIF($C$4:$C$3997,C1347,$B$4:$B$3997)-ROW()/1000000,""))</f>
        <v/>
      </c>
      <c r="E1347" s="91">
        <f>IF(AND(N('Deal maths'!F1347)&gt;AsAt,N('Deal maths'!E1347)&lt;=AsAt,IF(N('Deal maths'!H1347)&gt;0,N('Deal maths'!H1347),N('Deal maths'!D1347))&gt;0),N('Deal maths'!F1347)+ROW()/1000000,"")</f>
        <v/>
      </c>
    </row>
    <row r="1348">
      <c r="A1348" s="91" t="n"/>
      <c r="B1348" s="111">
        <f>IF(AND(N('Deal maths'!F1348)&gt;AsAt,N('Deal maths'!E1348)&lt;=AsAt),IF(N('Deal maths'!H1348)&gt;0,N('Deal maths'!H1348),N('Deal maths'!D1348)),0)</f>
        <v/>
      </c>
      <c r="C1348" s="91">
        <f>IF(B1348&gt;0,IF('Deal maths'!C1348="Local authority","Local authorities",LOWER(TRIM('Deal maths'!B1348))),"")</f>
        <v/>
      </c>
      <c r="D1348" s="91">
        <f>IF(C1348="","",IF(COUNTIF($C$4:C1347,C1348)=0,SUMIF($C$4:$C$3997,C1348,$B$4:$B$3997)-ROW()/1000000,""))</f>
        <v/>
      </c>
      <c r="E1348" s="91">
        <f>IF(AND(N('Deal maths'!F1348)&gt;AsAt,N('Deal maths'!E1348)&lt;=AsAt,IF(N('Deal maths'!H1348)&gt;0,N('Deal maths'!H1348),N('Deal maths'!D1348))&gt;0),N('Deal maths'!F1348)+ROW()/1000000,"")</f>
        <v/>
      </c>
    </row>
    <row r="1349">
      <c r="A1349" s="91" t="n"/>
      <c r="B1349" s="111">
        <f>IF(AND(N('Deal maths'!F1349)&gt;AsAt,N('Deal maths'!E1349)&lt;=AsAt),IF(N('Deal maths'!H1349)&gt;0,N('Deal maths'!H1349),N('Deal maths'!D1349)),0)</f>
        <v/>
      </c>
      <c r="C1349" s="91">
        <f>IF(B1349&gt;0,IF('Deal maths'!C1349="Local authority","Local authorities",LOWER(TRIM('Deal maths'!B1349))),"")</f>
        <v/>
      </c>
      <c r="D1349" s="91">
        <f>IF(C1349="","",IF(COUNTIF($C$4:C1348,C1349)=0,SUMIF($C$4:$C$3997,C1349,$B$4:$B$3997)-ROW()/1000000,""))</f>
        <v/>
      </c>
      <c r="E1349" s="91">
        <f>IF(AND(N('Deal maths'!F1349)&gt;AsAt,N('Deal maths'!E1349)&lt;=AsAt,IF(N('Deal maths'!H1349)&gt;0,N('Deal maths'!H1349),N('Deal maths'!D1349))&gt;0),N('Deal maths'!F1349)+ROW()/1000000,"")</f>
        <v/>
      </c>
    </row>
    <row r="1350">
      <c r="A1350" s="91" t="n"/>
      <c r="B1350" s="111">
        <f>IF(AND(N('Deal maths'!F1350)&gt;AsAt,N('Deal maths'!E1350)&lt;=AsAt),IF(N('Deal maths'!H1350)&gt;0,N('Deal maths'!H1350),N('Deal maths'!D1350)),0)</f>
        <v/>
      </c>
      <c r="C1350" s="91">
        <f>IF(B1350&gt;0,IF('Deal maths'!C1350="Local authority","Local authorities",LOWER(TRIM('Deal maths'!B1350))),"")</f>
        <v/>
      </c>
      <c r="D1350" s="91">
        <f>IF(C1350="","",IF(COUNTIF($C$4:C1349,C1350)=0,SUMIF($C$4:$C$3997,C1350,$B$4:$B$3997)-ROW()/1000000,""))</f>
        <v/>
      </c>
      <c r="E1350" s="91">
        <f>IF(AND(N('Deal maths'!F1350)&gt;AsAt,N('Deal maths'!E1350)&lt;=AsAt,IF(N('Deal maths'!H1350)&gt;0,N('Deal maths'!H1350),N('Deal maths'!D1350))&gt;0),N('Deal maths'!F1350)+ROW()/1000000,"")</f>
        <v/>
      </c>
    </row>
    <row r="1351">
      <c r="A1351" s="91" t="n"/>
      <c r="B1351" s="111">
        <f>IF(AND(N('Deal maths'!F1351)&gt;AsAt,N('Deal maths'!E1351)&lt;=AsAt),IF(N('Deal maths'!H1351)&gt;0,N('Deal maths'!H1351),N('Deal maths'!D1351)),0)</f>
        <v/>
      </c>
      <c r="C1351" s="91">
        <f>IF(B1351&gt;0,IF('Deal maths'!C1351="Local authority","Local authorities",LOWER(TRIM('Deal maths'!B1351))),"")</f>
        <v/>
      </c>
      <c r="D1351" s="91">
        <f>IF(C1351="","",IF(COUNTIF($C$4:C1350,C1351)=0,SUMIF($C$4:$C$3997,C1351,$B$4:$B$3997)-ROW()/1000000,""))</f>
        <v/>
      </c>
      <c r="E1351" s="91">
        <f>IF(AND(N('Deal maths'!F1351)&gt;AsAt,N('Deal maths'!E1351)&lt;=AsAt,IF(N('Deal maths'!H1351)&gt;0,N('Deal maths'!H1351),N('Deal maths'!D1351))&gt;0),N('Deal maths'!F1351)+ROW()/1000000,"")</f>
        <v/>
      </c>
    </row>
    <row r="1352">
      <c r="A1352" s="91" t="n"/>
      <c r="B1352" s="111">
        <f>IF(AND(N('Deal maths'!F1352)&gt;AsAt,N('Deal maths'!E1352)&lt;=AsAt),IF(N('Deal maths'!H1352)&gt;0,N('Deal maths'!H1352),N('Deal maths'!D1352)),0)</f>
        <v/>
      </c>
      <c r="C1352" s="91">
        <f>IF(B1352&gt;0,IF('Deal maths'!C1352="Local authority","Local authorities",LOWER(TRIM('Deal maths'!B1352))),"")</f>
        <v/>
      </c>
      <c r="D1352" s="91">
        <f>IF(C1352="","",IF(COUNTIF($C$4:C1351,C1352)=0,SUMIF($C$4:$C$3997,C1352,$B$4:$B$3997)-ROW()/1000000,""))</f>
        <v/>
      </c>
      <c r="E1352" s="91">
        <f>IF(AND(N('Deal maths'!F1352)&gt;AsAt,N('Deal maths'!E1352)&lt;=AsAt,IF(N('Deal maths'!H1352)&gt;0,N('Deal maths'!H1352),N('Deal maths'!D1352))&gt;0),N('Deal maths'!F1352)+ROW()/1000000,"")</f>
        <v/>
      </c>
    </row>
    <row r="1353">
      <c r="A1353" s="91" t="n"/>
      <c r="B1353" s="111">
        <f>IF(AND(N('Deal maths'!F1353)&gt;AsAt,N('Deal maths'!E1353)&lt;=AsAt),IF(N('Deal maths'!H1353)&gt;0,N('Deal maths'!H1353),N('Deal maths'!D1353)),0)</f>
        <v/>
      </c>
      <c r="C1353" s="91">
        <f>IF(B1353&gt;0,IF('Deal maths'!C1353="Local authority","Local authorities",LOWER(TRIM('Deal maths'!B1353))),"")</f>
        <v/>
      </c>
      <c r="D1353" s="91">
        <f>IF(C1353="","",IF(COUNTIF($C$4:C1352,C1353)=0,SUMIF($C$4:$C$3997,C1353,$B$4:$B$3997)-ROW()/1000000,""))</f>
        <v/>
      </c>
      <c r="E1353" s="91">
        <f>IF(AND(N('Deal maths'!F1353)&gt;AsAt,N('Deal maths'!E1353)&lt;=AsAt,IF(N('Deal maths'!H1353)&gt;0,N('Deal maths'!H1353),N('Deal maths'!D1353))&gt;0),N('Deal maths'!F1353)+ROW()/1000000,"")</f>
        <v/>
      </c>
    </row>
    <row r="1354">
      <c r="A1354" s="91" t="n"/>
      <c r="B1354" s="111">
        <f>IF(AND(N('Deal maths'!F1354)&gt;AsAt,N('Deal maths'!E1354)&lt;=AsAt),IF(N('Deal maths'!H1354)&gt;0,N('Deal maths'!H1354),N('Deal maths'!D1354)),0)</f>
        <v/>
      </c>
      <c r="C1354" s="91">
        <f>IF(B1354&gt;0,IF('Deal maths'!C1354="Local authority","Local authorities",LOWER(TRIM('Deal maths'!B1354))),"")</f>
        <v/>
      </c>
      <c r="D1354" s="91">
        <f>IF(C1354="","",IF(COUNTIF($C$4:C1353,C1354)=0,SUMIF($C$4:$C$3997,C1354,$B$4:$B$3997)-ROW()/1000000,""))</f>
        <v/>
      </c>
      <c r="E1354" s="91">
        <f>IF(AND(N('Deal maths'!F1354)&gt;AsAt,N('Deal maths'!E1354)&lt;=AsAt,IF(N('Deal maths'!H1354)&gt;0,N('Deal maths'!H1354),N('Deal maths'!D1354))&gt;0),N('Deal maths'!F1354)+ROW()/1000000,"")</f>
        <v/>
      </c>
    </row>
    <row r="1355">
      <c r="A1355" s="91" t="n"/>
      <c r="B1355" s="111">
        <f>IF(AND(N('Deal maths'!F1355)&gt;AsAt,N('Deal maths'!E1355)&lt;=AsAt),IF(N('Deal maths'!H1355)&gt;0,N('Deal maths'!H1355),N('Deal maths'!D1355)),0)</f>
        <v/>
      </c>
      <c r="C1355" s="91">
        <f>IF(B1355&gt;0,IF('Deal maths'!C1355="Local authority","Local authorities",LOWER(TRIM('Deal maths'!B1355))),"")</f>
        <v/>
      </c>
      <c r="D1355" s="91">
        <f>IF(C1355="","",IF(COUNTIF($C$4:C1354,C1355)=0,SUMIF($C$4:$C$3997,C1355,$B$4:$B$3997)-ROW()/1000000,""))</f>
        <v/>
      </c>
      <c r="E1355" s="91">
        <f>IF(AND(N('Deal maths'!F1355)&gt;AsAt,N('Deal maths'!E1355)&lt;=AsAt,IF(N('Deal maths'!H1355)&gt;0,N('Deal maths'!H1355),N('Deal maths'!D1355))&gt;0),N('Deal maths'!F1355)+ROW()/1000000,"")</f>
        <v/>
      </c>
    </row>
    <row r="1356">
      <c r="A1356" s="91" t="n"/>
      <c r="B1356" s="111">
        <f>IF(AND(N('Deal maths'!F1356)&gt;AsAt,N('Deal maths'!E1356)&lt;=AsAt),IF(N('Deal maths'!H1356)&gt;0,N('Deal maths'!H1356),N('Deal maths'!D1356)),0)</f>
        <v/>
      </c>
      <c r="C1356" s="91">
        <f>IF(B1356&gt;0,IF('Deal maths'!C1356="Local authority","Local authorities",LOWER(TRIM('Deal maths'!B1356))),"")</f>
        <v/>
      </c>
      <c r="D1356" s="91">
        <f>IF(C1356="","",IF(COUNTIF($C$4:C1355,C1356)=0,SUMIF($C$4:$C$3997,C1356,$B$4:$B$3997)-ROW()/1000000,""))</f>
        <v/>
      </c>
      <c r="E1356" s="91">
        <f>IF(AND(N('Deal maths'!F1356)&gt;AsAt,N('Deal maths'!E1356)&lt;=AsAt,IF(N('Deal maths'!H1356)&gt;0,N('Deal maths'!H1356),N('Deal maths'!D1356))&gt;0),N('Deal maths'!F1356)+ROW()/1000000,"")</f>
        <v/>
      </c>
    </row>
    <row r="1357">
      <c r="A1357" s="91" t="n"/>
      <c r="B1357" s="111">
        <f>IF(AND(N('Deal maths'!F1357)&gt;AsAt,N('Deal maths'!E1357)&lt;=AsAt),IF(N('Deal maths'!H1357)&gt;0,N('Deal maths'!H1357),N('Deal maths'!D1357)),0)</f>
        <v/>
      </c>
      <c r="C1357" s="91">
        <f>IF(B1357&gt;0,IF('Deal maths'!C1357="Local authority","Local authorities",LOWER(TRIM('Deal maths'!B1357))),"")</f>
        <v/>
      </c>
      <c r="D1357" s="91">
        <f>IF(C1357="","",IF(COUNTIF($C$4:C1356,C1357)=0,SUMIF($C$4:$C$3997,C1357,$B$4:$B$3997)-ROW()/1000000,""))</f>
        <v/>
      </c>
      <c r="E1357" s="91">
        <f>IF(AND(N('Deal maths'!F1357)&gt;AsAt,N('Deal maths'!E1357)&lt;=AsAt,IF(N('Deal maths'!H1357)&gt;0,N('Deal maths'!H1357),N('Deal maths'!D1357))&gt;0),N('Deal maths'!F1357)+ROW()/1000000,"")</f>
        <v/>
      </c>
    </row>
    <row r="1358">
      <c r="A1358" s="91" t="n"/>
      <c r="B1358" s="111">
        <f>IF(AND(N('Deal maths'!F1358)&gt;AsAt,N('Deal maths'!E1358)&lt;=AsAt),IF(N('Deal maths'!H1358)&gt;0,N('Deal maths'!H1358),N('Deal maths'!D1358)),0)</f>
        <v/>
      </c>
      <c r="C1358" s="91">
        <f>IF(B1358&gt;0,IF('Deal maths'!C1358="Local authority","Local authorities",LOWER(TRIM('Deal maths'!B1358))),"")</f>
        <v/>
      </c>
      <c r="D1358" s="91">
        <f>IF(C1358="","",IF(COUNTIF($C$4:C1357,C1358)=0,SUMIF($C$4:$C$3997,C1358,$B$4:$B$3997)-ROW()/1000000,""))</f>
        <v/>
      </c>
      <c r="E1358" s="91">
        <f>IF(AND(N('Deal maths'!F1358)&gt;AsAt,N('Deal maths'!E1358)&lt;=AsAt,IF(N('Deal maths'!H1358)&gt;0,N('Deal maths'!H1358),N('Deal maths'!D1358))&gt;0),N('Deal maths'!F1358)+ROW()/1000000,"")</f>
        <v/>
      </c>
    </row>
    <row r="1359">
      <c r="A1359" s="91" t="n"/>
      <c r="B1359" s="111">
        <f>IF(AND(N('Deal maths'!F1359)&gt;AsAt,N('Deal maths'!E1359)&lt;=AsAt),IF(N('Deal maths'!H1359)&gt;0,N('Deal maths'!H1359),N('Deal maths'!D1359)),0)</f>
        <v/>
      </c>
      <c r="C1359" s="91">
        <f>IF(B1359&gt;0,IF('Deal maths'!C1359="Local authority","Local authorities",LOWER(TRIM('Deal maths'!B1359))),"")</f>
        <v/>
      </c>
      <c r="D1359" s="91">
        <f>IF(C1359="","",IF(COUNTIF($C$4:C1358,C1359)=0,SUMIF($C$4:$C$3997,C1359,$B$4:$B$3997)-ROW()/1000000,""))</f>
        <v/>
      </c>
      <c r="E1359" s="91">
        <f>IF(AND(N('Deal maths'!F1359)&gt;AsAt,N('Deal maths'!E1359)&lt;=AsAt,IF(N('Deal maths'!H1359)&gt;0,N('Deal maths'!H1359),N('Deal maths'!D1359))&gt;0),N('Deal maths'!F1359)+ROW()/1000000,"")</f>
        <v/>
      </c>
    </row>
    <row r="1360">
      <c r="A1360" s="91" t="n"/>
      <c r="B1360" s="111">
        <f>IF(AND(N('Deal maths'!F1360)&gt;AsAt,N('Deal maths'!E1360)&lt;=AsAt),IF(N('Deal maths'!H1360)&gt;0,N('Deal maths'!H1360),N('Deal maths'!D1360)),0)</f>
        <v/>
      </c>
      <c r="C1360" s="91">
        <f>IF(B1360&gt;0,IF('Deal maths'!C1360="Local authority","Local authorities",LOWER(TRIM('Deal maths'!B1360))),"")</f>
        <v/>
      </c>
      <c r="D1360" s="91">
        <f>IF(C1360="","",IF(COUNTIF($C$4:C1359,C1360)=0,SUMIF($C$4:$C$3997,C1360,$B$4:$B$3997)-ROW()/1000000,""))</f>
        <v/>
      </c>
      <c r="E1360" s="91">
        <f>IF(AND(N('Deal maths'!F1360)&gt;AsAt,N('Deal maths'!E1360)&lt;=AsAt,IF(N('Deal maths'!H1360)&gt;0,N('Deal maths'!H1360),N('Deal maths'!D1360))&gt;0),N('Deal maths'!F1360)+ROW()/1000000,"")</f>
        <v/>
      </c>
    </row>
    <row r="1361">
      <c r="A1361" s="91" t="n"/>
      <c r="B1361" s="111">
        <f>IF(AND(N('Deal maths'!F1361)&gt;AsAt,N('Deal maths'!E1361)&lt;=AsAt),IF(N('Deal maths'!H1361)&gt;0,N('Deal maths'!H1361),N('Deal maths'!D1361)),0)</f>
        <v/>
      </c>
      <c r="C1361" s="91">
        <f>IF(B1361&gt;0,IF('Deal maths'!C1361="Local authority","Local authorities",LOWER(TRIM('Deal maths'!B1361))),"")</f>
        <v/>
      </c>
      <c r="D1361" s="91">
        <f>IF(C1361="","",IF(COUNTIF($C$4:C1360,C1361)=0,SUMIF($C$4:$C$3997,C1361,$B$4:$B$3997)-ROW()/1000000,""))</f>
        <v/>
      </c>
      <c r="E1361" s="91">
        <f>IF(AND(N('Deal maths'!F1361)&gt;AsAt,N('Deal maths'!E1361)&lt;=AsAt,IF(N('Deal maths'!H1361)&gt;0,N('Deal maths'!H1361),N('Deal maths'!D1361))&gt;0),N('Deal maths'!F1361)+ROW()/1000000,"")</f>
        <v/>
      </c>
    </row>
    <row r="1362">
      <c r="A1362" s="91" t="n"/>
      <c r="B1362" s="111">
        <f>IF(AND(N('Deal maths'!F1362)&gt;AsAt,N('Deal maths'!E1362)&lt;=AsAt),IF(N('Deal maths'!H1362)&gt;0,N('Deal maths'!H1362),N('Deal maths'!D1362)),0)</f>
        <v/>
      </c>
      <c r="C1362" s="91">
        <f>IF(B1362&gt;0,IF('Deal maths'!C1362="Local authority","Local authorities",LOWER(TRIM('Deal maths'!B1362))),"")</f>
        <v/>
      </c>
      <c r="D1362" s="91">
        <f>IF(C1362="","",IF(COUNTIF($C$4:C1361,C1362)=0,SUMIF($C$4:$C$3997,C1362,$B$4:$B$3997)-ROW()/1000000,""))</f>
        <v/>
      </c>
      <c r="E1362" s="91">
        <f>IF(AND(N('Deal maths'!F1362)&gt;AsAt,N('Deal maths'!E1362)&lt;=AsAt,IF(N('Deal maths'!H1362)&gt;0,N('Deal maths'!H1362),N('Deal maths'!D1362))&gt;0),N('Deal maths'!F1362)+ROW()/1000000,"")</f>
        <v/>
      </c>
    </row>
    <row r="1363">
      <c r="A1363" s="91" t="n"/>
      <c r="B1363" s="111">
        <f>IF(AND(N('Deal maths'!F1363)&gt;AsAt,N('Deal maths'!E1363)&lt;=AsAt),IF(N('Deal maths'!H1363)&gt;0,N('Deal maths'!H1363),N('Deal maths'!D1363)),0)</f>
        <v/>
      </c>
      <c r="C1363" s="91">
        <f>IF(B1363&gt;0,IF('Deal maths'!C1363="Local authority","Local authorities",LOWER(TRIM('Deal maths'!B1363))),"")</f>
        <v/>
      </c>
      <c r="D1363" s="91">
        <f>IF(C1363="","",IF(COUNTIF($C$4:C1362,C1363)=0,SUMIF($C$4:$C$3997,C1363,$B$4:$B$3997)-ROW()/1000000,""))</f>
        <v/>
      </c>
      <c r="E1363" s="91">
        <f>IF(AND(N('Deal maths'!F1363)&gt;AsAt,N('Deal maths'!E1363)&lt;=AsAt,IF(N('Deal maths'!H1363)&gt;0,N('Deal maths'!H1363),N('Deal maths'!D1363))&gt;0),N('Deal maths'!F1363)+ROW()/1000000,"")</f>
        <v/>
      </c>
    </row>
    <row r="1364">
      <c r="A1364" s="91" t="n"/>
      <c r="B1364" s="111">
        <f>IF(AND(N('Deal maths'!F1364)&gt;AsAt,N('Deal maths'!E1364)&lt;=AsAt),IF(N('Deal maths'!H1364)&gt;0,N('Deal maths'!H1364),N('Deal maths'!D1364)),0)</f>
        <v/>
      </c>
      <c r="C1364" s="91">
        <f>IF(B1364&gt;0,IF('Deal maths'!C1364="Local authority","Local authorities",LOWER(TRIM('Deal maths'!B1364))),"")</f>
        <v/>
      </c>
      <c r="D1364" s="91">
        <f>IF(C1364="","",IF(COUNTIF($C$4:C1363,C1364)=0,SUMIF($C$4:$C$3997,C1364,$B$4:$B$3997)-ROW()/1000000,""))</f>
        <v/>
      </c>
      <c r="E1364" s="91">
        <f>IF(AND(N('Deal maths'!F1364)&gt;AsAt,N('Deal maths'!E1364)&lt;=AsAt,IF(N('Deal maths'!H1364)&gt;0,N('Deal maths'!H1364),N('Deal maths'!D1364))&gt;0),N('Deal maths'!F1364)+ROW()/1000000,"")</f>
        <v/>
      </c>
    </row>
    <row r="1365">
      <c r="A1365" s="91" t="n"/>
      <c r="B1365" s="111">
        <f>IF(AND(N('Deal maths'!F1365)&gt;AsAt,N('Deal maths'!E1365)&lt;=AsAt),IF(N('Deal maths'!H1365)&gt;0,N('Deal maths'!H1365),N('Deal maths'!D1365)),0)</f>
        <v/>
      </c>
      <c r="C1365" s="91">
        <f>IF(B1365&gt;0,IF('Deal maths'!C1365="Local authority","Local authorities",LOWER(TRIM('Deal maths'!B1365))),"")</f>
        <v/>
      </c>
      <c r="D1365" s="91">
        <f>IF(C1365="","",IF(COUNTIF($C$4:C1364,C1365)=0,SUMIF($C$4:$C$3997,C1365,$B$4:$B$3997)-ROW()/1000000,""))</f>
        <v/>
      </c>
      <c r="E1365" s="91">
        <f>IF(AND(N('Deal maths'!F1365)&gt;AsAt,N('Deal maths'!E1365)&lt;=AsAt,IF(N('Deal maths'!H1365)&gt;0,N('Deal maths'!H1365),N('Deal maths'!D1365))&gt;0),N('Deal maths'!F1365)+ROW()/1000000,"")</f>
        <v/>
      </c>
    </row>
    <row r="1366">
      <c r="A1366" s="91" t="n"/>
      <c r="B1366" s="111">
        <f>IF(AND(N('Deal maths'!F1366)&gt;AsAt,N('Deal maths'!E1366)&lt;=AsAt),IF(N('Deal maths'!H1366)&gt;0,N('Deal maths'!H1366),N('Deal maths'!D1366)),0)</f>
        <v/>
      </c>
      <c r="C1366" s="91">
        <f>IF(B1366&gt;0,IF('Deal maths'!C1366="Local authority","Local authorities",LOWER(TRIM('Deal maths'!B1366))),"")</f>
        <v/>
      </c>
      <c r="D1366" s="91">
        <f>IF(C1366="","",IF(COUNTIF($C$4:C1365,C1366)=0,SUMIF($C$4:$C$3997,C1366,$B$4:$B$3997)-ROW()/1000000,""))</f>
        <v/>
      </c>
      <c r="E1366" s="91">
        <f>IF(AND(N('Deal maths'!F1366)&gt;AsAt,N('Deal maths'!E1366)&lt;=AsAt,IF(N('Deal maths'!H1366)&gt;0,N('Deal maths'!H1366),N('Deal maths'!D1366))&gt;0),N('Deal maths'!F1366)+ROW()/1000000,"")</f>
        <v/>
      </c>
    </row>
    <row r="1367">
      <c r="A1367" s="91" t="n"/>
      <c r="B1367" s="111">
        <f>IF(AND(N('Deal maths'!F1367)&gt;AsAt,N('Deal maths'!E1367)&lt;=AsAt),IF(N('Deal maths'!H1367)&gt;0,N('Deal maths'!H1367),N('Deal maths'!D1367)),0)</f>
        <v/>
      </c>
      <c r="C1367" s="91">
        <f>IF(B1367&gt;0,IF('Deal maths'!C1367="Local authority","Local authorities",LOWER(TRIM('Deal maths'!B1367))),"")</f>
        <v/>
      </c>
      <c r="D1367" s="91">
        <f>IF(C1367="","",IF(COUNTIF($C$4:C1366,C1367)=0,SUMIF($C$4:$C$3997,C1367,$B$4:$B$3997)-ROW()/1000000,""))</f>
        <v/>
      </c>
      <c r="E1367" s="91">
        <f>IF(AND(N('Deal maths'!F1367)&gt;AsAt,N('Deal maths'!E1367)&lt;=AsAt,IF(N('Deal maths'!H1367)&gt;0,N('Deal maths'!H1367),N('Deal maths'!D1367))&gt;0),N('Deal maths'!F1367)+ROW()/1000000,"")</f>
        <v/>
      </c>
    </row>
    <row r="1368">
      <c r="A1368" s="91" t="n"/>
      <c r="B1368" s="111">
        <f>IF(AND(N('Deal maths'!F1368)&gt;AsAt,N('Deal maths'!E1368)&lt;=AsAt),IF(N('Deal maths'!H1368)&gt;0,N('Deal maths'!H1368),N('Deal maths'!D1368)),0)</f>
        <v/>
      </c>
      <c r="C1368" s="91">
        <f>IF(B1368&gt;0,IF('Deal maths'!C1368="Local authority","Local authorities",LOWER(TRIM('Deal maths'!B1368))),"")</f>
        <v/>
      </c>
      <c r="D1368" s="91">
        <f>IF(C1368="","",IF(COUNTIF($C$4:C1367,C1368)=0,SUMIF($C$4:$C$3997,C1368,$B$4:$B$3997)-ROW()/1000000,""))</f>
        <v/>
      </c>
      <c r="E1368" s="91">
        <f>IF(AND(N('Deal maths'!F1368)&gt;AsAt,N('Deal maths'!E1368)&lt;=AsAt,IF(N('Deal maths'!H1368)&gt;0,N('Deal maths'!H1368),N('Deal maths'!D1368))&gt;0),N('Deal maths'!F1368)+ROW()/1000000,"")</f>
        <v/>
      </c>
    </row>
    <row r="1369">
      <c r="A1369" s="91" t="n"/>
      <c r="B1369" s="111">
        <f>IF(AND(N('Deal maths'!F1369)&gt;AsAt,N('Deal maths'!E1369)&lt;=AsAt),IF(N('Deal maths'!H1369)&gt;0,N('Deal maths'!H1369),N('Deal maths'!D1369)),0)</f>
        <v/>
      </c>
      <c r="C1369" s="91">
        <f>IF(B1369&gt;0,IF('Deal maths'!C1369="Local authority","Local authorities",LOWER(TRIM('Deal maths'!B1369))),"")</f>
        <v/>
      </c>
      <c r="D1369" s="91">
        <f>IF(C1369="","",IF(COUNTIF($C$4:C1368,C1369)=0,SUMIF($C$4:$C$3997,C1369,$B$4:$B$3997)-ROW()/1000000,""))</f>
        <v/>
      </c>
      <c r="E1369" s="91">
        <f>IF(AND(N('Deal maths'!F1369)&gt;AsAt,N('Deal maths'!E1369)&lt;=AsAt,IF(N('Deal maths'!H1369)&gt;0,N('Deal maths'!H1369),N('Deal maths'!D1369))&gt;0),N('Deal maths'!F1369)+ROW()/1000000,"")</f>
        <v/>
      </c>
    </row>
    <row r="1370">
      <c r="A1370" s="91" t="n"/>
      <c r="B1370" s="111">
        <f>IF(AND(N('Deal maths'!F1370)&gt;AsAt,N('Deal maths'!E1370)&lt;=AsAt),IF(N('Deal maths'!H1370)&gt;0,N('Deal maths'!H1370),N('Deal maths'!D1370)),0)</f>
        <v/>
      </c>
      <c r="C1370" s="91">
        <f>IF(B1370&gt;0,IF('Deal maths'!C1370="Local authority","Local authorities",LOWER(TRIM('Deal maths'!B1370))),"")</f>
        <v/>
      </c>
      <c r="D1370" s="91">
        <f>IF(C1370="","",IF(COUNTIF($C$4:C1369,C1370)=0,SUMIF($C$4:$C$3997,C1370,$B$4:$B$3997)-ROW()/1000000,""))</f>
        <v/>
      </c>
      <c r="E1370" s="91">
        <f>IF(AND(N('Deal maths'!F1370)&gt;AsAt,N('Deal maths'!E1370)&lt;=AsAt,IF(N('Deal maths'!H1370)&gt;0,N('Deal maths'!H1370),N('Deal maths'!D1370))&gt;0),N('Deal maths'!F1370)+ROW()/1000000,"")</f>
        <v/>
      </c>
    </row>
    <row r="1371">
      <c r="A1371" s="91" t="n"/>
      <c r="B1371" s="111">
        <f>IF(AND(N('Deal maths'!F1371)&gt;AsAt,N('Deal maths'!E1371)&lt;=AsAt),IF(N('Deal maths'!H1371)&gt;0,N('Deal maths'!H1371),N('Deal maths'!D1371)),0)</f>
        <v/>
      </c>
      <c r="C1371" s="91">
        <f>IF(B1371&gt;0,IF('Deal maths'!C1371="Local authority","Local authorities",LOWER(TRIM('Deal maths'!B1371))),"")</f>
        <v/>
      </c>
      <c r="D1371" s="91">
        <f>IF(C1371="","",IF(COUNTIF($C$4:C1370,C1371)=0,SUMIF($C$4:$C$3997,C1371,$B$4:$B$3997)-ROW()/1000000,""))</f>
        <v/>
      </c>
      <c r="E1371" s="91">
        <f>IF(AND(N('Deal maths'!F1371)&gt;AsAt,N('Deal maths'!E1371)&lt;=AsAt,IF(N('Deal maths'!H1371)&gt;0,N('Deal maths'!H1371),N('Deal maths'!D1371))&gt;0),N('Deal maths'!F1371)+ROW()/1000000,"")</f>
        <v/>
      </c>
    </row>
    <row r="1372">
      <c r="A1372" s="91" t="n"/>
      <c r="B1372" s="111">
        <f>IF(AND(N('Deal maths'!F1372)&gt;AsAt,N('Deal maths'!E1372)&lt;=AsAt),IF(N('Deal maths'!H1372)&gt;0,N('Deal maths'!H1372),N('Deal maths'!D1372)),0)</f>
        <v/>
      </c>
      <c r="C1372" s="91">
        <f>IF(B1372&gt;0,IF('Deal maths'!C1372="Local authority","Local authorities",LOWER(TRIM('Deal maths'!B1372))),"")</f>
        <v/>
      </c>
      <c r="D1372" s="91">
        <f>IF(C1372="","",IF(COUNTIF($C$4:C1371,C1372)=0,SUMIF($C$4:$C$3997,C1372,$B$4:$B$3997)-ROW()/1000000,""))</f>
        <v/>
      </c>
      <c r="E1372" s="91">
        <f>IF(AND(N('Deal maths'!F1372)&gt;AsAt,N('Deal maths'!E1372)&lt;=AsAt,IF(N('Deal maths'!H1372)&gt;0,N('Deal maths'!H1372),N('Deal maths'!D1372))&gt;0),N('Deal maths'!F1372)+ROW()/1000000,"")</f>
        <v/>
      </c>
    </row>
    <row r="1373">
      <c r="A1373" s="91" t="n"/>
      <c r="B1373" s="111">
        <f>IF(AND(N('Deal maths'!F1373)&gt;AsAt,N('Deal maths'!E1373)&lt;=AsAt),IF(N('Deal maths'!H1373)&gt;0,N('Deal maths'!H1373),N('Deal maths'!D1373)),0)</f>
        <v/>
      </c>
      <c r="C1373" s="91">
        <f>IF(B1373&gt;0,IF('Deal maths'!C1373="Local authority","Local authorities",LOWER(TRIM('Deal maths'!B1373))),"")</f>
        <v/>
      </c>
      <c r="D1373" s="91">
        <f>IF(C1373="","",IF(COUNTIF($C$4:C1372,C1373)=0,SUMIF($C$4:$C$3997,C1373,$B$4:$B$3997)-ROW()/1000000,""))</f>
        <v/>
      </c>
      <c r="E1373" s="91">
        <f>IF(AND(N('Deal maths'!F1373)&gt;AsAt,N('Deal maths'!E1373)&lt;=AsAt,IF(N('Deal maths'!H1373)&gt;0,N('Deal maths'!H1373),N('Deal maths'!D1373))&gt;0),N('Deal maths'!F1373)+ROW()/1000000,"")</f>
        <v/>
      </c>
    </row>
    <row r="1374">
      <c r="A1374" s="91" t="n"/>
      <c r="B1374" s="111">
        <f>IF(AND(N('Deal maths'!F1374)&gt;AsAt,N('Deal maths'!E1374)&lt;=AsAt),IF(N('Deal maths'!H1374)&gt;0,N('Deal maths'!H1374),N('Deal maths'!D1374)),0)</f>
        <v/>
      </c>
      <c r="C1374" s="91">
        <f>IF(B1374&gt;0,IF('Deal maths'!C1374="Local authority","Local authorities",LOWER(TRIM('Deal maths'!B1374))),"")</f>
        <v/>
      </c>
      <c r="D1374" s="91">
        <f>IF(C1374="","",IF(COUNTIF($C$4:C1373,C1374)=0,SUMIF($C$4:$C$3997,C1374,$B$4:$B$3997)-ROW()/1000000,""))</f>
        <v/>
      </c>
      <c r="E1374" s="91">
        <f>IF(AND(N('Deal maths'!F1374)&gt;AsAt,N('Deal maths'!E1374)&lt;=AsAt,IF(N('Deal maths'!H1374)&gt;0,N('Deal maths'!H1374),N('Deal maths'!D1374))&gt;0),N('Deal maths'!F1374)+ROW()/1000000,"")</f>
        <v/>
      </c>
    </row>
    <row r="1375">
      <c r="A1375" s="91" t="n"/>
      <c r="B1375" s="111">
        <f>IF(AND(N('Deal maths'!F1375)&gt;AsAt,N('Deal maths'!E1375)&lt;=AsAt),IF(N('Deal maths'!H1375)&gt;0,N('Deal maths'!H1375),N('Deal maths'!D1375)),0)</f>
        <v/>
      </c>
      <c r="C1375" s="91">
        <f>IF(B1375&gt;0,IF('Deal maths'!C1375="Local authority","Local authorities",LOWER(TRIM('Deal maths'!B1375))),"")</f>
        <v/>
      </c>
      <c r="D1375" s="91">
        <f>IF(C1375="","",IF(COUNTIF($C$4:C1374,C1375)=0,SUMIF($C$4:$C$3997,C1375,$B$4:$B$3997)-ROW()/1000000,""))</f>
        <v/>
      </c>
      <c r="E1375" s="91">
        <f>IF(AND(N('Deal maths'!F1375)&gt;AsAt,N('Deal maths'!E1375)&lt;=AsAt,IF(N('Deal maths'!H1375)&gt;0,N('Deal maths'!H1375),N('Deal maths'!D1375))&gt;0),N('Deal maths'!F1375)+ROW()/1000000,"")</f>
        <v/>
      </c>
    </row>
    <row r="1376">
      <c r="A1376" s="91" t="n"/>
      <c r="B1376" s="111">
        <f>IF(AND(N('Deal maths'!F1376)&gt;AsAt,N('Deal maths'!E1376)&lt;=AsAt),IF(N('Deal maths'!H1376)&gt;0,N('Deal maths'!H1376),N('Deal maths'!D1376)),0)</f>
        <v/>
      </c>
      <c r="C1376" s="91">
        <f>IF(B1376&gt;0,IF('Deal maths'!C1376="Local authority","Local authorities",LOWER(TRIM('Deal maths'!B1376))),"")</f>
        <v/>
      </c>
      <c r="D1376" s="91">
        <f>IF(C1376="","",IF(COUNTIF($C$4:C1375,C1376)=0,SUMIF($C$4:$C$3997,C1376,$B$4:$B$3997)-ROW()/1000000,""))</f>
        <v/>
      </c>
      <c r="E1376" s="91">
        <f>IF(AND(N('Deal maths'!F1376)&gt;AsAt,N('Deal maths'!E1376)&lt;=AsAt,IF(N('Deal maths'!H1376)&gt;0,N('Deal maths'!H1376),N('Deal maths'!D1376))&gt;0),N('Deal maths'!F1376)+ROW()/1000000,"")</f>
        <v/>
      </c>
    </row>
    <row r="1377">
      <c r="A1377" s="91" t="n"/>
      <c r="B1377" s="111">
        <f>IF(AND(N('Deal maths'!F1377)&gt;AsAt,N('Deal maths'!E1377)&lt;=AsAt),IF(N('Deal maths'!H1377)&gt;0,N('Deal maths'!H1377),N('Deal maths'!D1377)),0)</f>
        <v/>
      </c>
      <c r="C1377" s="91">
        <f>IF(B1377&gt;0,IF('Deal maths'!C1377="Local authority","Local authorities",LOWER(TRIM('Deal maths'!B1377))),"")</f>
        <v/>
      </c>
      <c r="D1377" s="91">
        <f>IF(C1377="","",IF(COUNTIF($C$4:C1376,C1377)=0,SUMIF($C$4:$C$3997,C1377,$B$4:$B$3997)-ROW()/1000000,""))</f>
        <v/>
      </c>
      <c r="E1377" s="91">
        <f>IF(AND(N('Deal maths'!F1377)&gt;AsAt,N('Deal maths'!E1377)&lt;=AsAt,IF(N('Deal maths'!H1377)&gt;0,N('Deal maths'!H1377),N('Deal maths'!D1377))&gt;0),N('Deal maths'!F1377)+ROW()/1000000,"")</f>
        <v/>
      </c>
    </row>
    <row r="1378">
      <c r="A1378" s="91" t="n"/>
      <c r="B1378" s="111">
        <f>IF(AND(N('Deal maths'!F1378)&gt;AsAt,N('Deal maths'!E1378)&lt;=AsAt),IF(N('Deal maths'!H1378)&gt;0,N('Deal maths'!H1378),N('Deal maths'!D1378)),0)</f>
        <v/>
      </c>
      <c r="C1378" s="91">
        <f>IF(B1378&gt;0,IF('Deal maths'!C1378="Local authority","Local authorities",LOWER(TRIM('Deal maths'!B1378))),"")</f>
        <v/>
      </c>
      <c r="D1378" s="91">
        <f>IF(C1378="","",IF(COUNTIF($C$4:C1377,C1378)=0,SUMIF($C$4:$C$3997,C1378,$B$4:$B$3997)-ROW()/1000000,""))</f>
        <v/>
      </c>
      <c r="E1378" s="91">
        <f>IF(AND(N('Deal maths'!F1378)&gt;AsAt,N('Deal maths'!E1378)&lt;=AsAt,IF(N('Deal maths'!H1378)&gt;0,N('Deal maths'!H1378),N('Deal maths'!D1378))&gt;0),N('Deal maths'!F1378)+ROW()/1000000,"")</f>
        <v/>
      </c>
    </row>
    <row r="1379">
      <c r="A1379" s="91" t="n"/>
      <c r="B1379" s="111">
        <f>IF(AND(N('Deal maths'!F1379)&gt;AsAt,N('Deal maths'!E1379)&lt;=AsAt),IF(N('Deal maths'!H1379)&gt;0,N('Deal maths'!H1379),N('Deal maths'!D1379)),0)</f>
        <v/>
      </c>
      <c r="C1379" s="91">
        <f>IF(B1379&gt;0,IF('Deal maths'!C1379="Local authority","Local authorities",LOWER(TRIM('Deal maths'!B1379))),"")</f>
        <v/>
      </c>
      <c r="D1379" s="91">
        <f>IF(C1379="","",IF(COUNTIF($C$4:C1378,C1379)=0,SUMIF($C$4:$C$3997,C1379,$B$4:$B$3997)-ROW()/1000000,""))</f>
        <v/>
      </c>
      <c r="E1379" s="91">
        <f>IF(AND(N('Deal maths'!F1379)&gt;AsAt,N('Deal maths'!E1379)&lt;=AsAt,IF(N('Deal maths'!H1379)&gt;0,N('Deal maths'!H1379),N('Deal maths'!D1379))&gt;0),N('Deal maths'!F1379)+ROW()/1000000,"")</f>
        <v/>
      </c>
    </row>
    <row r="1380">
      <c r="A1380" s="91" t="n"/>
      <c r="B1380" s="111">
        <f>IF(AND(N('Deal maths'!F1380)&gt;AsAt,N('Deal maths'!E1380)&lt;=AsAt),IF(N('Deal maths'!H1380)&gt;0,N('Deal maths'!H1380),N('Deal maths'!D1380)),0)</f>
        <v/>
      </c>
      <c r="C1380" s="91">
        <f>IF(B1380&gt;0,IF('Deal maths'!C1380="Local authority","Local authorities",LOWER(TRIM('Deal maths'!B1380))),"")</f>
        <v/>
      </c>
      <c r="D1380" s="91">
        <f>IF(C1380="","",IF(COUNTIF($C$4:C1379,C1380)=0,SUMIF($C$4:$C$3997,C1380,$B$4:$B$3997)-ROW()/1000000,""))</f>
        <v/>
      </c>
      <c r="E1380" s="91">
        <f>IF(AND(N('Deal maths'!F1380)&gt;AsAt,N('Deal maths'!E1380)&lt;=AsAt,IF(N('Deal maths'!H1380)&gt;0,N('Deal maths'!H1380),N('Deal maths'!D1380))&gt;0),N('Deal maths'!F1380)+ROW()/1000000,"")</f>
        <v/>
      </c>
    </row>
    <row r="1381">
      <c r="A1381" s="91" t="n"/>
      <c r="B1381" s="111">
        <f>IF(AND(N('Deal maths'!F1381)&gt;AsAt,N('Deal maths'!E1381)&lt;=AsAt),IF(N('Deal maths'!H1381)&gt;0,N('Deal maths'!H1381),N('Deal maths'!D1381)),0)</f>
        <v/>
      </c>
      <c r="C1381" s="91">
        <f>IF(B1381&gt;0,IF('Deal maths'!C1381="Local authority","Local authorities",LOWER(TRIM('Deal maths'!B1381))),"")</f>
        <v/>
      </c>
      <c r="D1381" s="91">
        <f>IF(C1381="","",IF(COUNTIF($C$4:C1380,C1381)=0,SUMIF($C$4:$C$3997,C1381,$B$4:$B$3997)-ROW()/1000000,""))</f>
        <v/>
      </c>
      <c r="E1381" s="91">
        <f>IF(AND(N('Deal maths'!F1381)&gt;AsAt,N('Deal maths'!E1381)&lt;=AsAt,IF(N('Deal maths'!H1381)&gt;0,N('Deal maths'!H1381),N('Deal maths'!D1381))&gt;0),N('Deal maths'!F1381)+ROW()/1000000,"")</f>
        <v/>
      </c>
    </row>
    <row r="1382">
      <c r="A1382" s="91" t="n"/>
      <c r="B1382" s="111">
        <f>IF(AND(N('Deal maths'!F1382)&gt;AsAt,N('Deal maths'!E1382)&lt;=AsAt),IF(N('Deal maths'!H1382)&gt;0,N('Deal maths'!H1382),N('Deal maths'!D1382)),0)</f>
        <v/>
      </c>
      <c r="C1382" s="91">
        <f>IF(B1382&gt;0,IF('Deal maths'!C1382="Local authority","Local authorities",LOWER(TRIM('Deal maths'!B1382))),"")</f>
        <v/>
      </c>
      <c r="D1382" s="91">
        <f>IF(C1382="","",IF(COUNTIF($C$4:C1381,C1382)=0,SUMIF($C$4:$C$3997,C1382,$B$4:$B$3997)-ROW()/1000000,""))</f>
        <v/>
      </c>
      <c r="E1382" s="91">
        <f>IF(AND(N('Deal maths'!F1382)&gt;AsAt,N('Deal maths'!E1382)&lt;=AsAt,IF(N('Deal maths'!H1382)&gt;0,N('Deal maths'!H1382),N('Deal maths'!D1382))&gt;0),N('Deal maths'!F1382)+ROW()/1000000,"")</f>
        <v/>
      </c>
    </row>
    <row r="1383">
      <c r="A1383" s="91" t="n"/>
      <c r="B1383" s="111">
        <f>IF(AND(N('Deal maths'!F1383)&gt;AsAt,N('Deal maths'!E1383)&lt;=AsAt),IF(N('Deal maths'!H1383)&gt;0,N('Deal maths'!H1383),N('Deal maths'!D1383)),0)</f>
        <v/>
      </c>
      <c r="C1383" s="91">
        <f>IF(B1383&gt;0,IF('Deal maths'!C1383="Local authority","Local authorities",LOWER(TRIM('Deal maths'!B1383))),"")</f>
        <v/>
      </c>
      <c r="D1383" s="91">
        <f>IF(C1383="","",IF(COUNTIF($C$4:C1382,C1383)=0,SUMIF($C$4:$C$3997,C1383,$B$4:$B$3997)-ROW()/1000000,""))</f>
        <v/>
      </c>
      <c r="E1383" s="91">
        <f>IF(AND(N('Deal maths'!F1383)&gt;AsAt,N('Deal maths'!E1383)&lt;=AsAt,IF(N('Deal maths'!H1383)&gt;0,N('Deal maths'!H1383),N('Deal maths'!D1383))&gt;0),N('Deal maths'!F1383)+ROW()/1000000,"")</f>
        <v/>
      </c>
    </row>
    <row r="1384">
      <c r="A1384" s="91" t="n"/>
      <c r="B1384" s="111">
        <f>IF(AND(N('Deal maths'!F1384)&gt;AsAt,N('Deal maths'!E1384)&lt;=AsAt),IF(N('Deal maths'!H1384)&gt;0,N('Deal maths'!H1384),N('Deal maths'!D1384)),0)</f>
        <v/>
      </c>
      <c r="C1384" s="91">
        <f>IF(B1384&gt;0,IF('Deal maths'!C1384="Local authority","Local authorities",LOWER(TRIM('Deal maths'!B1384))),"")</f>
        <v/>
      </c>
      <c r="D1384" s="91">
        <f>IF(C1384="","",IF(COUNTIF($C$4:C1383,C1384)=0,SUMIF($C$4:$C$3997,C1384,$B$4:$B$3997)-ROW()/1000000,""))</f>
        <v/>
      </c>
      <c r="E1384" s="91">
        <f>IF(AND(N('Deal maths'!F1384)&gt;AsAt,N('Deal maths'!E1384)&lt;=AsAt,IF(N('Deal maths'!H1384)&gt;0,N('Deal maths'!H1384),N('Deal maths'!D1384))&gt;0),N('Deal maths'!F1384)+ROW()/1000000,"")</f>
        <v/>
      </c>
    </row>
    <row r="1385">
      <c r="A1385" s="91" t="n"/>
      <c r="B1385" s="111">
        <f>IF(AND(N('Deal maths'!F1385)&gt;AsAt,N('Deal maths'!E1385)&lt;=AsAt),IF(N('Deal maths'!H1385)&gt;0,N('Deal maths'!H1385),N('Deal maths'!D1385)),0)</f>
        <v/>
      </c>
      <c r="C1385" s="91">
        <f>IF(B1385&gt;0,IF('Deal maths'!C1385="Local authority","Local authorities",LOWER(TRIM('Deal maths'!B1385))),"")</f>
        <v/>
      </c>
      <c r="D1385" s="91">
        <f>IF(C1385="","",IF(COUNTIF($C$4:C1384,C1385)=0,SUMIF($C$4:$C$3997,C1385,$B$4:$B$3997)-ROW()/1000000,""))</f>
        <v/>
      </c>
      <c r="E1385" s="91">
        <f>IF(AND(N('Deal maths'!F1385)&gt;AsAt,N('Deal maths'!E1385)&lt;=AsAt,IF(N('Deal maths'!H1385)&gt;0,N('Deal maths'!H1385),N('Deal maths'!D1385))&gt;0),N('Deal maths'!F1385)+ROW()/1000000,"")</f>
        <v/>
      </c>
    </row>
    <row r="1386">
      <c r="A1386" s="91" t="n"/>
      <c r="B1386" s="111">
        <f>IF(AND(N('Deal maths'!F1386)&gt;AsAt,N('Deal maths'!E1386)&lt;=AsAt),IF(N('Deal maths'!H1386)&gt;0,N('Deal maths'!H1386),N('Deal maths'!D1386)),0)</f>
        <v/>
      </c>
      <c r="C1386" s="91">
        <f>IF(B1386&gt;0,IF('Deal maths'!C1386="Local authority","Local authorities",LOWER(TRIM('Deal maths'!B1386))),"")</f>
        <v/>
      </c>
      <c r="D1386" s="91">
        <f>IF(C1386="","",IF(COUNTIF($C$4:C1385,C1386)=0,SUMIF($C$4:$C$3997,C1386,$B$4:$B$3997)-ROW()/1000000,""))</f>
        <v/>
      </c>
      <c r="E1386" s="91">
        <f>IF(AND(N('Deal maths'!F1386)&gt;AsAt,N('Deal maths'!E1386)&lt;=AsAt,IF(N('Deal maths'!H1386)&gt;0,N('Deal maths'!H1386),N('Deal maths'!D1386))&gt;0),N('Deal maths'!F1386)+ROW()/1000000,"")</f>
        <v/>
      </c>
    </row>
    <row r="1387">
      <c r="A1387" s="91" t="n"/>
      <c r="B1387" s="111">
        <f>IF(AND(N('Deal maths'!F1387)&gt;AsAt,N('Deal maths'!E1387)&lt;=AsAt),IF(N('Deal maths'!H1387)&gt;0,N('Deal maths'!H1387),N('Deal maths'!D1387)),0)</f>
        <v/>
      </c>
      <c r="C1387" s="91">
        <f>IF(B1387&gt;0,IF('Deal maths'!C1387="Local authority","Local authorities",LOWER(TRIM('Deal maths'!B1387))),"")</f>
        <v/>
      </c>
      <c r="D1387" s="91">
        <f>IF(C1387="","",IF(COUNTIF($C$4:C1386,C1387)=0,SUMIF($C$4:$C$3997,C1387,$B$4:$B$3997)-ROW()/1000000,""))</f>
        <v/>
      </c>
      <c r="E1387" s="91">
        <f>IF(AND(N('Deal maths'!F1387)&gt;AsAt,N('Deal maths'!E1387)&lt;=AsAt,IF(N('Deal maths'!H1387)&gt;0,N('Deal maths'!H1387),N('Deal maths'!D1387))&gt;0),N('Deal maths'!F1387)+ROW()/1000000,"")</f>
        <v/>
      </c>
    </row>
    <row r="1388">
      <c r="A1388" s="91" t="n"/>
      <c r="B1388" s="111">
        <f>IF(AND(N('Deal maths'!F1388)&gt;AsAt,N('Deal maths'!E1388)&lt;=AsAt),IF(N('Deal maths'!H1388)&gt;0,N('Deal maths'!H1388),N('Deal maths'!D1388)),0)</f>
        <v/>
      </c>
      <c r="C1388" s="91">
        <f>IF(B1388&gt;0,IF('Deal maths'!C1388="Local authority","Local authorities",LOWER(TRIM('Deal maths'!B1388))),"")</f>
        <v/>
      </c>
      <c r="D1388" s="91">
        <f>IF(C1388="","",IF(COUNTIF($C$4:C1387,C1388)=0,SUMIF($C$4:$C$3997,C1388,$B$4:$B$3997)-ROW()/1000000,""))</f>
        <v/>
      </c>
      <c r="E1388" s="91">
        <f>IF(AND(N('Deal maths'!F1388)&gt;AsAt,N('Deal maths'!E1388)&lt;=AsAt,IF(N('Deal maths'!H1388)&gt;0,N('Deal maths'!H1388),N('Deal maths'!D1388))&gt;0),N('Deal maths'!F1388)+ROW()/1000000,"")</f>
        <v/>
      </c>
    </row>
    <row r="1389">
      <c r="A1389" s="91" t="n"/>
      <c r="B1389" s="111">
        <f>IF(AND(N('Deal maths'!F1389)&gt;AsAt,N('Deal maths'!E1389)&lt;=AsAt),IF(N('Deal maths'!H1389)&gt;0,N('Deal maths'!H1389),N('Deal maths'!D1389)),0)</f>
        <v/>
      </c>
      <c r="C1389" s="91">
        <f>IF(B1389&gt;0,IF('Deal maths'!C1389="Local authority","Local authorities",LOWER(TRIM('Deal maths'!B1389))),"")</f>
        <v/>
      </c>
      <c r="D1389" s="91">
        <f>IF(C1389="","",IF(COUNTIF($C$4:C1388,C1389)=0,SUMIF($C$4:$C$3997,C1389,$B$4:$B$3997)-ROW()/1000000,""))</f>
        <v/>
      </c>
      <c r="E1389" s="91">
        <f>IF(AND(N('Deal maths'!F1389)&gt;AsAt,N('Deal maths'!E1389)&lt;=AsAt,IF(N('Deal maths'!H1389)&gt;0,N('Deal maths'!H1389),N('Deal maths'!D1389))&gt;0),N('Deal maths'!F1389)+ROW()/1000000,"")</f>
        <v/>
      </c>
    </row>
    <row r="1390">
      <c r="A1390" s="91" t="n"/>
      <c r="B1390" s="111">
        <f>IF(AND(N('Deal maths'!F1390)&gt;AsAt,N('Deal maths'!E1390)&lt;=AsAt),IF(N('Deal maths'!H1390)&gt;0,N('Deal maths'!H1390),N('Deal maths'!D1390)),0)</f>
        <v/>
      </c>
      <c r="C1390" s="91">
        <f>IF(B1390&gt;0,IF('Deal maths'!C1390="Local authority","Local authorities",LOWER(TRIM('Deal maths'!B1390))),"")</f>
        <v/>
      </c>
      <c r="D1390" s="91">
        <f>IF(C1390="","",IF(COUNTIF($C$4:C1389,C1390)=0,SUMIF($C$4:$C$3997,C1390,$B$4:$B$3997)-ROW()/1000000,""))</f>
        <v/>
      </c>
      <c r="E1390" s="91">
        <f>IF(AND(N('Deal maths'!F1390)&gt;AsAt,N('Deal maths'!E1390)&lt;=AsAt,IF(N('Deal maths'!H1390)&gt;0,N('Deal maths'!H1390),N('Deal maths'!D1390))&gt;0),N('Deal maths'!F1390)+ROW()/1000000,"")</f>
        <v/>
      </c>
    </row>
    <row r="1391">
      <c r="A1391" s="91" t="n"/>
      <c r="B1391" s="111">
        <f>IF(AND(N('Deal maths'!F1391)&gt;AsAt,N('Deal maths'!E1391)&lt;=AsAt),IF(N('Deal maths'!H1391)&gt;0,N('Deal maths'!H1391),N('Deal maths'!D1391)),0)</f>
        <v/>
      </c>
      <c r="C1391" s="91">
        <f>IF(B1391&gt;0,IF('Deal maths'!C1391="Local authority","Local authorities",LOWER(TRIM('Deal maths'!B1391))),"")</f>
        <v/>
      </c>
      <c r="D1391" s="91">
        <f>IF(C1391="","",IF(COUNTIF($C$4:C1390,C1391)=0,SUMIF($C$4:$C$3997,C1391,$B$4:$B$3997)-ROW()/1000000,""))</f>
        <v/>
      </c>
      <c r="E1391" s="91">
        <f>IF(AND(N('Deal maths'!F1391)&gt;AsAt,N('Deal maths'!E1391)&lt;=AsAt,IF(N('Deal maths'!H1391)&gt;0,N('Deal maths'!H1391),N('Deal maths'!D1391))&gt;0),N('Deal maths'!F1391)+ROW()/1000000,"")</f>
        <v/>
      </c>
    </row>
    <row r="1392">
      <c r="A1392" s="91" t="n"/>
      <c r="B1392" s="111">
        <f>IF(AND(N('Deal maths'!F1392)&gt;AsAt,N('Deal maths'!E1392)&lt;=AsAt),IF(N('Deal maths'!H1392)&gt;0,N('Deal maths'!H1392),N('Deal maths'!D1392)),0)</f>
        <v/>
      </c>
      <c r="C1392" s="91">
        <f>IF(B1392&gt;0,IF('Deal maths'!C1392="Local authority","Local authorities",LOWER(TRIM('Deal maths'!B1392))),"")</f>
        <v/>
      </c>
      <c r="D1392" s="91">
        <f>IF(C1392="","",IF(COUNTIF($C$4:C1391,C1392)=0,SUMIF($C$4:$C$3997,C1392,$B$4:$B$3997)-ROW()/1000000,""))</f>
        <v/>
      </c>
      <c r="E1392" s="91">
        <f>IF(AND(N('Deal maths'!F1392)&gt;AsAt,N('Deal maths'!E1392)&lt;=AsAt,IF(N('Deal maths'!H1392)&gt;0,N('Deal maths'!H1392),N('Deal maths'!D1392))&gt;0),N('Deal maths'!F1392)+ROW()/1000000,"")</f>
        <v/>
      </c>
    </row>
    <row r="1393">
      <c r="A1393" s="91" t="n"/>
      <c r="B1393" s="111">
        <f>IF(AND(N('Deal maths'!F1393)&gt;AsAt,N('Deal maths'!E1393)&lt;=AsAt),IF(N('Deal maths'!H1393)&gt;0,N('Deal maths'!H1393),N('Deal maths'!D1393)),0)</f>
        <v/>
      </c>
      <c r="C1393" s="91">
        <f>IF(B1393&gt;0,IF('Deal maths'!C1393="Local authority","Local authorities",LOWER(TRIM('Deal maths'!B1393))),"")</f>
        <v/>
      </c>
      <c r="D1393" s="91">
        <f>IF(C1393="","",IF(COUNTIF($C$4:C1392,C1393)=0,SUMIF($C$4:$C$3997,C1393,$B$4:$B$3997)-ROW()/1000000,""))</f>
        <v/>
      </c>
      <c r="E1393" s="91">
        <f>IF(AND(N('Deal maths'!F1393)&gt;AsAt,N('Deal maths'!E1393)&lt;=AsAt,IF(N('Deal maths'!H1393)&gt;0,N('Deal maths'!H1393),N('Deal maths'!D1393))&gt;0),N('Deal maths'!F1393)+ROW()/1000000,"")</f>
        <v/>
      </c>
    </row>
    <row r="1394">
      <c r="A1394" s="91" t="n"/>
      <c r="B1394" s="111">
        <f>IF(AND(N('Deal maths'!F1394)&gt;AsAt,N('Deal maths'!E1394)&lt;=AsAt),IF(N('Deal maths'!H1394)&gt;0,N('Deal maths'!H1394),N('Deal maths'!D1394)),0)</f>
        <v/>
      </c>
      <c r="C1394" s="91">
        <f>IF(B1394&gt;0,IF('Deal maths'!C1394="Local authority","Local authorities",LOWER(TRIM('Deal maths'!B1394))),"")</f>
        <v/>
      </c>
      <c r="D1394" s="91">
        <f>IF(C1394="","",IF(COUNTIF($C$4:C1393,C1394)=0,SUMIF($C$4:$C$3997,C1394,$B$4:$B$3997)-ROW()/1000000,""))</f>
        <v/>
      </c>
      <c r="E1394" s="91">
        <f>IF(AND(N('Deal maths'!F1394)&gt;AsAt,N('Deal maths'!E1394)&lt;=AsAt,IF(N('Deal maths'!H1394)&gt;0,N('Deal maths'!H1394),N('Deal maths'!D1394))&gt;0),N('Deal maths'!F1394)+ROW()/1000000,"")</f>
        <v/>
      </c>
    </row>
    <row r="1395">
      <c r="A1395" s="91" t="n"/>
      <c r="B1395" s="111">
        <f>IF(AND(N('Deal maths'!F1395)&gt;AsAt,N('Deal maths'!E1395)&lt;=AsAt),IF(N('Deal maths'!H1395)&gt;0,N('Deal maths'!H1395),N('Deal maths'!D1395)),0)</f>
        <v/>
      </c>
      <c r="C1395" s="91">
        <f>IF(B1395&gt;0,IF('Deal maths'!C1395="Local authority","Local authorities",LOWER(TRIM('Deal maths'!B1395))),"")</f>
        <v/>
      </c>
      <c r="D1395" s="91">
        <f>IF(C1395="","",IF(COUNTIF($C$4:C1394,C1395)=0,SUMIF($C$4:$C$3997,C1395,$B$4:$B$3997)-ROW()/1000000,""))</f>
        <v/>
      </c>
      <c r="E1395" s="91">
        <f>IF(AND(N('Deal maths'!F1395)&gt;AsAt,N('Deal maths'!E1395)&lt;=AsAt,IF(N('Deal maths'!H1395)&gt;0,N('Deal maths'!H1395),N('Deal maths'!D1395))&gt;0),N('Deal maths'!F1395)+ROW()/1000000,"")</f>
        <v/>
      </c>
    </row>
    <row r="1396">
      <c r="A1396" s="91" t="n"/>
      <c r="B1396" s="111">
        <f>IF(AND(N('Deal maths'!F1396)&gt;AsAt,N('Deal maths'!E1396)&lt;=AsAt),IF(N('Deal maths'!H1396)&gt;0,N('Deal maths'!H1396),N('Deal maths'!D1396)),0)</f>
        <v/>
      </c>
      <c r="C1396" s="91">
        <f>IF(B1396&gt;0,IF('Deal maths'!C1396="Local authority","Local authorities",LOWER(TRIM('Deal maths'!B1396))),"")</f>
        <v/>
      </c>
      <c r="D1396" s="91">
        <f>IF(C1396="","",IF(COUNTIF($C$4:C1395,C1396)=0,SUMIF($C$4:$C$3997,C1396,$B$4:$B$3997)-ROW()/1000000,""))</f>
        <v/>
      </c>
      <c r="E1396" s="91">
        <f>IF(AND(N('Deal maths'!F1396)&gt;AsAt,N('Deal maths'!E1396)&lt;=AsAt,IF(N('Deal maths'!H1396)&gt;0,N('Deal maths'!H1396),N('Deal maths'!D1396))&gt;0),N('Deal maths'!F1396)+ROW()/1000000,"")</f>
        <v/>
      </c>
    </row>
    <row r="1397">
      <c r="A1397" s="91" t="n"/>
      <c r="B1397" s="111">
        <f>IF(AND(N('Deal maths'!F1397)&gt;AsAt,N('Deal maths'!E1397)&lt;=AsAt),IF(N('Deal maths'!H1397)&gt;0,N('Deal maths'!H1397),N('Deal maths'!D1397)),0)</f>
        <v/>
      </c>
      <c r="C1397" s="91">
        <f>IF(B1397&gt;0,IF('Deal maths'!C1397="Local authority","Local authorities",LOWER(TRIM('Deal maths'!B1397))),"")</f>
        <v/>
      </c>
      <c r="D1397" s="91">
        <f>IF(C1397="","",IF(COUNTIF($C$4:C1396,C1397)=0,SUMIF($C$4:$C$3997,C1397,$B$4:$B$3997)-ROW()/1000000,""))</f>
        <v/>
      </c>
      <c r="E1397" s="91">
        <f>IF(AND(N('Deal maths'!F1397)&gt;AsAt,N('Deal maths'!E1397)&lt;=AsAt,IF(N('Deal maths'!H1397)&gt;0,N('Deal maths'!H1397),N('Deal maths'!D1397))&gt;0),N('Deal maths'!F1397)+ROW()/1000000,"")</f>
        <v/>
      </c>
    </row>
    <row r="1398">
      <c r="A1398" s="91" t="n"/>
      <c r="B1398" s="111">
        <f>IF(AND(N('Deal maths'!F1398)&gt;AsAt,N('Deal maths'!E1398)&lt;=AsAt),IF(N('Deal maths'!H1398)&gt;0,N('Deal maths'!H1398),N('Deal maths'!D1398)),0)</f>
        <v/>
      </c>
      <c r="C1398" s="91">
        <f>IF(B1398&gt;0,IF('Deal maths'!C1398="Local authority","Local authorities",LOWER(TRIM('Deal maths'!B1398))),"")</f>
        <v/>
      </c>
      <c r="D1398" s="91">
        <f>IF(C1398="","",IF(COUNTIF($C$4:C1397,C1398)=0,SUMIF($C$4:$C$3997,C1398,$B$4:$B$3997)-ROW()/1000000,""))</f>
        <v/>
      </c>
      <c r="E1398" s="91">
        <f>IF(AND(N('Deal maths'!F1398)&gt;AsAt,N('Deal maths'!E1398)&lt;=AsAt,IF(N('Deal maths'!H1398)&gt;0,N('Deal maths'!H1398),N('Deal maths'!D1398))&gt;0),N('Deal maths'!F1398)+ROW()/1000000,"")</f>
        <v/>
      </c>
    </row>
    <row r="1399">
      <c r="A1399" s="91" t="n"/>
      <c r="B1399" s="111">
        <f>IF(AND(N('Deal maths'!F1399)&gt;AsAt,N('Deal maths'!E1399)&lt;=AsAt),IF(N('Deal maths'!H1399)&gt;0,N('Deal maths'!H1399),N('Deal maths'!D1399)),0)</f>
        <v/>
      </c>
      <c r="C1399" s="91">
        <f>IF(B1399&gt;0,IF('Deal maths'!C1399="Local authority","Local authorities",LOWER(TRIM('Deal maths'!B1399))),"")</f>
        <v/>
      </c>
      <c r="D1399" s="91">
        <f>IF(C1399="","",IF(COUNTIF($C$4:C1398,C1399)=0,SUMIF($C$4:$C$3997,C1399,$B$4:$B$3997)-ROW()/1000000,""))</f>
        <v/>
      </c>
      <c r="E1399" s="91">
        <f>IF(AND(N('Deal maths'!F1399)&gt;AsAt,N('Deal maths'!E1399)&lt;=AsAt,IF(N('Deal maths'!H1399)&gt;0,N('Deal maths'!H1399),N('Deal maths'!D1399))&gt;0),N('Deal maths'!F1399)+ROW()/1000000,"")</f>
        <v/>
      </c>
    </row>
    <row r="1400">
      <c r="A1400" s="91" t="n"/>
      <c r="B1400" s="111">
        <f>IF(AND(N('Deal maths'!F1400)&gt;AsAt,N('Deal maths'!E1400)&lt;=AsAt),IF(N('Deal maths'!H1400)&gt;0,N('Deal maths'!H1400),N('Deal maths'!D1400)),0)</f>
        <v/>
      </c>
      <c r="C1400" s="91">
        <f>IF(B1400&gt;0,IF('Deal maths'!C1400="Local authority","Local authorities",LOWER(TRIM('Deal maths'!B1400))),"")</f>
        <v/>
      </c>
      <c r="D1400" s="91">
        <f>IF(C1400="","",IF(COUNTIF($C$4:C1399,C1400)=0,SUMIF($C$4:$C$3997,C1400,$B$4:$B$3997)-ROW()/1000000,""))</f>
        <v/>
      </c>
      <c r="E1400" s="91">
        <f>IF(AND(N('Deal maths'!F1400)&gt;AsAt,N('Deal maths'!E1400)&lt;=AsAt,IF(N('Deal maths'!H1400)&gt;0,N('Deal maths'!H1400),N('Deal maths'!D1400))&gt;0),N('Deal maths'!F1400)+ROW()/1000000,"")</f>
        <v/>
      </c>
    </row>
    <row r="1401">
      <c r="A1401" s="91" t="n"/>
      <c r="B1401" s="111">
        <f>IF(AND(N('Deal maths'!F1401)&gt;AsAt,N('Deal maths'!E1401)&lt;=AsAt),IF(N('Deal maths'!H1401)&gt;0,N('Deal maths'!H1401),N('Deal maths'!D1401)),0)</f>
        <v/>
      </c>
      <c r="C1401" s="91">
        <f>IF(B1401&gt;0,IF('Deal maths'!C1401="Local authority","Local authorities",LOWER(TRIM('Deal maths'!B1401))),"")</f>
        <v/>
      </c>
      <c r="D1401" s="91">
        <f>IF(C1401="","",IF(COUNTIF($C$4:C1400,C1401)=0,SUMIF($C$4:$C$3997,C1401,$B$4:$B$3997)-ROW()/1000000,""))</f>
        <v/>
      </c>
      <c r="E1401" s="91">
        <f>IF(AND(N('Deal maths'!F1401)&gt;AsAt,N('Deal maths'!E1401)&lt;=AsAt,IF(N('Deal maths'!H1401)&gt;0,N('Deal maths'!H1401),N('Deal maths'!D1401))&gt;0),N('Deal maths'!F1401)+ROW()/1000000,"")</f>
        <v/>
      </c>
    </row>
    <row r="1402">
      <c r="A1402" s="91" t="n"/>
      <c r="B1402" s="111">
        <f>IF(AND(N('Deal maths'!F1402)&gt;AsAt,N('Deal maths'!E1402)&lt;=AsAt),IF(N('Deal maths'!H1402)&gt;0,N('Deal maths'!H1402),N('Deal maths'!D1402)),0)</f>
        <v/>
      </c>
      <c r="C1402" s="91">
        <f>IF(B1402&gt;0,IF('Deal maths'!C1402="Local authority","Local authorities",LOWER(TRIM('Deal maths'!B1402))),"")</f>
        <v/>
      </c>
      <c r="D1402" s="91">
        <f>IF(C1402="","",IF(COUNTIF($C$4:C1401,C1402)=0,SUMIF($C$4:$C$3997,C1402,$B$4:$B$3997)-ROW()/1000000,""))</f>
        <v/>
      </c>
      <c r="E1402" s="91">
        <f>IF(AND(N('Deal maths'!F1402)&gt;AsAt,N('Deal maths'!E1402)&lt;=AsAt,IF(N('Deal maths'!H1402)&gt;0,N('Deal maths'!H1402),N('Deal maths'!D1402))&gt;0),N('Deal maths'!F1402)+ROW()/1000000,"")</f>
        <v/>
      </c>
    </row>
    <row r="1403">
      <c r="A1403" s="91" t="n"/>
      <c r="B1403" s="111">
        <f>IF(AND(N('Deal maths'!F1403)&gt;AsAt,N('Deal maths'!E1403)&lt;=AsAt),IF(N('Deal maths'!H1403)&gt;0,N('Deal maths'!H1403),N('Deal maths'!D1403)),0)</f>
        <v/>
      </c>
      <c r="C1403" s="91">
        <f>IF(B1403&gt;0,IF('Deal maths'!C1403="Local authority","Local authorities",LOWER(TRIM('Deal maths'!B1403))),"")</f>
        <v/>
      </c>
      <c r="D1403" s="91">
        <f>IF(C1403="","",IF(COUNTIF($C$4:C1402,C1403)=0,SUMIF($C$4:$C$3997,C1403,$B$4:$B$3997)-ROW()/1000000,""))</f>
        <v/>
      </c>
      <c r="E1403" s="91">
        <f>IF(AND(N('Deal maths'!F1403)&gt;AsAt,N('Deal maths'!E1403)&lt;=AsAt,IF(N('Deal maths'!H1403)&gt;0,N('Deal maths'!H1403),N('Deal maths'!D1403))&gt;0),N('Deal maths'!F1403)+ROW()/1000000,"")</f>
        <v/>
      </c>
    </row>
    <row r="1404">
      <c r="A1404" s="91" t="n"/>
      <c r="B1404" s="111">
        <f>IF(AND(N('Deal maths'!F1404)&gt;AsAt,N('Deal maths'!E1404)&lt;=AsAt),IF(N('Deal maths'!H1404)&gt;0,N('Deal maths'!H1404),N('Deal maths'!D1404)),0)</f>
        <v/>
      </c>
      <c r="C1404" s="91">
        <f>IF(B1404&gt;0,IF('Deal maths'!C1404="Local authority","Local authorities",LOWER(TRIM('Deal maths'!B1404))),"")</f>
        <v/>
      </c>
      <c r="D1404" s="91">
        <f>IF(C1404="","",IF(COUNTIF($C$4:C1403,C1404)=0,SUMIF($C$4:$C$3997,C1404,$B$4:$B$3997)-ROW()/1000000,""))</f>
        <v/>
      </c>
      <c r="E1404" s="91">
        <f>IF(AND(N('Deal maths'!F1404)&gt;AsAt,N('Deal maths'!E1404)&lt;=AsAt,IF(N('Deal maths'!H1404)&gt;0,N('Deal maths'!H1404),N('Deal maths'!D1404))&gt;0),N('Deal maths'!F1404)+ROW()/1000000,"")</f>
        <v/>
      </c>
    </row>
    <row r="1405">
      <c r="A1405" s="91" t="n"/>
      <c r="B1405" s="111">
        <f>IF(AND(N('Deal maths'!F1405)&gt;AsAt,N('Deal maths'!E1405)&lt;=AsAt),IF(N('Deal maths'!H1405)&gt;0,N('Deal maths'!H1405),N('Deal maths'!D1405)),0)</f>
        <v/>
      </c>
      <c r="C1405" s="91">
        <f>IF(B1405&gt;0,IF('Deal maths'!C1405="Local authority","Local authorities",LOWER(TRIM('Deal maths'!B1405))),"")</f>
        <v/>
      </c>
      <c r="D1405" s="91">
        <f>IF(C1405="","",IF(COUNTIF($C$4:C1404,C1405)=0,SUMIF($C$4:$C$3997,C1405,$B$4:$B$3997)-ROW()/1000000,""))</f>
        <v/>
      </c>
      <c r="E1405" s="91">
        <f>IF(AND(N('Deal maths'!F1405)&gt;AsAt,N('Deal maths'!E1405)&lt;=AsAt,IF(N('Deal maths'!H1405)&gt;0,N('Deal maths'!H1405),N('Deal maths'!D1405))&gt;0),N('Deal maths'!F1405)+ROW()/1000000,"")</f>
        <v/>
      </c>
    </row>
    <row r="1406">
      <c r="A1406" s="91" t="n"/>
      <c r="B1406" s="111">
        <f>IF(AND(N('Deal maths'!F1406)&gt;AsAt,N('Deal maths'!E1406)&lt;=AsAt),IF(N('Deal maths'!H1406)&gt;0,N('Deal maths'!H1406),N('Deal maths'!D1406)),0)</f>
        <v/>
      </c>
      <c r="C1406" s="91">
        <f>IF(B1406&gt;0,IF('Deal maths'!C1406="Local authority","Local authorities",LOWER(TRIM('Deal maths'!B1406))),"")</f>
        <v/>
      </c>
      <c r="D1406" s="91">
        <f>IF(C1406="","",IF(COUNTIF($C$4:C1405,C1406)=0,SUMIF($C$4:$C$3997,C1406,$B$4:$B$3997)-ROW()/1000000,""))</f>
        <v/>
      </c>
      <c r="E1406" s="91">
        <f>IF(AND(N('Deal maths'!F1406)&gt;AsAt,N('Deal maths'!E1406)&lt;=AsAt,IF(N('Deal maths'!H1406)&gt;0,N('Deal maths'!H1406),N('Deal maths'!D1406))&gt;0),N('Deal maths'!F1406)+ROW()/1000000,"")</f>
        <v/>
      </c>
    </row>
    <row r="1407">
      <c r="A1407" s="91" t="n"/>
      <c r="B1407" s="111">
        <f>IF(AND(N('Deal maths'!F1407)&gt;AsAt,N('Deal maths'!E1407)&lt;=AsAt),IF(N('Deal maths'!H1407)&gt;0,N('Deal maths'!H1407),N('Deal maths'!D1407)),0)</f>
        <v/>
      </c>
      <c r="C1407" s="91">
        <f>IF(B1407&gt;0,IF('Deal maths'!C1407="Local authority","Local authorities",LOWER(TRIM('Deal maths'!B1407))),"")</f>
        <v/>
      </c>
      <c r="D1407" s="91">
        <f>IF(C1407="","",IF(COUNTIF($C$4:C1406,C1407)=0,SUMIF($C$4:$C$3997,C1407,$B$4:$B$3997)-ROW()/1000000,""))</f>
        <v/>
      </c>
      <c r="E1407" s="91">
        <f>IF(AND(N('Deal maths'!F1407)&gt;AsAt,N('Deal maths'!E1407)&lt;=AsAt,IF(N('Deal maths'!H1407)&gt;0,N('Deal maths'!H1407),N('Deal maths'!D1407))&gt;0),N('Deal maths'!F1407)+ROW()/1000000,"")</f>
        <v/>
      </c>
    </row>
    <row r="1408">
      <c r="A1408" s="91" t="n"/>
      <c r="B1408" s="111">
        <f>IF(AND(N('Deal maths'!F1408)&gt;AsAt,N('Deal maths'!E1408)&lt;=AsAt),IF(N('Deal maths'!H1408)&gt;0,N('Deal maths'!H1408),N('Deal maths'!D1408)),0)</f>
        <v/>
      </c>
      <c r="C1408" s="91">
        <f>IF(B1408&gt;0,IF('Deal maths'!C1408="Local authority","Local authorities",LOWER(TRIM('Deal maths'!B1408))),"")</f>
        <v/>
      </c>
      <c r="D1408" s="91">
        <f>IF(C1408="","",IF(COUNTIF($C$4:C1407,C1408)=0,SUMIF($C$4:$C$3997,C1408,$B$4:$B$3997)-ROW()/1000000,""))</f>
        <v/>
      </c>
      <c r="E1408" s="91">
        <f>IF(AND(N('Deal maths'!F1408)&gt;AsAt,N('Deal maths'!E1408)&lt;=AsAt,IF(N('Deal maths'!H1408)&gt;0,N('Deal maths'!H1408),N('Deal maths'!D1408))&gt;0),N('Deal maths'!F1408)+ROW()/1000000,"")</f>
        <v/>
      </c>
    </row>
    <row r="1409">
      <c r="A1409" s="91" t="n"/>
      <c r="B1409" s="111">
        <f>IF(AND(N('Deal maths'!F1409)&gt;AsAt,N('Deal maths'!E1409)&lt;=AsAt),IF(N('Deal maths'!H1409)&gt;0,N('Deal maths'!H1409),N('Deal maths'!D1409)),0)</f>
        <v/>
      </c>
      <c r="C1409" s="91">
        <f>IF(B1409&gt;0,IF('Deal maths'!C1409="Local authority","Local authorities",LOWER(TRIM('Deal maths'!B1409))),"")</f>
        <v/>
      </c>
      <c r="D1409" s="91">
        <f>IF(C1409="","",IF(COUNTIF($C$4:C1408,C1409)=0,SUMIF($C$4:$C$3997,C1409,$B$4:$B$3997)-ROW()/1000000,""))</f>
        <v/>
      </c>
      <c r="E1409" s="91">
        <f>IF(AND(N('Deal maths'!F1409)&gt;AsAt,N('Deal maths'!E1409)&lt;=AsAt,IF(N('Deal maths'!H1409)&gt;0,N('Deal maths'!H1409),N('Deal maths'!D1409))&gt;0),N('Deal maths'!F1409)+ROW()/1000000,"")</f>
        <v/>
      </c>
    </row>
    <row r="1410">
      <c r="A1410" s="91" t="n"/>
      <c r="B1410" s="111">
        <f>IF(AND(N('Deal maths'!F1410)&gt;AsAt,N('Deal maths'!E1410)&lt;=AsAt),IF(N('Deal maths'!H1410)&gt;0,N('Deal maths'!H1410),N('Deal maths'!D1410)),0)</f>
        <v/>
      </c>
      <c r="C1410" s="91">
        <f>IF(B1410&gt;0,IF('Deal maths'!C1410="Local authority","Local authorities",LOWER(TRIM('Deal maths'!B1410))),"")</f>
        <v/>
      </c>
      <c r="D1410" s="91">
        <f>IF(C1410="","",IF(COUNTIF($C$4:C1409,C1410)=0,SUMIF($C$4:$C$3997,C1410,$B$4:$B$3997)-ROW()/1000000,""))</f>
        <v/>
      </c>
      <c r="E1410" s="91">
        <f>IF(AND(N('Deal maths'!F1410)&gt;AsAt,N('Deal maths'!E1410)&lt;=AsAt,IF(N('Deal maths'!H1410)&gt;0,N('Deal maths'!H1410),N('Deal maths'!D1410))&gt;0),N('Deal maths'!F1410)+ROW()/1000000,"")</f>
        <v/>
      </c>
    </row>
    <row r="1411">
      <c r="A1411" s="91" t="n"/>
      <c r="B1411" s="111">
        <f>IF(AND(N('Deal maths'!F1411)&gt;AsAt,N('Deal maths'!E1411)&lt;=AsAt),IF(N('Deal maths'!H1411)&gt;0,N('Deal maths'!H1411),N('Deal maths'!D1411)),0)</f>
        <v/>
      </c>
      <c r="C1411" s="91">
        <f>IF(B1411&gt;0,IF('Deal maths'!C1411="Local authority","Local authorities",LOWER(TRIM('Deal maths'!B1411))),"")</f>
        <v/>
      </c>
      <c r="D1411" s="91">
        <f>IF(C1411="","",IF(COUNTIF($C$4:C1410,C1411)=0,SUMIF($C$4:$C$3997,C1411,$B$4:$B$3997)-ROW()/1000000,""))</f>
        <v/>
      </c>
      <c r="E1411" s="91">
        <f>IF(AND(N('Deal maths'!F1411)&gt;AsAt,N('Deal maths'!E1411)&lt;=AsAt,IF(N('Deal maths'!H1411)&gt;0,N('Deal maths'!H1411),N('Deal maths'!D1411))&gt;0),N('Deal maths'!F1411)+ROW()/1000000,"")</f>
        <v/>
      </c>
    </row>
    <row r="1412">
      <c r="A1412" s="91" t="n"/>
      <c r="B1412" s="111">
        <f>IF(AND(N('Deal maths'!F1412)&gt;AsAt,N('Deal maths'!E1412)&lt;=AsAt),IF(N('Deal maths'!H1412)&gt;0,N('Deal maths'!H1412),N('Deal maths'!D1412)),0)</f>
        <v/>
      </c>
      <c r="C1412" s="91">
        <f>IF(B1412&gt;0,IF('Deal maths'!C1412="Local authority","Local authorities",LOWER(TRIM('Deal maths'!B1412))),"")</f>
        <v/>
      </c>
      <c r="D1412" s="91">
        <f>IF(C1412="","",IF(COUNTIF($C$4:C1411,C1412)=0,SUMIF($C$4:$C$3997,C1412,$B$4:$B$3997)-ROW()/1000000,""))</f>
        <v/>
      </c>
      <c r="E1412" s="91">
        <f>IF(AND(N('Deal maths'!F1412)&gt;AsAt,N('Deal maths'!E1412)&lt;=AsAt,IF(N('Deal maths'!H1412)&gt;0,N('Deal maths'!H1412),N('Deal maths'!D1412))&gt;0),N('Deal maths'!F1412)+ROW()/1000000,"")</f>
        <v/>
      </c>
    </row>
    <row r="1413">
      <c r="A1413" s="91" t="n"/>
      <c r="B1413" s="111">
        <f>IF(AND(N('Deal maths'!F1413)&gt;AsAt,N('Deal maths'!E1413)&lt;=AsAt),IF(N('Deal maths'!H1413)&gt;0,N('Deal maths'!H1413),N('Deal maths'!D1413)),0)</f>
        <v/>
      </c>
      <c r="C1413" s="91">
        <f>IF(B1413&gt;0,IF('Deal maths'!C1413="Local authority","Local authorities",LOWER(TRIM('Deal maths'!B1413))),"")</f>
        <v/>
      </c>
      <c r="D1413" s="91">
        <f>IF(C1413="","",IF(COUNTIF($C$4:C1412,C1413)=0,SUMIF($C$4:$C$3997,C1413,$B$4:$B$3997)-ROW()/1000000,""))</f>
        <v/>
      </c>
      <c r="E1413" s="91">
        <f>IF(AND(N('Deal maths'!F1413)&gt;AsAt,N('Deal maths'!E1413)&lt;=AsAt,IF(N('Deal maths'!H1413)&gt;0,N('Deal maths'!H1413),N('Deal maths'!D1413))&gt;0),N('Deal maths'!F1413)+ROW()/1000000,"")</f>
        <v/>
      </c>
    </row>
    <row r="1414">
      <c r="A1414" s="91" t="n"/>
      <c r="B1414" s="111">
        <f>IF(AND(N('Deal maths'!F1414)&gt;AsAt,N('Deal maths'!E1414)&lt;=AsAt),IF(N('Deal maths'!H1414)&gt;0,N('Deal maths'!H1414),N('Deal maths'!D1414)),0)</f>
        <v/>
      </c>
      <c r="C1414" s="91">
        <f>IF(B1414&gt;0,IF('Deal maths'!C1414="Local authority","Local authorities",LOWER(TRIM('Deal maths'!B1414))),"")</f>
        <v/>
      </c>
      <c r="D1414" s="91">
        <f>IF(C1414="","",IF(COUNTIF($C$4:C1413,C1414)=0,SUMIF($C$4:$C$3997,C1414,$B$4:$B$3997)-ROW()/1000000,""))</f>
        <v/>
      </c>
      <c r="E1414" s="91">
        <f>IF(AND(N('Deal maths'!F1414)&gt;AsAt,N('Deal maths'!E1414)&lt;=AsAt,IF(N('Deal maths'!H1414)&gt;0,N('Deal maths'!H1414),N('Deal maths'!D1414))&gt;0),N('Deal maths'!F1414)+ROW()/1000000,"")</f>
        <v/>
      </c>
    </row>
    <row r="1415">
      <c r="A1415" s="91" t="n"/>
      <c r="B1415" s="111">
        <f>IF(AND(N('Deal maths'!F1415)&gt;AsAt,N('Deal maths'!E1415)&lt;=AsAt),IF(N('Deal maths'!H1415)&gt;0,N('Deal maths'!H1415),N('Deal maths'!D1415)),0)</f>
        <v/>
      </c>
      <c r="C1415" s="91">
        <f>IF(B1415&gt;0,IF('Deal maths'!C1415="Local authority","Local authorities",LOWER(TRIM('Deal maths'!B1415))),"")</f>
        <v/>
      </c>
      <c r="D1415" s="91">
        <f>IF(C1415="","",IF(COUNTIF($C$4:C1414,C1415)=0,SUMIF($C$4:$C$3997,C1415,$B$4:$B$3997)-ROW()/1000000,""))</f>
        <v/>
      </c>
      <c r="E1415" s="91">
        <f>IF(AND(N('Deal maths'!F1415)&gt;AsAt,N('Deal maths'!E1415)&lt;=AsAt,IF(N('Deal maths'!H1415)&gt;0,N('Deal maths'!H1415),N('Deal maths'!D1415))&gt;0),N('Deal maths'!F1415)+ROW()/1000000,"")</f>
        <v/>
      </c>
    </row>
    <row r="1416">
      <c r="A1416" s="91" t="n"/>
      <c r="B1416" s="111">
        <f>IF(AND(N('Deal maths'!F1416)&gt;AsAt,N('Deal maths'!E1416)&lt;=AsAt),IF(N('Deal maths'!H1416)&gt;0,N('Deal maths'!H1416),N('Deal maths'!D1416)),0)</f>
        <v/>
      </c>
      <c r="C1416" s="91">
        <f>IF(B1416&gt;0,IF('Deal maths'!C1416="Local authority","Local authorities",LOWER(TRIM('Deal maths'!B1416))),"")</f>
        <v/>
      </c>
      <c r="D1416" s="91">
        <f>IF(C1416="","",IF(COUNTIF($C$4:C1415,C1416)=0,SUMIF($C$4:$C$3997,C1416,$B$4:$B$3997)-ROW()/1000000,""))</f>
        <v/>
      </c>
      <c r="E1416" s="91">
        <f>IF(AND(N('Deal maths'!F1416)&gt;AsAt,N('Deal maths'!E1416)&lt;=AsAt,IF(N('Deal maths'!H1416)&gt;0,N('Deal maths'!H1416),N('Deal maths'!D1416))&gt;0),N('Deal maths'!F1416)+ROW()/1000000,"")</f>
        <v/>
      </c>
    </row>
    <row r="1417">
      <c r="A1417" s="91" t="n"/>
      <c r="B1417" s="111">
        <f>IF(AND(N('Deal maths'!F1417)&gt;AsAt,N('Deal maths'!E1417)&lt;=AsAt),IF(N('Deal maths'!H1417)&gt;0,N('Deal maths'!H1417),N('Deal maths'!D1417)),0)</f>
        <v/>
      </c>
      <c r="C1417" s="91">
        <f>IF(B1417&gt;0,IF('Deal maths'!C1417="Local authority","Local authorities",LOWER(TRIM('Deal maths'!B1417))),"")</f>
        <v/>
      </c>
      <c r="D1417" s="91">
        <f>IF(C1417="","",IF(COUNTIF($C$4:C1416,C1417)=0,SUMIF($C$4:$C$3997,C1417,$B$4:$B$3997)-ROW()/1000000,""))</f>
        <v/>
      </c>
      <c r="E1417" s="91">
        <f>IF(AND(N('Deal maths'!F1417)&gt;AsAt,N('Deal maths'!E1417)&lt;=AsAt,IF(N('Deal maths'!H1417)&gt;0,N('Deal maths'!H1417),N('Deal maths'!D1417))&gt;0),N('Deal maths'!F1417)+ROW()/1000000,"")</f>
        <v/>
      </c>
    </row>
    <row r="1418">
      <c r="A1418" s="91" t="n"/>
      <c r="B1418" s="111">
        <f>IF(AND(N('Deal maths'!F1418)&gt;AsAt,N('Deal maths'!E1418)&lt;=AsAt),IF(N('Deal maths'!H1418)&gt;0,N('Deal maths'!H1418),N('Deal maths'!D1418)),0)</f>
        <v/>
      </c>
      <c r="C1418" s="91">
        <f>IF(B1418&gt;0,IF('Deal maths'!C1418="Local authority","Local authorities",LOWER(TRIM('Deal maths'!B1418))),"")</f>
        <v/>
      </c>
      <c r="D1418" s="91">
        <f>IF(C1418="","",IF(COUNTIF($C$4:C1417,C1418)=0,SUMIF($C$4:$C$3997,C1418,$B$4:$B$3997)-ROW()/1000000,""))</f>
        <v/>
      </c>
      <c r="E1418" s="91">
        <f>IF(AND(N('Deal maths'!F1418)&gt;AsAt,N('Deal maths'!E1418)&lt;=AsAt,IF(N('Deal maths'!H1418)&gt;0,N('Deal maths'!H1418),N('Deal maths'!D1418))&gt;0),N('Deal maths'!F1418)+ROW()/1000000,"")</f>
        <v/>
      </c>
    </row>
    <row r="1419">
      <c r="A1419" s="91" t="n"/>
      <c r="B1419" s="111">
        <f>IF(AND(N('Deal maths'!F1419)&gt;AsAt,N('Deal maths'!E1419)&lt;=AsAt),IF(N('Deal maths'!H1419)&gt;0,N('Deal maths'!H1419),N('Deal maths'!D1419)),0)</f>
        <v/>
      </c>
      <c r="C1419" s="91">
        <f>IF(B1419&gt;0,IF('Deal maths'!C1419="Local authority","Local authorities",LOWER(TRIM('Deal maths'!B1419))),"")</f>
        <v/>
      </c>
      <c r="D1419" s="91">
        <f>IF(C1419="","",IF(COUNTIF($C$4:C1418,C1419)=0,SUMIF($C$4:$C$3997,C1419,$B$4:$B$3997)-ROW()/1000000,""))</f>
        <v/>
      </c>
      <c r="E1419" s="91">
        <f>IF(AND(N('Deal maths'!F1419)&gt;AsAt,N('Deal maths'!E1419)&lt;=AsAt,IF(N('Deal maths'!H1419)&gt;0,N('Deal maths'!H1419),N('Deal maths'!D1419))&gt;0),N('Deal maths'!F1419)+ROW()/1000000,"")</f>
        <v/>
      </c>
    </row>
    <row r="1420">
      <c r="A1420" s="91" t="n"/>
      <c r="B1420" s="111">
        <f>IF(AND(N('Deal maths'!F1420)&gt;AsAt,N('Deal maths'!E1420)&lt;=AsAt),IF(N('Deal maths'!H1420)&gt;0,N('Deal maths'!H1420),N('Deal maths'!D1420)),0)</f>
        <v/>
      </c>
      <c r="C1420" s="91">
        <f>IF(B1420&gt;0,IF('Deal maths'!C1420="Local authority","Local authorities",LOWER(TRIM('Deal maths'!B1420))),"")</f>
        <v/>
      </c>
      <c r="D1420" s="91">
        <f>IF(C1420="","",IF(COUNTIF($C$4:C1419,C1420)=0,SUMIF($C$4:$C$3997,C1420,$B$4:$B$3997)-ROW()/1000000,""))</f>
        <v/>
      </c>
      <c r="E1420" s="91">
        <f>IF(AND(N('Deal maths'!F1420)&gt;AsAt,N('Deal maths'!E1420)&lt;=AsAt,IF(N('Deal maths'!H1420)&gt;0,N('Deal maths'!H1420),N('Deal maths'!D1420))&gt;0),N('Deal maths'!F1420)+ROW()/1000000,"")</f>
        <v/>
      </c>
    </row>
    <row r="1421">
      <c r="A1421" s="91" t="n"/>
      <c r="B1421" s="111">
        <f>IF(AND(N('Deal maths'!F1421)&gt;AsAt,N('Deal maths'!E1421)&lt;=AsAt),IF(N('Deal maths'!H1421)&gt;0,N('Deal maths'!H1421),N('Deal maths'!D1421)),0)</f>
        <v/>
      </c>
      <c r="C1421" s="91">
        <f>IF(B1421&gt;0,IF('Deal maths'!C1421="Local authority","Local authorities",LOWER(TRIM('Deal maths'!B1421))),"")</f>
        <v/>
      </c>
      <c r="D1421" s="91">
        <f>IF(C1421="","",IF(COUNTIF($C$4:C1420,C1421)=0,SUMIF($C$4:$C$3997,C1421,$B$4:$B$3997)-ROW()/1000000,""))</f>
        <v/>
      </c>
      <c r="E1421" s="91">
        <f>IF(AND(N('Deal maths'!F1421)&gt;AsAt,N('Deal maths'!E1421)&lt;=AsAt,IF(N('Deal maths'!H1421)&gt;0,N('Deal maths'!H1421),N('Deal maths'!D1421))&gt;0),N('Deal maths'!F1421)+ROW()/1000000,"")</f>
        <v/>
      </c>
    </row>
    <row r="1422">
      <c r="A1422" s="91" t="n"/>
      <c r="B1422" s="111">
        <f>IF(AND(N('Deal maths'!F1422)&gt;AsAt,N('Deal maths'!E1422)&lt;=AsAt),IF(N('Deal maths'!H1422)&gt;0,N('Deal maths'!H1422),N('Deal maths'!D1422)),0)</f>
        <v/>
      </c>
      <c r="C1422" s="91">
        <f>IF(B1422&gt;0,IF('Deal maths'!C1422="Local authority","Local authorities",LOWER(TRIM('Deal maths'!B1422))),"")</f>
        <v/>
      </c>
      <c r="D1422" s="91">
        <f>IF(C1422="","",IF(COUNTIF($C$4:C1421,C1422)=0,SUMIF($C$4:$C$3997,C1422,$B$4:$B$3997)-ROW()/1000000,""))</f>
        <v/>
      </c>
      <c r="E1422" s="91">
        <f>IF(AND(N('Deal maths'!F1422)&gt;AsAt,N('Deal maths'!E1422)&lt;=AsAt,IF(N('Deal maths'!H1422)&gt;0,N('Deal maths'!H1422),N('Deal maths'!D1422))&gt;0),N('Deal maths'!F1422)+ROW()/1000000,"")</f>
        <v/>
      </c>
    </row>
    <row r="1423">
      <c r="A1423" s="91" t="n"/>
      <c r="B1423" s="111">
        <f>IF(AND(N('Deal maths'!F1423)&gt;AsAt,N('Deal maths'!E1423)&lt;=AsAt),IF(N('Deal maths'!H1423)&gt;0,N('Deal maths'!H1423),N('Deal maths'!D1423)),0)</f>
        <v/>
      </c>
      <c r="C1423" s="91">
        <f>IF(B1423&gt;0,IF('Deal maths'!C1423="Local authority","Local authorities",LOWER(TRIM('Deal maths'!B1423))),"")</f>
        <v/>
      </c>
      <c r="D1423" s="91">
        <f>IF(C1423="","",IF(COUNTIF($C$4:C1422,C1423)=0,SUMIF($C$4:$C$3997,C1423,$B$4:$B$3997)-ROW()/1000000,""))</f>
        <v/>
      </c>
      <c r="E1423" s="91">
        <f>IF(AND(N('Deal maths'!F1423)&gt;AsAt,N('Deal maths'!E1423)&lt;=AsAt,IF(N('Deal maths'!H1423)&gt;0,N('Deal maths'!H1423),N('Deal maths'!D1423))&gt;0),N('Deal maths'!F1423)+ROW()/1000000,"")</f>
        <v/>
      </c>
    </row>
    <row r="1424">
      <c r="A1424" s="91" t="n"/>
      <c r="B1424" s="111">
        <f>IF(AND(N('Deal maths'!F1424)&gt;AsAt,N('Deal maths'!E1424)&lt;=AsAt),IF(N('Deal maths'!H1424)&gt;0,N('Deal maths'!H1424),N('Deal maths'!D1424)),0)</f>
        <v/>
      </c>
      <c r="C1424" s="91">
        <f>IF(B1424&gt;0,IF('Deal maths'!C1424="Local authority","Local authorities",LOWER(TRIM('Deal maths'!B1424))),"")</f>
        <v/>
      </c>
      <c r="D1424" s="91">
        <f>IF(C1424="","",IF(COUNTIF($C$4:C1423,C1424)=0,SUMIF($C$4:$C$3997,C1424,$B$4:$B$3997)-ROW()/1000000,""))</f>
        <v/>
      </c>
      <c r="E1424" s="91">
        <f>IF(AND(N('Deal maths'!F1424)&gt;AsAt,N('Deal maths'!E1424)&lt;=AsAt,IF(N('Deal maths'!H1424)&gt;0,N('Deal maths'!H1424),N('Deal maths'!D1424))&gt;0),N('Deal maths'!F1424)+ROW()/1000000,"")</f>
        <v/>
      </c>
    </row>
    <row r="1425">
      <c r="A1425" s="91" t="n"/>
      <c r="B1425" s="111">
        <f>IF(AND(N('Deal maths'!F1425)&gt;AsAt,N('Deal maths'!E1425)&lt;=AsAt),IF(N('Deal maths'!H1425)&gt;0,N('Deal maths'!H1425),N('Deal maths'!D1425)),0)</f>
        <v/>
      </c>
      <c r="C1425" s="91">
        <f>IF(B1425&gt;0,IF('Deal maths'!C1425="Local authority","Local authorities",LOWER(TRIM('Deal maths'!B1425))),"")</f>
        <v/>
      </c>
      <c r="D1425" s="91">
        <f>IF(C1425="","",IF(COUNTIF($C$4:C1424,C1425)=0,SUMIF($C$4:$C$3997,C1425,$B$4:$B$3997)-ROW()/1000000,""))</f>
        <v/>
      </c>
      <c r="E1425" s="91">
        <f>IF(AND(N('Deal maths'!F1425)&gt;AsAt,N('Deal maths'!E1425)&lt;=AsAt,IF(N('Deal maths'!H1425)&gt;0,N('Deal maths'!H1425),N('Deal maths'!D1425))&gt;0),N('Deal maths'!F1425)+ROW()/1000000,"")</f>
        <v/>
      </c>
    </row>
    <row r="1426">
      <c r="A1426" s="91" t="n"/>
      <c r="B1426" s="111">
        <f>IF(AND(N('Deal maths'!F1426)&gt;AsAt,N('Deal maths'!E1426)&lt;=AsAt),IF(N('Deal maths'!H1426)&gt;0,N('Deal maths'!H1426),N('Deal maths'!D1426)),0)</f>
        <v/>
      </c>
      <c r="C1426" s="91">
        <f>IF(B1426&gt;0,IF('Deal maths'!C1426="Local authority","Local authorities",LOWER(TRIM('Deal maths'!B1426))),"")</f>
        <v/>
      </c>
      <c r="D1426" s="91">
        <f>IF(C1426="","",IF(COUNTIF($C$4:C1425,C1426)=0,SUMIF($C$4:$C$3997,C1426,$B$4:$B$3997)-ROW()/1000000,""))</f>
        <v/>
      </c>
      <c r="E1426" s="91">
        <f>IF(AND(N('Deal maths'!F1426)&gt;AsAt,N('Deal maths'!E1426)&lt;=AsAt,IF(N('Deal maths'!H1426)&gt;0,N('Deal maths'!H1426),N('Deal maths'!D1426))&gt;0),N('Deal maths'!F1426)+ROW()/1000000,"")</f>
        <v/>
      </c>
    </row>
    <row r="1427">
      <c r="A1427" s="91" t="n"/>
      <c r="B1427" s="111">
        <f>IF(AND(N('Deal maths'!F1427)&gt;AsAt,N('Deal maths'!E1427)&lt;=AsAt),IF(N('Deal maths'!H1427)&gt;0,N('Deal maths'!H1427),N('Deal maths'!D1427)),0)</f>
        <v/>
      </c>
      <c r="C1427" s="91">
        <f>IF(B1427&gt;0,IF('Deal maths'!C1427="Local authority","Local authorities",LOWER(TRIM('Deal maths'!B1427))),"")</f>
        <v/>
      </c>
      <c r="D1427" s="91">
        <f>IF(C1427="","",IF(COUNTIF($C$4:C1426,C1427)=0,SUMIF($C$4:$C$3997,C1427,$B$4:$B$3997)-ROW()/1000000,""))</f>
        <v/>
      </c>
      <c r="E1427" s="91">
        <f>IF(AND(N('Deal maths'!F1427)&gt;AsAt,N('Deal maths'!E1427)&lt;=AsAt,IF(N('Deal maths'!H1427)&gt;0,N('Deal maths'!H1427),N('Deal maths'!D1427))&gt;0),N('Deal maths'!F1427)+ROW()/1000000,"")</f>
        <v/>
      </c>
    </row>
    <row r="1428">
      <c r="A1428" s="91" t="n"/>
      <c r="B1428" s="111">
        <f>IF(AND(N('Deal maths'!F1428)&gt;AsAt,N('Deal maths'!E1428)&lt;=AsAt),IF(N('Deal maths'!H1428)&gt;0,N('Deal maths'!H1428),N('Deal maths'!D1428)),0)</f>
        <v/>
      </c>
      <c r="C1428" s="91">
        <f>IF(B1428&gt;0,IF('Deal maths'!C1428="Local authority","Local authorities",LOWER(TRIM('Deal maths'!B1428))),"")</f>
        <v/>
      </c>
      <c r="D1428" s="91">
        <f>IF(C1428="","",IF(COUNTIF($C$4:C1427,C1428)=0,SUMIF($C$4:$C$3997,C1428,$B$4:$B$3997)-ROW()/1000000,""))</f>
        <v/>
      </c>
      <c r="E1428" s="91">
        <f>IF(AND(N('Deal maths'!F1428)&gt;AsAt,N('Deal maths'!E1428)&lt;=AsAt,IF(N('Deal maths'!H1428)&gt;0,N('Deal maths'!H1428),N('Deal maths'!D1428))&gt;0),N('Deal maths'!F1428)+ROW()/1000000,"")</f>
        <v/>
      </c>
    </row>
    <row r="1429">
      <c r="A1429" s="91" t="n"/>
      <c r="B1429" s="111">
        <f>IF(AND(N('Deal maths'!F1429)&gt;AsAt,N('Deal maths'!E1429)&lt;=AsAt),IF(N('Deal maths'!H1429)&gt;0,N('Deal maths'!H1429),N('Deal maths'!D1429)),0)</f>
        <v/>
      </c>
      <c r="C1429" s="91">
        <f>IF(B1429&gt;0,IF('Deal maths'!C1429="Local authority","Local authorities",LOWER(TRIM('Deal maths'!B1429))),"")</f>
        <v/>
      </c>
      <c r="D1429" s="91">
        <f>IF(C1429="","",IF(COUNTIF($C$4:C1428,C1429)=0,SUMIF($C$4:$C$3997,C1429,$B$4:$B$3997)-ROW()/1000000,""))</f>
        <v/>
      </c>
      <c r="E1429" s="91">
        <f>IF(AND(N('Deal maths'!F1429)&gt;AsAt,N('Deal maths'!E1429)&lt;=AsAt,IF(N('Deal maths'!H1429)&gt;0,N('Deal maths'!H1429),N('Deal maths'!D1429))&gt;0),N('Deal maths'!F1429)+ROW()/1000000,"")</f>
        <v/>
      </c>
    </row>
    <row r="1430">
      <c r="A1430" s="91" t="n"/>
      <c r="B1430" s="111">
        <f>IF(AND(N('Deal maths'!F1430)&gt;AsAt,N('Deal maths'!E1430)&lt;=AsAt),IF(N('Deal maths'!H1430)&gt;0,N('Deal maths'!H1430),N('Deal maths'!D1430)),0)</f>
        <v/>
      </c>
      <c r="C1430" s="91">
        <f>IF(B1430&gt;0,IF('Deal maths'!C1430="Local authority","Local authorities",LOWER(TRIM('Deal maths'!B1430))),"")</f>
        <v/>
      </c>
      <c r="D1430" s="91">
        <f>IF(C1430="","",IF(COUNTIF($C$4:C1429,C1430)=0,SUMIF($C$4:$C$3997,C1430,$B$4:$B$3997)-ROW()/1000000,""))</f>
        <v/>
      </c>
      <c r="E1430" s="91">
        <f>IF(AND(N('Deal maths'!F1430)&gt;AsAt,N('Deal maths'!E1430)&lt;=AsAt,IF(N('Deal maths'!H1430)&gt;0,N('Deal maths'!H1430),N('Deal maths'!D1430))&gt;0),N('Deal maths'!F1430)+ROW()/1000000,"")</f>
        <v/>
      </c>
    </row>
    <row r="1431">
      <c r="A1431" s="91" t="n"/>
      <c r="B1431" s="111">
        <f>IF(AND(N('Deal maths'!F1431)&gt;AsAt,N('Deal maths'!E1431)&lt;=AsAt),IF(N('Deal maths'!H1431)&gt;0,N('Deal maths'!H1431),N('Deal maths'!D1431)),0)</f>
        <v/>
      </c>
      <c r="C1431" s="91">
        <f>IF(B1431&gt;0,IF('Deal maths'!C1431="Local authority","Local authorities",LOWER(TRIM('Deal maths'!B1431))),"")</f>
        <v/>
      </c>
      <c r="D1431" s="91">
        <f>IF(C1431="","",IF(COUNTIF($C$4:C1430,C1431)=0,SUMIF($C$4:$C$3997,C1431,$B$4:$B$3997)-ROW()/1000000,""))</f>
        <v/>
      </c>
      <c r="E1431" s="91">
        <f>IF(AND(N('Deal maths'!F1431)&gt;AsAt,N('Deal maths'!E1431)&lt;=AsAt,IF(N('Deal maths'!H1431)&gt;0,N('Deal maths'!H1431),N('Deal maths'!D1431))&gt;0),N('Deal maths'!F1431)+ROW()/1000000,"")</f>
        <v/>
      </c>
    </row>
    <row r="1432">
      <c r="A1432" s="91" t="n"/>
      <c r="B1432" s="111">
        <f>IF(AND(N('Deal maths'!F1432)&gt;AsAt,N('Deal maths'!E1432)&lt;=AsAt),IF(N('Deal maths'!H1432)&gt;0,N('Deal maths'!H1432),N('Deal maths'!D1432)),0)</f>
        <v/>
      </c>
      <c r="C1432" s="91">
        <f>IF(B1432&gt;0,IF('Deal maths'!C1432="Local authority","Local authorities",LOWER(TRIM('Deal maths'!B1432))),"")</f>
        <v/>
      </c>
      <c r="D1432" s="91">
        <f>IF(C1432="","",IF(COUNTIF($C$4:C1431,C1432)=0,SUMIF($C$4:$C$3997,C1432,$B$4:$B$3997)-ROW()/1000000,""))</f>
        <v/>
      </c>
      <c r="E1432" s="91">
        <f>IF(AND(N('Deal maths'!F1432)&gt;AsAt,N('Deal maths'!E1432)&lt;=AsAt,IF(N('Deal maths'!H1432)&gt;0,N('Deal maths'!H1432),N('Deal maths'!D1432))&gt;0),N('Deal maths'!F1432)+ROW()/1000000,"")</f>
        <v/>
      </c>
    </row>
    <row r="1433">
      <c r="A1433" s="91" t="n"/>
      <c r="B1433" s="111">
        <f>IF(AND(N('Deal maths'!F1433)&gt;AsAt,N('Deal maths'!E1433)&lt;=AsAt),IF(N('Deal maths'!H1433)&gt;0,N('Deal maths'!H1433),N('Deal maths'!D1433)),0)</f>
        <v/>
      </c>
      <c r="C1433" s="91">
        <f>IF(B1433&gt;0,IF('Deal maths'!C1433="Local authority","Local authorities",LOWER(TRIM('Deal maths'!B1433))),"")</f>
        <v/>
      </c>
      <c r="D1433" s="91">
        <f>IF(C1433="","",IF(COUNTIF($C$4:C1432,C1433)=0,SUMIF($C$4:$C$3997,C1433,$B$4:$B$3997)-ROW()/1000000,""))</f>
        <v/>
      </c>
      <c r="E1433" s="91">
        <f>IF(AND(N('Deal maths'!F1433)&gt;AsAt,N('Deal maths'!E1433)&lt;=AsAt,IF(N('Deal maths'!H1433)&gt;0,N('Deal maths'!H1433),N('Deal maths'!D1433))&gt;0),N('Deal maths'!F1433)+ROW()/1000000,"")</f>
        <v/>
      </c>
    </row>
    <row r="1434">
      <c r="A1434" s="91" t="n"/>
      <c r="B1434" s="111">
        <f>IF(AND(N('Deal maths'!F1434)&gt;AsAt,N('Deal maths'!E1434)&lt;=AsAt),IF(N('Deal maths'!H1434)&gt;0,N('Deal maths'!H1434),N('Deal maths'!D1434)),0)</f>
        <v/>
      </c>
      <c r="C1434" s="91">
        <f>IF(B1434&gt;0,IF('Deal maths'!C1434="Local authority","Local authorities",LOWER(TRIM('Deal maths'!B1434))),"")</f>
        <v/>
      </c>
      <c r="D1434" s="91">
        <f>IF(C1434="","",IF(COUNTIF($C$4:C1433,C1434)=0,SUMIF($C$4:$C$3997,C1434,$B$4:$B$3997)-ROW()/1000000,""))</f>
        <v/>
      </c>
      <c r="E1434" s="91">
        <f>IF(AND(N('Deal maths'!F1434)&gt;AsAt,N('Deal maths'!E1434)&lt;=AsAt,IF(N('Deal maths'!H1434)&gt;0,N('Deal maths'!H1434),N('Deal maths'!D1434))&gt;0),N('Deal maths'!F1434)+ROW()/1000000,"")</f>
        <v/>
      </c>
    </row>
    <row r="1435">
      <c r="A1435" s="91" t="n"/>
      <c r="B1435" s="111">
        <f>IF(AND(N('Deal maths'!F1435)&gt;AsAt,N('Deal maths'!E1435)&lt;=AsAt),IF(N('Deal maths'!H1435)&gt;0,N('Deal maths'!H1435),N('Deal maths'!D1435)),0)</f>
        <v/>
      </c>
      <c r="C1435" s="91">
        <f>IF(B1435&gt;0,IF('Deal maths'!C1435="Local authority","Local authorities",LOWER(TRIM('Deal maths'!B1435))),"")</f>
        <v/>
      </c>
      <c r="D1435" s="91">
        <f>IF(C1435="","",IF(COUNTIF($C$4:C1434,C1435)=0,SUMIF($C$4:$C$3997,C1435,$B$4:$B$3997)-ROW()/1000000,""))</f>
        <v/>
      </c>
      <c r="E1435" s="91">
        <f>IF(AND(N('Deal maths'!F1435)&gt;AsAt,N('Deal maths'!E1435)&lt;=AsAt,IF(N('Deal maths'!H1435)&gt;0,N('Deal maths'!H1435),N('Deal maths'!D1435))&gt;0),N('Deal maths'!F1435)+ROW()/1000000,"")</f>
        <v/>
      </c>
    </row>
    <row r="1436">
      <c r="A1436" s="91" t="n"/>
      <c r="B1436" s="111">
        <f>IF(AND(N('Deal maths'!F1436)&gt;AsAt,N('Deal maths'!E1436)&lt;=AsAt),IF(N('Deal maths'!H1436)&gt;0,N('Deal maths'!H1436),N('Deal maths'!D1436)),0)</f>
        <v/>
      </c>
      <c r="C1436" s="91">
        <f>IF(B1436&gt;0,IF('Deal maths'!C1436="Local authority","Local authorities",LOWER(TRIM('Deal maths'!B1436))),"")</f>
        <v/>
      </c>
      <c r="D1436" s="91">
        <f>IF(C1436="","",IF(COUNTIF($C$4:C1435,C1436)=0,SUMIF($C$4:$C$3997,C1436,$B$4:$B$3997)-ROW()/1000000,""))</f>
        <v/>
      </c>
      <c r="E1436" s="91">
        <f>IF(AND(N('Deal maths'!F1436)&gt;AsAt,N('Deal maths'!E1436)&lt;=AsAt,IF(N('Deal maths'!H1436)&gt;0,N('Deal maths'!H1436),N('Deal maths'!D1436))&gt;0),N('Deal maths'!F1436)+ROW()/1000000,"")</f>
        <v/>
      </c>
    </row>
    <row r="1437">
      <c r="A1437" s="91" t="n"/>
      <c r="B1437" s="111">
        <f>IF(AND(N('Deal maths'!F1437)&gt;AsAt,N('Deal maths'!E1437)&lt;=AsAt),IF(N('Deal maths'!H1437)&gt;0,N('Deal maths'!H1437),N('Deal maths'!D1437)),0)</f>
        <v/>
      </c>
      <c r="C1437" s="91">
        <f>IF(B1437&gt;0,IF('Deal maths'!C1437="Local authority","Local authorities",LOWER(TRIM('Deal maths'!B1437))),"")</f>
        <v/>
      </c>
      <c r="D1437" s="91">
        <f>IF(C1437="","",IF(COUNTIF($C$4:C1436,C1437)=0,SUMIF($C$4:$C$3997,C1437,$B$4:$B$3997)-ROW()/1000000,""))</f>
        <v/>
      </c>
      <c r="E1437" s="91">
        <f>IF(AND(N('Deal maths'!F1437)&gt;AsAt,N('Deal maths'!E1437)&lt;=AsAt,IF(N('Deal maths'!H1437)&gt;0,N('Deal maths'!H1437),N('Deal maths'!D1437))&gt;0),N('Deal maths'!F1437)+ROW()/1000000,"")</f>
        <v/>
      </c>
    </row>
    <row r="1438">
      <c r="A1438" s="91" t="n"/>
      <c r="B1438" s="111">
        <f>IF(AND(N('Deal maths'!F1438)&gt;AsAt,N('Deal maths'!E1438)&lt;=AsAt),IF(N('Deal maths'!H1438)&gt;0,N('Deal maths'!H1438),N('Deal maths'!D1438)),0)</f>
        <v/>
      </c>
      <c r="C1438" s="91">
        <f>IF(B1438&gt;0,IF('Deal maths'!C1438="Local authority","Local authorities",LOWER(TRIM('Deal maths'!B1438))),"")</f>
        <v/>
      </c>
      <c r="D1438" s="91">
        <f>IF(C1438="","",IF(COUNTIF($C$4:C1437,C1438)=0,SUMIF($C$4:$C$3997,C1438,$B$4:$B$3997)-ROW()/1000000,""))</f>
        <v/>
      </c>
      <c r="E1438" s="91">
        <f>IF(AND(N('Deal maths'!F1438)&gt;AsAt,N('Deal maths'!E1438)&lt;=AsAt,IF(N('Deal maths'!H1438)&gt;0,N('Deal maths'!H1438),N('Deal maths'!D1438))&gt;0),N('Deal maths'!F1438)+ROW()/1000000,"")</f>
        <v/>
      </c>
    </row>
    <row r="1439">
      <c r="A1439" s="91" t="n"/>
      <c r="B1439" s="111">
        <f>IF(AND(N('Deal maths'!F1439)&gt;AsAt,N('Deal maths'!E1439)&lt;=AsAt),IF(N('Deal maths'!H1439)&gt;0,N('Deal maths'!H1439),N('Deal maths'!D1439)),0)</f>
        <v/>
      </c>
      <c r="C1439" s="91">
        <f>IF(B1439&gt;0,IF('Deal maths'!C1439="Local authority","Local authorities",LOWER(TRIM('Deal maths'!B1439))),"")</f>
        <v/>
      </c>
      <c r="D1439" s="91">
        <f>IF(C1439="","",IF(COUNTIF($C$4:C1438,C1439)=0,SUMIF($C$4:$C$3997,C1439,$B$4:$B$3997)-ROW()/1000000,""))</f>
        <v/>
      </c>
      <c r="E1439" s="91">
        <f>IF(AND(N('Deal maths'!F1439)&gt;AsAt,N('Deal maths'!E1439)&lt;=AsAt,IF(N('Deal maths'!H1439)&gt;0,N('Deal maths'!H1439),N('Deal maths'!D1439))&gt;0),N('Deal maths'!F1439)+ROW()/1000000,"")</f>
        <v/>
      </c>
    </row>
    <row r="1440">
      <c r="A1440" s="91" t="n"/>
      <c r="B1440" s="111">
        <f>IF(AND(N('Deal maths'!F1440)&gt;AsAt,N('Deal maths'!E1440)&lt;=AsAt),IF(N('Deal maths'!H1440)&gt;0,N('Deal maths'!H1440),N('Deal maths'!D1440)),0)</f>
        <v/>
      </c>
      <c r="C1440" s="91">
        <f>IF(B1440&gt;0,IF('Deal maths'!C1440="Local authority","Local authorities",LOWER(TRIM('Deal maths'!B1440))),"")</f>
        <v/>
      </c>
      <c r="D1440" s="91">
        <f>IF(C1440="","",IF(COUNTIF($C$4:C1439,C1440)=0,SUMIF($C$4:$C$3997,C1440,$B$4:$B$3997)-ROW()/1000000,""))</f>
        <v/>
      </c>
      <c r="E1440" s="91">
        <f>IF(AND(N('Deal maths'!F1440)&gt;AsAt,N('Deal maths'!E1440)&lt;=AsAt,IF(N('Deal maths'!H1440)&gt;0,N('Deal maths'!H1440),N('Deal maths'!D1440))&gt;0),N('Deal maths'!F1440)+ROW()/1000000,"")</f>
        <v/>
      </c>
    </row>
    <row r="1441">
      <c r="A1441" s="91" t="n"/>
      <c r="B1441" s="111">
        <f>IF(AND(N('Deal maths'!F1441)&gt;AsAt,N('Deal maths'!E1441)&lt;=AsAt),IF(N('Deal maths'!H1441)&gt;0,N('Deal maths'!H1441),N('Deal maths'!D1441)),0)</f>
        <v/>
      </c>
      <c r="C1441" s="91">
        <f>IF(B1441&gt;0,IF('Deal maths'!C1441="Local authority","Local authorities",LOWER(TRIM('Deal maths'!B1441))),"")</f>
        <v/>
      </c>
      <c r="D1441" s="91">
        <f>IF(C1441="","",IF(COUNTIF($C$4:C1440,C1441)=0,SUMIF($C$4:$C$3997,C1441,$B$4:$B$3997)-ROW()/1000000,""))</f>
        <v/>
      </c>
      <c r="E1441" s="91">
        <f>IF(AND(N('Deal maths'!F1441)&gt;AsAt,N('Deal maths'!E1441)&lt;=AsAt,IF(N('Deal maths'!H1441)&gt;0,N('Deal maths'!H1441),N('Deal maths'!D1441))&gt;0),N('Deal maths'!F1441)+ROW()/1000000,"")</f>
        <v/>
      </c>
    </row>
    <row r="1442">
      <c r="A1442" s="91" t="n"/>
      <c r="B1442" s="111">
        <f>IF(AND(N('Deal maths'!F1442)&gt;AsAt,N('Deal maths'!E1442)&lt;=AsAt),IF(N('Deal maths'!H1442)&gt;0,N('Deal maths'!H1442),N('Deal maths'!D1442)),0)</f>
        <v/>
      </c>
      <c r="C1442" s="91">
        <f>IF(B1442&gt;0,IF('Deal maths'!C1442="Local authority","Local authorities",LOWER(TRIM('Deal maths'!B1442))),"")</f>
        <v/>
      </c>
      <c r="D1442" s="91">
        <f>IF(C1442="","",IF(COUNTIF($C$4:C1441,C1442)=0,SUMIF($C$4:$C$3997,C1442,$B$4:$B$3997)-ROW()/1000000,""))</f>
        <v/>
      </c>
      <c r="E1442" s="91">
        <f>IF(AND(N('Deal maths'!F1442)&gt;AsAt,N('Deal maths'!E1442)&lt;=AsAt,IF(N('Deal maths'!H1442)&gt;0,N('Deal maths'!H1442),N('Deal maths'!D1442))&gt;0),N('Deal maths'!F1442)+ROW()/1000000,"")</f>
        <v/>
      </c>
    </row>
    <row r="1443">
      <c r="A1443" s="91" t="n"/>
      <c r="B1443" s="111">
        <f>IF(AND(N('Deal maths'!F1443)&gt;AsAt,N('Deal maths'!E1443)&lt;=AsAt),IF(N('Deal maths'!H1443)&gt;0,N('Deal maths'!H1443),N('Deal maths'!D1443)),0)</f>
        <v/>
      </c>
      <c r="C1443" s="91">
        <f>IF(B1443&gt;0,IF('Deal maths'!C1443="Local authority","Local authorities",LOWER(TRIM('Deal maths'!B1443))),"")</f>
        <v/>
      </c>
      <c r="D1443" s="91">
        <f>IF(C1443="","",IF(COUNTIF($C$4:C1442,C1443)=0,SUMIF($C$4:$C$3997,C1443,$B$4:$B$3997)-ROW()/1000000,""))</f>
        <v/>
      </c>
      <c r="E1443" s="91">
        <f>IF(AND(N('Deal maths'!F1443)&gt;AsAt,N('Deal maths'!E1443)&lt;=AsAt,IF(N('Deal maths'!H1443)&gt;0,N('Deal maths'!H1443),N('Deal maths'!D1443))&gt;0),N('Deal maths'!F1443)+ROW()/1000000,"")</f>
        <v/>
      </c>
    </row>
    <row r="1444">
      <c r="A1444" s="91" t="n"/>
      <c r="B1444" s="111">
        <f>IF(AND(N('Deal maths'!F1444)&gt;AsAt,N('Deal maths'!E1444)&lt;=AsAt),IF(N('Deal maths'!H1444)&gt;0,N('Deal maths'!H1444),N('Deal maths'!D1444)),0)</f>
        <v/>
      </c>
      <c r="C1444" s="91">
        <f>IF(B1444&gt;0,IF('Deal maths'!C1444="Local authority","Local authorities",LOWER(TRIM('Deal maths'!B1444))),"")</f>
        <v/>
      </c>
      <c r="D1444" s="91">
        <f>IF(C1444="","",IF(COUNTIF($C$4:C1443,C1444)=0,SUMIF($C$4:$C$3997,C1444,$B$4:$B$3997)-ROW()/1000000,""))</f>
        <v/>
      </c>
      <c r="E1444" s="91">
        <f>IF(AND(N('Deal maths'!F1444)&gt;AsAt,N('Deal maths'!E1444)&lt;=AsAt,IF(N('Deal maths'!H1444)&gt;0,N('Deal maths'!H1444),N('Deal maths'!D1444))&gt;0),N('Deal maths'!F1444)+ROW()/1000000,"")</f>
        <v/>
      </c>
    </row>
    <row r="1445">
      <c r="A1445" s="91" t="n"/>
      <c r="B1445" s="111">
        <f>IF(AND(N('Deal maths'!F1445)&gt;AsAt,N('Deal maths'!E1445)&lt;=AsAt),IF(N('Deal maths'!H1445)&gt;0,N('Deal maths'!H1445),N('Deal maths'!D1445)),0)</f>
        <v/>
      </c>
      <c r="C1445" s="91">
        <f>IF(B1445&gt;0,IF('Deal maths'!C1445="Local authority","Local authorities",LOWER(TRIM('Deal maths'!B1445))),"")</f>
        <v/>
      </c>
      <c r="D1445" s="91">
        <f>IF(C1445="","",IF(COUNTIF($C$4:C1444,C1445)=0,SUMIF($C$4:$C$3997,C1445,$B$4:$B$3997)-ROW()/1000000,""))</f>
        <v/>
      </c>
      <c r="E1445" s="91">
        <f>IF(AND(N('Deal maths'!F1445)&gt;AsAt,N('Deal maths'!E1445)&lt;=AsAt,IF(N('Deal maths'!H1445)&gt;0,N('Deal maths'!H1445),N('Deal maths'!D1445))&gt;0),N('Deal maths'!F1445)+ROW()/1000000,"")</f>
        <v/>
      </c>
    </row>
    <row r="1446">
      <c r="A1446" s="91" t="n"/>
      <c r="B1446" s="111">
        <f>IF(AND(N('Deal maths'!F1446)&gt;AsAt,N('Deal maths'!E1446)&lt;=AsAt),IF(N('Deal maths'!H1446)&gt;0,N('Deal maths'!H1446),N('Deal maths'!D1446)),0)</f>
        <v/>
      </c>
      <c r="C1446" s="91">
        <f>IF(B1446&gt;0,IF('Deal maths'!C1446="Local authority","Local authorities",LOWER(TRIM('Deal maths'!B1446))),"")</f>
        <v/>
      </c>
      <c r="D1446" s="91">
        <f>IF(C1446="","",IF(COUNTIF($C$4:C1445,C1446)=0,SUMIF($C$4:$C$3997,C1446,$B$4:$B$3997)-ROW()/1000000,""))</f>
        <v/>
      </c>
      <c r="E1446" s="91">
        <f>IF(AND(N('Deal maths'!F1446)&gt;AsAt,N('Deal maths'!E1446)&lt;=AsAt,IF(N('Deal maths'!H1446)&gt;0,N('Deal maths'!H1446),N('Deal maths'!D1446))&gt;0),N('Deal maths'!F1446)+ROW()/1000000,"")</f>
        <v/>
      </c>
    </row>
    <row r="1447">
      <c r="A1447" s="91" t="n"/>
      <c r="B1447" s="111">
        <f>IF(AND(N('Deal maths'!F1447)&gt;AsAt,N('Deal maths'!E1447)&lt;=AsAt),IF(N('Deal maths'!H1447)&gt;0,N('Deal maths'!H1447),N('Deal maths'!D1447)),0)</f>
        <v/>
      </c>
      <c r="C1447" s="91">
        <f>IF(B1447&gt;0,IF('Deal maths'!C1447="Local authority","Local authorities",LOWER(TRIM('Deal maths'!B1447))),"")</f>
        <v/>
      </c>
      <c r="D1447" s="91">
        <f>IF(C1447="","",IF(COUNTIF($C$4:C1446,C1447)=0,SUMIF($C$4:$C$3997,C1447,$B$4:$B$3997)-ROW()/1000000,""))</f>
        <v/>
      </c>
      <c r="E1447" s="91">
        <f>IF(AND(N('Deal maths'!F1447)&gt;AsAt,N('Deal maths'!E1447)&lt;=AsAt,IF(N('Deal maths'!H1447)&gt;0,N('Deal maths'!H1447),N('Deal maths'!D1447))&gt;0),N('Deal maths'!F1447)+ROW()/1000000,"")</f>
        <v/>
      </c>
    </row>
    <row r="1448">
      <c r="A1448" s="91" t="n"/>
      <c r="B1448" s="111">
        <f>IF(AND(N('Deal maths'!F1448)&gt;AsAt,N('Deal maths'!E1448)&lt;=AsAt),IF(N('Deal maths'!H1448)&gt;0,N('Deal maths'!H1448),N('Deal maths'!D1448)),0)</f>
        <v/>
      </c>
      <c r="C1448" s="91">
        <f>IF(B1448&gt;0,IF('Deal maths'!C1448="Local authority","Local authorities",LOWER(TRIM('Deal maths'!B1448))),"")</f>
        <v/>
      </c>
      <c r="D1448" s="91">
        <f>IF(C1448="","",IF(COUNTIF($C$4:C1447,C1448)=0,SUMIF($C$4:$C$3997,C1448,$B$4:$B$3997)-ROW()/1000000,""))</f>
        <v/>
      </c>
      <c r="E1448" s="91">
        <f>IF(AND(N('Deal maths'!F1448)&gt;AsAt,N('Deal maths'!E1448)&lt;=AsAt,IF(N('Deal maths'!H1448)&gt;0,N('Deal maths'!H1448),N('Deal maths'!D1448))&gt;0),N('Deal maths'!F1448)+ROW()/1000000,"")</f>
        <v/>
      </c>
    </row>
    <row r="1449">
      <c r="A1449" s="91" t="n"/>
      <c r="B1449" s="111">
        <f>IF(AND(N('Deal maths'!F1449)&gt;AsAt,N('Deal maths'!E1449)&lt;=AsAt),IF(N('Deal maths'!H1449)&gt;0,N('Deal maths'!H1449),N('Deal maths'!D1449)),0)</f>
        <v/>
      </c>
      <c r="C1449" s="91">
        <f>IF(B1449&gt;0,IF('Deal maths'!C1449="Local authority","Local authorities",LOWER(TRIM('Deal maths'!B1449))),"")</f>
        <v/>
      </c>
      <c r="D1449" s="91">
        <f>IF(C1449="","",IF(COUNTIF($C$4:C1448,C1449)=0,SUMIF($C$4:$C$3997,C1449,$B$4:$B$3997)-ROW()/1000000,""))</f>
        <v/>
      </c>
      <c r="E1449" s="91">
        <f>IF(AND(N('Deal maths'!F1449)&gt;AsAt,N('Deal maths'!E1449)&lt;=AsAt,IF(N('Deal maths'!H1449)&gt;0,N('Deal maths'!H1449),N('Deal maths'!D1449))&gt;0),N('Deal maths'!F1449)+ROW()/1000000,"")</f>
        <v/>
      </c>
    </row>
    <row r="1450">
      <c r="A1450" s="91" t="n"/>
      <c r="B1450" s="111">
        <f>IF(AND(N('Deal maths'!F1450)&gt;AsAt,N('Deal maths'!E1450)&lt;=AsAt),IF(N('Deal maths'!H1450)&gt;0,N('Deal maths'!H1450),N('Deal maths'!D1450)),0)</f>
        <v/>
      </c>
      <c r="C1450" s="91">
        <f>IF(B1450&gt;0,IF('Deal maths'!C1450="Local authority","Local authorities",LOWER(TRIM('Deal maths'!B1450))),"")</f>
        <v/>
      </c>
      <c r="D1450" s="91">
        <f>IF(C1450="","",IF(COUNTIF($C$4:C1449,C1450)=0,SUMIF($C$4:$C$3997,C1450,$B$4:$B$3997)-ROW()/1000000,""))</f>
        <v/>
      </c>
      <c r="E1450" s="91">
        <f>IF(AND(N('Deal maths'!F1450)&gt;AsAt,N('Deal maths'!E1450)&lt;=AsAt,IF(N('Deal maths'!H1450)&gt;0,N('Deal maths'!H1450),N('Deal maths'!D1450))&gt;0),N('Deal maths'!F1450)+ROW()/1000000,"")</f>
        <v/>
      </c>
    </row>
    <row r="1451">
      <c r="A1451" s="91" t="n"/>
      <c r="B1451" s="111">
        <f>IF(AND(N('Deal maths'!F1451)&gt;AsAt,N('Deal maths'!E1451)&lt;=AsAt),IF(N('Deal maths'!H1451)&gt;0,N('Deal maths'!H1451),N('Deal maths'!D1451)),0)</f>
        <v/>
      </c>
      <c r="C1451" s="91">
        <f>IF(B1451&gt;0,IF('Deal maths'!C1451="Local authority","Local authorities",LOWER(TRIM('Deal maths'!B1451))),"")</f>
        <v/>
      </c>
      <c r="D1451" s="91">
        <f>IF(C1451="","",IF(COUNTIF($C$4:C1450,C1451)=0,SUMIF($C$4:$C$3997,C1451,$B$4:$B$3997)-ROW()/1000000,""))</f>
        <v/>
      </c>
      <c r="E1451" s="91">
        <f>IF(AND(N('Deal maths'!F1451)&gt;AsAt,N('Deal maths'!E1451)&lt;=AsAt,IF(N('Deal maths'!H1451)&gt;0,N('Deal maths'!H1451),N('Deal maths'!D1451))&gt;0),N('Deal maths'!F1451)+ROW()/1000000,"")</f>
        <v/>
      </c>
    </row>
    <row r="1452">
      <c r="A1452" s="91" t="n"/>
      <c r="B1452" s="111">
        <f>IF(AND(N('Deal maths'!F1452)&gt;AsAt,N('Deal maths'!E1452)&lt;=AsAt),IF(N('Deal maths'!H1452)&gt;0,N('Deal maths'!H1452),N('Deal maths'!D1452)),0)</f>
        <v/>
      </c>
      <c r="C1452" s="91">
        <f>IF(B1452&gt;0,IF('Deal maths'!C1452="Local authority","Local authorities",LOWER(TRIM('Deal maths'!B1452))),"")</f>
        <v/>
      </c>
      <c r="D1452" s="91">
        <f>IF(C1452="","",IF(COUNTIF($C$4:C1451,C1452)=0,SUMIF($C$4:$C$3997,C1452,$B$4:$B$3997)-ROW()/1000000,""))</f>
        <v/>
      </c>
      <c r="E1452" s="91">
        <f>IF(AND(N('Deal maths'!F1452)&gt;AsAt,N('Deal maths'!E1452)&lt;=AsAt,IF(N('Deal maths'!H1452)&gt;0,N('Deal maths'!H1452),N('Deal maths'!D1452))&gt;0),N('Deal maths'!F1452)+ROW()/1000000,"")</f>
        <v/>
      </c>
    </row>
    <row r="1453">
      <c r="A1453" s="91" t="n"/>
      <c r="B1453" s="111">
        <f>IF(AND(N('Deal maths'!F1453)&gt;AsAt,N('Deal maths'!E1453)&lt;=AsAt),IF(N('Deal maths'!H1453)&gt;0,N('Deal maths'!H1453),N('Deal maths'!D1453)),0)</f>
        <v/>
      </c>
      <c r="C1453" s="91">
        <f>IF(B1453&gt;0,IF('Deal maths'!C1453="Local authority","Local authorities",LOWER(TRIM('Deal maths'!B1453))),"")</f>
        <v/>
      </c>
      <c r="D1453" s="91">
        <f>IF(C1453="","",IF(COUNTIF($C$4:C1452,C1453)=0,SUMIF($C$4:$C$3997,C1453,$B$4:$B$3997)-ROW()/1000000,""))</f>
        <v/>
      </c>
      <c r="E1453" s="91">
        <f>IF(AND(N('Deal maths'!F1453)&gt;AsAt,N('Deal maths'!E1453)&lt;=AsAt,IF(N('Deal maths'!H1453)&gt;0,N('Deal maths'!H1453),N('Deal maths'!D1453))&gt;0),N('Deal maths'!F1453)+ROW()/1000000,"")</f>
        <v/>
      </c>
    </row>
    <row r="1454">
      <c r="A1454" s="91" t="n"/>
      <c r="B1454" s="111">
        <f>IF(AND(N('Deal maths'!F1454)&gt;AsAt,N('Deal maths'!E1454)&lt;=AsAt),IF(N('Deal maths'!H1454)&gt;0,N('Deal maths'!H1454),N('Deal maths'!D1454)),0)</f>
        <v/>
      </c>
      <c r="C1454" s="91">
        <f>IF(B1454&gt;0,IF('Deal maths'!C1454="Local authority","Local authorities",LOWER(TRIM('Deal maths'!B1454))),"")</f>
        <v/>
      </c>
      <c r="D1454" s="91">
        <f>IF(C1454="","",IF(COUNTIF($C$4:C1453,C1454)=0,SUMIF($C$4:$C$3997,C1454,$B$4:$B$3997)-ROW()/1000000,""))</f>
        <v/>
      </c>
      <c r="E1454" s="91">
        <f>IF(AND(N('Deal maths'!F1454)&gt;AsAt,N('Deal maths'!E1454)&lt;=AsAt,IF(N('Deal maths'!H1454)&gt;0,N('Deal maths'!H1454),N('Deal maths'!D1454))&gt;0),N('Deal maths'!F1454)+ROW()/1000000,"")</f>
        <v/>
      </c>
    </row>
    <row r="1455">
      <c r="A1455" s="91" t="n"/>
      <c r="B1455" s="111">
        <f>IF(AND(N('Deal maths'!F1455)&gt;AsAt,N('Deal maths'!E1455)&lt;=AsAt),IF(N('Deal maths'!H1455)&gt;0,N('Deal maths'!H1455),N('Deal maths'!D1455)),0)</f>
        <v/>
      </c>
      <c r="C1455" s="91">
        <f>IF(B1455&gt;0,IF('Deal maths'!C1455="Local authority","Local authorities",LOWER(TRIM('Deal maths'!B1455))),"")</f>
        <v/>
      </c>
      <c r="D1455" s="91">
        <f>IF(C1455="","",IF(COUNTIF($C$4:C1454,C1455)=0,SUMIF($C$4:$C$3997,C1455,$B$4:$B$3997)-ROW()/1000000,""))</f>
        <v/>
      </c>
      <c r="E1455" s="91">
        <f>IF(AND(N('Deal maths'!F1455)&gt;AsAt,N('Deal maths'!E1455)&lt;=AsAt,IF(N('Deal maths'!H1455)&gt;0,N('Deal maths'!H1455),N('Deal maths'!D1455))&gt;0),N('Deal maths'!F1455)+ROW()/1000000,"")</f>
        <v/>
      </c>
    </row>
    <row r="1456">
      <c r="A1456" s="91" t="n"/>
      <c r="B1456" s="111">
        <f>IF(AND(N('Deal maths'!F1456)&gt;AsAt,N('Deal maths'!E1456)&lt;=AsAt),IF(N('Deal maths'!H1456)&gt;0,N('Deal maths'!H1456),N('Deal maths'!D1456)),0)</f>
        <v/>
      </c>
      <c r="C1456" s="91">
        <f>IF(B1456&gt;0,IF('Deal maths'!C1456="Local authority","Local authorities",LOWER(TRIM('Deal maths'!B1456))),"")</f>
        <v/>
      </c>
      <c r="D1456" s="91">
        <f>IF(C1456="","",IF(COUNTIF($C$4:C1455,C1456)=0,SUMIF($C$4:$C$3997,C1456,$B$4:$B$3997)-ROW()/1000000,""))</f>
        <v/>
      </c>
      <c r="E1456" s="91">
        <f>IF(AND(N('Deal maths'!F1456)&gt;AsAt,N('Deal maths'!E1456)&lt;=AsAt,IF(N('Deal maths'!H1456)&gt;0,N('Deal maths'!H1456),N('Deal maths'!D1456))&gt;0),N('Deal maths'!F1456)+ROW()/1000000,"")</f>
        <v/>
      </c>
    </row>
    <row r="1457">
      <c r="A1457" s="91" t="n"/>
      <c r="B1457" s="111">
        <f>IF(AND(N('Deal maths'!F1457)&gt;AsAt,N('Deal maths'!E1457)&lt;=AsAt),IF(N('Deal maths'!H1457)&gt;0,N('Deal maths'!H1457),N('Deal maths'!D1457)),0)</f>
        <v/>
      </c>
      <c r="C1457" s="91">
        <f>IF(B1457&gt;0,IF('Deal maths'!C1457="Local authority","Local authorities",LOWER(TRIM('Deal maths'!B1457))),"")</f>
        <v/>
      </c>
      <c r="D1457" s="91">
        <f>IF(C1457="","",IF(COUNTIF($C$4:C1456,C1457)=0,SUMIF($C$4:$C$3997,C1457,$B$4:$B$3997)-ROW()/1000000,""))</f>
        <v/>
      </c>
      <c r="E1457" s="91">
        <f>IF(AND(N('Deal maths'!F1457)&gt;AsAt,N('Deal maths'!E1457)&lt;=AsAt,IF(N('Deal maths'!H1457)&gt;0,N('Deal maths'!H1457),N('Deal maths'!D1457))&gt;0),N('Deal maths'!F1457)+ROW()/1000000,"")</f>
        <v/>
      </c>
    </row>
    <row r="1458">
      <c r="A1458" s="91" t="n"/>
      <c r="B1458" s="111">
        <f>IF(AND(N('Deal maths'!F1458)&gt;AsAt,N('Deal maths'!E1458)&lt;=AsAt),IF(N('Deal maths'!H1458)&gt;0,N('Deal maths'!H1458),N('Deal maths'!D1458)),0)</f>
        <v/>
      </c>
      <c r="C1458" s="91">
        <f>IF(B1458&gt;0,IF('Deal maths'!C1458="Local authority","Local authorities",LOWER(TRIM('Deal maths'!B1458))),"")</f>
        <v/>
      </c>
      <c r="D1458" s="91">
        <f>IF(C1458="","",IF(COUNTIF($C$4:C1457,C1458)=0,SUMIF($C$4:$C$3997,C1458,$B$4:$B$3997)-ROW()/1000000,""))</f>
        <v/>
      </c>
      <c r="E1458" s="91">
        <f>IF(AND(N('Deal maths'!F1458)&gt;AsAt,N('Deal maths'!E1458)&lt;=AsAt,IF(N('Deal maths'!H1458)&gt;0,N('Deal maths'!H1458),N('Deal maths'!D1458))&gt;0),N('Deal maths'!F1458)+ROW()/1000000,"")</f>
        <v/>
      </c>
    </row>
    <row r="1459">
      <c r="A1459" s="91" t="n"/>
      <c r="B1459" s="111">
        <f>IF(AND(N('Deal maths'!F1459)&gt;AsAt,N('Deal maths'!E1459)&lt;=AsAt),IF(N('Deal maths'!H1459)&gt;0,N('Deal maths'!H1459),N('Deal maths'!D1459)),0)</f>
        <v/>
      </c>
      <c r="C1459" s="91">
        <f>IF(B1459&gt;0,IF('Deal maths'!C1459="Local authority","Local authorities",LOWER(TRIM('Deal maths'!B1459))),"")</f>
        <v/>
      </c>
      <c r="D1459" s="91">
        <f>IF(C1459="","",IF(COUNTIF($C$4:C1458,C1459)=0,SUMIF($C$4:$C$3997,C1459,$B$4:$B$3997)-ROW()/1000000,""))</f>
        <v/>
      </c>
      <c r="E1459" s="91">
        <f>IF(AND(N('Deal maths'!F1459)&gt;AsAt,N('Deal maths'!E1459)&lt;=AsAt,IF(N('Deal maths'!H1459)&gt;0,N('Deal maths'!H1459),N('Deal maths'!D1459))&gt;0),N('Deal maths'!F1459)+ROW()/1000000,"")</f>
        <v/>
      </c>
    </row>
    <row r="1460">
      <c r="A1460" s="91" t="n"/>
      <c r="B1460" s="111">
        <f>IF(AND(N('Deal maths'!F1460)&gt;AsAt,N('Deal maths'!E1460)&lt;=AsAt),IF(N('Deal maths'!H1460)&gt;0,N('Deal maths'!H1460),N('Deal maths'!D1460)),0)</f>
        <v/>
      </c>
      <c r="C1460" s="91">
        <f>IF(B1460&gt;0,IF('Deal maths'!C1460="Local authority","Local authorities",LOWER(TRIM('Deal maths'!B1460))),"")</f>
        <v/>
      </c>
      <c r="D1460" s="91">
        <f>IF(C1460="","",IF(COUNTIF($C$4:C1459,C1460)=0,SUMIF($C$4:$C$3997,C1460,$B$4:$B$3997)-ROW()/1000000,""))</f>
        <v/>
      </c>
      <c r="E1460" s="91">
        <f>IF(AND(N('Deal maths'!F1460)&gt;AsAt,N('Deal maths'!E1460)&lt;=AsAt,IF(N('Deal maths'!H1460)&gt;0,N('Deal maths'!H1460),N('Deal maths'!D1460))&gt;0),N('Deal maths'!F1460)+ROW()/1000000,"")</f>
        <v/>
      </c>
    </row>
    <row r="1461">
      <c r="A1461" s="91" t="n"/>
      <c r="B1461" s="111">
        <f>IF(AND(N('Deal maths'!F1461)&gt;AsAt,N('Deal maths'!E1461)&lt;=AsAt),IF(N('Deal maths'!H1461)&gt;0,N('Deal maths'!H1461),N('Deal maths'!D1461)),0)</f>
        <v/>
      </c>
      <c r="C1461" s="91">
        <f>IF(B1461&gt;0,IF('Deal maths'!C1461="Local authority","Local authorities",LOWER(TRIM('Deal maths'!B1461))),"")</f>
        <v/>
      </c>
      <c r="D1461" s="91">
        <f>IF(C1461="","",IF(COUNTIF($C$4:C1460,C1461)=0,SUMIF($C$4:$C$3997,C1461,$B$4:$B$3997)-ROW()/1000000,""))</f>
        <v/>
      </c>
      <c r="E1461" s="91">
        <f>IF(AND(N('Deal maths'!F1461)&gt;AsAt,N('Deal maths'!E1461)&lt;=AsAt,IF(N('Deal maths'!H1461)&gt;0,N('Deal maths'!H1461),N('Deal maths'!D1461))&gt;0),N('Deal maths'!F1461)+ROW()/1000000,"")</f>
        <v/>
      </c>
    </row>
    <row r="1462">
      <c r="A1462" s="91" t="n"/>
      <c r="B1462" s="111">
        <f>IF(AND(N('Deal maths'!F1462)&gt;AsAt,N('Deal maths'!E1462)&lt;=AsAt),IF(N('Deal maths'!H1462)&gt;0,N('Deal maths'!H1462),N('Deal maths'!D1462)),0)</f>
        <v/>
      </c>
      <c r="C1462" s="91">
        <f>IF(B1462&gt;0,IF('Deal maths'!C1462="Local authority","Local authorities",LOWER(TRIM('Deal maths'!B1462))),"")</f>
        <v/>
      </c>
      <c r="D1462" s="91">
        <f>IF(C1462="","",IF(COUNTIF($C$4:C1461,C1462)=0,SUMIF($C$4:$C$3997,C1462,$B$4:$B$3997)-ROW()/1000000,""))</f>
        <v/>
      </c>
      <c r="E1462" s="91">
        <f>IF(AND(N('Deal maths'!F1462)&gt;AsAt,N('Deal maths'!E1462)&lt;=AsAt,IF(N('Deal maths'!H1462)&gt;0,N('Deal maths'!H1462),N('Deal maths'!D1462))&gt;0),N('Deal maths'!F1462)+ROW()/1000000,"")</f>
        <v/>
      </c>
    </row>
    <row r="1463">
      <c r="A1463" s="91" t="n"/>
      <c r="B1463" s="111">
        <f>IF(AND(N('Deal maths'!F1463)&gt;AsAt,N('Deal maths'!E1463)&lt;=AsAt),IF(N('Deal maths'!H1463)&gt;0,N('Deal maths'!H1463),N('Deal maths'!D1463)),0)</f>
        <v/>
      </c>
      <c r="C1463" s="91">
        <f>IF(B1463&gt;0,IF('Deal maths'!C1463="Local authority","Local authorities",LOWER(TRIM('Deal maths'!B1463))),"")</f>
        <v/>
      </c>
      <c r="D1463" s="91">
        <f>IF(C1463="","",IF(COUNTIF($C$4:C1462,C1463)=0,SUMIF($C$4:$C$3997,C1463,$B$4:$B$3997)-ROW()/1000000,""))</f>
        <v/>
      </c>
      <c r="E1463" s="91">
        <f>IF(AND(N('Deal maths'!F1463)&gt;AsAt,N('Deal maths'!E1463)&lt;=AsAt,IF(N('Deal maths'!H1463)&gt;0,N('Deal maths'!H1463),N('Deal maths'!D1463))&gt;0),N('Deal maths'!F1463)+ROW()/1000000,"")</f>
        <v/>
      </c>
    </row>
    <row r="1464">
      <c r="A1464" s="91" t="n"/>
      <c r="B1464" s="111">
        <f>IF(AND(N('Deal maths'!F1464)&gt;AsAt,N('Deal maths'!E1464)&lt;=AsAt),IF(N('Deal maths'!H1464)&gt;0,N('Deal maths'!H1464),N('Deal maths'!D1464)),0)</f>
        <v/>
      </c>
      <c r="C1464" s="91">
        <f>IF(B1464&gt;0,IF('Deal maths'!C1464="Local authority","Local authorities",LOWER(TRIM('Deal maths'!B1464))),"")</f>
        <v/>
      </c>
      <c r="D1464" s="91">
        <f>IF(C1464="","",IF(COUNTIF($C$4:C1463,C1464)=0,SUMIF($C$4:$C$3997,C1464,$B$4:$B$3997)-ROW()/1000000,""))</f>
        <v/>
      </c>
      <c r="E1464" s="91">
        <f>IF(AND(N('Deal maths'!F1464)&gt;AsAt,N('Deal maths'!E1464)&lt;=AsAt,IF(N('Deal maths'!H1464)&gt;0,N('Deal maths'!H1464),N('Deal maths'!D1464))&gt;0),N('Deal maths'!F1464)+ROW()/1000000,"")</f>
        <v/>
      </c>
    </row>
    <row r="1465">
      <c r="A1465" s="91" t="n"/>
      <c r="B1465" s="111">
        <f>IF(AND(N('Deal maths'!F1465)&gt;AsAt,N('Deal maths'!E1465)&lt;=AsAt),IF(N('Deal maths'!H1465)&gt;0,N('Deal maths'!H1465),N('Deal maths'!D1465)),0)</f>
        <v/>
      </c>
      <c r="C1465" s="91">
        <f>IF(B1465&gt;0,IF('Deal maths'!C1465="Local authority","Local authorities",LOWER(TRIM('Deal maths'!B1465))),"")</f>
        <v/>
      </c>
      <c r="D1465" s="91">
        <f>IF(C1465="","",IF(COUNTIF($C$4:C1464,C1465)=0,SUMIF($C$4:$C$3997,C1465,$B$4:$B$3997)-ROW()/1000000,""))</f>
        <v/>
      </c>
      <c r="E1465" s="91">
        <f>IF(AND(N('Deal maths'!F1465)&gt;AsAt,N('Deal maths'!E1465)&lt;=AsAt,IF(N('Deal maths'!H1465)&gt;0,N('Deal maths'!H1465),N('Deal maths'!D1465))&gt;0),N('Deal maths'!F1465)+ROW()/1000000,"")</f>
        <v/>
      </c>
    </row>
    <row r="1466">
      <c r="A1466" s="91" t="n"/>
      <c r="B1466" s="111">
        <f>IF(AND(N('Deal maths'!F1466)&gt;AsAt,N('Deal maths'!E1466)&lt;=AsAt),IF(N('Deal maths'!H1466)&gt;0,N('Deal maths'!H1466),N('Deal maths'!D1466)),0)</f>
        <v/>
      </c>
      <c r="C1466" s="91">
        <f>IF(B1466&gt;0,IF('Deal maths'!C1466="Local authority","Local authorities",LOWER(TRIM('Deal maths'!B1466))),"")</f>
        <v/>
      </c>
      <c r="D1466" s="91">
        <f>IF(C1466="","",IF(COUNTIF($C$4:C1465,C1466)=0,SUMIF($C$4:$C$3997,C1466,$B$4:$B$3997)-ROW()/1000000,""))</f>
        <v/>
      </c>
      <c r="E1466" s="91">
        <f>IF(AND(N('Deal maths'!F1466)&gt;AsAt,N('Deal maths'!E1466)&lt;=AsAt,IF(N('Deal maths'!H1466)&gt;0,N('Deal maths'!H1466),N('Deal maths'!D1466))&gt;0),N('Deal maths'!F1466)+ROW()/1000000,"")</f>
        <v/>
      </c>
    </row>
    <row r="1467">
      <c r="A1467" s="91" t="n"/>
      <c r="B1467" s="111">
        <f>IF(AND(N('Deal maths'!F1467)&gt;AsAt,N('Deal maths'!E1467)&lt;=AsAt),IF(N('Deal maths'!H1467)&gt;0,N('Deal maths'!H1467),N('Deal maths'!D1467)),0)</f>
        <v/>
      </c>
      <c r="C1467" s="91">
        <f>IF(B1467&gt;0,IF('Deal maths'!C1467="Local authority","Local authorities",LOWER(TRIM('Deal maths'!B1467))),"")</f>
        <v/>
      </c>
      <c r="D1467" s="91">
        <f>IF(C1467="","",IF(COUNTIF($C$4:C1466,C1467)=0,SUMIF($C$4:$C$3997,C1467,$B$4:$B$3997)-ROW()/1000000,""))</f>
        <v/>
      </c>
      <c r="E1467" s="91">
        <f>IF(AND(N('Deal maths'!F1467)&gt;AsAt,N('Deal maths'!E1467)&lt;=AsAt,IF(N('Deal maths'!H1467)&gt;0,N('Deal maths'!H1467),N('Deal maths'!D1467))&gt;0),N('Deal maths'!F1467)+ROW()/1000000,"")</f>
        <v/>
      </c>
    </row>
    <row r="1468">
      <c r="A1468" s="91" t="n"/>
      <c r="B1468" s="111">
        <f>IF(AND(N('Deal maths'!F1468)&gt;AsAt,N('Deal maths'!E1468)&lt;=AsAt),IF(N('Deal maths'!H1468)&gt;0,N('Deal maths'!H1468),N('Deal maths'!D1468)),0)</f>
        <v/>
      </c>
      <c r="C1468" s="91">
        <f>IF(B1468&gt;0,IF('Deal maths'!C1468="Local authority","Local authorities",LOWER(TRIM('Deal maths'!B1468))),"")</f>
        <v/>
      </c>
      <c r="D1468" s="91">
        <f>IF(C1468="","",IF(COUNTIF($C$4:C1467,C1468)=0,SUMIF($C$4:$C$3997,C1468,$B$4:$B$3997)-ROW()/1000000,""))</f>
        <v/>
      </c>
      <c r="E1468" s="91">
        <f>IF(AND(N('Deal maths'!F1468)&gt;AsAt,N('Deal maths'!E1468)&lt;=AsAt,IF(N('Deal maths'!H1468)&gt;0,N('Deal maths'!H1468),N('Deal maths'!D1468))&gt;0),N('Deal maths'!F1468)+ROW()/1000000,"")</f>
        <v/>
      </c>
    </row>
    <row r="1469">
      <c r="A1469" s="91" t="n"/>
      <c r="B1469" s="111">
        <f>IF(AND(N('Deal maths'!F1469)&gt;AsAt,N('Deal maths'!E1469)&lt;=AsAt),IF(N('Deal maths'!H1469)&gt;0,N('Deal maths'!H1469),N('Deal maths'!D1469)),0)</f>
        <v/>
      </c>
      <c r="C1469" s="91">
        <f>IF(B1469&gt;0,IF('Deal maths'!C1469="Local authority","Local authorities",LOWER(TRIM('Deal maths'!B1469))),"")</f>
        <v/>
      </c>
      <c r="D1469" s="91">
        <f>IF(C1469="","",IF(COUNTIF($C$4:C1468,C1469)=0,SUMIF($C$4:$C$3997,C1469,$B$4:$B$3997)-ROW()/1000000,""))</f>
        <v/>
      </c>
      <c r="E1469" s="91">
        <f>IF(AND(N('Deal maths'!F1469)&gt;AsAt,N('Deal maths'!E1469)&lt;=AsAt,IF(N('Deal maths'!H1469)&gt;0,N('Deal maths'!H1469),N('Deal maths'!D1469))&gt;0),N('Deal maths'!F1469)+ROW()/1000000,"")</f>
        <v/>
      </c>
    </row>
    <row r="1470">
      <c r="A1470" s="91" t="n"/>
      <c r="B1470" s="111">
        <f>IF(AND(N('Deal maths'!F1470)&gt;AsAt,N('Deal maths'!E1470)&lt;=AsAt),IF(N('Deal maths'!H1470)&gt;0,N('Deal maths'!H1470),N('Deal maths'!D1470)),0)</f>
        <v/>
      </c>
      <c r="C1470" s="91">
        <f>IF(B1470&gt;0,IF('Deal maths'!C1470="Local authority","Local authorities",LOWER(TRIM('Deal maths'!B1470))),"")</f>
        <v/>
      </c>
      <c r="D1470" s="91">
        <f>IF(C1470="","",IF(COUNTIF($C$4:C1469,C1470)=0,SUMIF($C$4:$C$3997,C1470,$B$4:$B$3997)-ROW()/1000000,""))</f>
        <v/>
      </c>
      <c r="E1470" s="91">
        <f>IF(AND(N('Deal maths'!F1470)&gt;AsAt,N('Deal maths'!E1470)&lt;=AsAt,IF(N('Deal maths'!H1470)&gt;0,N('Deal maths'!H1470),N('Deal maths'!D1470))&gt;0),N('Deal maths'!F1470)+ROW()/1000000,"")</f>
        <v/>
      </c>
    </row>
    <row r="1471">
      <c r="A1471" s="91" t="n"/>
      <c r="B1471" s="111">
        <f>IF(AND(N('Deal maths'!F1471)&gt;AsAt,N('Deal maths'!E1471)&lt;=AsAt),IF(N('Deal maths'!H1471)&gt;0,N('Deal maths'!H1471),N('Deal maths'!D1471)),0)</f>
        <v/>
      </c>
      <c r="C1471" s="91">
        <f>IF(B1471&gt;0,IF('Deal maths'!C1471="Local authority","Local authorities",LOWER(TRIM('Deal maths'!B1471))),"")</f>
        <v/>
      </c>
      <c r="D1471" s="91">
        <f>IF(C1471="","",IF(COUNTIF($C$4:C1470,C1471)=0,SUMIF($C$4:$C$3997,C1471,$B$4:$B$3997)-ROW()/1000000,""))</f>
        <v/>
      </c>
      <c r="E1471" s="91">
        <f>IF(AND(N('Deal maths'!F1471)&gt;AsAt,N('Deal maths'!E1471)&lt;=AsAt,IF(N('Deal maths'!H1471)&gt;0,N('Deal maths'!H1471),N('Deal maths'!D1471))&gt;0),N('Deal maths'!F1471)+ROW()/1000000,"")</f>
        <v/>
      </c>
    </row>
    <row r="1472">
      <c r="A1472" s="91" t="n"/>
      <c r="B1472" s="111">
        <f>IF(AND(N('Deal maths'!F1472)&gt;AsAt,N('Deal maths'!E1472)&lt;=AsAt),IF(N('Deal maths'!H1472)&gt;0,N('Deal maths'!H1472),N('Deal maths'!D1472)),0)</f>
        <v/>
      </c>
      <c r="C1472" s="91">
        <f>IF(B1472&gt;0,IF('Deal maths'!C1472="Local authority","Local authorities",LOWER(TRIM('Deal maths'!B1472))),"")</f>
        <v/>
      </c>
      <c r="D1472" s="91">
        <f>IF(C1472="","",IF(COUNTIF($C$4:C1471,C1472)=0,SUMIF($C$4:$C$3997,C1472,$B$4:$B$3997)-ROW()/1000000,""))</f>
        <v/>
      </c>
      <c r="E1472" s="91">
        <f>IF(AND(N('Deal maths'!F1472)&gt;AsAt,N('Deal maths'!E1472)&lt;=AsAt,IF(N('Deal maths'!H1472)&gt;0,N('Deal maths'!H1472),N('Deal maths'!D1472))&gt;0),N('Deal maths'!F1472)+ROW()/1000000,"")</f>
        <v/>
      </c>
    </row>
    <row r="1473">
      <c r="A1473" s="91" t="n"/>
      <c r="B1473" s="111">
        <f>IF(AND(N('Deal maths'!F1473)&gt;AsAt,N('Deal maths'!E1473)&lt;=AsAt),IF(N('Deal maths'!H1473)&gt;0,N('Deal maths'!H1473),N('Deal maths'!D1473)),0)</f>
        <v/>
      </c>
      <c r="C1473" s="91">
        <f>IF(B1473&gt;0,IF('Deal maths'!C1473="Local authority","Local authorities",LOWER(TRIM('Deal maths'!B1473))),"")</f>
        <v/>
      </c>
      <c r="D1473" s="91">
        <f>IF(C1473="","",IF(COUNTIF($C$4:C1472,C1473)=0,SUMIF($C$4:$C$3997,C1473,$B$4:$B$3997)-ROW()/1000000,""))</f>
        <v/>
      </c>
      <c r="E1473" s="91">
        <f>IF(AND(N('Deal maths'!F1473)&gt;AsAt,N('Deal maths'!E1473)&lt;=AsAt,IF(N('Deal maths'!H1473)&gt;0,N('Deal maths'!H1473),N('Deal maths'!D1473))&gt;0),N('Deal maths'!F1473)+ROW()/1000000,"")</f>
        <v/>
      </c>
    </row>
    <row r="1474">
      <c r="A1474" s="91" t="n"/>
      <c r="B1474" s="111">
        <f>IF(AND(N('Deal maths'!F1474)&gt;AsAt,N('Deal maths'!E1474)&lt;=AsAt),IF(N('Deal maths'!H1474)&gt;0,N('Deal maths'!H1474),N('Deal maths'!D1474)),0)</f>
        <v/>
      </c>
      <c r="C1474" s="91">
        <f>IF(B1474&gt;0,IF('Deal maths'!C1474="Local authority","Local authorities",LOWER(TRIM('Deal maths'!B1474))),"")</f>
        <v/>
      </c>
      <c r="D1474" s="91">
        <f>IF(C1474="","",IF(COUNTIF($C$4:C1473,C1474)=0,SUMIF($C$4:$C$3997,C1474,$B$4:$B$3997)-ROW()/1000000,""))</f>
        <v/>
      </c>
      <c r="E1474" s="91">
        <f>IF(AND(N('Deal maths'!F1474)&gt;AsAt,N('Deal maths'!E1474)&lt;=AsAt,IF(N('Deal maths'!H1474)&gt;0,N('Deal maths'!H1474),N('Deal maths'!D1474))&gt;0),N('Deal maths'!F1474)+ROW()/1000000,"")</f>
        <v/>
      </c>
    </row>
    <row r="1475">
      <c r="A1475" s="91" t="n"/>
      <c r="B1475" s="111">
        <f>IF(AND(N('Deal maths'!F1475)&gt;AsAt,N('Deal maths'!E1475)&lt;=AsAt),IF(N('Deal maths'!H1475)&gt;0,N('Deal maths'!H1475),N('Deal maths'!D1475)),0)</f>
        <v/>
      </c>
      <c r="C1475" s="91">
        <f>IF(B1475&gt;0,IF('Deal maths'!C1475="Local authority","Local authorities",LOWER(TRIM('Deal maths'!B1475))),"")</f>
        <v/>
      </c>
      <c r="D1475" s="91">
        <f>IF(C1475="","",IF(COUNTIF($C$4:C1474,C1475)=0,SUMIF($C$4:$C$3997,C1475,$B$4:$B$3997)-ROW()/1000000,""))</f>
        <v/>
      </c>
      <c r="E1475" s="91">
        <f>IF(AND(N('Deal maths'!F1475)&gt;AsAt,N('Deal maths'!E1475)&lt;=AsAt,IF(N('Deal maths'!H1475)&gt;0,N('Deal maths'!H1475),N('Deal maths'!D1475))&gt;0),N('Deal maths'!F1475)+ROW()/1000000,"")</f>
        <v/>
      </c>
    </row>
    <row r="1476">
      <c r="A1476" s="91" t="n"/>
      <c r="B1476" s="111">
        <f>IF(AND(N('Deal maths'!F1476)&gt;AsAt,N('Deal maths'!E1476)&lt;=AsAt),IF(N('Deal maths'!H1476)&gt;0,N('Deal maths'!H1476),N('Deal maths'!D1476)),0)</f>
        <v/>
      </c>
      <c r="C1476" s="91">
        <f>IF(B1476&gt;0,IF('Deal maths'!C1476="Local authority","Local authorities",LOWER(TRIM('Deal maths'!B1476))),"")</f>
        <v/>
      </c>
      <c r="D1476" s="91">
        <f>IF(C1476="","",IF(COUNTIF($C$4:C1475,C1476)=0,SUMIF($C$4:$C$3997,C1476,$B$4:$B$3997)-ROW()/1000000,""))</f>
        <v/>
      </c>
      <c r="E1476" s="91">
        <f>IF(AND(N('Deal maths'!F1476)&gt;AsAt,N('Deal maths'!E1476)&lt;=AsAt,IF(N('Deal maths'!H1476)&gt;0,N('Deal maths'!H1476),N('Deal maths'!D1476))&gt;0),N('Deal maths'!F1476)+ROW()/1000000,"")</f>
        <v/>
      </c>
    </row>
    <row r="1477">
      <c r="A1477" s="91" t="n"/>
      <c r="B1477" s="111">
        <f>IF(AND(N('Deal maths'!F1477)&gt;AsAt,N('Deal maths'!E1477)&lt;=AsAt),IF(N('Deal maths'!H1477)&gt;0,N('Deal maths'!H1477),N('Deal maths'!D1477)),0)</f>
        <v/>
      </c>
      <c r="C1477" s="91">
        <f>IF(B1477&gt;0,IF('Deal maths'!C1477="Local authority","Local authorities",LOWER(TRIM('Deal maths'!B1477))),"")</f>
        <v/>
      </c>
      <c r="D1477" s="91">
        <f>IF(C1477="","",IF(COUNTIF($C$4:C1476,C1477)=0,SUMIF($C$4:$C$3997,C1477,$B$4:$B$3997)-ROW()/1000000,""))</f>
        <v/>
      </c>
      <c r="E1477" s="91">
        <f>IF(AND(N('Deal maths'!F1477)&gt;AsAt,N('Deal maths'!E1477)&lt;=AsAt,IF(N('Deal maths'!H1477)&gt;0,N('Deal maths'!H1477),N('Deal maths'!D1477))&gt;0),N('Deal maths'!F1477)+ROW()/1000000,"")</f>
        <v/>
      </c>
    </row>
    <row r="1478">
      <c r="A1478" s="91" t="n"/>
      <c r="B1478" s="111">
        <f>IF(AND(N('Deal maths'!F1478)&gt;AsAt,N('Deal maths'!E1478)&lt;=AsAt),IF(N('Deal maths'!H1478)&gt;0,N('Deal maths'!H1478),N('Deal maths'!D1478)),0)</f>
        <v/>
      </c>
      <c r="C1478" s="91">
        <f>IF(B1478&gt;0,IF('Deal maths'!C1478="Local authority","Local authorities",LOWER(TRIM('Deal maths'!B1478))),"")</f>
        <v/>
      </c>
      <c r="D1478" s="91">
        <f>IF(C1478="","",IF(COUNTIF($C$4:C1477,C1478)=0,SUMIF($C$4:$C$3997,C1478,$B$4:$B$3997)-ROW()/1000000,""))</f>
        <v/>
      </c>
      <c r="E1478" s="91">
        <f>IF(AND(N('Deal maths'!F1478)&gt;AsAt,N('Deal maths'!E1478)&lt;=AsAt,IF(N('Deal maths'!H1478)&gt;0,N('Deal maths'!H1478),N('Deal maths'!D1478))&gt;0),N('Deal maths'!F1478)+ROW()/1000000,"")</f>
        <v/>
      </c>
    </row>
    <row r="1479">
      <c r="A1479" s="91" t="n"/>
      <c r="B1479" s="111">
        <f>IF(AND(N('Deal maths'!F1479)&gt;AsAt,N('Deal maths'!E1479)&lt;=AsAt),IF(N('Deal maths'!H1479)&gt;0,N('Deal maths'!H1479),N('Deal maths'!D1479)),0)</f>
        <v/>
      </c>
      <c r="C1479" s="91">
        <f>IF(B1479&gt;0,IF('Deal maths'!C1479="Local authority","Local authorities",LOWER(TRIM('Deal maths'!B1479))),"")</f>
        <v/>
      </c>
      <c r="D1479" s="91">
        <f>IF(C1479="","",IF(COUNTIF($C$4:C1478,C1479)=0,SUMIF($C$4:$C$3997,C1479,$B$4:$B$3997)-ROW()/1000000,""))</f>
        <v/>
      </c>
      <c r="E1479" s="91">
        <f>IF(AND(N('Deal maths'!F1479)&gt;AsAt,N('Deal maths'!E1479)&lt;=AsAt,IF(N('Deal maths'!H1479)&gt;0,N('Deal maths'!H1479),N('Deal maths'!D1479))&gt;0),N('Deal maths'!F1479)+ROW()/1000000,"")</f>
        <v/>
      </c>
    </row>
    <row r="1480">
      <c r="A1480" s="91" t="n"/>
      <c r="B1480" s="111">
        <f>IF(AND(N('Deal maths'!F1480)&gt;AsAt,N('Deal maths'!E1480)&lt;=AsAt),IF(N('Deal maths'!H1480)&gt;0,N('Deal maths'!H1480),N('Deal maths'!D1480)),0)</f>
        <v/>
      </c>
      <c r="C1480" s="91">
        <f>IF(B1480&gt;0,IF('Deal maths'!C1480="Local authority","Local authorities",LOWER(TRIM('Deal maths'!B1480))),"")</f>
        <v/>
      </c>
      <c r="D1480" s="91">
        <f>IF(C1480="","",IF(COUNTIF($C$4:C1479,C1480)=0,SUMIF($C$4:$C$3997,C1480,$B$4:$B$3997)-ROW()/1000000,""))</f>
        <v/>
      </c>
      <c r="E1480" s="91">
        <f>IF(AND(N('Deal maths'!F1480)&gt;AsAt,N('Deal maths'!E1480)&lt;=AsAt,IF(N('Deal maths'!H1480)&gt;0,N('Deal maths'!H1480),N('Deal maths'!D1480))&gt;0),N('Deal maths'!F1480)+ROW()/1000000,"")</f>
        <v/>
      </c>
    </row>
    <row r="1481">
      <c r="A1481" s="91" t="n"/>
      <c r="B1481" s="111">
        <f>IF(AND(N('Deal maths'!F1481)&gt;AsAt,N('Deal maths'!E1481)&lt;=AsAt),IF(N('Deal maths'!H1481)&gt;0,N('Deal maths'!H1481),N('Deal maths'!D1481)),0)</f>
        <v/>
      </c>
      <c r="C1481" s="91">
        <f>IF(B1481&gt;0,IF('Deal maths'!C1481="Local authority","Local authorities",LOWER(TRIM('Deal maths'!B1481))),"")</f>
        <v/>
      </c>
      <c r="D1481" s="91">
        <f>IF(C1481="","",IF(COUNTIF($C$4:C1480,C1481)=0,SUMIF($C$4:$C$3997,C1481,$B$4:$B$3997)-ROW()/1000000,""))</f>
        <v/>
      </c>
      <c r="E1481" s="91">
        <f>IF(AND(N('Deal maths'!F1481)&gt;AsAt,N('Deal maths'!E1481)&lt;=AsAt,IF(N('Deal maths'!H1481)&gt;0,N('Deal maths'!H1481),N('Deal maths'!D1481))&gt;0),N('Deal maths'!F1481)+ROW()/1000000,"")</f>
        <v/>
      </c>
    </row>
    <row r="1482">
      <c r="A1482" s="91" t="n"/>
      <c r="B1482" s="111">
        <f>IF(AND(N('Deal maths'!F1482)&gt;AsAt,N('Deal maths'!E1482)&lt;=AsAt),IF(N('Deal maths'!H1482)&gt;0,N('Deal maths'!H1482),N('Deal maths'!D1482)),0)</f>
        <v/>
      </c>
      <c r="C1482" s="91">
        <f>IF(B1482&gt;0,IF('Deal maths'!C1482="Local authority","Local authorities",LOWER(TRIM('Deal maths'!B1482))),"")</f>
        <v/>
      </c>
      <c r="D1482" s="91">
        <f>IF(C1482="","",IF(COUNTIF($C$4:C1481,C1482)=0,SUMIF($C$4:$C$3997,C1482,$B$4:$B$3997)-ROW()/1000000,""))</f>
        <v/>
      </c>
      <c r="E1482" s="91">
        <f>IF(AND(N('Deal maths'!F1482)&gt;AsAt,N('Deal maths'!E1482)&lt;=AsAt,IF(N('Deal maths'!H1482)&gt;0,N('Deal maths'!H1482),N('Deal maths'!D1482))&gt;0),N('Deal maths'!F1482)+ROW()/1000000,"")</f>
        <v/>
      </c>
    </row>
    <row r="1483">
      <c r="A1483" s="91" t="n"/>
      <c r="B1483" s="111">
        <f>IF(AND(N('Deal maths'!F1483)&gt;AsAt,N('Deal maths'!E1483)&lt;=AsAt),IF(N('Deal maths'!H1483)&gt;0,N('Deal maths'!H1483),N('Deal maths'!D1483)),0)</f>
        <v/>
      </c>
      <c r="C1483" s="91">
        <f>IF(B1483&gt;0,IF('Deal maths'!C1483="Local authority","Local authorities",LOWER(TRIM('Deal maths'!B1483))),"")</f>
        <v/>
      </c>
      <c r="D1483" s="91">
        <f>IF(C1483="","",IF(COUNTIF($C$4:C1482,C1483)=0,SUMIF($C$4:$C$3997,C1483,$B$4:$B$3997)-ROW()/1000000,""))</f>
        <v/>
      </c>
      <c r="E1483" s="91">
        <f>IF(AND(N('Deal maths'!F1483)&gt;AsAt,N('Deal maths'!E1483)&lt;=AsAt,IF(N('Deal maths'!H1483)&gt;0,N('Deal maths'!H1483),N('Deal maths'!D1483))&gt;0),N('Deal maths'!F1483)+ROW()/1000000,"")</f>
        <v/>
      </c>
    </row>
    <row r="1484">
      <c r="A1484" s="91" t="n"/>
      <c r="B1484" s="111">
        <f>IF(AND(N('Deal maths'!F1484)&gt;AsAt,N('Deal maths'!E1484)&lt;=AsAt),IF(N('Deal maths'!H1484)&gt;0,N('Deal maths'!H1484),N('Deal maths'!D1484)),0)</f>
        <v/>
      </c>
      <c r="C1484" s="91">
        <f>IF(B1484&gt;0,IF('Deal maths'!C1484="Local authority","Local authorities",LOWER(TRIM('Deal maths'!B1484))),"")</f>
        <v/>
      </c>
      <c r="D1484" s="91">
        <f>IF(C1484="","",IF(COUNTIF($C$4:C1483,C1484)=0,SUMIF($C$4:$C$3997,C1484,$B$4:$B$3997)-ROW()/1000000,""))</f>
        <v/>
      </c>
      <c r="E1484" s="91">
        <f>IF(AND(N('Deal maths'!F1484)&gt;AsAt,N('Deal maths'!E1484)&lt;=AsAt,IF(N('Deal maths'!H1484)&gt;0,N('Deal maths'!H1484),N('Deal maths'!D1484))&gt;0),N('Deal maths'!F1484)+ROW()/1000000,"")</f>
        <v/>
      </c>
    </row>
    <row r="1485">
      <c r="A1485" s="91" t="n"/>
      <c r="B1485" s="111">
        <f>IF(AND(N('Deal maths'!F1485)&gt;AsAt,N('Deal maths'!E1485)&lt;=AsAt),IF(N('Deal maths'!H1485)&gt;0,N('Deal maths'!H1485),N('Deal maths'!D1485)),0)</f>
        <v/>
      </c>
      <c r="C1485" s="91">
        <f>IF(B1485&gt;0,IF('Deal maths'!C1485="Local authority","Local authorities",LOWER(TRIM('Deal maths'!B1485))),"")</f>
        <v/>
      </c>
      <c r="D1485" s="91">
        <f>IF(C1485="","",IF(COUNTIF($C$4:C1484,C1485)=0,SUMIF($C$4:$C$3997,C1485,$B$4:$B$3997)-ROW()/1000000,""))</f>
        <v/>
      </c>
      <c r="E1485" s="91">
        <f>IF(AND(N('Deal maths'!F1485)&gt;AsAt,N('Deal maths'!E1485)&lt;=AsAt,IF(N('Deal maths'!H1485)&gt;0,N('Deal maths'!H1485),N('Deal maths'!D1485))&gt;0),N('Deal maths'!F1485)+ROW()/1000000,"")</f>
        <v/>
      </c>
    </row>
    <row r="1486">
      <c r="A1486" s="91" t="n"/>
      <c r="B1486" s="111">
        <f>IF(AND(N('Deal maths'!F1486)&gt;AsAt,N('Deal maths'!E1486)&lt;=AsAt),IF(N('Deal maths'!H1486)&gt;0,N('Deal maths'!H1486),N('Deal maths'!D1486)),0)</f>
        <v/>
      </c>
      <c r="C1486" s="91">
        <f>IF(B1486&gt;0,IF('Deal maths'!C1486="Local authority","Local authorities",LOWER(TRIM('Deal maths'!B1486))),"")</f>
        <v/>
      </c>
      <c r="D1486" s="91">
        <f>IF(C1486="","",IF(COUNTIF($C$4:C1485,C1486)=0,SUMIF($C$4:$C$3997,C1486,$B$4:$B$3997)-ROW()/1000000,""))</f>
        <v/>
      </c>
      <c r="E1486" s="91">
        <f>IF(AND(N('Deal maths'!F1486)&gt;AsAt,N('Deal maths'!E1486)&lt;=AsAt,IF(N('Deal maths'!H1486)&gt;0,N('Deal maths'!H1486),N('Deal maths'!D1486))&gt;0),N('Deal maths'!F1486)+ROW()/1000000,"")</f>
        <v/>
      </c>
    </row>
    <row r="1487">
      <c r="A1487" s="91" t="n"/>
      <c r="B1487" s="111">
        <f>IF(AND(N('Deal maths'!F1487)&gt;AsAt,N('Deal maths'!E1487)&lt;=AsAt),IF(N('Deal maths'!H1487)&gt;0,N('Deal maths'!H1487),N('Deal maths'!D1487)),0)</f>
        <v/>
      </c>
      <c r="C1487" s="91">
        <f>IF(B1487&gt;0,IF('Deal maths'!C1487="Local authority","Local authorities",LOWER(TRIM('Deal maths'!B1487))),"")</f>
        <v/>
      </c>
      <c r="D1487" s="91">
        <f>IF(C1487="","",IF(COUNTIF($C$4:C1486,C1487)=0,SUMIF($C$4:$C$3997,C1487,$B$4:$B$3997)-ROW()/1000000,""))</f>
        <v/>
      </c>
      <c r="E1487" s="91">
        <f>IF(AND(N('Deal maths'!F1487)&gt;AsAt,N('Deal maths'!E1487)&lt;=AsAt,IF(N('Deal maths'!H1487)&gt;0,N('Deal maths'!H1487),N('Deal maths'!D1487))&gt;0),N('Deal maths'!F1487)+ROW()/1000000,"")</f>
        <v/>
      </c>
    </row>
    <row r="1488">
      <c r="A1488" s="91" t="n"/>
      <c r="B1488" s="111">
        <f>IF(AND(N('Deal maths'!F1488)&gt;AsAt,N('Deal maths'!E1488)&lt;=AsAt),IF(N('Deal maths'!H1488)&gt;0,N('Deal maths'!H1488),N('Deal maths'!D1488)),0)</f>
        <v/>
      </c>
      <c r="C1488" s="91">
        <f>IF(B1488&gt;0,IF('Deal maths'!C1488="Local authority","Local authorities",LOWER(TRIM('Deal maths'!B1488))),"")</f>
        <v/>
      </c>
      <c r="D1488" s="91">
        <f>IF(C1488="","",IF(COUNTIF($C$4:C1487,C1488)=0,SUMIF($C$4:$C$3997,C1488,$B$4:$B$3997)-ROW()/1000000,""))</f>
        <v/>
      </c>
      <c r="E1488" s="91">
        <f>IF(AND(N('Deal maths'!F1488)&gt;AsAt,N('Deal maths'!E1488)&lt;=AsAt,IF(N('Deal maths'!H1488)&gt;0,N('Deal maths'!H1488),N('Deal maths'!D1488))&gt;0),N('Deal maths'!F1488)+ROW()/1000000,"")</f>
        <v/>
      </c>
    </row>
    <row r="1489">
      <c r="A1489" s="91" t="n"/>
      <c r="B1489" s="111">
        <f>IF(AND(N('Deal maths'!F1489)&gt;AsAt,N('Deal maths'!E1489)&lt;=AsAt),IF(N('Deal maths'!H1489)&gt;0,N('Deal maths'!H1489),N('Deal maths'!D1489)),0)</f>
        <v/>
      </c>
      <c r="C1489" s="91">
        <f>IF(B1489&gt;0,IF('Deal maths'!C1489="Local authority","Local authorities",LOWER(TRIM('Deal maths'!B1489))),"")</f>
        <v/>
      </c>
      <c r="D1489" s="91">
        <f>IF(C1489="","",IF(COUNTIF($C$4:C1488,C1489)=0,SUMIF($C$4:$C$3997,C1489,$B$4:$B$3997)-ROW()/1000000,""))</f>
        <v/>
      </c>
      <c r="E1489" s="91">
        <f>IF(AND(N('Deal maths'!F1489)&gt;AsAt,N('Deal maths'!E1489)&lt;=AsAt,IF(N('Deal maths'!H1489)&gt;0,N('Deal maths'!H1489),N('Deal maths'!D1489))&gt;0),N('Deal maths'!F1489)+ROW()/1000000,"")</f>
        <v/>
      </c>
    </row>
    <row r="1490">
      <c r="A1490" s="91" t="n"/>
      <c r="B1490" s="111">
        <f>IF(AND(N('Deal maths'!F1490)&gt;AsAt,N('Deal maths'!E1490)&lt;=AsAt),IF(N('Deal maths'!H1490)&gt;0,N('Deal maths'!H1490),N('Deal maths'!D1490)),0)</f>
        <v/>
      </c>
      <c r="C1490" s="91">
        <f>IF(B1490&gt;0,IF('Deal maths'!C1490="Local authority","Local authorities",LOWER(TRIM('Deal maths'!B1490))),"")</f>
        <v/>
      </c>
      <c r="D1490" s="91">
        <f>IF(C1490="","",IF(COUNTIF($C$4:C1489,C1490)=0,SUMIF($C$4:$C$3997,C1490,$B$4:$B$3997)-ROW()/1000000,""))</f>
        <v/>
      </c>
      <c r="E1490" s="91">
        <f>IF(AND(N('Deal maths'!F1490)&gt;AsAt,N('Deal maths'!E1490)&lt;=AsAt,IF(N('Deal maths'!H1490)&gt;0,N('Deal maths'!H1490),N('Deal maths'!D1490))&gt;0),N('Deal maths'!F1490)+ROW()/1000000,"")</f>
        <v/>
      </c>
    </row>
    <row r="1491">
      <c r="A1491" s="91" t="n"/>
      <c r="B1491" s="111">
        <f>IF(AND(N('Deal maths'!F1491)&gt;AsAt,N('Deal maths'!E1491)&lt;=AsAt),IF(N('Deal maths'!H1491)&gt;0,N('Deal maths'!H1491),N('Deal maths'!D1491)),0)</f>
        <v/>
      </c>
      <c r="C1491" s="91">
        <f>IF(B1491&gt;0,IF('Deal maths'!C1491="Local authority","Local authorities",LOWER(TRIM('Deal maths'!B1491))),"")</f>
        <v/>
      </c>
      <c r="D1491" s="91">
        <f>IF(C1491="","",IF(COUNTIF($C$4:C1490,C1491)=0,SUMIF($C$4:$C$3997,C1491,$B$4:$B$3997)-ROW()/1000000,""))</f>
        <v/>
      </c>
      <c r="E1491" s="91">
        <f>IF(AND(N('Deal maths'!F1491)&gt;AsAt,N('Deal maths'!E1491)&lt;=AsAt,IF(N('Deal maths'!H1491)&gt;0,N('Deal maths'!H1491),N('Deal maths'!D1491))&gt;0),N('Deal maths'!F1491)+ROW()/1000000,"")</f>
        <v/>
      </c>
    </row>
    <row r="1492">
      <c r="A1492" s="91" t="n"/>
      <c r="B1492" s="111">
        <f>IF(AND(N('Deal maths'!F1492)&gt;AsAt,N('Deal maths'!E1492)&lt;=AsAt),IF(N('Deal maths'!H1492)&gt;0,N('Deal maths'!H1492),N('Deal maths'!D1492)),0)</f>
        <v/>
      </c>
      <c r="C1492" s="91">
        <f>IF(B1492&gt;0,IF('Deal maths'!C1492="Local authority","Local authorities",LOWER(TRIM('Deal maths'!B1492))),"")</f>
        <v/>
      </c>
      <c r="D1492" s="91">
        <f>IF(C1492="","",IF(COUNTIF($C$4:C1491,C1492)=0,SUMIF($C$4:$C$3997,C1492,$B$4:$B$3997)-ROW()/1000000,""))</f>
        <v/>
      </c>
      <c r="E1492" s="91">
        <f>IF(AND(N('Deal maths'!F1492)&gt;AsAt,N('Deal maths'!E1492)&lt;=AsAt,IF(N('Deal maths'!H1492)&gt;0,N('Deal maths'!H1492),N('Deal maths'!D1492))&gt;0),N('Deal maths'!F1492)+ROW()/1000000,"")</f>
        <v/>
      </c>
    </row>
    <row r="1493">
      <c r="A1493" s="91" t="n"/>
      <c r="B1493" s="111">
        <f>IF(AND(N('Deal maths'!F1493)&gt;AsAt,N('Deal maths'!E1493)&lt;=AsAt),IF(N('Deal maths'!H1493)&gt;0,N('Deal maths'!H1493),N('Deal maths'!D1493)),0)</f>
        <v/>
      </c>
      <c r="C1493" s="91">
        <f>IF(B1493&gt;0,IF('Deal maths'!C1493="Local authority","Local authorities",LOWER(TRIM('Deal maths'!B1493))),"")</f>
        <v/>
      </c>
      <c r="D1493" s="91">
        <f>IF(C1493="","",IF(COUNTIF($C$4:C1492,C1493)=0,SUMIF($C$4:$C$3997,C1493,$B$4:$B$3997)-ROW()/1000000,""))</f>
        <v/>
      </c>
      <c r="E1493" s="91">
        <f>IF(AND(N('Deal maths'!F1493)&gt;AsAt,N('Deal maths'!E1493)&lt;=AsAt,IF(N('Deal maths'!H1493)&gt;0,N('Deal maths'!H1493),N('Deal maths'!D1493))&gt;0),N('Deal maths'!F1493)+ROW()/1000000,"")</f>
        <v/>
      </c>
    </row>
    <row r="1494">
      <c r="A1494" s="91" t="n"/>
      <c r="B1494" s="111">
        <f>IF(AND(N('Deal maths'!F1494)&gt;AsAt,N('Deal maths'!E1494)&lt;=AsAt),IF(N('Deal maths'!H1494)&gt;0,N('Deal maths'!H1494),N('Deal maths'!D1494)),0)</f>
        <v/>
      </c>
      <c r="C1494" s="91">
        <f>IF(B1494&gt;0,IF('Deal maths'!C1494="Local authority","Local authorities",LOWER(TRIM('Deal maths'!B1494))),"")</f>
        <v/>
      </c>
      <c r="D1494" s="91">
        <f>IF(C1494="","",IF(COUNTIF($C$4:C1493,C1494)=0,SUMIF($C$4:$C$3997,C1494,$B$4:$B$3997)-ROW()/1000000,""))</f>
        <v/>
      </c>
      <c r="E1494" s="91">
        <f>IF(AND(N('Deal maths'!F1494)&gt;AsAt,N('Deal maths'!E1494)&lt;=AsAt,IF(N('Deal maths'!H1494)&gt;0,N('Deal maths'!H1494),N('Deal maths'!D1494))&gt;0),N('Deal maths'!F1494)+ROW()/1000000,"")</f>
        <v/>
      </c>
    </row>
    <row r="1495">
      <c r="A1495" s="91" t="n"/>
      <c r="B1495" s="111">
        <f>IF(AND(N('Deal maths'!F1495)&gt;AsAt,N('Deal maths'!E1495)&lt;=AsAt),IF(N('Deal maths'!H1495)&gt;0,N('Deal maths'!H1495),N('Deal maths'!D1495)),0)</f>
        <v/>
      </c>
      <c r="C1495" s="91">
        <f>IF(B1495&gt;0,IF('Deal maths'!C1495="Local authority","Local authorities",LOWER(TRIM('Deal maths'!B1495))),"")</f>
        <v/>
      </c>
      <c r="D1495" s="91">
        <f>IF(C1495="","",IF(COUNTIF($C$4:C1494,C1495)=0,SUMIF($C$4:$C$3997,C1495,$B$4:$B$3997)-ROW()/1000000,""))</f>
        <v/>
      </c>
      <c r="E1495" s="91">
        <f>IF(AND(N('Deal maths'!F1495)&gt;AsAt,N('Deal maths'!E1495)&lt;=AsAt,IF(N('Deal maths'!H1495)&gt;0,N('Deal maths'!H1495),N('Deal maths'!D1495))&gt;0),N('Deal maths'!F1495)+ROW()/1000000,"")</f>
        <v/>
      </c>
    </row>
    <row r="1496">
      <c r="A1496" s="91" t="n"/>
      <c r="B1496" s="111">
        <f>IF(AND(N('Deal maths'!F1496)&gt;AsAt,N('Deal maths'!E1496)&lt;=AsAt),IF(N('Deal maths'!H1496)&gt;0,N('Deal maths'!H1496),N('Deal maths'!D1496)),0)</f>
        <v/>
      </c>
      <c r="C1496" s="91">
        <f>IF(B1496&gt;0,IF('Deal maths'!C1496="Local authority","Local authorities",LOWER(TRIM('Deal maths'!B1496))),"")</f>
        <v/>
      </c>
      <c r="D1496" s="91">
        <f>IF(C1496="","",IF(COUNTIF($C$4:C1495,C1496)=0,SUMIF($C$4:$C$3997,C1496,$B$4:$B$3997)-ROW()/1000000,""))</f>
        <v/>
      </c>
      <c r="E1496" s="91">
        <f>IF(AND(N('Deal maths'!F1496)&gt;AsAt,N('Deal maths'!E1496)&lt;=AsAt,IF(N('Deal maths'!H1496)&gt;0,N('Deal maths'!H1496),N('Deal maths'!D1496))&gt;0),N('Deal maths'!F1496)+ROW()/1000000,"")</f>
        <v/>
      </c>
    </row>
    <row r="1497">
      <c r="A1497" s="91" t="n"/>
      <c r="B1497" s="111">
        <f>IF(AND(N('Deal maths'!F1497)&gt;AsAt,N('Deal maths'!E1497)&lt;=AsAt),IF(N('Deal maths'!H1497)&gt;0,N('Deal maths'!H1497),N('Deal maths'!D1497)),0)</f>
        <v/>
      </c>
      <c r="C1497" s="91">
        <f>IF(B1497&gt;0,IF('Deal maths'!C1497="Local authority","Local authorities",LOWER(TRIM('Deal maths'!B1497))),"")</f>
        <v/>
      </c>
      <c r="D1497" s="91">
        <f>IF(C1497="","",IF(COUNTIF($C$4:C1496,C1497)=0,SUMIF($C$4:$C$3997,C1497,$B$4:$B$3997)-ROW()/1000000,""))</f>
        <v/>
      </c>
      <c r="E1497" s="91">
        <f>IF(AND(N('Deal maths'!F1497)&gt;AsAt,N('Deal maths'!E1497)&lt;=AsAt,IF(N('Deal maths'!H1497)&gt;0,N('Deal maths'!H1497),N('Deal maths'!D1497))&gt;0),N('Deal maths'!F1497)+ROW()/1000000,"")</f>
        <v/>
      </c>
    </row>
    <row r="1498">
      <c r="A1498" s="91" t="n"/>
      <c r="B1498" s="111">
        <f>IF(AND(N('Deal maths'!F1498)&gt;AsAt,N('Deal maths'!E1498)&lt;=AsAt),IF(N('Deal maths'!H1498)&gt;0,N('Deal maths'!H1498),N('Deal maths'!D1498)),0)</f>
        <v/>
      </c>
      <c r="C1498" s="91">
        <f>IF(B1498&gt;0,IF('Deal maths'!C1498="Local authority","Local authorities",LOWER(TRIM('Deal maths'!B1498))),"")</f>
        <v/>
      </c>
      <c r="D1498" s="91">
        <f>IF(C1498="","",IF(COUNTIF($C$4:C1497,C1498)=0,SUMIF($C$4:$C$3997,C1498,$B$4:$B$3997)-ROW()/1000000,""))</f>
        <v/>
      </c>
      <c r="E1498" s="91">
        <f>IF(AND(N('Deal maths'!F1498)&gt;AsAt,N('Deal maths'!E1498)&lt;=AsAt,IF(N('Deal maths'!H1498)&gt;0,N('Deal maths'!H1498),N('Deal maths'!D1498))&gt;0),N('Deal maths'!F1498)+ROW()/1000000,"")</f>
        <v/>
      </c>
    </row>
    <row r="1499">
      <c r="A1499" s="91" t="n"/>
      <c r="B1499" s="111">
        <f>IF(AND(N('Deal maths'!F1499)&gt;AsAt,N('Deal maths'!E1499)&lt;=AsAt),IF(N('Deal maths'!H1499)&gt;0,N('Deal maths'!H1499),N('Deal maths'!D1499)),0)</f>
        <v/>
      </c>
      <c r="C1499" s="91">
        <f>IF(B1499&gt;0,IF('Deal maths'!C1499="Local authority","Local authorities",LOWER(TRIM('Deal maths'!B1499))),"")</f>
        <v/>
      </c>
      <c r="D1499" s="91">
        <f>IF(C1499="","",IF(COUNTIF($C$4:C1498,C1499)=0,SUMIF($C$4:$C$3997,C1499,$B$4:$B$3997)-ROW()/1000000,""))</f>
        <v/>
      </c>
      <c r="E1499" s="91">
        <f>IF(AND(N('Deal maths'!F1499)&gt;AsAt,N('Deal maths'!E1499)&lt;=AsAt,IF(N('Deal maths'!H1499)&gt;0,N('Deal maths'!H1499),N('Deal maths'!D1499))&gt;0),N('Deal maths'!F1499)+ROW()/1000000,"")</f>
        <v/>
      </c>
    </row>
    <row r="1500">
      <c r="A1500" s="91" t="n"/>
      <c r="B1500" s="111">
        <f>IF(AND(N('Deal maths'!F1500)&gt;AsAt,N('Deal maths'!E1500)&lt;=AsAt),IF(N('Deal maths'!H1500)&gt;0,N('Deal maths'!H1500),N('Deal maths'!D1500)),0)</f>
        <v/>
      </c>
      <c r="C1500" s="91">
        <f>IF(B1500&gt;0,IF('Deal maths'!C1500="Local authority","Local authorities",LOWER(TRIM('Deal maths'!B1500))),"")</f>
        <v/>
      </c>
      <c r="D1500" s="91">
        <f>IF(C1500="","",IF(COUNTIF($C$4:C1499,C1500)=0,SUMIF($C$4:$C$3997,C1500,$B$4:$B$3997)-ROW()/1000000,""))</f>
        <v/>
      </c>
      <c r="E1500" s="91">
        <f>IF(AND(N('Deal maths'!F1500)&gt;AsAt,N('Deal maths'!E1500)&lt;=AsAt,IF(N('Deal maths'!H1500)&gt;0,N('Deal maths'!H1500),N('Deal maths'!D1500))&gt;0),N('Deal maths'!F1500)+ROW()/1000000,"")</f>
        <v/>
      </c>
    </row>
    <row r="1501">
      <c r="A1501" s="91" t="n"/>
      <c r="B1501" s="111">
        <f>IF(AND(N('Deal maths'!F1501)&gt;AsAt,N('Deal maths'!E1501)&lt;=AsAt),IF(N('Deal maths'!H1501)&gt;0,N('Deal maths'!H1501),N('Deal maths'!D1501)),0)</f>
        <v/>
      </c>
      <c r="C1501" s="91">
        <f>IF(B1501&gt;0,IF('Deal maths'!C1501="Local authority","Local authorities",LOWER(TRIM('Deal maths'!B1501))),"")</f>
        <v/>
      </c>
      <c r="D1501" s="91">
        <f>IF(C1501="","",IF(COUNTIF($C$4:C1500,C1501)=0,SUMIF($C$4:$C$3997,C1501,$B$4:$B$3997)-ROW()/1000000,""))</f>
        <v/>
      </c>
      <c r="E1501" s="91">
        <f>IF(AND(N('Deal maths'!F1501)&gt;AsAt,N('Deal maths'!E1501)&lt;=AsAt,IF(N('Deal maths'!H1501)&gt;0,N('Deal maths'!H1501),N('Deal maths'!D1501))&gt;0),N('Deal maths'!F1501)+ROW()/1000000,"")</f>
        <v/>
      </c>
    </row>
    <row r="1502">
      <c r="A1502" s="91" t="n"/>
      <c r="B1502" s="111">
        <f>IF(AND(N('Deal maths'!F1502)&gt;AsAt,N('Deal maths'!E1502)&lt;=AsAt),IF(N('Deal maths'!H1502)&gt;0,N('Deal maths'!H1502),N('Deal maths'!D1502)),0)</f>
        <v/>
      </c>
      <c r="C1502" s="91">
        <f>IF(B1502&gt;0,IF('Deal maths'!C1502="Local authority","Local authorities",LOWER(TRIM('Deal maths'!B1502))),"")</f>
        <v/>
      </c>
      <c r="D1502" s="91">
        <f>IF(C1502="","",IF(COUNTIF($C$4:C1501,C1502)=0,SUMIF($C$4:$C$3997,C1502,$B$4:$B$3997)-ROW()/1000000,""))</f>
        <v/>
      </c>
      <c r="E1502" s="91">
        <f>IF(AND(N('Deal maths'!F1502)&gt;AsAt,N('Deal maths'!E1502)&lt;=AsAt,IF(N('Deal maths'!H1502)&gt;0,N('Deal maths'!H1502),N('Deal maths'!D1502))&gt;0),N('Deal maths'!F1502)+ROW()/1000000,"")</f>
        <v/>
      </c>
    </row>
    <row r="1503">
      <c r="A1503" s="91" t="n"/>
      <c r="B1503" s="111">
        <f>IF(AND(N('Deal maths'!F1503)&gt;AsAt,N('Deal maths'!E1503)&lt;=AsAt),IF(N('Deal maths'!H1503)&gt;0,N('Deal maths'!H1503),N('Deal maths'!D1503)),0)</f>
        <v/>
      </c>
      <c r="C1503" s="91">
        <f>IF(B1503&gt;0,IF('Deal maths'!C1503="Local authority","Local authorities",LOWER(TRIM('Deal maths'!B1503))),"")</f>
        <v/>
      </c>
      <c r="D1503" s="91">
        <f>IF(C1503="","",IF(COUNTIF($C$4:C1502,C1503)=0,SUMIF($C$4:$C$3997,C1503,$B$4:$B$3997)-ROW()/1000000,""))</f>
        <v/>
      </c>
      <c r="E1503" s="91">
        <f>IF(AND(N('Deal maths'!F1503)&gt;AsAt,N('Deal maths'!E1503)&lt;=AsAt,IF(N('Deal maths'!H1503)&gt;0,N('Deal maths'!H1503),N('Deal maths'!D1503))&gt;0),N('Deal maths'!F1503)+ROW()/1000000,"")</f>
        <v/>
      </c>
    </row>
    <row r="1504">
      <c r="A1504" s="91" t="n"/>
      <c r="B1504" s="111">
        <f>IF(AND(N('Deal maths'!F1504)&gt;AsAt,N('Deal maths'!E1504)&lt;=AsAt),IF(N('Deal maths'!H1504)&gt;0,N('Deal maths'!H1504),N('Deal maths'!D1504)),0)</f>
        <v/>
      </c>
      <c r="C1504" s="91">
        <f>IF(B1504&gt;0,IF('Deal maths'!C1504="Local authority","Local authorities",LOWER(TRIM('Deal maths'!B1504))),"")</f>
        <v/>
      </c>
      <c r="D1504" s="91">
        <f>IF(C1504="","",IF(COUNTIF($C$4:C1503,C1504)=0,SUMIF($C$4:$C$3997,C1504,$B$4:$B$3997)-ROW()/1000000,""))</f>
        <v/>
      </c>
      <c r="E1504" s="91">
        <f>IF(AND(N('Deal maths'!F1504)&gt;AsAt,N('Deal maths'!E1504)&lt;=AsAt,IF(N('Deal maths'!H1504)&gt;0,N('Deal maths'!H1504),N('Deal maths'!D1504))&gt;0),N('Deal maths'!F1504)+ROW()/1000000,"")</f>
        <v/>
      </c>
    </row>
    <row r="1505">
      <c r="A1505" s="91" t="n"/>
      <c r="B1505" s="111">
        <f>IF(AND(N('Deal maths'!F1505)&gt;AsAt,N('Deal maths'!E1505)&lt;=AsAt),IF(N('Deal maths'!H1505)&gt;0,N('Deal maths'!H1505),N('Deal maths'!D1505)),0)</f>
        <v/>
      </c>
      <c r="C1505" s="91">
        <f>IF(B1505&gt;0,IF('Deal maths'!C1505="Local authority","Local authorities",LOWER(TRIM('Deal maths'!B1505))),"")</f>
        <v/>
      </c>
      <c r="D1505" s="91">
        <f>IF(C1505="","",IF(COUNTIF($C$4:C1504,C1505)=0,SUMIF($C$4:$C$3997,C1505,$B$4:$B$3997)-ROW()/1000000,""))</f>
        <v/>
      </c>
      <c r="E1505" s="91">
        <f>IF(AND(N('Deal maths'!F1505)&gt;AsAt,N('Deal maths'!E1505)&lt;=AsAt,IF(N('Deal maths'!H1505)&gt;0,N('Deal maths'!H1505),N('Deal maths'!D1505))&gt;0),N('Deal maths'!F1505)+ROW()/1000000,"")</f>
        <v/>
      </c>
    </row>
    <row r="1506">
      <c r="A1506" s="91" t="n"/>
      <c r="B1506" s="111">
        <f>IF(AND(N('Deal maths'!F1506)&gt;AsAt,N('Deal maths'!E1506)&lt;=AsAt),IF(N('Deal maths'!H1506)&gt;0,N('Deal maths'!H1506),N('Deal maths'!D1506)),0)</f>
        <v/>
      </c>
      <c r="C1506" s="91">
        <f>IF(B1506&gt;0,IF('Deal maths'!C1506="Local authority","Local authorities",LOWER(TRIM('Deal maths'!B1506))),"")</f>
        <v/>
      </c>
      <c r="D1506" s="91">
        <f>IF(C1506="","",IF(COUNTIF($C$4:C1505,C1506)=0,SUMIF($C$4:$C$3997,C1506,$B$4:$B$3997)-ROW()/1000000,""))</f>
        <v/>
      </c>
      <c r="E1506" s="91">
        <f>IF(AND(N('Deal maths'!F1506)&gt;AsAt,N('Deal maths'!E1506)&lt;=AsAt,IF(N('Deal maths'!H1506)&gt;0,N('Deal maths'!H1506),N('Deal maths'!D1506))&gt;0),N('Deal maths'!F1506)+ROW()/1000000,"")</f>
        <v/>
      </c>
    </row>
    <row r="1507">
      <c r="A1507" s="91" t="n"/>
      <c r="B1507" s="111">
        <f>IF(AND(N('Deal maths'!F1507)&gt;AsAt,N('Deal maths'!E1507)&lt;=AsAt),IF(N('Deal maths'!H1507)&gt;0,N('Deal maths'!H1507),N('Deal maths'!D1507)),0)</f>
        <v/>
      </c>
      <c r="C1507" s="91">
        <f>IF(B1507&gt;0,IF('Deal maths'!C1507="Local authority","Local authorities",LOWER(TRIM('Deal maths'!B1507))),"")</f>
        <v/>
      </c>
      <c r="D1507" s="91">
        <f>IF(C1507="","",IF(COUNTIF($C$4:C1506,C1507)=0,SUMIF($C$4:$C$3997,C1507,$B$4:$B$3997)-ROW()/1000000,""))</f>
        <v/>
      </c>
      <c r="E1507" s="91">
        <f>IF(AND(N('Deal maths'!F1507)&gt;AsAt,N('Deal maths'!E1507)&lt;=AsAt,IF(N('Deal maths'!H1507)&gt;0,N('Deal maths'!H1507),N('Deal maths'!D1507))&gt;0),N('Deal maths'!F1507)+ROW()/1000000,"")</f>
        <v/>
      </c>
    </row>
    <row r="1508">
      <c r="A1508" s="91" t="n"/>
      <c r="B1508" s="111">
        <f>IF(AND(N('Deal maths'!F1508)&gt;AsAt,N('Deal maths'!E1508)&lt;=AsAt),IF(N('Deal maths'!H1508)&gt;0,N('Deal maths'!H1508),N('Deal maths'!D1508)),0)</f>
        <v/>
      </c>
      <c r="C1508" s="91">
        <f>IF(B1508&gt;0,IF('Deal maths'!C1508="Local authority","Local authorities",LOWER(TRIM('Deal maths'!B1508))),"")</f>
        <v/>
      </c>
      <c r="D1508" s="91">
        <f>IF(C1508="","",IF(COUNTIF($C$4:C1507,C1508)=0,SUMIF($C$4:$C$3997,C1508,$B$4:$B$3997)-ROW()/1000000,""))</f>
        <v/>
      </c>
      <c r="E1508" s="91">
        <f>IF(AND(N('Deal maths'!F1508)&gt;AsAt,N('Deal maths'!E1508)&lt;=AsAt,IF(N('Deal maths'!H1508)&gt;0,N('Deal maths'!H1508),N('Deal maths'!D1508))&gt;0),N('Deal maths'!F1508)+ROW()/1000000,"")</f>
        <v/>
      </c>
    </row>
    <row r="1509">
      <c r="A1509" s="91" t="n"/>
      <c r="B1509" s="111">
        <f>IF(AND(N('Deal maths'!F1509)&gt;AsAt,N('Deal maths'!E1509)&lt;=AsAt),IF(N('Deal maths'!H1509)&gt;0,N('Deal maths'!H1509),N('Deal maths'!D1509)),0)</f>
        <v/>
      </c>
      <c r="C1509" s="91">
        <f>IF(B1509&gt;0,IF('Deal maths'!C1509="Local authority","Local authorities",LOWER(TRIM('Deal maths'!B1509))),"")</f>
        <v/>
      </c>
      <c r="D1509" s="91">
        <f>IF(C1509="","",IF(COUNTIF($C$4:C1508,C1509)=0,SUMIF($C$4:$C$3997,C1509,$B$4:$B$3997)-ROW()/1000000,""))</f>
        <v/>
      </c>
      <c r="E1509" s="91">
        <f>IF(AND(N('Deal maths'!F1509)&gt;AsAt,N('Deal maths'!E1509)&lt;=AsAt,IF(N('Deal maths'!H1509)&gt;0,N('Deal maths'!H1509),N('Deal maths'!D1509))&gt;0),N('Deal maths'!F1509)+ROW()/1000000,"")</f>
        <v/>
      </c>
    </row>
    <row r="1510">
      <c r="A1510" s="91" t="n"/>
      <c r="B1510" s="111">
        <f>IF(AND(N('Deal maths'!F1510)&gt;AsAt,N('Deal maths'!E1510)&lt;=AsAt),IF(N('Deal maths'!H1510)&gt;0,N('Deal maths'!H1510),N('Deal maths'!D1510)),0)</f>
        <v/>
      </c>
      <c r="C1510" s="91">
        <f>IF(B1510&gt;0,IF('Deal maths'!C1510="Local authority","Local authorities",LOWER(TRIM('Deal maths'!B1510))),"")</f>
        <v/>
      </c>
      <c r="D1510" s="91">
        <f>IF(C1510="","",IF(COUNTIF($C$4:C1509,C1510)=0,SUMIF($C$4:$C$3997,C1510,$B$4:$B$3997)-ROW()/1000000,""))</f>
        <v/>
      </c>
      <c r="E1510" s="91">
        <f>IF(AND(N('Deal maths'!F1510)&gt;AsAt,N('Deal maths'!E1510)&lt;=AsAt,IF(N('Deal maths'!H1510)&gt;0,N('Deal maths'!H1510),N('Deal maths'!D1510))&gt;0),N('Deal maths'!F1510)+ROW()/1000000,"")</f>
        <v/>
      </c>
    </row>
    <row r="1511">
      <c r="A1511" s="91" t="n"/>
      <c r="B1511" s="111">
        <f>IF(AND(N('Deal maths'!F1511)&gt;AsAt,N('Deal maths'!E1511)&lt;=AsAt),IF(N('Deal maths'!H1511)&gt;0,N('Deal maths'!H1511),N('Deal maths'!D1511)),0)</f>
        <v/>
      </c>
      <c r="C1511" s="91">
        <f>IF(B1511&gt;0,IF('Deal maths'!C1511="Local authority","Local authorities",LOWER(TRIM('Deal maths'!B1511))),"")</f>
        <v/>
      </c>
      <c r="D1511" s="91">
        <f>IF(C1511="","",IF(COUNTIF($C$4:C1510,C1511)=0,SUMIF($C$4:$C$3997,C1511,$B$4:$B$3997)-ROW()/1000000,""))</f>
        <v/>
      </c>
      <c r="E1511" s="91">
        <f>IF(AND(N('Deal maths'!F1511)&gt;AsAt,N('Deal maths'!E1511)&lt;=AsAt,IF(N('Deal maths'!H1511)&gt;0,N('Deal maths'!H1511),N('Deal maths'!D1511))&gt;0),N('Deal maths'!F1511)+ROW()/1000000,"")</f>
        <v/>
      </c>
    </row>
    <row r="1512">
      <c r="A1512" s="91" t="n"/>
      <c r="B1512" s="111">
        <f>IF(AND(N('Deal maths'!F1512)&gt;AsAt,N('Deal maths'!E1512)&lt;=AsAt),IF(N('Deal maths'!H1512)&gt;0,N('Deal maths'!H1512),N('Deal maths'!D1512)),0)</f>
        <v/>
      </c>
      <c r="C1512" s="91">
        <f>IF(B1512&gt;0,IF('Deal maths'!C1512="Local authority","Local authorities",LOWER(TRIM('Deal maths'!B1512))),"")</f>
        <v/>
      </c>
      <c r="D1512" s="91">
        <f>IF(C1512="","",IF(COUNTIF($C$4:C1511,C1512)=0,SUMIF($C$4:$C$3997,C1512,$B$4:$B$3997)-ROW()/1000000,""))</f>
        <v/>
      </c>
      <c r="E1512" s="91">
        <f>IF(AND(N('Deal maths'!F1512)&gt;AsAt,N('Deal maths'!E1512)&lt;=AsAt,IF(N('Deal maths'!H1512)&gt;0,N('Deal maths'!H1512),N('Deal maths'!D1512))&gt;0),N('Deal maths'!F1512)+ROW()/1000000,"")</f>
        <v/>
      </c>
    </row>
    <row r="1513">
      <c r="A1513" s="91" t="n"/>
      <c r="B1513" s="111">
        <f>IF(AND(N('Deal maths'!F1513)&gt;AsAt,N('Deal maths'!E1513)&lt;=AsAt),IF(N('Deal maths'!H1513)&gt;0,N('Deal maths'!H1513),N('Deal maths'!D1513)),0)</f>
        <v/>
      </c>
      <c r="C1513" s="91">
        <f>IF(B1513&gt;0,IF('Deal maths'!C1513="Local authority","Local authorities",LOWER(TRIM('Deal maths'!B1513))),"")</f>
        <v/>
      </c>
      <c r="D1513" s="91">
        <f>IF(C1513="","",IF(COUNTIF($C$4:C1512,C1513)=0,SUMIF($C$4:$C$3997,C1513,$B$4:$B$3997)-ROW()/1000000,""))</f>
        <v/>
      </c>
      <c r="E1513" s="91">
        <f>IF(AND(N('Deal maths'!F1513)&gt;AsAt,N('Deal maths'!E1513)&lt;=AsAt,IF(N('Deal maths'!H1513)&gt;0,N('Deal maths'!H1513),N('Deal maths'!D1513))&gt;0),N('Deal maths'!F1513)+ROW()/1000000,"")</f>
        <v/>
      </c>
    </row>
    <row r="1514">
      <c r="A1514" s="91" t="n"/>
      <c r="B1514" s="111">
        <f>IF(AND(N('Deal maths'!F1514)&gt;AsAt,N('Deal maths'!E1514)&lt;=AsAt),IF(N('Deal maths'!H1514)&gt;0,N('Deal maths'!H1514),N('Deal maths'!D1514)),0)</f>
        <v/>
      </c>
      <c r="C1514" s="91">
        <f>IF(B1514&gt;0,IF('Deal maths'!C1514="Local authority","Local authorities",LOWER(TRIM('Deal maths'!B1514))),"")</f>
        <v/>
      </c>
      <c r="D1514" s="91">
        <f>IF(C1514="","",IF(COUNTIF($C$4:C1513,C1514)=0,SUMIF($C$4:$C$3997,C1514,$B$4:$B$3997)-ROW()/1000000,""))</f>
        <v/>
      </c>
      <c r="E1514" s="91">
        <f>IF(AND(N('Deal maths'!F1514)&gt;AsAt,N('Deal maths'!E1514)&lt;=AsAt,IF(N('Deal maths'!H1514)&gt;0,N('Deal maths'!H1514),N('Deal maths'!D1514))&gt;0),N('Deal maths'!F1514)+ROW()/1000000,"")</f>
        <v/>
      </c>
    </row>
    <row r="1515">
      <c r="A1515" s="91" t="n"/>
      <c r="B1515" s="111">
        <f>IF(AND(N('Deal maths'!F1515)&gt;AsAt,N('Deal maths'!E1515)&lt;=AsAt),IF(N('Deal maths'!H1515)&gt;0,N('Deal maths'!H1515),N('Deal maths'!D1515)),0)</f>
        <v/>
      </c>
      <c r="C1515" s="91">
        <f>IF(B1515&gt;0,IF('Deal maths'!C1515="Local authority","Local authorities",LOWER(TRIM('Deal maths'!B1515))),"")</f>
        <v/>
      </c>
      <c r="D1515" s="91">
        <f>IF(C1515="","",IF(COUNTIF($C$4:C1514,C1515)=0,SUMIF($C$4:$C$3997,C1515,$B$4:$B$3997)-ROW()/1000000,""))</f>
        <v/>
      </c>
      <c r="E1515" s="91">
        <f>IF(AND(N('Deal maths'!F1515)&gt;AsAt,N('Deal maths'!E1515)&lt;=AsAt,IF(N('Deal maths'!H1515)&gt;0,N('Deal maths'!H1515),N('Deal maths'!D1515))&gt;0),N('Deal maths'!F1515)+ROW()/1000000,"")</f>
        <v/>
      </c>
    </row>
    <row r="1516">
      <c r="A1516" s="91" t="n"/>
      <c r="B1516" s="111">
        <f>IF(AND(N('Deal maths'!F1516)&gt;AsAt,N('Deal maths'!E1516)&lt;=AsAt),IF(N('Deal maths'!H1516)&gt;0,N('Deal maths'!H1516),N('Deal maths'!D1516)),0)</f>
        <v/>
      </c>
      <c r="C1516" s="91">
        <f>IF(B1516&gt;0,IF('Deal maths'!C1516="Local authority","Local authorities",LOWER(TRIM('Deal maths'!B1516))),"")</f>
        <v/>
      </c>
      <c r="D1516" s="91">
        <f>IF(C1516="","",IF(COUNTIF($C$4:C1515,C1516)=0,SUMIF($C$4:$C$3997,C1516,$B$4:$B$3997)-ROW()/1000000,""))</f>
        <v/>
      </c>
      <c r="E1516" s="91">
        <f>IF(AND(N('Deal maths'!F1516)&gt;AsAt,N('Deal maths'!E1516)&lt;=AsAt,IF(N('Deal maths'!H1516)&gt;0,N('Deal maths'!H1516),N('Deal maths'!D1516))&gt;0),N('Deal maths'!F1516)+ROW()/1000000,"")</f>
        <v/>
      </c>
    </row>
    <row r="1517">
      <c r="A1517" s="91" t="n"/>
      <c r="B1517" s="111">
        <f>IF(AND(N('Deal maths'!F1517)&gt;AsAt,N('Deal maths'!E1517)&lt;=AsAt),IF(N('Deal maths'!H1517)&gt;0,N('Deal maths'!H1517),N('Deal maths'!D1517)),0)</f>
        <v/>
      </c>
      <c r="C1517" s="91">
        <f>IF(B1517&gt;0,IF('Deal maths'!C1517="Local authority","Local authorities",LOWER(TRIM('Deal maths'!B1517))),"")</f>
        <v/>
      </c>
      <c r="D1517" s="91">
        <f>IF(C1517="","",IF(COUNTIF($C$4:C1516,C1517)=0,SUMIF($C$4:$C$3997,C1517,$B$4:$B$3997)-ROW()/1000000,""))</f>
        <v/>
      </c>
      <c r="E1517" s="91">
        <f>IF(AND(N('Deal maths'!F1517)&gt;AsAt,N('Deal maths'!E1517)&lt;=AsAt,IF(N('Deal maths'!H1517)&gt;0,N('Deal maths'!H1517),N('Deal maths'!D1517))&gt;0),N('Deal maths'!F1517)+ROW()/1000000,"")</f>
        <v/>
      </c>
    </row>
    <row r="1518">
      <c r="A1518" s="91" t="n"/>
      <c r="B1518" s="111">
        <f>IF(AND(N('Deal maths'!F1518)&gt;AsAt,N('Deal maths'!E1518)&lt;=AsAt),IF(N('Deal maths'!H1518)&gt;0,N('Deal maths'!H1518),N('Deal maths'!D1518)),0)</f>
        <v/>
      </c>
      <c r="C1518" s="91">
        <f>IF(B1518&gt;0,IF('Deal maths'!C1518="Local authority","Local authorities",LOWER(TRIM('Deal maths'!B1518))),"")</f>
        <v/>
      </c>
      <c r="D1518" s="91">
        <f>IF(C1518="","",IF(COUNTIF($C$4:C1517,C1518)=0,SUMIF($C$4:$C$3997,C1518,$B$4:$B$3997)-ROW()/1000000,""))</f>
        <v/>
      </c>
      <c r="E1518" s="91">
        <f>IF(AND(N('Deal maths'!F1518)&gt;AsAt,N('Deal maths'!E1518)&lt;=AsAt,IF(N('Deal maths'!H1518)&gt;0,N('Deal maths'!H1518),N('Deal maths'!D1518))&gt;0),N('Deal maths'!F1518)+ROW()/1000000,"")</f>
        <v/>
      </c>
    </row>
    <row r="1519">
      <c r="A1519" s="91" t="n"/>
      <c r="B1519" s="111">
        <f>IF(AND(N('Deal maths'!F1519)&gt;AsAt,N('Deal maths'!E1519)&lt;=AsAt),IF(N('Deal maths'!H1519)&gt;0,N('Deal maths'!H1519),N('Deal maths'!D1519)),0)</f>
        <v/>
      </c>
      <c r="C1519" s="91">
        <f>IF(B1519&gt;0,IF('Deal maths'!C1519="Local authority","Local authorities",LOWER(TRIM('Deal maths'!B1519))),"")</f>
        <v/>
      </c>
      <c r="D1519" s="91">
        <f>IF(C1519="","",IF(COUNTIF($C$4:C1518,C1519)=0,SUMIF($C$4:$C$3997,C1519,$B$4:$B$3997)-ROW()/1000000,""))</f>
        <v/>
      </c>
      <c r="E1519" s="91">
        <f>IF(AND(N('Deal maths'!F1519)&gt;AsAt,N('Deal maths'!E1519)&lt;=AsAt,IF(N('Deal maths'!H1519)&gt;0,N('Deal maths'!H1519),N('Deal maths'!D1519))&gt;0),N('Deal maths'!F1519)+ROW()/1000000,"")</f>
        <v/>
      </c>
    </row>
    <row r="1520">
      <c r="A1520" s="91" t="n"/>
      <c r="B1520" s="111">
        <f>IF(AND(N('Deal maths'!F1520)&gt;AsAt,N('Deal maths'!E1520)&lt;=AsAt),IF(N('Deal maths'!H1520)&gt;0,N('Deal maths'!H1520),N('Deal maths'!D1520)),0)</f>
        <v/>
      </c>
      <c r="C1520" s="91">
        <f>IF(B1520&gt;0,IF('Deal maths'!C1520="Local authority","Local authorities",LOWER(TRIM('Deal maths'!B1520))),"")</f>
        <v/>
      </c>
      <c r="D1520" s="91">
        <f>IF(C1520="","",IF(COUNTIF($C$4:C1519,C1520)=0,SUMIF($C$4:$C$3997,C1520,$B$4:$B$3997)-ROW()/1000000,""))</f>
        <v/>
      </c>
      <c r="E1520" s="91">
        <f>IF(AND(N('Deal maths'!F1520)&gt;AsAt,N('Deal maths'!E1520)&lt;=AsAt,IF(N('Deal maths'!H1520)&gt;0,N('Deal maths'!H1520),N('Deal maths'!D1520))&gt;0),N('Deal maths'!F1520)+ROW()/1000000,"")</f>
        <v/>
      </c>
    </row>
    <row r="1521">
      <c r="A1521" s="91" t="n"/>
      <c r="B1521" s="111">
        <f>IF(AND(N('Deal maths'!F1521)&gt;AsAt,N('Deal maths'!E1521)&lt;=AsAt),IF(N('Deal maths'!H1521)&gt;0,N('Deal maths'!H1521),N('Deal maths'!D1521)),0)</f>
        <v/>
      </c>
      <c r="C1521" s="91">
        <f>IF(B1521&gt;0,IF('Deal maths'!C1521="Local authority","Local authorities",LOWER(TRIM('Deal maths'!B1521))),"")</f>
        <v/>
      </c>
      <c r="D1521" s="91">
        <f>IF(C1521="","",IF(COUNTIF($C$4:C1520,C1521)=0,SUMIF($C$4:$C$3997,C1521,$B$4:$B$3997)-ROW()/1000000,""))</f>
        <v/>
      </c>
      <c r="E1521" s="91">
        <f>IF(AND(N('Deal maths'!F1521)&gt;AsAt,N('Deal maths'!E1521)&lt;=AsAt,IF(N('Deal maths'!H1521)&gt;0,N('Deal maths'!H1521),N('Deal maths'!D1521))&gt;0),N('Deal maths'!F1521)+ROW()/1000000,"")</f>
        <v/>
      </c>
    </row>
    <row r="1522">
      <c r="A1522" s="91" t="n"/>
      <c r="B1522" s="111">
        <f>IF(AND(N('Deal maths'!F1522)&gt;AsAt,N('Deal maths'!E1522)&lt;=AsAt),IF(N('Deal maths'!H1522)&gt;0,N('Deal maths'!H1522),N('Deal maths'!D1522)),0)</f>
        <v/>
      </c>
      <c r="C1522" s="91">
        <f>IF(B1522&gt;0,IF('Deal maths'!C1522="Local authority","Local authorities",LOWER(TRIM('Deal maths'!B1522))),"")</f>
        <v/>
      </c>
      <c r="D1522" s="91">
        <f>IF(C1522="","",IF(COUNTIF($C$4:C1521,C1522)=0,SUMIF($C$4:$C$3997,C1522,$B$4:$B$3997)-ROW()/1000000,""))</f>
        <v/>
      </c>
      <c r="E1522" s="91">
        <f>IF(AND(N('Deal maths'!F1522)&gt;AsAt,N('Deal maths'!E1522)&lt;=AsAt,IF(N('Deal maths'!H1522)&gt;0,N('Deal maths'!H1522),N('Deal maths'!D1522))&gt;0),N('Deal maths'!F1522)+ROW()/1000000,"")</f>
        <v/>
      </c>
    </row>
    <row r="1523">
      <c r="A1523" s="91" t="n"/>
      <c r="B1523" s="111">
        <f>IF(AND(N('Deal maths'!F1523)&gt;AsAt,N('Deal maths'!E1523)&lt;=AsAt),IF(N('Deal maths'!H1523)&gt;0,N('Deal maths'!H1523),N('Deal maths'!D1523)),0)</f>
        <v/>
      </c>
      <c r="C1523" s="91">
        <f>IF(B1523&gt;0,IF('Deal maths'!C1523="Local authority","Local authorities",LOWER(TRIM('Deal maths'!B1523))),"")</f>
        <v/>
      </c>
      <c r="D1523" s="91">
        <f>IF(C1523="","",IF(COUNTIF($C$4:C1522,C1523)=0,SUMIF($C$4:$C$3997,C1523,$B$4:$B$3997)-ROW()/1000000,""))</f>
        <v/>
      </c>
      <c r="E1523" s="91">
        <f>IF(AND(N('Deal maths'!F1523)&gt;AsAt,N('Deal maths'!E1523)&lt;=AsAt,IF(N('Deal maths'!H1523)&gt;0,N('Deal maths'!H1523),N('Deal maths'!D1523))&gt;0),N('Deal maths'!F1523)+ROW()/1000000,"")</f>
        <v/>
      </c>
    </row>
    <row r="1524">
      <c r="A1524" s="91" t="n"/>
      <c r="B1524" s="111">
        <f>IF(AND(N('Deal maths'!F1524)&gt;AsAt,N('Deal maths'!E1524)&lt;=AsAt),IF(N('Deal maths'!H1524)&gt;0,N('Deal maths'!H1524),N('Deal maths'!D1524)),0)</f>
        <v/>
      </c>
      <c r="C1524" s="91">
        <f>IF(B1524&gt;0,IF('Deal maths'!C1524="Local authority","Local authorities",LOWER(TRIM('Deal maths'!B1524))),"")</f>
        <v/>
      </c>
      <c r="D1524" s="91">
        <f>IF(C1524="","",IF(COUNTIF($C$4:C1523,C1524)=0,SUMIF($C$4:$C$3997,C1524,$B$4:$B$3997)-ROW()/1000000,""))</f>
        <v/>
      </c>
      <c r="E1524" s="91">
        <f>IF(AND(N('Deal maths'!F1524)&gt;AsAt,N('Deal maths'!E1524)&lt;=AsAt,IF(N('Deal maths'!H1524)&gt;0,N('Deal maths'!H1524),N('Deal maths'!D1524))&gt;0),N('Deal maths'!F1524)+ROW()/1000000,"")</f>
        <v/>
      </c>
    </row>
    <row r="1525">
      <c r="A1525" s="91" t="n"/>
      <c r="B1525" s="111">
        <f>IF(AND(N('Deal maths'!F1525)&gt;AsAt,N('Deal maths'!E1525)&lt;=AsAt),IF(N('Deal maths'!H1525)&gt;0,N('Deal maths'!H1525),N('Deal maths'!D1525)),0)</f>
        <v/>
      </c>
      <c r="C1525" s="91">
        <f>IF(B1525&gt;0,IF('Deal maths'!C1525="Local authority","Local authorities",LOWER(TRIM('Deal maths'!B1525))),"")</f>
        <v/>
      </c>
      <c r="D1525" s="91">
        <f>IF(C1525="","",IF(COUNTIF($C$4:C1524,C1525)=0,SUMIF($C$4:$C$3997,C1525,$B$4:$B$3997)-ROW()/1000000,""))</f>
        <v/>
      </c>
      <c r="E1525" s="91">
        <f>IF(AND(N('Deal maths'!F1525)&gt;AsAt,N('Deal maths'!E1525)&lt;=AsAt,IF(N('Deal maths'!H1525)&gt;0,N('Deal maths'!H1525),N('Deal maths'!D1525))&gt;0),N('Deal maths'!F1525)+ROW()/1000000,"")</f>
        <v/>
      </c>
    </row>
    <row r="1526">
      <c r="A1526" s="91" t="n"/>
      <c r="B1526" s="111">
        <f>IF(AND(N('Deal maths'!F1526)&gt;AsAt,N('Deal maths'!E1526)&lt;=AsAt),IF(N('Deal maths'!H1526)&gt;0,N('Deal maths'!H1526),N('Deal maths'!D1526)),0)</f>
        <v/>
      </c>
      <c r="C1526" s="91">
        <f>IF(B1526&gt;0,IF('Deal maths'!C1526="Local authority","Local authorities",LOWER(TRIM('Deal maths'!B1526))),"")</f>
        <v/>
      </c>
      <c r="D1526" s="91">
        <f>IF(C1526="","",IF(COUNTIF($C$4:C1525,C1526)=0,SUMIF($C$4:$C$3997,C1526,$B$4:$B$3997)-ROW()/1000000,""))</f>
        <v/>
      </c>
      <c r="E1526" s="91">
        <f>IF(AND(N('Deal maths'!F1526)&gt;AsAt,N('Deal maths'!E1526)&lt;=AsAt,IF(N('Deal maths'!H1526)&gt;0,N('Deal maths'!H1526),N('Deal maths'!D1526))&gt;0),N('Deal maths'!F1526)+ROW()/1000000,"")</f>
        <v/>
      </c>
    </row>
    <row r="1527">
      <c r="A1527" s="91" t="n"/>
      <c r="B1527" s="111">
        <f>IF(AND(N('Deal maths'!F1527)&gt;AsAt,N('Deal maths'!E1527)&lt;=AsAt),IF(N('Deal maths'!H1527)&gt;0,N('Deal maths'!H1527),N('Deal maths'!D1527)),0)</f>
        <v/>
      </c>
      <c r="C1527" s="91">
        <f>IF(B1527&gt;0,IF('Deal maths'!C1527="Local authority","Local authorities",LOWER(TRIM('Deal maths'!B1527))),"")</f>
        <v/>
      </c>
      <c r="D1527" s="91">
        <f>IF(C1527="","",IF(COUNTIF($C$4:C1526,C1527)=0,SUMIF($C$4:$C$3997,C1527,$B$4:$B$3997)-ROW()/1000000,""))</f>
        <v/>
      </c>
      <c r="E1527" s="91">
        <f>IF(AND(N('Deal maths'!F1527)&gt;AsAt,N('Deal maths'!E1527)&lt;=AsAt,IF(N('Deal maths'!H1527)&gt;0,N('Deal maths'!H1527),N('Deal maths'!D1527))&gt;0),N('Deal maths'!F1527)+ROW()/1000000,"")</f>
        <v/>
      </c>
    </row>
    <row r="1528">
      <c r="A1528" s="91" t="n"/>
      <c r="B1528" s="111">
        <f>IF(AND(N('Deal maths'!F1528)&gt;AsAt,N('Deal maths'!E1528)&lt;=AsAt),IF(N('Deal maths'!H1528)&gt;0,N('Deal maths'!H1528),N('Deal maths'!D1528)),0)</f>
        <v/>
      </c>
      <c r="C1528" s="91">
        <f>IF(B1528&gt;0,IF('Deal maths'!C1528="Local authority","Local authorities",LOWER(TRIM('Deal maths'!B1528))),"")</f>
        <v/>
      </c>
      <c r="D1528" s="91">
        <f>IF(C1528="","",IF(COUNTIF($C$4:C1527,C1528)=0,SUMIF($C$4:$C$3997,C1528,$B$4:$B$3997)-ROW()/1000000,""))</f>
        <v/>
      </c>
      <c r="E1528" s="91">
        <f>IF(AND(N('Deal maths'!F1528)&gt;AsAt,N('Deal maths'!E1528)&lt;=AsAt,IF(N('Deal maths'!H1528)&gt;0,N('Deal maths'!H1528),N('Deal maths'!D1528))&gt;0),N('Deal maths'!F1528)+ROW()/1000000,"")</f>
        <v/>
      </c>
    </row>
    <row r="1529">
      <c r="A1529" s="91" t="n"/>
      <c r="B1529" s="111">
        <f>IF(AND(N('Deal maths'!F1529)&gt;AsAt,N('Deal maths'!E1529)&lt;=AsAt),IF(N('Deal maths'!H1529)&gt;0,N('Deal maths'!H1529),N('Deal maths'!D1529)),0)</f>
        <v/>
      </c>
      <c r="C1529" s="91">
        <f>IF(B1529&gt;0,IF('Deal maths'!C1529="Local authority","Local authorities",LOWER(TRIM('Deal maths'!B1529))),"")</f>
        <v/>
      </c>
      <c r="D1529" s="91">
        <f>IF(C1529="","",IF(COUNTIF($C$4:C1528,C1529)=0,SUMIF($C$4:$C$3997,C1529,$B$4:$B$3997)-ROW()/1000000,""))</f>
        <v/>
      </c>
      <c r="E1529" s="91">
        <f>IF(AND(N('Deal maths'!F1529)&gt;AsAt,N('Deal maths'!E1529)&lt;=AsAt,IF(N('Deal maths'!H1529)&gt;0,N('Deal maths'!H1529),N('Deal maths'!D1529))&gt;0),N('Deal maths'!F1529)+ROW()/1000000,"")</f>
        <v/>
      </c>
    </row>
    <row r="1530">
      <c r="A1530" s="91" t="n"/>
      <c r="B1530" s="111">
        <f>IF(AND(N('Deal maths'!F1530)&gt;AsAt,N('Deal maths'!E1530)&lt;=AsAt),IF(N('Deal maths'!H1530)&gt;0,N('Deal maths'!H1530),N('Deal maths'!D1530)),0)</f>
        <v/>
      </c>
      <c r="C1530" s="91">
        <f>IF(B1530&gt;0,IF('Deal maths'!C1530="Local authority","Local authorities",LOWER(TRIM('Deal maths'!B1530))),"")</f>
        <v/>
      </c>
      <c r="D1530" s="91">
        <f>IF(C1530="","",IF(COUNTIF($C$4:C1529,C1530)=0,SUMIF($C$4:$C$3997,C1530,$B$4:$B$3997)-ROW()/1000000,""))</f>
        <v/>
      </c>
      <c r="E1530" s="91">
        <f>IF(AND(N('Deal maths'!F1530)&gt;AsAt,N('Deal maths'!E1530)&lt;=AsAt,IF(N('Deal maths'!H1530)&gt;0,N('Deal maths'!H1530),N('Deal maths'!D1530))&gt;0),N('Deal maths'!F1530)+ROW()/1000000,"")</f>
        <v/>
      </c>
    </row>
    <row r="1531">
      <c r="A1531" s="91" t="n"/>
      <c r="B1531" s="111">
        <f>IF(AND(N('Deal maths'!F1531)&gt;AsAt,N('Deal maths'!E1531)&lt;=AsAt),IF(N('Deal maths'!H1531)&gt;0,N('Deal maths'!H1531),N('Deal maths'!D1531)),0)</f>
        <v/>
      </c>
      <c r="C1531" s="91">
        <f>IF(B1531&gt;0,IF('Deal maths'!C1531="Local authority","Local authorities",LOWER(TRIM('Deal maths'!B1531))),"")</f>
        <v/>
      </c>
      <c r="D1531" s="91">
        <f>IF(C1531="","",IF(COUNTIF($C$4:C1530,C1531)=0,SUMIF($C$4:$C$3997,C1531,$B$4:$B$3997)-ROW()/1000000,""))</f>
        <v/>
      </c>
      <c r="E1531" s="91">
        <f>IF(AND(N('Deal maths'!F1531)&gt;AsAt,N('Deal maths'!E1531)&lt;=AsAt,IF(N('Deal maths'!H1531)&gt;0,N('Deal maths'!H1531),N('Deal maths'!D1531))&gt;0),N('Deal maths'!F1531)+ROW()/1000000,"")</f>
        <v/>
      </c>
    </row>
    <row r="1532">
      <c r="A1532" s="91" t="n"/>
      <c r="B1532" s="111">
        <f>IF(AND(N('Deal maths'!F1532)&gt;AsAt,N('Deal maths'!E1532)&lt;=AsAt),IF(N('Deal maths'!H1532)&gt;0,N('Deal maths'!H1532),N('Deal maths'!D1532)),0)</f>
        <v/>
      </c>
      <c r="C1532" s="91">
        <f>IF(B1532&gt;0,IF('Deal maths'!C1532="Local authority","Local authorities",LOWER(TRIM('Deal maths'!B1532))),"")</f>
        <v/>
      </c>
      <c r="D1532" s="91">
        <f>IF(C1532="","",IF(COUNTIF($C$4:C1531,C1532)=0,SUMIF($C$4:$C$3997,C1532,$B$4:$B$3997)-ROW()/1000000,""))</f>
        <v/>
      </c>
      <c r="E1532" s="91">
        <f>IF(AND(N('Deal maths'!F1532)&gt;AsAt,N('Deal maths'!E1532)&lt;=AsAt,IF(N('Deal maths'!H1532)&gt;0,N('Deal maths'!H1532),N('Deal maths'!D1532))&gt;0),N('Deal maths'!F1532)+ROW()/1000000,"")</f>
        <v/>
      </c>
    </row>
    <row r="1533">
      <c r="A1533" s="91" t="n"/>
      <c r="B1533" s="111">
        <f>IF(AND(N('Deal maths'!F1533)&gt;AsAt,N('Deal maths'!E1533)&lt;=AsAt),IF(N('Deal maths'!H1533)&gt;0,N('Deal maths'!H1533),N('Deal maths'!D1533)),0)</f>
        <v/>
      </c>
      <c r="C1533" s="91">
        <f>IF(B1533&gt;0,IF('Deal maths'!C1533="Local authority","Local authorities",LOWER(TRIM('Deal maths'!B1533))),"")</f>
        <v/>
      </c>
      <c r="D1533" s="91">
        <f>IF(C1533="","",IF(COUNTIF($C$4:C1532,C1533)=0,SUMIF($C$4:$C$3997,C1533,$B$4:$B$3997)-ROW()/1000000,""))</f>
        <v/>
      </c>
      <c r="E1533" s="91">
        <f>IF(AND(N('Deal maths'!F1533)&gt;AsAt,N('Deal maths'!E1533)&lt;=AsAt,IF(N('Deal maths'!H1533)&gt;0,N('Deal maths'!H1533),N('Deal maths'!D1533))&gt;0),N('Deal maths'!F1533)+ROW()/1000000,"")</f>
        <v/>
      </c>
    </row>
    <row r="1534">
      <c r="A1534" s="91" t="n"/>
      <c r="B1534" s="111">
        <f>IF(AND(N('Deal maths'!F1534)&gt;AsAt,N('Deal maths'!E1534)&lt;=AsAt),IF(N('Deal maths'!H1534)&gt;0,N('Deal maths'!H1534),N('Deal maths'!D1534)),0)</f>
        <v/>
      </c>
      <c r="C1534" s="91">
        <f>IF(B1534&gt;0,IF('Deal maths'!C1534="Local authority","Local authorities",LOWER(TRIM('Deal maths'!B1534))),"")</f>
        <v/>
      </c>
      <c r="D1534" s="91">
        <f>IF(C1534="","",IF(COUNTIF($C$4:C1533,C1534)=0,SUMIF($C$4:$C$3997,C1534,$B$4:$B$3997)-ROW()/1000000,""))</f>
        <v/>
      </c>
      <c r="E1534" s="91">
        <f>IF(AND(N('Deal maths'!F1534)&gt;AsAt,N('Deal maths'!E1534)&lt;=AsAt,IF(N('Deal maths'!H1534)&gt;0,N('Deal maths'!H1534),N('Deal maths'!D1534))&gt;0),N('Deal maths'!F1534)+ROW()/1000000,"")</f>
        <v/>
      </c>
    </row>
    <row r="1535">
      <c r="A1535" s="91" t="n"/>
      <c r="B1535" s="111">
        <f>IF(AND(N('Deal maths'!F1535)&gt;AsAt,N('Deal maths'!E1535)&lt;=AsAt),IF(N('Deal maths'!H1535)&gt;0,N('Deal maths'!H1535),N('Deal maths'!D1535)),0)</f>
        <v/>
      </c>
      <c r="C1535" s="91">
        <f>IF(B1535&gt;0,IF('Deal maths'!C1535="Local authority","Local authorities",LOWER(TRIM('Deal maths'!B1535))),"")</f>
        <v/>
      </c>
      <c r="D1535" s="91">
        <f>IF(C1535="","",IF(COUNTIF($C$4:C1534,C1535)=0,SUMIF($C$4:$C$3997,C1535,$B$4:$B$3997)-ROW()/1000000,""))</f>
        <v/>
      </c>
      <c r="E1535" s="91">
        <f>IF(AND(N('Deal maths'!F1535)&gt;AsAt,N('Deal maths'!E1535)&lt;=AsAt,IF(N('Deal maths'!H1535)&gt;0,N('Deal maths'!H1535),N('Deal maths'!D1535))&gt;0),N('Deal maths'!F1535)+ROW()/1000000,"")</f>
        <v/>
      </c>
    </row>
    <row r="1536">
      <c r="A1536" s="91" t="n"/>
      <c r="B1536" s="111">
        <f>IF(AND(N('Deal maths'!F1536)&gt;AsAt,N('Deal maths'!E1536)&lt;=AsAt),IF(N('Deal maths'!H1536)&gt;0,N('Deal maths'!H1536),N('Deal maths'!D1536)),0)</f>
        <v/>
      </c>
      <c r="C1536" s="91">
        <f>IF(B1536&gt;0,IF('Deal maths'!C1536="Local authority","Local authorities",LOWER(TRIM('Deal maths'!B1536))),"")</f>
        <v/>
      </c>
      <c r="D1536" s="91">
        <f>IF(C1536="","",IF(COUNTIF($C$4:C1535,C1536)=0,SUMIF($C$4:$C$3997,C1536,$B$4:$B$3997)-ROW()/1000000,""))</f>
        <v/>
      </c>
      <c r="E1536" s="91">
        <f>IF(AND(N('Deal maths'!F1536)&gt;AsAt,N('Deal maths'!E1536)&lt;=AsAt,IF(N('Deal maths'!H1536)&gt;0,N('Deal maths'!H1536),N('Deal maths'!D1536))&gt;0),N('Deal maths'!F1536)+ROW()/1000000,"")</f>
        <v/>
      </c>
    </row>
    <row r="1537">
      <c r="A1537" s="91" t="n"/>
      <c r="B1537" s="111">
        <f>IF(AND(N('Deal maths'!F1537)&gt;AsAt,N('Deal maths'!E1537)&lt;=AsAt),IF(N('Deal maths'!H1537)&gt;0,N('Deal maths'!H1537),N('Deal maths'!D1537)),0)</f>
        <v/>
      </c>
      <c r="C1537" s="91">
        <f>IF(B1537&gt;0,IF('Deal maths'!C1537="Local authority","Local authorities",LOWER(TRIM('Deal maths'!B1537))),"")</f>
        <v/>
      </c>
      <c r="D1537" s="91">
        <f>IF(C1537="","",IF(COUNTIF($C$4:C1536,C1537)=0,SUMIF($C$4:$C$3997,C1537,$B$4:$B$3997)-ROW()/1000000,""))</f>
        <v/>
      </c>
      <c r="E1537" s="91">
        <f>IF(AND(N('Deal maths'!F1537)&gt;AsAt,N('Deal maths'!E1537)&lt;=AsAt,IF(N('Deal maths'!H1537)&gt;0,N('Deal maths'!H1537),N('Deal maths'!D1537))&gt;0),N('Deal maths'!F1537)+ROW()/1000000,"")</f>
        <v/>
      </c>
    </row>
    <row r="1538">
      <c r="A1538" s="91" t="n"/>
      <c r="B1538" s="111">
        <f>IF(AND(N('Deal maths'!F1538)&gt;AsAt,N('Deal maths'!E1538)&lt;=AsAt),IF(N('Deal maths'!H1538)&gt;0,N('Deal maths'!H1538),N('Deal maths'!D1538)),0)</f>
        <v/>
      </c>
      <c r="C1538" s="91">
        <f>IF(B1538&gt;0,IF('Deal maths'!C1538="Local authority","Local authorities",LOWER(TRIM('Deal maths'!B1538))),"")</f>
        <v/>
      </c>
      <c r="D1538" s="91">
        <f>IF(C1538="","",IF(COUNTIF($C$4:C1537,C1538)=0,SUMIF($C$4:$C$3997,C1538,$B$4:$B$3997)-ROW()/1000000,""))</f>
        <v/>
      </c>
      <c r="E1538" s="91">
        <f>IF(AND(N('Deal maths'!F1538)&gt;AsAt,N('Deal maths'!E1538)&lt;=AsAt,IF(N('Deal maths'!H1538)&gt;0,N('Deal maths'!H1538),N('Deal maths'!D1538))&gt;0),N('Deal maths'!F1538)+ROW()/1000000,"")</f>
        <v/>
      </c>
    </row>
    <row r="1539">
      <c r="A1539" s="91" t="n"/>
      <c r="B1539" s="111">
        <f>IF(AND(N('Deal maths'!F1539)&gt;AsAt,N('Deal maths'!E1539)&lt;=AsAt),IF(N('Deal maths'!H1539)&gt;0,N('Deal maths'!H1539),N('Deal maths'!D1539)),0)</f>
        <v/>
      </c>
      <c r="C1539" s="91">
        <f>IF(B1539&gt;0,IF('Deal maths'!C1539="Local authority","Local authorities",LOWER(TRIM('Deal maths'!B1539))),"")</f>
        <v/>
      </c>
      <c r="D1539" s="91">
        <f>IF(C1539="","",IF(COUNTIF($C$4:C1538,C1539)=0,SUMIF($C$4:$C$3997,C1539,$B$4:$B$3997)-ROW()/1000000,""))</f>
        <v/>
      </c>
      <c r="E1539" s="91">
        <f>IF(AND(N('Deal maths'!F1539)&gt;AsAt,N('Deal maths'!E1539)&lt;=AsAt,IF(N('Deal maths'!H1539)&gt;0,N('Deal maths'!H1539),N('Deal maths'!D1539))&gt;0),N('Deal maths'!F1539)+ROW()/1000000,"")</f>
        <v/>
      </c>
    </row>
    <row r="1540">
      <c r="A1540" s="91" t="n"/>
      <c r="B1540" s="111">
        <f>IF(AND(N('Deal maths'!F1540)&gt;AsAt,N('Deal maths'!E1540)&lt;=AsAt),IF(N('Deal maths'!H1540)&gt;0,N('Deal maths'!H1540),N('Deal maths'!D1540)),0)</f>
        <v/>
      </c>
      <c r="C1540" s="91">
        <f>IF(B1540&gt;0,IF('Deal maths'!C1540="Local authority","Local authorities",LOWER(TRIM('Deal maths'!B1540))),"")</f>
        <v/>
      </c>
      <c r="D1540" s="91">
        <f>IF(C1540="","",IF(COUNTIF($C$4:C1539,C1540)=0,SUMIF($C$4:$C$3997,C1540,$B$4:$B$3997)-ROW()/1000000,""))</f>
        <v/>
      </c>
      <c r="E1540" s="91">
        <f>IF(AND(N('Deal maths'!F1540)&gt;AsAt,N('Deal maths'!E1540)&lt;=AsAt,IF(N('Deal maths'!H1540)&gt;0,N('Deal maths'!H1540),N('Deal maths'!D1540))&gt;0),N('Deal maths'!F1540)+ROW()/1000000,"")</f>
        <v/>
      </c>
    </row>
    <row r="1541">
      <c r="A1541" s="91" t="n"/>
      <c r="B1541" s="111">
        <f>IF(AND(N('Deal maths'!F1541)&gt;AsAt,N('Deal maths'!E1541)&lt;=AsAt),IF(N('Deal maths'!H1541)&gt;0,N('Deal maths'!H1541),N('Deal maths'!D1541)),0)</f>
        <v/>
      </c>
      <c r="C1541" s="91">
        <f>IF(B1541&gt;0,IF('Deal maths'!C1541="Local authority","Local authorities",LOWER(TRIM('Deal maths'!B1541))),"")</f>
        <v/>
      </c>
      <c r="D1541" s="91">
        <f>IF(C1541="","",IF(COUNTIF($C$4:C1540,C1541)=0,SUMIF($C$4:$C$3997,C1541,$B$4:$B$3997)-ROW()/1000000,""))</f>
        <v/>
      </c>
      <c r="E1541" s="91">
        <f>IF(AND(N('Deal maths'!F1541)&gt;AsAt,N('Deal maths'!E1541)&lt;=AsAt,IF(N('Deal maths'!H1541)&gt;0,N('Deal maths'!H1541),N('Deal maths'!D1541))&gt;0),N('Deal maths'!F1541)+ROW()/1000000,"")</f>
        <v/>
      </c>
    </row>
    <row r="1542">
      <c r="A1542" s="91" t="n"/>
      <c r="B1542" s="111">
        <f>IF(AND(N('Deal maths'!F1542)&gt;AsAt,N('Deal maths'!E1542)&lt;=AsAt),IF(N('Deal maths'!H1542)&gt;0,N('Deal maths'!H1542),N('Deal maths'!D1542)),0)</f>
        <v/>
      </c>
      <c r="C1542" s="91">
        <f>IF(B1542&gt;0,IF('Deal maths'!C1542="Local authority","Local authorities",LOWER(TRIM('Deal maths'!B1542))),"")</f>
        <v/>
      </c>
      <c r="D1542" s="91">
        <f>IF(C1542="","",IF(COUNTIF($C$4:C1541,C1542)=0,SUMIF($C$4:$C$3997,C1542,$B$4:$B$3997)-ROW()/1000000,""))</f>
        <v/>
      </c>
      <c r="E1542" s="91">
        <f>IF(AND(N('Deal maths'!F1542)&gt;AsAt,N('Deal maths'!E1542)&lt;=AsAt,IF(N('Deal maths'!H1542)&gt;0,N('Deal maths'!H1542),N('Deal maths'!D1542))&gt;0),N('Deal maths'!F1542)+ROW()/1000000,"")</f>
        <v/>
      </c>
    </row>
    <row r="1543">
      <c r="A1543" s="91" t="n"/>
      <c r="B1543" s="111">
        <f>IF(AND(N('Deal maths'!F1543)&gt;AsAt,N('Deal maths'!E1543)&lt;=AsAt),IF(N('Deal maths'!H1543)&gt;0,N('Deal maths'!H1543),N('Deal maths'!D1543)),0)</f>
        <v/>
      </c>
      <c r="C1543" s="91">
        <f>IF(B1543&gt;0,IF('Deal maths'!C1543="Local authority","Local authorities",LOWER(TRIM('Deal maths'!B1543))),"")</f>
        <v/>
      </c>
      <c r="D1543" s="91">
        <f>IF(C1543="","",IF(COUNTIF($C$4:C1542,C1543)=0,SUMIF($C$4:$C$3997,C1543,$B$4:$B$3997)-ROW()/1000000,""))</f>
        <v/>
      </c>
      <c r="E1543" s="91">
        <f>IF(AND(N('Deal maths'!F1543)&gt;AsAt,N('Deal maths'!E1543)&lt;=AsAt,IF(N('Deal maths'!H1543)&gt;0,N('Deal maths'!H1543),N('Deal maths'!D1543))&gt;0),N('Deal maths'!F1543)+ROW()/1000000,"")</f>
        <v/>
      </c>
    </row>
    <row r="1544">
      <c r="A1544" s="91" t="n"/>
      <c r="B1544" s="111">
        <f>IF(AND(N('Deal maths'!F1544)&gt;AsAt,N('Deal maths'!E1544)&lt;=AsAt),IF(N('Deal maths'!H1544)&gt;0,N('Deal maths'!H1544),N('Deal maths'!D1544)),0)</f>
        <v/>
      </c>
      <c r="C1544" s="91">
        <f>IF(B1544&gt;0,IF('Deal maths'!C1544="Local authority","Local authorities",LOWER(TRIM('Deal maths'!B1544))),"")</f>
        <v/>
      </c>
      <c r="D1544" s="91">
        <f>IF(C1544="","",IF(COUNTIF($C$4:C1543,C1544)=0,SUMIF($C$4:$C$3997,C1544,$B$4:$B$3997)-ROW()/1000000,""))</f>
        <v/>
      </c>
      <c r="E1544" s="91">
        <f>IF(AND(N('Deal maths'!F1544)&gt;AsAt,N('Deal maths'!E1544)&lt;=AsAt,IF(N('Deal maths'!H1544)&gt;0,N('Deal maths'!H1544),N('Deal maths'!D1544))&gt;0),N('Deal maths'!F1544)+ROW()/1000000,"")</f>
        <v/>
      </c>
    </row>
    <row r="1545">
      <c r="A1545" s="91" t="n"/>
      <c r="B1545" s="111">
        <f>IF(AND(N('Deal maths'!F1545)&gt;AsAt,N('Deal maths'!E1545)&lt;=AsAt),IF(N('Deal maths'!H1545)&gt;0,N('Deal maths'!H1545),N('Deal maths'!D1545)),0)</f>
        <v/>
      </c>
      <c r="C1545" s="91">
        <f>IF(B1545&gt;0,IF('Deal maths'!C1545="Local authority","Local authorities",LOWER(TRIM('Deal maths'!B1545))),"")</f>
        <v/>
      </c>
      <c r="D1545" s="91">
        <f>IF(C1545="","",IF(COUNTIF($C$4:C1544,C1545)=0,SUMIF($C$4:$C$3997,C1545,$B$4:$B$3997)-ROW()/1000000,""))</f>
        <v/>
      </c>
      <c r="E1545" s="91">
        <f>IF(AND(N('Deal maths'!F1545)&gt;AsAt,N('Deal maths'!E1545)&lt;=AsAt,IF(N('Deal maths'!H1545)&gt;0,N('Deal maths'!H1545),N('Deal maths'!D1545))&gt;0),N('Deal maths'!F1545)+ROW()/1000000,"")</f>
        <v/>
      </c>
    </row>
    <row r="1546">
      <c r="A1546" s="91" t="n"/>
      <c r="B1546" s="111">
        <f>IF(AND(N('Deal maths'!F1546)&gt;AsAt,N('Deal maths'!E1546)&lt;=AsAt),IF(N('Deal maths'!H1546)&gt;0,N('Deal maths'!H1546),N('Deal maths'!D1546)),0)</f>
        <v/>
      </c>
      <c r="C1546" s="91">
        <f>IF(B1546&gt;0,IF('Deal maths'!C1546="Local authority","Local authorities",LOWER(TRIM('Deal maths'!B1546))),"")</f>
        <v/>
      </c>
      <c r="D1546" s="91">
        <f>IF(C1546="","",IF(COUNTIF($C$4:C1545,C1546)=0,SUMIF($C$4:$C$3997,C1546,$B$4:$B$3997)-ROW()/1000000,""))</f>
        <v/>
      </c>
      <c r="E1546" s="91">
        <f>IF(AND(N('Deal maths'!F1546)&gt;AsAt,N('Deal maths'!E1546)&lt;=AsAt,IF(N('Deal maths'!H1546)&gt;0,N('Deal maths'!H1546),N('Deal maths'!D1546))&gt;0),N('Deal maths'!F1546)+ROW()/1000000,"")</f>
        <v/>
      </c>
    </row>
    <row r="1547">
      <c r="A1547" s="91" t="n"/>
      <c r="B1547" s="111">
        <f>IF(AND(N('Deal maths'!F1547)&gt;AsAt,N('Deal maths'!E1547)&lt;=AsAt),IF(N('Deal maths'!H1547)&gt;0,N('Deal maths'!H1547),N('Deal maths'!D1547)),0)</f>
        <v/>
      </c>
      <c r="C1547" s="91">
        <f>IF(B1547&gt;0,IF('Deal maths'!C1547="Local authority","Local authorities",LOWER(TRIM('Deal maths'!B1547))),"")</f>
        <v/>
      </c>
      <c r="D1547" s="91">
        <f>IF(C1547="","",IF(COUNTIF($C$4:C1546,C1547)=0,SUMIF($C$4:$C$3997,C1547,$B$4:$B$3997)-ROW()/1000000,""))</f>
        <v/>
      </c>
      <c r="E1547" s="91">
        <f>IF(AND(N('Deal maths'!F1547)&gt;AsAt,N('Deal maths'!E1547)&lt;=AsAt,IF(N('Deal maths'!H1547)&gt;0,N('Deal maths'!H1547),N('Deal maths'!D1547))&gt;0),N('Deal maths'!F1547)+ROW()/1000000,"")</f>
        <v/>
      </c>
    </row>
    <row r="1548">
      <c r="A1548" s="91" t="n"/>
      <c r="B1548" s="111">
        <f>IF(AND(N('Deal maths'!F1548)&gt;AsAt,N('Deal maths'!E1548)&lt;=AsAt),IF(N('Deal maths'!H1548)&gt;0,N('Deal maths'!H1548),N('Deal maths'!D1548)),0)</f>
        <v/>
      </c>
      <c r="C1548" s="91">
        <f>IF(B1548&gt;0,IF('Deal maths'!C1548="Local authority","Local authorities",LOWER(TRIM('Deal maths'!B1548))),"")</f>
        <v/>
      </c>
      <c r="D1548" s="91">
        <f>IF(C1548="","",IF(COUNTIF($C$4:C1547,C1548)=0,SUMIF($C$4:$C$3997,C1548,$B$4:$B$3997)-ROW()/1000000,""))</f>
        <v/>
      </c>
      <c r="E1548" s="91">
        <f>IF(AND(N('Deal maths'!F1548)&gt;AsAt,N('Deal maths'!E1548)&lt;=AsAt,IF(N('Deal maths'!H1548)&gt;0,N('Deal maths'!H1548),N('Deal maths'!D1548))&gt;0),N('Deal maths'!F1548)+ROW()/1000000,"")</f>
        <v/>
      </c>
    </row>
    <row r="1549">
      <c r="A1549" s="91" t="n"/>
      <c r="B1549" s="111">
        <f>IF(AND(N('Deal maths'!F1549)&gt;AsAt,N('Deal maths'!E1549)&lt;=AsAt),IF(N('Deal maths'!H1549)&gt;0,N('Deal maths'!H1549),N('Deal maths'!D1549)),0)</f>
        <v/>
      </c>
      <c r="C1549" s="91">
        <f>IF(B1549&gt;0,IF('Deal maths'!C1549="Local authority","Local authorities",LOWER(TRIM('Deal maths'!B1549))),"")</f>
        <v/>
      </c>
      <c r="D1549" s="91">
        <f>IF(C1549="","",IF(COUNTIF($C$4:C1548,C1549)=0,SUMIF($C$4:$C$3997,C1549,$B$4:$B$3997)-ROW()/1000000,""))</f>
        <v/>
      </c>
      <c r="E1549" s="91">
        <f>IF(AND(N('Deal maths'!F1549)&gt;AsAt,N('Deal maths'!E1549)&lt;=AsAt,IF(N('Deal maths'!H1549)&gt;0,N('Deal maths'!H1549),N('Deal maths'!D1549))&gt;0),N('Deal maths'!F1549)+ROW()/1000000,"")</f>
        <v/>
      </c>
    </row>
    <row r="1550">
      <c r="A1550" s="91" t="n"/>
      <c r="B1550" s="111">
        <f>IF(AND(N('Deal maths'!F1550)&gt;AsAt,N('Deal maths'!E1550)&lt;=AsAt),IF(N('Deal maths'!H1550)&gt;0,N('Deal maths'!H1550),N('Deal maths'!D1550)),0)</f>
        <v/>
      </c>
      <c r="C1550" s="91">
        <f>IF(B1550&gt;0,IF('Deal maths'!C1550="Local authority","Local authorities",LOWER(TRIM('Deal maths'!B1550))),"")</f>
        <v/>
      </c>
      <c r="D1550" s="91">
        <f>IF(C1550="","",IF(COUNTIF($C$4:C1549,C1550)=0,SUMIF($C$4:$C$3997,C1550,$B$4:$B$3997)-ROW()/1000000,""))</f>
        <v/>
      </c>
      <c r="E1550" s="91">
        <f>IF(AND(N('Deal maths'!F1550)&gt;AsAt,N('Deal maths'!E1550)&lt;=AsAt,IF(N('Deal maths'!H1550)&gt;0,N('Deal maths'!H1550),N('Deal maths'!D1550))&gt;0),N('Deal maths'!F1550)+ROW()/1000000,"")</f>
        <v/>
      </c>
    </row>
    <row r="1551">
      <c r="A1551" s="91" t="n"/>
      <c r="B1551" s="111">
        <f>IF(AND(N('Deal maths'!F1551)&gt;AsAt,N('Deal maths'!E1551)&lt;=AsAt),IF(N('Deal maths'!H1551)&gt;0,N('Deal maths'!H1551),N('Deal maths'!D1551)),0)</f>
        <v/>
      </c>
      <c r="C1551" s="91">
        <f>IF(B1551&gt;0,IF('Deal maths'!C1551="Local authority","Local authorities",LOWER(TRIM('Deal maths'!B1551))),"")</f>
        <v/>
      </c>
      <c r="D1551" s="91">
        <f>IF(C1551="","",IF(COUNTIF($C$4:C1550,C1551)=0,SUMIF($C$4:$C$3997,C1551,$B$4:$B$3997)-ROW()/1000000,""))</f>
        <v/>
      </c>
      <c r="E1551" s="91">
        <f>IF(AND(N('Deal maths'!F1551)&gt;AsAt,N('Deal maths'!E1551)&lt;=AsAt,IF(N('Deal maths'!H1551)&gt;0,N('Deal maths'!H1551),N('Deal maths'!D1551))&gt;0),N('Deal maths'!F1551)+ROW()/1000000,"")</f>
        <v/>
      </c>
    </row>
    <row r="1552">
      <c r="A1552" s="91" t="n"/>
      <c r="B1552" s="111">
        <f>IF(AND(N('Deal maths'!F1552)&gt;AsAt,N('Deal maths'!E1552)&lt;=AsAt),IF(N('Deal maths'!H1552)&gt;0,N('Deal maths'!H1552),N('Deal maths'!D1552)),0)</f>
        <v/>
      </c>
      <c r="C1552" s="91">
        <f>IF(B1552&gt;0,IF('Deal maths'!C1552="Local authority","Local authorities",LOWER(TRIM('Deal maths'!B1552))),"")</f>
        <v/>
      </c>
      <c r="D1552" s="91">
        <f>IF(C1552="","",IF(COUNTIF($C$4:C1551,C1552)=0,SUMIF($C$4:$C$3997,C1552,$B$4:$B$3997)-ROW()/1000000,""))</f>
        <v/>
      </c>
      <c r="E1552" s="91">
        <f>IF(AND(N('Deal maths'!F1552)&gt;AsAt,N('Deal maths'!E1552)&lt;=AsAt,IF(N('Deal maths'!H1552)&gt;0,N('Deal maths'!H1552),N('Deal maths'!D1552))&gt;0),N('Deal maths'!F1552)+ROW()/1000000,"")</f>
        <v/>
      </c>
    </row>
    <row r="1553">
      <c r="A1553" s="91" t="n"/>
      <c r="B1553" s="111">
        <f>IF(AND(N('Deal maths'!F1553)&gt;AsAt,N('Deal maths'!E1553)&lt;=AsAt),IF(N('Deal maths'!H1553)&gt;0,N('Deal maths'!H1553),N('Deal maths'!D1553)),0)</f>
        <v/>
      </c>
      <c r="C1553" s="91">
        <f>IF(B1553&gt;0,IF('Deal maths'!C1553="Local authority","Local authorities",LOWER(TRIM('Deal maths'!B1553))),"")</f>
        <v/>
      </c>
      <c r="D1553" s="91">
        <f>IF(C1553="","",IF(COUNTIF($C$4:C1552,C1553)=0,SUMIF($C$4:$C$3997,C1553,$B$4:$B$3997)-ROW()/1000000,""))</f>
        <v/>
      </c>
      <c r="E1553" s="91">
        <f>IF(AND(N('Deal maths'!F1553)&gt;AsAt,N('Deal maths'!E1553)&lt;=AsAt,IF(N('Deal maths'!H1553)&gt;0,N('Deal maths'!H1553),N('Deal maths'!D1553))&gt;0),N('Deal maths'!F1553)+ROW()/1000000,"")</f>
        <v/>
      </c>
    </row>
    <row r="1554">
      <c r="A1554" s="91" t="n"/>
      <c r="B1554" s="111">
        <f>IF(AND(N('Deal maths'!F1554)&gt;AsAt,N('Deal maths'!E1554)&lt;=AsAt),IF(N('Deal maths'!H1554)&gt;0,N('Deal maths'!H1554),N('Deal maths'!D1554)),0)</f>
        <v/>
      </c>
      <c r="C1554" s="91">
        <f>IF(B1554&gt;0,IF('Deal maths'!C1554="Local authority","Local authorities",LOWER(TRIM('Deal maths'!B1554))),"")</f>
        <v/>
      </c>
      <c r="D1554" s="91">
        <f>IF(C1554="","",IF(COUNTIF($C$4:C1553,C1554)=0,SUMIF($C$4:$C$3997,C1554,$B$4:$B$3997)-ROW()/1000000,""))</f>
        <v/>
      </c>
      <c r="E1554" s="91">
        <f>IF(AND(N('Deal maths'!F1554)&gt;AsAt,N('Deal maths'!E1554)&lt;=AsAt,IF(N('Deal maths'!H1554)&gt;0,N('Deal maths'!H1554),N('Deal maths'!D1554))&gt;0),N('Deal maths'!F1554)+ROW()/1000000,"")</f>
        <v/>
      </c>
    </row>
    <row r="1555">
      <c r="A1555" s="91" t="n"/>
      <c r="B1555" s="111">
        <f>IF(AND(N('Deal maths'!F1555)&gt;AsAt,N('Deal maths'!E1555)&lt;=AsAt),IF(N('Deal maths'!H1555)&gt;0,N('Deal maths'!H1555),N('Deal maths'!D1555)),0)</f>
        <v/>
      </c>
      <c r="C1555" s="91">
        <f>IF(B1555&gt;0,IF('Deal maths'!C1555="Local authority","Local authorities",LOWER(TRIM('Deal maths'!B1555))),"")</f>
        <v/>
      </c>
      <c r="D1555" s="91">
        <f>IF(C1555="","",IF(COUNTIF($C$4:C1554,C1555)=0,SUMIF($C$4:$C$3997,C1555,$B$4:$B$3997)-ROW()/1000000,""))</f>
        <v/>
      </c>
      <c r="E1555" s="91">
        <f>IF(AND(N('Deal maths'!F1555)&gt;AsAt,N('Deal maths'!E1555)&lt;=AsAt,IF(N('Deal maths'!H1555)&gt;0,N('Deal maths'!H1555),N('Deal maths'!D1555))&gt;0),N('Deal maths'!F1555)+ROW()/1000000,"")</f>
        <v/>
      </c>
    </row>
    <row r="1556">
      <c r="A1556" s="91" t="n"/>
      <c r="B1556" s="111">
        <f>IF(AND(N('Deal maths'!F1556)&gt;AsAt,N('Deal maths'!E1556)&lt;=AsAt),IF(N('Deal maths'!H1556)&gt;0,N('Deal maths'!H1556),N('Deal maths'!D1556)),0)</f>
        <v/>
      </c>
      <c r="C1556" s="91">
        <f>IF(B1556&gt;0,IF('Deal maths'!C1556="Local authority","Local authorities",LOWER(TRIM('Deal maths'!B1556))),"")</f>
        <v/>
      </c>
      <c r="D1556" s="91">
        <f>IF(C1556="","",IF(COUNTIF($C$4:C1555,C1556)=0,SUMIF($C$4:$C$3997,C1556,$B$4:$B$3997)-ROW()/1000000,""))</f>
        <v/>
      </c>
      <c r="E1556" s="91">
        <f>IF(AND(N('Deal maths'!F1556)&gt;AsAt,N('Deal maths'!E1556)&lt;=AsAt,IF(N('Deal maths'!H1556)&gt;0,N('Deal maths'!H1556),N('Deal maths'!D1556))&gt;0),N('Deal maths'!F1556)+ROW()/1000000,"")</f>
        <v/>
      </c>
    </row>
    <row r="1557">
      <c r="A1557" s="91" t="n"/>
      <c r="B1557" s="111">
        <f>IF(AND(N('Deal maths'!F1557)&gt;AsAt,N('Deal maths'!E1557)&lt;=AsAt),IF(N('Deal maths'!H1557)&gt;0,N('Deal maths'!H1557),N('Deal maths'!D1557)),0)</f>
        <v/>
      </c>
      <c r="C1557" s="91">
        <f>IF(B1557&gt;0,IF('Deal maths'!C1557="Local authority","Local authorities",LOWER(TRIM('Deal maths'!B1557))),"")</f>
        <v/>
      </c>
      <c r="D1557" s="91">
        <f>IF(C1557="","",IF(COUNTIF($C$4:C1556,C1557)=0,SUMIF($C$4:$C$3997,C1557,$B$4:$B$3997)-ROW()/1000000,""))</f>
        <v/>
      </c>
      <c r="E1557" s="91">
        <f>IF(AND(N('Deal maths'!F1557)&gt;AsAt,N('Deal maths'!E1557)&lt;=AsAt,IF(N('Deal maths'!H1557)&gt;0,N('Deal maths'!H1557),N('Deal maths'!D1557))&gt;0),N('Deal maths'!F1557)+ROW()/1000000,"")</f>
        <v/>
      </c>
    </row>
    <row r="1558">
      <c r="A1558" s="91" t="n"/>
      <c r="B1558" s="111">
        <f>IF(AND(N('Deal maths'!F1558)&gt;AsAt,N('Deal maths'!E1558)&lt;=AsAt),IF(N('Deal maths'!H1558)&gt;0,N('Deal maths'!H1558),N('Deal maths'!D1558)),0)</f>
        <v/>
      </c>
      <c r="C1558" s="91">
        <f>IF(B1558&gt;0,IF('Deal maths'!C1558="Local authority","Local authorities",LOWER(TRIM('Deal maths'!B1558))),"")</f>
        <v/>
      </c>
      <c r="D1558" s="91">
        <f>IF(C1558="","",IF(COUNTIF($C$4:C1557,C1558)=0,SUMIF($C$4:$C$3997,C1558,$B$4:$B$3997)-ROW()/1000000,""))</f>
        <v/>
      </c>
      <c r="E1558" s="91">
        <f>IF(AND(N('Deal maths'!F1558)&gt;AsAt,N('Deal maths'!E1558)&lt;=AsAt,IF(N('Deal maths'!H1558)&gt;0,N('Deal maths'!H1558),N('Deal maths'!D1558))&gt;0),N('Deal maths'!F1558)+ROW()/1000000,"")</f>
        <v/>
      </c>
    </row>
    <row r="1559">
      <c r="A1559" s="91" t="n"/>
      <c r="B1559" s="111">
        <f>IF(AND(N('Deal maths'!F1559)&gt;AsAt,N('Deal maths'!E1559)&lt;=AsAt),IF(N('Deal maths'!H1559)&gt;0,N('Deal maths'!H1559),N('Deal maths'!D1559)),0)</f>
        <v/>
      </c>
      <c r="C1559" s="91">
        <f>IF(B1559&gt;0,IF('Deal maths'!C1559="Local authority","Local authorities",LOWER(TRIM('Deal maths'!B1559))),"")</f>
        <v/>
      </c>
      <c r="D1559" s="91">
        <f>IF(C1559="","",IF(COUNTIF($C$4:C1558,C1559)=0,SUMIF($C$4:$C$3997,C1559,$B$4:$B$3997)-ROW()/1000000,""))</f>
        <v/>
      </c>
      <c r="E1559" s="91">
        <f>IF(AND(N('Deal maths'!F1559)&gt;AsAt,N('Deal maths'!E1559)&lt;=AsAt,IF(N('Deal maths'!H1559)&gt;0,N('Deal maths'!H1559),N('Deal maths'!D1559))&gt;0),N('Deal maths'!F1559)+ROW()/1000000,"")</f>
        <v/>
      </c>
    </row>
    <row r="1560">
      <c r="A1560" s="91" t="n"/>
      <c r="B1560" s="111">
        <f>IF(AND(N('Deal maths'!F1560)&gt;AsAt,N('Deal maths'!E1560)&lt;=AsAt),IF(N('Deal maths'!H1560)&gt;0,N('Deal maths'!H1560),N('Deal maths'!D1560)),0)</f>
        <v/>
      </c>
      <c r="C1560" s="91">
        <f>IF(B1560&gt;0,IF('Deal maths'!C1560="Local authority","Local authorities",LOWER(TRIM('Deal maths'!B1560))),"")</f>
        <v/>
      </c>
      <c r="D1560" s="91">
        <f>IF(C1560="","",IF(COUNTIF($C$4:C1559,C1560)=0,SUMIF($C$4:$C$3997,C1560,$B$4:$B$3997)-ROW()/1000000,""))</f>
        <v/>
      </c>
      <c r="E1560" s="91">
        <f>IF(AND(N('Deal maths'!F1560)&gt;AsAt,N('Deal maths'!E1560)&lt;=AsAt,IF(N('Deal maths'!H1560)&gt;0,N('Deal maths'!H1560),N('Deal maths'!D1560))&gt;0),N('Deal maths'!F1560)+ROW()/1000000,"")</f>
        <v/>
      </c>
    </row>
    <row r="1561">
      <c r="A1561" s="91" t="n"/>
      <c r="B1561" s="111">
        <f>IF(AND(N('Deal maths'!F1561)&gt;AsAt,N('Deal maths'!E1561)&lt;=AsAt),IF(N('Deal maths'!H1561)&gt;0,N('Deal maths'!H1561),N('Deal maths'!D1561)),0)</f>
        <v/>
      </c>
      <c r="C1561" s="91">
        <f>IF(B1561&gt;0,IF('Deal maths'!C1561="Local authority","Local authorities",LOWER(TRIM('Deal maths'!B1561))),"")</f>
        <v/>
      </c>
      <c r="D1561" s="91">
        <f>IF(C1561="","",IF(COUNTIF($C$4:C1560,C1561)=0,SUMIF($C$4:$C$3997,C1561,$B$4:$B$3997)-ROW()/1000000,""))</f>
        <v/>
      </c>
      <c r="E1561" s="91">
        <f>IF(AND(N('Deal maths'!F1561)&gt;AsAt,N('Deal maths'!E1561)&lt;=AsAt,IF(N('Deal maths'!H1561)&gt;0,N('Deal maths'!H1561),N('Deal maths'!D1561))&gt;0),N('Deal maths'!F1561)+ROW()/1000000,"")</f>
        <v/>
      </c>
    </row>
    <row r="1562">
      <c r="A1562" s="91" t="n"/>
      <c r="B1562" s="111">
        <f>IF(AND(N('Deal maths'!F1562)&gt;AsAt,N('Deal maths'!E1562)&lt;=AsAt),IF(N('Deal maths'!H1562)&gt;0,N('Deal maths'!H1562),N('Deal maths'!D1562)),0)</f>
        <v/>
      </c>
      <c r="C1562" s="91">
        <f>IF(B1562&gt;0,IF('Deal maths'!C1562="Local authority","Local authorities",LOWER(TRIM('Deal maths'!B1562))),"")</f>
        <v/>
      </c>
      <c r="D1562" s="91">
        <f>IF(C1562="","",IF(COUNTIF($C$4:C1561,C1562)=0,SUMIF($C$4:$C$3997,C1562,$B$4:$B$3997)-ROW()/1000000,""))</f>
        <v/>
      </c>
      <c r="E1562" s="91">
        <f>IF(AND(N('Deal maths'!F1562)&gt;AsAt,N('Deal maths'!E1562)&lt;=AsAt,IF(N('Deal maths'!H1562)&gt;0,N('Deal maths'!H1562),N('Deal maths'!D1562))&gt;0),N('Deal maths'!F1562)+ROW()/1000000,"")</f>
        <v/>
      </c>
    </row>
    <row r="1563">
      <c r="A1563" s="91" t="n"/>
      <c r="B1563" s="111">
        <f>IF(AND(N('Deal maths'!F1563)&gt;AsAt,N('Deal maths'!E1563)&lt;=AsAt),IF(N('Deal maths'!H1563)&gt;0,N('Deal maths'!H1563),N('Deal maths'!D1563)),0)</f>
        <v/>
      </c>
      <c r="C1563" s="91">
        <f>IF(B1563&gt;0,IF('Deal maths'!C1563="Local authority","Local authorities",LOWER(TRIM('Deal maths'!B1563))),"")</f>
        <v/>
      </c>
      <c r="D1563" s="91">
        <f>IF(C1563="","",IF(COUNTIF($C$4:C1562,C1563)=0,SUMIF($C$4:$C$3997,C1563,$B$4:$B$3997)-ROW()/1000000,""))</f>
        <v/>
      </c>
      <c r="E1563" s="91">
        <f>IF(AND(N('Deal maths'!F1563)&gt;AsAt,N('Deal maths'!E1563)&lt;=AsAt,IF(N('Deal maths'!H1563)&gt;0,N('Deal maths'!H1563),N('Deal maths'!D1563))&gt;0),N('Deal maths'!F1563)+ROW()/1000000,"")</f>
        <v/>
      </c>
    </row>
    <row r="1564">
      <c r="A1564" s="91" t="n"/>
      <c r="B1564" s="111">
        <f>IF(AND(N('Deal maths'!F1564)&gt;AsAt,N('Deal maths'!E1564)&lt;=AsAt),IF(N('Deal maths'!H1564)&gt;0,N('Deal maths'!H1564),N('Deal maths'!D1564)),0)</f>
        <v/>
      </c>
      <c r="C1564" s="91">
        <f>IF(B1564&gt;0,IF('Deal maths'!C1564="Local authority","Local authorities",LOWER(TRIM('Deal maths'!B1564))),"")</f>
        <v/>
      </c>
      <c r="D1564" s="91">
        <f>IF(C1564="","",IF(COUNTIF($C$4:C1563,C1564)=0,SUMIF($C$4:$C$3997,C1564,$B$4:$B$3997)-ROW()/1000000,""))</f>
        <v/>
      </c>
      <c r="E1564" s="91">
        <f>IF(AND(N('Deal maths'!F1564)&gt;AsAt,N('Deal maths'!E1564)&lt;=AsAt,IF(N('Deal maths'!H1564)&gt;0,N('Deal maths'!H1564),N('Deal maths'!D1564))&gt;0),N('Deal maths'!F1564)+ROW()/1000000,"")</f>
        <v/>
      </c>
    </row>
    <row r="1565">
      <c r="A1565" s="91" t="n"/>
      <c r="B1565" s="111">
        <f>IF(AND(N('Deal maths'!F1565)&gt;AsAt,N('Deal maths'!E1565)&lt;=AsAt),IF(N('Deal maths'!H1565)&gt;0,N('Deal maths'!H1565),N('Deal maths'!D1565)),0)</f>
        <v/>
      </c>
      <c r="C1565" s="91">
        <f>IF(B1565&gt;0,IF('Deal maths'!C1565="Local authority","Local authorities",LOWER(TRIM('Deal maths'!B1565))),"")</f>
        <v/>
      </c>
      <c r="D1565" s="91">
        <f>IF(C1565="","",IF(COUNTIF($C$4:C1564,C1565)=0,SUMIF($C$4:$C$3997,C1565,$B$4:$B$3997)-ROW()/1000000,""))</f>
        <v/>
      </c>
      <c r="E1565" s="91">
        <f>IF(AND(N('Deal maths'!F1565)&gt;AsAt,N('Deal maths'!E1565)&lt;=AsAt,IF(N('Deal maths'!H1565)&gt;0,N('Deal maths'!H1565),N('Deal maths'!D1565))&gt;0),N('Deal maths'!F1565)+ROW()/1000000,"")</f>
        <v/>
      </c>
    </row>
    <row r="1566">
      <c r="A1566" s="91" t="n"/>
      <c r="B1566" s="111">
        <f>IF(AND(N('Deal maths'!F1566)&gt;AsAt,N('Deal maths'!E1566)&lt;=AsAt),IF(N('Deal maths'!H1566)&gt;0,N('Deal maths'!H1566),N('Deal maths'!D1566)),0)</f>
        <v/>
      </c>
      <c r="C1566" s="91">
        <f>IF(B1566&gt;0,IF('Deal maths'!C1566="Local authority","Local authorities",LOWER(TRIM('Deal maths'!B1566))),"")</f>
        <v/>
      </c>
      <c r="D1566" s="91">
        <f>IF(C1566="","",IF(COUNTIF($C$4:C1565,C1566)=0,SUMIF($C$4:$C$3997,C1566,$B$4:$B$3997)-ROW()/1000000,""))</f>
        <v/>
      </c>
      <c r="E1566" s="91">
        <f>IF(AND(N('Deal maths'!F1566)&gt;AsAt,N('Deal maths'!E1566)&lt;=AsAt,IF(N('Deal maths'!H1566)&gt;0,N('Deal maths'!H1566),N('Deal maths'!D1566))&gt;0),N('Deal maths'!F1566)+ROW()/1000000,"")</f>
        <v/>
      </c>
    </row>
    <row r="1567">
      <c r="A1567" s="91" t="n"/>
      <c r="B1567" s="111">
        <f>IF(AND(N('Deal maths'!F1567)&gt;AsAt,N('Deal maths'!E1567)&lt;=AsAt),IF(N('Deal maths'!H1567)&gt;0,N('Deal maths'!H1567),N('Deal maths'!D1567)),0)</f>
        <v/>
      </c>
      <c r="C1567" s="91">
        <f>IF(B1567&gt;0,IF('Deal maths'!C1567="Local authority","Local authorities",LOWER(TRIM('Deal maths'!B1567))),"")</f>
        <v/>
      </c>
      <c r="D1567" s="91">
        <f>IF(C1567="","",IF(COUNTIF($C$4:C1566,C1567)=0,SUMIF($C$4:$C$3997,C1567,$B$4:$B$3997)-ROW()/1000000,""))</f>
        <v/>
      </c>
      <c r="E1567" s="91">
        <f>IF(AND(N('Deal maths'!F1567)&gt;AsAt,N('Deal maths'!E1567)&lt;=AsAt,IF(N('Deal maths'!H1567)&gt;0,N('Deal maths'!H1567),N('Deal maths'!D1567))&gt;0),N('Deal maths'!F1567)+ROW()/1000000,"")</f>
        <v/>
      </c>
    </row>
    <row r="1568">
      <c r="A1568" s="91" t="n"/>
      <c r="B1568" s="111">
        <f>IF(AND(N('Deal maths'!F1568)&gt;AsAt,N('Deal maths'!E1568)&lt;=AsAt),IF(N('Deal maths'!H1568)&gt;0,N('Deal maths'!H1568),N('Deal maths'!D1568)),0)</f>
        <v/>
      </c>
      <c r="C1568" s="91">
        <f>IF(B1568&gt;0,IF('Deal maths'!C1568="Local authority","Local authorities",LOWER(TRIM('Deal maths'!B1568))),"")</f>
        <v/>
      </c>
      <c r="D1568" s="91">
        <f>IF(C1568="","",IF(COUNTIF($C$4:C1567,C1568)=0,SUMIF($C$4:$C$3997,C1568,$B$4:$B$3997)-ROW()/1000000,""))</f>
        <v/>
      </c>
      <c r="E1568" s="91">
        <f>IF(AND(N('Deal maths'!F1568)&gt;AsAt,N('Deal maths'!E1568)&lt;=AsAt,IF(N('Deal maths'!H1568)&gt;0,N('Deal maths'!H1568),N('Deal maths'!D1568))&gt;0),N('Deal maths'!F1568)+ROW()/1000000,"")</f>
        <v/>
      </c>
    </row>
    <row r="1569">
      <c r="A1569" s="91" t="n"/>
      <c r="B1569" s="111">
        <f>IF(AND(N('Deal maths'!F1569)&gt;AsAt,N('Deal maths'!E1569)&lt;=AsAt),IF(N('Deal maths'!H1569)&gt;0,N('Deal maths'!H1569),N('Deal maths'!D1569)),0)</f>
        <v/>
      </c>
      <c r="C1569" s="91">
        <f>IF(B1569&gt;0,IF('Deal maths'!C1569="Local authority","Local authorities",LOWER(TRIM('Deal maths'!B1569))),"")</f>
        <v/>
      </c>
      <c r="D1569" s="91">
        <f>IF(C1569="","",IF(COUNTIF($C$4:C1568,C1569)=0,SUMIF($C$4:$C$3997,C1569,$B$4:$B$3997)-ROW()/1000000,""))</f>
        <v/>
      </c>
      <c r="E1569" s="91">
        <f>IF(AND(N('Deal maths'!F1569)&gt;AsAt,N('Deal maths'!E1569)&lt;=AsAt,IF(N('Deal maths'!H1569)&gt;0,N('Deal maths'!H1569),N('Deal maths'!D1569))&gt;0),N('Deal maths'!F1569)+ROW()/1000000,"")</f>
        <v/>
      </c>
    </row>
    <row r="1570">
      <c r="A1570" s="91" t="n"/>
      <c r="B1570" s="111">
        <f>IF(AND(N('Deal maths'!F1570)&gt;AsAt,N('Deal maths'!E1570)&lt;=AsAt),IF(N('Deal maths'!H1570)&gt;0,N('Deal maths'!H1570),N('Deal maths'!D1570)),0)</f>
        <v/>
      </c>
      <c r="C1570" s="91">
        <f>IF(B1570&gt;0,IF('Deal maths'!C1570="Local authority","Local authorities",LOWER(TRIM('Deal maths'!B1570))),"")</f>
        <v/>
      </c>
      <c r="D1570" s="91">
        <f>IF(C1570="","",IF(COUNTIF($C$4:C1569,C1570)=0,SUMIF($C$4:$C$3997,C1570,$B$4:$B$3997)-ROW()/1000000,""))</f>
        <v/>
      </c>
      <c r="E1570" s="91">
        <f>IF(AND(N('Deal maths'!F1570)&gt;AsAt,N('Deal maths'!E1570)&lt;=AsAt,IF(N('Deal maths'!H1570)&gt;0,N('Deal maths'!H1570),N('Deal maths'!D1570))&gt;0),N('Deal maths'!F1570)+ROW()/1000000,"")</f>
        <v/>
      </c>
    </row>
    <row r="1571">
      <c r="A1571" s="91" t="n"/>
      <c r="B1571" s="111">
        <f>IF(AND(N('Deal maths'!F1571)&gt;AsAt,N('Deal maths'!E1571)&lt;=AsAt),IF(N('Deal maths'!H1571)&gt;0,N('Deal maths'!H1571),N('Deal maths'!D1571)),0)</f>
        <v/>
      </c>
      <c r="C1571" s="91">
        <f>IF(B1571&gt;0,IF('Deal maths'!C1571="Local authority","Local authorities",LOWER(TRIM('Deal maths'!B1571))),"")</f>
        <v/>
      </c>
      <c r="D1571" s="91">
        <f>IF(C1571="","",IF(COUNTIF($C$4:C1570,C1571)=0,SUMIF($C$4:$C$3997,C1571,$B$4:$B$3997)-ROW()/1000000,""))</f>
        <v/>
      </c>
      <c r="E1571" s="91">
        <f>IF(AND(N('Deal maths'!F1571)&gt;AsAt,N('Deal maths'!E1571)&lt;=AsAt,IF(N('Deal maths'!H1571)&gt;0,N('Deal maths'!H1571),N('Deal maths'!D1571))&gt;0),N('Deal maths'!F1571)+ROW()/1000000,"")</f>
        <v/>
      </c>
    </row>
    <row r="1572">
      <c r="A1572" s="91" t="n"/>
      <c r="B1572" s="111">
        <f>IF(AND(N('Deal maths'!F1572)&gt;AsAt,N('Deal maths'!E1572)&lt;=AsAt),IF(N('Deal maths'!H1572)&gt;0,N('Deal maths'!H1572),N('Deal maths'!D1572)),0)</f>
        <v/>
      </c>
      <c r="C1572" s="91">
        <f>IF(B1572&gt;0,IF('Deal maths'!C1572="Local authority","Local authorities",LOWER(TRIM('Deal maths'!B1572))),"")</f>
        <v/>
      </c>
      <c r="D1572" s="91">
        <f>IF(C1572="","",IF(COUNTIF($C$4:C1571,C1572)=0,SUMIF($C$4:$C$3997,C1572,$B$4:$B$3997)-ROW()/1000000,""))</f>
        <v/>
      </c>
      <c r="E1572" s="91">
        <f>IF(AND(N('Deal maths'!F1572)&gt;AsAt,N('Deal maths'!E1572)&lt;=AsAt,IF(N('Deal maths'!H1572)&gt;0,N('Deal maths'!H1572),N('Deal maths'!D1572))&gt;0),N('Deal maths'!F1572)+ROW()/1000000,"")</f>
        <v/>
      </c>
    </row>
    <row r="1573">
      <c r="A1573" s="91" t="n"/>
      <c r="B1573" s="111">
        <f>IF(AND(N('Deal maths'!F1573)&gt;AsAt,N('Deal maths'!E1573)&lt;=AsAt),IF(N('Deal maths'!H1573)&gt;0,N('Deal maths'!H1573),N('Deal maths'!D1573)),0)</f>
        <v/>
      </c>
      <c r="C1573" s="91">
        <f>IF(B1573&gt;0,IF('Deal maths'!C1573="Local authority","Local authorities",LOWER(TRIM('Deal maths'!B1573))),"")</f>
        <v/>
      </c>
      <c r="D1573" s="91">
        <f>IF(C1573="","",IF(COUNTIF($C$4:C1572,C1573)=0,SUMIF($C$4:$C$3997,C1573,$B$4:$B$3997)-ROW()/1000000,""))</f>
        <v/>
      </c>
      <c r="E1573" s="91">
        <f>IF(AND(N('Deal maths'!F1573)&gt;AsAt,N('Deal maths'!E1573)&lt;=AsAt,IF(N('Deal maths'!H1573)&gt;0,N('Deal maths'!H1573),N('Deal maths'!D1573))&gt;0),N('Deal maths'!F1573)+ROW()/1000000,"")</f>
        <v/>
      </c>
    </row>
    <row r="1574">
      <c r="A1574" s="91" t="n"/>
      <c r="B1574" s="111">
        <f>IF(AND(N('Deal maths'!F1574)&gt;AsAt,N('Deal maths'!E1574)&lt;=AsAt),IF(N('Deal maths'!H1574)&gt;0,N('Deal maths'!H1574),N('Deal maths'!D1574)),0)</f>
        <v/>
      </c>
      <c r="C1574" s="91">
        <f>IF(B1574&gt;0,IF('Deal maths'!C1574="Local authority","Local authorities",LOWER(TRIM('Deal maths'!B1574))),"")</f>
        <v/>
      </c>
      <c r="D1574" s="91">
        <f>IF(C1574="","",IF(COUNTIF($C$4:C1573,C1574)=0,SUMIF($C$4:$C$3997,C1574,$B$4:$B$3997)-ROW()/1000000,""))</f>
        <v/>
      </c>
      <c r="E1574" s="91">
        <f>IF(AND(N('Deal maths'!F1574)&gt;AsAt,N('Deal maths'!E1574)&lt;=AsAt,IF(N('Deal maths'!H1574)&gt;0,N('Deal maths'!H1574),N('Deal maths'!D1574))&gt;0),N('Deal maths'!F1574)+ROW()/1000000,"")</f>
        <v/>
      </c>
    </row>
    <row r="1575">
      <c r="A1575" s="91" t="n"/>
      <c r="B1575" s="111">
        <f>IF(AND(N('Deal maths'!F1575)&gt;AsAt,N('Deal maths'!E1575)&lt;=AsAt),IF(N('Deal maths'!H1575)&gt;0,N('Deal maths'!H1575),N('Deal maths'!D1575)),0)</f>
        <v/>
      </c>
      <c r="C1575" s="91">
        <f>IF(B1575&gt;0,IF('Deal maths'!C1575="Local authority","Local authorities",LOWER(TRIM('Deal maths'!B1575))),"")</f>
        <v/>
      </c>
      <c r="D1575" s="91">
        <f>IF(C1575="","",IF(COUNTIF($C$4:C1574,C1575)=0,SUMIF($C$4:$C$3997,C1575,$B$4:$B$3997)-ROW()/1000000,""))</f>
        <v/>
      </c>
      <c r="E1575" s="91">
        <f>IF(AND(N('Deal maths'!F1575)&gt;AsAt,N('Deal maths'!E1575)&lt;=AsAt,IF(N('Deal maths'!H1575)&gt;0,N('Deal maths'!H1575),N('Deal maths'!D1575))&gt;0),N('Deal maths'!F1575)+ROW()/1000000,"")</f>
        <v/>
      </c>
    </row>
    <row r="1576">
      <c r="A1576" s="91" t="n"/>
      <c r="B1576" s="111">
        <f>IF(AND(N('Deal maths'!F1576)&gt;AsAt,N('Deal maths'!E1576)&lt;=AsAt),IF(N('Deal maths'!H1576)&gt;0,N('Deal maths'!H1576),N('Deal maths'!D1576)),0)</f>
        <v/>
      </c>
      <c r="C1576" s="91">
        <f>IF(B1576&gt;0,IF('Deal maths'!C1576="Local authority","Local authorities",LOWER(TRIM('Deal maths'!B1576))),"")</f>
        <v/>
      </c>
      <c r="D1576" s="91">
        <f>IF(C1576="","",IF(COUNTIF($C$4:C1575,C1576)=0,SUMIF($C$4:$C$3997,C1576,$B$4:$B$3997)-ROW()/1000000,""))</f>
        <v/>
      </c>
      <c r="E1576" s="91">
        <f>IF(AND(N('Deal maths'!F1576)&gt;AsAt,N('Deal maths'!E1576)&lt;=AsAt,IF(N('Deal maths'!H1576)&gt;0,N('Deal maths'!H1576),N('Deal maths'!D1576))&gt;0),N('Deal maths'!F1576)+ROW()/1000000,"")</f>
        <v/>
      </c>
    </row>
    <row r="1577">
      <c r="A1577" s="91" t="n"/>
      <c r="B1577" s="111">
        <f>IF(AND(N('Deal maths'!F1577)&gt;AsAt,N('Deal maths'!E1577)&lt;=AsAt),IF(N('Deal maths'!H1577)&gt;0,N('Deal maths'!H1577),N('Deal maths'!D1577)),0)</f>
        <v/>
      </c>
      <c r="C1577" s="91">
        <f>IF(B1577&gt;0,IF('Deal maths'!C1577="Local authority","Local authorities",LOWER(TRIM('Deal maths'!B1577))),"")</f>
        <v/>
      </c>
      <c r="D1577" s="91">
        <f>IF(C1577="","",IF(COUNTIF($C$4:C1576,C1577)=0,SUMIF($C$4:$C$3997,C1577,$B$4:$B$3997)-ROW()/1000000,""))</f>
        <v/>
      </c>
      <c r="E1577" s="91">
        <f>IF(AND(N('Deal maths'!F1577)&gt;AsAt,N('Deal maths'!E1577)&lt;=AsAt,IF(N('Deal maths'!H1577)&gt;0,N('Deal maths'!H1577),N('Deal maths'!D1577))&gt;0),N('Deal maths'!F1577)+ROW()/1000000,"")</f>
        <v/>
      </c>
    </row>
    <row r="1578">
      <c r="A1578" s="91" t="n"/>
      <c r="B1578" s="111">
        <f>IF(AND(N('Deal maths'!F1578)&gt;AsAt,N('Deal maths'!E1578)&lt;=AsAt),IF(N('Deal maths'!H1578)&gt;0,N('Deal maths'!H1578),N('Deal maths'!D1578)),0)</f>
        <v/>
      </c>
      <c r="C1578" s="91">
        <f>IF(B1578&gt;0,IF('Deal maths'!C1578="Local authority","Local authorities",LOWER(TRIM('Deal maths'!B1578))),"")</f>
        <v/>
      </c>
      <c r="D1578" s="91">
        <f>IF(C1578="","",IF(COUNTIF($C$4:C1577,C1578)=0,SUMIF($C$4:$C$3997,C1578,$B$4:$B$3997)-ROW()/1000000,""))</f>
        <v/>
      </c>
      <c r="E1578" s="91">
        <f>IF(AND(N('Deal maths'!F1578)&gt;AsAt,N('Deal maths'!E1578)&lt;=AsAt,IF(N('Deal maths'!H1578)&gt;0,N('Deal maths'!H1578),N('Deal maths'!D1578))&gt;0),N('Deal maths'!F1578)+ROW()/1000000,"")</f>
        <v/>
      </c>
    </row>
    <row r="1579">
      <c r="A1579" s="91" t="n"/>
      <c r="B1579" s="111">
        <f>IF(AND(N('Deal maths'!F1579)&gt;AsAt,N('Deal maths'!E1579)&lt;=AsAt),IF(N('Deal maths'!H1579)&gt;0,N('Deal maths'!H1579),N('Deal maths'!D1579)),0)</f>
        <v/>
      </c>
      <c r="C1579" s="91">
        <f>IF(B1579&gt;0,IF('Deal maths'!C1579="Local authority","Local authorities",LOWER(TRIM('Deal maths'!B1579))),"")</f>
        <v/>
      </c>
      <c r="D1579" s="91">
        <f>IF(C1579="","",IF(COUNTIF($C$4:C1578,C1579)=0,SUMIF($C$4:$C$3997,C1579,$B$4:$B$3997)-ROW()/1000000,""))</f>
        <v/>
      </c>
      <c r="E1579" s="91">
        <f>IF(AND(N('Deal maths'!F1579)&gt;AsAt,N('Deal maths'!E1579)&lt;=AsAt,IF(N('Deal maths'!H1579)&gt;0,N('Deal maths'!H1579),N('Deal maths'!D1579))&gt;0),N('Deal maths'!F1579)+ROW()/1000000,"")</f>
        <v/>
      </c>
    </row>
    <row r="1580">
      <c r="A1580" s="91" t="n"/>
      <c r="B1580" s="111">
        <f>IF(AND(N('Deal maths'!F1580)&gt;AsAt,N('Deal maths'!E1580)&lt;=AsAt),IF(N('Deal maths'!H1580)&gt;0,N('Deal maths'!H1580),N('Deal maths'!D1580)),0)</f>
        <v/>
      </c>
      <c r="C1580" s="91">
        <f>IF(B1580&gt;0,IF('Deal maths'!C1580="Local authority","Local authorities",LOWER(TRIM('Deal maths'!B1580))),"")</f>
        <v/>
      </c>
      <c r="D1580" s="91">
        <f>IF(C1580="","",IF(COUNTIF($C$4:C1579,C1580)=0,SUMIF($C$4:$C$3997,C1580,$B$4:$B$3997)-ROW()/1000000,""))</f>
        <v/>
      </c>
      <c r="E1580" s="91">
        <f>IF(AND(N('Deal maths'!F1580)&gt;AsAt,N('Deal maths'!E1580)&lt;=AsAt,IF(N('Deal maths'!H1580)&gt;0,N('Deal maths'!H1580),N('Deal maths'!D1580))&gt;0),N('Deal maths'!F1580)+ROW()/1000000,"")</f>
        <v/>
      </c>
    </row>
    <row r="1581">
      <c r="A1581" s="91" t="n"/>
      <c r="B1581" s="111">
        <f>IF(AND(N('Deal maths'!F1581)&gt;AsAt,N('Deal maths'!E1581)&lt;=AsAt),IF(N('Deal maths'!H1581)&gt;0,N('Deal maths'!H1581),N('Deal maths'!D1581)),0)</f>
        <v/>
      </c>
      <c r="C1581" s="91">
        <f>IF(B1581&gt;0,IF('Deal maths'!C1581="Local authority","Local authorities",LOWER(TRIM('Deal maths'!B1581))),"")</f>
        <v/>
      </c>
      <c r="D1581" s="91">
        <f>IF(C1581="","",IF(COUNTIF($C$4:C1580,C1581)=0,SUMIF($C$4:$C$3997,C1581,$B$4:$B$3997)-ROW()/1000000,""))</f>
        <v/>
      </c>
      <c r="E1581" s="91">
        <f>IF(AND(N('Deal maths'!F1581)&gt;AsAt,N('Deal maths'!E1581)&lt;=AsAt,IF(N('Deal maths'!H1581)&gt;0,N('Deal maths'!H1581),N('Deal maths'!D1581))&gt;0),N('Deal maths'!F1581)+ROW()/1000000,"")</f>
        <v/>
      </c>
    </row>
    <row r="1582">
      <c r="A1582" s="91" t="n"/>
      <c r="B1582" s="111">
        <f>IF(AND(N('Deal maths'!F1582)&gt;AsAt,N('Deal maths'!E1582)&lt;=AsAt),IF(N('Deal maths'!H1582)&gt;0,N('Deal maths'!H1582),N('Deal maths'!D1582)),0)</f>
        <v/>
      </c>
      <c r="C1582" s="91">
        <f>IF(B1582&gt;0,IF('Deal maths'!C1582="Local authority","Local authorities",LOWER(TRIM('Deal maths'!B1582))),"")</f>
        <v/>
      </c>
      <c r="D1582" s="91">
        <f>IF(C1582="","",IF(COUNTIF($C$4:C1581,C1582)=0,SUMIF($C$4:$C$3997,C1582,$B$4:$B$3997)-ROW()/1000000,""))</f>
        <v/>
      </c>
      <c r="E1582" s="91">
        <f>IF(AND(N('Deal maths'!F1582)&gt;AsAt,N('Deal maths'!E1582)&lt;=AsAt,IF(N('Deal maths'!H1582)&gt;0,N('Deal maths'!H1582),N('Deal maths'!D1582))&gt;0),N('Deal maths'!F1582)+ROW()/1000000,"")</f>
        <v/>
      </c>
    </row>
    <row r="1583">
      <c r="A1583" s="91" t="n"/>
      <c r="B1583" s="111">
        <f>IF(AND(N('Deal maths'!F1583)&gt;AsAt,N('Deal maths'!E1583)&lt;=AsAt),IF(N('Deal maths'!H1583)&gt;0,N('Deal maths'!H1583),N('Deal maths'!D1583)),0)</f>
        <v/>
      </c>
      <c r="C1583" s="91">
        <f>IF(B1583&gt;0,IF('Deal maths'!C1583="Local authority","Local authorities",LOWER(TRIM('Deal maths'!B1583))),"")</f>
        <v/>
      </c>
      <c r="D1583" s="91">
        <f>IF(C1583="","",IF(COUNTIF($C$4:C1582,C1583)=0,SUMIF($C$4:$C$3997,C1583,$B$4:$B$3997)-ROW()/1000000,""))</f>
        <v/>
      </c>
      <c r="E1583" s="91">
        <f>IF(AND(N('Deal maths'!F1583)&gt;AsAt,N('Deal maths'!E1583)&lt;=AsAt,IF(N('Deal maths'!H1583)&gt;0,N('Deal maths'!H1583),N('Deal maths'!D1583))&gt;0),N('Deal maths'!F1583)+ROW()/1000000,"")</f>
        <v/>
      </c>
    </row>
    <row r="1584">
      <c r="A1584" s="91" t="n"/>
      <c r="B1584" s="111">
        <f>IF(AND(N('Deal maths'!F1584)&gt;AsAt,N('Deal maths'!E1584)&lt;=AsAt),IF(N('Deal maths'!H1584)&gt;0,N('Deal maths'!H1584),N('Deal maths'!D1584)),0)</f>
        <v/>
      </c>
      <c r="C1584" s="91">
        <f>IF(B1584&gt;0,IF('Deal maths'!C1584="Local authority","Local authorities",LOWER(TRIM('Deal maths'!B1584))),"")</f>
        <v/>
      </c>
      <c r="D1584" s="91">
        <f>IF(C1584="","",IF(COUNTIF($C$4:C1583,C1584)=0,SUMIF($C$4:$C$3997,C1584,$B$4:$B$3997)-ROW()/1000000,""))</f>
        <v/>
      </c>
      <c r="E1584" s="91">
        <f>IF(AND(N('Deal maths'!F1584)&gt;AsAt,N('Deal maths'!E1584)&lt;=AsAt,IF(N('Deal maths'!H1584)&gt;0,N('Deal maths'!H1584),N('Deal maths'!D1584))&gt;0),N('Deal maths'!F1584)+ROW()/1000000,"")</f>
        <v/>
      </c>
    </row>
    <row r="1585">
      <c r="A1585" s="91" t="n"/>
      <c r="B1585" s="111">
        <f>IF(AND(N('Deal maths'!F1585)&gt;AsAt,N('Deal maths'!E1585)&lt;=AsAt),IF(N('Deal maths'!H1585)&gt;0,N('Deal maths'!H1585),N('Deal maths'!D1585)),0)</f>
        <v/>
      </c>
      <c r="C1585" s="91">
        <f>IF(B1585&gt;0,IF('Deal maths'!C1585="Local authority","Local authorities",LOWER(TRIM('Deal maths'!B1585))),"")</f>
        <v/>
      </c>
      <c r="D1585" s="91">
        <f>IF(C1585="","",IF(COUNTIF($C$4:C1584,C1585)=0,SUMIF($C$4:$C$3997,C1585,$B$4:$B$3997)-ROW()/1000000,""))</f>
        <v/>
      </c>
      <c r="E1585" s="91">
        <f>IF(AND(N('Deal maths'!F1585)&gt;AsAt,N('Deal maths'!E1585)&lt;=AsAt,IF(N('Deal maths'!H1585)&gt;0,N('Deal maths'!H1585),N('Deal maths'!D1585))&gt;0),N('Deal maths'!F1585)+ROW()/1000000,"")</f>
        <v/>
      </c>
    </row>
    <row r="1586">
      <c r="A1586" s="91" t="n"/>
      <c r="B1586" s="111">
        <f>IF(AND(N('Deal maths'!F1586)&gt;AsAt,N('Deal maths'!E1586)&lt;=AsAt),IF(N('Deal maths'!H1586)&gt;0,N('Deal maths'!H1586),N('Deal maths'!D1586)),0)</f>
        <v/>
      </c>
      <c r="C1586" s="91">
        <f>IF(B1586&gt;0,IF('Deal maths'!C1586="Local authority","Local authorities",LOWER(TRIM('Deal maths'!B1586))),"")</f>
        <v/>
      </c>
      <c r="D1586" s="91">
        <f>IF(C1586="","",IF(COUNTIF($C$4:C1585,C1586)=0,SUMIF($C$4:$C$3997,C1586,$B$4:$B$3997)-ROW()/1000000,""))</f>
        <v/>
      </c>
      <c r="E1586" s="91">
        <f>IF(AND(N('Deal maths'!F1586)&gt;AsAt,N('Deal maths'!E1586)&lt;=AsAt,IF(N('Deal maths'!H1586)&gt;0,N('Deal maths'!H1586),N('Deal maths'!D1586))&gt;0),N('Deal maths'!F1586)+ROW()/1000000,"")</f>
        <v/>
      </c>
    </row>
    <row r="1587">
      <c r="A1587" s="91" t="n"/>
      <c r="B1587" s="111">
        <f>IF(AND(N('Deal maths'!F1587)&gt;AsAt,N('Deal maths'!E1587)&lt;=AsAt),IF(N('Deal maths'!H1587)&gt;0,N('Deal maths'!H1587),N('Deal maths'!D1587)),0)</f>
        <v/>
      </c>
      <c r="C1587" s="91">
        <f>IF(B1587&gt;0,IF('Deal maths'!C1587="Local authority","Local authorities",LOWER(TRIM('Deal maths'!B1587))),"")</f>
        <v/>
      </c>
      <c r="D1587" s="91">
        <f>IF(C1587="","",IF(COUNTIF($C$4:C1586,C1587)=0,SUMIF($C$4:$C$3997,C1587,$B$4:$B$3997)-ROW()/1000000,""))</f>
        <v/>
      </c>
      <c r="E1587" s="91">
        <f>IF(AND(N('Deal maths'!F1587)&gt;AsAt,N('Deal maths'!E1587)&lt;=AsAt,IF(N('Deal maths'!H1587)&gt;0,N('Deal maths'!H1587),N('Deal maths'!D1587))&gt;0),N('Deal maths'!F1587)+ROW()/1000000,"")</f>
        <v/>
      </c>
    </row>
    <row r="1588">
      <c r="A1588" s="91" t="n"/>
      <c r="B1588" s="111">
        <f>IF(AND(N('Deal maths'!F1588)&gt;AsAt,N('Deal maths'!E1588)&lt;=AsAt),IF(N('Deal maths'!H1588)&gt;0,N('Deal maths'!H1588),N('Deal maths'!D1588)),0)</f>
        <v/>
      </c>
      <c r="C1588" s="91">
        <f>IF(B1588&gt;0,IF('Deal maths'!C1588="Local authority","Local authorities",LOWER(TRIM('Deal maths'!B1588))),"")</f>
        <v/>
      </c>
      <c r="D1588" s="91">
        <f>IF(C1588="","",IF(COUNTIF($C$4:C1587,C1588)=0,SUMIF($C$4:$C$3997,C1588,$B$4:$B$3997)-ROW()/1000000,""))</f>
        <v/>
      </c>
      <c r="E1588" s="91">
        <f>IF(AND(N('Deal maths'!F1588)&gt;AsAt,N('Deal maths'!E1588)&lt;=AsAt,IF(N('Deal maths'!H1588)&gt;0,N('Deal maths'!H1588),N('Deal maths'!D1588))&gt;0),N('Deal maths'!F1588)+ROW()/1000000,"")</f>
        <v/>
      </c>
    </row>
    <row r="1589">
      <c r="A1589" s="91" t="n"/>
      <c r="B1589" s="111">
        <f>IF(AND(N('Deal maths'!F1589)&gt;AsAt,N('Deal maths'!E1589)&lt;=AsAt),IF(N('Deal maths'!H1589)&gt;0,N('Deal maths'!H1589),N('Deal maths'!D1589)),0)</f>
        <v/>
      </c>
      <c r="C1589" s="91">
        <f>IF(B1589&gt;0,IF('Deal maths'!C1589="Local authority","Local authorities",LOWER(TRIM('Deal maths'!B1589))),"")</f>
        <v/>
      </c>
      <c r="D1589" s="91">
        <f>IF(C1589="","",IF(COUNTIF($C$4:C1588,C1589)=0,SUMIF($C$4:$C$3997,C1589,$B$4:$B$3997)-ROW()/1000000,""))</f>
        <v/>
      </c>
      <c r="E1589" s="91">
        <f>IF(AND(N('Deal maths'!F1589)&gt;AsAt,N('Deal maths'!E1589)&lt;=AsAt,IF(N('Deal maths'!H1589)&gt;0,N('Deal maths'!H1589),N('Deal maths'!D1589))&gt;0),N('Deal maths'!F1589)+ROW()/1000000,"")</f>
        <v/>
      </c>
    </row>
    <row r="1590">
      <c r="A1590" s="91" t="n"/>
      <c r="B1590" s="111">
        <f>IF(AND(N('Deal maths'!F1590)&gt;AsAt,N('Deal maths'!E1590)&lt;=AsAt),IF(N('Deal maths'!H1590)&gt;0,N('Deal maths'!H1590),N('Deal maths'!D1590)),0)</f>
        <v/>
      </c>
      <c r="C1590" s="91">
        <f>IF(B1590&gt;0,IF('Deal maths'!C1590="Local authority","Local authorities",LOWER(TRIM('Deal maths'!B1590))),"")</f>
        <v/>
      </c>
      <c r="D1590" s="91">
        <f>IF(C1590="","",IF(COUNTIF($C$4:C1589,C1590)=0,SUMIF($C$4:$C$3997,C1590,$B$4:$B$3997)-ROW()/1000000,""))</f>
        <v/>
      </c>
      <c r="E1590" s="91">
        <f>IF(AND(N('Deal maths'!F1590)&gt;AsAt,N('Deal maths'!E1590)&lt;=AsAt,IF(N('Deal maths'!H1590)&gt;0,N('Deal maths'!H1590),N('Deal maths'!D1590))&gt;0),N('Deal maths'!F1590)+ROW()/1000000,"")</f>
        <v/>
      </c>
    </row>
    <row r="1591">
      <c r="A1591" s="91" t="n"/>
      <c r="B1591" s="111">
        <f>IF(AND(N('Deal maths'!F1591)&gt;AsAt,N('Deal maths'!E1591)&lt;=AsAt),IF(N('Deal maths'!H1591)&gt;0,N('Deal maths'!H1591),N('Deal maths'!D1591)),0)</f>
        <v/>
      </c>
      <c r="C1591" s="91">
        <f>IF(B1591&gt;0,IF('Deal maths'!C1591="Local authority","Local authorities",LOWER(TRIM('Deal maths'!B1591))),"")</f>
        <v/>
      </c>
      <c r="D1591" s="91">
        <f>IF(C1591="","",IF(COUNTIF($C$4:C1590,C1591)=0,SUMIF($C$4:$C$3997,C1591,$B$4:$B$3997)-ROW()/1000000,""))</f>
        <v/>
      </c>
      <c r="E1591" s="91">
        <f>IF(AND(N('Deal maths'!F1591)&gt;AsAt,N('Deal maths'!E1591)&lt;=AsAt,IF(N('Deal maths'!H1591)&gt;0,N('Deal maths'!H1591),N('Deal maths'!D1591))&gt;0),N('Deal maths'!F1591)+ROW()/1000000,"")</f>
        <v/>
      </c>
    </row>
    <row r="1592">
      <c r="A1592" s="91" t="n"/>
      <c r="B1592" s="111">
        <f>IF(AND(N('Deal maths'!F1592)&gt;AsAt,N('Deal maths'!E1592)&lt;=AsAt),IF(N('Deal maths'!H1592)&gt;0,N('Deal maths'!H1592),N('Deal maths'!D1592)),0)</f>
        <v/>
      </c>
      <c r="C1592" s="91">
        <f>IF(B1592&gt;0,IF('Deal maths'!C1592="Local authority","Local authorities",LOWER(TRIM('Deal maths'!B1592))),"")</f>
        <v/>
      </c>
      <c r="D1592" s="91">
        <f>IF(C1592="","",IF(COUNTIF($C$4:C1591,C1592)=0,SUMIF($C$4:$C$3997,C1592,$B$4:$B$3997)-ROW()/1000000,""))</f>
        <v/>
      </c>
      <c r="E1592" s="91">
        <f>IF(AND(N('Deal maths'!F1592)&gt;AsAt,N('Deal maths'!E1592)&lt;=AsAt,IF(N('Deal maths'!H1592)&gt;0,N('Deal maths'!H1592),N('Deal maths'!D1592))&gt;0),N('Deal maths'!F1592)+ROW()/1000000,"")</f>
        <v/>
      </c>
    </row>
    <row r="1593">
      <c r="A1593" s="91" t="n"/>
      <c r="B1593" s="111">
        <f>IF(AND(N('Deal maths'!F1593)&gt;AsAt,N('Deal maths'!E1593)&lt;=AsAt),IF(N('Deal maths'!H1593)&gt;0,N('Deal maths'!H1593),N('Deal maths'!D1593)),0)</f>
        <v/>
      </c>
      <c r="C1593" s="91">
        <f>IF(B1593&gt;0,IF('Deal maths'!C1593="Local authority","Local authorities",LOWER(TRIM('Deal maths'!B1593))),"")</f>
        <v/>
      </c>
      <c r="D1593" s="91">
        <f>IF(C1593="","",IF(COUNTIF($C$4:C1592,C1593)=0,SUMIF($C$4:$C$3997,C1593,$B$4:$B$3997)-ROW()/1000000,""))</f>
        <v/>
      </c>
      <c r="E1593" s="91">
        <f>IF(AND(N('Deal maths'!F1593)&gt;AsAt,N('Deal maths'!E1593)&lt;=AsAt,IF(N('Deal maths'!H1593)&gt;0,N('Deal maths'!H1593),N('Deal maths'!D1593))&gt;0),N('Deal maths'!F1593)+ROW()/1000000,"")</f>
        <v/>
      </c>
    </row>
    <row r="1594">
      <c r="A1594" s="91" t="n"/>
      <c r="B1594" s="111">
        <f>IF(AND(N('Deal maths'!F1594)&gt;AsAt,N('Deal maths'!E1594)&lt;=AsAt),IF(N('Deal maths'!H1594)&gt;0,N('Deal maths'!H1594),N('Deal maths'!D1594)),0)</f>
        <v/>
      </c>
      <c r="C1594" s="91">
        <f>IF(B1594&gt;0,IF('Deal maths'!C1594="Local authority","Local authorities",LOWER(TRIM('Deal maths'!B1594))),"")</f>
        <v/>
      </c>
      <c r="D1594" s="91">
        <f>IF(C1594="","",IF(COUNTIF($C$4:C1593,C1594)=0,SUMIF($C$4:$C$3997,C1594,$B$4:$B$3997)-ROW()/1000000,""))</f>
        <v/>
      </c>
      <c r="E1594" s="91">
        <f>IF(AND(N('Deal maths'!F1594)&gt;AsAt,N('Deal maths'!E1594)&lt;=AsAt,IF(N('Deal maths'!H1594)&gt;0,N('Deal maths'!H1594),N('Deal maths'!D1594))&gt;0),N('Deal maths'!F1594)+ROW()/1000000,"")</f>
        <v/>
      </c>
    </row>
    <row r="1595">
      <c r="A1595" s="91" t="n"/>
      <c r="B1595" s="111">
        <f>IF(AND(N('Deal maths'!F1595)&gt;AsAt,N('Deal maths'!E1595)&lt;=AsAt),IF(N('Deal maths'!H1595)&gt;0,N('Deal maths'!H1595),N('Deal maths'!D1595)),0)</f>
        <v/>
      </c>
      <c r="C1595" s="91">
        <f>IF(B1595&gt;0,IF('Deal maths'!C1595="Local authority","Local authorities",LOWER(TRIM('Deal maths'!B1595))),"")</f>
        <v/>
      </c>
      <c r="D1595" s="91">
        <f>IF(C1595="","",IF(COUNTIF($C$4:C1594,C1595)=0,SUMIF($C$4:$C$3997,C1595,$B$4:$B$3997)-ROW()/1000000,""))</f>
        <v/>
      </c>
      <c r="E1595" s="91">
        <f>IF(AND(N('Deal maths'!F1595)&gt;AsAt,N('Deal maths'!E1595)&lt;=AsAt,IF(N('Deal maths'!H1595)&gt;0,N('Deal maths'!H1595),N('Deal maths'!D1595))&gt;0),N('Deal maths'!F1595)+ROW()/1000000,"")</f>
        <v/>
      </c>
    </row>
    <row r="1596">
      <c r="A1596" s="91" t="n"/>
      <c r="B1596" s="111">
        <f>IF(AND(N('Deal maths'!F1596)&gt;AsAt,N('Deal maths'!E1596)&lt;=AsAt),IF(N('Deal maths'!H1596)&gt;0,N('Deal maths'!H1596),N('Deal maths'!D1596)),0)</f>
        <v/>
      </c>
      <c r="C1596" s="91">
        <f>IF(B1596&gt;0,IF('Deal maths'!C1596="Local authority","Local authorities",LOWER(TRIM('Deal maths'!B1596))),"")</f>
        <v/>
      </c>
      <c r="D1596" s="91">
        <f>IF(C1596="","",IF(COUNTIF($C$4:C1595,C1596)=0,SUMIF($C$4:$C$3997,C1596,$B$4:$B$3997)-ROW()/1000000,""))</f>
        <v/>
      </c>
      <c r="E1596" s="91">
        <f>IF(AND(N('Deal maths'!F1596)&gt;AsAt,N('Deal maths'!E1596)&lt;=AsAt,IF(N('Deal maths'!H1596)&gt;0,N('Deal maths'!H1596),N('Deal maths'!D1596))&gt;0),N('Deal maths'!F1596)+ROW()/1000000,"")</f>
        <v/>
      </c>
    </row>
    <row r="1597">
      <c r="A1597" s="91" t="n"/>
      <c r="B1597" s="111">
        <f>IF(AND(N('Deal maths'!F1597)&gt;AsAt,N('Deal maths'!E1597)&lt;=AsAt),IF(N('Deal maths'!H1597)&gt;0,N('Deal maths'!H1597),N('Deal maths'!D1597)),0)</f>
        <v/>
      </c>
      <c r="C1597" s="91">
        <f>IF(B1597&gt;0,IF('Deal maths'!C1597="Local authority","Local authorities",LOWER(TRIM('Deal maths'!B1597))),"")</f>
        <v/>
      </c>
      <c r="D1597" s="91">
        <f>IF(C1597="","",IF(COUNTIF($C$4:C1596,C1597)=0,SUMIF($C$4:$C$3997,C1597,$B$4:$B$3997)-ROW()/1000000,""))</f>
        <v/>
      </c>
      <c r="E1597" s="91">
        <f>IF(AND(N('Deal maths'!F1597)&gt;AsAt,N('Deal maths'!E1597)&lt;=AsAt,IF(N('Deal maths'!H1597)&gt;0,N('Deal maths'!H1597),N('Deal maths'!D1597))&gt;0),N('Deal maths'!F1597)+ROW()/1000000,"")</f>
        <v/>
      </c>
    </row>
    <row r="1598">
      <c r="A1598" s="91" t="n"/>
      <c r="B1598" s="111">
        <f>IF(AND(N('Deal maths'!F1598)&gt;AsAt,N('Deal maths'!E1598)&lt;=AsAt),IF(N('Deal maths'!H1598)&gt;0,N('Deal maths'!H1598),N('Deal maths'!D1598)),0)</f>
        <v/>
      </c>
      <c r="C1598" s="91">
        <f>IF(B1598&gt;0,IF('Deal maths'!C1598="Local authority","Local authorities",LOWER(TRIM('Deal maths'!B1598))),"")</f>
        <v/>
      </c>
      <c r="D1598" s="91">
        <f>IF(C1598="","",IF(COUNTIF($C$4:C1597,C1598)=0,SUMIF($C$4:$C$3997,C1598,$B$4:$B$3997)-ROW()/1000000,""))</f>
        <v/>
      </c>
      <c r="E1598" s="91">
        <f>IF(AND(N('Deal maths'!F1598)&gt;AsAt,N('Deal maths'!E1598)&lt;=AsAt,IF(N('Deal maths'!H1598)&gt;0,N('Deal maths'!H1598),N('Deal maths'!D1598))&gt;0),N('Deal maths'!F1598)+ROW()/1000000,"")</f>
        <v/>
      </c>
    </row>
    <row r="1599">
      <c r="A1599" s="91" t="n"/>
      <c r="B1599" s="111">
        <f>IF(AND(N('Deal maths'!F1599)&gt;AsAt,N('Deal maths'!E1599)&lt;=AsAt),IF(N('Deal maths'!H1599)&gt;0,N('Deal maths'!H1599),N('Deal maths'!D1599)),0)</f>
        <v/>
      </c>
      <c r="C1599" s="91">
        <f>IF(B1599&gt;0,IF('Deal maths'!C1599="Local authority","Local authorities",LOWER(TRIM('Deal maths'!B1599))),"")</f>
        <v/>
      </c>
      <c r="D1599" s="91">
        <f>IF(C1599="","",IF(COUNTIF($C$4:C1598,C1599)=0,SUMIF($C$4:$C$3997,C1599,$B$4:$B$3997)-ROW()/1000000,""))</f>
        <v/>
      </c>
      <c r="E1599" s="91">
        <f>IF(AND(N('Deal maths'!F1599)&gt;AsAt,N('Deal maths'!E1599)&lt;=AsAt,IF(N('Deal maths'!H1599)&gt;0,N('Deal maths'!H1599),N('Deal maths'!D1599))&gt;0),N('Deal maths'!F1599)+ROW()/1000000,"")</f>
        <v/>
      </c>
    </row>
    <row r="1600">
      <c r="A1600" s="91" t="n"/>
      <c r="B1600" s="111">
        <f>IF(AND(N('Deal maths'!F1600)&gt;AsAt,N('Deal maths'!E1600)&lt;=AsAt),IF(N('Deal maths'!H1600)&gt;0,N('Deal maths'!H1600),N('Deal maths'!D1600)),0)</f>
        <v/>
      </c>
      <c r="C1600" s="91">
        <f>IF(B1600&gt;0,IF('Deal maths'!C1600="Local authority","Local authorities",LOWER(TRIM('Deal maths'!B1600))),"")</f>
        <v/>
      </c>
      <c r="D1600" s="91">
        <f>IF(C1600="","",IF(COUNTIF($C$4:C1599,C1600)=0,SUMIF($C$4:$C$3997,C1600,$B$4:$B$3997)-ROW()/1000000,""))</f>
        <v/>
      </c>
      <c r="E1600" s="91">
        <f>IF(AND(N('Deal maths'!F1600)&gt;AsAt,N('Deal maths'!E1600)&lt;=AsAt,IF(N('Deal maths'!H1600)&gt;0,N('Deal maths'!H1600),N('Deal maths'!D1600))&gt;0),N('Deal maths'!F1600)+ROW()/1000000,"")</f>
        <v/>
      </c>
    </row>
    <row r="1601">
      <c r="A1601" s="91" t="n"/>
      <c r="B1601" s="111">
        <f>IF(AND(N('Deal maths'!F1601)&gt;AsAt,N('Deal maths'!E1601)&lt;=AsAt),IF(N('Deal maths'!H1601)&gt;0,N('Deal maths'!H1601),N('Deal maths'!D1601)),0)</f>
        <v/>
      </c>
      <c r="C1601" s="91">
        <f>IF(B1601&gt;0,IF('Deal maths'!C1601="Local authority","Local authorities",LOWER(TRIM('Deal maths'!B1601))),"")</f>
        <v/>
      </c>
      <c r="D1601" s="91">
        <f>IF(C1601="","",IF(COUNTIF($C$4:C1600,C1601)=0,SUMIF($C$4:$C$3997,C1601,$B$4:$B$3997)-ROW()/1000000,""))</f>
        <v/>
      </c>
      <c r="E1601" s="91">
        <f>IF(AND(N('Deal maths'!F1601)&gt;AsAt,N('Deal maths'!E1601)&lt;=AsAt,IF(N('Deal maths'!H1601)&gt;0,N('Deal maths'!H1601),N('Deal maths'!D1601))&gt;0),N('Deal maths'!F1601)+ROW()/1000000,"")</f>
        <v/>
      </c>
    </row>
    <row r="1602">
      <c r="A1602" s="91" t="n"/>
      <c r="B1602" s="111">
        <f>IF(AND(N('Deal maths'!F1602)&gt;AsAt,N('Deal maths'!E1602)&lt;=AsAt),IF(N('Deal maths'!H1602)&gt;0,N('Deal maths'!H1602),N('Deal maths'!D1602)),0)</f>
        <v/>
      </c>
      <c r="C1602" s="91">
        <f>IF(B1602&gt;0,IF('Deal maths'!C1602="Local authority","Local authorities",LOWER(TRIM('Deal maths'!B1602))),"")</f>
        <v/>
      </c>
      <c r="D1602" s="91">
        <f>IF(C1602="","",IF(COUNTIF($C$4:C1601,C1602)=0,SUMIF($C$4:$C$3997,C1602,$B$4:$B$3997)-ROW()/1000000,""))</f>
        <v/>
      </c>
      <c r="E1602" s="91">
        <f>IF(AND(N('Deal maths'!F1602)&gt;AsAt,N('Deal maths'!E1602)&lt;=AsAt,IF(N('Deal maths'!H1602)&gt;0,N('Deal maths'!H1602),N('Deal maths'!D1602))&gt;0),N('Deal maths'!F1602)+ROW()/1000000,"")</f>
        <v/>
      </c>
    </row>
    <row r="1603">
      <c r="A1603" s="91" t="n"/>
      <c r="B1603" s="111">
        <f>IF(AND(N('Deal maths'!F1603)&gt;AsAt,N('Deal maths'!E1603)&lt;=AsAt),IF(N('Deal maths'!H1603)&gt;0,N('Deal maths'!H1603),N('Deal maths'!D1603)),0)</f>
        <v/>
      </c>
      <c r="C1603" s="91">
        <f>IF(B1603&gt;0,IF('Deal maths'!C1603="Local authority","Local authorities",LOWER(TRIM('Deal maths'!B1603))),"")</f>
        <v/>
      </c>
      <c r="D1603" s="91">
        <f>IF(C1603="","",IF(COUNTIF($C$4:C1602,C1603)=0,SUMIF($C$4:$C$3997,C1603,$B$4:$B$3997)-ROW()/1000000,""))</f>
        <v/>
      </c>
      <c r="E1603" s="91">
        <f>IF(AND(N('Deal maths'!F1603)&gt;AsAt,N('Deal maths'!E1603)&lt;=AsAt,IF(N('Deal maths'!H1603)&gt;0,N('Deal maths'!H1603),N('Deal maths'!D1603))&gt;0),N('Deal maths'!F1603)+ROW()/1000000,"")</f>
        <v/>
      </c>
    </row>
    <row r="1604">
      <c r="A1604" s="91" t="n"/>
      <c r="B1604" s="111">
        <f>IF(AND(N('Deal maths'!F1604)&gt;AsAt,N('Deal maths'!E1604)&lt;=AsAt),IF(N('Deal maths'!H1604)&gt;0,N('Deal maths'!H1604),N('Deal maths'!D1604)),0)</f>
        <v/>
      </c>
      <c r="C1604" s="91">
        <f>IF(B1604&gt;0,IF('Deal maths'!C1604="Local authority","Local authorities",LOWER(TRIM('Deal maths'!B1604))),"")</f>
        <v/>
      </c>
      <c r="D1604" s="91">
        <f>IF(C1604="","",IF(COUNTIF($C$4:C1603,C1604)=0,SUMIF($C$4:$C$3997,C1604,$B$4:$B$3997)-ROW()/1000000,""))</f>
        <v/>
      </c>
      <c r="E1604" s="91">
        <f>IF(AND(N('Deal maths'!F1604)&gt;AsAt,N('Deal maths'!E1604)&lt;=AsAt,IF(N('Deal maths'!H1604)&gt;0,N('Deal maths'!H1604),N('Deal maths'!D1604))&gt;0),N('Deal maths'!F1604)+ROW()/1000000,"")</f>
        <v/>
      </c>
    </row>
    <row r="1605">
      <c r="A1605" s="91" t="n"/>
      <c r="B1605" s="111">
        <f>IF(AND(N('Deal maths'!F1605)&gt;AsAt,N('Deal maths'!E1605)&lt;=AsAt),IF(N('Deal maths'!H1605)&gt;0,N('Deal maths'!H1605),N('Deal maths'!D1605)),0)</f>
        <v/>
      </c>
      <c r="C1605" s="91">
        <f>IF(B1605&gt;0,IF('Deal maths'!C1605="Local authority","Local authorities",LOWER(TRIM('Deal maths'!B1605))),"")</f>
        <v/>
      </c>
      <c r="D1605" s="91">
        <f>IF(C1605="","",IF(COUNTIF($C$4:C1604,C1605)=0,SUMIF($C$4:$C$3997,C1605,$B$4:$B$3997)-ROW()/1000000,""))</f>
        <v/>
      </c>
      <c r="E1605" s="91">
        <f>IF(AND(N('Deal maths'!F1605)&gt;AsAt,N('Deal maths'!E1605)&lt;=AsAt,IF(N('Deal maths'!H1605)&gt;0,N('Deal maths'!H1605),N('Deal maths'!D1605))&gt;0),N('Deal maths'!F1605)+ROW()/1000000,"")</f>
        <v/>
      </c>
    </row>
    <row r="1606">
      <c r="A1606" s="91" t="n"/>
      <c r="B1606" s="111">
        <f>IF(AND(N('Deal maths'!F1606)&gt;AsAt,N('Deal maths'!E1606)&lt;=AsAt),IF(N('Deal maths'!H1606)&gt;0,N('Deal maths'!H1606),N('Deal maths'!D1606)),0)</f>
        <v/>
      </c>
      <c r="C1606" s="91">
        <f>IF(B1606&gt;0,IF('Deal maths'!C1606="Local authority","Local authorities",LOWER(TRIM('Deal maths'!B1606))),"")</f>
        <v/>
      </c>
      <c r="D1606" s="91">
        <f>IF(C1606="","",IF(COUNTIF($C$4:C1605,C1606)=0,SUMIF($C$4:$C$3997,C1606,$B$4:$B$3997)-ROW()/1000000,""))</f>
        <v/>
      </c>
      <c r="E1606" s="91">
        <f>IF(AND(N('Deal maths'!F1606)&gt;AsAt,N('Deal maths'!E1606)&lt;=AsAt,IF(N('Deal maths'!H1606)&gt;0,N('Deal maths'!H1606),N('Deal maths'!D1606))&gt;0),N('Deal maths'!F1606)+ROW()/1000000,"")</f>
        <v/>
      </c>
    </row>
    <row r="1607">
      <c r="A1607" s="91" t="n"/>
      <c r="B1607" s="111">
        <f>IF(AND(N('Deal maths'!F1607)&gt;AsAt,N('Deal maths'!E1607)&lt;=AsAt),IF(N('Deal maths'!H1607)&gt;0,N('Deal maths'!H1607),N('Deal maths'!D1607)),0)</f>
        <v/>
      </c>
      <c r="C1607" s="91">
        <f>IF(B1607&gt;0,IF('Deal maths'!C1607="Local authority","Local authorities",LOWER(TRIM('Deal maths'!B1607))),"")</f>
        <v/>
      </c>
      <c r="D1607" s="91">
        <f>IF(C1607="","",IF(COUNTIF($C$4:C1606,C1607)=0,SUMIF($C$4:$C$3997,C1607,$B$4:$B$3997)-ROW()/1000000,""))</f>
        <v/>
      </c>
      <c r="E1607" s="91">
        <f>IF(AND(N('Deal maths'!F1607)&gt;AsAt,N('Deal maths'!E1607)&lt;=AsAt,IF(N('Deal maths'!H1607)&gt;0,N('Deal maths'!H1607),N('Deal maths'!D1607))&gt;0),N('Deal maths'!F1607)+ROW()/1000000,"")</f>
        <v/>
      </c>
    </row>
    <row r="1608">
      <c r="A1608" s="91" t="n"/>
      <c r="B1608" s="111">
        <f>IF(AND(N('Deal maths'!F1608)&gt;AsAt,N('Deal maths'!E1608)&lt;=AsAt),IF(N('Deal maths'!H1608)&gt;0,N('Deal maths'!H1608),N('Deal maths'!D1608)),0)</f>
        <v/>
      </c>
      <c r="C1608" s="91">
        <f>IF(B1608&gt;0,IF('Deal maths'!C1608="Local authority","Local authorities",LOWER(TRIM('Deal maths'!B1608))),"")</f>
        <v/>
      </c>
      <c r="D1608" s="91">
        <f>IF(C1608="","",IF(COUNTIF($C$4:C1607,C1608)=0,SUMIF($C$4:$C$3997,C1608,$B$4:$B$3997)-ROW()/1000000,""))</f>
        <v/>
      </c>
      <c r="E1608" s="91">
        <f>IF(AND(N('Deal maths'!F1608)&gt;AsAt,N('Deal maths'!E1608)&lt;=AsAt,IF(N('Deal maths'!H1608)&gt;0,N('Deal maths'!H1608),N('Deal maths'!D1608))&gt;0),N('Deal maths'!F1608)+ROW()/1000000,"")</f>
        <v/>
      </c>
    </row>
    <row r="1609">
      <c r="A1609" s="91" t="n"/>
      <c r="B1609" s="111">
        <f>IF(AND(N('Deal maths'!F1609)&gt;AsAt,N('Deal maths'!E1609)&lt;=AsAt),IF(N('Deal maths'!H1609)&gt;0,N('Deal maths'!H1609),N('Deal maths'!D1609)),0)</f>
        <v/>
      </c>
      <c r="C1609" s="91">
        <f>IF(B1609&gt;0,IF('Deal maths'!C1609="Local authority","Local authorities",LOWER(TRIM('Deal maths'!B1609))),"")</f>
        <v/>
      </c>
      <c r="D1609" s="91">
        <f>IF(C1609="","",IF(COUNTIF($C$4:C1608,C1609)=0,SUMIF($C$4:$C$3997,C1609,$B$4:$B$3997)-ROW()/1000000,""))</f>
        <v/>
      </c>
      <c r="E1609" s="91">
        <f>IF(AND(N('Deal maths'!F1609)&gt;AsAt,N('Deal maths'!E1609)&lt;=AsAt,IF(N('Deal maths'!H1609)&gt;0,N('Deal maths'!H1609),N('Deal maths'!D1609))&gt;0),N('Deal maths'!F1609)+ROW()/1000000,"")</f>
        <v/>
      </c>
    </row>
    <row r="1610">
      <c r="A1610" s="91" t="n"/>
      <c r="B1610" s="111">
        <f>IF(AND(N('Deal maths'!F1610)&gt;AsAt,N('Deal maths'!E1610)&lt;=AsAt),IF(N('Deal maths'!H1610)&gt;0,N('Deal maths'!H1610),N('Deal maths'!D1610)),0)</f>
        <v/>
      </c>
      <c r="C1610" s="91">
        <f>IF(B1610&gt;0,IF('Deal maths'!C1610="Local authority","Local authorities",LOWER(TRIM('Deal maths'!B1610))),"")</f>
        <v/>
      </c>
      <c r="D1610" s="91">
        <f>IF(C1610="","",IF(COUNTIF($C$4:C1609,C1610)=0,SUMIF($C$4:$C$3997,C1610,$B$4:$B$3997)-ROW()/1000000,""))</f>
        <v/>
      </c>
      <c r="E1610" s="91">
        <f>IF(AND(N('Deal maths'!F1610)&gt;AsAt,N('Deal maths'!E1610)&lt;=AsAt,IF(N('Deal maths'!H1610)&gt;0,N('Deal maths'!H1610),N('Deal maths'!D1610))&gt;0),N('Deal maths'!F1610)+ROW()/1000000,"")</f>
        <v/>
      </c>
    </row>
    <row r="1611">
      <c r="A1611" s="91" t="n"/>
      <c r="B1611" s="111">
        <f>IF(AND(N('Deal maths'!F1611)&gt;AsAt,N('Deal maths'!E1611)&lt;=AsAt),IF(N('Deal maths'!H1611)&gt;0,N('Deal maths'!H1611),N('Deal maths'!D1611)),0)</f>
        <v/>
      </c>
      <c r="C1611" s="91">
        <f>IF(B1611&gt;0,IF('Deal maths'!C1611="Local authority","Local authorities",LOWER(TRIM('Deal maths'!B1611))),"")</f>
        <v/>
      </c>
      <c r="D1611" s="91">
        <f>IF(C1611="","",IF(COUNTIF($C$4:C1610,C1611)=0,SUMIF($C$4:$C$3997,C1611,$B$4:$B$3997)-ROW()/1000000,""))</f>
        <v/>
      </c>
      <c r="E1611" s="91">
        <f>IF(AND(N('Deal maths'!F1611)&gt;AsAt,N('Deal maths'!E1611)&lt;=AsAt,IF(N('Deal maths'!H1611)&gt;0,N('Deal maths'!H1611),N('Deal maths'!D1611))&gt;0),N('Deal maths'!F1611)+ROW()/1000000,"")</f>
        <v/>
      </c>
    </row>
    <row r="1612">
      <c r="A1612" s="91" t="n"/>
      <c r="B1612" s="111">
        <f>IF(AND(N('Deal maths'!F1612)&gt;AsAt,N('Deal maths'!E1612)&lt;=AsAt),IF(N('Deal maths'!H1612)&gt;0,N('Deal maths'!H1612),N('Deal maths'!D1612)),0)</f>
        <v/>
      </c>
      <c r="C1612" s="91">
        <f>IF(B1612&gt;0,IF('Deal maths'!C1612="Local authority","Local authorities",LOWER(TRIM('Deal maths'!B1612))),"")</f>
        <v/>
      </c>
      <c r="D1612" s="91">
        <f>IF(C1612="","",IF(COUNTIF($C$4:C1611,C1612)=0,SUMIF($C$4:$C$3997,C1612,$B$4:$B$3997)-ROW()/1000000,""))</f>
        <v/>
      </c>
      <c r="E1612" s="91">
        <f>IF(AND(N('Deal maths'!F1612)&gt;AsAt,N('Deal maths'!E1612)&lt;=AsAt,IF(N('Deal maths'!H1612)&gt;0,N('Deal maths'!H1612),N('Deal maths'!D1612))&gt;0),N('Deal maths'!F1612)+ROW()/1000000,"")</f>
        <v/>
      </c>
    </row>
    <row r="1613">
      <c r="A1613" s="91" t="n"/>
      <c r="B1613" s="111">
        <f>IF(AND(N('Deal maths'!F1613)&gt;AsAt,N('Deal maths'!E1613)&lt;=AsAt),IF(N('Deal maths'!H1613)&gt;0,N('Deal maths'!H1613),N('Deal maths'!D1613)),0)</f>
        <v/>
      </c>
      <c r="C1613" s="91">
        <f>IF(B1613&gt;0,IF('Deal maths'!C1613="Local authority","Local authorities",LOWER(TRIM('Deal maths'!B1613))),"")</f>
        <v/>
      </c>
      <c r="D1613" s="91">
        <f>IF(C1613="","",IF(COUNTIF($C$4:C1612,C1613)=0,SUMIF($C$4:$C$3997,C1613,$B$4:$B$3997)-ROW()/1000000,""))</f>
        <v/>
      </c>
      <c r="E1613" s="91">
        <f>IF(AND(N('Deal maths'!F1613)&gt;AsAt,N('Deal maths'!E1613)&lt;=AsAt,IF(N('Deal maths'!H1613)&gt;0,N('Deal maths'!H1613),N('Deal maths'!D1613))&gt;0),N('Deal maths'!F1613)+ROW()/1000000,"")</f>
        <v/>
      </c>
    </row>
    <row r="1614">
      <c r="A1614" s="91" t="n"/>
      <c r="B1614" s="111">
        <f>IF(AND(N('Deal maths'!F1614)&gt;AsAt,N('Deal maths'!E1614)&lt;=AsAt),IF(N('Deal maths'!H1614)&gt;0,N('Deal maths'!H1614),N('Deal maths'!D1614)),0)</f>
        <v/>
      </c>
      <c r="C1614" s="91">
        <f>IF(B1614&gt;0,IF('Deal maths'!C1614="Local authority","Local authorities",LOWER(TRIM('Deal maths'!B1614))),"")</f>
        <v/>
      </c>
      <c r="D1614" s="91">
        <f>IF(C1614="","",IF(COUNTIF($C$4:C1613,C1614)=0,SUMIF($C$4:$C$3997,C1614,$B$4:$B$3997)-ROW()/1000000,""))</f>
        <v/>
      </c>
      <c r="E1614" s="91">
        <f>IF(AND(N('Deal maths'!F1614)&gt;AsAt,N('Deal maths'!E1614)&lt;=AsAt,IF(N('Deal maths'!H1614)&gt;0,N('Deal maths'!H1614),N('Deal maths'!D1614))&gt;0),N('Deal maths'!F1614)+ROW()/1000000,"")</f>
        <v/>
      </c>
    </row>
    <row r="1615">
      <c r="A1615" s="91" t="n"/>
      <c r="B1615" s="111">
        <f>IF(AND(N('Deal maths'!F1615)&gt;AsAt,N('Deal maths'!E1615)&lt;=AsAt),IF(N('Deal maths'!H1615)&gt;0,N('Deal maths'!H1615),N('Deal maths'!D1615)),0)</f>
        <v/>
      </c>
      <c r="C1615" s="91">
        <f>IF(B1615&gt;0,IF('Deal maths'!C1615="Local authority","Local authorities",LOWER(TRIM('Deal maths'!B1615))),"")</f>
        <v/>
      </c>
      <c r="D1615" s="91">
        <f>IF(C1615="","",IF(COUNTIF($C$4:C1614,C1615)=0,SUMIF($C$4:$C$3997,C1615,$B$4:$B$3997)-ROW()/1000000,""))</f>
        <v/>
      </c>
      <c r="E1615" s="91">
        <f>IF(AND(N('Deal maths'!F1615)&gt;AsAt,N('Deal maths'!E1615)&lt;=AsAt,IF(N('Deal maths'!H1615)&gt;0,N('Deal maths'!H1615),N('Deal maths'!D1615))&gt;0),N('Deal maths'!F1615)+ROW()/1000000,"")</f>
        <v/>
      </c>
    </row>
    <row r="1616">
      <c r="A1616" s="91" t="n"/>
      <c r="B1616" s="111">
        <f>IF(AND(N('Deal maths'!F1616)&gt;AsAt,N('Deal maths'!E1616)&lt;=AsAt),IF(N('Deal maths'!H1616)&gt;0,N('Deal maths'!H1616),N('Deal maths'!D1616)),0)</f>
        <v/>
      </c>
      <c r="C1616" s="91">
        <f>IF(B1616&gt;0,IF('Deal maths'!C1616="Local authority","Local authorities",LOWER(TRIM('Deal maths'!B1616))),"")</f>
        <v/>
      </c>
      <c r="D1616" s="91">
        <f>IF(C1616="","",IF(COUNTIF($C$4:C1615,C1616)=0,SUMIF($C$4:$C$3997,C1616,$B$4:$B$3997)-ROW()/1000000,""))</f>
        <v/>
      </c>
      <c r="E1616" s="91">
        <f>IF(AND(N('Deal maths'!F1616)&gt;AsAt,N('Deal maths'!E1616)&lt;=AsAt,IF(N('Deal maths'!H1616)&gt;0,N('Deal maths'!H1616),N('Deal maths'!D1616))&gt;0),N('Deal maths'!F1616)+ROW()/1000000,"")</f>
        <v/>
      </c>
    </row>
    <row r="1617">
      <c r="A1617" s="91" t="n"/>
      <c r="B1617" s="111">
        <f>IF(AND(N('Deal maths'!F1617)&gt;AsAt,N('Deal maths'!E1617)&lt;=AsAt),IF(N('Deal maths'!H1617)&gt;0,N('Deal maths'!H1617),N('Deal maths'!D1617)),0)</f>
        <v/>
      </c>
      <c r="C1617" s="91">
        <f>IF(B1617&gt;0,IF('Deal maths'!C1617="Local authority","Local authorities",LOWER(TRIM('Deal maths'!B1617))),"")</f>
        <v/>
      </c>
      <c r="D1617" s="91">
        <f>IF(C1617="","",IF(COUNTIF($C$4:C1616,C1617)=0,SUMIF($C$4:$C$3997,C1617,$B$4:$B$3997)-ROW()/1000000,""))</f>
        <v/>
      </c>
      <c r="E1617" s="91">
        <f>IF(AND(N('Deal maths'!F1617)&gt;AsAt,N('Deal maths'!E1617)&lt;=AsAt,IF(N('Deal maths'!H1617)&gt;0,N('Deal maths'!H1617),N('Deal maths'!D1617))&gt;0),N('Deal maths'!F1617)+ROW()/1000000,"")</f>
        <v/>
      </c>
    </row>
    <row r="1618">
      <c r="A1618" s="91" t="n"/>
      <c r="B1618" s="111">
        <f>IF(AND(N('Deal maths'!F1618)&gt;AsAt,N('Deal maths'!E1618)&lt;=AsAt),IF(N('Deal maths'!H1618)&gt;0,N('Deal maths'!H1618),N('Deal maths'!D1618)),0)</f>
        <v/>
      </c>
      <c r="C1618" s="91">
        <f>IF(B1618&gt;0,IF('Deal maths'!C1618="Local authority","Local authorities",LOWER(TRIM('Deal maths'!B1618))),"")</f>
        <v/>
      </c>
      <c r="D1618" s="91">
        <f>IF(C1618="","",IF(COUNTIF($C$4:C1617,C1618)=0,SUMIF($C$4:$C$3997,C1618,$B$4:$B$3997)-ROW()/1000000,""))</f>
        <v/>
      </c>
      <c r="E1618" s="91">
        <f>IF(AND(N('Deal maths'!F1618)&gt;AsAt,N('Deal maths'!E1618)&lt;=AsAt,IF(N('Deal maths'!H1618)&gt;0,N('Deal maths'!H1618),N('Deal maths'!D1618))&gt;0),N('Deal maths'!F1618)+ROW()/1000000,"")</f>
        <v/>
      </c>
    </row>
    <row r="1619">
      <c r="A1619" s="91" t="n"/>
      <c r="B1619" s="111">
        <f>IF(AND(N('Deal maths'!F1619)&gt;AsAt,N('Deal maths'!E1619)&lt;=AsAt),IF(N('Deal maths'!H1619)&gt;0,N('Deal maths'!H1619),N('Deal maths'!D1619)),0)</f>
        <v/>
      </c>
      <c r="C1619" s="91">
        <f>IF(B1619&gt;0,IF('Deal maths'!C1619="Local authority","Local authorities",LOWER(TRIM('Deal maths'!B1619))),"")</f>
        <v/>
      </c>
      <c r="D1619" s="91">
        <f>IF(C1619="","",IF(COUNTIF($C$4:C1618,C1619)=0,SUMIF($C$4:$C$3997,C1619,$B$4:$B$3997)-ROW()/1000000,""))</f>
        <v/>
      </c>
      <c r="E1619" s="91">
        <f>IF(AND(N('Deal maths'!F1619)&gt;AsAt,N('Deal maths'!E1619)&lt;=AsAt,IF(N('Deal maths'!H1619)&gt;0,N('Deal maths'!H1619),N('Deal maths'!D1619))&gt;0),N('Deal maths'!F1619)+ROW()/1000000,"")</f>
        <v/>
      </c>
    </row>
    <row r="1620">
      <c r="A1620" s="91" t="n"/>
      <c r="B1620" s="111">
        <f>IF(AND(N('Deal maths'!F1620)&gt;AsAt,N('Deal maths'!E1620)&lt;=AsAt),IF(N('Deal maths'!H1620)&gt;0,N('Deal maths'!H1620),N('Deal maths'!D1620)),0)</f>
        <v/>
      </c>
      <c r="C1620" s="91">
        <f>IF(B1620&gt;0,IF('Deal maths'!C1620="Local authority","Local authorities",LOWER(TRIM('Deal maths'!B1620))),"")</f>
        <v/>
      </c>
      <c r="D1620" s="91">
        <f>IF(C1620="","",IF(COUNTIF($C$4:C1619,C1620)=0,SUMIF($C$4:$C$3997,C1620,$B$4:$B$3997)-ROW()/1000000,""))</f>
        <v/>
      </c>
      <c r="E1620" s="91">
        <f>IF(AND(N('Deal maths'!F1620)&gt;AsAt,N('Deal maths'!E1620)&lt;=AsAt,IF(N('Deal maths'!H1620)&gt;0,N('Deal maths'!H1620),N('Deal maths'!D1620))&gt;0),N('Deal maths'!F1620)+ROW()/1000000,"")</f>
        <v/>
      </c>
    </row>
    <row r="1621">
      <c r="A1621" s="91" t="n"/>
      <c r="B1621" s="111">
        <f>IF(AND(N('Deal maths'!F1621)&gt;AsAt,N('Deal maths'!E1621)&lt;=AsAt),IF(N('Deal maths'!H1621)&gt;0,N('Deal maths'!H1621),N('Deal maths'!D1621)),0)</f>
        <v/>
      </c>
      <c r="C1621" s="91">
        <f>IF(B1621&gt;0,IF('Deal maths'!C1621="Local authority","Local authorities",LOWER(TRIM('Deal maths'!B1621))),"")</f>
        <v/>
      </c>
      <c r="D1621" s="91">
        <f>IF(C1621="","",IF(COUNTIF($C$4:C1620,C1621)=0,SUMIF($C$4:$C$3997,C1621,$B$4:$B$3997)-ROW()/1000000,""))</f>
        <v/>
      </c>
      <c r="E1621" s="91">
        <f>IF(AND(N('Deal maths'!F1621)&gt;AsAt,N('Deal maths'!E1621)&lt;=AsAt,IF(N('Deal maths'!H1621)&gt;0,N('Deal maths'!H1621),N('Deal maths'!D1621))&gt;0),N('Deal maths'!F1621)+ROW()/1000000,"")</f>
        <v/>
      </c>
    </row>
    <row r="1622">
      <c r="A1622" s="91" t="n"/>
      <c r="B1622" s="111">
        <f>IF(AND(N('Deal maths'!F1622)&gt;AsAt,N('Deal maths'!E1622)&lt;=AsAt),IF(N('Deal maths'!H1622)&gt;0,N('Deal maths'!H1622),N('Deal maths'!D1622)),0)</f>
        <v/>
      </c>
      <c r="C1622" s="91">
        <f>IF(B1622&gt;0,IF('Deal maths'!C1622="Local authority","Local authorities",LOWER(TRIM('Deal maths'!B1622))),"")</f>
        <v/>
      </c>
      <c r="D1622" s="91">
        <f>IF(C1622="","",IF(COUNTIF($C$4:C1621,C1622)=0,SUMIF($C$4:$C$3997,C1622,$B$4:$B$3997)-ROW()/1000000,""))</f>
        <v/>
      </c>
      <c r="E1622" s="91">
        <f>IF(AND(N('Deal maths'!F1622)&gt;AsAt,N('Deal maths'!E1622)&lt;=AsAt,IF(N('Deal maths'!H1622)&gt;0,N('Deal maths'!H1622),N('Deal maths'!D1622))&gt;0),N('Deal maths'!F1622)+ROW()/1000000,"")</f>
        <v/>
      </c>
    </row>
    <row r="1623">
      <c r="A1623" s="91" t="n"/>
      <c r="B1623" s="111">
        <f>IF(AND(N('Deal maths'!F1623)&gt;AsAt,N('Deal maths'!E1623)&lt;=AsAt),IF(N('Deal maths'!H1623)&gt;0,N('Deal maths'!H1623),N('Deal maths'!D1623)),0)</f>
        <v/>
      </c>
      <c r="C1623" s="91">
        <f>IF(B1623&gt;0,IF('Deal maths'!C1623="Local authority","Local authorities",LOWER(TRIM('Deal maths'!B1623))),"")</f>
        <v/>
      </c>
      <c r="D1623" s="91">
        <f>IF(C1623="","",IF(COUNTIF($C$4:C1622,C1623)=0,SUMIF($C$4:$C$3997,C1623,$B$4:$B$3997)-ROW()/1000000,""))</f>
        <v/>
      </c>
      <c r="E1623" s="91">
        <f>IF(AND(N('Deal maths'!F1623)&gt;AsAt,N('Deal maths'!E1623)&lt;=AsAt,IF(N('Deal maths'!H1623)&gt;0,N('Deal maths'!H1623),N('Deal maths'!D1623))&gt;0),N('Deal maths'!F1623)+ROW()/1000000,"")</f>
        <v/>
      </c>
    </row>
    <row r="1624">
      <c r="A1624" s="91" t="n"/>
      <c r="B1624" s="111">
        <f>IF(AND(N('Deal maths'!F1624)&gt;AsAt,N('Deal maths'!E1624)&lt;=AsAt),IF(N('Deal maths'!H1624)&gt;0,N('Deal maths'!H1624),N('Deal maths'!D1624)),0)</f>
        <v/>
      </c>
      <c r="C1624" s="91">
        <f>IF(B1624&gt;0,IF('Deal maths'!C1624="Local authority","Local authorities",LOWER(TRIM('Deal maths'!B1624))),"")</f>
        <v/>
      </c>
      <c r="D1624" s="91">
        <f>IF(C1624="","",IF(COUNTIF($C$4:C1623,C1624)=0,SUMIF($C$4:$C$3997,C1624,$B$4:$B$3997)-ROW()/1000000,""))</f>
        <v/>
      </c>
      <c r="E1624" s="91">
        <f>IF(AND(N('Deal maths'!F1624)&gt;AsAt,N('Deal maths'!E1624)&lt;=AsAt,IF(N('Deal maths'!H1624)&gt;0,N('Deal maths'!H1624),N('Deal maths'!D1624))&gt;0),N('Deal maths'!F1624)+ROW()/1000000,"")</f>
        <v/>
      </c>
    </row>
    <row r="1625">
      <c r="A1625" s="91" t="n"/>
      <c r="B1625" s="111">
        <f>IF(AND(N('Deal maths'!F1625)&gt;AsAt,N('Deal maths'!E1625)&lt;=AsAt),IF(N('Deal maths'!H1625)&gt;0,N('Deal maths'!H1625),N('Deal maths'!D1625)),0)</f>
        <v/>
      </c>
      <c r="C1625" s="91">
        <f>IF(B1625&gt;0,IF('Deal maths'!C1625="Local authority","Local authorities",LOWER(TRIM('Deal maths'!B1625))),"")</f>
        <v/>
      </c>
      <c r="D1625" s="91">
        <f>IF(C1625="","",IF(COUNTIF($C$4:C1624,C1625)=0,SUMIF($C$4:$C$3997,C1625,$B$4:$B$3997)-ROW()/1000000,""))</f>
        <v/>
      </c>
      <c r="E1625" s="91">
        <f>IF(AND(N('Deal maths'!F1625)&gt;AsAt,N('Deal maths'!E1625)&lt;=AsAt,IF(N('Deal maths'!H1625)&gt;0,N('Deal maths'!H1625),N('Deal maths'!D1625))&gt;0),N('Deal maths'!F1625)+ROW()/1000000,"")</f>
        <v/>
      </c>
    </row>
    <row r="1626">
      <c r="A1626" s="91" t="n"/>
      <c r="B1626" s="111">
        <f>IF(AND(N('Deal maths'!F1626)&gt;AsAt,N('Deal maths'!E1626)&lt;=AsAt),IF(N('Deal maths'!H1626)&gt;0,N('Deal maths'!H1626),N('Deal maths'!D1626)),0)</f>
        <v/>
      </c>
      <c r="C1626" s="91">
        <f>IF(B1626&gt;0,IF('Deal maths'!C1626="Local authority","Local authorities",LOWER(TRIM('Deal maths'!B1626))),"")</f>
        <v/>
      </c>
      <c r="D1626" s="91">
        <f>IF(C1626="","",IF(COUNTIF($C$4:C1625,C1626)=0,SUMIF($C$4:$C$3997,C1626,$B$4:$B$3997)-ROW()/1000000,""))</f>
        <v/>
      </c>
      <c r="E1626" s="91">
        <f>IF(AND(N('Deal maths'!F1626)&gt;AsAt,N('Deal maths'!E1626)&lt;=AsAt,IF(N('Deal maths'!H1626)&gt;0,N('Deal maths'!H1626),N('Deal maths'!D1626))&gt;0),N('Deal maths'!F1626)+ROW()/1000000,"")</f>
        <v/>
      </c>
    </row>
    <row r="1627">
      <c r="A1627" s="91" t="n"/>
      <c r="B1627" s="111">
        <f>IF(AND(N('Deal maths'!F1627)&gt;AsAt,N('Deal maths'!E1627)&lt;=AsAt),IF(N('Deal maths'!H1627)&gt;0,N('Deal maths'!H1627),N('Deal maths'!D1627)),0)</f>
        <v/>
      </c>
      <c r="C1627" s="91">
        <f>IF(B1627&gt;0,IF('Deal maths'!C1627="Local authority","Local authorities",LOWER(TRIM('Deal maths'!B1627))),"")</f>
        <v/>
      </c>
      <c r="D1627" s="91">
        <f>IF(C1627="","",IF(COUNTIF($C$4:C1626,C1627)=0,SUMIF($C$4:$C$3997,C1627,$B$4:$B$3997)-ROW()/1000000,""))</f>
        <v/>
      </c>
      <c r="E1627" s="91">
        <f>IF(AND(N('Deal maths'!F1627)&gt;AsAt,N('Deal maths'!E1627)&lt;=AsAt,IF(N('Deal maths'!H1627)&gt;0,N('Deal maths'!H1627),N('Deal maths'!D1627))&gt;0),N('Deal maths'!F1627)+ROW()/1000000,"")</f>
        <v/>
      </c>
    </row>
    <row r="1628">
      <c r="A1628" s="91" t="n"/>
      <c r="B1628" s="111">
        <f>IF(AND(N('Deal maths'!F1628)&gt;AsAt,N('Deal maths'!E1628)&lt;=AsAt),IF(N('Deal maths'!H1628)&gt;0,N('Deal maths'!H1628),N('Deal maths'!D1628)),0)</f>
        <v/>
      </c>
      <c r="C1628" s="91">
        <f>IF(B1628&gt;0,IF('Deal maths'!C1628="Local authority","Local authorities",LOWER(TRIM('Deal maths'!B1628))),"")</f>
        <v/>
      </c>
      <c r="D1628" s="91">
        <f>IF(C1628="","",IF(COUNTIF($C$4:C1627,C1628)=0,SUMIF($C$4:$C$3997,C1628,$B$4:$B$3997)-ROW()/1000000,""))</f>
        <v/>
      </c>
      <c r="E1628" s="91">
        <f>IF(AND(N('Deal maths'!F1628)&gt;AsAt,N('Deal maths'!E1628)&lt;=AsAt,IF(N('Deal maths'!H1628)&gt;0,N('Deal maths'!H1628),N('Deal maths'!D1628))&gt;0),N('Deal maths'!F1628)+ROW()/1000000,"")</f>
        <v/>
      </c>
    </row>
    <row r="1629">
      <c r="A1629" s="91" t="n"/>
      <c r="B1629" s="111">
        <f>IF(AND(N('Deal maths'!F1629)&gt;AsAt,N('Deal maths'!E1629)&lt;=AsAt),IF(N('Deal maths'!H1629)&gt;0,N('Deal maths'!H1629),N('Deal maths'!D1629)),0)</f>
        <v/>
      </c>
      <c r="C1629" s="91">
        <f>IF(B1629&gt;0,IF('Deal maths'!C1629="Local authority","Local authorities",LOWER(TRIM('Deal maths'!B1629))),"")</f>
        <v/>
      </c>
      <c r="D1629" s="91">
        <f>IF(C1629="","",IF(COUNTIF($C$4:C1628,C1629)=0,SUMIF($C$4:$C$3997,C1629,$B$4:$B$3997)-ROW()/1000000,""))</f>
        <v/>
      </c>
      <c r="E1629" s="91">
        <f>IF(AND(N('Deal maths'!F1629)&gt;AsAt,N('Deal maths'!E1629)&lt;=AsAt,IF(N('Deal maths'!H1629)&gt;0,N('Deal maths'!H1629),N('Deal maths'!D1629))&gt;0),N('Deal maths'!F1629)+ROW()/1000000,"")</f>
        <v/>
      </c>
    </row>
    <row r="1630">
      <c r="A1630" s="91" t="n"/>
      <c r="B1630" s="111">
        <f>IF(AND(N('Deal maths'!F1630)&gt;AsAt,N('Deal maths'!E1630)&lt;=AsAt),IF(N('Deal maths'!H1630)&gt;0,N('Deal maths'!H1630),N('Deal maths'!D1630)),0)</f>
        <v/>
      </c>
      <c r="C1630" s="91">
        <f>IF(B1630&gt;0,IF('Deal maths'!C1630="Local authority","Local authorities",LOWER(TRIM('Deal maths'!B1630))),"")</f>
        <v/>
      </c>
      <c r="D1630" s="91">
        <f>IF(C1630="","",IF(COUNTIF($C$4:C1629,C1630)=0,SUMIF($C$4:$C$3997,C1630,$B$4:$B$3997)-ROW()/1000000,""))</f>
        <v/>
      </c>
      <c r="E1630" s="91">
        <f>IF(AND(N('Deal maths'!F1630)&gt;AsAt,N('Deal maths'!E1630)&lt;=AsAt,IF(N('Deal maths'!H1630)&gt;0,N('Deal maths'!H1630),N('Deal maths'!D1630))&gt;0),N('Deal maths'!F1630)+ROW()/1000000,"")</f>
        <v/>
      </c>
    </row>
    <row r="1631">
      <c r="A1631" s="91" t="n"/>
      <c r="B1631" s="111">
        <f>IF(AND(N('Deal maths'!F1631)&gt;AsAt,N('Deal maths'!E1631)&lt;=AsAt),IF(N('Deal maths'!H1631)&gt;0,N('Deal maths'!H1631),N('Deal maths'!D1631)),0)</f>
        <v/>
      </c>
      <c r="C1631" s="91">
        <f>IF(B1631&gt;0,IF('Deal maths'!C1631="Local authority","Local authorities",LOWER(TRIM('Deal maths'!B1631))),"")</f>
        <v/>
      </c>
      <c r="D1631" s="91">
        <f>IF(C1631="","",IF(COUNTIF($C$4:C1630,C1631)=0,SUMIF($C$4:$C$3997,C1631,$B$4:$B$3997)-ROW()/1000000,""))</f>
        <v/>
      </c>
      <c r="E1631" s="91">
        <f>IF(AND(N('Deal maths'!F1631)&gt;AsAt,N('Deal maths'!E1631)&lt;=AsAt,IF(N('Deal maths'!H1631)&gt;0,N('Deal maths'!H1631),N('Deal maths'!D1631))&gt;0),N('Deal maths'!F1631)+ROW()/1000000,"")</f>
        <v/>
      </c>
    </row>
    <row r="1632">
      <c r="A1632" s="91" t="n"/>
      <c r="B1632" s="111">
        <f>IF(AND(N('Deal maths'!F1632)&gt;AsAt,N('Deal maths'!E1632)&lt;=AsAt),IF(N('Deal maths'!H1632)&gt;0,N('Deal maths'!H1632),N('Deal maths'!D1632)),0)</f>
        <v/>
      </c>
      <c r="C1632" s="91">
        <f>IF(B1632&gt;0,IF('Deal maths'!C1632="Local authority","Local authorities",LOWER(TRIM('Deal maths'!B1632))),"")</f>
        <v/>
      </c>
      <c r="D1632" s="91">
        <f>IF(C1632="","",IF(COUNTIF($C$4:C1631,C1632)=0,SUMIF($C$4:$C$3997,C1632,$B$4:$B$3997)-ROW()/1000000,""))</f>
        <v/>
      </c>
      <c r="E1632" s="91">
        <f>IF(AND(N('Deal maths'!F1632)&gt;AsAt,N('Deal maths'!E1632)&lt;=AsAt,IF(N('Deal maths'!H1632)&gt;0,N('Deal maths'!H1632),N('Deal maths'!D1632))&gt;0),N('Deal maths'!F1632)+ROW()/1000000,"")</f>
        <v/>
      </c>
    </row>
    <row r="1633">
      <c r="A1633" s="91" t="n"/>
      <c r="B1633" s="111">
        <f>IF(AND(N('Deal maths'!F1633)&gt;AsAt,N('Deal maths'!E1633)&lt;=AsAt),IF(N('Deal maths'!H1633)&gt;0,N('Deal maths'!H1633),N('Deal maths'!D1633)),0)</f>
        <v/>
      </c>
      <c r="C1633" s="91">
        <f>IF(B1633&gt;0,IF('Deal maths'!C1633="Local authority","Local authorities",LOWER(TRIM('Deal maths'!B1633))),"")</f>
        <v/>
      </c>
      <c r="D1633" s="91">
        <f>IF(C1633="","",IF(COUNTIF($C$4:C1632,C1633)=0,SUMIF($C$4:$C$3997,C1633,$B$4:$B$3997)-ROW()/1000000,""))</f>
        <v/>
      </c>
      <c r="E1633" s="91">
        <f>IF(AND(N('Deal maths'!F1633)&gt;AsAt,N('Deal maths'!E1633)&lt;=AsAt,IF(N('Deal maths'!H1633)&gt;0,N('Deal maths'!H1633),N('Deal maths'!D1633))&gt;0),N('Deal maths'!F1633)+ROW()/1000000,"")</f>
        <v/>
      </c>
    </row>
    <row r="1634">
      <c r="A1634" s="91" t="n"/>
      <c r="B1634" s="111">
        <f>IF(AND(N('Deal maths'!F1634)&gt;AsAt,N('Deal maths'!E1634)&lt;=AsAt),IF(N('Deal maths'!H1634)&gt;0,N('Deal maths'!H1634),N('Deal maths'!D1634)),0)</f>
        <v/>
      </c>
      <c r="C1634" s="91">
        <f>IF(B1634&gt;0,IF('Deal maths'!C1634="Local authority","Local authorities",LOWER(TRIM('Deal maths'!B1634))),"")</f>
        <v/>
      </c>
      <c r="D1634" s="91">
        <f>IF(C1634="","",IF(COUNTIF($C$4:C1633,C1634)=0,SUMIF($C$4:$C$3997,C1634,$B$4:$B$3997)-ROW()/1000000,""))</f>
        <v/>
      </c>
      <c r="E1634" s="91">
        <f>IF(AND(N('Deal maths'!F1634)&gt;AsAt,N('Deal maths'!E1634)&lt;=AsAt,IF(N('Deal maths'!H1634)&gt;0,N('Deal maths'!H1634),N('Deal maths'!D1634))&gt;0),N('Deal maths'!F1634)+ROW()/1000000,"")</f>
        <v/>
      </c>
    </row>
    <row r="1635">
      <c r="A1635" s="91" t="n"/>
      <c r="B1635" s="111">
        <f>IF(AND(N('Deal maths'!F1635)&gt;AsAt,N('Deal maths'!E1635)&lt;=AsAt),IF(N('Deal maths'!H1635)&gt;0,N('Deal maths'!H1635),N('Deal maths'!D1635)),0)</f>
        <v/>
      </c>
      <c r="C1635" s="91">
        <f>IF(B1635&gt;0,IF('Deal maths'!C1635="Local authority","Local authorities",LOWER(TRIM('Deal maths'!B1635))),"")</f>
        <v/>
      </c>
      <c r="D1635" s="91">
        <f>IF(C1635="","",IF(COUNTIF($C$4:C1634,C1635)=0,SUMIF($C$4:$C$3997,C1635,$B$4:$B$3997)-ROW()/1000000,""))</f>
        <v/>
      </c>
      <c r="E1635" s="91">
        <f>IF(AND(N('Deal maths'!F1635)&gt;AsAt,N('Deal maths'!E1635)&lt;=AsAt,IF(N('Deal maths'!H1635)&gt;0,N('Deal maths'!H1635),N('Deal maths'!D1635))&gt;0),N('Deal maths'!F1635)+ROW()/1000000,"")</f>
        <v/>
      </c>
    </row>
    <row r="1636">
      <c r="A1636" s="91" t="n"/>
      <c r="B1636" s="111">
        <f>IF(AND(N('Deal maths'!F1636)&gt;AsAt,N('Deal maths'!E1636)&lt;=AsAt),IF(N('Deal maths'!H1636)&gt;0,N('Deal maths'!H1636),N('Deal maths'!D1636)),0)</f>
        <v/>
      </c>
      <c r="C1636" s="91">
        <f>IF(B1636&gt;0,IF('Deal maths'!C1636="Local authority","Local authorities",LOWER(TRIM('Deal maths'!B1636))),"")</f>
        <v/>
      </c>
      <c r="D1636" s="91">
        <f>IF(C1636="","",IF(COUNTIF($C$4:C1635,C1636)=0,SUMIF($C$4:$C$3997,C1636,$B$4:$B$3997)-ROW()/1000000,""))</f>
        <v/>
      </c>
      <c r="E1636" s="91">
        <f>IF(AND(N('Deal maths'!F1636)&gt;AsAt,N('Deal maths'!E1636)&lt;=AsAt,IF(N('Deal maths'!H1636)&gt;0,N('Deal maths'!H1636),N('Deal maths'!D1636))&gt;0),N('Deal maths'!F1636)+ROW()/1000000,"")</f>
        <v/>
      </c>
    </row>
    <row r="1637">
      <c r="A1637" s="91" t="n"/>
      <c r="B1637" s="111">
        <f>IF(AND(N('Deal maths'!F1637)&gt;AsAt,N('Deal maths'!E1637)&lt;=AsAt),IF(N('Deal maths'!H1637)&gt;0,N('Deal maths'!H1637),N('Deal maths'!D1637)),0)</f>
        <v/>
      </c>
      <c r="C1637" s="91">
        <f>IF(B1637&gt;0,IF('Deal maths'!C1637="Local authority","Local authorities",LOWER(TRIM('Deal maths'!B1637))),"")</f>
        <v/>
      </c>
      <c r="D1637" s="91">
        <f>IF(C1637="","",IF(COUNTIF($C$4:C1636,C1637)=0,SUMIF($C$4:$C$3997,C1637,$B$4:$B$3997)-ROW()/1000000,""))</f>
        <v/>
      </c>
      <c r="E1637" s="91">
        <f>IF(AND(N('Deal maths'!F1637)&gt;AsAt,N('Deal maths'!E1637)&lt;=AsAt,IF(N('Deal maths'!H1637)&gt;0,N('Deal maths'!H1637),N('Deal maths'!D1637))&gt;0),N('Deal maths'!F1637)+ROW()/1000000,"")</f>
        <v/>
      </c>
    </row>
    <row r="1638">
      <c r="A1638" s="91" t="n"/>
      <c r="B1638" s="111">
        <f>IF(AND(N('Deal maths'!F1638)&gt;AsAt,N('Deal maths'!E1638)&lt;=AsAt),IF(N('Deal maths'!H1638)&gt;0,N('Deal maths'!H1638),N('Deal maths'!D1638)),0)</f>
        <v/>
      </c>
      <c r="C1638" s="91">
        <f>IF(B1638&gt;0,IF('Deal maths'!C1638="Local authority","Local authorities",LOWER(TRIM('Deal maths'!B1638))),"")</f>
        <v/>
      </c>
      <c r="D1638" s="91">
        <f>IF(C1638="","",IF(COUNTIF($C$4:C1637,C1638)=0,SUMIF($C$4:$C$3997,C1638,$B$4:$B$3997)-ROW()/1000000,""))</f>
        <v/>
      </c>
      <c r="E1638" s="91">
        <f>IF(AND(N('Deal maths'!F1638)&gt;AsAt,N('Deal maths'!E1638)&lt;=AsAt,IF(N('Deal maths'!H1638)&gt;0,N('Deal maths'!H1638),N('Deal maths'!D1638))&gt;0),N('Deal maths'!F1638)+ROW()/1000000,"")</f>
        <v/>
      </c>
    </row>
    <row r="1639">
      <c r="A1639" s="91" t="n"/>
      <c r="B1639" s="111">
        <f>IF(AND(N('Deal maths'!F1639)&gt;AsAt,N('Deal maths'!E1639)&lt;=AsAt),IF(N('Deal maths'!H1639)&gt;0,N('Deal maths'!H1639),N('Deal maths'!D1639)),0)</f>
        <v/>
      </c>
      <c r="C1639" s="91">
        <f>IF(B1639&gt;0,IF('Deal maths'!C1639="Local authority","Local authorities",LOWER(TRIM('Deal maths'!B1639))),"")</f>
        <v/>
      </c>
      <c r="D1639" s="91">
        <f>IF(C1639="","",IF(COUNTIF($C$4:C1638,C1639)=0,SUMIF($C$4:$C$3997,C1639,$B$4:$B$3997)-ROW()/1000000,""))</f>
        <v/>
      </c>
      <c r="E1639" s="91">
        <f>IF(AND(N('Deal maths'!F1639)&gt;AsAt,N('Deal maths'!E1639)&lt;=AsAt,IF(N('Deal maths'!H1639)&gt;0,N('Deal maths'!H1639),N('Deal maths'!D1639))&gt;0),N('Deal maths'!F1639)+ROW()/1000000,"")</f>
        <v/>
      </c>
    </row>
    <row r="1640">
      <c r="A1640" s="91" t="n"/>
      <c r="B1640" s="111">
        <f>IF(AND(N('Deal maths'!F1640)&gt;AsAt,N('Deal maths'!E1640)&lt;=AsAt),IF(N('Deal maths'!H1640)&gt;0,N('Deal maths'!H1640),N('Deal maths'!D1640)),0)</f>
        <v/>
      </c>
      <c r="C1640" s="91">
        <f>IF(B1640&gt;0,IF('Deal maths'!C1640="Local authority","Local authorities",LOWER(TRIM('Deal maths'!B1640))),"")</f>
        <v/>
      </c>
      <c r="D1640" s="91">
        <f>IF(C1640="","",IF(COUNTIF($C$4:C1639,C1640)=0,SUMIF($C$4:$C$3997,C1640,$B$4:$B$3997)-ROW()/1000000,""))</f>
        <v/>
      </c>
      <c r="E1640" s="91">
        <f>IF(AND(N('Deal maths'!F1640)&gt;AsAt,N('Deal maths'!E1640)&lt;=AsAt,IF(N('Deal maths'!H1640)&gt;0,N('Deal maths'!H1640),N('Deal maths'!D1640))&gt;0),N('Deal maths'!F1640)+ROW()/1000000,"")</f>
        <v/>
      </c>
    </row>
    <row r="1641">
      <c r="A1641" s="91" t="n"/>
      <c r="B1641" s="111">
        <f>IF(AND(N('Deal maths'!F1641)&gt;AsAt,N('Deal maths'!E1641)&lt;=AsAt),IF(N('Deal maths'!H1641)&gt;0,N('Deal maths'!H1641),N('Deal maths'!D1641)),0)</f>
        <v/>
      </c>
      <c r="C1641" s="91">
        <f>IF(B1641&gt;0,IF('Deal maths'!C1641="Local authority","Local authorities",LOWER(TRIM('Deal maths'!B1641))),"")</f>
        <v/>
      </c>
      <c r="D1641" s="91">
        <f>IF(C1641="","",IF(COUNTIF($C$4:C1640,C1641)=0,SUMIF($C$4:$C$3997,C1641,$B$4:$B$3997)-ROW()/1000000,""))</f>
        <v/>
      </c>
      <c r="E1641" s="91">
        <f>IF(AND(N('Deal maths'!F1641)&gt;AsAt,N('Deal maths'!E1641)&lt;=AsAt,IF(N('Deal maths'!H1641)&gt;0,N('Deal maths'!H1641),N('Deal maths'!D1641))&gt;0),N('Deal maths'!F1641)+ROW()/1000000,"")</f>
        <v/>
      </c>
    </row>
    <row r="1642">
      <c r="A1642" s="91" t="n"/>
      <c r="B1642" s="111">
        <f>IF(AND(N('Deal maths'!F1642)&gt;AsAt,N('Deal maths'!E1642)&lt;=AsAt),IF(N('Deal maths'!H1642)&gt;0,N('Deal maths'!H1642),N('Deal maths'!D1642)),0)</f>
        <v/>
      </c>
      <c r="C1642" s="91">
        <f>IF(B1642&gt;0,IF('Deal maths'!C1642="Local authority","Local authorities",LOWER(TRIM('Deal maths'!B1642))),"")</f>
        <v/>
      </c>
      <c r="D1642" s="91">
        <f>IF(C1642="","",IF(COUNTIF($C$4:C1641,C1642)=0,SUMIF($C$4:$C$3997,C1642,$B$4:$B$3997)-ROW()/1000000,""))</f>
        <v/>
      </c>
      <c r="E1642" s="91">
        <f>IF(AND(N('Deal maths'!F1642)&gt;AsAt,N('Deal maths'!E1642)&lt;=AsAt,IF(N('Deal maths'!H1642)&gt;0,N('Deal maths'!H1642),N('Deal maths'!D1642))&gt;0),N('Deal maths'!F1642)+ROW()/1000000,"")</f>
        <v/>
      </c>
    </row>
    <row r="1643">
      <c r="A1643" s="91" t="n"/>
      <c r="B1643" s="111">
        <f>IF(AND(N('Deal maths'!F1643)&gt;AsAt,N('Deal maths'!E1643)&lt;=AsAt),IF(N('Deal maths'!H1643)&gt;0,N('Deal maths'!H1643),N('Deal maths'!D1643)),0)</f>
        <v/>
      </c>
      <c r="C1643" s="91">
        <f>IF(B1643&gt;0,IF('Deal maths'!C1643="Local authority","Local authorities",LOWER(TRIM('Deal maths'!B1643))),"")</f>
        <v/>
      </c>
      <c r="D1643" s="91">
        <f>IF(C1643="","",IF(COUNTIF($C$4:C1642,C1643)=0,SUMIF($C$4:$C$3997,C1643,$B$4:$B$3997)-ROW()/1000000,""))</f>
        <v/>
      </c>
      <c r="E1643" s="91">
        <f>IF(AND(N('Deal maths'!F1643)&gt;AsAt,N('Deal maths'!E1643)&lt;=AsAt,IF(N('Deal maths'!H1643)&gt;0,N('Deal maths'!H1643),N('Deal maths'!D1643))&gt;0),N('Deal maths'!F1643)+ROW()/1000000,"")</f>
        <v/>
      </c>
    </row>
    <row r="1644">
      <c r="A1644" s="91" t="n"/>
      <c r="B1644" s="111">
        <f>IF(AND(N('Deal maths'!F1644)&gt;AsAt,N('Deal maths'!E1644)&lt;=AsAt),IF(N('Deal maths'!H1644)&gt;0,N('Deal maths'!H1644),N('Deal maths'!D1644)),0)</f>
        <v/>
      </c>
      <c r="C1644" s="91">
        <f>IF(B1644&gt;0,IF('Deal maths'!C1644="Local authority","Local authorities",LOWER(TRIM('Deal maths'!B1644))),"")</f>
        <v/>
      </c>
      <c r="D1644" s="91">
        <f>IF(C1644="","",IF(COUNTIF($C$4:C1643,C1644)=0,SUMIF($C$4:$C$3997,C1644,$B$4:$B$3997)-ROW()/1000000,""))</f>
        <v/>
      </c>
      <c r="E1644" s="91">
        <f>IF(AND(N('Deal maths'!F1644)&gt;AsAt,N('Deal maths'!E1644)&lt;=AsAt,IF(N('Deal maths'!H1644)&gt;0,N('Deal maths'!H1644),N('Deal maths'!D1644))&gt;0),N('Deal maths'!F1644)+ROW()/1000000,"")</f>
        <v/>
      </c>
    </row>
    <row r="1645">
      <c r="A1645" s="91" t="n"/>
      <c r="B1645" s="111">
        <f>IF(AND(N('Deal maths'!F1645)&gt;AsAt,N('Deal maths'!E1645)&lt;=AsAt),IF(N('Deal maths'!H1645)&gt;0,N('Deal maths'!H1645),N('Deal maths'!D1645)),0)</f>
        <v/>
      </c>
      <c r="C1645" s="91">
        <f>IF(B1645&gt;0,IF('Deal maths'!C1645="Local authority","Local authorities",LOWER(TRIM('Deal maths'!B1645))),"")</f>
        <v/>
      </c>
      <c r="D1645" s="91">
        <f>IF(C1645="","",IF(COUNTIF($C$4:C1644,C1645)=0,SUMIF($C$4:$C$3997,C1645,$B$4:$B$3997)-ROW()/1000000,""))</f>
        <v/>
      </c>
      <c r="E1645" s="91">
        <f>IF(AND(N('Deal maths'!F1645)&gt;AsAt,N('Deal maths'!E1645)&lt;=AsAt,IF(N('Deal maths'!H1645)&gt;0,N('Deal maths'!H1645),N('Deal maths'!D1645))&gt;0),N('Deal maths'!F1645)+ROW()/1000000,"")</f>
        <v/>
      </c>
    </row>
    <row r="1646">
      <c r="A1646" s="91" t="n"/>
      <c r="B1646" s="111">
        <f>IF(AND(N('Deal maths'!F1646)&gt;AsAt,N('Deal maths'!E1646)&lt;=AsAt),IF(N('Deal maths'!H1646)&gt;0,N('Deal maths'!H1646),N('Deal maths'!D1646)),0)</f>
        <v/>
      </c>
      <c r="C1646" s="91">
        <f>IF(B1646&gt;0,IF('Deal maths'!C1646="Local authority","Local authorities",LOWER(TRIM('Deal maths'!B1646))),"")</f>
        <v/>
      </c>
      <c r="D1646" s="91">
        <f>IF(C1646="","",IF(COUNTIF($C$4:C1645,C1646)=0,SUMIF($C$4:$C$3997,C1646,$B$4:$B$3997)-ROW()/1000000,""))</f>
        <v/>
      </c>
      <c r="E1646" s="91">
        <f>IF(AND(N('Deal maths'!F1646)&gt;AsAt,N('Deal maths'!E1646)&lt;=AsAt,IF(N('Deal maths'!H1646)&gt;0,N('Deal maths'!H1646),N('Deal maths'!D1646))&gt;0),N('Deal maths'!F1646)+ROW()/1000000,"")</f>
        <v/>
      </c>
    </row>
    <row r="1647">
      <c r="A1647" s="91" t="n"/>
      <c r="B1647" s="111">
        <f>IF(AND(N('Deal maths'!F1647)&gt;AsAt,N('Deal maths'!E1647)&lt;=AsAt),IF(N('Deal maths'!H1647)&gt;0,N('Deal maths'!H1647),N('Deal maths'!D1647)),0)</f>
        <v/>
      </c>
      <c r="C1647" s="91">
        <f>IF(B1647&gt;0,IF('Deal maths'!C1647="Local authority","Local authorities",LOWER(TRIM('Deal maths'!B1647))),"")</f>
        <v/>
      </c>
      <c r="D1647" s="91">
        <f>IF(C1647="","",IF(COUNTIF($C$4:C1646,C1647)=0,SUMIF($C$4:$C$3997,C1647,$B$4:$B$3997)-ROW()/1000000,""))</f>
        <v/>
      </c>
      <c r="E1647" s="91">
        <f>IF(AND(N('Deal maths'!F1647)&gt;AsAt,N('Deal maths'!E1647)&lt;=AsAt,IF(N('Deal maths'!H1647)&gt;0,N('Deal maths'!H1647),N('Deal maths'!D1647))&gt;0),N('Deal maths'!F1647)+ROW()/1000000,"")</f>
        <v/>
      </c>
    </row>
    <row r="1648">
      <c r="A1648" s="91" t="n"/>
      <c r="B1648" s="111">
        <f>IF(AND(N('Deal maths'!F1648)&gt;AsAt,N('Deal maths'!E1648)&lt;=AsAt),IF(N('Deal maths'!H1648)&gt;0,N('Deal maths'!H1648),N('Deal maths'!D1648)),0)</f>
        <v/>
      </c>
      <c r="C1648" s="91">
        <f>IF(B1648&gt;0,IF('Deal maths'!C1648="Local authority","Local authorities",LOWER(TRIM('Deal maths'!B1648))),"")</f>
        <v/>
      </c>
      <c r="D1648" s="91">
        <f>IF(C1648="","",IF(COUNTIF($C$4:C1647,C1648)=0,SUMIF($C$4:$C$3997,C1648,$B$4:$B$3997)-ROW()/1000000,""))</f>
        <v/>
      </c>
      <c r="E1648" s="91">
        <f>IF(AND(N('Deal maths'!F1648)&gt;AsAt,N('Deal maths'!E1648)&lt;=AsAt,IF(N('Deal maths'!H1648)&gt;0,N('Deal maths'!H1648),N('Deal maths'!D1648))&gt;0),N('Deal maths'!F1648)+ROW()/1000000,"")</f>
        <v/>
      </c>
    </row>
    <row r="1649">
      <c r="A1649" s="91" t="n"/>
      <c r="B1649" s="111">
        <f>IF(AND(N('Deal maths'!F1649)&gt;AsAt,N('Deal maths'!E1649)&lt;=AsAt),IF(N('Deal maths'!H1649)&gt;0,N('Deal maths'!H1649),N('Deal maths'!D1649)),0)</f>
        <v/>
      </c>
      <c r="C1649" s="91">
        <f>IF(B1649&gt;0,IF('Deal maths'!C1649="Local authority","Local authorities",LOWER(TRIM('Deal maths'!B1649))),"")</f>
        <v/>
      </c>
      <c r="D1649" s="91">
        <f>IF(C1649="","",IF(COUNTIF($C$4:C1648,C1649)=0,SUMIF($C$4:$C$3997,C1649,$B$4:$B$3997)-ROW()/1000000,""))</f>
        <v/>
      </c>
      <c r="E1649" s="91">
        <f>IF(AND(N('Deal maths'!F1649)&gt;AsAt,N('Deal maths'!E1649)&lt;=AsAt,IF(N('Deal maths'!H1649)&gt;0,N('Deal maths'!H1649),N('Deal maths'!D1649))&gt;0),N('Deal maths'!F1649)+ROW()/1000000,"")</f>
        <v/>
      </c>
    </row>
    <row r="1650">
      <c r="A1650" s="91" t="n"/>
      <c r="B1650" s="111">
        <f>IF(AND(N('Deal maths'!F1650)&gt;AsAt,N('Deal maths'!E1650)&lt;=AsAt),IF(N('Deal maths'!H1650)&gt;0,N('Deal maths'!H1650),N('Deal maths'!D1650)),0)</f>
        <v/>
      </c>
      <c r="C1650" s="91">
        <f>IF(B1650&gt;0,IF('Deal maths'!C1650="Local authority","Local authorities",LOWER(TRIM('Deal maths'!B1650))),"")</f>
        <v/>
      </c>
      <c r="D1650" s="91">
        <f>IF(C1650="","",IF(COUNTIF($C$4:C1649,C1650)=0,SUMIF($C$4:$C$3997,C1650,$B$4:$B$3997)-ROW()/1000000,""))</f>
        <v/>
      </c>
      <c r="E1650" s="91">
        <f>IF(AND(N('Deal maths'!F1650)&gt;AsAt,N('Deal maths'!E1650)&lt;=AsAt,IF(N('Deal maths'!H1650)&gt;0,N('Deal maths'!H1650),N('Deal maths'!D1650))&gt;0),N('Deal maths'!F1650)+ROW()/1000000,"")</f>
        <v/>
      </c>
    </row>
    <row r="1651">
      <c r="A1651" s="91" t="n"/>
      <c r="B1651" s="111">
        <f>IF(AND(N('Deal maths'!F1651)&gt;AsAt,N('Deal maths'!E1651)&lt;=AsAt),IF(N('Deal maths'!H1651)&gt;0,N('Deal maths'!H1651),N('Deal maths'!D1651)),0)</f>
        <v/>
      </c>
      <c r="C1651" s="91">
        <f>IF(B1651&gt;0,IF('Deal maths'!C1651="Local authority","Local authorities",LOWER(TRIM('Deal maths'!B1651))),"")</f>
        <v/>
      </c>
      <c r="D1651" s="91">
        <f>IF(C1651="","",IF(COUNTIF($C$4:C1650,C1651)=0,SUMIF($C$4:$C$3997,C1651,$B$4:$B$3997)-ROW()/1000000,""))</f>
        <v/>
      </c>
      <c r="E1651" s="91">
        <f>IF(AND(N('Deal maths'!F1651)&gt;AsAt,N('Deal maths'!E1651)&lt;=AsAt,IF(N('Deal maths'!H1651)&gt;0,N('Deal maths'!H1651),N('Deal maths'!D1651))&gt;0),N('Deal maths'!F1651)+ROW()/1000000,"")</f>
        <v/>
      </c>
    </row>
    <row r="1652">
      <c r="A1652" s="91" t="n"/>
      <c r="B1652" s="111">
        <f>IF(AND(N('Deal maths'!F1652)&gt;AsAt,N('Deal maths'!E1652)&lt;=AsAt),IF(N('Deal maths'!H1652)&gt;0,N('Deal maths'!H1652),N('Deal maths'!D1652)),0)</f>
        <v/>
      </c>
      <c r="C1652" s="91">
        <f>IF(B1652&gt;0,IF('Deal maths'!C1652="Local authority","Local authorities",LOWER(TRIM('Deal maths'!B1652))),"")</f>
        <v/>
      </c>
      <c r="D1652" s="91">
        <f>IF(C1652="","",IF(COUNTIF($C$4:C1651,C1652)=0,SUMIF($C$4:$C$3997,C1652,$B$4:$B$3997)-ROW()/1000000,""))</f>
        <v/>
      </c>
      <c r="E1652" s="91">
        <f>IF(AND(N('Deal maths'!F1652)&gt;AsAt,N('Deal maths'!E1652)&lt;=AsAt,IF(N('Deal maths'!H1652)&gt;0,N('Deal maths'!H1652),N('Deal maths'!D1652))&gt;0),N('Deal maths'!F1652)+ROW()/1000000,"")</f>
        <v/>
      </c>
    </row>
    <row r="1653">
      <c r="A1653" s="91" t="n"/>
      <c r="B1653" s="111">
        <f>IF(AND(N('Deal maths'!F1653)&gt;AsAt,N('Deal maths'!E1653)&lt;=AsAt),IF(N('Deal maths'!H1653)&gt;0,N('Deal maths'!H1653),N('Deal maths'!D1653)),0)</f>
        <v/>
      </c>
      <c r="C1653" s="91">
        <f>IF(B1653&gt;0,IF('Deal maths'!C1653="Local authority","Local authorities",LOWER(TRIM('Deal maths'!B1653))),"")</f>
        <v/>
      </c>
      <c r="D1653" s="91">
        <f>IF(C1653="","",IF(COUNTIF($C$4:C1652,C1653)=0,SUMIF($C$4:$C$3997,C1653,$B$4:$B$3997)-ROW()/1000000,""))</f>
        <v/>
      </c>
      <c r="E1653" s="91">
        <f>IF(AND(N('Deal maths'!F1653)&gt;AsAt,N('Deal maths'!E1653)&lt;=AsAt,IF(N('Deal maths'!H1653)&gt;0,N('Deal maths'!H1653),N('Deal maths'!D1653))&gt;0),N('Deal maths'!F1653)+ROW()/1000000,"")</f>
        <v/>
      </c>
    </row>
    <row r="1654">
      <c r="A1654" s="91" t="n"/>
      <c r="B1654" s="111">
        <f>IF(AND(N('Deal maths'!F1654)&gt;AsAt,N('Deal maths'!E1654)&lt;=AsAt),IF(N('Deal maths'!H1654)&gt;0,N('Deal maths'!H1654),N('Deal maths'!D1654)),0)</f>
        <v/>
      </c>
      <c r="C1654" s="91">
        <f>IF(B1654&gt;0,IF('Deal maths'!C1654="Local authority","Local authorities",LOWER(TRIM('Deal maths'!B1654))),"")</f>
        <v/>
      </c>
      <c r="D1654" s="91">
        <f>IF(C1654="","",IF(COUNTIF($C$4:C1653,C1654)=0,SUMIF($C$4:$C$3997,C1654,$B$4:$B$3997)-ROW()/1000000,""))</f>
        <v/>
      </c>
      <c r="E1654" s="91">
        <f>IF(AND(N('Deal maths'!F1654)&gt;AsAt,N('Deal maths'!E1654)&lt;=AsAt,IF(N('Deal maths'!H1654)&gt;0,N('Deal maths'!H1654),N('Deal maths'!D1654))&gt;0),N('Deal maths'!F1654)+ROW()/1000000,"")</f>
        <v/>
      </c>
    </row>
    <row r="1655">
      <c r="A1655" s="91" t="n"/>
      <c r="B1655" s="111">
        <f>IF(AND(N('Deal maths'!F1655)&gt;AsAt,N('Deal maths'!E1655)&lt;=AsAt),IF(N('Deal maths'!H1655)&gt;0,N('Deal maths'!H1655),N('Deal maths'!D1655)),0)</f>
        <v/>
      </c>
      <c r="C1655" s="91">
        <f>IF(B1655&gt;0,IF('Deal maths'!C1655="Local authority","Local authorities",LOWER(TRIM('Deal maths'!B1655))),"")</f>
        <v/>
      </c>
      <c r="D1655" s="91">
        <f>IF(C1655="","",IF(COUNTIF($C$4:C1654,C1655)=0,SUMIF($C$4:$C$3997,C1655,$B$4:$B$3997)-ROW()/1000000,""))</f>
        <v/>
      </c>
      <c r="E1655" s="91">
        <f>IF(AND(N('Deal maths'!F1655)&gt;AsAt,N('Deal maths'!E1655)&lt;=AsAt,IF(N('Deal maths'!H1655)&gt;0,N('Deal maths'!H1655),N('Deal maths'!D1655))&gt;0),N('Deal maths'!F1655)+ROW()/1000000,"")</f>
        <v/>
      </c>
    </row>
    <row r="1656">
      <c r="A1656" s="91" t="n"/>
      <c r="B1656" s="111">
        <f>IF(AND(N('Deal maths'!F1656)&gt;AsAt,N('Deal maths'!E1656)&lt;=AsAt),IF(N('Deal maths'!H1656)&gt;0,N('Deal maths'!H1656),N('Deal maths'!D1656)),0)</f>
        <v/>
      </c>
      <c r="C1656" s="91">
        <f>IF(B1656&gt;0,IF('Deal maths'!C1656="Local authority","Local authorities",LOWER(TRIM('Deal maths'!B1656))),"")</f>
        <v/>
      </c>
      <c r="D1656" s="91">
        <f>IF(C1656="","",IF(COUNTIF($C$4:C1655,C1656)=0,SUMIF($C$4:$C$3997,C1656,$B$4:$B$3997)-ROW()/1000000,""))</f>
        <v/>
      </c>
      <c r="E1656" s="91">
        <f>IF(AND(N('Deal maths'!F1656)&gt;AsAt,N('Deal maths'!E1656)&lt;=AsAt,IF(N('Deal maths'!H1656)&gt;0,N('Deal maths'!H1656),N('Deal maths'!D1656))&gt;0),N('Deal maths'!F1656)+ROW()/1000000,"")</f>
        <v/>
      </c>
    </row>
    <row r="1657">
      <c r="A1657" s="91" t="n"/>
      <c r="B1657" s="111">
        <f>IF(AND(N('Deal maths'!F1657)&gt;AsAt,N('Deal maths'!E1657)&lt;=AsAt),IF(N('Deal maths'!H1657)&gt;0,N('Deal maths'!H1657),N('Deal maths'!D1657)),0)</f>
        <v/>
      </c>
      <c r="C1657" s="91">
        <f>IF(B1657&gt;0,IF('Deal maths'!C1657="Local authority","Local authorities",LOWER(TRIM('Deal maths'!B1657))),"")</f>
        <v/>
      </c>
      <c r="D1657" s="91">
        <f>IF(C1657="","",IF(COUNTIF($C$4:C1656,C1657)=0,SUMIF($C$4:$C$3997,C1657,$B$4:$B$3997)-ROW()/1000000,""))</f>
        <v/>
      </c>
      <c r="E1657" s="91">
        <f>IF(AND(N('Deal maths'!F1657)&gt;AsAt,N('Deal maths'!E1657)&lt;=AsAt,IF(N('Deal maths'!H1657)&gt;0,N('Deal maths'!H1657),N('Deal maths'!D1657))&gt;0),N('Deal maths'!F1657)+ROW()/1000000,"")</f>
        <v/>
      </c>
    </row>
    <row r="1658">
      <c r="A1658" s="91" t="n"/>
      <c r="B1658" s="111">
        <f>IF(AND(N('Deal maths'!F1658)&gt;AsAt,N('Deal maths'!E1658)&lt;=AsAt),IF(N('Deal maths'!H1658)&gt;0,N('Deal maths'!H1658),N('Deal maths'!D1658)),0)</f>
        <v/>
      </c>
      <c r="C1658" s="91">
        <f>IF(B1658&gt;0,IF('Deal maths'!C1658="Local authority","Local authorities",LOWER(TRIM('Deal maths'!B1658))),"")</f>
        <v/>
      </c>
      <c r="D1658" s="91">
        <f>IF(C1658="","",IF(COUNTIF($C$4:C1657,C1658)=0,SUMIF($C$4:$C$3997,C1658,$B$4:$B$3997)-ROW()/1000000,""))</f>
        <v/>
      </c>
      <c r="E1658" s="91">
        <f>IF(AND(N('Deal maths'!F1658)&gt;AsAt,N('Deal maths'!E1658)&lt;=AsAt,IF(N('Deal maths'!H1658)&gt;0,N('Deal maths'!H1658),N('Deal maths'!D1658))&gt;0),N('Deal maths'!F1658)+ROW()/1000000,"")</f>
        <v/>
      </c>
    </row>
    <row r="1659">
      <c r="A1659" s="91" t="n"/>
      <c r="B1659" s="111">
        <f>IF(AND(N('Deal maths'!F1659)&gt;AsAt,N('Deal maths'!E1659)&lt;=AsAt),IF(N('Deal maths'!H1659)&gt;0,N('Deal maths'!H1659),N('Deal maths'!D1659)),0)</f>
        <v/>
      </c>
      <c r="C1659" s="91">
        <f>IF(B1659&gt;0,IF('Deal maths'!C1659="Local authority","Local authorities",LOWER(TRIM('Deal maths'!B1659))),"")</f>
        <v/>
      </c>
      <c r="D1659" s="91">
        <f>IF(C1659="","",IF(COUNTIF($C$4:C1658,C1659)=0,SUMIF($C$4:$C$3997,C1659,$B$4:$B$3997)-ROW()/1000000,""))</f>
        <v/>
      </c>
      <c r="E1659" s="91">
        <f>IF(AND(N('Deal maths'!F1659)&gt;AsAt,N('Deal maths'!E1659)&lt;=AsAt,IF(N('Deal maths'!H1659)&gt;0,N('Deal maths'!H1659),N('Deal maths'!D1659))&gt;0),N('Deal maths'!F1659)+ROW()/1000000,"")</f>
        <v/>
      </c>
    </row>
    <row r="1660">
      <c r="A1660" s="91" t="n"/>
      <c r="B1660" s="111">
        <f>IF(AND(N('Deal maths'!F1660)&gt;AsAt,N('Deal maths'!E1660)&lt;=AsAt),IF(N('Deal maths'!H1660)&gt;0,N('Deal maths'!H1660),N('Deal maths'!D1660)),0)</f>
        <v/>
      </c>
      <c r="C1660" s="91">
        <f>IF(B1660&gt;0,IF('Deal maths'!C1660="Local authority","Local authorities",LOWER(TRIM('Deal maths'!B1660))),"")</f>
        <v/>
      </c>
      <c r="D1660" s="91">
        <f>IF(C1660="","",IF(COUNTIF($C$4:C1659,C1660)=0,SUMIF($C$4:$C$3997,C1660,$B$4:$B$3997)-ROW()/1000000,""))</f>
        <v/>
      </c>
      <c r="E1660" s="91">
        <f>IF(AND(N('Deal maths'!F1660)&gt;AsAt,N('Deal maths'!E1660)&lt;=AsAt,IF(N('Deal maths'!H1660)&gt;0,N('Deal maths'!H1660),N('Deal maths'!D1660))&gt;0),N('Deal maths'!F1660)+ROW()/1000000,"")</f>
        <v/>
      </c>
    </row>
    <row r="1661">
      <c r="A1661" s="91" t="n"/>
      <c r="B1661" s="111">
        <f>IF(AND(N('Deal maths'!F1661)&gt;AsAt,N('Deal maths'!E1661)&lt;=AsAt),IF(N('Deal maths'!H1661)&gt;0,N('Deal maths'!H1661),N('Deal maths'!D1661)),0)</f>
        <v/>
      </c>
      <c r="C1661" s="91">
        <f>IF(B1661&gt;0,IF('Deal maths'!C1661="Local authority","Local authorities",LOWER(TRIM('Deal maths'!B1661))),"")</f>
        <v/>
      </c>
      <c r="D1661" s="91">
        <f>IF(C1661="","",IF(COUNTIF($C$4:C1660,C1661)=0,SUMIF($C$4:$C$3997,C1661,$B$4:$B$3997)-ROW()/1000000,""))</f>
        <v/>
      </c>
      <c r="E1661" s="91">
        <f>IF(AND(N('Deal maths'!F1661)&gt;AsAt,N('Deal maths'!E1661)&lt;=AsAt,IF(N('Deal maths'!H1661)&gt;0,N('Deal maths'!H1661),N('Deal maths'!D1661))&gt;0),N('Deal maths'!F1661)+ROW()/1000000,"")</f>
        <v/>
      </c>
    </row>
    <row r="1662">
      <c r="A1662" s="91" t="n"/>
      <c r="B1662" s="111">
        <f>IF(AND(N('Deal maths'!F1662)&gt;AsAt,N('Deal maths'!E1662)&lt;=AsAt),IF(N('Deal maths'!H1662)&gt;0,N('Deal maths'!H1662),N('Deal maths'!D1662)),0)</f>
        <v/>
      </c>
      <c r="C1662" s="91">
        <f>IF(B1662&gt;0,IF('Deal maths'!C1662="Local authority","Local authorities",LOWER(TRIM('Deal maths'!B1662))),"")</f>
        <v/>
      </c>
      <c r="D1662" s="91">
        <f>IF(C1662="","",IF(COUNTIF($C$4:C1661,C1662)=0,SUMIF($C$4:$C$3997,C1662,$B$4:$B$3997)-ROW()/1000000,""))</f>
        <v/>
      </c>
      <c r="E1662" s="91">
        <f>IF(AND(N('Deal maths'!F1662)&gt;AsAt,N('Deal maths'!E1662)&lt;=AsAt,IF(N('Deal maths'!H1662)&gt;0,N('Deal maths'!H1662),N('Deal maths'!D1662))&gt;0),N('Deal maths'!F1662)+ROW()/1000000,"")</f>
        <v/>
      </c>
    </row>
    <row r="1663">
      <c r="A1663" s="91" t="n"/>
      <c r="B1663" s="111">
        <f>IF(AND(N('Deal maths'!F1663)&gt;AsAt,N('Deal maths'!E1663)&lt;=AsAt),IF(N('Deal maths'!H1663)&gt;0,N('Deal maths'!H1663),N('Deal maths'!D1663)),0)</f>
        <v/>
      </c>
      <c r="C1663" s="91">
        <f>IF(B1663&gt;0,IF('Deal maths'!C1663="Local authority","Local authorities",LOWER(TRIM('Deal maths'!B1663))),"")</f>
        <v/>
      </c>
      <c r="D1663" s="91">
        <f>IF(C1663="","",IF(COUNTIF($C$4:C1662,C1663)=0,SUMIF($C$4:$C$3997,C1663,$B$4:$B$3997)-ROW()/1000000,""))</f>
        <v/>
      </c>
      <c r="E1663" s="91">
        <f>IF(AND(N('Deal maths'!F1663)&gt;AsAt,N('Deal maths'!E1663)&lt;=AsAt,IF(N('Deal maths'!H1663)&gt;0,N('Deal maths'!H1663),N('Deal maths'!D1663))&gt;0),N('Deal maths'!F1663)+ROW()/1000000,"")</f>
        <v/>
      </c>
    </row>
    <row r="1664">
      <c r="A1664" s="91" t="n"/>
      <c r="B1664" s="111">
        <f>IF(AND(N('Deal maths'!F1664)&gt;AsAt,N('Deal maths'!E1664)&lt;=AsAt),IF(N('Deal maths'!H1664)&gt;0,N('Deal maths'!H1664),N('Deal maths'!D1664)),0)</f>
        <v/>
      </c>
      <c r="C1664" s="91">
        <f>IF(B1664&gt;0,IF('Deal maths'!C1664="Local authority","Local authorities",LOWER(TRIM('Deal maths'!B1664))),"")</f>
        <v/>
      </c>
      <c r="D1664" s="91">
        <f>IF(C1664="","",IF(COUNTIF($C$4:C1663,C1664)=0,SUMIF($C$4:$C$3997,C1664,$B$4:$B$3997)-ROW()/1000000,""))</f>
        <v/>
      </c>
      <c r="E1664" s="91">
        <f>IF(AND(N('Deal maths'!F1664)&gt;AsAt,N('Deal maths'!E1664)&lt;=AsAt,IF(N('Deal maths'!H1664)&gt;0,N('Deal maths'!H1664),N('Deal maths'!D1664))&gt;0),N('Deal maths'!F1664)+ROW()/1000000,"")</f>
        <v/>
      </c>
    </row>
    <row r="1665">
      <c r="A1665" s="91" t="n"/>
      <c r="B1665" s="111">
        <f>IF(AND(N('Deal maths'!F1665)&gt;AsAt,N('Deal maths'!E1665)&lt;=AsAt),IF(N('Deal maths'!H1665)&gt;0,N('Deal maths'!H1665),N('Deal maths'!D1665)),0)</f>
        <v/>
      </c>
      <c r="C1665" s="91">
        <f>IF(B1665&gt;0,IF('Deal maths'!C1665="Local authority","Local authorities",LOWER(TRIM('Deal maths'!B1665))),"")</f>
        <v/>
      </c>
      <c r="D1665" s="91">
        <f>IF(C1665="","",IF(COUNTIF($C$4:C1664,C1665)=0,SUMIF($C$4:$C$3997,C1665,$B$4:$B$3997)-ROW()/1000000,""))</f>
        <v/>
      </c>
      <c r="E1665" s="91">
        <f>IF(AND(N('Deal maths'!F1665)&gt;AsAt,N('Deal maths'!E1665)&lt;=AsAt,IF(N('Deal maths'!H1665)&gt;0,N('Deal maths'!H1665),N('Deal maths'!D1665))&gt;0),N('Deal maths'!F1665)+ROW()/1000000,"")</f>
        <v/>
      </c>
    </row>
    <row r="1666">
      <c r="A1666" s="91" t="n"/>
      <c r="B1666" s="111">
        <f>IF(AND(N('Deal maths'!F1666)&gt;AsAt,N('Deal maths'!E1666)&lt;=AsAt),IF(N('Deal maths'!H1666)&gt;0,N('Deal maths'!H1666),N('Deal maths'!D1666)),0)</f>
        <v/>
      </c>
      <c r="C1666" s="91">
        <f>IF(B1666&gt;0,IF('Deal maths'!C1666="Local authority","Local authorities",LOWER(TRIM('Deal maths'!B1666))),"")</f>
        <v/>
      </c>
      <c r="D1666" s="91">
        <f>IF(C1666="","",IF(COUNTIF($C$4:C1665,C1666)=0,SUMIF($C$4:$C$3997,C1666,$B$4:$B$3997)-ROW()/1000000,""))</f>
        <v/>
      </c>
      <c r="E1666" s="91">
        <f>IF(AND(N('Deal maths'!F1666)&gt;AsAt,N('Deal maths'!E1666)&lt;=AsAt,IF(N('Deal maths'!H1666)&gt;0,N('Deal maths'!H1666),N('Deal maths'!D1666))&gt;0),N('Deal maths'!F1666)+ROW()/1000000,"")</f>
        <v/>
      </c>
    </row>
    <row r="1667">
      <c r="A1667" s="91" t="n"/>
      <c r="B1667" s="111">
        <f>IF(AND(N('Deal maths'!F1667)&gt;AsAt,N('Deal maths'!E1667)&lt;=AsAt),IF(N('Deal maths'!H1667)&gt;0,N('Deal maths'!H1667),N('Deal maths'!D1667)),0)</f>
        <v/>
      </c>
      <c r="C1667" s="91">
        <f>IF(B1667&gt;0,IF('Deal maths'!C1667="Local authority","Local authorities",LOWER(TRIM('Deal maths'!B1667))),"")</f>
        <v/>
      </c>
      <c r="D1667" s="91">
        <f>IF(C1667="","",IF(COUNTIF($C$4:C1666,C1667)=0,SUMIF($C$4:$C$3997,C1667,$B$4:$B$3997)-ROW()/1000000,""))</f>
        <v/>
      </c>
      <c r="E1667" s="91">
        <f>IF(AND(N('Deal maths'!F1667)&gt;AsAt,N('Deal maths'!E1667)&lt;=AsAt,IF(N('Deal maths'!H1667)&gt;0,N('Deal maths'!H1667),N('Deal maths'!D1667))&gt;0),N('Deal maths'!F1667)+ROW()/1000000,"")</f>
        <v/>
      </c>
    </row>
    <row r="1668">
      <c r="A1668" s="91" t="n"/>
      <c r="B1668" s="111">
        <f>IF(AND(N('Deal maths'!F1668)&gt;AsAt,N('Deal maths'!E1668)&lt;=AsAt),IF(N('Deal maths'!H1668)&gt;0,N('Deal maths'!H1668),N('Deal maths'!D1668)),0)</f>
        <v/>
      </c>
      <c r="C1668" s="91">
        <f>IF(B1668&gt;0,IF('Deal maths'!C1668="Local authority","Local authorities",LOWER(TRIM('Deal maths'!B1668))),"")</f>
        <v/>
      </c>
      <c r="D1668" s="91">
        <f>IF(C1668="","",IF(COUNTIF($C$4:C1667,C1668)=0,SUMIF($C$4:$C$3997,C1668,$B$4:$B$3997)-ROW()/1000000,""))</f>
        <v/>
      </c>
      <c r="E1668" s="91">
        <f>IF(AND(N('Deal maths'!F1668)&gt;AsAt,N('Deal maths'!E1668)&lt;=AsAt,IF(N('Deal maths'!H1668)&gt;0,N('Deal maths'!H1668),N('Deal maths'!D1668))&gt;0),N('Deal maths'!F1668)+ROW()/1000000,"")</f>
        <v/>
      </c>
    </row>
    <row r="1669">
      <c r="A1669" s="91" t="n"/>
      <c r="B1669" s="111">
        <f>IF(AND(N('Deal maths'!F1669)&gt;AsAt,N('Deal maths'!E1669)&lt;=AsAt),IF(N('Deal maths'!H1669)&gt;0,N('Deal maths'!H1669),N('Deal maths'!D1669)),0)</f>
        <v/>
      </c>
      <c r="C1669" s="91">
        <f>IF(B1669&gt;0,IF('Deal maths'!C1669="Local authority","Local authorities",LOWER(TRIM('Deal maths'!B1669))),"")</f>
        <v/>
      </c>
      <c r="D1669" s="91">
        <f>IF(C1669="","",IF(COUNTIF($C$4:C1668,C1669)=0,SUMIF($C$4:$C$3997,C1669,$B$4:$B$3997)-ROW()/1000000,""))</f>
        <v/>
      </c>
      <c r="E1669" s="91">
        <f>IF(AND(N('Deal maths'!F1669)&gt;AsAt,N('Deal maths'!E1669)&lt;=AsAt,IF(N('Deal maths'!H1669)&gt;0,N('Deal maths'!H1669),N('Deal maths'!D1669))&gt;0),N('Deal maths'!F1669)+ROW()/1000000,"")</f>
        <v/>
      </c>
    </row>
    <row r="1670">
      <c r="A1670" s="91" t="n"/>
      <c r="B1670" s="111">
        <f>IF(AND(N('Deal maths'!F1670)&gt;AsAt,N('Deal maths'!E1670)&lt;=AsAt),IF(N('Deal maths'!H1670)&gt;0,N('Deal maths'!H1670),N('Deal maths'!D1670)),0)</f>
        <v/>
      </c>
      <c r="C1670" s="91">
        <f>IF(B1670&gt;0,IF('Deal maths'!C1670="Local authority","Local authorities",LOWER(TRIM('Deal maths'!B1670))),"")</f>
        <v/>
      </c>
      <c r="D1670" s="91">
        <f>IF(C1670="","",IF(COUNTIF($C$4:C1669,C1670)=0,SUMIF($C$4:$C$3997,C1670,$B$4:$B$3997)-ROW()/1000000,""))</f>
        <v/>
      </c>
      <c r="E1670" s="91">
        <f>IF(AND(N('Deal maths'!F1670)&gt;AsAt,N('Deal maths'!E1670)&lt;=AsAt,IF(N('Deal maths'!H1670)&gt;0,N('Deal maths'!H1670),N('Deal maths'!D1670))&gt;0),N('Deal maths'!F1670)+ROW()/1000000,"")</f>
        <v/>
      </c>
    </row>
    <row r="1671">
      <c r="A1671" s="91" t="n"/>
      <c r="B1671" s="111">
        <f>IF(AND(N('Deal maths'!F1671)&gt;AsAt,N('Deal maths'!E1671)&lt;=AsAt),IF(N('Deal maths'!H1671)&gt;0,N('Deal maths'!H1671),N('Deal maths'!D1671)),0)</f>
        <v/>
      </c>
      <c r="C1671" s="91">
        <f>IF(B1671&gt;0,IF('Deal maths'!C1671="Local authority","Local authorities",LOWER(TRIM('Deal maths'!B1671))),"")</f>
        <v/>
      </c>
      <c r="D1671" s="91">
        <f>IF(C1671="","",IF(COUNTIF($C$4:C1670,C1671)=0,SUMIF($C$4:$C$3997,C1671,$B$4:$B$3997)-ROW()/1000000,""))</f>
        <v/>
      </c>
      <c r="E1671" s="91">
        <f>IF(AND(N('Deal maths'!F1671)&gt;AsAt,N('Deal maths'!E1671)&lt;=AsAt,IF(N('Deal maths'!H1671)&gt;0,N('Deal maths'!H1671),N('Deal maths'!D1671))&gt;0),N('Deal maths'!F1671)+ROW()/1000000,"")</f>
        <v/>
      </c>
    </row>
    <row r="1672">
      <c r="A1672" s="91" t="n"/>
      <c r="B1672" s="111">
        <f>IF(AND(N('Deal maths'!F1672)&gt;AsAt,N('Deal maths'!E1672)&lt;=AsAt),IF(N('Deal maths'!H1672)&gt;0,N('Deal maths'!H1672),N('Deal maths'!D1672)),0)</f>
        <v/>
      </c>
      <c r="C1672" s="91">
        <f>IF(B1672&gt;0,IF('Deal maths'!C1672="Local authority","Local authorities",LOWER(TRIM('Deal maths'!B1672))),"")</f>
        <v/>
      </c>
      <c r="D1672" s="91">
        <f>IF(C1672="","",IF(COUNTIF($C$4:C1671,C1672)=0,SUMIF($C$4:$C$3997,C1672,$B$4:$B$3997)-ROW()/1000000,""))</f>
        <v/>
      </c>
      <c r="E1672" s="91">
        <f>IF(AND(N('Deal maths'!F1672)&gt;AsAt,N('Deal maths'!E1672)&lt;=AsAt,IF(N('Deal maths'!H1672)&gt;0,N('Deal maths'!H1672),N('Deal maths'!D1672))&gt;0),N('Deal maths'!F1672)+ROW()/1000000,"")</f>
        <v/>
      </c>
    </row>
    <row r="1673">
      <c r="A1673" s="91" t="n"/>
      <c r="B1673" s="111">
        <f>IF(AND(N('Deal maths'!F1673)&gt;AsAt,N('Deal maths'!E1673)&lt;=AsAt),IF(N('Deal maths'!H1673)&gt;0,N('Deal maths'!H1673),N('Deal maths'!D1673)),0)</f>
        <v/>
      </c>
      <c r="C1673" s="91">
        <f>IF(B1673&gt;0,IF('Deal maths'!C1673="Local authority","Local authorities",LOWER(TRIM('Deal maths'!B1673))),"")</f>
        <v/>
      </c>
      <c r="D1673" s="91">
        <f>IF(C1673="","",IF(COUNTIF($C$4:C1672,C1673)=0,SUMIF($C$4:$C$3997,C1673,$B$4:$B$3997)-ROW()/1000000,""))</f>
        <v/>
      </c>
      <c r="E1673" s="91">
        <f>IF(AND(N('Deal maths'!F1673)&gt;AsAt,N('Deal maths'!E1673)&lt;=AsAt,IF(N('Deal maths'!H1673)&gt;0,N('Deal maths'!H1673),N('Deal maths'!D1673))&gt;0),N('Deal maths'!F1673)+ROW()/1000000,"")</f>
        <v/>
      </c>
    </row>
    <row r="1674">
      <c r="A1674" s="91" t="n"/>
      <c r="B1674" s="111">
        <f>IF(AND(N('Deal maths'!F1674)&gt;AsAt,N('Deal maths'!E1674)&lt;=AsAt),IF(N('Deal maths'!H1674)&gt;0,N('Deal maths'!H1674),N('Deal maths'!D1674)),0)</f>
        <v/>
      </c>
      <c r="C1674" s="91">
        <f>IF(B1674&gt;0,IF('Deal maths'!C1674="Local authority","Local authorities",LOWER(TRIM('Deal maths'!B1674))),"")</f>
        <v/>
      </c>
      <c r="D1674" s="91">
        <f>IF(C1674="","",IF(COUNTIF($C$4:C1673,C1674)=0,SUMIF($C$4:$C$3997,C1674,$B$4:$B$3997)-ROW()/1000000,""))</f>
        <v/>
      </c>
      <c r="E1674" s="91">
        <f>IF(AND(N('Deal maths'!F1674)&gt;AsAt,N('Deal maths'!E1674)&lt;=AsAt,IF(N('Deal maths'!H1674)&gt;0,N('Deal maths'!H1674),N('Deal maths'!D1674))&gt;0),N('Deal maths'!F1674)+ROW()/1000000,"")</f>
        <v/>
      </c>
    </row>
    <row r="1675">
      <c r="A1675" s="91" t="n"/>
      <c r="B1675" s="111">
        <f>IF(AND(N('Deal maths'!F1675)&gt;AsAt,N('Deal maths'!E1675)&lt;=AsAt),IF(N('Deal maths'!H1675)&gt;0,N('Deal maths'!H1675),N('Deal maths'!D1675)),0)</f>
        <v/>
      </c>
      <c r="C1675" s="91">
        <f>IF(B1675&gt;0,IF('Deal maths'!C1675="Local authority","Local authorities",LOWER(TRIM('Deal maths'!B1675))),"")</f>
        <v/>
      </c>
      <c r="D1675" s="91">
        <f>IF(C1675="","",IF(COUNTIF($C$4:C1674,C1675)=0,SUMIF($C$4:$C$3997,C1675,$B$4:$B$3997)-ROW()/1000000,""))</f>
        <v/>
      </c>
      <c r="E1675" s="91">
        <f>IF(AND(N('Deal maths'!F1675)&gt;AsAt,N('Deal maths'!E1675)&lt;=AsAt,IF(N('Deal maths'!H1675)&gt;0,N('Deal maths'!H1675),N('Deal maths'!D1675))&gt;0),N('Deal maths'!F1675)+ROW()/1000000,"")</f>
        <v/>
      </c>
    </row>
    <row r="1676">
      <c r="A1676" s="91" t="n"/>
      <c r="B1676" s="111">
        <f>IF(AND(N('Deal maths'!F1676)&gt;AsAt,N('Deal maths'!E1676)&lt;=AsAt),IF(N('Deal maths'!H1676)&gt;0,N('Deal maths'!H1676),N('Deal maths'!D1676)),0)</f>
        <v/>
      </c>
      <c r="C1676" s="91">
        <f>IF(B1676&gt;0,IF('Deal maths'!C1676="Local authority","Local authorities",LOWER(TRIM('Deal maths'!B1676))),"")</f>
        <v/>
      </c>
      <c r="D1676" s="91">
        <f>IF(C1676="","",IF(COUNTIF($C$4:C1675,C1676)=0,SUMIF($C$4:$C$3997,C1676,$B$4:$B$3997)-ROW()/1000000,""))</f>
        <v/>
      </c>
      <c r="E1676" s="91">
        <f>IF(AND(N('Deal maths'!F1676)&gt;AsAt,N('Deal maths'!E1676)&lt;=AsAt,IF(N('Deal maths'!H1676)&gt;0,N('Deal maths'!H1676),N('Deal maths'!D1676))&gt;0),N('Deal maths'!F1676)+ROW()/1000000,"")</f>
        <v/>
      </c>
    </row>
    <row r="1677">
      <c r="A1677" s="91" t="n"/>
      <c r="B1677" s="111">
        <f>IF(AND(N('Deal maths'!F1677)&gt;AsAt,N('Deal maths'!E1677)&lt;=AsAt),IF(N('Deal maths'!H1677)&gt;0,N('Deal maths'!H1677),N('Deal maths'!D1677)),0)</f>
        <v/>
      </c>
      <c r="C1677" s="91">
        <f>IF(B1677&gt;0,IF('Deal maths'!C1677="Local authority","Local authorities",LOWER(TRIM('Deal maths'!B1677))),"")</f>
        <v/>
      </c>
      <c r="D1677" s="91">
        <f>IF(C1677="","",IF(COUNTIF($C$4:C1676,C1677)=0,SUMIF($C$4:$C$3997,C1677,$B$4:$B$3997)-ROW()/1000000,""))</f>
        <v/>
      </c>
      <c r="E1677" s="91">
        <f>IF(AND(N('Deal maths'!F1677)&gt;AsAt,N('Deal maths'!E1677)&lt;=AsAt,IF(N('Deal maths'!H1677)&gt;0,N('Deal maths'!H1677),N('Deal maths'!D1677))&gt;0),N('Deal maths'!F1677)+ROW()/1000000,"")</f>
        <v/>
      </c>
    </row>
    <row r="1678">
      <c r="A1678" s="91" t="n"/>
      <c r="B1678" s="111">
        <f>IF(AND(N('Deal maths'!F1678)&gt;AsAt,N('Deal maths'!E1678)&lt;=AsAt),IF(N('Deal maths'!H1678)&gt;0,N('Deal maths'!H1678),N('Deal maths'!D1678)),0)</f>
        <v/>
      </c>
      <c r="C1678" s="91">
        <f>IF(B1678&gt;0,IF('Deal maths'!C1678="Local authority","Local authorities",LOWER(TRIM('Deal maths'!B1678))),"")</f>
        <v/>
      </c>
      <c r="D1678" s="91">
        <f>IF(C1678="","",IF(COUNTIF($C$4:C1677,C1678)=0,SUMIF($C$4:$C$3997,C1678,$B$4:$B$3997)-ROW()/1000000,""))</f>
        <v/>
      </c>
      <c r="E1678" s="91">
        <f>IF(AND(N('Deal maths'!F1678)&gt;AsAt,N('Deal maths'!E1678)&lt;=AsAt,IF(N('Deal maths'!H1678)&gt;0,N('Deal maths'!H1678),N('Deal maths'!D1678))&gt;0),N('Deal maths'!F1678)+ROW()/1000000,"")</f>
        <v/>
      </c>
    </row>
    <row r="1679">
      <c r="A1679" s="91" t="n"/>
      <c r="B1679" s="111">
        <f>IF(AND(N('Deal maths'!F1679)&gt;AsAt,N('Deal maths'!E1679)&lt;=AsAt),IF(N('Deal maths'!H1679)&gt;0,N('Deal maths'!H1679),N('Deal maths'!D1679)),0)</f>
        <v/>
      </c>
      <c r="C1679" s="91">
        <f>IF(B1679&gt;0,IF('Deal maths'!C1679="Local authority","Local authorities",LOWER(TRIM('Deal maths'!B1679))),"")</f>
        <v/>
      </c>
      <c r="D1679" s="91">
        <f>IF(C1679="","",IF(COUNTIF($C$4:C1678,C1679)=0,SUMIF($C$4:$C$3997,C1679,$B$4:$B$3997)-ROW()/1000000,""))</f>
        <v/>
      </c>
      <c r="E1679" s="91">
        <f>IF(AND(N('Deal maths'!F1679)&gt;AsAt,N('Deal maths'!E1679)&lt;=AsAt,IF(N('Deal maths'!H1679)&gt;0,N('Deal maths'!H1679),N('Deal maths'!D1679))&gt;0),N('Deal maths'!F1679)+ROW()/1000000,"")</f>
        <v/>
      </c>
    </row>
    <row r="1680">
      <c r="A1680" s="91" t="n"/>
      <c r="B1680" s="111">
        <f>IF(AND(N('Deal maths'!F1680)&gt;AsAt,N('Deal maths'!E1680)&lt;=AsAt),IF(N('Deal maths'!H1680)&gt;0,N('Deal maths'!H1680),N('Deal maths'!D1680)),0)</f>
        <v/>
      </c>
      <c r="C1680" s="91">
        <f>IF(B1680&gt;0,IF('Deal maths'!C1680="Local authority","Local authorities",LOWER(TRIM('Deal maths'!B1680))),"")</f>
        <v/>
      </c>
      <c r="D1680" s="91">
        <f>IF(C1680="","",IF(COUNTIF($C$4:C1679,C1680)=0,SUMIF($C$4:$C$3997,C1680,$B$4:$B$3997)-ROW()/1000000,""))</f>
        <v/>
      </c>
      <c r="E1680" s="91">
        <f>IF(AND(N('Deal maths'!F1680)&gt;AsAt,N('Deal maths'!E1680)&lt;=AsAt,IF(N('Deal maths'!H1680)&gt;0,N('Deal maths'!H1680),N('Deal maths'!D1680))&gt;0),N('Deal maths'!F1680)+ROW()/1000000,"")</f>
        <v/>
      </c>
    </row>
    <row r="1681">
      <c r="A1681" s="91" t="n"/>
      <c r="B1681" s="111">
        <f>IF(AND(N('Deal maths'!F1681)&gt;AsAt,N('Deal maths'!E1681)&lt;=AsAt),IF(N('Deal maths'!H1681)&gt;0,N('Deal maths'!H1681),N('Deal maths'!D1681)),0)</f>
        <v/>
      </c>
      <c r="C1681" s="91">
        <f>IF(B1681&gt;0,IF('Deal maths'!C1681="Local authority","Local authorities",LOWER(TRIM('Deal maths'!B1681))),"")</f>
        <v/>
      </c>
      <c r="D1681" s="91">
        <f>IF(C1681="","",IF(COUNTIF($C$4:C1680,C1681)=0,SUMIF($C$4:$C$3997,C1681,$B$4:$B$3997)-ROW()/1000000,""))</f>
        <v/>
      </c>
      <c r="E1681" s="91">
        <f>IF(AND(N('Deal maths'!F1681)&gt;AsAt,N('Deal maths'!E1681)&lt;=AsAt,IF(N('Deal maths'!H1681)&gt;0,N('Deal maths'!H1681),N('Deal maths'!D1681))&gt;0),N('Deal maths'!F1681)+ROW()/1000000,"")</f>
        <v/>
      </c>
    </row>
    <row r="1682">
      <c r="A1682" s="91" t="n"/>
      <c r="B1682" s="111">
        <f>IF(AND(N('Deal maths'!F1682)&gt;AsAt,N('Deal maths'!E1682)&lt;=AsAt),IF(N('Deal maths'!H1682)&gt;0,N('Deal maths'!H1682),N('Deal maths'!D1682)),0)</f>
        <v/>
      </c>
      <c r="C1682" s="91">
        <f>IF(B1682&gt;0,IF('Deal maths'!C1682="Local authority","Local authorities",LOWER(TRIM('Deal maths'!B1682))),"")</f>
        <v/>
      </c>
      <c r="D1682" s="91">
        <f>IF(C1682="","",IF(COUNTIF($C$4:C1681,C1682)=0,SUMIF($C$4:$C$3997,C1682,$B$4:$B$3997)-ROW()/1000000,""))</f>
        <v/>
      </c>
      <c r="E1682" s="91">
        <f>IF(AND(N('Deal maths'!F1682)&gt;AsAt,N('Deal maths'!E1682)&lt;=AsAt,IF(N('Deal maths'!H1682)&gt;0,N('Deal maths'!H1682),N('Deal maths'!D1682))&gt;0),N('Deal maths'!F1682)+ROW()/1000000,"")</f>
        <v/>
      </c>
    </row>
    <row r="1683">
      <c r="A1683" s="91" t="n"/>
      <c r="B1683" s="111">
        <f>IF(AND(N('Deal maths'!F1683)&gt;AsAt,N('Deal maths'!E1683)&lt;=AsAt),IF(N('Deal maths'!H1683)&gt;0,N('Deal maths'!H1683),N('Deal maths'!D1683)),0)</f>
        <v/>
      </c>
      <c r="C1683" s="91">
        <f>IF(B1683&gt;0,IF('Deal maths'!C1683="Local authority","Local authorities",LOWER(TRIM('Deal maths'!B1683))),"")</f>
        <v/>
      </c>
      <c r="D1683" s="91">
        <f>IF(C1683="","",IF(COUNTIF($C$4:C1682,C1683)=0,SUMIF($C$4:$C$3997,C1683,$B$4:$B$3997)-ROW()/1000000,""))</f>
        <v/>
      </c>
      <c r="E1683" s="91">
        <f>IF(AND(N('Deal maths'!F1683)&gt;AsAt,N('Deal maths'!E1683)&lt;=AsAt,IF(N('Deal maths'!H1683)&gt;0,N('Deal maths'!H1683),N('Deal maths'!D1683))&gt;0),N('Deal maths'!F1683)+ROW()/1000000,"")</f>
        <v/>
      </c>
    </row>
    <row r="1684">
      <c r="A1684" s="91" t="n"/>
      <c r="B1684" s="111">
        <f>IF(AND(N('Deal maths'!F1684)&gt;AsAt,N('Deal maths'!E1684)&lt;=AsAt),IF(N('Deal maths'!H1684)&gt;0,N('Deal maths'!H1684),N('Deal maths'!D1684)),0)</f>
        <v/>
      </c>
      <c r="C1684" s="91">
        <f>IF(B1684&gt;0,IF('Deal maths'!C1684="Local authority","Local authorities",LOWER(TRIM('Deal maths'!B1684))),"")</f>
        <v/>
      </c>
      <c r="D1684" s="91">
        <f>IF(C1684="","",IF(COUNTIF($C$4:C1683,C1684)=0,SUMIF($C$4:$C$3997,C1684,$B$4:$B$3997)-ROW()/1000000,""))</f>
        <v/>
      </c>
      <c r="E1684" s="91">
        <f>IF(AND(N('Deal maths'!F1684)&gt;AsAt,N('Deal maths'!E1684)&lt;=AsAt,IF(N('Deal maths'!H1684)&gt;0,N('Deal maths'!H1684),N('Deal maths'!D1684))&gt;0),N('Deal maths'!F1684)+ROW()/1000000,"")</f>
        <v/>
      </c>
    </row>
    <row r="1685">
      <c r="A1685" s="91" t="n"/>
      <c r="B1685" s="111">
        <f>IF(AND(N('Deal maths'!F1685)&gt;AsAt,N('Deal maths'!E1685)&lt;=AsAt),IF(N('Deal maths'!H1685)&gt;0,N('Deal maths'!H1685),N('Deal maths'!D1685)),0)</f>
        <v/>
      </c>
      <c r="C1685" s="91">
        <f>IF(B1685&gt;0,IF('Deal maths'!C1685="Local authority","Local authorities",LOWER(TRIM('Deal maths'!B1685))),"")</f>
        <v/>
      </c>
      <c r="D1685" s="91">
        <f>IF(C1685="","",IF(COUNTIF($C$4:C1684,C1685)=0,SUMIF($C$4:$C$3997,C1685,$B$4:$B$3997)-ROW()/1000000,""))</f>
        <v/>
      </c>
      <c r="E1685" s="91">
        <f>IF(AND(N('Deal maths'!F1685)&gt;AsAt,N('Deal maths'!E1685)&lt;=AsAt,IF(N('Deal maths'!H1685)&gt;0,N('Deal maths'!H1685),N('Deal maths'!D1685))&gt;0),N('Deal maths'!F1685)+ROW()/1000000,"")</f>
        <v/>
      </c>
    </row>
    <row r="1686">
      <c r="A1686" s="91" t="n"/>
      <c r="B1686" s="111">
        <f>IF(AND(N('Deal maths'!F1686)&gt;AsAt,N('Deal maths'!E1686)&lt;=AsAt),IF(N('Deal maths'!H1686)&gt;0,N('Deal maths'!H1686),N('Deal maths'!D1686)),0)</f>
        <v/>
      </c>
      <c r="C1686" s="91">
        <f>IF(B1686&gt;0,IF('Deal maths'!C1686="Local authority","Local authorities",LOWER(TRIM('Deal maths'!B1686))),"")</f>
        <v/>
      </c>
      <c r="D1686" s="91">
        <f>IF(C1686="","",IF(COUNTIF($C$4:C1685,C1686)=0,SUMIF($C$4:$C$3997,C1686,$B$4:$B$3997)-ROW()/1000000,""))</f>
        <v/>
      </c>
      <c r="E1686" s="91">
        <f>IF(AND(N('Deal maths'!F1686)&gt;AsAt,N('Deal maths'!E1686)&lt;=AsAt,IF(N('Deal maths'!H1686)&gt;0,N('Deal maths'!H1686),N('Deal maths'!D1686))&gt;0),N('Deal maths'!F1686)+ROW()/1000000,"")</f>
        <v/>
      </c>
    </row>
    <row r="1687">
      <c r="A1687" s="91" t="n"/>
      <c r="B1687" s="111">
        <f>IF(AND(N('Deal maths'!F1687)&gt;AsAt,N('Deal maths'!E1687)&lt;=AsAt),IF(N('Deal maths'!H1687)&gt;0,N('Deal maths'!H1687),N('Deal maths'!D1687)),0)</f>
        <v/>
      </c>
      <c r="C1687" s="91">
        <f>IF(B1687&gt;0,IF('Deal maths'!C1687="Local authority","Local authorities",LOWER(TRIM('Deal maths'!B1687))),"")</f>
        <v/>
      </c>
      <c r="D1687" s="91">
        <f>IF(C1687="","",IF(COUNTIF($C$4:C1686,C1687)=0,SUMIF($C$4:$C$3997,C1687,$B$4:$B$3997)-ROW()/1000000,""))</f>
        <v/>
      </c>
      <c r="E1687" s="91">
        <f>IF(AND(N('Deal maths'!F1687)&gt;AsAt,N('Deal maths'!E1687)&lt;=AsAt,IF(N('Deal maths'!H1687)&gt;0,N('Deal maths'!H1687),N('Deal maths'!D1687))&gt;0),N('Deal maths'!F1687)+ROW()/1000000,"")</f>
        <v/>
      </c>
    </row>
    <row r="1688">
      <c r="A1688" s="91" t="n"/>
      <c r="B1688" s="111">
        <f>IF(AND(N('Deal maths'!F1688)&gt;AsAt,N('Deal maths'!E1688)&lt;=AsAt),IF(N('Deal maths'!H1688)&gt;0,N('Deal maths'!H1688),N('Deal maths'!D1688)),0)</f>
        <v/>
      </c>
      <c r="C1688" s="91">
        <f>IF(B1688&gt;0,IF('Deal maths'!C1688="Local authority","Local authorities",LOWER(TRIM('Deal maths'!B1688))),"")</f>
        <v/>
      </c>
      <c r="D1688" s="91">
        <f>IF(C1688="","",IF(COUNTIF($C$4:C1687,C1688)=0,SUMIF($C$4:$C$3997,C1688,$B$4:$B$3997)-ROW()/1000000,""))</f>
        <v/>
      </c>
      <c r="E1688" s="91">
        <f>IF(AND(N('Deal maths'!F1688)&gt;AsAt,N('Deal maths'!E1688)&lt;=AsAt,IF(N('Deal maths'!H1688)&gt;0,N('Deal maths'!H1688),N('Deal maths'!D1688))&gt;0),N('Deal maths'!F1688)+ROW()/1000000,"")</f>
        <v/>
      </c>
    </row>
    <row r="1689">
      <c r="A1689" s="91" t="n"/>
      <c r="B1689" s="111">
        <f>IF(AND(N('Deal maths'!F1689)&gt;AsAt,N('Deal maths'!E1689)&lt;=AsAt),IF(N('Deal maths'!H1689)&gt;0,N('Deal maths'!H1689),N('Deal maths'!D1689)),0)</f>
        <v/>
      </c>
      <c r="C1689" s="91">
        <f>IF(B1689&gt;0,IF('Deal maths'!C1689="Local authority","Local authorities",LOWER(TRIM('Deal maths'!B1689))),"")</f>
        <v/>
      </c>
      <c r="D1689" s="91">
        <f>IF(C1689="","",IF(COUNTIF($C$4:C1688,C1689)=0,SUMIF($C$4:$C$3997,C1689,$B$4:$B$3997)-ROW()/1000000,""))</f>
        <v/>
      </c>
      <c r="E1689" s="91">
        <f>IF(AND(N('Deal maths'!F1689)&gt;AsAt,N('Deal maths'!E1689)&lt;=AsAt,IF(N('Deal maths'!H1689)&gt;0,N('Deal maths'!H1689),N('Deal maths'!D1689))&gt;0),N('Deal maths'!F1689)+ROW()/1000000,"")</f>
        <v/>
      </c>
    </row>
    <row r="1690">
      <c r="A1690" s="91" t="n"/>
      <c r="B1690" s="111">
        <f>IF(AND(N('Deal maths'!F1690)&gt;AsAt,N('Deal maths'!E1690)&lt;=AsAt),IF(N('Deal maths'!H1690)&gt;0,N('Deal maths'!H1690),N('Deal maths'!D1690)),0)</f>
        <v/>
      </c>
      <c r="C1690" s="91">
        <f>IF(B1690&gt;0,IF('Deal maths'!C1690="Local authority","Local authorities",LOWER(TRIM('Deal maths'!B1690))),"")</f>
        <v/>
      </c>
      <c r="D1690" s="91">
        <f>IF(C1690="","",IF(COUNTIF($C$4:C1689,C1690)=0,SUMIF($C$4:$C$3997,C1690,$B$4:$B$3997)-ROW()/1000000,""))</f>
        <v/>
      </c>
      <c r="E1690" s="91">
        <f>IF(AND(N('Deal maths'!F1690)&gt;AsAt,N('Deal maths'!E1690)&lt;=AsAt,IF(N('Deal maths'!H1690)&gt;0,N('Deal maths'!H1690),N('Deal maths'!D1690))&gt;0),N('Deal maths'!F1690)+ROW()/1000000,"")</f>
        <v/>
      </c>
    </row>
    <row r="1691">
      <c r="A1691" s="91" t="n"/>
      <c r="B1691" s="111">
        <f>IF(AND(N('Deal maths'!F1691)&gt;AsAt,N('Deal maths'!E1691)&lt;=AsAt),IF(N('Deal maths'!H1691)&gt;0,N('Deal maths'!H1691),N('Deal maths'!D1691)),0)</f>
        <v/>
      </c>
      <c r="C1691" s="91">
        <f>IF(B1691&gt;0,IF('Deal maths'!C1691="Local authority","Local authorities",LOWER(TRIM('Deal maths'!B1691))),"")</f>
        <v/>
      </c>
      <c r="D1691" s="91">
        <f>IF(C1691="","",IF(COUNTIF($C$4:C1690,C1691)=0,SUMIF($C$4:$C$3997,C1691,$B$4:$B$3997)-ROW()/1000000,""))</f>
        <v/>
      </c>
      <c r="E1691" s="91">
        <f>IF(AND(N('Deal maths'!F1691)&gt;AsAt,N('Deal maths'!E1691)&lt;=AsAt,IF(N('Deal maths'!H1691)&gt;0,N('Deal maths'!H1691),N('Deal maths'!D1691))&gt;0),N('Deal maths'!F1691)+ROW()/1000000,"")</f>
        <v/>
      </c>
    </row>
    <row r="1692">
      <c r="A1692" s="91" t="n"/>
      <c r="B1692" s="111">
        <f>IF(AND(N('Deal maths'!F1692)&gt;AsAt,N('Deal maths'!E1692)&lt;=AsAt),IF(N('Deal maths'!H1692)&gt;0,N('Deal maths'!H1692),N('Deal maths'!D1692)),0)</f>
        <v/>
      </c>
      <c r="C1692" s="91">
        <f>IF(B1692&gt;0,IF('Deal maths'!C1692="Local authority","Local authorities",LOWER(TRIM('Deal maths'!B1692))),"")</f>
        <v/>
      </c>
      <c r="D1692" s="91">
        <f>IF(C1692="","",IF(COUNTIF($C$4:C1691,C1692)=0,SUMIF($C$4:$C$3997,C1692,$B$4:$B$3997)-ROW()/1000000,""))</f>
        <v/>
      </c>
      <c r="E1692" s="91">
        <f>IF(AND(N('Deal maths'!F1692)&gt;AsAt,N('Deal maths'!E1692)&lt;=AsAt,IF(N('Deal maths'!H1692)&gt;0,N('Deal maths'!H1692),N('Deal maths'!D1692))&gt;0),N('Deal maths'!F1692)+ROW()/1000000,"")</f>
        <v/>
      </c>
    </row>
    <row r="1693">
      <c r="A1693" s="91" t="n"/>
      <c r="B1693" s="111">
        <f>IF(AND(N('Deal maths'!F1693)&gt;AsAt,N('Deal maths'!E1693)&lt;=AsAt),IF(N('Deal maths'!H1693)&gt;0,N('Deal maths'!H1693),N('Deal maths'!D1693)),0)</f>
        <v/>
      </c>
      <c r="C1693" s="91">
        <f>IF(B1693&gt;0,IF('Deal maths'!C1693="Local authority","Local authorities",LOWER(TRIM('Deal maths'!B1693))),"")</f>
        <v/>
      </c>
      <c r="D1693" s="91">
        <f>IF(C1693="","",IF(COUNTIF($C$4:C1692,C1693)=0,SUMIF($C$4:$C$3997,C1693,$B$4:$B$3997)-ROW()/1000000,""))</f>
        <v/>
      </c>
      <c r="E1693" s="91">
        <f>IF(AND(N('Deal maths'!F1693)&gt;AsAt,N('Deal maths'!E1693)&lt;=AsAt,IF(N('Deal maths'!H1693)&gt;0,N('Deal maths'!H1693),N('Deal maths'!D1693))&gt;0),N('Deal maths'!F1693)+ROW()/1000000,"")</f>
        <v/>
      </c>
    </row>
    <row r="1694">
      <c r="A1694" s="91" t="n"/>
      <c r="B1694" s="111">
        <f>IF(AND(N('Deal maths'!F1694)&gt;AsAt,N('Deal maths'!E1694)&lt;=AsAt),IF(N('Deal maths'!H1694)&gt;0,N('Deal maths'!H1694),N('Deal maths'!D1694)),0)</f>
        <v/>
      </c>
      <c r="C1694" s="91">
        <f>IF(B1694&gt;0,IF('Deal maths'!C1694="Local authority","Local authorities",LOWER(TRIM('Deal maths'!B1694))),"")</f>
        <v/>
      </c>
      <c r="D1694" s="91">
        <f>IF(C1694="","",IF(COUNTIF($C$4:C1693,C1694)=0,SUMIF($C$4:$C$3997,C1694,$B$4:$B$3997)-ROW()/1000000,""))</f>
        <v/>
      </c>
      <c r="E1694" s="91">
        <f>IF(AND(N('Deal maths'!F1694)&gt;AsAt,N('Deal maths'!E1694)&lt;=AsAt,IF(N('Deal maths'!H1694)&gt;0,N('Deal maths'!H1694),N('Deal maths'!D1694))&gt;0),N('Deal maths'!F1694)+ROW()/1000000,"")</f>
        <v/>
      </c>
    </row>
    <row r="1695">
      <c r="A1695" s="91" t="n"/>
      <c r="B1695" s="111">
        <f>IF(AND(N('Deal maths'!F1695)&gt;AsAt,N('Deal maths'!E1695)&lt;=AsAt),IF(N('Deal maths'!H1695)&gt;0,N('Deal maths'!H1695),N('Deal maths'!D1695)),0)</f>
        <v/>
      </c>
      <c r="C1695" s="91">
        <f>IF(B1695&gt;0,IF('Deal maths'!C1695="Local authority","Local authorities",LOWER(TRIM('Deal maths'!B1695))),"")</f>
        <v/>
      </c>
      <c r="D1695" s="91">
        <f>IF(C1695="","",IF(COUNTIF($C$4:C1694,C1695)=0,SUMIF($C$4:$C$3997,C1695,$B$4:$B$3997)-ROW()/1000000,""))</f>
        <v/>
      </c>
      <c r="E1695" s="91">
        <f>IF(AND(N('Deal maths'!F1695)&gt;AsAt,N('Deal maths'!E1695)&lt;=AsAt,IF(N('Deal maths'!H1695)&gt;0,N('Deal maths'!H1695),N('Deal maths'!D1695))&gt;0),N('Deal maths'!F1695)+ROW()/1000000,"")</f>
        <v/>
      </c>
    </row>
    <row r="1696">
      <c r="A1696" s="91" t="n"/>
      <c r="B1696" s="111">
        <f>IF(AND(N('Deal maths'!F1696)&gt;AsAt,N('Deal maths'!E1696)&lt;=AsAt),IF(N('Deal maths'!H1696)&gt;0,N('Deal maths'!H1696),N('Deal maths'!D1696)),0)</f>
        <v/>
      </c>
      <c r="C1696" s="91">
        <f>IF(B1696&gt;0,IF('Deal maths'!C1696="Local authority","Local authorities",LOWER(TRIM('Deal maths'!B1696))),"")</f>
        <v/>
      </c>
      <c r="D1696" s="91">
        <f>IF(C1696="","",IF(COUNTIF($C$4:C1695,C1696)=0,SUMIF($C$4:$C$3997,C1696,$B$4:$B$3997)-ROW()/1000000,""))</f>
        <v/>
      </c>
      <c r="E1696" s="91">
        <f>IF(AND(N('Deal maths'!F1696)&gt;AsAt,N('Deal maths'!E1696)&lt;=AsAt,IF(N('Deal maths'!H1696)&gt;0,N('Deal maths'!H1696),N('Deal maths'!D1696))&gt;0),N('Deal maths'!F1696)+ROW()/1000000,"")</f>
        <v/>
      </c>
    </row>
    <row r="1697">
      <c r="A1697" s="91" t="n"/>
      <c r="B1697" s="111">
        <f>IF(AND(N('Deal maths'!F1697)&gt;AsAt,N('Deal maths'!E1697)&lt;=AsAt),IF(N('Deal maths'!H1697)&gt;0,N('Deal maths'!H1697),N('Deal maths'!D1697)),0)</f>
        <v/>
      </c>
      <c r="C1697" s="91">
        <f>IF(B1697&gt;0,IF('Deal maths'!C1697="Local authority","Local authorities",LOWER(TRIM('Deal maths'!B1697))),"")</f>
        <v/>
      </c>
      <c r="D1697" s="91">
        <f>IF(C1697="","",IF(COUNTIF($C$4:C1696,C1697)=0,SUMIF($C$4:$C$3997,C1697,$B$4:$B$3997)-ROW()/1000000,""))</f>
        <v/>
      </c>
      <c r="E1697" s="91">
        <f>IF(AND(N('Deal maths'!F1697)&gt;AsAt,N('Deal maths'!E1697)&lt;=AsAt,IF(N('Deal maths'!H1697)&gt;0,N('Deal maths'!H1697),N('Deal maths'!D1697))&gt;0),N('Deal maths'!F1697)+ROW()/1000000,"")</f>
        <v/>
      </c>
    </row>
    <row r="1698">
      <c r="A1698" s="91" t="n"/>
      <c r="B1698" s="111">
        <f>IF(AND(N('Deal maths'!F1698)&gt;AsAt,N('Deal maths'!E1698)&lt;=AsAt),IF(N('Deal maths'!H1698)&gt;0,N('Deal maths'!H1698),N('Deal maths'!D1698)),0)</f>
        <v/>
      </c>
      <c r="C1698" s="91">
        <f>IF(B1698&gt;0,IF('Deal maths'!C1698="Local authority","Local authorities",LOWER(TRIM('Deal maths'!B1698))),"")</f>
        <v/>
      </c>
      <c r="D1698" s="91">
        <f>IF(C1698="","",IF(COUNTIF($C$4:C1697,C1698)=0,SUMIF($C$4:$C$3997,C1698,$B$4:$B$3997)-ROW()/1000000,""))</f>
        <v/>
      </c>
      <c r="E1698" s="91">
        <f>IF(AND(N('Deal maths'!F1698)&gt;AsAt,N('Deal maths'!E1698)&lt;=AsAt,IF(N('Deal maths'!H1698)&gt;0,N('Deal maths'!H1698),N('Deal maths'!D1698))&gt;0),N('Deal maths'!F1698)+ROW()/1000000,"")</f>
        <v/>
      </c>
    </row>
    <row r="1699">
      <c r="A1699" s="91" t="n"/>
      <c r="B1699" s="111">
        <f>IF(AND(N('Deal maths'!F1699)&gt;AsAt,N('Deal maths'!E1699)&lt;=AsAt),IF(N('Deal maths'!H1699)&gt;0,N('Deal maths'!H1699),N('Deal maths'!D1699)),0)</f>
        <v/>
      </c>
      <c r="C1699" s="91">
        <f>IF(B1699&gt;0,IF('Deal maths'!C1699="Local authority","Local authorities",LOWER(TRIM('Deal maths'!B1699))),"")</f>
        <v/>
      </c>
      <c r="D1699" s="91">
        <f>IF(C1699="","",IF(COUNTIF($C$4:C1698,C1699)=0,SUMIF($C$4:$C$3997,C1699,$B$4:$B$3997)-ROW()/1000000,""))</f>
        <v/>
      </c>
      <c r="E1699" s="91">
        <f>IF(AND(N('Deal maths'!F1699)&gt;AsAt,N('Deal maths'!E1699)&lt;=AsAt,IF(N('Deal maths'!H1699)&gt;0,N('Deal maths'!H1699),N('Deal maths'!D1699))&gt;0),N('Deal maths'!F1699)+ROW()/1000000,"")</f>
        <v/>
      </c>
    </row>
    <row r="1700">
      <c r="A1700" s="91" t="n"/>
      <c r="B1700" s="111">
        <f>IF(AND(N('Deal maths'!F1700)&gt;AsAt,N('Deal maths'!E1700)&lt;=AsAt),IF(N('Deal maths'!H1700)&gt;0,N('Deal maths'!H1700),N('Deal maths'!D1700)),0)</f>
        <v/>
      </c>
      <c r="C1700" s="91">
        <f>IF(B1700&gt;0,IF('Deal maths'!C1700="Local authority","Local authorities",LOWER(TRIM('Deal maths'!B1700))),"")</f>
        <v/>
      </c>
      <c r="D1700" s="91">
        <f>IF(C1700="","",IF(COUNTIF($C$4:C1699,C1700)=0,SUMIF($C$4:$C$3997,C1700,$B$4:$B$3997)-ROW()/1000000,""))</f>
        <v/>
      </c>
      <c r="E1700" s="91">
        <f>IF(AND(N('Deal maths'!F1700)&gt;AsAt,N('Deal maths'!E1700)&lt;=AsAt,IF(N('Deal maths'!H1700)&gt;0,N('Deal maths'!H1700),N('Deal maths'!D1700))&gt;0),N('Deal maths'!F1700)+ROW()/1000000,"")</f>
        <v/>
      </c>
    </row>
    <row r="1701">
      <c r="A1701" s="91" t="n"/>
      <c r="B1701" s="111">
        <f>IF(AND(N('Deal maths'!F1701)&gt;AsAt,N('Deal maths'!E1701)&lt;=AsAt),IF(N('Deal maths'!H1701)&gt;0,N('Deal maths'!H1701),N('Deal maths'!D1701)),0)</f>
        <v/>
      </c>
      <c r="C1701" s="91">
        <f>IF(B1701&gt;0,IF('Deal maths'!C1701="Local authority","Local authorities",LOWER(TRIM('Deal maths'!B1701))),"")</f>
        <v/>
      </c>
      <c r="D1701" s="91">
        <f>IF(C1701="","",IF(COUNTIF($C$4:C1700,C1701)=0,SUMIF($C$4:$C$3997,C1701,$B$4:$B$3997)-ROW()/1000000,""))</f>
        <v/>
      </c>
      <c r="E1701" s="91">
        <f>IF(AND(N('Deal maths'!F1701)&gt;AsAt,N('Deal maths'!E1701)&lt;=AsAt,IF(N('Deal maths'!H1701)&gt;0,N('Deal maths'!H1701),N('Deal maths'!D1701))&gt;0),N('Deal maths'!F1701)+ROW()/1000000,"")</f>
        <v/>
      </c>
    </row>
    <row r="1702">
      <c r="A1702" s="91" t="n"/>
      <c r="B1702" s="111">
        <f>IF(AND(N('Deal maths'!F1702)&gt;AsAt,N('Deal maths'!E1702)&lt;=AsAt),IF(N('Deal maths'!H1702)&gt;0,N('Deal maths'!H1702),N('Deal maths'!D1702)),0)</f>
        <v/>
      </c>
      <c r="C1702" s="91">
        <f>IF(B1702&gt;0,IF('Deal maths'!C1702="Local authority","Local authorities",LOWER(TRIM('Deal maths'!B1702))),"")</f>
        <v/>
      </c>
      <c r="D1702" s="91">
        <f>IF(C1702="","",IF(COUNTIF($C$4:C1701,C1702)=0,SUMIF($C$4:$C$3997,C1702,$B$4:$B$3997)-ROW()/1000000,""))</f>
        <v/>
      </c>
      <c r="E1702" s="91">
        <f>IF(AND(N('Deal maths'!F1702)&gt;AsAt,N('Deal maths'!E1702)&lt;=AsAt,IF(N('Deal maths'!H1702)&gt;0,N('Deal maths'!H1702),N('Deal maths'!D1702))&gt;0),N('Deal maths'!F1702)+ROW()/1000000,"")</f>
        <v/>
      </c>
    </row>
    <row r="1703">
      <c r="A1703" s="91" t="n"/>
      <c r="B1703" s="111">
        <f>IF(AND(N('Deal maths'!F1703)&gt;AsAt,N('Deal maths'!E1703)&lt;=AsAt),IF(N('Deal maths'!H1703)&gt;0,N('Deal maths'!H1703),N('Deal maths'!D1703)),0)</f>
        <v/>
      </c>
      <c r="C1703" s="91">
        <f>IF(B1703&gt;0,IF('Deal maths'!C1703="Local authority","Local authorities",LOWER(TRIM('Deal maths'!B1703))),"")</f>
        <v/>
      </c>
      <c r="D1703" s="91">
        <f>IF(C1703="","",IF(COUNTIF($C$4:C1702,C1703)=0,SUMIF($C$4:$C$3997,C1703,$B$4:$B$3997)-ROW()/1000000,""))</f>
        <v/>
      </c>
      <c r="E1703" s="91">
        <f>IF(AND(N('Deal maths'!F1703)&gt;AsAt,N('Deal maths'!E1703)&lt;=AsAt,IF(N('Deal maths'!H1703)&gt;0,N('Deal maths'!H1703),N('Deal maths'!D1703))&gt;0),N('Deal maths'!F1703)+ROW()/1000000,"")</f>
        <v/>
      </c>
    </row>
    <row r="1704">
      <c r="A1704" s="91" t="n"/>
      <c r="B1704" s="111">
        <f>IF(AND(N('Deal maths'!F1704)&gt;AsAt,N('Deal maths'!E1704)&lt;=AsAt),IF(N('Deal maths'!H1704)&gt;0,N('Deal maths'!H1704),N('Deal maths'!D1704)),0)</f>
        <v/>
      </c>
      <c r="C1704" s="91">
        <f>IF(B1704&gt;0,IF('Deal maths'!C1704="Local authority","Local authorities",LOWER(TRIM('Deal maths'!B1704))),"")</f>
        <v/>
      </c>
      <c r="D1704" s="91">
        <f>IF(C1704="","",IF(COUNTIF($C$4:C1703,C1704)=0,SUMIF($C$4:$C$3997,C1704,$B$4:$B$3997)-ROW()/1000000,""))</f>
        <v/>
      </c>
      <c r="E1704" s="91">
        <f>IF(AND(N('Deal maths'!F1704)&gt;AsAt,N('Deal maths'!E1704)&lt;=AsAt,IF(N('Deal maths'!H1704)&gt;0,N('Deal maths'!H1704),N('Deal maths'!D1704))&gt;0),N('Deal maths'!F1704)+ROW()/1000000,"")</f>
        <v/>
      </c>
    </row>
    <row r="1705">
      <c r="A1705" s="91" t="n"/>
      <c r="B1705" s="111">
        <f>IF(AND(N('Deal maths'!F1705)&gt;AsAt,N('Deal maths'!E1705)&lt;=AsAt),IF(N('Deal maths'!H1705)&gt;0,N('Deal maths'!H1705),N('Deal maths'!D1705)),0)</f>
        <v/>
      </c>
      <c r="C1705" s="91">
        <f>IF(B1705&gt;0,IF('Deal maths'!C1705="Local authority","Local authorities",LOWER(TRIM('Deal maths'!B1705))),"")</f>
        <v/>
      </c>
      <c r="D1705" s="91">
        <f>IF(C1705="","",IF(COUNTIF($C$4:C1704,C1705)=0,SUMIF($C$4:$C$3997,C1705,$B$4:$B$3997)-ROW()/1000000,""))</f>
        <v/>
      </c>
      <c r="E1705" s="91">
        <f>IF(AND(N('Deal maths'!F1705)&gt;AsAt,N('Deal maths'!E1705)&lt;=AsAt,IF(N('Deal maths'!H1705)&gt;0,N('Deal maths'!H1705),N('Deal maths'!D1705))&gt;0),N('Deal maths'!F1705)+ROW()/1000000,"")</f>
        <v/>
      </c>
    </row>
    <row r="1706">
      <c r="A1706" s="91" t="n"/>
      <c r="B1706" s="111">
        <f>IF(AND(N('Deal maths'!F1706)&gt;AsAt,N('Deal maths'!E1706)&lt;=AsAt),IF(N('Deal maths'!H1706)&gt;0,N('Deal maths'!H1706),N('Deal maths'!D1706)),0)</f>
        <v/>
      </c>
      <c r="C1706" s="91">
        <f>IF(B1706&gt;0,IF('Deal maths'!C1706="Local authority","Local authorities",LOWER(TRIM('Deal maths'!B1706))),"")</f>
        <v/>
      </c>
      <c r="D1706" s="91">
        <f>IF(C1706="","",IF(COUNTIF($C$4:C1705,C1706)=0,SUMIF($C$4:$C$3997,C1706,$B$4:$B$3997)-ROW()/1000000,""))</f>
        <v/>
      </c>
      <c r="E1706" s="91">
        <f>IF(AND(N('Deal maths'!F1706)&gt;AsAt,N('Deal maths'!E1706)&lt;=AsAt,IF(N('Deal maths'!H1706)&gt;0,N('Deal maths'!H1706),N('Deal maths'!D1706))&gt;0),N('Deal maths'!F1706)+ROW()/1000000,"")</f>
        <v/>
      </c>
    </row>
    <row r="1707">
      <c r="A1707" s="91" t="n"/>
      <c r="B1707" s="111">
        <f>IF(AND(N('Deal maths'!F1707)&gt;AsAt,N('Deal maths'!E1707)&lt;=AsAt),IF(N('Deal maths'!H1707)&gt;0,N('Deal maths'!H1707),N('Deal maths'!D1707)),0)</f>
        <v/>
      </c>
      <c r="C1707" s="91">
        <f>IF(B1707&gt;0,IF('Deal maths'!C1707="Local authority","Local authorities",LOWER(TRIM('Deal maths'!B1707))),"")</f>
        <v/>
      </c>
      <c r="D1707" s="91">
        <f>IF(C1707="","",IF(COUNTIF($C$4:C1706,C1707)=0,SUMIF($C$4:$C$3997,C1707,$B$4:$B$3997)-ROW()/1000000,""))</f>
        <v/>
      </c>
      <c r="E1707" s="91">
        <f>IF(AND(N('Deal maths'!F1707)&gt;AsAt,N('Deal maths'!E1707)&lt;=AsAt,IF(N('Deal maths'!H1707)&gt;0,N('Deal maths'!H1707),N('Deal maths'!D1707))&gt;0),N('Deal maths'!F1707)+ROW()/1000000,"")</f>
        <v/>
      </c>
    </row>
    <row r="1708">
      <c r="A1708" s="91" t="n"/>
      <c r="B1708" s="111">
        <f>IF(AND(N('Deal maths'!F1708)&gt;AsAt,N('Deal maths'!E1708)&lt;=AsAt),IF(N('Deal maths'!H1708)&gt;0,N('Deal maths'!H1708),N('Deal maths'!D1708)),0)</f>
        <v/>
      </c>
      <c r="C1708" s="91">
        <f>IF(B1708&gt;0,IF('Deal maths'!C1708="Local authority","Local authorities",LOWER(TRIM('Deal maths'!B1708))),"")</f>
        <v/>
      </c>
      <c r="D1708" s="91">
        <f>IF(C1708="","",IF(COUNTIF($C$4:C1707,C1708)=0,SUMIF($C$4:$C$3997,C1708,$B$4:$B$3997)-ROW()/1000000,""))</f>
        <v/>
      </c>
      <c r="E1708" s="91">
        <f>IF(AND(N('Deal maths'!F1708)&gt;AsAt,N('Deal maths'!E1708)&lt;=AsAt,IF(N('Deal maths'!H1708)&gt;0,N('Deal maths'!H1708),N('Deal maths'!D1708))&gt;0),N('Deal maths'!F1708)+ROW()/1000000,"")</f>
        <v/>
      </c>
    </row>
    <row r="1709">
      <c r="A1709" s="91" t="n"/>
      <c r="B1709" s="111">
        <f>IF(AND(N('Deal maths'!F1709)&gt;AsAt,N('Deal maths'!E1709)&lt;=AsAt),IF(N('Deal maths'!H1709)&gt;0,N('Deal maths'!H1709),N('Deal maths'!D1709)),0)</f>
        <v/>
      </c>
      <c r="C1709" s="91">
        <f>IF(B1709&gt;0,IF('Deal maths'!C1709="Local authority","Local authorities",LOWER(TRIM('Deal maths'!B1709))),"")</f>
        <v/>
      </c>
      <c r="D1709" s="91">
        <f>IF(C1709="","",IF(COUNTIF($C$4:C1708,C1709)=0,SUMIF($C$4:$C$3997,C1709,$B$4:$B$3997)-ROW()/1000000,""))</f>
        <v/>
      </c>
      <c r="E1709" s="91">
        <f>IF(AND(N('Deal maths'!F1709)&gt;AsAt,N('Deal maths'!E1709)&lt;=AsAt,IF(N('Deal maths'!H1709)&gt;0,N('Deal maths'!H1709),N('Deal maths'!D1709))&gt;0),N('Deal maths'!F1709)+ROW()/1000000,"")</f>
        <v/>
      </c>
    </row>
    <row r="1710">
      <c r="A1710" s="91" t="n"/>
      <c r="B1710" s="111">
        <f>IF(AND(N('Deal maths'!F1710)&gt;AsAt,N('Deal maths'!E1710)&lt;=AsAt),IF(N('Deal maths'!H1710)&gt;0,N('Deal maths'!H1710),N('Deal maths'!D1710)),0)</f>
        <v/>
      </c>
      <c r="C1710" s="91">
        <f>IF(B1710&gt;0,IF('Deal maths'!C1710="Local authority","Local authorities",LOWER(TRIM('Deal maths'!B1710))),"")</f>
        <v/>
      </c>
      <c r="D1710" s="91">
        <f>IF(C1710="","",IF(COUNTIF($C$4:C1709,C1710)=0,SUMIF($C$4:$C$3997,C1710,$B$4:$B$3997)-ROW()/1000000,""))</f>
        <v/>
      </c>
      <c r="E1710" s="91">
        <f>IF(AND(N('Deal maths'!F1710)&gt;AsAt,N('Deal maths'!E1710)&lt;=AsAt,IF(N('Deal maths'!H1710)&gt;0,N('Deal maths'!H1710),N('Deal maths'!D1710))&gt;0),N('Deal maths'!F1710)+ROW()/1000000,"")</f>
        <v/>
      </c>
    </row>
    <row r="1711">
      <c r="A1711" s="91" t="n"/>
      <c r="B1711" s="111">
        <f>IF(AND(N('Deal maths'!F1711)&gt;AsAt,N('Deal maths'!E1711)&lt;=AsAt),IF(N('Deal maths'!H1711)&gt;0,N('Deal maths'!H1711),N('Deal maths'!D1711)),0)</f>
        <v/>
      </c>
      <c r="C1711" s="91">
        <f>IF(B1711&gt;0,IF('Deal maths'!C1711="Local authority","Local authorities",LOWER(TRIM('Deal maths'!B1711))),"")</f>
        <v/>
      </c>
      <c r="D1711" s="91">
        <f>IF(C1711="","",IF(COUNTIF($C$4:C1710,C1711)=0,SUMIF($C$4:$C$3997,C1711,$B$4:$B$3997)-ROW()/1000000,""))</f>
        <v/>
      </c>
      <c r="E1711" s="91">
        <f>IF(AND(N('Deal maths'!F1711)&gt;AsAt,N('Deal maths'!E1711)&lt;=AsAt,IF(N('Deal maths'!H1711)&gt;0,N('Deal maths'!H1711),N('Deal maths'!D1711))&gt;0),N('Deal maths'!F1711)+ROW()/1000000,"")</f>
        <v/>
      </c>
    </row>
    <row r="1712">
      <c r="A1712" s="91" t="n"/>
      <c r="B1712" s="111">
        <f>IF(AND(N('Deal maths'!F1712)&gt;AsAt,N('Deal maths'!E1712)&lt;=AsAt),IF(N('Deal maths'!H1712)&gt;0,N('Deal maths'!H1712),N('Deal maths'!D1712)),0)</f>
        <v/>
      </c>
      <c r="C1712" s="91">
        <f>IF(B1712&gt;0,IF('Deal maths'!C1712="Local authority","Local authorities",LOWER(TRIM('Deal maths'!B1712))),"")</f>
        <v/>
      </c>
      <c r="D1712" s="91">
        <f>IF(C1712="","",IF(COUNTIF($C$4:C1711,C1712)=0,SUMIF($C$4:$C$3997,C1712,$B$4:$B$3997)-ROW()/1000000,""))</f>
        <v/>
      </c>
      <c r="E1712" s="91">
        <f>IF(AND(N('Deal maths'!F1712)&gt;AsAt,N('Deal maths'!E1712)&lt;=AsAt,IF(N('Deal maths'!H1712)&gt;0,N('Deal maths'!H1712),N('Deal maths'!D1712))&gt;0),N('Deal maths'!F1712)+ROW()/1000000,"")</f>
        <v/>
      </c>
    </row>
    <row r="1713">
      <c r="A1713" s="91" t="n"/>
      <c r="B1713" s="111">
        <f>IF(AND(N('Deal maths'!F1713)&gt;AsAt,N('Deal maths'!E1713)&lt;=AsAt),IF(N('Deal maths'!H1713)&gt;0,N('Deal maths'!H1713),N('Deal maths'!D1713)),0)</f>
        <v/>
      </c>
      <c r="C1713" s="91">
        <f>IF(B1713&gt;0,IF('Deal maths'!C1713="Local authority","Local authorities",LOWER(TRIM('Deal maths'!B1713))),"")</f>
        <v/>
      </c>
      <c r="D1713" s="91">
        <f>IF(C1713="","",IF(COUNTIF($C$4:C1712,C1713)=0,SUMIF($C$4:$C$3997,C1713,$B$4:$B$3997)-ROW()/1000000,""))</f>
        <v/>
      </c>
      <c r="E1713" s="91">
        <f>IF(AND(N('Deal maths'!F1713)&gt;AsAt,N('Deal maths'!E1713)&lt;=AsAt,IF(N('Deal maths'!H1713)&gt;0,N('Deal maths'!H1713),N('Deal maths'!D1713))&gt;0),N('Deal maths'!F1713)+ROW()/1000000,"")</f>
        <v/>
      </c>
    </row>
    <row r="1714">
      <c r="A1714" s="91" t="n"/>
      <c r="B1714" s="111">
        <f>IF(AND(N('Deal maths'!F1714)&gt;AsAt,N('Deal maths'!E1714)&lt;=AsAt),IF(N('Deal maths'!H1714)&gt;0,N('Deal maths'!H1714),N('Deal maths'!D1714)),0)</f>
        <v/>
      </c>
      <c r="C1714" s="91">
        <f>IF(B1714&gt;0,IF('Deal maths'!C1714="Local authority","Local authorities",LOWER(TRIM('Deal maths'!B1714))),"")</f>
        <v/>
      </c>
      <c r="D1714" s="91">
        <f>IF(C1714="","",IF(COUNTIF($C$4:C1713,C1714)=0,SUMIF($C$4:$C$3997,C1714,$B$4:$B$3997)-ROW()/1000000,""))</f>
        <v/>
      </c>
      <c r="E1714" s="91">
        <f>IF(AND(N('Deal maths'!F1714)&gt;AsAt,N('Deal maths'!E1714)&lt;=AsAt,IF(N('Deal maths'!H1714)&gt;0,N('Deal maths'!H1714),N('Deal maths'!D1714))&gt;0),N('Deal maths'!F1714)+ROW()/1000000,"")</f>
        <v/>
      </c>
    </row>
    <row r="1715">
      <c r="A1715" s="91" t="n"/>
      <c r="B1715" s="111">
        <f>IF(AND(N('Deal maths'!F1715)&gt;AsAt,N('Deal maths'!E1715)&lt;=AsAt),IF(N('Deal maths'!H1715)&gt;0,N('Deal maths'!H1715),N('Deal maths'!D1715)),0)</f>
        <v/>
      </c>
      <c r="C1715" s="91">
        <f>IF(B1715&gt;0,IF('Deal maths'!C1715="Local authority","Local authorities",LOWER(TRIM('Deal maths'!B1715))),"")</f>
        <v/>
      </c>
      <c r="D1715" s="91">
        <f>IF(C1715="","",IF(COUNTIF($C$4:C1714,C1715)=0,SUMIF($C$4:$C$3997,C1715,$B$4:$B$3997)-ROW()/1000000,""))</f>
        <v/>
      </c>
      <c r="E1715" s="91">
        <f>IF(AND(N('Deal maths'!F1715)&gt;AsAt,N('Deal maths'!E1715)&lt;=AsAt,IF(N('Deal maths'!H1715)&gt;0,N('Deal maths'!H1715),N('Deal maths'!D1715))&gt;0),N('Deal maths'!F1715)+ROW()/1000000,"")</f>
        <v/>
      </c>
    </row>
    <row r="1716">
      <c r="A1716" s="91" t="n"/>
      <c r="B1716" s="111">
        <f>IF(AND(N('Deal maths'!F1716)&gt;AsAt,N('Deal maths'!E1716)&lt;=AsAt),IF(N('Deal maths'!H1716)&gt;0,N('Deal maths'!H1716),N('Deal maths'!D1716)),0)</f>
        <v/>
      </c>
      <c r="C1716" s="91">
        <f>IF(B1716&gt;0,IF('Deal maths'!C1716="Local authority","Local authorities",LOWER(TRIM('Deal maths'!B1716))),"")</f>
        <v/>
      </c>
      <c r="D1716" s="91">
        <f>IF(C1716="","",IF(COUNTIF($C$4:C1715,C1716)=0,SUMIF($C$4:$C$3997,C1716,$B$4:$B$3997)-ROW()/1000000,""))</f>
        <v/>
      </c>
      <c r="E1716" s="91">
        <f>IF(AND(N('Deal maths'!F1716)&gt;AsAt,N('Deal maths'!E1716)&lt;=AsAt,IF(N('Deal maths'!H1716)&gt;0,N('Deal maths'!H1716),N('Deal maths'!D1716))&gt;0),N('Deal maths'!F1716)+ROW()/1000000,"")</f>
        <v/>
      </c>
    </row>
    <row r="1717">
      <c r="A1717" s="91" t="n"/>
      <c r="B1717" s="111">
        <f>IF(AND(N('Deal maths'!F1717)&gt;AsAt,N('Deal maths'!E1717)&lt;=AsAt),IF(N('Deal maths'!H1717)&gt;0,N('Deal maths'!H1717),N('Deal maths'!D1717)),0)</f>
        <v/>
      </c>
      <c r="C1717" s="91">
        <f>IF(B1717&gt;0,IF('Deal maths'!C1717="Local authority","Local authorities",LOWER(TRIM('Deal maths'!B1717))),"")</f>
        <v/>
      </c>
      <c r="D1717" s="91">
        <f>IF(C1717="","",IF(COUNTIF($C$4:C1716,C1717)=0,SUMIF($C$4:$C$3997,C1717,$B$4:$B$3997)-ROW()/1000000,""))</f>
        <v/>
      </c>
      <c r="E1717" s="91">
        <f>IF(AND(N('Deal maths'!F1717)&gt;AsAt,N('Deal maths'!E1717)&lt;=AsAt,IF(N('Deal maths'!H1717)&gt;0,N('Deal maths'!H1717),N('Deal maths'!D1717))&gt;0),N('Deal maths'!F1717)+ROW()/1000000,"")</f>
        <v/>
      </c>
    </row>
    <row r="1718">
      <c r="A1718" s="91" t="n"/>
      <c r="B1718" s="111">
        <f>IF(AND(N('Deal maths'!F1718)&gt;AsAt,N('Deal maths'!E1718)&lt;=AsAt),IF(N('Deal maths'!H1718)&gt;0,N('Deal maths'!H1718),N('Deal maths'!D1718)),0)</f>
        <v/>
      </c>
      <c r="C1718" s="91">
        <f>IF(B1718&gt;0,IF('Deal maths'!C1718="Local authority","Local authorities",LOWER(TRIM('Deal maths'!B1718))),"")</f>
        <v/>
      </c>
      <c r="D1718" s="91">
        <f>IF(C1718="","",IF(COUNTIF($C$4:C1717,C1718)=0,SUMIF($C$4:$C$3997,C1718,$B$4:$B$3997)-ROW()/1000000,""))</f>
        <v/>
      </c>
      <c r="E1718" s="91">
        <f>IF(AND(N('Deal maths'!F1718)&gt;AsAt,N('Deal maths'!E1718)&lt;=AsAt,IF(N('Deal maths'!H1718)&gt;0,N('Deal maths'!H1718),N('Deal maths'!D1718))&gt;0),N('Deal maths'!F1718)+ROW()/1000000,"")</f>
        <v/>
      </c>
    </row>
    <row r="1719">
      <c r="A1719" s="91" t="n"/>
      <c r="B1719" s="111">
        <f>IF(AND(N('Deal maths'!F1719)&gt;AsAt,N('Deal maths'!E1719)&lt;=AsAt),IF(N('Deal maths'!H1719)&gt;0,N('Deal maths'!H1719),N('Deal maths'!D1719)),0)</f>
        <v/>
      </c>
      <c r="C1719" s="91">
        <f>IF(B1719&gt;0,IF('Deal maths'!C1719="Local authority","Local authorities",LOWER(TRIM('Deal maths'!B1719))),"")</f>
        <v/>
      </c>
      <c r="D1719" s="91">
        <f>IF(C1719="","",IF(COUNTIF($C$4:C1718,C1719)=0,SUMIF($C$4:$C$3997,C1719,$B$4:$B$3997)-ROW()/1000000,""))</f>
        <v/>
      </c>
      <c r="E1719" s="91">
        <f>IF(AND(N('Deal maths'!F1719)&gt;AsAt,N('Deal maths'!E1719)&lt;=AsAt,IF(N('Deal maths'!H1719)&gt;0,N('Deal maths'!H1719),N('Deal maths'!D1719))&gt;0),N('Deal maths'!F1719)+ROW()/1000000,"")</f>
        <v/>
      </c>
    </row>
    <row r="1720">
      <c r="A1720" s="91" t="n"/>
      <c r="B1720" s="111">
        <f>IF(AND(N('Deal maths'!F1720)&gt;AsAt,N('Deal maths'!E1720)&lt;=AsAt),IF(N('Deal maths'!H1720)&gt;0,N('Deal maths'!H1720),N('Deal maths'!D1720)),0)</f>
        <v/>
      </c>
      <c r="C1720" s="91">
        <f>IF(B1720&gt;0,IF('Deal maths'!C1720="Local authority","Local authorities",LOWER(TRIM('Deal maths'!B1720))),"")</f>
        <v/>
      </c>
      <c r="D1720" s="91">
        <f>IF(C1720="","",IF(COUNTIF($C$4:C1719,C1720)=0,SUMIF($C$4:$C$3997,C1720,$B$4:$B$3997)-ROW()/1000000,""))</f>
        <v/>
      </c>
      <c r="E1720" s="91">
        <f>IF(AND(N('Deal maths'!F1720)&gt;AsAt,N('Deal maths'!E1720)&lt;=AsAt,IF(N('Deal maths'!H1720)&gt;0,N('Deal maths'!H1720),N('Deal maths'!D1720))&gt;0),N('Deal maths'!F1720)+ROW()/1000000,"")</f>
        <v/>
      </c>
    </row>
    <row r="1721">
      <c r="A1721" s="91" t="n"/>
      <c r="B1721" s="111">
        <f>IF(AND(N('Deal maths'!F1721)&gt;AsAt,N('Deal maths'!E1721)&lt;=AsAt),IF(N('Deal maths'!H1721)&gt;0,N('Deal maths'!H1721),N('Deal maths'!D1721)),0)</f>
        <v/>
      </c>
      <c r="C1721" s="91">
        <f>IF(B1721&gt;0,IF('Deal maths'!C1721="Local authority","Local authorities",LOWER(TRIM('Deal maths'!B1721))),"")</f>
        <v/>
      </c>
      <c r="D1721" s="91">
        <f>IF(C1721="","",IF(COUNTIF($C$4:C1720,C1721)=0,SUMIF($C$4:$C$3997,C1721,$B$4:$B$3997)-ROW()/1000000,""))</f>
        <v/>
      </c>
      <c r="E1721" s="91">
        <f>IF(AND(N('Deal maths'!F1721)&gt;AsAt,N('Deal maths'!E1721)&lt;=AsAt,IF(N('Deal maths'!H1721)&gt;0,N('Deal maths'!H1721),N('Deal maths'!D1721))&gt;0),N('Deal maths'!F1721)+ROW()/1000000,"")</f>
        <v/>
      </c>
    </row>
    <row r="1722">
      <c r="A1722" s="91" t="n"/>
      <c r="B1722" s="111">
        <f>IF(AND(N('Deal maths'!F1722)&gt;AsAt,N('Deal maths'!E1722)&lt;=AsAt),IF(N('Deal maths'!H1722)&gt;0,N('Deal maths'!H1722),N('Deal maths'!D1722)),0)</f>
        <v/>
      </c>
      <c r="C1722" s="91">
        <f>IF(B1722&gt;0,IF('Deal maths'!C1722="Local authority","Local authorities",LOWER(TRIM('Deal maths'!B1722))),"")</f>
        <v/>
      </c>
      <c r="D1722" s="91">
        <f>IF(C1722="","",IF(COUNTIF($C$4:C1721,C1722)=0,SUMIF($C$4:$C$3997,C1722,$B$4:$B$3997)-ROW()/1000000,""))</f>
        <v/>
      </c>
      <c r="E1722" s="91">
        <f>IF(AND(N('Deal maths'!F1722)&gt;AsAt,N('Deal maths'!E1722)&lt;=AsAt,IF(N('Deal maths'!H1722)&gt;0,N('Deal maths'!H1722),N('Deal maths'!D1722))&gt;0),N('Deal maths'!F1722)+ROW()/1000000,"")</f>
        <v/>
      </c>
    </row>
    <row r="1723">
      <c r="A1723" s="91" t="n"/>
      <c r="B1723" s="111">
        <f>IF(AND(N('Deal maths'!F1723)&gt;AsAt,N('Deal maths'!E1723)&lt;=AsAt),IF(N('Deal maths'!H1723)&gt;0,N('Deal maths'!H1723),N('Deal maths'!D1723)),0)</f>
        <v/>
      </c>
      <c r="C1723" s="91">
        <f>IF(B1723&gt;0,IF('Deal maths'!C1723="Local authority","Local authorities",LOWER(TRIM('Deal maths'!B1723))),"")</f>
        <v/>
      </c>
      <c r="D1723" s="91">
        <f>IF(C1723="","",IF(COUNTIF($C$4:C1722,C1723)=0,SUMIF($C$4:$C$3997,C1723,$B$4:$B$3997)-ROW()/1000000,""))</f>
        <v/>
      </c>
      <c r="E1723" s="91">
        <f>IF(AND(N('Deal maths'!F1723)&gt;AsAt,N('Deal maths'!E1723)&lt;=AsAt,IF(N('Deal maths'!H1723)&gt;0,N('Deal maths'!H1723),N('Deal maths'!D1723))&gt;0),N('Deal maths'!F1723)+ROW()/1000000,"")</f>
        <v/>
      </c>
    </row>
    <row r="1724">
      <c r="A1724" s="91" t="n"/>
      <c r="B1724" s="111">
        <f>IF(AND(N('Deal maths'!F1724)&gt;AsAt,N('Deal maths'!E1724)&lt;=AsAt),IF(N('Deal maths'!H1724)&gt;0,N('Deal maths'!H1724),N('Deal maths'!D1724)),0)</f>
        <v/>
      </c>
      <c r="C1724" s="91">
        <f>IF(B1724&gt;0,IF('Deal maths'!C1724="Local authority","Local authorities",LOWER(TRIM('Deal maths'!B1724))),"")</f>
        <v/>
      </c>
      <c r="D1724" s="91">
        <f>IF(C1724="","",IF(COUNTIF($C$4:C1723,C1724)=0,SUMIF($C$4:$C$3997,C1724,$B$4:$B$3997)-ROW()/1000000,""))</f>
        <v/>
      </c>
      <c r="E1724" s="91">
        <f>IF(AND(N('Deal maths'!F1724)&gt;AsAt,N('Deal maths'!E1724)&lt;=AsAt,IF(N('Deal maths'!H1724)&gt;0,N('Deal maths'!H1724),N('Deal maths'!D1724))&gt;0),N('Deal maths'!F1724)+ROW()/1000000,"")</f>
        <v/>
      </c>
    </row>
    <row r="1725">
      <c r="A1725" s="91" t="n"/>
      <c r="B1725" s="111">
        <f>IF(AND(N('Deal maths'!F1725)&gt;AsAt,N('Deal maths'!E1725)&lt;=AsAt),IF(N('Deal maths'!H1725)&gt;0,N('Deal maths'!H1725),N('Deal maths'!D1725)),0)</f>
        <v/>
      </c>
      <c r="C1725" s="91">
        <f>IF(B1725&gt;0,IF('Deal maths'!C1725="Local authority","Local authorities",LOWER(TRIM('Deal maths'!B1725))),"")</f>
        <v/>
      </c>
      <c r="D1725" s="91">
        <f>IF(C1725="","",IF(COUNTIF($C$4:C1724,C1725)=0,SUMIF($C$4:$C$3997,C1725,$B$4:$B$3997)-ROW()/1000000,""))</f>
        <v/>
      </c>
      <c r="E1725" s="91">
        <f>IF(AND(N('Deal maths'!F1725)&gt;AsAt,N('Deal maths'!E1725)&lt;=AsAt,IF(N('Deal maths'!H1725)&gt;0,N('Deal maths'!H1725),N('Deal maths'!D1725))&gt;0),N('Deal maths'!F1725)+ROW()/1000000,"")</f>
        <v/>
      </c>
    </row>
    <row r="1726">
      <c r="A1726" s="91" t="n"/>
      <c r="B1726" s="111">
        <f>IF(AND(N('Deal maths'!F1726)&gt;AsAt,N('Deal maths'!E1726)&lt;=AsAt),IF(N('Deal maths'!H1726)&gt;0,N('Deal maths'!H1726),N('Deal maths'!D1726)),0)</f>
        <v/>
      </c>
      <c r="C1726" s="91">
        <f>IF(B1726&gt;0,IF('Deal maths'!C1726="Local authority","Local authorities",LOWER(TRIM('Deal maths'!B1726))),"")</f>
        <v/>
      </c>
      <c r="D1726" s="91">
        <f>IF(C1726="","",IF(COUNTIF($C$4:C1725,C1726)=0,SUMIF($C$4:$C$3997,C1726,$B$4:$B$3997)-ROW()/1000000,""))</f>
        <v/>
      </c>
      <c r="E1726" s="91">
        <f>IF(AND(N('Deal maths'!F1726)&gt;AsAt,N('Deal maths'!E1726)&lt;=AsAt,IF(N('Deal maths'!H1726)&gt;0,N('Deal maths'!H1726),N('Deal maths'!D1726))&gt;0),N('Deal maths'!F1726)+ROW()/1000000,"")</f>
        <v/>
      </c>
    </row>
    <row r="1727">
      <c r="A1727" s="91" t="n"/>
      <c r="B1727" s="111">
        <f>IF(AND(N('Deal maths'!F1727)&gt;AsAt,N('Deal maths'!E1727)&lt;=AsAt),IF(N('Deal maths'!H1727)&gt;0,N('Deal maths'!H1727),N('Deal maths'!D1727)),0)</f>
        <v/>
      </c>
      <c r="C1727" s="91">
        <f>IF(B1727&gt;0,IF('Deal maths'!C1727="Local authority","Local authorities",LOWER(TRIM('Deal maths'!B1727))),"")</f>
        <v/>
      </c>
      <c r="D1727" s="91">
        <f>IF(C1727="","",IF(COUNTIF($C$4:C1726,C1727)=0,SUMIF($C$4:$C$3997,C1727,$B$4:$B$3997)-ROW()/1000000,""))</f>
        <v/>
      </c>
      <c r="E1727" s="91">
        <f>IF(AND(N('Deal maths'!F1727)&gt;AsAt,N('Deal maths'!E1727)&lt;=AsAt,IF(N('Deal maths'!H1727)&gt;0,N('Deal maths'!H1727),N('Deal maths'!D1727))&gt;0),N('Deal maths'!F1727)+ROW()/1000000,"")</f>
        <v/>
      </c>
    </row>
    <row r="1728">
      <c r="A1728" s="91" t="n"/>
      <c r="B1728" s="111">
        <f>IF(AND(N('Deal maths'!F1728)&gt;AsAt,N('Deal maths'!E1728)&lt;=AsAt),IF(N('Deal maths'!H1728)&gt;0,N('Deal maths'!H1728),N('Deal maths'!D1728)),0)</f>
        <v/>
      </c>
      <c r="C1728" s="91">
        <f>IF(B1728&gt;0,IF('Deal maths'!C1728="Local authority","Local authorities",LOWER(TRIM('Deal maths'!B1728))),"")</f>
        <v/>
      </c>
      <c r="D1728" s="91">
        <f>IF(C1728="","",IF(COUNTIF($C$4:C1727,C1728)=0,SUMIF($C$4:$C$3997,C1728,$B$4:$B$3997)-ROW()/1000000,""))</f>
        <v/>
      </c>
      <c r="E1728" s="91">
        <f>IF(AND(N('Deal maths'!F1728)&gt;AsAt,N('Deal maths'!E1728)&lt;=AsAt,IF(N('Deal maths'!H1728)&gt;0,N('Deal maths'!H1728),N('Deal maths'!D1728))&gt;0),N('Deal maths'!F1728)+ROW()/1000000,"")</f>
        <v/>
      </c>
    </row>
    <row r="1729">
      <c r="A1729" s="91" t="n"/>
      <c r="B1729" s="111">
        <f>IF(AND(N('Deal maths'!F1729)&gt;AsAt,N('Deal maths'!E1729)&lt;=AsAt),IF(N('Deal maths'!H1729)&gt;0,N('Deal maths'!H1729),N('Deal maths'!D1729)),0)</f>
        <v/>
      </c>
      <c r="C1729" s="91">
        <f>IF(B1729&gt;0,IF('Deal maths'!C1729="Local authority","Local authorities",LOWER(TRIM('Deal maths'!B1729))),"")</f>
        <v/>
      </c>
      <c r="D1729" s="91">
        <f>IF(C1729="","",IF(COUNTIF($C$4:C1728,C1729)=0,SUMIF($C$4:$C$3997,C1729,$B$4:$B$3997)-ROW()/1000000,""))</f>
        <v/>
      </c>
      <c r="E1729" s="91">
        <f>IF(AND(N('Deal maths'!F1729)&gt;AsAt,N('Deal maths'!E1729)&lt;=AsAt,IF(N('Deal maths'!H1729)&gt;0,N('Deal maths'!H1729),N('Deal maths'!D1729))&gt;0),N('Deal maths'!F1729)+ROW()/1000000,"")</f>
        <v/>
      </c>
    </row>
    <row r="1730">
      <c r="A1730" s="91" t="n"/>
      <c r="B1730" s="111">
        <f>IF(AND(N('Deal maths'!F1730)&gt;AsAt,N('Deal maths'!E1730)&lt;=AsAt),IF(N('Deal maths'!H1730)&gt;0,N('Deal maths'!H1730),N('Deal maths'!D1730)),0)</f>
        <v/>
      </c>
      <c r="C1730" s="91">
        <f>IF(B1730&gt;0,IF('Deal maths'!C1730="Local authority","Local authorities",LOWER(TRIM('Deal maths'!B1730))),"")</f>
        <v/>
      </c>
      <c r="D1730" s="91">
        <f>IF(C1730="","",IF(COUNTIF($C$4:C1729,C1730)=0,SUMIF($C$4:$C$3997,C1730,$B$4:$B$3997)-ROW()/1000000,""))</f>
        <v/>
      </c>
      <c r="E1730" s="91">
        <f>IF(AND(N('Deal maths'!F1730)&gt;AsAt,N('Deal maths'!E1730)&lt;=AsAt,IF(N('Deal maths'!H1730)&gt;0,N('Deal maths'!H1730),N('Deal maths'!D1730))&gt;0),N('Deal maths'!F1730)+ROW()/1000000,"")</f>
        <v/>
      </c>
    </row>
    <row r="1731">
      <c r="A1731" s="91" t="n"/>
      <c r="B1731" s="111">
        <f>IF(AND(N('Deal maths'!F1731)&gt;AsAt,N('Deal maths'!E1731)&lt;=AsAt),IF(N('Deal maths'!H1731)&gt;0,N('Deal maths'!H1731),N('Deal maths'!D1731)),0)</f>
        <v/>
      </c>
      <c r="C1731" s="91">
        <f>IF(B1731&gt;0,IF('Deal maths'!C1731="Local authority","Local authorities",LOWER(TRIM('Deal maths'!B1731))),"")</f>
        <v/>
      </c>
      <c r="D1731" s="91">
        <f>IF(C1731="","",IF(COUNTIF($C$4:C1730,C1731)=0,SUMIF($C$4:$C$3997,C1731,$B$4:$B$3997)-ROW()/1000000,""))</f>
        <v/>
      </c>
      <c r="E1731" s="91">
        <f>IF(AND(N('Deal maths'!F1731)&gt;AsAt,N('Deal maths'!E1731)&lt;=AsAt,IF(N('Deal maths'!H1731)&gt;0,N('Deal maths'!H1731),N('Deal maths'!D1731))&gt;0),N('Deal maths'!F1731)+ROW()/1000000,"")</f>
        <v/>
      </c>
    </row>
    <row r="1732">
      <c r="A1732" s="91" t="n"/>
      <c r="B1732" s="111">
        <f>IF(AND(N('Deal maths'!F1732)&gt;AsAt,N('Deal maths'!E1732)&lt;=AsAt),IF(N('Deal maths'!H1732)&gt;0,N('Deal maths'!H1732),N('Deal maths'!D1732)),0)</f>
        <v/>
      </c>
      <c r="C1732" s="91">
        <f>IF(B1732&gt;0,IF('Deal maths'!C1732="Local authority","Local authorities",LOWER(TRIM('Deal maths'!B1732))),"")</f>
        <v/>
      </c>
      <c r="D1732" s="91">
        <f>IF(C1732="","",IF(COUNTIF($C$4:C1731,C1732)=0,SUMIF($C$4:$C$3997,C1732,$B$4:$B$3997)-ROW()/1000000,""))</f>
        <v/>
      </c>
      <c r="E1732" s="91">
        <f>IF(AND(N('Deal maths'!F1732)&gt;AsAt,N('Deal maths'!E1732)&lt;=AsAt,IF(N('Deal maths'!H1732)&gt;0,N('Deal maths'!H1732),N('Deal maths'!D1732))&gt;0),N('Deal maths'!F1732)+ROW()/1000000,"")</f>
        <v/>
      </c>
    </row>
    <row r="1733">
      <c r="A1733" s="91" t="n"/>
      <c r="B1733" s="111">
        <f>IF(AND(N('Deal maths'!F1733)&gt;AsAt,N('Deal maths'!E1733)&lt;=AsAt),IF(N('Deal maths'!H1733)&gt;0,N('Deal maths'!H1733),N('Deal maths'!D1733)),0)</f>
        <v/>
      </c>
      <c r="C1733" s="91">
        <f>IF(B1733&gt;0,IF('Deal maths'!C1733="Local authority","Local authorities",LOWER(TRIM('Deal maths'!B1733))),"")</f>
        <v/>
      </c>
      <c r="D1733" s="91">
        <f>IF(C1733="","",IF(COUNTIF($C$4:C1732,C1733)=0,SUMIF($C$4:$C$3997,C1733,$B$4:$B$3997)-ROW()/1000000,""))</f>
        <v/>
      </c>
      <c r="E1733" s="91">
        <f>IF(AND(N('Deal maths'!F1733)&gt;AsAt,N('Deal maths'!E1733)&lt;=AsAt,IF(N('Deal maths'!H1733)&gt;0,N('Deal maths'!H1733),N('Deal maths'!D1733))&gt;0),N('Deal maths'!F1733)+ROW()/1000000,"")</f>
        <v/>
      </c>
    </row>
    <row r="1734">
      <c r="A1734" s="91" t="n"/>
      <c r="B1734" s="111">
        <f>IF(AND(N('Deal maths'!F1734)&gt;AsAt,N('Deal maths'!E1734)&lt;=AsAt),IF(N('Deal maths'!H1734)&gt;0,N('Deal maths'!H1734),N('Deal maths'!D1734)),0)</f>
        <v/>
      </c>
      <c r="C1734" s="91">
        <f>IF(B1734&gt;0,IF('Deal maths'!C1734="Local authority","Local authorities",LOWER(TRIM('Deal maths'!B1734))),"")</f>
        <v/>
      </c>
      <c r="D1734" s="91">
        <f>IF(C1734="","",IF(COUNTIF($C$4:C1733,C1734)=0,SUMIF($C$4:$C$3997,C1734,$B$4:$B$3997)-ROW()/1000000,""))</f>
        <v/>
      </c>
      <c r="E1734" s="91">
        <f>IF(AND(N('Deal maths'!F1734)&gt;AsAt,N('Deal maths'!E1734)&lt;=AsAt,IF(N('Deal maths'!H1734)&gt;0,N('Deal maths'!H1734),N('Deal maths'!D1734))&gt;0),N('Deal maths'!F1734)+ROW()/1000000,"")</f>
        <v/>
      </c>
    </row>
    <row r="1735">
      <c r="A1735" s="91" t="n"/>
      <c r="B1735" s="111">
        <f>IF(AND(N('Deal maths'!F1735)&gt;AsAt,N('Deal maths'!E1735)&lt;=AsAt),IF(N('Deal maths'!H1735)&gt;0,N('Deal maths'!H1735),N('Deal maths'!D1735)),0)</f>
        <v/>
      </c>
      <c r="C1735" s="91">
        <f>IF(B1735&gt;0,IF('Deal maths'!C1735="Local authority","Local authorities",LOWER(TRIM('Deal maths'!B1735))),"")</f>
        <v/>
      </c>
      <c r="D1735" s="91">
        <f>IF(C1735="","",IF(COUNTIF($C$4:C1734,C1735)=0,SUMIF($C$4:$C$3997,C1735,$B$4:$B$3997)-ROW()/1000000,""))</f>
        <v/>
      </c>
      <c r="E1735" s="91">
        <f>IF(AND(N('Deal maths'!F1735)&gt;AsAt,N('Deal maths'!E1735)&lt;=AsAt,IF(N('Deal maths'!H1735)&gt;0,N('Deal maths'!H1735),N('Deal maths'!D1735))&gt;0),N('Deal maths'!F1735)+ROW()/1000000,"")</f>
        <v/>
      </c>
    </row>
    <row r="1736">
      <c r="A1736" s="91" t="n"/>
      <c r="B1736" s="111">
        <f>IF(AND(N('Deal maths'!F1736)&gt;AsAt,N('Deal maths'!E1736)&lt;=AsAt),IF(N('Deal maths'!H1736)&gt;0,N('Deal maths'!H1736),N('Deal maths'!D1736)),0)</f>
        <v/>
      </c>
      <c r="C1736" s="91">
        <f>IF(B1736&gt;0,IF('Deal maths'!C1736="Local authority","Local authorities",LOWER(TRIM('Deal maths'!B1736))),"")</f>
        <v/>
      </c>
      <c r="D1736" s="91">
        <f>IF(C1736="","",IF(COUNTIF($C$4:C1735,C1736)=0,SUMIF($C$4:$C$3997,C1736,$B$4:$B$3997)-ROW()/1000000,""))</f>
        <v/>
      </c>
      <c r="E1736" s="91">
        <f>IF(AND(N('Deal maths'!F1736)&gt;AsAt,N('Deal maths'!E1736)&lt;=AsAt,IF(N('Deal maths'!H1736)&gt;0,N('Deal maths'!H1736),N('Deal maths'!D1736))&gt;0),N('Deal maths'!F1736)+ROW()/1000000,"")</f>
        <v/>
      </c>
    </row>
    <row r="1737">
      <c r="A1737" s="91" t="n"/>
      <c r="B1737" s="111">
        <f>IF(AND(N('Deal maths'!F1737)&gt;AsAt,N('Deal maths'!E1737)&lt;=AsAt),IF(N('Deal maths'!H1737)&gt;0,N('Deal maths'!H1737),N('Deal maths'!D1737)),0)</f>
        <v/>
      </c>
      <c r="C1737" s="91">
        <f>IF(B1737&gt;0,IF('Deal maths'!C1737="Local authority","Local authorities",LOWER(TRIM('Deal maths'!B1737))),"")</f>
        <v/>
      </c>
      <c r="D1737" s="91">
        <f>IF(C1737="","",IF(COUNTIF($C$4:C1736,C1737)=0,SUMIF($C$4:$C$3997,C1737,$B$4:$B$3997)-ROW()/1000000,""))</f>
        <v/>
      </c>
      <c r="E1737" s="91">
        <f>IF(AND(N('Deal maths'!F1737)&gt;AsAt,N('Deal maths'!E1737)&lt;=AsAt,IF(N('Deal maths'!H1737)&gt;0,N('Deal maths'!H1737),N('Deal maths'!D1737))&gt;0),N('Deal maths'!F1737)+ROW()/1000000,"")</f>
        <v/>
      </c>
    </row>
    <row r="1738">
      <c r="A1738" s="91" t="n"/>
      <c r="B1738" s="111">
        <f>IF(AND(N('Deal maths'!F1738)&gt;AsAt,N('Deal maths'!E1738)&lt;=AsAt),IF(N('Deal maths'!H1738)&gt;0,N('Deal maths'!H1738),N('Deal maths'!D1738)),0)</f>
        <v/>
      </c>
      <c r="C1738" s="91">
        <f>IF(B1738&gt;0,IF('Deal maths'!C1738="Local authority","Local authorities",LOWER(TRIM('Deal maths'!B1738))),"")</f>
        <v/>
      </c>
      <c r="D1738" s="91">
        <f>IF(C1738="","",IF(COUNTIF($C$4:C1737,C1738)=0,SUMIF($C$4:$C$3997,C1738,$B$4:$B$3997)-ROW()/1000000,""))</f>
        <v/>
      </c>
      <c r="E1738" s="91">
        <f>IF(AND(N('Deal maths'!F1738)&gt;AsAt,N('Deal maths'!E1738)&lt;=AsAt,IF(N('Deal maths'!H1738)&gt;0,N('Deal maths'!H1738),N('Deal maths'!D1738))&gt;0),N('Deal maths'!F1738)+ROW()/1000000,"")</f>
        <v/>
      </c>
    </row>
    <row r="1739">
      <c r="A1739" s="91" t="n"/>
      <c r="B1739" s="111">
        <f>IF(AND(N('Deal maths'!F1739)&gt;AsAt,N('Deal maths'!E1739)&lt;=AsAt),IF(N('Deal maths'!H1739)&gt;0,N('Deal maths'!H1739),N('Deal maths'!D1739)),0)</f>
        <v/>
      </c>
      <c r="C1739" s="91">
        <f>IF(B1739&gt;0,IF('Deal maths'!C1739="Local authority","Local authorities",LOWER(TRIM('Deal maths'!B1739))),"")</f>
        <v/>
      </c>
      <c r="D1739" s="91">
        <f>IF(C1739="","",IF(COUNTIF($C$4:C1738,C1739)=0,SUMIF($C$4:$C$3997,C1739,$B$4:$B$3997)-ROW()/1000000,""))</f>
        <v/>
      </c>
      <c r="E1739" s="91">
        <f>IF(AND(N('Deal maths'!F1739)&gt;AsAt,N('Deal maths'!E1739)&lt;=AsAt,IF(N('Deal maths'!H1739)&gt;0,N('Deal maths'!H1739),N('Deal maths'!D1739))&gt;0),N('Deal maths'!F1739)+ROW()/1000000,"")</f>
        <v/>
      </c>
    </row>
    <row r="1740">
      <c r="A1740" s="91" t="n"/>
      <c r="B1740" s="111">
        <f>IF(AND(N('Deal maths'!F1740)&gt;AsAt,N('Deal maths'!E1740)&lt;=AsAt),IF(N('Deal maths'!H1740)&gt;0,N('Deal maths'!H1740),N('Deal maths'!D1740)),0)</f>
        <v/>
      </c>
      <c r="C1740" s="91">
        <f>IF(B1740&gt;0,IF('Deal maths'!C1740="Local authority","Local authorities",LOWER(TRIM('Deal maths'!B1740))),"")</f>
        <v/>
      </c>
      <c r="D1740" s="91">
        <f>IF(C1740="","",IF(COUNTIF($C$4:C1739,C1740)=0,SUMIF($C$4:$C$3997,C1740,$B$4:$B$3997)-ROW()/1000000,""))</f>
        <v/>
      </c>
      <c r="E1740" s="91">
        <f>IF(AND(N('Deal maths'!F1740)&gt;AsAt,N('Deal maths'!E1740)&lt;=AsAt,IF(N('Deal maths'!H1740)&gt;0,N('Deal maths'!H1740),N('Deal maths'!D1740))&gt;0),N('Deal maths'!F1740)+ROW()/1000000,"")</f>
        <v/>
      </c>
    </row>
    <row r="1741">
      <c r="A1741" s="91" t="n"/>
      <c r="B1741" s="111">
        <f>IF(AND(N('Deal maths'!F1741)&gt;AsAt,N('Deal maths'!E1741)&lt;=AsAt),IF(N('Deal maths'!H1741)&gt;0,N('Deal maths'!H1741),N('Deal maths'!D1741)),0)</f>
        <v/>
      </c>
      <c r="C1741" s="91">
        <f>IF(B1741&gt;0,IF('Deal maths'!C1741="Local authority","Local authorities",LOWER(TRIM('Deal maths'!B1741))),"")</f>
        <v/>
      </c>
      <c r="D1741" s="91">
        <f>IF(C1741="","",IF(COUNTIF($C$4:C1740,C1741)=0,SUMIF($C$4:$C$3997,C1741,$B$4:$B$3997)-ROW()/1000000,""))</f>
        <v/>
      </c>
      <c r="E1741" s="91">
        <f>IF(AND(N('Deal maths'!F1741)&gt;AsAt,N('Deal maths'!E1741)&lt;=AsAt,IF(N('Deal maths'!H1741)&gt;0,N('Deal maths'!H1741),N('Deal maths'!D1741))&gt;0),N('Deal maths'!F1741)+ROW()/1000000,"")</f>
        <v/>
      </c>
    </row>
    <row r="1742">
      <c r="A1742" s="91" t="n"/>
      <c r="B1742" s="111">
        <f>IF(AND(N('Deal maths'!F1742)&gt;AsAt,N('Deal maths'!E1742)&lt;=AsAt),IF(N('Deal maths'!H1742)&gt;0,N('Deal maths'!H1742),N('Deal maths'!D1742)),0)</f>
        <v/>
      </c>
      <c r="C1742" s="91">
        <f>IF(B1742&gt;0,IF('Deal maths'!C1742="Local authority","Local authorities",LOWER(TRIM('Deal maths'!B1742))),"")</f>
        <v/>
      </c>
      <c r="D1742" s="91">
        <f>IF(C1742="","",IF(COUNTIF($C$4:C1741,C1742)=0,SUMIF($C$4:$C$3997,C1742,$B$4:$B$3997)-ROW()/1000000,""))</f>
        <v/>
      </c>
      <c r="E1742" s="91">
        <f>IF(AND(N('Deal maths'!F1742)&gt;AsAt,N('Deal maths'!E1742)&lt;=AsAt,IF(N('Deal maths'!H1742)&gt;0,N('Deal maths'!H1742),N('Deal maths'!D1742))&gt;0),N('Deal maths'!F1742)+ROW()/1000000,"")</f>
        <v/>
      </c>
    </row>
    <row r="1743">
      <c r="A1743" s="91" t="n"/>
      <c r="B1743" s="111">
        <f>IF(AND(N('Deal maths'!F1743)&gt;AsAt,N('Deal maths'!E1743)&lt;=AsAt),IF(N('Deal maths'!H1743)&gt;0,N('Deal maths'!H1743),N('Deal maths'!D1743)),0)</f>
        <v/>
      </c>
      <c r="C1743" s="91">
        <f>IF(B1743&gt;0,IF('Deal maths'!C1743="Local authority","Local authorities",LOWER(TRIM('Deal maths'!B1743))),"")</f>
        <v/>
      </c>
      <c r="D1743" s="91">
        <f>IF(C1743="","",IF(COUNTIF($C$4:C1742,C1743)=0,SUMIF($C$4:$C$3997,C1743,$B$4:$B$3997)-ROW()/1000000,""))</f>
        <v/>
      </c>
      <c r="E1743" s="91">
        <f>IF(AND(N('Deal maths'!F1743)&gt;AsAt,N('Deal maths'!E1743)&lt;=AsAt,IF(N('Deal maths'!H1743)&gt;0,N('Deal maths'!H1743),N('Deal maths'!D1743))&gt;0),N('Deal maths'!F1743)+ROW()/1000000,"")</f>
        <v/>
      </c>
    </row>
    <row r="1744">
      <c r="A1744" s="91" t="n"/>
      <c r="B1744" s="111">
        <f>IF(AND(N('Deal maths'!F1744)&gt;AsAt,N('Deal maths'!E1744)&lt;=AsAt),IF(N('Deal maths'!H1744)&gt;0,N('Deal maths'!H1744),N('Deal maths'!D1744)),0)</f>
        <v/>
      </c>
      <c r="C1744" s="91">
        <f>IF(B1744&gt;0,IF('Deal maths'!C1744="Local authority","Local authorities",LOWER(TRIM('Deal maths'!B1744))),"")</f>
        <v/>
      </c>
      <c r="D1744" s="91">
        <f>IF(C1744="","",IF(COUNTIF($C$4:C1743,C1744)=0,SUMIF($C$4:$C$3997,C1744,$B$4:$B$3997)-ROW()/1000000,""))</f>
        <v/>
      </c>
      <c r="E1744" s="91">
        <f>IF(AND(N('Deal maths'!F1744)&gt;AsAt,N('Deal maths'!E1744)&lt;=AsAt,IF(N('Deal maths'!H1744)&gt;0,N('Deal maths'!H1744),N('Deal maths'!D1744))&gt;0),N('Deal maths'!F1744)+ROW()/1000000,"")</f>
        <v/>
      </c>
    </row>
    <row r="1745">
      <c r="A1745" s="91" t="n"/>
      <c r="B1745" s="111">
        <f>IF(AND(N('Deal maths'!F1745)&gt;AsAt,N('Deal maths'!E1745)&lt;=AsAt),IF(N('Deal maths'!H1745)&gt;0,N('Deal maths'!H1745),N('Deal maths'!D1745)),0)</f>
        <v/>
      </c>
      <c r="C1745" s="91">
        <f>IF(B1745&gt;0,IF('Deal maths'!C1745="Local authority","Local authorities",LOWER(TRIM('Deal maths'!B1745))),"")</f>
        <v/>
      </c>
      <c r="D1745" s="91">
        <f>IF(C1745="","",IF(COUNTIF($C$4:C1744,C1745)=0,SUMIF($C$4:$C$3997,C1745,$B$4:$B$3997)-ROW()/1000000,""))</f>
        <v/>
      </c>
      <c r="E1745" s="91">
        <f>IF(AND(N('Deal maths'!F1745)&gt;AsAt,N('Deal maths'!E1745)&lt;=AsAt,IF(N('Deal maths'!H1745)&gt;0,N('Deal maths'!H1745),N('Deal maths'!D1745))&gt;0),N('Deal maths'!F1745)+ROW()/1000000,"")</f>
        <v/>
      </c>
    </row>
    <row r="1746">
      <c r="A1746" s="91" t="n"/>
      <c r="B1746" s="111">
        <f>IF(AND(N('Deal maths'!F1746)&gt;AsAt,N('Deal maths'!E1746)&lt;=AsAt),IF(N('Deal maths'!H1746)&gt;0,N('Deal maths'!H1746),N('Deal maths'!D1746)),0)</f>
        <v/>
      </c>
      <c r="C1746" s="91">
        <f>IF(B1746&gt;0,IF('Deal maths'!C1746="Local authority","Local authorities",LOWER(TRIM('Deal maths'!B1746))),"")</f>
        <v/>
      </c>
      <c r="D1746" s="91">
        <f>IF(C1746="","",IF(COUNTIF($C$4:C1745,C1746)=0,SUMIF($C$4:$C$3997,C1746,$B$4:$B$3997)-ROW()/1000000,""))</f>
        <v/>
      </c>
      <c r="E1746" s="91">
        <f>IF(AND(N('Deal maths'!F1746)&gt;AsAt,N('Deal maths'!E1746)&lt;=AsAt,IF(N('Deal maths'!H1746)&gt;0,N('Deal maths'!H1746),N('Deal maths'!D1746))&gt;0),N('Deal maths'!F1746)+ROW()/1000000,"")</f>
        <v/>
      </c>
    </row>
    <row r="1747">
      <c r="A1747" s="91" t="n"/>
      <c r="B1747" s="111">
        <f>IF(AND(N('Deal maths'!F1747)&gt;AsAt,N('Deal maths'!E1747)&lt;=AsAt),IF(N('Deal maths'!H1747)&gt;0,N('Deal maths'!H1747),N('Deal maths'!D1747)),0)</f>
        <v/>
      </c>
      <c r="C1747" s="91">
        <f>IF(B1747&gt;0,IF('Deal maths'!C1747="Local authority","Local authorities",LOWER(TRIM('Deal maths'!B1747))),"")</f>
        <v/>
      </c>
      <c r="D1747" s="91">
        <f>IF(C1747="","",IF(COUNTIF($C$4:C1746,C1747)=0,SUMIF($C$4:$C$3997,C1747,$B$4:$B$3997)-ROW()/1000000,""))</f>
        <v/>
      </c>
      <c r="E1747" s="91">
        <f>IF(AND(N('Deal maths'!F1747)&gt;AsAt,N('Deal maths'!E1747)&lt;=AsAt,IF(N('Deal maths'!H1747)&gt;0,N('Deal maths'!H1747),N('Deal maths'!D1747))&gt;0),N('Deal maths'!F1747)+ROW()/1000000,"")</f>
        <v/>
      </c>
    </row>
    <row r="1748">
      <c r="A1748" s="91" t="n"/>
      <c r="B1748" s="111">
        <f>IF(AND(N('Deal maths'!F1748)&gt;AsAt,N('Deal maths'!E1748)&lt;=AsAt),IF(N('Deal maths'!H1748)&gt;0,N('Deal maths'!H1748),N('Deal maths'!D1748)),0)</f>
        <v/>
      </c>
      <c r="C1748" s="91">
        <f>IF(B1748&gt;0,IF('Deal maths'!C1748="Local authority","Local authorities",LOWER(TRIM('Deal maths'!B1748))),"")</f>
        <v/>
      </c>
      <c r="D1748" s="91">
        <f>IF(C1748="","",IF(COUNTIF($C$4:C1747,C1748)=0,SUMIF($C$4:$C$3997,C1748,$B$4:$B$3997)-ROW()/1000000,""))</f>
        <v/>
      </c>
      <c r="E1748" s="91">
        <f>IF(AND(N('Deal maths'!F1748)&gt;AsAt,N('Deal maths'!E1748)&lt;=AsAt,IF(N('Deal maths'!H1748)&gt;0,N('Deal maths'!H1748),N('Deal maths'!D1748))&gt;0),N('Deal maths'!F1748)+ROW()/1000000,"")</f>
        <v/>
      </c>
    </row>
    <row r="1749">
      <c r="A1749" s="91" t="n"/>
      <c r="B1749" s="111">
        <f>IF(AND(N('Deal maths'!F1749)&gt;AsAt,N('Deal maths'!E1749)&lt;=AsAt),IF(N('Deal maths'!H1749)&gt;0,N('Deal maths'!H1749),N('Deal maths'!D1749)),0)</f>
        <v/>
      </c>
      <c r="C1749" s="91">
        <f>IF(B1749&gt;0,IF('Deal maths'!C1749="Local authority","Local authorities",LOWER(TRIM('Deal maths'!B1749))),"")</f>
        <v/>
      </c>
      <c r="D1749" s="91">
        <f>IF(C1749="","",IF(COUNTIF($C$4:C1748,C1749)=0,SUMIF($C$4:$C$3997,C1749,$B$4:$B$3997)-ROW()/1000000,""))</f>
        <v/>
      </c>
      <c r="E1749" s="91">
        <f>IF(AND(N('Deal maths'!F1749)&gt;AsAt,N('Deal maths'!E1749)&lt;=AsAt,IF(N('Deal maths'!H1749)&gt;0,N('Deal maths'!H1749),N('Deal maths'!D1749))&gt;0),N('Deal maths'!F1749)+ROW()/1000000,"")</f>
        <v/>
      </c>
    </row>
    <row r="1750">
      <c r="A1750" s="91" t="n"/>
      <c r="B1750" s="111">
        <f>IF(AND(N('Deal maths'!F1750)&gt;AsAt,N('Deal maths'!E1750)&lt;=AsAt),IF(N('Deal maths'!H1750)&gt;0,N('Deal maths'!H1750),N('Deal maths'!D1750)),0)</f>
        <v/>
      </c>
      <c r="C1750" s="91">
        <f>IF(B1750&gt;0,IF('Deal maths'!C1750="Local authority","Local authorities",LOWER(TRIM('Deal maths'!B1750))),"")</f>
        <v/>
      </c>
      <c r="D1750" s="91">
        <f>IF(C1750="","",IF(COUNTIF($C$4:C1749,C1750)=0,SUMIF($C$4:$C$3997,C1750,$B$4:$B$3997)-ROW()/1000000,""))</f>
        <v/>
      </c>
      <c r="E1750" s="91">
        <f>IF(AND(N('Deal maths'!F1750)&gt;AsAt,N('Deal maths'!E1750)&lt;=AsAt,IF(N('Deal maths'!H1750)&gt;0,N('Deal maths'!H1750),N('Deal maths'!D1750))&gt;0),N('Deal maths'!F1750)+ROW()/1000000,"")</f>
        <v/>
      </c>
    </row>
    <row r="1751">
      <c r="A1751" s="91" t="n"/>
      <c r="B1751" s="111">
        <f>IF(AND(N('Deal maths'!F1751)&gt;AsAt,N('Deal maths'!E1751)&lt;=AsAt),IF(N('Deal maths'!H1751)&gt;0,N('Deal maths'!H1751),N('Deal maths'!D1751)),0)</f>
        <v/>
      </c>
      <c r="C1751" s="91">
        <f>IF(B1751&gt;0,IF('Deal maths'!C1751="Local authority","Local authorities",LOWER(TRIM('Deal maths'!B1751))),"")</f>
        <v/>
      </c>
      <c r="D1751" s="91">
        <f>IF(C1751="","",IF(COUNTIF($C$4:C1750,C1751)=0,SUMIF($C$4:$C$3997,C1751,$B$4:$B$3997)-ROW()/1000000,""))</f>
        <v/>
      </c>
      <c r="E1751" s="91">
        <f>IF(AND(N('Deal maths'!F1751)&gt;AsAt,N('Deal maths'!E1751)&lt;=AsAt,IF(N('Deal maths'!H1751)&gt;0,N('Deal maths'!H1751),N('Deal maths'!D1751))&gt;0),N('Deal maths'!F1751)+ROW()/1000000,"")</f>
        <v/>
      </c>
    </row>
    <row r="1752">
      <c r="A1752" s="91" t="n"/>
      <c r="B1752" s="111">
        <f>IF(AND(N('Deal maths'!F1752)&gt;AsAt,N('Deal maths'!E1752)&lt;=AsAt),IF(N('Deal maths'!H1752)&gt;0,N('Deal maths'!H1752),N('Deal maths'!D1752)),0)</f>
        <v/>
      </c>
      <c r="C1752" s="91">
        <f>IF(B1752&gt;0,IF('Deal maths'!C1752="Local authority","Local authorities",LOWER(TRIM('Deal maths'!B1752))),"")</f>
        <v/>
      </c>
      <c r="D1752" s="91">
        <f>IF(C1752="","",IF(COUNTIF($C$4:C1751,C1752)=0,SUMIF($C$4:$C$3997,C1752,$B$4:$B$3997)-ROW()/1000000,""))</f>
        <v/>
      </c>
      <c r="E1752" s="91">
        <f>IF(AND(N('Deal maths'!F1752)&gt;AsAt,N('Deal maths'!E1752)&lt;=AsAt,IF(N('Deal maths'!H1752)&gt;0,N('Deal maths'!H1752),N('Deal maths'!D1752))&gt;0),N('Deal maths'!F1752)+ROW()/1000000,"")</f>
        <v/>
      </c>
    </row>
    <row r="1753">
      <c r="A1753" s="91" t="n"/>
      <c r="B1753" s="111">
        <f>IF(AND(N('Deal maths'!F1753)&gt;AsAt,N('Deal maths'!E1753)&lt;=AsAt),IF(N('Deal maths'!H1753)&gt;0,N('Deal maths'!H1753),N('Deal maths'!D1753)),0)</f>
        <v/>
      </c>
      <c r="C1753" s="91">
        <f>IF(B1753&gt;0,IF('Deal maths'!C1753="Local authority","Local authorities",LOWER(TRIM('Deal maths'!B1753))),"")</f>
        <v/>
      </c>
      <c r="D1753" s="91">
        <f>IF(C1753="","",IF(COUNTIF($C$4:C1752,C1753)=0,SUMIF($C$4:$C$3997,C1753,$B$4:$B$3997)-ROW()/1000000,""))</f>
        <v/>
      </c>
      <c r="E1753" s="91">
        <f>IF(AND(N('Deal maths'!F1753)&gt;AsAt,N('Deal maths'!E1753)&lt;=AsAt,IF(N('Deal maths'!H1753)&gt;0,N('Deal maths'!H1753),N('Deal maths'!D1753))&gt;0),N('Deal maths'!F1753)+ROW()/1000000,"")</f>
        <v/>
      </c>
    </row>
    <row r="1754">
      <c r="A1754" s="91" t="n"/>
      <c r="B1754" s="111">
        <f>IF(AND(N('Deal maths'!F1754)&gt;AsAt,N('Deal maths'!E1754)&lt;=AsAt),IF(N('Deal maths'!H1754)&gt;0,N('Deal maths'!H1754),N('Deal maths'!D1754)),0)</f>
        <v/>
      </c>
      <c r="C1754" s="91">
        <f>IF(B1754&gt;0,IF('Deal maths'!C1754="Local authority","Local authorities",LOWER(TRIM('Deal maths'!B1754))),"")</f>
        <v/>
      </c>
      <c r="D1754" s="91">
        <f>IF(C1754="","",IF(COUNTIF($C$4:C1753,C1754)=0,SUMIF($C$4:$C$3997,C1754,$B$4:$B$3997)-ROW()/1000000,""))</f>
        <v/>
      </c>
      <c r="E1754" s="91">
        <f>IF(AND(N('Deal maths'!F1754)&gt;AsAt,N('Deal maths'!E1754)&lt;=AsAt,IF(N('Deal maths'!H1754)&gt;0,N('Deal maths'!H1754),N('Deal maths'!D1754))&gt;0),N('Deal maths'!F1754)+ROW()/1000000,"")</f>
        <v/>
      </c>
    </row>
    <row r="1755">
      <c r="A1755" s="91" t="n"/>
      <c r="B1755" s="111">
        <f>IF(AND(N('Deal maths'!F1755)&gt;AsAt,N('Deal maths'!E1755)&lt;=AsAt),IF(N('Deal maths'!H1755)&gt;0,N('Deal maths'!H1755),N('Deal maths'!D1755)),0)</f>
        <v/>
      </c>
      <c r="C1755" s="91">
        <f>IF(B1755&gt;0,IF('Deal maths'!C1755="Local authority","Local authorities",LOWER(TRIM('Deal maths'!B1755))),"")</f>
        <v/>
      </c>
      <c r="D1755" s="91">
        <f>IF(C1755="","",IF(COUNTIF($C$4:C1754,C1755)=0,SUMIF($C$4:$C$3997,C1755,$B$4:$B$3997)-ROW()/1000000,""))</f>
        <v/>
      </c>
      <c r="E1755" s="91">
        <f>IF(AND(N('Deal maths'!F1755)&gt;AsAt,N('Deal maths'!E1755)&lt;=AsAt,IF(N('Deal maths'!H1755)&gt;0,N('Deal maths'!H1755),N('Deal maths'!D1755))&gt;0),N('Deal maths'!F1755)+ROW()/1000000,"")</f>
        <v/>
      </c>
    </row>
    <row r="1756">
      <c r="A1756" s="91" t="n"/>
      <c r="B1756" s="111">
        <f>IF(AND(N('Deal maths'!F1756)&gt;AsAt,N('Deal maths'!E1756)&lt;=AsAt),IF(N('Deal maths'!H1756)&gt;0,N('Deal maths'!H1756),N('Deal maths'!D1756)),0)</f>
        <v/>
      </c>
      <c r="C1756" s="91">
        <f>IF(B1756&gt;0,IF('Deal maths'!C1756="Local authority","Local authorities",LOWER(TRIM('Deal maths'!B1756))),"")</f>
        <v/>
      </c>
      <c r="D1756" s="91">
        <f>IF(C1756="","",IF(COUNTIF($C$4:C1755,C1756)=0,SUMIF($C$4:$C$3997,C1756,$B$4:$B$3997)-ROW()/1000000,""))</f>
        <v/>
      </c>
      <c r="E1756" s="91">
        <f>IF(AND(N('Deal maths'!F1756)&gt;AsAt,N('Deal maths'!E1756)&lt;=AsAt,IF(N('Deal maths'!H1756)&gt;0,N('Deal maths'!H1756),N('Deal maths'!D1756))&gt;0),N('Deal maths'!F1756)+ROW()/1000000,"")</f>
        <v/>
      </c>
    </row>
    <row r="1757">
      <c r="A1757" s="91" t="n"/>
      <c r="B1757" s="111">
        <f>IF(AND(N('Deal maths'!F1757)&gt;AsAt,N('Deal maths'!E1757)&lt;=AsAt),IF(N('Deal maths'!H1757)&gt;0,N('Deal maths'!H1757),N('Deal maths'!D1757)),0)</f>
        <v/>
      </c>
      <c r="C1757" s="91">
        <f>IF(B1757&gt;0,IF('Deal maths'!C1757="Local authority","Local authorities",LOWER(TRIM('Deal maths'!B1757))),"")</f>
        <v/>
      </c>
      <c r="D1757" s="91">
        <f>IF(C1757="","",IF(COUNTIF($C$4:C1756,C1757)=0,SUMIF($C$4:$C$3997,C1757,$B$4:$B$3997)-ROW()/1000000,""))</f>
        <v/>
      </c>
      <c r="E1757" s="91">
        <f>IF(AND(N('Deal maths'!F1757)&gt;AsAt,N('Deal maths'!E1757)&lt;=AsAt,IF(N('Deal maths'!H1757)&gt;0,N('Deal maths'!H1757),N('Deal maths'!D1757))&gt;0),N('Deal maths'!F1757)+ROW()/1000000,"")</f>
        <v/>
      </c>
    </row>
    <row r="1758">
      <c r="A1758" s="91" t="n"/>
      <c r="B1758" s="111">
        <f>IF(AND(N('Deal maths'!F1758)&gt;AsAt,N('Deal maths'!E1758)&lt;=AsAt),IF(N('Deal maths'!H1758)&gt;0,N('Deal maths'!H1758),N('Deal maths'!D1758)),0)</f>
        <v/>
      </c>
      <c r="C1758" s="91">
        <f>IF(B1758&gt;0,IF('Deal maths'!C1758="Local authority","Local authorities",LOWER(TRIM('Deal maths'!B1758))),"")</f>
        <v/>
      </c>
      <c r="D1758" s="91">
        <f>IF(C1758="","",IF(COUNTIF($C$4:C1757,C1758)=0,SUMIF($C$4:$C$3997,C1758,$B$4:$B$3997)-ROW()/1000000,""))</f>
        <v/>
      </c>
      <c r="E1758" s="91">
        <f>IF(AND(N('Deal maths'!F1758)&gt;AsAt,N('Deal maths'!E1758)&lt;=AsAt,IF(N('Deal maths'!H1758)&gt;0,N('Deal maths'!H1758),N('Deal maths'!D1758))&gt;0),N('Deal maths'!F1758)+ROW()/1000000,"")</f>
        <v/>
      </c>
    </row>
    <row r="1759">
      <c r="A1759" s="91" t="n"/>
      <c r="B1759" s="111">
        <f>IF(AND(N('Deal maths'!F1759)&gt;AsAt,N('Deal maths'!E1759)&lt;=AsAt),IF(N('Deal maths'!H1759)&gt;0,N('Deal maths'!H1759),N('Deal maths'!D1759)),0)</f>
        <v/>
      </c>
      <c r="C1759" s="91">
        <f>IF(B1759&gt;0,IF('Deal maths'!C1759="Local authority","Local authorities",LOWER(TRIM('Deal maths'!B1759))),"")</f>
        <v/>
      </c>
      <c r="D1759" s="91">
        <f>IF(C1759="","",IF(COUNTIF($C$4:C1758,C1759)=0,SUMIF($C$4:$C$3997,C1759,$B$4:$B$3997)-ROW()/1000000,""))</f>
        <v/>
      </c>
      <c r="E1759" s="91">
        <f>IF(AND(N('Deal maths'!F1759)&gt;AsAt,N('Deal maths'!E1759)&lt;=AsAt,IF(N('Deal maths'!H1759)&gt;0,N('Deal maths'!H1759),N('Deal maths'!D1759))&gt;0),N('Deal maths'!F1759)+ROW()/1000000,"")</f>
        <v/>
      </c>
    </row>
    <row r="1760">
      <c r="A1760" s="91" t="n"/>
      <c r="B1760" s="111">
        <f>IF(AND(N('Deal maths'!F1760)&gt;AsAt,N('Deal maths'!E1760)&lt;=AsAt),IF(N('Deal maths'!H1760)&gt;0,N('Deal maths'!H1760),N('Deal maths'!D1760)),0)</f>
        <v/>
      </c>
      <c r="C1760" s="91">
        <f>IF(B1760&gt;0,IF('Deal maths'!C1760="Local authority","Local authorities",LOWER(TRIM('Deal maths'!B1760))),"")</f>
        <v/>
      </c>
      <c r="D1760" s="91">
        <f>IF(C1760="","",IF(COUNTIF($C$4:C1759,C1760)=0,SUMIF($C$4:$C$3997,C1760,$B$4:$B$3997)-ROW()/1000000,""))</f>
        <v/>
      </c>
      <c r="E1760" s="91">
        <f>IF(AND(N('Deal maths'!F1760)&gt;AsAt,N('Deal maths'!E1760)&lt;=AsAt,IF(N('Deal maths'!H1760)&gt;0,N('Deal maths'!H1760),N('Deal maths'!D1760))&gt;0),N('Deal maths'!F1760)+ROW()/1000000,"")</f>
        <v/>
      </c>
    </row>
    <row r="1761">
      <c r="A1761" s="91" t="n"/>
      <c r="B1761" s="111">
        <f>IF(AND(N('Deal maths'!F1761)&gt;AsAt,N('Deal maths'!E1761)&lt;=AsAt),IF(N('Deal maths'!H1761)&gt;0,N('Deal maths'!H1761),N('Deal maths'!D1761)),0)</f>
        <v/>
      </c>
      <c r="C1761" s="91">
        <f>IF(B1761&gt;0,IF('Deal maths'!C1761="Local authority","Local authorities",LOWER(TRIM('Deal maths'!B1761))),"")</f>
        <v/>
      </c>
      <c r="D1761" s="91">
        <f>IF(C1761="","",IF(COUNTIF($C$4:C1760,C1761)=0,SUMIF($C$4:$C$3997,C1761,$B$4:$B$3997)-ROW()/1000000,""))</f>
        <v/>
      </c>
      <c r="E1761" s="91">
        <f>IF(AND(N('Deal maths'!F1761)&gt;AsAt,N('Deal maths'!E1761)&lt;=AsAt,IF(N('Deal maths'!H1761)&gt;0,N('Deal maths'!H1761),N('Deal maths'!D1761))&gt;0),N('Deal maths'!F1761)+ROW()/1000000,"")</f>
        <v/>
      </c>
    </row>
    <row r="1762">
      <c r="A1762" s="91" t="n"/>
      <c r="B1762" s="111">
        <f>IF(AND(N('Deal maths'!F1762)&gt;AsAt,N('Deal maths'!E1762)&lt;=AsAt),IF(N('Deal maths'!H1762)&gt;0,N('Deal maths'!H1762),N('Deal maths'!D1762)),0)</f>
        <v/>
      </c>
      <c r="C1762" s="91">
        <f>IF(B1762&gt;0,IF('Deal maths'!C1762="Local authority","Local authorities",LOWER(TRIM('Deal maths'!B1762))),"")</f>
        <v/>
      </c>
      <c r="D1762" s="91">
        <f>IF(C1762="","",IF(COUNTIF($C$4:C1761,C1762)=0,SUMIF($C$4:$C$3997,C1762,$B$4:$B$3997)-ROW()/1000000,""))</f>
        <v/>
      </c>
      <c r="E1762" s="91">
        <f>IF(AND(N('Deal maths'!F1762)&gt;AsAt,N('Deal maths'!E1762)&lt;=AsAt,IF(N('Deal maths'!H1762)&gt;0,N('Deal maths'!H1762),N('Deal maths'!D1762))&gt;0),N('Deal maths'!F1762)+ROW()/1000000,"")</f>
        <v/>
      </c>
    </row>
    <row r="1763">
      <c r="A1763" s="91" t="n"/>
      <c r="B1763" s="111">
        <f>IF(AND(N('Deal maths'!F1763)&gt;AsAt,N('Deal maths'!E1763)&lt;=AsAt),IF(N('Deal maths'!H1763)&gt;0,N('Deal maths'!H1763),N('Deal maths'!D1763)),0)</f>
        <v/>
      </c>
      <c r="C1763" s="91">
        <f>IF(B1763&gt;0,IF('Deal maths'!C1763="Local authority","Local authorities",LOWER(TRIM('Deal maths'!B1763))),"")</f>
        <v/>
      </c>
      <c r="D1763" s="91">
        <f>IF(C1763="","",IF(COUNTIF($C$4:C1762,C1763)=0,SUMIF($C$4:$C$3997,C1763,$B$4:$B$3997)-ROW()/1000000,""))</f>
        <v/>
      </c>
      <c r="E1763" s="91">
        <f>IF(AND(N('Deal maths'!F1763)&gt;AsAt,N('Deal maths'!E1763)&lt;=AsAt,IF(N('Deal maths'!H1763)&gt;0,N('Deal maths'!H1763),N('Deal maths'!D1763))&gt;0),N('Deal maths'!F1763)+ROW()/1000000,"")</f>
        <v/>
      </c>
    </row>
    <row r="1764">
      <c r="A1764" s="91" t="n"/>
      <c r="B1764" s="111">
        <f>IF(AND(N('Deal maths'!F1764)&gt;AsAt,N('Deal maths'!E1764)&lt;=AsAt),IF(N('Deal maths'!H1764)&gt;0,N('Deal maths'!H1764),N('Deal maths'!D1764)),0)</f>
        <v/>
      </c>
      <c r="C1764" s="91">
        <f>IF(B1764&gt;0,IF('Deal maths'!C1764="Local authority","Local authorities",LOWER(TRIM('Deal maths'!B1764))),"")</f>
        <v/>
      </c>
      <c r="D1764" s="91">
        <f>IF(C1764="","",IF(COUNTIF($C$4:C1763,C1764)=0,SUMIF($C$4:$C$3997,C1764,$B$4:$B$3997)-ROW()/1000000,""))</f>
        <v/>
      </c>
      <c r="E1764" s="91">
        <f>IF(AND(N('Deal maths'!F1764)&gt;AsAt,N('Deal maths'!E1764)&lt;=AsAt,IF(N('Deal maths'!H1764)&gt;0,N('Deal maths'!H1764),N('Deal maths'!D1764))&gt;0),N('Deal maths'!F1764)+ROW()/1000000,"")</f>
        <v/>
      </c>
    </row>
    <row r="1765">
      <c r="A1765" s="91" t="n"/>
      <c r="B1765" s="111">
        <f>IF(AND(N('Deal maths'!F1765)&gt;AsAt,N('Deal maths'!E1765)&lt;=AsAt),IF(N('Deal maths'!H1765)&gt;0,N('Deal maths'!H1765),N('Deal maths'!D1765)),0)</f>
        <v/>
      </c>
      <c r="C1765" s="91">
        <f>IF(B1765&gt;0,IF('Deal maths'!C1765="Local authority","Local authorities",LOWER(TRIM('Deal maths'!B1765))),"")</f>
        <v/>
      </c>
      <c r="D1765" s="91">
        <f>IF(C1765="","",IF(COUNTIF($C$4:C1764,C1765)=0,SUMIF($C$4:$C$3997,C1765,$B$4:$B$3997)-ROW()/1000000,""))</f>
        <v/>
      </c>
      <c r="E1765" s="91">
        <f>IF(AND(N('Deal maths'!F1765)&gt;AsAt,N('Deal maths'!E1765)&lt;=AsAt,IF(N('Deal maths'!H1765)&gt;0,N('Deal maths'!H1765),N('Deal maths'!D1765))&gt;0),N('Deal maths'!F1765)+ROW()/1000000,"")</f>
        <v/>
      </c>
    </row>
    <row r="1766">
      <c r="A1766" s="91" t="n"/>
      <c r="B1766" s="111">
        <f>IF(AND(N('Deal maths'!F1766)&gt;AsAt,N('Deal maths'!E1766)&lt;=AsAt),IF(N('Deal maths'!H1766)&gt;0,N('Deal maths'!H1766),N('Deal maths'!D1766)),0)</f>
        <v/>
      </c>
      <c r="C1766" s="91">
        <f>IF(B1766&gt;0,IF('Deal maths'!C1766="Local authority","Local authorities",LOWER(TRIM('Deal maths'!B1766))),"")</f>
        <v/>
      </c>
      <c r="D1766" s="91">
        <f>IF(C1766="","",IF(COUNTIF($C$4:C1765,C1766)=0,SUMIF($C$4:$C$3997,C1766,$B$4:$B$3997)-ROW()/1000000,""))</f>
        <v/>
      </c>
      <c r="E1766" s="91">
        <f>IF(AND(N('Deal maths'!F1766)&gt;AsAt,N('Deal maths'!E1766)&lt;=AsAt,IF(N('Deal maths'!H1766)&gt;0,N('Deal maths'!H1766),N('Deal maths'!D1766))&gt;0),N('Deal maths'!F1766)+ROW()/1000000,"")</f>
        <v/>
      </c>
    </row>
    <row r="1767">
      <c r="A1767" s="91" t="n"/>
      <c r="B1767" s="111">
        <f>IF(AND(N('Deal maths'!F1767)&gt;AsAt,N('Deal maths'!E1767)&lt;=AsAt),IF(N('Deal maths'!H1767)&gt;0,N('Deal maths'!H1767),N('Deal maths'!D1767)),0)</f>
        <v/>
      </c>
      <c r="C1767" s="91">
        <f>IF(B1767&gt;0,IF('Deal maths'!C1767="Local authority","Local authorities",LOWER(TRIM('Deal maths'!B1767))),"")</f>
        <v/>
      </c>
      <c r="D1767" s="91">
        <f>IF(C1767="","",IF(COUNTIF($C$4:C1766,C1767)=0,SUMIF($C$4:$C$3997,C1767,$B$4:$B$3997)-ROW()/1000000,""))</f>
        <v/>
      </c>
      <c r="E1767" s="91">
        <f>IF(AND(N('Deal maths'!F1767)&gt;AsAt,N('Deal maths'!E1767)&lt;=AsAt,IF(N('Deal maths'!H1767)&gt;0,N('Deal maths'!H1767),N('Deal maths'!D1767))&gt;0),N('Deal maths'!F1767)+ROW()/1000000,"")</f>
        <v/>
      </c>
    </row>
    <row r="1768">
      <c r="A1768" s="91" t="n"/>
      <c r="B1768" s="111">
        <f>IF(AND(N('Deal maths'!F1768)&gt;AsAt,N('Deal maths'!E1768)&lt;=AsAt),IF(N('Deal maths'!H1768)&gt;0,N('Deal maths'!H1768),N('Deal maths'!D1768)),0)</f>
        <v/>
      </c>
      <c r="C1768" s="91">
        <f>IF(B1768&gt;0,IF('Deal maths'!C1768="Local authority","Local authorities",LOWER(TRIM('Deal maths'!B1768))),"")</f>
        <v/>
      </c>
      <c r="D1768" s="91">
        <f>IF(C1768="","",IF(COUNTIF($C$4:C1767,C1768)=0,SUMIF($C$4:$C$3997,C1768,$B$4:$B$3997)-ROW()/1000000,""))</f>
        <v/>
      </c>
      <c r="E1768" s="91">
        <f>IF(AND(N('Deal maths'!F1768)&gt;AsAt,N('Deal maths'!E1768)&lt;=AsAt,IF(N('Deal maths'!H1768)&gt;0,N('Deal maths'!H1768),N('Deal maths'!D1768))&gt;0),N('Deal maths'!F1768)+ROW()/1000000,"")</f>
        <v/>
      </c>
    </row>
    <row r="1769">
      <c r="A1769" s="91" t="n"/>
      <c r="B1769" s="111">
        <f>IF(AND(N('Deal maths'!F1769)&gt;AsAt,N('Deal maths'!E1769)&lt;=AsAt),IF(N('Deal maths'!H1769)&gt;0,N('Deal maths'!H1769),N('Deal maths'!D1769)),0)</f>
        <v/>
      </c>
      <c r="C1769" s="91">
        <f>IF(B1769&gt;0,IF('Deal maths'!C1769="Local authority","Local authorities",LOWER(TRIM('Deal maths'!B1769))),"")</f>
        <v/>
      </c>
      <c r="D1769" s="91">
        <f>IF(C1769="","",IF(COUNTIF($C$4:C1768,C1769)=0,SUMIF($C$4:$C$3997,C1769,$B$4:$B$3997)-ROW()/1000000,""))</f>
        <v/>
      </c>
      <c r="E1769" s="91">
        <f>IF(AND(N('Deal maths'!F1769)&gt;AsAt,N('Deal maths'!E1769)&lt;=AsAt,IF(N('Deal maths'!H1769)&gt;0,N('Deal maths'!H1769),N('Deal maths'!D1769))&gt;0),N('Deal maths'!F1769)+ROW()/1000000,"")</f>
        <v/>
      </c>
    </row>
    <row r="1770">
      <c r="A1770" s="91" t="n"/>
      <c r="B1770" s="111">
        <f>IF(AND(N('Deal maths'!F1770)&gt;AsAt,N('Deal maths'!E1770)&lt;=AsAt),IF(N('Deal maths'!H1770)&gt;0,N('Deal maths'!H1770),N('Deal maths'!D1770)),0)</f>
        <v/>
      </c>
      <c r="C1770" s="91">
        <f>IF(B1770&gt;0,IF('Deal maths'!C1770="Local authority","Local authorities",LOWER(TRIM('Deal maths'!B1770))),"")</f>
        <v/>
      </c>
      <c r="D1770" s="91">
        <f>IF(C1770="","",IF(COUNTIF($C$4:C1769,C1770)=0,SUMIF($C$4:$C$3997,C1770,$B$4:$B$3997)-ROW()/1000000,""))</f>
        <v/>
      </c>
      <c r="E1770" s="91">
        <f>IF(AND(N('Deal maths'!F1770)&gt;AsAt,N('Deal maths'!E1770)&lt;=AsAt,IF(N('Deal maths'!H1770)&gt;0,N('Deal maths'!H1770),N('Deal maths'!D1770))&gt;0),N('Deal maths'!F1770)+ROW()/1000000,"")</f>
        <v/>
      </c>
    </row>
    <row r="1771">
      <c r="A1771" s="91" t="n"/>
      <c r="B1771" s="111">
        <f>IF(AND(N('Deal maths'!F1771)&gt;AsAt,N('Deal maths'!E1771)&lt;=AsAt),IF(N('Deal maths'!H1771)&gt;0,N('Deal maths'!H1771),N('Deal maths'!D1771)),0)</f>
        <v/>
      </c>
      <c r="C1771" s="91">
        <f>IF(B1771&gt;0,IF('Deal maths'!C1771="Local authority","Local authorities",LOWER(TRIM('Deal maths'!B1771))),"")</f>
        <v/>
      </c>
      <c r="D1771" s="91">
        <f>IF(C1771="","",IF(COUNTIF($C$4:C1770,C1771)=0,SUMIF($C$4:$C$3997,C1771,$B$4:$B$3997)-ROW()/1000000,""))</f>
        <v/>
      </c>
      <c r="E1771" s="91">
        <f>IF(AND(N('Deal maths'!F1771)&gt;AsAt,N('Deal maths'!E1771)&lt;=AsAt,IF(N('Deal maths'!H1771)&gt;0,N('Deal maths'!H1771),N('Deal maths'!D1771))&gt;0),N('Deal maths'!F1771)+ROW()/1000000,"")</f>
        <v/>
      </c>
    </row>
    <row r="1772">
      <c r="A1772" s="91" t="n"/>
      <c r="B1772" s="111">
        <f>IF(AND(N('Deal maths'!F1772)&gt;AsAt,N('Deal maths'!E1772)&lt;=AsAt),IF(N('Deal maths'!H1772)&gt;0,N('Deal maths'!H1772),N('Deal maths'!D1772)),0)</f>
        <v/>
      </c>
      <c r="C1772" s="91">
        <f>IF(B1772&gt;0,IF('Deal maths'!C1772="Local authority","Local authorities",LOWER(TRIM('Deal maths'!B1772))),"")</f>
        <v/>
      </c>
      <c r="D1772" s="91">
        <f>IF(C1772="","",IF(COUNTIF($C$4:C1771,C1772)=0,SUMIF($C$4:$C$3997,C1772,$B$4:$B$3997)-ROW()/1000000,""))</f>
        <v/>
      </c>
      <c r="E1772" s="91">
        <f>IF(AND(N('Deal maths'!F1772)&gt;AsAt,N('Deal maths'!E1772)&lt;=AsAt,IF(N('Deal maths'!H1772)&gt;0,N('Deal maths'!H1772),N('Deal maths'!D1772))&gt;0),N('Deal maths'!F1772)+ROW()/1000000,"")</f>
        <v/>
      </c>
    </row>
    <row r="1773">
      <c r="A1773" s="91" t="n"/>
      <c r="B1773" s="111">
        <f>IF(AND(N('Deal maths'!F1773)&gt;AsAt,N('Deal maths'!E1773)&lt;=AsAt),IF(N('Deal maths'!H1773)&gt;0,N('Deal maths'!H1773),N('Deal maths'!D1773)),0)</f>
        <v/>
      </c>
      <c r="C1773" s="91">
        <f>IF(B1773&gt;0,IF('Deal maths'!C1773="Local authority","Local authorities",LOWER(TRIM('Deal maths'!B1773))),"")</f>
        <v/>
      </c>
      <c r="D1773" s="91">
        <f>IF(C1773="","",IF(COUNTIF($C$4:C1772,C1773)=0,SUMIF($C$4:$C$3997,C1773,$B$4:$B$3997)-ROW()/1000000,""))</f>
        <v/>
      </c>
      <c r="E1773" s="91">
        <f>IF(AND(N('Deal maths'!F1773)&gt;AsAt,N('Deal maths'!E1773)&lt;=AsAt,IF(N('Deal maths'!H1773)&gt;0,N('Deal maths'!H1773),N('Deal maths'!D1773))&gt;0),N('Deal maths'!F1773)+ROW()/1000000,"")</f>
        <v/>
      </c>
    </row>
    <row r="1774">
      <c r="A1774" s="91" t="n"/>
      <c r="B1774" s="111">
        <f>IF(AND(N('Deal maths'!F1774)&gt;AsAt,N('Deal maths'!E1774)&lt;=AsAt),IF(N('Deal maths'!H1774)&gt;0,N('Deal maths'!H1774),N('Deal maths'!D1774)),0)</f>
        <v/>
      </c>
      <c r="C1774" s="91">
        <f>IF(B1774&gt;0,IF('Deal maths'!C1774="Local authority","Local authorities",LOWER(TRIM('Deal maths'!B1774))),"")</f>
        <v/>
      </c>
      <c r="D1774" s="91">
        <f>IF(C1774="","",IF(COUNTIF($C$4:C1773,C1774)=0,SUMIF($C$4:$C$3997,C1774,$B$4:$B$3997)-ROW()/1000000,""))</f>
        <v/>
      </c>
      <c r="E1774" s="91">
        <f>IF(AND(N('Deal maths'!F1774)&gt;AsAt,N('Deal maths'!E1774)&lt;=AsAt,IF(N('Deal maths'!H1774)&gt;0,N('Deal maths'!H1774),N('Deal maths'!D1774))&gt;0),N('Deal maths'!F1774)+ROW()/1000000,"")</f>
        <v/>
      </c>
    </row>
    <row r="1775">
      <c r="A1775" s="91" t="n"/>
      <c r="B1775" s="111">
        <f>IF(AND(N('Deal maths'!F1775)&gt;AsAt,N('Deal maths'!E1775)&lt;=AsAt),IF(N('Deal maths'!H1775)&gt;0,N('Deal maths'!H1775),N('Deal maths'!D1775)),0)</f>
        <v/>
      </c>
      <c r="C1775" s="91">
        <f>IF(B1775&gt;0,IF('Deal maths'!C1775="Local authority","Local authorities",LOWER(TRIM('Deal maths'!B1775))),"")</f>
        <v/>
      </c>
      <c r="D1775" s="91">
        <f>IF(C1775="","",IF(COUNTIF($C$4:C1774,C1775)=0,SUMIF($C$4:$C$3997,C1775,$B$4:$B$3997)-ROW()/1000000,""))</f>
        <v/>
      </c>
      <c r="E1775" s="91">
        <f>IF(AND(N('Deal maths'!F1775)&gt;AsAt,N('Deal maths'!E1775)&lt;=AsAt,IF(N('Deal maths'!H1775)&gt;0,N('Deal maths'!H1775),N('Deal maths'!D1775))&gt;0),N('Deal maths'!F1775)+ROW()/1000000,"")</f>
        <v/>
      </c>
    </row>
    <row r="1776">
      <c r="A1776" s="91" t="n"/>
      <c r="B1776" s="111">
        <f>IF(AND(N('Deal maths'!F1776)&gt;AsAt,N('Deal maths'!E1776)&lt;=AsAt),IF(N('Deal maths'!H1776)&gt;0,N('Deal maths'!H1776),N('Deal maths'!D1776)),0)</f>
        <v/>
      </c>
      <c r="C1776" s="91">
        <f>IF(B1776&gt;0,IF('Deal maths'!C1776="Local authority","Local authorities",LOWER(TRIM('Deal maths'!B1776))),"")</f>
        <v/>
      </c>
      <c r="D1776" s="91">
        <f>IF(C1776="","",IF(COUNTIF($C$4:C1775,C1776)=0,SUMIF($C$4:$C$3997,C1776,$B$4:$B$3997)-ROW()/1000000,""))</f>
        <v/>
      </c>
      <c r="E1776" s="91">
        <f>IF(AND(N('Deal maths'!F1776)&gt;AsAt,N('Deal maths'!E1776)&lt;=AsAt,IF(N('Deal maths'!H1776)&gt;0,N('Deal maths'!H1776),N('Deal maths'!D1776))&gt;0),N('Deal maths'!F1776)+ROW()/1000000,"")</f>
        <v/>
      </c>
    </row>
    <row r="1777">
      <c r="A1777" s="91" t="n"/>
      <c r="B1777" s="111">
        <f>IF(AND(N('Deal maths'!F1777)&gt;AsAt,N('Deal maths'!E1777)&lt;=AsAt),IF(N('Deal maths'!H1777)&gt;0,N('Deal maths'!H1777),N('Deal maths'!D1777)),0)</f>
        <v/>
      </c>
      <c r="C1777" s="91">
        <f>IF(B1777&gt;0,IF('Deal maths'!C1777="Local authority","Local authorities",LOWER(TRIM('Deal maths'!B1777))),"")</f>
        <v/>
      </c>
      <c r="D1777" s="91">
        <f>IF(C1777="","",IF(COUNTIF($C$4:C1776,C1777)=0,SUMIF($C$4:$C$3997,C1777,$B$4:$B$3997)-ROW()/1000000,""))</f>
        <v/>
      </c>
      <c r="E1777" s="91">
        <f>IF(AND(N('Deal maths'!F1777)&gt;AsAt,N('Deal maths'!E1777)&lt;=AsAt,IF(N('Deal maths'!H1777)&gt;0,N('Deal maths'!H1777),N('Deal maths'!D1777))&gt;0),N('Deal maths'!F1777)+ROW()/1000000,"")</f>
        <v/>
      </c>
    </row>
    <row r="1778">
      <c r="A1778" s="91" t="n"/>
      <c r="B1778" s="111">
        <f>IF(AND(N('Deal maths'!F1778)&gt;AsAt,N('Deal maths'!E1778)&lt;=AsAt),IF(N('Deal maths'!H1778)&gt;0,N('Deal maths'!H1778),N('Deal maths'!D1778)),0)</f>
        <v/>
      </c>
      <c r="C1778" s="91">
        <f>IF(B1778&gt;0,IF('Deal maths'!C1778="Local authority","Local authorities",LOWER(TRIM('Deal maths'!B1778))),"")</f>
        <v/>
      </c>
      <c r="D1778" s="91">
        <f>IF(C1778="","",IF(COUNTIF($C$4:C1777,C1778)=0,SUMIF($C$4:$C$3997,C1778,$B$4:$B$3997)-ROW()/1000000,""))</f>
        <v/>
      </c>
      <c r="E1778" s="91">
        <f>IF(AND(N('Deal maths'!F1778)&gt;AsAt,N('Deal maths'!E1778)&lt;=AsAt,IF(N('Deal maths'!H1778)&gt;0,N('Deal maths'!H1778),N('Deal maths'!D1778))&gt;0),N('Deal maths'!F1778)+ROW()/1000000,"")</f>
        <v/>
      </c>
    </row>
    <row r="1779">
      <c r="A1779" s="91" t="n"/>
      <c r="B1779" s="111">
        <f>IF(AND(N('Deal maths'!F1779)&gt;AsAt,N('Deal maths'!E1779)&lt;=AsAt),IF(N('Deal maths'!H1779)&gt;0,N('Deal maths'!H1779),N('Deal maths'!D1779)),0)</f>
        <v/>
      </c>
      <c r="C1779" s="91">
        <f>IF(B1779&gt;0,IF('Deal maths'!C1779="Local authority","Local authorities",LOWER(TRIM('Deal maths'!B1779))),"")</f>
        <v/>
      </c>
      <c r="D1779" s="91">
        <f>IF(C1779="","",IF(COUNTIF($C$4:C1778,C1779)=0,SUMIF($C$4:$C$3997,C1779,$B$4:$B$3997)-ROW()/1000000,""))</f>
        <v/>
      </c>
      <c r="E1779" s="91">
        <f>IF(AND(N('Deal maths'!F1779)&gt;AsAt,N('Deal maths'!E1779)&lt;=AsAt,IF(N('Deal maths'!H1779)&gt;0,N('Deal maths'!H1779),N('Deal maths'!D1779))&gt;0),N('Deal maths'!F1779)+ROW()/1000000,"")</f>
        <v/>
      </c>
    </row>
    <row r="1780">
      <c r="A1780" s="91" t="n"/>
      <c r="B1780" s="111">
        <f>IF(AND(N('Deal maths'!F1780)&gt;AsAt,N('Deal maths'!E1780)&lt;=AsAt),IF(N('Deal maths'!H1780)&gt;0,N('Deal maths'!H1780),N('Deal maths'!D1780)),0)</f>
        <v/>
      </c>
      <c r="C1780" s="91">
        <f>IF(B1780&gt;0,IF('Deal maths'!C1780="Local authority","Local authorities",LOWER(TRIM('Deal maths'!B1780))),"")</f>
        <v/>
      </c>
      <c r="D1780" s="91">
        <f>IF(C1780="","",IF(COUNTIF($C$4:C1779,C1780)=0,SUMIF($C$4:$C$3997,C1780,$B$4:$B$3997)-ROW()/1000000,""))</f>
        <v/>
      </c>
      <c r="E1780" s="91">
        <f>IF(AND(N('Deal maths'!F1780)&gt;AsAt,N('Deal maths'!E1780)&lt;=AsAt,IF(N('Deal maths'!H1780)&gt;0,N('Deal maths'!H1780),N('Deal maths'!D1780))&gt;0),N('Deal maths'!F1780)+ROW()/1000000,"")</f>
        <v/>
      </c>
    </row>
    <row r="1781">
      <c r="A1781" s="91" t="n"/>
      <c r="B1781" s="111">
        <f>IF(AND(N('Deal maths'!F1781)&gt;AsAt,N('Deal maths'!E1781)&lt;=AsAt),IF(N('Deal maths'!H1781)&gt;0,N('Deal maths'!H1781),N('Deal maths'!D1781)),0)</f>
        <v/>
      </c>
      <c r="C1781" s="91">
        <f>IF(B1781&gt;0,IF('Deal maths'!C1781="Local authority","Local authorities",LOWER(TRIM('Deal maths'!B1781))),"")</f>
        <v/>
      </c>
      <c r="D1781" s="91">
        <f>IF(C1781="","",IF(COUNTIF($C$4:C1780,C1781)=0,SUMIF($C$4:$C$3997,C1781,$B$4:$B$3997)-ROW()/1000000,""))</f>
        <v/>
      </c>
      <c r="E1781" s="91">
        <f>IF(AND(N('Deal maths'!F1781)&gt;AsAt,N('Deal maths'!E1781)&lt;=AsAt,IF(N('Deal maths'!H1781)&gt;0,N('Deal maths'!H1781),N('Deal maths'!D1781))&gt;0),N('Deal maths'!F1781)+ROW()/1000000,"")</f>
        <v/>
      </c>
    </row>
    <row r="1782">
      <c r="A1782" s="91" t="n"/>
      <c r="B1782" s="111">
        <f>IF(AND(N('Deal maths'!F1782)&gt;AsAt,N('Deal maths'!E1782)&lt;=AsAt),IF(N('Deal maths'!H1782)&gt;0,N('Deal maths'!H1782),N('Deal maths'!D1782)),0)</f>
        <v/>
      </c>
      <c r="C1782" s="91">
        <f>IF(B1782&gt;0,IF('Deal maths'!C1782="Local authority","Local authorities",LOWER(TRIM('Deal maths'!B1782))),"")</f>
        <v/>
      </c>
      <c r="D1782" s="91">
        <f>IF(C1782="","",IF(COUNTIF($C$4:C1781,C1782)=0,SUMIF($C$4:$C$3997,C1782,$B$4:$B$3997)-ROW()/1000000,""))</f>
        <v/>
      </c>
      <c r="E1782" s="91">
        <f>IF(AND(N('Deal maths'!F1782)&gt;AsAt,N('Deal maths'!E1782)&lt;=AsAt,IF(N('Deal maths'!H1782)&gt;0,N('Deal maths'!H1782),N('Deal maths'!D1782))&gt;0),N('Deal maths'!F1782)+ROW()/1000000,"")</f>
        <v/>
      </c>
    </row>
    <row r="1783">
      <c r="A1783" s="91" t="n"/>
      <c r="B1783" s="111">
        <f>IF(AND(N('Deal maths'!F1783)&gt;AsAt,N('Deal maths'!E1783)&lt;=AsAt),IF(N('Deal maths'!H1783)&gt;0,N('Deal maths'!H1783),N('Deal maths'!D1783)),0)</f>
        <v/>
      </c>
      <c r="C1783" s="91">
        <f>IF(B1783&gt;0,IF('Deal maths'!C1783="Local authority","Local authorities",LOWER(TRIM('Deal maths'!B1783))),"")</f>
        <v/>
      </c>
      <c r="D1783" s="91">
        <f>IF(C1783="","",IF(COUNTIF($C$4:C1782,C1783)=0,SUMIF($C$4:$C$3997,C1783,$B$4:$B$3997)-ROW()/1000000,""))</f>
        <v/>
      </c>
      <c r="E1783" s="91">
        <f>IF(AND(N('Deal maths'!F1783)&gt;AsAt,N('Deal maths'!E1783)&lt;=AsAt,IF(N('Deal maths'!H1783)&gt;0,N('Deal maths'!H1783),N('Deal maths'!D1783))&gt;0),N('Deal maths'!F1783)+ROW()/1000000,"")</f>
        <v/>
      </c>
    </row>
    <row r="1784">
      <c r="A1784" s="91" t="n"/>
      <c r="B1784" s="111">
        <f>IF(AND(N('Deal maths'!F1784)&gt;AsAt,N('Deal maths'!E1784)&lt;=AsAt),IF(N('Deal maths'!H1784)&gt;0,N('Deal maths'!H1784),N('Deal maths'!D1784)),0)</f>
        <v/>
      </c>
      <c r="C1784" s="91">
        <f>IF(B1784&gt;0,IF('Deal maths'!C1784="Local authority","Local authorities",LOWER(TRIM('Deal maths'!B1784))),"")</f>
        <v/>
      </c>
      <c r="D1784" s="91">
        <f>IF(C1784="","",IF(COUNTIF($C$4:C1783,C1784)=0,SUMIF($C$4:$C$3997,C1784,$B$4:$B$3997)-ROW()/1000000,""))</f>
        <v/>
      </c>
      <c r="E1784" s="91">
        <f>IF(AND(N('Deal maths'!F1784)&gt;AsAt,N('Deal maths'!E1784)&lt;=AsAt,IF(N('Deal maths'!H1784)&gt;0,N('Deal maths'!H1784),N('Deal maths'!D1784))&gt;0),N('Deal maths'!F1784)+ROW()/1000000,"")</f>
        <v/>
      </c>
    </row>
    <row r="1785">
      <c r="A1785" s="91" t="n"/>
      <c r="B1785" s="111">
        <f>IF(AND(N('Deal maths'!F1785)&gt;AsAt,N('Deal maths'!E1785)&lt;=AsAt),IF(N('Deal maths'!H1785)&gt;0,N('Deal maths'!H1785),N('Deal maths'!D1785)),0)</f>
        <v/>
      </c>
      <c r="C1785" s="91">
        <f>IF(B1785&gt;0,IF('Deal maths'!C1785="Local authority","Local authorities",LOWER(TRIM('Deal maths'!B1785))),"")</f>
        <v/>
      </c>
      <c r="D1785" s="91">
        <f>IF(C1785="","",IF(COUNTIF($C$4:C1784,C1785)=0,SUMIF($C$4:$C$3997,C1785,$B$4:$B$3997)-ROW()/1000000,""))</f>
        <v/>
      </c>
      <c r="E1785" s="91">
        <f>IF(AND(N('Deal maths'!F1785)&gt;AsAt,N('Deal maths'!E1785)&lt;=AsAt,IF(N('Deal maths'!H1785)&gt;0,N('Deal maths'!H1785),N('Deal maths'!D1785))&gt;0),N('Deal maths'!F1785)+ROW()/1000000,"")</f>
        <v/>
      </c>
    </row>
    <row r="1786">
      <c r="A1786" s="91" t="n"/>
      <c r="B1786" s="111">
        <f>IF(AND(N('Deal maths'!F1786)&gt;AsAt,N('Deal maths'!E1786)&lt;=AsAt),IF(N('Deal maths'!H1786)&gt;0,N('Deal maths'!H1786),N('Deal maths'!D1786)),0)</f>
        <v/>
      </c>
      <c r="C1786" s="91">
        <f>IF(B1786&gt;0,IF('Deal maths'!C1786="Local authority","Local authorities",LOWER(TRIM('Deal maths'!B1786))),"")</f>
        <v/>
      </c>
      <c r="D1786" s="91">
        <f>IF(C1786="","",IF(COUNTIF($C$4:C1785,C1786)=0,SUMIF($C$4:$C$3997,C1786,$B$4:$B$3997)-ROW()/1000000,""))</f>
        <v/>
      </c>
      <c r="E1786" s="91">
        <f>IF(AND(N('Deal maths'!F1786)&gt;AsAt,N('Deal maths'!E1786)&lt;=AsAt,IF(N('Deal maths'!H1786)&gt;0,N('Deal maths'!H1786),N('Deal maths'!D1786))&gt;0),N('Deal maths'!F1786)+ROW()/1000000,"")</f>
        <v/>
      </c>
    </row>
    <row r="1787">
      <c r="A1787" s="91" t="n"/>
      <c r="B1787" s="111">
        <f>IF(AND(N('Deal maths'!F1787)&gt;AsAt,N('Deal maths'!E1787)&lt;=AsAt),IF(N('Deal maths'!H1787)&gt;0,N('Deal maths'!H1787),N('Deal maths'!D1787)),0)</f>
        <v/>
      </c>
      <c r="C1787" s="91">
        <f>IF(B1787&gt;0,IF('Deal maths'!C1787="Local authority","Local authorities",LOWER(TRIM('Deal maths'!B1787))),"")</f>
        <v/>
      </c>
      <c r="D1787" s="91">
        <f>IF(C1787="","",IF(COUNTIF($C$4:C1786,C1787)=0,SUMIF($C$4:$C$3997,C1787,$B$4:$B$3997)-ROW()/1000000,""))</f>
        <v/>
      </c>
      <c r="E1787" s="91">
        <f>IF(AND(N('Deal maths'!F1787)&gt;AsAt,N('Deal maths'!E1787)&lt;=AsAt,IF(N('Deal maths'!H1787)&gt;0,N('Deal maths'!H1787),N('Deal maths'!D1787))&gt;0),N('Deal maths'!F1787)+ROW()/1000000,"")</f>
        <v/>
      </c>
    </row>
    <row r="1788">
      <c r="A1788" s="91" t="n"/>
      <c r="B1788" s="111">
        <f>IF(AND(N('Deal maths'!F1788)&gt;AsAt,N('Deal maths'!E1788)&lt;=AsAt),IF(N('Deal maths'!H1788)&gt;0,N('Deal maths'!H1788),N('Deal maths'!D1788)),0)</f>
        <v/>
      </c>
      <c r="C1788" s="91">
        <f>IF(B1788&gt;0,IF('Deal maths'!C1788="Local authority","Local authorities",LOWER(TRIM('Deal maths'!B1788))),"")</f>
        <v/>
      </c>
      <c r="D1788" s="91">
        <f>IF(C1788="","",IF(COUNTIF($C$4:C1787,C1788)=0,SUMIF($C$4:$C$3997,C1788,$B$4:$B$3997)-ROW()/1000000,""))</f>
        <v/>
      </c>
      <c r="E1788" s="91">
        <f>IF(AND(N('Deal maths'!F1788)&gt;AsAt,N('Deal maths'!E1788)&lt;=AsAt,IF(N('Deal maths'!H1788)&gt;0,N('Deal maths'!H1788),N('Deal maths'!D1788))&gt;0),N('Deal maths'!F1788)+ROW()/1000000,"")</f>
        <v/>
      </c>
    </row>
    <row r="1789">
      <c r="A1789" s="91" t="n"/>
      <c r="B1789" s="111">
        <f>IF(AND(N('Deal maths'!F1789)&gt;AsAt,N('Deal maths'!E1789)&lt;=AsAt),IF(N('Deal maths'!H1789)&gt;0,N('Deal maths'!H1789),N('Deal maths'!D1789)),0)</f>
        <v/>
      </c>
      <c r="C1789" s="91">
        <f>IF(B1789&gt;0,IF('Deal maths'!C1789="Local authority","Local authorities",LOWER(TRIM('Deal maths'!B1789))),"")</f>
        <v/>
      </c>
      <c r="D1789" s="91">
        <f>IF(C1789="","",IF(COUNTIF($C$4:C1788,C1789)=0,SUMIF($C$4:$C$3997,C1789,$B$4:$B$3997)-ROW()/1000000,""))</f>
        <v/>
      </c>
      <c r="E1789" s="91">
        <f>IF(AND(N('Deal maths'!F1789)&gt;AsAt,N('Deal maths'!E1789)&lt;=AsAt,IF(N('Deal maths'!H1789)&gt;0,N('Deal maths'!H1789),N('Deal maths'!D1789))&gt;0),N('Deal maths'!F1789)+ROW()/1000000,"")</f>
        <v/>
      </c>
    </row>
    <row r="1790">
      <c r="A1790" s="91" t="n"/>
      <c r="B1790" s="111">
        <f>IF(AND(N('Deal maths'!F1790)&gt;AsAt,N('Deal maths'!E1790)&lt;=AsAt),IF(N('Deal maths'!H1790)&gt;0,N('Deal maths'!H1790),N('Deal maths'!D1790)),0)</f>
        <v/>
      </c>
      <c r="C1790" s="91">
        <f>IF(B1790&gt;0,IF('Deal maths'!C1790="Local authority","Local authorities",LOWER(TRIM('Deal maths'!B1790))),"")</f>
        <v/>
      </c>
      <c r="D1790" s="91">
        <f>IF(C1790="","",IF(COUNTIF($C$4:C1789,C1790)=0,SUMIF($C$4:$C$3997,C1790,$B$4:$B$3997)-ROW()/1000000,""))</f>
        <v/>
      </c>
      <c r="E1790" s="91">
        <f>IF(AND(N('Deal maths'!F1790)&gt;AsAt,N('Deal maths'!E1790)&lt;=AsAt,IF(N('Deal maths'!H1790)&gt;0,N('Deal maths'!H1790),N('Deal maths'!D1790))&gt;0),N('Deal maths'!F1790)+ROW()/1000000,"")</f>
        <v/>
      </c>
    </row>
    <row r="1791">
      <c r="A1791" s="91" t="n"/>
      <c r="B1791" s="111">
        <f>IF(AND(N('Deal maths'!F1791)&gt;AsAt,N('Deal maths'!E1791)&lt;=AsAt),IF(N('Deal maths'!H1791)&gt;0,N('Deal maths'!H1791),N('Deal maths'!D1791)),0)</f>
        <v/>
      </c>
      <c r="C1791" s="91">
        <f>IF(B1791&gt;0,IF('Deal maths'!C1791="Local authority","Local authorities",LOWER(TRIM('Deal maths'!B1791))),"")</f>
        <v/>
      </c>
      <c r="D1791" s="91">
        <f>IF(C1791="","",IF(COUNTIF($C$4:C1790,C1791)=0,SUMIF($C$4:$C$3997,C1791,$B$4:$B$3997)-ROW()/1000000,""))</f>
        <v/>
      </c>
      <c r="E1791" s="91">
        <f>IF(AND(N('Deal maths'!F1791)&gt;AsAt,N('Deal maths'!E1791)&lt;=AsAt,IF(N('Deal maths'!H1791)&gt;0,N('Deal maths'!H1791),N('Deal maths'!D1791))&gt;0),N('Deal maths'!F1791)+ROW()/1000000,"")</f>
        <v/>
      </c>
    </row>
    <row r="1792">
      <c r="A1792" s="91" t="n"/>
      <c r="B1792" s="111">
        <f>IF(AND(N('Deal maths'!F1792)&gt;AsAt,N('Deal maths'!E1792)&lt;=AsAt),IF(N('Deal maths'!H1792)&gt;0,N('Deal maths'!H1792),N('Deal maths'!D1792)),0)</f>
        <v/>
      </c>
      <c r="C1792" s="91">
        <f>IF(B1792&gt;0,IF('Deal maths'!C1792="Local authority","Local authorities",LOWER(TRIM('Deal maths'!B1792))),"")</f>
        <v/>
      </c>
      <c r="D1792" s="91">
        <f>IF(C1792="","",IF(COUNTIF($C$4:C1791,C1792)=0,SUMIF($C$4:$C$3997,C1792,$B$4:$B$3997)-ROW()/1000000,""))</f>
        <v/>
      </c>
      <c r="E1792" s="91">
        <f>IF(AND(N('Deal maths'!F1792)&gt;AsAt,N('Deal maths'!E1792)&lt;=AsAt,IF(N('Deal maths'!H1792)&gt;0,N('Deal maths'!H1792),N('Deal maths'!D1792))&gt;0),N('Deal maths'!F1792)+ROW()/1000000,"")</f>
        <v/>
      </c>
    </row>
    <row r="1793">
      <c r="A1793" s="91" t="n"/>
      <c r="B1793" s="111">
        <f>IF(AND(N('Deal maths'!F1793)&gt;AsAt,N('Deal maths'!E1793)&lt;=AsAt),IF(N('Deal maths'!H1793)&gt;0,N('Deal maths'!H1793),N('Deal maths'!D1793)),0)</f>
        <v/>
      </c>
      <c r="C1793" s="91">
        <f>IF(B1793&gt;0,IF('Deal maths'!C1793="Local authority","Local authorities",LOWER(TRIM('Deal maths'!B1793))),"")</f>
        <v/>
      </c>
      <c r="D1793" s="91">
        <f>IF(C1793="","",IF(COUNTIF($C$4:C1792,C1793)=0,SUMIF($C$4:$C$3997,C1793,$B$4:$B$3997)-ROW()/1000000,""))</f>
        <v/>
      </c>
      <c r="E1793" s="91">
        <f>IF(AND(N('Deal maths'!F1793)&gt;AsAt,N('Deal maths'!E1793)&lt;=AsAt,IF(N('Deal maths'!H1793)&gt;0,N('Deal maths'!H1793),N('Deal maths'!D1793))&gt;0),N('Deal maths'!F1793)+ROW()/1000000,"")</f>
        <v/>
      </c>
    </row>
    <row r="1794">
      <c r="A1794" s="91" t="n"/>
      <c r="B1794" s="111">
        <f>IF(AND(N('Deal maths'!F1794)&gt;AsAt,N('Deal maths'!E1794)&lt;=AsAt),IF(N('Deal maths'!H1794)&gt;0,N('Deal maths'!H1794),N('Deal maths'!D1794)),0)</f>
        <v/>
      </c>
      <c r="C1794" s="91">
        <f>IF(B1794&gt;0,IF('Deal maths'!C1794="Local authority","Local authorities",LOWER(TRIM('Deal maths'!B1794))),"")</f>
        <v/>
      </c>
      <c r="D1794" s="91">
        <f>IF(C1794="","",IF(COUNTIF($C$4:C1793,C1794)=0,SUMIF($C$4:$C$3997,C1794,$B$4:$B$3997)-ROW()/1000000,""))</f>
        <v/>
      </c>
      <c r="E1794" s="91">
        <f>IF(AND(N('Deal maths'!F1794)&gt;AsAt,N('Deal maths'!E1794)&lt;=AsAt,IF(N('Deal maths'!H1794)&gt;0,N('Deal maths'!H1794),N('Deal maths'!D1794))&gt;0),N('Deal maths'!F1794)+ROW()/1000000,"")</f>
        <v/>
      </c>
    </row>
    <row r="1795">
      <c r="A1795" s="91" t="n"/>
      <c r="B1795" s="111">
        <f>IF(AND(N('Deal maths'!F1795)&gt;AsAt,N('Deal maths'!E1795)&lt;=AsAt),IF(N('Deal maths'!H1795)&gt;0,N('Deal maths'!H1795),N('Deal maths'!D1795)),0)</f>
        <v/>
      </c>
      <c r="C1795" s="91">
        <f>IF(B1795&gt;0,IF('Deal maths'!C1795="Local authority","Local authorities",LOWER(TRIM('Deal maths'!B1795))),"")</f>
        <v/>
      </c>
      <c r="D1795" s="91">
        <f>IF(C1795="","",IF(COUNTIF($C$4:C1794,C1795)=0,SUMIF($C$4:$C$3997,C1795,$B$4:$B$3997)-ROW()/1000000,""))</f>
        <v/>
      </c>
      <c r="E1795" s="91">
        <f>IF(AND(N('Deal maths'!F1795)&gt;AsAt,N('Deal maths'!E1795)&lt;=AsAt,IF(N('Deal maths'!H1795)&gt;0,N('Deal maths'!H1795),N('Deal maths'!D1795))&gt;0),N('Deal maths'!F1795)+ROW()/1000000,"")</f>
        <v/>
      </c>
    </row>
    <row r="1796">
      <c r="A1796" s="91" t="n"/>
      <c r="B1796" s="111">
        <f>IF(AND(N('Deal maths'!F1796)&gt;AsAt,N('Deal maths'!E1796)&lt;=AsAt),IF(N('Deal maths'!H1796)&gt;0,N('Deal maths'!H1796),N('Deal maths'!D1796)),0)</f>
        <v/>
      </c>
      <c r="C1796" s="91">
        <f>IF(B1796&gt;0,IF('Deal maths'!C1796="Local authority","Local authorities",LOWER(TRIM('Deal maths'!B1796))),"")</f>
        <v/>
      </c>
      <c r="D1796" s="91">
        <f>IF(C1796="","",IF(COUNTIF($C$4:C1795,C1796)=0,SUMIF($C$4:$C$3997,C1796,$B$4:$B$3997)-ROW()/1000000,""))</f>
        <v/>
      </c>
      <c r="E1796" s="91">
        <f>IF(AND(N('Deal maths'!F1796)&gt;AsAt,N('Deal maths'!E1796)&lt;=AsAt,IF(N('Deal maths'!H1796)&gt;0,N('Deal maths'!H1796),N('Deal maths'!D1796))&gt;0),N('Deal maths'!F1796)+ROW()/1000000,"")</f>
        <v/>
      </c>
    </row>
    <row r="1797">
      <c r="A1797" s="91" t="n"/>
      <c r="B1797" s="111">
        <f>IF(AND(N('Deal maths'!F1797)&gt;AsAt,N('Deal maths'!E1797)&lt;=AsAt),IF(N('Deal maths'!H1797)&gt;0,N('Deal maths'!H1797),N('Deal maths'!D1797)),0)</f>
        <v/>
      </c>
      <c r="C1797" s="91">
        <f>IF(B1797&gt;0,IF('Deal maths'!C1797="Local authority","Local authorities",LOWER(TRIM('Deal maths'!B1797))),"")</f>
        <v/>
      </c>
      <c r="D1797" s="91">
        <f>IF(C1797="","",IF(COUNTIF($C$4:C1796,C1797)=0,SUMIF($C$4:$C$3997,C1797,$B$4:$B$3997)-ROW()/1000000,""))</f>
        <v/>
      </c>
      <c r="E1797" s="91">
        <f>IF(AND(N('Deal maths'!F1797)&gt;AsAt,N('Deal maths'!E1797)&lt;=AsAt,IF(N('Deal maths'!H1797)&gt;0,N('Deal maths'!H1797),N('Deal maths'!D1797))&gt;0),N('Deal maths'!F1797)+ROW()/1000000,"")</f>
        <v/>
      </c>
    </row>
    <row r="1798">
      <c r="A1798" s="91" t="n"/>
      <c r="B1798" s="111">
        <f>IF(AND(N('Deal maths'!F1798)&gt;AsAt,N('Deal maths'!E1798)&lt;=AsAt),IF(N('Deal maths'!H1798)&gt;0,N('Deal maths'!H1798),N('Deal maths'!D1798)),0)</f>
        <v/>
      </c>
      <c r="C1798" s="91">
        <f>IF(B1798&gt;0,IF('Deal maths'!C1798="Local authority","Local authorities",LOWER(TRIM('Deal maths'!B1798))),"")</f>
        <v/>
      </c>
      <c r="D1798" s="91">
        <f>IF(C1798="","",IF(COUNTIF($C$4:C1797,C1798)=0,SUMIF($C$4:$C$3997,C1798,$B$4:$B$3997)-ROW()/1000000,""))</f>
        <v/>
      </c>
      <c r="E1798" s="91">
        <f>IF(AND(N('Deal maths'!F1798)&gt;AsAt,N('Deal maths'!E1798)&lt;=AsAt,IF(N('Deal maths'!H1798)&gt;0,N('Deal maths'!H1798),N('Deal maths'!D1798))&gt;0),N('Deal maths'!F1798)+ROW()/1000000,"")</f>
        <v/>
      </c>
    </row>
    <row r="1799">
      <c r="A1799" s="91" t="n"/>
      <c r="B1799" s="111">
        <f>IF(AND(N('Deal maths'!F1799)&gt;AsAt,N('Deal maths'!E1799)&lt;=AsAt),IF(N('Deal maths'!H1799)&gt;0,N('Deal maths'!H1799),N('Deal maths'!D1799)),0)</f>
        <v/>
      </c>
      <c r="C1799" s="91">
        <f>IF(B1799&gt;0,IF('Deal maths'!C1799="Local authority","Local authorities",LOWER(TRIM('Deal maths'!B1799))),"")</f>
        <v/>
      </c>
      <c r="D1799" s="91">
        <f>IF(C1799="","",IF(COUNTIF($C$4:C1798,C1799)=0,SUMIF($C$4:$C$3997,C1799,$B$4:$B$3997)-ROW()/1000000,""))</f>
        <v/>
      </c>
      <c r="E1799" s="91">
        <f>IF(AND(N('Deal maths'!F1799)&gt;AsAt,N('Deal maths'!E1799)&lt;=AsAt,IF(N('Deal maths'!H1799)&gt;0,N('Deal maths'!H1799),N('Deal maths'!D1799))&gt;0),N('Deal maths'!F1799)+ROW()/1000000,"")</f>
        <v/>
      </c>
    </row>
    <row r="1800">
      <c r="A1800" s="91" t="n"/>
      <c r="B1800" s="111">
        <f>IF(AND(N('Deal maths'!F1800)&gt;AsAt,N('Deal maths'!E1800)&lt;=AsAt),IF(N('Deal maths'!H1800)&gt;0,N('Deal maths'!H1800),N('Deal maths'!D1800)),0)</f>
        <v/>
      </c>
      <c r="C1800" s="91">
        <f>IF(B1800&gt;0,IF('Deal maths'!C1800="Local authority","Local authorities",LOWER(TRIM('Deal maths'!B1800))),"")</f>
        <v/>
      </c>
      <c r="D1800" s="91">
        <f>IF(C1800="","",IF(COUNTIF($C$4:C1799,C1800)=0,SUMIF($C$4:$C$3997,C1800,$B$4:$B$3997)-ROW()/1000000,""))</f>
        <v/>
      </c>
      <c r="E1800" s="91">
        <f>IF(AND(N('Deal maths'!F1800)&gt;AsAt,N('Deal maths'!E1800)&lt;=AsAt,IF(N('Deal maths'!H1800)&gt;0,N('Deal maths'!H1800),N('Deal maths'!D1800))&gt;0),N('Deal maths'!F1800)+ROW()/1000000,"")</f>
        <v/>
      </c>
    </row>
    <row r="1801">
      <c r="A1801" s="91" t="n"/>
      <c r="B1801" s="111">
        <f>IF(AND(N('Deal maths'!F1801)&gt;AsAt,N('Deal maths'!E1801)&lt;=AsAt),IF(N('Deal maths'!H1801)&gt;0,N('Deal maths'!H1801),N('Deal maths'!D1801)),0)</f>
        <v/>
      </c>
      <c r="C1801" s="91">
        <f>IF(B1801&gt;0,IF('Deal maths'!C1801="Local authority","Local authorities",LOWER(TRIM('Deal maths'!B1801))),"")</f>
        <v/>
      </c>
      <c r="D1801" s="91">
        <f>IF(C1801="","",IF(COUNTIF($C$4:C1800,C1801)=0,SUMIF($C$4:$C$3997,C1801,$B$4:$B$3997)-ROW()/1000000,""))</f>
        <v/>
      </c>
      <c r="E1801" s="91">
        <f>IF(AND(N('Deal maths'!F1801)&gt;AsAt,N('Deal maths'!E1801)&lt;=AsAt,IF(N('Deal maths'!H1801)&gt;0,N('Deal maths'!H1801),N('Deal maths'!D1801))&gt;0),N('Deal maths'!F1801)+ROW()/1000000,"")</f>
        <v/>
      </c>
    </row>
    <row r="1802">
      <c r="A1802" s="91" t="n"/>
      <c r="B1802" s="111">
        <f>IF(AND(N('Deal maths'!F1802)&gt;AsAt,N('Deal maths'!E1802)&lt;=AsAt),IF(N('Deal maths'!H1802)&gt;0,N('Deal maths'!H1802),N('Deal maths'!D1802)),0)</f>
        <v/>
      </c>
      <c r="C1802" s="91">
        <f>IF(B1802&gt;0,IF('Deal maths'!C1802="Local authority","Local authorities",LOWER(TRIM('Deal maths'!B1802))),"")</f>
        <v/>
      </c>
      <c r="D1802" s="91">
        <f>IF(C1802="","",IF(COUNTIF($C$4:C1801,C1802)=0,SUMIF($C$4:$C$3997,C1802,$B$4:$B$3997)-ROW()/1000000,""))</f>
        <v/>
      </c>
      <c r="E1802" s="91">
        <f>IF(AND(N('Deal maths'!F1802)&gt;AsAt,N('Deal maths'!E1802)&lt;=AsAt,IF(N('Deal maths'!H1802)&gt;0,N('Deal maths'!H1802),N('Deal maths'!D1802))&gt;0),N('Deal maths'!F1802)+ROW()/1000000,"")</f>
        <v/>
      </c>
    </row>
    <row r="1803">
      <c r="A1803" s="91" t="n"/>
      <c r="B1803" s="111">
        <f>IF(AND(N('Deal maths'!F1803)&gt;AsAt,N('Deal maths'!E1803)&lt;=AsAt),IF(N('Deal maths'!H1803)&gt;0,N('Deal maths'!H1803),N('Deal maths'!D1803)),0)</f>
        <v/>
      </c>
      <c r="C1803" s="91">
        <f>IF(B1803&gt;0,IF('Deal maths'!C1803="Local authority","Local authorities",LOWER(TRIM('Deal maths'!B1803))),"")</f>
        <v/>
      </c>
      <c r="D1803" s="91">
        <f>IF(C1803="","",IF(COUNTIF($C$4:C1802,C1803)=0,SUMIF($C$4:$C$3997,C1803,$B$4:$B$3997)-ROW()/1000000,""))</f>
        <v/>
      </c>
      <c r="E1803" s="91">
        <f>IF(AND(N('Deal maths'!F1803)&gt;AsAt,N('Deal maths'!E1803)&lt;=AsAt,IF(N('Deal maths'!H1803)&gt;0,N('Deal maths'!H1803),N('Deal maths'!D1803))&gt;0),N('Deal maths'!F1803)+ROW()/1000000,"")</f>
        <v/>
      </c>
    </row>
    <row r="1804">
      <c r="A1804" s="91" t="n"/>
      <c r="B1804" s="111">
        <f>IF(AND(N('Deal maths'!F1804)&gt;AsAt,N('Deal maths'!E1804)&lt;=AsAt),IF(N('Deal maths'!H1804)&gt;0,N('Deal maths'!H1804),N('Deal maths'!D1804)),0)</f>
        <v/>
      </c>
      <c r="C1804" s="91">
        <f>IF(B1804&gt;0,IF('Deal maths'!C1804="Local authority","Local authorities",LOWER(TRIM('Deal maths'!B1804))),"")</f>
        <v/>
      </c>
      <c r="D1804" s="91">
        <f>IF(C1804="","",IF(COUNTIF($C$4:C1803,C1804)=0,SUMIF($C$4:$C$3997,C1804,$B$4:$B$3997)-ROW()/1000000,""))</f>
        <v/>
      </c>
      <c r="E1804" s="91">
        <f>IF(AND(N('Deal maths'!F1804)&gt;AsAt,N('Deal maths'!E1804)&lt;=AsAt,IF(N('Deal maths'!H1804)&gt;0,N('Deal maths'!H1804),N('Deal maths'!D1804))&gt;0),N('Deal maths'!F1804)+ROW()/1000000,"")</f>
        <v/>
      </c>
    </row>
    <row r="1805">
      <c r="A1805" s="91" t="n"/>
      <c r="B1805" s="111">
        <f>IF(AND(N('Deal maths'!F1805)&gt;AsAt,N('Deal maths'!E1805)&lt;=AsAt),IF(N('Deal maths'!H1805)&gt;0,N('Deal maths'!H1805),N('Deal maths'!D1805)),0)</f>
        <v/>
      </c>
      <c r="C1805" s="91">
        <f>IF(B1805&gt;0,IF('Deal maths'!C1805="Local authority","Local authorities",LOWER(TRIM('Deal maths'!B1805))),"")</f>
        <v/>
      </c>
      <c r="D1805" s="91">
        <f>IF(C1805="","",IF(COUNTIF($C$4:C1804,C1805)=0,SUMIF($C$4:$C$3997,C1805,$B$4:$B$3997)-ROW()/1000000,""))</f>
        <v/>
      </c>
      <c r="E1805" s="91">
        <f>IF(AND(N('Deal maths'!F1805)&gt;AsAt,N('Deal maths'!E1805)&lt;=AsAt,IF(N('Deal maths'!H1805)&gt;0,N('Deal maths'!H1805),N('Deal maths'!D1805))&gt;0),N('Deal maths'!F1805)+ROW()/1000000,"")</f>
        <v/>
      </c>
    </row>
    <row r="1806">
      <c r="A1806" s="91" t="n"/>
      <c r="B1806" s="111">
        <f>IF(AND(N('Deal maths'!F1806)&gt;AsAt,N('Deal maths'!E1806)&lt;=AsAt),IF(N('Deal maths'!H1806)&gt;0,N('Deal maths'!H1806),N('Deal maths'!D1806)),0)</f>
        <v/>
      </c>
      <c r="C1806" s="91">
        <f>IF(B1806&gt;0,IF('Deal maths'!C1806="Local authority","Local authorities",LOWER(TRIM('Deal maths'!B1806))),"")</f>
        <v/>
      </c>
      <c r="D1806" s="91">
        <f>IF(C1806="","",IF(COUNTIF($C$4:C1805,C1806)=0,SUMIF($C$4:$C$3997,C1806,$B$4:$B$3997)-ROW()/1000000,""))</f>
        <v/>
      </c>
      <c r="E1806" s="91">
        <f>IF(AND(N('Deal maths'!F1806)&gt;AsAt,N('Deal maths'!E1806)&lt;=AsAt,IF(N('Deal maths'!H1806)&gt;0,N('Deal maths'!H1806),N('Deal maths'!D1806))&gt;0),N('Deal maths'!F1806)+ROW()/1000000,"")</f>
        <v/>
      </c>
    </row>
    <row r="1807">
      <c r="A1807" s="91" t="n"/>
      <c r="B1807" s="111">
        <f>IF(AND(N('Deal maths'!F1807)&gt;AsAt,N('Deal maths'!E1807)&lt;=AsAt),IF(N('Deal maths'!H1807)&gt;0,N('Deal maths'!H1807),N('Deal maths'!D1807)),0)</f>
        <v/>
      </c>
      <c r="C1807" s="91">
        <f>IF(B1807&gt;0,IF('Deal maths'!C1807="Local authority","Local authorities",LOWER(TRIM('Deal maths'!B1807))),"")</f>
        <v/>
      </c>
      <c r="D1807" s="91">
        <f>IF(C1807="","",IF(COUNTIF($C$4:C1806,C1807)=0,SUMIF($C$4:$C$3997,C1807,$B$4:$B$3997)-ROW()/1000000,""))</f>
        <v/>
      </c>
      <c r="E1807" s="91">
        <f>IF(AND(N('Deal maths'!F1807)&gt;AsAt,N('Deal maths'!E1807)&lt;=AsAt,IF(N('Deal maths'!H1807)&gt;0,N('Deal maths'!H1807),N('Deal maths'!D1807))&gt;0),N('Deal maths'!F1807)+ROW()/1000000,"")</f>
        <v/>
      </c>
    </row>
    <row r="1808">
      <c r="A1808" s="91" t="n"/>
      <c r="B1808" s="111">
        <f>IF(AND(N('Deal maths'!F1808)&gt;AsAt,N('Deal maths'!E1808)&lt;=AsAt),IF(N('Deal maths'!H1808)&gt;0,N('Deal maths'!H1808),N('Deal maths'!D1808)),0)</f>
        <v/>
      </c>
      <c r="C1808" s="91">
        <f>IF(B1808&gt;0,IF('Deal maths'!C1808="Local authority","Local authorities",LOWER(TRIM('Deal maths'!B1808))),"")</f>
        <v/>
      </c>
      <c r="D1808" s="91">
        <f>IF(C1808="","",IF(COUNTIF($C$4:C1807,C1808)=0,SUMIF($C$4:$C$3997,C1808,$B$4:$B$3997)-ROW()/1000000,""))</f>
        <v/>
      </c>
      <c r="E1808" s="91">
        <f>IF(AND(N('Deal maths'!F1808)&gt;AsAt,N('Deal maths'!E1808)&lt;=AsAt,IF(N('Deal maths'!H1808)&gt;0,N('Deal maths'!H1808),N('Deal maths'!D1808))&gt;0),N('Deal maths'!F1808)+ROW()/1000000,"")</f>
        <v/>
      </c>
    </row>
    <row r="1809">
      <c r="A1809" s="91" t="n"/>
      <c r="B1809" s="111">
        <f>IF(AND(N('Deal maths'!F1809)&gt;AsAt,N('Deal maths'!E1809)&lt;=AsAt),IF(N('Deal maths'!H1809)&gt;0,N('Deal maths'!H1809),N('Deal maths'!D1809)),0)</f>
        <v/>
      </c>
      <c r="C1809" s="91">
        <f>IF(B1809&gt;0,IF('Deal maths'!C1809="Local authority","Local authorities",LOWER(TRIM('Deal maths'!B1809))),"")</f>
        <v/>
      </c>
      <c r="D1809" s="91">
        <f>IF(C1809="","",IF(COUNTIF($C$4:C1808,C1809)=0,SUMIF($C$4:$C$3997,C1809,$B$4:$B$3997)-ROW()/1000000,""))</f>
        <v/>
      </c>
      <c r="E1809" s="91">
        <f>IF(AND(N('Deal maths'!F1809)&gt;AsAt,N('Deal maths'!E1809)&lt;=AsAt,IF(N('Deal maths'!H1809)&gt;0,N('Deal maths'!H1809),N('Deal maths'!D1809))&gt;0),N('Deal maths'!F1809)+ROW()/1000000,"")</f>
        <v/>
      </c>
    </row>
    <row r="1810">
      <c r="A1810" s="91" t="n"/>
      <c r="B1810" s="111">
        <f>IF(AND(N('Deal maths'!F1810)&gt;AsAt,N('Deal maths'!E1810)&lt;=AsAt),IF(N('Deal maths'!H1810)&gt;0,N('Deal maths'!H1810),N('Deal maths'!D1810)),0)</f>
        <v/>
      </c>
      <c r="C1810" s="91">
        <f>IF(B1810&gt;0,IF('Deal maths'!C1810="Local authority","Local authorities",LOWER(TRIM('Deal maths'!B1810))),"")</f>
        <v/>
      </c>
      <c r="D1810" s="91">
        <f>IF(C1810="","",IF(COUNTIF($C$4:C1809,C1810)=0,SUMIF($C$4:$C$3997,C1810,$B$4:$B$3997)-ROW()/1000000,""))</f>
        <v/>
      </c>
      <c r="E1810" s="91">
        <f>IF(AND(N('Deal maths'!F1810)&gt;AsAt,N('Deal maths'!E1810)&lt;=AsAt,IF(N('Deal maths'!H1810)&gt;0,N('Deal maths'!H1810),N('Deal maths'!D1810))&gt;0),N('Deal maths'!F1810)+ROW()/1000000,"")</f>
        <v/>
      </c>
    </row>
    <row r="1811">
      <c r="A1811" s="91" t="n"/>
      <c r="B1811" s="111">
        <f>IF(AND(N('Deal maths'!F1811)&gt;AsAt,N('Deal maths'!E1811)&lt;=AsAt),IF(N('Deal maths'!H1811)&gt;0,N('Deal maths'!H1811),N('Deal maths'!D1811)),0)</f>
        <v/>
      </c>
      <c r="C1811" s="91">
        <f>IF(B1811&gt;0,IF('Deal maths'!C1811="Local authority","Local authorities",LOWER(TRIM('Deal maths'!B1811))),"")</f>
        <v/>
      </c>
      <c r="D1811" s="91">
        <f>IF(C1811="","",IF(COUNTIF($C$4:C1810,C1811)=0,SUMIF($C$4:$C$3997,C1811,$B$4:$B$3997)-ROW()/1000000,""))</f>
        <v/>
      </c>
      <c r="E1811" s="91">
        <f>IF(AND(N('Deal maths'!F1811)&gt;AsAt,N('Deal maths'!E1811)&lt;=AsAt,IF(N('Deal maths'!H1811)&gt;0,N('Deal maths'!H1811),N('Deal maths'!D1811))&gt;0),N('Deal maths'!F1811)+ROW()/1000000,"")</f>
        <v/>
      </c>
    </row>
    <row r="1812">
      <c r="A1812" s="91" t="n"/>
      <c r="B1812" s="111">
        <f>IF(AND(N('Deal maths'!F1812)&gt;AsAt,N('Deal maths'!E1812)&lt;=AsAt),IF(N('Deal maths'!H1812)&gt;0,N('Deal maths'!H1812),N('Deal maths'!D1812)),0)</f>
        <v/>
      </c>
      <c r="C1812" s="91">
        <f>IF(B1812&gt;0,IF('Deal maths'!C1812="Local authority","Local authorities",LOWER(TRIM('Deal maths'!B1812))),"")</f>
        <v/>
      </c>
      <c r="D1812" s="91">
        <f>IF(C1812="","",IF(COUNTIF($C$4:C1811,C1812)=0,SUMIF($C$4:$C$3997,C1812,$B$4:$B$3997)-ROW()/1000000,""))</f>
        <v/>
      </c>
      <c r="E1812" s="91">
        <f>IF(AND(N('Deal maths'!F1812)&gt;AsAt,N('Deal maths'!E1812)&lt;=AsAt,IF(N('Deal maths'!H1812)&gt;0,N('Deal maths'!H1812),N('Deal maths'!D1812))&gt;0),N('Deal maths'!F1812)+ROW()/1000000,"")</f>
        <v/>
      </c>
    </row>
    <row r="1813">
      <c r="A1813" s="91" t="n"/>
      <c r="B1813" s="111">
        <f>IF(AND(N('Deal maths'!F1813)&gt;AsAt,N('Deal maths'!E1813)&lt;=AsAt),IF(N('Deal maths'!H1813)&gt;0,N('Deal maths'!H1813),N('Deal maths'!D1813)),0)</f>
        <v/>
      </c>
      <c r="C1813" s="91">
        <f>IF(B1813&gt;0,IF('Deal maths'!C1813="Local authority","Local authorities",LOWER(TRIM('Deal maths'!B1813))),"")</f>
        <v/>
      </c>
      <c r="D1813" s="91">
        <f>IF(C1813="","",IF(COUNTIF($C$4:C1812,C1813)=0,SUMIF($C$4:$C$3997,C1813,$B$4:$B$3997)-ROW()/1000000,""))</f>
        <v/>
      </c>
      <c r="E1813" s="91">
        <f>IF(AND(N('Deal maths'!F1813)&gt;AsAt,N('Deal maths'!E1813)&lt;=AsAt,IF(N('Deal maths'!H1813)&gt;0,N('Deal maths'!H1813),N('Deal maths'!D1813))&gt;0),N('Deal maths'!F1813)+ROW()/1000000,"")</f>
        <v/>
      </c>
    </row>
    <row r="1814">
      <c r="A1814" s="91" t="n"/>
      <c r="B1814" s="111">
        <f>IF(AND(N('Deal maths'!F1814)&gt;AsAt,N('Deal maths'!E1814)&lt;=AsAt),IF(N('Deal maths'!H1814)&gt;0,N('Deal maths'!H1814),N('Deal maths'!D1814)),0)</f>
        <v/>
      </c>
      <c r="C1814" s="91">
        <f>IF(B1814&gt;0,IF('Deal maths'!C1814="Local authority","Local authorities",LOWER(TRIM('Deal maths'!B1814))),"")</f>
        <v/>
      </c>
      <c r="D1814" s="91">
        <f>IF(C1814="","",IF(COUNTIF($C$4:C1813,C1814)=0,SUMIF($C$4:$C$3997,C1814,$B$4:$B$3997)-ROW()/1000000,""))</f>
        <v/>
      </c>
      <c r="E1814" s="91">
        <f>IF(AND(N('Deal maths'!F1814)&gt;AsAt,N('Deal maths'!E1814)&lt;=AsAt,IF(N('Deal maths'!H1814)&gt;0,N('Deal maths'!H1814),N('Deal maths'!D1814))&gt;0),N('Deal maths'!F1814)+ROW()/1000000,"")</f>
        <v/>
      </c>
    </row>
    <row r="1815">
      <c r="A1815" s="91" t="n"/>
      <c r="B1815" s="111">
        <f>IF(AND(N('Deal maths'!F1815)&gt;AsAt,N('Deal maths'!E1815)&lt;=AsAt),IF(N('Deal maths'!H1815)&gt;0,N('Deal maths'!H1815),N('Deal maths'!D1815)),0)</f>
        <v/>
      </c>
      <c r="C1815" s="91">
        <f>IF(B1815&gt;0,IF('Deal maths'!C1815="Local authority","Local authorities",LOWER(TRIM('Deal maths'!B1815))),"")</f>
        <v/>
      </c>
      <c r="D1815" s="91">
        <f>IF(C1815="","",IF(COUNTIF($C$4:C1814,C1815)=0,SUMIF($C$4:$C$3997,C1815,$B$4:$B$3997)-ROW()/1000000,""))</f>
        <v/>
      </c>
      <c r="E1815" s="91">
        <f>IF(AND(N('Deal maths'!F1815)&gt;AsAt,N('Deal maths'!E1815)&lt;=AsAt,IF(N('Deal maths'!H1815)&gt;0,N('Deal maths'!H1815),N('Deal maths'!D1815))&gt;0),N('Deal maths'!F1815)+ROW()/1000000,"")</f>
        <v/>
      </c>
    </row>
    <row r="1816">
      <c r="A1816" s="91" t="n"/>
      <c r="B1816" s="111">
        <f>IF(AND(N('Deal maths'!F1816)&gt;AsAt,N('Deal maths'!E1816)&lt;=AsAt),IF(N('Deal maths'!H1816)&gt;0,N('Deal maths'!H1816),N('Deal maths'!D1816)),0)</f>
        <v/>
      </c>
      <c r="C1816" s="91">
        <f>IF(B1816&gt;0,IF('Deal maths'!C1816="Local authority","Local authorities",LOWER(TRIM('Deal maths'!B1816))),"")</f>
        <v/>
      </c>
      <c r="D1816" s="91">
        <f>IF(C1816="","",IF(COUNTIF($C$4:C1815,C1816)=0,SUMIF($C$4:$C$3997,C1816,$B$4:$B$3997)-ROW()/1000000,""))</f>
        <v/>
      </c>
      <c r="E1816" s="91">
        <f>IF(AND(N('Deal maths'!F1816)&gt;AsAt,N('Deal maths'!E1816)&lt;=AsAt,IF(N('Deal maths'!H1816)&gt;0,N('Deal maths'!H1816),N('Deal maths'!D1816))&gt;0),N('Deal maths'!F1816)+ROW()/1000000,"")</f>
        <v/>
      </c>
    </row>
    <row r="1817">
      <c r="A1817" s="91" t="n"/>
      <c r="B1817" s="111">
        <f>IF(AND(N('Deal maths'!F1817)&gt;AsAt,N('Deal maths'!E1817)&lt;=AsAt),IF(N('Deal maths'!H1817)&gt;0,N('Deal maths'!H1817),N('Deal maths'!D1817)),0)</f>
        <v/>
      </c>
      <c r="C1817" s="91">
        <f>IF(B1817&gt;0,IF('Deal maths'!C1817="Local authority","Local authorities",LOWER(TRIM('Deal maths'!B1817))),"")</f>
        <v/>
      </c>
      <c r="D1817" s="91">
        <f>IF(C1817="","",IF(COUNTIF($C$4:C1816,C1817)=0,SUMIF($C$4:$C$3997,C1817,$B$4:$B$3997)-ROW()/1000000,""))</f>
        <v/>
      </c>
      <c r="E1817" s="91">
        <f>IF(AND(N('Deal maths'!F1817)&gt;AsAt,N('Deal maths'!E1817)&lt;=AsAt,IF(N('Deal maths'!H1817)&gt;0,N('Deal maths'!H1817),N('Deal maths'!D1817))&gt;0),N('Deal maths'!F1817)+ROW()/1000000,"")</f>
        <v/>
      </c>
    </row>
    <row r="1818">
      <c r="A1818" s="91" t="n"/>
      <c r="B1818" s="111">
        <f>IF(AND(N('Deal maths'!F1818)&gt;AsAt,N('Deal maths'!E1818)&lt;=AsAt),IF(N('Deal maths'!H1818)&gt;0,N('Deal maths'!H1818),N('Deal maths'!D1818)),0)</f>
        <v/>
      </c>
      <c r="C1818" s="91">
        <f>IF(B1818&gt;0,IF('Deal maths'!C1818="Local authority","Local authorities",LOWER(TRIM('Deal maths'!B1818))),"")</f>
        <v/>
      </c>
      <c r="D1818" s="91">
        <f>IF(C1818="","",IF(COUNTIF($C$4:C1817,C1818)=0,SUMIF($C$4:$C$3997,C1818,$B$4:$B$3997)-ROW()/1000000,""))</f>
        <v/>
      </c>
      <c r="E1818" s="91">
        <f>IF(AND(N('Deal maths'!F1818)&gt;AsAt,N('Deal maths'!E1818)&lt;=AsAt,IF(N('Deal maths'!H1818)&gt;0,N('Deal maths'!H1818),N('Deal maths'!D1818))&gt;0),N('Deal maths'!F1818)+ROW()/1000000,"")</f>
        <v/>
      </c>
    </row>
    <row r="1819">
      <c r="A1819" s="91" t="n"/>
      <c r="B1819" s="111">
        <f>IF(AND(N('Deal maths'!F1819)&gt;AsAt,N('Deal maths'!E1819)&lt;=AsAt),IF(N('Deal maths'!H1819)&gt;0,N('Deal maths'!H1819),N('Deal maths'!D1819)),0)</f>
        <v/>
      </c>
      <c r="C1819" s="91">
        <f>IF(B1819&gt;0,IF('Deal maths'!C1819="Local authority","Local authorities",LOWER(TRIM('Deal maths'!B1819))),"")</f>
        <v/>
      </c>
      <c r="D1819" s="91">
        <f>IF(C1819="","",IF(COUNTIF($C$4:C1818,C1819)=0,SUMIF($C$4:$C$3997,C1819,$B$4:$B$3997)-ROW()/1000000,""))</f>
        <v/>
      </c>
      <c r="E1819" s="91">
        <f>IF(AND(N('Deal maths'!F1819)&gt;AsAt,N('Deal maths'!E1819)&lt;=AsAt,IF(N('Deal maths'!H1819)&gt;0,N('Deal maths'!H1819),N('Deal maths'!D1819))&gt;0),N('Deal maths'!F1819)+ROW()/1000000,"")</f>
        <v/>
      </c>
    </row>
    <row r="1820">
      <c r="A1820" s="91" t="n"/>
      <c r="B1820" s="111">
        <f>IF(AND(N('Deal maths'!F1820)&gt;AsAt,N('Deal maths'!E1820)&lt;=AsAt),IF(N('Deal maths'!H1820)&gt;0,N('Deal maths'!H1820),N('Deal maths'!D1820)),0)</f>
        <v/>
      </c>
      <c r="C1820" s="91">
        <f>IF(B1820&gt;0,IF('Deal maths'!C1820="Local authority","Local authorities",LOWER(TRIM('Deal maths'!B1820))),"")</f>
        <v/>
      </c>
      <c r="D1820" s="91">
        <f>IF(C1820="","",IF(COUNTIF($C$4:C1819,C1820)=0,SUMIF($C$4:$C$3997,C1820,$B$4:$B$3997)-ROW()/1000000,""))</f>
        <v/>
      </c>
      <c r="E1820" s="91">
        <f>IF(AND(N('Deal maths'!F1820)&gt;AsAt,N('Deal maths'!E1820)&lt;=AsAt,IF(N('Deal maths'!H1820)&gt;0,N('Deal maths'!H1820),N('Deal maths'!D1820))&gt;0),N('Deal maths'!F1820)+ROW()/1000000,"")</f>
        <v/>
      </c>
    </row>
    <row r="1821">
      <c r="A1821" s="91" t="n"/>
      <c r="B1821" s="111">
        <f>IF(AND(N('Deal maths'!F1821)&gt;AsAt,N('Deal maths'!E1821)&lt;=AsAt),IF(N('Deal maths'!H1821)&gt;0,N('Deal maths'!H1821),N('Deal maths'!D1821)),0)</f>
        <v/>
      </c>
      <c r="C1821" s="91">
        <f>IF(B1821&gt;0,IF('Deal maths'!C1821="Local authority","Local authorities",LOWER(TRIM('Deal maths'!B1821))),"")</f>
        <v/>
      </c>
      <c r="D1821" s="91">
        <f>IF(C1821="","",IF(COUNTIF($C$4:C1820,C1821)=0,SUMIF($C$4:$C$3997,C1821,$B$4:$B$3997)-ROW()/1000000,""))</f>
        <v/>
      </c>
      <c r="E1821" s="91">
        <f>IF(AND(N('Deal maths'!F1821)&gt;AsAt,N('Deal maths'!E1821)&lt;=AsAt,IF(N('Deal maths'!H1821)&gt;0,N('Deal maths'!H1821),N('Deal maths'!D1821))&gt;0),N('Deal maths'!F1821)+ROW()/1000000,"")</f>
        <v/>
      </c>
    </row>
    <row r="1822">
      <c r="A1822" s="91" t="n"/>
      <c r="B1822" s="111">
        <f>IF(AND(N('Deal maths'!F1822)&gt;AsAt,N('Deal maths'!E1822)&lt;=AsAt),IF(N('Deal maths'!H1822)&gt;0,N('Deal maths'!H1822),N('Deal maths'!D1822)),0)</f>
        <v/>
      </c>
      <c r="C1822" s="91">
        <f>IF(B1822&gt;0,IF('Deal maths'!C1822="Local authority","Local authorities",LOWER(TRIM('Deal maths'!B1822))),"")</f>
        <v/>
      </c>
      <c r="D1822" s="91">
        <f>IF(C1822="","",IF(COUNTIF($C$4:C1821,C1822)=0,SUMIF($C$4:$C$3997,C1822,$B$4:$B$3997)-ROW()/1000000,""))</f>
        <v/>
      </c>
      <c r="E1822" s="91">
        <f>IF(AND(N('Deal maths'!F1822)&gt;AsAt,N('Deal maths'!E1822)&lt;=AsAt,IF(N('Deal maths'!H1822)&gt;0,N('Deal maths'!H1822),N('Deal maths'!D1822))&gt;0),N('Deal maths'!F1822)+ROW()/1000000,"")</f>
        <v/>
      </c>
    </row>
    <row r="1823">
      <c r="A1823" s="91" t="n"/>
      <c r="B1823" s="111">
        <f>IF(AND(N('Deal maths'!F1823)&gt;AsAt,N('Deal maths'!E1823)&lt;=AsAt),IF(N('Deal maths'!H1823)&gt;0,N('Deal maths'!H1823),N('Deal maths'!D1823)),0)</f>
        <v/>
      </c>
      <c r="C1823" s="91">
        <f>IF(B1823&gt;0,IF('Deal maths'!C1823="Local authority","Local authorities",LOWER(TRIM('Deal maths'!B1823))),"")</f>
        <v/>
      </c>
      <c r="D1823" s="91">
        <f>IF(C1823="","",IF(COUNTIF($C$4:C1822,C1823)=0,SUMIF($C$4:$C$3997,C1823,$B$4:$B$3997)-ROW()/1000000,""))</f>
        <v/>
      </c>
      <c r="E1823" s="91">
        <f>IF(AND(N('Deal maths'!F1823)&gt;AsAt,N('Deal maths'!E1823)&lt;=AsAt,IF(N('Deal maths'!H1823)&gt;0,N('Deal maths'!H1823),N('Deal maths'!D1823))&gt;0),N('Deal maths'!F1823)+ROW()/1000000,"")</f>
        <v/>
      </c>
    </row>
    <row r="1824">
      <c r="A1824" s="91" t="n"/>
      <c r="B1824" s="111">
        <f>IF(AND(N('Deal maths'!F1824)&gt;AsAt,N('Deal maths'!E1824)&lt;=AsAt),IF(N('Deal maths'!H1824)&gt;0,N('Deal maths'!H1824),N('Deal maths'!D1824)),0)</f>
        <v/>
      </c>
      <c r="C1824" s="91">
        <f>IF(B1824&gt;0,IF('Deal maths'!C1824="Local authority","Local authorities",LOWER(TRIM('Deal maths'!B1824))),"")</f>
        <v/>
      </c>
      <c r="D1824" s="91">
        <f>IF(C1824="","",IF(COUNTIF($C$4:C1823,C1824)=0,SUMIF($C$4:$C$3997,C1824,$B$4:$B$3997)-ROW()/1000000,""))</f>
        <v/>
      </c>
      <c r="E1824" s="91">
        <f>IF(AND(N('Deal maths'!F1824)&gt;AsAt,N('Deal maths'!E1824)&lt;=AsAt,IF(N('Deal maths'!H1824)&gt;0,N('Deal maths'!H1824),N('Deal maths'!D1824))&gt;0),N('Deal maths'!F1824)+ROW()/1000000,"")</f>
        <v/>
      </c>
    </row>
    <row r="1825">
      <c r="A1825" s="91" t="n"/>
      <c r="B1825" s="111">
        <f>IF(AND(N('Deal maths'!F1825)&gt;AsAt,N('Deal maths'!E1825)&lt;=AsAt),IF(N('Deal maths'!H1825)&gt;0,N('Deal maths'!H1825),N('Deal maths'!D1825)),0)</f>
        <v/>
      </c>
      <c r="C1825" s="91">
        <f>IF(B1825&gt;0,IF('Deal maths'!C1825="Local authority","Local authorities",LOWER(TRIM('Deal maths'!B1825))),"")</f>
        <v/>
      </c>
      <c r="D1825" s="91">
        <f>IF(C1825="","",IF(COUNTIF($C$4:C1824,C1825)=0,SUMIF($C$4:$C$3997,C1825,$B$4:$B$3997)-ROW()/1000000,""))</f>
        <v/>
      </c>
      <c r="E1825" s="91">
        <f>IF(AND(N('Deal maths'!F1825)&gt;AsAt,N('Deal maths'!E1825)&lt;=AsAt,IF(N('Deal maths'!H1825)&gt;0,N('Deal maths'!H1825),N('Deal maths'!D1825))&gt;0),N('Deal maths'!F1825)+ROW()/1000000,"")</f>
        <v/>
      </c>
    </row>
    <row r="1826">
      <c r="A1826" s="91" t="n"/>
      <c r="B1826" s="111">
        <f>IF(AND(N('Deal maths'!F1826)&gt;AsAt,N('Deal maths'!E1826)&lt;=AsAt),IF(N('Deal maths'!H1826)&gt;0,N('Deal maths'!H1826),N('Deal maths'!D1826)),0)</f>
        <v/>
      </c>
      <c r="C1826" s="91">
        <f>IF(B1826&gt;0,IF('Deal maths'!C1826="Local authority","Local authorities",LOWER(TRIM('Deal maths'!B1826))),"")</f>
        <v/>
      </c>
      <c r="D1826" s="91">
        <f>IF(C1826="","",IF(COUNTIF($C$4:C1825,C1826)=0,SUMIF($C$4:$C$3997,C1826,$B$4:$B$3997)-ROW()/1000000,""))</f>
        <v/>
      </c>
      <c r="E1826" s="91">
        <f>IF(AND(N('Deal maths'!F1826)&gt;AsAt,N('Deal maths'!E1826)&lt;=AsAt,IF(N('Deal maths'!H1826)&gt;0,N('Deal maths'!H1826),N('Deal maths'!D1826))&gt;0),N('Deal maths'!F1826)+ROW()/1000000,"")</f>
        <v/>
      </c>
    </row>
    <row r="1827">
      <c r="A1827" s="91" t="n"/>
      <c r="B1827" s="111">
        <f>IF(AND(N('Deal maths'!F1827)&gt;AsAt,N('Deal maths'!E1827)&lt;=AsAt),IF(N('Deal maths'!H1827)&gt;0,N('Deal maths'!H1827),N('Deal maths'!D1827)),0)</f>
        <v/>
      </c>
      <c r="C1827" s="91">
        <f>IF(B1827&gt;0,IF('Deal maths'!C1827="Local authority","Local authorities",LOWER(TRIM('Deal maths'!B1827))),"")</f>
        <v/>
      </c>
      <c r="D1827" s="91">
        <f>IF(C1827="","",IF(COUNTIF($C$4:C1826,C1827)=0,SUMIF($C$4:$C$3997,C1827,$B$4:$B$3997)-ROW()/1000000,""))</f>
        <v/>
      </c>
      <c r="E1827" s="91">
        <f>IF(AND(N('Deal maths'!F1827)&gt;AsAt,N('Deal maths'!E1827)&lt;=AsAt,IF(N('Deal maths'!H1827)&gt;0,N('Deal maths'!H1827),N('Deal maths'!D1827))&gt;0),N('Deal maths'!F1827)+ROW()/1000000,"")</f>
        <v/>
      </c>
    </row>
    <row r="1828">
      <c r="A1828" s="91" t="n"/>
      <c r="B1828" s="111">
        <f>IF(AND(N('Deal maths'!F1828)&gt;AsAt,N('Deal maths'!E1828)&lt;=AsAt),IF(N('Deal maths'!H1828)&gt;0,N('Deal maths'!H1828),N('Deal maths'!D1828)),0)</f>
        <v/>
      </c>
      <c r="C1828" s="91">
        <f>IF(B1828&gt;0,IF('Deal maths'!C1828="Local authority","Local authorities",LOWER(TRIM('Deal maths'!B1828))),"")</f>
        <v/>
      </c>
      <c r="D1828" s="91">
        <f>IF(C1828="","",IF(COUNTIF($C$4:C1827,C1828)=0,SUMIF($C$4:$C$3997,C1828,$B$4:$B$3997)-ROW()/1000000,""))</f>
        <v/>
      </c>
      <c r="E1828" s="91">
        <f>IF(AND(N('Deal maths'!F1828)&gt;AsAt,N('Deal maths'!E1828)&lt;=AsAt,IF(N('Deal maths'!H1828)&gt;0,N('Deal maths'!H1828),N('Deal maths'!D1828))&gt;0),N('Deal maths'!F1828)+ROW()/1000000,"")</f>
        <v/>
      </c>
    </row>
    <row r="1829">
      <c r="A1829" s="91" t="n"/>
      <c r="B1829" s="111">
        <f>IF(AND(N('Deal maths'!F1829)&gt;AsAt,N('Deal maths'!E1829)&lt;=AsAt),IF(N('Deal maths'!H1829)&gt;0,N('Deal maths'!H1829),N('Deal maths'!D1829)),0)</f>
        <v/>
      </c>
      <c r="C1829" s="91">
        <f>IF(B1829&gt;0,IF('Deal maths'!C1829="Local authority","Local authorities",LOWER(TRIM('Deal maths'!B1829))),"")</f>
        <v/>
      </c>
      <c r="D1829" s="91">
        <f>IF(C1829="","",IF(COUNTIF($C$4:C1828,C1829)=0,SUMIF($C$4:$C$3997,C1829,$B$4:$B$3997)-ROW()/1000000,""))</f>
        <v/>
      </c>
      <c r="E1829" s="91">
        <f>IF(AND(N('Deal maths'!F1829)&gt;AsAt,N('Deal maths'!E1829)&lt;=AsAt,IF(N('Deal maths'!H1829)&gt;0,N('Deal maths'!H1829),N('Deal maths'!D1829))&gt;0),N('Deal maths'!F1829)+ROW()/1000000,"")</f>
        <v/>
      </c>
    </row>
    <row r="1830">
      <c r="A1830" s="91" t="n"/>
      <c r="B1830" s="111">
        <f>IF(AND(N('Deal maths'!F1830)&gt;AsAt,N('Deal maths'!E1830)&lt;=AsAt),IF(N('Deal maths'!H1830)&gt;0,N('Deal maths'!H1830),N('Deal maths'!D1830)),0)</f>
        <v/>
      </c>
      <c r="C1830" s="91">
        <f>IF(B1830&gt;0,IF('Deal maths'!C1830="Local authority","Local authorities",LOWER(TRIM('Deal maths'!B1830))),"")</f>
        <v/>
      </c>
      <c r="D1830" s="91">
        <f>IF(C1830="","",IF(COUNTIF($C$4:C1829,C1830)=0,SUMIF($C$4:$C$3997,C1830,$B$4:$B$3997)-ROW()/1000000,""))</f>
        <v/>
      </c>
      <c r="E1830" s="91">
        <f>IF(AND(N('Deal maths'!F1830)&gt;AsAt,N('Deal maths'!E1830)&lt;=AsAt,IF(N('Deal maths'!H1830)&gt;0,N('Deal maths'!H1830),N('Deal maths'!D1830))&gt;0),N('Deal maths'!F1830)+ROW()/1000000,"")</f>
        <v/>
      </c>
    </row>
    <row r="1831">
      <c r="A1831" s="91" t="n"/>
      <c r="B1831" s="111">
        <f>IF(AND(N('Deal maths'!F1831)&gt;AsAt,N('Deal maths'!E1831)&lt;=AsAt),IF(N('Deal maths'!H1831)&gt;0,N('Deal maths'!H1831),N('Deal maths'!D1831)),0)</f>
        <v/>
      </c>
      <c r="C1831" s="91">
        <f>IF(B1831&gt;0,IF('Deal maths'!C1831="Local authority","Local authorities",LOWER(TRIM('Deal maths'!B1831))),"")</f>
        <v/>
      </c>
      <c r="D1831" s="91">
        <f>IF(C1831="","",IF(COUNTIF($C$4:C1830,C1831)=0,SUMIF($C$4:$C$3997,C1831,$B$4:$B$3997)-ROW()/1000000,""))</f>
        <v/>
      </c>
      <c r="E1831" s="91">
        <f>IF(AND(N('Deal maths'!F1831)&gt;AsAt,N('Deal maths'!E1831)&lt;=AsAt,IF(N('Deal maths'!H1831)&gt;0,N('Deal maths'!H1831),N('Deal maths'!D1831))&gt;0),N('Deal maths'!F1831)+ROW()/1000000,"")</f>
        <v/>
      </c>
    </row>
    <row r="1832">
      <c r="A1832" s="91" t="n"/>
      <c r="B1832" s="111">
        <f>IF(AND(N('Deal maths'!F1832)&gt;AsAt,N('Deal maths'!E1832)&lt;=AsAt),IF(N('Deal maths'!H1832)&gt;0,N('Deal maths'!H1832),N('Deal maths'!D1832)),0)</f>
        <v/>
      </c>
      <c r="C1832" s="91">
        <f>IF(B1832&gt;0,IF('Deal maths'!C1832="Local authority","Local authorities",LOWER(TRIM('Deal maths'!B1832))),"")</f>
        <v/>
      </c>
      <c r="D1832" s="91">
        <f>IF(C1832="","",IF(COUNTIF($C$4:C1831,C1832)=0,SUMIF($C$4:$C$3997,C1832,$B$4:$B$3997)-ROW()/1000000,""))</f>
        <v/>
      </c>
      <c r="E1832" s="91">
        <f>IF(AND(N('Deal maths'!F1832)&gt;AsAt,N('Deal maths'!E1832)&lt;=AsAt,IF(N('Deal maths'!H1832)&gt;0,N('Deal maths'!H1832),N('Deal maths'!D1832))&gt;0),N('Deal maths'!F1832)+ROW()/1000000,"")</f>
        <v/>
      </c>
    </row>
    <row r="1833">
      <c r="A1833" s="91" t="n"/>
      <c r="B1833" s="111">
        <f>IF(AND(N('Deal maths'!F1833)&gt;AsAt,N('Deal maths'!E1833)&lt;=AsAt),IF(N('Deal maths'!H1833)&gt;0,N('Deal maths'!H1833),N('Deal maths'!D1833)),0)</f>
        <v/>
      </c>
      <c r="C1833" s="91">
        <f>IF(B1833&gt;0,IF('Deal maths'!C1833="Local authority","Local authorities",LOWER(TRIM('Deal maths'!B1833))),"")</f>
        <v/>
      </c>
      <c r="D1833" s="91">
        <f>IF(C1833="","",IF(COUNTIF($C$4:C1832,C1833)=0,SUMIF($C$4:$C$3997,C1833,$B$4:$B$3997)-ROW()/1000000,""))</f>
        <v/>
      </c>
      <c r="E1833" s="91">
        <f>IF(AND(N('Deal maths'!F1833)&gt;AsAt,N('Deal maths'!E1833)&lt;=AsAt,IF(N('Deal maths'!H1833)&gt;0,N('Deal maths'!H1833),N('Deal maths'!D1833))&gt;0),N('Deal maths'!F1833)+ROW()/1000000,"")</f>
        <v/>
      </c>
    </row>
    <row r="1834">
      <c r="A1834" s="91" t="n"/>
      <c r="B1834" s="111">
        <f>IF(AND(N('Deal maths'!F1834)&gt;AsAt,N('Deal maths'!E1834)&lt;=AsAt),IF(N('Deal maths'!H1834)&gt;0,N('Deal maths'!H1834),N('Deal maths'!D1834)),0)</f>
        <v/>
      </c>
      <c r="C1834" s="91">
        <f>IF(B1834&gt;0,IF('Deal maths'!C1834="Local authority","Local authorities",LOWER(TRIM('Deal maths'!B1834))),"")</f>
        <v/>
      </c>
      <c r="D1834" s="91">
        <f>IF(C1834="","",IF(COUNTIF($C$4:C1833,C1834)=0,SUMIF($C$4:$C$3997,C1834,$B$4:$B$3997)-ROW()/1000000,""))</f>
        <v/>
      </c>
      <c r="E1834" s="91">
        <f>IF(AND(N('Deal maths'!F1834)&gt;AsAt,N('Deal maths'!E1834)&lt;=AsAt,IF(N('Deal maths'!H1834)&gt;0,N('Deal maths'!H1834),N('Deal maths'!D1834))&gt;0),N('Deal maths'!F1834)+ROW()/1000000,"")</f>
        <v/>
      </c>
    </row>
    <row r="1835">
      <c r="A1835" s="91" t="n"/>
      <c r="B1835" s="111">
        <f>IF(AND(N('Deal maths'!F1835)&gt;AsAt,N('Deal maths'!E1835)&lt;=AsAt),IF(N('Deal maths'!H1835)&gt;0,N('Deal maths'!H1835),N('Deal maths'!D1835)),0)</f>
        <v/>
      </c>
      <c r="C1835" s="91">
        <f>IF(B1835&gt;0,IF('Deal maths'!C1835="Local authority","Local authorities",LOWER(TRIM('Deal maths'!B1835))),"")</f>
        <v/>
      </c>
      <c r="D1835" s="91">
        <f>IF(C1835="","",IF(COUNTIF($C$4:C1834,C1835)=0,SUMIF($C$4:$C$3997,C1835,$B$4:$B$3997)-ROW()/1000000,""))</f>
        <v/>
      </c>
      <c r="E1835" s="91">
        <f>IF(AND(N('Deal maths'!F1835)&gt;AsAt,N('Deal maths'!E1835)&lt;=AsAt,IF(N('Deal maths'!H1835)&gt;0,N('Deal maths'!H1835),N('Deal maths'!D1835))&gt;0),N('Deal maths'!F1835)+ROW()/1000000,"")</f>
        <v/>
      </c>
    </row>
    <row r="1836">
      <c r="A1836" s="91" t="n"/>
      <c r="B1836" s="111">
        <f>IF(AND(N('Deal maths'!F1836)&gt;AsAt,N('Deal maths'!E1836)&lt;=AsAt),IF(N('Deal maths'!H1836)&gt;0,N('Deal maths'!H1836),N('Deal maths'!D1836)),0)</f>
        <v/>
      </c>
      <c r="C1836" s="91">
        <f>IF(B1836&gt;0,IF('Deal maths'!C1836="Local authority","Local authorities",LOWER(TRIM('Deal maths'!B1836))),"")</f>
        <v/>
      </c>
      <c r="D1836" s="91">
        <f>IF(C1836="","",IF(COUNTIF($C$4:C1835,C1836)=0,SUMIF($C$4:$C$3997,C1836,$B$4:$B$3997)-ROW()/1000000,""))</f>
        <v/>
      </c>
      <c r="E1836" s="91">
        <f>IF(AND(N('Deal maths'!F1836)&gt;AsAt,N('Deal maths'!E1836)&lt;=AsAt,IF(N('Deal maths'!H1836)&gt;0,N('Deal maths'!H1836),N('Deal maths'!D1836))&gt;0),N('Deal maths'!F1836)+ROW()/1000000,"")</f>
        <v/>
      </c>
    </row>
    <row r="1837">
      <c r="A1837" s="91" t="n"/>
      <c r="B1837" s="111">
        <f>IF(AND(N('Deal maths'!F1837)&gt;AsAt,N('Deal maths'!E1837)&lt;=AsAt),IF(N('Deal maths'!H1837)&gt;0,N('Deal maths'!H1837),N('Deal maths'!D1837)),0)</f>
        <v/>
      </c>
      <c r="C1837" s="91">
        <f>IF(B1837&gt;0,IF('Deal maths'!C1837="Local authority","Local authorities",LOWER(TRIM('Deal maths'!B1837))),"")</f>
        <v/>
      </c>
      <c r="D1837" s="91">
        <f>IF(C1837="","",IF(COUNTIF($C$4:C1836,C1837)=0,SUMIF($C$4:$C$3997,C1837,$B$4:$B$3997)-ROW()/1000000,""))</f>
        <v/>
      </c>
      <c r="E1837" s="91">
        <f>IF(AND(N('Deal maths'!F1837)&gt;AsAt,N('Deal maths'!E1837)&lt;=AsAt,IF(N('Deal maths'!H1837)&gt;0,N('Deal maths'!H1837),N('Deal maths'!D1837))&gt;0),N('Deal maths'!F1837)+ROW()/1000000,"")</f>
        <v/>
      </c>
    </row>
    <row r="1838">
      <c r="A1838" s="91" t="n"/>
      <c r="B1838" s="111">
        <f>IF(AND(N('Deal maths'!F1838)&gt;AsAt,N('Deal maths'!E1838)&lt;=AsAt),IF(N('Deal maths'!H1838)&gt;0,N('Deal maths'!H1838),N('Deal maths'!D1838)),0)</f>
        <v/>
      </c>
      <c r="C1838" s="91">
        <f>IF(B1838&gt;0,IF('Deal maths'!C1838="Local authority","Local authorities",LOWER(TRIM('Deal maths'!B1838))),"")</f>
        <v/>
      </c>
      <c r="D1838" s="91">
        <f>IF(C1838="","",IF(COUNTIF($C$4:C1837,C1838)=0,SUMIF($C$4:$C$3997,C1838,$B$4:$B$3997)-ROW()/1000000,""))</f>
        <v/>
      </c>
      <c r="E1838" s="91">
        <f>IF(AND(N('Deal maths'!F1838)&gt;AsAt,N('Deal maths'!E1838)&lt;=AsAt,IF(N('Deal maths'!H1838)&gt;0,N('Deal maths'!H1838),N('Deal maths'!D1838))&gt;0),N('Deal maths'!F1838)+ROW()/1000000,"")</f>
        <v/>
      </c>
    </row>
    <row r="1839">
      <c r="A1839" s="91" t="n"/>
      <c r="B1839" s="111">
        <f>IF(AND(N('Deal maths'!F1839)&gt;AsAt,N('Deal maths'!E1839)&lt;=AsAt),IF(N('Deal maths'!H1839)&gt;0,N('Deal maths'!H1839),N('Deal maths'!D1839)),0)</f>
        <v/>
      </c>
      <c r="C1839" s="91">
        <f>IF(B1839&gt;0,IF('Deal maths'!C1839="Local authority","Local authorities",LOWER(TRIM('Deal maths'!B1839))),"")</f>
        <v/>
      </c>
      <c r="D1839" s="91">
        <f>IF(C1839="","",IF(COUNTIF($C$4:C1838,C1839)=0,SUMIF($C$4:$C$3997,C1839,$B$4:$B$3997)-ROW()/1000000,""))</f>
        <v/>
      </c>
      <c r="E1839" s="91">
        <f>IF(AND(N('Deal maths'!F1839)&gt;AsAt,N('Deal maths'!E1839)&lt;=AsAt,IF(N('Deal maths'!H1839)&gt;0,N('Deal maths'!H1839),N('Deal maths'!D1839))&gt;0),N('Deal maths'!F1839)+ROW()/1000000,"")</f>
        <v/>
      </c>
    </row>
    <row r="1840">
      <c r="A1840" s="91" t="n"/>
      <c r="B1840" s="111">
        <f>IF(AND(N('Deal maths'!F1840)&gt;AsAt,N('Deal maths'!E1840)&lt;=AsAt),IF(N('Deal maths'!H1840)&gt;0,N('Deal maths'!H1840),N('Deal maths'!D1840)),0)</f>
        <v/>
      </c>
      <c r="C1840" s="91">
        <f>IF(B1840&gt;0,IF('Deal maths'!C1840="Local authority","Local authorities",LOWER(TRIM('Deal maths'!B1840))),"")</f>
        <v/>
      </c>
      <c r="D1840" s="91">
        <f>IF(C1840="","",IF(COUNTIF($C$4:C1839,C1840)=0,SUMIF($C$4:$C$3997,C1840,$B$4:$B$3997)-ROW()/1000000,""))</f>
        <v/>
      </c>
      <c r="E1840" s="91">
        <f>IF(AND(N('Deal maths'!F1840)&gt;AsAt,N('Deal maths'!E1840)&lt;=AsAt,IF(N('Deal maths'!H1840)&gt;0,N('Deal maths'!H1840),N('Deal maths'!D1840))&gt;0),N('Deal maths'!F1840)+ROW()/1000000,"")</f>
        <v/>
      </c>
    </row>
    <row r="1841">
      <c r="A1841" s="91" t="n"/>
      <c r="B1841" s="111">
        <f>IF(AND(N('Deal maths'!F1841)&gt;AsAt,N('Deal maths'!E1841)&lt;=AsAt),IF(N('Deal maths'!H1841)&gt;0,N('Deal maths'!H1841),N('Deal maths'!D1841)),0)</f>
        <v/>
      </c>
      <c r="C1841" s="91">
        <f>IF(B1841&gt;0,IF('Deal maths'!C1841="Local authority","Local authorities",LOWER(TRIM('Deal maths'!B1841))),"")</f>
        <v/>
      </c>
      <c r="D1841" s="91">
        <f>IF(C1841="","",IF(COUNTIF($C$4:C1840,C1841)=0,SUMIF($C$4:$C$3997,C1841,$B$4:$B$3997)-ROW()/1000000,""))</f>
        <v/>
      </c>
      <c r="E1841" s="91">
        <f>IF(AND(N('Deal maths'!F1841)&gt;AsAt,N('Deal maths'!E1841)&lt;=AsAt,IF(N('Deal maths'!H1841)&gt;0,N('Deal maths'!H1841),N('Deal maths'!D1841))&gt;0),N('Deal maths'!F1841)+ROW()/1000000,"")</f>
        <v/>
      </c>
    </row>
    <row r="1842">
      <c r="A1842" s="91" t="n"/>
      <c r="B1842" s="111">
        <f>IF(AND(N('Deal maths'!F1842)&gt;AsAt,N('Deal maths'!E1842)&lt;=AsAt),IF(N('Deal maths'!H1842)&gt;0,N('Deal maths'!H1842),N('Deal maths'!D1842)),0)</f>
        <v/>
      </c>
      <c r="C1842" s="91">
        <f>IF(B1842&gt;0,IF('Deal maths'!C1842="Local authority","Local authorities",LOWER(TRIM('Deal maths'!B1842))),"")</f>
        <v/>
      </c>
      <c r="D1842" s="91">
        <f>IF(C1842="","",IF(COUNTIF($C$4:C1841,C1842)=0,SUMIF($C$4:$C$3997,C1842,$B$4:$B$3997)-ROW()/1000000,""))</f>
        <v/>
      </c>
      <c r="E1842" s="91">
        <f>IF(AND(N('Deal maths'!F1842)&gt;AsAt,N('Deal maths'!E1842)&lt;=AsAt,IF(N('Deal maths'!H1842)&gt;0,N('Deal maths'!H1842),N('Deal maths'!D1842))&gt;0),N('Deal maths'!F1842)+ROW()/1000000,"")</f>
        <v/>
      </c>
    </row>
    <row r="1843">
      <c r="A1843" s="91" t="n"/>
      <c r="B1843" s="111">
        <f>IF(AND(N('Deal maths'!F1843)&gt;AsAt,N('Deal maths'!E1843)&lt;=AsAt),IF(N('Deal maths'!H1843)&gt;0,N('Deal maths'!H1843),N('Deal maths'!D1843)),0)</f>
        <v/>
      </c>
      <c r="C1843" s="91">
        <f>IF(B1843&gt;0,IF('Deal maths'!C1843="Local authority","Local authorities",LOWER(TRIM('Deal maths'!B1843))),"")</f>
        <v/>
      </c>
      <c r="D1843" s="91">
        <f>IF(C1843="","",IF(COUNTIF($C$4:C1842,C1843)=0,SUMIF($C$4:$C$3997,C1843,$B$4:$B$3997)-ROW()/1000000,""))</f>
        <v/>
      </c>
      <c r="E1843" s="91">
        <f>IF(AND(N('Deal maths'!F1843)&gt;AsAt,N('Deal maths'!E1843)&lt;=AsAt,IF(N('Deal maths'!H1843)&gt;0,N('Deal maths'!H1843),N('Deal maths'!D1843))&gt;0),N('Deal maths'!F1843)+ROW()/1000000,"")</f>
        <v/>
      </c>
    </row>
    <row r="1844">
      <c r="A1844" s="91" t="n"/>
      <c r="B1844" s="111">
        <f>IF(AND(N('Deal maths'!F1844)&gt;AsAt,N('Deal maths'!E1844)&lt;=AsAt),IF(N('Deal maths'!H1844)&gt;0,N('Deal maths'!H1844),N('Deal maths'!D1844)),0)</f>
        <v/>
      </c>
      <c r="C1844" s="91">
        <f>IF(B1844&gt;0,IF('Deal maths'!C1844="Local authority","Local authorities",LOWER(TRIM('Deal maths'!B1844))),"")</f>
        <v/>
      </c>
      <c r="D1844" s="91">
        <f>IF(C1844="","",IF(COUNTIF($C$4:C1843,C1844)=0,SUMIF($C$4:$C$3997,C1844,$B$4:$B$3997)-ROW()/1000000,""))</f>
        <v/>
      </c>
      <c r="E1844" s="91">
        <f>IF(AND(N('Deal maths'!F1844)&gt;AsAt,N('Deal maths'!E1844)&lt;=AsAt,IF(N('Deal maths'!H1844)&gt;0,N('Deal maths'!H1844),N('Deal maths'!D1844))&gt;0),N('Deal maths'!F1844)+ROW()/1000000,"")</f>
        <v/>
      </c>
    </row>
    <row r="1845">
      <c r="A1845" s="91" t="n"/>
      <c r="B1845" s="111">
        <f>IF(AND(N('Deal maths'!F1845)&gt;AsAt,N('Deal maths'!E1845)&lt;=AsAt),IF(N('Deal maths'!H1845)&gt;0,N('Deal maths'!H1845),N('Deal maths'!D1845)),0)</f>
        <v/>
      </c>
      <c r="C1845" s="91">
        <f>IF(B1845&gt;0,IF('Deal maths'!C1845="Local authority","Local authorities",LOWER(TRIM('Deal maths'!B1845))),"")</f>
        <v/>
      </c>
      <c r="D1845" s="91">
        <f>IF(C1845="","",IF(COUNTIF($C$4:C1844,C1845)=0,SUMIF($C$4:$C$3997,C1845,$B$4:$B$3997)-ROW()/1000000,""))</f>
        <v/>
      </c>
      <c r="E1845" s="91">
        <f>IF(AND(N('Deal maths'!F1845)&gt;AsAt,N('Deal maths'!E1845)&lt;=AsAt,IF(N('Deal maths'!H1845)&gt;0,N('Deal maths'!H1845),N('Deal maths'!D1845))&gt;0),N('Deal maths'!F1845)+ROW()/1000000,"")</f>
        <v/>
      </c>
    </row>
    <row r="1846">
      <c r="A1846" s="91" t="n"/>
      <c r="B1846" s="111">
        <f>IF(AND(N('Deal maths'!F1846)&gt;AsAt,N('Deal maths'!E1846)&lt;=AsAt),IF(N('Deal maths'!H1846)&gt;0,N('Deal maths'!H1846),N('Deal maths'!D1846)),0)</f>
        <v/>
      </c>
      <c r="C1846" s="91">
        <f>IF(B1846&gt;0,IF('Deal maths'!C1846="Local authority","Local authorities",LOWER(TRIM('Deal maths'!B1846))),"")</f>
        <v/>
      </c>
      <c r="D1846" s="91">
        <f>IF(C1846="","",IF(COUNTIF($C$4:C1845,C1846)=0,SUMIF($C$4:$C$3997,C1846,$B$4:$B$3997)-ROW()/1000000,""))</f>
        <v/>
      </c>
      <c r="E1846" s="91">
        <f>IF(AND(N('Deal maths'!F1846)&gt;AsAt,N('Deal maths'!E1846)&lt;=AsAt,IF(N('Deal maths'!H1846)&gt;0,N('Deal maths'!H1846),N('Deal maths'!D1846))&gt;0),N('Deal maths'!F1846)+ROW()/1000000,"")</f>
        <v/>
      </c>
    </row>
    <row r="1847">
      <c r="A1847" s="91" t="n"/>
      <c r="B1847" s="111">
        <f>IF(AND(N('Deal maths'!F1847)&gt;AsAt,N('Deal maths'!E1847)&lt;=AsAt),IF(N('Deal maths'!H1847)&gt;0,N('Deal maths'!H1847),N('Deal maths'!D1847)),0)</f>
        <v/>
      </c>
      <c r="C1847" s="91">
        <f>IF(B1847&gt;0,IF('Deal maths'!C1847="Local authority","Local authorities",LOWER(TRIM('Deal maths'!B1847))),"")</f>
        <v/>
      </c>
      <c r="D1847" s="91">
        <f>IF(C1847="","",IF(COUNTIF($C$4:C1846,C1847)=0,SUMIF($C$4:$C$3997,C1847,$B$4:$B$3997)-ROW()/1000000,""))</f>
        <v/>
      </c>
      <c r="E1847" s="91">
        <f>IF(AND(N('Deal maths'!F1847)&gt;AsAt,N('Deal maths'!E1847)&lt;=AsAt,IF(N('Deal maths'!H1847)&gt;0,N('Deal maths'!H1847),N('Deal maths'!D1847))&gt;0),N('Deal maths'!F1847)+ROW()/1000000,"")</f>
        <v/>
      </c>
    </row>
    <row r="1848">
      <c r="A1848" s="91" t="n"/>
      <c r="B1848" s="111">
        <f>IF(AND(N('Deal maths'!F1848)&gt;AsAt,N('Deal maths'!E1848)&lt;=AsAt),IF(N('Deal maths'!H1848)&gt;0,N('Deal maths'!H1848),N('Deal maths'!D1848)),0)</f>
        <v/>
      </c>
      <c r="C1848" s="91">
        <f>IF(B1848&gt;0,IF('Deal maths'!C1848="Local authority","Local authorities",LOWER(TRIM('Deal maths'!B1848))),"")</f>
        <v/>
      </c>
      <c r="D1848" s="91">
        <f>IF(C1848="","",IF(COUNTIF($C$4:C1847,C1848)=0,SUMIF($C$4:$C$3997,C1848,$B$4:$B$3997)-ROW()/1000000,""))</f>
        <v/>
      </c>
      <c r="E1848" s="91">
        <f>IF(AND(N('Deal maths'!F1848)&gt;AsAt,N('Deal maths'!E1848)&lt;=AsAt,IF(N('Deal maths'!H1848)&gt;0,N('Deal maths'!H1848),N('Deal maths'!D1848))&gt;0),N('Deal maths'!F1848)+ROW()/1000000,"")</f>
        <v/>
      </c>
    </row>
    <row r="1849">
      <c r="A1849" s="91" t="n"/>
      <c r="B1849" s="111">
        <f>IF(AND(N('Deal maths'!F1849)&gt;AsAt,N('Deal maths'!E1849)&lt;=AsAt),IF(N('Deal maths'!H1849)&gt;0,N('Deal maths'!H1849),N('Deal maths'!D1849)),0)</f>
        <v/>
      </c>
      <c r="C1849" s="91">
        <f>IF(B1849&gt;0,IF('Deal maths'!C1849="Local authority","Local authorities",LOWER(TRIM('Deal maths'!B1849))),"")</f>
        <v/>
      </c>
      <c r="D1849" s="91">
        <f>IF(C1849="","",IF(COUNTIF($C$4:C1848,C1849)=0,SUMIF($C$4:$C$3997,C1849,$B$4:$B$3997)-ROW()/1000000,""))</f>
        <v/>
      </c>
      <c r="E1849" s="91">
        <f>IF(AND(N('Deal maths'!F1849)&gt;AsAt,N('Deal maths'!E1849)&lt;=AsAt,IF(N('Deal maths'!H1849)&gt;0,N('Deal maths'!H1849),N('Deal maths'!D1849))&gt;0),N('Deal maths'!F1849)+ROW()/1000000,"")</f>
        <v/>
      </c>
    </row>
    <row r="1850">
      <c r="A1850" s="91" t="n"/>
      <c r="B1850" s="111">
        <f>IF(AND(N('Deal maths'!F1850)&gt;AsAt,N('Deal maths'!E1850)&lt;=AsAt),IF(N('Deal maths'!H1850)&gt;0,N('Deal maths'!H1850),N('Deal maths'!D1850)),0)</f>
        <v/>
      </c>
      <c r="C1850" s="91">
        <f>IF(B1850&gt;0,IF('Deal maths'!C1850="Local authority","Local authorities",LOWER(TRIM('Deal maths'!B1850))),"")</f>
        <v/>
      </c>
      <c r="D1850" s="91">
        <f>IF(C1850="","",IF(COUNTIF($C$4:C1849,C1850)=0,SUMIF($C$4:$C$3997,C1850,$B$4:$B$3997)-ROW()/1000000,""))</f>
        <v/>
      </c>
      <c r="E1850" s="91">
        <f>IF(AND(N('Deal maths'!F1850)&gt;AsAt,N('Deal maths'!E1850)&lt;=AsAt,IF(N('Deal maths'!H1850)&gt;0,N('Deal maths'!H1850),N('Deal maths'!D1850))&gt;0),N('Deal maths'!F1850)+ROW()/1000000,"")</f>
        <v/>
      </c>
    </row>
    <row r="1851">
      <c r="A1851" s="91" t="n"/>
      <c r="B1851" s="111">
        <f>IF(AND(N('Deal maths'!F1851)&gt;AsAt,N('Deal maths'!E1851)&lt;=AsAt),IF(N('Deal maths'!H1851)&gt;0,N('Deal maths'!H1851),N('Deal maths'!D1851)),0)</f>
        <v/>
      </c>
      <c r="C1851" s="91">
        <f>IF(B1851&gt;0,IF('Deal maths'!C1851="Local authority","Local authorities",LOWER(TRIM('Deal maths'!B1851))),"")</f>
        <v/>
      </c>
      <c r="D1851" s="91">
        <f>IF(C1851="","",IF(COUNTIF($C$4:C1850,C1851)=0,SUMIF($C$4:$C$3997,C1851,$B$4:$B$3997)-ROW()/1000000,""))</f>
        <v/>
      </c>
      <c r="E1851" s="91">
        <f>IF(AND(N('Deal maths'!F1851)&gt;AsAt,N('Deal maths'!E1851)&lt;=AsAt,IF(N('Deal maths'!H1851)&gt;0,N('Deal maths'!H1851),N('Deal maths'!D1851))&gt;0),N('Deal maths'!F1851)+ROW()/1000000,"")</f>
        <v/>
      </c>
    </row>
    <row r="1852">
      <c r="A1852" s="91" t="n"/>
      <c r="B1852" s="111">
        <f>IF(AND(N('Deal maths'!F1852)&gt;AsAt,N('Deal maths'!E1852)&lt;=AsAt),IF(N('Deal maths'!H1852)&gt;0,N('Deal maths'!H1852),N('Deal maths'!D1852)),0)</f>
        <v/>
      </c>
      <c r="C1852" s="91">
        <f>IF(B1852&gt;0,IF('Deal maths'!C1852="Local authority","Local authorities",LOWER(TRIM('Deal maths'!B1852))),"")</f>
        <v/>
      </c>
      <c r="D1852" s="91">
        <f>IF(C1852="","",IF(COUNTIF($C$4:C1851,C1852)=0,SUMIF($C$4:$C$3997,C1852,$B$4:$B$3997)-ROW()/1000000,""))</f>
        <v/>
      </c>
      <c r="E1852" s="91">
        <f>IF(AND(N('Deal maths'!F1852)&gt;AsAt,N('Deal maths'!E1852)&lt;=AsAt,IF(N('Deal maths'!H1852)&gt;0,N('Deal maths'!H1852),N('Deal maths'!D1852))&gt;0),N('Deal maths'!F1852)+ROW()/1000000,"")</f>
        <v/>
      </c>
    </row>
    <row r="1853">
      <c r="A1853" s="91" t="n"/>
      <c r="B1853" s="111">
        <f>IF(AND(N('Deal maths'!F1853)&gt;AsAt,N('Deal maths'!E1853)&lt;=AsAt),IF(N('Deal maths'!H1853)&gt;0,N('Deal maths'!H1853),N('Deal maths'!D1853)),0)</f>
        <v/>
      </c>
      <c r="C1853" s="91">
        <f>IF(B1853&gt;0,IF('Deal maths'!C1853="Local authority","Local authorities",LOWER(TRIM('Deal maths'!B1853))),"")</f>
        <v/>
      </c>
      <c r="D1853" s="91">
        <f>IF(C1853="","",IF(COUNTIF($C$4:C1852,C1853)=0,SUMIF($C$4:$C$3997,C1853,$B$4:$B$3997)-ROW()/1000000,""))</f>
        <v/>
      </c>
      <c r="E1853" s="91">
        <f>IF(AND(N('Deal maths'!F1853)&gt;AsAt,N('Deal maths'!E1853)&lt;=AsAt,IF(N('Deal maths'!H1853)&gt;0,N('Deal maths'!H1853),N('Deal maths'!D1853))&gt;0),N('Deal maths'!F1853)+ROW()/1000000,"")</f>
        <v/>
      </c>
    </row>
    <row r="1854">
      <c r="A1854" s="91" t="n"/>
      <c r="B1854" s="111">
        <f>IF(AND(N('Deal maths'!F1854)&gt;AsAt,N('Deal maths'!E1854)&lt;=AsAt),IF(N('Deal maths'!H1854)&gt;0,N('Deal maths'!H1854),N('Deal maths'!D1854)),0)</f>
        <v/>
      </c>
      <c r="C1854" s="91">
        <f>IF(B1854&gt;0,IF('Deal maths'!C1854="Local authority","Local authorities",LOWER(TRIM('Deal maths'!B1854))),"")</f>
        <v/>
      </c>
      <c r="D1854" s="91">
        <f>IF(C1854="","",IF(COUNTIF($C$4:C1853,C1854)=0,SUMIF($C$4:$C$3997,C1854,$B$4:$B$3997)-ROW()/1000000,""))</f>
        <v/>
      </c>
      <c r="E1854" s="91">
        <f>IF(AND(N('Deal maths'!F1854)&gt;AsAt,N('Deal maths'!E1854)&lt;=AsAt,IF(N('Deal maths'!H1854)&gt;0,N('Deal maths'!H1854),N('Deal maths'!D1854))&gt;0),N('Deal maths'!F1854)+ROW()/1000000,"")</f>
        <v/>
      </c>
    </row>
    <row r="1855">
      <c r="A1855" s="91" t="n"/>
      <c r="B1855" s="111">
        <f>IF(AND(N('Deal maths'!F1855)&gt;AsAt,N('Deal maths'!E1855)&lt;=AsAt),IF(N('Deal maths'!H1855)&gt;0,N('Deal maths'!H1855),N('Deal maths'!D1855)),0)</f>
        <v/>
      </c>
      <c r="C1855" s="91">
        <f>IF(B1855&gt;0,IF('Deal maths'!C1855="Local authority","Local authorities",LOWER(TRIM('Deal maths'!B1855))),"")</f>
        <v/>
      </c>
      <c r="D1855" s="91">
        <f>IF(C1855="","",IF(COUNTIF($C$4:C1854,C1855)=0,SUMIF($C$4:$C$3997,C1855,$B$4:$B$3997)-ROW()/1000000,""))</f>
        <v/>
      </c>
      <c r="E1855" s="91">
        <f>IF(AND(N('Deal maths'!F1855)&gt;AsAt,N('Deal maths'!E1855)&lt;=AsAt,IF(N('Deal maths'!H1855)&gt;0,N('Deal maths'!H1855),N('Deal maths'!D1855))&gt;0),N('Deal maths'!F1855)+ROW()/1000000,"")</f>
        <v/>
      </c>
    </row>
    <row r="1856">
      <c r="A1856" s="91" t="n"/>
      <c r="B1856" s="111">
        <f>IF(AND(N('Deal maths'!F1856)&gt;AsAt,N('Deal maths'!E1856)&lt;=AsAt),IF(N('Deal maths'!H1856)&gt;0,N('Deal maths'!H1856),N('Deal maths'!D1856)),0)</f>
        <v/>
      </c>
      <c r="C1856" s="91">
        <f>IF(B1856&gt;0,IF('Deal maths'!C1856="Local authority","Local authorities",LOWER(TRIM('Deal maths'!B1856))),"")</f>
        <v/>
      </c>
      <c r="D1856" s="91">
        <f>IF(C1856="","",IF(COUNTIF($C$4:C1855,C1856)=0,SUMIF($C$4:$C$3997,C1856,$B$4:$B$3997)-ROW()/1000000,""))</f>
        <v/>
      </c>
      <c r="E1856" s="91">
        <f>IF(AND(N('Deal maths'!F1856)&gt;AsAt,N('Deal maths'!E1856)&lt;=AsAt,IF(N('Deal maths'!H1856)&gt;0,N('Deal maths'!H1856),N('Deal maths'!D1856))&gt;0),N('Deal maths'!F1856)+ROW()/1000000,"")</f>
        <v/>
      </c>
    </row>
    <row r="1857">
      <c r="A1857" s="91" t="n"/>
      <c r="B1857" s="111">
        <f>IF(AND(N('Deal maths'!F1857)&gt;AsAt,N('Deal maths'!E1857)&lt;=AsAt),IF(N('Deal maths'!H1857)&gt;0,N('Deal maths'!H1857),N('Deal maths'!D1857)),0)</f>
        <v/>
      </c>
      <c r="C1857" s="91">
        <f>IF(B1857&gt;0,IF('Deal maths'!C1857="Local authority","Local authorities",LOWER(TRIM('Deal maths'!B1857))),"")</f>
        <v/>
      </c>
      <c r="D1857" s="91">
        <f>IF(C1857="","",IF(COUNTIF($C$4:C1856,C1857)=0,SUMIF($C$4:$C$3997,C1857,$B$4:$B$3997)-ROW()/1000000,""))</f>
        <v/>
      </c>
      <c r="E1857" s="91">
        <f>IF(AND(N('Deal maths'!F1857)&gt;AsAt,N('Deal maths'!E1857)&lt;=AsAt,IF(N('Deal maths'!H1857)&gt;0,N('Deal maths'!H1857),N('Deal maths'!D1857))&gt;0),N('Deal maths'!F1857)+ROW()/1000000,"")</f>
        <v/>
      </c>
    </row>
    <row r="1858">
      <c r="A1858" s="91" t="n"/>
      <c r="B1858" s="111">
        <f>IF(AND(N('Deal maths'!F1858)&gt;AsAt,N('Deal maths'!E1858)&lt;=AsAt),IF(N('Deal maths'!H1858)&gt;0,N('Deal maths'!H1858),N('Deal maths'!D1858)),0)</f>
        <v/>
      </c>
      <c r="C1858" s="91">
        <f>IF(B1858&gt;0,IF('Deal maths'!C1858="Local authority","Local authorities",LOWER(TRIM('Deal maths'!B1858))),"")</f>
        <v/>
      </c>
      <c r="D1858" s="91">
        <f>IF(C1858="","",IF(COUNTIF($C$4:C1857,C1858)=0,SUMIF($C$4:$C$3997,C1858,$B$4:$B$3997)-ROW()/1000000,""))</f>
        <v/>
      </c>
      <c r="E1858" s="91">
        <f>IF(AND(N('Deal maths'!F1858)&gt;AsAt,N('Deal maths'!E1858)&lt;=AsAt,IF(N('Deal maths'!H1858)&gt;0,N('Deal maths'!H1858),N('Deal maths'!D1858))&gt;0),N('Deal maths'!F1858)+ROW()/1000000,"")</f>
        <v/>
      </c>
    </row>
    <row r="1859">
      <c r="A1859" s="91" t="n"/>
      <c r="B1859" s="111">
        <f>IF(AND(N('Deal maths'!F1859)&gt;AsAt,N('Deal maths'!E1859)&lt;=AsAt),IF(N('Deal maths'!H1859)&gt;0,N('Deal maths'!H1859),N('Deal maths'!D1859)),0)</f>
        <v/>
      </c>
      <c r="C1859" s="91">
        <f>IF(B1859&gt;0,IF('Deal maths'!C1859="Local authority","Local authorities",LOWER(TRIM('Deal maths'!B1859))),"")</f>
        <v/>
      </c>
      <c r="D1859" s="91">
        <f>IF(C1859="","",IF(COUNTIF($C$4:C1858,C1859)=0,SUMIF($C$4:$C$3997,C1859,$B$4:$B$3997)-ROW()/1000000,""))</f>
        <v/>
      </c>
      <c r="E1859" s="91">
        <f>IF(AND(N('Deal maths'!F1859)&gt;AsAt,N('Deal maths'!E1859)&lt;=AsAt,IF(N('Deal maths'!H1859)&gt;0,N('Deal maths'!H1859),N('Deal maths'!D1859))&gt;0),N('Deal maths'!F1859)+ROW()/1000000,"")</f>
        <v/>
      </c>
    </row>
    <row r="1860">
      <c r="A1860" s="91" t="n"/>
      <c r="B1860" s="111">
        <f>IF(AND(N('Deal maths'!F1860)&gt;AsAt,N('Deal maths'!E1860)&lt;=AsAt),IF(N('Deal maths'!H1860)&gt;0,N('Deal maths'!H1860),N('Deal maths'!D1860)),0)</f>
        <v/>
      </c>
      <c r="C1860" s="91">
        <f>IF(B1860&gt;0,IF('Deal maths'!C1860="Local authority","Local authorities",LOWER(TRIM('Deal maths'!B1860))),"")</f>
        <v/>
      </c>
      <c r="D1860" s="91">
        <f>IF(C1860="","",IF(COUNTIF($C$4:C1859,C1860)=0,SUMIF($C$4:$C$3997,C1860,$B$4:$B$3997)-ROW()/1000000,""))</f>
        <v/>
      </c>
      <c r="E1860" s="91">
        <f>IF(AND(N('Deal maths'!F1860)&gt;AsAt,N('Deal maths'!E1860)&lt;=AsAt,IF(N('Deal maths'!H1860)&gt;0,N('Deal maths'!H1860),N('Deal maths'!D1860))&gt;0),N('Deal maths'!F1860)+ROW()/1000000,"")</f>
        <v/>
      </c>
    </row>
    <row r="1861">
      <c r="A1861" s="91" t="n"/>
      <c r="B1861" s="111">
        <f>IF(AND(N('Deal maths'!F1861)&gt;AsAt,N('Deal maths'!E1861)&lt;=AsAt),IF(N('Deal maths'!H1861)&gt;0,N('Deal maths'!H1861),N('Deal maths'!D1861)),0)</f>
        <v/>
      </c>
      <c r="C1861" s="91">
        <f>IF(B1861&gt;0,IF('Deal maths'!C1861="Local authority","Local authorities",LOWER(TRIM('Deal maths'!B1861))),"")</f>
        <v/>
      </c>
      <c r="D1861" s="91">
        <f>IF(C1861="","",IF(COUNTIF($C$4:C1860,C1861)=0,SUMIF($C$4:$C$3997,C1861,$B$4:$B$3997)-ROW()/1000000,""))</f>
        <v/>
      </c>
      <c r="E1861" s="91">
        <f>IF(AND(N('Deal maths'!F1861)&gt;AsAt,N('Deal maths'!E1861)&lt;=AsAt,IF(N('Deal maths'!H1861)&gt;0,N('Deal maths'!H1861),N('Deal maths'!D1861))&gt;0),N('Deal maths'!F1861)+ROW()/1000000,"")</f>
        <v/>
      </c>
    </row>
    <row r="1862">
      <c r="A1862" s="91" t="n"/>
      <c r="B1862" s="111">
        <f>IF(AND(N('Deal maths'!F1862)&gt;AsAt,N('Deal maths'!E1862)&lt;=AsAt),IF(N('Deal maths'!H1862)&gt;0,N('Deal maths'!H1862),N('Deal maths'!D1862)),0)</f>
        <v/>
      </c>
      <c r="C1862" s="91">
        <f>IF(B1862&gt;0,IF('Deal maths'!C1862="Local authority","Local authorities",LOWER(TRIM('Deal maths'!B1862))),"")</f>
        <v/>
      </c>
      <c r="D1862" s="91">
        <f>IF(C1862="","",IF(COUNTIF($C$4:C1861,C1862)=0,SUMIF($C$4:$C$3997,C1862,$B$4:$B$3997)-ROW()/1000000,""))</f>
        <v/>
      </c>
      <c r="E1862" s="91">
        <f>IF(AND(N('Deal maths'!F1862)&gt;AsAt,N('Deal maths'!E1862)&lt;=AsAt,IF(N('Deal maths'!H1862)&gt;0,N('Deal maths'!H1862),N('Deal maths'!D1862))&gt;0),N('Deal maths'!F1862)+ROW()/1000000,"")</f>
        <v/>
      </c>
    </row>
    <row r="1863">
      <c r="A1863" s="91" t="n"/>
      <c r="B1863" s="111">
        <f>IF(AND(N('Deal maths'!F1863)&gt;AsAt,N('Deal maths'!E1863)&lt;=AsAt),IF(N('Deal maths'!H1863)&gt;0,N('Deal maths'!H1863),N('Deal maths'!D1863)),0)</f>
        <v/>
      </c>
      <c r="C1863" s="91">
        <f>IF(B1863&gt;0,IF('Deal maths'!C1863="Local authority","Local authorities",LOWER(TRIM('Deal maths'!B1863))),"")</f>
        <v/>
      </c>
      <c r="D1863" s="91">
        <f>IF(C1863="","",IF(COUNTIF($C$4:C1862,C1863)=0,SUMIF($C$4:$C$3997,C1863,$B$4:$B$3997)-ROW()/1000000,""))</f>
        <v/>
      </c>
      <c r="E1863" s="91">
        <f>IF(AND(N('Deal maths'!F1863)&gt;AsAt,N('Deal maths'!E1863)&lt;=AsAt,IF(N('Deal maths'!H1863)&gt;0,N('Deal maths'!H1863),N('Deal maths'!D1863))&gt;0),N('Deal maths'!F1863)+ROW()/1000000,"")</f>
        <v/>
      </c>
    </row>
    <row r="1864">
      <c r="A1864" s="91" t="n"/>
      <c r="B1864" s="111">
        <f>IF(AND(N('Deal maths'!F1864)&gt;AsAt,N('Deal maths'!E1864)&lt;=AsAt),IF(N('Deal maths'!H1864)&gt;0,N('Deal maths'!H1864),N('Deal maths'!D1864)),0)</f>
        <v/>
      </c>
      <c r="C1864" s="91">
        <f>IF(B1864&gt;0,IF('Deal maths'!C1864="Local authority","Local authorities",LOWER(TRIM('Deal maths'!B1864))),"")</f>
        <v/>
      </c>
      <c r="D1864" s="91">
        <f>IF(C1864="","",IF(COUNTIF($C$4:C1863,C1864)=0,SUMIF($C$4:$C$3997,C1864,$B$4:$B$3997)-ROW()/1000000,""))</f>
        <v/>
      </c>
      <c r="E1864" s="91">
        <f>IF(AND(N('Deal maths'!F1864)&gt;AsAt,N('Deal maths'!E1864)&lt;=AsAt,IF(N('Deal maths'!H1864)&gt;0,N('Deal maths'!H1864),N('Deal maths'!D1864))&gt;0),N('Deal maths'!F1864)+ROW()/1000000,"")</f>
        <v/>
      </c>
    </row>
    <row r="1865">
      <c r="A1865" s="91" t="n"/>
      <c r="B1865" s="111">
        <f>IF(AND(N('Deal maths'!F1865)&gt;AsAt,N('Deal maths'!E1865)&lt;=AsAt),IF(N('Deal maths'!H1865)&gt;0,N('Deal maths'!H1865),N('Deal maths'!D1865)),0)</f>
        <v/>
      </c>
      <c r="C1865" s="91">
        <f>IF(B1865&gt;0,IF('Deal maths'!C1865="Local authority","Local authorities",LOWER(TRIM('Deal maths'!B1865))),"")</f>
        <v/>
      </c>
      <c r="D1865" s="91">
        <f>IF(C1865="","",IF(COUNTIF($C$4:C1864,C1865)=0,SUMIF($C$4:$C$3997,C1865,$B$4:$B$3997)-ROW()/1000000,""))</f>
        <v/>
      </c>
      <c r="E1865" s="91">
        <f>IF(AND(N('Deal maths'!F1865)&gt;AsAt,N('Deal maths'!E1865)&lt;=AsAt,IF(N('Deal maths'!H1865)&gt;0,N('Deal maths'!H1865),N('Deal maths'!D1865))&gt;0),N('Deal maths'!F1865)+ROW()/1000000,"")</f>
        <v/>
      </c>
    </row>
    <row r="1866">
      <c r="A1866" s="91" t="n"/>
      <c r="B1866" s="111">
        <f>IF(AND(N('Deal maths'!F1866)&gt;AsAt,N('Deal maths'!E1866)&lt;=AsAt),IF(N('Deal maths'!H1866)&gt;0,N('Deal maths'!H1866),N('Deal maths'!D1866)),0)</f>
        <v/>
      </c>
      <c r="C1866" s="91">
        <f>IF(B1866&gt;0,IF('Deal maths'!C1866="Local authority","Local authorities",LOWER(TRIM('Deal maths'!B1866))),"")</f>
        <v/>
      </c>
      <c r="D1866" s="91">
        <f>IF(C1866="","",IF(COUNTIF($C$4:C1865,C1866)=0,SUMIF($C$4:$C$3997,C1866,$B$4:$B$3997)-ROW()/1000000,""))</f>
        <v/>
      </c>
      <c r="E1866" s="91">
        <f>IF(AND(N('Deal maths'!F1866)&gt;AsAt,N('Deal maths'!E1866)&lt;=AsAt,IF(N('Deal maths'!H1866)&gt;0,N('Deal maths'!H1866),N('Deal maths'!D1866))&gt;0),N('Deal maths'!F1866)+ROW()/1000000,"")</f>
        <v/>
      </c>
    </row>
    <row r="1867">
      <c r="A1867" s="91" t="n"/>
      <c r="B1867" s="111">
        <f>IF(AND(N('Deal maths'!F1867)&gt;AsAt,N('Deal maths'!E1867)&lt;=AsAt),IF(N('Deal maths'!H1867)&gt;0,N('Deal maths'!H1867),N('Deal maths'!D1867)),0)</f>
        <v/>
      </c>
      <c r="C1867" s="91">
        <f>IF(B1867&gt;0,IF('Deal maths'!C1867="Local authority","Local authorities",LOWER(TRIM('Deal maths'!B1867))),"")</f>
        <v/>
      </c>
      <c r="D1867" s="91">
        <f>IF(C1867="","",IF(COUNTIF($C$4:C1866,C1867)=0,SUMIF($C$4:$C$3997,C1867,$B$4:$B$3997)-ROW()/1000000,""))</f>
        <v/>
      </c>
      <c r="E1867" s="91">
        <f>IF(AND(N('Deal maths'!F1867)&gt;AsAt,N('Deal maths'!E1867)&lt;=AsAt,IF(N('Deal maths'!H1867)&gt;0,N('Deal maths'!H1867),N('Deal maths'!D1867))&gt;0),N('Deal maths'!F1867)+ROW()/1000000,"")</f>
        <v/>
      </c>
    </row>
    <row r="1868">
      <c r="A1868" s="91" t="n"/>
      <c r="B1868" s="111">
        <f>IF(AND(N('Deal maths'!F1868)&gt;AsAt,N('Deal maths'!E1868)&lt;=AsAt),IF(N('Deal maths'!H1868)&gt;0,N('Deal maths'!H1868),N('Deal maths'!D1868)),0)</f>
        <v/>
      </c>
      <c r="C1868" s="91">
        <f>IF(B1868&gt;0,IF('Deal maths'!C1868="Local authority","Local authorities",LOWER(TRIM('Deal maths'!B1868))),"")</f>
        <v/>
      </c>
      <c r="D1868" s="91">
        <f>IF(C1868="","",IF(COUNTIF($C$4:C1867,C1868)=0,SUMIF($C$4:$C$3997,C1868,$B$4:$B$3997)-ROW()/1000000,""))</f>
        <v/>
      </c>
      <c r="E1868" s="91">
        <f>IF(AND(N('Deal maths'!F1868)&gt;AsAt,N('Deal maths'!E1868)&lt;=AsAt,IF(N('Deal maths'!H1868)&gt;0,N('Deal maths'!H1868),N('Deal maths'!D1868))&gt;0),N('Deal maths'!F1868)+ROW()/1000000,"")</f>
        <v/>
      </c>
    </row>
    <row r="1869">
      <c r="A1869" s="91" t="n"/>
      <c r="B1869" s="111">
        <f>IF(AND(N('Deal maths'!F1869)&gt;AsAt,N('Deal maths'!E1869)&lt;=AsAt),IF(N('Deal maths'!H1869)&gt;0,N('Deal maths'!H1869),N('Deal maths'!D1869)),0)</f>
        <v/>
      </c>
      <c r="C1869" s="91">
        <f>IF(B1869&gt;0,IF('Deal maths'!C1869="Local authority","Local authorities",LOWER(TRIM('Deal maths'!B1869))),"")</f>
        <v/>
      </c>
      <c r="D1869" s="91">
        <f>IF(C1869="","",IF(COUNTIF($C$4:C1868,C1869)=0,SUMIF($C$4:$C$3997,C1869,$B$4:$B$3997)-ROW()/1000000,""))</f>
        <v/>
      </c>
      <c r="E1869" s="91">
        <f>IF(AND(N('Deal maths'!F1869)&gt;AsAt,N('Deal maths'!E1869)&lt;=AsAt,IF(N('Deal maths'!H1869)&gt;0,N('Deal maths'!H1869),N('Deal maths'!D1869))&gt;0),N('Deal maths'!F1869)+ROW()/1000000,"")</f>
        <v/>
      </c>
    </row>
    <row r="1870">
      <c r="A1870" s="91" t="n"/>
      <c r="B1870" s="111">
        <f>IF(AND(N('Deal maths'!F1870)&gt;AsAt,N('Deal maths'!E1870)&lt;=AsAt),IF(N('Deal maths'!H1870)&gt;0,N('Deal maths'!H1870),N('Deal maths'!D1870)),0)</f>
        <v/>
      </c>
      <c r="C1870" s="91">
        <f>IF(B1870&gt;0,IF('Deal maths'!C1870="Local authority","Local authorities",LOWER(TRIM('Deal maths'!B1870))),"")</f>
        <v/>
      </c>
      <c r="D1870" s="91">
        <f>IF(C1870="","",IF(COUNTIF($C$4:C1869,C1870)=0,SUMIF($C$4:$C$3997,C1870,$B$4:$B$3997)-ROW()/1000000,""))</f>
        <v/>
      </c>
      <c r="E1870" s="91">
        <f>IF(AND(N('Deal maths'!F1870)&gt;AsAt,N('Deal maths'!E1870)&lt;=AsAt,IF(N('Deal maths'!H1870)&gt;0,N('Deal maths'!H1870),N('Deal maths'!D1870))&gt;0),N('Deal maths'!F1870)+ROW()/1000000,"")</f>
        <v/>
      </c>
    </row>
    <row r="1871">
      <c r="A1871" s="91" t="n"/>
      <c r="B1871" s="111">
        <f>IF(AND(N('Deal maths'!F1871)&gt;AsAt,N('Deal maths'!E1871)&lt;=AsAt),IF(N('Deal maths'!H1871)&gt;0,N('Deal maths'!H1871),N('Deal maths'!D1871)),0)</f>
        <v/>
      </c>
      <c r="C1871" s="91">
        <f>IF(B1871&gt;0,IF('Deal maths'!C1871="Local authority","Local authorities",LOWER(TRIM('Deal maths'!B1871))),"")</f>
        <v/>
      </c>
      <c r="D1871" s="91">
        <f>IF(C1871="","",IF(COUNTIF($C$4:C1870,C1871)=0,SUMIF($C$4:$C$3997,C1871,$B$4:$B$3997)-ROW()/1000000,""))</f>
        <v/>
      </c>
      <c r="E1871" s="91">
        <f>IF(AND(N('Deal maths'!F1871)&gt;AsAt,N('Deal maths'!E1871)&lt;=AsAt,IF(N('Deal maths'!H1871)&gt;0,N('Deal maths'!H1871),N('Deal maths'!D1871))&gt;0),N('Deal maths'!F1871)+ROW()/1000000,"")</f>
        <v/>
      </c>
    </row>
    <row r="1872">
      <c r="A1872" s="91" t="n"/>
      <c r="B1872" s="111">
        <f>IF(AND(N('Deal maths'!F1872)&gt;AsAt,N('Deal maths'!E1872)&lt;=AsAt),IF(N('Deal maths'!H1872)&gt;0,N('Deal maths'!H1872),N('Deal maths'!D1872)),0)</f>
        <v/>
      </c>
      <c r="C1872" s="91">
        <f>IF(B1872&gt;0,IF('Deal maths'!C1872="Local authority","Local authorities",LOWER(TRIM('Deal maths'!B1872))),"")</f>
        <v/>
      </c>
      <c r="D1872" s="91">
        <f>IF(C1872="","",IF(COUNTIF($C$4:C1871,C1872)=0,SUMIF($C$4:$C$3997,C1872,$B$4:$B$3997)-ROW()/1000000,""))</f>
        <v/>
      </c>
      <c r="E1872" s="91">
        <f>IF(AND(N('Deal maths'!F1872)&gt;AsAt,N('Deal maths'!E1872)&lt;=AsAt,IF(N('Deal maths'!H1872)&gt;0,N('Deal maths'!H1872),N('Deal maths'!D1872))&gt;0),N('Deal maths'!F1872)+ROW()/1000000,"")</f>
        <v/>
      </c>
    </row>
    <row r="1873">
      <c r="A1873" s="91" t="n"/>
      <c r="B1873" s="111">
        <f>IF(AND(N('Deal maths'!F1873)&gt;AsAt,N('Deal maths'!E1873)&lt;=AsAt),IF(N('Deal maths'!H1873)&gt;0,N('Deal maths'!H1873),N('Deal maths'!D1873)),0)</f>
        <v/>
      </c>
      <c r="C1873" s="91">
        <f>IF(B1873&gt;0,IF('Deal maths'!C1873="Local authority","Local authorities",LOWER(TRIM('Deal maths'!B1873))),"")</f>
        <v/>
      </c>
      <c r="D1873" s="91">
        <f>IF(C1873="","",IF(COUNTIF($C$4:C1872,C1873)=0,SUMIF($C$4:$C$3997,C1873,$B$4:$B$3997)-ROW()/1000000,""))</f>
        <v/>
      </c>
      <c r="E1873" s="91">
        <f>IF(AND(N('Deal maths'!F1873)&gt;AsAt,N('Deal maths'!E1873)&lt;=AsAt,IF(N('Deal maths'!H1873)&gt;0,N('Deal maths'!H1873),N('Deal maths'!D1873))&gt;0),N('Deal maths'!F1873)+ROW()/1000000,"")</f>
        <v/>
      </c>
    </row>
    <row r="1874">
      <c r="A1874" s="91" t="n"/>
      <c r="B1874" s="111">
        <f>IF(AND(N('Deal maths'!F1874)&gt;AsAt,N('Deal maths'!E1874)&lt;=AsAt),IF(N('Deal maths'!H1874)&gt;0,N('Deal maths'!H1874),N('Deal maths'!D1874)),0)</f>
        <v/>
      </c>
      <c r="C1874" s="91">
        <f>IF(B1874&gt;0,IF('Deal maths'!C1874="Local authority","Local authorities",LOWER(TRIM('Deal maths'!B1874))),"")</f>
        <v/>
      </c>
      <c r="D1874" s="91">
        <f>IF(C1874="","",IF(COUNTIF($C$4:C1873,C1874)=0,SUMIF($C$4:$C$3997,C1874,$B$4:$B$3997)-ROW()/1000000,""))</f>
        <v/>
      </c>
      <c r="E1874" s="91">
        <f>IF(AND(N('Deal maths'!F1874)&gt;AsAt,N('Deal maths'!E1874)&lt;=AsAt,IF(N('Deal maths'!H1874)&gt;0,N('Deal maths'!H1874),N('Deal maths'!D1874))&gt;0),N('Deal maths'!F1874)+ROW()/1000000,"")</f>
        <v/>
      </c>
    </row>
    <row r="1875">
      <c r="A1875" s="91" t="n"/>
      <c r="B1875" s="111">
        <f>IF(AND(N('Deal maths'!F1875)&gt;AsAt,N('Deal maths'!E1875)&lt;=AsAt),IF(N('Deal maths'!H1875)&gt;0,N('Deal maths'!H1875),N('Deal maths'!D1875)),0)</f>
        <v/>
      </c>
      <c r="C1875" s="91">
        <f>IF(B1875&gt;0,IF('Deal maths'!C1875="Local authority","Local authorities",LOWER(TRIM('Deal maths'!B1875))),"")</f>
        <v/>
      </c>
      <c r="D1875" s="91">
        <f>IF(C1875="","",IF(COUNTIF($C$4:C1874,C1875)=0,SUMIF($C$4:$C$3997,C1875,$B$4:$B$3997)-ROW()/1000000,""))</f>
        <v/>
      </c>
      <c r="E1875" s="91">
        <f>IF(AND(N('Deal maths'!F1875)&gt;AsAt,N('Deal maths'!E1875)&lt;=AsAt,IF(N('Deal maths'!H1875)&gt;0,N('Deal maths'!H1875),N('Deal maths'!D1875))&gt;0),N('Deal maths'!F1875)+ROW()/1000000,"")</f>
        <v/>
      </c>
    </row>
    <row r="1876">
      <c r="A1876" s="91" t="n"/>
      <c r="B1876" s="111">
        <f>IF(AND(N('Deal maths'!F1876)&gt;AsAt,N('Deal maths'!E1876)&lt;=AsAt),IF(N('Deal maths'!H1876)&gt;0,N('Deal maths'!H1876),N('Deal maths'!D1876)),0)</f>
        <v/>
      </c>
      <c r="C1876" s="91">
        <f>IF(B1876&gt;0,IF('Deal maths'!C1876="Local authority","Local authorities",LOWER(TRIM('Deal maths'!B1876))),"")</f>
        <v/>
      </c>
      <c r="D1876" s="91">
        <f>IF(C1876="","",IF(COUNTIF($C$4:C1875,C1876)=0,SUMIF($C$4:$C$3997,C1876,$B$4:$B$3997)-ROW()/1000000,""))</f>
        <v/>
      </c>
      <c r="E1876" s="91">
        <f>IF(AND(N('Deal maths'!F1876)&gt;AsAt,N('Deal maths'!E1876)&lt;=AsAt,IF(N('Deal maths'!H1876)&gt;0,N('Deal maths'!H1876),N('Deal maths'!D1876))&gt;0),N('Deal maths'!F1876)+ROW()/1000000,"")</f>
        <v/>
      </c>
    </row>
    <row r="1877">
      <c r="A1877" s="91" t="n"/>
      <c r="B1877" s="111">
        <f>IF(AND(N('Deal maths'!F1877)&gt;AsAt,N('Deal maths'!E1877)&lt;=AsAt),IF(N('Deal maths'!H1877)&gt;0,N('Deal maths'!H1877),N('Deal maths'!D1877)),0)</f>
        <v/>
      </c>
      <c r="C1877" s="91">
        <f>IF(B1877&gt;0,IF('Deal maths'!C1877="Local authority","Local authorities",LOWER(TRIM('Deal maths'!B1877))),"")</f>
        <v/>
      </c>
      <c r="D1877" s="91">
        <f>IF(C1877="","",IF(COUNTIF($C$4:C1876,C1877)=0,SUMIF($C$4:$C$3997,C1877,$B$4:$B$3997)-ROW()/1000000,""))</f>
        <v/>
      </c>
      <c r="E1877" s="91">
        <f>IF(AND(N('Deal maths'!F1877)&gt;AsAt,N('Deal maths'!E1877)&lt;=AsAt,IF(N('Deal maths'!H1877)&gt;0,N('Deal maths'!H1877),N('Deal maths'!D1877))&gt;0),N('Deal maths'!F1877)+ROW()/1000000,"")</f>
        <v/>
      </c>
    </row>
    <row r="1878">
      <c r="A1878" s="91" t="n"/>
      <c r="B1878" s="111">
        <f>IF(AND(N('Deal maths'!F1878)&gt;AsAt,N('Deal maths'!E1878)&lt;=AsAt),IF(N('Deal maths'!H1878)&gt;0,N('Deal maths'!H1878),N('Deal maths'!D1878)),0)</f>
        <v/>
      </c>
      <c r="C1878" s="91">
        <f>IF(B1878&gt;0,IF('Deal maths'!C1878="Local authority","Local authorities",LOWER(TRIM('Deal maths'!B1878))),"")</f>
        <v/>
      </c>
      <c r="D1878" s="91">
        <f>IF(C1878="","",IF(COUNTIF($C$4:C1877,C1878)=0,SUMIF($C$4:$C$3997,C1878,$B$4:$B$3997)-ROW()/1000000,""))</f>
        <v/>
      </c>
      <c r="E1878" s="91">
        <f>IF(AND(N('Deal maths'!F1878)&gt;AsAt,N('Deal maths'!E1878)&lt;=AsAt,IF(N('Deal maths'!H1878)&gt;0,N('Deal maths'!H1878),N('Deal maths'!D1878))&gt;0),N('Deal maths'!F1878)+ROW()/1000000,"")</f>
        <v/>
      </c>
    </row>
    <row r="1879">
      <c r="A1879" s="91" t="n"/>
      <c r="B1879" s="111">
        <f>IF(AND(N('Deal maths'!F1879)&gt;AsAt,N('Deal maths'!E1879)&lt;=AsAt),IF(N('Deal maths'!H1879)&gt;0,N('Deal maths'!H1879),N('Deal maths'!D1879)),0)</f>
        <v/>
      </c>
      <c r="C1879" s="91">
        <f>IF(B1879&gt;0,IF('Deal maths'!C1879="Local authority","Local authorities",LOWER(TRIM('Deal maths'!B1879))),"")</f>
        <v/>
      </c>
      <c r="D1879" s="91">
        <f>IF(C1879="","",IF(COUNTIF($C$4:C1878,C1879)=0,SUMIF($C$4:$C$3997,C1879,$B$4:$B$3997)-ROW()/1000000,""))</f>
        <v/>
      </c>
      <c r="E1879" s="91">
        <f>IF(AND(N('Deal maths'!F1879)&gt;AsAt,N('Deal maths'!E1879)&lt;=AsAt,IF(N('Deal maths'!H1879)&gt;0,N('Deal maths'!H1879),N('Deal maths'!D1879))&gt;0),N('Deal maths'!F1879)+ROW()/1000000,"")</f>
        <v/>
      </c>
    </row>
    <row r="1880">
      <c r="A1880" s="91" t="n"/>
      <c r="B1880" s="111">
        <f>IF(AND(N('Deal maths'!F1880)&gt;AsAt,N('Deal maths'!E1880)&lt;=AsAt),IF(N('Deal maths'!H1880)&gt;0,N('Deal maths'!H1880),N('Deal maths'!D1880)),0)</f>
        <v/>
      </c>
      <c r="C1880" s="91">
        <f>IF(B1880&gt;0,IF('Deal maths'!C1880="Local authority","Local authorities",LOWER(TRIM('Deal maths'!B1880))),"")</f>
        <v/>
      </c>
      <c r="D1880" s="91">
        <f>IF(C1880="","",IF(COUNTIF($C$4:C1879,C1880)=0,SUMIF($C$4:$C$3997,C1880,$B$4:$B$3997)-ROW()/1000000,""))</f>
        <v/>
      </c>
      <c r="E1880" s="91">
        <f>IF(AND(N('Deal maths'!F1880)&gt;AsAt,N('Deal maths'!E1880)&lt;=AsAt,IF(N('Deal maths'!H1880)&gt;0,N('Deal maths'!H1880),N('Deal maths'!D1880))&gt;0),N('Deal maths'!F1880)+ROW()/1000000,"")</f>
        <v/>
      </c>
    </row>
    <row r="1881">
      <c r="A1881" s="91" t="n"/>
      <c r="B1881" s="111">
        <f>IF(AND(N('Deal maths'!F1881)&gt;AsAt,N('Deal maths'!E1881)&lt;=AsAt),IF(N('Deal maths'!H1881)&gt;0,N('Deal maths'!H1881),N('Deal maths'!D1881)),0)</f>
        <v/>
      </c>
      <c r="C1881" s="91">
        <f>IF(B1881&gt;0,IF('Deal maths'!C1881="Local authority","Local authorities",LOWER(TRIM('Deal maths'!B1881))),"")</f>
        <v/>
      </c>
      <c r="D1881" s="91">
        <f>IF(C1881="","",IF(COUNTIF($C$4:C1880,C1881)=0,SUMIF($C$4:$C$3997,C1881,$B$4:$B$3997)-ROW()/1000000,""))</f>
        <v/>
      </c>
      <c r="E1881" s="91">
        <f>IF(AND(N('Deal maths'!F1881)&gt;AsAt,N('Deal maths'!E1881)&lt;=AsAt,IF(N('Deal maths'!H1881)&gt;0,N('Deal maths'!H1881),N('Deal maths'!D1881))&gt;0),N('Deal maths'!F1881)+ROW()/1000000,"")</f>
        <v/>
      </c>
    </row>
    <row r="1882">
      <c r="A1882" s="91" t="n"/>
      <c r="B1882" s="111">
        <f>IF(AND(N('Deal maths'!F1882)&gt;AsAt,N('Deal maths'!E1882)&lt;=AsAt),IF(N('Deal maths'!H1882)&gt;0,N('Deal maths'!H1882),N('Deal maths'!D1882)),0)</f>
        <v/>
      </c>
      <c r="C1882" s="91">
        <f>IF(B1882&gt;0,IF('Deal maths'!C1882="Local authority","Local authorities",LOWER(TRIM('Deal maths'!B1882))),"")</f>
        <v/>
      </c>
      <c r="D1882" s="91">
        <f>IF(C1882="","",IF(COUNTIF($C$4:C1881,C1882)=0,SUMIF($C$4:$C$3997,C1882,$B$4:$B$3997)-ROW()/1000000,""))</f>
        <v/>
      </c>
      <c r="E1882" s="91">
        <f>IF(AND(N('Deal maths'!F1882)&gt;AsAt,N('Deal maths'!E1882)&lt;=AsAt,IF(N('Deal maths'!H1882)&gt;0,N('Deal maths'!H1882),N('Deal maths'!D1882))&gt;0),N('Deal maths'!F1882)+ROW()/1000000,"")</f>
        <v/>
      </c>
    </row>
    <row r="1883">
      <c r="A1883" s="91" t="n"/>
      <c r="B1883" s="111">
        <f>IF(AND(N('Deal maths'!F1883)&gt;AsAt,N('Deal maths'!E1883)&lt;=AsAt),IF(N('Deal maths'!H1883)&gt;0,N('Deal maths'!H1883),N('Deal maths'!D1883)),0)</f>
        <v/>
      </c>
      <c r="C1883" s="91">
        <f>IF(B1883&gt;0,IF('Deal maths'!C1883="Local authority","Local authorities",LOWER(TRIM('Deal maths'!B1883))),"")</f>
        <v/>
      </c>
      <c r="D1883" s="91">
        <f>IF(C1883="","",IF(COUNTIF($C$4:C1882,C1883)=0,SUMIF($C$4:$C$3997,C1883,$B$4:$B$3997)-ROW()/1000000,""))</f>
        <v/>
      </c>
      <c r="E1883" s="91">
        <f>IF(AND(N('Deal maths'!F1883)&gt;AsAt,N('Deal maths'!E1883)&lt;=AsAt,IF(N('Deal maths'!H1883)&gt;0,N('Deal maths'!H1883),N('Deal maths'!D1883))&gt;0),N('Deal maths'!F1883)+ROW()/1000000,"")</f>
        <v/>
      </c>
    </row>
    <row r="1884">
      <c r="A1884" s="91" t="n"/>
      <c r="B1884" s="111">
        <f>IF(AND(N('Deal maths'!F1884)&gt;AsAt,N('Deal maths'!E1884)&lt;=AsAt),IF(N('Deal maths'!H1884)&gt;0,N('Deal maths'!H1884),N('Deal maths'!D1884)),0)</f>
        <v/>
      </c>
      <c r="C1884" s="91">
        <f>IF(B1884&gt;0,IF('Deal maths'!C1884="Local authority","Local authorities",LOWER(TRIM('Deal maths'!B1884))),"")</f>
        <v/>
      </c>
      <c r="D1884" s="91">
        <f>IF(C1884="","",IF(COUNTIF($C$4:C1883,C1884)=0,SUMIF($C$4:$C$3997,C1884,$B$4:$B$3997)-ROW()/1000000,""))</f>
        <v/>
      </c>
      <c r="E1884" s="91">
        <f>IF(AND(N('Deal maths'!F1884)&gt;AsAt,N('Deal maths'!E1884)&lt;=AsAt,IF(N('Deal maths'!H1884)&gt;0,N('Deal maths'!H1884),N('Deal maths'!D1884))&gt;0),N('Deal maths'!F1884)+ROW()/1000000,"")</f>
        <v/>
      </c>
    </row>
    <row r="1885">
      <c r="A1885" s="91" t="n"/>
      <c r="B1885" s="111">
        <f>IF(AND(N('Deal maths'!F1885)&gt;AsAt,N('Deal maths'!E1885)&lt;=AsAt),IF(N('Deal maths'!H1885)&gt;0,N('Deal maths'!H1885),N('Deal maths'!D1885)),0)</f>
        <v/>
      </c>
      <c r="C1885" s="91">
        <f>IF(B1885&gt;0,IF('Deal maths'!C1885="Local authority","Local authorities",LOWER(TRIM('Deal maths'!B1885))),"")</f>
        <v/>
      </c>
      <c r="D1885" s="91">
        <f>IF(C1885="","",IF(COUNTIF($C$4:C1884,C1885)=0,SUMIF($C$4:$C$3997,C1885,$B$4:$B$3997)-ROW()/1000000,""))</f>
        <v/>
      </c>
      <c r="E1885" s="91">
        <f>IF(AND(N('Deal maths'!F1885)&gt;AsAt,N('Deal maths'!E1885)&lt;=AsAt,IF(N('Deal maths'!H1885)&gt;0,N('Deal maths'!H1885),N('Deal maths'!D1885))&gt;0),N('Deal maths'!F1885)+ROW()/1000000,"")</f>
        <v/>
      </c>
    </row>
    <row r="1886">
      <c r="A1886" s="91" t="n"/>
      <c r="B1886" s="111">
        <f>IF(AND(N('Deal maths'!F1886)&gt;AsAt,N('Deal maths'!E1886)&lt;=AsAt),IF(N('Deal maths'!H1886)&gt;0,N('Deal maths'!H1886),N('Deal maths'!D1886)),0)</f>
        <v/>
      </c>
      <c r="C1886" s="91">
        <f>IF(B1886&gt;0,IF('Deal maths'!C1886="Local authority","Local authorities",LOWER(TRIM('Deal maths'!B1886))),"")</f>
        <v/>
      </c>
      <c r="D1886" s="91">
        <f>IF(C1886="","",IF(COUNTIF($C$4:C1885,C1886)=0,SUMIF($C$4:$C$3997,C1886,$B$4:$B$3997)-ROW()/1000000,""))</f>
        <v/>
      </c>
      <c r="E1886" s="91">
        <f>IF(AND(N('Deal maths'!F1886)&gt;AsAt,N('Deal maths'!E1886)&lt;=AsAt,IF(N('Deal maths'!H1886)&gt;0,N('Deal maths'!H1886),N('Deal maths'!D1886))&gt;0),N('Deal maths'!F1886)+ROW()/1000000,"")</f>
        <v/>
      </c>
    </row>
    <row r="1887">
      <c r="A1887" s="91" t="n"/>
      <c r="B1887" s="111">
        <f>IF(AND(N('Deal maths'!F1887)&gt;AsAt,N('Deal maths'!E1887)&lt;=AsAt),IF(N('Deal maths'!H1887)&gt;0,N('Deal maths'!H1887),N('Deal maths'!D1887)),0)</f>
        <v/>
      </c>
      <c r="C1887" s="91">
        <f>IF(B1887&gt;0,IF('Deal maths'!C1887="Local authority","Local authorities",LOWER(TRIM('Deal maths'!B1887))),"")</f>
        <v/>
      </c>
      <c r="D1887" s="91">
        <f>IF(C1887="","",IF(COUNTIF($C$4:C1886,C1887)=0,SUMIF($C$4:$C$3997,C1887,$B$4:$B$3997)-ROW()/1000000,""))</f>
        <v/>
      </c>
      <c r="E1887" s="91">
        <f>IF(AND(N('Deal maths'!F1887)&gt;AsAt,N('Deal maths'!E1887)&lt;=AsAt,IF(N('Deal maths'!H1887)&gt;0,N('Deal maths'!H1887),N('Deal maths'!D1887))&gt;0),N('Deal maths'!F1887)+ROW()/1000000,"")</f>
        <v/>
      </c>
    </row>
    <row r="1888">
      <c r="A1888" s="91" t="n"/>
      <c r="B1888" s="111">
        <f>IF(AND(N('Deal maths'!F1888)&gt;AsAt,N('Deal maths'!E1888)&lt;=AsAt),IF(N('Deal maths'!H1888)&gt;0,N('Deal maths'!H1888),N('Deal maths'!D1888)),0)</f>
        <v/>
      </c>
      <c r="C1888" s="91">
        <f>IF(B1888&gt;0,IF('Deal maths'!C1888="Local authority","Local authorities",LOWER(TRIM('Deal maths'!B1888))),"")</f>
        <v/>
      </c>
      <c r="D1888" s="91">
        <f>IF(C1888="","",IF(COUNTIF($C$4:C1887,C1888)=0,SUMIF($C$4:$C$3997,C1888,$B$4:$B$3997)-ROW()/1000000,""))</f>
        <v/>
      </c>
      <c r="E1888" s="91">
        <f>IF(AND(N('Deal maths'!F1888)&gt;AsAt,N('Deal maths'!E1888)&lt;=AsAt,IF(N('Deal maths'!H1888)&gt;0,N('Deal maths'!H1888),N('Deal maths'!D1888))&gt;0),N('Deal maths'!F1888)+ROW()/1000000,"")</f>
        <v/>
      </c>
    </row>
    <row r="1889">
      <c r="A1889" s="91" t="n"/>
      <c r="B1889" s="111">
        <f>IF(AND(N('Deal maths'!F1889)&gt;AsAt,N('Deal maths'!E1889)&lt;=AsAt),IF(N('Deal maths'!H1889)&gt;0,N('Deal maths'!H1889),N('Deal maths'!D1889)),0)</f>
        <v/>
      </c>
      <c r="C1889" s="91">
        <f>IF(B1889&gt;0,IF('Deal maths'!C1889="Local authority","Local authorities",LOWER(TRIM('Deal maths'!B1889))),"")</f>
        <v/>
      </c>
      <c r="D1889" s="91">
        <f>IF(C1889="","",IF(COUNTIF($C$4:C1888,C1889)=0,SUMIF($C$4:$C$3997,C1889,$B$4:$B$3997)-ROW()/1000000,""))</f>
        <v/>
      </c>
      <c r="E1889" s="91">
        <f>IF(AND(N('Deal maths'!F1889)&gt;AsAt,N('Deal maths'!E1889)&lt;=AsAt,IF(N('Deal maths'!H1889)&gt;0,N('Deal maths'!H1889),N('Deal maths'!D1889))&gt;0),N('Deal maths'!F1889)+ROW()/1000000,"")</f>
        <v/>
      </c>
    </row>
    <row r="1890">
      <c r="A1890" s="91" t="n"/>
      <c r="B1890" s="111">
        <f>IF(AND(N('Deal maths'!F1890)&gt;AsAt,N('Deal maths'!E1890)&lt;=AsAt),IF(N('Deal maths'!H1890)&gt;0,N('Deal maths'!H1890),N('Deal maths'!D1890)),0)</f>
        <v/>
      </c>
      <c r="C1890" s="91">
        <f>IF(B1890&gt;0,IF('Deal maths'!C1890="Local authority","Local authorities",LOWER(TRIM('Deal maths'!B1890))),"")</f>
        <v/>
      </c>
      <c r="D1890" s="91">
        <f>IF(C1890="","",IF(COUNTIF($C$4:C1889,C1890)=0,SUMIF($C$4:$C$3997,C1890,$B$4:$B$3997)-ROW()/1000000,""))</f>
        <v/>
      </c>
      <c r="E1890" s="91">
        <f>IF(AND(N('Deal maths'!F1890)&gt;AsAt,N('Deal maths'!E1890)&lt;=AsAt,IF(N('Deal maths'!H1890)&gt;0,N('Deal maths'!H1890),N('Deal maths'!D1890))&gt;0),N('Deal maths'!F1890)+ROW()/1000000,"")</f>
        <v/>
      </c>
    </row>
    <row r="1891">
      <c r="A1891" s="91" t="n"/>
      <c r="B1891" s="111">
        <f>IF(AND(N('Deal maths'!F1891)&gt;AsAt,N('Deal maths'!E1891)&lt;=AsAt),IF(N('Deal maths'!H1891)&gt;0,N('Deal maths'!H1891),N('Deal maths'!D1891)),0)</f>
        <v/>
      </c>
      <c r="C1891" s="91">
        <f>IF(B1891&gt;0,IF('Deal maths'!C1891="Local authority","Local authorities",LOWER(TRIM('Deal maths'!B1891))),"")</f>
        <v/>
      </c>
      <c r="D1891" s="91">
        <f>IF(C1891="","",IF(COUNTIF($C$4:C1890,C1891)=0,SUMIF($C$4:$C$3997,C1891,$B$4:$B$3997)-ROW()/1000000,""))</f>
        <v/>
      </c>
      <c r="E1891" s="91">
        <f>IF(AND(N('Deal maths'!F1891)&gt;AsAt,N('Deal maths'!E1891)&lt;=AsAt,IF(N('Deal maths'!H1891)&gt;0,N('Deal maths'!H1891),N('Deal maths'!D1891))&gt;0),N('Deal maths'!F1891)+ROW()/1000000,"")</f>
        <v/>
      </c>
    </row>
    <row r="1892">
      <c r="A1892" s="91" t="n"/>
      <c r="B1892" s="111">
        <f>IF(AND(N('Deal maths'!F1892)&gt;AsAt,N('Deal maths'!E1892)&lt;=AsAt),IF(N('Deal maths'!H1892)&gt;0,N('Deal maths'!H1892),N('Deal maths'!D1892)),0)</f>
        <v/>
      </c>
      <c r="C1892" s="91">
        <f>IF(B1892&gt;0,IF('Deal maths'!C1892="Local authority","Local authorities",LOWER(TRIM('Deal maths'!B1892))),"")</f>
        <v/>
      </c>
      <c r="D1892" s="91">
        <f>IF(C1892="","",IF(COUNTIF($C$4:C1891,C1892)=0,SUMIF($C$4:$C$3997,C1892,$B$4:$B$3997)-ROW()/1000000,""))</f>
        <v/>
      </c>
      <c r="E1892" s="91">
        <f>IF(AND(N('Deal maths'!F1892)&gt;AsAt,N('Deal maths'!E1892)&lt;=AsAt,IF(N('Deal maths'!H1892)&gt;0,N('Deal maths'!H1892),N('Deal maths'!D1892))&gt;0),N('Deal maths'!F1892)+ROW()/1000000,"")</f>
        <v/>
      </c>
    </row>
    <row r="1893">
      <c r="A1893" s="91" t="n"/>
      <c r="B1893" s="111">
        <f>IF(AND(N('Deal maths'!F1893)&gt;AsAt,N('Deal maths'!E1893)&lt;=AsAt),IF(N('Deal maths'!H1893)&gt;0,N('Deal maths'!H1893),N('Deal maths'!D1893)),0)</f>
        <v/>
      </c>
      <c r="C1893" s="91">
        <f>IF(B1893&gt;0,IF('Deal maths'!C1893="Local authority","Local authorities",LOWER(TRIM('Deal maths'!B1893))),"")</f>
        <v/>
      </c>
      <c r="D1893" s="91">
        <f>IF(C1893="","",IF(COUNTIF($C$4:C1892,C1893)=0,SUMIF($C$4:$C$3997,C1893,$B$4:$B$3997)-ROW()/1000000,""))</f>
        <v/>
      </c>
      <c r="E1893" s="91">
        <f>IF(AND(N('Deal maths'!F1893)&gt;AsAt,N('Deal maths'!E1893)&lt;=AsAt,IF(N('Deal maths'!H1893)&gt;0,N('Deal maths'!H1893),N('Deal maths'!D1893))&gt;0),N('Deal maths'!F1893)+ROW()/1000000,"")</f>
        <v/>
      </c>
    </row>
    <row r="1894">
      <c r="A1894" s="91" t="n"/>
      <c r="B1894" s="111">
        <f>IF(AND(N('Deal maths'!F1894)&gt;AsAt,N('Deal maths'!E1894)&lt;=AsAt),IF(N('Deal maths'!H1894)&gt;0,N('Deal maths'!H1894),N('Deal maths'!D1894)),0)</f>
        <v/>
      </c>
      <c r="C1894" s="91">
        <f>IF(B1894&gt;0,IF('Deal maths'!C1894="Local authority","Local authorities",LOWER(TRIM('Deal maths'!B1894))),"")</f>
        <v/>
      </c>
      <c r="D1894" s="91">
        <f>IF(C1894="","",IF(COUNTIF($C$4:C1893,C1894)=0,SUMIF($C$4:$C$3997,C1894,$B$4:$B$3997)-ROW()/1000000,""))</f>
        <v/>
      </c>
      <c r="E1894" s="91">
        <f>IF(AND(N('Deal maths'!F1894)&gt;AsAt,N('Deal maths'!E1894)&lt;=AsAt,IF(N('Deal maths'!H1894)&gt;0,N('Deal maths'!H1894),N('Deal maths'!D1894))&gt;0),N('Deal maths'!F1894)+ROW()/1000000,"")</f>
        <v/>
      </c>
    </row>
    <row r="1895">
      <c r="A1895" s="91" t="n"/>
      <c r="B1895" s="111">
        <f>IF(AND(N('Deal maths'!F1895)&gt;AsAt,N('Deal maths'!E1895)&lt;=AsAt),IF(N('Deal maths'!H1895)&gt;0,N('Deal maths'!H1895),N('Deal maths'!D1895)),0)</f>
        <v/>
      </c>
      <c r="C1895" s="91">
        <f>IF(B1895&gt;0,IF('Deal maths'!C1895="Local authority","Local authorities",LOWER(TRIM('Deal maths'!B1895))),"")</f>
        <v/>
      </c>
      <c r="D1895" s="91">
        <f>IF(C1895="","",IF(COUNTIF($C$4:C1894,C1895)=0,SUMIF($C$4:$C$3997,C1895,$B$4:$B$3997)-ROW()/1000000,""))</f>
        <v/>
      </c>
      <c r="E1895" s="91">
        <f>IF(AND(N('Deal maths'!F1895)&gt;AsAt,N('Deal maths'!E1895)&lt;=AsAt,IF(N('Deal maths'!H1895)&gt;0,N('Deal maths'!H1895),N('Deal maths'!D1895))&gt;0),N('Deal maths'!F1895)+ROW()/1000000,"")</f>
        <v/>
      </c>
    </row>
    <row r="1896">
      <c r="A1896" s="91" t="n"/>
      <c r="B1896" s="111">
        <f>IF(AND(N('Deal maths'!F1896)&gt;AsAt,N('Deal maths'!E1896)&lt;=AsAt),IF(N('Deal maths'!H1896)&gt;0,N('Deal maths'!H1896),N('Deal maths'!D1896)),0)</f>
        <v/>
      </c>
      <c r="C1896" s="91">
        <f>IF(B1896&gt;0,IF('Deal maths'!C1896="Local authority","Local authorities",LOWER(TRIM('Deal maths'!B1896))),"")</f>
        <v/>
      </c>
      <c r="D1896" s="91">
        <f>IF(C1896="","",IF(COUNTIF($C$4:C1895,C1896)=0,SUMIF($C$4:$C$3997,C1896,$B$4:$B$3997)-ROW()/1000000,""))</f>
        <v/>
      </c>
      <c r="E1896" s="91">
        <f>IF(AND(N('Deal maths'!F1896)&gt;AsAt,N('Deal maths'!E1896)&lt;=AsAt,IF(N('Deal maths'!H1896)&gt;0,N('Deal maths'!H1896),N('Deal maths'!D1896))&gt;0),N('Deal maths'!F1896)+ROW()/1000000,"")</f>
        <v/>
      </c>
    </row>
    <row r="1897">
      <c r="A1897" s="91" t="n"/>
      <c r="B1897" s="111">
        <f>IF(AND(N('Deal maths'!F1897)&gt;AsAt,N('Deal maths'!E1897)&lt;=AsAt),IF(N('Deal maths'!H1897)&gt;0,N('Deal maths'!H1897),N('Deal maths'!D1897)),0)</f>
        <v/>
      </c>
      <c r="C1897" s="91">
        <f>IF(B1897&gt;0,IF('Deal maths'!C1897="Local authority","Local authorities",LOWER(TRIM('Deal maths'!B1897))),"")</f>
        <v/>
      </c>
      <c r="D1897" s="91">
        <f>IF(C1897="","",IF(COUNTIF($C$4:C1896,C1897)=0,SUMIF($C$4:$C$3997,C1897,$B$4:$B$3997)-ROW()/1000000,""))</f>
        <v/>
      </c>
      <c r="E1897" s="91">
        <f>IF(AND(N('Deal maths'!F1897)&gt;AsAt,N('Deal maths'!E1897)&lt;=AsAt,IF(N('Deal maths'!H1897)&gt;0,N('Deal maths'!H1897),N('Deal maths'!D1897))&gt;0),N('Deal maths'!F1897)+ROW()/1000000,"")</f>
        <v/>
      </c>
    </row>
    <row r="1898">
      <c r="A1898" s="91" t="n"/>
      <c r="B1898" s="111">
        <f>IF(AND(N('Deal maths'!F1898)&gt;AsAt,N('Deal maths'!E1898)&lt;=AsAt),IF(N('Deal maths'!H1898)&gt;0,N('Deal maths'!H1898),N('Deal maths'!D1898)),0)</f>
        <v/>
      </c>
      <c r="C1898" s="91">
        <f>IF(B1898&gt;0,IF('Deal maths'!C1898="Local authority","Local authorities",LOWER(TRIM('Deal maths'!B1898))),"")</f>
        <v/>
      </c>
      <c r="D1898" s="91">
        <f>IF(C1898="","",IF(COUNTIF($C$4:C1897,C1898)=0,SUMIF($C$4:$C$3997,C1898,$B$4:$B$3997)-ROW()/1000000,""))</f>
        <v/>
      </c>
      <c r="E1898" s="91">
        <f>IF(AND(N('Deal maths'!F1898)&gt;AsAt,N('Deal maths'!E1898)&lt;=AsAt,IF(N('Deal maths'!H1898)&gt;0,N('Deal maths'!H1898),N('Deal maths'!D1898))&gt;0),N('Deal maths'!F1898)+ROW()/1000000,"")</f>
        <v/>
      </c>
    </row>
    <row r="1899">
      <c r="A1899" s="91" t="n"/>
      <c r="B1899" s="111">
        <f>IF(AND(N('Deal maths'!F1899)&gt;AsAt,N('Deal maths'!E1899)&lt;=AsAt),IF(N('Deal maths'!H1899)&gt;0,N('Deal maths'!H1899),N('Deal maths'!D1899)),0)</f>
        <v/>
      </c>
      <c r="C1899" s="91">
        <f>IF(B1899&gt;0,IF('Deal maths'!C1899="Local authority","Local authorities",LOWER(TRIM('Deal maths'!B1899))),"")</f>
        <v/>
      </c>
      <c r="D1899" s="91">
        <f>IF(C1899="","",IF(COUNTIF($C$4:C1898,C1899)=0,SUMIF($C$4:$C$3997,C1899,$B$4:$B$3997)-ROW()/1000000,""))</f>
        <v/>
      </c>
      <c r="E1899" s="91">
        <f>IF(AND(N('Deal maths'!F1899)&gt;AsAt,N('Deal maths'!E1899)&lt;=AsAt,IF(N('Deal maths'!H1899)&gt;0,N('Deal maths'!H1899),N('Deal maths'!D1899))&gt;0),N('Deal maths'!F1899)+ROW()/1000000,"")</f>
        <v/>
      </c>
    </row>
    <row r="1900">
      <c r="A1900" s="91" t="n"/>
      <c r="B1900" s="111">
        <f>IF(AND(N('Deal maths'!F1900)&gt;AsAt,N('Deal maths'!E1900)&lt;=AsAt),IF(N('Deal maths'!H1900)&gt;0,N('Deal maths'!H1900),N('Deal maths'!D1900)),0)</f>
        <v/>
      </c>
      <c r="C1900" s="91">
        <f>IF(B1900&gt;0,IF('Deal maths'!C1900="Local authority","Local authorities",LOWER(TRIM('Deal maths'!B1900))),"")</f>
        <v/>
      </c>
      <c r="D1900" s="91">
        <f>IF(C1900="","",IF(COUNTIF($C$4:C1899,C1900)=0,SUMIF($C$4:$C$3997,C1900,$B$4:$B$3997)-ROW()/1000000,""))</f>
        <v/>
      </c>
      <c r="E1900" s="91">
        <f>IF(AND(N('Deal maths'!F1900)&gt;AsAt,N('Deal maths'!E1900)&lt;=AsAt,IF(N('Deal maths'!H1900)&gt;0,N('Deal maths'!H1900),N('Deal maths'!D1900))&gt;0),N('Deal maths'!F1900)+ROW()/1000000,"")</f>
        <v/>
      </c>
    </row>
    <row r="1901">
      <c r="A1901" s="91" t="n"/>
      <c r="B1901" s="111">
        <f>IF(AND(N('Deal maths'!F1901)&gt;AsAt,N('Deal maths'!E1901)&lt;=AsAt),IF(N('Deal maths'!H1901)&gt;0,N('Deal maths'!H1901),N('Deal maths'!D1901)),0)</f>
        <v/>
      </c>
      <c r="C1901" s="91">
        <f>IF(B1901&gt;0,IF('Deal maths'!C1901="Local authority","Local authorities",LOWER(TRIM('Deal maths'!B1901))),"")</f>
        <v/>
      </c>
      <c r="D1901" s="91">
        <f>IF(C1901="","",IF(COUNTIF($C$4:C1900,C1901)=0,SUMIF($C$4:$C$3997,C1901,$B$4:$B$3997)-ROW()/1000000,""))</f>
        <v/>
      </c>
      <c r="E1901" s="91">
        <f>IF(AND(N('Deal maths'!F1901)&gt;AsAt,N('Deal maths'!E1901)&lt;=AsAt,IF(N('Deal maths'!H1901)&gt;0,N('Deal maths'!H1901),N('Deal maths'!D1901))&gt;0),N('Deal maths'!F1901)+ROW()/1000000,"")</f>
        <v/>
      </c>
    </row>
    <row r="1902">
      <c r="A1902" s="91" t="n"/>
      <c r="B1902" s="111">
        <f>IF(AND(N('Deal maths'!F1902)&gt;AsAt,N('Deal maths'!E1902)&lt;=AsAt),IF(N('Deal maths'!H1902)&gt;0,N('Deal maths'!H1902),N('Deal maths'!D1902)),0)</f>
        <v/>
      </c>
      <c r="C1902" s="91">
        <f>IF(B1902&gt;0,IF('Deal maths'!C1902="Local authority","Local authorities",LOWER(TRIM('Deal maths'!B1902))),"")</f>
        <v/>
      </c>
      <c r="D1902" s="91">
        <f>IF(C1902="","",IF(COUNTIF($C$4:C1901,C1902)=0,SUMIF($C$4:$C$3997,C1902,$B$4:$B$3997)-ROW()/1000000,""))</f>
        <v/>
      </c>
      <c r="E1902" s="91">
        <f>IF(AND(N('Deal maths'!F1902)&gt;AsAt,N('Deal maths'!E1902)&lt;=AsAt,IF(N('Deal maths'!H1902)&gt;0,N('Deal maths'!H1902),N('Deal maths'!D1902))&gt;0),N('Deal maths'!F1902)+ROW()/1000000,"")</f>
        <v/>
      </c>
    </row>
    <row r="1903">
      <c r="A1903" s="91" t="n"/>
      <c r="B1903" s="111">
        <f>IF(AND(N('Deal maths'!F1903)&gt;AsAt,N('Deal maths'!E1903)&lt;=AsAt),IF(N('Deal maths'!H1903)&gt;0,N('Deal maths'!H1903),N('Deal maths'!D1903)),0)</f>
        <v/>
      </c>
      <c r="C1903" s="91">
        <f>IF(B1903&gt;0,IF('Deal maths'!C1903="Local authority","Local authorities",LOWER(TRIM('Deal maths'!B1903))),"")</f>
        <v/>
      </c>
      <c r="D1903" s="91">
        <f>IF(C1903="","",IF(COUNTIF($C$4:C1902,C1903)=0,SUMIF($C$4:$C$3997,C1903,$B$4:$B$3997)-ROW()/1000000,""))</f>
        <v/>
      </c>
      <c r="E1903" s="91">
        <f>IF(AND(N('Deal maths'!F1903)&gt;AsAt,N('Deal maths'!E1903)&lt;=AsAt,IF(N('Deal maths'!H1903)&gt;0,N('Deal maths'!H1903),N('Deal maths'!D1903))&gt;0),N('Deal maths'!F1903)+ROW()/1000000,"")</f>
        <v/>
      </c>
    </row>
    <row r="1904">
      <c r="A1904" s="91" t="n"/>
      <c r="B1904" s="111">
        <f>IF(AND(N('Deal maths'!F1904)&gt;AsAt,N('Deal maths'!E1904)&lt;=AsAt),IF(N('Deal maths'!H1904)&gt;0,N('Deal maths'!H1904),N('Deal maths'!D1904)),0)</f>
        <v/>
      </c>
      <c r="C1904" s="91">
        <f>IF(B1904&gt;0,IF('Deal maths'!C1904="Local authority","Local authorities",LOWER(TRIM('Deal maths'!B1904))),"")</f>
        <v/>
      </c>
      <c r="D1904" s="91">
        <f>IF(C1904="","",IF(COUNTIF($C$4:C1903,C1904)=0,SUMIF($C$4:$C$3997,C1904,$B$4:$B$3997)-ROW()/1000000,""))</f>
        <v/>
      </c>
      <c r="E1904" s="91">
        <f>IF(AND(N('Deal maths'!F1904)&gt;AsAt,N('Deal maths'!E1904)&lt;=AsAt,IF(N('Deal maths'!H1904)&gt;0,N('Deal maths'!H1904),N('Deal maths'!D1904))&gt;0),N('Deal maths'!F1904)+ROW()/1000000,"")</f>
        <v/>
      </c>
    </row>
    <row r="1905">
      <c r="A1905" s="91" t="n"/>
      <c r="B1905" s="111">
        <f>IF(AND(N('Deal maths'!F1905)&gt;AsAt,N('Deal maths'!E1905)&lt;=AsAt),IF(N('Deal maths'!H1905)&gt;0,N('Deal maths'!H1905),N('Deal maths'!D1905)),0)</f>
        <v/>
      </c>
      <c r="C1905" s="91">
        <f>IF(B1905&gt;0,IF('Deal maths'!C1905="Local authority","Local authorities",LOWER(TRIM('Deal maths'!B1905))),"")</f>
        <v/>
      </c>
      <c r="D1905" s="91">
        <f>IF(C1905="","",IF(COUNTIF($C$4:C1904,C1905)=0,SUMIF($C$4:$C$3997,C1905,$B$4:$B$3997)-ROW()/1000000,""))</f>
        <v/>
      </c>
      <c r="E1905" s="91">
        <f>IF(AND(N('Deal maths'!F1905)&gt;AsAt,N('Deal maths'!E1905)&lt;=AsAt,IF(N('Deal maths'!H1905)&gt;0,N('Deal maths'!H1905),N('Deal maths'!D1905))&gt;0),N('Deal maths'!F1905)+ROW()/1000000,"")</f>
        <v/>
      </c>
    </row>
    <row r="1906">
      <c r="A1906" s="91" t="n"/>
      <c r="B1906" s="111">
        <f>IF(AND(N('Deal maths'!F1906)&gt;AsAt,N('Deal maths'!E1906)&lt;=AsAt),IF(N('Deal maths'!H1906)&gt;0,N('Deal maths'!H1906),N('Deal maths'!D1906)),0)</f>
        <v/>
      </c>
      <c r="C1906" s="91">
        <f>IF(B1906&gt;0,IF('Deal maths'!C1906="Local authority","Local authorities",LOWER(TRIM('Deal maths'!B1906))),"")</f>
        <v/>
      </c>
      <c r="D1906" s="91">
        <f>IF(C1906="","",IF(COUNTIF($C$4:C1905,C1906)=0,SUMIF($C$4:$C$3997,C1906,$B$4:$B$3997)-ROW()/1000000,""))</f>
        <v/>
      </c>
      <c r="E1906" s="91">
        <f>IF(AND(N('Deal maths'!F1906)&gt;AsAt,N('Deal maths'!E1906)&lt;=AsAt,IF(N('Deal maths'!H1906)&gt;0,N('Deal maths'!H1906),N('Deal maths'!D1906))&gt;0),N('Deal maths'!F1906)+ROW()/1000000,"")</f>
        <v/>
      </c>
    </row>
    <row r="1907">
      <c r="A1907" s="91" t="n"/>
      <c r="B1907" s="111">
        <f>IF(AND(N('Deal maths'!F1907)&gt;AsAt,N('Deal maths'!E1907)&lt;=AsAt),IF(N('Deal maths'!H1907)&gt;0,N('Deal maths'!H1907),N('Deal maths'!D1907)),0)</f>
        <v/>
      </c>
      <c r="C1907" s="91">
        <f>IF(B1907&gt;0,IF('Deal maths'!C1907="Local authority","Local authorities",LOWER(TRIM('Deal maths'!B1907))),"")</f>
        <v/>
      </c>
      <c r="D1907" s="91">
        <f>IF(C1907="","",IF(COUNTIF($C$4:C1906,C1907)=0,SUMIF($C$4:$C$3997,C1907,$B$4:$B$3997)-ROW()/1000000,""))</f>
        <v/>
      </c>
      <c r="E1907" s="91">
        <f>IF(AND(N('Deal maths'!F1907)&gt;AsAt,N('Deal maths'!E1907)&lt;=AsAt,IF(N('Deal maths'!H1907)&gt;0,N('Deal maths'!H1907),N('Deal maths'!D1907))&gt;0),N('Deal maths'!F1907)+ROW()/1000000,"")</f>
        <v/>
      </c>
    </row>
    <row r="1908">
      <c r="A1908" s="91" t="n"/>
      <c r="B1908" s="111">
        <f>IF(AND(N('Deal maths'!F1908)&gt;AsAt,N('Deal maths'!E1908)&lt;=AsAt),IF(N('Deal maths'!H1908)&gt;0,N('Deal maths'!H1908),N('Deal maths'!D1908)),0)</f>
        <v/>
      </c>
      <c r="C1908" s="91">
        <f>IF(B1908&gt;0,IF('Deal maths'!C1908="Local authority","Local authorities",LOWER(TRIM('Deal maths'!B1908))),"")</f>
        <v/>
      </c>
      <c r="D1908" s="91">
        <f>IF(C1908="","",IF(COUNTIF($C$4:C1907,C1908)=0,SUMIF($C$4:$C$3997,C1908,$B$4:$B$3997)-ROW()/1000000,""))</f>
        <v/>
      </c>
      <c r="E1908" s="91">
        <f>IF(AND(N('Deal maths'!F1908)&gt;AsAt,N('Deal maths'!E1908)&lt;=AsAt,IF(N('Deal maths'!H1908)&gt;0,N('Deal maths'!H1908),N('Deal maths'!D1908))&gt;0),N('Deal maths'!F1908)+ROW()/1000000,"")</f>
        <v/>
      </c>
    </row>
    <row r="1909">
      <c r="A1909" s="91" t="n"/>
      <c r="B1909" s="111">
        <f>IF(AND(N('Deal maths'!F1909)&gt;AsAt,N('Deal maths'!E1909)&lt;=AsAt),IF(N('Deal maths'!H1909)&gt;0,N('Deal maths'!H1909),N('Deal maths'!D1909)),0)</f>
        <v/>
      </c>
      <c r="C1909" s="91">
        <f>IF(B1909&gt;0,IF('Deal maths'!C1909="Local authority","Local authorities",LOWER(TRIM('Deal maths'!B1909))),"")</f>
        <v/>
      </c>
      <c r="D1909" s="91">
        <f>IF(C1909="","",IF(COUNTIF($C$4:C1908,C1909)=0,SUMIF($C$4:$C$3997,C1909,$B$4:$B$3997)-ROW()/1000000,""))</f>
        <v/>
      </c>
      <c r="E1909" s="91">
        <f>IF(AND(N('Deal maths'!F1909)&gt;AsAt,N('Deal maths'!E1909)&lt;=AsAt,IF(N('Deal maths'!H1909)&gt;0,N('Deal maths'!H1909),N('Deal maths'!D1909))&gt;0),N('Deal maths'!F1909)+ROW()/1000000,"")</f>
        <v/>
      </c>
    </row>
    <row r="1910">
      <c r="A1910" s="91" t="n"/>
      <c r="B1910" s="111">
        <f>IF(AND(N('Deal maths'!F1910)&gt;AsAt,N('Deal maths'!E1910)&lt;=AsAt),IF(N('Deal maths'!H1910)&gt;0,N('Deal maths'!H1910),N('Deal maths'!D1910)),0)</f>
        <v/>
      </c>
      <c r="C1910" s="91">
        <f>IF(B1910&gt;0,IF('Deal maths'!C1910="Local authority","Local authorities",LOWER(TRIM('Deal maths'!B1910))),"")</f>
        <v/>
      </c>
      <c r="D1910" s="91">
        <f>IF(C1910="","",IF(COUNTIF($C$4:C1909,C1910)=0,SUMIF($C$4:$C$3997,C1910,$B$4:$B$3997)-ROW()/1000000,""))</f>
        <v/>
      </c>
      <c r="E1910" s="91">
        <f>IF(AND(N('Deal maths'!F1910)&gt;AsAt,N('Deal maths'!E1910)&lt;=AsAt,IF(N('Deal maths'!H1910)&gt;0,N('Deal maths'!H1910),N('Deal maths'!D1910))&gt;0),N('Deal maths'!F1910)+ROW()/1000000,"")</f>
        <v/>
      </c>
    </row>
    <row r="1911">
      <c r="A1911" s="91" t="n"/>
      <c r="B1911" s="111">
        <f>IF(AND(N('Deal maths'!F1911)&gt;AsAt,N('Deal maths'!E1911)&lt;=AsAt),IF(N('Deal maths'!H1911)&gt;0,N('Deal maths'!H1911),N('Deal maths'!D1911)),0)</f>
        <v/>
      </c>
      <c r="C1911" s="91">
        <f>IF(B1911&gt;0,IF('Deal maths'!C1911="Local authority","Local authorities",LOWER(TRIM('Deal maths'!B1911))),"")</f>
        <v/>
      </c>
      <c r="D1911" s="91">
        <f>IF(C1911="","",IF(COUNTIF($C$4:C1910,C1911)=0,SUMIF($C$4:$C$3997,C1911,$B$4:$B$3997)-ROW()/1000000,""))</f>
        <v/>
      </c>
      <c r="E1911" s="91">
        <f>IF(AND(N('Deal maths'!F1911)&gt;AsAt,N('Deal maths'!E1911)&lt;=AsAt,IF(N('Deal maths'!H1911)&gt;0,N('Deal maths'!H1911),N('Deal maths'!D1911))&gt;0),N('Deal maths'!F1911)+ROW()/1000000,"")</f>
        <v/>
      </c>
    </row>
    <row r="1912">
      <c r="A1912" s="91" t="n"/>
      <c r="B1912" s="111">
        <f>IF(AND(N('Deal maths'!F1912)&gt;AsAt,N('Deal maths'!E1912)&lt;=AsAt),IF(N('Deal maths'!H1912)&gt;0,N('Deal maths'!H1912),N('Deal maths'!D1912)),0)</f>
        <v/>
      </c>
      <c r="C1912" s="91">
        <f>IF(B1912&gt;0,IF('Deal maths'!C1912="Local authority","Local authorities",LOWER(TRIM('Deal maths'!B1912))),"")</f>
        <v/>
      </c>
      <c r="D1912" s="91">
        <f>IF(C1912="","",IF(COUNTIF($C$4:C1911,C1912)=0,SUMIF($C$4:$C$3997,C1912,$B$4:$B$3997)-ROW()/1000000,""))</f>
        <v/>
      </c>
      <c r="E1912" s="91">
        <f>IF(AND(N('Deal maths'!F1912)&gt;AsAt,N('Deal maths'!E1912)&lt;=AsAt,IF(N('Deal maths'!H1912)&gt;0,N('Deal maths'!H1912),N('Deal maths'!D1912))&gt;0),N('Deal maths'!F1912)+ROW()/1000000,"")</f>
        <v/>
      </c>
    </row>
    <row r="1913">
      <c r="A1913" s="91" t="n"/>
      <c r="B1913" s="111">
        <f>IF(AND(N('Deal maths'!F1913)&gt;AsAt,N('Deal maths'!E1913)&lt;=AsAt),IF(N('Deal maths'!H1913)&gt;0,N('Deal maths'!H1913),N('Deal maths'!D1913)),0)</f>
        <v/>
      </c>
      <c r="C1913" s="91">
        <f>IF(B1913&gt;0,IF('Deal maths'!C1913="Local authority","Local authorities",LOWER(TRIM('Deal maths'!B1913))),"")</f>
        <v/>
      </c>
      <c r="D1913" s="91">
        <f>IF(C1913="","",IF(COUNTIF($C$4:C1912,C1913)=0,SUMIF($C$4:$C$3997,C1913,$B$4:$B$3997)-ROW()/1000000,""))</f>
        <v/>
      </c>
      <c r="E1913" s="91">
        <f>IF(AND(N('Deal maths'!F1913)&gt;AsAt,N('Deal maths'!E1913)&lt;=AsAt,IF(N('Deal maths'!H1913)&gt;0,N('Deal maths'!H1913),N('Deal maths'!D1913))&gt;0),N('Deal maths'!F1913)+ROW()/1000000,"")</f>
        <v/>
      </c>
    </row>
    <row r="1914">
      <c r="A1914" s="91" t="n"/>
      <c r="B1914" s="111">
        <f>IF(AND(N('Deal maths'!F1914)&gt;AsAt,N('Deal maths'!E1914)&lt;=AsAt),IF(N('Deal maths'!H1914)&gt;0,N('Deal maths'!H1914),N('Deal maths'!D1914)),0)</f>
        <v/>
      </c>
      <c r="C1914" s="91">
        <f>IF(B1914&gt;0,IF('Deal maths'!C1914="Local authority","Local authorities",LOWER(TRIM('Deal maths'!B1914))),"")</f>
        <v/>
      </c>
      <c r="D1914" s="91">
        <f>IF(C1914="","",IF(COUNTIF($C$4:C1913,C1914)=0,SUMIF($C$4:$C$3997,C1914,$B$4:$B$3997)-ROW()/1000000,""))</f>
        <v/>
      </c>
      <c r="E1914" s="91">
        <f>IF(AND(N('Deal maths'!F1914)&gt;AsAt,N('Deal maths'!E1914)&lt;=AsAt,IF(N('Deal maths'!H1914)&gt;0,N('Deal maths'!H1914),N('Deal maths'!D1914))&gt;0),N('Deal maths'!F1914)+ROW()/1000000,"")</f>
        <v/>
      </c>
    </row>
    <row r="1915">
      <c r="A1915" s="91" t="n"/>
      <c r="B1915" s="111">
        <f>IF(AND(N('Deal maths'!F1915)&gt;AsAt,N('Deal maths'!E1915)&lt;=AsAt),IF(N('Deal maths'!H1915)&gt;0,N('Deal maths'!H1915),N('Deal maths'!D1915)),0)</f>
        <v/>
      </c>
      <c r="C1915" s="91">
        <f>IF(B1915&gt;0,IF('Deal maths'!C1915="Local authority","Local authorities",LOWER(TRIM('Deal maths'!B1915))),"")</f>
        <v/>
      </c>
      <c r="D1915" s="91">
        <f>IF(C1915="","",IF(COUNTIF($C$4:C1914,C1915)=0,SUMIF($C$4:$C$3997,C1915,$B$4:$B$3997)-ROW()/1000000,""))</f>
        <v/>
      </c>
      <c r="E1915" s="91">
        <f>IF(AND(N('Deal maths'!F1915)&gt;AsAt,N('Deal maths'!E1915)&lt;=AsAt,IF(N('Deal maths'!H1915)&gt;0,N('Deal maths'!H1915),N('Deal maths'!D1915))&gt;0),N('Deal maths'!F1915)+ROW()/1000000,"")</f>
        <v/>
      </c>
    </row>
    <row r="1916">
      <c r="A1916" s="91" t="n"/>
      <c r="B1916" s="111">
        <f>IF(AND(N('Deal maths'!F1916)&gt;AsAt,N('Deal maths'!E1916)&lt;=AsAt),IF(N('Deal maths'!H1916)&gt;0,N('Deal maths'!H1916),N('Deal maths'!D1916)),0)</f>
        <v/>
      </c>
      <c r="C1916" s="91">
        <f>IF(B1916&gt;0,IF('Deal maths'!C1916="Local authority","Local authorities",LOWER(TRIM('Deal maths'!B1916))),"")</f>
        <v/>
      </c>
      <c r="D1916" s="91">
        <f>IF(C1916="","",IF(COUNTIF($C$4:C1915,C1916)=0,SUMIF($C$4:$C$3997,C1916,$B$4:$B$3997)-ROW()/1000000,""))</f>
        <v/>
      </c>
      <c r="E1916" s="91">
        <f>IF(AND(N('Deal maths'!F1916)&gt;AsAt,N('Deal maths'!E1916)&lt;=AsAt,IF(N('Deal maths'!H1916)&gt;0,N('Deal maths'!H1916),N('Deal maths'!D1916))&gt;0),N('Deal maths'!F1916)+ROW()/1000000,"")</f>
        <v/>
      </c>
    </row>
    <row r="1917">
      <c r="A1917" s="91" t="n"/>
      <c r="B1917" s="111">
        <f>IF(AND(N('Deal maths'!F1917)&gt;AsAt,N('Deal maths'!E1917)&lt;=AsAt),IF(N('Deal maths'!H1917)&gt;0,N('Deal maths'!H1917),N('Deal maths'!D1917)),0)</f>
        <v/>
      </c>
      <c r="C1917" s="91">
        <f>IF(B1917&gt;0,IF('Deal maths'!C1917="Local authority","Local authorities",LOWER(TRIM('Deal maths'!B1917))),"")</f>
        <v/>
      </c>
      <c r="D1917" s="91">
        <f>IF(C1917="","",IF(COUNTIF($C$4:C1916,C1917)=0,SUMIF($C$4:$C$3997,C1917,$B$4:$B$3997)-ROW()/1000000,""))</f>
        <v/>
      </c>
      <c r="E1917" s="91">
        <f>IF(AND(N('Deal maths'!F1917)&gt;AsAt,N('Deal maths'!E1917)&lt;=AsAt,IF(N('Deal maths'!H1917)&gt;0,N('Deal maths'!H1917),N('Deal maths'!D1917))&gt;0),N('Deal maths'!F1917)+ROW()/1000000,"")</f>
        <v/>
      </c>
    </row>
    <row r="1918">
      <c r="A1918" s="91" t="n"/>
      <c r="B1918" s="111">
        <f>IF(AND(N('Deal maths'!F1918)&gt;AsAt,N('Deal maths'!E1918)&lt;=AsAt),IF(N('Deal maths'!H1918)&gt;0,N('Deal maths'!H1918),N('Deal maths'!D1918)),0)</f>
        <v/>
      </c>
      <c r="C1918" s="91">
        <f>IF(B1918&gt;0,IF('Deal maths'!C1918="Local authority","Local authorities",LOWER(TRIM('Deal maths'!B1918))),"")</f>
        <v/>
      </c>
      <c r="D1918" s="91">
        <f>IF(C1918="","",IF(COUNTIF($C$4:C1917,C1918)=0,SUMIF($C$4:$C$3997,C1918,$B$4:$B$3997)-ROW()/1000000,""))</f>
        <v/>
      </c>
      <c r="E1918" s="91">
        <f>IF(AND(N('Deal maths'!F1918)&gt;AsAt,N('Deal maths'!E1918)&lt;=AsAt,IF(N('Deal maths'!H1918)&gt;0,N('Deal maths'!H1918),N('Deal maths'!D1918))&gt;0),N('Deal maths'!F1918)+ROW()/1000000,"")</f>
        <v/>
      </c>
    </row>
    <row r="1919">
      <c r="A1919" s="91" t="n"/>
      <c r="B1919" s="111">
        <f>IF(AND(N('Deal maths'!F1919)&gt;AsAt,N('Deal maths'!E1919)&lt;=AsAt),IF(N('Deal maths'!H1919)&gt;0,N('Deal maths'!H1919),N('Deal maths'!D1919)),0)</f>
        <v/>
      </c>
      <c r="C1919" s="91">
        <f>IF(B1919&gt;0,IF('Deal maths'!C1919="Local authority","Local authorities",LOWER(TRIM('Deal maths'!B1919))),"")</f>
        <v/>
      </c>
      <c r="D1919" s="91">
        <f>IF(C1919="","",IF(COUNTIF($C$4:C1918,C1919)=0,SUMIF($C$4:$C$3997,C1919,$B$4:$B$3997)-ROW()/1000000,""))</f>
        <v/>
      </c>
      <c r="E1919" s="91">
        <f>IF(AND(N('Deal maths'!F1919)&gt;AsAt,N('Deal maths'!E1919)&lt;=AsAt,IF(N('Deal maths'!H1919)&gt;0,N('Deal maths'!H1919),N('Deal maths'!D1919))&gt;0),N('Deal maths'!F1919)+ROW()/1000000,"")</f>
        <v/>
      </c>
    </row>
    <row r="1920">
      <c r="A1920" s="91" t="n"/>
      <c r="B1920" s="111">
        <f>IF(AND(N('Deal maths'!F1920)&gt;AsAt,N('Deal maths'!E1920)&lt;=AsAt),IF(N('Deal maths'!H1920)&gt;0,N('Deal maths'!H1920),N('Deal maths'!D1920)),0)</f>
        <v/>
      </c>
      <c r="C1920" s="91">
        <f>IF(B1920&gt;0,IF('Deal maths'!C1920="Local authority","Local authorities",LOWER(TRIM('Deal maths'!B1920))),"")</f>
        <v/>
      </c>
      <c r="D1920" s="91">
        <f>IF(C1920="","",IF(COUNTIF($C$4:C1919,C1920)=0,SUMIF($C$4:$C$3997,C1920,$B$4:$B$3997)-ROW()/1000000,""))</f>
        <v/>
      </c>
      <c r="E1920" s="91">
        <f>IF(AND(N('Deal maths'!F1920)&gt;AsAt,N('Deal maths'!E1920)&lt;=AsAt,IF(N('Deal maths'!H1920)&gt;0,N('Deal maths'!H1920),N('Deal maths'!D1920))&gt;0),N('Deal maths'!F1920)+ROW()/1000000,"")</f>
        <v/>
      </c>
    </row>
    <row r="1921">
      <c r="A1921" s="91" t="n"/>
      <c r="B1921" s="111">
        <f>IF(AND(N('Deal maths'!F1921)&gt;AsAt,N('Deal maths'!E1921)&lt;=AsAt),IF(N('Deal maths'!H1921)&gt;0,N('Deal maths'!H1921),N('Deal maths'!D1921)),0)</f>
        <v/>
      </c>
      <c r="C1921" s="91">
        <f>IF(B1921&gt;0,IF('Deal maths'!C1921="Local authority","Local authorities",LOWER(TRIM('Deal maths'!B1921))),"")</f>
        <v/>
      </c>
      <c r="D1921" s="91">
        <f>IF(C1921="","",IF(COUNTIF($C$4:C1920,C1921)=0,SUMIF($C$4:$C$3997,C1921,$B$4:$B$3997)-ROW()/1000000,""))</f>
        <v/>
      </c>
      <c r="E1921" s="91">
        <f>IF(AND(N('Deal maths'!F1921)&gt;AsAt,N('Deal maths'!E1921)&lt;=AsAt,IF(N('Deal maths'!H1921)&gt;0,N('Deal maths'!H1921),N('Deal maths'!D1921))&gt;0),N('Deal maths'!F1921)+ROW()/1000000,"")</f>
        <v/>
      </c>
    </row>
    <row r="1922">
      <c r="A1922" s="91" t="n"/>
      <c r="B1922" s="111">
        <f>IF(AND(N('Deal maths'!F1922)&gt;AsAt,N('Deal maths'!E1922)&lt;=AsAt),IF(N('Deal maths'!H1922)&gt;0,N('Deal maths'!H1922),N('Deal maths'!D1922)),0)</f>
        <v/>
      </c>
      <c r="C1922" s="91">
        <f>IF(B1922&gt;0,IF('Deal maths'!C1922="Local authority","Local authorities",LOWER(TRIM('Deal maths'!B1922))),"")</f>
        <v/>
      </c>
      <c r="D1922" s="91">
        <f>IF(C1922="","",IF(COUNTIF($C$4:C1921,C1922)=0,SUMIF($C$4:$C$3997,C1922,$B$4:$B$3997)-ROW()/1000000,""))</f>
        <v/>
      </c>
      <c r="E1922" s="91">
        <f>IF(AND(N('Deal maths'!F1922)&gt;AsAt,N('Deal maths'!E1922)&lt;=AsAt,IF(N('Deal maths'!H1922)&gt;0,N('Deal maths'!H1922),N('Deal maths'!D1922))&gt;0),N('Deal maths'!F1922)+ROW()/1000000,"")</f>
        <v/>
      </c>
    </row>
    <row r="1923">
      <c r="A1923" s="91" t="n"/>
      <c r="B1923" s="111">
        <f>IF(AND(N('Deal maths'!F1923)&gt;AsAt,N('Deal maths'!E1923)&lt;=AsAt),IF(N('Deal maths'!H1923)&gt;0,N('Deal maths'!H1923),N('Deal maths'!D1923)),0)</f>
        <v/>
      </c>
      <c r="C1923" s="91">
        <f>IF(B1923&gt;0,IF('Deal maths'!C1923="Local authority","Local authorities",LOWER(TRIM('Deal maths'!B1923))),"")</f>
        <v/>
      </c>
      <c r="D1923" s="91">
        <f>IF(C1923="","",IF(COUNTIF($C$4:C1922,C1923)=0,SUMIF($C$4:$C$3997,C1923,$B$4:$B$3997)-ROW()/1000000,""))</f>
        <v/>
      </c>
      <c r="E1923" s="91">
        <f>IF(AND(N('Deal maths'!F1923)&gt;AsAt,N('Deal maths'!E1923)&lt;=AsAt,IF(N('Deal maths'!H1923)&gt;0,N('Deal maths'!H1923),N('Deal maths'!D1923))&gt;0),N('Deal maths'!F1923)+ROW()/1000000,"")</f>
        <v/>
      </c>
    </row>
    <row r="1924">
      <c r="A1924" s="91" t="n"/>
      <c r="B1924" s="111">
        <f>IF(AND(N('Deal maths'!F1924)&gt;AsAt,N('Deal maths'!E1924)&lt;=AsAt),IF(N('Deal maths'!H1924)&gt;0,N('Deal maths'!H1924),N('Deal maths'!D1924)),0)</f>
        <v/>
      </c>
      <c r="C1924" s="91">
        <f>IF(B1924&gt;0,IF('Deal maths'!C1924="Local authority","Local authorities",LOWER(TRIM('Deal maths'!B1924))),"")</f>
        <v/>
      </c>
      <c r="D1924" s="91">
        <f>IF(C1924="","",IF(COUNTIF($C$4:C1923,C1924)=0,SUMIF($C$4:$C$3997,C1924,$B$4:$B$3997)-ROW()/1000000,""))</f>
        <v/>
      </c>
      <c r="E1924" s="91">
        <f>IF(AND(N('Deal maths'!F1924)&gt;AsAt,N('Deal maths'!E1924)&lt;=AsAt,IF(N('Deal maths'!H1924)&gt;0,N('Deal maths'!H1924),N('Deal maths'!D1924))&gt;0),N('Deal maths'!F1924)+ROW()/1000000,"")</f>
        <v/>
      </c>
    </row>
    <row r="1925">
      <c r="A1925" s="91" t="n"/>
      <c r="B1925" s="111">
        <f>IF(AND(N('Deal maths'!F1925)&gt;AsAt,N('Deal maths'!E1925)&lt;=AsAt),IF(N('Deal maths'!H1925)&gt;0,N('Deal maths'!H1925),N('Deal maths'!D1925)),0)</f>
        <v/>
      </c>
      <c r="C1925" s="91">
        <f>IF(B1925&gt;0,IF('Deal maths'!C1925="Local authority","Local authorities",LOWER(TRIM('Deal maths'!B1925))),"")</f>
        <v/>
      </c>
      <c r="D1925" s="91">
        <f>IF(C1925="","",IF(COUNTIF($C$4:C1924,C1925)=0,SUMIF($C$4:$C$3997,C1925,$B$4:$B$3997)-ROW()/1000000,""))</f>
        <v/>
      </c>
      <c r="E1925" s="91">
        <f>IF(AND(N('Deal maths'!F1925)&gt;AsAt,N('Deal maths'!E1925)&lt;=AsAt,IF(N('Deal maths'!H1925)&gt;0,N('Deal maths'!H1925),N('Deal maths'!D1925))&gt;0),N('Deal maths'!F1925)+ROW()/1000000,"")</f>
        <v/>
      </c>
    </row>
    <row r="1926">
      <c r="A1926" s="91" t="n"/>
      <c r="B1926" s="111">
        <f>IF(AND(N('Deal maths'!F1926)&gt;AsAt,N('Deal maths'!E1926)&lt;=AsAt),IF(N('Deal maths'!H1926)&gt;0,N('Deal maths'!H1926),N('Deal maths'!D1926)),0)</f>
        <v/>
      </c>
      <c r="C1926" s="91">
        <f>IF(B1926&gt;0,IF('Deal maths'!C1926="Local authority","Local authorities",LOWER(TRIM('Deal maths'!B1926))),"")</f>
        <v/>
      </c>
      <c r="D1926" s="91">
        <f>IF(C1926="","",IF(COUNTIF($C$4:C1925,C1926)=0,SUMIF($C$4:$C$3997,C1926,$B$4:$B$3997)-ROW()/1000000,""))</f>
        <v/>
      </c>
      <c r="E1926" s="91">
        <f>IF(AND(N('Deal maths'!F1926)&gt;AsAt,N('Deal maths'!E1926)&lt;=AsAt,IF(N('Deal maths'!H1926)&gt;0,N('Deal maths'!H1926),N('Deal maths'!D1926))&gt;0),N('Deal maths'!F1926)+ROW()/1000000,"")</f>
        <v/>
      </c>
    </row>
    <row r="1927">
      <c r="A1927" s="91" t="n"/>
      <c r="B1927" s="111">
        <f>IF(AND(N('Deal maths'!F1927)&gt;AsAt,N('Deal maths'!E1927)&lt;=AsAt),IF(N('Deal maths'!H1927)&gt;0,N('Deal maths'!H1927),N('Deal maths'!D1927)),0)</f>
        <v/>
      </c>
      <c r="C1927" s="91">
        <f>IF(B1927&gt;0,IF('Deal maths'!C1927="Local authority","Local authorities",LOWER(TRIM('Deal maths'!B1927))),"")</f>
        <v/>
      </c>
      <c r="D1927" s="91">
        <f>IF(C1927="","",IF(COUNTIF($C$4:C1926,C1927)=0,SUMIF($C$4:$C$3997,C1927,$B$4:$B$3997)-ROW()/1000000,""))</f>
        <v/>
      </c>
      <c r="E1927" s="91">
        <f>IF(AND(N('Deal maths'!F1927)&gt;AsAt,N('Deal maths'!E1927)&lt;=AsAt,IF(N('Deal maths'!H1927)&gt;0,N('Deal maths'!H1927),N('Deal maths'!D1927))&gt;0),N('Deal maths'!F1927)+ROW()/1000000,"")</f>
        <v/>
      </c>
    </row>
    <row r="1928">
      <c r="A1928" s="91" t="n"/>
      <c r="B1928" s="111">
        <f>IF(AND(N('Deal maths'!F1928)&gt;AsAt,N('Deal maths'!E1928)&lt;=AsAt),IF(N('Deal maths'!H1928)&gt;0,N('Deal maths'!H1928),N('Deal maths'!D1928)),0)</f>
        <v/>
      </c>
      <c r="C1928" s="91">
        <f>IF(B1928&gt;0,IF('Deal maths'!C1928="Local authority","Local authorities",LOWER(TRIM('Deal maths'!B1928))),"")</f>
        <v/>
      </c>
      <c r="D1928" s="91">
        <f>IF(C1928="","",IF(COUNTIF($C$4:C1927,C1928)=0,SUMIF($C$4:$C$3997,C1928,$B$4:$B$3997)-ROW()/1000000,""))</f>
        <v/>
      </c>
      <c r="E1928" s="91">
        <f>IF(AND(N('Deal maths'!F1928)&gt;AsAt,N('Deal maths'!E1928)&lt;=AsAt,IF(N('Deal maths'!H1928)&gt;0,N('Deal maths'!H1928),N('Deal maths'!D1928))&gt;0),N('Deal maths'!F1928)+ROW()/1000000,"")</f>
        <v/>
      </c>
    </row>
    <row r="1929">
      <c r="A1929" s="91" t="n"/>
      <c r="B1929" s="111">
        <f>IF(AND(N('Deal maths'!F1929)&gt;AsAt,N('Deal maths'!E1929)&lt;=AsAt),IF(N('Deal maths'!H1929)&gt;0,N('Deal maths'!H1929),N('Deal maths'!D1929)),0)</f>
        <v/>
      </c>
      <c r="C1929" s="91">
        <f>IF(B1929&gt;0,IF('Deal maths'!C1929="Local authority","Local authorities",LOWER(TRIM('Deal maths'!B1929))),"")</f>
        <v/>
      </c>
      <c r="D1929" s="91">
        <f>IF(C1929="","",IF(COUNTIF($C$4:C1928,C1929)=0,SUMIF($C$4:$C$3997,C1929,$B$4:$B$3997)-ROW()/1000000,""))</f>
        <v/>
      </c>
      <c r="E1929" s="91">
        <f>IF(AND(N('Deal maths'!F1929)&gt;AsAt,N('Deal maths'!E1929)&lt;=AsAt,IF(N('Deal maths'!H1929)&gt;0,N('Deal maths'!H1929),N('Deal maths'!D1929))&gt;0),N('Deal maths'!F1929)+ROW()/1000000,"")</f>
        <v/>
      </c>
    </row>
    <row r="1930">
      <c r="A1930" s="91" t="n"/>
      <c r="B1930" s="111">
        <f>IF(AND(N('Deal maths'!F1930)&gt;AsAt,N('Deal maths'!E1930)&lt;=AsAt),IF(N('Deal maths'!H1930)&gt;0,N('Deal maths'!H1930),N('Deal maths'!D1930)),0)</f>
        <v/>
      </c>
      <c r="C1930" s="91">
        <f>IF(B1930&gt;0,IF('Deal maths'!C1930="Local authority","Local authorities",LOWER(TRIM('Deal maths'!B1930))),"")</f>
        <v/>
      </c>
      <c r="D1930" s="91">
        <f>IF(C1930="","",IF(COUNTIF($C$4:C1929,C1930)=0,SUMIF($C$4:$C$3997,C1930,$B$4:$B$3997)-ROW()/1000000,""))</f>
        <v/>
      </c>
      <c r="E1930" s="91">
        <f>IF(AND(N('Deal maths'!F1930)&gt;AsAt,N('Deal maths'!E1930)&lt;=AsAt,IF(N('Deal maths'!H1930)&gt;0,N('Deal maths'!H1930),N('Deal maths'!D1930))&gt;0),N('Deal maths'!F1930)+ROW()/1000000,"")</f>
        <v/>
      </c>
    </row>
    <row r="1931">
      <c r="A1931" s="91" t="n"/>
      <c r="B1931" s="111">
        <f>IF(AND(N('Deal maths'!F1931)&gt;AsAt,N('Deal maths'!E1931)&lt;=AsAt),IF(N('Deal maths'!H1931)&gt;0,N('Deal maths'!H1931),N('Deal maths'!D1931)),0)</f>
        <v/>
      </c>
      <c r="C1931" s="91">
        <f>IF(B1931&gt;0,IF('Deal maths'!C1931="Local authority","Local authorities",LOWER(TRIM('Deal maths'!B1931))),"")</f>
        <v/>
      </c>
      <c r="D1931" s="91">
        <f>IF(C1931="","",IF(COUNTIF($C$4:C1930,C1931)=0,SUMIF($C$4:$C$3997,C1931,$B$4:$B$3997)-ROW()/1000000,""))</f>
        <v/>
      </c>
      <c r="E1931" s="91">
        <f>IF(AND(N('Deal maths'!F1931)&gt;AsAt,N('Deal maths'!E1931)&lt;=AsAt,IF(N('Deal maths'!H1931)&gt;0,N('Deal maths'!H1931),N('Deal maths'!D1931))&gt;0),N('Deal maths'!F1931)+ROW()/1000000,"")</f>
        <v/>
      </c>
    </row>
    <row r="1932">
      <c r="A1932" s="91" t="n"/>
      <c r="B1932" s="111">
        <f>IF(AND(N('Deal maths'!F1932)&gt;AsAt,N('Deal maths'!E1932)&lt;=AsAt),IF(N('Deal maths'!H1932)&gt;0,N('Deal maths'!H1932),N('Deal maths'!D1932)),0)</f>
        <v/>
      </c>
      <c r="C1932" s="91">
        <f>IF(B1932&gt;0,IF('Deal maths'!C1932="Local authority","Local authorities",LOWER(TRIM('Deal maths'!B1932))),"")</f>
        <v/>
      </c>
      <c r="D1932" s="91">
        <f>IF(C1932="","",IF(COUNTIF($C$4:C1931,C1932)=0,SUMIF($C$4:$C$3997,C1932,$B$4:$B$3997)-ROW()/1000000,""))</f>
        <v/>
      </c>
      <c r="E1932" s="91">
        <f>IF(AND(N('Deal maths'!F1932)&gt;AsAt,N('Deal maths'!E1932)&lt;=AsAt,IF(N('Deal maths'!H1932)&gt;0,N('Deal maths'!H1932),N('Deal maths'!D1932))&gt;0),N('Deal maths'!F1932)+ROW()/1000000,"")</f>
        <v/>
      </c>
    </row>
    <row r="1933">
      <c r="A1933" s="91" t="n"/>
      <c r="B1933" s="111">
        <f>IF(AND(N('Deal maths'!F1933)&gt;AsAt,N('Deal maths'!E1933)&lt;=AsAt),IF(N('Deal maths'!H1933)&gt;0,N('Deal maths'!H1933),N('Deal maths'!D1933)),0)</f>
        <v/>
      </c>
      <c r="C1933" s="91">
        <f>IF(B1933&gt;0,IF('Deal maths'!C1933="Local authority","Local authorities",LOWER(TRIM('Deal maths'!B1933))),"")</f>
        <v/>
      </c>
      <c r="D1933" s="91">
        <f>IF(C1933="","",IF(COUNTIF($C$4:C1932,C1933)=0,SUMIF($C$4:$C$3997,C1933,$B$4:$B$3997)-ROW()/1000000,""))</f>
        <v/>
      </c>
      <c r="E1933" s="91">
        <f>IF(AND(N('Deal maths'!F1933)&gt;AsAt,N('Deal maths'!E1933)&lt;=AsAt,IF(N('Deal maths'!H1933)&gt;0,N('Deal maths'!H1933),N('Deal maths'!D1933))&gt;0),N('Deal maths'!F1933)+ROW()/1000000,"")</f>
        <v/>
      </c>
    </row>
    <row r="1934">
      <c r="A1934" s="91" t="n"/>
      <c r="B1934" s="111">
        <f>IF(AND(N('Deal maths'!F1934)&gt;AsAt,N('Deal maths'!E1934)&lt;=AsAt),IF(N('Deal maths'!H1934)&gt;0,N('Deal maths'!H1934),N('Deal maths'!D1934)),0)</f>
        <v/>
      </c>
      <c r="C1934" s="91">
        <f>IF(B1934&gt;0,IF('Deal maths'!C1934="Local authority","Local authorities",LOWER(TRIM('Deal maths'!B1934))),"")</f>
        <v/>
      </c>
      <c r="D1934" s="91">
        <f>IF(C1934="","",IF(COUNTIF($C$4:C1933,C1934)=0,SUMIF($C$4:$C$3997,C1934,$B$4:$B$3997)-ROW()/1000000,""))</f>
        <v/>
      </c>
      <c r="E1934" s="91">
        <f>IF(AND(N('Deal maths'!F1934)&gt;AsAt,N('Deal maths'!E1934)&lt;=AsAt,IF(N('Deal maths'!H1934)&gt;0,N('Deal maths'!H1934),N('Deal maths'!D1934))&gt;0),N('Deal maths'!F1934)+ROW()/1000000,"")</f>
        <v/>
      </c>
    </row>
    <row r="1935">
      <c r="A1935" s="91" t="n"/>
      <c r="B1935" s="111">
        <f>IF(AND(N('Deal maths'!F1935)&gt;AsAt,N('Deal maths'!E1935)&lt;=AsAt),IF(N('Deal maths'!H1935)&gt;0,N('Deal maths'!H1935),N('Deal maths'!D1935)),0)</f>
        <v/>
      </c>
      <c r="C1935" s="91">
        <f>IF(B1935&gt;0,IF('Deal maths'!C1935="Local authority","Local authorities",LOWER(TRIM('Deal maths'!B1935))),"")</f>
        <v/>
      </c>
      <c r="D1935" s="91">
        <f>IF(C1935="","",IF(COUNTIF($C$4:C1934,C1935)=0,SUMIF($C$4:$C$3997,C1935,$B$4:$B$3997)-ROW()/1000000,""))</f>
        <v/>
      </c>
      <c r="E1935" s="91">
        <f>IF(AND(N('Deal maths'!F1935)&gt;AsAt,N('Deal maths'!E1935)&lt;=AsAt,IF(N('Deal maths'!H1935)&gt;0,N('Deal maths'!H1935),N('Deal maths'!D1935))&gt;0),N('Deal maths'!F1935)+ROW()/1000000,"")</f>
        <v/>
      </c>
    </row>
    <row r="1936">
      <c r="A1936" s="91" t="n"/>
      <c r="B1936" s="111">
        <f>IF(AND(N('Deal maths'!F1936)&gt;AsAt,N('Deal maths'!E1936)&lt;=AsAt),IF(N('Deal maths'!H1936)&gt;0,N('Deal maths'!H1936),N('Deal maths'!D1936)),0)</f>
        <v/>
      </c>
      <c r="C1936" s="91">
        <f>IF(B1936&gt;0,IF('Deal maths'!C1936="Local authority","Local authorities",LOWER(TRIM('Deal maths'!B1936))),"")</f>
        <v/>
      </c>
      <c r="D1936" s="91">
        <f>IF(C1936="","",IF(COUNTIF($C$4:C1935,C1936)=0,SUMIF($C$4:$C$3997,C1936,$B$4:$B$3997)-ROW()/1000000,""))</f>
        <v/>
      </c>
      <c r="E1936" s="91">
        <f>IF(AND(N('Deal maths'!F1936)&gt;AsAt,N('Deal maths'!E1936)&lt;=AsAt,IF(N('Deal maths'!H1936)&gt;0,N('Deal maths'!H1936),N('Deal maths'!D1936))&gt;0),N('Deal maths'!F1936)+ROW()/1000000,"")</f>
        <v/>
      </c>
    </row>
    <row r="1937">
      <c r="A1937" s="91" t="n"/>
      <c r="B1937" s="111">
        <f>IF(AND(N('Deal maths'!F1937)&gt;AsAt,N('Deal maths'!E1937)&lt;=AsAt),IF(N('Deal maths'!H1937)&gt;0,N('Deal maths'!H1937),N('Deal maths'!D1937)),0)</f>
        <v/>
      </c>
      <c r="C1937" s="91">
        <f>IF(B1937&gt;0,IF('Deal maths'!C1937="Local authority","Local authorities",LOWER(TRIM('Deal maths'!B1937))),"")</f>
        <v/>
      </c>
      <c r="D1937" s="91">
        <f>IF(C1937="","",IF(COUNTIF($C$4:C1936,C1937)=0,SUMIF($C$4:$C$3997,C1937,$B$4:$B$3997)-ROW()/1000000,""))</f>
        <v/>
      </c>
      <c r="E1937" s="91">
        <f>IF(AND(N('Deal maths'!F1937)&gt;AsAt,N('Deal maths'!E1937)&lt;=AsAt,IF(N('Deal maths'!H1937)&gt;0,N('Deal maths'!H1937),N('Deal maths'!D1937))&gt;0),N('Deal maths'!F1937)+ROW()/1000000,"")</f>
        <v/>
      </c>
    </row>
    <row r="1938">
      <c r="A1938" s="91" t="n"/>
      <c r="B1938" s="111">
        <f>IF(AND(N('Deal maths'!F1938)&gt;AsAt,N('Deal maths'!E1938)&lt;=AsAt),IF(N('Deal maths'!H1938)&gt;0,N('Deal maths'!H1938),N('Deal maths'!D1938)),0)</f>
        <v/>
      </c>
      <c r="C1938" s="91">
        <f>IF(B1938&gt;0,IF('Deal maths'!C1938="Local authority","Local authorities",LOWER(TRIM('Deal maths'!B1938))),"")</f>
        <v/>
      </c>
      <c r="D1938" s="91">
        <f>IF(C1938="","",IF(COUNTIF($C$4:C1937,C1938)=0,SUMIF($C$4:$C$3997,C1938,$B$4:$B$3997)-ROW()/1000000,""))</f>
        <v/>
      </c>
      <c r="E1938" s="91">
        <f>IF(AND(N('Deal maths'!F1938)&gt;AsAt,N('Deal maths'!E1938)&lt;=AsAt,IF(N('Deal maths'!H1938)&gt;0,N('Deal maths'!H1938),N('Deal maths'!D1938))&gt;0),N('Deal maths'!F1938)+ROW()/1000000,"")</f>
        <v/>
      </c>
    </row>
    <row r="1939">
      <c r="A1939" s="91" t="n"/>
      <c r="B1939" s="111">
        <f>IF(AND(N('Deal maths'!F1939)&gt;AsAt,N('Deal maths'!E1939)&lt;=AsAt),IF(N('Deal maths'!H1939)&gt;0,N('Deal maths'!H1939),N('Deal maths'!D1939)),0)</f>
        <v/>
      </c>
      <c r="C1939" s="91">
        <f>IF(B1939&gt;0,IF('Deal maths'!C1939="Local authority","Local authorities",LOWER(TRIM('Deal maths'!B1939))),"")</f>
        <v/>
      </c>
      <c r="D1939" s="91">
        <f>IF(C1939="","",IF(COUNTIF($C$4:C1938,C1939)=0,SUMIF($C$4:$C$3997,C1939,$B$4:$B$3997)-ROW()/1000000,""))</f>
        <v/>
      </c>
      <c r="E1939" s="91">
        <f>IF(AND(N('Deal maths'!F1939)&gt;AsAt,N('Deal maths'!E1939)&lt;=AsAt,IF(N('Deal maths'!H1939)&gt;0,N('Deal maths'!H1939),N('Deal maths'!D1939))&gt;0),N('Deal maths'!F1939)+ROW()/1000000,"")</f>
        <v/>
      </c>
    </row>
    <row r="1940">
      <c r="A1940" s="91" t="n"/>
      <c r="B1940" s="111">
        <f>IF(AND(N('Deal maths'!F1940)&gt;AsAt,N('Deal maths'!E1940)&lt;=AsAt),IF(N('Deal maths'!H1940)&gt;0,N('Deal maths'!H1940),N('Deal maths'!D1940)),0)</f>
        <v/>
      </c>
      <c r="C1940" s="91">
        <f>IF(B1940&gt;0,IF('Deal maths'!C1940="Local authority","Local authorities",LOWER(TRIM('Deal maths'!B1940))),"")</f>
        <v/>
      </c>
      <c r="D1940" s="91">
        <f>IF(C1940="","",IF(COUNTIF($C$4:C1939,C1940)=0,SUMIF($C$4:$C$3997,C1940,$B$4:$B$3997)-ROW()/1000000,""))</f>
        <v/>
      </c>
      <c r="E1940" s="91">
        <f>IF(AND(N('Deal maths'!F1940)&gt;AsAt,N('Deal maths'!E1940)&lt;=AsAt,IF(N('Deal maths'!H1940)&gt;0,N('Deal maths'!H1940),N('Deal maths'!D1940))&gt;0),N('Deal maths'!F1940)+ROW()/1000000,"")</f>
        <v/>
      </c>
    </row>
    <row r="1941">
      <c r="A1941" s="91" t="n"/>
      <c r="B1941" s="111">
        <f>IF(AND(N('Deal maths'!F1941)&gt;AsAt,N('Deal maths'!E1941)&lt;=AsAt),IF(N('Deal maths'!H1941)&gt;0,N('Deal maths'!H1941),N('Deal maths'!D1941)),0)</f>
        <v/>
      </c>
      <c r="C1941" s="91">
        <f>IF(B1941&gt;0,IF('Deal maths'!C1941="Local authority","Local authorities",LOWER(TRIM('Deal maths'!B1941))),"")</f>
        <v/>
      </c>
      <c r="D1941" s="91">
        <f>IF(C1941="","",IF(COUNTIF($C$4:C1940,C1941)=0,SUMIF($C$4:$C$3997,C1941,$B$4:$B$3997)-ROW()/1000000,""))</f>
        <v/>
      </c>
      <c r="E1941" s="91">
        <f>IF(AND(N('Deal maths'!F1941)&gt;AsAt,N('Deal maths'!E1941)&lt;=AsAt,IF(N('Deal maths'!H1941)&gt;0,N('Deal maths'!H1941),N('Deal maths'!D1941))&gt;0),N('Deal maths'!F1941)+ROW()/1000000,"")</f>
        <v/>
      </c>
    </row>
    <row r="1942">
      <c r="A1942" s="91" t="n"/>
      <c r="B1942" s="111">
        <f>IF(AND(N('Deal maths'!F1942)&gt;AsAt,N('Deal maths'!E1942)&lt;=AsAt),IF(N('Deal maths'!H1942)&gt;0,N('Deal maths'!H1942),N('Deal maths'!D1942)),0)</f>
        <v/>
      </c>
      <c r="C1942" s="91">
        <f>IF(B1942&gt;0,IF('Deal maths'!C1942="Local authority","Local authorities",LOWER(TRIM('Deal maths'!B1942))),"")</f>
        <v/>
      </c>
      <c r="D1942" s="91">
        <f>IF(C1942="","",IF(COUNTIF($C$4:C1941,C1942)=0,SUMIF($C$4:$C$3997,C1942,$B$4:$B$3997)-ROW()/1000000,""))</f>
        <v/>
      </c>
      <c r="E1942" s="91">
        <f>IF(AND(N('Deal maths'!F1942)&gt;AsAt,N('Deal maths'!E1942)&lt;=AsAt,IF(N('Deal maths'!H1942)&gt;0,N('Deal maths'!H1942),N('Deal maths'!D1942))&gt;0),N('Deal maths'!F1942)+ROW()/1000000,"")</f>
        <v/>
      </c>
    </row>
    <row r="1943">
      <c r="A1943" s="91" t="n"/>
      <c r="B1943" s="111">
        <f>IF(AND(N('Deal maths'!F1943)&gt;AsAt,N('Deal maths'!E1943)&lt;=AsAt),IF(N('Deal maths'!H1943)&gt;0,N('Deal maths'!H1943),N('Deal maths'!D1943)),0)</f>
        <v/>
      </c>
      <c r="C1943" s="91">
        <f>IF(B1943&gt;0,IF('Deal maths'!C1943="Local authority","Local authorities",LOWER(TRIM('Deal maths'!B1943))),"")</f>
        <v/>
      </c>
      <c r="D1943" s="91">
        <f>IF(C1943="","",IF(COUNTIF($C$4:C1942,C1943)=0,SUMIF($C$4:$C$3997,C1943,$B$4:$B$3997)-ROW()/1000000,""))</f>
        <v/>
      </c>
      <c r="E1943" s="91">
        <f>IF(AND(N('Deal maths'!F1943)&gt;AsAt,N('Deal maths'!E1943)&lt;=AsAt,IF(N('Deal maths'!H1943)&gt;0,N('Deal maths'!H1943),N('Deal maths'!D1943))&gt;0),N('Deal maths'!F1943)+ROW()/1000000,"")</f>
        <v/>
      </c>
    </row>
    <row r="1944">
      <c r="A1944" s="91" t="n"/>
      <c r="B1944" s="111">
        <f>IF(AND(N('Deal maths'!F1944)&gt;AsAt,N('Deal maths'!E1944)&lt;=AsAt),IF(N('Deal maths'!H1944)&gt;0,N('Deal maths'!H1944),N('Deal maths'!D1944)),0)</f>
        <v/>
      </c>
      <c r="C1944" s="91">
        <f>IF(B1944&gt;0,IF('Deal maths'!C1944="Local authority","Local authorities",LOWER(TRIM('Deal maths'!B1944))),"")</f>
        <v/>
      </c>
      <c r="D1944" s="91">
        <f>IF(C1944="","",IF(COUNTIF($C$4:C1943,C1944)=0,SUMIF($C$4:$C$3997,C1944,$B$4:$B$3997)-ROW()/1000000,""))</f>
        <v/>
      </c>
      <c r="E1944" s="91">
        <f>IF(AND(N('Deal maths'!F1944)&gt;AsAt,N('Deal maths'!E1944)&lt;=AsAt,IF(N('Deal maths'!H1944)&gt;0,N('Deal maths'!H1944),N('Deal maths'!D1944))&gt;0),N('Deal maths'!F1944)+ROW()/1000000,"")</f>
        <v/>
      </c>
    </row>
    <row r="1945">
      <c r="A1945" s="91" t="n"/>
      <c r="B1945" s="111">
        <f>IF(AND(N('Deal maths'!F1945)&gt;AsAt,N('Deal maths'!E1945)&lt;=AsAt),IF(N('Deal maths'!H1945)&gt;0,N('Deal maths'!H1945),N('Deal maths'!D1945)),0)</f>
        <v/>
      </c>
      <c r="C1945" s="91">
        <f>IF(B1945&gt;0,IF('Deal maths'!C1945="Local authority","Local authorities",LOWER(TRIM('Deal maths'!B1945))),"")</f>
        <v/>
      </c>
      <c r="D1945" s="91">
        <f>IF(C1945="","",IF(COUNTIF($C$4:C1944,C1945)=0,SUMIF($C$4:$C$3997,C1945,$B$4:$B$3997)-ROW()/1000000,""))</f>
        <v/>
      </c>
      <c r="E1945" s="91">
        <f>IF(AND(N('Deal maths'!F1945)&gt;AsAt,N('Deal maths'!E1945)&lt;=AsAt,IF(N('Deal maths'!H1945)&gt;0,N('Deal maths'!H1945),N('Deal maths'!D1945))&gt;0),N('Deal maths'!F1945)+ROW()/1000000,"")</f>
        <v/>
      </c>
    </row>
    <row r="1946">
      <c r="A1946" s="91" t="n"/>
      <c r="B1946" s="111">
        <f>IF(AND(N('Deal maths'!F1946)&gt;AsAt,N('Deal maths'!E1946)&lt;=AsAt),IF(N('Deal maths'!H1946)&gt;0,N('Deal maths'!H1946),N('Deal maths'!D1946)),0)</f>
        <v/>
      </c>
      <c r="C1946" s="91">
        <f>IF(B1946&gt;0,IF('Deal maths'!C1946="Local authority","Local authorities",LOWER(TRIM('Deal maths'!B1946))),"")</f>
        <v/>
      </c>
      <c r="D1946" s="91">
        <f>IF(C1946="","",IF(COUNTIF($C$4:C1945,C1946)=0,SUMIF($C$4:$C$3997,C1946,$B$4:$B$3997)-ROW()/1000000,""))</f>
        <v/>
      </c>
      <c r="E1946" s="91">
        <f>IF(AND(N('Deal maths'!F1946)&gt;AsAt,N('Deal maths'!E1946)&lt;=AsAt,IF(N('Deal maths'!H1946)&gt;0,N('Deal maths'!H1946),N('Deal maths'!D1946))&gt;0),N('Deal maths'!F1946)+ROW()/1000000,"")</f>
        <v/>
      </c>
    </row>
    <row r="1947">
      <c r="A1947" s="91" t="n"/>
      <c r="B1947" s="111">
        <f>IF(AND(N('Deal maths'!F1947)&gt;AsAt,N('Deal maths'!E1947)&lt;=AsAt),IF(N('Deal maths'!H1947)&gt;0,N('Deal maths'!H1947),N('Deal maths'!D1947)),0)</f>
        <v/>
      </c>
      <c r="C1947" s="91">
        <f>IF(B1947&gt;0,IF('Deal maths'!C1947="Local authority","Local authorities",LOWER(TRIM('Deal maths'!B1947))),"")</f>
        <v/>
      </c>
      <c r="D1947" s="91">
        <f>IF(C1947="","",IF(COUNTIF($C$4:C1946,C1947)=0,SUMIF($C$4:$C$3997,C1947,$B$4:$B$3997)-ROW()/1000000,""))</f>
        <v/>
      </c>
      <c r="E1947" s="91">
        <f>IF(AND(N('Deal maths'!F1947)&gt;AsAt,N('Deal maths'!E1947)&lt;=AsAt,IF(N('Deal maths'!H1947)&gt;0,N('Deal maths'!H1947),N('Deal maths'!D1947))&gt;0),N('Deal maths'!F1947)+ROW()/1000000,"")</f>
        <v/>
      </c>
    </row>
    <row r="1948">
      <c r="A1948" s="91" t="n"/>
      <c r="B1948" s="111">
        <f>IF(AND(N('Deal maths'!F1948)&gt;AsAt,N('Deal maths'!E1948)&lt;=AsAt),IF(N('Deal maths'!H1948)&gt;0,N('Deal maths'!H1948),N('Deal maths'!D1948)),0)</f>
        <v/>
      </c>
      <c r="C1948" s="91">
        <f>IF(B1948&gt;0,IF('Deal maths'!C1948="Local authority","Local authorities",LOWER(TRIM('Deal maths'!B1948))),"")</f>
        <v/>
      </c>
      <c r="D1948" s="91">
        <f>IF(C1948="","",IF(COUNTIF($C$4:C1947,C1948)=0,SUMIF($C$4:$C$3997,C1948,$B$4:$B$3997)-ROW()/1000000,""))</f>
        <v/>
      </c>
      <c r="E1948" s="91">
        <f>IF(AND(N('Deal maths'!F1948)&gt;AsAt,N('Deal maths'!E1948)&lt;=AsAt,IF(N('Deal maths'!H1948)&gt;0,N('Deal maths'!H1948),N('Deal maths'!D1948))&gt;0),N('Deal maths'!F1948)+ROW()/1000000,"")</f>
        <v/>
      </c>
    </row>
    <row r="1949">
      <c r="A1949" s="91" t="n"/>
      <c r="B1949" s="111">
        <f>IF(AND(N('Deal maths'!F1949)&gt;AsAt,N('Deal maths'!E1949)&lt;=AsAt),IF(N('Deal maths'!H1949)&gt;0,N('Deal maths'!H1949),N('Deal maths'!D1949)),0)</f>
        <v/>
      </c>
      <c r="C1949" s="91">
        <f>IF(B1949&gt;0,IF('Deal maths'!C1949="Local authority","Local authorities",LOWER(TRIM('Deal maths'!B1949))),"")</f>
        <v/>
      </c>
      <c r="D1949" s="91">
        <f>IF(C1949="","",IF(COUNTIF($C$4:C1948,C1949)=0,SUMIF($C$4:$C$3997,C1949,$B$4:$B$3997)-ROW()/1000000,""))</f>
        <v/>
      </c>
      <c r="E1949" s="91">
        <f>IF(AND(N('Deal maths'!F1949)&gt;AsAt,N('Deal maths'!E1949)&lt;=AsAt,IF(N('Deal maths'!H1949)&gt;0,N('Deal maths'!H1949),N('Deal maths'!D1949))&gt;0),N('Deal maths'!F1949)+ROW()/1000000,"")</f>
        <v/>
      </c>
    </row>
    <row r="1950">
      <c r="A1950" s="91" t="n"/>
      <c r="B1950" s="111">
        <f>IF(AND(N('Deal maths'!F1950)&gt;AsAt,N('Deal maths'!E1950)&lt;=AsAt),IF(N('Deal maths'!H1950)&gt;0,N('Deal maths'!H1950),N('Deal maths'!D1950)),0)</f>
        <v/>
      </c>
      <c r="C1950" s="91">
        <f>IF(B1950&gt;0,IF('Deal maths'!C1950="Local authority","Local authorities",LOWER(TRIM('Deal maths'!B1950))),"")</f>
        <v/>
      </c>
      <c r="D1950" s="91">
        <f>IF(C1950="","",IF(COUNTIF($C$4:C1949,C1950)=0,SUMIF($C$4:$C$3997,C1950,$B$4:$B$3997)-ROW()/1000000,""))</f>
        <v/>
      </c>
      <c r="E1950" s="91">
        <f>IF(AND(N('Deal maths'!F1950)&gt;AsAt,N('Deal maths'!E1950)&lt;=AsAt,IF(N('Deal maths'!H1950)&gt;0,N('Deal maths'!H1950),N('Deal maths'!D1950))&gt;0),N('Deal maths'!F1950)+ROW()/1000000,"")</f>
        <v/>
      </c>
    </row>
    <row r="1951">
      <c r="A1951" s="91" t="n"/>
      <c r="B1951" s="111">
        <f>IF(AND(N('Deal maths'!F1951)&gt;AsAt,N('Deal maths'!E1951)&lt;=AsAt),IF(N('Deal maths'!H1951)&gt;0,N('Deal maths'!H1951),N('Deal maths'!D1951)),0)</f>
        <v/>
      </c>
      <c r="C1951" s="91">
        <f>IF(B1951&gt;0,IF('Deal maths'!C1951="Local authority","Local authorities",LOWER(TRIM('Deal maths'!B1951))),"")</f>
        <v/>
      </c>
      <c r="D1951" s="91">
        <f>IF(C1951="","",IF(COUNTIF($C$4:C1950,C1951)=0,SUMIF($C$4:$C$3997,C1951,$B$4:$B$3997)-ROW()/1000000,""))</f>
        <v/>
      </c>
      <c r="E1951" s="91">
        <f>IF(AND(N('Deal maths'!F1951)&gt;AsAt,N('Deal maths'!E1951)&lt;=AsAt,IF(N('Deal maths'!H1951)&gt;0,N('Deal maths'!H1951),N('Deal maths'!D1951))&gt;0),N('Deal maths'!F1951)+ROW()/1000000,"")</f>
        <v/>
      </c>
    </row>
    <row r="1952">
      <c r="A1952" s="91" t="n"/>
      <c r="B1952" s="111">
        <f>IF(AND(N('Deal maths'!F1952)&gt;AsAt,N('Deal maths'!E1952)&lt;=AsAt),IF(N('Deal maths'!H1952)&gt;0,N('Deal maths'!H1952),N('Deal maths'!D1952)),0)</f>
        <v/>
      </c>
      <c r="C1952" s="91">
        <f>IF(B1952&gt;0,IF('Deal maths'!C1952="Local authority","Local authorities",LOWER(TRIM('Deal maths'!B1952))),"")</f>
        <v/>
      </c>
      <c r="D1952" s="91">
        <f>IF(C1952="","",IF(COUNTIF($C$4:C1951,C1952)=0,SUMIF($C$4:$C$3997,C1952,$B$4:$B$3997)-ROW()/1000000,""))</f>
        <v/>
      </c>
      <c r="E1952" s="91">
        <f>IF(AND(N('Deal maths'!F1952)&gt;AsAt,N('Deal maths'!E1952)&lt;=AsAt,IF(N('Deal maths'!H1952)&gt;0,N('Deal maths'!H1952),N('Deal maths'!D1952))&gt;0),N('Deal maths'!F1952)+ROW()/1000000,"")</f>
        <v/>
      </c>
    </row>
    <row r="1953">
      <c r="A1953" s="91" t="n"/>
      <c r="B1953" s="111">
        <f>IF(AND(N('Deal maths'!F1953)&gt;AsAt,N('Deal maths'!E1953)&lt;=AsAt),IF(N('Deal maths'!H1953)&gt;0,N('Deal maths'!H1953),N('Deal maths'!D1953)),0)</f>
        <v/>
      </c>
      <c r="C1953" s="91">
        <f>IF(B1953&gt;0,IF('Deal maths'!C1953="Local authority","Local authorities",LOWER(TRIM('Deal maths'!B1953))),"")</f>
        <v/>
      </c>
      <c r="D1953" s="91">
        <f>IF(C1953="","",IF(COUNTIF($C$4:C1952,C1953)=0,SUMIF($C$4:$C$3997,C1953,$B$4:$B$3997)-ROW()/1000000,""))</f>
        <v/>
      </c>
      <c r="E1953" s="91">
        <f>IF(AND(N('Deal maths'!F1953)&gt;AsAt,N('Deal maths'!E1953)&lt;=AsAt,IF(N('Deal maths'!H1953)&gt;0,N('Deal maths'!H1953),N('Deal maths'!D1953))&gt;0),N('Deal maths'!F1953)+ROW()/1000000,"")</f>
        <v/>
      </c>
    </row>
    <row r="1954">
      <c r="A1954" s="91" t="n"/>
      <c r="B1954" s="111">
        <f>IF(AND(N('Deal maths'!F1954)&gt;AsAt,N('Deal maths'!E1954)&lt;=AsAt),IF(N('Deal maths'!H1954)&gt;0,N('Deal maths'!H1954),N('Deal maths'!D1954)),0)</f>
        <v/>
      </c>
      <c r="C1954" s="91">
        <f>IF(B1954&gt;0,IF('Deal maths'!C1954="Local authority","Local authorities",LOWER(TRIM('Deal maths'!B1954))),"")</f>
        <v/>
      </c>
      <c r="D1954" s="91">
        <f>IF(C1954="","",IF(COUNTIF($C$4:C1953,C1954)=0,SUMIF($C$4:$C$3997,C1954,$B$4:$B$3997)-ROW()/1000000,""))</f>
        <v/>
      </c>
      <c r="E1954" s="91">
        <f>IF(AND(N('Deal maths'!F1954)&gt;AsAt,N('Deal maths'!E1954)&lt;=AsAt,IF(N('Deal maths'!H1954)&gt;0,N('Deal maths'!H1954),N('Deal maths'!D1954))&gt;0),N('Deal maths'!F1954)+ROW()/1000000,"")</f>
        <v/>
      </c>
    </row>
    <row r="1955">
      <c r="A1955" s="91" t="n"/>
      <c r="B1955" s="111">
        <f>IF(AND(N('Deal maths'!F1955)&gt;AsAt,N('Deal maths'!E1955)&lt;=AsAt),IF(N('Deal maths'!H1955)&gt;0,N('Deal maths'!H1955),N('Deal maths'!D1955)),0)</f>
        <v/>
      </c>
      <c r="C1955" s="91">
        <f>IF(B1955&gt;0,IF('Deal maths'!C1955="Local authority","Local authorities",LOWER(TRIM('Deal maths'!B1955))),"")</f>
        <v/>
      </c>
      <c r="D1955" s="91">
        <f>IF(C1955="","",IF(COUNTIF($C$4:C1954,C1955)=0,SUMIF($C$4:$C$3997,C1955,$B$4:$B$3997)-ROW()/1000000,""))</f>
        <v/>
      </c>
      <c r="E1955" s="91">
        <f>IF(AND(N('Deal maths'!F1955)&gt;AsAt,N('Deal maths'!E1955)&lt;=AsAt,IF(N('Deal maths'!H1955)&gt;0,N('Deal maths'!H1955),N('Deal maths'!D1955))&gt;0),N('Deal maths'!F1955)+ROW()/1000000,"")</f>
        <v/>
      </c>
    </row>
    <row r="1956">
      <c r="A1956" s="91" t="n"/>
      <c r="B1956" s="111">
        <f>IF(AND(N('Deal maths'!F1956)&gt;AsAt,N('Deal maths'!E1956)&lt;=AsAt),IF(N('Deal maths'!H1956)&gt;0,N('Deal maths'!H1956),N('Deal maths'!D1956)),0)</f>
        <v/>
      </c>
      <c r="C1956" s="91">
        <f>IF(B1956&gt;0,IF('Deal maths'!C1956="Local authority","Local authorities",LOWER(TRIM('Deal maths'!B1956))),"")</f>
        <v/>
      </c>
      <c r="D1956" s="91">
        <f>IF(C1956="","",IF(COUNTIF($C$4:C1955,C1956)=0,SUMIF($C$4:$C$3997,C1956,$B$4:$B$3997)-ROW()/1000000,""))</f>
        <v/>
      </c>
      <c r="E1956" s="91">
        <f>IF(AND(N('Deal maths'!F1956)&gt;AsAt,N('Deal maths'!E1956)&lt;=AsAt,IF(N('Deal maths'!H1956)&gt;0,N('Deal maths'!H1956),N('Deal maths'!D1956))&gt;0),N('Deal maths'!F1956)+ROW()/1000000,"")</f>
        <v/>
      </c>
    </row>
    <row r="1957">
      <c r="A1957" s="91" t="n"/>
      <c r="B1957" s="111">
        <f>IF(AND(N('Deal maths'!F1957)&gt;AsAt,N('Deal maths'!E1957)&lt;=AsAt),IF(N('Deal maths'!H1957)&gt;0,N('Deal maths'!H1957),N('Deal maths'!D1957)),0)</f>
        <v/>
      </c>
      <c r="C1957" s="91">
        <f>IF(B1957&gt;0,IF('Deal maths'!C1957="Local authority","Local authorities",LOWER(TRIM('Deal maths'!B1957))),"")</f>
        <v/>
      </c>
      <c r="D1957" s="91">
        <f>IF(C1957="","",IF(COUNTIF($C$4:C1956,C1957)=0,SUMIF($C$4:$C$3997,C1957,$B$4:$B$3997)-ROW()/1000000,""))</f>
        <v/>
      </c>
      <c r="E1957" s="91">
        <f>IF(AND(N('Deal maths'!F1957)&gt;AsAt,N('Deal maths'!E1957)&lt;=AsAt,IF(N('Deal maths'!H1957)&gt;0,N('Deal maths'!H1957),N('Deal maths'!D1957))&gt;0),N('Deal maths'!F1957)+ROW()/1000000,"")</f>
        <v/>
      </c>
    </row>
    <row r="1958">
      <c r="A1958" s="91" t="n"/>
      <c r="B1958" s="111">
        <f>IF(AND(N('Deal maths'!F1958)&gt;AsAt,N('Deal maths'!E1958)&lt;=AsAt),IF(N('Deal maths'!H1958)&gt;0,N('Deal maths'!H1958),N('Deal maths'!D1958)),0)</f>
        <v/>
      </c>
      <c r="C1958" s="91">
        <f>IF(B1958&gt;0,IF('Deal maths'!C1958="Local authority","Local authorities",LOWER(TRIM('Deal maths'!B1958))),"")</f>
        <v/>
      </c>
      <c r="D1958" s="91">
        <f>IF(C1958="","",IF(COUNTIF($C$4:C1957,C1958)=0,SUMIF($C$4:$C$3997,C1958,$B$4:$B$3997)-ROW()/1000000,""))</f>
        <v/>
      </c>
      <c r="E1958" s="91">
        <f>IF(AND(N('Deal maths'!F1958)&gt;AsAt,N('Deal maths'!E1958)&lt;=AsAt,IF(N('Deal maths'!H1958)&gt;0,N('Deal maths'!H1958),N('Deal maths'!D1958))&gt;0),N('Deal maths'!F1958)+ROW()/1000000,"")</f>
        <v/>
      </c>
    </row>
    <row r="1959">
      <c r="A1959" s="91" t="n"/>
      <c r="B1959" s="111">
        <f>IF(AND(N('Deal maths'!F1959)&gt;AsAt,N('Deal maths'!E1959)&lt;=AsAt),IF(N('Deal maths'!H1959)&gt;0,N('Deal maths'!H1959),N('Deal maths'!D1959)),0)</f>
        <v/>
      </c>
      <c r="C1959" s="91">
        <f>IF(B1959&gt;0,IF('Deal maths'!C1959="Local authority","Local authorities",LOWER(TRIM('Deal maths'!B1959))),"")</f>
        <v/>
      </c>
      <c r="D1959" s="91">
        <f>IF(C1959="","",IF(COUNTIF($C$4:C1958,C1959)=0,SUMIF($C$4:$C$3997,C1959,$B$4:$B$3997)-ROW()/1000000,""))</f>
        <v/>
      </c>
      <c r="E1959" s="91">
        <f>IF(AND(N('Deal maths'!F1959)&gt;AsAt,N('Deal maths'!E1959)&lt;=AsAt,IF(N('Deal maths'!H1959)&gt;0,N('Deal maths'!H1959),N('Deal maths'!D1959))&gt;0),N('Deal maths'!F1959)+ROW()/1000000,"")</f>
        <v/>
      </c>
    </row>
    <row r="1960">
      <c r="A1960" s="91" t="n"/>
      <c r="B1960" s="111">
        <f>IF(AND(N('Deal maths'!F1960)&gt;AsAt,N('Deal maths'!E1960)&lt;=AsAt),IF(N('Deal maths'!H1960)&gt;0,N('Deal maths'!H1960),N('Deal maths'!D1960)),0)</f>
        <v/>
      </c>
      <c r="C1960" s="91">
        <f>IF(B1960&gt;0,IF('Deal maths'!C1960="Local authority","Local authorities",LOWER(TRIM('Deal maths'!B1960))),"")</f>
        <v/>
      </c>
      <c r="D1960" s="91">
        <f>IF(C1960="","",IF(COUNTIF($C$4:C1959,C1960)=0,SUMIF($C$4:$C$3997,C1960,$B$4:$B$3997)-ROW()/1000000,""))</f>
        <v/>
      </c>
      <c r="E1960" s="91">
        <f>IF(AND(N('Deal maths'!F1960)&gt;AsAt,N('Deal maths'!E1960)&lt;=AsAt,IF(N('Deal maths'!H1960)&gt;0,N('Deal maths'!H1960),N('Deal maths'!D1960))&gt;0),N('Deal maths'!F1960)+ROW()/1000000,"")</f>
        <v/>
      </c>
    </row>
    <row r="1961">
      <c r="A1961" s="91" t="n"/>
      <c r="B1961" s="111">
        <f>IF(AND(N('Deal maths'!F1961)&gt;AsAt,N('Deal maths'!E1961)&lt;=AsAt),IF(N('Deal maths'!H1961)&gt;0,N('Deal maths'!H1961),N('Deal maths'!D1961)),0)</f>
        <v/>
      </c>
      <c r="C1961" s="91">
        <f>IF(B1961&gt;0,IF('Deal maths'!C1961="Local authority","Local authorities",LOWER(TRIM('Deal maths'!B1961))),"")</f>
        <v/>
      </c>
      <c r="D1961" s="91">
        <f>IF(C1961="","",IF(COUNTIF($C$4:C1960,C1961)=0,SUMIF($C$4:$C$3997,C1961,$B$4:$B$3997)-ROW()/1000000,""))</f>
        <v/>
      </c>
      <c r="E1961" s="91">
        <f>IF(AND(N('Deal maths'!F1961)&gt;AsAt,N('Deal maths'!E1961)&lt;=AsAt,IF(N('Deal maths'!H1961)&gt;0,N('Deal maths'!H1961),N('Deal maths'!D1961))&gt;0),N('Deal maths'!F1961)+ROW()/1000000,"")</f>
        <v/>
      </c>
    </row>
    <row r="1962">
      <c r="A1962" s="91" t="n"/>
      <c r="B1962" s="111">
        <f>IF(AND(N('Deal maths'!F1962)&gt;AsAt,N('Deal maths'!E1962)&lt;=AsAt),IF(N('Deal maths'!H1962)&gt;0,N('Deal maths'!H1962),N('Deal maths'!D1962)),0)</f>
        <v/>
      </c>
      <c r="C1962" s="91">
        <f>IF(B1962&gt;0,IF('Deal maths'!C1962="Local authority","Local authorities",LOWER(TRIM('Deal maths'!B1962))),"")</f>
        <v/>
      </c>
      <c r="D1962" s="91">
        <f>IF(C1962="","",IF(COUNTIF($C$4:C1961,C1962)=0,SUMIF($C$4:$C$3997,C1962,$B$4:$B$3997)-ROW()/1000000,""))</f>
        <v/>
      </c>
      <c r="E1962" s="91">
        <f>IF(AND(N('Deal maths'!F1962)&gt;AsAt,N('Deal maths'!E1962)&lt;=AsAt,IF(N('Deal maths'!H1962)&gt;0,N('Deal maths'!H1962),N('Deal maths'!D1962))&gt;0),N('Deal maths'!F1962)+ROW()/1000000,"")</f>
        <v/>
      </c>
    </row>
    <row r="1963">
      <c r="A1963" s="91" t="n"/>
      <c r="B1963" s="111">
        <f>IF(AND(N('Deal maths'!F1963)&gt;AsAt,N('Deal maths'!E1963)&lt;=AsAt),IF(N('Deal maths'!H1963)&gt;0,N('Deal maths'!H1963),N('Deal maths'!D1963)),0)</f>
        <v/>
      </c>
      <c r="C1963" s="91">
        <f>IF(B1963&gt;0,IF('Deal maths'!C1963="Local authority","Local authorities",LOWER(TRIM('Deal maths'!B1963))),"")</f>
        <v/>
      </c>
      <c r="D1963" s="91">
        <f>IF(C1963="","",IF(COUNTIF($C$4:C1962,C1963)=0,SUMIF($C$4:$C$3997,C1963,$B$4:$B$3997)-ROW()/1000000,""))</f>
        <v/>
      </c>
      <c r="E1963" s="91">
        <f>IF(AND(N('Deal maths'!F1963)&gt;AsAt,N('Deal maths'!E1963)&lt;=AsAt,IF(N('Deal maths'!H1963)&gt;0,N('Deal maths'!H1963),N('Deal maths'!D1963))&gt;0),N('Deal maths'!F1963)+ROW()/1000000,"")</f>
        <v/>
      </c>
    </row>
    <row r="1964">
      <c r="A1964" s="91" t="n"/>
      <c r="B1964" s="111">
        <f>IF(AND(N('Deal maths'!F1964)&gt;AsAt,N('Deal maths'!E1964)&lt;=AsAt),IF(N('Deal maths'!H1964)&gt;0,N('Deal maths'!H1964),N('Deal maths'!D1964)),0)</f>
        <v/>
      </c>
      <c r="C1964" s="91">
        <f>IF(B1964&gt;0,IF('Deal maths'!C1964="Local authority","Local authorities",LOWER(TRIM('Deal maths'!B1964))),"")</f>
        <v/>
      </c>
      <c r="D1964" s="91">
        <f>IF(C1964="","",IF(COUNTIF($C$4:C1963,C1964)=0,SUMIF($C$4:$C$3997,C1964,$B$4:$B$3997)-ROW()/1000000,""))</f>
        <v/>
      </c>
      <c r="E1964" s="91">
        <f>IF(AND(N('Deal maths'!F1964)&gt;AsAt,N('Deal maths'!E1964)&lt;=AsAt,IF(N('Deal maths'!H1964)&gt;0,N('Deal maths'!H1964),N('Deal maths'!D1964))&gt;0),N('Deal maths'!F1964)+ROW()/1000000,"")</f>
        <v/>
      </c>
    </row>
    <row r="1965">
      <c r="A1965" s="91" t="n"/>
      <c r="B1965" s="111">
        <f>IF(AND(N('Deal maths'!F1965)&gt;AsAt,N('Deal maths'!E1965)&lt;=AsAt),IF(N('Deal maths'!H1965)&gt;0,N('Deal maths'!H1965),N('Deal maths'!D1965)),0)</f>
        <v/>
      </c>
      <c r="C1965" s="91">
        <f>IF(B1965&gt;0,IF('Deal maths'!C1965="Local authority","Local authorities",LOWER(TRIM('Deal maths'!B1965))),"")</f>
        <v/>
      </c>
      <c r="D1965" s="91">
        <f>IF(C1965="","",IF(COUNTIF($C$4:C1964,C1965)=0,SUMIF($C$4:$C$3997,C1965,$B$4:$B$3997)-ROW()/1000000,""))</f>
        <v/>
      </c>
      <c r="E1965" s="91">
        <f>IF(AND(N('Deal maths'!F1965)&gt;AsAt,N('Deal maths'!E1965)&lt;=AsAt,IF(N('Deal maths'!H1965)&gt;0,N('Deal maths'!H1965),N('Deal maths'!D1965))&gt;0),N('Deal maths'!F1965)+ROW()/1000000,"")</f>
        <v/>
      </c>
    </row>
    <row r="1966">
      <c r="A1966" s="91" t="n"/>
      <c r="B1966" s="111">
        <f>IF(AND(N('Deal maths'!F1966)&gt;AsAt,N('Deal maths'!E1966)&lt;=AsAt),IF(N('Deal maths'!H1966)&gt;0,N('Deal maths'!H1966),N('Deal maths'!D1966)),0)</f>
        <v/>
      </c>
      <c r="C1966" s="91">
        <f>IF(B1966&gt;0,IF('Deal maths'!C1966="Local authority","Local authorities",LOWER(TRIM('Deal maths'!B1966))),"")</f>
        <v/>
      </c>
      <c r="D1966" s="91">
        <f>IF(C1966="","",IF(COUNTIF($C$4:C1965,C1966)=0,SUMIF($C$4:$C$3997,C1966,$B$4:$B$3997)-ROW()/1000000,""))</f>
        <v/>
      </c>
      <c r="E1966" s="91">
        <f>IF(AND(N('Deal maths'!F1966)&gt;AsAt,N('Deal maths'!E1966)&lt;=AsAt,IF(N('Deal maths'!H1966)&gt;0,N('Deal maths'!H1966),N('Deal maths'!D1966))&gt;0),N('Deal maths'!F1966)+ROW()/1000000,"")</f>
        <v/>
      </c>
    </row>
    <row r="1967">
      <c r="A1967" s="91" t="n"/>
      <c r="B1967" s="111">
        <f>IF(AND(N('Deal maths'!F1967)&gt;AsAt,N('Deal maths'!E1967)&lt;=AsAt),IF(N('Deal maths'!H1967)&gt;0,N('Deal maths'!H1967),N('Deal maths'!D1967)),0)</f>
        <v/>
      </c>
      <c r="C1967" s="91">
        <f>IF(B1967&gt;0,IF('Deal maths'!C1967="Local authority","Local authorities",LOWER(TRIM('Deal maths'!B1967))),"")</f>
        <v/>
      </c>
      <c r="D1967" s="91">
        <f>IF(C1967="","",IF(COUNTIF($C$4:C1966,C1967)=0,SUMIF($C$4:$C$3997,C1967,$B$4:$B$3997)-ROW()/1000000,""))</f>
        <v/>
      </c>
      <c r="E1967" s="91">
        <f>IF(AND(N('Deal maths'!F1967)&gt;AsAt,N('Deal maths'!E1967)&lt;=AsAt,IF(N('Deal maths'!H1967)&gt;0,N('Deal maths'!H1967),N('Deal maths'!D1967))&gt;0),N('Deal maths'!F1967)+ROW()/1000000,"")</f>
        <v/>
      </c>
    </row>
    <row r="1968">
      <c r="A1968" s="91" t="n"/>
      <c r="B1968" s="111">
        <f>IF(AND(N('Deal maths'!F1968)&gt;AsAt,N('Deal maths'!E1968)&lt;=AsAt),IF(N('Deal maths'!H1968)&gt;0,N('Deal maths'!H1968),N('Deal maths'!D1968)),0)</f>
        <v/>
      </c>
      <c r="C1968" s="91">
        <f>IF(B1968&gt;0,IF('Deal maths'!C1968="Local authority","Local authorities",LOWER(TRIM('Deal maths'!B1968))),"")</f>
        <v/>
      </c>
      <c r="D1968" s="91">
        <f>IF(C1968="","",IF(COUNTIF($C$4:C1967,C1968)=0,SUMIF($C$4:$C$3997,C1968,$B$4:$B$3997)-ROW()/1000000,""))</f>
        <v/>
      </c>
      <c r="E1968" s="91">
        <f>IF(AND(N('Deal maths'!F1968)&gt;AsAt,N('Deal maths'!E1968)&lt;=AsAt,IF(N('Deal maths'!H1968)&gt;0,N('Deal maths'!H1968),N('Deal maths'!D1968))&gt;0),N('Deal maths'!F1968)+ROW()/1000000,"")</f>
        <v/>
      </c>
    </row>
    <row r="1969">
      <c r="A1969" s="91" t="n"/>
      <c r="B1969" s="111">
        <f>IF(AND(N('Deal maths'!F1969)&gt;AsAt,N('Deal maths'!E1969)&lt;=AsAt),IF(N('Deal maths'!H1969)&gt;0,N('Deal maths'!H1969),N('Deal maths'!D1969)),0)</f>
        <v/>
      </c>
      <c r="C1969" s="91">
        <f>IF(B1969&gt;0,IF('Deal maths'!C1969="Local authority","Local authorities",LOWER(TRIM('Deal maths'!B1969))),"")</f>
        <v/>
      </c>
      <c r="D1969" s="91">
        <f>IF(C1969="","",IF(COUNTIF($C$4:C1968,C1969)=0,SUMIF($C$4:$C$3997,C1969,$B$4:$B$3997)-ROW()/1000000,""))</f>
        <v/>
      </c>
      <c r="E1969" s="91">
        <f>IF(AND(N('Deal maths'!F1969)&gt;AsAt,N('Deal maths'!E1969)&lt;=AsAt,IF(N('Deal maths'!H1969)&gt;0,N('Deal maths'!H1969),N('Deal maths'!D1969))&gt;0),N('Deal maths'!F1969)+ROW()/1000000,"")</f>
        <v/>
      </c>
    </row>
    <row r="1970">
      <c r="A1970" s="91" t="n"/>
      <c r="B1970" s="111">
        <f>IF(AND(N('Deal maths'!F1970)&gt;AsAt,N('Deal maths'!E1970)&lt;=AsAt),IF(N('Deal maths'!H1970)&gt;0,N('Deal maths'!H1970),N('Deal maths'!D1970)),0)</f>
        <v/>
      </c>
      <c r="C1970" s="91">
        <f>IF(B1970&gt;0,IF('Deal maths'!C1970="Local authority","Local authorities",LOWER(TRIM('Deal maths'!B1970))),"")</f>
        <v/>
      </c>
      <c r="D1970" s="91">
        <f>IF(C1970="","",IF(COUNTIF($C$4:C1969,C1970)=0,SUMIF($C$4:$C$3997,C1970,$B$4:$B$3997)-ROW()/1000000,""))</f>
        <v/>
      </c>
      <c r="E1970" s="91">
        <f>IF(AND(N('Deal maths'!F1970)&gt;AsAt,N('Deal maths'!E1970)&lt;=AsAt,IF(N('Deal maths'!H1970)&gt;0,N('Deal maths'!H1970),N('Deal maths'!D1970))&gt;0),N('Deal maths'!F1970)+ROW()/1000000,"")</f>
        <v/>
      </c>
    </row>
    <row r="1971">
      <c r="A1971" s="91" t="n"/>
      <c r="B1971" s="111">
        <f>IF(AND(N('Deal maths'!F1971)&gt;AsAt,N('Deal maths'!E1971)&lt;=AsAt),IF(N('Deal maths'!H1971)&gt;0,N('Deal maths'!H1971),N('Deal maths'!D1971)),0)</f>
        <v/>
      </c>
      <c r="C1971" s="91">
        <f>IF(B1971&gt;0,IF('Deal maths'!C1971="Local authority","Local authorities",LOWER(TRIM('Deal maths'!B1971))),"")</f>
        <v/>
      </c>
      <c r="D1971" s="91">
        <f>IF(C1971="","",IF(COUNTIF($C$4:C1970,C1971)=0,SUMIF($C$4:$C$3997,C1971,$B$4:$B$3997)-ROW()/1000000,""))</f>
        <v/>
      </c>
      <c r="E1971" s="91">
        <f>IF(AND(N('Deal maths'!F1971)&gt;AsAt,N('Deal maths'!E1971)&lt;=AsAt,IF(N('Deal maths'!H1971)&gt;0,N('Deal maths'!H1971),N('Deal maths'!D1971))&gt;0),N('Deal maths'!F1971)+ROW()/1000000,"")</f>
        <v/>
      </c>
    </row>
    <row r="1972">
      <c r="A1972" s="91" t="n"/>
      <c r="B1972" s="111">
        <f>IF(AND(N('Deal maths'!F1972)&gt;AsAt,N('Deal maths'!E1972)&lt;=AsAt),IF(N('Deal maths'!H1972)&gt;0,N('Deal maths'!H1972),N('Deal maths'!D1972)),0)</f>
        <v/>
      </c>
      <c r="C1972" s="91">
        <f>IF(B1972&gt;0,IF('Deal maths'!C1972="Local authority","Local authorities",LOWER(TRIM('Deal maths'!B1972))),"")</f>
        <v/>
      </c>
      <c r="D1972" s="91">
        <f>IF(C1972="","",IF(COUNTIF($C$4:C1971,C1972)=0,SUMIF($C$4:$C$3997,C1972,$B$4:$B$3997)-ROW()/1000000,""))</f>
        <v/>
      </c>
      <c r="E1972" s="91">
        <f>IF(AND(N('Deal maths'!F1972)&gt;AsAt,N('Deal maths'!E1972)&lt;=AsAt,IF(N('Deal maths'!H1972)&gt;0,N('Deal maths'!H1972),N('Deal maths'!D1972))&gt;0),N('Deal maths'!F1972)+ROW()/1000000,"")</f>
        <v/>
      </c>
    </row>
    <row r="1973">
      <c r="A1973" s="91" t="n"/>
      <c r="B1973" s="111">
        <f>IF(AND(N('Deal maths'!F1973)&gt;AsAt,N('Deal maths'!E1973)&lt;=AsAt),IF(N('Deal maths'!H1973)&gt;0,N('Deal maths'!H1973),N('Deal maths'!D1973)),0)</f>
        <v/>
      </c>
      <c r="C1973" s="91">
        <f>IF(B1973&gt;0,IF('Deal maths'!C1973="Local authority","Local authorities",LOWER(TRIM('Deal maths'!B1973))),"")</f>
        <v/>
      </c>
      <c r="D1973" s="91">
        <f>IF(C1973="","",IF(COUNTIF($C$4:C1972,C1973)=0,SUMIF($C$4:$C$3997,C1973,$B$4:$B$3997)-ROW()/1000000,""))</f>
        <v/>
      </c>
      <c r="E1973" s="91">
        <f>IF(AND(N('Deal maths'!F1973)&gt;AsAt,N('Deal maths'!E1973)&lt;=AsAt,IF(N('Deal maths'!H1973)&gt;0,N('Deal maths'!H1973),N('Deal maths'!D1973))&gt;0),N('Deal maths'!F1973)+ROW()/1000000,"")</f>
        <v/>
      </c>
    </row>
    <row r="1974">
      <c r="A1974" s="91" t="n"/>
      <c r="B1974" s="111">
        <f>IF(AND(N('Deal maths'!F1974)&gt;AsAt,N('Deal maths'!E1974)&lt;=AsAt),IF(N('Deal maths'!H1974)&gt;0,N('Deal maths'!H1974),N('Deal maths'!D1974)),0)</f>
        <v/>
      </c>
      <c r="C1974" s="91">
        <f>IF(B1974&gt;0,IF('Deal maths'!C1974="Local authority","Local authorities",LOWER(TRIM('Deal maths'!B1974))),"")</f>
        <v/>
      </c>
      <c r="D1974" s="91">
        <f>IF(C1974="","",IF(COUNTIF($C$4:C1973,C1974)=0,SUMIF($C$4:$C$3997,C1974,$B$4:$B$3997)-ROW()/1000000,""))</f>
        <v/>
      </c>
      <c r="E1974" s="91">
        <f>IF(AND(N('Deal maths'!F1974)&gt;AsAt,N('Deal maths'!E1974)&lt;=AsAt,IF(N('Deal maths'!H1974)&gt;0,N('Deal maths'!H1974),N('Deal maths'!D1974))&gt;0),N('Deal maths'!F1974)+ROW()/1000000,"")</f>
        <v/>
      </c>
    </row>
    <row r="1975">
      <c r="A1975" s="91" t="n"/>
      <c r="B1975" s="111">
        <f>IF(AND(N('Deal maths'!F1975)&gt;AsAt,N('Deal maths'!E1975)&lt;=AsAt),IF(N('Deal maths'!H1975)&gt;0,N('Deal maths'!H1975),N('Deal maths'!D1975)),0)</f>
        <v/>
      </c>
      <c r="C1975" s="91">
        <f>IF(B1975&gt;0,IF('Deal maths'!C1975="Local authority","Local authorities",LOWER(TRIM('Deal maths'!B1975))),"")</f>
        <v/>
      </c>
      <c r="D1975" s="91">
        <f>IF(C1975="","",IF(COUNTIF($C$4:C1974,C1975)=0,SUMIF($C$4:$C$3997,C1975,$B$4:$B$3997)-ROW()/1000000,""))</f>
        <v/>
      </c>
      <c r="E1975" s="91">
        <f>IF(AND(N('Deal maths'!F1975)&gt;AsAt,N('Deal maths'!E1975)&lt;=AsAt,IF(N('Deal maths'!H1975)&gt;0,N('Deal maths'!H1975),N('Deal maths'!D1975))&gt;0),N('Deal maths'!F1975)+ROW()/1000000,"")</f>
        <v/>
      </c>
    </row>
    <row r="1976">
      <c r="A1976" s="91" t="n"/>
      <c r="B1976" s="111">
        <f>IF(AND(N('Deal maths'!F1976)&gt;AsAt,N('Deal maths'!E1976)&lt;=AsAt),IF(N('Deal maths'!H1976)&gt;0,N('Deal maths'!H1976),N('Deal maths'!D1976)),0)</f>
        <v/>
      </c>
      <c r="C1976" s="91">
        <f>IF(B1976&gt;0,IF('Deal maths'!C1976="Local authority","Local authorities",LOWER(TRIM('Deal maths'!B1976))),"")</f>
        <v/>
      </c>
      <c r="D1976" s="91">
        <f>IF(C1976="","",IF(COUNTIF($C$4:C1975,C1976)=0,SUMIF($C$4:$C$3997,C1976,$B$4:$B$3997)-ROW()/1000000,""))</f>
        <v/>
      </c>
      <c r="E1976" s="91">
        <f>IF(AND(N('Deal maths'!F1976)&gt;AsAt,N('Deal maths'!E1976)&lt;=AsAt,IF(N('Deal maths'!H1976)&gt;0,N('Deal maths'!H1976),N('Deal maths'!D1976))&gt;0),N('Deal maths'!F1976)+ROW()/1000000,"")</f>
        <v/>
      </c>
    </row>
    <row r="1977">
      <c r="A1977" s="91" t="n"/>
      <c r="B1977" s="111">
        <f>IF(AND(N('Deal maths'!F1977)&gt;AsAt,N('Deal maths'!E1977)&lt;=AsAt),IF(N('Deal maths'!H1977)&gt;0,N('Deal maths'!H1977),N('Deal maths'!D1977)),0)</f>
        <v/>
      </c>
      <c r="C1977" s="91">
        <f>IF(B1977&gt;0,IF('Deal maths'!C1977="Local authority","Local authorities",LOWER(TRIM('Deal maths'!B1977))),"")</f>
        <v/>
      </c>
      <c r="D1977" s="91">
        <f>IF(C1977="","",IF(COUNTIF($C$4:C1976,C1977)=0,SUMIF($C$4:$C$3997,C1977,$B$4:$B$3997)-ROW()/1000000,""))</f>
        <v/>
      </c>
      <c r="E1977" s="91">
        <f>IF(AND(N('Deal maths'!F1977)&gt;AsAt,N('Deal maths'!E1977)&lt;=AsAt,IF(N('Deal maths'!H1977)&gt;0,N('Deal maths'!H1977),N('Deal maths'!D1977))&gt;0),N('Deal maths'!F1977)+ROW()/1000000,"")</f>
        <v/>
      </c>
    </row>
    <row r="1978">
      <c r="A1978" s="91" t="n"/>
      <c r="B1978" s="111">
        <f>IF(AND(N('Deal maths'!F1978)&gt;AsAt,N('Deal maths'!E1978)&lt;=AsAt),IF(N('Deal maths'!H1978)&gt;0,N('Deal maths'!H1978),N('Deal maths'!D1978)),0)</f>
        <v/>
      </c>
      <c r="C1978" s="91">
        <f>IF(B1978&gt;0,IF('Deal maths'!C1978="Local authority","Local authorities",LOWER(TRIM('Deal maths'!B1978))),"")</f>
        <v/>
      </c>
      <c r="D1978" s="91">
        <f>IF(C1978="","",IF(COUNTIF($C$4:C1977,C1978)=0,SUMIF($C$4:$C$3997,C1978,$B$4:$B$3997)-ROW()/1000000,""))</f>
        <v/>
      </c>
      <c r="E1978" s="91">
        <f>IF(AND(N('Deal maths'!F1978)&gt;AsAt,N('Deal maths'!E1978)&lt;=AsAt,IF(N('Deal maths'!H1978)&gt;0,N('Deal maths'!H1978),N('Deal maths'!D1978))&gt;0),N('Deal maths'!F1978)+ROW()/1000000,"")</f>
        <v/>
      </c>
    </row>
    <row r="1979">
      <c r="A1979" s="91" t="n"/>
      <c r="B1979" s="111">
        <f>IF(AND(N('Deal maths'!F1979)&gt;AsAt,N('Deal maths'!E1979)&lt;=AsAt),IF(N('Deal maths'!H1979)&gt;0,N('Deal maths'!H1979),N('Deal maths'!D1979)),0)</f>
        <v/>
      </c>
      <c r="C1979" s="91">
        <f>IF(B1979&gt;0,IF('Deal maths'!C1979="Local authority","Local authorities",LOWER(TRIM('Deal maths'!B1979))),"")</f>
        <v/>
      </c>
      <c r="D1979" s="91">
        <f>IF(C1979="","",IF(COUNTIF($C$4:C1978,C1979)=0,SUMIF($C$4:$C$3997,C1979,$B$4:$B$3997)-ROW()/1000000,""))</f>
        <v/>
      </c>
      <c r="E1979" s="91">
        <f>IF(AND(N('Deal maths'!F1979)&gt;AsAt,N('Deal maths'!E1979)&lt;=AsAt,IF(N('Deal maths'!H1979)&gt;0,N('Deal maths'!H1979),N('Deal maths'!D1979))&gt;0),N('Deal maths'!F1979)+ROW()/1000000,"")</f>
        <v/>
      </c>
    </row>
    <row r="1980">
      <c r="A1980" s="91" t="n"/>
      <c r="B1980" s="111">
        <f>IF(AND(N('Deal maths'!F1980)&gt;AsAt,N('Deal maths'!E1980)&lt;=AsAt),IF(N('Deal maths'!H1980)&gt;0,N('Deal maths'!H1980),N('Deal maths'!D1980)),0)</f>
        <v/>
      </c>
      <c r="C1980" s="91">
        <f>IF(B1980&gt;0,IF('Deal maths'!C1980="Local authority","Local authorities",LOWER(TRIM('Deal maths'!B1980))),"")</f>
        <v/>
      </c>
      <c r="D1980" s="91">
        <f>IF(C1980="","",IF(COUNTIF($C$4:C1979,C1980)=0,SUMIF($C$4:$C$3997,C1980,$B$4:$B$3997)-ROW()/1000000,""))</f>
        <v/>
      </c>
      <c r="E1980" s="91">
        <f>IF(AND(N('Deal maths'!F1980)&gt;AsAt,N('Deal maths'!E1980)&lt;=AsAt,IF(N('Deal maths'!H1980)&gt;0,N('Deal maths'!H1980),N('Deal maths'!D1980))&gt;0),N('Deal maths'!F1980)+ROW()/1000000,"")</f>
        <v/>
      </c>
    </row>
    <row r="1981">
      <c r="A1981" s="91" t="n"/>
      <c r="B1981" s="111">
        <f>IF(AND(N('Deal maths'!F1981)&gt;AsAt,N('Deal maths'!E1981)&lt;=AsAt),IF(N('Deal maths'!H1981)&gt;0,N('Deal maths'!H1981),N('Deal maths'!D1981)),0)</f>
        <v/>
      </c>
      <c r="C1981" s="91">
        <f>IF(B1981&gt;0,IF('Deal maths'!C1981="Local authority","Local authorities",LOWER(TRIM('Deal maths'!B1981))),"")</f>
        <v/>
      </c>
      <c r="D1981" s="91">
        <f>IF(C1981="","",IF(COUNTIF($C$4:C1980,C1981)=0,SUMIF($C$4:$C$3997,C1981,$B$4:$B$3997)-ROW()/1000000,""))</f>
        <v/>
      </c>
      <c r="E1981" s="91">
        <f>IF(AND(N('Deal maths'!F1981)&gt;AsAt,N('Deal maths'!E1981)&lt;=AsAt,IF(N('Deal maths'!H1981)&gt;0,N('Deal maths'!H1981),N('Deal maths'!D1981))&gt;0),N('Deal maths'!F1981)+ROW()/1000000,"")</f>
        <v/>
      </c>
    </row>
    <row r="1982">
      <c r="A1982" s="91" t="n"/>
      <c r="B1982" s="111">
        <f>IF(AND(N('Deal maths'!F1982)&gt;AsAt,N('Deal maths'!E1982)&lt;=AsAt),IF(N('Deal maths'!H1982)&gt;0,N('Deal maths'!H1982),N('Deal maths'!D1982)),0)</f>
        <v/>
      </c>
      <c r="C1982" s="91">
        <f>IF(B1982&gt;0,IF('Deal maths'!C1982="Local authority","Local authorities",LOWER(TRIM('Deal maths'!B1982))),"")</f>
        <v/>
      </c>
      <c r="D1982" s="91">
        <f>IF(C1982="","",IF(COUNTIF($C$4:C1981,C1982)=0,SUMIF($C$4:$C$3997,C1982,$B$4:$B$3997)-ROW()/1000000,""))</f>
        <v/>
      </c>
      <c r="E1982" s="91">
        <f>IF(AND(N('Deal maths'!F1982)&gt;AsAt,N('Deal maths'!E1982)&lt;=AsAt,IF(N('Deal maths'!H1982)&gt;0,N('Deal maths'!H1982),N('Deal maths'!D1982))&gt;0),N('Deal maths'!F1982)+ROW()/1000000,"")</f>
        <v/>
      </c>
    </row>
    <row r="1983">
      <c r="A1983" s="91" t="n"/>
      <c r="B1983" s="111">
        <f>IF(AND(N('Deal maths'!F1983)&gt;AsAt,N('Deal maths'!E1983)&lt;=AsAt),IF(N('Deal maths'!H1983)&gt;0,N('Deal maths'!H1983),N('Deal maths'!D1983)),0)</f>
        <v/>
      </c>
      <c r="C1983" s="91">
        <f>IF(B1983&gt;0,IF('Deal maths'!C1983="Local authority","Local authorities",LOWER(TRIM('Deal maths'!B1983))),"")</f>
        <v/>
      </c>
      <c r="D1983" s="91">
        <f>IF(C1983="","",IF(COUNTIF($C$4:C1982,C1983)=0,SUMIF($C$4:$C$3997,C1983,$B$4:$B$3997)-ROW()/1000000,""))</f>
        <v/>
      </c>
      <c r="E1983" s="91">
        <f>IF(AND(N('Deal maths'!F1983)&gt;AsAt,N('Deal maths'!E1983)&lt;=AsAt,IF(N('Deal maths'!H1983)&gt;0,N('Deal maths'!H1983),N('Deal maths'!D1983))&gt;0),N('Deal maths'!F1983)+ROW()/1000000,"")</f>
        <v/>
      </c>
    </row>
    <row r="1984">
      <c r="A1984" s="91" t="n"/>
      <c r="B1984" s="111">
        <f>IF(AND(N('Deal maths'!F1984)&gt;AsAt,N('Deal maths'!E1984)&lt;=AsAt),IF(N('Deal maths'!H1984)&gt;0,N('Deal maths'!H1984),N('Deal maths'!D1984)),0)</f>
        <v/>
      </c>
      <c r="C1984" s="91">
        <f>IF(B1984&gt;0,IF('Deal maths'!C1984="Local authority","Local authorities",LOWER(TRIM('Deal maths'!B1984))),"")</f>
        <v/>
      </c>
      <c r="D1984" s="91">
        <f>IF(C1984="","",IF(COUNTIF($C$4:C1983,C1984)=0,SUMIF($C$4:$C$3997,C1984,$B$4:$B$3997)-ROW()/1000000,""))</f>
        <v/>
      </c>
      <c r="E1984" s="91">
        <f>IF(AND(N('Deal maths'!F1984)&gt;AsAt,N('Deal maths'!E1984)&lt;=AsAt,IF(N('Deal maths'!H1984)&gt;0,N('Deal maths'!H1984),N('Deal maths'!D1984))&gt;0),N('Deal maths'!F1984)+ROW()/1000000,"")</f>
        <v/>
      </c>
    </row>
    <row r="1985">
      <c r="A1985" s="91" t="n"/>
      <c r="B1985" s="111">
        <f>IF(AND(N('Deal maths'!F1985)&gt;AsAt,N('Deal maths'!E1985)&lt;=AsAt),IF(N('Deal maths'!H1985)&gt;0,N('Deal maths'!H1985),N('Deal maths'!D1985)),0)</f>
        <v/>
      </c>
      <c r="C1985" s="91">
        <f>IF(B1985&gt;0,IF('Deal maths'!C1985="Local authority","Local authorities",LOWER(TRIM('Deal maths'!B1985))),"")</f>
        <v/>
      </c>
      <c r="D1985" s="91">
        <f>IF(C1985="","",IF(COUNTIF($C$4:C1984,C1985)=0,SUMIF($C$4:$C$3997,C1985,$B$4:$B$3997)-ROW()/1000000,""))</f>
        <v/>
      </c>
      <c r="E1985" s="91">
        <f>IF(AND(N('Deal maths'!F1985)&gt;AsAt,N('Deal maths'!E1985)&lt;=AsAt,IF(N('Deal maths'!H1985)&gt;0,N('Deal maths'!H1985),N('Deal maths'!D1985))&gt;0),N('Deal maths'!F1985)+ROW()/1000000,"")</f>
        <v/>
      </c>
    </row>
    <row r="1986">
      <c r="A1986" s="91" t="n"/>
      <c r="B1986" s="111">
        <f>IF(AND(N('Deal maths'!F1986)&gt;AsAt,N('Deal maths'!E1986)&lt;=AsAt),IF(N('Deal maths'!H1986)&gt;0,N('Deal maths'!H1986),N('Deal maths'!D1986)),0)</f>
        <v/>
      </c>
      <c r="C1986" s="91">
        <f>IF(B1986&gt;0,IF('Deal maths'!C1986="Local authority","Local authorities",LOWER(TRIM('Deal maths'!B1986))),"")</f>
        <v/>
      </c>
      <c r="D1986" s="91">
        <f>IF(C1986="","",IF(COUNTIF($C$4:C1985,C1986)=0,SUMIF($C$4:$C$3997,C1986,$B$4:$B$3997)-ROW()/1000000,""))</f>
        <v/>
      </c>
      <c r="E1986" s="91">
        <f>IF(AND(N('Deal maths'!F1986)&gt;AsAt,N('Deal maths'!E1986)&lt;=AsAt,IF(N('Deal maths'!H1986)&gt;0,N('Deal maths'!H1986),N('Deal maths'!D1986))&gt;0),N('Deal maths'!F1986)+ROW()/1000000,"")</f>
        <v/>
      </c>
    </row>
    <row r="1987">
      <c r="A1987" s="91" t="n"/>
      <c r="B1987" s="111">
        <f>IF(AND(N('Deal maths'!F1987)&gt;AsAt,N('Deal maths'!E1987)&lt;=AsAt),IF(N('Deal maths'!H1987)&gt;0,N('Deal maths'!H1987),N('Deal maths'!D1987)),0)</f>
        <v/>
      </c>
      <c r="C1987" s="91">
        <f>IF(B1987&gt;0,IF('Deal maths'!C1987="Local authority","Local authorities",LOWER(TRIM('Deal maths'!B1987))),"")</f>
        <v/>
      </c>
      <c r="D1987" s="91">
        <f>IF(C1987="","",IF(COUNTIF($C$4:C1986,C1987)=0,SUMIF($C$4:$C$3997,C1987,$B$4:$B$3997)-ROW()/1000000,""))</f>
        <v/>
      </c>
      <c r="E1987" s="91">
        <f>IF(AND(N('Deal maths'!F1987)&gt;AsAt,N('Deal maths'!E1987)&lt;=AsAt,IF(N('Deal maths'!H1987)&gt;0,N('Deal maths'!H1987),N('Deal maths'!D1987))&gt;0),N('Deal maths'!F1987)+ROW()/1000000,"")</f>
        <v/>
      </c>
    </row>
    <row r="1988">
      <c r="A1988" s="91" t="n"/>
      <c r="B1988" s="111">
        <f>IF(AND(N('Deal maths'!F1988)&gt;AsAt,N('Deal maths'!E1988)&lt;=AsAt),IF(N('Deal maths'!H1988)&gt;0,N('Deal maths'!H1988),N('Deal maths'!D1988)),0)</f>
        <v/>
      </c>
      <c r="C1988" s="91">
        <f>IF(B1988&gt;0,IF('Deal maths'!C1988="Local authority","Local authorities",LOWER(TRIM('Deal maths'!B1988))),"")</f>
        <v/>
      </c>
      <c r="D1988" s="91">
        <f>IF(C1988="","",IF(COUNTIF($C$4:C1987,C1988)=0,SUMIF($C$4:$C$3997,C1988,$B$4:$B$3997)-ROW()/1000000,""))</f>
        <v/>
      </c>
      <c r="E1988" s="91">
        <f>IF(AND(N('Deal maths'!F1988)&gt;AsAt,N('Deal maths'!E1988)&lt;=AsAt,IF(N('Deal maths'!H1988)&gt;0,N('Deal maths'!H1988),N('Deal maths'!D1988))&gt;0),N('Deal maths'!F1988)+ROW()/1000000,"")</f>
        <v/>
      </c>
    </row>
    <row r="1989">
      <c r="A1989" s="91" t="n"/>
      <c r="B1989" s="111">
        <f>IF(AND(N('Deal maths'!F1989)&gt;AsAt,N('Deal maths'!E1989)&lt;=AsAt),IF(N('Deal maths'!H1989)&gt;0,N('Deal maths'!H1989),N('Deal maths'!D1989)),0)</f>
        <v/>
      </c>
      <c r="C1989" s="91">
        <f>IF(B1989&gt;0,IF('Deal maths'!C1989="Local authority","Local authorities",LOWER(TRIM('Deal maths'!B1989))),"")</f>
        <v/>
      </c>
      <c r="D1989" s="91">
        <f>IF(C1989="","",IF(COUNTIF($C$4:C1988,C1989)=0,SUMIF($C$4:$C$3997,C1989,$B$4:$B$3997)-ROW()/1000000,""))</f>
        <v/>
      </c>
      <c r="E1989" s="91">
        <f>IF(AND(N('Deal maths'!F1989)&gt;AsAt,N('Deal maths'!E1989)&lt;=AsAt,IF(N('Deal maths'!H1989)&gt;0,N('Deal maths'!H1989),N('Deal maths'!D1989))&gt;0),N('Deal maths'!F1989)+ROW()/1000000,"")</f>
        <v/>
      </c>
    </row>
    <row r="1990">
      <c r="A1990" s="91" t="n"/>
      <c r="B1990" s="111">
        <f>IF(AND(N('Deal maths'!F1990)&gt;AsAt,N('Deal maths'!E1990)&lt;=AsAt),IF(N('Deal maths'!H1990)&gt;0,N('Deal maths'!H1990),N('Deal maths'!D1990)),0)</f>
        <v/>
      </c>
      <c r="C1990" s="91">
        <f>IF(B1990&gt;0,IF('Deal maths'!C1990="Local authority","Local authorities",LOWER(TRIM('Deal maths'!B1990))),"")</f>
        <v/>
      </c>
      <c r="D1990" s="91">
        <f>IF(C1990="","",IF(COUNTIF($C$4:C1989,C1990)=0,SUMIF($C$4:$C$3997,C1990,$B$4:$B$3997)-ROW()/1000000,""))</f>
        <v/>
      </c>
      <c r="E1990" s="91">
        <f>IF(AND(N('Deal maths'!F1990)&gt;AsAt,N('Deal maths'!E1990)&lt;=AsAt,IF(N('Deal maths'!H1990)&gt;0,N('Deal maths'!H1990),N('Deal maths'!D1990))&gt;0),N('Deal maths'!F1990)+ROW()/1000000,"")</f>
        <v/>
      </c>
    </row>
    <row r="1991">
      <c r="A1991" s="91" t="n"/>
      <c r="B1991" s="111">
        <f>IF(AND(N('Deal maths'!F1991)&gt;AsAt,N('Deal maths'!E1991)&lt;=AsAt),IF(N('Deal maths'!H1991)&gt;0,N('Deal maths'!H1991),N('Deal maths'!D1991)),0)</f>
        <v/>
      </c>
      <c r="C1991" s="91">
        <f>IF(B1991&gt;0,IF('Deal maths'!C1991="Local authority","Local authorities",LOWER(TRIM('Deal maths'!B1991))),"")</f>
        <v/>
      </c>
      <c r="D1991" s="91">
        <f>IF(C1991="","",IF(COUNTIF($C$4:C1990,C1991)=0,SUMIF($C$4:$C$3997,C1991,$B$4:$B$3997)-ROW()/1000000,""))</f>
        <v/>
      </c>
      <c r="E1991" s="91">
        <f>IF(AND(N('Deal maths'!F1991)&gt;AsAt,N('Deal maths'!E1991)&lt;=AsAt,IF(N('Deal maths'!H1991)&gt;0,N('Deal maths'!H1991),N('Deal maths'!D1991))&gt;0),N('Deal maths'!F1991)+ROW()/1000000,"")</f>
        <v/>
      </c>
    </row>
    <row r="1992">
      <c r="A1992" s="91" t="n"/>
      <c r="B1992" s="111">
        <f>IF(AND(N('Deal maths'!F1992)&gt;AsAt,N('Deal maths'!E1992)&lt;=AsAt),IF(N('Deal maths'!H1992)&gt;0,N('Deal maths'!H1992),N('Deal maths'!D1992)),0)</f>
        <v/>
      </c>
      <c r="C1992" s="91">
        <f>IF(B1992&gt;0,IF('Deal maths'!C1992="Local authority","Local authorities",LOWER(TRIM('Deal maths'!B1992))),"")</f>
        <v/>
      </c>
      <c r="D1992" s="91">
        <f>IF(C1992="","",IF(COUNTIF($C$4:C1991,C1992)=0,SUMIF($C$4:$C$3997,C1992,$B$4:$B$3997)-ROW()/1000000,""))</f>
        <v/>
      </c>
      <c r="E1992" s="91">
        <f>IF(AND(N('Deal maths'!F1992)&gt;AsAt,N('Deal maths'!E1992)&lt;=AsAt,IF(N('Deal maths'!H1992)&gt;0,N('Deal maths'!H1992),N('Deal maths'!D1992))&gt;0),N('Deal maths'!F1992)+ROW()/1000000,"")</f>
        <v/>
      </c>
    </row>
    <row r="1993">
      <c r="A1993" s="91" t="n"/>
      <c r="B1993" s="111">
        <f>IF(AND(N('Deal maths'!F1993)&gt;AsAt,N('Deal maths'!E1993)&lt;=AsAt),IF(N('Deal maths'!H1993)&gt;0,N('Deal maths'!H1993),N('Deal maths'!D1993)),0)</f>
        <v/>
      </c>
      <c r="C1993" s="91">
        <f>IF(B1993&gt;0,IF('Deal maths'!C1993="Local authority","Local authorities",LOWER(TRIM('Deal maths'!B1993))),"")</f>
        <v/>
      </c>
      <c r="D1993" s="91">
        <f>IF(C1993="","",IF(COUNTIF($C$4:C1992,C1993)=0,SUMIF($C$4:$C$3997,C1993,$B$4:$B$3997)-ROW()/1000000,""))</f>
        <v/>
      </c>
      <c r="E1993" s="91">
        <f>IF(AND(N('Deal maths'!F1993)&gt;AsAt,N('Deal maths'!E1993)&lt;=AsAt,IF(N('Deal maths'!H1993)&gt;0,N('Deal maths'!H1993),N('Deal maths'!D1993))&gt;0),N('Deal maths'!F1993)+ROW()/1000000,"")</f>
        <v/>
      </c>
    </row>
    <row r="1994">
      <c r="A1994" s="91" t="n"/>
      <c r="B1994" s="111">
        <f>IF(AND(N('Deal maths'!F1994)&gt;AsAt,N('Deal maths'!E1994)&lt;=AsAt),IF(N('Deal maths'!H1994)&gt;0,N('Deal maths'!H1994),N('Deal maths'!D1994)),0)</f>
        <v/>
      </c>
      <c r="C1994" s="91">
        <f>IF(B1994&gt;0,IF('Deal maths'!C1994="Local authority","Local authorities",LOWER(TRIM('Deal maths'!B1994))),"")</f>
        <v/>
      </c>
      <c r="D1994" s="91">
        <f>IF(C1994="","",IF(COUNTIF($C$4:C1993,C1994)=0,SUMIF($C$4:$C$3997,C1994,$B$4:$B$3997)-ROW()/1000000,""))</f>
        <v/>
      </c>
      <c r="E1994" s="91">
        <f>IF(AND(N('Deal maths'!F1994)&gt;AsAt,N('Deal maths'!E1994)&lt;=AsAt,IF(N('Deal maths'!H1994)&gt;0,N('Deal maths'!H1994),N('Deal maths'!D1994))&gt;0),N('Deal maths'!F1994)+ROW()/1000000,"")</f>
        <v/>
      </c>
    </row>
    <row r="1995">
      <c r="A1995" s="91" t="n"/>
      <c r="B1995" s="111">
        <f>IF(AND(N('Deal maths'!F1995)&gt;AsAt,N('Deal maths'!E1995)&lt;=AsAt),IF(N('Deal maths'!H1995)&gt;0,N('Deal maths'!H1995),N('Deal maths'!D1995)),0)</f>
        <v/>
      </c>
      <c r="C1995" s="91">
        <f>IF(B1995&gt;0,IF('Deal maths'!C1995="Local authority","Local authorities",LOWER(TRIM('Deal maths'!B1995))),"")</f>
        <v/>
      </c>
      <c r="D1995" s="91">
        <f>IF(C1995="","",IF(COUNTIF($C$4:C1994,C1995)=0,SUMIF($C$4:$C$3997,C1995,$B$4:$B$3997)-ROW()/1000000,""))</f>
        <v/>
      </c>
      <c r="E1995" s="91">
        <f>IF(AND(N('Deal maths'!F1995)&gt;AsAt,N('Deal maths'!E1995)&lt;=AsAt,IF(N('Deal maths'!H1995)&gt;0,N('Deal maths'!H1995),N('Deal maths'!D1995))&gt;0),N('Deal maths'!F1995)+ROW()/1000000,"")</f>
        <v/>
      </c>
    </row>
    <row r="1996">
      <c r="A1996" s="91" t="n"/>
      <c r="B1996" s="111">
        <f>IF(AND(N('Deal maths'!F1996)&gt;AsAt,N('Deal maths'!E1996)&lt;=AsAt),IF(N('Deal maths'!H1996)&gt;0,N('Deal maths'!H1996),N('Deal maths'!D1996)),0)</f>
        <v/>
      </c>
      <c r="C1996" s="91">
        <f>IF(B1996&gt;0,IF('Deal maths'!C1996="Local authority","Local authorities",LOWER(TRIM('Deal maths'!B1996))),"")</f>
        <v/>
      </c>
      <c r="D1996" s="91">
        <f>IF(C1996="","",IF(COUNTIF($C$4:C1995,C1996)=0,SUMIF($C$4:$C$3997,C1996,$B$4:$B$3997)-ROW()/1000000,""))</f>
        <v/>
      </c>
      <c r="E1996" s="91">
        <f>IF(AND(N('Deal maths'!F1996)&gt;AsAt,N('Deal maths'!E1996)&lt;=AsAt,IF(N('Deal maths'!H1996)&gt;0,N('Deal maths'!H1996),N('Deal maths'!D1996))&gt;0),N('Deal maths'!F1996)+ROW()/1000000,"")</f>
        <v/>
      </c>
    </row>
    <row r="1997">
      <c r="A1997" s="91" t="n"/>
      <c r="B1997" s="111">
        <f>IF(AND(N('Deal maths'!F1997)&gt;AsAt,N('Deal maths'!E1997)&lt;=AsAt),IF(N('Deal maths'!H1997)&gt;0,N('Deal maths'!H1997),N('Deal maths'!D1997)),0)</f>
        <v/>
      </c>
      <c r="C1997" s="91">
        <f>IF(B1997&gt;0,IF('Deal maths'!C1997="Local authority","Local authorities",LOWER(TRIM('Deal maths'!B1997))),"")</f>
        <v/>
      </c>
      <c r="D1997" s="91">
        <f>IF(C1997="","",IF(COUNTIF($C$4:C1996,C1997)=0,SUMIF($C$4:$C$3997,C1997,$B$4:$B$3997)-ROW()/1000000,""))</f>
        <v/>
      </c>
      <c r="E1997" s="91">
        <f>IF(AND(N('Deal maths'!F1997)&gt;AsAt,N('Deal maths'!E1997)&lt;=AsAt,IF(N('Deal maths'!H1997)&gt;0,N('Deal maths'!H1997),N('Deal maths'!D1997))&gt;0),N('Deal maths'!F1997)+ROW()/1000000,"")</f>
        <v/>
      </c>
    </row>
    <row r="1998">
      <c r="A1998" s="91" t="n"/>
      <c r="B1998" s="111">
        <f>IF(AND(N('Deal maths'!F1998)&gt;AsAt,N('Deal maths'!E1998)&lt;=AsAt),IF(N('Deal maths'!H1998)&gt;0,N('Deal maths'!H1998),N('Deal maths'!D1998)),0)</f>
        <v/>
      </c>
      <c r="C1998" s="91">
        <f>IF(B1998&gt;0,IF('Deal maths'!C1998="Local authority","Local authorities",LOWER(TRIM('Deal maths'!B1998))),"")</f>
        <v/>
      </c>
      <c r="D1998" s="91">
        <f>IF(C1998="","",IF(COUNTIF($C$4:C1997,C1998)=0,SUMIF($C$4:$C$3997,C1998,$B$4:$B$3997)-ROW()/1000000,""))</f>
        <v/>
      </c>
      <c r="E1998" s="91">
        <f>IF(AND(N('Deal maths'!F1998)&gt;AsAt,N('Deal maths'!E1998)&lt;=AsAt,IF(N('Deal maths'!H1998)&gt;0,N('Deal maths'!H1998),N('Deal maths'!D1998))&gt;0),N('Deal maths'!F1998)+ROW()/1000000,"")</f>
        <v/>
      </c>
    </row>
    <row r="1999">
      <c r="A1999" s="91" t="n"/>
      <c r="B1999" s="111">
        <f>IF(AND(N('Deal maths'!F1999)&gt;AsAt,N('Deal maths'!E1999)&lt;=AsAt),IF(N('Deal maths'!H1999)&gt;0,N('Deal maths'!H1999),N('Deal maths'!D1999)),0)</f>
        <v/>
      </c>
      <c r="C1999" s="91">
        <f>IF(B1999&gt;0,IF('Deal maths'!C1999="Local authority","Local authorities",LOWER(TRIM('Deal maths'!B1999))),"")</f>
        <v/>
      </c>
      <c r="D1999" s="91">
        <f>IF(C1999="","",IF(COUNTIF($C$4:C1998,C1999)=0,SUMIF($C$4:$C$3997,C1999,$B$4:$B$3997)-ROW()/1000000,""))</f>
        <v/>
      </c>
      <c r="E1999" s="91">
        <f>IF(AND(N('Deal maths'!F1999)&gt;AsAt,N('Deal maths'!E1999)&lt;=AsAt,IF(N('Deal maths'!H1999)&gt;0,N('Deal maths'!H1999),N('Deal maths'!D1999))&gt;0),N('Deal maths'!F1999)+ROW()/1000000,"")</f>
        <v/>
      </c>
    </row>
    <row r="2000">
      <c r="A2000" s="91" t="n"/>
      <c r="B2000" s="111">
        <f>IF(AND(N('Deal maths'!F2000)&gt;AsAt,N('Deal maths'!E2000)&lt;=AsAt),IF(N('Deal maths'!H2000)&gt;0,N('Deal maths'!H2000),N('Deal maths'!D2000)),0)</f>
        <v/>
      </c>
      <c r="C2000" s="91">
        <f>IF(B2000&gt;0,IF('Deal maths'!C2000="Local authority","Local authorities",LOWER(TRIM('Deal maths'!B2000))),"")</f>
        <v/>
      </c>
      <c r="D2000" s="91">
        <f>IF(C2000="","",IF(COUNTIF($C$4:C1999,C2000)=0,SUMIF($C$4:$C$3997,C2000,$B$4:$B$3997)-ROW()/1000000,""))</f>
        <v/>
      </c>
      <c r="E2000" s="91">
        <f>IF(AND(N('Deal maths'!F2000)&gt;AsAt,N('Deal maths'!E2000)&lt;=AsAt,IF(N('Deal maths'!H2000)&gt;0,N('Deal maths'!H2000),N('Deal maths'!D2000))&gt;0),N('Deal maths'!F2000)+ROW()/1000000,"")</f>
        <v/>
      </c>
    </row>
    <row r="2001">
      <c r="A2001" s="91" t="inlineStr">
        <is>
          <t>Call accounts and MMFs, row 4</t>
        </is>
      </c>
      <c r="B2001" s="111">
        <f>MAX(0,N('Deal maths'!M4))</f>
        <v/>
      </c>
      <c r="C2001" s="91">
        <f>IF(B2001&gt;0,IF('Deal maths'!L4="Local authority","Local authorities",LOWER(TRIM('Deal maths'!K4))),"")</f>
        <v/>
      </c>
      <c r="D2001" s="91">
        <f>IF(C2001="","",IF(COUNTIF($C$4:C2000,C2001)=0,SUMIF($C$4:$C$3997,C2001,$B$4:$B$3997)-ROW()/1000000,""))</f>
        <v/>
      </c>
      <c r="E2001" s="91">
        <f>IF(N('Deal maths'!M4)&gt;0,ROW()/10000000,"")</f>
        <v/>
      </c>
    </row>
    <row r="2002">
      <c r="A2002" s="91" t="n"/>
      <c r="B2002" s="111">
        <f>MAX(0,N('Deal maths'!M5))</f>
        <v/>
      </c>
      <c r="C2002" s="91">
        <f>IF(B2002&gt;0,IF('Deal maths'!L5="Local authority","Local authorities",LOWER(TRIM('Deal maths'!K5))),"")</f>
        <v/>
      </c>
      <c r="D2002" s="91">
        <f>IF(C2002="","",IF(COUNTIF($C$4:C2001,C2002)=0,SUMIF($C$4:$C$3997,C2002,$B$4:$B$3997)-ROW()/1000000,""))</f>
        <v/>
      </c>
      <c r="E2002" s="91">
        <f>IF(N('Deal maths'!M5)&gt;0,ROW()/10000000,"")</f>
        <v/>
      </c>
    </row>
    <row r="2003">
      <c r="A2003" s="91" t="n"/>
      <c r="B2003" s="111">
        <f>MAX(0,N('Deal maths'!M6))</f>
        <v/>
      </c>
      <c r="C2003" s="91">
        <f>IF(B2003&gt;0,IF('Deal maths'!L6="Local authority","Local authorities",LOWER(TRIM('Deal maths'!K6))),"")</f>
        <v/>
      </c>
      <c r="D2003" s="91">
        <f>IF(C2003="","",IF(COUNTIF($C$4:C2002,C2003)=0,SUMIF($C$4:$C$3997,C2003,$B$4:$B$3997)-ROW()/1000000,""))</f>
        <v/>
      </c>
      <c r="E2003" s="91">
        <f>IF(N('Deal maths'!M6)&gt;0,ROW()/10000000,"")</f>
        <v/>
      </c>
    </row>
    <row r="2004">
      <c r="A2004" s="91" t="n"/>
      <c r="B2004" s="111">
        <f>MAX(0,N('Deal maths'!M7))</f>
        <v/>
      </c>
      <c r="C2004" s="91">
        <f>IF(B2004&gt;0,IF('Deal maths'!L7="Local authority","Local authorities",LOWER(TRIM('Deal maths'!K7))),"")</f>
        <v/>
      </c>
      <c r="D2004" s="91">
        <f>IF(C2004="","",IF(COUNTIF($C$4:C2003,C2004)=0,SUMIF($C$4:$C$3997,C2004,$B$4:$B$3997)-ROW()/1000000,""))</f>
        <v/>
      </c>
      <c r="E2004" s="91">
        <f>IF(N('Deal maths'!M7)&gt;0,ROW()/10000000,"")</f>
        <v/>
      </c>
    </row>
    <row r="2005">
      <c r="A2005" s="91" t="n"/>
      <c r="B2005" s="111">
        <f>MAX(0,N('Deal maths'!M8))</f>
        <v/>
      </c>
      <c r="C2005" s="91">
        <f>IF(B2005&gt;0,IF('Deal maths'!L8="Local authority","Local authorities",LOWER(TRIM('Deal maths'!K8))),"")</f>
        <v/>
      </c>
      <c r="D2005" s="91">
        <f>IF(C2005="","",IF(COUNTIF($C$4:C2004,C2005)=0,SUMIF($C$4:$C$3997,C2005,$B$4:$B$3997)-ROW()/1000000,""))</f>
        <v/>
      </c>
      <c r="E2005" s="91">
        <f>IF(N('Deal maths'!M8)&gt;0,ROW()/10000000,"")</f>
        <v/>
      </c>
    </row>
    <row r="2006">
      <c r="A2006" s="91" t="n"/>
      <c r="B2006" s="111">
        <f>MAX(0,N('Deal maths'!M9))</f>
        <v/>
      </c>
      <c r="C2006" s="91">
        <f>IF(B2006&gt;0,IF('Deal maths'!L9="Local authority","Local authorities",LOWER(TRIM('Deal maths'!K9))),"")</f>
        <v/>
      </c>
      <c r="D2006" s="91">
        <f>IF(C2006="","",IF(COUNTIF($C$4:C2005,C2006)=0,SUMIF($C$4:$C$3997,C2006,$B$4:$B$3997)-ROW()/1000000,""))</f>
        <v/>
      </c>
      <c r="E2006" s="91">
        <f>IF(N('Deal maths'!M9)&gt;0,ROW()/10000000,"")</f>
        <v/>
      </c>
    </row>
    <row r="2007">
      <c r="A2007" s="91" t="n"/>
      <c r="B2007" s="111">
        <f>MAX(0,N('Deal maths'!M10))</f>
        <v/>
      </c>
      <c r="C2007" s="91">
        <f>IF(B2007&gt;0,IF('Deal maths'!L10="Local authority","Local authorities",LOWER(TRIM('Deal maths'!K10))),"")</f>
        <v/>
      </c>
      <c r="D2007" s="91">
        <f>IF(C2007="","",IF(COUNTIF($C$4:C2006,C2007)=0,SUMIF($C$4:$C$3997,C2007,$B$4:$B$3997)-ROW()/1000000,""))</f>
        <v/>
      </c>
      <c r="E2007" s="91">
        <f>IF(N('Deal maths'!M10)&gt;0,ROW()/10000000,"")</f>
        <v/>
      </c>
    </row>
    <row r="2008">
      <c r="A2008" s="91" t="n"/>
      <c r="B2008" s="111">
        <f>MAX(0,N('Deal maths'!M11))</f>
        <v/>
      </c>
      <c r="C2008" s="91">
        <f>IF(B2008&gt;0,IF('Deal maths'!L11="Local authority","Local authorities",LOWER(TRIM('Deal maths'!K11))),"")</f>
        <v/>
      </c>
      <c r="D2008" s="91">
        <f>IF(C2008="","",IF(COUNTIF($C$4:C2007,C2008)=0,SUMIF($C$4:$C$3997,C2008,$B$4:$B$3997)-ROW()/1000000,""))</f>
        <v/>
      </c>
      <c r="E2008" s="91">
        <f>IF(N('Deal maths'!M11)&gt;0,ROW()/10000000,"")</f>
        <v/>
      </c>
    </row>
    <row r="2009">
      <c r="A2009" s="91" t="n"/>
      <c r="B2009" s="111">
        <f>MAX(0,N('Deal maths'!M12))</f>
        <v/>
      </c>
      <c r="C2009" s="91">
        <f>IF(B2009&gt;0,IF('Deal maths'!L12="Local authority","Local authorities",LOWER(TRIM('Deal maths'!K12))),"")</f>
        <v/>
      </c>
      <c r="D2009" s="91">
        <f>IF(C2009="","",IF(COUNTIF($C$4:C2008,C2009)=0,SUMIF($C$4:$C$3997,C2009,$B$4:$B$3997)-ROW()/1000000,""))</f>
        <v/>
      </c>
      <c r="E2009" s="91">
        <f>IF(N('Deal maths'!M12)&gt;0,ROW()/10000000,"")</f>
        <v/>
      </c>
    </row>
    <row r="2010">
      <c r="A2010" s="91" t="n"/>
      <c r="B2010" s="111">
        <f>MAX(0,N('Deal maths'!M13))</f>
        <v/>
      </c>
      <c r="C2010" s="91">
        <f>IF(B2010&gt;0,IF('Deal maths'!L13="Local authority","Local authorities",LOWER(TRIM('Deal maths'!K13))),"")</f>
        <v/>
      </c>
      <c r="D2010" s="91">
        <f>IF(C2010="","",IF(COUNTIF($C$4:C2009,C2010)=0,SUMIF($C$4:$C$3997,C2010,$B$4:$B$3997)-ROW()/1000000,""))</f>
        <v/>
      </c>
      <c r="E2010" s="91">
        <f>IF(N('Deal maths'!M13)&gt;0,ROW()/10000000,"")</f>
        <v/>
      </c>
    </row>
    <row r="2011">
      <c r="A2011" s="91" t="n"/>
      <c r="B2011" s="111">
        <f>MAX(0,N('Deal maths'!M14))</f>
        <v/>
      </c>
      <c r="C2011" s="91">
        <f>IF(B2011&gt;0,IF('Deal maths'!L14="Local authority","Local authorities",LOWER(TRIM('Deal maths'!K14))),"")</f>
        <v/>
      </c>
      <c r="D2011" s="91">
        <f>IF(C2011="","",IF(COUNTIF($C$4:C2010,C2011)=0,SUMIF($C$4:$C$3997,C2011,$B$4:$B$3997)-ROW()/1000000,""))</f>
        <v/>
      </c>
      <c r="E2011" s="91">
        <f>IF(N('Deal maths'!M14)&gt;0,ROW()/10000000,"")</f>
        <v/>
      </c>
    </row>
    <row r="2012">
      <c r="A2012" s="91" t="n"/>
      <c r="B2012" s="111">
        <f>MAX(0,N('Deal maths'!M15))</f>
        <v/>
      </c>
      <c r="C2012" s="91">
        <f>IF(B2012&gt;0,IF('Deal maths'!L15="Local authority","Local authorities",LOWER(TRIM('Deal maths'!K15))),"")</f>
        <v/>
      </c>
      <c r="D2012" s="91">
        <f>IF(C2012="","",IF(COUNTIF($C$4:C2011,C2012)=0,SUMIF($C$4:$C$3997,C2012,$B$4:$B$3997)-ROW()/1000000,""))</f>
        <v/>
      </c>
      <c r="E2012" s="91">
        <f>IF(N('Deal maths'!M15)&gt;0,ROW()/10000000,"")</f>
        <v/>
      </c>
    </row>
    <row r="2013">
      <c r="A2013" s="91" t="n"/>
      <c r="B2013" s="111">
        <f>MAX(0,N('Deal maths'!M16))</f>
        <v/>
      </c>
      <c r="C2013" s="91">
        <f>IF(B2013&gt;0,IF('Deal maths'!L16="Local authority","Local authorities",LOWER(TRIM('Deal maths'!K16))),"")</f>
        <v/>
      </c>
      <c r="D2013" s="91">
        <f>IF(C2013="","",IF(COUNTIF($C$4:C2012,C2013)=0,SUMIF($C$4:$C$3997,C2013,$B$4:$B$3997)-ROW()/1000000,""))</f>
        <v/>
      </c>
      <c r="E2013" s="91">
        <f>IF(N('Deal maths'!M16)&gt;0,ROW()/10000000,"")</f>
        <v/>
      </c>
    </row>
    <row r="2014">
      <c r="A2014" s="91" t="n"/>
      <c r="B2014" s="111">
        <f>MAX(0,N('Deal maths'!M17))</f>
        <v/>
      </c>
      <c r="C2014" s="91">
        <f>IF(B2014&gt;0,IF('Deal maths'!L17="Local authority","Local authorities",LOWER(TRIM('Deal maths'!K17))),"")</f>
        <v/>
      </c>
      <c r="D2014" s="91">
        <f>IF(C2014="","",IF(COUNTIF($C$4:C2013,C2014)=0,SUMIF($C$4:$C$3997,C2014,$B$4:$B$3997)-ROW()/1000000,""))</f>
        <v/>
      </c>
      <c r="E2014" s="91">
        <f>IF(N('Deal maths'!M17)&gt;0,ROW()/10000000,"")</f>
        <v/>
      </c>
    </row>
    <row r="2015">
      <c r="A2015" s="91" t="n"/>
      <c r="B2015" s="111">
        <f>MAX(0,N('Deal maths'!M18))</f>
        <v/>
      </c>
      <c r="C2015" s="91">
        <f>IF(B2015&gt;0,IF('Deal maths'!L18="Local authority","Local authorities",LOWER(TRIM('Deal maths'!K18))),"")</f>
        <v/>
      </c>
      <c r="D2015" s="91">
        <f>IF(C2015="","",IF(COUNTIF($C$4:C2014,C2015)=0,SUMIF($C$4:$C$3997,C2015,$B$4:$B$3997)-ROW()/1000000,""))</f>
        <v/>
      </c>
      <c r="E2015" s="91">
        <f>IF(N('Deal maths'!M18)&gt;0,ROW()/10000000,"")</f>
        <v/>
      </c>
    </row>
    <row r="2016">
      <c r="A2016" s="91" t="n"/>
      <c r="B2016" s="111">
        <f>MAX(0,N('Deal maths'!M19))</f>
        <v/>
      </c>
      <c r="C2016" s="91">
        <f>IF(B2016&gt;0,IF('Deal maths'!L19="Local authority","Local authorities",LOWER(TRIM('Deal maths'!K19))),"")</f>
        <v/>
      </c>
      <c r="D2016" s="91">
        <f>IF(C2016="","",IF(COUNTIF($C$4:C2015,C2016)=0,SUMIF($C$4:$C$3997,C2016,$B$4:$B$3997)-ROW()/1000000,""))</f>
        <v/>
      </c>
      <c r="E2016" s="91">
        <f>IF(N('Deal maths'!M19)&gt;0,ROW()/10000000,"")</f>
        <v/>
      </c>
    </row>
    <row r="2017">
      <c r="A2017" s="91" t="n"/>
      <c r="B2017" s="111">
        <f>MAX(0,N('Deal maths'!M20))</f>
        <v/>
      </c>
      <c r="C2017" s="91">
        <f>IF(B2017&gt;0,IF('Deal maths'!L20="Local authority","Local authorities",LOWER(TRIM('Deal maths'!K20))),"")</f>
        <v/>
      </c>
      <c r="D2017" s="91">
        <f>IF(C2017="","",IF(COUNTIF($C$4:C2016,C2017)=0,SUMIF($C$4:$C$3997,C2017,$B$4:$B$3997)-ROW()/1000000,""))</f>
        <v/>
      </c>
      <c r="E2017" s="91">
        <f>IF(N('Deal maths'!M20)&gt;0,ROW()/10000000,"")</f>
        <v/>
      </c>
    </row>
    <row r="2018">
      <c r="A2018" s="91" t="n"/>
      <c r="B2018" s="111">
        <f>MAX(0,N('Deal maths'!M21))</f>
        <v/>
      </c>
      <c r="C2018" s="91">
        <f>IF(B2018&gt;0,IF('Deal maths'!L21="Local authority","Local authorities",LOWER(TRIM('Deal maths'!K21))),"")</f>
        <v/>
      </c>
      <c r="D2018" s="91">
        <f>IF(C2018="","",IF(COUNTIF($C$4:C2017,C2018)=0,SUMIF($C$4:$C$3997,C2018,$B$4:$B$3997)-ROW()/1000000,""))</f>
        <v/>
      </c>
      <c r="E2018" s="91">
        <f>IF(N('Deal maths'!M21)&gt;0,ROW()/10000000,"")</f>
        <v/>
      </c>
    </row>
    <row r="2019">
      <c r="A2019" s="91" t="n"/>
      <c r="B2019" s="111">
        <f>MAX(0,N('Deal maths'!M22))</f>
        <v/>
      </c>
      <c r="C2019" s="91">
        <f>IF(B2019&gt;0,IF('Deal maths'!L22="Local authority","Local authorities",LOWER(TRIM('Deal maths'!K22))),"")</f>
        <v/>
      </c>
      <c r="D2019" s="91">
        <f>IF(C2019="","",IF(COUNTIF($C$4:C2018,C2019)=0,SUMIF($C$4:$C$3997,C2019,$B$4:$B$3997)-ROW()/1000000,""))</f>
        <v/>
      </c>
      <c r="E2019" s="91">
        <f>IF(N('Deal maths'!M22)&gt;0,ROW()/10000000,"")</f>
        <v/>
      </c>
    </row>
    <row r="2020">
      <c r="A2020" s="91" t="n"/>
      <c r="B2020" s="111">
        <f>MAX(0,N('Deal maths'!M23))</f>
        <v/>
      </c>
      <c r="C2020" s="91">
        <f>IF(B2020&gt;0,IF('Deal maths'!L23="Local authority","Local authorities",LOWER(TRIM('Deal maths'!K23))),"")</f>
        <v/>
      </c>
      <c r="D2020" s="91">
        <f>IF(C2020="","",IF(COUNTIF($C$4:C2019,C2020)=0,SUMIF($C$4:$C$3997,C2020,$B$4:$B$3997)-ROW()/1000000,""))</f>
        <v/>
      </c>
      <c r="E2020" s="91">
        <f>IF(N('Deal maths'!M23)&gt;0,ROW()/10000000,"")</f>
        <v/>
      </c>
    </row>
    <row r="2021">
      <c r="A2021" s="91" t="n"/>
      <c r="B2021" s="111">
        <f>MAX(0,N('Deal maths'!M24))</f>
        <v/>
      </c>
      <c r="C2021" s="91">
        <f>IF(B2021&gt;0,IF('Deal maths'!L24="Local authority","Local authorities",LOWER(TRIM('Deal maths'!K24))),"")</f>
        <v/>
      </c>
      <c r="D2021" s="91">
        <f>IF(C2021="","",IF(COUNTIF($C$4:C2020,C2021)=0,SUMIF($C$4:$C$3997,C2021,$B$4:$B$3997)-ROW()/1000000,""))</f>
        <v/>
      </c>
      <c r="E2021" s="91">
        <f>IF(N('Deal maths'!M24)&gt;0,ROW()/10000000,"")</f>
        <v/>
      </c>
    </row>
    <row r="2022">
      <c r="A2022" s="91" t="n"/>
      <c r="B2022" s="111">
        <f>MAX(0,N('Deal maths'!M25))</f>
        <v/>
      </c>
      <c r="C2022" s="91">
        <f>IF(B2022&gt;0,IF('Deal maths'!L25="Local authority","Local authorities",LOWER(TRIM('Deal maths'!K25))),"")</f>
        <v/>
      </c>
      <c r="D2022" s="91">
        <f>IF(C2022="","",IF(COUNTIF($C$4:C2021,C2022)=0,SUMIF($C$4:$C$3997,C2022,$B$4:$B$3997)-ROW()/1000000,""))</f>
        <v/>
      </c>
      <c r="E2022" s="91">
        <f>IF(N('Deal maths'!M25)&gt;0,ROW()/10000000,"")</f>
        <v/>
      </c>
    </row>
    <row r="2023">
      <c r="A2023" s="91" t="n"/>
      <c r="B2023" s="111">
        <f>MAX(0,N('Deal maths'!M26))</f>
        <v/>
      </c>
      <c r="C2023" s="91">
        <f>IF(B2023&gt;0,IF('Deal maths'!L26="Local authority","Local authorities",LOWER(TRIM('Deal maths'!K26))),"")</f>
        <v/>
      </c>
      <c r="D2023" s="91">
        <f>IF(C2023="","",IF(COUNTIF($C$4:C2022,C2023)=0,SUMIF($C$4:$C$3997,C2023,$B$4:$B$3997)-ROW()/1000000,""))</f>
        <v/>
      </c>
      <c r="E2023" s="91">
        <f>IF(N('Deal maths'!M26)&gt;0,ROW()/10000000,"")</f>
        <v/>
      </c>
    </row>
    <row r="2024">
      <c r="A2024" s="91" t="n"/>
      <c r="B2024" s="111">
        <f>MAX(0,N('Deal maths'!M27))</f>
        <v/>
      </c>
      <c r="C2024" s="91">
        <f>IF(B2024&gt;0,IF('Deal maths'!L27="Local authority","Local authorities",LOWER(TRIM('Deal maths'!K27))),"")</f>
        <v/>
      </c>
      <c r="D2024" s="91">
        <f>IF(C2024="","",IF(COUNTIF($C$4:C2023,C2024)=0,SUMIF($C$4:$C$3997,C2024,$B$4:$B$3997)-ROW()/1000000,""))</f>
        <v/>
      </c>
      <c r="E2024" s="91">
        <f>IF(N('Deal maths'!M27)&gt;0,ROW()/10000000,"")</f>
        <v/>
      </c>
    </row>
    <row r="2025">
      <c r="A2025" s="91" t="n"/>
      <c r="B2025" s="111">
        <f>MAX(0,N('Deal maths'!M28))</f>
        <v/>
      </c>
      <c r="C2025" s="91">
        <f>IF(B2025&gt;0,IF('Deal maths'!L28="Local authority","Local authorities",LOWER(TRIM('Deal maths'!K28))),"")</f>
        <v/>
      </c>
      <c r="D2025" s="91">
        <f>IF(C2025="","",IF(COUNTIF($C$4:C2024,C2025)=0,SUMIF($C$4:$C$3997,C2025,$B$4:$B$3997)-ROW()/1000000,""))</f>
        <v/>
      </c>
      <c r="E2025" s="91">
        <f>IF(N('Deal maths'!M28)&gt;0,ROW()/10000000,"")</f>
        <v/>
      </c>
    </row>
    <row r="2026">
      <c r="A2026" s="91" t="n"/>
      <c r="B2026" s="111">
        <f>MAX(0,N('Deal maths'!M29))</f>
        <v/>
      </c>
      <c r="C2026" s="91">
        <f>IF(B2026&gt;0,IF('Deal maths'!L29="Local authority","Local authorities",LOWER(TRIM('Deal maths'!K29))),"")</f>
        <v/>
      </c>
      <c r="D2026" s="91">
        <f>IF(C2026="","",IF(COUNTIF($C$4:C2025,C2026)=0,SUMIF($C$4:$C$3997,C2026,$B$4:$B$3997)-ROW()/1000000,""))</f>
        <v/>
      </c>
      <c r="E2026" s="91">
        <f>IF(N('Deal maths'!M29)&gt;0,ROW()/10000000,"")</f>
        <v/>
      </c>
    </row>
    <row r="2027">
      <c r="A2027" s="91" t="n"/>
      <c r="B2027" s="111">
        <f>MAX(0,N('Deal maths'!M30))</f>
        <v/>
      </c>
      <c r="C2027" s="91">
        <f>IF(B2027&gt;0,IF('Deal maths'!L30="Local authority","Local authorities",LOWER(TRIM('Deal maths'!K30))),"")</f>
        <v/>
      </c>
      <c r="D2027" s="91">
        <f>IF(C2027="","",IF(COUNTIF($C$4:C2026,C2027)=0,SUMIF($C$4:$C$3997,C2027,$B$4:$B$3997)-ROW()/1000000,""))</f>
        <v/>
      </c>
      <c r="E2027" s="91">
        <f>IF(N('Deal maths'!M30)&gt;0,ROW()/10000000,"")</f>
        <v/>
      </c>
    </row>
    <row r="2028">
      <c r="A2028" s="91" t="n"/>
      <c r="B2028" s="111">
        <f>MAX(0,N('Deal maths'!M31))</f>
        <v/>
      </c>
      <c r="C2028" s="91">
        <f>IF(B2028&gt;0,IF('Deal maths'!L31="Local authority","Local authorities",LOWER(TRIM('Deal maths'!K31))),"")</f>
        <v/>
      </c>
      <c r="D2028" s="91">
        <f>IF(C2028="","",IF(COUNTIF($C$4:C2027,C2028)=0,SUMIF($C$4:$C$3997,C2028,$B$4:$B$3997)-ROW()/1000000,""))</f>
        <v/>
      </c>
      <c r="E2028" s="91">
        <f>IF(N('Deal maths'!M31)&gt;0,ROW()/10000000,"")</f>
        <v/>
      </c>
    </row>
    <row r="2029">
      <c r="A2029" s="91" t="n"/>
      <c r="B2029" s="111">
        <f>MAX(0,N('Deal maths'!M32))</f>
        <v/>
      </c>
      <c r="C2029" s="91">
        <f>IF(B2029&gt;0,IF('Deal maths'!L32="Local authority","Local authorities",LOWER(TRIM('Deal maths'!K32))),"")</f>
        <v/>
      </c>
      <c r="D2029" s="91">
        <f>IF(C2029="","",IF(COUNTIF($C$4:C2028,C2029)=0,SUMIF($C$4:$C$3997,C2029,$B$4:$B$3997)-ROW()/1000000,""))</f>
        <v/>
      </c>
      <c r="E2029" s="91">
        <f>IF(N('Deal maths'!M32)&gt;0,ROW()/10000000,"")</f>
        <v/>
      </c>
    </row>
    <row r="2030">
      <c r="A2030" s="91" t="n"/>
      <c r="B2030" s="111">
        <f>MAX(0,N('Deal maths'!M33))</f>
        <v/>
      </c>
      <c r="C2030" s="91">
        <f>IF(B2030&gt;0,IF('Deal maths'!L33="Local authority","Local authorities",LOWER(TRIM('Deal maths'!K33))),"")</f>
        <v/>
      </c>
      <c r="D2030" s="91">
        <f>IF(C2030="","",IF(COUNTIF($C$4:C2029,C2030)=0,SUMIF($C$4:$C$3997,C2030,$B$4:$B$3997)-ROW()/1000000,""))</f>
        <v/>
      </c>
      <c r="E2030" s="91">
        <f>IF(N('Deal maths'!M33)&gt;0,ROW()/10000000,"")</f>
        <v/>
      </c>
    </row>
    <row r="2031">
      <c r="A2031" s="91" t="n"/>
      <c r="B2031" s="111">
        <f>MAX(0,N('Deal maths'!M34))</f>
        <v/>
      </c>
      <c r="C2031" s="91">
        <f>IF(B2031&gt;0,IF('Deal maths'!L34="Local authority","Local authorities",LOWER(TRIM('Deal maths'!K34))),"")</f>
        <v/>
      </c>
      <c r="D2031" s="91">
        <f>IF(C2031="","",IF(COUNTIF($C$4:C2030,C2031)=0,SUMIF($C$4:$C$3997,C2031,$B$4:$B$3997)-ROW()/1000000,""))</f>
        <v/>
      </c>
      <c r="E2031" s="91">
        <f>IF(N('Deal maths'!M34)&gt;0,ROW()/10000000,"")</f>
        <v/>
      </c>
    </row>
    <row r="2032">
      <c r="A2032" s="91" t="n"/>
      <c r="B2032" s="111">
        <f>MAX(0,N('Deal maths'!M35))</f>
        <v/>
      </c>
      <c r="C2032" s="91">
        <f>IF(B2032&gt;0,IF('Deal maths'!L35="Local authority","Local authorities",LOWER(TRIM('Deal maths'!K35))),"")</f>
        <v/>
      </c>
      <c r="D2032" s="91">
        <f>IF(C2032="","",IF(COUNTIF($C$4:C2031,C2032)=0,SUMIF($C$4:$C$3997,C2032,$B$4:$B$3997)-ROW()/1000000,""))</f>
        <v/>
      </c>
      <c r="E2032" s="91">
        <f>IF(N('Deal maths'!M35)&gt;0,ROW()/10000000,"")</f>
        <v/>
      </c>
    </row>
    <row r="2033">
      <c r="A2033" s="91" t="n"/>
      <c r="B2033" s="111">
        <f>MAX(0,N('Deal maths'!M36))</f>
        <v/>
      </c>
      <c r="C2033" s="91">
        <f>IF(B2033&gt;0,IF('Deal maths'!L36="Local authority","Local authorities",LOWER(TRIM('Deal maths'!K36))),"")</f>
        <v/>
      </c>
      <c r="D2033" s="91">
        <f>IF(C2033="","",IF(COUNTIF($C$4:C2032,C2033)=0,SUMIF($C$4:$C$3997,C2033,$B$4:$B$3997)-ROW()/1000000,""))</f>
        <v/>
      </c>
      <c r="E2033" s="91">
        <f>IF(N('Deal maths'!M36)&gt;0,ROW()/10000000,"")</f>
        <v/>
      </c>
    </row>
    <row r="2034">
      <c r="A2034" s="91" t="n"/>
      <c r="B2034" s="111">
        <f>MAX(0,N('Deal maths'!M37))</f>
        <v/>
      </c>
      <c r="C2034" s="91">
        <f>IF(B2034&gt;0,IF('Deal maths'!L37="Local authority","Local authorities",LOWER(TRIM('Deal maths'!K37))),"")</f>
        <v/>
      </c>
      <c r="D2034" s="91">
        <f>IF(C2034="","",IF(COUNTIF($C$4:C2033,C2034)=0,SUMIF($C$4:$C$3997,C2034,$B$4:$B$3997)-ROW()/1000000,""))</f>
        <v/>
      </c>
      <c r="E2034" s="91">
        <f>IF(N('Deal maths'!M37)&gt;0,ROW()/10000000,"")</f>
        <v/>
      </c>
    </row>
    <row r="2035">
      <c r="A2035" s="91" t="n"/>
      <c r="B2035" s="111">
        <f>MAX(0,N('Deal maths'!M38))</f>
        <v/>
      </c>
      <c r="C2035" s="91">
        <f>IF(B2035&gt;0,IF('Deal maths'!L38="Local authority","Local authorities",LOWER(TRIM('Deal maths'!K38))),"")</f>
        <v/>
      </c>
      <c r="D2035" s="91">
        <f>IF(C2035="","",IF(COUNTIF($C$4:C2034,C2035)=0,SUMIF($C$4:$C$3997,C2035,$B$4:$B$3997)-ROW()/1000000,""))</f>
        <v/>
      </c>
      <c r="E2035" s="91">
        <f>IF(N('Deal maths'!M38)&gt;0,ROW()/10000000,"")</f>
        <v/>
      </c>
    </row>
    <row r="2036">
      <c r="A2036" s="91" t="n"/>
      <c r="B2036" s="111">
        <f>MAX(0,N('Deal maths'!M39))</f>
        <v/>
      </c>
      <c r="C2036" s="91">
        <f>IF(B2036&gt;0,IF('Deal maths'!L39="Local authority","Local authorities",LOWER(TRIM('Deal maths'!K39))),"")</f>
        <v/>
      </c>
      <c r="D2036" s="91">
        <f>IF(C2036="","",IF(COUNTIF($C$4:C2035,C2036)=0,SUMIF($C$4:$C$3997,C2036,$B$4:$B$3997)-ROW()/1000000,""))</f>
        <v/>
      </c>
      <c r="E2036" s="91">
        <f>IF(N('Deal maths'!M39)&gt;0,ROW()/10000000,"")</f>
        <v/>
      </c>
    </row>
    <row r="2037">
      <c r="A2037" s="91" t="n"/>
      <c r="B2037" s="111">
        <f>MAX(0,N('Deal maths'!M40))</f>
        <v/>
      </c>
      <c r="C2037" s="91">
        <f>IF(B2037&gt;0,IF('Deal maths'!L40="Local authority","Local authorities",LOWER(TRIM('Deal maths'!K40))),"")</f>
        <v/>
      </c>
      <c r="D2037" s="91">
        <f>IF(C2037="","",IF(COUNTIF($C$4:C2036,C2037)=0,SUMIF($C$4:$C$3997,C2037,$B$4:$B$3997)-ROW()/1000000,""))</f>
        <v/>
      </c>
      <c r="E2037" s="91">
        <f>IF(N('Deal maths'!M40)&gt;0,ROW()/10000000,"")</f>
        <v/>
      </c>
    </row>
    <row r="2038">
      <c r="A2038" s="91" t="n"/>
      <c r="B2038" s="111">
        <f>MAX(0,N('Deal maths'!M41))</f>
        <v/>
      </c>
      <c r="C2038" s="91">
        <f>IF(B2038&gt;0,IF('Deal maths'!L41="Local authority","Local authorities",LOWER(TRIM('Deal maths'!K41))),"")</f>
        <v/>
      </c>
      <c r="D2038" s="91">
        <f>IF(C2038="","",IF(COUNTIF($C$4:C2037,C2038)=0,SUMIF($C$4:$C$3997,C2038,$B$4:$B$3997)-ROW()/1000000,""))</f>
        <v/>
      </c>
      <c r="E2038" s="91">
        <f>IF(N('Deal maths'!M41)&gt;0,ROW()/10000000,"")</f>
        <v/>
      </c>
    </row>
    <row r="2039">
      <c r="A2039" s="91" t="n"/>
      <c r="B2039" s="111">
        <f>MAX(0,N('Deal maths'!M42))</f>
        <v/>
      </c>
      <c r="C2039" s="91">
        <f>IF(B2039&gt;0,IF('Deal maths'!L42="Local authority","Local authorities",LOWER(TRIM('Deal maths'!K42))),"")</f>
        <v/>
      </c>
      <c r="D2039" s="91">
        <f>IF(C2039="","",IF(COUNTIF($C$4:C2038,C2039)=0,SUMIF($C$4:$C$3997,C2039,$B$4:$B$3997)-ROW()/1000000,""))</f>
        <v/>
      </c>
      <c r="E2039" s="91">
        <f>IF(N('Deal maths'!M42)&gt;0,ROW()/10000000,"")</f>
        <v/>
      </c>
    </row>
    <row r="2040">
      <c r="A2040" s="91" t="n"/>
      <c r="B2040" s="111">
        <f>MAX(0,N('Deal maths'!M43))</f>
        <v/>
      </c>
      <c r="C2040" s="91">
        <f>IF(B2040&gt;0,IF('Deal maths'!L43="Local authority","Local authorities",LOWER(TRIM('Deal maths'!K43))),"")</f>
        <v/>
      </c>
      <c r="D2040" s="91">
        <f>IF(C2040="","",IF(COUNTIF($C$4:C2039,C2040)=0,SUMIF($C$4:$C$3997,C2040,$B$4:$B$3997)-ROW()/1000000,""))</f>
        <v/>
      </c>
      <c r="E2040" s="91">
        <f>IF(N('Deal maths'!M43)&gt;0,ROW()/10000000,"")</f>
        <v/>
      </c>
    </row>
    <row r="2041">
      <c r="A2041" s="91" t="n"/>
      <c r="B2041" s="111">
        <f>MAX(0,N('Deal maths'!M44))</f>
        <v/>
      </c>
      <c r="C2041" s="91">
        <f>IF(B2041&gt;0,IF('Deal maths'!L44="Local authority","Local authorities",LOWER(TRIM('Deal maths'!K44))),"")</f>
        <v/>
      </c>
      <c r="D2041" s="91">
        <f>IF(C2041="","",IF(COUNTIF($C$4:C2040,C2041)=0,SUMIF($C$4:$C$3997,C2041,$B$4:$B$3997)-ROW()/1000000,""))</f>
        <v/>
      </c>
      <c r="E2041" s="91">
        <f>IF(N('Deal maths'!M44)&gt;0,ROW()/10000000,"")</f>
        <v/>
      </c>
    </row>
    <row r="2042">
      <c r="A2042" s="91" t="n"/>
      <c r="B2042" s="111">
        <f>MAX(0,N('Deal maths'!M45))</f>
        <v/>
      </c>
      <c r="C2042" s="91">
        <f>IF(B2042&gt;0,IF('Deal maths'!L45="Local authority","Local authorities",LOWER(TRIM('Deal maths'!K45))),"")</f>
        <v/>
      </c>
      <c r="D2042" s="91">
        <f>IF(C2042="","",IF(COUNTIF($C$4:C2041,C2042)=0,SUMIF($C$4:$C$3997,C2042,$B$4:$B$3997)-ROW()/1000000,""))</f>
        <v/>
      </c>
      <c r="E2042" s="91">
        <f>IF(N('Deal maths'!M45)&gt;0,ROW()/10000000,"")</f>
        <v/>
      </c>
    </row>
    <row r="2043">
      <c r="A2043" s="91" t="n"/>
      <c r="B2043" s="111">
        <f>MAX(0,N('Deal maths'!M46))</f>
        <v/>
      </c>
      <c r="C2043" s="91">
        <f>IF(B2043&gt;0,IF('Deal maths'!L46="Local authority","Local authorities",LOWER(TRIM('Deal maths'!K46))),"")</f>
        <v/>
      </c>
      <c r="D2043" s="91">
        <f>IF(C2043="","",IF(COUNTIF($C$4:C2042,C2043)=0,SUMIF($C$4:$C$3997,C2043,$B$4:$B$3997)-ROW()/1000000,""))</f>
        <v/>
      </c>
      <c r="E2043" s="91">
        <f>IF(N('Deal maths'!M46)&gt;0,ROW()/10000000,"")</f>
        <v/>
      </c>
    </row>
    <row r="2044">
      <c r="A2044" s="91" t="n"/>
      <c r="B2044" s="111">
        <f>MAX(0,N('Deal maths'!M47))</f>
        <v/>
      </c>
      <c r="C2044" s="91">
        <f>IF(B2044&gt;0,IF('Deal maths'!L47="Local authority","Local authorities",LOWER(TRIM('Deal maths'!K47))),"")</f>
        <v/>
      </c>
      <c r="D2044" s="91">
        <f>IF(C2044="","",IF(COUNTIF($C$4:C2043,C2044)=0,SUMIF($C$4:$C$3997,C2044,$B$4:$B$3997)-ROW()/1000000,""))</f>
        <v/>
      </c>
      <c r="E2044" s="91">
        <f>IF(N('Deal maths'!M47)&gt;0,ROW()/10000000,"")</f>
        <v/>
      </c>
    </row>
    <row r="2045">
      <c r="A2045" s="91" t="n"/>
      <c r="B2045" s="111">
        <f>MAX(0,N('Deal maths'!M48))</f>
        <v/>
      </c>
      <c r="C2045" s="91">
        <f>IF(B2045&gt;0,IF('Deal maths'!L48="Local authority","Local authorities",LOWER(TRIM('Deal maths'!K48))),"")</f>
        <v/>
      </c>
      <c r="D2045" s="91">
        <f>IF(C2045="","",IF(COUNTIF($C$4:C2044,C2045)=0,SUMIF($C$4:$C$3997,C2045,$B$4:$B$3997)-ROW()/1000000,""))</f>
        <v/>
      </c>
      <c r="E2045" s="91">
        <f>IF(N('Deal maths'!M48)&gt;0,ROW()/10000000,"")</f>
        <v/>
      </c>
    </row>
    <row r="2046">
      <c r="A2046" s="91" t="n"/>
      <c r="B2046" s="111">
        <f>MAX(0,N('Deal maths'!M49))</f>
        <v/>
      </c>
      <c r="C2046" s="91">
        <f>IF(B2046&gt;0,IF('Deal maths'!L49="Local authority","Local authorities",LOWER(TRIM('Deal maths'!K49))),"")</f>
        <v/>
      </c>
      <c r="D2046" s="91">
        <f>IF(C2046="","",IF(COUNTIF($C$4:C2045,C2046)=0,SUMIF($C$4:$C$3997,C2046,$B$4:$B$3997)-ROW()/1000000,""))</f>
        <v/>
      </c>
      <c r="E2046" s="91">
        <f>IF(N('Deal maths'!M49)&gt;0,ROW()/10000000,"")</f>
        <v/>
      </c>
    </row>
    <row r="2047">
      <c r="A2047" s="91" t="n"/>
      <c r="B2047" s="111">
        <f>MAX(0,N('Deal maths'!M50))</f>
        <v/>
      </c>
      <c r="C2047" s="91">
        <f>IF(B2047&gt;0,IF('Deal maths'!L50="Local authority","Local authorities",LOWER(TRIM('Deal maths'!K50))),"")</f>
        <v/>
      </c>
      <c r="D2047" s="91">
        <f>IF(C2047="","",IF(COUNTIF($C$4:C2046,C2047)=0,SUMIF($C$4:$C$3997,C2047,$B$4:$B$3997)-ROW()/1000000,""))</f>
        <v/>
      </c>
      <c r="E2047" s="91">
        <f>IF(N('Deal maths'!M50)&gt;0,ROW()/10000000,"")</f>
        <v/>
      </c>
    </row>
    <row r="2048">
      <c r="A2048" s="91" t="n"/>
      <c r="B2048" s="111">
        <f>MAX(0,N('Deal maths'!M51))</f>
        <v/>
      </c>
      <c r="C2048" s="91">
        <f>IF(B2048&gt;0,IF('Deal maths'!L51="Local authority","Local authorities",LOWER(TRIM('Deal maths'!K51))),"")</f>
        <v/>
      </c>
      <c r="D2048" s="91">
        <f>IF(C2048="","",IF(COUNTIF($C$4:C2047,C2048)=0,SUMIF($C$4:$C$3997,C2048,$B$4:$B$3997)-ROW()/1000000,""))</f>
        <v/>
      </c>
      <c r="E2048" s="91">
        <f>IF(N('Deal maths'!M51)&gt;0,ROW()/10000000,"")</f>
        <v/>
      </c>
    </row>
    <row r="2049">
      <c r="A2049" s="91" t="n"/>
      <c r="B2049" s="111">
        <f>MAX(0,N('Deal maths'!M52))</f>
        <v/>
      </c>
      <c r="C2049" s="91">
        <f>IF(B2049&gt;0,IF('Deal maths'!L52="Local authority","Local authorities",LOWER(TRIM('Deal maths'!K52))),"")</f>
        <v/>
      </c>
      <c r="D2049" s="91">
        <f>IF(C2049="","",IF(COUNTIF($C$4:C2048,C2049)=0,SUMIF($C$4:$C$3997,C2049,$B$4:$B$3997)-ROW()/1000000,""))</f>
        <v/>
      </c>
      <c r="E2049" s="91">
        <f>IF(N('Deal maths'!M52)&gt;0,ROW()/10000000,"")</f>
        <v/>
      </c>
    </row>
    <row r="2050">
      <c r="A2050" s="91" t="n"/>
      <c r="B2050" s="111">
        <f>MAX(0,N('Deal maths'!M53))</f>
        <v/>
      </c>
      <c r="C2050" s="91">
        <f>IF(B2050&gt;0,IF('Deal maths'!L53="Local authority","Local authorities",LOWER(TRIM('Deal maths'!K53))),"")</f>
        <v/>
      </c>
      <c r="D2050" s="91">
        <f>IF(C2050="","",IF(COUNTIF($C$4:C2049,C2050)=0,SUMIF($C$4:$C$3997,C2050,$B$4:$B$3997)-ROW()/1000000,""))</f>
        <v/>
      </c>
      <c r="E2050" s="91">
        <f>IF(N('Deal maths'!M53)&gt;0,ROW()/10000000,"")</f>
        <v/>
      </c>
    </row>
    <row r="2051">
      <c r="A2051" s="91" t="n"/>
      <c r="B2051" s="111">
        <f>MAX(0,N('Deal maths'!M54))</f>
        <v/>
      </c>
      <c r="C2051" s="91">
        <f>IF(B2051&gt;0,IF('Deal maths'!L54="Local authority","Local authorities",LOWER(TRIM('Deal maths'!K54))),"")</f>
        <v/>
      </c>
      <c r="D2051" s="91">
        <f>IF(C2051="","",IF(COUNTIF($C$4:C2050,C2051)=0,SUMIF($C$4:$C$3997,C2051,$B$4:$B$3997)-ROW()/1000000,""))</f>
        <v/>
      </c>
      <c r="E2051" s="91">
        <f>IF(N('Deal maths'!M54)&gt;0,ROW()/10000000,"")</f>
        <v/>
      </c>
    </row>
    <row r="2052">
      <c r="A2052" s="91" t="n"/>
      <c r="B2052" s="111">
        <f>MAX(0,N('Deal maths'!M55))</f>
        <v/>
      </c>
      <c r="C2052" s="91">
        <f>IF(B2052&gt;0,IF('Deal maths'!L55="Local authority","Local authorities",LOWER(TRIM('Deal maths'!K55))),"")</f>
        <v/>
      </c>
      <c r="D2052" s="91">
        <f>IF(C2052="","",IF(COUNTIF($C$4:C2051,C2052)=0,SUMIF($C$4:$C$3997,C2052,$B$4:$B$3997)-ROW()/1000000,""))</f>
        <v/>
      </c>
      <c r="E2052" s="91">
        <f>IF(N('Deal maths'!M55)&gt;0,ROW()/10000000,"")</f>
        <v/>
      </c>
    </row>
    <row r="2053">
      <c r="A2053" s="91" t="n"/>
      <c r="B2053" s="111">
        <f>MAX(0,N('Deal maths'!M56))</f>
        <v/>
      </c>
      <c r="C2053" s="91">
        <f>IF(B2053&gt;0,IF('Deal maths'!L56="Local authority","Local authorities",LOWER(TRIM('Deal maths'!K56))),"")</f>
        <v/>
      </c>
      <c r="D2053" s="91">
        <f>IF(C2053="","",IF(COUNTIF($C$4:C2052,C2053)=0,SUMIF($C$4:$C$3997,C2053,$B$4:$B$3997)-ROW()/1000000,""))</f>
        <v/>
      </c>
      <c r="E2053" s="91">
        <f>IF(N('Deal maths'!M56)&gt;0,ROW()/10000000,"")</f>
        <v/>
      </c>
    </row>
    <row r="2054">
      <c r="A2054" s="91" t="n"/>
      <c r="B2054" s="111">
        <f>MAX(0,N('Deal maths'!M57))</f>
        <v/>
      </c>
      <c r="C2054" s="91">
        <f>IF(B2054&gt;0,IF('Deal maths'!L57="Local authority","Local authorities",LOWER(TRIM('Deal maths'!K57))),"")</f>
        <v/>
      </c>
      <c r="D2054" s="91">
        <f>IF(C2054="","",IF(COUNTIF($C$4:C2053,C2054)=0,SUMIF($C$4:$C$3997,C2054,$B$4:$B$3997)-ROW()/1000000,""))</f>
        <v/>
      </c>
      <c r="E2054" s="91">
        <f>IF(N('Deal maths'!M57)&gt;0,ROW()/10000000,"")</f>
        <v/>
      </c>
    </row>
    <row r="2055">
      <c r="A2055" s="91" t="n"/>
      <c r="B2055" s="111">
        <f>MAX(0,N('Deal maths'!M58))</f>
        <v/>
      </c>
      <c r="C2055" s="91">
        <f>IF(B2055&gt;0,IF('Deal maths'!L58="Local authority","Local authorities",LOWER(TRIM('Deal maths'!K58))),"")</f>
        <v/>
      </c>
      <c r="D2055" s="91">
        <f>IF(C2055="","",IF(COUNTIF($C$4:C2054,C2055)=0,SUMIF($C$4:$C$3997,C2055,$B$4:$B$3997)-ROW()/1000000,""))</f>
        <v/>
      </c>
      <c r="E2055" s="91">
        <f>IF(N('Deal maths'!M58)&gt;0,ROW()/10000000,"")</f>
        <v/>
      </c>
    </row>
    <row r="2056">
      <c r="A2056" s="91" t="n"/>
      <c r="B2056" s="111">
        <f>MAX(0,N('Deal maths'!M59))</f>
        <v/>
      </c>
      <c r="C2056" s="91">
        <f>IF(B2056&gt;0,IF('Deal maths'!L59="Local authority","Local authorities",LOWER(TRIM('Deal maths'!K59))),"")</f>
        <v/>
      </c>
      <c r="D2056" s="91">
        <f>IF(C2056="","",IF(COUNTIF($C$4:C2055,C2056)=0,SUMIF($C$4:$C$3997,C2056,$B$4:$B$3997)-ROW()/1000000,""))</f>
        <v/>
      </c>
      <c r="E2056" s="91">
        <f>IF(N('Deal maths'!M59)&gt;0,ROW()/10000000,"")</f>
        <v/>
      </c>
    </row>
    <row r="2057">
      <c r="A2057" s="91" t="n"/>
      <c r="B2057" s="111">
        <f>MAX(0,N('Deal maths'!M60))</f>
        <v/>
      </c>
      <c r="C2057" s="91">
        <f>IF(B2057&gt;0,IF('Deal maths'!L60="Local authority","Local authorities",LOWER(TRIM('Deal maths'!K60))),"")</f>
        <v/>
      </c>
      <c r="D2057" s="91">
        <f>IF(C2057="","",IF(COUNTIF($C$4:C2056,C2057)=0,SUMIF($C$4:$C$3997,C2057,$B$4:$B$3997)-ROW()/1000000,""))</f>
        <v/>
      </c>
      <c r="E2057" s="91">
        <f>IF(N('Deal maths'!M60)&gt;0,ROW()/10000000,"")</f>
        <v/>
      </c>
    </row>
    <row r="2058">
      <c r="A2058" s="91" t="n"/>
      <c r="B2058" s="111">
        <f>MAX(0,N('Deal maths'!M61))</f>
        <v/>
      </c>
      <c r="C2058" s="91">
        <f>IF(B2058&gt;0,IF('Deal maths'!L61="Local authority","Local authorities",LOWER(TRIM('Deal maths'!K61))),"")</f>
        <v/>
      </c>
      <c r="D2058" s="91">
        <f>IF(C2058="","",IF(COUNTIF($C$4:C2057,C2058)=0,SUMIF($C$4:$C$3997,C2058,$B$4:$B$3997)-ROW()/1000000,""))</f>
        <v/>
      </c>
      <c r="E2058" s="91">
        <f>IF(N('Deal maths'!M61)&gt;0,ROW()/10000000,"")</f>
        <v/>
      </c>
    </row>
    <row r="2059">
      <c r="A2059" s="91" t="n"/>
      <c r="B2059" s="111">
        <f>MAX(0,N('Deal maths'!M62))</f>
        <v/>
      </c>
      <c r="C2059" s="91">
        <f>IF(B2059&gt;0,IF('Deal maths'!L62="Local authority","Local authorities",LOWER(TRIM('Deal maths'!K62))),"")</f>
        <v/>
      </c>
      <c r="D2059" s="91">
        <f>IF(C2059="","",IF(COUNTIF($C$4:C2058,C2059)=0,SUMIF($C$4:$C$3997,C2059,$B$4:$B$3997)-ROW()/1000000,""))</f>
        <v/>
      </c>
      <c r="E2059" s="91">
        <f>IF(N('Deal maths'!M62)&gt;0,ROW()/10000000,"")</f>
        <v/>
      </c>
    </row>
    <row r="2060">
      <c r="A2060" s="91" t="n"/>
      <c r="B2060" s="111">
        <f>MAX(0,N('Deal maths'!M63))</f>
        <v/>
      </c>
      <c r="C2060" s="91">
        <f>IF(B2060&gt;0,IF('Deal maths'!L63="Local authority","Local authorities",LOWER(TRIM('Deal maths'!K63))),"")</f>
        <v/>
      </c>
      <c r="D2060" s="91">
        <f>IF(C2060="","",IF(COUNTIF($C$4:C2059,C2060)=0,SUMIF($C$4:$C$3997,C2060,$B$4:$B$3997)-ROW()/1000000,""))</f>
        <v/>
      </c>
      <c r="E2060" s="91">
        <f>IF(N('Deal maths'!M63)&gt;0,ROW()/10000000,"")</f>
        <v/>
      </c>
    </row>
    <row r="2061">
      <c r="A2061" s="91" t="n"/>
      <c r="B2061" s="111">
        <f>MAX(0,N('Deal maths'!M64))</f>
        <v/>
      </c>
      <c r="C2061" s="91">
        <f>IF(B2061&gt;0,IF('Deal maths'!L64="Local authority","Local authorities",LOWER(TRIM('Deal maths'!K64))),"")</f>
        <v/>
      </c>
      <c r="D2061" s="91">
        <f>IF(C2061="","",IF(COUNTIF($C$4:C2060,C2061)=0,SUMIF($C$4:$C$3997,C2061,$B$4:$B$3997)-ROW()/1000000,""))</f>
        <v/>
      </c>
      <c r="E2061" s="91">
        <f>IF(N('Deal maths'!M64)&gt;0,ROW()/10000000,"")</f>
        <v/>
      </c>
    </row>
    <row r="2062">
      <c r="A2062" s="91" t="n"/>
      <c r="B2062" s="111">
        <f>MAX(0,N('Deal maths'!M65))</f>
        <v/>
      </c>
      <c r="C2062" s="91">
        <f>IF(B2062&gt;0,IF('Deal maths'!L65="Local authority","Local authorities",LOWER(TRIM('Deal maths'!K65))),"")</f>
        <v/>
      </c>
      <c r="D2062" s="91">
        <f>IF(C2062="","",IF(COUNTIF($C$4:C2061,C2062)=0,SUMIF($C$4:$C$3997,C2062,$B$4:$B$3997)-ROW()/1000000,""))</f>
        <v/>
      </c>
      <c r="E2062" s="91">
        <f>IF(N('Deal maths'!M65)&gt;0,ROW()/10000000,"")</f>
        <v/>
      </c>
    </row>
    <row r="2063">
      <c r="A2063" s="91" t="n"/>
      <c r="B2063" s="111">
        <f>MAX(0,N('Deal maths'!M66))</f>
        <v/>
      </c>
      <c r="C2063" s="91">
        <f>IF(B2063&gt;0,IF('Deal maths'!L66="Local authority","Local authorities",LOWER(TRIM('Deal maths'!K66))),"")</f>
        <v/>
      </c>
      <c r="D2063" s="91">
        <f>IF(C2063="","",IF(COUNTIF($C$4:C2062,C2063)=0,SUMIF($C$4:$C$3997,C2063,$B$4:$B$3997)-ROW()/1000000,""))</f>
        <v/>
      </c>
      <c r="E2063" s="91">
        <f>IF(N('Deal maths'!M66)&gt;0,ROW()/10000000,"")</f>
        <v/>
      </c>
    </row>
    <row r="2064">
      <c r="A2064" s="91" t="n"/>
      <c r="B2064" s="111">
        <f>MAX(0,N('Deal maths'!M67))</f>
        <v/>
      </c>
      <c r="C2064" s="91">
        <f>IF(B2064&gt;0,IF('Deal maths'!L67="Local authority","Local authorities",LOWER(TRIM('Deal maths'!K67))),"")</f>
        <v/>
      </c>
      <c r="D2064" s="91">
        <f>IF(C2064="","",IF(COUNTIF($C$4:C2063,C2064)=0,SUMIF($C$4:$C$3997,C2064,$B$4:$B$3997)-ROW()/1000000,""))</f>
        <v/>
      </c>
      <c r="E2064" s="91">
        <f>IF(N('Deal maths'!M67)&gt;0,ROW()/10000000,"")</f>
        <v/>
      </c>
    </row>
    <row r="2065">
      <c r="A2065" s="91" t="n"/>
      <c r="B2065" s="111">
        <f>MAX(0,N('Deal maths'!M68))</f>
        <v/>
      </c>
      <c r="C2065" s="91">
        <f>IF(B2065&gt;0,IF('Deal maths'!L68="Local authority","Local authorities",LOWER(TRIM('Deal maths'!K68))),"")</f>
        <v/>
      </c>
      <c r="D2065" s="91">
        <f>IF(C2065="","",IF(COUNTIF($C$4:C2064,C2065)=0,SUMIF($C$4:$C$3997,C2065,$B$4:$B$3997)-ROW()/1000000,""))</f>
        <v/>
      </c>
      <c r="E2065" s="91">
        <f>IF(N('Deal maths'!M68)&gt;0,ROW()/10000000,"")</f>
        <v/>
      </c>
    </row>
    <row r="2066">
      <c r="A2066" s="91" t="n"/>
      <c r="B2066" s="111">
        <f>MAX(0,N('Deal maths'!M69))</f>
        <v/>
      </c>
      <c r="C2066" s="91">
        <f>IF(B2066&gt;0,IF('Deal maths'!L69="Local authority","Local authorities",LOWER(TRIM('Deal maths'!K69))),"")</f>
        <v/>
      </c>
      <c r="D2066" s="91">
        <f>IF(C2066="","",IF(COUNTIF($C$4:C2065,C2066)=0,SUMIF($C$4:$C$3997,C2066,$B$4:$B$3997)-ROW()/1000000,""))</f>
        <v/>
      </c>
      <c r="E2066" s="91">
        <f>IF(N('Deal maths'!M69)&gt;0,ROW()/10000000,"")</f>
        <v/>
      </c>
    </row>
    <row r="2067">
      <c r="A2067" s="91" t="n"/>
      <c r="B2067" s="111">
        <f>MAX(0,N('Deal maths'!M70))</f>
        <v/>
      </c>
      <c r="C2067" s="91">
        <f>IF(B2067&gt;0,IF('Deal maths'!L70="Local authority","Local authorities",LOWER(TRIM('Deal maths'!K70))),"")</f>
        <v/>
      </c>
      <c r="D2067" s="91">
        <f>IF(C2067="","",IF(COUNTIF($C$4:C2066,C2067)=0,SUMIF($C$4:$C$3997,C2067,$B$4:$B$3997)-ROW()/1000000,""))</f>
        <v/>
      </c>
      <c r="E2067" s="91">
        <f>IF(N('Deal maths'!M70)&gt;0,ROW()/10000000,"")</f>
        <v/>
      </c>
    </row>
    <row r="2068">
      <c r="A2068" s="91" t="n"/>
      <c r="B2068" s="111">
        <f>MAX(0,N('Deal maths'!M71))</f>
        <v/>
      </c>
      <c r="C2068" s="91">
        <f>IF(B2068&gt;0,IF('Deal maths'!L71="Local authority","Local authorities",LOWER(TRIM('Deal maths'!K71))),"")</f>
        <v/>
      </c>
      <c r="D2068" s="91">
        <f>IF(C2068="","",IF(COUNTIF($C$4:C2067,C2068)=0,SUMIF($C$4:$C$3997,C2068,$B$4:$B$3997)-ROW()/1000000,""))</f>
        <v/>
      </c>
      <c r="E2068" s="91">
        <f>IF(N('Deal maths'!M71)&gt;0,ROW()/10000000,"")</f>
        <v/>
      </c>
    </row>
    <row r="2069">
      <c r="A2069" s="91" t="n"/>
      <c r="B2069" s="111">
        <f>MAX(0,N('Deal maths'!M72))</f>
        <v/>
      </c>
      <c r="C2069" s="91">
        <f>IF(B2069&gt;0,IF('Deal maths'!L72="Local authority","Local authorities",LOWER(TRIM('Deal maths'!K72))),"")</f>
        <v/>
      </c>
      <c r="D2069" s="91">
        <f>IF(C2069="","",IF(COUNTIF($C$4:C2068,C2069)=0,SUMIF($C$4:$C$3997,C2069,$B$4:$B$3997)-ROW()/1000000,""))</f>
        <v/>
      </c>
      <c r="E2069" s="91">
        <f>IF(N('Deal maths'!M72)&gt;0,ROW()/10000000,"")</f>
        <v/>
      </c>
    </row>
    <row r="2070">
      <c r="A2070" s="91" t="n"/>
      <c r="B2070" s="111">
        <f>MAX(0,N('Deal maths'!M73))</f>
        <v/>
      </c>
      <c r="C2070" s="91">
        <f>IF(B2070&gt;0,IF('Deal maths'!L73="Local authority","Local authorities",LOWER(TRIM('Deal maths'!K73))),"")</f>
        <v/>
      </c>
      <c r="D2070" s="91">
        <f>IF(C2070="","",IF(COUNTIF($C$4:C2069,C2070)=0,SUMIF($C$4:$C$3997,C2070,$B$4:$B$3997)-ROW()/1000000,""))</f>
        <v/>
      </c>
      <c r="E2070" s="91">
        <f>IF(N('Deal maths'!M73)&gt;0,ROW()/10000000,"")</f>
        <v/>
      </c>
    </row>
    <row r="2071">
      <c r="A2071" s="91" t="n"/>
      <c r="B2071" s="111">
        <f>MAX(0,N('Deal maths'!M74))</f>
        <v/>
      </c>
      <c r="C2071" s="91">
        <f>IF(B2071&gt;0,IF('Deal maths'!L74="Local authority","Local authorities",LOWER(TRIM('Deal maths'!K74))),"")</f>
        <v/>
      </c>
      <c r="D2071" s="91">
        <f>IF(C2071="","",IF(COUNTIF($C$4:C2070,C2071)=0,SUMIF($C$4:$C$3997,C2071,$B$4:$B$3997)-ROW()/1000000,""))</f>
        <v/>
      </c>
      <c r="E2071" s="91">
        <f>IF(N('Deal maths'!M74)&gt;0,ROW()/10000000,"")</f>
        <v/>
      </c>
    </row>
    <row r="2072">
      <c r="A2072" s="91" t="n"/>
      <c r="B2072" s="111">
        <f>MAX(0,N('Deal maths'!M75))</f>
        <v/>
      </c>
      <c r="C2072" s="91">
        <f>IF(B2072&gt;0,IF('Deal maths'!L75="Local authority","Local authorities",LOWER(TRIM('Deal maths'!K75))),"")</f>
        <v/>
      </c>
      <c r="D2072" s="91">
        <f>IF(C2072="","",IF(COUNTIF($C$4:C2071,C2072)=0,SUMIF($C$4:$C$3997,C2072,$B$4:$B$3997)-ROW()/1000000,""))</f>
        <v/>
      </c>
      <c r="E2072" s="91">
        <f>IF(N('Deal maths'!M75)&gt;0,ROW()/10000000,"")</f>
        <v/>
      </c>
    </row>
    <row r="2073">
      <c r="A2073" s="91" t="n"/>
      <c r="B2073" s="111">
        <f>MAX(0,N('Deal maths'!M76))</f>
        <v/>
      </c>
      <c r="C2073" s="91">
        <f>IF(B2073&gt;0,IF('Deal maths'!L76="Local authority","Local authorities",LOWER(TRIM('Deal maths'!K76))),"")</f>
        <v/>
      </c>
      <c r="D2073" s="91">
        <f>IF(C2073="","",IF(COUNTIF($C$4:C2072,C2073)=0,SUMIF($C$4:$C$3997,C2073,$B$4:$B$3997)-ROW()/1000000,""))</f>
        <v/>
      </c>
      <c r="E2073" s="91">
        <f>IF(N('Deal maths'!M76)&gt;0,ROW()/10000000,"")</f>
        <v/>
      </c>
    </row>
    <row r="2074">
      <c r="A2074" s="91" t="n"/>
      <c r="B2074" s="111">
        <f>MAX(0,N('Deal maths'!M77))</f>
        <v/>
      </c>
      <c r="C2074" s="91">
        <f>IF(B2074&gt;0,IF('Deal maths'!L77="Local authority","Local authorities",LOWER(TRIM('Deal maths'!K77))),"")</f>
        <v/>
      </c>
      <c r="D2074" s="91">
        <f>IF(C2074="","",IF(COUNTIF($C$4:C2073,C2074)=0,SUMIF($C$4:$C$3997,C2074,$B$4:$B$3997)-ROW()/1000000,""))</f>
        <v/>
      </c>
      <c r="E2074" s="91">
        <f>IF(N('Deal maths'!M77)&gt;0,ROW()/10000000,"")</f>
        <v/>
      </c>
    </row>
    <row r="2075">
      <c r="A2075" s="91" t="n"/>
      <c r="B2075" s="111">
        <f>MAX(0,N('Deal maths'!M78))</f>
        <v/>
      </c>
      <c r="C2075" s="91">
        <f>IF(B2075&gt;0,IF('Deal maths'!L78="Local authority","Local authorities",LOWER(TRIM('Deal maths'!K78))),"")</f>
        <v/>
      </c>
      <c r="D2075" s="91">
        <f>IF(C2075="","",IF(COUNTIF($C$4:C2074,C2075)=0,SUMIF($C$4:$C$3997,C2075,$B$4:$B$3997)-ROW()/1000000,""))</f>
        <v/>
      </c>
      <c r="E2075" s="91">
        <f>IF(N('Deal maths'!M78)&gt;0,ROW()/10000000,"")</f>
        <v/>
      </c>
    </row>
    <row r="2076">
      <c r="A2076" s="91" t="n"/>
      <c r="B2076" s="111">
        <f>MAX(0,N('Deal maths'!M79))</f>
        <v/>
      </c>
      <c r="C2076" s="91">
        <f>IF(B2076&gt;0,IF('Deal maths'!L79="Local authority","Local authorities",LOWER(TRIM('Deal maths'!K79))),"")</f>
        <v/>
      </c>
      <c r="D2076" s="91">
        <f>IF(C2076="","",IF(COUNTIF($C$4:C2075,C2076)=0,SUMIF($C$4:$C$3997,C2076,$B$4:$B$3997)-ROW()/1000000,""))</f>
        <v/>
      </c>
      <c r="E2076" s="91">
        <f>IF(N('Deal maths'!M79)&gt;0,ROW()/10000000,"")</f>
        <v/>
      </c>
    </row>
    <row r="2077">
      <c r="A2077" s="91" t="n"/>
      <c r="B2077" s="111">
        <f>MAX(0,N('Deal maths'!M80))</f>
        <v/>
      </c>
      <c r="C2077" s="91">
        <f>IF(B2077&gt;0,IF('Deal maths'!L80="Local authority","Local authorities",LOWER(TRIM('Deal maths'!K80))),"")</f>
        <v/>
      </c>
      <c r="D2077" s="91">
        <f>IF(C2077="","",IF(COUNTIF($C$4:C2076,C2077)=0,SUMIF($C$4:$C$3997,C2077,$B$4:$B$3997)-ROW()/1000000,""))</f>
        <v/>
      </c>
      <c r="E2077" s="91">
        <f>IF(N('Deal maths'!M80)&gt;0,ROW()/10000000,"")</f>
        <v/>
      </c>
    </row>
    <row r="2078">
      <c r="A2078" s="91" t="n"/>
      <c r="B2078" s="111">
        <f>MAX(0,N('Deal maths'!M81))</f>
        <v/>
      </c>
      <c r="C2078" s="91">
        <f>IF(B2078&gt;0,IF('Deal maths'!L81="Local authority","Local authorities",LOWER(TRIM('Deal maths'!K81))),"")</f>
        <v/>
      </c>
      <c r="D2078" s="91">
        <f>IF(C2078="","",IF(COUNTIF($C$4:C2077,C2078)=0,SUMIF($C$4:$C$3997,C2078,$B$4:$B$3997)-ROW()/1000000,""))</f>
        <v/>
      </c>
      <c r="E2078" s="91">
        <f>IF(N('Deal maths'!M81)&gt;0,ROW()/10000000,"")</f>
        <v/>
      </c>
    </row>
    <row r="2079">
      <c r="A2079" s="91" t="n"/>
      <c r="B2079" s="111">
        <f>MAX(0,N('Deal maths'!M82))</f>
        <v/>
      </c>
      <c r="C2079" s="91">
        <f>IF(B2079&gt;0,IF('Deal maths'!L82="Local authority","Local authorities",LOWER(TRIM('Deal maths'!K82))),"")</f>
        <v/>
      </c>
      <c r="D2079" s="91">
        <f>IF(C2079="","",IF(COUNTIF($C$4:C2078,C2079)=0,SUMIF($C$4:$C$3997,C2079,$B$4:$B$3997)-ROW()/1000000,""))</f>
        <v/>
      </c>
      <c r="E2079" s="91">
        <f>IF(N('Deal maths'!M82)&gt;0,ROW()/10000000,"")</f>
        <v/>
      </c>
    </row>
    <row r="2080">
      <c r="A2080" s="91" t="n"/>
      <c r="B2080" s="111">
        <f>MAX(0,N('Deal maths'!M83))</f>
        <v/>
      </c>
      <c r="C2080" s="91">
        <f>IF(B2080&gt;0,IF('Deal maths'!L83="Local authority","Local authorities",LOWER(TRIM('Deal maths'!K83))),"")</f>
        <v/>
      </c>
      <c r="D2080" s="91">
        <f>IF(C2080="","",IF(COUNTIF($C$4:C2079,C2080)=0,SUMIF($C$4:$C$3997,C2080,$B$4:$B$3997)-ROW()/1000000,""))</f>
        <v/>
      </c>
      <c r="E2080" s="91">
        <f>IF(N('Deal maths'!M83)&gt;0,ROW()/10000000,"")</f>
        <v/>
      </c>
    </row>
    <row r="2081">
      <c r="A2081" s="91" t="n"/>
      <c r="B2081" s="111">
        <f>MAX(0,N('Deal maths'!M84))</f>
        <v/>
      </c>
      <c r="C2081" s="91">
        <f>IF(B2081&gt;0,IF('Deal maths'!L84="Local authority","Local authorities",LOWER(TRIM('Deal maths'!K84))),"")</f>
        <v/>
      </c>
      <c r="D2081" s="91">
        <f>IF(C2081="","",IF(COUNTIF($C$4:C2080,C2081)=0,SUMIF($C$4:$C$3997,C2081,$B$4:$B$3997)-ROW()/1000000,""))</f>
        <v/>
      </c>
      <c r="E2081" s="91">
        <f>IF(N('Deal maths'!M84)&gt;0,ROW()/10000000,"")</f>
        <v/>
      </c>
    </row>
    <row r="2082">
      <c r="A2082" s="91" t="n"/>
      <c r="B2082" s="111">
        <f>MAX(0,N('Deal maths'!M85))</f>
        <v/>
      </c>
      <c r="C2082" s="91">
        <f>IF(B2082&gt;0,IF('Deal maths'!L85="Local authority","Local authorities",LOWER(TRIM('Deal maths'!K85))),"")</f>
        <v/>
      </c>
      <c r="D2082" s="91">
        <f>IF(C2082="","",IF(COUNTIF($C$4:C2081,C2082)=0,SUMIF($C$4:$C$3997,C2082,$B$4:$B$3997)-ROW()/1000000,""))</f>
        <v/>
      </c>
      <c r="E2082" s="91">
        <f>IF(N('Deal maths'!M85)&gt;0,ROW()/10000000,"")</f>
        <v/>
      </c>
    </row>
    <row r="2083">
      <c r="A2083" s="91" t="n"/>
      <c r="B2083" s="111">
        <f>MAX(0,N('Deal maths'!M86))</f>
        <v/>
      </c>
      <c r="C2083" s="91">
        <f>IF(B2083&gt;0,IF('Deal maths'!L86="Local authority","Local authorities",LOWER(TRIM('Deal maths'!K86))),"")</f>
        <v/>
      </c>
      <c r="D2083" s="91">
        <f>IF(C2083="","",IF(COUNTIF($C$4:C2082,C2083)=0,SUMIF($C$4:$C$3997,C2083,$B$4:$B$3997)-ROW()/1000000,""))</f>
        <v/>
      </c>
      <c r="E2083" s="91">
        <f>IF(N('Deal maths'!M86)&gt;0,ROW()/10000000,"")</f>
        <v/>
      </c>
    </row>
    <row r="2084">
      <c r="A2084" s="91" t="n"/>
      <c r="B2084" s="111">
        <f>MAX(0,N('Deal maths'!M87))</f>
        <v/>
      </c>
      <c r="C2084" s="91">
        <f>IF(B2084&gt;0,IF('Deal maths'!L87="Local authority","Local authorities",LOWER(TRIM('Deal maths'!K87))),"")</f>
        <v/>
      </c>
      <c r="D2084" s="91">
        <f>IF(C2084="","",IF(COUNTIF($C$4:C2083,C2084)=0,SUMIF($C$4:$C$3997,C2084,$B$4:$B$3997)-ROW()/1000000,""))</f>
        <v/>
      </c>
      <c r="E2084" s="91">
        <f>IF(N('Deal maths'!M87)&gt;0,ROW()/10000000,"")</f>
        <v/>
      </c>
    </row>
    <row r="2085">
      <c r="A2085" s="91" t="n"/>
      <c r="B2085" s="111">
        <f>MAX(0,N('Deal maths'!M88))</f>
        <v/>
      </c>
      <c r="C2085" s="91">
        <f>IF(B2085&gt;0,IF('Deal maths'!L88="Local authority","Local authorities",LOWER(TRIM('Deal maths'!K88))),"")</f>
        <v/>
      </c>
      <c r="D2085" s="91">
        <f>IF(C2085="","",IF(COUNTIF($C$4:C2084,C2085)=0,SUMIF($C$4:$C$3997,C2085,$B$4:$B$3997)-ROW()/1000000,""))</f>
        <v/>
      </c>
      <c r="E2085" s="91">
        <f>IF(N('Deal maths'!M88)&gt;0,ROW()/10000000,"")</f>
        <v/>
      </c>
    </row>
    <row r="2086">
      <c r="A2086" s="91" t="n"/>
      <c r="B2086" s="111">
        <f>MAX(0,N('Deal maths'!M89))</f>
        <v/>
      </c>
      <c r="C2086" s="91">
        <f>IF(B2086&gt;0,IF('Deal maths'!L89="Local authority","Local authorities",LOWER(TRIM('Deal maths'!K89))),"")</f>
        <v/>
      </c>
      <c r="D2086" s="91">
        <f>IF(C2086="","",IF(COUNTIF($C$4:C2085,C2086)=0,SUMIF($C$4:$C$3997,C2086,$B$4:$B$3997)-ROW()/1000000,""))</f>
        <v/>
      </c>
      <c r="E2086" s="91">
        <f>IF(N('Deal maths'!M89)&gt;0,ROW()/10000000,"")</f>
        <v/>
      </c>
    </row>
    <row r="2087">
      <c r="A2087" s="91" t="n"/>
      <c r="B2087" s="111">
        <f>MAX(0,N('Deal maths'!M90))</f>
        <v/>
      </c>
      <c r="C2087" s="91">
        <f>IF(B2087&gt;0,IF('Deal maths'!L90="Local authority","Local authorities",LOWER(TRIM('Deal maths'!K90))),"")</f>
        <v/>
      </c>
      <c r="D2087" s="91">
        <f>IF(C2087="","",IF(COUNTIF($C$4:C2086,C2087)=0,SUMIF($C$4:$C$3997,C2087,$B$4:$B$3997)-ROW()/1000000,""))</f>
        <v/>
      </c>
      <c r="E2087" s="91">
        <f>IF(N('Deal maths'!M90)&gt;0,ROW()/10000000,"")</f>
        <v/>
      </c>
    </row>
    <row r="2088">
      <c r="A2088" s="91" t="n"/>
      <c r="B2088" s="111">
        <f>MAX(0,N('Deal maths'!M91))</f>
        <v/>
      </c>
      <c r="C2088" s="91">
        <f>IF(B2088&gt;0,IF('Deal maths'!L91="Local authority","Local authorities",LOWER(TRIM('Deal maths'!K91))),"")</f>
        <v/>
      </c>
      <c r="D2088" s="91">
        <f>IF(C2088="","",IF(COUNTIF($C$4:C2087,C2088)=0,SUMIF($C$4:$C$3997,C2088,$B$4:$B$3997)-ROW()/1000000,""))</f>
        <v/>
      </c>
      <c r="E2088" s="91">
        <f>IF(N('Deal maths'!M91)&gt;0,ROW()/10000000,"")</f>
        <v/>
      </c>
    </row>
    <row r="2089">
      <c r="A2089" s="91" t="n"/>
      <c r="B2089" s="111">
        <f>MAX(0,N('Deal maths'!M92))</f>
        <v/>
      </c>
      <c r="C2089" s="91">
        <f>IF(B2089&gt;0,IF('Deal maths'!L92="Local authority","Local authorities",LOWER(TRIM('Deal maths'!K92))),"")</f>
        <v/>
      </c>
      <c r="D2089" s="91">
        <f>IF(C2089="","",IF(COUNTIF($C$4:C2088,C2089)=0,SUMIF($C$4:$C$3997,C2089,$B$4:$B$3997)-ROW()/1000000,""))</f>
        <v/>
      </c>
      <c r="E2089" s="91">
        <f>IF(N('Deal maths'!M92)&gt;0,ROW()/10000000,"")</f>
        <v/>
      </c>
    </row>
    <row r="2090">
      <c r="A2090" s="91" t="n"/>
      <c r="B2090" s="111">
        <f>MAX(0,N('Deal maths'!M93))</f>
        <v/>
      </c>
      <c r="C2090" s="91">
        <f>IF(B2090&gt;0,IF('Deal maths'!L93="Local authority","Local authorities",LOWER(TRIM('Deal maths'!K93))),"")</f>
        <v/>
      </c>
      <c r="D2090" s="91">
        <f>IF(C2090="","",IF(COUNTIF($C$4:C2089,C2090)=0,SUMIF($C$4:$C$3997,C2090,$B$4:$B$3997)-ROW()/1000000,""))</f>
        <v/>
      </c>
      <c r="E2090" s="91">
        <f>IF(N('Deal maths'!M93)&gt;0,ROW()/10000000,"")</f>
        <v/>
      </c>
    </row>
    <row r="2091">
      <c r="A2091" s="91" t="n"/>
      <c r="B2091" s="111">
        <f>MAX(0,N('Deal maths'!M94))</f>
        <v/>
      </c>
      <c r="C2091" s="91">
        <f>IF(B2091&gt;0,IF('Deal maths'!L94="Local authority","Local authorities",LOWER(TRIM('Deal maths'!K94))),"")</f>
        <v/>
      </c>
      <c r="D2091" s="91">
        <f>IF(C2091="","",IF(COUNTIF($C$4:C2090,C2091)=0,SUMIF($C$4:$C$3997,C2091,$B$4:$B$3997)-ROW()/1000000,""))</f>
        <v/>
      </c>
      <c r="E2091" s="91">
        <f>IF(N('Deal maths'!M94)&gt;0,ROW()/10000000,"")</f>
        <v/>
      </c>
    </row>
    <row r="2092">
      <c r="A2092" s="91" t="n"/>
      <c r="B2092" s="111">
        <f>MAX(0,N('Deal maths'!M95))</f>
        <v/>
      </c>
      <c r="C2092" s="91">
        <f>IF(B2092&gt;0,IF('Deal maths'!L95="Local authority","Local authorities",LOWER(TRIM('Deal maths'!K95))),"")</f>
        <v/>
      </c>
      <c r="D2092" s="91">
        <f>IF(C2092="","",IF(COUNTIF($C$4:C2091,C2092)=0,SUMIF($C$4:$C$3997,C2092,$B$4:$B$3997)-ROW()/1000000,""))</f>
        <v/>
      </c>
      <c r="E2092" s="91">
        <f>IF(N('Deal maths'!M95)&gt;0,ROW()/10000000,"")</f>
        <v/>
      </c>
    </row>
    <row r="2093">
      <c r="A2093" s="91" t="n"/>
      <c r="B2093" s="111">
        <f>MAX(0,N('Deal maths'!M96))</f>
        <v/>
      </c>
      <c r="C2093" s="91">
        <f>IF(B2093&gt;0,IF('Deal maths'!L96="Local authority","Local authorities",LOWER(TRIM('Deal maths'!K96))),"")</f>
        <v/>
      </c>
      <c r="D2093" s="91">
        <f>IF(C2093="","",IF(COUNTIF($C$4:C2092,C2093)=0,SUMIF($C$4:$C$3997,C2093,$B$4:$B$3997)-ROW()/1000000,""))</f>
        <v/>
      </c>
      <c r="E2093" s="91">
        <f>IF(N('Deal maths'!M96)&gt;0,ROW()/10000000,"")</f>
        <v/>
      </c>
    </row>
    <row r="2094">
      <c r="A2094" s="91" t="n"/>
      <c r="B2094" s="111">
        <f>MAX(0,N('Deal maths'!M97))</f>
        <v/>
      </c>
      <c r="C2094" s="91">
        <f>IF(B2094&gt;0,IF('Deal maths'!L97="Local authority","Local authorities",LOWER(TRIM('Deal maths'!K97))),"")</f>
        <v/>
      </c>
      <c r="D2094" s="91">
        <f>IF(C2094="","",IF(COUNTIF($C$4:C2093,C2094)=0,SUMIF($C$4:$C$3997,C2094,$B$4:$B$3997)-ROW()/1000000,""))</f>
        <v/>
      </c>
      <c r="E2094" s="91">
        <f>IF(N('Deal maths'!M97)&gt;0,ROW()/10000000,"")</f>
        <v/>
      </c>
    </row>
    <row r="2095">
      <c r="A2095" s="91" t="n"/>
      <c r="B2095" s="111">
        <f>MAX(0,N('Deal maths'!M98))</f>
        <v/>
      </c>
      <c r="C2095" s="91">
        <f>IF(B2095&gt;0,IF('Deal maths'!L98="Local authority","Local authorities",LOWER(TRIM('Deal maths'!K98))),"")</f>
        <v/>
      </c>
      <c r="D2095" s="91">
        <f>IF(C2095="","",IF(COUNTIF($C$4:C2094,C2095)=0,SUMIF($C$4:$C$3997,C2095,$B$4:$B$3997)-ROW()/1000000,""))</f>
        <v/>
      </c>
      <c r="E2095" s="91">
        <f>IF(N('Deal maths'!M98)&gt;0,ROW()/10000000,"")</f>
        <v/>
      </c>
    </row>
    <row r="2096">
      <c r="A2096" s="91" t="n"/>
      <c r="B2096" s="111">
        <f>MAX(0,N('Deal maths'!M99))</f>
        <v/>
      </c>
      <c r="C2096" s="91">
        <f>IF(B2096&gt;0,IF('Deal maths'!L99="Local authority","Local authorities",LOWER(TRIM('Deal maths'!K99))),"")</f>
        <v/>
      </c>
      <c r="D2096" s="91">
        <f>IF(C2096="","",IF(COUNTIF($C$4:C2095,C2096)=0,SUMIF($C$4:$C$3997,C2096,$B$4:$B$3997)-ROW()/1000000,""))</f>
        <v/>
      </c>
      <c r="E2096" s="91">
        <f>IF(N('Deal maths'!M99)&gt;0,ROW()/10000000,"")</f>
        <v/>
      </c>
    </row>
    <row r="2097">
      <c r="A2097" s="91" t="n"/>
      <c r="B2097" s="111">
        <f>MAX(0,N('Deal maths'!M100))</f>
        <v/>
      </c>
      <c r="C2097" s="91">
        <f>IF(B2097&gt;0,IF('Deal maths'!L100="Local authority","Local authorities",LOWER(TRIM('Deal maths'!K100))),"")</f>
        <v/>
      </c>
      <c r="D2097" s="91">
        <f>IF(C2097="","",IF(COUNTIF($C$4:C2096,C2097)=0,SUMIF($C$4:$C$3997,C2097,$B$4:$B$3997)-ROW()/1000000,""))</f>
        <v/>
      </c>
      <c r="E2097" s="91">
        <f>IF(N('Deal maths'!M100)&gt;0,ROW()/10000000,"")</f>
        <v/>
      </c>
    </row>
    <row r="2098">
      <c r="A2098" s="91" t="n"/>
      <c r="B2098" s="111">
        <f>MAX(0,N('Deal maths'!M101))</f>
        <v/>
      </c>
      <c r="C2098" s="91">
        <f>IF(B2098&gt;0,IF('Deal maths'!L101="Local authority","Local authorities",LOWER(TRIM('Deal maths'!K101))),"")</f>
        <v/>
      </c>
      <c r="D2098" s="91">
        <f>IF(C2098="","",IF(COUNTIF($C$4:C2097,C2098)=0,SUMIF($C$4:$C$3997,C2098,$B$4:$B$3997)-ROW()/1000000,""))</f>
        <v/>
      </c>
      <c r="E2098" s="91">
        <f>IF(N('Deal maths'!M101)&gt;0,ROW()/10000000,"")</f>
        <v/>
      </c>
    </row>
    <row r="2099">
      <c r="A2099" s="91" t="n"/>
      <c r="B2099" s="111">
        <f>MAX(0,N('Deal maths'!M102))</f>
        <v/>
      </c>
      <c r="C2099" s="91">
        <f>IF(B2099&gt;0,IF('Deal maths'!L102="Local authority","Local authorities",LOWER(TRIM('Deal maths'!K102))),"")</f>
        <v/>
      </c>
      <c r="D2099" s="91">
        <f>IF(C2099="","",IF(COUNTIF($C$4:C2098,C2099)=0,SUMIF($C$4:$C$3997,C2099,$B$4:$B$3997)-ROW()/1000000,""))</f>
        <v/>
      </c>
      <c r="E2099" s="91">
        <f>IF(N('Deal maths'!M102)&gt;0,ROW()/10000000,"")</f>
        <v/>
      </c>
    </row>
    <row r="2100">
      <c r="A2100" s="91" t="n"/>
      <c r="B2100" s="111">
        <f>MAX(0,N('Deal maths'!M103))</f>
        <v/>
      </c>
      <c r="C2100" s="91">
        <f>IF(B2100&gt;0,IF('Deal maths'!L103="Local authority","Local authorities",LOWER(TRIM('Deal maths'!K103))),"")</f>
        <v/>
      </c>
      <c r="D2100" s="91">
        <f>IF(C2100="","",IF(COUNTIF($C$4:C2099,C2100)=0,SUMIF($C$4:$C$3997,C2100,$B$4:$B$3997)-ROW()/1000000,""))</f>
        <v/>
      </c>
      <c r="E2100" s="91">
        <f>IF(N('Deal maths'!M103)&gt;0,ROW()/10000000,"")</f>
        <v/>
      </c>
    </row>
    <row r="2101">
      <c r="A2101" s="91" t="n"/>
      <c r="B2101" s="111">
        <f>MAX(0,N('Deal maths'!M104))</f>
        <v/>
      </c>
      <c r="C2101" s="91">
        <f>IF(B2101&gt;0,IF('Deal maths'!L104="Local authority","Local authorities",LOWER(TRIM('Deal maths'!K104))),"")</f>
        <v/>
      </c>
      <c r="D2101" s="91">
        <f>IF(C2101="","",IF(COUNTIF($C$4:C2100,C2101)=0,SUMIF($C$4:$C$3997,C2101,$B$4:$B$3997)-ROW()/1000000,""))</f>
        <v/>
      </c>
      <c r="E2101" s="91">
        <f>IF(N('Deal maths'!M104)&gt;0,ROW()/10000000,"")</f>
        <v/>
      </c>
    </row>
    <row r="2102">
      <c r="A2102" s="91" t="n"/>
      <c r="B2102" s="111">
        <f>MAX(0,N('Deal maths'!M105))</f>
        <v/>
      </c>
      <c r="C2102" s="91">
        <f>IF(B2102&gt;0,IF('Deal maths'!L105="Local authority","Local authorities",LOWER(TRIM('Deal maths'!K105))),"")</f>
        <v/>
      </c>
      <c r="D2102" s="91">
        <f>IF(C2102="","",IF(COUNTIF($C$4:C2101,C2102)=0,SUMIF($C$4:$C$3997,C2102,$B$4:$B$3997)-ROW()/1000000,""))</f>
        <v/>
      </c>
      <c r="E2102" s="91">
        <f>IF(N('Deal maths'!M105)&gt;0,ROW()/10000000,"")</f>
        <v/>
      </c>
    </row>
    <row r="2103">
      <c r="A2103" s="91" t="n"/>
      <c r="B2103" s="111">
        <f>MAX(0,N('Deal maths'!M106))</f>
        <v/>
      </c>
      <c r="C2103" s="91">
        <f>IF(B2103&gt;0,IF('Deal maths'!L106="Local authority","Local authorities",LOWER(TRIM('Deal maths'!K106))),"")</f>
        <v/>
      </c>
      <c r="D2103" s="91">
        <f>IF(C2103="","",IF(COUNTIF($C$4:C2102,C2103)=0,SUMIF($C$4:$C$3997,C2103,$B$4:$B$3997)-ROW()/1000000,""))</f>
        <v/>
      </c>
      <c r="E2103" s="91">
        <f>IF(N('Deal maths'!M106)&gt;0,ROW()/10000000,"")</f>
        <v/>
      </c>
    </row>
    <row r="2104">
      <c r="A2104" s="91" t="n"/>
      <c r="B2104" s="111">
        <f>MAX(0,N('Deal maths'!M107))</f>
        <v/>
      </c>
      <c r="C2104" s="91">
        <f>IF(B2104&gt;0,IF('Deal maths'!L107="Local authority","Local authorities",LOWER(TRIM('Deal maths'!K107))),"")</f>
        <v/>
      </c>
      <c r="D2104" s="91">
        <f>IF(C2104="","",IF(COUNTIF($C$4:C2103,C2104)=0,SUMIF($C$4:$C$3997,C2104,$B$4:$B$3997)-ROW()/1000000,""))</f>
        <v/>
      </c>
      <c r="E2104" s="91">
        <f>IF(N('Deal maths'!M107)&gt;0,ROW()/10000000,"")</f>
        <v/>
      </c>
    </row>
    <row r="2105">
      <c r="A2105" s="91" t="n"/>
      <c r="B2105" s="111">
        <f>MAX(0,N('Deal maths'!M108))</f>
        <v/>
      </c>
      <c r="C2105" s="91">
        <f>IF(B2105&gt;0,IF('Deal maths'!L108="Local authority","Local authorities",LOWER(TRIM('Deal maths'!K108))),"")</f>
        <v/>
      </c>
      <c r="D2105" s="91">
        <f>IF(C2105="","",IF(COUNTIF($C$4:C2104,C2105)=0,SUMIF($C$4:$C$3997,C2105,$B$4:$B$3997)-ROW()/1000000,""))</f>
        <v/>
      </c>
      <c r="E2105" s="91">
        <f>IF(N('Deal maths'!M108)&gt;0,ROW()/10000000,"")</f>
        <v/>
      </c>
    </row>
    <row r="2106">
      <c r="A2106" s="91" t="n"/>
      <c r="B2106" s="111">
        <f>MAX(0,N('Deal maths'!M109))</f>
        <v/>
      </c>
      <c r="C2106" s="91">
        <f>IF(B2106&gt;0,IF('Deal maths'!L109="Local authority","Local authorities",LOWER(TRIM('Deal maths'!K109))),"")</f>
        <v/>
      </c>
      <c r="D2106" s="91">
        <f>IF(C2106="","",IF(COUNTIF($C$4:C2105,C2106)=0,SUMIF($C$4:$C$3997,C2106,$B$4:$B$3997)-ROW()/1000000,""))</f>
        <v/>
      </c>
      <c r="E2106" s="91">
        <f>IF(N('Deal maths'!M109)&gt;0,ROW()/10000000,"")</f>
        <v/>
      </c>
    </row>
    <row r="2107">
      <c r="A2107" s="91" t="n"/>
      <c r="B2107" s="111">
        <f>MAX(0,N('Deal maths'!M110))</f>
        <v/>
      </c>
      <c r="C2107" s="91">
        <f>IF(B2107&gt;0,IF('Deal maths'!L110="Local authority","Local authorities",LOWER(TRIM('Deal maths'!K110))),"")</f>
        <v/>
      </c>
      <c r="D2107" s="91">
        <f>IF(C2107="","",IF(COUNTIF($C$4:C2106,C2107)=0,SUMIF($C$4:$C$3997,C2107,$B$4:$B$3997)-ROW()/1000000,""))</f>
        <v/>
      </c>
      <c r="E2107" s="91">
        <f>IF(N('Deal maths'!M110)&gt;0,ROW()/10000000,"")</f>
        <v/>
      </c>
    </row>
    <row r="2108">
      <c r="A2108" s="91" t="n"/>
      <c r="B2108" s="111">
        <f>MAX(0,N('Deal maths'!M111))</f>
        <v/>
      </c>
      <c r="C2108" s="91">
        <f>IF(B2108&gt;0,IF('Deal maths'!L111="Local authority","Local authorities",LOWER(TRIM('Deal maths'!K111))),"")</f>
        <v/>
      </c>
      <c r="D2108" s="91">
        <f>IF(C2108="","",IF(COUNTIF($C$4:C2107,C2108)=0,SUMIF($C$4:$C$3997,C2108,$B$4:$B$3997)-ROW()/1000000,""))</f>
        <v/>
      </c>
      <c r="E2108" s="91">
        <f>IF(N('Deal maths'!M111)&gt;0,ROW()/10000000,"")</f>
        <v/>
      </c>
    </row>
    <row r="2109">
      <c r="A2109" s="91" t="n"/>
      <c r="B2109" s="111">
        <f>MAX(0,N('Deal maths'!M112))</f>
        <v/>
      </c>
      <c r="C2109" s="91">
        <f>IF(B2109&gt;0,IF('Deal maths'!L112="Local authority","Local authorities",LOWER(TRIM('Deal maths'!K112))),"")</f>
        <v/>
      </c>
      <c r="D2109" s="91">
        <f>IF(C2109="","",IF(COUNTIF($C$4:C2108,C2109)=0,SUMIF($C$4:$C$3997,C2109,$B$4:$B$3997)-ROW()/1000000,""))</f>
        <v/>
      </c>
      <c r="E2109" s="91">
        <f>IF(N('Deal maths'!M112)&gt;0,ROW()/10000000,"")</f>
        <v/>
      </c>
    </row>
    <row r="2110">
      <c r="A2110" s="91" t="n"/>
      <c r="B2110" s="111">
        <f>MAX(0,N('Deal maths'!M113))</f>
        <v/>
      </c>
      <c r="C2110" s="91">
        <f>IF(B2110&gt;0,IF('Deal maths'!L113="Local authority","Local authorities",LOWER(TRIM('Deal maths'!K113))),"")</f>
        <v/>
      </c>
      <c r="D2110" s="91">
        <f>IF(C2110="","",IF(COUNTIF($C$4:C2109,C2110)=0,SUMIF($C$4:$C$3997,C2110,$B$4:$B$3997)-ROW()/1000000,""))</f>
        <v/>
      </c>
      <c r="E2110" s="91">
        <f>IF(N('Deal maths'!M113)&gt;0,ROW()/10000000,"")</f>
        <v/>
      </c>
    </row>
    <row r="2111">
      <c r="A2111" s="91" t="n"/>
      <c r="B2111" s="111">
        <f>MAX(0,N('Deal maths'!M114))</f>
        <v/>
      </c>
      <c r="C2111" s="91">
        <f>IF(B2111&gt;0,IF('Deal maths'!L114="Local authority","Local authorities",LOWER(TRIM('Deal maths'!K114))),"")</f>
        <v/>
      </c>
      <c r="D2111" s="91">
        <f>IF(C2111="","",IF(COUNTIF($C$4:C2110,C2111)=0,SUMIF($C$4:$C$3997,C2111,$B$4:$B$3997)-ROW()/1000000,""))</f>
        <v/>
      </c>
      <c r="E2111" s="91">
        <f>IF(N('Deal maths'!M114)&gt;0,ROW()/10000000,"")</f>
        <v/>
      </c>
    </row>
    <row r="2112">
      <c r="A2112" s="91" t="n"/>
      <c r="B2112" s="111">
        <f>MAX(0,N('Deal maths'!M115))</f>
        <v/>
      </c>
      <c r="C2112" s="91">
        <f>IF(B2112&gt;0,IF('Deal maths'!L115="Local authority","Local authorities",LOWER(TRIM('Deal maths'!K115))),"")</f>
        <v/>
      </c>
      <c r="D2112" s="91">
        <f>IF(C2112="","",IF(COUNTIF($C$4:C2111,C2112)=0,SUMIF($C$4:$C$3997,C2112,$B$4:$B$3997)-ROW()/1000000,""))</f>
        <v/>
      </c>
      <c r="E2112" s="91">
        <f>IF(N('Deal maths'!M115)&gt;0,ROW()/10000000,"")</f>
        <v/>
      </c>
    </row>
    <row r="2113">
      <c r="A2113" s="91" t="n"/>
      <c r="B2113" s="111">
        <f>MAX(0,N('Deal maths'!M116))</f>
        <v/>
      </c>
      <c r="C2113" s="91">
        <f>IF(B2113&gt;0,IF('Deal maths'!L116="Local authority","Local authorities",LOWER(TRIM('Deal maths'!K116))),"")</f>
        <v/>
      </c>
      <c r="D2113" s="91">
        <f>IF(C2113="","",IF(COUNTIF($C$4:C2112,C2113)=0,SUMIF($C$4:$C$3997,C2113,$B$4:$B$3997)-ROW()/1000000,""))</f>
        <v/>
      </c>
      <c r="E2113" s="91">
        <f>IF(N('Deal maths'!M116)&gt;0,ROW()/10000000,"")</f>
        <v/>
      </c>
    </row>
    <row r="2114">
      <c r="A2114" s="91" t="n"/>
      <c r="B2114" s="111">
        <f>MAX(0,N('Deal maths'!M117))</f>
        <v/>
      </c>
      <c r="C2114" s="91">
        <f>IF(B2114&gt;0,IF('Deal maths'!L117="Local authority","Local authorities",LOWER(TRIM('Deal maths'!K117))),"")</f>
        <v/>
      </c>
      <c r="D2114" s="91">
        <f>IF(C2114="","",IF(COUNTIF($C$4:C2113,C2114)=0,SUMIF($C$4:$C$3997,C2114,$B$4:$B$3997)-ROW()/1000000,""))</f>
        <v/>
      </c>
      <c r="E2114" s="91">
        <f>IF(N('Deal maths'!M117)&gt;0,ROW()/10000000,"")</f>
        <v/>
      </c>
    </row>
    <row r="2115">
      <c r="A2115" s="91" t="n"/>
      <c r="B2115" s="111">
        <f>MAX(0,N('Deal maths'!M118))</f>
        <v/>
      </c>
      <c r="C2115" s="91">
        <f>IF(B2115&gt;0,IF('Deal maths'!L118="Local authority","Local authorities",LOWER(TRIM('Deal maths'!K118))),"")</f>
        <v/>
      </c>
      <c r="D2115" s="91">
        <f>IF(C2115="","",IF(COUNTIF($C$4:C2114,C2115)=0,SUMIF($C$4:$C$3997,C2115,$B$4:$B$3997)-ROW()/1000000,""))</f>
        <v/>
      </c>
      <c r="E2115" s="91">
        <f>IF(N('Deal maths'!M118)&gt;0,ROW()/10000000,"")</f>
        <v/>
      </c>
    </row>
    <row r="2116">
      <c r="A2116" s="91" t="n"/>
      <c r="B2116" s="111">
        <f>MAX(0,N('Deal maths'!M119))</f>
        <v/>
      </c>
      <c r="C2116" s="91">
        <f>IF(B2116&gt;0,IF('Deal maths'!L119="Local authority","Local authorities",LOWER(TRIM('Deal maths'!K119))),"")</f>
        <v/>
      </c>
      <c r="D2116" s="91">
        <f>IF(C2116="","",IF(COUNTIF($C$4:C2115,C2116)=0,SUMIF($C$4:$C$3997,C2116,$B$4:$B$3997)-ROW()/1000000,""))</f>
        <v/>
      </c>
      <c r="E2116" s="91">
        <f>IF(N('Deal maths'!M119)&gt;0,ROW()/10000000,"")</f>
        <v/>
      </c>
    </row>
    <row r="2117">
      <c r="A2117" s="91" t="n"/>
      <c r="B2117" s="111">
        <f>MAX(0,N('Deal maths'!M120))</f>
        <v/>
      </c>
      <c r="C2117" s="91">
        <f>IF(B2117&gt;0,IF('Deal maths'!L120="Local authority","Local authorities",LOWER(TRIM('Deal maths'!K120))),"")</f>
        <v/>
      </c>
      <c r="D2117" s="91">
        <f>IF(C2117="","",IF(COUNTIF($C$4:C2116,C2117)=0,SUMIF($C$4:$C$3997,C2117,$B$4:$B$3997)-ROW()/1000000,""))</f>
        <v/>
      </c>
      <c r="E2117" s="91">
        <f>IF(N('Deal maths'!M120)&gt;0,ROW()/10000000,"")</f>
        <v/>
      </c>
    </row>
    <row r="2118">
      <c r="A2118" s="91" t="n"/>
      <c r="B2118" s="111">
        <f>MAX(0,N('Deal maths'!M121))</f>
        <v/>
      </c>
      <c r="C2118" s="91">
        <f>IF(B2118&gt;0,IF('Deal maths'!L121="Local authority","Local authorities",LOWER(TRIM('Deal maths'!K121))),"")</f>
        <v/>
      </c>
      <c r="D2118" s="91">
        <f>IF(C2118="","",IF(COUNTIF($C$4:C2117,C2118)=0,SUMIF($C$4:$C$3997,C2118,$B$4:$B$3997)-ROW()/1000000,""))</f>
        <v/>
      </c>
      <c r="E2118" s="91">
        <f>IF(N('Deal maths'!M121)&gt;0,ROW()/10000000,"")</f>
        <v/>
      </c>
    </row>
    <row r="2119">
      <c r="A2119" s="91" t="n"/>
      <c r="B2119" s="111">
        <f>MAX(0,N('Deal maths'!M122))</f>
        <v/>
      </c>
      <c r="C2119" s="91">
        <f>IF(B2119&gt;0,IF('Deal maths'!L122="Local authority","Local authorities",LOWER(TRIM('Deal maths'!K122))),"")</f>
        <v/>
      </c>
      <c r="D2119" s="91">
        <f>IF(C2119="","",IF(COUNTIF($C$4:C2118,C2119)=0,SUMIF($C$4:$C$3997,C2119,$B$4:$B$3997)-ROW()/1000000,""))</f>
        <v/>
      </c>
      <c r="E2119" s="91">
        <f>IF(N('Deal maths'!M122)&gt;0,ROW()/10000000,"")</f>
        <v/>
      </c>
    </row>
    <row r="2120">
      <c r="A2120" s="91" t="n"/>
      <c r="B2120" s="111">
        <f>MAX(0,N('Deal maths'!M123))</f>
        <v/>
      </c>
      <c r="C2120" s="91">
        <f>IF(B2120&gt;0,IF('Deal maths'!L123="Local authority","Local authorities",LOWER(TRIM('Deal maths'!K123))),"")</f>
        <v/>
      </c>
      <c r="D2120" s="91">
        <f>IF(C2120="","",IF(COUNTIF($C$4:C2119,C2120)=0,SUMIF($C$4:$C$3997,C2120,$B$4:$B$3997)-ROW()/1000000,""))</f>
        <v/>
      </c>
      <c r="E2120" s="91">
        <f>IF(N('Deal maths'!M123)&gt;0,ROW()/10000000,"")</f>
        <v/>
      </c>
    </row>
    <row r="2121">
      <c r="A2121" s="91" t="n"/>
      <c r="B2121" s="111">
        <f>MAX(0,N('Deal maths'!M124))</f>
        <v/>
      </c>
      <c r="C2121" s="91">
        <f>IF(B2121&gt;0,IF('Deal maths'!L124="Local authority","Local authorities",LOWER(TRIM('Deal maths'!K124))),"")</f>
        <v/>
      </c>
      <c r="D2121" s="91">
        <f>IF(C2121="","",IF(COUNTIF($C$4:C2120,C2121)=0,SUMIF($C$4:$C$3997,C2121,$B$4:$B$3997)-ROW()/1000000,""))</f>
        <v/>
      </c>
      <c r="E2121" s="91">
        <f>IF(N('Deal maths'!M124)&gt;0,ROW()/10000000,"")</f>
        <v/>
      </c>
    </row>
    <row r="2122">
      <c r="A2122" s="91" t="n"/>
      <c r="B2122" s="111">
        <f>MAX(0,N('Deal maths'!M125))</f>
        <v/>
      </c>
      <c r="C2122" s="91">
        <f>IF(B2122&gt;0,IF('Deal maths'!L125="Local authority","Local authorities",LOWER(TRIM('Deal maths'!K125))),"")</f>
        <v/>
      </c>
      <c r="D2122" s="91">
        <f>IF(C2122="","",IF(COUNTIF($C$4:C2121,C2122)=0,SUMIF($C$4:$C$3997,C2122,$B$4:$B$3997)-ROW()/1000000,""))</f>
        <v/>
      </c>
      <c r="E2122" s="91">
        <f>IF(N('Deal maths'!M125)&gt;0,ROW()/10000000,"")</f>
        <v/>
      </c>
    </row>
    <row r="2123">
      <c r="A2123" s="91" t="n"/>
      <c r="B2123" s="111">
        <f>MAX(0,N('Deal maths'!M126))</f>
        <v/>
      </c>
      <c r="C2123" s="91">
        <f>IF(B2123&gt;0,IF('Deal maths'!L126="Local authority","Local authorities",LOWER(TRIM('Deal maths'!K126))),"")</f>
        <v/>
      </c>
      <c r="D2123" s="91">
        <f>IF(C2123="","",IF(COUNTIF($C$4:C2122,C2123)=0,SUMIF($C$4:$C$3997,C2123,$B$4:$B$3997)-ROW()/1000000,""))</f>
        <v/>
      </c>
      <c r="E2123" s="91">
        <f>IF(N('Deal maths'!M126)&gt;0,ROW()/10000000,"")</f>
        <v/>
      </c>
    </row>
    <row r="2124">
      <c r="A2124" s="91" t="n"/>
      <c r="B2124" s="111">
        <f>MAX(0,N('Deal maths'!M127))</f>
        <v/>
      </c>
      <c r="C2124" s="91">
        <f>IF(B2124&gt;0,IF('Deal maths'!L127="Local authority","Local authorities",LOWER(TRIM('Deal maths'!K127))),"")</f>
        <v/>
      </c>
      <c r="D2124" s="91">
        <f>IF(C2124="","",IF(COUNTIF($C$4:C2123,C2124)=0,SUMIF($C$4:$C$3997,C2124,$B$4:$B$3997)-ROW()/1000000,""))</f>
        <v/>
      </c>
      <c r="E2124" s="91">
        <f>IF(N('Deal maths'!M127)&gt;0,ROW()/10000000,"")</f>
        <v/>
      </c>
    </row>
    <row r="2125">
      <c r="A2125" s="91" t="n"/>
      <c r="B2125" s="111">
        <f>MAX(0,N('Deal maths'!M128))</f>
        <v/>
      </c>
      <c r="C2125" s="91">
        <f>IF(B2125&gt;0,IF('Deal maths'!L128="Local authority","Local authorities",LOWER(TRIM('Deal maths'!K128))),"")</f>
        <v/>
      </c>
      <c r="D2125" s="91">
        <f>IF(C2125="","",IF(COUNTIF($C$4:C2124,C2125)=0,SUMIF($C$4:$C$3997,C2125,$B$4:$B$3997)-ROW()/1000000,""))</f>
        <v/>
      </c>
      <c r="E2125" s="91">
        <f>IF(N('Deal maths'!M128)&gt;0,ROW()/10000000,"")</f>
        <v/>
      </c>
    </row>
    <row r="2126">
      <c r="A2126" s="91" t="n"/>
      <c r="B2126" s="111">
        <f>MAX(0,N('Deal maths'!M129))</f>
        <v/>
      </c>
      <c r="C2126" s="91">
        <f>IF(B2126&gt;0,IF('Deal maths'!L129="Local authority","Local authorities",LOWER(TRIM('Deal maths'!K129))),"")</f>
        <v/>
      </c>
      <c r="D2126" s="91">
        <f>IF(C2126="","",IF(COUNTIF($C$4:C2125,C2126)=0,SUMIF($C$4:$C$3997,C2126,$B$4:$B$3997)-ROW()/1000000,""))</f>
        <v/>
      </c>
      <c r="E2126" s="91">
        <f>IF(N('Deal maths'!M129)&gt;0,ROW()/10000000,"")</f>
        <v/>
      </c>
    </row>
    <row r="2127">
      <c r="A2127" s="91" t="n"/>
      <c r="B2127" s="111">
        <f>MAX(0,N('Deal maths'!M130))</f>
        <v/>
      </c>
      <c r="C2127" s="91">
        <f>IF(B2127&gt;0,IF('Deal maths'!L130="Local authority","Local authorities",LOWER(TRIM('Deal maths'!K130))),"")</f>
        <v/>
      </c>
      <c r="D2127" s="91">
        <f>IF(C2127="","",IF(COUNTIF($C$4:C2126,C2127)=0,SUMIF($C$4:$C$3997,C2127,$B$4:$B$3997)-ROW()/1000000,""))</f>
        <v/>
      </c>
      <c r="E2127" s="91">
        <f>IF(N('Deal maths'!M130)&gt;0,ROW()/10000000,"")</f>
        <v/>
      </c>
    </row>
    <row r="2128">
      <c r="A2128" s="91" t="n"/>
      <c r="B2128" s="111">
        <f>MAX(0,N('Deal maths'!M131))</f>
        <v/>
      </c>
      <c r="C2128" s="91">
        <f>IF(B2128&gt;0,IF('Deal maths'!L131="Local authority","Local authorities",LOWER(TRIM('Deal maths'!K131))),"")</f>
        <v/>
      </c>
      <c r="D2128" s="91">
        <f>IF(C2128="","",IF(COUNTIF($C$4:C2127,C2128)=0,SUMIF($C$4:$C$3997,C2128,$B$4:$B$3997)-ROW()/1000000,""))</f>
        <v/>
      </c>
      <c r="E2128" s="91">
        <f>IF(N('Deal maths'!M131)&gt;0,ROW()/10000000,"")</f>
        <v/>
      </c>
    </row>
    <row r="2129">
      <c r="A2129" s="91" t="n"/>
      <c r="B2129" s="111">
        <f>MAX(0,N('Deal maths'!M132))</f>
        <v/>
      </c>
      <c r="C2129" s="91">
        <f>IF(B2129&gt;0,IF('Deal maths'!L132="Local authority","Local authorities",LOWER(TRIM('Deal maths'!K132))),"")</f>
        <v/>
      </c>
      <c r="D2129" s="91">
        <f>IF(C2129="","",IF(COUNTIF($C$4:C2128,C2129)=0,SUMIF($C$4:$C$3997,C2129,$B$4:$B$3997)-ROW()/1000000,""))</f>
        <v/>
      </c>
      <c r="E2129" s="91">
        <f>IF(N('Deal maths'!M132)&gt;0,ROW()/10000000,"")</f>
        <v/>
      </c>
    </row>
    <row r="2130">
      <c r="A2130" s="91" t="n"/>
      <c r="B2130" s="111">
        <f>MAX(0,N('Deal maths'!M133))</f>
        <v/>
      </c>
      <c r="C2130" s="91">
        <f>IF(B2130&gt;0,IF('Deal maths'!L133="Local authority","Local authorities",LOWER(TRIM('Deal maths'!K133))),"")</f>
        <v/>
      </c>
      <c r="D2130" s="91">
        <f>IF(C2130="","",IF(COUNTIF($C$4:C2129,C2130)=0,SUMIF($C$4:$C$3997,C2130,$B$4:$B$3997)-ROW()/1000000,""))</f>
        <v/>
      </c>
      <c r="E2130" s="91">
        <f>IF(N('Deal maths'!M133)&gt;0,ROW()/10000000,"")</f>
        <v/>
      </c>
    </row>
    <row r="2131">
      <c r="A2131" s="91" t="n"/>
      <c r="B2131" s="111">
        <f>MAX(0,N('Deal maths'!M134))</f>
        <v/>
      </c>
      <c r="C2131" s="91">
        <f>IF(B2131&gt;0,IF('Deal maths'!L134="Local authority","Local authorities",LOWER(TRIM('Deal maths'!K134))),"")</f>
        <v/>
      </c>
      <c r="D2131" s="91">
        <f>IF(C2131="","",IF(COUNTIF($C$4:C2130,C2131)=0,SUMIF($C$4:$C$3997,C2131,$B$4:$B$3997)-ROW()/1000000,""))</f>
        <v/>
      </c>
      <c r="E2131" s="91">
        <f>IF(N('Deal maths'!M134)&gt;0,ROW()/10000000,"")</f>
        <v/>
      </c>
    </row>
    <row r="2132">
      <c r="A2132" s="91" t="n"/>
      <c r="B2132" s="111">
        <f>MAX(0,N('Deal maths'!M135))</f>
        <v/>
      </c>
      <c r="C2132" s="91">
        <f>IF(B2132&gt;0,IF('Deal maths'!L135="Local authority","Local authorities",LOWER(TRIM('Deal maths'!K135))),"")</f>
        <v/>
      </c>
      <c r="D2132" s="91">
        <f>IF(C2132="","",IF(COUNTIF($C$4:C2131,C2132)=0,SUMIF($C$4:$C$3997,C2132,$B$4:$B$3997)-ROW()/1000000,""))</f>
        <v/>
      </c>
      <c r="E2132" s="91">
        <f>IF(N('Deal maths'!M135)&gt;0,ROW()/10000000,"")</f>
        <v/>
      </c>
    </row>
    <row r="2133">
      <c r="A2133" s="91" t="n"/>
      <c r="B2133" s="111">
        <f>MAX(0,N('Deal maths'!M136))</f>
        <v/>
      </c>
      <c r="C2133" s="91">
        <f>IF(B2133&gt;0,IF('Deal maths'!L136="Local authority","Local authorities",LOWER(TRIM('Deal maths'!K136))),"")</f>
        <v/>
      </c>
      <c r="D2133" s="91">
        <f>IF(C2133="","",IF(COUNTIF($C$4:C2132,C2133)=0,SUMIF($C$4:$C$3997,C2133,$B$4:$B$3997)-ROW()/1000000,""))</f>
        <v/>
      </c>
      <c r="E2133" s="91">
        <f>IF(N('Deal maths'!M136)&gt;0,ROW()/10000000,"")</f>
        <v/>
      </c>
    </row>
    <row r="2134">
      <c r="A2134" s="91" t="n"/>
      <c r="B2134" s="111">
        <f>MAX(0,N('Deal maths'!M137))</f>
        <v/>
      </c>
      <c r="C2134" s="91">
        <f>IF(B2134&gt;0,IF('Deal maths'!L137="Local authority","Local authorities",LOWER(TRIM('Deal maths'!K137))),"")</f>
        <v/>
      </c>
      <c r="D2134" s="91">
        <f>IF(C2134="","",IF(COUNTIF($C$4:C2133,C2134)=0,SUMIF($C$4:$C$3997,C2134,$B$4:$B$3997)-ROW()/1000000,""))</f>
        <v/>
      </c>
      <c r="E2134" s="91">
        <f>IF(N('Deal maths'!M137)&gt;0,ROW()/10000000,"")</f>
        <v/>
      </c>
    </row>
    <row r="2135">
      <c r="A2135" s="91" t="n"/>
      <c r="B2135" s="111">
        <f>MAX(0,N('Deal maths'!M138))</f>
        <v/>
      </c>
      <c r="C2135" s="91">
        <f>IF(B2135&gt;0,IF('Deal maths'!L138="Local authority","Local authorities",LOWER(TRIM('Deal maths'!K138))),"")</f>
        <v/>
      </c>
      <c r="D2135" s="91">
        <f>IF(C2135="","",IF(COUNTIF($C$4:C2134,C2135)=0,SUMIF($C$4:$C$3997,C2135,$B$4:$B$3997)-ROW()/1000000,""))</f>
        <v/>
      </c>
      <c r="E2135" s="91">
        <f>IF(N('Deal maths'!M138)&gt;0,ROW()/10000000,"")</f>
        <v/>
      </c>
    </row>
    <row r="2136">
      <c r="A2136" s="91" t="n"/>
      <c r="B2136" s="111">
        <f>MAX(0,N('Deal maths'!M139))</f>
        <v/>
      </c>
      <c r="C2136" s="91">
        <f>IF(B2136&gt;0,IF('Deal maths'!L139="Local authority","Local authorities",LOWER(TRIM('Deal maths'!K139))),"")</f>
        <v/>
      </c>
      <c r="D2136" s="91">
        <f>IF(C2136="","",IF(COUNTIF($C$4:C2135,C2136)=0,SUMIF($C$4:$C$3997,C2136,$B$4:$B$3997)-ROW()/1000000,""))</f>
        <v/>
      </c>
      <c r="E2136" s="91">
        <f>IF(N('Deal maths'!M139)&gt;0,ROW()/10000000,"")</f>
        <v/>
      </c>
    </row>
    <row r="2137">
      <c r="A2137" s="91" t="n"/>
      <c r="B2137" s="111">
        <f>MAX(0,N('Deal maths'!M140))</f>
        <v/>
      </c>
      <c r="C2137" s="91">
        <f>IF(B2137&gt;0,IF('Deal maths'!L140="Local authority","Local authorities",LOWER(TRIM('Deal maths'!K140))),"")</f>
        <v/>
      </c>
      <c r="D2137" s="91">
        <f>IF(C2137="","",IF(COUNTIF($C$4:C2136,C2137)=0,SUMIF($C$4:$C$3997,C2137,$B$4:$B$3997)-ROW()/1000000,""))</f>
        <v/>
      </c>
      <c r="E2137" s="91">
        <f>IF(N('Deal maths'!M140)&gt;0,ROW()/10000000,"")</f>
        <v/>
      </c>
    </row>
    <row r="2138">
      <c r="A2138" s="91" t="n"/>
      <c r="B2138" s="111">
        <f>MAX(0,N('Deal maths'!M141))</f>
        <v/>
      </c>
      <c r="C2138" s="91">
        <f>IF(B2138&gt;0,IF('Deal maths'!L141="Local authority","Local authorities",LOWER(TRIM('Deal maths'!K141))),"")</f>
        <v/>
      </c>
      <c r="D2138" s="91">
        <f>IF(C2138="","",IF(COUNTIF($C$4:C2137,C2138)=0,SUMIF($C$4:$C$3997,C2138,$B$4:$B$3997)-ROW()/1000000,""))</f>
        <v/>
      </c>
      <c r="E2138" s="91">
        <f>IF(N('Deal maths'!M141)&gt;0,ROW()/10000000,"")</f>
        <v/>
      </c>
    </row>
    <row r="2139">
      <c r="A2139" s="91" t="n"/>
      <c r="B2139" s="111">
        <f>MAX(0,N('Deal maths'!M142))</f>
        <v/>
      </c>
      <c r="C2139" s="91">
        <f>IF(B2139&gt;0,IF('Deal maths'!L142="Local authority","Local authorities",LOWER(TRIM('Deal maths'!K142))),"")</f>
        <v/>
      </c>
      <c r="D2139" s="91">
        <f>IF(C2139="","",IF(COUNTIF($C$4:C2138,C2139)=0,SUMIF($C$4:$C$3997,C2139,$B$4:$B$3997)-ROW()/1000000,""))</f>
        <v/>
      </c>
      <c r="E2139" s="91">
        <f>IF(N('Deal maths'!M142)&gt;0,ROW()/10000000,"")</f>
        <v/>
      </c>
    </row>
    <row r="2140">
      <c r="A2140" s="91" t="n"/>
      <c r="B2140" s="111">
        <f>MAX(0,N('Deal maths'!M143))</f>
        <v/>
      </c>
      <c r="C2140" s="91">
        <f>IF(B2140&gt;0,IF('Deal maths'!L143="Local authority","Local authorities",LOWER(TRIM('Deal maths'!K143))),"")</f>
        <v/>
      </c>
      <c r="D2140" s="91">
        <f>IF(C2140="","",IF(COUNTIF($C$4:C2139,C2140)=0,SUMIF($C$4:$C$3997,C2140,$B$4:$B$3997)-ROW()/1000000,""))</f>
        <v/>
      </c>
      <c r="E2140" s="91">
        <f>IF(N('Deal maths'!M143)&gt;0,ROW()/10000000,"")</f>
        <v/>
      </c>
    </row>
    <row r="2141">
      <c r="A2141" s="91" t="n"/>
      <c r="B2141" s="111">
        <f>MAX(0,N('Deal maths'!M144))</f>
        <v/>
      </c>
      <c r="C2141" s="91">
        <f>IF(B2141&gt;0,IF('Deal maths'!L144="Local authority","Local authorities",LOWER(TRIM('Deal maths'!K144))),"")</f>
        <v/>
      </c>
      <c r="D2141" s="91">
        <f>IF(C2141="","",IF(COUNTIF($C$4:C2140,C2141)=0,SUMIF($C$4:$C$3997,C2141,$B$4:$B$3997)-ROW()/1000000,""))</f>
        <v/>
      </c>
      <c r="E2141" s="91">
        <f>IF(N('Deal maths'!M144)&gt;0,ROW()/10000000,"")</f>
        <v/>
      </c>
    </row>
    <row r="2142">
      <c r="A2142" s="91" t="n"/>
      <c r="B2142" s="111">
        <f>MAX(0,N('Deal maths'!M145))</f>
        <v/>
      </c>
      <c r="C2142" s="91">
        <f>IF(B2142&gt;0,IF('Deal maths'!L145="Local authority","Local authorities",LOWER(TRIM('Deal maths'!K145))),"")</f>
        <v/>
      </c>
      <c r="D2142" s="91">
        <f>IF(C2142="","",IF(COUNTIF($C$4:C2141,C2142)=0,SUMIF($C$4:$C$3997,C2142,$B$4:$B$3997)-ROW()/1000000,""))</f>
        <v/>
      </c>
      <c r="E2142" s="91">
        <f>IF(N('Deal maths'!M145)&gt;0,ROW()/10000000,"")</f>
        <v/>
      </c>
    </row>
    <row r="2143">
      <c r="A2143" s="91" t="n"/>
      <c r="B2143" s="111">
        <f>MAX(0,N('Deal maths'!M146))</f>
        <v/>
      </c>
      <c r="C2143" s="91">
        <f>IF(B2143&gt;0,IF('Deal maths'!L146="Local authority","Local authorities",LOWER(TRIM('Deal maths'!K146))),"")</f>
        <v/>
      </c>
      <c r="D2143" s="91">
        <f>IF(C2143="","",IF(COUNTIF($C$4:C2142,C2143)=0,SUMIF($C$4:$C$3997,C2143,$B$4:$B$3997)-ROW()/1000000,""))</f>
        <v/>
      </c>
      <c r="E2143" s="91">
        <f>IF(N('Deal maths'!M146)&gt;0,ROW()/10000000,"")</f>
        <v/>
      </c>
    </row>
    <row r="2144">
      <c r="A2144" s="91" t="n"/>
      <c r="B2144" s="111">
        <f>MAX(0,N('Deal maths'!M147))</f>
        <v/>
      </c>
      <c r="C2144" s="91">
        <f>IF(B2144&gt;0,IF('Deal maths'!L147="Local authority","Local authorities",LOWER(TRIM('Deal maths'!K147))),"")</f>
        <v/>
      </c>
      <c r="D2144" s="91">
        <f>IF(C2144="","",IF(COUNTIF($C$4:C2143,C2144)=0,SUMIF($C$4:$C$3997,C2144,$B$4:$B$3997)-ROW()/1000000,""))</f>
        <v/>
      </c>
      <c r="E2144" s="91">
        <f>IF(N('Deal maths'!M147)&gt;0,ROW()/10000000,"")</f>
        <v/>
      </c>
    </row>
    <row r="2145">
      <c r="A2145" s="91" t="n"/>
      <c r="B2145" s="111">
        <f>MAX(0,N('Deal maths'!M148))</f>
        <v/>
      </c>
      <c r="C2145" s="91">
        <f>IF(B2145&gt;0,IF('Deal maths'!L148="Local authority","Local authorities",LOWER(TRIM('Deal maths'!K148))),"")</f>
        <v/>
      </c>
      <c r="D2145" s="91">
        <f>IF(C2145="","",IF(COUNTIF($C$4:C2144,C2145)=0,SUMIF($C$4:$C$3997,C2145,$B$4:$B$3997)-ROW()/1000000,""))</f>
        <v/>
      </c>
      <c r="E2145" s="91">
        <f>IF(N('Deal maths'!M148)&gt;0,ROW()/10000000,"")</f>
        <v/>
      </c>
    </row>
    <row r="2146">
      <c r="A2146" s="91" t="n"/>
      <c r="B2146" s="111">
        <f>MAX(0,N('Deal maths'!M149))</f>
        <v/>
      </c>
      <c r="C2146" s="91">
        <f>IF(B2146&gt;0,IF('Deal maths'!L149="Local authority","Local authorities",LOWER(TRIM('Deal maths'!K149))),"")</f>
        <v/>
      </c>
      <c r="D2146" s="91">
        <f>IF(C2146="","",IF(COUNTIF($C$4:C2145,C2146)=0,SUMIF($C$4:$C$3997,C2146,$B$4:$B$3997)-ROW()/1000000,""))</f>
        <v/>
      </c>
      <c r="E2146" s="91">
        <f>IF(N('Deal maths'!M149)&gt;0,ROW()/10000000,"")</f>
        <v/>
      </c>
    </row>
    <row r="2147">
      <c r="A2147" s="91" t="n"/>
      <c r="B2147" s="111">
        <f>MAX(0,N('Deal maths'!M150))</f>
        <v/>
      </c>
      <c r="C2147" s="91">
        <f>IF(B2147&gt;0,IF('Deal maths'!L150="Local authority","Local authorities",LOWER(TRIM('Deal maths'!K150))),"")</f>
        <v/>
      </c>
      <c r="D2147" s="91">
        <f>IF(C2147="","",IF(COUNTIF($C$4:C2146,C2147)=0,SUMIF($C$4:$C$3997,C2147,$B$4:$B$3997)-ROW()/1000000,""))</f>
        <v/>
      </c>
      <c r="E2147" s="91">
        <f>IF(N('Deal maths'!M150)&gt;0,ROW()/10000000,"")</f>
        <v/>
      </c>
    </row>
    <row r="2148">
      <c r="A2148" s="91" t="n"/>
      <c r="B2148" s="111">
        <f>MAX(0,N('Deal maths'!M151))</f>
        <v/>
      </c>
      <c r="C2148" s="91">
        <f>IF(B2148&gt;0,IF('Deal maths'!L151="Local authority","Local authorities",LOWER(TRIM('Deal maths'!K151))),"")</f>
        <v/>
      </c>
      <c r="D2148" s="91">
        <f>IF(C2148="","",IF(COUNTIF($C$4:C2147,C2148)=0,SUMIF($C$4:$C$3997,C2148,$B$4:$B$3997)-ROW()/1000000,""))</f>
        <v/>
      </c>
      <c r="E2148" s="91">
        <f>IF(N('Deal maths'!M151)&gt;0,ROW()/10000000,"")</f>
        <v/>
      </c>
    </row>
    <row r="2149">
      <c r="A2149" s="91" t="n"/>
      <c r="B2149" s="111">
        <f>MAX(0,N('Deal maths'!M152))</f>
        <v/>
      </c>
      <c r="C2149" s="91">
        <f>IF(B2149&gt;0,IF('Deal maths'!L152="Local authority","Local authorities",LOWER(TRIM('Deal maths'!K152))),"")</f>
        <v/>
      </c>
      <c r="D2149" s="91">
        <f>IF(C2149="","",IF(COUNTIF($C$4:C2148,C2149)=0,SUMIF($C$4:$C$3997,C2149,$B$4:$B$3997)-ROW()/1000000,""))</f>
        <v/>
      </c>
      <c r="E2149" s="91">
        <f>IF(N('Deal maths'!M152)&gt;0,ROW()/10000000,"")</f>
        <v/>
      </c>
    </row>
    <row r="2150">
      <c r="A2150" s="91" t="n"/>
      <c r="B2150" s="111">
        <f>MAX(0,N('Deal maths'!M153))</f>
        <v/>
      </c>
      <c r="C2150" s="91">
        <f>IF(B2150&gt;0,IF('Deal maths'!L153="Local authority","Local authorities",LOWER(TRIM('Deal maths'!K153))),"")</f>
        <v/>
      </c>
      <c r="D2150" s="91">
        <f>IF(C2150="","",IF(COUNTIF($C$4:C2149,C2150)=0,SUMIF($C$4:$C$3997,C2150,$B$4:$B$3997)-ROW()/1000000,""))</f>
        <v/>
      </c>
      <c r="E2150" s="91">
        <f>IF(N('Deal maths'!M153)&gt;0,ROW()/10000000,"")</f>
        <v/>
      </c>
    </row>
    <row r="2151">
      <c r="A2151" s="91" t="n"/>
      <c r="B2151" s="111">
        <f>MAX(0,N('Deal maths'!M154))</f>
        <v/>
      </c>
      <c r="C2151" s="91">
        <f>IF(B2151&gt;0,IF('Deal maths'!L154="Local authority","Local authorities",LOWER(TRIM('Deal maths'!K154))),"")</f>
        <v/>
      </c>
      <c r="D2151" s="91">
        <f>IF(C2151="","",IF(COUNTIF($C$4:C2150,C2151)=0,SUMIF($C$4:$C$3997,C2151,$B$4:$B$3997)-ROW()/1000000,""))</f>
        <v/>
      </c>
      <c r="E2151" s="91">
        <f>IF(N('Deal maths'!M154)&gt;0,ROW()/10000000,"")</f>
        <v/>
      </c>
    </row>
    <row r="2152">
      <c r="A2152" s="91" t="n"/>
      <c r="B2152" s="111">
        <f>MAX(0,N('Deal maths'!M155))</f>
        <v/>
      </c>
      <c r="C2152" s="91">
        <f>IF(B2152&gt;0,IF('Deal maths'!L155="Local authority","Local authorities",LOWER(TRIM('Deal maths'!K155))),"")</f>
        <v/>
      </c>
      <c r="D2152" s="91">
        <f>IF(C2152="","",IF(COUNTIF($C$4:C2151,C2152)=0,SUMIF($C$4:$C$3997,C2152,$B$4:$B$3997)-ROW()/1000000,""))</f>
        <v/>
      </c>
      <c r="E2152" s="91">
        <f>IF(N('Deal maths'!M155)&gt;0,ROW()/10000000,"")</f>
        <v/>
      </c>
    </row>
    <row r="2153">
      <c r="A2153" s="91" t="n"/>
      <c r="B2153" s="111">
        <f>MAX(0,N('Deal maths'!M156))</f>
        <v/>
      </c>
      <c r="C2153" s="91">
        <f>IF(B2153&gt;0,IF('Deal maths'!L156="Local authority","Local authorities",LOWER(TRIM('Deal maths'!K156))),"")</f>
        <v/>
      </c>
      <c r="D2153" s="91">
        <f>IF(C2153="","",IF(COUNTIF($C$4:C2152,C2153)=0,SUMIF($C$4:$C$3997,C2153,$B$4:$B$3997)-ROW()/1000000,""))</f>
        <v/>
      </c>
      <c r="E2153" s="91">
        <f>IF(N('Deal maths'!M156)&gt;0,ROW()/10000000,"")</f>
        <v/>
      </c>
    </row>
    <row r="2154">
      <c r="A2154" s="91" t="n"/>
      <c r="B2154" s="111">
        <f>MAX(0,N('Deal maths'!M157))</f>
        <v/>
      </c>
      <c r="C2154" s="91">
        <f>IF(B2154&gt;0,IF('Deal maths'!L157="Local authority","Local authorities",LOWER(TRIM('Deal maths'!K157))),"")</f>
        <v/>
      </c>
      <c r="D2154" s="91">
        <f>IF(C2154="","",IF(COUNTIF($C$4:C2153,C2154)=0,SUMIF($C$4:$C$3997,C2154,$B$4:$B$3997)-ROW()/1000000,""))</f>
        <v/>
      </c>
      <c r="E2154" s="91">
        <f>IF(N('Deal maths'!M157)&gt;0,ROW()/10000000,"")</f>
        <v/>
      </c>
    </row>
    <row r="2155">
      <c r="A2155" s="91" t="n"/>
      <c r="B2155" s="111">
        <f>MAX(0,N('Deal maths'!M158))</f>
        <v/>
      </c>
      <c r="C2155" s="91">
        <f>IF(B2155&gt;0,IF('Deal maths'!L158="Local authority","Local authorities",LOWER(TRIM('Deal maths'!K158))),"")</f>
        <v/>
      </c>
      <c r="D2155" s="91">
        <f>IF(C2155="","",IF(COUNTIF($C$4:C2154,C2155)=0,SUMIF($C$4:$C$3997,C2155,$B$4:$B$3997)-ROW()/1000000,""))</f>
        <v/>
      </c>
      <c r="E2155" s="91">
        <f>IF(N('Deal maths'!M158)&gt;0,ROW()/10000000,"")</f>
        <v/>
      </c>
    </row>
    <row r="2156">
      <c r="A2156" s="91" t="n"/>
      <c r="B2156" s="111">
        <f>MAX(0,N('Deal maths'!M159))</f>
        <v/>
      </c>
      <c r="C2156" s="91">
        <f>IF(B2156&gt;0,IF('Deal maths'!L159="Local authority","Local authorities",LOWER(TRIM('Deal maths'!K159))),"")</f>
        <v/>
      </c>
      <c r="D2156" s="91">
        <f>IF(C2156="","",IF(COUNTIF($C$4:C2155,C2156)=0,SUMIF($C$4:$C$3997,C2156,$B$4:$B$3997)-ROW()/1000000,""))</f>
        <v/>
      </c>
      <c r="E2156" s="91">
        <f>IF(N('Deal maths'!M159)&gt;0,ROW()/10000000,"")</f>
        <v/>
      </c>
    </row>
    <row r="2157">
      <c r="A2157" s="91" t="n"/>
      <c r="B2157" s="111">
        <f>MAX(0,N('Deal maths'!M160))</f>
        <v/>
      </c>
      <c r="C2157" s="91">
        <f>IF(B2157&gt;0,IF('Deal maths'!L160="Local authority","Local authorities",LOWER(TRIM('Deal maths'!K160))),"")</f>
        <v/>
      </c>
      <c r="D2157" s="91">
        <f>IF(C2157="","",IF(COUNTIF($C$4:C2156,C2157)=0,SUMIF($C$4:$C$3997,C2157,$B$4:$B$3997)-ROW()/1000000,""))</f>
        <v/>
      </c>
      <c r="E2157" s="91">
        <f>IF(N('Deal maths'!M160)&gt;0,ROW()/10000000,"")</f>
        <v/>
      </c>
    </row>
    <row r="2158">
      <c r="A2158" s="91" t="n"/>
      <c r="B2158" s="111">
        <f>MAX(0,N('Deal maths'!M161))</f>
        <v/>
      </c>
      <c r="C2158" s="91">
        <f>IF(B2158&gt;0,IF('Deal maths'!L161="Local authority","Local authorities",LOWER(TRIM('Deal maths'!K161))),"")</f>
        <v/>
      </c>
      <c r="D2158" s="91">
        <f>IF(C2158="","",IF(COUNTIF($C$4:C2157,C2158)=0,SUMIF($C$4:$C$3997,C2158,$B$4:$B$3997)-ROW()/1000000,""))</f>
        <v/>
      </c>
      <c r="E2158" s="91">
        <f>IF(N('Deal maths'!M161)&gt;0,ROW()/10000000,"")</f>
        <v/>
      </c>
    </row>
    <row r="2159">
      <c r="A2159" s="91" t="n"/>
      <c r="B2159" s="111">
        <f>MAX(0,N('Deal maths'!M162))</f>
        <v/>
      </c>
      <c r="C2159" s="91">
        <f>IF(B2159&gt;0,IF('Deal maths'!L162="Local authority","Local authorities",LOWER(TRIM('Deal maths'!K162))),"")</f>
        <v/>
      </c>
      <c r="D2159" s="91">
        <f>IF(C2159="","",IF(COUNTIF($C$4:C2158,C2159)=0,SUMIF($C$4:$C$3997,C2159,$B$4:$B$3997)-ROW()/1000000,""))</f>
        <v/>
      </c>
      <c r="E2159" s="91">
        <f>IF(N('Deal maths'!M162)&gt;0,ROW()/10000000,"")</f>
        <v/>
      </c>
    </row>
    <row r="2160">
      <c r="A2160" s="91" t="n"/>
      <c r="B2160" s="111">
        <f>MAX(0,N('Deal maths'!M163))</f>
        <v/>
      </c>
      <c r="C2160" s="91">
        <f>IF(B2160&gt;0,IF('Deal maths'!L163="Local authority","Local authorities",LOWER(TRIM('Deal maths'!K163))),"")</f>
        <v/>
      </c>
      <c r="D2160" s="91">
        <f>IF(C2160="","",IF(COUNTIF($C$4:C2159,C2160)=0,SUMIF($C$4:$C$3997,C2160,$B$4:$B$3997)-ROW()/1000000,""))</f>
        <v/>
      </c>
      <c r="E2160" s="91">
        <f>IF(N('Deal maths'!M163)&gt;0,ROW()/10000000,"")</f>
        <v/>
      </c>
    </row>
    <row r="2161">
      <c r="A2161" s="91" t="n"/>
      <c r="B2161" s="111">
        <f>MAX(0,N('Deal maths'!M164))</f>
        <v/>
      </c>
      <c r="C2161" s="91">
        <f>IF(B2161&gt;0,IF('Deal maths'!L164="Local authority","Local authorities",LOWER(TRIM('Deal maths'!K164))),"")</f>
        <v/>
      </c>
      <c r="D2161" s="91">
        <f>IF(C2161="","",IF(COUNTIF($C$4:C2160,C2161)=0,SUMIF($C$4:$C$3997,C2161,$B$4:$B$3997)-ROW()/1000000,""))</f>
        <v/>
      </c>
      <c r="E2161" s="91">
        <f>IF(N('Deal maths'!M164)&gt;0,ROW()/10000000,"")</f>
        <v/>
      </c>
    </row>
    <row r="2162">
      <c r="A2162" s="91" t="n"/>
      <c r="B2162" s="111">
        <f>MAX(0,N('Deal maths'!M165))</f>
        <v/>
      </c>
      <c r="C2162" s="91">
        <f>IF(B2162&gt;0,IF('Deal maths'!L165="Local authority","Local authorities",LOWER(TRIM('Deal maths'!K165))),"")</f>
        <v/>
      </c>
      <c r="D2162" s="91">
        <f>IF(C2162="","",IF(COUNTIF($C$4:C2161,C2162)=0,SUMIF($C$4:$C$3997,C2162,$B$4:$B$3997)-ROW()/1000000,""))</f>
        <v/>
      </c>
      <c r="E2162" s="91">
        <f>IF(N('Deal maths'!M165)&gt;0,ROW()/10000000,"")</f>
        <v/>
      </c>
    </row>
    <row r="2163">
      <c r="A2163" s="91" t="n"/>
      <c r="B2163" s="111">
        <f>MAX(0,N('Deal maths'!M166))</f>
        <v/>
      </c>
      <c r="C2163" s="91">
        <f>IF(B2163&gt;0,IF('Deal maths'!L166="Local authority","Local authorities",LOWER(TRIM('Deal maths'!K166))),"")</f>
        <v/>
      </c>
      <c r="D2163" s="91">
        <f>IF(C2163="","",IF(COUNTIF($C$4:C2162,C2163)=0,SUMIF($C$4:$C$3997,C2163,$B$4:$B$3997)-ROW()/1000000,""))</f>
        <v/>
      </c>
      <c r="E2163" s="91">
        <f>IF(N('Deal maths'!M166)&gt;0,ROW()/10000000,"")</f>
        <v/>
      </c>
    </row>
    <row r="2164">
      <c r="A2164" s="91" t="n"/>
      <c r="B2164" s="111">
        <f>MAX(0,N('Deal maths'!M167))</f>
        <v/>
      </c>
      <c r="C2164" s="91">
        <f>IF(B2164&gt;0,IF('Deal maths'!L167="Local authority","Local authorities",LOWER(TRIM('Deal maths'!K167))),"")</f>
        <v/>
      </c>
      <c r="D2164" s="91">
        <f>IF(C2164="","",IF(COUNTIF($C$4:C2163,C2164)=0,SUMIF($C$4:$C$3997,C2164,$B$4:$B$3997)-ROW()/1000000,""))</f>
        <v/>
      </c>
      <c r="E2164" s="91">
        <f>IF(N('Deal maths'!M167)&gt;0,ROW()/10000000,"")</f>
        <v/>
      </c>
    </row>
    <row r="2165">
      <c r="A2165" s="91" t="n"/>
      <c r="B2165" s="111">
        <f>MAX(0,N('Deal maths'!M168))</f>
        <v/>
      </c>
      <c r="C2165" s="91">
        <f>IF(B2165&gt;0,IF('Deal maths'!L168="Local authority","Local authorities",LOWER(TRIM('Deal maths'!K168))),"")</f>
        <v/>
      </c>
      <c r="D2165" s="91">
        <f>IF(C2165="","",IF(COUNTIF($C$4:C2164,C2165)=0,SUMIF($C$4:$C$3997,C2165,$B$4:$B$3997)-ROW()/1000000,""))</f>
        <v/>
      </c>
      <c r="E2165" s="91">
        <f>IF(N('Deal maths'!M168)&gt;0,ROW()/10000000,"")</f>
        <v/>
      </c>
    </row>
    <row r="2166">
      <c r="A2166" s="91" t="n"/>
      <c r="B2166" s="111">
        <f>MAX(0,N('Deal maths'!M169))</f>
        <v/>
      </c>
      <c r="C2166" s="91">
        <f>IF(B2166&gt;0,IF('Deal maths'!L169="Local authority","Local authorities",LOWER(TRIM('Deal maths'!K169))),"")</f>
        <v/>
      </c>
      <c r="D2166" s="91">
        <f>IF(C2166="","",IF(COUNTIF($C$4:C2165,C2166)=0,SUMIF($C$4:$C$3997,C2166,$B$4:$B$3997)-ROW()/1000000,""))</f>
        <v/>
      </c>
      <c r="E2166" s="91">
        <f>IF(N('Deal maths'!M169)&gt;0,ROW()/10000000,"")</f>
        <v/>
      </c>
    </row>
    <row r="2167">
      <c r="A2167" s="91" t="n"/>
      <c r="B2167" s="111">
        <f>MAX(0,N('Deal maths'!M170))</f>
        <v/>
      </c>
      <c r="C2167" s="91">
        <f>IF(B2167&gt;0,IF('Deal maths'!L170="Local authority","Local authorities",LOWER(TRIM('Deal maths'!K170))),"")</f>
        <v/>
      </c>
      <c r="D2167" s="91">
        <f>IF(C2167="","",IF(COUNTIF($C$4:C2166,C2167)=0,SUMIF($C$4:$C$3997,C2167,$B$4:$B$3997)-ROW()/1000000,""))</f>
        <v/>
      </c>
      <c r="E2167" s="91">
        <f>IF(N('Deal maths'!M170)&gt;0,ROW()/10000000,"")</f>
        <v/>
      </c>
    </row>
    <row r="2168">
      <c r="A2168" s="91" t="n"/>
      <c r="B2168" s="111">
        <f>MAX(0,N('Deal maths'!M171))</f>
        <v/>
      </c>
      <c r="C2168" s="91">
        <f>IF(B2168&gt;0,IF('Deal maths'!L171="Local authority","Local authorities",LOWER(TRIM('Deal maths'!K171))),"")</f>
        <v/>
      </c>
      <c r="D2168" s="91">
        <f>IF(C2168="","",IF(COUNTIF($C$4:C2167,C2168)=0,SUMIF($C$4:$C$3997,C2168,$B$4:$B$3997)-ROW()/1000000,""))</f>
        <v/>
      </c>
      <c r="E2168" s="91">
        <f>IF(N('Deal maths'!M171)&gt;0,ROW()/10000000,"")</f>
        <v/>
      </c>
    </row>
    <row r="2169">
      <c r="A2169" s="91" t="n"/>
      <c r="B2169" s="111">
        <f>MAX(0,N('Deal maths'!M172))</f>
        <v/>
      </c>
      <c r="C2169" s="91">
        <f>IF(B2169&gt;0,IF('Deal maths'!L172="Local authority","Local authorities",LOWER(TRIM('Deal maths'!K172))),"")</f>
        <v/>
      </c>
      <c r="D2169" s="91">
        <f>IF(C2169="","",IF(COUNTIF($C$4:C2168,C2169)=0,SUMIF($C$4:$C$3997,C2169,$B$4:$B$3997)-ROW()/1000000,""))</f>
        <v/>
      </c>
      <c r="E2169" s="91">
        <f>IF(N('Deal maths'!M172)&gt;0,ROW()/10000000,"")</f>
        <v/>
      </c>
    </row>
    <row r="2170">
      <c r="A2170" s="91" t="n"/>
      <c r="B2170" s="111">
        <f>MAX(0,N('Deal maths'!M173))</f>
        <v/>
      </c>
      <c r="C2170" s="91">
        <f>IF(B2170&gt;0,IF('Deal maths'!L173="Local authority","Local authorities",LOWER(TRIM('Deal maths'!K173))),"")</f>
        <v/>
      </c>
      <c r="D2170" s="91">
        <f>IF(C2170="","",IF(COUNTIF($C$4:C2169,C2170)=0,SUMIF($C$4:$C$3997,C2170,$B$4:$B$3997)-ROW()/1000000,""))</f>
        <v/>
      </c>
      <c r="E2170" s="91">
        <f>IF(N('Deal maths'!M173)&gt;0,ROW()/10000000,"")</f>
        <v/>
      </c>
    </row>
    <row r="2171">
      <c r="A2171" s="91" t="n"/>
      <c r="B2171" s="111">
        <f>MAX(0,N('Deal maths'!M174))</f>
        <v/>
      </c>
      <c r="C2171" s="91">
        <f>IF(B2171&gt;0,IF('Deal maths'!L174="Local authority","Local authorities",LOWER(TRIM('Deal maths'!K174))),"")</f>
        <v/>
      </c>
      <c r="D2171" s="91">
        <f>IF(C2171="","",IF(COUNTIF($C$4:C2170,C2171)=0,SUMIF($C$4:$C$3997,C2171,$B$4:$B$3997)-ROW()/1000000,""))</f>
        <v/>
      </c>
      <c r="E2171" s="91">
        <f>IF(N('Deal maths'!M174)&gt;0,ROW()/10000000,"")</f>
        <v/>
      </c>
    </row>
    <row r="2172">
      <c r="A2172" s="91" t="n"/>
      <c r="B2172" s="111">
        <f>MAX(0,N('Deal maths'!M175))</f>
        <v/>
      </c>
      <c r="C2172" s="91">
        <f>IF(B2172&gt;0,IF('Deal maths'!L175="Local authority","Local authorities",LOWER(TRIM('Deal maths'!K175))),"")</f>
        <v/>
      </c>
      <c r="D2172" s="91">
        <f>IF(C2172="","",IF(COUNTIF($C$4:C2171,C2172)=0,SUMIF($C$4:$C$3997,C2172,$B$4:$B$3997)-ROW()/1000000,""))</f>
        <v/>
      </c>
      <c r="E2172" s="91">
        <f>IF(N('Deal maths'!M175)&gt;0,ROW()/10000000,"")</f>
        <v/>
      </c>
    </row>
    <row r="2173">
      <c r="A2173" s="91" t="n"/>
      <c r="B2173" s="111">
        <f>MAX(0,N('Deal maths'!M176))</f>
        <v/>
      </c>
      <c r="C2173" s="91">
        <f>IF(B2173&gt;0,IF('Deal maths'!L176="Local authority","Local authorities",LOWER(TRIM('Deal maths'!K176))),"")</f>
        <v/>
      </c>
      <c r="D2173" s="91">
        <f>IF(C2173="","",IF(COUNTIF($C$4:C2172,C2173)=0,SUMIF($C$4:$C$3997,C2173,$B$4:$B$3997)-ROW()/1000000,""))</f>
        <v/>
      </c>
      <c r="E2173" s="91">
        <f>IF(N('Deal maths'!M176)&gt;0,ROW()/10000000,"")</f>
        <v/>
      </c>
    </row>
    <row r="2174">
      <c r="A2174" s="91" t="n"/>
      <c r="B2174" s="111">
        <f>MAX(0,N('Deal maths'!M177))</f>
        <v/>
      </c>
      <c r="C2174" s="91">
        <f>IF(B2174&gt;0,IF('Deal maths'!L177="Local authority","Local authorities",LOWER(TRIM('Deal maths'!K177))),"")</f>
        <v/>
      </c>
      <c r="D2174" s="91">
        <f>IF(C2174="","",IF(COUNTIF($C$4:C2173,C2174)=0,SUMIF($C$4:$C$3997,C2174,$B$4:$B$3997)-ROW()/1000000,""))</f>
        <v/>
      </c>
      <c r="E2174" s="91">
        <f>IF(N('Deal maths'!M177)&gt;0,ROW()/10000000,"")</f>
        <v/>
      </c>
    </row>
    <row r="2175">
      <c r="A2175" s="91" t="n"/>
      <c r="B2175" s="111">
        <f>MAX(0,N('Deal maths'!M178))</f>
        <v/>
      </c>
      <c r="C2175" s="91">
        <f>IF(B2175&gt;0,IF('Deal maths'!L178="Local authority","Local authorities",LOWER(TRIM('Deal maths'!K178))),"")</f>
        <v/>
      </c>
      <c r="D2175" s="91">
        <f>IF(C2175="","",IF(COUNTIF($C$4:C2174,C2175)=0,SUMIF($C$4:$C$3997,C2175,$B$4:$B$3997)-ROW()/1000000,""))</f>
        <v/>
      </c>
      <c r="E2175" s="91">
        <f>IF(N('Deal maths'!M178)&gt;0,ROW()/10000000,"")</f>
        <v/>
      </c>
    </row>
    <row r="2176">
      <c r="A2176" s="91" t="n"/>
      <c r="B2176" s="111">
        <f>MAX(0,N('Deal maths'!M179))</f>
        <v/>
      </c>
      <c r="C2176" s="91">
        <f>IF(B2176&gt;0,IF('Deal maths'!L179="Local authority","Local authorities",LOWER(TRIM('Deal maths'!K179))),"")</f>
        <v/>
      </c>
      <c r="D2176" s="91">
        <f>IF(C2176="","",IF(COUNTIF($C$4:C2175,C2176)=0,SUMIF($C$4:$C$3997,C2176,$B$4:$B$3997)-ROW()/1000000,""))</f>
        <v/>
      </c>
      <c r="E2176" s="91">
        <f>IF(N('Deal maths'!M179)&gt;0,ROW()/10000000,"")</f>
        <v/>
      </c>
    </row>
    <row r="2177">
      <c r="A2177" s="91" t="n"/>
      <c r="B2177" s="111">
        <f>MAX(0,N('Deal maths'!M180))</f>
        <v/>
      </c>
      <c r="C2177" s="91">
        <f>IF(B2177&gt;0,IF('Deal maths'!L180="Local authority","Local authorities",LOWER(TRIM('Deal maths'!K180))),"")</f>
        <v/>
      </c>
      <c r="D2177" s="91">
        <f>IF(C2177="","",IF(COUNTIF($C$4:C2176,C2177)=0,SUMIF($C$4:$C$3997,C2177,$B$4:$B$3997)-ROW()/1000000,""))</f>
        <v/>
      </c>
      <c r="E2177" s="91">
        <f>IF(N('Deal maths'!M180)&gt;0,ROW()/10000000,"")</f>
        <v/>
      </c>
    </row>
    <row r="2178">
      <c r="A2178" s="91" t="n"/>
      <c r="B2178" s="111">
        <f>MAX(0,N('Deal maths'!M181))</f>
        <v/>
      </c>
      <c r="C2178" s="91">
        <f>IF(B2178&gt;0,IF('Deal maths'!L181="Local authority","Local authorities",LOWER(TRIM('Deal maths'!K181))),"")</f>
        <v/>
      </c>
      <c r="D2178" s="91">
        <f>IF(C2178="","",IF(COUNTIF($C$4:C2177,C2178)=0,SUMIF($C$4:$C$3997,C2178,$B$4:$B$3997)-ROW()/1000000,""))</f>
        <v/>
      </c>
      <c r="E2178" s="91">
        <f>IF(N('Deal maths'!M181)&gt;0,ROW()/10000000,"")</f>
        <v/>
      </c>
    </row>
    <row r="2179">
      <c r="A2179" s="91" t="n"/>
      <c r="B2179" s="111">
        <f>MAX(0,N('Deal maths'!M182))</f>
        <v/>
      </c>
      <c r="C2179" s="91">
        <f>IF(B2179&gt;0,IF('Deal maths'!L182="Local authority","Local authorities",LOWER(TRIM('Deal maths'!K182))),"")</f>
        <v/>
      </c>
      <c r="D2179" s="91">
        <f>IF(C2179="","",IF(COUNTIF($C$4:C2178,C2179)=0,SUMIF($C$4:$C$3997,C2179,$B$4:$B$3997)-ROW()/1000000,""))</f>
        <v/>
      </c>
      <c r="E2179" s="91">
        <f>IF(N('Deal maths'!M182)&gt;0,ROW()/10000000,"")</f>
        <v/>
      </c>
    </row>
    <row r="2180">
      <c r="A2180" s="91" t="n"/>
      <c r="B2180" s="111">
        <f>MAX(0,N('Deal maths'!M183))</f>
        <v/>
      </c>
      <c r="C2180" s="91">
        <f>IF(B2180&gt;0,IF('Deal maths'!L183="Local authority","Local authorities",LOWER(TRIM('Deal maths'!K183))),"")</f>
        <v/>
      </c>
      <c r="D2180" s="91">
        <f>IF(C2180="","",IF(COUNTIF($C$4:C2179,C2180)=0,SUMIF($C$4:$C$3997,C2180,$B$4:$B$3997)-ROW()/1000000,""))</f>
        <v/>
      </c>
      <c r="E2180" s="91">
        <f>IF(N('Deal maths'!M183)&gt;0,ROW()/10000000,"")</f>
        <v/>
      </c>
    </row>
    <row r="2181">
      <c r="A2181" s="91" t="n"/>
      <c r="B2181" s="111">
        <f>MAX(0,N('Deal maths'!M184))</f>
        <v/>
      </c>
      <c r="C2181" s="91">
        <f>IF(B2181&gt;0,IF('Deal maths'!L184="Local authority","Local authorities",LOWER(TRIM('Deal maths'!K184))),"")</f>
        <v/>
      </c>
      <c r="D2181" s="91">
        <f>IF(C2181="","",IF(COUNTIF($C$4:C2180,C2181)=0,SUMIF($C$4:$C$3997,C2181,$B$4:$B$3997)-ROW()/1000000,""))</f>
        <v/>
      </c>
      <c r="E2181" s="91">
        <f>IF(N('Deal maths'!M184)&gt;0,ROW()/10000000,"")</f>
        <v/>
      </c>
    </row>
    <row r="2182">
      <c r="A2182" s="91" t="n"/>
      <c r="B2182" s="111">
        <f>MAX(0,N('Deal maths'!M185))</f>
        <v/>
      </c>
      <c r="C2182" s="91">
        <f>IF(B2182&gt;0,IF('Deal maths'!L185="Local authority","Local authorities",LOWER(TRIM('Deal maths'!K185))),"")</f>
        <v/>
      </c>
      <c r="D2182" s="91">
        <f>IF(C2182="","",IF(COUNTIF($C$4:C2181,C2182)=0,SUMIF($C$4:$C$3997,C2182,$B$4:$B$3997)-ROW()/1000000,""))</f>
        <v/>
      </c>
      <c r="E2182" s="91">
        <f>IF(N('Deal maths'!M185)&gt;0,ROW()/10000000,"")</f>
        <v/>
      </c>
    </row>
    <row r="2183">
      <c r="A2183" s="91" t="n"/>
      <c r="B2183" s="111">
        <f>MAX(0,N('Deal maths'!M186))</f>
        <v/>
      </c>
      <c r="C2183" s="91">
        <f>IF(B2183&gt;0,IF('Deal maths'!L186="Local authority","Local authorities",LOWER(TRIM('Deal maths'!K186))),"")</f>
        <v/>
      </c>
      <c r="D2183" s="91">
        <f>IF(C2183="","",IF(COUNTIF($C$4:C2182,C2183)=0,SUMIF($C$4:$C$3997,C2183,$B$4:$B$3997)-ROW()/1000000,""))</f>
        <v/>
      </c>
      <c r="E2183" s="91">
        <f>IF(N('Deal maths'!M186)&gt;0,ROW()/10000000,"")</f>
        <v/>
      </c>
    </row>
    <row r="2184">
      <c r="A2184" s="91" t="n"/>
      <c r="B2184" s="111">
        <f>MAX(0,N('Deal maths'!M187))</f>
        <v/>
      </c>
      <c r="C2184" s="91">
        <f>IF(B2184&gt;0,IF('Deal maths'!L187="Local authority","Local authorities",LOWER(TRIM('Deal maths'!K187))),"")</f>
        <v/>
      </c>
      <c r="D2184" s="91">
        <f>IF(C2184="","",IF(COUNTIF($C$4:C2183,C2184)=0,SUMIF($C$4:$C$3997,C2184,$B$4:$B$3997)-ROW()/1000000,""))</f>
        <v/>
      </c>
      <c r="E2184" s="91">
        <f>IF(N('Deal maths'!M187)&gt;0,ROW()/10000000,"")</f>
        <v/>
      </c>
    </row>
    <row r="2185">
      <c r="A2185" s="91" t="n"/>
      <c r="B2185" s="111">
        <f>MAX(0,N('Deal maths'!M188))</f>
        <v/>
      </c>
      <c r="C2185" s="91">
        <f>IF(B2185&gt;0,IF('Deal maths'!L188="Local authority","Local authorities",LOWER(TRIM('Deal maths'!K188))),"")</f>
        <v/>
      </c>
      <c r="D2185" s="91">
        <f>IF(C2185="","",IF(COUNTIF($C$4:C2184,C2185)=0,SUMIF($C$4:$C$3997,C2185,$B$4:$B$3997)-ROW()/1000000,""))</f>
        <v/>
      </c>
      <c r="E2185" s="91">
        <f>IF(N('Deal maths'!M188)&gt;0,ROW()/10000000,"")</f>
        <v/>
      </c>
    </row>
    <row r="2186">
      <c r="A2186" s="91" t="n"/>
      <c r="B2186" s="111">
        <f>MAX(0,N('Deal maths'!M189))</f>
        <v/>
      </c>
      <c r="C2186" s="91">
        <f>IF(B2186&gt;0,IF('Deal maths'!L189="Local authority","Local authorities",LOWER(TRIM('Deal maths'!K189))),"")</f>
        <v/>
      </c>
      <c r="D2186" s="91">
        <f>IF(C2186="","",IF(COUNTIF($C$4:C2185,C2186)=0,SUMIF($C$4:$C$3997,C2186,$B$4:$B$3997)-ROW()/1000000,""))</f>
        <v/>
      </c>
      <c r="E2186" s="91">
        <f>IF(N('Deal maths'!M189)&gt;0,ROW()/10000000,"")</f>
        <v/>
      </c>
    </row>
    <row r="2187">
      <c r="A2187" s="91" t="n"/>
      <c r="B2187" s="111">
        <f>MAX(0,N('Deal maths'!M190))</f>
        <v/>
      </c>
      <c r="C2187" s="91">
        <f>IF(B2187&gt;0,IF('Deal maths'!L190="Local authority","Local authorities",LOWER(TRIM('Deal maths'!K190))),"")</f>
        <v/>
      </c>
      <c r="D2187" s="91">
        <f>IF(C2187="","",IF(COUNTIF($C$4:C2186,C2187)=0,SUMIF($C$4:$C$3997,C2187,$B$4:$B$3997)-ROW()/1000000,""))</f>
        <v/>
      </c>
      <c r="E2187" s="91">
        <f>IF(N('Deal maths'!M190)&gt;0,ROW()/10000000,"")</f>
        <v/>
      </c>
    </row>
    <row r="2188">
      <c r="A2188" s="91" t="n"/>
      <c r="B2188" s="111">
        <f>MAX(0,N('Deal maths'!M191))</f>
        <v/>
      </c>
      <c r="C2188" s="91">
        <f>IF(B2188&gt;0,IF('Deal maths'!L191="Local authority","Local authorities",LOWER(TRIM('Deal maths'!K191))),"")</f>
        <v/>
      </c>
      <c r="D2188" s="91">
        <f>IF(C2188="","",IF(COUNTIF($C$4:C2187,C2188)=0,SUMIF($C$4:$C$3997,C2188,$B$4:$B$3997)-ROW()/1000000,""))</f>
        <v/>
      </c>
      <c r="E2188" s="91">
        <f>IF(N('Deal maths'!M191)&gt;0,ROW()/10000000,"")</f>
        <v/>
      </c>
    </row>
    <row r="2189">
      <c r="A2189" s="91" t="n"/>
      <c r="B2189" s="111">
        <f>MAX(0,N('Deal maths'!M192))</f>
        <v/>
      </c>
      <c r="C2189" s="91">
        <f>IF(B2189&gt;0,IF('Deal maths'!L192="Local authority","Local authorities",LOWER(TRIM('Deal maths'!K192))),"")</f>
        <v/>
      </c>
      <c r="D2189" s="91">
        <f>IF(C2189="","",IF(COUNTIF($C$4:C2188,C2189)=0,SUMIF($C$4:$C$3997,C2189,$B$4:$B$3997)-ROW()/1000000,""))</f>
        <v/>
      </c>
      <c r="E2189" s="91">
        <f>IF(N('Deal maths'!M192)&gt;0,ROW()/10000000,"")</f>
        <v/>
      </c>
    </row>
    <row r="2190">
      <c r="A2190" s="91" t="n"/>
      <c r="B2190" s="111">
        <f>MAX(0,N('Deal maths'!M193))</f>
        <v/>
      </c>
      <c r="C2190" s="91">
        <f>IF(B2190&gt;0,IF('Deal maths'!L193="Local authority","Local authorities",LOWER(TRIM('Deal maths'!K193))),"")</f>
        <v/>
      </c>
      <c r="D2190" s="91">
        <f>IF(C2190="","",IF(COUNTIF($C$4:C2189,C2190)=0,SUMIF($C$4:$C$3997,C2190,$B$4:$B$3997)-ROW()/1000000,""))</f>
        <v/>
      </c>
      <c r="E2190" s="91">
        <f>IF(N('Deal maths'!M193)&gt;0,ROW()/10000000,"")</f>
        <v/>
      </c>
    </row>
    <row r="2191">
      <c r="A2191" s="91" t="n"/>
      <c r="B2191" s="111">
        <f>MAX(0,N('Deal maths'!M194))</f>
        <v/>
      </c>
      <c r="C2191" s="91">
        <f>IF(B2191&gt;0,IF('Deal maths'!L194="Local authority","Local authorities",LOWER(TRIM('Deal maths'!K194))),"")</f>
        <v/>
      </c>
      <c r="D2191" s="91">
        <f>IF(C2191="","",IF(COUNTIF($C$4:C2190,C2191)=0,SUMIF($C$4:$C$3997,C2191,$B$4:$B$3997)-ROW()/1000000,""))</f>
        <v/>
      </c>
      <c r="E2191" s="91">
        <f>IF(N('Deal maths'!M194)&gt;0,ROW()/10000000,"")</f>
        <v/>
      </c>
    </row>
    <row r="2192">
      <c r="A2192" s="91" t="n"/>
      <c r="B2192" s="111">
        <f>MAX(0,N('Deal maths'!M195))</f>
        <v/>
      </c>
      <c r="C2192" s="91">
        <f>IF(B2192&gt;0,IF('Deal maths'!L195="Local authority","Local authorities",LOWER(TRIM('Deal maths'!K195))),"")</f>
        <v/>
      </c>
      <c r="D2192" s="91">
        <f>IF(C2192="","",IF(COUNTIF($C$4:C2191,C2192)=0,SUMIF($C$4:$C$3997,C2192,$B$4:$B$3997)-ROW()/1000000,""))</f>
        <v/>
      </c>
      <c r="E2192" s="91">
        <f>IF(N('Deal maths'!M195)&gt;0,ROW()/10000000,"")</f>
        <v/>
      </c>
    </row>
    <row r="2193">
      <c r="A2193" s="91" t="n"/>
      <c r="B2193" s="111">
        <f>MAX(0,N('Deal maths'!M196))</f>
        <v/>
      </c>
      <c r="C2193" s="91">
        <f>IF(B2193&gt;0,IF('Deal maths'!L196="Local authority","Local authorities",LOWER(TRIM('Deal maths'!K196))),"")</f>
        <v/>
      </c>
      <c r="D2193" s="91">
        <f>IF(C2193="","",IF(COUNTIF($C$4:C2192,C2193)=0,SUMIF($C$4:$C$3997,C2193,$B$4:$B$3997)-ROW()/1000000,""))</f>
        <v/>
      </c>
      <c r="E2193" s="91">
        <f>IF(N('Deal maths'!M196)&gt;0,ROW()/10000000,"")</f>
        <v/>
      </c>
    </row>
    <row r="2194">
      <c r="A2194" s="91" t="n"/>
      <c r="B2194" s="111">
        <f>MAX(0,N('Deal maths'!M197))</f>
        <v/>
      </c>
      <c r="C2194" s="91">
        <f>IF(B2194&gt;0,IF('Deal maths'!L197="Local authority","Local authorities",LOWER(TRIM('Deal maths'!K197))),"")</f>
        <v/>
      </c>
      <c r="D2194" s="91">
        <f>IF(C2194="","",IF(COUNTIF($C$4:C2193,C2194)=0,SUMIF($C$4:$C$3997,C2194,$B$4:$B$3997)-ROW()/1000000,""))</f>
        <v/>
      </c>
      <c r="E2194" s="91">
        <f>IF(N('Deal maths'!M197)&gt;0,ROW()/10000000,"")</f>
        <v/>
      </c>
    </row>
    <row r="2195">
      <c r="A2195" s="91" t="n"/>
      <c r="B2195" s="111">
        <f>MAX(0,N('Deal maths'!M198))</f>
        <v/>
      </c>
      <c r="C2195" s="91">
        <f>IF(B2195&gt;0,IF('Deal maths'!L198="Local authority","Local authorities",LOWER(TRIM('Deal maths'!K198))),"")</f>
        <v/>
      </c>
      <c r="D2195" s="91">
        <f>IF(C2195="","",IF(COUNTIF($C$4:C2194,C2195)=0,SUMIF($C$4:$C$3997,C2195,$B$4:$B$3997)-ROW()/1000000,""))</f>
        <v/>
      </c>
      <c r="E2195" s="91">
        <f>IF(N('Deal maths'!M198)&gt;0,ROW()/10000000,"")</f>
        <v/>
      </c>
    </row>
    <row r="2196">
      <c r="A2196" s="91" t="n"/>
      <c r="B2196" s="111">
        <f>MAX(0,N('Deal maths'!M199))</f>
        <v/>
      </c>
      <c r="C2196" s="91">
        <f>IF(B2196&gt;0,IF('Deal maths'!L199="Local authority","Local authorities",LOWER(TRIM('Deal maths'!K199))),"")</f>
        <v/>
      </c>
      <c r="D2196" s="91">
        <f>IF(C2196="","",IF(COUNTIF($C$4:C2195,C2196)=0,SUMIF($C$4:$C$3997,C2196,$B$4:$B$3997)-ROW()/1000000,""))</f>
        <v/>
      </c>
      <c r="E2196" s="91">
        <f>IF(N('Deal maths'!M199)&gt;0,ROW()/10000000,"")</f>
        <v/>
      </c>
    </row>
    <row r="2197">
      <c r="A2197" s="91" t="n"/>
      <c r="B2197" s="111">
        <f>MAX(0,N('Deal maths'!M200))</f>
        <v/>
      </c>
      <c r="C2197" s="91">
        <f>IF(B2197&gt;0,IF('Deal maths'!L200="Local authority","Local authorities",LOWER(TRIM('Deal maths'!K200))),"")</f>
        <v/>
      </c>
      <c r="D2197" s="91">
        <f>IF(C2197="","",IF(COUNTIF($C$4:C2196,C2197)=0,SUMIF($C$4:$C$3997,C2197,$B$4:$B$3997)-ROW()/1000000,""))</f>
        <v/>
      </c>
      <c r="E2197" s="91">
        <f>IF(N('Deal maths'!M200)&gt;0,ROW()/10000000,"")</f>
        <v/>
      </c>
    </row>
    <row r="2198">
      <c r="A2198" s="91" t="n"/>
      <c r="B2198" s="111">
        <f>MAX(0,N('Deal maths'!M201))</f>
        <v/>
      </c>
      <c r="C2198" s="91">
        <f>IF(B2198&gt;0,IF('Deal maths'!L201="Local authority","Local authorities",LOWER(TRIM('Deal maths'!K201))),"")</f>
        <v/>
      </c>
      <c r="D2198" s="91">
        <f>IF(C2198="","",IF(COUNTIF($C$4:C2197,C2198)=0,SUMIF($C$4:$C$3997,C2198,$B$4:$B$3997)-ROW()/1000000,""))</f>
        <v/>
      </c>
      <c r="E2198" s="91">
        <f>IF(N('Deal maths'!M201)&gt;0,ROW()/10000000,"")</f>
        <v/>
      </c>
    </row>
    <row r="2199">
      <c r="A2199" s="91" t="n"/>
      <c r="B2199" s="111">
        <f>MAX(0,N('Deal maths'!M202))</f>
        <v/>
      </c>
      <c r="C2199" s="91">
        <f>IF(B2199&gt;0,IF('Deal maths'!L202="Local authority","Local authorities",LOWER(TRIM('Deal maths'!K202))),"")</f>
        <v/>
      </c>
      <c r="D2199" s="91">
        <f>IF(C2199="","",IF(COUNTIF($C$4:C2198,C2199)=0,SUMIF($C$4:$C$3997,C2199,$B$4:$B$3997)-ROW()/1000000,""))</f>
        <v/>
      </c>
      <c r="E2199" s="91">
        <f>IF(N('Deal maths'!M202)&gt;0,ROW()/10000000,"")</f>
        <v/>
      </c>
    </row>
    <row r="2200">
      <c r="A2200" s="91" t="n"/>
      <c r="B2200" s="111">
        <f>MAX(0,N('Deal maths'!M203))</f>
        <v/>
      </c>
      <c r="C2200" s="91">
        <f>IF(B2200&gt;0,IF('Deal maths'!L203="Local authority","Local authorities",LOWER(TRIM('Deal maths'!K203))),"")</f>
        <v/>
      </c>
      <c r="D2200" s="91">
        <f>IF(C2200="","",IF(COUNTIF($C$4:C2199,C2200)=0,SUMIF($C$4:$C$3997,C2200,$B$4:$B$3997)-ROW()/1000000,""))</f>
        <v/>
      </c>
      <c r="E2200" s="91">
        <f>IF(N('Deal maths'!M203)&gt;0,ROW()/10000000,"")</f>
        <v/>
      </c>
    </row>
    <row r="2201">
      <c r="A2201" s="91" t="n"/>
      <c r="B2201" s="111">
        <f>MAX(0,N('Deal maths'!M204))</f>
        <v/>
      </c>
      <c r="C2201" s="91">
        <f>IF(B2201&gt;0,IF('Deal maths'!L204="Local authority","Local authorities",LOWER(TRIM('Deal maths'!K204))),"")</f>
        <v/>
      </c>
      <c r="D2201" s="91">
        <f>IF(C2201="","",IF(COUNTIF($C$4:C2200,C2201)=0,SUMIF($C$4:$C$3997,C2201,$B$4:$B$3997)-ROW()/1000000,""))</f>
        <v/>
      </c>
      <c r="E2201" s="91">
        <f>IF(N('Deal maths'!M204)&gt;0,ROW()/10000000,"")</f>
        <v/>
      </c>
    </row>
    <row r="2202">
      <c r="A2202" s="91" t="n"/>
      <c r="B2202" s="111">
        <f>MAX(0,N('Deal maths'!M205))</f>
        <v/>
      </c>
      <c r="C2202" s="91">
        <f>IF(B2202&gt;0,IF('Deal maths'!L205="Local authority","Local authorities",LOWER(TRIM('Deal maths'!K205))),"")</f>
        <v/>
      </c>
      <c r="D2202" s="91">
        <f>IF(C2202="","",IF(COUNTIF($C$4:C2201,C2202)=0,SUMIF($C$4:$C$3997,C2202,$B$4:$B$3997)-ROW()/1000000,""))</f>
        <v/>
      </c>
      <c r="E2202" s="91">
        <f>IF(N('Deal maths'!M205)&gt;0,ROW()/10000000,"")</f>
        <v/>
      </c>
    </row>
    <row r="2203">
      <c r="A2203" s="91" t="n"/>
      <c r="B2203" s="111">
        <f>MAX(0,N('Deal maths'!M206))</f>
        <v/>
      </c>
      <c r="C2203" s="91">
        <f>IF(B2203&gt;0,IF('Deal maths'!L206="Local authority","Local authorities",LOWER(TRIM('Deal maths'!K206))),"")</f>
        <v/>
      </c>
      <c r="D2203" s="91">
        <f>IF(C2203="","",IF(COUNTIF($C$4:C2202,C2203)=0,SUMIF($C$4:$C$3997,C2203,$B$4:$B$3997)-ROW()/1000000,""))</f>
        <v/>
      </c>
      <c r="E2203" s="91">
        <f>IF(N('Deal maths'!M206)&gt;0,ROW()/10000000,"")</f>
        <v/>
      </c>
    </row>
    <row r="2204">
      <c r="A2204" s="91" t="n"/>
      <c r="B2204" s="111">
        <f>MAX(0,N('Deal maths'!M207))</f>
        <v/>
      </c>
      <c r="C2204" s="91">
        <f>IF(B2204&gt;0,IF('Deal maths'!L207="Local authority","Local authorities",LOWER(TRIM('Deal maths'!K207))),"")</f>
        <v/>
      </c>
      <c r="D2204" s="91">
        <f>IF(C2204="","",IF(COUNTIF($C$4:C2203,C2204)=0,SUMIF($C$4:$C$3997,C2204,$B$4:$B$3997)-ROW()/1000000,""))</f>
        <v/>
      </c>
      <c r="E2204" s="91">
        <f>IF(N('Deal maths'!M207)&gt;0,ROW()/10000000,"")</f>
        <v/>
      </c>
    </row>
    <row r="2205">
      <c r="A2205" s="91" t="n"/>
      <c r="B2205" s="111">
        <f>MAX(0,N('Deal maths'!M208))</f>
        <v/>
      </c>
      <c r="C2205" s="91">
        <f>IF(B2205&gt;0,IF('Deal maths'!L208="Local authority","Local authorities",LOWER(TRIM('Deal maths'!K208))),"")</f>
        <v/>
      </c>
      <c r="D2205" s="91">
        <f>IF(C2205="","",IF(COUNTIF($C$4:C2204,C2205)=0,SUMIF($C$4:$C$3997,C2205,$B$4:$B$3997)-ROW()/1000000,""))</f>
        <v/>
      </c>
      <c r="E2205" s="91">
        <f>IF(N('Deal maths'!M208)&gt;0,ROW()/10000000,"")</f>
        <v/>
      </c>
    </row>
    <row r="2206">
      <c r="A2206" s="91" t="n"/>
      <c r="B2206" s="111">
        <f>MAX(0,N('Deal maths'!M209))</f>
        <v/>
      </c>
      <c r="C2206" s="91">
        <f>IF(B2206&gt;0,IF('Deal maths'!L209="Local authority","Local authorities",LOWER(TRIM('Deal maths'!K209))),"")</f>
        <v/>
      </c>
      <c r="D2206" s="91">
        <f>IF(C2206="","",IF(COUNTIF($C$4:C2205,C2206)=0,SUMIF($C$4:$C$3997,C2206,$B$4:$B$3997)-ROW()/1000000,""))</f>
        <v/>
      </c>
      <c r="E2206" s="91">
        <f>IF(N('Deal maths'!M209)&gt;0,ROW()/10000000,"")</f>
        <v/>
      </c>
    </row>
    <row r="2207">
      <c r="A2207" s="91" t="n"/>
      <c r="B2207" s="111">
        <f>MAX(0,N('Deal maths'!M210))</f>
        <v/>
      </c>
      <c r="C2207" s="91">
        <f>IF(B2207&gt;0,IF('Deal maths'!L210="Local authority","Local authorities",LOWER(TRIM('Deal maths'!K210))),"")</f>
        <v/>
      </c>
      <c r="D2207" s="91">
        <f>IF(C2207="","",IF(COUNTIF($C$4:C2206,C2207)=0,SUMIF($C$4:$C$3997,C2207,$B$4:$B$3997)-ROW()/1000000,""))</f>
        <v/>
      </c>
      <c r="E2207" s="91">
        <f>IF(N('Deal maths'!M210)&gt;0,ROW()/10000000,"")</f>
        <v/>
      </c>
    </row>
    <row r="2208">
      <c r="A2208" s="91" t="n"/>
      <c r="B2208" s="111">
        <f>MAX(0,N('Deal maths'!M211))</f>
        <v/>
      </c>
      <c r="C2208" s="91">
        <f>IF(B2208&gt;0,IF('Deal maths'!L211="Local authority","Local authorities",LOWER(TRIM('Deal maths'!K211))),"")</f>
        <v/>
      </c>
      <c r="D2208" s="91">
        <f>IF(C2208="","",IF(COUNTIF($C$4:C2207,C2208)=0,SUMIF($C$4:$C$3997,C2208,$B$4:$B$3997)-ROW()/1000000,""))</f>
        <v/>
      </c>
      <c r="E2208" s="91">
        <f>IF(N('Deal maths'!M211)&gt;0,ROW()/10000000,"")</f>
        <v/>
      </c>
    </row>
    <row r="2209">
      <c r="A2209" s="91" t="n"/>
      <c r="B2209" s="111">
        <f>MAX(0,N('Deal maths'!M212))</f>
        <v/>
      </c>
      <c r="C2209" s="91">
        <f>IF(B2209&gt;0,IF('Deal maths'!L212="Local authority","Local authorities",LOWER(TRIM('Deal maths'!K212))),"")</f>
        <v/>
      </c>
      <c r="D2209" s="91">
        <f>IF(C2209="","",IF(COUNTIF($C$4:C2208,C2209)=0,SUMIF($C$4:$C$3997,C2209,$B$4:$B$3997)-ROW()/1000000,""))</f>
        <v/>
      </c>
      <c r="E2209" s="91">
        <f>IF(N('Deal maths'!M212)&gt;0,ROW()/10000000,"")</f>
        <v/>
      </c>
    </row>
    <row r="2210">
      <c r="A2210" s="91" t="n"/>
      <c r="B2210" s="111">
        <f>MAX(0,N('Deal maths'!M213))</f>
        <v/>
      </c>
      <c r="C2210" s="91">
        <f>IF(B2210&gt;0,IF('Deal maths'!L213="Local authority","Local authorities",LOWER(TRIM('Deal maths'!K213))),"")</f>
        <v/>
      </c>
      <c r="D2210" s="91">
        <f>IF(C2210="","",IF(COUNTIF($C$4:C2209,C2210)=0,SUMIF($C$4:$C$3997,C2210,$B$4:$B$3997)-ROW()/1000000,""))</f>
        <v/>
      </c>
      <c r="E2210" s="91">
        <f>IF(N('Deal maths'!M213)&gt;0,ROW()/10000000,"")</f>
        <v/>
      </c>
    </row>
    <row r="2211">
      <c r="A2211" s="91" t="n"/>
      <c r="B2211" s="111">
        <f>MAX(0,N('Deal maths'!M214))</f>
        <v/>
      </c>
      <c r="C2211" s="91">
        <f>IF(B2211&gt;0,IF('Deal maths'!L214="Local authority","Local authorities",LOWER(TRIM('Deal maths'!K214))),"")</f>
        <v/>
      </c>
      <c r="D2211" s="91">
        <f>IF(C2211="","",IF(COUNTIF($C$4:C2210,C2211)=0,SUMIF($C$4:$C$3997,C2211,$B$4:$B$3997)-ROW()/1000000,""))</f>
        <v/>
      </c>
      <c r="E2211" s="91">
        <f>IF(N('Deal maths'!M214)&gt;0,ROW()/10000000,"")</f>
        <v/>
      </c>
    </row>
    <row r="2212">
      <c r="A2212" s="91" t="n"/>
      <c r="B2212" s="111">
        <f>MAX(0,N('Deal maths'!M215))</f>
        <v/>
      </c>
      <c r="C2212" s="91">
        <f>IF(B2212&gt;0,IF('Deal maths'!L215="Local authority","Local authorities",LOWER(TRIM('Deal maths'!K215))),"")</f>
        <v/>
      </c>
      <c r="D2212" s="91">
        <f>IF(C2212="","",IF(COUNTIF($C$4:C2211,C2212)=0,SUMIF($C$4:$C$3997,C2212,$B$4:$B$3997)-ROW()/1000000,""))</f>
        <v/>
      </c>
      <c r="E2212" s="91">
        <f>IF(N('Deal maths'!M215)&gt;0,ROW()/10000000,"")</f>
        <v/>
      </c>
    </row>
    <row r="2213">
      <c r="A2213" s="91" t="n"/>
      <c r="B2213" s="111">
        <f>MAX(0,N('Deal maths'!M216))</f>
        <v/>
      </c>
      <c r="C2213" s="91">
        <f>IF(B2213&gt;0,IF('Deal maths'!L216="Local authority","Local authorities",LOWER(TRIM('Deal maths'!K216))),"")</f>
        <v/>
      </c>
      <c r="D2213" s="91">
        <f>IF(C2213="","",IF(COUNTIF($C$4:C2212,C2213)=0,SUMIF($C$4:$C$3997,C2213,$B$4:$B$3997)-ROW()/1000000,""))</f>
        <v/>
      </c>
      <c r="E2213" s="91">
        <f>IF(N('Deal maths'!M216)&gt;0,ROW()/10000000,"")</f>
        <v/>
      </c>
    </row>
    <row r="2214">
      <c r="A2214" s="91" t="n"/>
      <c r="B2214" s="111">
        <f>MAX(0,N('Deal maths'!M217))</f>
        <v/>
      </c>
      <c r="C2214" s="91">
        <f>IF(B2214&gt;0,IF('Deal maths'!L217="Local authority","Local authorities",LOWER(TRIM('Deal maths'!K217))),"")</f>
        <v/>
      </c>
      <c r="D2214" s="91">
        <f>IF(C2214="","",IF(COUNTIF($C$4:C2213,C2214)=0,SUMIF($C$4:$C$3997,C2214,$B$4:$B$3997)-ROW()/1000000,""))</f>
        <v/>
      </c>
      <c r="E2214" s="91">
        <f>IF(N('Deal maths'!M217)&gt;0,ROW()/10000000,"")</f>
        <v/>
      </c>
    </row>
    <row r="2215">
      <c r="A2215" s="91" t="n"/>
      <c r="B2215" s="111">
        <f>MAX(0,N('Deal maths'!M218))</f>
        <v/>
      </c>
      <c r="C2215" s="91">
        <f>IF(B2215&gt;0,IF('Deal maths'!L218="Local authority","Local authorities",LOWER(TRIM('Deal maths'!K218))),"")</f>
        <v/>
      </c>
      <c r="D2215" s="91">
        <f>IF(C2215="","",IF(COUNTIF($C$4:C2214,C2215)=0,SUMIF($C$4:$C$3997,C2215,$B$4:$B$3997)-ROW()/1000000,""))</f>
        <v/>
      </c>
      <c r="E2215" s="91">
        <f>IF(N('Deal maths'!M218)&gt;0,ROW()/10000000,"")</f>
        <v/>
      </c>
    </row>
    <row r="2216">
      <c r="A2216" s="91" t="n"/>
      <c r="B2216" s="111">
        <f>MAX(0,N('Deal maths'!M219))</f>
        <v/>
      </c>
      <c r="C2216" s="91">
        <f>IF(B2216&gt;0,IF('Deal maths'!L219="Local authority","Local authorities",LOWER(TRIM('Deal maths'!K219))),"")</f>
        <v/>
      </c>
      <c r="D2216" s="91">
        <f>IF(C2216="","",IF(COUNTIF($C$4:C2215,C2216)=0,SUMIF($C$4:$C$3997,C2216,$B$4:$B$3997)-ROW()/1000000,""))</f>
        <v/>
      </c>
      <c r="E2216" s="91">
        <f>IF(N('Deal maths'!M219)&gt;0,ROW()/10000000,"")</f>
        <v/>
      </c>
    </row>
    <row r="2217">
      <c r="A2217" s="91" t="n"/>
      <c r="B2217" s="111">
        <f>MAX(0,N('Deal maths'!M220))</f>
        <v/>
      </c>
      <c r="C2217" s="91">
        <f>IF(B2217&gt;0,IF('Deal maths'!L220="Local authority","Local authorities",LOWER(TRIM('Deal maths'!K220))),"")</f>
        <v/>
      </c>
      <c r="D2217" s="91">
        <f>IF(C2217="","",IF(COUNTIF($C$4:C2216,C2217)=0,SUMIF($C$4:$C$3997,C2217,$B$4:$B$3997)-ROW()/1000000,""))</f>
        <v/>
      </c>
      <c r="E2217" s="91">
        <f>IF(N('Deal maths'!M220)&gt;0,ROW()/10000000,"")</f>
        <v/>
      </c>
    </row>
    <row r="2218">
      <c r="A2218" s="91" t="n"/>
      <c r="B2218" s="111">
        <f>MAX(0,N('Deal maths'!M221))</f>
        <v/>
      </c>
      <c r="C2218" s="91">
        <f>IF(B2218&gt;0,IF('Deal maths'!L221="Local authority","Local authorities",LOWER(TRIM('Deal maths'!K221))),"")</f>
        <v/>
      </c>
      <c r="D2218" s="91">
        <f>IF(C2218="","",IF(COUNTIF($C$4:C2217,C2218)=0,SUMIF($C$4:$C$3997,C2218,$B$4:$B$3997)-ROW()/1000000,""))</f>
        <v/>
      </c>
      <c r="E2218" s="91">
        <f>IF(N('Deal maths'!M221)&gt;0,ROW()/10000000,"")</f>
        <v/>
      </c>
    </row>
    <row r="2219">
      <c r="A2219" s="91" t="n"/>
      <c r="B2219" s="111">
        <f>MAX(0,N('Deal maths'!M222))</f>
        <v/>
      </c>
      <c r="C2219" s="91">
        <f>IF(B2219&gt;0,IF('Deal maths'!L222="Local authority","Local authorities",LOWER(TRIM('Deal maths'!K222))),"")</f>
        <v/>
      </c>
      <c r="D2219" s="91">
        <f>IF(C2219="","",IF(COUNTIF($C$4:C2218,C2219)=0,SUMIF($C$4:$C$3997,C2219,$B$4:$B$3997)-ROW()/1000000,""))</f>
        <v/>
      </c>
      <c r="E2219" s="91">
        <f>IF(N('Deal maths'!M222)&gt;0,ROW()/10000000,"")</f>
        <v/>
      </c>
    </row>
    <row r="2220">
      <c r="A2220" s="91" t="n"/>
      <c r="B2220" s="111">
        <f>MAX(0,N('Deal maths'!M223))</f>
        <v/>
      </c>
      <c r="C2220" s="91">
        <f>IF(B2220&gt;0,IF('Deal maths'!L223="Local authority","Local authorities",LOWER(TRIM('Deal maths'!K223))),"")</f>
        <v/>
      </c>
      <c r="D2220" s="91">
        <f>IF(C2220="","",IF(COUNTIF($C$4:C2219,C2220)=0,SUMIF($C$4:$C$3997,C2220,$B$4:$B$3997)-ROW()/1000000,""))</f>
        <v/>
      </c>
      <c r="E2220" s="91">
        <f>IF(N('Deal maths'!M223)&gt;0,ROW()/10000000,"")</f>
        <v/>
      </c>
    </row>
    <row r="2221">
      <c r="A2221" s="91" t="n"/>
      <c r="B2221" s="111">
        <f>MAX(0,N('Deal maths'!M224))</f>
        <v/>
      </c>
      <c r="C2221" s="91">
        <f>IF(B2221&gt;0,IF('Deal maths'!L224="Local authority","Local authorities",LOWER(TRIM('Deal maths'!K224))),"")</f>
        <v/>
      </c>
      <c r="D2221" s="91">
        <f>IF(C2221="","",IF(COUNTIF($C$4:C2220,C2221)=0,SUMIF($C$4:$C$3997,C2221,$B$4:$B$3997)-ROW()/1000000,""))</f>
        <v/>
      </c>
      <c r="E2221" s="91">
        <f>IF(N('Deal maths'!M224)&gt;0,ROW()/10000000,"")</f>
        <v/>
      </c>
    </row>
    <row r="2222">
      <c r="A2222" s="91" t="n"/>
      <c r="B2222" s="111">
        <f>MAX(0,N('Deal maths'!M225))</f>
        <v/>
      </c>
      <c r="C2222" s="91">
        <f>IF(B2222&gt;0,IF('Deal maths'!L225="Local authority","Local authorities",LOWER(TRIM('Deal maths'!K225))),"")</f>
        <v/>
      </c>
      <c r="D2222" s="91">
        <f>IF(C2222="","",IF(COUNTIF($C$4:C2221,C2222)=0,SUMIF($C$4:$C$3997,C2222,$B$4:$B$3997)-ROW()/1000000,""))</f>
        <v/>
      </c>
      <c r="E2222" s="91">
        <f>IF(N('Deal maths'!M225)&gt;0,ROW()/10000000,"")</f>
        <v/>
      </c>
    </row>
    <row r="2223">
      <c r="A2223" s="91" t="n"/>
      <c r="B2223" s="111">
        <f>MAX(0,N('Deal maths'!M226))</f>
        <v/>
      </c>
      <c r="C2223" s="91">
        <f>IF(B2223&gt;0,IF('Deal maths'!L226="Local authority","Local authorities",LOWER(TRIM('Deal maths'!K226))),"")</f>
        <v/>
      </c>
      <c r="D2223" s="91">
        <f>IF(C2223="","",IF(COUNTIF($C$4:C2222,C2223)=0,SUMIF($C$4:$C$3997,C2223,$B$4:$B$3997)-ROW()/1000000,""))</f>
        <v/>
      </c>
      <c r="E2223" s="91">
        <f>IF(N('Deal maths'!M226)&gt;0,ROW()/10000000,"")</f>
        <v/>
      </c>
    </row>
    <row r="2224">
      <c r="A2224" s="91" t="n"/>
      <c r="B2224" s="111">
        <f>MAX(0,N('Deal maths'!M227))</f>
        <v/>
      </c>
      <c r="C2224" s="91">
        <f>IF(B2224&gt;0,IF('Deal maths'!L227="Local authority","Local authorities",LOWER(TRIM('Deal maths'!K227))),"")</f>
        <v/>
      </c>
      <c r="D2224" s="91">
        <f>IF(C2224="","",IF(COUNTIF($C$4:C2223,C2224)=0,SUMIF($C$4:$C$3997,C2224,$B$4:$B$3997)-ROW()/1000000,""))</f>
        <v/>
      </c>
      <c r="E2224" s="91">
        <f>IF(N('Deal maths'!M227)&gt;0,ROW()/10000000,"")</f>
        <v/>
      </c>
    </row>
    <row r="2225">
      <c r="A2225" s="91" t="n"/>
      <c r="B2225" s="111">
        <f>MAX(0,N('Deal maths'!M228))</f>
        <v/>
      </c>
      <c r="C2225" s="91">
        <f>IF(B2225&gt;0,IF('Deal maths'!L228="Local authority","Local authorities",LOWER(TRIM('Deal maths'!K228))),"")</f>
        <v/>
      </c>
      <c r="D2225" s="91">
        <f>IF(C2225="","",IF(COUNTIF($C$4:C2224,C2225)=0,SUMIF($C$4:$C$3997,C2225,$B$4:$B$3997)-ROW()/1000000,""))</f>
        <v/>
      </c>
      <c r="E2225" s="91">
        <f>IF(N('Deal maths'!M228)&gt;0,ROW()/10000000,"")</f>
        <v/>
      </c>
    </row>
    <row r="2226">
      <c r="A2226" s="91" t="n"/>
      <c r="B2226" s="111">
        <f>MAX(0,N('Deal maths'!M229))</f>
        <v/>
      </c>
      <c r="C2226" s="91">
        <f>IF(B2226&gt;0,IF('Deal maths'!L229="Local authority","Local authorities",LOWER(TRIM('Deal maths'!K229))),"")</f>
        <v/>
      </c>
      <c r="D2226" s="91">
        <f>IF(C2226="","",IF(COUNTIF($C$4:C2225,C2226)=0,SUMIF($C$4:$C$3997,C2226,$B$4:$B$3997)-ROW()/1000000,""))</f>
        <v/>
      </c>
      <c r="E2226" s="91">
        <f>IF(N('Deal maths'!M229)&gt;0,ROW()/10000000,"")</f>
        <v/>
      </c>
    </row>
    <row r="2227">
      <c r="A2227" s="91" t="n"/>
      <c r="B2227" s="111">
        <f>MAX(0,N('Deal maths'!M230))</f>
        <v/>
      </c>
      <c r="C2227" s="91">
        <f>IF(B2227&gt;0,IF('Deal maths'!L230="Local authority","Local authorities",LOWER(TRIM('Deal maths'!K230))),"")</f>
        <v/>
      </c>
      <c r="D2227" s="91">
        <f>IF(C2227="","",IF(COUNTIF($C$4:C2226,C2227)=0,SUMIF($C$4:$C$3997,C2227,$B$4:$B$3997)-ROW()/1000000,""))</f>
        <v/>
      </c>
      <c r="E2227" s="91">
        <f>IF(N('Deal maths'!M230)&gt;0,ROW()/10000000,"")</f>
        <v/>
      </c>
    </row>
    <row r="2228">
      <c r="A2228" s="91" t="n"/>
      <c r="B2228" s="111">
        <f>MAX(0,N('Deal maths'!M231))</f>
        <v/>
      </c>
      <c r="C2228" s="91">
        <f>IF(B2228&gt;0,IF('Deal maths'!L231="Local authority","Local authorities",LOWER(TRIM('Deal maths'!K231))),"")</f>
        <v/>
      </c>
      <c r="D2228" s="91">
        <f>IF(C2228="","",IF(COUNTIF($C$4:C2227,C2228)=0,SUMIF($C$4:$C$3997,C2228,$B$4:$B$3997)-ROW()/1000000,""))</f>
        <v/>
      </c>
      <c r="E2228" s="91">
        <f>IF(N('Deal maths'!M231)&gt;0,ROW()/10000000,"")</f>
        <v/>
      </c>
    </row>
    <row r="2229">
      <c r="A2229" s="91" t="n"/>
      <c r="B2229" s="111">
        <f>MAX(0,N('Deal maths'!M232))</f>
        <v/>
      </c>
      <c r="C2229" s="91">
        <f>IF(B2229&gt;0,IF('Deal maths'!L232="Local authority","Local authorities",LOWER(TRIM('Deal maths'!K232))),"")</f>
        <v/>
      </c>
      <c r="D2229" s="91">
        <f>IF(C2229="","",IF(COUNTIF($C$4:C2228,C2229)=0,SUMIF($C$4:$C$3997,C2229,$B$4:$B$3997)-ROW()/1000000,""))</f>
        <v/>
      </c>
      <c r="E2229" s="91">
        <f>IF(N('Deal maths'!M232)&gt;0,ROW()/10000000,"")</f>
        <v/>
      </c>
    </row>
    <row r="2230">
      <c r="A2230" s="91" t="n"/>
      <c r="B2230" s="111">
        <f>MAX(0,N('Deal maths'!M233))</f>
        <v/>
      </c>
      <c r="C2230" s="91">
        <f>IF(B2230&gt;0,IF('Deal maths'!L233="Local authority","Local authorities",LOWER(TRIM('Deal maths'!K233))),"")</f>
        <v/>
      </c>
      <c r="D2230" s="91">
        <f>IF(C2230="","",IF(COUNTIF($C$4:C2229,C2230)=0,SUMIF($C$4:$C$3997,C2230,$B$4:$B$3997)-ROW()/1000000,""))</f>
        <v/>
      </c>
      <c r="E2230" s="91">
        <f>IF(N('Deal maths'!M233)&gt;0,ROW()/10000000,"")</f>
        <v/>
      </c>
    </row>
    <row r="2231">
      <c r="A2231" s="91" t="n"/>
      <c r="B2231" s="111">
        <f>MAX(0,N('Deal maths'!M234))</f>
        <v/>
      </c>
      <c r="C2231" s="91">
        <f>IF(B2231&gt;0,IF('Deal maths'!L234="Local authority","Local authorities",LOWER(TRIM('Deal maths'!K234))),"")</f>
        <v/>
      </c>
      <c r="D2231" s="91">
        <f>IF(C2231="","",IF(COUNTIF($C$4:C2230,C2231)=0,SUMIF($C$4:$C$3997,C2231,$B$4:$B$3997)-ROW()/1000000,""))</f>
        <v/>
      </c>
      <c r="E2231" s="91">
        <f>IF(N('Deal maths'!M234)&gt;0,ROW()/10000000,"")</f>
        <v/>
      </c>
    </row>
    <row r="2232">
      <c r="A2232" s="91" t="n"/>
      <c r="B2232" s="111">
        <f>MAX(0,N('Deal maths'!M235))</f>
        <v/>
      </c>
      <c r="C2232" s="91">
        <f>IF(B2232&gt;0,IF('Deal maths'!L235="Local authority","Local authorities",LOWER(TRIM('Deal maths'!K235))),"")</f>
        <v/>
      </c>
      <c r="D2232" s="91">
        <f>IF(C2232="","",IF(COUNTIF($C$4:C2231,C2232)=0,SUMIF($C$4:$C$3997,C2232,$B$4:$B$3997)-ROW()/1000000,""))</f>
        <v/>
      </c>
      <c r="E2232" s="91">
        <f>IF(N('Deal maths'!M235)&gt;0,ROW()/10000000,"")</f>
        <v/>
      </c>
    </row>
    <row r="2233">
      <c r="A2233" s="91" t="n"/>
      <c r="B2233" s="111">
        <f>MAX(0,N('Deal maths'!M236))</f>
        <v/>
      </c>
      <c r="C2233" s="91">
        <f>IF(B2233&gt;0,IF('Deal maths'!L236="Local authority","Local authorities",LOWER(TRIM('Deal maths'!K236))),"")</f>
        <v/>
      </c>
      <c r="D2233" s="91">
        <f>IF(C2233="","",IF(COUNTIF($C$4:C2232,C2233)=0,SUMIF($C$4:$C$3997,C2233,$B$4:$B$3997)-ROW()/1000000,""))</f>
        <v/>
      </c>
      <c r="E2233" s="91">
        <f>IF(N('Deal maths'!M236)&gt;0,ROW()/10000000,"")</f>
        <v/>
      </c>
    </row>
    <row r="2234">
      <c r="A2234" s="91" t="n"/>
      <c r="B2234" s="111">
        <f>MAX(0,N('Deal maths'!M237))</f>
        <v/>
      </c>
      <c r="C2234" s="91">
        <f>IF(B2234&gt;0,IF('Deal maths'!L237="Local authority","Local authorities",LOWER(TRIM('Deal maths'!K237))),"")</f>
        <v/>
      </c>
      <c r="D2234" s="91">
        <f>IF(C2234="","",IF(COUNTIF($C$4:C2233,C2234)=0,SUMIF($C$4:$C$3997,C2234,$B$4:$B$3997)-ROW()/1000000,""))</f>
        <v/>
      </c>
      <c r="E2234" s="91">
        <f>IF(N('Deal maths'!M237)&gt;0,ROW()/10000000,"")</f>
        <v/>
      </c>
    </row>
    <row r="2235">
      <c r="A2235" s="91" t="n"/>
      <c r="B2235" s="111">
        <f>MAX(0,N('Deal maths'!M238))</f>
        <v/>
      </c>
      <c r="C2235" s="91">
        <f>IF(B2235&gt;0,IF('Deal maths'!L238="Local authority","Local authorities",LOWER(TRIM('Deal maths'!K238))),"")</f>
        <v/>
      </c>
      <c r="D2235" s="91">
        <f>IF(C2235="","",IF(COUNTIF($C$4:C2234,C2235)=0,SUMIF($C$4:$C$3997,C2235,$B$4:$B$3997)-ROW()/1000000,""))</f>
        <v/>
      </c>
      <c r="E2235" s="91">
        <f>IF(N('Deal maths'!M238)&gt;0,ROW()/10000000,"")</f>
        <v/>
      </c>
    </row>
    <row r="2236">
      <c r="A2236" s="91" t="n"/>
      <c r="B2236" s="111">
        <f>MAX(0,N('Deal maths'!M239))</f>
        <v/>
      </c>
      <c r="C2236" s="91">
        <f>IF(B2236&gt;0,IF('Deal maths'!L239="Local authority","Local authorities",LOWER(TRIM('Deal maths'!K239))),"")</f>
        <v/>
      </c>
      <c r="D2236" s="91">
        <f>IF(C2236="","",IF(COUNTIF($C$4:C2235,C2236)=0,SUMIF($C$4:$C$3997,C2236,$B$4:$B$3997)-ROW()/1000000,""))</f>
        <v/>
      </c>
      <c r="E2236" s="91">
        <f>IF(N('Deal maths'!M239)&gt;0,ROW()/10000000,"")</f>
        <v/>
      </c>
    </row>
    <row r="2237">
      <c r="A2237" s="91" t="n"/>
      <c r="B2237" s="111">
        <f>MAX(0,N('Deal maths'!M240))</f>
        <v/>
      </c>
      <c r="C2237" s="91">
        <f>IF(B2237&gt;0,IF('Deal maths'!L240="Local authority","Local authorities",LOWER(TRIM('Deal maths'!K240))),"")</f>
        <v/>
      </c>
      <c r="D2237" s="91">
        <f>IF(C2237="","",IF(COUNTIF($C$4:C2236,C2237)=0,SUMIF($C$4:$C$3997,C2237,$B$4:$B$3997)-ROW()/1000000,""))</f>
        <v/>
      </c>
      <c r="E2237" s="91">
        <f>IF(N('Deal maths'!M240)&gt;0,ROW()/10000000,"")</f>
        <v/>
      </c>
    </row>
    <row r="2238">
      <c r="A2238" s="91" t="n"/>
      <c r="B2238" s="111">
        <f>MAX(0,N('Deal maths'!M241))</f>
        <v/>
      </c>
      <c r="C2238" s="91">
        <f>IF(B2238&gt;0,IF('Deal maths'!L241="Local authority","Local authorities",LOWER(TRIM('Deal maths'!K241))),"")</f>
        <v/>
      </c>
      <c r="D2238" s="91">
        <f>IF(C2238="","",IF(COUNTIF($C$4:C2237,C2238)=0,SUMIF($C$4:$C$3997,C2238,$B$4:$B$3997)-ROW()/1000000,""))</f>
        <v/>
      </c>
      <c r="E2238" s="91">
        <f>IF(N('Deal maths'!M241)&gt;0,ROW()/10000000,"")</f>
        <v/>
      </c>
    </row>
    <row r="2239">
      <c r="A2239" s="91" t="n"/>
      <c r="B2239" s="111">
        <f>MAX(0,N('Deal maths'!M242))</f>
        <v/>
      </c>
      <c r="C2239" s="91">
        <f>IF(B2239&gt;0,IF('Deal maths'!L242="Local authority","Local authorities",LOWER(TRIM('Deal maths'!K242))),"")</f>
        <v/>
      </c>
      <c r="D2239" s="91">
        <f>IF(C2239="","",IF(COUNTIF($C$4:C2238,C2239)=0,SUMIF($C$4:$C$3997,C2239,$B$4:$B$3997)-ROW()/1000000,""))</f>
        <v/>
      </c>
      <c r="E2239" s="91">
        <f>IF(N('Deal maths'!M242)&gt;0,ROW()/10000000,"")</f>
        <v/>
      </c>
    </row>
    <row r="2240">
      <c r="A2240" s="91" t="n"/>
      <c r="B2240" s="111">
        <f>MAX(0,N('Deal maths'!M243))</f>
        <v/>
      </c>
      <c r="C2240" s="91">
        <f>IF(B2240&gt;0,IF('Deal maths'!L243="Local authority","Local authorities",LOWER(TRIM('Deal maths'!K243))),"")</f>
        <v/>
      </c>
      <c r="D2240" s="91">
        <f>IF(C2240="","",IF(COUNTIF($C$4:C2239,C2240)=0,SUMIF($C$4:$C$3997,C2240,$B$4:$B$3997)-ROW()/1000000,""))</f>
        <v/>
      </c>
      <c r="E2240" s="91">
        <f>IF(N('Deal maths'!M243)&gt;0,ROW()/10000000,"")</f>
        <v/>
      </c>
    </row>
    <row r="2241">
      <c r="A2241" s="91" t="n"/>
      <c r="B2241" s="111">
        <f>MAX(0,N('Deal maths'!M244))</f>
        <v/>
      </c>
      <c r="C2241" s="91">
        <f>IF(B2241&gt;0,IF('Deal maths'!L244="Local authority","Local authorities",LOWER(TRIM('Deal maths'!K244))),"")</f>
        <v/>
      </c>
      <c r="D2241" s="91">
        <f>IF(C2241="","",IF(COUNTIF($C$4:C2240,C2241)=0,SUMIF($C$4:$C$3997,C2241,$B$4:$B$3997)-ROW()/1000000,""))</f>
        <v/>
      </c>
      <c r="E2241" s="91">
        <f>IF(N('Deal maths'!M244)&gt;0,ROW()/10000000,"")</f>
        <v/>
      </c>
    </row>
    <row r="2242">
      <c r="A2242" s="91" t="n"/>
      <c r="B2242" s="111">
        <f>MAX(0,N('Deal maths'!M245))</f>
        <v/>
      </c>
      <c r="C2242" s="91">
        <f>IF(B2242&gt;0,IF('Deal maths'!L245="Local authority","Local authorities",LOWER(TRIM('Deal maths'!K245))),"")</f>
        <v/>
      </c>
      <c r="D2242" s="91">
        <f>IF(C2242="","",IF(COUNTIF($C$4:C2241,C2242)=0,SUMIF($C$4:$C$3997,C2242,$B$4:$B$3997)-ROW()/1000000,""))</f>
        <v/>
      </c>
      <c r="E2242" s="91">
        <f>IF(N('Deal maths'!M245)&gt;0,ROW()/10000000,"")</f>
        <v/>
      </c>
    </row>
    <row r="2243">
      <c r="A2243" s="91" t="n"/>
      <c r="B2243" s="111">
        <f>MAX(0,N('Deal maths'!M246))</f>
        <v/>
      </c>
      <c r="C2243" s="91">
        <f>IF(B2243&gt;0,IF('Deal maths'!L246="Local authority","Local authorities",LOWER(TRIM('Deal maths'!K246))),"")</f>
        <v/>
      </c>
      <c r="D2243" s="91">
        <f>IF(C2243="","",IF(COUNTIF($C$4:C2242,C2243)=0,SUMIF($C$4:$C$3997,C2243,$B$4:$B$3997)-ROW()/1000000,""))</f>
        <v/>
      </c>
      <c r="E2243" s="91">
        <f>IF(N('Deal maths'!M246)&gt;0,ROW()/10000000,"")</f>
        <v/>
      </c>
    </row>
    <row r="2244">
      <c r="A2244" s="91" t="n"/>
      <c r="B2244" s="111">
        <f>MAX(0,N('Deal maths'!M247))</f>
        <v/>
      </c>
      <c r="C2244" s="91">
        <f>IF(B2244&gt;0,IF('Deal maths'!L247="Local authority","Local authorities",LOWER(TRIM('Deal maths'!K247))),"")</f>
        <v/>
      </c>
      <c r="D2244" s="91">
        <f>IF(C2244="","",IF(COUNTIF($C$4:C2243,C2244)=0,SUMIF($C$4:$C$3997,C2244,$B$4:$B$3997)-ROW()/1000000,""))</f>
        <v/>
      </c>
      <c r="E2244" s="91">
        <f>IF(N('Deal maths'!M247)&gt;0,ROW()/10000000,"")</f>
        <v/>
      </c>
    </row>
    <row r="2245">
      <c r="A2245" s="91" t="n"/>
      <c r="B2245" s="111">
        <f>MAX(0,N('Deal maths'!M248))</f>
        <v/>
      </c>
      <c r="C2245" s="91">
        <f>IF(B2245&gt;0,IF('Deal maths'!L248="Local authority","Local authorities",LOWER(TRIM('Deal maths'!K248))),"")</f>
        <v/>
      </c>
      <c r="D2245" s="91">
        <f>IF(C2245="","",IF(COUNTIF($C$4:C2244,C2245)=0,SUMIF($C$4:$C$3997,C2245,$B$4:$B$3997)-ROW()/1000000,""))</f>
        <v/>
      </c>
      <c r="E2245" s="91">
        <f>IF(N('Deal maths'!M248)&gt;0,ROW()/10000000,"")</f>
        <v/>
      </c>
    </row>
    <row r="2246">
      <c r="A2246" s="91" t="n"/>
      <c r="B2246" s="111">
        <f>MAX(0,N('Deal maths'!M249))</f>
        <v/>
      </c>
      <c r="C2246" s="91">
        <f>IF(B2246&gt;0,IF('Deal maths'!L249="Local authority","Local authorities",LOWER(TRIM('Deal maths'!K249))),"")</f>
        <v/>
      </c>
      <c r="D2246" s="91">
        <f>IF(C2246="","",IF(COUNTIF($C$4:C2245,C2246)=0,SUMIF($C$4:$C$3997,C2246,$B$4:$B$3997)-ROW()/1000000,""))</f>
        <v/>
      </c>
      <c r="E2246" s="91">
        <f>IF(N('Deal maths'!M249)&gt;0,ROW()/10000000,"")</f>
        <v/>
      </c>
    </row>
    <row r="2247">
      <c r="A2247" s="91" t="n"/>
      <c r="B2247" s="111">
        <f>MAX(0,N('Deal maths'!M250))</f>
        <v/>
      </c>
      <c r="C2247" s="91">
        <f>IF(B2247&gt;0,IF('Deal maths'!L250="Local authority","Local authorities",LOWER(TRIM('Deal maths'!K250))),"")</f>
        <v/>
      </c>
      <c r="D2247" s="91">
        <f>IF(C2247="","",IF(COUNTIF($C$4:C2246,C2247)=0,SUMIF($C$4:$C$3997,C2247,$B$4:$B$3997)-ROW()/1000000,""))</f>
        <v/>
      </c>
      <c r="E2247" s="91">
        <f>IF(N('Deal maths'!M250)&gt;0,ROW()/10000000,"")</f>
        <v/>
      </c>
    </row>
    <row r="2248">
      <c r="A2248" s="91" t="n"/>
      <c r="B2248" s="111">
        <f>MAX(0,N('Deal maths'!M251))</f>
        <v/>
      </c>
      <c r="C2248" s="91">
        <f>IF(B2248&gt;0,IF('Deal maths'!L251="Local authority","Local authorities",LOWER(TRIM('Deal maths'!K251))),"")</f>
        <v/>
      </c>
      <c r="D2248" s="91">
        <f>IF(C2248="","",IF(COUNTIF($C$4:C2247,C2248)=0,SUMIF($C$4:$C$3997,C2248,$B$4:$B$3997)-ROW()/1000000,""))</f>
        <v/>
      </c>
      <c r="E2248" s="91">
        <f>IF(N('Deal maths'!M251)&gt;0,ROW()/10000000,"")</f>
        <v/>
      </c>
    </row>
    <row r="2249">
      <c r="A2249" s="91" t="n"/>
      <c r="B2249" s="111">
        <f>MAX(0,N('Deal maths'!M252))</f>
        <v/>
      </c>
      <c r="C2249" s="91">
        <f>IF(B2249&gt;0,IF('Deal maths'!L252="Local authority","Local authorities",LOWER(TRIM('Deal maths'!K252))),"")</f>
        <v/>
      </c>
      <c r="D2249" s="91">
        <f>IF(C2249="","",IF(COUNTIF($C$4:C2248,C2249)=0,SUMIF($C$4:$C$3997,C2249,$B$4:$B$3997)-ROW()/1000000,""))</f>
        <v/>
      </c>
      <c r="E2249" s="91">
        <f>IF(N('Deal maths'!M252)&gt;0,ROW()/10000000,"")</f>
        <v/>
      </c>
    </row>
    <row r="2250">
      <c r="A2250" s="91" t="n"/>
      <c r="B2250" s="111">
        <f>MAX(0,N('Deal maths'!M253))</f>
        <v/>
      </c>
      <c r="C2250" s="91">
        <f>IF(B2250&gt;0,IF('Deal maths'!L253="Local authority","Local authorities",LOWER(TRIM('Deal maths'!K253))),"")</f>
        <v/>
      </c>
      <c r="D2250" s="91">
        <f>IF(C2250="","",IF(COUNTIF($C$4:C2249,C2250)=0,SUMIF($C$4:$C$3997,C2250,$B$4:$B$3997)-ROW()/1000000,""))</f>
        <v/>
      </c>
      <c r="E2250" s="91">
        <f>IF(N('Deal maths'!M253)&gt;0,ROW()/10000000,"")</f>
        <v/>
      </c>
    </row>
    <row r="2251">
      <c r="A2251" s="91" t="n"/>
      <c r="B2251" s="111">
        <f>MAX(0,N('Deal maths'!M254))</f>
        <v/>
      </c>
      <c r="C2251" s="91">
        <f>IF(B2251&gt;0,IF('Deal maths'!L254="Local authority","Local authorities",LOWER(TRIM('Deal maths'!K254))),"")</f>
        <v/>
      </c>
      <c r="D2251" s="91">
        <f>IF(C2251="","",IF(COUNTIF($C$4:C2250,C2251)=0,SUMIF($C$4:$C$3997,C2251,$B$4:$B$3997)-ROW()/1000000,""))</f>
        <v/>
      </c>
      <c r="E2251" s="91">
        <f>IF(N('Deal maths'!M254)&gt;0,ROW()/10000000,"")</f>
        <v/>
      </c>
    </row>
    <row r="2252">
      <c r="A2252" s="91" t="n"/>
      <c r="B2252" s="111">
        <f>MAX(0,N('Deal maths'!M255))</f>
        <v/>
      </c>
      <c r="C2252" s="91">
        <f>IF(B2252&gt;0,IF('Deal maths'!L255="Local authority","Local authorities",LOWER(TRIM('Deal maths'!K255))),"")</f>
        <v/>
      </c>
      <c r="D2252" s="91">
        <f>IF(C2252="","",IF(COUNTIF($C$4:C2251,C2252)=0,SUMIF($C$4:$C$3997,C2252,$B$4:$B$3997)-ROW()/1000000,""))</f>
        <v/>
      </c>
      <c r="E2252" s="91">
        <f>IF(N('Deal maths'!M255)&gt;0,ROW()/10000000,"")</f>
        <v/>
      </c>
    </row>
    <row r="2253">
      <c r="A2253" s="91" t="n"/>
      <c r="B2253" s="111">
        <f>MAX(0,N('Deal maths'!M256))</f>
        <v/>
      </c>
      <c r="C2253" s="91">
        <f>IF(B2253&gt;0,IF('Deal maths'!L256="Local authority","Local authorities",LOWER(TRIM('Deal maths'!K256))),"")</f>
        <v/>
      </c>
      <c r="D2253" s="91">
        <f>IF(C2253="","",IF(COUNTIF($C$4:C2252,C2253)=0,SUMIF($C$4:$C$3997,C2253,$B$4:$B$3997)-ROW()/1000000,""))</f>
        <v/>
      </c>
      <c r="E2253" s="91">
        <f>IF(N('Deal maths'!M256)&gt;0,ROW()/10000000,"")</f>
        <v/>
      </c>
    </row>
    <row r="2254">
      <c r="A2254" s="91" t="n"/>
      <c r="B2254" s="111">
        <f>MAX(0,N('Deal maths'!M257))</f>
        <v/>
      </c>
      <c r="C2254" s="91">
        <f>IF(B2254&gt;0,IF('Deal maths'!L257="Local authority","Local authorities",LOWER(TRIM('Deal maths'!K257))),"")</f>
        <v/>
      </c>
      <c r="D2254" s="91">
        <f>IF(C2254="","",IF(COUNTIF($C$4:C2253,C2254)=0,SUMIF($C$4:$C$3997,C2254,$B$4:$B$3997)-ROW()/1000000,""))</f>
        <v/>
      </c>
      <c r="E2254" s="91">
        <f>IF(N('Deal maths'!M257)&gt;0,ROW()/10000000,"")</f>
        <v/>
      </c>
    </row>
    <row r="2255">
      <c r="A2255" s="91" t="n"/>
      <c r="B2255" s="111">
        <f>MAX(0,N('Deal maths'!M258))</f>
        <v/>
      </c>
      <c r="C2255" s="91">
        <f>IF(B2255&gt;0,IF('Deal maths'!L258="Local authority","Local authorities",LOWER(TRIM('Deal maths'!K258))),"")</f>
        <v/>
      </c>
      <c r="D2255" s="91">
        <f>IF(C2255="","",IF(COUNTIF($C$4:C2254,C2255)=0,SUMIF($C$4:$C$3997,C2255,$B$4:$B$3997)-ROW()/1000000,""))</f>
        <v/>
      </c>
      <c r="E2255" s="91">
        <f>IF(N('Deal maths'!M258)&gt;0,ROW()/10000000,"")</f>
        <v/>
      </c>
    </row>
    <row r="2256">
      <c r="A2256" s="91" t="n"/>
      <c r="B2256" s="111">
        <f>MAX(0,N('Deal maths'!M259))</f>
        <v/>
      </c>
      <c r="C2256" s="91">
        <f>IF(B2256&gt;0,IF('Deal maths'!L259="Local authority","Local authorities",LOWER(TRIM('Deal maths'!K259))),"")</f>
        <v/>
      </c>
      <c r="D2256" s="91">
        <f>IF(C2256="","",IF(COUNTIF($C$4:C2255,C2256)=0,SUMIF($C$4:$C$3997,C2256,$B$4:$B$3997)-ROW()/1000000,""))</f>
        <v/>
      </c>
      <c r="E2256" s="91">
        <f>IF(N('Deal maths'!M259)&gt;0,ROW()/10000000,"")</f>
        <v/>
      </c>
    </row>
    <row r="2257">
      <c r="A2257" s="91" t="n"/>
      <c r="B2257" s="111">
        <f>MAX(0,N('Deal maths'!M260))</f>
        <v/>
      </c>
      <c r="C2257" s="91">
        <f>IF(B2257&gt;0,IF('Deal maths'!L260="Local authority","Local authorities",LOWER(TRIM('Deal maths'!K260))),"")</f>
        <v/>
      </c>
      <c r="D2257" s="91">
        <f>IF(C2257="","",IF(COUNTIF($C$4:C2256,C2257)=0,SUMIF($C$4:$C$3997,C2257,$B$4:$B$3997)-ROW()/1000000,""))</f>
        <v/>
      </c>
      <c r="E2257" s="91">
        <f>IF(N('Deal maths'!M260)&gt;0,ROW()/10000000,"")</f>
        <v/>
      </c>
    </row>
    <row r="2258">
      <c r="A2258" s="91" t="n"/>
      <c r="B2258" s="111">
        <f>MAX(0,N('Deal maths'!M261))</f>
        <v/>
      </c>
      <c r="C2258" s="91">
        <f>IF(B2258&gt;0,IF('Deal maths'!L261="Local authority","Local authorities",LOWER(TRIM('Deal maths'!K261))),"")</f>
        <v/>
      </c>
      <c r="D2258" s="91">
        <f>IF(C2258="","",IF(COUNTIF($C$4:C2257,C2258)=0,SUMIF($C$4:$C$3997,C2258,$B$4:$B$3997)-ROW()/1000000,""))</f>
        <v/>
      </c>
      <c r="E2258" s="91">
        <f>IF(N('Deal maths'!M261)&gt;0,ROW()/10000000,"")</f>
        <v/>
      </c>
    </row>
    <row r="2259">
      <c r="A2259" s="91" t="n"/>
      <c r="B2259" s="111">
        <f>MAX(0,N('Deal maths'!M262))</f>
        <v/>
      </c>
      <c r="C2259" s="91">
        <f>IF(B2259&gt;0,IF('Deal maths'!L262="Local authority","Local authorities",LOWER(TRIM('Deal maths'!K262))),"")</f>
        <v/>
      </c>
      <c r="D2259" s="91">
        <f>IF(C2259="","",IF(COUNTIF($C$4:C2258,C2259)=0,SUMIF($C$4:$C$3997,C2259,$B$4:$B$3997)-ROW()/1000000,""))</f>
        <v/>
      </c>
      <c r="E2259" s="91">
        <f>IF(N('Deal maths'!M262)&gt;0,ROW()/10000000,"")</f>
        <v/>
      </c>
    </row>
    <row r="2260">
      <c r="A2260" s="91" t="n"/>
      <c r="B2260" s="111">
        <f>MAX(0,N('Deal maths'!M263))</f>
        <v/>
      </c>
      <c r="C2260" s="91">
        <f>IF(B2260&gt;0,IF('Deal maths'!L263="Local authority","Local authorities",LOWER(TRIM('Deal maths'!K263))),"")</f>
        <v/>
      </c>
      <c r="D2260" s="91">
        <f>IF(C2260="","",IF(COUNTIF($C$4:C2259,C2260)=0,SUMIF($C$4:$C$3997,C2260,$B$4:$B$3997)-ROW()/1000000,""))</f>
        <v/>
      </c>
      <c r="E2260" s="91">
        <f>IF(N('Deal maths'!M263)&gt;0,ROW()/10000000,"")</f>
        <v/>
      </c>
    </row>
    <row r="2261">
      <c r="A2261" s="91" t="n"/>
      <c r="B2261" s="111">
        <f>MAX(0,N('Deal maths'!M264))</f>
        <v/>
      </c>
      <c r="C2261" s="91">
        <f>IF(B2261&gt;0,IF('Deal maths'!L264="Local authority","Local authorities",LOWER(TRIM('Deal maths'!K264))),"")</f>
        <v/>
      </c>
      <c r="D2261" s="91">
        <f>IF(C2261="","",IF(COUNTIF($C$4:C2260,C2261)=0,SUMIF($C$4:$C$3997,C2261,$B$4:$B$3997)-ROW()/1000000,""))</f>
        <v/>
      </c>
      <c r="E2261" s="91">
        <f>IF(N('Deal maths'!M264)&gt;0,ROW()/10000000,"")</f>
        <v/>
      </c>
    </row>
    <row r="2262">
      <c r="A2262" s="91" t="n"/>
      <c r="B2262" s="111">
        <f>MAX(0,N('Deal maths'!M265))</f>
        <v/>
      </c>
      <c r="C2262" s="91">
        <f>IF(B2262&gt;0,IF('Deal maths'!L265="Local authority","Local authorities",LOWER(TRIM('Deal maths'!K265))),"")</f>
        <v/>
      </c>
      <c r="D2262" s="91">
        <f>IF(C2262="","",IF(COUNTIF($C$4:C2261,C2262)=0,SUMIF($C$4:$C$3997,C2262,$B$4:$B$3997)-ROW()/1000000,""))</f>
        <v/>
      </c>
      <c r="E2262" s="91">
        <f>IF(N('Deal maths'!M265)&gt;0,ROW()/10000000,"")</f>
        <v/>
      </c>
    </row>
    <row r="2263">
      <c r="A2263" s="91" t="n"/>
      <c r="B2263" s="111">
        <f>MAX(0,N('Deal maths'!M266))</f>
        <v/>
      </c>
      <c r="C2263" s="91">
        <f>IF(B2263&gt;0,IF('Deal maths'!L266="Local authority","Local authorities",LOWER(TRIM('Deal maths'!K266))),"")</f>
        <v/>
      </c>
      <c r="D2263" s="91">
        <f>IF(C2263="","",IF(COUNTIF($C$4:C2262,C2263)=0,SUMIF($C$4:$C$3997,C2263,$B$4:$B$3997)-ROW()/1000000,""))</f>
        <v/>
      </c>
      <c r="E2263" s="91">
        <f>IF(N('Deal maths'!M266)&gt;0,ROW()/10000000,"")</f>
        <v/>
      </c>
    </row>
    <row r="2264">
      <c r="A2264" s="91" t="n"/>
      <c r="B2264" s="111">
        <f>MAX(0,N('Deal maths'!M267))</f>
        <v/>
      </c>
      <c r="C2264" s="91">
        <f>IF(B2264&gt;0,IF('Deal maths'!L267="Local authority","Local authorities",LOWER(TRIM('Deal maths'!K267))),"")</f>
        <v/>
      </c>
      <c r="D2264" s="91">
        <f>IF(C2264="","",IF(COUNTIF($C$4:C2263,C2264)=0,SUMIF($C$4:$C$3997,C2264,$B$4:$B$3997)-ROW()/1000000,""))</f>
        <v/>
      </c>
      <c r="E2264" s="91">
        <f>IF(N('Deal maths'!M267)&gt;0,ROW()/10000000,"")</f>
        <v/>
      </c>
    </row>
    <row r="2265">
      <c r="A2265" s="91" t="n"/>
      <c r="B2265" s="111">
        <f>MAX(0,N('Deal maths'!M268))</f>
        <v/>
      </c>
      <c r="C2265" s="91">
        <f>IF(B2265&gt;0,IF('Deal maths'!L268="Local authority","Local authorities",LOWER(TRIM('Deal maths'!K268))),"")</f>
        <v/>
      </c>
      <c r="D2265" s="91">
        <f>IF(C2265="","",IF(COUNTIF($C$4:C2264,C2265)=0,SUMIF($C$4:$C$3997,C2265,$B$4:$B$3997)-ROW()/1000000,""))</f>
        <v/>
      </c>
      <c r="E2265" s="91">
        <f>IF(N('Deal maths'!M268)&gt;0,ROW()/10000000,"")</f>
        <v/>
      </c>
    </row>
    <row r="2266">
      <c r="A2266" s="91" t="n"/>
      <c r="B2266" s="111">
        <f>MAX(0,N('Deal maths'!M269))</f>
        <v/>
      </c>
      <c r="C2266" s="91">
        <f>IF(B2266&gt;0,IF('Deal maths'!L269="Local authority","Local authorities",LOWER(TRIM('Deal maths'!K269))),"")</f>
        <v/>
      </c>
      <c r="D2266" s="91">
        <f>IF(C2266="","",IF(COUNTIF($C$4:C2265,C2266)=0,SUMIF($C$4:$C$3997,C2266,$B$4:$B$3997)-ROW()/1000000,""))</f>
        <v/>
      </c>
      <c r="E2266" s="91">
        <f>IF(N('Deal maths'!M269)&gt;0,ROW()/10000000,"")</f>
        <v/>
      </c>
    </row>
    <row r="2267">
      <c r="A2267" s="91" t="n"/>
      <c r="B2267" s="111">
        <f>MAX(0,N('Deal maths'!M270))</f>
        <v/>
      </c>
      <c r="C2267" s="91">
        <f>IF(B2267&gt;0,IF('Deal maths'!L270="Local authority","Local authorities",LOWER(TRIM('Deal maths'!K270))),"")</f>
        <v/>
      </c>
      <c r="D2267" s="91">
        <f>IF(C2267="","",IF(COUNTIF($C$4:C2266,C2267)=0,SUMIF($C$4:$C$3997,C2267,$B$4:$B$3997)-ROW()/1000000,""))</f>
        <v/>
      </c>
      <c r="E2267" s="91">
        <f>IF(N('Deal maths'!M270)&gt;0,ROW()/10000000,"")</f>
        <v/>
      </c>
    </row>
    <row r="2268">
      <c r="A2268" s="91" t="n"/>
      <c r="B2268" s="111">
        <f>MAX(0,N('Deal maths'!M271))</f>
        <v/>
      </c>
      <c r="C2268" s="91">
        <f>IF(B2268&gt;0,IF('Deal maths'!L271="Local authority","Local authorities",LOWER(TRIM('Deal maths'!K271))),"")</f>
        <v/>
      </c>
      <c r="D2268" s="91">
        <f>IF(C2268="","",IF(COUNTIF($C$4:C2267,C2268)=0,SUMIF($C$4:$C$3997,C2268,$B$4:$B$3997)-ROW()/1000000,""))</f>
        <v/>
      </c>
      <c r="E2268" s="91">
        <f>IF(N('Deal maths'!M271)&gt;0,ROW()/10000000,"")</f>
        <v/>
      </c>
    </row>
    <row r="2269">
      <c r="A2269" s="91" t="n"/>
      <c r="B2269" s="111">
        <f>MAX(0,N('Deal maths'!M272))</f>
        <v/>
      </c>
      <c r="C2269" s="91">
        <f>IF(B2269&gt;0,IF('Deal maths'!L272="Local authority","Local authorities",LOWER(TRIM('Deal maths'!K272))),"")</f>
        <v/>
      </c>
      <c r="D2269" s="91">
        <f>IF(C2269="","",IF(COUNTIF($C$4:C2268,C2269)=0,SUMIF($C$4:$C$3997,C2269,$B$4:$B$3997)-ROW()/1000000,""))</f>
        <v/>
      </c>
      <c r="E2269" s="91">
        <f>IF(N('Deal maths'!M272)&gt;0,ROW()/10000000,"")</f>
        <v/>
      </c>
    </row>
    <row r="2270">
      <c r="A2270" s="91" t="n"/>
      <c r="B2270" s="111">
        <f>MAX(0,N('Deal maths'!M273))</f>
        <v/>
      </c>
      <c r="C2270" s="91">
        <f>IF(B2270&gt;0,IF('Deal maths'!L273="Local authority","Local authorities",LOWER(TRIM('Deal maths'!K273))),"")</f>
        <v/>
      </c>
      <c r="D2270" s="91">
        <f>IF(C2270="","",IF(COUNTIF($C$4:C2269,C2270)=0,SUMIF($C$4:$C$3997,C2270,$B$4:$B$3997)-ROW()/1000000,""))</f>
        <v/>
      </c>
      <c r="E2270" s="91">
        <f>IF(N('Deal maths'!M273)&gt;0,ROW()/10000000,"")</f>
        <v/>
      </c>
    </row>
    <row r="2271">
      <c r="A2271" s="91" t="n"/>
      <c r="B2271" s="111">
        <f>MAX(0,N('Deal maths'!M274))</f>
        <v/>
      </c>
      <c r="C2271" s="91">
        <f>IF(B2271&gt;0,IF('Deal maths'!L274="Local authority","Local authorities",LOWER(TRIM('Deal maths'!K274))),"")</f>
        <v/>
      </c>
      <c r="D2271" s="91">
        <f>IF(C2271="","",IF(COUNTIF($C$4:C2270,C2271)=0,SUMIF($C$4:$C$3997,C2271,$B$4:$B$3997)-ROW()/1000000,""))</f>
        <v/>
      </c>
      <c r="E2271" s="91">
        <f>IF(N('Deal maths'!M274)&gt;0,ROW()/10000000,"")</f>
        <v/>
      </c>
    </row>
    <row r="2272">
      <c r="A2272" s="91" t="n"/>
      <c r="B2272" s="111">
        <f>MAX(0,N('Deal maths'!M275))</f>
        <v/>
      </c>
      <c r="C2272" s="91">
        <f>IF(B2272&gt;0,IF('Deal maths'!L275="Local authority","Local authorities",LOWER(TRIM('Deal maths'!K275))),"")</f>
        <v/>
      </c>
      <c r="D2272" s="91">
        <f>IF(C2272="","",IF(COUNTIF($C$4:C2271,C2272)=0,SUMIF($C$4:$C$3997,C2272,$B$4:$B$3997)-ROW()/1000000,""))</f>
        <v/>
      </c>
      <c r="E2272" s="91">
        <f>IF(N('Deal maths'!M275)&gt;0,ROW()/10000000,"")</f>
        <v/>
      </c>
    </row>
    <row r="2273">
      <c r="A2273" s="91" t="n"/>
      <c r="B2273" s="111">
        <f>MAX(0,N('Deal maths'!M276))</f>
        <v/>
      </c>
      <c r="C2273" s="91">
        <f>IF(B2273&gt;0,IF('Deal maths'!L276="Local authority","Local authorities",LOWER(TRIM('Deal maths'!K276))),"")</f>
        <v/>
      </c>
      <c r="D2273" s="91">
        <f>IF(C2273="","",IF(COUNTIF($C$4:C2272,C2273)=0,SUMIF($C$4:$C$3997,C2273,$B$4:$B$3997)-ROW()/1000000,""))</f>
        <v/>
      </c>
      <c r="E2273" s="91">
        <f>IF(N('Deal maths'!M276)&gt;0,ROW()/10000000,"")</f>
        <v/>
      </c>
    </row>
    <row r="2274">
      <c r="A2274" s="91" t="n"/>
      <c r="B2274" s="111">
        <f>MAX(0,N('Deal maths'!M277))</f>
        <v/>
      </c>
      <c r="C2274" s="91">
        <f>IF(B2274&gt;0,IF('Deal maths'!L277="Local authority","Local authorities",LOWER(TRIM('Deal maths'!K277))),"")</f>
        <v/>
      </c>
      <c r="D2274" s="91">
        <f>IF(C2274="","",IF(COUNTIF($C$4:C2273,C2274)=0,SUMIF($C$4:$C$3997,C2274,$B$4:$B$3997)-ROW()/1000000,""))</f>
        <v/>
      </c>
      <c r="E2274" s="91">
        <f>IF(N('Deal maths'!M277)&gt;0,ROW()/10000000,"")</f>
        <v/>
      </c>
    </row>
    <row r="2275">
      <c r="A2275" s="91" t="n"/>
      <c r="B2275" s="111">
        <f>MAX(0,N('Deal maths'!M278))</f>
        <v/>
      </c>
      <c r="C2275" s="91">
        <f>IF(B2275&gt;0,IF('Deal maths'!L278="Local authority","Local authorities",LOWER(TRIM('Deal maths'!K278))),"")</f>
        <v/>
      </c>
      <c r="D2275" s="91">
        <f>IF(C2275="","",IF(COUNTIF($C$4:C2274,C2275)=0,SUMIF($C$4:$C$3997,C2275,$B$4:$B$3997)-ROW()/1000000,""))</f>
        <v/>
      </c>
      <c r="E2275" s="91">
        <f>IF(N('Deal maths'!M278)&gt;0,ROW()/10000000,"")</f>
        <v/>
      </c>
    </row>
    <row r="2276">
      <c r="A2276" s="91" t="n"/>
      <c r="B2276" s="111">
        <f>MAX(0,N('Deal maths'!M279))</f>
        <v/>
      </c>
      <c r="C2276" s="91">
        <f>IF(B2276&gt;0,IF('Deal maths'!L279="Local authority","Local authorities",LOWER(TRIM('Deal maths'!K279))),"")</f>
        <v/>
      </c>
      <c r="D2276" s="91">
        <f>IF(C2276="","",IF(COUNTIF($C$4:C2275,C2276)=0,SUMIF($C$4:$C$3997,C2276,$B$4:$B$3997)-ROW()/1000000,""))</f>
        <v/>
      </c>
      <c r="E2276" s="91">
        <f>IF(N('Deal maths'!M279)&gt;0,ROW()/10000000,"")</f>
        <v/>
      </c>
    </row>
    <row r="2277">
      <c r="A2277" s="91" t="n"/>
      <c r="B2277" s="111">
        <f>MAX(0,N('Deal maths'!M280))</f>
        <v/>
      </c>
      <c r="C2277" s="91">
        <f>IF(B2277&gt;0,IF('Deal maths'!L280="Local authority","Local authorities",LOWER(TRIM('Deal maths'!K280))),"")</f>
        <v/>
      </c>
      <c r="D2277" s="91">
        <f>IF(C2277="","",IF(COUNTIF($C$4:C2276,C2277)=0,SUMIF($C$4:$C$3997,C2277,$B$4:$B$3997)-ROW()/1000000,""))</f>
        <v/>
      </c>
      <c r="E2277" s="91">
        <f>IF(N('Deal maths'!M280)&gt;0,ROW()/10000000,"")</f>
        <v/>
      </c>
    </row>
    <row r="2278">
      <c r="A2278" s="91" t="n"/>
      <c r="B2278" s="111">
        <f>MAX(0,N('Deal maths'!M281))</f>
        <v/>
      </c>
      <c r="C2278" s="91">
        <f>IF(B2278&gt;0,IF('Deal maths'!L281="Local authority","Local authorities",LOWER(TRIM('Deal maths'!K281))),"")</f>
        <v/>
      </c>
      <c r="D2278" s="91">
        <f>IF(C2278="","",IF(COUNTIF($C$4:C2277,C2278)=0,SUMIF($C$4:$C$3997,C2278,$B$4:$B$3997)-ROW()/1000000,""))</f>
        <v/>
      </c>
      <c r="E2278" s="91">
        <f>IF(N('Deal maths'!M281)&gt;0,ROW()/10000000,"")</f>
        <v/>
      </c>
    </row>
    <row r="2279">
      <c r="A2279" s="91" t="n"/>
      <c r="B2279" s="111">
        <f>MAX(0,N('Deal maths'!M282))</f>
        <v/>
      </c>
      <c r="C2279" s="91">
        <f>IF(B2279&gt;0,IF('Deal maths'!L282="Local authority","Local authorities",LOWER(TRIM('Deal maths'!K282))),"")</f>
        <v/>
      </c>
      <c r="D2279" s="91">
        <f>IF(C2279="","",IF(COUNTIF($C$4:C2278,C2279)=0,SUMIF($C$4:$C$3997,C2279,$B$4:$B$3997)-ROW()/1000000,""))</f>
        <v/>
      </c>
      <c r="E2279" s="91">
        <f>IF(N('Deal maths'!M282)&gt;0,ROW()/10000000,"")</f>
        <v/>
      </c>
    </row>
    <row r="2280">
      <c r="A2280" s="91" t="n"/>
      <c r="B2280" s="111">
        <f>MAX(0,N('Deal maths'!M283))</f>
        <v/>
      </c>
      <c r="C2280" s="91">
        <f>IF(B2280&gt;0,IF('Deal maths'!L283="Local authority","Local authorities",LOWER(TRIM('Deal maths'!K283))),"")</f>
        <v/>
      </c>
      <c r="D2280" s="91">
        <f>IF(C2280="","",IF(COUNTIF($C$4:C2279,C2280)=0,SUMIF($C$4:$C$3997,C2280,$B$4:$B$3997)-ROW()/1000000,""))</f>
        <v/>
      </c>
      <c r="E2280" s="91">
        <f>IF(N('Deal maths'!M283)&gt;0,ROW()/10000000,"")</f>
        <v/>
      </c>
    </row>
    <row r="2281">
      <c r="A2281" s="91" t="n"/>
      <c r="B2281" s="111">
        <f>MAX(0,N('Deal maths'!M284))</f>
        <v/>
      </c>
      <c r="C2281" s="91">
        <f>IF(B2281&gt;0,IF('Deal maths'!L284="Local authority","Local authorities",LOWER(TRIM('Deal maths'!K284))),"")</f>
        <v/>
      </c>
      <c r="D2281" s="91">
        <f>IF(C2281="","",IF(COUNTIF($C$4:C2280,C2281)=0,SUMIF($C$4:$C$3997,C2281,$B$4:$B$3997)-ROW()/1000000,""))</f>
        <v/>
      </c>
      <c r="E2281" s="91">
        <f>IF(N('Deal maths'!M284)&gt;0,ROW()/10000000,"")</f>
        <v/>
      </c>
    </row>
    <row r="2282">
      <c r="A2282" s="91" t="n"/>
      <c r="B2282" s="111">
        <f>MAX(0,N('Deal maths'!M285))</f>
        <v/>
      </c>
      <c r="C2282" s="91">
        <f>IF(B2282&gt;0,IF('Deal maths'!L285="Local authority","Local authorities",LOWER(TRIM('Deal maths'!K285))),"")</f>
        <v/>
      </c>
      <c r="D2282" s="91">
        <f>IF(C2282="","",IF(COUNTIF($C$4:C2281,C2282)=0,SUMIF($C$4:$C$3997,C2282,$B$4:$B$3997)-ROW()/1000000,""))</f>
        <v/>
      </c>
      <c r="E2282" s="91">
        <f>IF(N('Deal maths'!M285)&gt;0,ROW()/10000000,"")</f>
        <v/>
      </c>
    </row>
    <row r="2283">
      <c r="A2283" s="91" t="n"/>
      <c r="B2283" s="111">
        <f>MAX(0,N('Deal maths'!M286))</f>
        <v/>
      </c>
      <c r="C2283" s="91">
        <f>IF(B2283&gt;0,IF('Deal maths'!L286="Local authority","Local authorities",LOWER(TRIM('Deal maths'!K286))),"")</f>
        <v/>
      </c>
      <c r="D2283" s="91">
        <f>IF(C2283="","",IF(COUNTIF($C$4:C2282,C2283)=0,SUMIF($C$4:$C$3997,C2283,$B$4:$B$3997)-ROW()/1000000,""))</f>
        <v/>
      </c>
      <c r="E2283" s="91">
        <f>IF(N('Deal maths'!M286)&gt;0,ROW()/10000000,"")</f>
        <v/>
      </c>
    </row>
    <row r="2284">
      <c r="A2284" s="91" t="n"/>
      <c r="B2284" s="111">
        <f>MAX(0,N('Deal maths'!M287))</f>
        <v/>
      </c>
      <c r="C2284" s="91">
        <f>IF(B2284&gt;0,IF('Deal maths'!L287="Local authority","Local authorities",LOWER(TRIM('Deal maths'!K287))),"")</f>
        <v/>
      </c>
      <c r="D2284" s="91">
        <f>IF(C2284="","",IF(COUNTIF($C$4:C2283,C2284)=0,SUMIF($C$4:$C$3997,C2284,$B$4:$B$3997)-ROW()/1000000,""))</f>
        <v/>
      </c>
      <c r="E2284" s="91">
        <f>IF(N('Deal maths'!M287)&gt;0,ROW()/10000000,"")</f>
        <v/>
      </c>
    </row>
    <row r="2285">
      <c r="A2285" s="91" t="n"/>
      <c r="B2285" s="111">
        <f>MAX(0,N('Deal maths'!M288))</f>
        <v/>
      </c>
      <c r="C2285" s="91">
        <f>IF(B2285&gt;0,IF('Deal maths'!L288="Local authority","Local authorities",LOWER(TRIM('Deal maths'!K288))),"")</f>
        <v/>
      </c>
      <c r="D2285" s="91">
        <f>IF(C2285="","",IF(COUNTIF($C$4:C2284,C2285)=0,SUMIF($C$4:$C$3997,C2285,$B$4:$B$3997)-ROW()/1000000,""))</f>
        <v/>
      </c>
      <c r="E2285" s="91">
        <f>IF(N('Deal maths'!M288)&gt;0,ROW()/10000000,"")</f>
        <v/>
      </c>
    </row>
    <row r="2286">
      <c r="A2286" s="91" t="n"/>
      <c r="B2286" s="111">
        <f>MAX(0,N('Deal maths'!M289))</f>
        <v/>
      </c>
      <c r="C2286" s="91">
        <f>IF(B2286&gt;0,IF('Deal maths'!L289="Local authority","Local authorities",LOWER(TRIM('Deal maths'!K289))),"")</f>
        <v/>
      </c>
      <c r="D2286" s="91">
        <f>IF(C2286="","",IF(COUNTIF($C$4:C2285,C2286)=0,SUMIF($C$4:$C$3997,C2286,$B$4:$B$3997)-ROW()/1000000,""))</f>
        <v/>
      </c>
      <c r="E2286" s="91">
        <f>IF(N('Deal maths'!M289)&gt;0,ROW()/10000000,"")</f>
        <v/>
      </c>
    </row>
    <row r="2287">
      <c r="A2287" s="91" t="n"/>
      <c r="B2287" s="111">
        <f>MAX(0,N('Deal maths'!M290))</f>
        <v/>
      </c>
      <c r="C2287" s="91">
        <f>IF(B2287&gt;0,IF('Deal maths'!L290="Local authority","Local authorities",LOWER(TRIM('Deal maths'!K290))),"")</f>
        <v/>
      </c>
      <c r="D2287" s="91">
        <f>IF(C2287="","",IF(COUNTIF($C$4:C2286,C2287)=0,SUMIF($C$4:$C$3997,C2287,$B$4:$B$3997)-ROW()/1000000,""))</f>
        <v/>
      </c>
      <c r="E2287" s="91">
        <f>IF(N('Deal maths'!M290)&gt;0,ROW()/10000000,"")</f>
        <v/>
      </c>
    </row>
    <row r="2288">
      <c r="A2288" s="91" t="n"/>
      <c r="B2288" s="111">
        <f>MAX(0,N('Deal maths'!M291))</f>
        <v/>
      </c>
      <c r="C2288" s="91">
        <f>IF(B2288&gt;0,IF('Deal maths'!L291="Local authority","Local authorities",LOWER(TRIM('Deal maths'!K291))),"")</f>
        <v/>
      </c>
      <c r="D2288" s="91">
        <f>IF(C2288="","",IF(COUNTIF($C$4:C2287,C2288)=0,SUMIF($C$4:$C$3997,C2288,$B$4:$B$3997)-ROW()/1000000,""))</f>
        <v/>
      </c>
      <c r="E2288" s="91">
        <f>IF(N('Deal maths'!M291)&gt;0,ROW()/10000000,"")</f>
        <v/>
      </c>
    </row>
    <row r="2289">
      <c r="A2289" s="91" t="n"/>
      <c r="B2289" s="111">
        <f>MAX(0,N('Deal maths'!M292))</f>
        <v/>
      </c>
      <c r="C2289" s="91">
        <f>IF(B2289&gt;0,IF('Deal maths'!L292="Local authority","Local authorities",LOWER(TRIM('Deal maths'!K292))),"")</f>
        <v/>
      </c>
      <c r="D2289" s="91">
        <f>IF(C2289="","",IF(COUNTIF($C$4:C2288,C2289)=0,SUMIF($C$4:$C$3997,C2289,$B$4:$B$3997)-ROW()/1000000,""))</f>
        <v/>
      </c>
      <c r="E2289" s="91">
        <f>IF(N('Deal maths'!M292)&gt;0,ROW()/10000000,"")</f>
        <v/>
      </c>
    </row>
    <row r="2290">
      <c r="A2290" s="91" t="n"/>
      <c r="B2290" s="111">
        <f>MAX(0,N('Deal maths'!M293))</f>
        <v/>
      </c>
      <c r="C2290" s="91">
        <f>IF(B2290&gt;0,IF('Deal maths'!L293="Local authority","Local authorities",LOWER(TRIM('Deal maths'!K293))),"")</f>
        <v/>
      </c>
      <c r="D2290" s="91">
        <f>IF(C2290="","",IF(COUNTIF($C$4:C2289,C2290)=0,SUMIF($C$4:$C$3997,C2290,$B$4:$B$3997)-ROW()/1000000,""))</f>
        <v/>
      </c>
      <c r="E2290" s="91">
        <f>IF(N('Deal maths'!M293)&gt;0,ROW()/10000000,"")</f>
        <v/>
      </c>
    </row>
    <row r="2291">
      <c r="A2291" s="91" t="n"/>
      <c r="B2291" s="111">
        <f>MAX(0,N('Deal maths'!M294))</f>
        <v/>
      </c>
      <c r="C2291" s="91">
        <f>IF(B2291&gt;0,IF('Deal maths'!L294="Local authority","Local authorities",LOWER(TRIM('Deal maths'!K294))),"")</f>
        <v/>
      </c>
      <c r="D2291" s="91">
        <f>IF(C2291="","",IF(COUNTIF($C$4:C2290,C2291)=0,SUMIF($C$4:$C$3997,C2291,$B$4:$B$3997)-ROW()/1000000,""))</f>
        <v/>
      </c>
      <c r="E2291" s="91">
        <f>IF(N('Deal maths'!M294)&gt;0,ROW()/10000000,"")</f>
        <v/>
      </c>
    </row>
    <row r="2292">
      <c r="A2292" s="91" t="n"/>
      <c r="B2292" s="111">
        <f>MAX(0,N('Deal maths'!M295))</f>
        <v/>
      </c>
      <c r="C2292" s="91">
        <f>IF(B2292&gt;0,IF('Deal maths'!L295="Local authority","Local authorities",LOWER(TRIM('Deal maths'!K295))),"")</f>
        <v/>
      </c>
      <c r="D2292" s="91">
        <f>IF(C2292="","",IF(COUNTIF($C$4:C2291,C2292)=0,SUMIF($C$4:$C$3997,C2292,$B$4:$B$3997)-ROW()/1000000,""))</f>
        <v/>
      </c>
      <c r="E2292" s="91">
        <f>IF(N('Deal maths'!M295)&gt;0,ROW()/10000000,"")</f>
        <v/>
      </c>
    </row>
    <row r="2293">
      <c r="A2293" s="91" t="n"/>
      <c r="B2293" s="111">
        <f>MAX(0,N('Deal maths'!M296))</f>
        <v/>
      </c>
      <c r="C2293" s="91">
        <f>IF(B2293&gt;0,IF('Deal maths'!L296="Local authority","Local authorities",LOWER(TRIM('Deal maths'!K296))),"")</f>
        <v/>
      </c>
      <c r="D2293" s="91">
        <f>IF(C2293="","",IF(COUNTIF($C$4:C2292,C2293)=0,SUMIF($C$4:$C$3997,C2293,$B$4:$B$3997)-ROW()/1000000,""))</f>
        <v/>
      </c>
      <c r="E2293" s="91">
        <f>IF(N('Deal maths'!M296)&gt;0,ROW()/10000000,"")</f>
        <v/>
      </c>
    </row>
    <row r="2294">
      <c r="A2294" s="91" t="n"/>
      <c r="B2294" s="111">
        <f>MAX(0,N('Deal maths'!M297))</f>
        <v/>
      </c>
      <c r="C2294" s="91">
        <f>IF(B2294&gt;0,IF('Deal maths'!L297="Local authority","Local authorities",LOWER(TRIM('Deal maths'!K297))),"")</f>
        <v/>
      </c>
      <c r="D2294" s="91">
        <f>IF(C2294="","",IF(COUNTIF($C$4:C2293,C2294)=0,SUMIF($C$4:$C$3997,C2294,$B$4:$B$3997)-ROW()/1000000,""))</f>
        <v/>
      </c>
      <c r="E2294" s="91">
        <f>IF(N('Deal maths'!M297)&gt;0,ROW()/10000000,"")</f>
        <v/>
      </c>
    </row>
    <row r="2295">
      <c r="A2295" s="91" t="n"/>
      <c r="B2295" s="111">
        <f>MAX(0,N('Deal maths'!M298))</f>
        <v/>
      </c>
      <c r="C2295" s="91">
        <f>IF(B2295&gt;0,IF('Deal maths'!L298="Local authority","Local authorities",LOWER(TRIM('Deal maths'!K298))),"")</f>
        <v/>
      </c>
      <c r="D2295" s="91">
        <f>IF(C2295="","",IF(COUNTIF($C$4:C2294,C2295)=0,SUMIF($C$4:$C$3997,C2295,$B$4:$B$3997)-ROW()/1000000,""))</f>
        <v/>
      </c>
      <c r="E2295" s="91">
        <f>IF(N('Deal maths'!M298)&gt;0,ROW()/10000000,"")</f>
        <v/>
      </c>
    </row>
    <row r="2296">
      <c r="A2296" s="91" t="n"/>
      <c r="B2296" s="111">
        <f>MAX(0,N('Deal maths'!M299))</f>
        <v/>
      </c>
      <c r="C2296" s="91">
        <f>IF(B2296&gt;0,IF('Deal maths'!L299="Local authority","Local authorities",LOWER(TRIM('Deal maths'!K299))),"")</f>
        <v/>
      </c>
      <c r="D2296" s="91">
        <f>IF(C2296="","",IF(COUNTIF($C$4:C2295,C2296)=0,SUMIF($C$4:$C$3997,C2296,$B$4:$B$3997)-ROW()/1000000,""))</f>
        <v/>
      </c>
      <c r="E2296" s="91">
        <f>IF(N('Deal maths'!M299)&gt;0,ROW()/10000000,"")</f>
        <v/>
      </c>
    </row>
    <row r="2297">
      <c r="A2297" s="91" t="n"/>
      <c r="B2297" s="111">
        <f>MAX(0,N('Deal maths'!M300))</f>
        <v/>
      </c>
      <c r="C2297" s="91">
        <f>IF(B2297&gt;0,IF('Deal maths'!L300="Local authority","Local authorities",LOWER(TRIM('Deal maths'!K300))),"")</f>
        <v/>
      </c>
      <c r="D2297" s="91">
        <f>IF(C2297="","",IF(COUNTIF($C$4:C2296,C2297)=0,SUMIF($C$4:$C$3997,C2297,$B$4:$B$3997)-ROW()/1000000,""))</f>
        <v/>
      </c>
      <c r="E2297" s="91">
        <f>IF(N('Deal maths'!M300)&gt;0,ROW()/10000000,"")</f>
        <v/>
      </c>
    </row>
    <row r="2298">
      <c r="A2298" s="91" t="n"/>
      <c r="B2298" s="111">
        <f>MAX(0,N('Deal maths'!M301))</f>
        <v/>
      </c>
      <c r="C2298" s="91">
        <f>IF(B2298&gt;0,IF('Deal maths'!L301="Local authority","Local authorities",LOWER(TRIM('Deal maths'!K301))),"")</f>
        <v/>
      </c>
      <c r="D2298" s="91">
        <f>IF(C2298="","",IF(COUNTIF($C$4:C2297,C2298)=0,SUMIF($C$4:$C$3997,C2298,$B$4:$B$3997)-ROW()/1000000,""))</f>
        <v/>
      </c>
      <c r="E2298" s="91">
        <f>IF(N('Deal maths'!M301)&gt;0,ROW()/10000000,"")</f>
        <v/>
      </c>
    </row>
    <row r="2299">
      <c r="A2299" s="91" t="n"/>
      <c r="B2299" s="111">
        <f>MAX(0,N('Deal maths'!M302))</f>
        <v/>
      </c>
      <c r="C2299" s="91">
        <f>IF(B2299&gt;0,IF('Deal maths'!L302="Local authority","Local authorities",LOWER(TRIM('Deal maths'!K302))),"")</f>
        <v/>
      </c>
      <c r="D2299" s="91">
        <f>IF(C2299="","",IF(COUNTIF($C$4:C2298,C2299)=0,SUMIF($C$4:$C$3997,C2299,$B$4:$B$3997)-ROW()/1000000,""))</f>
        <v/>
      </c>
      <c r="E2299" s="91">
        <f>IF(N('Deal maths'!M302)&gt;0,ROW()/10000000,"")</f>
        <v/>
      </c>
    </row>
    <row r="2300">
      <c r="A2300" s="91" t="n"/>
      <c r="B2300" s="111">
        <f>MAX(0,N('Deal maths'!M303))</f>
        <v/>
      </c>
      <c r="C2300" s="91">
        <f>IF(B2300&gt;0,IF('Deal maths'!L303="Local authority","Local authorities",LOWER(TRIM('Deal maths'!K303))),"")</f>
        <v/>
      </c>
      <c r="D2300" s="91">
        <f>IF(C2300="","",IF(COUNTIF($C$4:C2299,C2300)=0,SUMIF($C$4:$C$3997,C2300,$B$4:$B$3997)-ROW()/1000000,""))</f>
        <v/>
      </c>
      <c r="E2300" s="91">
        <f>IF(N('Deal maths'!M303)&gt;0,ROW()/10000000,"")</f>
        <v/>
      </c>
    </row>
    <row r="2301">
      <c r="A2301" s="91" t="n"/>
      <c r="B2301" s="111">
        <f>MAX(0,N('Deal maths'!M304))</f>
        <v/>
      </c>
      <c r="C2301" s="91">
        <f>IF(B2301&gt;0,IF('Deal maths'!L304="Local authority","Local authorities",LOWER(TRIM('Deal maths'!K304))),"")</f>
        <v/>
      </c>
      <c r="D2301" s="91">
        <f>IF(C2301="","",IF(COUNTIF($C$4:C2300,C2301)=0,SUMIF($C$4:$C$3997,C2301,$B$4:$B$3997)-ROW()/1000000,""))</f>
        <v/>
      </c>
      <c r="E2301" s="91">
        <f>IF(N('Deal maths'!M304)&gt;0,ROW()/10000000,"")</f>
        <v/>
      </c>
    </row>
    <row r="2302">
      <c r="A2302" s="91" t="n"/>
      <c r="B2302" s="111">
        <f>MAX(0,N('Deal maths'!M305))</f>
        <v/>
      </c>
      <c r="C2302" s="91">
        <f>IF(B2302&gt;0,IF('Deal maths'!L305="Local authority","Local authorities",LOWER(TRIM('Deal maths'!K305))),"")</f>
        <v/>
      </c>
      <c r="D2302" s="91">
        <f>IF(C2302="","",IF(COUNTIF($C$4:C2301,C2302)=0,SUMIF($C$4:$C$3997,C2302,$B$4:$B$3997)-ROW()/1000000,""))</f>
        <v/>
      </c>
      <c r="E2302" s="91">
        <f>IF(N('Deal maths'!M305)&gt;0,ROW()/10000000,"")</f>
        <v/>
      </c>
    </row>
    <row r="2303">
      <c r="A2303" s="91" t="n"/>
      <c r="B2303" s="111">
        <f>MAX(0,N('Deal maths'!M306))</f>
        <v/>
      </c>
      <c r="C2303" s="91">
        <f>IF(B2303&gt;0,IF('Deal maths'!L306="Local authority","Local authorities",LOWER(TRIM('Deal maths'!K306))),"")</f>
        <v/>
      </c>
      <c r="D2303" s="91">
        <f>IF(C2303="","",IF(COUNTIF($C$4:C2302,C2303)=0,SUMIF($C$4:$C$3997,C2303,$B$4:$B$3997)-ROW()/1000000,""))</f>
        <v/>
      </c>
      <c r="E2303" s="91">
        <f>IF(N('Deal maths'!M306)&gt;0,ROW()/10000000,"")</f>
        <v/>
      </c>
    </row>
    <row r="2304">
      <c r="A2304" s="91" t="n"/>
      <c r="B2304" s="111">
        <f>MAX(0,N('Deal maths'!M307))</f>
        <v/>
      </c>
      <c r="C2304" s="91">
        <f>IF(B2304&gt;0,IF('Deal maths'!L307="Local authority","Local authorities",LOWER(TRIM('Deal maths'!K307))),"")</f>
        <v/>
      </c>
      <c r="D2304" s="91">
        <f>IF(C2304="","",IF(COUNTIF($C$4:C2303,C2304)=0,SUMIF($C$4:$C$3997,C2304,$B$4:$B$3997)-ROW()/1000000,""))</f>
        <v/>
      </c>
      <c r="E2304" s="91">
        <f>IF(N('Deal maths'!M307)&gt;0,ROW()/10000000,"")</f>
        <v/>
      </c>
    </row>
    <row r="2305">
      <c r="A2305" s="91" t="n"/>
      <c r="B2305" s="111">
        <f>MAX(0,N('Deal maths'!M308))</f>
        <v/>
      </c>
      <c r="C2305" s="91">
        <f>IF(B2305&gt;0,IF('Deal maths'!L308="Local authority","Local authorities",LOWER(TRIM('Deal maths'!K308))),"")</f>
        <v/>
      </c>
      <c r="D2305" s="91">
        <f>IF(C2305="","",IF(COUNTIF($C$4:C2304,C2305)=0,SUMIF($C$4:$C$3997,C2305,$B$4:$B$3997)-ROW()/1000000,""))</f>
        <v/>
      </c>
      <c r="E2305" s="91">
        <f>IF(N('Deal maths'!M308)&gt;0,ROW()/10000000,"")</f>
        <v/>
      </c>
    </row>
    <row r="2306">
      <c r="A2306" s="91" t="n"/>
      <c r="B2306" s="111">
        <f>MAX(0,N('Deal maths'!M309))</f>
        <v/>
      </c>
      <c r="C2306" s="91">
        <f>IF(B2306&gt;0,IF('Deal maths'!L309="Local authority","Local authorities",LOWER(TRIM('Deal maths'!K309))),"")</f>
        <v/>
      </c>
      <c r="D2306" s="91">
        <f>IF(C2306="","",IF(COUNTIF($C$4:C2305,C2306)=0,SUMIF($C$4:$C$3997,C2306,$B$4:$B$3997)-ROW()/1000000,""))</f>
        <v/>
      </c>
      <c r="E2306" s="91">
        <f>IF(N('Deal maths'!M309)&gt;0,ROW()/10000000,"")</f>
        <v/>
      </c>
    </row>
    <row r="2307">
      <c r="A2307" s="91" t="n"/>
      <c r="B2307" s="111">
        <f>MAX(0,N('Deal maths'!M310))</f>
        <v/>
      </c>
      <c r="C2307" s="91">
        <f>IF(B2307&gt;0,IF('Deal maths'!L310="Local authority","Local authorities",LOWER(TRIM('Deal maths'!K310))),"")</f>
        <v/>
      </c>
      <c r="D2307" s="91">
        <f>IF(C2307="","",IF(COUNTIF($C$4:C2306,C2307)=0,SUMIF($C$4:$C$3997,C2307,$B$4:$B$3997)-ROW()/1000000,""))</f>
        <v/>
      </c>
      <c r="E2307" s="91">
        <f>IF(N('Deal maths'!M310)&gt;0,ROW()/10000000,"")</f>
        <v/>
      </c>
    </row>
    <row r="2308">
      <c r="A2308" s="91" t="n"/>
      <c r="B2308" s="111">
        <f>MAX(0,N('Deal maths'!M311))</f>
        <v/>
      </c>
      <c r="C2308" s="91">
        <f>IF(B2308&gt;0,IF('Deal maths'!L311="Local authority","Local authorities",LOWER(TRIM('Deal maths'!K311))),"")</f>
        <v/>
      </c>
      <c r="D2308" s="91">
        <f>IF(C2308="","",IF(COUNTIF($C$4:C2307,C2308)=0,SUMIF($C$4:$C$3997,C2308,$B$4:$B$3997)-ROW()/1000000,""))</f>
        <v/>
      </c>
      <c r="E2308" s="91">
        <f>IF(N('Deal maths'!M311)&gt;0,ROW()/10000000,"")</f>
        <v/>
      </c>
    </row>
    <row r="2309">
      <c r="A2309" s="91" t="n"/>
      <c r="B2309" s="111">
        <f>MAX(0,N('Deal maths'!M312))</f>
        <v/>
      </c>
      <c r="C2309" s="91">
        <f>IF(B2309&gt;0,IF('Deal maths'!L312="Local authority","Local authorities",LOWER(TRIM('Deal maths'!K312))),"")</f>
        <v/>
      </c>
      <c r="D2309" s="91">
        <f>IF(C2309="","",IF(COUNTIF($C$4:C2308,C2309)=0,SUMIF($C$4:$C$3997,C2309,$B$4:$B$3997)-ROW()/1000000,""))</f>
        <v/>
      </c>
      <c r="E2309" s="91">
        <f>IF(N('Deal maths'!M312)&gt;0,ROW()/10000000,"")</f>
        <v/>
      </c>
    </row>
    <row r="2310">
      <c r="A2310" s="91" t="n"/>
      <c r="B2310" s="111">
        <f>MAX(0,N('Deal maths'!M313))</f>
        <v/>
      </c>
      <c r="C2310" s="91">
        <f>IF(B2310&gt;0,IF('Deal maths'!L313="Local authority","Local authorities",LOWER(TRIM('Deal maths'!K313))),"")</f>
        <v/>
      </c>
      <c r="D2310" s="91">
        <f>IF(C2310="","",IF(COUNTIF($C$4:C2309,C2310)=0,SUMIF($C$4:$C$3997,C2310,$B$4:$B$3997)-ROW()/1000000,""))</f>
        <v/>
      </c>
      <c r="E2310" s="91">
        <f>IF(N('Deal maths'!M313)&gt;0,ROW()/10000000,"")</f>
        <v/>
      </c>
    </row>
    <row r="2311">
      <c r="A2311" s="91" t="n"/>
      <c r="B2311" s="111">
        <f>MAX(0,N('Deal maths'!M314))</f>
        <v/>
      </c>
      <c r="C2311" s="91">
        <f>IF(B2311&gt;0,IF('Deal maths'!L314="Local authority","Local authorities",LOWER(TRIM('Deal maths'!K314))),"")</f>
        <v/>
      </c>
      <c r="D2311" s="91">
        <f>IF(C2311="","",IF(COUNTIF($C$4:C2310,C2311)=0,SUMIF($C$4:$C$3997,C2311,$B$4:$B$3997)-ROW()/1000000,""))</f>
        <v/>
      </c>
      <c r="E2311" s="91">
        <f>IF(N('Deal maths'!M314)&gt;0,ROW()/10000000,"")</f>
        <v/>
      </c>
    </row>
    <row r="2312">
      <c r="A2312" s="91" t="n"/>
      <c r="B2312" s="111">
        <f>MAX(0,N('Deal maths'!M315))</f>
        <v/>
      </c>
      <c r="C2312" s="91">
        <f>IF(B2312&gt;0,IF('Deal maths'!L315="Local authority","Local authorities",LOWER(TRIM('Deal maths'!K315))),"")</f>
        <v/>
      </c>
      <c r="D2312" s="91">
        <f>IF(C2312="","",IF(COUNTIF($C$4:C2311,C2312)=0,SUMIF($C$4:$C$3997,C2312,$B$4:$B$3997)-ROW()/1000000,""))</f>
        <v/>
      </c>
      <c r="E2312" s="91">
        <f>IF(N('Deal maths'!M315)&gt;0,ROW()/10000000,"")</f>
        <v/>
      </c>
    </row>
    <row r="2313">
      <c r="A2313" s="91" t="n"/>
      <c r="B2313" s="111">
        <f>MAX(0,N('Deal maths'!M316))</f>
        <v/>
      </c>
      <c r="C2313" s="91">
        <f>IF(B2313&gt;0,IF('Deal maths'!L316="Local authority","Local authorities",LOWER(TRIM('Deal maths'!K316))),"")</f>
        <v/>
      </c>
      <c r="D2313" s="91">
        <f>IF(C2313="","",IF(COUNTIF($C$4:C2312,C2313)=0,SUMIF($C$4:$C$3997,C2313,$B$4:$B$3997)-ROW()/1000000,""))</f>
        <v/>
      </c>
      <c r="E2313" s="91">
        <f>IF(N('Deal maths'!M316)&gt;0,ROW()/10000000,"")</f>
        <v/>
      </c>
    </row>
    <row r="2314">
      <c r="A2314" s="91" t="n"/>
      <c r="B2314" s="111">
        <f>MAX(0,N('Deal maths'!M317))</f>
        <v/>
      </c>
      <c r="C2314" s="91">
        <f>IF(B2314&gt;0,IF('Deal maths'!L317="Local authority","Local authorities",LOWER(TRIM('Deal maths'!K317))),"")</f>
        <v/>
      </c>
      <c r="D2314" s="91">
        <f>IF(C2314="","",IF(COUNTIF($C$4:C2313,C2314)=0,SUMIF($C$4:$C$3997,C2314,$B$4:$B$3997)-ROW()/1000000,""))</f>
        <v/>
      </c>
      <c r="E2314" s="91">
        <f>IF(N('Deal maths'!M317)&gt;0,ROW()/10000000,"")</f>
        <v/>
      </c>
    </row>
    <row r="2315">
      <c r="A2315" s="91" t="n"/>
      <c r="B2315" s="111">
        <f>MAX(0,N('Deal maths'!M318))</f>
        <v/>
      </c>
      <c r="C2315" s="91">
        <f>IF(B2315&gt;0,IF('Deal maths'!L318="Local authority","Local authorities",LOWER(TRIM('Deal maths'!K318))),"")</f>
        <v/>
      </c>
      <c r="D2315" s="91">
        <f>IF(C2315="","",IF(COUNTIF($C$4:C2314,C2315)=0,SUMIF($C$4:$C$3997,C2315,$B$4:$B$3997)-ROW()/1000000,""))</f>
        <v/>
      </c>
      <c r="E2315" s="91">
        <f>IF(N('Deal maths'!M318)&gt;0,ROW()/10000000,"")</f>
        <v/>
      </c>
    </row>
    <row r="2316">
      <c r="A2316" s="91" t="n"/>
      <c r="B2316" s="111">
        <f>MAX(0,N('Deal maths'!M319))</f>
        <v/>
      </c>
      <c r="C2316" s="91">
        <f>IF(B2316&gt;0,IF('Deal maths'!L319="Local authority","Local authorities",LOWER(TRIM('Deal maths'!K319))),"")</f>
        <v/>
      </c>
      <c r="D2316" s="91">
        <f>IF(C2316="","",IF(COUNTIF($C$4:C2315,C2316)=0,SUMIF($C$4:$C$3997,C2316,$B$4:$B$3997)-ROW()/1000000,""))</f>
        <v/>
      </c>
      <c r="E2316" s="91">
        <f>IF(N('Deal maths'!M319)&gt;0,ROW()/10000000,"")</f>
        <v/>
      </c>
    </row>
    <row r="2317">
      <c r="A2317" s="91" t="n"/>
      <c r="B2317" s="111">
        <f>MAX(0,N('Deal maths'!M320))</f>
        <v/>
      </c>
      <c r="C2317" s="91">
        <f>IF(B2317&gt;0,IF('Deal maths'!L320="Local authority","Local authorities",LOWER(TRIM('Deal maths'!K320))),"")</f>
        <v/>
      </c>
      <c r="D2317" s="91">
        <f>IF(C2317="","",IF(COUNTIF($C$4:C2316,C2317)=0,SUMIF($C$4:$C$3997,C2317,$B$4:$B$3997)-ROW()/1000000,""))</f>
        <v/>
      </c>
      <c r="E2317" s="91">
        <f>IF(N('Deal maths'!M320)&gt;0,ROW()/10000000,"")</f>
        <v/>
      </c>
    </row>
    <row r="2318">
      <c r="A2318" s="91" t="n"/>
      <c r="B2318" s="111">
        <f>MAX(0,N('Deal maths'!M321))</f>
        <v/>
      </c>
      <c r="C2318" s="91">
        <f>IF(B2318&gt;0,IF('Deal maths'!L321="Local authority","Local authorities",LOWER(TRIM('Deal maths'!K321))),"")</f>
        <v/>
      </c>
      <c r="D2318" s="91">
        <f>IF(C2318="","",IF(COUNTIF($C$4:C2317,C2318)=0,SUMIF($C$4:$C$3997,C2318,$B$4:$B$3997)-ROW()/1000000,""))</f>
        <v/>
      </c>
      <c r="E2318" s="91">
        <f>IF(N('Deal maths'!M321)&gt;0,ROW()/10000000,"")</f>
        <v/>
      </c>
    </row>
    <row r="2319">
      <c r="A2319" s="91" t="n"/>
      <c r="B2319" s="111">
        <f>MAX(0,N('Deal maths'!M322))</f>
        <v/>
      </c>
      <c r="C2319" s="91">
        <f>IF(B2319&gt;0,IF('Deal maths'!L322="Local authority","Local authorities",LOWER(TRIM('Deal maths'!K322))),"")</f>
        <v/>
      </c>
      <c r="D2319" s="91">
        <f>IF(C2319="","",IF(COUNTIF($C$4:C2318,C2319)=0,SUMIF($C$4:$C$3997,C2319,$B$4:$B$3997)-ROW()/1000000,""))</f>
        <v/>
      </c>
      <c r="E2319" s="91">
        <f>IF(N('Deal maths'!M322)&gt;0,ROW()/10000000,"")</f>
        <v/>
      </c>
    </row>
    <row r="2320">
      <c r="A2320" s="91" t="n"/>
      <c r="B2320" s="111">
        <f>MAX(0,N('Deal maths'!M323))</f>
        <v/>
      </c>
      <c r="C2320" s="91">
        <f>IF(B2320&gt;0,IF('Deal maths'!L323="Local authority","Local authorities",LOWER(TRIM('Deal maths'!K323))),"")</f>
        <v/>
      </c>
      <c r="D2320" s="91">
        <f>IF(C2320="","",IF(COUNTIF($C$4:C2319,C2320)=0,SUMIF($C$4:$C$3997,C2320,$B$4:$B$3997)-ROW()/1000000,""))</f>
        <v/>
      </c>
      <c r="E2320" s="91">
        <f>IF(N('Deal maths'!M323)&gt;0,ROW()/10000000,"")</f>
        <v/>
      </c>
    </row>
    <row r="2321">
      <c r="A2321" s="91" t="n"/>
      <c r="B2321" s="111">
        <f>MAX(0,N('Deal maths'!M324))</f>
        <v/>
      </c>
      <c r="C2321" s="91">
        <f>IF(B2321&gt;0,IF('Deal maths'!L324="Local authority","Local authorities",LOWER(TRIM('Deal maths'!K324))),"")</f>
        <v/>
      </c>
      <c r="D2321" s="91">
        <f>IF(C2321="","",IF(COUNTIF($C$4:C2320,C2321)=0,SUMIF($C$4:$C$3997,C2321,$B$4:$B$3997)-ROW()/1000000,""))</f>
        <v/>
      </c>
      <c r="E2321" s="91">
        <f>IF(N('Deal maths'!M324)&gt;0,ROW()/10000000,"")</f>
        <v/>
      </c>
    </row>
    <row r="2322">
      <c r="A2322" s="91" t="n"/>
      <c r="B2322" s="111">
        <f>MAX(0,N('Deal maths'!M325))</f>
        <v/>
      </c>
      <c r="C2322" s="91">
        <f>IF(B2322&gt;0,IF('Deal maths'!L325="Local authority","Local authorities",LOWER(TRIM('Deal maths'!K325))),"")</f>
        <v/>
      </c>
      <c r="D2322" s="91">
        <f>IF(C2322="","",IF(COUNTIF($C$4:C2321,C2322)=0,SUMIF($C$4:$C$3997,C2322,$B$4:$B$3997)-ROW()/1000000,""))</f>
        <v/>
      </c>
      <c r="E2322" s="91">
        <f>IF(N('Deal maths'!M325)&gt;0,ROW()/10000000,"")</f>
        <v/>
      </c>
    </row>
    <row r="2323">
      <c r="A2323" s="91" t="n"/>
      <c r="B2323" s="111">
        <f>MAX(0,N('Deal maths'!M326))</f>
        <v/>
      </c>
      <c r="C2323" s="91">
        <f>IF(B2323&gt;0,IF('Deal maths'!L326="Local authority","Local authorities",LOWER(TRIM('Deal maths'!K326))),"")</f>
        <v/>
      </c>
      <c r="D2323" s="91">
        <f>IF(C2323="","",IF(COUNTIF($C$4:C2322,C2323)=0,SUMIF($C$4:$C$3997,C2323,$B$4:$B$3997)-ROW()/1000000,""))</f>
        <v/>
      </c>
      <c r="E2323" s="91">
        <f>IF(N('Deal maths'!M326)&gt;0,ROW()/10000000,"")</f>
        <v/>
      </c>
    </row>
    <row r="2324">
      <c r="A2324" s="91" t="n"/>
      <c r="B2324" s="111">
        <f>MAX(0,N('Deal maths'!M327))</f>
        <v/>
      </c>
      <c r="C2324" s="91">
        <f>IF(B2324&gt;0,IF('Deal maths'!L327="Local authority","Local authorities",LOWER(TRIM('Deal maths'!K327))),"")</f>
        <v/>
      </c>
      <c r="D2324" s="91">
        <f>IF(C2324="","",IF(COUNTIF($C$4:C2323,C2324)=0,SUMIF($C$4:$C$3997,C2324,$B$4:$B$3997)-ROW()/1000000,""))</f>
        <v/>
      </c>
      <c r="E2324" s="91">
        <f>IF(N('Deal maths'!M327)&gt;0,ROW()/10000000,"")</f>
        <v/>
      </c>
    </row>
    <row r="2325">
      <c r="A2325" s="91" t="n"/>
      <c r="B2325" s="111">
        <f>MAX(0,N('Deal maths'!M328))</f>
        <v/>
      </c>
      <c r="C2325" s="91">
        <f>IF(B2325&gt;0,IF('Deal maths'!L328="Local authority","Local authorities",LOWER(TRIM('Deal maths'!K328))),"")</f>
        <v/>
      </c>
      <c r="D2325" s="91">
        <f>IF(C2325="","",IF(COUNTIF($C$4:C2324,C2325)=0,SUMIF($C$4:$C$3997,C2325,$B$4:$B$3997)-ROW()/1000000,""))</f>
        <v/>
      </c>
      <c r="E2325" s="91">
        <f>IF(N('Deal maths'!M328)&gt;0,ROW()/10000000,"")</f>
        <v/>
      </c>
    </row>
    <row r="2326">
      <c r="A2326" s="91" t="n"/>
      <c r="B2326" s="111">
        <f>MAX(0,N('Deal maths'!M329))</f>
        <v/>
      </c>
      <c r="C2326" s="91">
        <f>IF(B2326&gt;0,IF('Deal maths'!L329="Local authority","Local authorities",LOWER(TRIM('Deal maths'!K329))),"")</f>
        <v/>
      </c>
      <c r="D2326" s="91">
        <f>IF(C2326="","",IF(COUNTIF($C$4:C2325,C2326)=0,SUMIF($C$4:$C$3997,C2326,$B$4:$B$3997)-ROW()/1000000,""))</f>
        <v/>
      </c>
      <c r="E2326" s="91">
        <f>IF(N('Deal maths'!M329)&gt;0,ROW()/10000000,"")</f>
        <v/>
      </c>
    </row>
    <row r="2327">
      <c r="A2327" s="91" t="n"/>
      <c r="B2327" s="111">
        <f>MAX(0,N('Deal maths'!M330))</f>
        <v/>
      </c>
      <c r="C2327" s="91">
        <f>IF(B2327&gt;0,IF('Deal maths'!L330="Local authority","Local authorities",LOWER(TRIM('Deal maths'!K330))),"")</f>
        <v/>
      </c>
      <c r="D2327" s="91">
        <f>IF(C2327="","",IF(COUNTIF($C$4:C2326,C2327)=0,SUMIF($C$4:$C$3997,C2327,$B$4:$B$3997)-ROW()/1000000,""))</f>
        <v/>
      </c>
      <c r="E2327" s="91">
        <f>IF(N('Deal maths'!M330)&gt;0,ROW()/10000000,"")</f>
        <v/>
      </c>
    </row>
    <row r="2328">
      <c r="A2328" s="91" t="n"/>
      <c r="B2328" s="111">
        <f>MAX(0,N('Deal maths'!M331))</f>
        <v/>
      </c>
      <c r="C2328" s="91">
        <f>IF(B2328&gt;0,IF('Deal maths'!L331="Local authority","Local authorities",LOWER(TRIM('Deal maths'!K331))),"")</f>
        <v/>
      </c>
      <c r="D2328" s="91">
        <f>IF(C2328="","",IF(COUNTIF($C$4:C2327,C2328)=0,SUMIF($C$4:$C$3997,C2328,$B$4:$B$3997)-ROW()/1000000,""))</f>
        <v/>
      </c>
      <c r="E2328" s="91">
        <f>IF(N('Deal maths'!M331)&gt;0,ROW()/10000000,"")</f>
        <v/>
      </c>
    </row>
    <row r="2329">
      <c r="A2329" s="91" t="n"/>
      <c r="B2329" s="111">
        <f>MAX(0,N('Deal maths'!M332))</f>
        <v/>
      </c>
      <c r="C2329" s="91">
        <f>IF(B2329&gt;0,IF('Deal maths'!L332="Local authority","Local authorities",LOWER(TRIM('Deal maths'!K332))),"")</f>
        <v/>
      </c>
      <c r="D2329" s="91">
        <f>IF(C2329="","",IF(COUNTIF($C$4:C2328,C2329)=0,SUMIF($C$4:$C$3997,C2329,$B$4:$B$3997)-ROW()/1000000,""))</f>
        <v/>
      </c>
      <c r="E2329" s="91">
        <f>IF(N('Deal maths'!M332)&gt;0,ROW()/10000000,"")</f>
        <v/>
      </c>
    </row>
    <row r="2330">
      <c r="A2330" s="91" t="n"/>
      <c r="B2330" s="111">
        <f>MAX(0,N('Deal maths'!M333))</f>
        <v/>
      </c>
      <c r="C2330" s="91">
        <f>IF(B2330&gt;0,IF('Deal maths'!L333="Local authority","Local authorities",LOWER(TRIM('Deal maths'!K333))),"")</f>
        <v/>
      </c>
      <c r="D2330" s="91">
        <f>IF(C2330="","",IF(COUNTIF($C$4:C2329,C2330)=0,SUMIF($C$4:$C$3997,C2330,$B$4:$B$3997)-ROW()/1000000,""))</f>
        <v/>
      </c>
      <c r="E2330" s="91">
        <f>IF(N('Deal maths'!M333)&gt;0,ROW()/10000000,"")</f>
        <v/>
      </c>
    </row>
    <row r="2331">
      <c r="A2331" s="91" t="n"/>
      <c r="B2331" s="111">
        <f>MAX(0,N('Deal maths'!M334))</f>
        <v/>
      </c>
      <c r="C2331" s="91">
        <f>IF(B2331&gt;0,IF('Deal maths'!L334="Local authority","Local authorities",LOWER(TRIM('Deal maths'!K334))),"")</f>
        <v/>
      </c>
      <c r="D2331" s="91">
        <f>IF(C2331="","",IF(COUNTIF($C$4:C2330,C2331)=0,SUMIF($C$4:$C$3997,C2331,$B$4:$B$3997)-ROW()/1000000,""))</f>
        <v/>
      </c>
      <c r="E2331" s="91">
        <f>IF(N('Deal maths'!M334)&gt;0,ROW()/10000000,"")</f>
        <v/>
      </c>
    </row>
    <row r="2332">
      <c r="A2332" s="91" t="n"/>
      <c r="B2332" s="111">
        <f>MAX(0,N('Deal maths'!M335))</f>
        <v/>
      </c>
      <c r="C2332" s="91">
        <f>IF(B2332&gt;0,IF('Deal maths'!L335="Local authority","Local authorities",LOWER(TRIM('Deal maths'!K335))),"")</f>
        <v/>
      </c>
      <c r="D2332" s="91">
        <f>IF(C2332="","",IF(COUNTIF($C$4:C2331,C2332)=0,SUMIF($C$4:$C$3997,C2332,$B$4:$B$3997)-ROW()/1000000,""))</f>
        <v/>
      </c>
      <c r="E2332" s="91">
        <f>IF(N('Deal maths'!M335)&gt;0,ROW()/10000000,"")</f>
        <v/>
      </c>
    </row>
    <row r="2333">
      <c r="A2333" s="91" t="n"/>
      <c r="B2333" s="111">
        <f>MAX(0,N('Deal maths'!M336))</f>
        <v/>
      </c>
      <c r="C2333" s="91">
        <f>IF(B2333&gt;0,IF('Deal maths'!L336="Local authority","Local authorities",LOWER(TRIM('Deal maths'!K336))),"")</f>
        <v/>
      </c>
      <c r="D2333" s="91">
        <f>IF(C2333="","",IF(COUNTIF($C$4:C2332,C2333)=0,SUMIF($C$4:$C$3997,C2333,$B$4:$B$3997)-ROW()/1000000,""))</f>
        <v/>
      </c>
      <c r="E2333" s="91">
        <f>IF(N('Deal maths'!M336)&gt;0,ROW()/10000000,"")</f>
        <v/>
      </c>
    </row>
    <row r="2334">
      <c r="A2334" s="91" t="n"/>
      <c r="B2334" s="111">
        <f>MAX(0,N('Deal maths'!M337))</f>
        <v/>
      </c>
      <c r="C2334" s="91">
        <f>IF(B2334&gt;0,IF('Deal maths'!L337="Local authority","Local authorities",LOWER(TRIM('Deal maths'!K337))),"")</f>
        <v/>
      </c>
      <c r="D2334" s="91">
        <f>IF(C2334="","",IF(COUNTIF($C$4:C2333,C2334)=0,SUMIF($C$4:$C$3997,C2334,$B$4:$B$3997)-ROW()/1000000,""))</f>
        <v/>
      </c>
      <c r="E2334" s="91">
        <f>IF(N('Deal maths'!M337)&gt;0,ROW()/10000000,"")</f>
        <v/>
      </c>
    </row>
    <row r="2335">
      <c r="A2335" s="91" t="n"/>
      <c r="B2335" s="111">
        <f>MAX(0,N('Deal maths'!M338))</f>
        <v/>
      </c>
      <c r="C2335" s="91">
        <f>IF(B2335&gt;0,IF('Deal maths'!L338="Local authority","Local authorities",LOWER(TRIM('Deal maths'!K338))),"")</f>
        <v/>
      </c>
      <c r="D2335" s="91">
        <f>IF(C2335="","",IF(COUNTIF($C$4:C2334,C2335)=0,SUMIF($C$4:$C$3997,C2335,$B$4:$B$3997)-ROW()/1000000,""))</f>
        <v/>
      </c>
      <c r="E2335" s="91">
        <f>IF(N('Deal maths'!M338)&gt;0,ROW()/10000000,"")</f>
        <v/>
      </c>
    </row>
    <row r="2336">
      <c r="A2336" s="91" t="n"/>
      <c r="B2336" s="111">
        <f>MAX(0,N('Deal maths'!M339))</f>
        <v/>
      </c>
      <c r="C2336" s="91">
        <f>IF(B2336&gt;0,IF('Deal maths'!L339="Local authority","Local authorities",LOWER(TRIM('Deal maths'!K339))),"")</f>
        <v/>
      </c>
      <c r="D2336" s="91">
        <f>IF(C2336="","",IF(COUNTIF($C$4:C2335,C2336)=0,SUMIF($C$4:$C$3997,C2336,$B$4:$B$3997)-ROW()/1000000,""))</f>
        <v/>
      </c>
      <c r="E2336" s="91">
        <f>IF(N('Deal maths'!M339)&gt;0,ROW()/10000000,"")</f>
        <v/>
      </c>
    </row>
    <row r="2337">
      <c r="A2337" s="91" t="n"/>
      <c r="B2337" s="111">
        <f>MAX(0,N('Deal maths'!M340))</f>
        <v/>
      </c>
      <c r="C2337" s="91">
        <f>IF(B2337&gt;0,IF('Deal maths'!L340="Local authority","Local authorities",LOWER(TRIM('Deal maths'!K340))),"")</f>
        <v/>
      </c>
      <c r="D2337" s="91">
        <f>IF(C2337="","",IF(COUNTIF($C$4:C2336,C2337)=0,SUMIF($C$4:$C$3997,C2337,$B$4:$B$3997)-ROW()/1000000,""))</f>
        <v/>
      </c>
      <c r="E2337" s="91">
        <f>IF(N('Deal maths'!M340)&gt;0,ROW()/10000000,"")</f>
        <v/>
      </c>
    </row>
    <row r="2338">
      <c r="A2338" s="91" t="n"/>
      <c r="B2338" s="111">
        <f>MAX(0,N('Deal maths'!M341))</f>
        <v/>
      </c>
      <c r="C2338" s="91">
        <f>IF(B2338&gt;0,IF('Deal maths'!L341="Local authority","Local authorities",LOWER(TRIM('Deal maths'!K341))),"")</f>
        <v/>
      </c>
      <c r="D2338" s="91">
        <f>IF(C2338="","",IF(COUNTIF($C$4:C2337,C2338)=0,SUMIF($C$4:$C$3997,C2338,$B$4:$B$3997)-ROW()/1000000,""))</f>
        <v/>
      </c>
      <c r="E2338" s="91">
        <f>IF(N('Deal maths'!M341)&gt;0,ROW()/10000000,"")</f>
        <v/>
      </c>
    </row>
    <row r="2339">
      <c r="A2339" s="91" t="n"/>
      <c r="B2339" s="111">
        <f>MAX(0,N('Deal maths'!M342))</f>
        <v/>
      </c>
      <c r="C2339" s="91">
        <f>IF(B2339&gt;0,IF('Deal maths'!L342="Local authority","Local authorities",LOWER(TRIM('Deal maths'!K342))),"")</f>
        <v/>
      </c>
      <c r="D2339" s="91">
        <f>IF(C2339="","",IF(COUNTIF($C$4:C2338,C2339)=0,SUMIF($C$4:$C$3997,C2339,$B$4:$B$3997)-ROW()/1000000,""))</f>
        <v/>
      </c>
      <c r="E2339" s="91">
        <f>IF(N('Deal maths'!M342)&gt;0,ROW()/10000000,"")</f>
        <v/>
      </c>
    </row>
    <row r="2340">
      <c r="A2340" s="91" t="n"/>
      <c r="B2340" s="111">
        <f>MAX(0,N('Deal maths'!M343))</f>
        <v/>
      </c>
      <c r="C2340" s="91">
        <f>IF(B2340&gt;0,IF('Deal maths'!L343="Local authority","Local authorities",LOWER(TRIM('Deal maths'!K343))),"")</f>
        <v/>
      </c>
      <c r="D2340" s="91">
        <f>IF(C2340="","",IF(COUNTIF($C$4:C2339,C2340)=0,SUMIF($C$4:$C$3997,C2340,$B$4:$B$3997)-ROW()/1000000,""))</f>
        <v/>
      </c>
      <c r="E2340" s="91">
        <f>IF(N('Deal maths'!M343)&gt;0,ROW()/10000000,"")</f>
        <v/>
      </c>
    </row>
    <row r="2341">
      <c r="A2341" s="91" t="n"/>
      <c r="B2341" s="111">
        <f>MAX(0,N('Deal maths'!M344))</f>
        <v/>
      </c>
      <c r="C2341" s="91">
        <f>IF(B2341&gt;0,IF('Deal maths'!L344="Local authority","Local authorities",LOWER(TRIM('Deal maths'!K344))),"")</f>
        <v/>
      </c>
      <c r="D2341" s="91">
        <f>IF(C2341="","",IF(COUNTIF($C$4:C2340,C2341)=0,SUMIF($C$4:$C$3997,C2341,$B$4:$B$3997)-ROW()/1000000,""))</f>
        <v/>
      </c>
      <c r="E2341" s="91">
        <f>IF(N('Deal maths'!M344)&gt;0,ROW()/10000000,"")</f>
        <v/>
      </c>
    </row>
    <row r="2342">
      <c r="A2342" s="91" t="n"/>
      <c r="B2342" s="111">
        <f>MAX(0,N('Deal maths'!M345))</f>
        <v/>
      </c>
      <c r="C2342" s="91">
        <f>IF(B2342&gt;0,IF('Deal maths'!L345="Local authority","Local authorities",LOWER(TRIM('Deal maths'!K345))),"")</f>
        <v/>
      </c>
      <c r="D2342" s="91">
        <f>IF(C2342="","",IF(COUNTIF($C$4:C2341,C2342)=0,SUMIF($C$4:$C$3997,C2342,$B$4:$B$3997)-ROW()/1000000,""))</f>
        <v/>
      </c>
      <c r="E2342" s="91">
        <f>IF(N('Deal maths'!M345)&gt;0,ROW()/10000000,"")</f>
        <v/>
      </c>
    </row>
    <row r="2343">
      <c r="A2343" s="91" t="n"/>
      <c r="B2343" s="111">
        <f>MAX(0,N('Deal maths'!M346))</f>
        <v/>
      </c>
      <c r="C2343" s="91">
        <f>IF(B2343&gt;0,IF('Deal maths'!L346="Local authority","Local authorities",LOWER(TRIM('Deal maths'!K346))),"")</f>
        <v/>
      </c>
      <c r="D2343" s="91">
        <f>IF(C2343="","",IF(COUNTIF($C$4:C2342,C2343)=0,SUMIF($C$4:$C$3997,C2343,$B$4:$B$3997)-ROW()/1000000,""))</f>
        <v/>
      </c>
      <c r="E2343" s="91">
        <f>IF(N('Deal maths'!M346)&gt;0,ROW()/10000000,"")</f>
        <v/>
      </c>
    </row>
    <row r="2344">
      <c r="A2344" s="91" t="n"/>
      <c r="B2344" s="111">
        <f>MAX(0,N('Deal maths'!M347))</f>
        <v/>
      </c>
      <c r="C2344" s="91">
        <f>IF(B2344&gt;0,IF('Deal maths'!L347="Local authority","Local authorities",LOWER(TRIM('Deal maths'!K347))),"")</f>
        <v/>
      </c>
      <c r="D2344" s="91">
        <f>IF(C2344="","",IF(COUNTIF($C$4:C2343,C2344)=0,SUMIF($C$4:$C$3997,C2344,$B$4:$B$3997)-ROW()/1000000,""))</f>
        <v/>
      </c>
      <c r="E2344" s="91">
        <f>IF(N('Deal maths'!M347)&gt;0,ROW()/10000000,"")</f>
        <v/>
      </c>
    </row>
    <row r="2345">
      <c r="A2345" s="91" t="n"/>
      <c r="B2345" s="111">
        <f>MAX(0,N('Deal maths'!M348))</f>
        <v/>
      </c>
      <c r="C2345" s="91">
        <f>IF(B2345&gt;0,IF('Deal maths'!L348="Local authority","Local authorities",LOWER(TRIM('Deal maths'!K348))),"")</f>
        <v/>
      </c>
      <c r="D2345" s="91">
        <f>IF(C2345="","",IF(COUNTIF($C$4:C2344,C2345)=0,SUMIF($C$4:$C$3997,C2345,$B$4:$B$3997)-ROW()/1000000,""))</f>
        <v/>
      </c>
      <c r="E2345" s="91">
        <f>IF(N('Deal maths'!M348)&gt;0,ROW()/10000000,"")</f>
        <v/>
      </c>
    </row>
    <row r="2346">
      <c r="A2346" s="91" t="n"/>
      <c r="B2346" s="111">
        <f>MAX(0,N('Deal maths'!M349))</f>
        <v/>
      </c>
      <c r="C2346" s="91">
        <f>IF(B2346&gt;0,IF('Deal maths'!L349="Local authority","Local authorities",LOWER(TRIM('Deal maths'!K349))),"")</f>
        <v/>
      </c>
      <c r="D2346" s="91">
        <f>IF(C2346="","",IF(COUNTIF($C$4:C2345,C2346)=0,SUMIF($C$4:$C$3997,C2346,$B$4:$B$3997)-ROW()/1000000,""))</f>
        <v/>
      </c>
      <c r="E2346" s="91">
        <f>IF(N('Deal maths'!M349)&gt;0,ROW()/10000000,"")</f>
        <v/>
      </c>
    </row>
    <row r="2347">
      <c r="A2347" s="91" t="n"/>
      <c r="B2347" s="111">
        <f>MAX(0,N('Deal maths'!M350))</f>
        <v/>
      </c>
      <c r="C2347" s="91">
        <f>IF(B2347&gt;0,IF('Deal maths'!L350="Local authority","Local authorities",LOWER(TRIM('Deal maths'!K350))),"")</f>
        <v/>
      </c>
      <c r="D2347" s="91">
        <f>IF(C2347="","",IF(COUNTIF($C$4:C2346,C2347)=0,SUMIF($C$4:$C$3997,C2347,$B$4:$B$3997)-ROW()/1000000,""))</f>
        <v/>
      </c>
      <c r="E2347" s="91">
        <f>IF(N('Deal maths'!M350)&gt;0,ROW()/10000000,"")</f>
        <v/>
      </c>
    </row>
    <row r="2348">
      <c r="A2348" s="91" t="n"/>
      <c r="B2348" s="111">
        <f>MAX(0,N('Deal maths'!M351))</f>
        <v/>
      </c>
      <c r="C2348" s="91">
        <f>IF(B2348&gt;0,IF('Deal maths'!L351="Local authority","Local authorities",LOWER(TRIM('Deal maths'!K351))),"")</f>
        <v/>
      </c>
      <c r="D2348" s="91">
        <f>IF(C2348="","",IF(COUNTIF($C$4:C2347,C2348)=0,SUMIF($C$4:$C$3997,C2348,$B$4:$B$3997)-ROW()/1000000,""))</f>
        <v/>
      </c>
      <c r="E2348" s="91">
        <f>IF(N('Deal maths'!M351)&gt;0,ROW()/10000000,"")</f>
        <v/>
      </c>
    </row>
    <row r="2349">
      <c r="A2349" s="91" t="n"/>
      <c r="B2349" s="111">
        <f>MAX(0,N('Deal maths'!M352))</f>
        <v/>
      </c>
      <c r="C2349" s="91">
        <f>IF(B2349&gt;0,IF('Deal maths'!L352="Local authority","Local authorities",LOWER(TRIM('Deal maths'!K352))),"")</f>
        <v/>
      </c>
      <c r="D2349" s="91">
        <f>IF(C2349="","",IF(COUNTIF($C$4:C2348,C2349)=0,SUMIF($C$4:$C$3997,C2349,$B$4:$B$3997)-ROW()/1000000,""))</f>
        <v/>
      </c>
      <c r="E2349" s="91">
        <f>IF(N('Deal maths'!M352)&gt;0,ROW()/10000000,"")</f>
        <v/>
      </c>
    </row>
    <row r="2350">
      <c r="A2350" s="91" t="n"/>
      <c r="B2350" s="111">
        <f>MAX(0,N('Deal maths'!M353))</f>
        <v/>
      </c>
      <c r="C2350" s="91">
        <f>IF(B2350&gt;0,IF('Deal maths'!L353="Local authority","Local authorities",LOWER(TRIM('Deal maths'!K353))),"")</f>
        <v/>
      </c>
      <c r="D2350" s="91">
        <f>IF(C2350="","",IF(COUNTIF($C$4:C2349,C2350)=0,SUMIF($C$4:$C$3997,C2350,$B$4:$B$3997)-ROW()/1000000,""))</f>
        <v/>
      </c>
      <c r="E2350" s="91">
        <f>IF(N('Deal maths'!M353)&gt;0,ROW()/10000000,"")</f>
        <v/>
      </c>
    </row>
    <row r="2351">
      <c r="A2351" s="91" t="n"/>
      <c r="B2351" s="111">
        <f>MAX(0,N('Deal maths'!M354))</f>
        <v/>
      </c>
      <c r="C2351" s="91">
        <f>IF(B2351&gt;0,IF('Deal maths'!L354="Local authority","Local authorities",LOWER(TRIM('Deal maths'!K354))),"")</f>
        <v/>
      </c>
      <c r="D2351" s="91">
        <f>IF(C2351="","",IF(COUNTIF($C$4:C2350,C2351)=0,SUMIF($C$4:$C$3997,C2351,$B$4:$B$3997)-ROW()/1000000,""))</f>
        <v/>
      </c>
      <c r="E2351" s="91">
        <f>IF(N('Deal maths'!M354)&gt;0,ROW()/10000000,"")</f>
        <v/>
      </c>
    </row>
    <row r="2352">
      <c r="A2352" s="91" t="n"/>
      <c r="B2352" s="111">
        <f>MAX(0,N('Deal maths'!M355))</f>
        <v/>
      </c>
      <c r="C2352" s="91">
        <f>IF(B2352&gt;0,IF('Deal maths'!L355="Local authority","Local authorities",LOWER(TRIM('Deal maths'!K355))),"")</f>
        <v/>
      </c>
      <c r="D2352" s="91">
        <f>IF(C2352="","",IF(COUNTIF($C$4:C2351,C2352)=0,SUMIF($C$4:$C$3997,C2352,$B$4:$B$3997)-ROW()/1000000,""))</f>
        <v/>
      </c>
      <c r="E2352" s="91">
        <f>IF(N('Deal maths'!M355)&gt;0,ROW()/10000000,"")</f>
        <v/>
      </c>
    </row>
    <row r="2353">
      <c r="A2353" s="91" t="n"/>
      <c r="B2353" s="111">
        <f>MAX(0,N('Deal maths'!M356))</f>
        <v/>
      </c>
      <c r="C2353" s="91">
        <f>IF(B2353&gt;0,IF('Deal maths'!L356="Local authority","Local authorities",LOWER(TRIM('Deal maths'!K356))),"")</f>
        <v/>
      </c>
      <c r="D2353" s="91">
        <f>IF(C2353="","",IF(COUNTIF($C$4:C2352,C2353)=0,SUMIF($C$4:$C$3997,C2353,$B$4:$B$3997)-ROW()/1000000,""))</f>
        <v/>
      </c>
      <c r="E2353" s="91">
        <f>IF(N('Deal maths'!M356)&gt;0,ROW()/10000000,"")</f>
        <v/>
      </c>
    </row>
    <row r="2354">
      <c r="A2354" s="91" t="n"/>
      <c r="B2354" s="111">
        <f>MAX(0,N('Deal maths'!M357))</f>
        <v/>
      </c>
      <c r="C2354" s="91">
        <f>IF(B2354&gt;0,IF('Deal maths'!L357="Local authority","Local authorities",LOWER(TRIM('Deal maths'!K357))),"")</f>
        <v/>
      </c>
      <c r="D2354" s="91">
        <f>IF(C2354="","",IF(COUNTIF($C$4:C2353,C2354)=0,SUMIF($C$4:$C$3997,C2354,$B$4:$B$3997)-ROW()/1000000,""))</f>
        <v/>
      </c>
      <c r="E2354" s="91">
        <f>IF(N('Deal maths'!M357)&gt;0,ROW()/10000000,"")</f>
        <v/>
      </c>
    </row>
    <row r="2355">
      <c r="A2355" s="91" t="n"/>
      <c r="B2355" s="111">
        <f>MAX(0,N('Deal maths'!M358))</f>
        <v/>
      </c>
      <c r="C2355" s="91">
        <f>IF(B2355&gt;0,IF('Deal maths'!L358="Local authority","Local authorities",LOWER(TRIM('Deal maths'!K358))),"")</f>
        <v/>
      </c>
      <c r="D2355" s="91">
        <f>IF(C2355="","",IF(COUNTIF($C$4:C2354,C2355)=0,SUMIF($C$4:$C$3997,C2355,$B$4:$B$3997)-ROW()/1000000,""))</f>
        <v/>
      </c>
      <c r="E2355" s="91">
        <f>IF(N('Deal maths'!M358)&gt;0,ROW()/10000000,"")</f>
        <v/>
      </c>
    </row>
    <row r="2356">
      <c r="A2356" s="91" t="n"/>
      <c r="B2356" s="111">
        <f>MAX(0,N('Deal maths'!M359))</f>
        <v/>
      </c>
      <c r="C2356" s="91">
        <f>IF(B2356&gt;0,IF('Deal maths'!L359="Local authority","Local authorities",LOWER(TRIM('Deal maths'!K359))),"")</f>
        <v/>
      </c>
      <c r="D2356" s="91">
        <f>IF(C2356="","",IF(COUNTIF($C$4:C2355,C2356)=0,SUMIF($C$4:$C$3997,C2356,$B$4:$B$3997)-ROW()/1000000,""))</f>
        <v/>
      </c>
      <c r="E2356" s="91">
        <f>IF(N('Deal maths'!M359)&gt;0,ROW()/10000000,"")</f>
        <v/>
      </c>
    </row>
    <row r="2357">
      <c r="A2357" s="91" t="n"/>
      <c r="B2357" s="111">
        <f>MAX(0,N('Deal maths'!M360))</f>
        <v/>
      </c>
      <c r="C2357" s="91">
        <f>IF(B2357&gt;0,IF('Deal maths'!L360="Local authority","Local authorities",LOWER(TRIM('Deal maths'!K360))),"")</f>
        <v/>
      </c>
      <c r="D2357" s="91">
        <f>IF(C2357="","",IF(COUNTIF($C$4:C2356,C2357)=0,SUMIF($C$4:$C$3997,C2357,$B$4:$B$3997)-ROW()/1000000,""))</f>
        <v/>
      </c>
      <c r="E2357" s="91">
        <f>IF(N('Deal maths'!M360)&gt;0,ROW()/10000000,"")</f>
        <v/>
      </c>
    </row>
    <row r="2358">
      <c r="A2358" s="91" t="n"/>
      <c r="B2358" s="111">
        <f>MAX(0,N('Deal maths'!M361))</f>
        <v/>
      </c>
      <c r="C2358" s="91">
        <f>IF(B2358&gt;0,IF('Deal maths'!L361="Local authority","Local authorities",LOWER(TRIM('Deal maths'!K361))),"")</f>
        <v/>
      </c>
      <c r="D2358" s="91">
        <f>IF(C2358="","",IF(COUNTIF($C$4:C2357,C2358)=0,SUMIF($C$4:$C$3997,C2358,$B$4:$B$3997)-ROW()/1000000,""))</f>
        <v/>
      </c>
      <c r="E2358" s="91">
        <f>IF(N('Deal maths'!M361)&gt;0,ROW()/10000000,"")</f>
        <v/>
      </c>
    </row>
    <row r="2359">
      <c r="A2359" s="91" t="n"/>
      <c r="B2359" s="111">
        <f>MAX(0,N('Deal maths'!M362))</f>
        <v/>
      </c>
      <c r="C2359" s="91">
        <f>IF(B2359&gt;0,IF('Deal maths'!L362="Local authority","Local authorities",LOWER(TRIM('Deal maths'!K362))),"")</f>
        <v/>
      </c>
      <c r="D2359" s="91">
        <f>IF(C2359="","",IF(COUNTIF($C$4:C2358,C2359)=0,SUMIF($C$4:$C$3997,C2359,$B$4:$B$3997)-ROW()/1000000,""))</f>
        <v/>
      </c>
      <c r="E2359" s="91">
        <f>IF(N('Deal maths'!M362)&gt;0,ROW()/10000000,"")</f>
        <v/>
      </c>
    </row>
    <row r="2360">
      <c r="A2360" s="91" t="n"/>
      <c r="B2360" s="111">
        <f>MAX(0,N('Deal maths'!M363))</f>
        <v/>
      </c>
      <c r="C2360" s="91">
        <f>IF(B2360&gt;0,IF('Deal maths'!L363="Local authority","Local authorities",LOWER(TRIM('Deal maths'!K363))),"")</f>
        <v/>
      </c>
      <c r="D2360" s="91">
        <f>IF(C2360="","",IF(COUNTIF($C$4:C2359,C2360)=0,SUMIF($C$4:$C$3997,C2360,$B$4:$B$3997)-ROW()/1000000,""))</f>
        <v/>
      </c>
      <c r="E2360" s="91">
        <f>IF(N('Deal maths'!M363)&gt;0,ROW()/10000000,"")</f>
        <v/>
      </c>
    </row>
    <row r="2361">
      <c r="A2361" s="91" t="n"/>
      <c r="B2361" s="111">
        <f>MAX(0,N('Deal maths'!M364))</f>
        <v/>
      </c>
      <c r="C2361" s="91">
        <f>IF(B2361&gt;0,IF('Deal maths'!L364="Local authority","Local authorities",LOWER(TRIM('Deal maths'!K364))),"")</f>
        <v/>
      </c>
      <c r="D2361" s="91">
        <f>IF(C2361="","",IF(COUNTIF($C$4:C2360,C2361)=0,SUMIF($C$4:$C$3997,C2361,$B$4:$B$3997)-ROW()/1000000,""))</f>
        <v/>
      </c>
      <c r="E2361" s="91">
        <f>IF(N('Deal maths'!M364)&gt;0,ROW()/10000000,"")</f>
        <v/>
      </c>
    </row>
    <row r="2362">
      <c r="A2362" s="91" t="n"/>
      <c r="B2362" s="111">
        <f>MAX(0,N('Deal maths'!M365))</f>
        <v/>
      </c>
      <c r="C2362" s="91">
        <f>IF(B2362&gt;0,IF('Deal maths'!L365="Local authority","Local authorities",LOWER(TRIM('Deal maths'!K365))),"")</f>
        <v/>
      </c>
      <c r="D2362" s="91">
        <f>IF(C2362="","",IF(COUNTIF($C$4:C2361,C2362)=0,SUMIF($C$4:$C$3997,C2362,$B$4:$B$3997)-ROW()/1000000,""))</f>
        <v/>
      </c>
      <c r="E2362" s="91">
        <f>IF(N('Deal maths'!M365)&gt;0,ROW()/10000000,"")</f>
        <v/>
      </c>
    </row>
    <row r="2363">
      <c r="A2363" s="91" t="n"/>
      <c r="B2363" s="111">
        <f>MAX(0,N('Deal maths'!M366))</f>
        <v/>
      </c>
      <c r="C2363" s="91">
        <f>IF(B2363&gt;0,IF('Deal maths'!L366="Local authority","Local authorities",LOWER(TRIM('Deal maths'!K366))),"")</f>
        <v/>
      </c>
      <c r="D2363" s="91">
        <f>IF(C2363="","",IF(COUNTIF($C$4:C2362,C2363)=0,SUMIF($C$4:$C$3997,C2363,$B$4:$B$3997)-ROW()/1000000,""))</f>
        <v/>
      </c>
      <c r="E2363" s="91">
        <f>IF(N('Deal maths'!M366)&gt;0,ROW()/10000000,"")</f>
        <v/>
      </c>
    </row>
    <row r="2364">
      <c r="A2364" s="91" t="n"/>
      <c r="B2364" s="111">
        <f>MAX(0,N('Deal maths'!M367))</f>
        <v/>
      </c>
      <c r="C2364" s="91">
        <f>IF(B2364&gt;0,IF('Deal maths'!L367="Local authority","Local authorities",LOWER(TRIM('Deal maths'!K367))),"")</f>
        <v/>
      </c>
      <c r="D2364" s="91">
        <f>IF(C2364="","",IF(COUNTIF($C$4:C2363,C2364)=0,SUMIF($C$4:$C$3997,C2364,$B$4:$B$3997)-ROW()/1000000,""))</f>
        <v/>
      </c>
      <c r="E2364" s="91">
        <f>IF(N('Deal maths'!M367)&gt;0,ROW()/10000000,"")</f>
        <v/>
      </c>
    </row>
    <row r="2365">
      <c r="A2365" s="91" t="n"/>
      <c r="B2365" s="111">
        <f>MAX(0,N('Deal maths'!M368))</f>
        <v/>
      </c>
      <c r="C2365" s="91">
        <f>IF(B2365&gt;0,IF('Deal maths'!L368="Local authority","Local authorities",LOWER(TRIM('Deal maths'!K368))),"")</f>
        <v/>
      </c>
      <c r="D2365" s="91">
        <f>IF(C2365="","",IF(COUNTIF($C$4:C2364,C2365)=0,SUMIF($C$4:$C$3997,C2365,$B$4:$B$3997)-ROW()/1000000,""))</f>
        <v/>
      </c>
      <c r="E2365" s="91">
        <f>IF(N('Deal maths'!M368)&gt;0,ROW()/10000000,"")</f>
        <v/>
      </c>
    </row>
    <row r="2366">
      <c r="A2366" s="91" t="n"/>
      <c r="B2366" s="111">
        <f>MAX(0,N('Deal maths'!M369))</f>
        <v/>
      </c>
      <c r="C2366" s="91">
        <f>IF(B2366&gt;0,IF('Deal maths'!L369="Local authority","Local authorities",LOWER(TRIM('Deal maths'!K369))),"")</f>
        <v/>
      </c>
      <c r="D2366" s="91">
        <f>IF(C2366="","",IF(COUNTIF($C$4:C2365,C2366)=0,SUMIF($C$4:$C$3997,C2366,$B$4:$B$3997)-ROW()/1000000,""))</f>
        <v/>
      </c>
      <c r="E2366" s="91">
        <f>IF(N('Deal maths'!M369)&gt;0,ROW()/10000000,"")</f>
        <v/>
      </c>
    </row>
    <row r="2367">
      <c r="A2367" s="91" t="n"/>
      <c r="B2367" s="111">
        <f>MAX(0,N('Deal maths'!M370))</f>
        <v/>
      </c>
      <c r="C2367" s="91">
        <f>IF(B2367&gt;0,IF('Deal maths'!L370="Local authority","Local authorities",LOWER(TRIM('Deal maths'!K370))),"")</f>
        <v/>
      </c>
      <c r="D2367" s="91">
        <f>IF(C2367="","",IF(COUNTIF($C$4:C2366,C2367)=0,SUMIF($C$4:$C$3997,C2367,$B$4:$B$3997)-ROW()/1000000,""))</f>
        <v/>
      </c>
      <c r="E2367" s="91">
        <f>IF(N('Deal maths'!M370)&gt;0,ROW()/10000000,"")</f>
        <v/>
      </c>
    </row>
    <row r="2368">
      <c r="A2368" s="91" t="n"/>
      <c r="B2368" s="111">
        <f>MAX(0,N('Deal maths'!M371))</f>
        <v/>
      </c>
      <c r="C2368" s="91">
        <f>IF(B2368&gt;0,IF('Deal maths'!L371="Local authority","Local authorities",LOWER(TRIM('Deal maths'!K371))),"")</f>
        <v/>
      </c>
      <c r="D2368" s="91">
        <f>IF(C2368="","",IF(COUNTIF($C$4:C2367,C2368)=0,SUMIF($C$4:$C$3997,C2368,$B$4:$B$3997)-ROW()/1000000,""))</f>
        <v/>
      </c>
      <c r="E2368" s="91">
        <f>IF(N('Deal maths'!M371)&gt;0,ROW()/10000000,"")</f>
        <v/>
      </c>
    </row>
    <row r="2369">
      <c r="A2369" s="91" t="n"/>
      <c r="B2369" s="111">
        <f>MAX(0,N('Deal maths'!M372))</f>
        <v/>
      </c>
      <c r="C2369" s="91">
        <f>IF(B2369&gt;0,IF('Deal maths'!L372="Local authority","Local authorities",LOWER(TRIM('Deal maths'!K372))),"")</f>
        <v/>
      </c>
      <c r="D2369" s="91">
        <f>IF(C2369="","",IF(COUNTIF($C$4:C2368,C2369)=0,SUMIF($C$4:$C$3997,C2369,$B$4:$B$3997)-ROW()/1000000,""))</f>
        <v/>
      </c>
      <c r="E2369" s="91">
        <f>IF(N('Deal maths'!M372)&gt;0,ROW()/10000000,"")</f>
        <v/>
      </c>
    </row>
    <row r="2370">
      <c r="A2370" s="91" t="n"/>
      <c r="B2370" s="111">
        <f>MAX(0,N('Deal maths'!M373))</f>
        <v/>
      </c>
      <c r="C2370" s="91">
        <f>IF(B2370&gt;0,IF('Deal maths'!L373="Local authority","Local authorities",LOWER(TRIM('Deal maths'!K373))),"")</f>
        <v/>
      </c>
      <c r="D2370" s="91">
        <f>IF(C2370="","",IF(COUNTIF($C$4:C2369,C2370)=0,SUMIF($C$4:$C$3997,C2370,$B$4:$B$3997)-ROW()/1000000,""))</f>
        <v/>
      </c>
      <c r="E2370" s="91">
        <f>IF(N('Deal maths'!M373)&gt;0,ROW()/10000000,"")</f>
        <v/>
      </c>
    </row>
    <row r="2371">
      <c r="A2371" s="91" t="n"/>
      <c r="B2371" s="111">
        <f>MAX(0,N('Deal maths'!M374))</f>
        <v/>
      </c>
      <c r="C2371" s="91">
        <f>IF(B2371&gt;0,IF('Deal maths'!L374="Local authority","Local authorities",LOWER(TRIM('Deal maths'!K374))),"")</f>
        <v/>
      </c>
      <c r="D2371" s="91">
        <f>IF(C2371="","",IF(COUNTIF($C$4:C2370,C2371)=0,SUMIF($C$4:$C$3997,C2371,$B$4:$B$3997)-ROW()/1000000,""))</f>
        <v/>
      </c>
      <c r="E2371" s="91">
        <f>IF(N('Deal maths'!M374)&gt;0,ROW()/10000000,"")</f>
        <v/>
      </c>
    </row>
    <row r="2372">
      <c r="A2372" s="91" t="n"/>
      <c r="B2372" s="111">
        <f>MAX(0,N('Deal maths'!M375))</f>
        <v/>
      </c>
      <c r="C2372" s="91">
        <f>IF(B2372&gt;0,IF('Deal maths'!L375="Local authority","Local authorities",LOWER(TRIM('Deal maths'!K375))),"")</f>
        <v/>
      </c>
      <c r="D2372" s="91">
        <f>IF(C2372="","",IF(COUNTIF($C$4:C2371,C2372)=0,SUMIF($C$4:$C$3997,C2372,$B$4:$B$3997)-ROW()/1000000,""))</f>
        <v/>
      </c>
      <c r="E2372" s="91">
        <f>IF(N('Deal maths'!M375)&gt;0,ROW()/10000000,"")</f>
        <v/>
      </c>
    </row>
    <row r="2373">
      <c r="A2373" s="91" t="n"/>
      <c r="B2373" s="111">
        <f>MAX(0,N('Deal maths'!M376))</f>
        <v/>
      </c>
      <c r="C2373" s="91">
        <f>IF(B2373&gt;0,IF('Deal maths'!L376="Local authority","Local authorities",LOWER(TRIM('Deal maths'!K376))),"")</f>
        <v/>
      </c>
      <c r="D2373" s="91">
        <f>IF(C2373="","",IF(COUNTIF($C$4:C2372,C2373)=0,SUMIF($C$4:$C$3997,C2373,$B$4:$B$3997)-ROW()/1000000,""))</f>
        <v/>
      </c>
      <c r="E2373" s="91">
        <f>IF(N('Deal maths'!M376)&gt;0,ROW()/10000000,"")</f>
        <v/>
      </c>
    </row>
    <row r="2374">
      <c r="A2374" s="91" t="n"/>
      <c r="B2374" s="111">
        <f>MAX(0,N('Deal maths'!M377))</f>
        <v/>
      </c>
      <c r="C2374" s="91">
        <f>IF(B2374&gt;0,IF('Deal maths'!L377="Local authority","Local authorities",LOWER(TRIM('Deal maths'!K377))),"")</f>
        <v/>
      </c>
      <c r="D2374" s="91">
        <f>IF(C2374="","",IF(COUNTIF($C$4:C2373,C2374)=0,SUMIF($C$4:$C$3997,C2374,$B$4:$B$3997)-ROW()/1000000,""))</f>
        <v/>
      </c>
      <c r="E2374" s="91">
        <f>IF(N('Deal maths'!M377)&gt;0,ROW()/10000000,"")</f>
        <v/>
      </c>
    </row>
    <row r="2375">
      <c r="A2375" s="91" t="n"/>
      <c r="B2375" s="111">
        <f>MAX(0,N('Deal maths'!M378))</f>
        <v/>
      </c>
      <c r="C2375" s="91">
        <f>IF(B2375&gt;0,IF('Deal maths'!L378="Local authority","Local authorities",LOWER(TRIM('Deal maths'!K378))),"")</f>
        <v/>
      </c>
      <c r="D2375" s="91">
        <f>IF(C2375="","",IF(COUNTIF($C$4:C2374,C2375)=0,SUMIF($C$4:$C$3997,C2375,$B$4:$B$3997)-ROW()/1000000,""))</f>
        <v/>
      </c>
      <c r="E2375" s="91">
        <f>IF(N('Deal maths'!M378)&gt;0,ROW()/10000000,"")</f>
        <v/>
      </c>
    </row>
    <row r="2376">
      <c r="A2376" s="91" t="n"/>
      <c r="B2376" s="111">
        <f>MAX(0,N('Deal maths'!M379))</f>
        <v/>
      </c>
      <c r="C2376" s="91">
        <f>IF(B2376&gt;0,IF('Deal maths'!L379="Local authority","Local authorities",LOWER(TRIM('Deal maths'!K379))),"")</f>
        <v/>
      </c>
      <c r="D2376" s="91">
        <f>IF(C2376="","",IF(COUNTIF($C$4:C2375,C2376)=0,SUMIF($C$4:$C$3997,C2376,$B$4:$B$3997)-ROW()/1000000,""))</f>
        <v/>
      </c>
      <c r="E2376" s="91">
        <f>IF(N('Deal maths'!M379)&gt;0,ROW()/10000000,"")</f>
        <v/>
      </c>
    </row>
    <row r="2377">
      <c r="A2377" s="91" t="n"/>
      <c r="B2377" s="111">
        <f>MAX(0,N('Deal maths'!M380))</f>
        <v/>
      </c>
      <c r="C2377" s="91">
        <f>IF(B2377&gt;0,IF('Deal maths'!L380="Local authority","Local authorities",LOWER(TRIM('Deal maths'!K380))),"")</f>
        <v/>
      </c>
      <c r="D2377" s="91">
        <f>IF(C2377="","",IF(COUNTIF($C$4:C2376,C2377)=0,SUMIF($C$4:$C$3997,C2377,$B$4:$B$3997)-ROW()/1000000,""))</f>
        <v/>
      </c>
      <c r="E2377" s="91">
        <f>IF(N('Deal maths'!M380)&gt;0,ROW()/10000000,"")</f>
        <v/>
      </c>
    </row>
    <row r="2378">
      <c r="A2378" s="91" t="n"/>
      <c r="B2378" s="111">
        <f>MAX(0,N('Deal maths'!M381))</f>
        <v/>
      </c>
      <c r="C2378" s="91">
        <f>IF(B2378&gt;0,IF('Deal maths'!L381="Local authority","Local authorities",LOWER(TRIM('Deal maths'!K381))),"")</f>
        <v/>
      </c>
      <c r="D2378" s="91">
        <f>IF(C2378="","",IF(COUNTIF($C$4:C2377,C2378)=0,SUMIF($C$4:$C$3997,C2378,$B$4:$B$3997)-ROW()/1000000,""))</f>
        <v/>
      </c>
      <c r="E2378" s="91">
        <f>IF(N('Deal maths'!M381)&gt;0,ROW()/10000000,"")</f>
        <v/>
      </c>
    </row>
    <row r="2379">
      <c r="A2379" s="91" t="n"/>
      <c r="B2379" s="111">
        <f>MAX(0,N('Deal maths'!M382))</f>
        <v/>
      </c>
      <c r="C2379" s="91">
        <f>IF(B2379&gt;0,IF('Deal maths'!L382="Local authority","Local authorities",LOWER(TRIM('Deal maths'!K382))),"")</f>
        <v/>
      </c>
      <c r="D2379" s="91">
        <f>IF(C2379="","",IF(COUNTIF($C$4:C2378,C2379)=0,SUMIF($C$4:$C$3997,C2379,$B$4:$B$3997)-ROW()/1000000,""))</f>
        <v/>
      </c>
      <c r="E2379" s="91">
        <f>IF(N('Deal maths'!M382)&gt;0,ROW()/10000000,"")</f>
        <v/>
      </c>
    </row>
    <row r="2380">
      <c r="A2380" s="91" t="n"/>
      <c r="B2380" s="111">
        <f>MAX(0,N('Deal maths'!M383))</f>
        <v/>
      </c>
      <c r="C2380" s="91">
        <f>IF(B2380&gt;0,IF('Deal maths'!L383="Local authority","Local authorities",LOWER(TRIM('Deal maths'!K383))),"")</f>
        <v/>
      </c>
      <c r="D2380" s="91">
        <f>IF(C2380="","",IF(COUNTIF($C$4:C2379,C2380)=0,SUMIF($C$4:$C$3997,C2380,$B$4:$B$3997)-ROW()/1000000,""))</f>
        <v/>
      </c>
      <c r="E2380" s="91">
        <f>IF(N('Deal maths'!M383)&gt;0,ROW()/10000000,"")</f>
        <v/>
      </c>
    </row>
    <row r="2381">
      <c r="A2381" s="91" t="n"/>
      <c r="B2381" s="111">
        <f>MAX(0,N('Deal maths'!M384))</f>
        <v/>
      </c>
      <c r="C2381" s="91">
        <f>IF(B2381&gt;0,IF('Deal maths'!L384="Local authority","Local authorities",LOWER(TRIM('Deal maths'!K384))),"")</f>
        <v/>
      </c>
      <c r="D2381" s="91">
        <f>IF(C2381="","",IF(COUNTIF($C$4:C2380,C2381)=0,SUMIF($C$4:$C$3997,C2381,$B$4:$B$3997)-ROW()/1000000,""))</f>
        <v/>
      </c>
      <c r="E2381" s="91">
        <f>IF(N('Deal maths'!M384)&gt;0,ROW()/10000000,"")</f>
        <v/>
      </c>
    </row>
    <row r="2382">
      <c r="A2382" s="91" t="n"/>
      <c r="B2382" s="111">
        <f>MAX(0,N('Deal maths'!M385))</f>
        <v/>
      </c>
      <c r="C2382" s="91">
        <f>IF(B2382&gt;0,IF('Deal maths'!L385="Local authority","Local authorities",LOWER(TRIM('Deal maths'!K385))),"")</f>
        <v/>
      </c>
      <c r="D2382" s="91">
        <f>IF(C2382="","",IF(COUNTIF($C$4:C2381,C2382)=0,SUMIF($C$4:$C$3997,C2382,$B$4:$B$3997)-ROW()/1000000,""))</f>
        <v/>
      </c>
      <c r="E2382" s="91">
        <f>IF(N('Deal maths'!M385)&gt;0,ROW()/10000000,"")</f>
        <v/>
      </c>
    </row>
    <row r="2383">
      <c r="A2383" s="91" t="n"/>
      <c r="B2383" s="111">
        <f>MAX(0,N('Deal maths'!M386))</f>
        <v/>
      </c>
      <c r="C2383" s="91">
        <f>IF(B2383&gt;0,IF('Deal maths'!L386="Local authority","Local authorities",LOWER(TRIM('Deal maths'!K386))),"")</f>
        <v/>
      </c>
      <c r="D2383" s="91">
        <f>IF(C2383="","",IF(COUNTIF($C$4:C2382,C2383)=0,SUMIF($C$4:$C$3997,C2383,$B$4:$B$3997)-ROW()/1000000,""))</f>
        <v/>
      </c>
      <c r="E2383" s="91">
        <f>IF(N('Deal maths'!M386)&gt;0,ROW()/10000000,"")</f>
        <v/>
      </c>
    </row>
    <row r="2384">
      <c r="A2384" s="91" t="n"/>
      <c r="B2384" s="111">
        <f>MAX(0,N('Deal maths'!M387))</f>
        <v/>
      </c>
      <c r="C2384" s="91">
        <f>IF(B2384&gt;0,IF('Deal maths'!L387="Local authority","Local authorities",LOWER(TRIM('Deal maths'!K387))),"")</f>
        <v/>
      </c>
      <c r="D2384" s="91">
        <f>IF(C2384="","",IF(COUNTIF($C$4:C2383,C2384)=0,SUMIF($C$4:$C$3997,C2384,$B$4:$B$3997)-ROW()/1000000,""))</f>
        <v/>
      </c>
      <c r="E2384" s="91">
        <f>IF(N('Deal maths'!M387)&gt;0,ROW()/10000000,"")</f>
        <v/>
      </c>
    </row>
    <row r="2385">
      <c r="A2385" s="91" t="n"/>
      <c r="B2385" s="111">
        <f>MAX(0,N('Deal maths'!M388))</f>
        <v/>
      </c>
      <c r="C2385" s="91">
        <f>IF(B2385&gt;0,IF('Deal maths'!L388="Local authority","Local authorities",LOWER(TRIM('Deal maths'!K388))),"")</f>
        <v/>
      </c>
      <c r="D2385" s="91">
        <f>IF(C2385="","",IF(COUNTIF($C$4:C2384,C2385)=0,SUMIF($C$4:$C$3997,C2385,$B$4:$B$3997)-ROW()/1000000,""))</f>
        <v/>
      </c>
      <c r="E2385" s="91">
        <f>IF(N('Deal maths'!M388)&gt;0,ROW()/10000000,"")</f>
        <v/>
      </c>
    </row>
    <row r="2386">
      <c r="A2386" s="91" t="n"/>
      <c r="B2386" s="111">
        <f>MAX(0,N('Deal maths'!M389))</f>
        <v/>
      </c>
      <c r="C2386" s="91">
        <f>IF(B2386&gt;0,IF('Deal maths'!L389="Local authority","Local authorities",LOWER(TRIM('Deal maths'!K389))),"")</f>
        <v/>
      </c>
      <c r="D2386" s="91">
        <f>IF(C2386="","",IF(COUNTIF($C$4:C2385,C2386)=0,SUMIF($C$4:$C$3997,C2386,$B$4:$B$3997)-ROW()/1000000,""))</f>
        <v/>
      </c>
      <c r="E2386" s="91">
        <f>IF(N('Deal maths'!M389)&gt;0,ROW()/10000000,"")</f>
        <v/>
      </c>
    </row>
    <row r="2387">
      <c r="A2387" s="91" t="n"/>
      <c r="B2387" s="111">
        <f>MAX(0,N('Deal maths'!M390))</f>
        <v/>
      </c>
      <c r="C2387" s="91">
        <f>IF(B2387&gt;0,IF('Deal maths'!L390="Local authority","Local authorities",LOWER(TRIM('Deal maths'!K390))),"")</f>
        <v/>
      </c>
      <c r="D2387" s="91">
        <f>IF(C2387="","",IF(COUNTIF($C$4:C2386,C2387)=0,SUMIF($C$4:$C$3997,C2387,$B$4:$B$3997)-ROW()/1000000,""))</f>
        <v/>
      </c>
      <c r="E2387" s="91">
        <f>IF(N('Deal maths'!M390)&gt;0,ROW()/10000000,"")</f>
        <v/>
      </c>
    </row>
    <row r="2388">
      <c r="A2388" s="91" t="n"/>
      <c r="B2388" s="111">
        <f>MAX(0,N('Deal maths'!M391))</f>
        <v/>
      </c>
      <c r="C2388" s="91">
        <f>IF(B2388&gt;0,IF('Deal maths'!L391="Local authority","Local authorities",LOWER(TRIM('Deal maths'!K391))),"")</f>
        <v/>
      </c>
      <c r="D2388" s="91">
        <f>IF(C2388="","",IF(COUNTIF($C$4:C2387,C2388)=0,SUMIF($C$4:$C$3997,C2388,$B$4:$B$3997)-ROW()/1000000,""))</f>
        <v/>
      </c>
      <c r="E2388" s="91">
        <f>IF(N('Deal maths'!M391)&gt;0,ROW()/10000000,"")</f>
        <v/>
      </c>
    </row>
    <row r="2389">
      <c r="A2389" s="91" t="n"/>
      <c r="B2389" s="111">
        <f>MAX(0,N('Deal maths'!M392))</f>
        <v/>
      </c>
      <c r="C2389" s="91">
        <f>IF(B2389&gt;0,IF('Deal maths'!L392="Local authority","Local authorities",LOWER(TRIM('Deal maths'!K392))),"")</f>
        <v/>
      </c>
      <c r="D2389" s="91">
        <f>IF(C2389="","",IF(COUNTIF($C$4:C2388,C2389)=0,SUMIF($C$4:$C$3997,C2389,$B$4:$B$3997)-ROW()/1000000,""))</f>
        <v/>
      </c>
      <c r="E2389" s="91">
        <f>IF(N('Deal maths'!M392)&gt;0,ROW()/10000000,"")</f>
        <v/>
      </c>
    </row>
    <row r="2390">
      <c r="A2390" s="91" t="n"/>
      <c r="B2390" s="111">
        <f>MAX(0,N('Deal maths'!M393))</f>
        <v/>
      </c>
      <c r="C2390" s="91">
        <f>IF(B2390&gt;0,IF('Deal maths'!L393="Local authority","Local authorities",LOWER(TRIM('Deal maths'!K393))),"")</f>
        <v/>
      </c>
      <c r="D2390" s="91">
        <f>IF(C2390="","",IF(COUNTIF($C$4:C2389,C2390)=0,SUMIF($C$4:$C$3997,C2390,$B$4:$B$3997)-ROW()/1000000,""))</f>
        <v/>
      </c>
      <c r="E2390" s="91">
        <f>IF(N('Deal maths'!M393)&gt;0,ROW()/10000000,"")</f>
        <v/>
      </c>
    </row>
    <row r="2391">
      <c r="A2391" s="91" t="n"/>
      <c r="B2391" s="111">
        <f>MAX(0,N('Deal maths'!M394))</f>
        <v/>
      </c>
      <c r="C2391" s="91">
        <f>IF(B2391&gt;0,IF('Deal maths'!L394="Local authority","Local authorities",LOWER(TRIM('Deal maths'!K394))),"")</f>
        <v/>
      </c>
      <c r="D2391" s="91">
        <f>IF(C2391="","",IF(COUNTIF($C$4:C2390,C2391)=0,SUMIF($C$4:$C$3997,C2391,$B$4:$B$3997)-ROW()/1000000,""))</f>
        <v/>
      </c>
      <c r="E2391" s="91">
        <f>IF(N('Deal maths'!M394)&gt;0,ROW()/10000000,"")</f>
        <v/>
      </c>
    </row>
    <row r="2392">
      <c r="A2392" s="91" t="n"/>
      <c r="B2392" s="111">
        <f>MAX(0,N('Deal maths'!M395))</f>
        <v/>
      </c>
      <c r="C2392" s="91">
        <f>IF(B2392&gt;0,IF('Deal maths'!L395="Local authority","Local authorities",LOWER(TRIM('Deal maths'!K395))),"")</f>
        <v/>
      </c>
      <c r="D2392" s="91">
        <f>IF(C2392="","",IF(COUNTIF($C$4:C2391,C2392)=0,SUMIF($C$4:$C$3997,C2392,$B$4:$B$3997)-ROW()/1000000,""))</f>
        <v/>
      </c>
      <c r="E2392" s="91">
        <f>IF(N('Deal maths'!M395)&gt;0,ROW()/10000000,"")</f>
        <v/>
      </c>
    </row>
    <row r="2393">
      <c r="A2393" s="91" t="n"/>
      <c r="B2393" s="111">
        <f>MAX(0,N('Deal maths'!M396))</f>
        <v/>
      </c>
      <c r="C2393" s="91">
        <f>IF(B2393&gt;0,IF('Deal maths'!L396="Local authority","Local authorities",LOWER(TRIM('Deal maths'!K396))),"")</f>
        <v/>
      </c>
      <c r="D2393" s="91">
        <f>IF(C2393="","",IF(COUNTIF($C$4:C2392,C2393)=0,SUMIF($C$4:$C$3997,C2393,$B$4:$B$3997)-ROW()/1000000,""))</f>
        <v/>
      </c>
      <c r="E2393" s="91">
        <f>IF(N('Deal maths'!M396)&gt;0,ROW()/10000000,"")</f>
        <v/>
      </c>
    </row>
    <row r="2394">
      <c r="A2394" s="91" t="n"/>
      <c r="B2394" s="111">
        <f>MAX(0,N('Deal maths'!M397))</f>
        <v/>
      </c>
      <c r="C2394" s="91">
        <f>IF(B2394&gt;0,IF('Deal maths'!L397="Local authority","Local authorities",LOWER(TRIM('Deal maths'!K397))),"")</f>
        <v/>
      </c>
      <c r="D2394" s="91">
        <f>IF(C2394="","",IF(COUNTIF($C$4:C2393,C2394)=0,SUMIF($C$4:$C$3997,C2394,$B$4:$B$3997)-ROW()/1000000,""))</f>
        <v/>
      </c>
      <c r="E2394" s="91">
        <f>IF(N('Deal maths'!M397)&gt;0,ROW()/10000000,"")</f>
        <v/>
      </c>
    </row>
    <row r="2395">
      <c r="A2395" s="91" t="n"/>
      <c r="B2395" s="111">
        <f>MAX(0,N('Deal maths'!M398))</f>
        <v/>
      </c>
      <c r="C2395" s="91">
        <f>IF(B2395&gt;0,IF('Deal maths'!L398="Local authority","Local authorities",LOWER(TRIM('Deal maths'!K398))),"")</f>
        <v/>
      </c>
      <c r="D2395" s="91">
        <f>IF(C2395="","",IF(COUNTIF($C$4:C2394,C2395)=0,SUMIF($C$4:$C$3997,C2395,$B$4:$B$3997)-ROW()/1000000,""))</f>
        <v/>
      </c>
      <c r="E2395" s="91">
        <f>IF(N('Deal maths'!M398)&gt;0,ROW()/10000000,"")</f>
        <v/>
      </c>
    </row>
    <row r="2396">
      <c r="A2396" s="91" t="n"/>
      <c r="B2396" s="111">
        <f>MAX(0,N('Deal maths'!M399))</f>
        <v/>
      </c>
      <c r="C2396" s="91">
        <f>IF(B2396&gt;0,IF('Deal maths'!L399="Local authority","Local authorities",LOWER(TRIM('Deal maths'!K399))),"")</f>
        <v/>
      </c>
      <c r="D2396" s="91">
        <f>IF(C2396="","",IF(COUNTIF($C$4:C2395,C2396)=0,SUMIF($C$4:$C$3997,C2396,$B$4:$B$3997)-ROW()/1000000,""))</f>
        <v/>
      </c>
      <c r="E2396" s="91">
        <f>IF(N('Deal maths'!M399)&gt;0,ROW()/10000000,"")</f>
        <v/>
      </c>
    </row>
    <row r="2397">
      <c r="A2397" s="91" t="n"/>
      <c r="B2397" s="111">
        <f>MAX(0,N('Deal maths'!M400))</f>
        <v/>
      </c>
      <c r="C2397" s="91">
        <f>IF(B2397&gt;0,IF('Deal maths'!L400="Local authority","Local authorities",LOWER(TRIM('Deal maths'!K400))),"")</f>
        <v/>
      </c>
      <c r="D2397" s="91">
        <f>IF(C2397="","",IF(COUNTIF($C$4:C2396,C2397)=0,SUMIF($C$4:$C$3997,C2397,$B$4:$B$3997)-ROW()/1000000,""))</f>
        <v/>
      </c>
      <c r="E2397" s="91">
        <f>IF(N('Deal maths'!M400)&gt;0,ROW()/10000000,"")</f>
        <v/>
      </c>
    </row>
    <row r="2398">
      <c r="A2398" s="91" t="n"/>
      <c r="B2398" s="111">
        <f>MAX(0,N('Deal maths'!M401))</f>
        <v/>
      </c>
      <c r="C2398" s="91">
        <f>IF(B2398&gt;0,IF('Deal maths'!L401="Local authority","Local authorities",LOWER(TRIM('Deal maths'!K401))),"")</f>
        <v/>
      </c>
      <c r="D2398" s="91">
        <f>IF(C2398="","",IF(COUNTIF($C$4:C2397,C2398)=0,SUMIF($C$4:$C$3997,C2398,$B$4:$B$3997)-ROW()/1000000,""))</f>
        <v/>
      </c>
      <c r="E2398" s="91">
        <f>IF(N('Deal maths'!M401)&gt;0,ROW()/10000000,"")</f>
        <v/>
      </c>
    </row>
    <row r="2399">
      <c r="A2399" s="91" t="n"/>
      <c r="B2399" s="111">
        <f>MAX(0,N('Deal maths'!M402))</f>
        <v/>
      </c>
      <c r="C2399" s="91">
        <f>IF(B2399&gt;0,IF('Deal maths'!L402="Local authority","Local authorities",LOWER(TRIM('Deal maths'!K402))),"")</f>
        <v/>
      </c>
      <c r="D2399" s="91">
        <f>IF(C2399="","",IF(COUNTIF($C$4:C2398,C2399)=0,SUMIF($C$4:$C$3997,C2399,$B$4:$B$3997)-ROW()/1000000,""))</f>
        <v/>
      </c>
      <c r="E2399" s="91">
        <f>IF(N('Deal maths'!M402)&gt;0,ROW()/10000000,"")</f>
        <v/>
      </c>
    </row>
    <row r="2400">
      <c r="A2400" s="91" t="n"/>
      <c r="B2400" s="111">
        <f>MAX(0,N('Deal maths'!M403))</f>
        <v/>
      </c>
      <c r="C2400" s="91">
        <f>IF(B2400&gt;0,IF('Deal maths'!L403="Local authority","Local authorities",LOWER(TRIM('Deal maths'!K403))),"")</f>
        <v/>
      </c>
      <c r="D2400" s="91">
        <f>IF(C2400="","",IF(COUNTIF($C$4:C2399,C2400)=0,SUMIF($C$4:$C$3997,C2400,$B$4:$B$3997)-ROW()/1000000,""))</f>
        <v/>
      </c>
      <c r="E2400" s="91">
        <f>IF(N('Deal maths'!M403)&gt;0,ROW()/10000000,"")</f>
        <v/>
      </c>
    </row>
    <row r="2401">
      <c r="A2401" s="91" t="n"/>
      <c r="B2401" s="111">
        <f>MAX(0,N('Deal maths'!M404))</f>
        <v/>
      </c>
      <c r="C2401" s="91">
        <f>IF(B2401&gt;0,IF('Deal maths'!L404="Local authority","Local authorities",LOWER(TRIM('Deal maths'!K404))),"")</f>
        <v/>
      </c>
      <c r="D2401" s="91">
        <f>IF(C2401="","",IF(COUNTIF($C$4:C2400,C2401)=0,SUMIF($C$4:$C$3997,C2401,$B$4:$B$3997)-ROW()/1000000,""))</f>
        <v/>
      </c>
      <c r="E2401" s="91">
        <f>IF(N('Deal maths'!M404)&gt;0,ROW()/10000000,"")</f>
        <v/>
      </c>
    </row>
    <row r="2402">
      <c r="A2402" s="91" t="n"/>
      <c r="B2402" s="111">
        <f>MAX(0,N('Deal maths'!M405))</f>
        <v/>
      </c>
      <c r="C2402" s="91">
        <f>IF(B2402&gt;0,IF('Deal maths'!L405="Local authority","Local authorities",LOWER(TRIM('Deal maths'!K405))),"")</f>
        <v/>
      </c>
      <c r="D2402" s="91">
        <f>IF(C2402="","",IF(COUNTIF($C$4:C2401,C2402)=0,SUMIF($C$4:$C$3997,C2402,$B$4:$B$3997)-ROW()/1000000,""))</f>
        <v/>
      </c>
      <c r="E2402" s="91">
        <f>IF(N('Deal maths'!M405)&gt;0,ROW()/10000000,"")</f>
        <v/>
      </c>
    </row>
    <row r="2403">
      <c r="A2403" s="91" t="n"/>
      <c r="B2403" s="111">
        <f>MAX(0,N('Deal maths'!M406))</f>
        <v/>
      </c>
      <c r="C2403" s="91">
        <f>IF(B2403&gt;0,IF('Deal maths'!L406="Local authority","Local authorities",LOWER(TRIM('Deal maths'!K406))),"")</f>
        <v/>
      </c>
      <c r="D2403" s="91">
        <f>IF(C2403="","",IF(COUNTIF($C$4:C2402,C2403)=0,SUMIF($C$4:$C$3997,C2403,$B$4:$B$3997)-ROW()/1000000,""))</f>
        <v/>
      </c>
      <c r="E2403" s="91">
        <f>IF(N('Deal maths'!M406)&gt;0,ROW()/10000000,"")</f>
        <v/>
      </c>
    </row>
    <row r="2404">
      <c r="A2404" s="91" t="n"/>
      <c r="B2404" s="111">
        <f>MAX(0,N('Deal maths'!M407))</f>
        <v/>
      </c>
      <c r="C2404" s="91">
        <f>IF(B2404&gt;0,IF('Deal maths'!L407="Local authority","Local authorities",LOWER(TRIM('Deal maths'!K407))),"")</f>
        <v/>
      </c>
      <c r="D2404" s="91">
        <f>IF(C2404="","",IF(COUNTIF($C$4:C2403,C2404)=0,SUMIF($C$4:$C$3997,C2404,$B$4:$B$3997)-ROW()/1000000,""))</f>
        <v/>
      </c>
      <c r="E2404" s="91">
        <f>IF(N('Deal maths'!M407)&gt;0,ROW()/10000000,"")</f>
        <v/>
      </c>
    </row>
    <row r="2405">
      <c r="A2405" s="91" t="n"/>
      <c r="B2405" s="111">
        <f>MAX(0,N('Deal maths'!M408))</f>
        <v/>
      </c>
      <c r="C2405" s="91">
        <f>IF(B2405&gt;0,IF('Deal maths'!L408="Local authority","Local authorities",LOWER(TRIM('Deal maths'!K408))),"")</f>
        <v/>
      </c>
      <c r="D2405" s="91">
        <f>IF(C2405="","",IF(COUNTIF($C$4:C2404,C2405)=0,SUMIF($C$4:$C$3997,C2405,$B$4:$B$3997)-ROW()/1000000,""))</f>
        <v/>
      </c>
      <c r="E2405" s="91">
        <f>IF(N('Deal maths'!M408)&gt;0,ROW()/10000000,"")</f>
        <v/>
      </c>
    </row>
    <row r="2406">
      <c r="A2406" s="91" t="n"/>
      <c r="B2406" s="111">
        <f>MAX(0,N('Deal maths'!M409))</f>
        <v/>
      </c>
      <c r="C2406" s="91">
        <f>IF(B2406&gt;0,IF('Deal maths'!L409="Local authority","Local authorities",LOWER(TRIM('Deal maths'!K409))),"")</f>
        <v/>
      </c>
      <c r="D2406" s="91">
        <f>IF(C2406="","",IF(COUNTIF($C$4:C2405,C2406)=0,SUMIF($C$4:$C$3997,C2406,$B$4:$B$3997)-ROW()/1000000,""))</f>
        <v/>
      </c>
      <c r="E2406" s="91">
        <f>IF(N('Deal maths'!M409)&gt;0,ROW()/10000000,"")</f>
        <v/>
      </c>
    </row>
    <row r="2407">
      <c r="A2407" s="91" t="n"/>
      <c r="B2407" s="111">
        <f>MAX(0,N('Deal maths'!M410))</f>
        <v/>
      </c>
      <c r="C2407" s="91">
        <f>IF(B2407&gt;0,IF('Deal maths'!L410="Local authority","Local authorities",LOWER(TRIM('Deal maths'!K410))),"")</f>
        <v/>
      </c>
      <c r="D2407" s="91">
        <f>IF(C2407="","",IF(COUNTIF($C$4:C2406,C2407)=0,SUMIF($C$4:$C$3997,C2407,$B$4:$B$3997)-ROW()/1000000,""))</f>
        <v/>
      </c>
      <c r="E2407" s="91">
        <f>IF(N('Deal maths'!M410)&gt;0,ROW()/10000000,"")</f>
        <v/>
      </c>
    </row>
    <row r="2408">
      <c r="A2408" s="91" t="n"/>
      <c r="B2408" s="111">
        <f>MAX(0,N('Deal maths'!M411))</f>
        <v/>
      </c>
      <c r="C2408" s="91">
        <f>IF(B2408&gt;0,IF('Deal maths'!L411="Local authority","Local authorities",LOWER(TRIM('Deal maths'!K411))),"")</f>
        <v/>
      </c>
      <c r="D2408" s="91">
        <f>IF(C2408="","",IF(COUNTIF($C$4:C2407,C2408)=0,SUMIF($C$4:$C$3997,C2408,$B$4:$B$3997)-ROW()/1000000,""))</f>
        <v/>
      </c>
      <c r="E2408" s="91">
        <f>IF(N('Deal maths'!M411)&gt;0,ROW()/10000000,"")</f>
        <v/>
      </c>
    </row>
    <row r="2409">
      <c r="A2409" s="91" t="n"/>
      <c r="B2409" s="111">
        <f>MAX(0,N('Deal maths'!M412))</f>
        <v/>
      </c>
      <c r="C2409" s="91">
        <f>IF(B2409&gt;0,IF('Deal maths'!L412="Local authority","Local authorities",LOWER(TRIM('Deal maths'!K412))),"")</f>
        <v/>
      </c>
      <c r="D2409" s="91">
        <f>IF(C2409="","",IF(COUNTIF($C$4:C2408,C2409)=0,SUMIF($C$4:$C$3997,C2409,$B$4:$B$3997)-ROW()/1000000,""))</f>
        <v/>
      </c>
      <c r="E2409" s="91">
        <f>IF(N('Deal maths'!M412)&gt;0,ROW()/10000000,"")</f>
        <v/>
      </c>
    </row>
    <row r="2410">
      <c r="A2410" s="91" t="n"/>
      <c r="B2410" s="111">
        <f>MAX(0,N('Deal maths'!M413))</f>
        <v/>
      </c>
      <c r="C2410" s="91">
        <f>IF(B2410&gt;0,IF('Deal maths'!L413="Local authority","Local authorities",LOWER(TRIM('Deal maths'!K413))),"")</f>
        <v/>
      </c>
      <c r="D2410" s="91">
        <f>IF(C2410="","",IF(COUNTIF($C$4:C2409,C2410)=0,SUMIF($C$4:$C$3997,C2410,$B$4:$B$3997)-ROW()/1000000,""))</f>
        <v/>
      </c>
      <c r="E2410" s="91">
        <f>IF(N('Deal maths'!M413)&gt;0,ROW()/10000000,"")</f>
        <v/>
      </c>
    </row>
    <row r="2411">
      <c r="A2411" s="91" t="n"/>
      <c r="B2411" s="111">
        <f>MAX(0,N('Deal maths'!M414))</f>
        <v/>
      </c>
      <c r="C2411" s="91">
        <f>IF(B2411&gt;0,IF('Deal maths'!L414="Local authority","Local authorities",LOWER(TRIM('Deal maths'!K414))),"")</f>
        <v/>
      </c>
      <c r="D2411" s="91">
        <f>IF(C2411="","",IF(COUNTIF($C$4:C2410,C2411)=0,SUMIF($C$4:$C$3997,C2411,$B$4:$B$3997)-ROW()/1000000,""))</f>
        <v/>
      </c>
      <c r="E2411" s="91">
        <f>IF(N('Deal maths'!M414)&gt;0,ROW()/10000000,"")</f>
        <v/>
      </c>
    </row>
    <row r="2412">
      <c r="A2412" s="91" t="n"/>
      <c r="B2412" s="111">
        <f>MAX(0,N('Deal maths'!M415))</f>
        <v/>
      </c>
      <c r="C2412" s="91">
        <f>IF(B2412&gt;0,IF('Deal maths'!L415="Local authority","Local authorities",LOWER(TRIM('Deal maths'!K415))),"")</f>
        <v/>
      </c>
      <c r="D2412" s="91">
        <f>IF(C2412="","",IF(COUNTIF($C$4:C2411,C2412)=0,SUMIF($C$4:$C$3997,C2412,$B$4:$B$3997)-ROW()/1000000,""))</f>
        <v/>
      </c>
      <c r="E2412" s="91">
        <f>IF(N('Deal maths'!M415)&gt;0,ROW()/10000000,"")</f>
        <v/>
      </c>
    </row>
    <row r="2413">
      <c r="A2413" s="91" t="n"/>
      <c r="B2413" s="111">
        <f>MAX(0,N('Deal maths'!M416))</f>
        <v/>
      </c>
      <c r="C2413" s="91">
        <f>IF(B2413&gt;0,IF('Deal maths'!L416="Local authority","Local authorities",LOWER(TRIM('Deal maths'!K416))),"")</f>
        <v/>
      </c>
      <c r="D2413" s="91">
        <f>IF(C2413="","",IF(COUNTIF($C$4:C2412,C2413)=0,SUMIF($C$4:$C$3997,C2413,$B$4:$B$3997)-ROW()/1000000,""))</f>
        <v/>
      </c>
      <c r="E2413" s="91">
        <f>IF(N('Deal maths'!M416)&gt;0,ROW()/10000000,"")</f>
        <v/>
      </c>
    </row>
    <row r="2414">
      <c r="A2414" s="91" t="n"/>
      <c r="B2414" s="111">
        <f>MAX(0,N('Deal maths'!M417))</f>
        <v/>
      </c>
      <c r="C2414" s="91">
        <f>IF(B2414&gt;0,IF('Deal maths'!L417="Local authority","Local authorities",LOWER(TRIM('Deal maths'!K417))),"")</f>
        <v/>
      </c>
      <c r="D2414" s="91">
        <f>IF(C2414="","",IF(COUNTIF($C$4:C2413,C2414)=0,SUMIF($C$4:$C$3997,C2414,$B$4:$B$3997)-ROW()/1000000,""))</f>
        <v/>
      </c>
      <c r="E2414" s="91">
        <f>IF(N('Deal maths'!M417)&gt;0,ROW()/10000000,"")</f>
        <v/>
      </c>
    </row>
    <row r="2415">
      <c r="A2415" s="91" t="n"/>
      <c r="B2415" s="111">
        <f>MAX(0,N('Deal maths'!M418))</f>
        <v/>
      </c>
      <c r="C2415" s="91">
        <f>IF(B2415&gt;0,IF('Deal maths'!L418="Local authority","Local authorities",LOWER(TRIM('Deal maths'!K418))),"")</f>
        <v/>
      </c>
      <c r="D2415" s="91">
        <f>IF(C2415="","",IF(COUNTIF($C$4:C2414,C2415)=0,SUMIF($C$4:$C$3997,C2415,$B$4:$B$3997)-ROW()/1000000,""))</f>
        <v/>
      </c>
      <c r="E2415" s="91">
        <f>IF(N('Deal maths'!M418)&gt;0,ROW()/10000000,"")</f>
        <v/>
      </c>
    </row>
    <row r="2416">
      <c r="A2416" s="91" t="n"/>
      <c r="B2416" s="111">
        <f>MAX(0,N('Deal maths'!M419))</f>
        <v/>
      </c>
      <c r="C2416" s="91">
        <f>IF(B2416&gt;0,IF('Deal maths'!L419="Local authority","Local authorities",LOWER(TRIM('Deal maths'!K419))),"")</f>
        <v/>
      </c>
      <c r="D2416" s="91">
        <f>IF(C2416="","",IF(COUNTIF($C$4:C2415,C2416)=0,SUMIF($C$4:$C$3997,C2416,$B$4:$B$3997)-ROW()/1000000,""))</f>
        <v/>
      </c>
      <c r="E2416" s="91">
        <f>IF(N('Deal maths'!M419)&gt;0,ROW()/10000000,"")</f>
        <v/>
      </c>
    </row>
    <row r="2417">
      <c r="A2417" s="91" t="n"/>
      <c r="B2417" s="111">
        <f>MAX(0,N('Deal maths'!M420))</f>
        <v/>
      </c>
      <c r="C2417" s="91">
        <f>IF(B2417&gt;0,IF('Deal maths'!L420="Local authority","Local authorities",LOWER(TRIM('Deal maths'!K420))),"")</f>
        <v/>
      </c>
      <c r="D2417" s="91">
        <f>IF(C2417="","",IF(COUNTIF($C$4:C2416,C2417)=0,SUMIF($C$4:$C$3997,C2417,$B$4:$B$3997)-ROW()/1000000,""))</f>
        <v/>
      </c>
      <c r="E2417" s="91">
        <f>IF(N('Deal maths'!M420)&gt;0,ROW()/10000000,"")</f>
        <v/>
      </c>
    </row>
    <row r="2418">
      <c r="A2418" s="91" t="n"/>
      <c r="B2418" s="111">
        <f>MAX(0,N('Deal maths'!M421))</f>
        <v/>
      </c>
      <c r="C2418" s="91">
        <f>IF(B2418&gt;0,IF('Deal maths'!L421="Local authority","Local authorities",LOWER(TRIM('Deal maths'!K421))),"")</f>
        <v/>
      </c>
      <c r="D2418" s="91">
        <f>IF(C2418="","",IF(COUNTIF($C$4:C2417,C2418)=0,SUMIF($C$4:$C$3997,C2418,$B$4:$B$3997)-ROW()/1000000,""))</f>
        <v/>
      </c>
      <c r="E2418" s="91">
        <f>IF(N('Deal maths'!M421)&gt;0,ROW()/10000000,"")</f>
        <v/>
      </c>
    </row>
    <row r="2419">
      <c r="A2419" s="91" t="n"/>
      <c r="B2419" s="111">
        <f>MAX(0,N('Deal maths'!M422))</f>
        <v/>
      </c>
      <c r="C2419" s="91">
        <f>IF(B2419&gt;0,IF('Deal maths'!L422="Local authority","Local authorities",LOWER(TRIM('Deal maths'!K422))),"")</f>
        <v/>
      </c>
      <c r="D2419" s="91">
        <f>IF(C2419="","",IF(COUNTIF($C$4:C2418,C2419)=0,SUMIF($C$4:$C$3997,C2419,$B$4:$B$3997)-ROW()/1000000,""))</f>
        <v/>
      </c>
      <c r="E2419" s="91">
        <f>IF(N('Deal maths'!M422)&gt;0,ROW()/10000000,"")</f>
        <v/>
      </c>
    </row>
    <row r="2420">
      <c r="A2420" s="91" t="n"/>
      <c r="B2420" s="111">
        <f>MAX(0,N('Deal maths'!M423))</f>
        <v/>
      </c>
      <c r="C2420" s="91">
        <f>IF(B2420&gt;0,IF('Deal maths'!L423="Local authority","Local authorities",LOWER(TRIM('Deal maths'!K423))),"")</f>
        <v/>
      </c>
      <c r="D2420" s="91">
        <f>IF(C2420="","",IF(COUNTIF($C$4:C2419,C2420)=0,SUMIF($C$4:$C$3997,C2420,$B$4:$B$3997)-ROW()/1000000,""))</f>
        <v/>
      </c>
      <c r="E2420" s="91">
        <f>IF(N('Deal maths'!M423)&gt;0,ROW()/10000000,"")</f>
        <v/>
      </c>
    </row>
    <row r="2421">
      <c r="A2421" s="91" t="n"/>
      <c r="B2421" s="111">
        <f>MAX(0,N('Deal maths'!M424))</f>
        <v/>
      </c>
      <c r="C2421" s="91">
        <f>IF(B2421&gt;0,IF('Deal maths'!L424="Local authority","Local authorities",LOWER(TRIM('Deal maths'!K424))),"")</f>
        <v/>
      </c>
      <c r="D2421" s="91">
        <f>IF(C2421="","",IF(COUNTIF($C$4:C2420,C2421)=0,SUMIF($C$4:$C$3997,C2421,$B$4:$B$3997)-ROW()/1000000,""))</f>
        <v/>
      </c>
      <c r="E2421" s="91">
        <f>IF(N('Deal maths'!M424)&gt;0,ROW()/10000000,"")</f>
        <v/>
      </c>
    </row>
    <row r="2422">
      <c r="A2422" s="91" t="n"/>
      <c r="B2422" s="111">
        <f>MAX(0,N('Deal maths'!M425))</f>
        <v/>
      </c>
      <c r="C2422" s="91">
        <f>IF(B2422&gt;0,IF('Deal maths'!L425="Local authority","Local authorities",LOWER(TRIM('Deal maths'!K425))),"")</f>
        <v/>
      </c>
      <c r="D2422" s="91">
        <f>IF(C2422="","",IF(COUNTIF($C$4:C2421,C2422)=0,SUMIF($C$4:$C$3997,C2422,$B$4:$B$3997)-ROW()/1000000,""))</f>
        <v/>
      </c>
      <c r="E2422" s="91">
        <f>IF(N('Deal maths'!M425)&gt;0,ROW()/10000000,"")</f>
        <v/>
      </c>
    </row>
    <row r="2423">
      <c r="A2423" s="91" t="n"/>
      <c r="B2423" s="111">
        <f>MAX(0,N('Deal maths'!M426))</f>
        <v/>
      </c>
      <c r="C2423" s="91">
        <f>IF(B2423&gt;0,IF('Deal maths'!L426="Local authority","Local authorities",LOWER(TRIM('Deal maths'!K426))),"")</f>
        <v/>
      </c>
      <c r="D2423" s="91">
        <f>IF(C2423="","",IF(COUNTIF($C$4:C2422,C2423)=0,SUMIF($C$4:$C$3997,C2423,$B$4:$B$3997)-ROW()/1000000,""))</f>
        <v/>
      </c>
      <c r="E2423" s="91">
        <f>IF(N('Deal maths'!M426)&gt;0,ROW()/10000000,"")</f>
        <v/>
      </c>
    </row>
    <row r="2424">
      <c r="A2424" s="91" t="n"/>
      <c r="B2424" s="111">
        <f>MAX(0,N('Deal maths'!M427))</f>
        <v/>
      </c>
      <c r="C2424" s="91">
        <f>IF(B2424&gt;0,IF('Deal maths'!L427="Local authority","Local authorities",LOWER(TRIM('Deal maths'!K427))),"")</f>
        <v/>
      </c>
      <c r="D2424" s="91">
        <f>IF(C2424="","",IF(COUNTIF($C$4:C2423,C2424)=0,SUMIF($C$4:$C$3997,C2424,$B$4:$B$3997)-ROW()/1000000,""))</f>
        <v/>
      </c>
      <c r="E2424" s="91">
        <f>IF(N('Deal maths'!M427)&gt;0,ROW()/10000000,"")</f>
        <v/>
      </c>
    </row>
    <row r="2425">
      <c r="A2425" s="91" t="n"/>
      <c r="B2425" s="111">
        <f>MAX(0,N('Deal maths'!M428))</f>
        <v/>
      </c>
      <c r="C2425" s="91">
        <f>IF(B2425&gt;0,IF('Deal maths'!L428="Local authority","Local authorities",LOWER(TRIM('Deal maths'!K428))),"")</f>
        <v/>
      </c>
      <c r="D2425" s="91">
        <f>IF(C2425="","",IF(COUNTIF($C$4:C2424,C2425)=0,SUMIF($C$4:$C$3997,C2425,$B$4:$B$3997)-ROW()/1000000,""))</f>
        <v/>
      </c>
      <c r="E2425" s="91">
        <f>IF(N('Deal maths'!M428)&gt;0,ROW()/10000000,"")</f>
        <v/>
      </c>
    </row>
    <row r="2426">
      <c r="A2426" s="91" t="n"/>
      <c r="B2426" s="111">
        <f>MAX(0,N('Deal maths'!M429))</f>
        <v/>
      </c>
      <c r="C2426" s="91">
        <f>IF(B2426&gt;0,IF('Deal maths'!L429="Local authority","Local authorities",LOWER(TRIM('Deal maths'!K429))),"")</f>
        <v/>
      </c>
      <c r="D2426" s="91">
        <f>IF(C2426="","",IF(COUNTIF($C$4:C2425,C2426)=0,SUMIF($C$4:$C$3997,C2426,$B$4:$B$3997)-ROW()/1000000,""))</f>
        <v/>
      </c>
      <c r="E2426" s="91">
        <f>IF(N('Deal maths'!M429)&gt;0,ROW()/10000000,"")</f>
        <v/>
      </c>
    </row>
    <row r="2427">
      <c r="A2427" s="91" t="n"/>
      <c r="B2427" s="111">
        <f>MAX(0,N('Deal maths'!M430))</f>
        <v/>
      </c>
      <c r="C2427" s="91">
        <f>IF(B2427&gt;0,IF('Deal maths'!L430="Local authority","Local authorities",LOWER(TRIM('Deal maths'!K430))),"")</f>
        <v/>
      </c>
      <c r="D2427" s="91">
        <f>IF(C2427="","",IF(COUNTIF($C$4:C2426,C2427)=0,SUMIF($C$4:$C$3997,C2427,$B$4:$B$3997)-ROW()/1000000,""))</f>
        <v/>
      </c>
      <c r="E2427" s="91">
        <f>IF(N('Deal maths'!M430)&gt;0,ROW()/10000000,"")</f>
        <v/>
      </c>
    </row>
    <row r="2428">
      <c r="A2428" s="91" t="n"/>
      <c r="B2428" s="111">
        <f>MAX(0,N('Deal maths'!M431))</f>
        <v/>
      </c>
      <c r="C2428" s="91">
        <f>IF(B2428&gt;0,IF('Deal maths'!L431="Local authority","Local authorities",LOWER(TRIM('Deal maths'!K431))),"")</f>
        <v/>
      </c>
      <c r="D2428" s="91">
        <f>IF(C2428="","",IF(COUNTIF($C$4:C2427,C2428)=0,SUMIF($C$4:$C$3997,C2428,$B$4:$B$3997)-ROW()/1000000,""))</f>
        <v/>
      </c>
      <c r="E2428" s="91">
        <f>IF(N('Deal maths'!M431)&gt;0,ROW()/10000000,"")</f>
        <v/>
      </c>
    </row>
    <row r="2429">
      <c r="A2429" s="91" t="n"/>
      <c r="B2429" s="111">
        <f>MAX(0,N('Deal maths'!M432))</f>
        <v/>
      </c>
      <c r="C2429" s="91">
        <f>IF(B2429&gt;0,IF('Deal maths'!L432="Local authority","Local authorities",LOWER(TRIM('Deal maths'!K432))),"")</f>
        <v/>
      </c>
      <c r="D2429" s="91">
        <f>IF(C2429="","",IF(COUNTIF($C$4:C2428,C2429)=0,SUMIF($C$4:$C$3997,C2429,$B$4:$B$3997)-ROW()/1000000,""))</f>
        <v/>
      </c>
      <c r="E2429" s="91">
        <f>IF(N('Deal maths'!M432)&gt;0,ROW()/10000000,"")</f>
        <v/>
      </c>
    </row>
    <row r="2430">
      <c r="A2430" s="91" t="n"/>
      <c r="B2430" s="111">
        <f>MAX(0,N('Deal maths'!M433))</f>
        <v/>
      </c>
      <c r="C2430" s="91">
        <f>IF(B2430&gt;0,IF('Deal maths'!L433="Local authority","Local authorities",LOWER(TRIM('Deal maths'!K433))),"")</f>
        <v/>
      </c>
      <c r="D2430" s="91">
        <f>IF(C2430="","",IF(COUNTIF($C$4:C2429,C2430)=0,SUMIF($C$4:$C$3997,C2430,$B$4:$B$3997)-ROW()/1000000,""))</f>
        <v/>
      </c>
      <c r="E2430" s="91">
        <f>IF(N('Deal maths'!M433)&gt;0,ROW()/10000000,"")</f>
        <v/>
      </c>
    </row>
    <row r="2431">
      <c r="A2431" s="91" t="n"/>
      <c r="B2431" s="111">
        <f>MAX(0,N('Deal maths'!M434))</f>
        <v/>
      </c>
      <c r="C2431" s="91">
        <f>IF(B2431&gt;0,IF('Deal maths'!L434="Local authority","Local authorities",LOWER(TRIM('Deal maths'!K434))),"")</f>
        <v/>
      </c>
      <c r="D2431" s="91">
        <f>IF(C2431="","",IF(COUNTIF($C$4:C2430,C2431)=0,SUMIF($C$4:$C$3997,C2431,$B$4:$B$3997)-ROW()/1000000,""))</f>
        <v/>
      </c>
      <c r="E2431" s="91">
        <f>IF(N('Deal maths'!M434)&gt;0,ROW()/10000000,"")</f>
        <v/>
      </c>
    </row>
    <row r="2432">
      <c r="A2432" s="91" t="n"/>
      <c r="B2432" s="111">
        <f>MAX(0,N('Deal maths'!M435))</f>
        <v/>
      </c>
      <c r="C2432" s="91">
        <f>IF(B2432&gt;0,IF('Deal maths'!L435="Local authority","Local authorities",LOWER(TRIM('Deal maths'!K435))),"")</f>
        <v/>
      </c>
      <c r="D2432" s="91">
        <f>IF(C2432="","",IF(COUNTIF($C$4:C2431,C2432)=0,SUMIF($C$4:$C$3997,C2432,$B$4:$B$3997)-ROW()/1000000,""))</f>
        <v/>
      </c>
      <c r="E2432" s="91">
        <f>IF(N('Deal maths'!M435)&gt;0,ROW()/10000000,"")</f>
        <v/>
      </c>
    </row>
    <row r="2433">
      <c r="A2433" s="91" t="n"/>
      <c r="B2433" s="111">
        <f>MAX(0,N('Deal maths'!M436))</f>
        <v/>
      </c>
      <c r="C2433" s="91">
        <f>IF(B2433&gt;0,IF('Deal maths'!L436="Local authority","Local authorities",LOWER(TRIM('Deal maths'!K436))),"")</f>
        <v/>
      </c>
      <c r="D2433" s="91">
        <f>IF(C2433="","",IF(COUNTIF($C$4:C2432,C2433)=0,SUMIF($C$4:$C$3997,C2433,$B$4:$B$3997)-ROW()/1000000,""))</f>
        <v/>
      </c>
      <c r="E2433" s="91">
        <f>IF(N('Deal maths'!M436)&gt;0,ROW()/10000000,"")</f>
        <v/>
      </c>
    </row>
    <row r="2434">
      <c r="A2434" s="91" t="n"/>
      <c r="B2434" s="111">
        <f>MAX(0,N('Deal maths'!M437))</f>
        <v/>
      </c>
      <c r="C2434" s="91">
        <f>IF(B2434&gt;0,IF('Deal maths'!L437="Local authority","Local authorities",LOWER(TRIM('Deal maths'!K437))),"")</f>
        <v/>
      </c>
      <c r="D2434" s="91">
        <f>IF(C2434="","",IF(COUNTIF($C$4:C2433,C2434)=0,SUMIF($C$4:$C$3997,C2434,$B$4:$B$3997)-ROW()/1000000,""))</f>
        <v/>
      </c>
      <c r="E2434" s="91">
        <f>IF(N('Deal maths'!M437)&gt;0,ROW()/10000000,"")</f>
        <v/>
      </c>
    </row>
    <row r="2435">
      <c r="A2435" s="91" t="n"/>
      <c r="B2435" s="111">
        <f>MAX(0,N('Deal maths'!M438))</f>
        <v/>
      </c>
      <c r="C2435" s="91">
        <f>IF(B2435&gt;0,IF('Deal maths'!L438="Local authority","Local authorities",LOWER(TRIM('Deal maths'!K438))),"")</f>
        <v/>
      </c>
      <c r="D2435" s="91">
        <f>IF(C2435="","",IF(COUNTIF($C$4:C2434,C2435)=0,SUMIF($C$4:$C$3997,C2435,$B$4:$B$3997)-ROW()/1000000,""))</f>
        <v/>
      </c>
      <c r="E2435" s="91">
        <f>IF(N('Deal maths'!M438)&gt;0,ROW()/10000000,"")</f>
        <v/>
      </c>
    </row>
    <row r="2436">
      <c r="A2436" s="91" t="n"/>
      <c r="B2436" s="111">
        <f>MAX(0,N('Deal maths'!M439))</f>
        <v/>
      </c>
      <c r="C2436" s="91">
        <f>IF(B2436&gt;0,IF('Deal maths'!L439="Local authority","Local authorities",LOWER(TRIM('Deal maths'!K439))),"")</f>
        <v/>
      </c>
      <c r="D2436" s="91">
        <f>IF(C2436="","",IF(COUNTIF($C$4:C2435,C2436)=0,SUMIF($C$4:$C$3997,C2436,$B$4:$B$3997)-ROW()/1000000,""))</f>
        <v/>
      </c>
      <c r="E2436" s="91">
        <f>IF(N('Deal maths'!M439)&gt;0,ROW()/10000000,"")</f>
        <v/>
      </c>
    </row>
    <row r="2437">
      <c r="A2437" s="91" t="n"/>
      <c r="B2437" s="111">
        <f>MAX(0,N('Deal maths'!M440))</f>
        <v/>
      </c>
      <c r="C2437" s="91">
        <f>IF(B2437&gt;0,IF('Deal maths'!L440="Local authority","Local authorities",LOWER(TRIM('Deal maths'!K440))),"")</f>
        <v/>
      </c>
      <c r="D2437" s="91">
        <f>IF(C2437="","",IF(COUNTIF($C$4:C2436,C2437)=0,SUMIF($C$4:$C$3997,C2437,$B$4:$B$3997)-ROW()/1000000,""))</f>
        <v/>
      </c>
      <c r="E2437" s="91">
        <f>IF(N('Deal maths'!M440)&gt;0,ROW()/10000000,"")</f>
        <v/>
      </c>
    </row>
    <row r="2438">
      <c r="A2438" s="91" t="n"/>
      <c r="B2438" s="111">
        <f>MAX(0,N('Deal maths'!M441))</f>
        <v/>
      </c>
      <c r="C2438" s="91">
        <f>IF(B2438&gt;0,IF('Deal maths'!L441="Local authority","Local authorities",LOWER(TRIM('Deal maths'!K441))),"")</f>
        <v/>
      </c>
      <c r="D2438" s="91">
        <f>IF(C2438="","",IF(COUNTIF($C$4:C2437,C2438)=0,SUMIF($C$4:$C$3997,C2438,$B$4:$B$3997)-ROW()/1000000,""))</f>
        <v/>
      </c>
      <c r="E2438" s="91">
        <f>IF(N('Deal maths'!M441)&gt;0,ROW()/10000000,"")</f>
        <v/>
      </c>
    </row>
    <row r="2439">
      <c r="A2439" s="91" t="n"/>
      <c r="B2439" s="111">
        <f>MAX(0,N('Deal maths'!M442))</f>
        <v/>
      </c>
      <c r="C2439" s="91">
        <f>IF(B2439&gt;0,IF('Deal maths'!L442="Local authority","Local authorities",LOWER(TRIM('Deal maths'!K442))),"")</f>
        <v/>
      </c>
      <c r="D2439" s="91">
        <f>IF(C2439="","",IF(COUNTIF($C$4:C2438,C2439)=0,SUMIF($C$4:$C$3997,C2439,$B$4:$B$3997)-ROW()/1000000,""))</f>
        <v/>
      </c>
      <c r="E2439" s="91">
        <f>IF(N('Deal maths'!M442)&gt;0,ROW()/10000000,"")</f>
        <v/>
      </c>
    </row>
    <row r="2440">
      <c r="A2440" s="91" t="n"/>
      <c r="B2440" s="111">
        <f>MAX(0,N('Deal maths'!M443))</f>
        <v/>
      </c>
      <c r="C2440" s="91">
        <f>IF(B2440&gt;0,IF('Deal maths'!L443="Local authority","Local authorities",LOWER(TRIM('Deal maths'!K443))),"")</f>
        <v/>
      </c>
      <c r="D2440" s="91">
        <f>IF(C2440="","",IF(COUNTIF($C$4:C2439,C2440)=0,SUMIF($C$4:$C$3997,C2440,$B$4:$B$3997)-ROW()/1000000,""))</f>
        <v/>
      </c>
      <c r="E2440" s="91">
        <f>IF(N('Deal maths'!M443)&gt;0,ROW()/10000000,"")</f>
        <v/>
      </c>
    </row>
    <row r="2441">
      <c r="A2441" s="91" t="n"/>
      <c r="B2441" s="111">
        <f>MAX(0,N('Deal maths'!M444))</f>
        <v/>
      </c>
      <c r="C2441" s="91">
        <f>IF(B2441&gt;0,IF('Deal maths'!L444="Local authority","Local authorities",LOWER(TRIM('Deal maths'!K444))),"")</f>
        <v/>
      </c>
      <c r="D2441" s="91">
        <f>IF(C2441="","",IF(COUNTIF($C$4:C2440,C2441)=0,SUMIF($C$4:$C$3997,C2441,$B$4:$B$3997)-ROW()/1000000,""))</f>
        <v/>
      </c>
      <c r="E2441" s="91">
        <f>IF(N('Deal maths'!M444)&gt;0,ROW()/10000000,"")</f>
        <v/>
      </c>
    </row>
    <row r="2442">
      <c r="A2442" s="91" t="n"/>
      <c r="B2442" s="111">
        <f>MAX(0,N('Deal maths'!M445))</f>
        <v/>
      </c>
      <c r="C2442" s="91">
        <f>IF(B2442&gt;0,IF('Deal maths'!L445="Local authority","Local authorities",LOWER(TRIM('Deal maths'!K445))),"")</f>
        <v/>
      </c>
      <c r="D2442" s="91">
        <f>IF(C2442="","",IF(COUNTIF($C$4:C2441,C2442)=0,SUMIF($C$4:$C$3997,C2442,$B$4:$B$3997)-ROW()/1000000,""))</f>
        <v/>
      </c>
      <c r="E2442" s="91">
        <f>IF(N('Deal maths'!M445)&gt;0,ROW()/10000000,"")</f>
        <v/>
      </c>
    </row>
    <row r="2443">
      <c r="A2443" s="91" t="n"/>
      <c r="B2443" s="111">
        <f>MAX(0,N('Deal maths'!M446))</f>
        <v/>
      </c>
      <c r="C2443" s="91">
        <f>IF(B2443&gt;0,IF('Deal maths'!L446="Local authority","Local authorities",LOWER(TRIM('Deal maths'!K446))),"")</f>
        <v/>
      </c>
      <c r="D2443" s="91">
        <f>IF(C2443="","",IF(COUNTIF($C$4:C2442,C2443)=0,SUMIF($C$4:$C$3997,C2443,$B$4:$B$3997)-ROW()/1000000,""))</f>
        <v/>
      </c>
      <c r="E2443" s="91">
        <f>IF(N('Deal maths'!M446)&gt;0,ROW()/10000000,"")</f>
        <v/>
      </c>
    </row>
    <row r="2444">
      <c r="A2444" s="91" t="n"/>
      <c r="B2444" s="111">
        <f>MAX(0,N('Deal maths'!M447))</f>
        <v/>
      </c>
      <c r="C2444" s="91">
        <f>IF(B2444&gt;0,IF('Deal maths'!L447="Local authority","Local authorities",LOWER(TRIM('Deal maths'!K447))),"")</f>
        <v/>
      </c>
      <c r="D2444" s="91">
        <f>IF(C2444="","",IF(COUNTIF($C$4:C2443,C2444)=0,SUMIF($C$4:$C$3997,C2444,$B$4:$B$3997)-ROW()/1000000,""))</f>
        <v/>
      </c>
      <c r="E2444" s="91">
        <f>IF(N('Deal maths'!M447)&gt;0,ROW()/10000000,"")</f>
        <v/>
      </c>
    </row>
    <row r="2445">
      <c r="A2445" s="91" t="n"/>
      <c r="B2445" s="111">
        <f>MAX(0,N('Deal maths'!M448))</f>
        <v/>
      </c>
      <c r="C2445" s="91">
        <f>IF(B2445&gt;0,IF('Deal maths'!L448="Local authority","Local authorities",LOWER(TRIM('Deal maths'!K448))),"")</f>
        <v/>
      </c>
      <c r="D2445" s="91">
        <f>IF(C2445="","",IF(COUNTIF($C$4:C2444,C2445)=0,SUMIF($C$4:$C$3997,C2445,$B$4:$B$3997)-ROW()/1000000,""))</f>
        <v/>
      </c>
      <c r="E2445" s="91">
        <f>IF(N('Deal maths'!M448)&gt;0,ROW()/10000000,"")</f>
        <v/>
      </c>
    </row>
    <row r="2446">
      <c r="A2446" s="91" t="n"/>
      <c r="B2446" s="111">
        <f>MAX(0,N('Deal maths'!M449))</f>
        <v/>
      </c>
      <c r="C2446" s="91">
        <f>IF(B2446&gt;0,IF('Deal maths'!L449="Local authority","Local authorities",LOWER(TRIM('Deal maths'!K449))),"")</f>
        <v/>
      </c>
      <c r="D2446" s="91">
        <f>IF(C2446="","",IF(COUNTIF($C$4:C2445,C2446)=0,SUMIF($C$4:$C$3997,C2446,$B$4:$B$3997)-ROW()/1000000,""))</f>
        <v/>
      </c>
      <c r="E2446" s="91">
        <f>IF(N('Deal maths'!M449)&gt;0,ROW()/10000000,"")</f>
        <v/>
      </c>
    </row>
    <row r="2447">
      <c r="A2447" s="91" t="n"/>
      <c r="B2447" s="111">
        <f>MAX(0,N('Deal maths'!M450))</f>
        <v/>
      </c>
      <c r="C2447" s="91">
        <f>IF(B2447&gt;0,IF('Deal maths'!L450="Local authority","Local authorities",LOWER(TRIM('Deal maths'!K450))),"")</f>
        <v/>
      </c>
      <c r="D2447" s="91">
        <f>IF(C2447="","",IF(COUNTIF($C$4:C2446,C2447)=0,SUMIF($C$4:$C$3997,C2447,$B$4:$B$3997)-ROW()/1000000,""))</f>
        <v/>
      </c>
      <c r="E2447" s="91">
        <f>IF(N('Deal maths'!M450)&gt;0,ROW()/10000000,"")</f>
        <v/>
      </c>
    </row>
    <row r="2448">
      <c r="A2448" s="91" t="n"/>
      <c r="B2448" s="111">
        <f>MAX(0,N('Deal maths'!M451))</f>
        <v/>
      </c>
      <c r="C2448" s="91">
        <f>IF(B2448&gt;0,IF('Deal maths'!L451="Local authority","Local authorities",LOWER(TRIM('Deal maths'!K451))),"")</f>
        <v/>
      </c>
      <c r="D2448" s="91">
        <f>IF(C2448="","",IF(COUNTIF($C$4:C2447,C2448)=0,SUMIF($C$4:$C$3997,C2448,$B$4:$B$3997)-ROW()/1000000,""))</f>
        <v/>
      </c>
      <c r="E2448" s="91">
        <f>IF(N('Deal maths'!M451)&gt;0,ROW()/10000000,"")</f>
        <v/>
      </c>
    </row>
    <row r="2449">
      <c r="A2449" s="91" t="n"/>
      <c r="B2449" s="111">
        <f>MAX(0,N('Deal maths'!M452))</f>
        <v/>
      </c>
      <c r="C2449" s="91">
        <f>IF(B2449&gt;0,IF('Deal maths'!L452="Local authority","Local authorities",LOWER(TRIM('Deal maths'!K452))),"")</f>
        <v/>
      </c>
      <c r="D2449" s="91">
        <f>IF(C2449="","",IF(COUNTIF($C$4:C2448,C2449)=0,SUMIF($C$4:$C$3997,C2449,$B$4:$B$3997)-ROW()/1000000,""))</f>
        <v/>
      </c>
      <c r="E2449" s="91">
        <f>IF(N('Deal maths'!M452)&gt;0,ROW()/10000000,"")</f>
        <v/>
      </c>
    </row>
    <row r="2450">
      <c r="A2450" s="91" t="n"/>
      <c r="B2450" s="111">
        <f>MAX(0,N('Deal maths'!M453))</f>
        <v/>
      </c>
      <c r="C2450" s="91">
        <f>IF(B2450&gt;0,IF('Deal maths'!L453="Local authority","Local authorities",LOWER(TRIM('Deal maths'!K453))),"")</f>
        <v/>
      </c>
      <c r="D2450" s="91">
        <f>IF(C2450="","",IF(COUNTIF($C$4:C2449,C2450)=0,SUMIF($C$4:$C$3997,C2450,$B$4:$B$3997)-ROW()/1000000,""))</f>
        <v/>
      </c>
      <c r="E2450" s="91">
        <f>IF(N('Deal maths'!M453)&gt;0,ROW()/10000000,"")</f>
        <v/>
      </c>
    </row>
    <row r="2451">
      <c r="A2451" s="91" t="n"/>
      <c r="B2451" s="111">
        <f>MAX(0,N('Deal maths'!M454))</f>
        <v/>
      </c>
      <c r="C2451" s="91">
        <f>IF(B2451&gt;0,IF('Deal maths'!L454="Local authority","Local authorities",LOWER(TRIM('Deal maths'!K454))),"")</f>
        <v/>
      </c>
      <c r="D2451" s="91">
        <f>IF(C2451="","",IF(COUNTIF($C$4:C2450,C2451)=0,SUMIF($C$4:$C$3997,C2451,$B$4:$B$3997)-ROW()/1000000,""))</f>
        <v/>
      </c>
      <c r="E2451" s="91">
        <f>IF(N('Deal maths'!M454)&gt;0,ROW()/10000000,"")</f>
        <v/>
      </c>
    </row>
    <row r="2452">
      <c r="A2452" s="91" t="n"/>
      <c r="B2452" s="111">
        <f>MAX(0,N('Deal maths'!M455))</f>
        <v/>
      </c>
      <c r="C2452" s="91">
        <f>IF(B2452&gt;0,IF('Deal maths'!L455="Local authority","Local authorities",LOWER(TRIM('Deal maths'!K455))),"")</f>
        <v/>
      </c>
      <c r="D2452" s="91">
        <f>IF(C2452="","",IF(COUNTIF($C$4:C2451,C2452)=0,SUMIF($C$4:$C$3997,C2452,$B$4:$B$3997)-ROW()/1000000,""))</f>
        <v/>
      </c>
      <c r="E2452" s="91">
        <f>IF(N('Deal maths'!M455)&gt;0,ROW()/10000000,"")</f>
        <v/>
      </c>
    </row>
    <row r="2453">
      <c r="A2453" s="91" t="n"/>
      <c r="B2453" s="111">
        <f>MAX(0,N('Deal maths'!M456))</f>
        <v/>
      </c>
      <c r="C2453" s="91">
        <f>IF(B2453&gt;0,IF('Deal maths'!L456="Local authority","Local authorities",LOWER(TRIM('Deal maths'!K456))),"")</f>
        <v/>
      </c>
      <c r="D2453" s="91">
        <f>IF(C2453="","",IF(COUNTIF($C$4:C2452,C2453)=0,SUMIF($C$4:$C$3997,C2453,$B$4:$B$3997)-ROW()/1000000,""))</f>
        <v/>
      </c>
      <c r="E2453" s="91">
        <f>IF(N('Deal maths'!M456)&gt;0,ROW()/10000000,"")</f>
        <v/>
      </c>
    </row>
    <row r="2454">
      <c r="A2454" s="91" t="n"/>
      <c r="B2454" s="111">
        <f>MAX(0,N('Deal maths'!M457))</f>
        <v/>
      </c>
      <c r="C2454" s="91">
        <f>IF(B2454&gt;0,IF('Deal maths'!L457="Local authority","Local authorities",LOWER(TRIM('Deal maths'!K457))),"")</f>
        <v/>
      </c>
      <c r="D2454" s="91">
        <f>IF(C2454="","",IF(COUNTIF($C$4:C2453,C2454)=0,SUMIF($C$4:$C$3997,C2454,$B$4:$B$3997)-ROW()/1000000,""))</f>
        <v/>
      </c>
      <c r="E2454" s="91">
        <f>IF(N('Deal maths'!M457)&gt;0,ROW()/10000000,"")</f>
        <v/>
      </c>
    </row>
    <row r="2455">
      <c r="A2455" s="91" t="n"/>
      <c r="B2455" s="111">
        <f>MAX(0,N('Deal maths'!M458))</f>
        <v/>
      </c>
      <c r="C2455" s="91">
        <f>IF(B2455&gt;0,IF('Deal maths'!L458="Local authority","Local authorities",LOWER(TRIM('Deal maths'!K458))),"")</f>
        <v/>
      </c>
      <c r="D2455" s="91">
        <f>IF(C2455="","",IF(COUNTIF($C$4:C2454,C2455)=0,SUMIF($C$4:$C$3997,C2455,$B$4:$B$3997)-ROW()/1000000,""))</f>
        <v/>
      </c>
      <c r="E2455" s="91">
        <f>IF(N('Deal maths'!M458)&gt;0,ROW()/10000000,"")</f>
        <v/>
      </c>
    </row>
    <row r="2456">
      <c r="A2456" s="91" t="n"/>
      <c r="B2456" s="111">
        <f>MAX(0,N('Deal maths'!M459))</f>
        <v/>
      </c>
      <c r="C2456" s="91">
        <f>IF(B2456&gt;0,IF('Deal maths'!L459="Local authority","Local authorities",LOWER(TRIM('Deal maths'!K459))),"")</f>
        <v/>
      </c>
      <c r="D2456" s="91">
        <f>IF(C2456="","",IF(COUNTIF($C$4:C2455,C2456)=0,SUMIF($C$4:$C$3997,C2456,$B$4:$B$3997)-ROW()/1000000,""))</f>
        <v/>
      </c>
      <c r="E2456" s="91">
        <f>IF(N('Deal maths'!M459)&gt;0,ROW()/10000000,"")</f>
        <v/>
      </c>
    </row>
    <row r="2457">
      <c r="A2457" s="91" t="n"/>
      <c r="B2457" s="111">
        <f>MAX(0,N('Deal maths'!M460))</f>
        <v/>
      </c>
      <c r="C2457" s="91">
        <f>IF(B2457&gt;0,IF('Deal maths'!L460="Local authority","Local authorities",LOWER(TRIM('Deal maths'!K460))),"")</f>
        <v/>
      </c>
      <c r="D2457" s="91">
        <f>IF(C2457="","",IF(COUNTIF($C$4:C2456,C2457)=0,SUMIF($C$4:$C$3997,C2457,$B$4:$B$3997)-ROW()/1000000,""))</f>
        <v/>
      </c>
      <c r="E2457" s="91">
        <f>IF(N('Deal maths'!M460)&gt;0,ROW()/10000000,"")</f>
        <v/>
      </c>
    </row>
    <row r="2458">
      <c r="A2458" s="91" t="n"/>
      <c r="B2458" s="111">
        <f>MAX(0,N('Deal maths'!M461))</f>
        <v/>
      </c>
      <c r="C2458" s="91">
        <f>IF(B2458&gt;0,IF('Deal maths'!L461="Local authority","Local authorities",LOWER(TRIM('Deal maths'!K461))),"")</f>
        <v/>
      </c>
      <c r="D2458" s="91">
        <f>IF(C2458="","",IF(COUNTIF($C$4:C2457,C2458)=0,SUMIF($C$4:$C$3997,C2458,$B$4:$B$3997)-ROW()/1000000,""))</f>
        <v/>
      </c>
      <c r="E2458" s="91">
        <f>IF(N('Deal maths'!M461)&gt;0,ROW()/10000000,"")</f>
        <v/>
      </c>
    </row>
    <row r="2459">
      <c r="A2459" s="91" t="n"/>
      <c r="B2459" s="111">
        <f>MAX(0,N('Deal maths'!M462))</f>
        <v/>
      </c>
      <c r="C2459" s="91">
        <f>IF(B2459&gt;0,IF('Deal maths'!L462="Local authority","Local authorities",LOWER(TRIM('Deal maths'!K462))),"")</f>
        <v/>
      </c>
      <c r="D2459" s="91">
        <f>IF(C2459="","",IF(COUNTIF($C$4:C2458,C2459)=0,SUMIF($C$4:$C$3997,C2459,$B$4:$B$3997)-ROW()/1000000,""))</f>
        <v/>
      </c>
      <c r="E2459" s="91">
        <f>IF(N('Deal maths'!M462)&gt;0,ROW()/10000000,"")</f>
        <v/>
      </c>
    </row>
    <row r="2460">
      <c r="A2460" s="91" t="n"/>
      <c r="B2460" s="111">
        <f>MAX(0,N('Deal maths'!M463))</f>
        <v/>
      </c>
      <c r="C2460" s="91">
        <f>IF(B2460&gt;0,IF('Deal maths'!L463="Local authority","Local authorities",LOWER(TRIM('Deal maths'!K463))),"")</f>
        <v/>
      </c>
      <c r="D2460" s="91">
        <f>IF(C2460="","",IF(COUNTIF($C$4:C2459,C2460)=0,SUMIF($C$4:$C$3997,C2460,$B$4:$B$3997)-ROW()/1000000,""))</f>
        <v/>
      </c>
      <c r="E2460" s="91">
        <f>IF(N('Deal maths'!M463)&gt;0,ROW()/10000000,"")</f>
        <v/>
      </c>
    </row>
    <row r="2461">
      <c r="A2461" s="91" t="n"/>
      <c r="B2461" s="111">
        <f>MAX(0,N('Deal maths'!M464))</f>
        <v/>
      </c>
      <c r="C2461" s="91">
        <f>IF(B2461&gt;0,IF('Deal maths'!L464="Local authority","Local authorities",LOWER(TRIM('Deal maths'!K464))),"")</f>
        <v/>
      </c>
      <c r="D2461" s="91">
        <f>IF(C2461="","",IF(COUNTIF($C$4:C2460,C2461)=0,SUMIF($C$4:$C$3997,C2461,$B$4:$B$3997)-ROW()/1000000,""))</f>
        <v/>
      </c>
      <c r="E2461" s="91">
        <f>IF(N('Deal maths'!M464)&gt;0,ROW()/10000000,"")</f>
        <v/>
      </c>
    </row>
    <row r="2462">
      <c r="A2462" s="91" t="n"/>
      <c r="B2462" s="111">
        <f>MAX(0,N('Deal maths'!M465))</f>
        <v/>
      </c>
      <c r="C2462" s="91">
        <f>IF(B2462&gt;0,IF('Deal maths'!L465="Local authority","Local authorities",LOWER(TRIM('Deal maths'!K465))),"")</f>
        <v/>
      </c>
      <c r="D2462" s="91">
        <f>IF(C2462="","",IF(COUNTIF($C$4:C2461,C2462)=0,SUMIF($C$4:$C$3997,C2462,$B$4:$B$3997)-ROW()/1000000,""))</f>
        <v/>
      </c>
      <c r="E2462" s="91">
        <f>IF(N('Deal maths'!M465)&gt;0,ROW()/10000000,"")</f>
        <v/>
      </c>
    </row>
    <row r="2463">
      <c r="A2463" s="91" t="n"/>
      <c r="B2463" s="111">
        <f>MAX(0,N('Deal maths'!M466))</f>
        <v/>
      </c>
      <c r="C2463" s="91">
        <f>IF(B2463&gt;0,IF('Deal maths'!L466="Local authority","Local authorities",LOWER(TRIM('Deal maths'!K466))),"")</f>
        <v/>
      </c>
      <c r="D2463" s="91">
        <f>IF(C2463="","",IF(COUNTIF($C$4:C2462,C2463)=0,SUMIF($C$4:$C$3997,C2463,$B$4:$B$3997)-ROW()/1000000,""))</f>
        <v/>
      </c>
      <c r="E2463" s="91">
        <f>IF(N('Deal maths'!M466)&gt;0,ROW()/10000000,"")</f>
        <v/>
      </c>
    </row>
    <row r="2464">
      <c r="A2464" s="91" t="n"/>
      <c r="B2464" s="111">
        <f>MAX(0,N('Deal maths'!M467))</f>
        <v/>
      </c>
      <c r="C2464" s="91">
        <f>IF(B2464&gt;0,IF('Deal maths'!L467="Local authority","Local authorities",LOWER(TRIM('Deal maths'!K467))),"")</f>
        <v/>
      </c>
      <c r="D2464" s="91">
        <f>IF(C2464="","",IF(COUNTIF($C$4:C2463,C2464)=0,SUMIF($C$4:$C$3997,C2464,$B$4:$B$3997)-ROW()/1000000,""))</f>
        <v/>
      </c>
      <c r="E2464" s="91">
        <f>IF(N('Deal maths'!M467)&gt;0,ROW()/10000000,"")</f>
        <v/>
      </c>
    </row>
    <row r="2465">
      <c r="A2465" s="91" t="n"/>
      <c r="B2465" s="111">
        <f>MAX(0,N('Deal maths'!M468))</f>
        <v/>
      </c>
      <c r="C2465" s="91">
        <f>IF(B2465&gt;0,IF('Deal maths'!L468="Local authority","Local authorities",LOWER(TRIM('Deal maths'!K468))),"")</f>
        <v/>
      </c>
      <c r="D2465" s="91">
        <f>IF(C2465="","",IF(COUNTIF($C$4:C2464,C2465)=0,SUMIF($C$4:$C$3997,C2465,$B$4:$B$3997)-ROW()/1000000,""))</f>
        <v/>
      </c>
      <c r="E2465" s="91">
        <f>IF(N('Deal maths'!M468)&gt;0,ROW()/10000000,"")</f>
        <v/>
      </c>
    </row>
    <row r="2466">
      <c r="A2466" s="91" t="n"/>
      <c r="B2466" s="111">
        <f>MAX(0,N('Deal maths'!M469))</f>
        <v/>
      </c>
      <c r="C2466" s="91">
        <f>IF(B2466&gt;0,IF('Deal maths'!L469="Local authority","Local authorities",LOWER(TRIM('Deal maths'!K469))),"")</f>
        <v/>
      </c>
      <c r="D2466" s="91">
        <f>IF(C2466="","",IF(COUNTIF($C$4:C2465,C2466)=0,SUMIF($C$4:$C$3997,C2466,$B$4:$B$3997)-ROW()/1000000,""))</f>
        <v/>
      </c>
      <c r="E2466" s="91">
        <f>IF(N('Deal maths'!M469)&gt;0,ROW()/10000000,"")</f>
        <v/>
      </c>
    </row>
    <row r="2467">
      <c r="A2467" s="91" t="n"/>
      <c r="B2467" s="111">
        <f>MAX(0,N('Deal maths'!M470))</f>
        <v/>
      </c>
      <c r="C2467" s="91">
        <f>IF(B2467&gt;0,IF('Deal maths'!L470="Local authority","Local authorities",LOWER(TRIM('Deal maths'!K470))),"")</f>
        <v/>
      </c>
      <c r="D2467" s="91">
        <f>IF(C2467="","",IF(COUNTIF($C$4:C2466,C2467)=0,SUMIF($C$4:$C$3997,C2467,$B$4:$B$3997)-ROW()/1000000,""))</f>
        <v/>
      </c>
      <c r="E2467" s="91">
        <f>IF(N('Deal maths'!M470)&gt;0,ROW()/10000000,"")</f>
        <v/>
      </c>
    </row>
    <row r="2468">
      <c r="A2468" s="91" t="n"/>
      <c r="B2468" s="111">
        <f>MAX(0,N('Deal maths'!M471))</f>
        <v/>
      </c>
      <c r="C2468" s="91">
        <f>IF(B2468&gt;0,IF('Deal maths'!L471="Local authority","Local authorities",LOWER(TRIM('Deal maths'!K471))),"")</f>
        <v/>
      </c>
      <c r="D2468" s="91">
        <f>IF(C2468="","",IF(COUNTIF($C$4:C2467,C2468)=0,SUMIF($C$4:$C$3997,C2468,$B$4:$B$3997)-ROW()/1000000,""))</f>
        <v/>
      </c>
      <c r="E2468" s="91">
        <f>IF(N('Deal maths'!M471)&gt;0,ROW()/10000000,"")</f>
        <v/>
      </c>
    </row>
    <row r="2469">
      <c r="A2469" s="91" t="n"/>
      <c r="B2469" s="111">
        <f>MAX(0,N('Deal maths'!M472))</f>
        <v/>
      </c>
      <c r="C2469" s="91">
        <f>IF(B2469&gt;0,IF('Deal maths'!L472="Local authority","Local authorities",LOWER(TRIM('Deal maths'!K472))),"")</f>
        <v/>
      </c>
      <c r="D2469" s="91">
        <f>IF(C2469="","",IF(COUNTIF($C$4:C2468,C2469)=0,SUMIF($C$4:$C$3997,C2469,$B$4:$B$3997)-ROW()/1000000,""))</f>
        <v/>
      </c>
      <c r="E2469" s="91">
        <f>IF(N('Deal maths'!M472)&gt;0,ROW()/10000000,"")</f>
        <v/>
      </c>
    </row>
    <row r="2470">
      <c r="A2470" s="91" t="n"/>
      <c r="B2470" s="111">
        <f>MAX(0,N('Deal maths'!M473))</f>
        <v/>
      </c>
      <c r="C2470" s="91">
        <f>IF(B2470&gt;0,IF('Deal maths'!L473="Local authority","Local authorities",LOWER(TRIM('Deal maths'!K473))),"")</f>
        <v/>
      </c>
      <c r="D2470" s="91">
        <f>IF(C2470="","",IF(COUNTIF($C$4:C2469,C2470)=0,SUMIF($C$4:$C$3997,C2470,$B$4:$B$3997)-ROW()/1000000,""))</f>
        <v/>
      </c>
      <c r="E2470" s="91">
        <f>IF(N('Deal maths'!M473)&gt;0,ROW()/10000000,"")</f>
        <v/>
      </c>
    </row>
    <row r="2471">
      <c r="A2471" s="91" t="n"/>
      <c r="B2471" s="111">
        <f>MAX(0,N('Deal maths'!M474))</f>
        <v/>
      </c>
      <c r="C2471" s="91">
        <f>IF(B2471&gt;0,IF('Deal maths'!L474="Local authority","Local authorities",LOWER(TRIM('Deal maths'!K474))),"")</f>
        <v/>
      </c>
      <c r="D2471" s="91">
        <f>IF(C2471="","",IF(COUNTIF($C$4:C2470,C2471)=0,SUMIF($C$4:$C$3997,C2471,$B$4:$B$3997)-ROW()/1000000,""))</f>
        <v/>
      </c>
      <c r="E2471" s="91">
        <f>IF(N('Deal maths'!M474)&gt;0,ROW()/10000000,"")</f>
        <v/>
      </c>
    </row>
    <row r="2472">
      <c r="A2472" s="91" t="n"/>
      <c r="B2472" s="111">
        <f>MAX(0,N('Deal maths'!M475))</f>
        <v/>
      </c>
      <c r="C2472" s="91">
        <f>IF(B2472&gt;0,IF('Deal maths'!L475="Local authority","Local authorities",LOWER(TRIM('Deal maths'!K475))),"")</f>
        <v/>
      </c>
      <c r="D2472" s="91">
        <f>IF(C2472="","",IF(COUNTIF($C$4:C2471,C2472)=0,SUMIF($C$4:$C$3997,C2472,$B$4:$B$3997)-ROW()/1000000,""))</f>
        <v/>
      </c>
      <c r="E2472" s="91">
        <f>IF(N('Deal maths'!M475)&gt;0,ROW()/10000000,"")</f>
        <v/>
      </c>
    </row>
    <row r="2473">
      <c r="A2473" s="91" t="n"/>
      <c r="B2473" s="111">
        <f>MAX(0,N('Deal maths'!M476))</f>
        <v/>
      </c>
      <c r="C2473" s="91">
        <f>IF(B2473&gt;0,IF('Deal maths'!L476="Local authority","Local authorities",LOWER(TRIM('Deal maths'!K476))),"")</f>
        <v/>
      </c>
      <c r="D2473" s="91">
        <f>IF(C2473="","",IF(COUNTIF($C$4:C2472,C2473)=0,SUMIF($C$4:$C$3997,C2473,$B$4:$B$3997)-ROW()/1000000,""))</f>
        <v/>
      </c>
      <c r="E2473" s="91">
        <f>IF(N('Deal maths'!M476)&gt;0,ROW()/10000000,"")</f>
        <v/>
      </c>
    </row>
    <row r="2474">
      <c r="A2474" s="91" t="n"/>
      <c r="B2474" s="111">
        <f>MAX(0,N('Deal maths'!M477))</f>
        <v/>
      </c>
      <c r="C2474" s="91">
        <f>IF(B2474&gt;0,IF('Deal maths'!L477="Local authority","Local authorities",LOWER(TRIM('Deal maths'!K477))),"")</f>
        <v/>
      </c>
      <c r="D2474" s="91">
        <f>IF(C2474="","",IF(COUNTIF($C$4:C2473,C2474)=0,SUMIF($C$4:$C$3997,C2474,$B$4:$B$3997)-ROW()/1000000,""))</f>
        <v/>
      </c>
      <c r="E2474" s="91">
        <f>IF(N('Deal maths'!M477)&gt;0,ROW()/10000000,"")</f>
        <v/>
      </c>
    </row>
    <row r="2475">
      <c r="A2475" s="91" t="n"/>
      <c r="B2475" s="111">
        <f>MAX(0,N('Deal maths'!M478))</f>
        <v/>
      </c>
      <c r="C2475" s="91">
        <f>IF(B2475&gt;0,IF('Deal maths'!L478="Local authority","Local authorities",LOWER(TRIM('Deal maths'!K478))),"")</f>
        <v/>
      </c>
      <c r="D2475" s="91">
        <f>IF(C2475="","",IF(COUNTIF($C$4:C2474,C2475)=0,SUMIF($C$4:$C$3997,C2475,$B$4:$B$3997)-ROW()/1000000,""))</f>
        <v/>
      </c>
      <c r="E2475" s="91">
        <f>IF(N('Deal maths'!M478)&gt;0,ROW()/10000000,"")</f>
        <v/>
      </c>
    </row>
    <row r="2476">
      <c r="A2476" s="91" t="n"/>
      <c r="B2476" s="111">
        <f>MAX(0,N('Deal maths'!M479))</f>
        <v/>
      </c>
      <c r="C2476" s="91">
        <f>IF(B2476&gt;0,IF('Deal maths'!L479="Local authority","Local authorities",LOWER(TRIM('Deal maths'!K479))),"")</f>
        <v/>
      </c>
      <c r="D2476" s="91">
        <f>IF(C2476="","",IF(COUNTIF($C$4:C2475,C2476)=0,SUMIF($C$4:$C$3997,C2476,$B$4:$B$3997)-ROW()/1000000,""))</f>
        <v/>
      </c>
      <c r="E2476" s="91">
        <f>IF(N('Deal maths'!M479)&gt;0,ROW()/10000000,"")</f>
        <v/>
      </c>
    </row>
    <row r="2477">
      <c r="A2477" s="91" t="n"/>
      <c r="B2477" s="111">
        <f>MAX(0,N('Deal maths'!M480))</f>
        <v/>
      </c>
      <c r="C2477" s="91">
        <f>IF(B2477&gt;0,IF('Deal maths'!L480="Local authority","Local authorities",LOWER(TRIM('Deal maths'!K480))),"")</f>
        <v/>
      </c>
      <c r="D2477" s="91">
        <f>IF(C2477="","",IF(COUNTIF($C$4:C2476,C2477)=0,SUMIF($C$4:$C$3997,C2477,$B$4:$B$3997)-ROW()/1000000,""))</f>
        <v/>
      </c>
      <c r="E2477" s="91">
        <f>IF(N('Deal maths'!M480)&gt;0,ROW()/10000000,"")</f>
        <v/>
      </c>
    </row>
    <row r="2478">
      <c r="A2478" s="91" t="n"/>
      <c r="B2478" s="111">
        <f>MAX(0,N('Deal maths'!M481))</f>
        <v/>
      </c>
      <c r="C2478" s="91">
        <f>IF(B2478&gt;0,IF('Deal maths'!L481="Local authority","Local authorities",LOWER(TRIM('Deal maths'!K481))),"")</f>
        <v/>
      </c>
      <c r="D2478" s="91">
        <f>IF(C2478="","",IF(COUNTIF($C$4:C2477,C2478)=0,SUMIF($C$4:$C$3997,C2478,$B$4:$B$3997)-ROW()/1000000,""))</f>
        <v/>
      </c>
      <c r="E2478" s="91">
        <f>IF(N('Deal maths'!M481)&gt;0,ROW()/10000000,"")</f>
        <v/>
      </c>
    </row>
    <row r="2479">
      <c r="A2479" s="91" t="n"/>
      <c r="B2479" s="111">
        <f>MAX(0,N('Deal maths'!M482))</f>
        <v/>
      </c>
      <c r="C2479" s="91">
        <f>IF(B2479&gt;0,IF('Deal maths'!L482="Local authority","Local authorities",LOWER(TRIM('Deal maths'!K482))),"")</f>
        <v/>
      </c>
      <c r="D2479" s="91">
        <f>IF(C2479="","",IF(COUNTIF($C$4:C2478,C2479)=0,SUMIF($C$4:$C$3997,C2479,$B$4:$B$3997)-ROW()/1000000,""))</f>
        <v/>
      </c>
      <c r="E2479" s="91">
        <f>IF(N('Deal maths'!M482)&gt;0,ROW()/10000000,"")</f>
        <v/>
      </c>
    </row>
    <row r="2480">
      <c r="A2480" s="91" t="n"/>
      <c r="B2480" s="111">
        <f>MAX(0,N('Deal maths'!M483))</f>
        <v/>
      </c>
      <c r="C2480" s="91">
        <f>IF(B2480&gt;0,IF('Deal maths'!L483="Local authority","Local authorities",LOWER(TRIM('Deal maths'!K483))),"")</f>
        <v/>
      </c>
      <c r="D2480" s="91">
        <f>IF(C2480="","",IF(COUNTIF($C$4:C2479,C2480)=0,SUMIF($C$4:$C$3997,C2480,$B$4:$B$3997)-ROW()/1000000,""))</f>
        <v/>
      </c>
      <c r="E2480" s="91">
        <f>IF(N('Deal maths'!M483)&gt;0,ROW()/10000000,"")</f>
        <v/>
      </c>
    </row>
    <row r="2481">
      <c r="A2481" s="91" t="n"/>
      <c r="B2481" s="111">
        <f>MAX(0,N('Deal maths'!M484))</f>
        <v/>
      </c>
      <c r="C2481" s="91">
        <f>IF(B2481&gt;0,IF('Deal maths'!L484="Local authority","Local authorities",LOWER(TRIM('Deal maths'!K484))),"")</f>
        <v/>
      </c>
      <c r="D2481" s="91">
        <f>IF(C2481="","",IF(COUNTIF($C$4:C2480,C2481)=0,SUMIF($C$4:$C$3997,C2481,$B$4:$B$3997)-ROW()/1000000,""))</f>
        <v/>
      </c>
      <c r="E2481" s="91">
        <f>IF(N('Deal maths'!M484)&gt;0,ROW()/10000000,"")</f>
        <v/>
      </c>
    </row>
    <row r="2482">
      <c r="A2482" s="91" t="n"/>
      <c r="B2482" s="111">
        <f>MAX(0,N('Deal maths'!M485))</f>
        <v/>
      </c>
      <c r="C2482" s="91">
        <f>IF(B2482&gt;0,IF('Deal maths'!L485="Local authority","Local authorities",LOWER(TRIM('Deal maths'!K485))),"")</f>
        <v/>
      </c>
      <c r="D2482" s="91">
        <f>IF(C2482="","",IF(COUNTIF($C$4:C2481,C2482)=0,SUMIF($C$4:$C$3997,C2482,$B$4:$B$3997)-ROW()/1000000,""))</f>
        <v/>
      </c>
      <c r="E2482" s="91">
        <f>IF(N('Deal maths'!M485)&gt;0,ROW()/10000000,"")</f>
        <v/>
      </c>
    </row>
    <row r="2483">
      <c r="A2483" s="91" t="n"/>
      <c r="B2483" s="111">
        <f>MAX(0,N('Deal maths'!M486))</f>
        <v/>
      </c>
      <c r="C2483" s="91">
        <f>IF(B2483&gt;0,IF('Deal maths'!L486="Local authority","Local authorities",LOWER(TRIM('Deal maths'!K486))),"")</f>
        <v/>
      </c>
      <c r="D2483" s="91">
        <f>IF(C2483="","",IF(COUNTIF($C$4:C2482,C2483)=0,SUMIF($C$4:$C$3997,C2483,$B$4:$B$3997)-ROW()/1000000,""))</f>
        <v/>
      </c>
      <c r="E2483" s="91">
        <f>IF(N('Deal maths'!M486)&gt;0,ROW()/10000000,"")</f>
        <v/>
      </c>
    </row>
    <row r="2484">
      <c r="A2484" s="91" t="n"/>
      <c r="B2484" s="111">
        <f>MAX(0,N('Deal maths'!M487))</f>
        <v/>
      </c>
      <c r="C2484" s="91">
        <f>IF(B2484&gt;0,IF('Deal maths'!L487="Local authority","Local authorities",LOWER(TRIM('Deal maths'!K487))),"")</f>
        <v/>
      </c>
      <c r="D2484" s="91">
        <f>IF(C2484="","",IF(COUNTIF($C$4:C2483,C2484)=0,SUMIF($C$4:$C$3997,C2484,$B$4:$B$3997)-ROW()/1000000,""))</f>
        <v/>
      </c>
      <c r="E2484" s="91">
        <f>IF(N('Deal maths'!M487)&gt;0,ROW()/10000000,"")</f>
        <v/>
      </c>
    </row>
    <row r="2485">
      <c r="A2485" s="91" t="n"/>
      <c r="B2485" s="111">
        <f>MAX(0,N('Deal maths'!M488))</f>
        <v/>
      </c>
      <c r="C2485" s="91">
        <f>IF(B2485&gt;0,IF('Deal maths'!L488="Local authority","Local authorities",LOWER(TRIM('Deal maths'!K488))),"")</f>
        <v/>
      </c>
      <c r="D2485" s="91">
        <f>IF(C2485="","",IF(COUNTIF($C$4:C2484,C2485)=0,SUMIF($C$4:$C$3997,C2485,$B$4:$B$3997)-ROW()/1000000,""))</f>
        <v/>
      </c>
      <c r="E2485" s="91">
        <f>IF(N('Deal maths'!M488)&gt;0,ROW()/10000000,"")</f>
        <v/>
      </c>
    </row>
    <row r="2486">
      <c r="A2486" s="91" t="n"/>
      <c r="B2486" s="111">
        <f>MAX(0,N('Deal maths'!M489))</f>
        <v/>
      </c>
      <c r="C2486" s="91">
        <f>IF(B2486&gt;0,IF('Deal maths'!L489="Local authority","Local authorities",LOWER(TRIM('Deal maths'!K489))),"")</f>
        <v/>
      </c>
      <c r="D2486" s="91">
        <f>IF(C2486="","",IF(COUNTIF($C$4:C2485,C2486)=0,SUMIF($C$4:$C$3997,C2486,$B$4:$B$3997)-ROW()/1000000,""))</f>
        <v/>
      </c>
      <c r="E2486" s="91">
        <f>IF(N('Deal maths'!M489)&gt;0,ROW()/10000000,"")</f>
        <v/>
      </c>
    </row>
    <row r="2487">
      <c r="A2487" s="91" t="n"/>
      <c r="B2487" s="111">
        <f>MAX(0,N('Deal maths'!M490))</f>
        <v/>
      </c>
      <c r="C2487" s="91">
        <f>IF(B2487&gt;0,IF('Deal maths'!L490="Local authority","Local authorities",LOWER(TRIM('Deal maths'!K490))),"")</f>
        <v/>
      </c>
      <c r="D2487" s="91">
        <f>IF(C2487="","",IF(COUNTIF($C$4:C2486,C2487)=0,SUMIF($C$4:$C$3997,C2487,$B$4:$B$3997)-ROW()/1000000,""))</f>
        <v/>
      </c>
      <c r="E2487" s="91">
        <f>IF(N('Deal maths'!M490)&gt;0,ROW()/10000000,"")</f>
        <v/>
      </c>
    </row>
    <row r="2488">
      <c r="A2488" s="91" t="n"/>
      <c r="B2488" s="111">
        <f>MAX(0,N('Deal maths'!M491))</f>
        <v/>
      </c>
      <c r="C2488" s="91">
        <f>IF(B2488&gt;0,IF('Deal maths'!L491="Local authority","Local authorities",LOWER(TRIM('Deal maths'!K491))),"")</f>
        <v/>
      </c>
      <c r="D2488" s="91">
        <f>IF(C2488="","",IF(COUNTIF($C$4:C2487,C2488)=0,SUMIF($C$4:$C$3997,C2488,$B$4:$B$3997)-ROW()/1000000,""))</f>
        <v/>
      </c>
      <c r="E2488" s="91">
        <f>IF(N('Deal maths'!M491)&gt;0,ROW()/10000000,"")</f>
        <v/>
      </c>
    </row>
    <row r="2489">
      <c r="A2489" s="91" t="n"/>
      <c r="B2489" s="111">
        <f>MAX(0,N('Deal maths'!M492))</f>
        <v/>
      </c>
      <c r="C2489" s="91">
        <f>IF(B2489&gt;0,IF('Deal maths'!L492="Local authority","Local authorities",LOWER(TRIM('Deal maths'!K492))),"")</f>
        <v/>
      </c>
      <c r="D2489" s="91">
        <f>IF(C2489="","",IF(COUNTIF($C$4:C2488,C2489)=0,SUMIF($C$4:$C$3997,C2489,$B$4:$B$3997)-ROW()/1000000,""))</f>
        <v/>
      </c>
      <c r="E2489" s="91">
        <f>IF(N('Deal maths'!M492)&gt;0,ROW()/10000000,"")</f>
        <v/>
      </c>
    </row>
    <row r="2490">
      <c r="A2490" s="91" t="n"/>
      <c r="B2490" s="111">
        <f>MAX(0,N('Deal maths'!M493))</f>
        <v/>
      </c>
      <c r="C2490" s="91">
        <f>IF(B2490&gt;0,IF('Deal maths'!L493="Local authority","Local authorities",LOWER(TRIM('Deal maths'!K493))),"")</f>
        <v/>
      </c>
      <c r="D2490" s="91">
        <f>IF(C2490="","",IF(COUNTIF($C$4:C2489,C2490)=0,SUMIF($C$4:$C$3997,C2490,$B$4:$B$3997)-ROW()/1000000,""))</f>
        <v/>
      </c>
      <c r="E2490" s="91">
        <f>IF(N('Deal maths'!M493)&gt;0,ROW()/10000000,"")</f>
        <v/>
      </c>
    </row>
    <row r="2491">
      <c r="A2491" s="91" t="n"/>
      <c r="B2491" s="111">
        <f>MAX(0,N('Deal maths'!M494))</f>
        <v/>
      </c>
      <c r="C2491" s="91">
        <f>IF(B2491&gt;0,IF('Deal maths'!L494="Local authority","Local authorities",LOWER(TRIM('Deal maths'!K494))),"")</f>
        <v/>
      </c>
      <c r="D2491" s="91">
        <f>IF(C2491="","",IF(COUNTIF($C$4:C2490,C2491)=0,SUMIF($C$4:$C$3997,C2491,$B$4:$B$3997)-ROW()/1000000,""))</f>
        <v/>
      </c>
      <c r="E2491" s="91">
        <f>IF(N('Deal maths'!M494)&gt;0,ROW()/10000000,"")</f>
        <v/>
      </c>
    </row>
    <row r="2492">
      <c r="A2492" s="91" t="n"/>
      <c r="B2492" s="111">
        <f>MAX(0,N('Deal maths'!M495))</f>
        <v/>
      </c>
      <c r="C2492" s="91">
        <f>IF(B2492&gt;0,IF('Deal maths'!L495="Local authority","Local authorities",LOWER(TRIM('Deal maths'!K495))),"")</f>
        <v/>
      </c>
      <c r="D2492" s="91">
        <f>IF(C2492="","",IF(COUNTIF($C$4:C2491,C2492)=0,SUMIF($C$4:$C$3997,C2492,$B$4:$B$3997)-ROW()/1000000,""))</f>
        <v/>
      </c>
      <c r="E2492" s="91">
        <f>IF(N('Deal maths'!M495)&gt;0,ROW()/10000000,"")</f>
        <v/>
      </c>
    </row>
    <row r="2493">
      <c r="A2493" s="91" t="n"/>
      <c r="B2493" s="111">
        <f>MAX(0,N('Deal maths'!M496))</f>
        <v/>
      </c>
      <c r="C2493" s="91">
        <f>IF(B2493&gt;0,IF('Deal maths'!L496="Local authority","Local authorities",LOWER(TRIM('Deal maths'!K496))),"")</f>
        <v/>
      </c>
      <c r="D2493" s="91">
        <f>IF(C2493="","",IF(COUNTIF($C$4:C2492,C2493)=0,SUMIF($C$4:$C$3997,C2493,$B$4:$B$3997)-ROW()/1000000,""))</f>
        <v/>
      </c>
      <c r="E2493" s="91">
        <f>IF(N('Deal maths'!M496)&gt;0,ROW()/10000000,"")</f>
        <v/>
      </c>
    </row>
    <row r="2494">
      <c r="A2494" s="91" t="n"/>
      <c r="B2494" s="111">
        <f>MAX(0,N('Deal maths'!M497))</f>
        <v/>
      </c>
      <c r="C2494" s="91">
        <f>IF(B2494&gt;0,IF('Deal maths'!L497="Local authority","Local authorities",LOWER(TRIM('Deal maths'!K497))),"")</f>
        <v/>
      </c>
      <c r="D2494" s="91">
        <f>IF(C2494="","",IF(COUNTIF($C$4:C2493,C2494)=0,SUMIF($C$4:$C$3997,C2494,$B$4:$B$3997)-ROW()/1000000,""))</f>
        <v/>
      </c>
      <c r="E2494" s="91">
        <f>IF(N('Deal maths'!M497)&gt;0,ROW()/10000000,"")</f>
        <v/>
      </c>
    </row>
    <row r="2495">
      <c r="A2495" s="91" t="n"/>
      <c r="B2495" s="111">
        <f>MAX(0,N('Deal maths'!M498))</f>
        <v/>
      </c>
      <c r="C2495" s="91">
        <f>IF(B2495&gt;0,IF('Deal maths'!L498="Local authority","Local authorities",LOWER(TRIM('Deal maths'!K498))),"")</f>
        <v/>
      </c>
      <c r="D2495" s="91">
        <f>IF(C2495="","",IF(COUNTIF($C$4:C2494,C2495)=0,SUMIF($C$4:$C$3997,C2495,$B$4:$B$3997)-ROW()/1000000,""))</f>
        <v/>
      </c>
      <c r="E2495" s="91">
        <f>IF(N('Deal maths'!M498)&gt;0,ROW()/10000000,"")</f>
        <v/>
      </c>
    </row>
    <row r="2496">
      <c r="A2496" s="91" t="n"/>
      <c r="B2496" s="111">
        <f>MAX(0,N('Deal maths'!M499))</f>
        <v/>
      </c>
      <c r="C2496" s="91">
        <f>IF(B2496&gt;0,IF('Deal maths'!L499="Local authority","Local authorities",LOWER(TRIM('Deal maths'!K499))),"")</f>
        <v/>
      </c>
      <c r="D2496" s="91">
        <f>IF(C2496="","",IF(COUNTIF($C$4:C2495,C2496)=0,SUMIF($C$4:$C$3997,C2496,$B$4:$B$3997)-ROW()/1000000,""))</f>
        <v/>
      </c>
      <c r="E2496" s="91">
        <f>IF(N('Deal maths'!M499)&gt;0,ROW()/10000000,"")</f>
        <v/>
      </c>
    </row>
    <row r="2497">
      <c r="A2497" s="91" t="n"/>
      <c r="B2497" s="111">
        <f>MAX(0,N('Deal maths'!M500))</f>
        <v/>
      </c>
      <c r="C2497" s="91">
        <f>IF(B2497&gt;0,IF('Deal maths'!L500="Local authority","Local authorities",LOWER(TRIM('Deal maths'!K500))),"")</f>
        <v/>
      </c>
      <c r="D2497" s="91">
        <f>IF(C2497="","",IF(COUNTIF($C$4:C2496,C2497)=0,SUMIF($C$4:$C$3997,C2497,$B$4:$B$3997)-ROW()/1000000,""))</f>
        <v/>
      </c>
      <c r="E2497" s="91">
        <f>IF(N('Deal maths'!M500)&gt;0,ROW()/10000000,"")</f>
        <v/>
      </c>
    </row>
    <row r="2498">
      <c r="A2498" s="91" t="n"/>
      <c r="B2498" s="111">
        <f>MAX(0,N('Deal maths'!M501))</f>
        <v/>
      </c>
      <c r="C2498" s="91">
        <f>IF(B2498&gt;0,IF('Deal maths'!L501="Local authority","Local authorities",LOWER(TRIM('Deal maths'!K501))),"")</f>
        <v/>
      </c>
      <c r="D2498" s="91">
        <f>IF(C2498="","",IF(COUNTIF($C$4:C2497,C2498)=0,SUMIF($C$4:$C$3997,C2498,$B$4:$B$3997)-ROW()/1000000,""))</f>
        <v/>
      </c>
      <c r="E2498" s="91">
        <f>IF(N('Deal maths'!M501)&gt;0,ROW()/10000000,"")</f>
        <v/>
      </c>
    </row>
    <row r="2499">
      <c r="A2499" s="91" t="n"/>
      <c r="B2499" s="111">
        <f>MAX(0,N('Deal maths'!M502))</f>
        <v/>
      </c>
      <c r="C2499" s="91">
        <f>IF(B2499&gt;0,IF('Deal maths'!L502="Local authority","Local authorities",LOWER(TRIM('Deal maths'!K502))),"")</f>
        <v/>
      </c>
      <c r="D2499" s="91">
        <f>IF(C2499="","",IF(COUNTIF($C$4:C2498,C2499)=0,SUMIF($C$4:$C$3997,C2499,$B$4:$B$3997)-ROW()/1000000,""))</f>
        <v/>
      </c>
      <c r="E2499" s="91">
        <f>IF(N('Deal maths'!M502)&gt;0,ROW()/10000000,"")</f>
        <v/>
      </c>
    </row>
    <row r="2500">
      <c r="A2500" s="91" t="n"/>
      <c r="B2500" s="111">
        <f>MAX(0,N('Deal maths'!M503))</f>
        <v/>
      </c>
      <c r="C2500" s="91">
        <f>IF(B2500&gt;0,IF('Deal maths'!L503="Local authority","Local authorities",LOWER(TRIM('Deal maths'!K503))),"")</f>
        <v/>
      </c>
      <c r="D2500" s="91">
        <f>IF(C2500="","",IF(COUNTIF($C$4:C2499,C2500)=0,SUMIF($C$4:$C$3997,C2500,$B$4:$B$3997)-ROW()/1000000,""))</f>
        <v/>
      </c>
      <c r="E2500" s="91">
        <f>IF(N('Deal maths'!M503)&gt;0,ROW()/10000000,"")</f>
        <v/>
      </c>
    </row>
    <row r="2501">
      <c r="A2501" s="91" t="n"/>
      <c r="B2501" s="111">
        <f>MAX(0,N('Deal maths'!M504))</f>
        <v/>
      </c>
      <c r="C2501" s="91">
        <f>IF(B2501&gt;0,IF('Deal maths'!L504="Local authority","Local authorities",LOWER(TRIM('Deal maths'!K504))),"")</f>
        <v/>
      </c>
      <c r="D2501" s="91">
        <f>IF(C2501="","",IF(COUNTIF($C$4:C2500,C2501)=0,SUMIF($C$4:$C$3997,C2501,$B$4:$B$3997)-ROW()/1000000,""))</f>
        <v/>
      </c>
      <c r="E2501" s="91">
        <f>IF(N('Deal maths'!M504)&gt;0,ROW()/10000000,"")</f>
        <v/>
      </c>
    </row>
    <row r="2502">
      <c r="A2502" s="91" t="n"/>
      <c r="B2502" s="111">
        <f>MAX(0,N('Deal maths'!M505))</f>
        <v/>
      </c>
      <c r="C2502" s="91">
        <f>IF(B2502&gt;0,IF('Deal maths'!L505="Local authority","Local authorities",LOWER(TRIM('Deal maths'!K505))),"")</f>
        <v/>
      </c>
      <c r="D2502" s="91">
        <f>IF(C2502="","",IF(COUNTIF($C$4:C2501,C2502)=0,SUMIF($C$4:$C$3997,C2502,$B$4:$B$3997)-ROW()/1000000,""))</f>
        <v/>
      </c>
      <c r="E2502" s="91">
        <f>IF(N('Deal maths'!M505)&gt;0,ROW()/10000000,"")</f>
        <v/>
      </c>
    </row>
    <row r="2503">
      <c r="A2503" s="91" t="n"/>
      <c r="B2503" s="111">
        <f>MAX(0,N('Deal maths'!M506))</f>
        <v/>
      </c>
      <c r="C2503" s="91">
        <f>IF(B2503&gt;0,IF('Deal maths'!L506="Local authority","Local authorities",LOWER(TRIM('Deal maths'!K506))),"")</f>
        <v/>
      </c>
      <c r="D2503" s="91">
        <f>IF(C2503="","",IF(COUNTIF($C$4:C2502,C2503)=0,SUMIF($C$4:$C$3997,C2503,$B$4:$B$3997)-ROW()/1000000,""))</f>
        <v/>
      </c>
      <c r="E2503" s="91">
        <f>IF(N('Deal maths'!M506)&gt;0,ROW()/10000000,"")</f>
        <v/>
      </c>
    </row>
    <row r="2504">
      <c r="A2504" s="91" t="n"/>
      <c r="B2504" s="111">
        <f>MAX(0,N('Deal maths'!M507))</f>
        <v/>
      </c>
      <c r="C2504" s="91">
        <f>IF(B2504&gt;0,IF('Deal maths'!L507="Local authority","Local authorities",LOWER(TRIM('Deal maths'!K507))),"")</f>
        <v/>
      </c>
      <c r="D2504" s="91">
        <f>IF(C2504="","",IF(COUNTIF($C$4:C2503,C2504)=0,SUMIF($C$4:$C$3997,C2504,$B$4:$B$3997)-ROW()/1000000,""))</f>
        <v/>
      </c>
      <c r="E2504" s="91">
        <f>IF(N('Deal maths'!M507)&gt;0,ROW()/10000000,"")</f>
        <v/>
      </c>
    </row>
    <row r="2505">
      <c r="A2505" s="91" t="n"/>
      <c r="B2505" s="111">
        <f>MAX(0,N('Deal maths'!M508))</f>
        <v/>
      </c>
      <c r="C2505" s="91">
        <f>IF(B2505&gt;0,IF('Deal maths'!L508="Local authority","Local authorities",LOWER(TRIM('Deal maths'!K508))),"")</f>
        <v/>
      </c>
      <c r="D2505" s="91">
        <f>IF(C2505="","",IF(COUNTIF($C$4:C2504,C2505)=0,SUMIF($C$4:$C$3997,C2505,$B$4:$B$3997)-ROW()/1000000,""))</f>
        <v/>
      </c>
      <c r="E2505" s="91">
        <f>IF(N('Deal maths'!M508)&gt;0,ROW()/10000000,"")</f>
        <v/>
      </c>
    </row>
    <row r="2506">
      <c r="A2506" s="91" t="n"/>
      <c r="B2506" s="111">
        <f>MAX(0,N('Deal maths'!M509))</f>
        <v/>
      </c>
      <c r="C2506" s="91">
        <f>IF(B2506&gt;0,IF('Deal maths'!L509="Local authority","Local authorities",LOWER(TRIM('Deal maths'!K509))),"")</f>
        <v/>
      </c>
      <c r="D2506" s="91">
        <f>IF(C2506="","",IF(COUNTIF($C$4:C2505,C2506)=0,SUMIF($C$4:$C$3997,C2506,$B$4:$B$3997)-ROW()/1000000,""))</f>
        <v/>
      </c>
      <c r="E2506" s="91">
        <f>IF(N('Deal maths'!M509)&gt;0,ROW()/10000000,"")</f>
        <v/>
      </c>
    </row>
    <row r="2507">
      <c r="A2507" s="91" t="n"/>
      <c r="B2507" s="111">
        <f>MAX(0,N('Deal maths'!M510))</f>
        <v/>
      </c>
      <c r="C2507" s="91">
        <f>IF(B2507&gt;0,IF('Deal maths'!L510="Local authority","Local authorities",LOWER(TRIM('Deal maths'!K510))),"")</f>
        <v/>
      </c>
      <c r="D2507" s="91">
        <f>IF(C2507="","",IF(COUNTIF($C$4:C2506,C2507)=0,SUMIF($C$4:$C$3997,C2507,$B$4:$B$3997)-ROW()/1000000,""))</f>
        <v/>
      </c>
      <c r="E2507" s="91">
        <f>IF(N('Deal maths'!M510)&gt;0,ROW()/10000000,"")</f>
        <v/>
      </c>
    </row>
    <row r="2508">
      <c r="A2508" s="91" t="n"/>
      <c r="B2508" s="111">
        <f>MAX(0,N('Deal maths'!M511))</f>
        <v/>
      </c>
      <c r="C2508" s="91">
        <f>IF(B2508&gt;0,IF('Deal maths'!L511="Local authority","Local authorities",LOWER(TRIM('Deal maths'!K511))),"")</f>
        <v/>
      </c>
      <c r="D2508" s="91">
        <f>IF(C2508="","",IF(COUNTIF($C$4:C2507,C2508)=0,SUMIF($C$4:$C$3997,C2508,$B$4:$B$3997)-ROW()/1000000,""))</f>
        <v/>
      </c>
      <c r="E2508" s="91">
        <f>IF(N('Deal maths'!M511)&gt;0,ROW()/10000000,"")</f>
        <v/>
      </c>
    </row>
    <row r="2509">
      <c r="A2509" s="91" t="n"/>
      <c r="B2509" s="111">
        <f>MAX(0,N('Deal maths'!M512))</f>
        <v/>
      </c>
      <c r="C2509" s="91">
        <f>IF(B2509&gt;0,IF('Deal maths'!L512="Local authority","Local authorities",LOWER(TRIM('Deal maths'!K512))),"")</f>
        <v/>
      </c>
      <c r="D2509" s="91">
        <f>IF(C2509="","",IF(COUNTIF($C$4:C2508,C2509)=0,SUMIF($C$4:$C$3997,C2509,$B$4:$B$3997)-ROW()/1000000,""))</f>
        <v/>
      </c>
      <c r="E2509" s="91">
        <f>IF(N('Deal maths'!M512)&gt;0,ROW()/10000000,"")</f>
        <v/>
      </c>
    </row>
    <row r="2510">
      <c r="A2510" s="91" t="n"/>
      <c r="B2510" s="111">
        <f>MAX(0,N('Deal maths'!M513))</f>
        <v/>
      </c>
      <c r="C2510" s="91">
        <f>IF(B2510&gt;0,IF('Deal maths'!L513="Local authority","Local authorities",LOWER(TRIM('Deal maths'!K513))),"")</f>
        <v/>
      </c>
      <c r="D2510" s="91">
        <f>IF(C2510="","",IF(COUNTIF($C$4:C2509,C2510)=0,SUMIF($C$4:$C$3997,C2510,$B$4:$B$3997)-ROW()/1000000,""))</f>
        <v/>
      </c>
      <c r="E2510" s="91">
        <f>IF(N('Deal maths'!M513)&gt;0,ROW()/10000000,"")</f>
        <v/>
      </c>
    </row>
    <row r="2511">
      <c r="A2511" s="91" t="n"/>
      <c r="B2511" s="111">
        <f>MAX(0,N('Deal maths'!M514))</f>
        <v/>
      </c>
      <c r="C2511" s="91">
        <f>IF(B2511&gt;0,IF('Deal maths'!L514="Local authority","Local authorities",LOWER(TRIM('Deal maths'!K514))),"")</f>
        <v/>
      </c>
      <c r="D2511" s="91">
        <f>IF(C2511="","",IF(COUNTIF($C$4:C2510,C2511)=0,SUMIF($C$4:$C$3997,C2511,$B$4:$B$3997)-ROW()/1000000,""))</f>
        <v/>
      </c>
      <c r="E2511" s="91">
        <f>IF(N('Deal maths'!M514)&gt;0,ROW()/10000000,"")</f>
        <v/>
      </c>
    </row>
    <row r="2512">
      <c r="A2512" s="91" t="n"/>
      <c r="B2512" s="111">
        <f>MAX(0,N('Deal maths'!M515))</f>
        <v/>
      </c>
      <c r="C2512" s="91">
        <f>IF(B2512&gt;0,IF('Deal maths'!L515="Local authority","Local authorities",LOWER(TRIM('Deal maths'!K515))),"")</f>
        <v/>
      </c>
      <c r="D2512" s="91">
        <f>IF(C2512="","",IF(COUNTIF($C$4:C2511,C2512)=0,SUMIF($C$4:$C$3997,C2512,$B$4:$B$3997)-ROW()/1000000,""))</f>
        <v/>
      </c>
      <c r="E2512" s="91">
        <f>IF(N('Deal maths'!M515)&gt;0,ROW()/10000000,"")</f>
        <v/>
      </c>
    </row>
    <row r="2513">
      <c r="A2513" s="91" t="n"/>
      <c r="B2513" s="111">
        <f>MAX(0,N('Deal maths'!M516))</f>
        <v/>
      </c>
      <c r="C2513" s="91">
        <f>IF(B2513&gt;0,IF('Deal maths'!L516="Local authority","Local authorities",LOWER(TRIM('Deal maths'!K516))),"")</f>
        <v/>
      </c>
      <c r="D2513" s="91">
        <f>IF(C2513="","",IF(COUNTIF($C$4:C2512,C2513)=0,SUMIF($C$4:$C$3997,C2513,$B$4:$B$3997)-ROW()/1000000,""))</f>
        <v/>
      </c>
      <c r="E2513" s="91">
        <f>IF(N('Deal maths'!M516)&gt;0,ROW()/10000000,"")</f>
        <v/>
      </c>
    </row>
    <row r="2514">
      <c r="A2514" s="91" t="n"/>
      <c r="B2514" s="111">
        <f>MAX(0,N('Deal maths'!M517))</f>
        <v/>
      </c>
      <c r="C2514" s="91">
        <f>IF(B2514&gt;0,IF('Deal maths'!L517="Local authority","Local authorities",LOWER(TRIM('Deal maths'!K517))),"")</f>
        <v/>
      </c>
      <c r="D2514" s="91">
        <f>IF(C2514="","",IF(COUNTIF($C$4:C2513,C2514)=0,SUMIF($C$4:$C$3997,C2514,$B$4:$B$3997)-ROW()/1000000,""))</f>
        <v/>
      </c>
      <c r="E2514" s="91">
        <f>IF(N('Deal maths'!M517)&gt;0,ROW()/10000000,"")</f>
        <v/>
      </c>
    </row>
    <row r="2515">
      <c r="A2515" s="91" t="n"/>
      <c r="B2515" s="111">
        <f>MAX(0,N('Deal maths'!M518))</f>
        <v/>
      </c>
      <c r="C2515" s="91">
        <f>IF(B2515&gt;0,IF('Deal maths'!L518="Local authority","Local authorities",LOWER(TRIM('Deal maths'!K518))),"")</f>
        <v/>
      </c>
      <c r="D2515" s="91">
        <f>IF(C2515="","",IF(COUNTIF($C$4:C2514,C2515)=0,SUMIF($C$4:$C$3997,C2515,$B$4:$B$3997)-ROW()/1000000,""))</f>
        <v/>
      </c>
      <c r="E2515" s="91">
        <f>IF(N('Deal maths'!M518)&gt;0,ROW()/10000000,"")</f>
        <v/>
      </c>
    </row>
    <row r="2516">
      <c r="A2516" s="91" t="n"/>
      <c r="B2516" s="111">
        <f>MAX(0,N('Deal maths'!M519))</f>
        <v/>
      </c>
      <c r="C2516" s="91">
        <f>IF(B2516&gt;0,IF('Deal maths'!L519="Local authority","Local authorities",LOWER(TRIM('Deal maths'!K519))),"")</f>
        <v/>
      </c>
      <c r="D2516" s="91">
        <f>IF(C2516="","",IF(COUNTIF($C$4:C2515,C2516)=0,SUMIF($C$4:$C$3997,C2516,$B$4:$B$3997)-ROW()/1000000,""))</f>
        <v/>
      </c>
      <c r="E2516" s="91">
        <f>IF(N('Deal maths'!M519)&gt;0,ROW()/10000000,"")</f>
        <v/>
      </c>
    </row>
    <row r="2517">
      <c r="A2517" s="91" t="n"/>
      <c r="B2517" s="111">
        <f>MAX(0,N('Deal maths'!M520))</f>
        <v/>
      </c>
      <c r="C2517" s="91">
        <f>IF(B2517&gt;0,IF('Deal maths'!L520="Local authority","Local authorities",LOWER(TRIM('Deal maths'!K520))),"")</f>
        <v/>
      </c>
      <c r="D2517" s="91">
        <f>IF(C2517="","",IF(COUNTIF($C$4:C2516,C2517)=0,SUMIF($C$4:$C$3997,C2517,$B$4:$B$3997)-ROW()/1000000,""))</f>
        <v/>
      </c>
      <c r="E2517" s="91">
        <f>IF(N('Deal maths'!M520)&gt;0,ROW()/10000000,"")</f>
        <v/>
      </c>
    </row>
    <row r="2518">
      <c r="A2518" s="91" t="n"/>
      <c r="B2518" s="111">
        <f>MAX(0,N('Deal maths'!M521))</f>
        <v/>
      </c>
      <c r="C2518" s="91">
        <f>IF(B2518&gt;0,IF('Deal maths'!L521="Local authority","Local authorities",LOWER(TRIM('Deal maths'!K521))),"")</f>
        <v/>
      </c>
      <c r="D2518" s="91">
        <f>IF(C2518="","",IF(COUNTIF($C$4:C2517,C2518)=0,SUMIF($C$4:$C$3997,C2518,$B$4:$B$3997)-ROW()/1000000,""))</f>
        <v/>
      </c>
      <c r="E2518" s="91">
        <f>IF(N('Deal maths'!M521)&gt;0,ROW()/10000000,"")</f>
        <v/>
      </c>
    </row>
    <row r="2519">
      <c r="A2519" s="91" t="n"/>
      <c r="B2519" s="111">
        <f>MAX(0,N('Deal maths'!M522))</f>
        <v/>
      </c>
      <c r="C2519" s="91">
        <f>IF(B2519&gt;0,IF('Deal maths'!L522="Local authority","Local authorities",LOWER(TRIM('Deal maths'!K522))),"")</f>
        <v/>
      </c>
      <c r="D2519" s="91">
        <f>IF(C2519="","",IF(COUNTIF($C$4:C2518,C2519)=0,SUMIF($C$4:$C$3997,C2519,$B$4:$B$3997)-ROW()/1000000,""))</f>
        <v/>
      </c>
      <c r="E2519" s="91">
        <f>IF(N('Deal maths'!M522)&gt;0,ROW()/10000000,"")</f>
        <v/>
      </c>
    </row>
    <row r="2520">
      <c r="A2520" s="91" t="n"/>
      <c r="B2520" s="111">
        <f>MAX(0,N('Deal maths'!M523))</f>
        <v/>
      </c>
      <c r="C2520" s="91">
        <f>IF(B2520&gt;0,IF('Deal maths'!L523="Local authority","Local authorities",LOWER(TRIM('Deal maths'!K523))),"")</f>
        <v/>
      </c>
      <c r="D2520" s="91">
        <f>IF(C2520="","",IF(COUNTIF($C$4:C2519,C2520)=0,SUMIF($C$4:$C$3997,C2520,$B$4:$B$3997)-ROW()/1000000,""))</f>
        <v/>
      </c>
      <c r="E2520" s="91">
        <f>IF(N('Deal maths'!M523)&gt;0,ROW()/10000000,"")</f>
        <v/>
      </c>
    </row>
    <row r="2521">
      <c r="A2521" s="91" t="n"/>
      <c r="B2521" s="111">
        <f>MAX(0,N('Deal maths'!M524))</f>
        <v/>
      </c>
      <c r="C2521" s="91">
        <f>IF(B2521&gt;0,IF('Deal maths'!L524="Local authority","Local authorities",LOWER(TRIM('Deal maths'!K524))),"")</f>
        <v/>
      </c>
      <c r="D2521" s="91">
        <f>IF(C2521="","",IF(COUNTIF($C$4:C2520,C2521)=0,SUMIF($C$4:$C$3997,C2521,$B$4:$B$3997)-ROW()/1000000,""))</f>
        <v/>
      </c>
      <c r="E2521" s="91">
        <f>IF(N('Deal maths'!M524)&gt;0,ROW()/10000000,"")</f>
        <v/>
      </c>
    </row>
    <row r="2522">
      <c r="A2522" s="91" t="n"/>
      <c r="B2522" s="111">
        <f>MAX(0,N('Deal maths'!M525))</f>
        <v/>
      </c>
      <c r="C2522" s="91">
        <f>IF(B2522&gt;0,IF('Deal maths'!L525="Local authority","Local authorities",LOWER(TRIM('Deal maths'!K525))),"")</f>
        <v/>
      </c>
      <c r="D2522" s="91">
        <f>IF(C2522="","",IF(COUNTIF($C$4:C2521,C2522)=0,SUMIF($C$4:$C$3997,C2522,$B$4:$B$3997)-ROW()/1000000,""))</f>
        <v/>
      </c>
      <c r="E2522" s="91">
        <f>IF(N('Deal maths'!M525)&gt;0,ROW()/10000000,"")</f>
        <v/>
      </c>
    </row>
    <row r="2523">
      <c r="A2523" s="91" t="n"/>
      <c r="B2523" s="111">
        <f>MAX(0,N('Deal maths'!M526))</f>
        <v/>
      </c>
      <c r="C2523" s="91">
        <f>IF(B2523&gt;0,IF('Deal maths'!L526="Local authority","Local authorities",LOWER(TRIM('Deal maths'!K526))),"")</f>
        <v/>
      </c>
      <c r="D2523" s="91">
        <f>IF(C2523="","",IF(COUNTIF($C$4:C2522,C2523)=0,SUMIF($C$4:$C$3997,C2523,$B$4:$B$3997)-ROW()/1000000,""))</f>
        <v/>
      </c>
      <c r="E2523" s="91">
        <f>IF(N('Deal maths'!M526)&gt;0,ROW()/10000000,"")</f>
        <v/>
      </c>
    </row>
    <row r="2524">
      <c r="A2524" s="91" t="n"/>
      <c r="B2524" s="111">
        <f>MAX(0,N('Deal maths'!M527))</f>
        <v/>
      </c>
      <c r="C2524" s="91">
        <f>IF(B2524&gt;0,IF('Deal maths'!L527="Local authority","Local authorities",LOWER(TRIM('Deal maths'!K527))),"")</f>
        <v/>
      </c>
      <c r="D2524" s="91">
        <f>IF(C2524="","",IF(COUNTIF($C$4:C2523,C2524)=0,SUMIF($C$4:$C$3997,C2524,$B$4:$B$3997)-ROW()/1000000,""))</f>
        <v/>
      </c>
      <c r="E2524" s="91">
        <f>IF(N('Deal maths'!M527)&gt;0,ROW()/10000000,"")</f>
        <v/>
      </c>
    </row>
    <row r="2525">
      <c r="A2525" s="91" t="n"/>
      <c r="B2525" s="111">
        <f>MAX(0,N('Deal maths'!M528))</f>
        <v/>
      </c>
      <c r="C2525" s="91">
        <f>IF(B2525&gt;0,IF('Deal maths'!L528="Local authority","Local authorities",LOWER(TRIM('Deal maths'!K528))),"")</f>
        <v/>
      </c>
      <c r="D2525" s="91">
        <f>IF(C2525="","",IF(COUNTIF($C$4:C2524,C2525)=0,SUMIF($C$4:$C$3997,C2525,$B$4:$B$3997)-ROW()/1000000,""))</f>
        <v/>
      </c>
      <c r="E2525" s="91">
        <f>IF(N('Deal maths'!M528)&gt;0,ROW()/10000000,"")</f>
        <v/>
      </c>
    </row>
    <row r="2526">
      <c r="A2526" s="91" t="n"/>
      <c r="B2526" s="111">
        <f>MAX(0,N('Deal maths'!M529))</f>
        <v/>
      </c>
      <c r="C2526" s="91">
        <f>IF(B2526&gt;0,IF('Deal maths'!L529="Local authority","Local authorities",LOWER(TRIM('Deal maths'!K529))),"")</f>
        <v/>
      </c>
      <c r="D2526" s="91">
        <f>IF(C2526="","",IF(COUNTIF($C$4:C2525,C2526)=0,SUMIF($C$4:$C$3997,C2526,$B$4:$B$3997)-ROW()/1000000,""))</f>
        <v/>
      </c>
      <c r="E2526" s="91">
        <f>IF(N('Deal maths'!M529)&gt;0,ROW()/10000000,"")</f>
        <v/>
      </c>
    </row>
    <row r="2527">
      <c r="A2527" s="91" t="n"/>
      <c r="B2527" s="111">
        <f>MAX(0,N('Deal maths'!M530))</f>
        <v/>
      </c>
      <c r="C2527" s="91">
        <f>IF(B2527&gt;0,IF('Deal maths'!L530="Local authority","Local authorities",LOWER(TRIM('Deal maths'!K530))),"")</f>
        <v/>
      </c>
      <c r="D2527" s="91">
        <f>IF(C2527="","",IF(COUNTIF($C$4:C2526,C2527)=0,SUMIF($C$4:$C$3997,C2527,$B$4:$B$3997)-ROW()/1000000,""))</f>
        <v/>
      </c>
      <c r="E2527" s="91">
        <f>IF(N('Deal maths'!M530)&gt;0,ROW()/10000000,"")</f>
        <v/>
      </c>
    </row>
    <row r="2528">
      <c r="A2528" s="91" t="n"/>
      <c r="B2528" s="111">
        <f>MAX(0,N('Deal maths'!M531))</f>
        <v/>
      </c>
      <c r="C2528" s="91">
        <f>IF(B2528&gt;0,IF('Deal maths'!L531="Local authority","Local authorities",LOWER(TRIM('Deal maths'!K531))),"")</f>
        <v/>
      </c>
      <c r="D2528" s="91">
        <f>IF(C2528="","",IF(COUNTIF($C$4:C2527,C2528)=0,SUMIF($C$4:$C$3997,C2528,$B$4:$B$3997)-ROW()/1000000,""))</f>
        <v/>
      </c>
      <c r="E2528" s="91">
        <f>IF(N('Deal maths'!M531)&gt;0,ROW()/10000000,"")</f>
        <v/>
      </c>
    </row>
    <row r="2529">
      <c r="A2529" s="91" t="n"/>
      <c r="B2529" s="111">
        <f>MAX(0,N('Deal maths'!M532))</f>
        <v/>
      </c>
      <c r="C2529" s="91">
        <f>IF(B2529&gt;0,IF('Deal maths'!L532="Local authority","Local authorities",LOWER(TRIM('Deal maths'!K532))),"")</f>
        <v/>
      </c>
      <c r="D2529" s="91">
        <f>IF(C2529="","",IF(COUNTIF($C$4:C2528,C2529)=0,SUMIF($C$4:$C$3997,C2529,$B$4:$B$3997)-ROW()/1000000,""))</f>
        <v/>
      </c>
      <c r="E2529" s="91">
        <f>IF(N('Deal maths'!M532)&gt;0,ROW()/10000000,"")</f>
        <v/>
      </c>
    </row>
    <row r="2530">
      <c r="A2530" s="91" t="n"/>
      <c r="B2530" s="111">
        <f>MAX(0,N('Deal maths'!M533))</f>
        <v/>
      </c>
      <c r="C2530" s="91">
        <f>IF(B2530&gt;0,IF('Deal maths'!L533="Local authority","Local authorities",LOWER(TRIM('Deal maths'!K533))),"")</f>
        <v/>
      </c>
      <c r="D2530" s="91">
        <f>IF(C2530="","",IF(COUNTIF($C$4:C2529,C2530)=0,SUMIF($C$4:$C$3997,C2530,$B$4:$B$3997)-ROW()/1000000,""))</f>
        <v/>
      </c>
      <c r="E2530" s="91">
        <f>IF(N('Deal maths'!M533)&gt;0,ROW()/10000000,"")</f>
        <v/>
      </c>
    </row>
    <row r="2531">
      <c r="A2531" s="91" t="n"/>
      <c r="B2531" s="111">
        <f>MAX(0,N('Deal maths'!M534))</f>
        <v/>
      </c>
      <c r="C2531" s="91">
        <f>IF(B2531&gt;0,IF('Deal maths'!L534="Local authority","Local authorities",LOWER(TRIM('Deal maths'!K534))),"")</f>
        <v/>
      </c>
      <c r="D2531" s="91">
        <f>IF(C2531="","",IF(COUNTIF($C$4:C2530,C2531)=0,SUMIF($C$4:$C$3997,C2531,$B$4:$B$3997)-ROW()/1000000,""))</f>
        <v/>
      </c>
      <c r="E2531" s="91">
        <f>IF(N('Deal maths'!M534)&gt;0,ROW()/10000000,"")</f>
        <v/>
      </c>
    </row>
    <row r="2532">
      <c r="A2532" s="91" t="n"/>
      <c r="B2532" s="111">
        <f>MAX(0,N('Deal maths'!M535))</f>
        <v/>
      </c>
      <c r="C2532" s="91">
        <f>IF(B2532&gt;0,IF('Deal maths'!L535="Local authority","Local authorities",LOWER(TRIM('Deal maths'!K535))),"")</f>
        <v/>
      </c>
      <c r="D2532" s="91">
        <f>IF(C2532="","",IF(COUNTIF($C$4:C2531,C2532)=0,SUMIF($C$4:$C$3997,C2532,$B$4:$B$3997)-ROW()/1000000,""))</f>
        <v/>
      </c>
      <c r="E2532" s="91">
        <f>IF(N('Deal maths'!M535)&gt;0,ROW()/10000000,"")</f>
        <v/>
      </c>
    </row>
    <row r="2533">
      <c r="A2533" s="91" t="n"/>
      <c r="B2533" s="111">
        <f>MAX(0,N('Deal maths'!M536))</f>
        <v/>
      </c>
      <c r="C2533" s="91">
        <f>IF(B2533&gt;0,IF('Deal maths'!L536="Local authority","Local authorities",LOWER(TRIM('Deal maths'!K536))),"")</f>
        <v/>
      </c>
      <c r="D2533" s="91">
        <f>IF(C2533="","",IF(COUNTIF($C$4:C2532,C2533)=0,SUMIF($C$4:$C$3997,C2533,$B$4:$B$3997)-ROW()/1000000,""))</f>
        <v/>
      </c>
      <c r="E2533" s="91">
        <f>IF(N('Deal maths'!M536)&gt;0,ROW()/10000000,"")</f>
        <v/>
      </c>
    </row>
    <row r="2534">
      <c r="A2534" s="91" t="n"/>
      <c r="B2534" s="111">
        <f>MAX(0,N('Deal maths'!M537))</f>
        <v/>
      </c>
      <c r="C2534" s="91">
        <f>IF(B2534&gt;0,IF('Deal maths'!L537="Local authority","Local authorities",LOWER(TRIM('Deal maths'!K537))),"")</f>
        <v/>
      </c>
      <c r="D2534" s="91">
        <f>IF(C2534="","",IF(COUNTIF($C$4:C2533,C2534)=0,SUMIF($C$4:$C$3997,C2534,$B$4:$B$3997)-ROW()/1000000,""))</f>
        <v/>
      </c>
      <c r="E2534" s="91">
        <f>IF(N('Deal maths'!M537)&gt;0,ROW()/10000000,"")</f>
        <v/>
      </c>
    </row>
    <row r="2535">
      <c r="A2535" s="91" t="n"/>
      <c r="B2535" s="111">
        <f>MAX(0,N('Deal maths'!M538))</f>
        <v/>
      </c>
      <c r="C2535" s="91">
        <f>IF(B2535&gt;0,IF('Deal maths'!L538="Local authority","Local authorities",LOWER(TRIM('Deal maths'!K538))),"")</f>
        <v/>
      </c>
      <c r="D2535" s="91">
        <f>IF(C2535="","",IF(COUNTIF($C$4:C2534,C2535)=0,SUMIF($C$4:$C$3997,C2535,$B$4:$B$3997)-ROW()/1000000,""))</f>
        <v/>
      </c>
      <c r="E2535" s="91">
        <f>IF(N('Deal maths'!M538)&gt;0,ROW()/10000000,"")</f>
        <v/>
      </c>
    </row>
    <row r="2536">
      <c r="A2536" s="91" t="n"/>
      <c r="B2536" s="111">
        <f>MAX(0,N('Deal maths'!M539))</f>
        <v/>
      </c>
      <c r="C2536" s="91">
        <f>IF(B2536&gt;0,IF('Deal maths'!L539="Local authority","Local authorities",LOWER(TRIM('Deal maths'!K539))),"")</f>
        <v/>
      </c>
      <c r="D2536" s="91">
        <f>IF(C2536="","",IF(COUNTIF($C$4:C2535,C2536)=0,SUMIF($C$4:$C$3997,C2536,$B$4:$B$3997)-ROW()/1000000,""))</f>
        <v/>
      </c>
      <c r="E2536" s="91">
        <f>IF(N('Deal maths'!M539)&gt;0,ROW()/10000000,"")</f>
        <v/>
      </c>
    </row>
    <row r="2537">
      <c r="A2537" s="91" t="n"/>
      <c r="B2537" s="111">
        <f>MAX(0,N('Deal maths'!M540))</f>
        <v/>
      </c>
      <c r="C2537" s="91">
        <f>IF(B2537&gt;0,IF('Deal maths'!L540="Local authority","Local authorities",LOWER(TRIM('Deal maths'!K540))),"")</f>
        <v/>
      </c>
      <c r="D2537" s="91">
        <f>IF(C2537="","",IF(COUNTIF($C$4:C2536,C2537)=0,SUMIF($C$4:$C$3997,C2537,$B$4:$B$3997)-ROW()/1000000,""))</f>
        <v/>
      </c>
      <c r="E2537" s="91">
        <f>IF(N('Deal maths'!M540)&gt;0,ROW()/10000000,"")</f>
        <v/>
      </c>
    </row>
    <row r="2538">
      <c r="A2538" s="91" t="n"/>
      <c r="B2538" s="111">
        <f>MAX(0,N('Deal maths'!M541))</f>
        <v/>
      </c>
      <c r="C2538" s="91">
        <f>IF(B2538&gt;0,IF('Deal maths'!L541="Local authority","Local authorities",LOWER(TRIM('Deal maths'!K541))),"")</f>
        <v/>
      </c>
      <c r="D2538" s="91">
        <f>IF(C2538="","",IF(COUNTIF($C$4:C2537,C2538)=0,SUMIF($C$4:$C$3997,C2538,$B$4:$B$3997)-ROW()/1000000,""))</f>
        <v/>
      </c>
      <c r="E2538" s="91">
        <f>IF(N('Deal maths'!M541)&gt;0,ROW()/10000000,"")</f>
        <v/>
      </c>
    </row>
    <row r="2539">
      <c r="A2539" s="91" t="n"/>
      <c r="B2539" s="111">
        <f>MAX(0,N('Deal maths'!M542))</f>
        <v/>
      </c>
      <c r="C2539" s="91">
        <f>IF(B2539&gt;0,IF('Deal maths'!L542="Local authority","Local authorities",LOWER(TRIM('Deal maths'!K542))),"")</f>
        <v/>
      </c>
      <c r="D2539" s="91">
        <f>IF(C2539="","",IF(COUNTIF($C$4:C2538,C2539)=0,SUMIF($C$4:$C$3997,C2539,$B$4:$B$3997)-ROW()/1000000,""))</f>
        <v/>
      </c>
      <c r="E2539" s="91">
        <f>IF(N('Deal maths'!M542)&gt;0,ROW()/10000000,"")</f>
        <v/>
      </c>
    </row>
    <row r="2540">
      <c r="A2540" s="91" t="n"/>
      <c r="B2540" s="111">
        <f>MAX(0,N('Deal maths'!M543))</f>
        <v/>
      </c>
      <c r="C2540" s="91">
        <f>IF(B2540&gt;0,IF('Deal maths'!L543="Local authority","Local authorities",LOWER(TRIM('Deal maths'!K543))),"")</f>
        <v/>
      </c>
      <c r="D2540" s="91">
        <f>IF(C2540="","",IF(COUNTIF($C$4:C2539,C2540)=0,SUMIF($C$4:$C$3997,C2540,$B$4:$B$3997)-ROW()/1000000,""))</f>
        <v/>
      </c>
      <c r="E2540" s="91">
        <f>IF(N('Deal maths'!M543)&gt;0,ROW()/10000000,"")</f>
        <v/>
      </c>
    </row>
    <row r="2541">
      <c r="A2541" s="91" t="n"/>
      <c r="B2541" s="111">
        <f>MAX(0,N('Deal maths'!M544))</f>
        <v/>
      </c>
      <c r="C2541" s="91">
        <f>IF(B2541&gt;0,IF('Deal maths'!L544="Local authority","Local authorities",LOWER(TRIM('Deal maths'!K544))),"")</f>
        <v/>
      </c>
      <c r="D2541" s="91">
        <f>IF(C2541="","",IF(COUNTIF($C$4:C2540,C2541)=0,SUMIF($C$4:$C$3997,C2541,$B$4:$B$3997)-ROW()/1000000,""))</f>
        <v/>
      </c>
      <c r="E2541" s="91">
        <f>IF(N('Deal maths'!M544)&gt;0,ROW()/10000000,"")</f>
        <v/>
      </c>
    </row>
    <row r="2542">
      <c r="A2542" s="91" t="n"/>
      <c r="B2542" s="111">
        <f>MAX(0,N('Deal maths'!M545))</f>
        <v/>
      </c>
      <c r="C2542" s="91">
        <f>IF(B2542&gt;0,IF('Deal maths'!L545="Local authority","Local authorities",LOWER(TRIM('Deal maths'!K545))),"")</f>
        <v/>
      </c>
      <c r="D2542" s="91">
        <f>IF(C2542="","",IF(COUNTIF($C$4:C2541,C2542)=0,SUMIF($C$4:$C$3997,C2542,$B$4:$B$3997)-ROW()/1000000,""))</f>
        <v/>
      </c>
      <c r="E2542" s="91">
        <f>IF(N('Deal maths'!M545)&gt;0,ROW()/10000000,"")</f>
        <v/>
      </c>
    </row>
    <row r="2543">
      <c r="A2543" s="91" t="n"/>
      <c r="B2543" s="111">
        <f>MAX(0,N('Deal maths'!M546))</f>
        <v/>
      </c>
      <c r="C2543" s="91">
        <f>IF(B2543&gt;0,IF('Deal maths'!L546="Local authority","Local authorities",LOWER(TRIM('Deal maths'!K546))),"")</f>
        <v/>
      </c>
      <c r="D2543" s="91">
        <f>IF(C2543="","",IF(COUNTIF($C$4:C2542,C2543)=0,SUMIF($C$4:$C$3997,C2543,$B$4:$B$3997)-ROW()/1000000,""))</f>
        <v/>
      </c>
      <c r="E2543" s="91">
        <f>IF(N('Deal maths'!M546)&gt;0,ROW()/10000000,"")</f>
        <v/>
      </c>
    </row>
    <row r="2544">
      <c r="A2544" s="91" t="n"/>
      <c r="B2544" s="111">
        <f>MAX(0,N('Deal maths'!M547))</f>
        <v/>
      </c>
      <c r="C2544" s="91">
        <f>IF(B2544&gt;0,IF('Deal maths'!L547="Local authority","Local authorities",LOWER(TRIM('Deal maths'!K547))),"")</f>
        <v/>
      </c>
      <c r="D2544" s="91">
        <f>IF(C2544="","",IF(COUNTIF($C$4:C2543,C2544)=0,SUMIF($C$4:$C$3997,C2544,$B$4:$B$3997)-ROW()/1000000,""))</f>
        <v/>
      </c>
      <c r="E2544" s="91">
        <f>IF(N('Deal maths'!M547)&gt;0,ROW()/10000000,"")</f>
        <v/>
      </c>
    </row>
    <row r="2545">
      <c r="A2545" s="91" t="n"/>
      <c r="B2545" s="111">
        <f>MAX(0,N('Deal maths'!M548))</f>
        <v/>
      </c>
      <c r="C2545" s="91">
        <f>IF(B2545&gt;0,IF('Deal maths'!L548="Local authority","Local authorities",LOWER(TRIM('Deal maths'!K548))),"")</f>
        <v/>
      </c>
      <c r="D2545" s="91">
        <f>IF(C2545="","",IF(COUNTIF($C$4:C2544,C2545)=0,SUMIF($C$4:$C$3997,C2545,$B$4:$B$3997)-ROW()/1000000,""))</f>
        <v/>
      </c>
      <c r="E2545" s="91">
        <f>IF(N('Deal maths'!M548)&gt;0,ROW()/10000000,"")</f>
        <v/>
      </c>
    </row>
    <row r="2546">
      <c r="A2546" s="91" t="n"/>
      <c r="B2546" s="111">
        <f>MAX(0,N('Deal maths'!M549))</f>
        <v/>
      </c>
      <c r="C2546" s="91">
        <f>IF(B2546&gt;0,IF('Deal maths'!L549="Local authority","Local authorities",LOWER(TRIM('Deal maths'!K549))),"")</f>
        <v/>
      </c>
      <c r="D2546" s="91">
        <f>IF(C2546="","",IF(COUNTIF($C$4:C2545,C2546)=0,SUMIF($C$4:$C$3997,C2546,$B$4:$B$3997)-ROW()/1000000,""))</f>
        <v/>
      </c>
      <c r="E2546" s="91">
        <f>IF(N('Deal maths'!M549)&gt;0,ROW()/10000000,"")</f>
        <v/>
      </c>
    </row>
    <row r="2547">
      <c r="A2547" s="91" t="n"/>
      <c r="B2547" s="111">
        <f>MAX(0,N('Deal maths'!M550))</f>
        <v/>
      </c>
      <c r="C2547" s="91">
        <f>IF(B2547&gt;0,IF('Deal maths'!L550="Local authority","Local authorities",LOWER(TRIM('Deal maths'!K550))),"")</f>
        <v/>
      </c>
      <c r="D2547" s="91">
        <f>IF(C2547="","",IF(COUNTIF($C$4:C2546,C2547)=0,SUMIF($C$4:$C$3997,C2547,$B$4:$B$3997)-ROW()/1000000,""))</f>
        <v/>
      </c>
      <c r="E2547" s="91">
        <f>IF(N('Deal maths'!M550)&gt;0,ROW()/10000000,"")</f>
        <v/>
      </c>
    </row>
    <row r="2548">
      <c r="A2548" s="91" t="n"/>
      <c r="B2548" s="111">
        <f>MAX(0,N('Deal maths'!M551))</f>
        <v/>
      </c>
      <c r="C2548" s="91">
        <f>IF(B2548&gt;0,IF('Deal maths'!L551="Local authority","Local authorities",LOWER(TRIM('Deal maths'!K551))),"")</f>
        <v/>
      </c>
      <c r="D2548" s="91">
        <f>IF(C2548="","",IF(COUNTIF($C$4:C2547,C2548)=0,SUMIF($C$4:$C$3997,C2548,$B$4:$B$3997)-ROW()/1000000,""))</f>
        <v/>
      </c>
      <c r="E2548" s="91">
        <f>IF(N('Deal maths'!M551)&gt;0,ROW()/10000000,"")</f>
        <v/>
      </c>
    </row>
    <row r="2549">
      <c r="A2549" s="91" t="n"/>
      <c r="B2549" s="111">
        <f>MAX(0,N('Deal maths'!M552))</f>
        <v/>
      </c>
      <c r="C2549" s="91">
        <f>IF(B2549&gt;0,IF('Deal maths'!L552="Local authority","Local authorities",LOWER(TRIM('Deal maths'!K552))),"")</f>
        <v/>
      </c>
      <c r="D2549" s="91">
        <f>IF(C2549="","",IF(COUNTIF($C$4:C2548,C2549)=0,SUMIF($C$4:$C$3997,C2549,$B$4:$B$3997)-ROW()/1000000,""))</f>
        <v/>
      </c>
      <c r="E2549" s="91">
        <f>IF(N('Deal maths'!M552)&gt;0,ROW()/10000000,"")</f>
        <v/>
      </c>
    </row>
    <row r="2550">
      <c r="A2550" s="91" t="n"/>
      <c r="B2550" s="111">
        <f>MAX(0,N('Deal maths'!M553))</f>
        <v/>
      </c>
      <c r="C2550" s="91">
        <f>IF(B2550&gt;0,IF('Deal maths'!L553="Local authority","Local authorities",LOWER(TRIM('Deal maths'!K553))),"")</f>
        <v/>
      </c>
      <c r="D2550" s="91">
        <f>IF(C2550="","",IF(COUNTIF($C$4:C2549,C2550)=0,SUMIF($C$4:$C$3997,C2550,$B$4:$B$3997)-ROW()/1000000,""))</f>
        <v/>
      </c>
      <c r="E2550" s="91">
        <f>IF(N('Deal maths'!M553)&gt;0,ROW()/10000000,"")</f>
        <v/>
      </c>
    </row>
    <row r="2551">
      <c r="A2551" s="91" t="n"/>
      <c r="B2551" s="111">
        <f>MAX(0,N('Deal maths'!M554))</f>
        <v/>
      </c>
      <c r="C2551" s="91">
        <f>IF(B2551&gt;0,IF('Deal maths'!L554="Local authority","Local authorities",LOWER(TRIM('Deal maths'!K554))),"")</f>
        <v/>
      </c>
      <c r="D2551" s="91">
        <f>IF(C2551="","",IF(COUNTIF($C$4:C2550,C2551)=0,SUMIF($C$4:$C$3997,C2551,$B$4:$B$3997)-ROW()/1000000,""))</f>
        <v/>
      </c>
      <c r="E2551" s="91">
        <f>IF(N('Deal maths'!M554)&gt;0,ROW()/10000000,"")</f>
        <v/>
      </c>
    </row>
    <row r="2552">
      <c r="A2552" s="91" t="n"/>
      <c r="B2552" s="111">
        <f>MAX(0,N('Deal maths'!M555))</f>
        <v/>
      </c>
      <c r="C2552" s="91">
        <f>IF(B2552&gt;0,IF('Deal maths'!L555="Local authority","Local authorities",LOWER(TRIM('Deal maths'!K555))),"")</f>
        <v/>
      </c>
      <c r="D2552" s="91">
        <f>IF(C2552="","",IF(COUNTIF($C$4:C2551,C2552)=0,SUMIF($C$4:$C$3997,C2552,$B$4:$B$3997)-ROW()/1000000,""))</f>
        <v/>
      </c>
      <c r="E2552" s="91">
        <f>IF(N('Deal maths'!M555)&gt;0,ROW()/10000000,"")</f>
        <v/>
      </c>
    </row>
    <row r="2553">
      <c r="A2553" s="91" t="n"/>
      <c r="B2553" s="111">
        <f>MAX(0,N('Deal maths'!M556))</f>
        <v/>
      </c>
      <c r="C2553" s="91">
        <f>IF(B2553&gt;0,IF('Deal maths'!L556="Local authority","Local authorities",LOWER(TRIM('Deal maths'!K556))),"")</f>
        <v/>
      </c>
      <c r="D2553" s="91">
        <f>IF(C2553="","",IF(COUNTIF($C$4:C2552,C2553)=0,SUMIF($C$4:$C$3997,C2553,$B$4:$B$3997)-ROW()/1000000,""))</f>
        <v/>
      </c>
      <c r="E2553" s="91">
        <f>IF(N('Deal maths'!M556)&gt;0,ROW()/10000000,"")</f>
        <v/>
      </c>
    </row>
    <row r="2554">
      <c r="A2554" s="91" t="n"/>
      <c r="B2554" s="111">
        <f>MAX(0,N('Deal maths'!M557))</f>
        <v/>
      </c>
      <c r="C2554" s="91">
        <f>IF(B2554&gt;0,IF('Deal maths'!L557="Local authority","Local authorities",LOWER(TRIM('Deal maths'!K557))),"")</f>
        <v/>
      </c>
      <c r="D2554" s="91">
        <f>IF(C2554="","",IF(COUNTIF($C$4:C2553,C2554)=0,SUMIF($C$4:$C$3997,C2554,$B$4:$B$3997)-ROW()/1000000,""))</f>
        <v/>
      </c>
      <c r="E2554" s="91">
        <f>IF(N('Deal maths'!M557)&gt;0,ROW()/10000000,"")</f>
        <v/>
      </c>
    </row>
    <row r="2555">
      <c r="A2555" s="91" t="n"/>
      <c r="B2555" s="111">
        <f>MAX(0,N('Deal maths'!M558))</f>
        <v/>
      </c>
      <c r="C2555" s="91">
        <f>IF(B2555&gt;0,IF('Deal maths'!L558="Local authority","Local authorities",LOWER(TRIM('Deal maths'!K558))),"")</f>
        <v/>
      </c>
      <c r="D2555" s="91">
        <f>IF(C2555="","",IF(COUNTIF($C$4:C2554,C2555)=0,SUMIF($C$4:$C$3997,C2555,$B$4:$B$3997)-ROW()/1000000,""))</f>
        <v/>
      </c>
      <c r="E2555" s="91">
        <f>IF(N('Deal maths'!M558)&gt;0,ROW()/10000000,"")</f>
        <v/>
      </c>
    </row>
    <row r="2556">
      <c r="A2556" s="91" t="n"/>
      <c r="B2556" s="111">
        <f>MAX(0,N('Deal maths'!M559))</f>
        <v/>
      </c>
      <c r="C2556" s="91">
        <f>IF(B2556&gt;0,IF('Deal maths'!L559="Local authority","Local authorities",LOWER(TRIM('Deal maths'!K559))),"")</f>
        <v/>
      </c>
      <c r="D2556" s="91">
        <f>IF(C2556="","",IF(COUNTIF($C$4:C2555,C2556)=0,SUMIF($C$4:$C$3997,C2556,$B$4:$B$3997)-ROW()/1000000,""))</f>
        <v/>
      </c>
      <c r="E2556" s="91">
        <f>IF(N('Deal maths'!M559)&gt;0,ROW()/10000000,"")</f>
        <v/>
      </c>
    </row>
    <row r="2557">
      <c r="A2557" s="91" t="n"/>
      <c r="B2557" s="111">
        <f>MAX(0,N('Deal maths'!M560))</f>
        <v/>
      </c>
      <c r="C2557" s="91">
        <f>IF(B2557&gt;0,IF('Deal maths'!L560="Local authority","Local authorities",LOWER(TRIM('Deal maths'!K560))),"")</f>
        <v/>
      </c>
      <c r="D2557" s="91">
        <f>IF(C2557="","",IF(COUNTIF($C$4:C2556,C2557)=0,SUMIF($C$4:$C$3997,C2557,$B$4:$B$3997)-ROW()/1000000,""))</f>
        <v/>
      </c>
      <c r="E2557" s="91">
        <f>IF(N('Deal maths'!M560)&gt;0,ROW()/10000000,"")</f>
        <v/>
      </c>
    </row>
    <row r="2558">
      <c r="A2558" s="91" t="n"/>
      <c r="B2558" s="111">
        <f>MAX(0,N('Deal maths'!M561))</f>
        <v/>
      </c>
      <c r="C2558" s="91">
        <f>IF(B2558&gt;0,IF('Deal maths'!L561="Local authority","Local authorities",LOWER(TRIM('Deal maths'!K561))),"")</f>
        <v/>
      </c>
      <c r="D2558" s="91">
        <f>IF(C2558="","",IF(COUNTIF($C$4:C2557,C2558)=0,SUMIF($C$4:$C$3997,C2558,$B$4:$B$3997)-ROW()/1000000,""))</f>
        <v/>
      </c>
      <c r="E2558" s="91">
        <f>IF(N('Deal maths'!M561)&gt;0,ROW()/10000000,"")</f>
        <v/>
      </c>
    </row>
    <row r="2559">
      <c r="A2559" s="91" t="n"/>
      <c r="B2559" s="111">
        <f>MAX(0,N('Deal maths'!M562))</f>
        <v/>
      </c>
      <c r="C2559" s="91">
        <f>IF(B2559&gt;0,IF('Deal maths'!L562="Local authority","Local authorities",LOWER(TRIM('Deal maths'!K562))),"")</f>
        <v/>
      </c>
      <c r="D2559" s="91">
        <f>IF(C2559="","",IF(COUNTIF($C$4:C2558,C2559)=0,SUMIF($C$4:$C$3997,C2559,$B$4:$B$3997)-ROW()/1000000,""))</f>
        <v/>
      </c>
      <c r="E2559" s="91">
        <f>IF(N('Deal maths'!M562)&gt;0,ROW()/10000000,"")</f>
        <v/>
      </c>
    </row>
    <row r="2560">
      <c r="A2560" s="91" t="n"/>
      <c r="B2560" s="111">
        <f>MAX(0,N('Deal maths'!M563))</f>
        <v/>
      </c>
      <c r="C2560" s="91">
        <f>IF(B2560&gt;0,IF('Deal maths'!L563="Local authority","Local authorities",LOWER(TRIM('Deal maths'!K563))),"")</f>
        <v/>
      </c>
      <c r="D2560" s="91">
        <f>IF(C2560="","",IF(COUNTIF($C$4:C2559,C2560)=0,SUMIF($C$4:$C$3997,C2560,$B$4:$B$3997)-ROW()/1000000,""))</f>
        <v/>
      </c>
      <c r="E2560" s="91">
        <f>IF(N('Deal maths'!M563)&gt;0,ROW()/10000000,"")</f>
        <v/>
      </c>
    </row>
    <row r="2561">
      <c r="A2561" s="91" t="n"/>
      <c r="B2561" s="111">
        <f>MAX(0,N('Deal maths'!M564))</f>
        <v/>
      </c>
      <c r="C2561" s="91">
        <f>IF(B2561&gt;0,IF('Deal maths'!L564="Local authority","Local authorities",LOWER(TRIM('Deal maths'!K564))),"")</f>
        <v/>
      </c>
      <c r="D2561" s="91">
        <f>IF(C2561="","",IF(COUNTIF($C$4:C2560,C2561)=0,SUMIF($C$4:$C$3997,C2561,$B$4:$B$3997)-ROW()/1000000,""))</f>
        <v/>
      </c>
      <c r="E2561" s="91">
        <f>IF(N('Deal maths'!M564)&gt;0,ROW()/10000000,"")</f>
        <v/>
      </c>
    </row>
    <row r="2562">
      <c r="A2562" s="91" t="n"/>
      <c r="B2562" s="111">
        <f>MAX(0,N('Deal maths'!M565))</f>
        <v/>
      </c>
      <c r="C2562" s="91">
        <f>IF(B2562&gt;0,IF('Deal maths'!L565="Local authority","Local authorities",LOWER(TRIM('Deal maths'!K565))),"")</f>
        <v/>
      </c>
      <c r="D2562" s="91">
        <f>IF(C2562="","",IF(COUNTIF($C$4:C2561,C2562)=0,SUMIF($C$4:$C$3997,C2562,$B$4:$B$3997)-ROW()/1000000,""))</f>
        <v/>
      </c>
      <c r="E2562" s="91">
        <f>IF(N('Deal maths'!M565)&gt;0,ROW()/10000000,"")</f>
        <v/>
      </c>
    </row>
    <row r="2563">
      <c r="A2563" s="91" t="n"/>
      <c r="B2563" s="111">
        <f>MAX(0,N('Deal maths'!M566))</f>
        <v/>
      </c>
      <c r="C2563" s="91">
        <f>IF(B2563&gt;0,IF('Deal maths'!L566="Local authority","Local authorities",LOWER(TRIM('Deal maths'!K566))),"")</f>
        <v/>
      </c>
      <c r="D2563" s="91">
        <f>IF(C2563="","",IF(COUNTIF($C$4:C2562,C2563)=0,SUMIF($C$4:$C$3997,C2563,$B$4:$B$3997)-ROW()/1000000,""))</f>
        <v/>
      </c>
      <c r="E2563" s="91">
        <f>IF(N('Deal maths'!M566)&gt;0,ROW()/10000000,"")</f>
        <v/>
      </c>
    </row>
    <row r="2564">
      <c r="A2564" s="91" t="n"/>
      <c r="B2564" s="111">
        <f>MAX(0,N('Deal maths'!M567))</f>
        <v/>
      </c>
      <c r="C2564" s="91">
        <f>IF(B2564&gt;0,IF('Deal maths'!L567="Local authority","Local authorities",LOWER(TRIM('Deal maths'!K567))),"")</f>
        <v/>
      </c>
      <c r="D2564" s="91">
        <f>IF(C2564="","",IF(COUNTIF($C$4:C2563,C2564)=0,SUMIF($C$4:$C$3997,C2564,$B$4:$B$3997)-ROW()/1000000,""))</f>
        <v/>
      </c>
      <c r="E2564" s="91">
        <f>IF(N('Deal maths'!M567)&gt;0,ROW()/10000000,"")</f>
        <v/>
      </c>
    </row>
    <row r="2565">
      <c r="A2565" s="91" t="n"/>
      <c r="B2565" s="111">
        <f>MAX(0,N('Deal maths'!M568))</f>
        <v/>
      </c>
      <c r="C2565" s="91">
        <f>IF(B2565&gt;0,IF('Deal maths'!L568="Local authority","Local authorities",LOWER(TRIM('Deal maths'!K568))),"")</f>
        <v/>
      </c>
      <c r="D2565" s="91">
        <f>IF(C2565="","",IF(COUNTIF($C$4:C2564,C2565)=0,SUMIF($C$4:$C$3997,C2565,$B$4:$B$3997)-ROW()/1000000,""))</f>
        <v/>
      </c>
      <c r="E2565" s="91">
        <f>IF(N('Deal maths'!M568)&gt;0,ROW()/10000000,"")</f>
        <v/>
      </c>
    </row>
    <row r="2566">
      <c r="A2566" s="91" t="n"/>
      <c r="B2566" s="111">
        <f>MAX(0,N('Deal maths'!M569))</f>
        <v/>
      </c>
      <c r="C2566" s="91">
        <f>IF(B2566&gt;0,IF('Deal maths'!L569="Local authority","Local authorities",LOWER(TRIM('Deal maths'!K569))),"")</f>
        <v/>
      </c>
      <c r="D2566" s="91">
        <f>IF(C2566="","",IF(COUNTIF($C$4:C2565,C2566)=0,SUMIF($C$4:$C$3997,C2566,$B$4:$B$3997)-ROW()/1000000,""))</f>
        <v/>
      </c>
      <c r="E2566" s="91">
        <f>IF(N('Deal maths'!M569)&gt;0,ROW()/10000000,"")</f>
        <v/>
      </c>
    </row>
    <row r="2567">
      <c r="A2567" s="91" t="n"/>
      <c r="B2567" s="111">
        <f>MAX(0,N('Deal maths'!M570))</f>
        <v/>
      </c>
      <c r="C2567" s="91">
        <f>IF(B2567&gt;0,IF('Deal maths'!L570="Local authority","Local authorities",LOWER(TRIM('Deal maths'!K570))),"")</f>
        <v/>
      </c>
      <c r="D2567" s="91">
        <f>IF(C2567="","",IF(COUNTIF($C$4:C2566,C2567)=0,SUMIF($C$4:$C$3997,C2567,$B$4:$B$3997)-ROW()/1000000,""))</f>
        <v/>
      </c>
      <c r="E2567" s="91">
        <f>IF(N('Deal maths'!M570)&gt;0,ROW()/10000000,"")</f>
        <v/>
      </c>
    </row>
    <row r="2568">
      <c r="A2568" s="91" t="n"/>
      <c r="B2568" s="111">
        <f>MAX(0,N('Deal maths'!M571))</f>
        <v/>
      </c>
      <c r="C2568" s="91">
        <f>IF(B2568&gt;0,IF('Deal maths'!L571="Local authority","Local authorities",LOWER(TRIM('Deal maths'!K571))),"")</f>
        <v/>
      </c>
      <c r="D2568" s="91">
        <f>IF(C2568="","",IF(COUNTIF($C$4:C2567,C2568)=0,SUMIF($C$4:$C$3997,C2568,$B$4:$B$3997)-ROW()/1000000,""))</f>
        <v/>
      </c>
      <c r="E2568" s="91">
        <f>IF(N('Deal maths'!M571)&gt;0,ROW()/10000000,"")</f>
        <v/>
      </c>
    </row>
    <row r="2569">
      <c r="A2569" s="91" t="n"/>
      <c r="B2569" s="111">
        <f>MAX(0,N('Deal maths'!M572))</f>
        <v/>
      </c>
      <c r="C2569" s="91">
        <f>IF(B2569&gt;0,IF('Deal maths'!L572="Local authority","Local authorities",LOWER(TRIM('Deal maths'!K572))),"")</f>
        <v/>
      </c>
      <c r="D2569" s="91">
        <f>IF(C2569="","",IF(COUNTIF($C$4:C2568,C2569)=0,SUMIF($C$4:$C$3997,C2569,$B$4:$B$3997)-ROW()/1000000,""))</f>
        <v/>
      </c>
      <c r="E2569" s="91">
        <f>IF(N('Deal maths'!M572)&gt;0,ROW()/10000000,"")</f>
        <v/>
      </c>
    </row>
    <row r="2570">
      <c r="A2570" s="91" t="n"/>
      <c r="B2570" s="111">
        <f>MAX(0,N('Deal maths'!M573))</f>
        <v/>
      </c>
      <c r="C2570" s="91">
        <f>IF(B2570&gt;0,IF('Deal maths'!L573="Local authority","Local authorities",LOWER(TRIM('Deal maths'!K573))),"")</f>
        <v/>
      </c>
      <c r="D2570" s="91">
        <f>IF(C2570="","",IF(COUNTIF($C$4:C2569,C2570)=0,SUMIF($C$4:$C$3997,C2570,$B$4:$B$3997)-ROW()/1000000,""))</f>
        <v/>
      </c>
      <c r="E2570" s="91">
        <f>IF(N('Deal maths'!M573)&gt;0,ROW()/10000000,"")</f>
        <v/>
      </c>
    </row>
    <row r="2571">
      <c r="A2571" s="91" t="n"/>
      <c r="B2571" s="111">
        <f>MAX(0,N('Deal maths'!M574))</f>
        <v/>
      </c>
      <c r="C2571" s="91">
        <f>IF(B2571&gt;0,IF('Deal maths'!L574="Local authority","Local authorities",LOWER(TRIM('Deal maths'!K574))),"")</f>
        <v/>
      </c>
      <c r="D2571" s="91">
        <f>IF(C2571="","",IF(COUNTIF($C$4:C2570,C2571)=0,SUMIF($C$4:$C$3997,C2571,$B$4:$B$3997)-ROW()/1000000,""))</f>
        <v/>
      </c>
      <c r="E2571" s="91">
        <f>IF(N('Deal maths'!M574)&gt;0,ROW()/10000000,"")</f>
        <v/>
      </c>
    </row>
    <row r="2572">
      <c r="A2572" s="91" t="n"/>
      <c r="B2572" s="111">
        <f>MAX(0,N('Deal maths'!M575))</f>
        <v/>
      </c>
      <c r="C2572" s="91">
        <f>IF(B2572&gt;0,IF('Deal maths'!L575="Local authority","Local authorities",LOWER(TRIM('Deal maths'!K575))),"")</f>
        <v/>
      </c>
      <c r="D2572" s="91">
        <f>IF(C2572="","",IF(COUNTIF($C$4:C2571,C2572)=0,SUMIF($C$4:$C$3997,C2572,$B$4:$B$3997)-ROW()/1000000,""))</f>
        <v/>
      </c>
      <c r="E2572" s="91">
        <f>IF(N('Deal maths'!M575)&gt;0,ROW()/10000000,"")</f>
        <v/>
      </c>
    </row>
    <row r="2573">
      <c r="A2573" s="91" t="n"/>
      <c r="B2573" s="111">
        <f>MAX(0,N('Deal maths'!M576))</f>
        <v/>
      </c>
      <c r="C2573" s="91">
        <f>IF(B2573&gt;0,IF('Deal maths'!L576="Local authority","Local authorities",LOWER(TRIM('Deal maths'!K576))),"")</f>
        <v/>
      </c>
      <c r="D2573" s="91">
        <f>IF(C2573="","",IF(COUNTIF($C$4:C2572,C2573)=0,SUMIF($C$4:$C$3997,C2573,$B$4:$B$3997)-ROW()/1000000,""))</f>
        <v/>
      </c>
      <c r="E2573" s="91">
        <f>IF(N('Deal maths'!M576)&gt;0,ROW()/10000000,"")</f>
        <v/>
      </c>
    </row>
    <row r="2574">
      <c r="A2574" s="91" t="n"/>
      <c r="B2574" s="111">
        <f>MAX(0,N('Deal maths'!M577))</f>
        <v/>
      </c>
      <c r="C2574" s="91">
        <f>IF(B2574&gt;0,IF('Deal maths'!L577="Local authority","Local authorities",LOWER(TRIM('Deal maths'!K577))),"")</f>
        <v/>
      </c>
      <c r="D2574" s="91">
        <f>IF(C2574="","",IF(COUNTIF($C$4:C2573,C2574)=0,SUMIF($C$4:$C$3997,C2574,$B$4:$B$3997)-ROW()/1000000,""))</f>
        <v/>
      </c>
      <c r="E2574" s="91">
        <f>IF(N('Deal maths'!M577)&gt;0,ROW()/10000000,"")</f>
        <v/>
      </c>
    </row>
    <row r="2575">
      <c r="A2575" s="91" t="n"/>
      <c r="B2575" s="111">
        <f>MAX(0,N('Deal maths'!M578))</f>
        <v/>
      </c>
      <c r="C2575" s="91">
        <f>IF(B2575&gt;0,IF('Deal maths'!L578="Local authority","Local authorities",LOWER(TRIM('Deal maths'!K578))),"")</f>
        <v/>
      </c>
      <c r="D2575" s="91">
        <f>IF(C2575="","",IF(COUNTIF($C$4:C2574,C2575)=0,SUMIF($C$4:$C$3997,C2575,$B$4:$B$3997)-ROW()/1000000,""))</f>
        <v/>
      </c>
      <c r="E2575" s="91">
        <f>IF(N('Deal maths'!M578)&gt;0,ROW()/10000000,"")</f>
        <v/>
      </c>
    </row>
    <row r="2576">
      <c r="A2576" s="91" t="n"/>
      <c r="B2576" s="111">
        <f>MAX(0,N('Deal maths'!M579))</f>
        <v/>
      </c>
      <c r="C2576" s="91">
        <f>IF(B2576&gt;0,IF('Deal maths'!L579="Local authority","Local authorities",LOWER(TRIM('Deal maths'!K579))),"")</f>
        <v/>
      </c>
      <c r="D2576" s="91">
        <f>IF(C2576="","",IF(COUNTIF($C$4:C2575,C2576)=0,SUMIF($C$4:$C$3997,C2576,$B$4:$B$3997)-ROW()/1000000,""))</f>
        <v/>
      </c>
      <c r="E2576" s="91">
        <f>IF(N('Deal maths'!M579)&gt;0,ROW()/10000000,"")</f>
        <v/>
      </c>
    </row>
    <row r="2577">
      <c r="A2577" s="91" t="n"/>
      <c r="B2577" s="111">
        <f>MAX(0,N('Deal maths'!M580))</f>
        <v/>
      </c>
      <c r="C2577" s="91">
        <f>IF(B2577&gt;0,IF('Deal maths'!L580="Local authority","Local authorities",LOWER(TRIM('Deal maths'!K580))),"")</f>
        <v/>
      </c>
      <c r="D2577" s="91">
        <f>IF(C2577="","",IF(COUNTIF($C$4:C2576,C2577)=0,SUMIF($C$4:$C$3997,C2577,$B$4:$B$3997)-ROW()/1000000,""))</f>
        <v/>
      </c>
      <c r="E2577" s="91">
        <f>IF(N('Deal maths'!M580)&gt;0,ROW()/10000000,"")</f>
        <v/>
      </c>
    </row>
    <row r="2578">
      <c r="A2578" s="91" t="n"/>
      <c r="B2578" s="111">
        <f>MAX(0,N('Deal maths'!M581))</f>
        <v/>
      </c>
      <c r="C2578" s="91">
        <f>IF(B2578&gt;0,IF('Deal maths'!L581="Local authority","Local authorities",LOWER(TRIM('Deal maths'!K581))),"")</f>
        <v/>
      </c>
      <c r="D2578" s="91">
        <f>IF(C2578="","",IF(COUNTIF($C$4:C2577,C2578)=0,SUMIF($C$4:$C$3997,C2578,$B$4:$B$3997)-ROW()/1000000,""))</f>
        <v/>
      </c>
      <c r="E2578" s="91">
        <f>IF(N('Deal maths'!M581)&gt;0,ROW()/10000000,"")</f>
        <v/>
      </c>
    </row>
    <row r="2579">
      <c r="A2579" s="91" t="n"/>
      <c r="B2579" s="111">
        <f>MAX(0,N('Deal maths'!M582))</f>
        <v/>
      </c>
      <c r="C2579" s="91">
        <f>IF(B2579&gt;0,IF('Deal maths'!L582="Local authority","Local authorities",LOWER(TRIM('Deal maths'!K582))),"")</f>
        <v/>
      </c>
      <c r="D2579" s="91">
        <f>IF(C2579="","",IF(COUNTIF($C$4:C2578,C2579)=0,SUMIF($C$4:$C$3997,C2579,$B$4:$B$3997)-ROW()/1000000,""))</f>
        <v/>
      </c>
      <c r="E2579" s="91">
        <f>IF(N('Deal maths'!M582)&gt;0,ROW()/10000000,"")</f>
        <v/>
      </c>
    </row>
    <row r="2580">
      <c r="A2580" s="91" t="n"/>
      <c r="B2580" s="111">
        <f>MAX(0,N('Deal maths'!M583))</f>
        <v/>
      </c>
      <c r="C2580" s="91">
        <f>IF(B2580&gt;0,IF('Deal maths'!L583="Local authority","Local authorities",LOWER(TRIM('Deal maths'!K583))),"")</f>
        <v/>
      </c>
      <c r="D2580" s="91">
        <f>IF(C2580="","",IF(COUNTIF($C$4:C2579,C2580)=0,SUMIF($C$4:$C$3997,C2580,$B$4:$B$3997)-ROW()/1000000,""))</f>
        <v/>
      </c>
      <c r="E2580" s="91">
        <f>IF(N('Deal maths'!M583)&gt;0,ROW()/10000000,"")</f>
        <v/>
      </c>
    </row>
    <row r="2581">
      <c r="A2581" s="91" t="n"/>
      <c r="B2581" s="111">
        <f>MAX(0,N('Deal maths'!M584))</f>
        <v/>
      </c>
      <c r="C2581" s="91">
        <f>IF(B2581&gt;0,IF('Deal maths'!L584="Local authority","Local authorities",LOWER(TRIM('Deal maths'!K584))),"")</f>
        <v/>
      </c>
      <c r="D2581" s="91">
        <f>IF(C2581="","",IF(COUNTIF($C$4:C2580,C2581)=0,SUMIF($C$4:$C$3997,C2581,$B$4:$B$3997)-ROW()/1000000,""))</f>
        <v/>
      </c>
      <c r="E2581" s="91">
        <f>IF(N('Deal maths'!M584)&gt;0,ROW()/10000000,"")</f>
        <v/>
      </c>
    </row>
    <row r="2582">
      <c r="A2582" s="91" t="n"/>
      <c r="B2582" s="111">
        <f>MAX(0,N('Deal maths'!M585))</f>
        <v/>
      </c>
      <c r="C2582" s="91">
        <f>IF(B2582&gt;0,IF('Deal maths'!L585="Local authority","Local authorities",LOWER(TRIM('Deal maths'!K585))),"")</f>
        <v/>
      </c>
      <c r="D2582" s="91">
        <f>IF(C2582="","",IF(COUNTIF($C$4:C2581,C2582)=0,SUMIF($C$4:$C$3997,C2582,$B$4:$B$3997)-ROW()/1000000,""))</f>
        <v/>
      </c>
      <c r="E2582" s="91">
        <f>IF(N('Deal maths'!M585)&gt;0,ROW()/10000000,"")</f>
        <v/>
      </c>
    </row>
    <row r="2583">
      <c r="A2583" s="91" t="n"/>
      <c r="B2583" s="111">
        <f>MAX(0,N('Deal maths'!M586))</f>
        <v/>
      </c>
      <c r="C2583" s="91">
        <f>IF(B2583&gt;0,IF('Deal maths'!L586="Local authority","Local authorities",LOWER(TRIM('Deal maths'!K586))),"")</f>
        <v/>
      </c>
      <c r="D2583" s="91">
        <f>IF(C2583="","",IF(COUNTIF($C$4:C2582,C2583)=0,SUMIF($C$4:$C$3997,C2583,$B$4:$B$3997)-ROW()/1000000,""))</f>
        <v/>
      </c>
      <c r="E2583" s="91">
        <f>IF(N('Deal maths'!M586)&gt;0,ROW()/10000000,"")</f>
        <v/>
      </c>
    </row>
    <row r="2584">
      <c r="A2584" s="91" t="n"/>
      <c r="B2584" s="111">
        <f>MAX(0,N('Deal maths'!M587))</f>
        <v/>
      </c>
      <c r="C2584" s="91">
        <f>IF(B2584&gt;0,IF('Deal maths'!L587="Local authority","Local authorities",LOWER(TRIM('Deal maths'!K587))),"")</f>
        <v/>
      </c>
      <c r="D2584" s="91">
        <f>IF(C2584="","",IF(COUNTIF($C$4:C2583,C2584)=0,SUMIF($C$4:$C$3997,C2584,$B$4:$B$3997)-ROW()/1000000,""))</f>
        <v/>
      </c>
      <c r="E2584" s="91">
        <f>IF(N('Deal maths'!M587)&gt;0,ROW()/10000000,"")</f>
        <v/>
      </c>
    </row>
    <row r="2585">
      <c r="A2585" s="91" t="n"/>
      <c r="B2585" s="111">
        <f>MAX(0,N('Deal maths'!M588))</f>
        <v/>
      </c>
      <c r="C2585" s="91">
        <f>IF(B2585&gt;0,IF('Deal maths'!L588="Local authority","Local authorities",LOWER(TRIM('Deal maths'!K588))),"")</f>
        <v/>
      </c>
      <c r="D2585" s="91">
        <f>IF(C2585="","",IF(COUNTIF($C$4:C2584,C2585)=0,SUMIF($C$4:$C$3997,C2585,$B$4:$B$3997)-ROW()/1000000,""))</f>
        <v/>
      </c>
      <c r="E2585" s="91">
        <f>IF(N('Deal maths'!M588)&gt;0,ROW()/10000000,"")</f>
        <v/>
      </c>
    </row>
    <row r="2586">
      <c r="A2586" s="91" t="n"/>
      <c r="B2586" s="111">
        <f>MAX(0,N('Deal maths'!M589))</f>
        <v/>
      </c>
      <c r="C2586" s="91">
        <f>IF(B2586&gt;0,IF('Deal maths'!L589="Local authority","Local authorities",LOWER(TRIM('Deal maths'!K589))),"")</f>
        <v/>
      </c>
      <c r="D2586" s="91">
        <f>IF(C2586="","",IF(COUNTIF($C$4:C2585,C2586)=0,SUMIF($C$4:$C$3997,C2586,$B$4:$B$3997)-ROW()/1000000,""))</f>
        <v/>
      </c>
      <c r="E2586" s="91">
        <f>IF(N('Deal maths'!M589)&gt;0,ROW()/10000000,"")</f>
        <v/>
      </c>
    </row>
    <row r="2587">
      <c r="A2587" s="91" t="n"/>
      <c r="B2587" s="111">
        <f>MAX(0,N('Deal maths'!M590))</f>
        <v/>
      </c>
      <c r="C2587" s="91">
        <f>IF(B2587&gt;0,IF('Deal maths'!L590="Local authority","Local authorities",LOWER(TRIM('Deal maths'!K590))),"")</f>
        <v/>
      </c>
      <c r="D2587" s="91">
        <f>IF(C2587="","",IF(COUNTIF($C$4:C2586,C2587)=0,SUMIF($C$4:$C$3997,C2587,$B$4:$B$3997)-ROW()/1000000,""))</f>
        <v/>
      </c>
      <c r="E2587" s="91">
        <f>IF(N('Deal maths'!M590)&gt;0,ROW()/10000000,"")</f>
        <v/>
      </c>
    </row>
    <row r="2588">
      <c r="A2588" s="91" t="n"/>
      <c r="B2588" s="111">
        <f>MAX(0,N('Deal maths'!M591))</f>
        <v/>
      </c>
      <c r="C2588" s="91">
        <f>IF(B2588&gt;0,IF('Deal maths'!L591="Local authority","Local authorities",LOWER(TRIM('Deal maths'!K591))),"")</f>
        <v/>
      </c>
      <c r="D2588" s="91">
        <f>IF(C2588="","",IF(COUNTIF($C$4:C2587,C2588)=0,SUMIF($C$4:$C$3997,C2588,$B$4:$B$3997)-ROW()/1000000,""))</f>
        <v/>
      </c>
      <c r="E2588" s="91">
        <f>IF(N('Deal maths'!M591)&gt;0,ROW()/10000000,"")</f>
        <v/>
      </c>
    </row>
    <row r="2589">
      <c r="A2589" s="91" t="n"/>
      <c r="B2589" s="111">
        <f>MAX(0,N('Deal maths'!M592))</f>
        <v/>
      </c>
      <c r="C2589" s="91">
        <f>IF(B2589&gt;0,IF('Deal maths'!L592="Local authority","Local authorities",LOWER(TRIM('Deal maths'!K592))),"")</f>
        <v/>
      </c>
      <c r="D2589" s="91">
        <f>IF(C2589="","",IF(COUNTIF($C$4:C2588,C2589)=0,SUMIF($C$4:$C$3997,C2589,$B$4:$B$3997)-ROW()/1000000,""))</f>
        <v/>
      </c>
      <c r="E2589" s="91">
        <f>IF(N('Deal maths'!M592)&gt;0,ROW()/10000000,"")</f>
        <v/>
      </c>
    </row>
    <row r="2590">
      <c r="A2590" s="91" t="n"/>
      <c r="B2590" s="111">
        <f>MAX(0,N('Deal maths'!M593))</f>
        <v/>
      </c>
      <c r="C2590" s="91">
        <f>IF(B2590&gt;0,IF('Deal maths'!L593="Local authority","Local authorities",LOWER(TRIM('Deal maths'!K593))),"")</f>
        <v/>
      </c>
      <c r="D2590" s="91">
        <f>IF(C2590="","",IF(COUNTIF($C$4:C2589,C2590)=0,SUMIF($C$4:$C$3997,C2590,$B$4:$B$3997)-ROW()/1000000,""))</f>
        <v/>
      </c>
      <c r="E2590" s="91">
        <f>IF(N('Deal maths'!M593)&gt;0,ROW()/10000000,"")</f>
        <v/>
      </c>
    </row>
    <row r="2591">
      <c r="A2591" s="91" t="n"/>
      <c r="B2591" s="111">
        <f>MAX(0,N('Deal maths'!M594))</f>
        <v/>
      </c>
      <c r="C2591" s="91">
        <f>IF(B2591&gt;0,IF('Deal maths'!L594="Local authority","Local authorities",LOWER(TRIM('Deal maths'!K594))),"")</f>
        <v/>
      </c>
      <c r="D2591" s="91">
        <f>IF(C2591="","",IF(COUNTIF($C$4:C2590,C2591)=0,SUMIF($C$4:$C$3997,C2591,$B$4:$B$3997)-ROW()/1000000,""))</f>
        <v/>
      </c>
      <c r="E2591" s="91">
        <f>IF(N('Deal maths'!M594)&gt;0,ROW()/10000000,"")</f>
        <v/>
      </c>
    </row>
    <row r="2592">
      <c r="A2592" s="91" t="n"/>
      <c r="B2592" s="111">
        <f>MAX(0,N('Deal maths'!M595))</f>
        <v/>
      </c>
      <c r="C2592" s="91">
        <f>IF(B2592&gt;0,IF('Deal maths'!L595="Local authority","Local authorities",LOWER(TRIM('Deal maths'!K595))),"")</f>
        <v/>
      </c>
      <c r="D2592" s="91">
        <f>IF(C2592="","",IF(COUNTIF($C$4:C2591,C2592)=0,SUMIF($C$4:$C$3997,C2592,$B$4:$B$3997)-ROW()/1000000,""))</f>
        <v/>
      </c>
      <c r="E2592" s="91">
        <f>IF(N('Deal maths'!M595)&gt;0,ROW()/10000000,"")</f>
        <v/>
      </c>
    </row>
    <row r="2593">
      <c r="A2593" s="91" t="n"/>
      <c r="B2593" s="111">
        <f>MAX(0,N('Deal maths'!M596))</f>
        <v/>
      </c>
      <c r="C2593" s="91">
        <f>IF(B2593&gt;0,IF('Deal maths'!L596="Local authority","Local authorities",LOWER(TRIM('Deal maths'!K596))),"")</f>
        <v/>
      </c>
      <c r="D2593" s="91">
        <f>IF(C2593="","",IF(COUNTIF($C$4:C2592,C2593)=0,SUMIF($C$4:$C$3997,C2593,$B$4:$B$3997)-ROW()/1000000,""))</f>
        <v/>
      </c>
      <c r="E2593" s="91">
        <f>IF(N('Deal maths'!M596)&gt;0,ROW()/10000000,"")</f>
        <v/>
      </c>
    </row>
    <row r="2594">
      <c r="A2594" s="91" t="n"/>
      <c r="B2594" s="111">
        <f>MAX(0,N('Deal maths'!M597))</f>
        <v/>
      </c>
      <c r="C2594" s="91">
        <f>IF(B2594&gt;0,IF('Deal maths'!L597="Local authority","Local authorities",LOWER(TRIM('Deal maths'!K597))),"")</f>
        <v/>
      </c>
      <c r="D2594" s="91">
        <f>IF(C2594="","",IF(COUNTIF($C$4:C2593,C2594)=0,SUMIF($C$4:$C$3997,C2594,$B$4:$B$3997)-ROW()/1000000,""))</f>
        <v/>
      </c>
      <c r="E2594" s="91">
        <f>IF(N('Deal maths'!M597)&gt;0,ROW()/10000000,"")</f>
        <v/>
      </c>
    </row>
    <row r="2595">
      <c r="A2595" s="91" t="n"/>
      <c r="B2595" s="111">
        <f>MAX(0,N('Deal maths'!M598))</f>
        <v/>
      </c>
      <c r="C2595" s="91">
        <f>IF(B2595&gt;0,IF('Deal maths'!L598="Local authority","Local authorities",LOWER(TRIM('Deal maths'!K598))),"")</f>
        <v/>
      </c>
      <c r="D2595" s="91">
        <f>IF(C2595="","",IF(COUNTIF($C$4:C2594,C2595)=0,SUMIF($C$4:$C$3997,C2595,$B$4:$B$3997)-ROW()/1000000,""))</f>
        <v/>
      </c>
      <c r="E2595" s="91">
        <f>IF(N('Deal maths'!M598)&gt;0,ROW()/10000000,"")</f>
        <v/>
      </c>
    </row>
    <row r="2596">
      <c r="A2596" s="91" t="n"/>
      <c r="B2596" s="111">
        <f>MAX(0,N('Deal maths'!M599))</f>
        <v/>
      </c>
      <c r="C2596" s="91">
        <f>IF(B2596&gt;0,IF('Deal maths'!L599="Local authority","Local authorities",LOWER(TRIM('Deal maths'!K599))),"")</f>
        <v/>
      </c>
      <c r="D2596" s="91">
        <f>IF(C2596="","",IF(COUNTIF($C$4:C2595,C2596)=0,SUMIF($C$4:$C$3997,C2596,$B$4:$B$3997)-ROW()/1000000,""))</f>
        <v/>
      </c>
      <c r="E2596" s="91">
        <f>IF(N('Deal maths'!M599)&gt;0,ROW()/10000000,"")</f>
        <v/>
      </c>
    </row>
    <row r="2597">
      <c r="A2597" s="91" t="n"/>
      <c r="B2597" s="111">
        <f>MAX(0,N('Deal maths'!M600))</f>
        <v/>
      </c>
      <c r="C2597" s="91">
        <f>IF(B2597&gt;0,IF('Deal maths'!L600="Local authority","Local authorities",LOWER(TRIM('Deal maths'!K600))),"")</f>
        <v/>
      </c>
      <c r="D2597" s="91">
        <f>IF(C2597="","",IF(COUNTIF($C$4:C2596,C2597)=0,SUMIF($C$4:$C$3997,C2597,$B$4:$B$3997)-ROW()/1000000,""))</f>
        <v/>
      </c>
      <c r="E2597" s="91">
        <f>IF(N('Deal maths'!M600)&gt;0,ROW()/10000000,"")</f>
        <v/>
      </c>
    </row>
    <row r="2598">
      <c r="A2598" s="91" t="n"/>
      <c r="B2598" s="111">
        <f>MAX(0,N('Deal maths'!M601))</f>
        <v/>
      </c>
      <c r="C2598" s="91">
        <f>IF(B2598&gt;0,IF('Deal maths'!L601="Local authority","Local authorities",LOWER(TRIM('Deal maths'!K601))),"")</f>
        <v/>
      </c>
      <c r="D2598" s="91">
        <f>IF(C2598="","",IF(COUNTIF($C$4:C2597,C2598)=0,SUMIF($C$4:$C$3997,C2598,$B$4:$B$3997)-ROW()/1000000,""))</f>
        <v/>
      </c>
      <c r="E2598" s="91">
        <f>IF(N('Deal maths'!M601)&gt;0,ROW()/10000000,"")</f>
        <v/>
      </c>
    </row>
    <row r="2599">
      <c r="A2599" s="91" t="n"/>
      <c r="B2599" s="111">
        <f>MAX(0,N('Deal maths'!M602))</f>
        <v/>
      </c>
      <c r="C2599" s="91">
        <f>IF(B2599&gt;0,IF('Deal maths'!L602="Local authority","Local authorities",LOWER(TRIM('Deal maths'!K602))),"")</f>
        <v/>
      </c>
      <c r="D2599" s="91">
        <f>IF(C2599="","",IF(COUNTIF($C$4:C2598,C2599)=0,SUMIF($C$4:$C$3997,C2599,$B$4:$B$3997)-ROW()/1000000,""))</f>
        <v/>
      </c>
      <c r="E2599" s="91">
        <f>IF(N('Deal maths'!M602)&gt;0,ROW()/10000000,"")</f>
        <v/>
      </c>
    </row>
    <row r="2600">
      <c r="A2600" s="91" t="n"/>
      <c r="B2600" s="111">
        <f>MAX(0,N('Deal maths'!M603))</f>
        <v/>
      </c>
      <c r="C2600" s="91">
        <f>IF(B2600&gt;0,IF('Deal maths'!L603="Local authority","Local authorities",LOWER(TRIM('Deal maths'!K603))),"")</f>
        <v/>
      </c>
      <c r="D2600" s="91">
        <f>IF(C2600="","",IF(COUNTIF($C$4:C2599,C2600)=0,SUMIF($C$4:$C$3997,C2600,$B$4:$B$3997)-ROW()/1000000,""))</f>
        <v/>
      </c>
      <c r="E2600" s="91">
        <f>IF(N('Deal maths'!M603)&gt;0,ROW()/10000000,"")</f>
        <v/>
      </c>
    </row>
    <row r="2601">
      <c r="A2601" s="91" t="n"/>
      <c r="B2601" s="111">
        <f>MAX(0,N('Deal maths'!M604))</f>
        <v/>
      </c>
      <c r="C2601" s="91">
        <f>IF(B2601&gt;0,IF('Deal maths'!L604="Local authority","Local authorities",LOWER(TRIM('Deal maths'!K604))),"")</f>
        <v/>
      </c>
      <c r="D2601" s="91">
        <f>IF(C2601="","",IF(COUNTIF($C$4:C2600,C2601)=0,SUMIF($C$4:$C$3997,C2601,$B$4:$B$3997)-ROW()/1000000,""))</f>
        <v/>
      </c>
      <c r="E2601" s="91">
        <f>IF(N('Deal maths'!M604)&gt;0,ROW()/10000000,"")</f>
        <v/>
      </c>
    </row>
    <row r="2602">
      <c r="A2602" s="91" t="n"/>
      <c r="B2602" s="111">
        <f>MAX(0,N('Deal maths'!M605))</f>
        <v/>
      </c>
      <c r="C2602" s="91">
        <f>IF(B2602&gt;0,IF('Deal maths'!L605="Local authority","Local authorities",LOWER(TRIM('Deal maths'!K605))),"")</f>
        <v/>
      </c>
      <c r="D2602" s="91">
        <f>IF(C2602="","",IF(COUNTIF($C$4:C2601,C2602)=0,SUMIF($C$4:$C$3997,C2602,$B$4:$B$3997)-ROW()/1000000,""))</f>
        <v/>
      </c>
      <c r="E2602" s="91">
        <f>IF(N('Deal maths'!M605)&gt;0,ROW()/10000000,"")</f>
        <v/>
      </c>
    </row>
    <row r="2603">
      <c r="A2603" s="91" t="n"/>
      <c r="B2603" s="111">
        <f>MAX(0,N('Deal maths'!M606))</f>
        <v/>
      </c>
      <c r="C2603" s="91">
        <f>IF(B2603&gt;0,IF('Deal maths'!L606="Local authority","Local authorities",LOWER(TRIM('Deal maths'!K606))),"")</f>
        <v/>
      </c>
      <c r="D2603" s="91">
        <f>IF(C2603="","",IF(COUNTIF($C$4:C2602,C2603)=0,SUMIF($C$4:$C$3997,C2603,$B$4:$B$3997)-ROW()/1000000,""))</f>
        <v/>
      </c>
      <c r="E2603" s="91">
        <f>IF(N('Deal maths'!M606)&gt;0,ROW()/10000000,"")</f>
        <v/>
      </c>
    </row>
    <row r="2604">
      <c r="A2604" s="91" t="n"/>
      <c r="B2604" s="111">
        <f>MAX(0,N('Deal maths'!M607))</f>
        <v/>
      </c>
      <c r="C2604" s="91">
        <f>IF(B2604&gt;0,IF('Deal maths'!L607="Local authority","Local authorities",LOWER(TRIM('Deal maths'!K607))),"")</f>
        <v/>
      </c>
      <c r="D2604" s="91">
        <f>IF(C2604="","",IF(COUNTIF($C$4:C2603,C2604)=0,SUMIF($C$4:$C$3997,C2604,$B$4:$B$3997)-ROW()/1000000,""))</f>
        <v/>
      </c>
      <c r="E2604" s="91">
        <f>IF(N('Deal maths'!M607)&gt;0,ROW()/10000000,"")</f>
        <v/>
      </c>
    </row>
    <row r="2605">
      <c r="A2605" s="91" t="n"/>
      <c r="B2605" s="111">
        <f>MAX(0,N('Deal maths'!M608))</f>
        <v/>
      </c>
      <c r="C2605" s="91">
        <f>IF(B2605&gt;0,IF('Deal maths'!L608="Local authority","Local authorities",LOWER(TRIM('Deal maths'!K608))),"")</f>
        <v/>
      </c>
      <c r="D2605" s="91">
        <f>IF(C2605="","",IF(COUNTIF($C$4:C2604,C2605)=0,SUMIF($C$4:$C$3997,C2605,$B$4:$B$3997)-ROW()/1000000,""))</f>
        <v/>
      </c>
      <c r="E2605" s="91">
        <f>IF(N('Deal maths'!M608)&gt;0,ROW()/10000000,"")</f>
        <v/>
      </c>
    </row>
    <row r="2606">
      <c r="A2606" s="91" t="n"/>
      <c r="B2606" s="111">
        <f>MAX(0,N('Deal maths'!M609))</f>
        <v/>
      </c>
      <c r="C2606" s="91">
        <f>IF(B2606&gt;0,IF('Deal maths'!L609="Local authority","Local authorities",LOWER(TRIM('Deal maths'!K609))),"")</f>
        <v/>
      </c>
      <c r="D2606" s="91">
        <f>IF(C2606="","",IF(COUNTIF($C$4:C2605,C2606)=0,SUMIF($C$4:$C$3997,C2606,$B$4:$B$3997)-ROW()/1000000,""))</f>
        <v/>
      </c>
      <c r="E2606" s="91">
        <f>IF(N('Deal maths'!M609)&gt;0,ROW()/10000000,"")</f>
        <v/>
      </c>
    </row>
    <row r="2607">
      <c r="A2607" s="91" t="n"/>
      <c r="B2607" s="111">
        <f>MAX(0,N('Deal maths'!M610))</f>
        <v/>
      </c>
      <c r="C2607" s="91">
        <f>IF(B2607&gt;0,IF('Deal maths'!L610="Local authority","Local authorities",LOWER(TRIM('Deal maths'!K610))),"")</f>
        <v/>
      </c>
      <c r="D2607" s="91">
        <f>IF(C2607="","",IF(COUNTIF($C$4:C2606,C2607)=0,SUMIF($C$4:$C$3997,C2607,$B$4:$B$3997)-ROW()/1000000,""))</f>
        <v/>
      </c>
      <c r="E2607" s="91">
        <f>IF(N('Deal maths'!M610)&gt;0,ROW()/10000000,"")</f>
        <v/>
      </c>
    </row>
    <row r="2608">
      <c r="A2608" s="91" t="n"/>
      <c r="B2608" s="111">
        <f>MAX(0,N('Deal maths'!M611))</f>
        <v/>
      </c>
      <c r="C2608" s="91">
        <f>IF(B2608&gt;0,IF('Deal maths'!L611="Local authority","Local authorities",LOWER(TRIM('Deal maths'!K611))),"")</f>
        <v/>
      </c>
      <c r="D2608" s="91">
        <f>IF(C2608="","",IF(COUNTIF($C$4:C2607,C2608)=0,SUMIF($C$4:$C$3997,C2608,$B$4:$B$3997)-ROW()/1000000,""))</f>
        <v/>
      </c>
      <c r="E2608" s="91">
        <f>IF(N('Deal maths'!M611)&gt;0,ROW()/10000000,"")</f>
        <v/>
      </c>
    </row>
    <row r="2609">
      <c r="A2609" s="91" t="n"/>
      <c r="B2609" s="111">
        <f>MAX(0,N('Deal maths'!M612))</f>
        <v/>
      </c>
      <c r="C2609" s="91">
        <f>IF(B2609&gt;0,IF('Deal maths'!L612="Local authority","Local authorities",LOWER(TRIM('Deal maths'!K612))),"")</f>
        <v/>
      </c>
      <c r="D2609" s="91">
        <f>IF(C2609="","",IF(COUNTIF($C$4:C2608,C2609)=0,SUMIF($C$4:$C$3997,C2609,$B$4:$B$3997)-ROW()/1000000,""))</f>
        <v/>
      </c>
      <c r="E2609" s="91">
        <f>IF(N('Deal maths'!M612)&gt;0,ROW()/10000000,"")</f>
        <v/>
      </c>
    </row>
    <row r="2610">
      <c r="A2610" s="91" t="n"/>
      <c r="B2610" s="111">
        <f>MAX(0,N('Deal maths'!M613))</f>
        <v/>
      </c>
      <c r="C2610" s="91">
        <f>IF(B2610&gt;0,IF('Deal maths'!L613="Local authority","Local authorities",LOWER(TRIM('Deal maths'!K613))),"")</f>
        <v/>
      </c>
      <c r="D2610" s="91">
        <f>IF(C2610="","",IF(COUNTIF($C$4:C2609,C2610)=0,SUMIF($C$4:$C$3997,C2610,$B$4:$B$3997)-ROW()/1000000,""))</f>
        <v/>
      </c>
      <c r="E2610" s="91">
        <f>IF(N('Deal maths'!M613)&gt;0,ROW()/10000000,"")</f>
        <v/>
      </c>
    </row>
    <row r="2611">
      <c r="A2611" s="91" t="n"/>
      <c r="B2611" s="111">
        <f>MAX(0,N('Deal maths'!M614))</f>
        <v/>
      </c>
      <c r="C2611" s="91">
        <f>IF(B2611&gt;0,IF('Deal maths'!L614="Local authority","Local authorities",LOWER(TRIM('Deal maths'!K614))),"")</f>
        <v/>
      </c>
      <c r="D2611" s="91">
        <f>IF(C2611="","",IF(COUNTIF($C$4:C2610,C2611)=0,SUMIF($C$4:$C$3997,C2611,$B$4:$B$3997)-ROW()/1000000,""))</f>
        <v/>
      </c>
      <c r="E2611" s="91">
        <f>IF(N('Deal maths'!M614)&gt;0,ROW()/10000000,"")</f>
        <v/>
      </c>
    </row>
    <row r="2612">
      <c r="A2612" s="91" t="n"/>
      <c r="B2612" s="111">
        <f>MAX(0,N('Deal maths'!M615))</f>
        <v/>
      </c>
      <c r="C2612" s="91">
        <f>IF(B2612&gt;0,IF('Deal maths'!L615="Local authority","Local authorities",LOWER(TRIM('Deal maths'!K615))),"")</f>
        <v/>
      </c>
      <c r="D2612" s="91">
        <f>IF(C2612="","",IF(COUNTIF($C$4:C2611,C2612)=0,SUMIF($C$4:$C$3997,C2612,$B$4:$B$3997)-ROW()/1000000,""))</f>
        <v/>
      </c>
      <c r="E2612" s="91">
        <f>IF(N('Deal maths'!M615)&gt;0,ROW()/10000000,"")</f>
        <v/>
      </c>
    </row>
    <row r="2613">
      <c r="A2613" s="91" t="n"/>
      <c r="B2613" s="111">
        <f>MAX(0,N('Deal maths'!M616))</f>
        <v/>
      </c>
      <c r="C2613" s="91">
        <f>IF(B2613&gt;0,IF('Deal maths'!L616="Local authority","Local authorities",LOWER(TRIM('Deal maths'!K616))),"")</f>
        <v/>
      </c>
      <c r="D2613" s="91">
        <f>IF(C2613="","",IF(COUNTIF($C$4:C2612,C2613)=0,SUMIF($C$4:$C$3997,C2613,$B$4:$B$3997)-ROW()/1000000,""))</f>
        <v/>
      </c>
      <c r="E2613" s="91">
        <f>IF(N('Deal maths'!M616)&gt;0,ROW()/10000000,"")</f>
        <v/>
      </c>
    </row>
    <row r="2614">
      <c r="A2614" s="91" t="n"/>
      <c r="B2614" s="111">
        <f>MAX(0,N('Deal maths'!M617))</f>
        <v/>
      </c>
      <c r="C2614" s="91">
        <f>IF(B2614&gt;0,IF('Deal maths'!L617="Local authority","Local authorities",LOWER(TRIM('Deal maths'!K617))),"")</f>
        <v/>
      </c>
      <c r="D2614" s="91">
        <f>IF(C2614="","",IF(COUNTIF($C$4:C2613,C2614)=0,SUMIF($C$4:$C$3997,C2614,$B$4:$B$3997)-ROW()/1000000,""))</f>
        <v/>
      </c>
      <c r="E2614" s="91">
        <f>IF(N('Deal maths'!M617)&gt;0,ROW()/10000000,"")</f>
        <v/>
      </c>
    </row>
    <row r="2615">
      <c r="A2615" s="91" t="n"/>
      <c r="B2615" s="111">
        <f>MAX(0,N('Deal maths'!M618))</f>
        <v/>
      </c>
      <c r="C2615" s="91">
        <f>IF(B2615&gt;0,IF('Deal maths'!L618="Local authority","Local authorities",LOWER(TRIM('Deal maths'!K618))),"")</f>
        <v/>
      </c>
      <c r="D2615" s="91">
        <f>IF(C2615="","",IF(COUNTIF($C$4:C2614,C2615)=0,SUMIF($C$4:$C$3997,C2615,$B$4:$B$3997)-ROW()/1000000,""))</f>
        <v/>
      </c>
      <c r="E2615" s="91">
        <f>IF(N('Deal maths'!M618)&gt;0,ROW()/10000000,"")</f>
        <v/>
      </c>
    </row>
    <row r="2616">
      <c r="A2616" s="91" t="n"/>
      <c r="B2616" s="111">
        <f>MAX(0,N('Deal maths'!M619))</f>
        <v/>
      </c>
      <c r="C2616" s="91">
        <f>IF(B2616&gt;0,IF('Deal maths'!L619="Local authority","Local authorities",LOWER(TRIM('Deal maths'!K619))),"")</f>
        <v/>
      </c>
      <c r="D2616" s="91">
        <f>IF(C2616="","",IF(COUNTIF($C$4:C2615,C2616)=0,SUMIF($C$4:$C$3997,C2616,$B$4:$B$3997)-ROW()/1000000,""))</f>
        <v/>
      </c>
      <c r="E2616" s="91">
        <f>IF(N('Deal maths'!M619)&gt;0,ROW()/10000000,"")</f>
        <v/>
      </c>
    </row>
    <row r="2617">
      <c r="A2617" s="91" t="n"/>
      <c r="B2617" s="111">
        <f>MAX(0,N('Deal maths'!M620))</f>
        <v/>
      </c>
      <c r="C2617" s="91">
        <f>IF(B2617&gt;0,IF('Deal maths'!L620="Local authority","Local authorities",LOWER(TRIM('Deal maths'!K620))),"")</f>
        <v/>
      </c>
      <c r="D2617" s="91">
        <f>IF(C2617="","",IF(COUNTIF($C$4:C2616,C2617)=0,SUMIF($C$4:$C$3997,C2617,$B$4:$B$3997)-ROW()/1000000,""))</f>
        <v/>
      </c>
      <c r="E2617" s="91">
        <f>IF(N('Deal maths'!M620)&gt;0,ROW()/10000000,"")</f>
        <v/>
      </c>
    </row>
    <row r="2618">
      <c r="A2618" s="91" t="n"/>
      <c r="B2618" s="111">
        <f>MAX(0,N('Deal maths'!M621))</f>
        <v/>
      </c>
      <c r="C2618" s="91">
        <f>IF(B2618&gt;0,IF('Deal maths'!L621="Local authority","Local authorities",LOWER(TRIM('Deal maths'!K621))),"")</f>
        <v/>
      </c>
      <c r="D2618" s="91">
        <f>IF(C2618="","",IF(COUNTIF($C$4:C2617,C2618)=0,SUMIF($C$4:$C$3997,C2618,$B$4:$B$3997)-ROW()/1000000,""))</f>
        <v/>
      </c>
      <c r="E2618" s="91">
        <f>IF(N('Deal maths'!M621)&gt;0,ROW()/10000000,"")</f>
        <v/>
      </c>
    </row>
    <row r="2619">
      <c r="A2619" s="91" t="n"/>
      <c r="B2619" s="111">
        <f>MAX(0,N('Deal maths'!M622))</f>
        <v/>
      </c>
      <c r="C2619" s="91">
        <f>IF(B2619&gt;0,IF('Deal maths'!L622="Local authority","Local authorities",LOWER(TRIM('Deal maths'!K622))),"")</f>
        <v/>
      </c>
      <c r="D2619" s="91">
        <f>IF(C2619="","",IF(COUNTIF($C$4:C2618,C2619)=0,SUMIF($C$4:$C$3997,C2619,$B$4:$B$3997)-ROW()/1000000,""))</f>
        <v/>
      </c>
      <c r="E2619" s="91">
        <f>IF(N('Deal maths'!M622)&gt;0,ROW()/10000000,"")</f>
        <v/>
      </c>
    </row>
    <row r="2620">
      <c r="A2620" s="91" t="n"/>
      <c r="B2620" s="111">
        <f>MAX(0,N('Deal maths'!M623))</f>
        <v/>
      </c>
      <c r="C2620" s="91">
        <f>IF(B2620&gt;0,IF('Deal maths'!L623="Local authority","Local authorities",LOWER(TRIM('Deal maths'!K623))),"")</f>
        <v/>
      </c>
      <c r="D2620" s="91">
        <f>IF(C2620="","",IF(COUNTIF($C$4:C2619,C2620)=0,SUMIF($C$4:$C$3997,C2620,$B$4:$B$3997)-ROW()/1000000,""))</f>
        <v/>
      </c>
      <c r="E2620" s="91">
        <f>IF(N('Deal maths'!M623)&gt;0,ROW()/10000000,"")</f>
        <v/>
      </c>
    </row>
    <row r="2621">
      <c r="A2621" s="91" t="n"/>
      <c r="B2621" s="111">
        <f>MAX(0,N('Deal maths'!M624))</f>
        <v/>
      </c>
      <c r="C2621" s="91">
        <f>IF(B2621&gt;0,IF('Deal maths'!L624="Local authority","Local authorities",LOWER(TRIM('Deal maths'!K624))),"")</f>
        <v/>
      </c>
      <c r="D2621" s="91">
        <f>IF(C2621="","",IF(COUNTIF($C$4:C2620,C2621)=0,SUMIF($C$4:$C$3997,C2621,$B$4:$B$3997)-ROW()/1000000,""))</f>
        <v/>
      </c>
      <c r="E2621" s="91">
        <f>IF(N('Deal maths'!M624)&gt;0,ROW()/10000000,"")</f>
        <v/>
      </c>
    </row>
    <row r="2622">
      <c r="A2622" s="91" t="n"/>
      <c r="B2622" s="111">
        <f>MAX(0,N('Deal maths'!M625))</f>
        <v/>
      </c>
      <c r="C2622" s="91">
        <f>IF(B2622&gt;0,IF('Deal maths'!L625="Local authority","Local authorities",LOWER(TRIM('Deal maths'!K625))),"")</f>
        <v/>
      </c>
      <c r="D2622" s="91">
        <f>IF(C2622="","",IF(COUNTIF($C$4:C2621,C2622)=0,SUMIF($C$4:$C$3997,C2622,$B$4:$B$3997)-ROW()/1000000,""))</f>
        <v/>
      </c>
      <c r="E2622" s="91">
        <f>IF(N('Deal maths'!M625)&gt;0,ROW()/10000000,"")</f>
        <v/>
      </c>
    </row>
    <row r="2623">
      <c r="A2623" s="91" t="n"/>
      <c r="B2623" s="111">
        <f>MAX(0,N('Deal maths'!M626))</f>
        <v/>
      </c>
      <c r="C2623" s="91">
        <f>IF(B2623&gt;0,IF('Deal maths'!L626="Local authority","Local authorities",LOWER(TRIM('Deal maths'!K626))),"")</f>
        <v/>
      </c>
      <c r="D2623" s="91">
        <f>IF(C2623="","",IF(COUNTIF($C$4:C2622,C2623)=0,SUMIF($C$4:$C$3997,C2623,$B$4:$B$3997)-ROW()/1000000,""))</f>
        <v/>
      </c>
      <c r="E2623" s="91">
        <f>IF(N('Deal maths'!M626)&gt;0,ROW()/10000000,"")</f>
        <v/>
      </c>
    </row>
    <row r="2624">
      <c r="A2624" s="91" t="n"/>
      <c r="B2624" s="111">
        <f>MAX(0,N('Deal maths'!M627))</f>
        <v/>
      </c>
      <c r="C2624" s="91">
        <f>IF(B2624&gt;0,IF('Deal maths'!L627="Local authority","Local authorities",LOWER(TRIM('Deal maths'!K627))),"")</f>
        <v/>
      </c>
      <c r="D2624" s="91">
        <f>IF(C2624="","",IF(COUNTIF($C$4:C2623,C2624)=0,SUMIF($C$4:$C$3997,C2624,$B$4:$B$3997)-ROW()/1000000,""))</f>
        <v/>
      </c>
      <c r="E2624" s="91">
        <f>IF(N('Deal maths'!M627)&gt;0,ROW()/10000000,"")</f>
        <v/>
      </c>
    </row>
    <row r="2625">
      <c r="A2625" s="91" t="n"/>
      <c r="B2625" s="111">
        <f>MAX(0,N('Deal maths'!M628))</f>
        <v/>
      </c>
      <c r="C2625" s="91">
        <f>IF(B2625&gt;0,IF('Deal maths'!L628="Local authority","Local authorities",LOWER(TRIM('Deal maths'!K628))),"")</f>
        <v/>
      </c>
      <c r="D2625" s="91">
        <f>IF(C2625="","",IF(COUNTIF($C$4:C2624,C2625)=0,SUMIF($C$4:$C$3997,C2625,$B$4:$B$3997)-ROW()/1000000,""))</f>
        <v/>
      </c>
      <c r="E2625" s="91">
        <f>IF(N('Deal maths'!M628)&gt;0,ROW()/10000000,"")</f>
        <v/>
      </c>
    </row>
    <row r="2626">
      <c r="A2626" s="91" t="n"/>
      <c r="B2626" s="111">
        <f>MAX(0,N('Deal maths'!M629))</f>
        <v/>
      </c>
      <c r="C2626" s="91">
        <f>IF(B2626&gt;0,IF('Deal maths'!L629="Local authority","Local authorities",LOWER(TRIM('Deal maths'!K629))),"")</f>
        <v/>
      </c>
      <c r="D2626" s="91">
        <f>IF(C2626="","",IF(COUNTIF($C$4:C2625,C2626)=0,SUMIF($C$4:$C$3997,C2626,$B$4:$B$3997)-ROW()/1000000,""))</f>
        <v/>
      </c>
      <c r="E2626" s="91">
        <f>IF(N('Deal maths'!M629)&gt;0,ROW()/10000000,"")</f>
        <v/>
      </c>
    </row>
    <row r="2627">
      <c r="A2627" s="91" t="n"/>
      <c r="B2627" s="111">
        <f>MAX(0,N('Deal maths'!M630))</f>
        <v/>
      </c>
      <c r="C2627" s="91">
        <f>IF(B2627&gt;0,IF('Deal maths'!L630="Local authority","Local authorities",LOWER(TRIM('Deal maths'!K630))),"")</f>
        <v/>
      </c>
      <c r="D2627" s="91">
        <f>IF(C2627="","",IF(COUNTIF($C$4:C2626,C2627)=0,SUMIF($C$4:$C$3997,C2627,$B$4:$B$3997)-ROW()/1000000,""))</f>
        <v/>
      </c>
      <c r="E2627" s="91">
        <f>IF(N('Deal maths'!M630)&gt;0,ROW()/10000000,"")</f>
        <v/>
      </c>
    </row>
    <row r="2628">
      <c r="A2628" s="91" t="n"/>
      <c r="B2628" s="111">
        <f>MAX(0,N('Deal maths'!M631))</f>
        <v/>
      </c>
      <c r="C2628" s="91">
        <f>IF(B2628&gt;0,IF('Deal maths'!L631="Local authority","Local authorities",LOWER(TRIM('Deal maths'!K631))),"")</f>
        <v/>
      </c>
      <c r="D2628" s="91">
        <f>IF(C2628="","",IF(COUNTIF($C$4:C2627,C2628)=0,SUMIF($C$4:$C$3997,C2628,$B$4:$B$3997)-ROW()/1000000,""))</f>
        <v/>
      </c>
      <c r="E2628" s="91">
        <f>IF(N('Deal maths'!M631)&gt;0,ROW()/10000000,"")</f>
        <v/>
      </c>
    </row>
    <row r="2629">
      <c r="A2629" s="91" t="n"/>
      <c r="B2629" s="111">
        <f>MAX(0,N('Deal maths'!M632))</f>
        <v/>
      </c>
      <c r="C2629" s="91">
        <f>IF(B2629&gt;0,IF('Deal maths'!L632="Local authority","Local authorities",LOWER(TRIM('Deal maths'!K632))),"")</f>
        <v/>
      </c>
      <c r="D2629" s="91">
        <f>IF(C2629="","",IF(COUNTIF($C$4:C2628,C2629)=0,SUMIF($C$4:$C$3997,C2629,$B$4:$B$3997)-ROW()/1000000,""))</f>
        <v/>
      </c>
      <c r="E2629" s="91">
        <f>IF(N('Deal maths'!M632)&gt;0,ROW()/10000000,"")</f>
        <v/>
      </c>
    </row>
    <row r="2630">
      <c r="A2630" s="91" t="n"/>
      <c r="B2630" s="111">
        <f>MAX(0,N('Deal maths'!M633))</f>
        <v/>
      </c>
      <c r="C2630" s="91">
        <f>IF(B2630&gt;0,IF('Deal maths'!L633="Local authority","Local authorities",LOWER(TRIM('Deal maths'!K633))),"")</f>
        <v/>
      </c>
      <c r="D2630" s="91">
        <f>IF(C2630="","",IF(COUNTIF($C$4:C2629,C2630)=0,SUMIF($C$4:$C$3997,C2630,$B$4:$B$3997)-ROW()/1000000,""))</f>
        <v/>
      </c>
      <c r="E2630" s="91">
        <f>IF(N('Deal maths'!M633)&gt;0,ROW()/10000000,"")</f>
        <v/>
      </c>
    </row>
    <row r="2631">
      <c r="A2631" s="91" t="n"/>
      <c r="B2631" s="111">
        <f>MAX(0,N('Deal maths'!M634))</f>
        <v/>
      </c>
      <c r="C2631" s="91">
        <f>IF(B2631&gt;0,IF('Deal maths'!L634="Local authority","Local authorities",LOWER(TRIM('Deal maths'!K634))),"")</f>
        <v/>
      </c>
      <c r="D2631" s="91">
        <f>IF(C2631="","",IF(COUNTIF($C$4:C2630,C2631)=0,SUMIF($C$4:$C$3997,C2631,$B$4:$B$3997)-ROW()/1000000,""))</f>
        <v/>
      </c>
      <c r="E2631" s="91">
        <f>IF(N('Deal maths'!M634)&gt;0,ROW()/10000000,"")</f>
        <v/>
      </c>
    </row>
    <row r="2632">
      <c r="A2632" s="91" t="n"/>
      <c r="B2632" s="111">
        <f>MAX(0,N('Deal maths'!M635))</f>
        <v/>
      </c>
      <c r="C2632" s="91">
        <f>IF(B2632&gt;0,IF('Deal maths'!L635="Local authority","Local authorities",LOWER(TRIM('Deal maths'!K635))),"")</f>
        <v/>
      </c>
      <c r="D2632" s="91">
        <f>IF(C2632="","",IF(COUNTIF($C$4:C2631,C2632)=0,SUMIF($C$4:$C$3997,C2632,$B$4:$B$3997)-ROW()/1000000,""))</f>
        <v/>
      </c>
      <c r="E2632" s="91">
        <f>IF(N('Deal maths'!M635)&gt;0,ROW()/10000000,"")</f>
        <v/>
      </c>
    </row>
    <row r="2633">
      <c r="A2633" s="91" t="n"/>
      <c r="B2633" s="111">
        <f>MAX(0,N('Deal maths'!M636))</f>
        <v/>
      </c>
      <c r="C2633" s="91">
        <f>IF(B2633&gt;0,IF('Deal maths'!L636="Local authority","Local authorities",LOWER(TRIM('Deal maths'!K636))),"")</f>
        <v/>
      </c>
      <c r="D2633" s="91">
        <f>IF(C2633="","",IF(COUNTIF($C$4:C2632,C2633)=0,SUMIF($C$4:$C$3997,C2633,$B$4:$B$3997)-ROW()/1000000,""))</f>
        <v/>
      </c>
      <c r="E2633" s="91">
        <f>IF(N('Deal maths'!M636)&gt;0,ROW()/10000000,"")</f>
        <v/>
      </c>
    </row>
    <row r="2634">
      <c r="A2634" s="91" t="n"/>
      <c r="B2634" s="111">
        <f>MAX(0,N('Deal maths'!M637))</f>
        <v/>
      </c>
      <c r="C2634" s="91">
        <f>IF(B2634&gt;0,IF('Deal maths'!L637="Local authority","Local authorities",LOWER(TRIM('Deal maths'!K637))),"")</f>
        <v/>
      </c>
      <c r="D2634" s="91">
        <f>IF(C2634="","",IF(COUNTIF($C$4:C2633,C2634)=0,SUMIF($C$4:$C$3997,C2634,$B$4:$B$3997)-ROW()/1000000,""))</f>
        <v/>
      </c>
      <c r="E2634" s="91">
        <f>IF(N('Deal maths'!M637)&gt;0,ROW()/10000000,"")</f>
        <v/>
      </c>
    </row>
    <row r="2635">
      <c r="A2635" s="91" t="n"/>
      <c r="B2635" s="111">
        <f>MAX(0,N('Deal maths'!M638))</f>
        <v/>
      </c>
      <c r="C2635" s="91">
        <f>IF(B2635&gt;0,IF('Deal maths'!L638="Local authority","Local authorities",LOWER(TRIM('Deal maths'!K638))),"")</f>
        <v/>
      </c>
      <c r="D2635" s="91">
        <f>IF(C2635="","",IF(COUNTIF($C$4:C2634,C2635)=0,SUMIF($C$4:$C$3997,C2635,$B$4:$B$3997)-ROW()/1000000,""))</f>
        <v/>
      </c>
      <c r="E2635" s="91">
        <f>IF(N('Deal maths'!M638)&gt;0,ROW()/10000000,"")</f>
        <v/>
      </c>
    </row>
    <row r="2636">
      <c r="A2636" s="91" t="n"/>
      <c r="B2636" s="111">
        <f>MAX(0,N('Deal maths'!M639))</f>
        <v/>
      </c>
      <c r="C2636" s="91">
        <f>IF(B2636&gt;0,IF('Deal maths'!L639="Local authority","Local authorities",LOWER(TRIM('Deal maths'!K639))),"")</f>
        <v/>
      </c>
      <c r="D2636" s="91">
        <f>IF(C2636="","",IF(COUNTIF($C$4:C2635,C2636)=0,SUMIF($C$4:$C$3997,C2636,$B$4:$B$3997)-ROW()/1000000,""))</f>
        <v/>
      </c>
      <c r="E2636" s="91">
        <f>IF(N('Deal maths'!M639)&gt;0,ROW()/10000000,"")</f>
        <v/>
      </c>
    </row>
    <row r="2637">
      <c r="A2637" s="91" t="n"/>
      <c r="B2637" s="111">
        <f>MAX(0,N('Deal maths'!M640))</f>
        <v/>
      </c>
      <c r="C2637" s="91">
        <f>IF(B2637&gt;0,IF('Deal maths'!L640="Local authority","Local authorities",LOWER(TRIM('Deal maths'!K640))),"")</f>
        <v/>
      </c>
      <c r="D2637" s="91">
        <f>IF(C2637="","",IF(COUNTIF($C$4:C2636,C2637)=0,SUMIF($C$4:$C$3997,C2637,$B$4:$B$3997)-ROW()/1000000,""))</f>
        <v/>
      </c>
      <c r="E2637" s="91">
        <f>IF(N('Deal maths'!M640)&gt;0,ROW()/10000000,"")</f>
        <v/>
      </c>
    </row>
    <row r="2638">
      <c r="A2638" s="91" t="n"/>
      <c r="B2638" s="111">
        <f>MAX(0,N('Deal maths'!M641))</f>
        <v/>
      </c>
      <c r="C2638" s="91">
        <f>IF(B2638&gt;0,IF('Deal maths'!L641="Local authority","Local authorities",LOWER(TRIM('Deal maths'!K641))),"")</f>
        <v/>
      </c>
      <c r="D2638" s="91">
        <f>IF(C2638="","",IF(COUNTIF($C$4:C2637,C2638)=0,SUMIF($C$4:$C$3997,C2638,$B$4:$B$3997)-ROW()/1000000,""))</f>
        <v/>
      </c>
      <c r="E2638" s="91">
        <f>IF(N('Deal maths'!M641)&gt;0,ROW()/10000000,"")</f>
        <v/>
      </c>
    </row>
    <row r="2639">
      <c r="A2639" s="91" t="n"/>
      <c r="B2639" s="111">
        <f>MAX(0,N('Deal maths'!M642))</f>
        <v/>
      </c>
      <c r="C2639" s="91">
        <f>IF(B2639&gt;0,IF('Deal maths'!L642="Local authority","Local authorities",LOWER(TRIM('Deal maths'!K642))),"")</f>
        <v/>
      </c>
      <c r="D2639" s="91">
        <f>IF(C2639="","",IF(COUNTIF($C$4:C2638,C2639)=0,SUMIF($C$4:$C$3997,C2639,$B$4:$B$3997)-ROW()/1000000,""))</f>
        <v/>
      </c>
      <c r="E2639" s="91">
        <f>IF(N('Deal maths'!M642)&gt;0,ROW()/10000000,"")</f>
        <v/>
      </c>
    </row>
    <row r="2640">
      <c r="A2640" s="91" t="n"/>
      <c r="B2640" s="111">
        <f>MAX(0,N('Deal maths'!M643))</f>
        <v/>
      </c>
      <c r="C2640" s="91">
        <f>IF(B2640&gt;0,IF('Deal maths'!L643="Local authority","Local authorities",LOWER(TRIM('Deal maths'!K643))),"")</f>
        <v/>
      </c>
      <c r="D2640" s="91">
        <f>IF(C2640="","",IF(COUNTIF($C$4:C2639,C2640)=0,SUMIF($C$4:$C$3997,C2640,$B$4:$B$3997)-ROW()/1000000,""))</f>
        <v/>
      </c>
      <c r="E2640" s="91">
        <f>IF(N('Deal maths'!M643)&gt;0,ROW()/10000000,"")</f>
        <v/>
      </c>
    </row>
    <row r="2641">
      <c r="A2641" s="91" t="n"/>
      <c r="B2641" s="111">
        <f>MAX(0,N('Deal maths'!M644))</f>
        <v/>
      </c>
      <c r="C2641" s="91">
        <f>IF(B2641&gt;0,IF('Deal maths'!L644="Local authority","Local authorities",LOWER(TRIM('Deal maths'!K644))),"")</f>
        <v/>
      </c>
      <c r="D2641" s="91">
        <f>IF(C2641="","",IF(COUNTIF($C$4:C2640,C2641)=0,SUMIF($C$4:$C$3997,C2641,$B$4:$B$3997)-ROW()/1000000,""))</f>
        <v/>
      </c>
      <c r="E2641" s="91">
        <f>IF(N('Deal maths'!M644)&gt;0,ROW()/10000000,"")</f>
        <v/>
      </c>
    </row>
    <row r="2642">
      <c r="A2642" s="91" t="n"/>
      <c r="B2642" s="111">
        <f>MAX(0,N('Deal maths'!M645))</f>
        <v/>
      </c>
      <c r="C2642" s="91">
        <f>IF(B2642&gt;0,IF('Deal maths'!L645="Local authority","Local authorities",LOWER(TRIM('Deal maths'!K645))),"")</f>
        <v/>
      </c>
      <c r="D2642" s="91">
        <f>IF(C2642="","",IF(COUNTIF($C$4:C2641,C2642)=0,SUMIF($C$4:$C$3997,C2642,$B$4:$B$3997)-ROW()/1000000,""))</f>
        <v/>
      </c>
      <c r="E2642" s="91">
        <f>IF(N('Deal maths'!M645)&gt;0,ROW()/10000000,"")</f>
        <v/>
      </c>
    </row>
    <row r="2643">
      <c r="A2643" s="91" t="n"/>
      <c r="B2643" s="111">
        <f>MAX(0,N('Deal maths'!M646))</f>
        <v/>
      </c>
      <c r="C2643" s="91">
        <f>IF(B2643&gt;0,IF('Deal maths'!L646="Local authority","Local authorities",LOWER(TRIM('Deal maths'!K646))),"")</f>
        <v/>
      </c>
      <c r="D2643" s="91">
        <f>IF(C2643="","",IF(COUNTIF($C$4:C2642,C2643)=0,SUMIF($C$4:$C$3997,C2643,$B$4:$B$3997)-ROW()/1000000,""))</f>
        <v/>
      </c>
      <c r="E2643" s="91">
        <f>IF(N('Deal maths'!M646)&gt;0,ROW()/10000000,"")</f>
        <v/>
      </c>
    </row>
    <row r="2644">
      <c r="A2644" s="91" t="n"/>
      <c r="B2644" s="111">
        <f>MAX(0,N('Deal maths'!M647))</f>
        <v/>
      </c>
      <c r="C2644" s="91">
        <f>IF(B2644&gt;0,IF('Deal maths'!L647="Local authority","Local authorities",LOWER(TRIM('Deal maths'!K647))),"")</f>
        <v/>
      </c>
      <c r="D2644" s="91">
        <f>IF(C2644="","",IF(COUNTIF($C$4:C2643,C2644)=0,SUMIF($C$4:$C$3997,C2644,$B$4:$B$3997)-ROW()/1000000,""))</f>
        <v/>
      </c>
      <c r="E2644" s="91">
        <f>IF(N('Deal maths'!M647)&gt;0,ROW()/10000000,"")</f>
        <v/>
      </c>
    </row>
    <row r="2645">
      <c r="A2645" s="91" t="n"/>
      <c r="B2645" s="111">
        <f>MAX(0,N('Deal maths'!M648))</f>
        <v/>
      </c>
      <c r="C2645" s="91">
        <f>IF(B2645&gt;0,IF('Deal maths'!L648="Local authority","Local authorities",LOWER(TRIM('Deal maths'!K648))),"")</f>
        <v/>
      </c>
      <c r="D2645" s="91">
        <f>IF(C2645="","",IF(COUNTIF($C$4:C2644,C2645)=0,SUMIF($C$4:$C$3997,C2645,$B$4:$B$3997)-ROW()/1000000,""))</f>
        <v/>
      </c>
      <c r="E2645" s="91">
        <f>IF(N('Deal maths'!M648)&gt;0,ROW()/10000000,"")</f>
        <v/>
      </c>
    </row>
    <row r="2646">
      <c r="A2646" s="91" t="n"/>
      <c r="B2646" s="111">
        <f>MAX(0,N('Deal maths'!M649))</f>
        <v/>
      </c>
      <c r="C2646" s="91">
        <f>IF(B2646&gt;0,IF('Deal maths'!L649="Local authority","Local authorities",LOWER(TRIM('Deal maths'!K649))),"")</f>
        <v/>
      </c>
      <c r="D2646" s="91">
        <f>IF(C2646="","",IF(COUNTIF($C$4:C2645,C2646)=0,SUMIF($C$4:$C$3997,C2646,$B$4:$B$3997)-ROW()/1000000,""))</f>
        <v/>
      </c>
      <c r="E2646" s="91">
        <f>IF(N('Deal maths'!M649)&gt;0,ROW()/10000000,"")</f>
        <v/>
      </c>
    </row>
    <row r="2647">
      <c r="A2647" s="91" t="n"/>
      <c r="B2647" s="111">
        <f>MAX(0,N('Deal maths'!M650))</f>
        <v/>
      </c>
      <c r="C2647" s="91">
        <f>IF(B2647&gt;0,IF('Deal maths'!L650="Local authority","Local authorities",LOWER(TRIM('Deal maths'!K650))),"")</f>
        <v/>
      </c>
      <c r="D2647" s="91">
        <f>IF(C2647="","",IF(COUNTIF($C$4:C2646,C2647)=0,SUMIF($C$4:$C$3997,C2647,$B$4:$B$3997)-ROW()/1000000,""))</f>
        <v/>
      </c>
      <c r="E2647" s="91">
        <f>IF(N('Deal maths'!M650)&gt;0,ROW()/10000000,"")</f>
        <v/>
      </c>
    </row>
    <row r="2648">
      <c r="A2648" s="91" t="n"/>
      <c r="B2648" s="111">
        <f>MAX(0,N('Deal maths'!M651))</f>
        <v/>
      </c>
      <c r="C2648" s="91">
        <f>IF(B2648&gt;0,IF('Deal maths'!L651="Local authority","Local authorities",LOWER(TRIM('Deal maths'!K651))),"")</f>
        <v/>
      </c>
      <c r="D2648" s="91">
        <f>IF(C2648="","",IF(COUNTIF($C$4:C2647,C2648)=0,SUMIF($C$4:$C$3997,C2648,$B$4:$B$3997)-ROW()/1000000,""))</f>
        <v/>
      </c>
      <c r="E2648" s="91">
        <f>IF(N('Deal maths'!M651)&gt;0,ROW()/10000000,"")</f>
        <v/>
      </c>
    </row>
    <row r="2649">
      <c r="A2649" s="91" t="n"/>
      <c r="B2649" s="111">
        <f>MAX(0,N('Deal maths'!M652))</f>
        <v/>
      </c>
      <c r="C2649" s="91">
        <f>IF(B2649&gt;0,IF('Deal maths'!L652="Local authority","Local authorities",LOWER(TRIM('Deal maths'!K652))),"")</f>
        <v/>
      </c>
      <c r="D2649" s="91">
        <f>IF(C2649="","",IF(COUNTIF($C$4:C2648,C2649)=0,SUMIF($C$4:$C$3997,C2649,$B$4:$B$3997)-ROW()/1000000,""))</f>
        <v/>
      </c>
      <c r="E2649" s="91">
        <f>IF(N('Deal maths'!M652)&gt;0,ROW()/10000000,"")</f>
        <v/>
      </c>
    </row>
    <row r="2650">
      <c r="A2650" s="91" t="n"/>
      <c r="B2650" s="111">
        <f>MAX(0,N('Deal maths'!M653))</f>
        <v/>
      </c>
      <c r="C2650" s="91">
        <f>IF(B2650&gt;0,IF('Deal maths'!L653="Local authority","Local authorities",LOWER(TRIM('Deal maths'!K653))),"")</f>
        <v/>
      </c>
      <c r="D2650" s="91">
        <f>IF(C2650="","",IF(COUNTIF($C$4:C2649,C2650)=0,SUMIF($C$4:$C$3997,C2650,$B$4:$B$3997)-ROW()/1000000,""))</f>
        <v/>
      </c>
      <c r="E2650" s="91">
        <f>IF(N('Deal maths'!M653)&gt;0,ROW()/10000000,"")</f>
        <v/>
      </c>
    </row>
    <row r="2651">
      <c r="A2651" s="91" t="n"/>
      <c r="B2651" s="111">
        <f>MAX(0,N('Deal maths'!M654))</f>
        <v/>
      </c>
      <c r="C2651" s="91">
        <f>IF(B2651&gt;0,IF('Deal maths'!L654="Local authority","Local authorities",LOWER(TRIM('Deal maths'!K654))),"")</f>
        <v/>
      </c>
      <c r="D2651" s="91">
        <f>IF(C2651="","",IF(COUNTIF($C$4:C2650,C2651)=0,SUMIF($C$4:$C$3997,C2651,$B$4:$B$3997)-ROW()/1000000,""))</f>
        <v/>
      </c>
      <c r="E2651" s="91">
        <f>IF(N('Deal maths'!M654)&gt;0,ROW()/10000000,"")</f>
        <v/>
      </c>
    </row>
    <row r="2652">
      <c r="A2652" s="91" t="n"/>
      <c r="B2652" s="111">
        <f>MAX(0,N('Deal maths'!M655))</f>
        <v/>
      </c>
      <c r="C2652" s="91">
        <f>IF(B2652&gt;0,IF('Deal maths'!L655="Local authority","Local authorities",LOWER(TRIM('Deal maths'!K655))),"")</f>
        <v/>
      </c>
      <c r="D2652" s="91">
        <f>IF(C2652="","",IF(COUNTIF($C$4:C2651,C2652)=0,SUMIF($C$4:$C$3997,C2652,$B$4:$B$3997)-ROW()/1000000,""))</f>
        <v/>
      </c>
      <c r="E2652" s="91">
        <f>IF(N('Deal maths'!M655)&gt;0,ROW()/10000000,"")</f>
        <v/>
      </c>
    </row>
    <row r="2653">
      <c r="A2653" s="91" t="n"/>
      <c r="B2653" s="111">
        <f>MAX(0,N('Deal maths'!M656))</f>
        <v/>
      </c>
      <c r="C2653" s="91">
        <f>IF(B2653&gt;0,IF('Deal maths'!L656="Local authority","Local authorities",LOWER(TRIM('Deal maths'!K656))),"")</f>
        <v/>
      </c>
      <c r="D2653" s="91">
        <f>IF(C2653="","",IF(COUNTIF($C$4:C2652,C2653)=0,SUMIF($C$4:$C$3997,C2653,$B$4:$B$3997)-ROW()/1000000,""))</f>
        <v/>
      </c>
      <c r="E2653" s="91">
        <f>IF(N('Deal maths'!M656)&gt;0,ROW()/10000000,"")</f>
        <v/>
      </c>
    </row>
    <row r="2654">
      <c r="A2654" s="91" t="n"/>
      <c r="B2654" s="111">
        <f>MAX(0,N('Deal maths'!M657))</f>
        <v/>
      </c>
      <c r="C2654" s="91">
        <f>IF(B2654&gt;0,IF('Deal maths'!L657="Local authority","Local authorities",LOWER(TRIM('Deal maths'!K657))),"")</f>
        <v/>
      </c>
      <c r="D2654" s="91">
        <f>IF(C2654="","",IF(COUNTIF($C$4:C2653,C2654)=0,SUMIF($C$4:$C$3997,C2654,$B$4:$B$3997)-ROW()/1000000,""))</f>
        <v/>
      </c>
      <c r="E2654" s="91">
        <f>IF(N('Deal maths'!M657)&gt;0,ROW()/10000000,"")</f>
        <v/>
      </c>
    </row>
    <row r="2655">
      <c r="A2655" s="91" t="n"/>
      <c r="B2655" s="111">
        <f>MAX(0,N('Deal maths'!M658))</f>
        <v/>
      </c>
      <c r="C2655" s="91">
        <f>IF(B2655&gt;0,IF('Deal maths'!L658="Local authority","Local authorities",LOWER(TRIM('Deal maths'!K658))),"")</f>
        <v/>
      </c>
      <c r="D2655" s="91">
        <f>IF(C2655="","",IF(COUNTIF($C$4:C2654,C2655)=0,SUMIF($C$4:$C$3997,C2655,$B$4:$B$3997)-ROW()/1000000,""))</f>
        <v/>
      </c>
      <c r="E2655" s="91">
        <f>IF(N('Deal maths'!M658)&gt;0,ROW()/10000000,"")</f>
        <v/>
      </c>
    </row>
    <row r="2656">
      <c r="A2656" s="91" t="n"/>
      <c r="B2656" s="111">
        <f>MAX(0,N('Deal maths'!M659))</f>
        <v/>
      </c>
      <c r="C2656" s="91">
        <f>IF(B2656&gt;0,IF('Deal maths'!L659="Local authority","Local authorities",LOWER(TRIM('Deal maths'!K659))),"")</f>
        <v/>
      </c>
      <c r="D2656" s="91">
        <f>IF(C2656="","",IF(COUNTIF($C$4:C2655,C2656)=0,SUMIF($C$4:$C$3997,C2656,$B$4:$B$3997)-ROW()/1000000,""))</f>
        <v/>
      </c>
      <c r="E2656" s="91">
        <f>IF(N('Deal maths'!M659)&gt;0,ROW()/10000000,"")</f>
        <v/>
      </c>
    </row>
    <row r="2657">
      <c r="A2657" s="91" t="n"/>
      <c r="B2657" s="111">
        <f>MAX(0,N('Deal maths'!M660))</f>
        <v/>
      </c>
      <c r="C2657" s="91">
        <f>IF(B2657&gt;0,IF('Deal maths'!L660="Local authority","Local authorities",LOWER(TRIM('Deal maths'!K660))),"")</f>
        <v/>
      </c>
      <c r="D2657" s="91">
        <f>IF(C2657="","",IF(COUNTIF($C$4:C2656,C2657)=0,SUMIF($C$4:$C$3997,C2657,$B$4:$B$3997)-ROW()/1000000,""))</f>
        <v/>
      </c>
      <c r="E2657" s="91">
        <f>IF(N('Deal maths'!M660)&gt;0,ROW()/10000000,"")</f>
        <v/>
      </c>
    </row>
    <row r="2658">
      <c r="A2658" s="91" t="n"/>
      <c r="B2658" s="111">
        <f>MAX(0,N('Deal maths'!M661))</f>
        <v/>
      </c>
      <c r="C2658" s="91">
        <f>IF(B2658&gt;0,IF('Deal maths'!L661="Local authority","Local authorities",LOWER(TRIM('Deal maths'!K661))),"")</f>
        <v/>
      </c>
      <c r="D2658" s="91">
        <f>IF(C2658="","",IF(COUNTIF($C$4:C2657,C2658)=0,SUMIF($C$4:$C$3997,C2658,$B$4:$B$3997)-ROW()/1000000,""))</f>
        <v/>
      </c>
      <c r="E2658" s="91">
        <f>IF(N('Deal maths'!M661)&gt;0,ROW()/10000000,"")</f>
        <v/>
      </c>
    </row>
    <row r="2659">
      <c r="A2659" s="91" t="n"/>
      <c r="B2659" s="111">
        <f>MAX(0,N('Deal maths'!M662))</f>
        <v/>
      </c>
      <c r="C2659" s="91">
        <f>IF(B2659&gt;0,IF('Deal maths'!L662="Local authority","Local authorities",LOWER(TRIM('Deal maths'!K662))),"")</f>
        <v/>
      </c>
      <c r="D2659" s="91">
        <f>IF(C2659="","",IF(COUNTIF($C$4:C2658,C2659)=0,SUMIF($C$4:$C$3997,C2659,$B$4:$B$3997)-ROW()/1000000,""))</f>
        <v/>
      </c>
      <c r="E2659" s="91">
        <f>IF(N('Deal maths'!M662)&gt;0,ROW()/10000000,"")</f>
        <v/>
      </c>
    </row>
    <row r="2660">
      <c r="A2660" s="91" t="n"/>
      <c r="B2660" s="111">
        <f>MAX(0,N('Deal maths'!M663))</f>
        <v/>
      </c>
      <c r="C2660" s="91">
        <f>IF(B2660&gt;0,IF('Deal maths'!L663="Local authority","Local authorities",LOWER(TRIM('Deal maths'!K663))),"")</f>
        <v/>
      </c>
      <c r="D2660" s="91">
        <f>IF(C2660="","",IF(COUNTIF($C$4:C2659,C2660)=0,SUMIF($C$4:$C$3997,C2660,$B$4:$B$3997)-ROW()/1000000,""))</f>
        <v/>
      </c>
      <c r="E2660" s="91">
        <f>IF(N('Deal maths'!M663)&gt;0,ROW()/10000000,"")</f>
        <v/>
      </c>
    </row>
    <row r="2661">
      <c r="A2661" s="91" t="n"/>
      <c r="B2661" s="111">
        <f>MAX(0,N('Deal maths'!M664))</f>
        <v/>
      </c>
      <c r="C2661" s="91">
        <f>IF(B2661&gt;0,IF('Deal maths'!L664="Local authority","Local authorities",LOWER(TRIM('Deal maths'!K664))),"")</f>
        <v/>
      </c>
      <c r="D2661" s="91">
        <f>IF(C2661="","",IF(COUNTIF($C$4:C2660,C2661)=0,SUMIF($C$4:$C$3997,C2661,$B$4:$B$3997)-ROW()/1000000,""))</f>
        <v/>
      </c>
      <c r="E2661" s="91">
        <f>IF(N('Deal maths'!M664)&gt;0,ROW()/10000000,"")</f>
        <v/>
      </c>
    </row>
    <row r="2662">
      <c r="A2662" s="91" t="n"/>
      <c r="B2662" s="111">
        <f>MAX(0,N('Deal maths'!M665))</f>
        <v/>
      </c>
      <c r="C2662" s="91">
        <f>IF(B2662&gt;0,IF('Deal maths'!L665="Local authority","Local authorities",LOWER(TRIM('Deal maths'!K665))),"")</f>
        <v/>
      </c>
      <c r="D2662" s="91">
        <f>IF(C2662="","",IF(COUNTIF($C$4:C2661,C2662)=0,SUMIF($C$4:$C$3997,C2662,$B$4:$B$3997)-ROW()/1000000,""))</f>
        <v/>
      </c>
      <c r="E2662" s="91">
        <f>IF(N('Deal maths'!M665)&gt;0,ROW()/10000000,"")</f>
        <v/>
      </c>
    </row>
    <row r="2663">
      <c r="A2663" s="91" t="n"/>
      <c r="B2663" s="111">
        <f>MAX(0,N('Deal maths'!M666))</f>
        <v/>
      </c>
      <c r="C2663" s="91">
        <f>IF(B2663&gt;0,IF('Deal maths'!L666="Local authority","Local authorities",LOWER(TRIM('Deal maths'!K666))),"")</f>
        <v/>
      </c>
      <c r="D2663" s="91">
        <f>IF(C2663="","",IF(COUNTIF($C$4:C2662,C2663)=0,SUMIF($C$4:$C$3997,C2663,$B$4:$B$3997)-ROW()/1000000,""))</f>
        <v/>
      </c>
      <c r="E2663" s="91">
        <f>IF(N('Deal maths'!M666)&gt;0,ROW()/10000000,"")</f>
        <v/>
      </c>
    </row>
    <row r="2664">
      <c r="A2664" s="91" t="n"/>
      <c r="B2664" s="111">
        <f>MAX(0,N('Deal maths'!M667))</f>
        <v/>
      </c>
      <c r="C2664" s="91">
        <f>IF(B2664&gt;0,IF('Deal maths'!L667="Local authority","Local authorities",LOWER(TRIM('Deal maths'!K667))),"")</f>
        <v/>
      </c>
      <c r="D2664" s="91">
        <f>IF(C2664="","",IF(COUNTIF($C$4:C2663,C2664)=0,SUMIF($C$4:$C$3997,C2664,$B$4:$B$3997)-ROW()/1000000,""))</f>
        <v/>
      </c>
      <c r="E2664" s="91">
        <f>IF(N('Deal maths'!M667)&gt;0,ROW()/10000000,"")</f>
        <v/>
      </c>
    </row>
    <row r="2665">
      <c r="A2665" s="91" t="n"/>
      <c r="B2665" s="111">
        <f>MAX(0,N('Deal maths'!M668))</f>
        <v/>
      </c>
      <c r="C2665" s="91">
        <f>IF(B2665&gt;0,IF('Deal maths'!L668="Local authority","Local authorities",LOWER(TRIM('Deal maths'!K668))),"")</f>
        <v/>
      </c>
      <c r="D2665" s="91">
        <f>IF(C2665="","",IF(COUNTIF($C$4:C2664,C2665)=0,SUMIF($C$4:$C$3997,C2665,$B$4:$B$3997)-ROW()/1000000,""))</f>
        <v/>
      </c>
      <c r="E2665" s="91">
        <f>IF(N('Deal maths'!M668)&gt;0,ROW()/10000000,"")</f>
        <v/>
      </c>
    </row>
    <row r="2666">
      <c r="A2666" s="91" t="n"/>
      <c r="B2666" s="111">
        <f>MAX(0,N('Deal maths'!M669))</f>
        <v/>
      </c>
      <c r="C2666" s="91">
        <f>IF(B2666&gt;0,IF('Deal maths'!L669="Local authority","Local authorities",LOWER(TRIM('Deal maths'!K669))),"")</f>
        <v/>
      </c>
      <c r="D2666" s="91">
        <f>IF(C2666="","",IF(COUNTIF($C$4:C2665,C2666)=0,SUMIF($C$4:$C$3997,C2666,$B$4:$B$3997)-ROW()/1000000,""))</f>
        <v/>
      </c>
      <c r="E2666" s="91">
        <f>IF(N('Deal maths'!M669)&gt;0,ROW()/10000000,"")</f>
        <v/>
      </c>
    </row>
    <row r="2667">
      <c r="A2667" s="91" t="n"/>
      <c r="B2667" s="111">
        <f>MAX(0,N('Deal maths'!M670))</f>
        <v/>
      </c>
      <c r="C2667" s="91">
        <f>IF(B2667&gt;0,IF('Deal maths'!L670="Local authority","Local authorities",LOWER(TRIM('Deal maths'!K670))),"")</f>
        <v/>
      </c>
      <c r="D2667" s="91">
        <f>IF(C2667="","",IF(COUNTIF($C$4:C2666,C2667)=0,SUMIF($C$4:$C$3997,C2667,$B$4:$B$3997)-ROW()/1000000,""))</f>
        <v/>
      </c>
      <c r="E2667" s="91">
        <f>IF(N('Deal maths'!M670)&gt;0,ROW()/10000000,"")</f>
        <v/>
      </c>
    </row>
    <row r="2668">
      <c r="A2668" s="91" t="n"/>
      <c r="B2668" s="111">
        <f>MAX(0,N('Deal maths'!M671))</f>
        <v/>
      </c>
      <c r="C2668" s="91">
        <f>IF(B2668&gt;0,IF('Deal maths'!L671="Local authority","Local authorities",LOWER(TRIM('Deal maths'!K671))),"")</f>
        <v/>
      </c>
      <c r="D2668" s="91">
        <f>IF(C2668="","",IF(COUNTIF($C$4:C2667,C2668)=0,SUMIF($C$4:$C$3997,C2668,$B$4:$B$3997)-ROW()/1000000,""))</f>
        <v/>
      </c>
      <c r="E2668" s="91">
        <f>IF(N('Deal maths'!M671)&gt;0,ROW()/10000000,"")</f>
        <v/>
      </c>
    </row>
    <row r="2669">
      <c r="A2669" s="91" t="n"/>
      <c r="B2669" s="111">
        <f>MAX(0,N('Deal maths'!M672))</f>
        <v/>
      </c>
      <c r="C2669" s="91">
        <f>IF(B2669&gt;0,IF('Deal maths'!L672="Local authority","Local authorities",LOWER(TRIM('Deal maths'!K672))),"")</f>
        <v/>
      </c>
      <c r="D2669" s="91">
        <f>IF(C2669="","",IF(COUNTIF($C$4:C2668,C2669)=0,SUMIF($C$4:$C$3997,C2669,$B$4:$B$3997)-ROW()/1000000,""))</f>
        <v/>
      </c>
      <c r="E2669" s="91">
        <f>IF(N('Deal maths'!M672)&gt;0,ROW()/10000000,"")</f>
        <v/>
      </c>
    </row>
    <row r="2670">
      <c r="A2670" s="91" t="n"/>
      <c r="B2670" s="111">
        <f>MAX(0,N('Deal maths'!M673))</f>
        <v/>
      </c>
      <c r="C2670" s="91">
        <f>IF(B2670&gt;0,IF('Deal maths'!L673="Local authority","Local authorities",LOWER(TRIM('Deal maths'!K673))),"")</f>
        <v/>
      </c>
      <c r="D2670" s="91">
        <f>IF(C2670="","",IF(COUNTIF($C$4:C2669,C2670)=0,SUMIF($C$4:$C$3997,C2670,$B$4:$B$3997)-ROW()/1000000,""))</f>
        <v/>
      </c>
      <c r="E2670" s="91">
        <f>IF(N('Deal maths'!M673)&gt;0,ROW()/10000000,"")</f>
        <v/>
      </c>
    </row>
    <row r="2671">
      <c r="A2671" s="91" t="n"/>
      <c r="B2671" s="111">
        <f>MAX(0,N('Deal maths'!M674))</f>
        <v/>
      </c>
      <c r="C2671" s="91">
        <f>IF(B2671&gt;0,IF('Deal maths'!L674="Local authority","Local authorities",LOWER(TRIM('Deal maths'!K674))),"")</f>
        <v/>
      </c>
      <c r="D2671" s="91">
        <f>IF(C2671="","",IF(COUNTIF($C$4:C2670,C2671)=0,SUMIF($C$4:$C$3997,C2671,$B$4:$B$3997)-ROW()/1000000,""))</f>
        <v/>
      </c>
      <c r="E2671" s="91">
        <f>IF(N('Deal maths'!M674)&gt;0,ROW()/10000000,"")</f>
        <v/>
      </c>
    </row>
    <row r="2672">
      <c r="A2672" s="91" t="n"/>
      <c r="B2672" s="111">
        <f>MAX(0,N('Deal maths'!M675))</f>
        <v/>
      </c>
      <c r="C2672" s="91">
        <f>IF(B2672&gt;0,IF('Deal maths'!L675="Local authority","Local authorities",LOWER(TRIM('Deal maths'!K675))),"")</f>
        <v/>
      </c>
      <c r="D2672" s="91">
        <f>IF(C2672="","",IF(COUNTIF($C$4:C2671,C2672)=0,SUMIF($C$4:$C$3997,C2672,$B$4:$B$3997)-ROW()/1000000,""))</f>
        <v/>
      </c>
      <c r="E2672" s="91">
        <f>IF(N('Deal maths'!M675)&gt;0,ROW()/10000000,"")</f>
        <v/>
      </c>
    </row>
    <row r="2673">
      <c r="A2673" s="91" t="n"/>
      <c r="B2673" s="111">
        <f>MAX(0,N('Deal maths'!M676))</f>
        <v/>
      </c>
      <c r="C2673" s="91">
        <f>IF(B2673&gt;0,IF('Deal maths'!L676="Local authority","Local authorities",LOWER(TRIM('Deal maths'!K676))),"")</f>
        <v/>
      </c>
      <c r="D2673" s="91">
        <f>IF(C2673="","",IF(COUNTIF($C$4:C2672,C2673)=0,SUMIF($C$4:$C$3997,C2673,$B$4:$B$3997)-ROW()/1000000,""))</f>
        <v/>
      </c>
      <c r="E2673" s="91">
        <f>IF(N('Deal maths'!M676)&gt;0,ROW()/10000000,"")</f>
        <v/>
      </c>
    </row>
    <row r="2674">
      <c r="A2674" s="91" t="n"/>
      <c r="B2674" s="111">
        <f>MAX(0,N('Deal maths'!M677))</f>
        <v/>
      </c>
      <c r="C2674" s="91">
        <f>IF(B2674&gt;0,IF('Deal maths'!L677="Local authority","Local authorities",LOWER(TRIM('Deal maths'!K677))),"")</f>
        <v/>
      </c>
      <c r="D2674" s="91">
        <f>IF(C2674="","",IF(COUNTIF($C$4:C2673,C2674)=0,SUMIF($C$4:$C$3997,C2674,$B$4:$B$3997)-ROW()/1000000,""))</f>
        <v/>
      </c>
      <c r="E2674" s="91">
        <f>IF(N('Deal maths'!M677)&gt;0,ROW()/10000000,"")</f>
        <v/>
      </c>
    </row>
    <row r="2675">
      <c r="A2675" s="91" t="n"/>
      <c r="B2675" s="111">
        <f>MAX(0,N('Deal maths'!M678))</f>
        <v/>
      </c>
      <c r="C2675" s="91">
        <f>IF(B2675&gt;0,IF('Deal maths'!L678="Local authority","Local authorities",LOWER(TRIM('Deal maths'!K678))),"")</f>
        <v/>
      </c>
      <c r="D2675" s="91">
        <f>IF(C2675="","",IF(COUNTIF($C$4:C2674,C2675)=0,SUMIF($C$4:$C$3997,C2675,$B$4:$B$3997)-ROW()/1000000,""))</f>
        <v/>
      </c>
      <c r="E2675" s="91">
        <f>IF(N('Deal maths'!M678)&gt;0,ROW()/10000000,"")</f>
        <v/>
      </c>
    </row>
    <row r="2676">
      <c r="A2676" s="91" t="n"/>
      <c r="B2676" s="111">
        <f>MAX(0,N('Deal maths'!M679))</f>
        <v/>
      </c>
      <c r="C2676" s="91">
        <f>IF(B2676&gt;0,IF('Deal maths'!L679="Local authority","Local authorities",LOWER(TRIM('Deal maths'!K679))),"")</f>
        <v/>
      </c>
      <c r="D2676" s="91">
        <f>IF(C2676="","",IF(COUNTIF($C$4:C2675,C2676)=0,SUMIF($C$4:$C$3997,C2676,$B$4:$B$3997)-ROW()/1000000,""))</f>
        <v/>
      </c>
      <c r="E2676" s="91">
        <f>IF(N('Deal maths'!M679)&gt;0,ROW()/10000000,"")</f>
        <v/>
      </c>
    </row>
    <row r="2677">
      <c r="A2677" s="91" t="n"/>
      <c r="B2677" s="111">
        <f>MAX(0,N('Deal maths'!M680))</f>
        <v/>
      </c>
      <c r="C2677" s="91">
        <f>IF(B2677&gt;0,IF('Deal maths'!L680="Local authority","Local authorities",LOWER(TRIM('Deal maths'!K680))),"")</f>
        <v/>
      </c>
      <c r="D2677" s="91">
        <f>IF(C2677="","",IF(COUNTIF($C$4:C2676,C2677)=0,SUMIF($C$4:$C$3997,C2677,$B$4:$B$3997)-ROW()/1000000,""))</f>
        <v/>
      </c>
      <c r="E2677" s="91">
        <f>IF(N('Deal maths'!M680)&gt;0,ROW()/10000000,"")</f>
        <v/>
      </c>
    </row>
    <row r="2678">
      <c r="A2678" s="91" t="n"/>
      <c r="B2678" s="111">
        <f>MAX(0,N('Deal maths'!M681))</f>
        <v/>
      </c>
      <c r="C2678" s="91">
        <f>IF(B2678&gt;0,IF('Deal maths'!L681="Local authority","Local authorities",LOWER(TRIM('Deal maths'!K681))),"")</f>
        <v/>
      </c>
      <c r="D2678" s="91">
        <f>IF(C2678="","",IF(COUNTIF($C$4:C2677,C2678)=0,SUMIF($C$4:$C$3997,C2678,$B$4:$B$3997)-ROW()/1000000,""))</f>
        <v/>
      </c>
      <c r="E2678" s="91">
        <f>IF(N('Deal maths'!M681)&gt;0,ROW()/10000000,"")</f>
        <v/>
      </c>
    </row>
    <row r="2679">
      <c r="A2679" s="91" t="n"/>
      <c r="B2679" s="111">
        <f>MAX(0,N('Deal maths'!M682))</f>
        <v/>
      </c>
      <c r="C2679" s="91">
        <f>IF(B2679&gt;0,IF('Deal maths'!L682="Local authority","Local authorities",LOWER(TRIM('Deal maths'!K682))),"")</f>
        <v/>
      </c>
      <c r="D2679" s="91">
        <f>IF(C2679="","",IF(COUNTIF($C$4:C2678,C2679)=0,SUMIF($C$4:$C$3997,C2679,$B$4:$B$3997)-ROW()/1000000,""))</f>
        <v/>
      </c>
      <c r="E2679" s="91">
        <f>IF(N('Deal maths'!M682)&gt;0,ROW()/10000000,"")</f>
        <v/>
      </c>
    </row>
    <row r="2680">
      <c r="A2680" s="91" t="n"/>
      <c r="B2680" s="111">
        <f>MAX(0,N('Deal maths'!M683))</f>
        <v/>
      </c>
      <c r="C2680" s="91">
        <f>IF(B2680&gt;0,IF('Deal maths'!L683="Local authority","Local authorities",LOWER(TRIM('Deal maths'!K683))),"")</f>
        <v/>
      </c>
      <c r="D2680" s="91">
        <f>IF(C2680="","",IF(COUNTIF($C$4:C2679,C2680)=0,SUMIF($C$4:$C$3997,C2680,$B$4:$B$3997)-ROW()/1000000,""))</f>
        <v/>
      </c>
      <c r="E2680" s="91">
        <f>IF(N('Deal maths'!M683)&gt;0,ROW()/10000000,"")</f>
        <v/>
      </c>
    </row>
    <row r="2681">
      <c r="A2681" s="91" t="n"/>
      <c r="B2681" s="111">
        <f>MAX(0,N('Deal maths'!M684))</f>
        <v/>
      </c>
      <c r="C2681" s="91">
        <f>IF(B2681&gt;0,IF('Deal maths'!L684="Local authority","Local authorities",LOWER(TRIM('Deal maths'!K684))),"")</f>
        <v/>
      </c>
      <c r="D2681" s="91">
        <f>IF(C2681="","",IF(COUNTIF($C$4:C2680,C2681)=0,SUMIF($C$4:$C$3997,C2681,$B$4:$B$3997)-ROW()/1000000,""))</f>
        <v/>
      </c>
      <c r="E2681" s="91">
        <f>IF(N('Deal maths'!M684)&gt;0,ROW()/10000000,"")</f>
        <v/>
      </c>
    </row>
    <row r="2682">
      <c r="A2682" s="91" t="n"/>
      <c r="B2682" s="111">
        <f>MAX(0,N('Deal maths'!M685))</f>
        <v/>
      </c>
      <c r="C2682" s="91">
        <f>IF(B2682&gt;0,IF('Deal maths'!L685="Local authority","Local authorities",LOWER(TRIM('Deal maths'!K685))),"")</f>
        <v/>
      </c>
      <c r="D2682" s="91">
        <f>IF(C2682="","",IF(COUNTIF($C$4:C2681,C2682)=0,SUMIF($C$4:$C$3997,C2682,$B$4:$B$3997)-ROW()/1000000,""))</f>
        <v/>
      </c>
      <c r="E2682" s="91">
        <f>IF(N('Deal maths'!M685)&gt;0,ROW()/10000000,"")</f>
        <v/>
      </c>
    </row>
    <row r="2683">
      <c r="A2683" s="91" t="n"/>
      <c r="B2683" s="111">
        <f>MAX(0,N('Deal maths'!M686))</f>
        <v/>
      </c>
      <c r="C2683" s="91">
        <f>IF(B2683&gt;0,IF('Deal maths'!L686="Local authority","Local authorities",LOWER(TRIM('Deal maths'!K686))),"")</f>
        <v/>
      </c>
      <c r="D2683" s="91">
        <f>IF(C2683="","",IF(COUNTIF($C$4:C2682,C2683)=0,SUMIF($C$4:$C$3997,C2683,$B$4:$B$3997)-ROW()/1000000,""))</f>
        <v/>
      </c>
      <c r="E2683" s="91">
        <f>IF(N('Deal maths'!M686)&gt;0,ROW()/10000000,"")</f>
        <v/>
      </c>
    </row>
    <row r="2684">
      <c r="A2684" s="91" t="n"/>
      <c r="B2684" s="111">
        <f>MAX(0,N('Deal maths'!M687))</f>
        <v/>
      </c>
      <c r="C2684" s="91">
        <f>IF(B2684&gt;0,IF('Deal maths'!L687="Local authority","Local authorities",LOWER(TRIM('Deal maths'!K687))),"")</f>
        <v/>
      </c>
      <c r="D2684" s="91">
        <f>IF(C2684="","",IF(COUNTIF($C$4:C2683,C2684)=0,SUMIF($C$4:$C$3997,C2684,$B$4:$B$3997)-ROW()/1000000,""))</f>
        <v/>
      </c>
      <c r="E2684" s="91">
        <f>IF(N('Deal maths'!M687)&gt;0,ROW()/10000000,"")</f>
        <v/>
      </c>
    </row>
    <row r="2685">
      <c r="A2685" s="91" t="n"/>
      <c r="B2685" s="111">
        <f>MAX(0,N('Deal maths'!M688))</f>
        <v/>
      </c>
      <c r="C2685" s="91">
        <f>IF(B2685&gt;0,IF('Deal maths'!L688="Local authority","Local authorities",LOWER(TRIM('Deal maths'!K688))),"")</f>
        <v/>
      </c>
      <c r="D2685" s="91">
        <f>IF(C2685="","",IF(COUNTIF($C$4:C2684,C2685)=0,SUMIF($C$4:$C$3997,C2685,$B$4:$B$3997)-ROW()/1000000,""))</f>
        <v/>
      </c>
      <c r="E2685" s="91">
        <f>IF(N('Deal maths'!M688)&gt;0,ROW()/10000000,"")</f>
        <v/>
      </c>
    </row>
    <row r="2686">
      <c r="A2686" s="91" t="n"/>
      <c r="B2686" s="111">
        <f>MAX(0,N('Deal maths'!M689))</f>
        <v/>
      </c>
      <c r="C2686" s="91">
        <f>IF(B2686&gt;0,IF('Deal maths'!L689="Local authority","Local authorities",LOWER(TRIM('Deal maths'!K689))),"")</f>
        <v/>
      </c>
      <c r="D2686" s="91">
        <f>IF(C2686="","",IF(COUNTIF($C$4:C2685,C2686)=0,SUMIF($C$4:$C$3997,C2686,$B$4:$B$3997)-ROW()/1000000,""))</f>
        <v/>
      </c>
      <c r="E2686" s="91">
        <f>IF(N('Deal maths'!M689)&gt;0,ROW()/10000000,"")</f>
        <v/>
      </c>
    </row>
    <row r="2687">
      <c r="A2687" s="91" t="n"/>
      <c r="B2687" s="111">
        <f>MAX(0,N('Deal maths'!M690))</f>
        <v/>
      </c>
      <c r="C2687" s="91">
        <f>IF(B2687&gt;0,IF('Deal maths'!L690="Local authority","Local authorities",LOWER(TRIM('Deal maths'!K690))),"")</f>
        <v/>
      </c>
      <c r="D2687" s="91">
        <f>IF(C2687="","",IF(COUNTIF($C$4:C2686,C2687)=0,SUMIF($C$4:$C$3997,C2687,$B$4:$B$3997)-ROW()/1000000,""))</f>
        <v/>
      </c>
      <c r="E2687" s="91">
        <f>IF(N('Deal maths'!M690)&gt;0,ROW()/10000000,"")</f>
        <v/>
      </c>
    </row>
    <row r="2688">
      <c r="A2688" s="91" t="n"/>
      <c r="B2688" s="111">
        <f>MAX(0,N('Deal maths'!M691))</f>
        <v/>
      </c>
      <c r="C2688" s="91">
        <f>IF(B2688&gt;0,IF('Deal maths'!L691="Local authority","Local authorities",LOWER(TRIM('Deal maths'!K691))),"")</f>
        <v/>
      </c>
      <c r="D2688" s="91">
        <f>IF(C2688="","",IF(COUNTIF($C$4:C2687,C2688)=0,SUMIF($C$4:$C$3997,C2688,$B$4:$B$3997)-ROW()/1000000,""))</f>
        <v/>
      </c>
      <c r="E2688" s="91">
        <f>IF(N('Deal maths'!M691)&gt;0,ROW()/10000000,"")</f>
        <v/>
      </c>
    </row>
    <row r="2689">
      <c r="A2689" s="91" t="n"/>
      <c r="B2689" s="111">
        <f>MAX(0,N('Deal maths'!M692))</f>
        <v/>
      </c>
      <c r="C2689" s="91">
        <f>IF(B2689&gt;0,IF('Deal maths'!L692="Local authority","Local authorities",LOWER(TRIM('Deal maths'!K692))),"")</f>
        <v/>
      </c>
      <c r="D2689" s="91">
        <f>IF(C2689="","",IF(COUNTIF($C$4:C2688,C2689)=0,SUMIF($C$4:$C$3997,C2689,$B$4:$B$3997)-ROW()/1000000,""))</f>
        <v/>
      </c>
      <c r="E2689" s="91">
        <f>IF(N('Deal maths'!M692)&gt;0,ROW()/10000000,"")</f>
        <v/>
      </c>
    </row>
    <row r="2690">
      <c r="A2690" s="91" t="n"/>
      <c r="B2690" s="111">
        <f>MAX(0,N('Deal maths'!M693))</f>
        <v/>
      </c>
      <c r="C2690" s="91">
        <f>IF(B2690&gt;0,IF('Deal maths'!L693="Local authority","Local authorities",LOWER(TRIM('Deal maths'!K693))),"")</f>
        <v/>
      </c>
      <c r="D2690" s="91">
        <f>IF(C2690="","",IF(COUNTIF($C$4:C2689,C2690)=0,SUMIF($C$4:$C$3997,C2690,$B$4:$B$3997)-ROW()/1000000,""))</f>
        <v/>
      </c>
      <c r="E2690" s="91">
        <f>IF(N('Deal maths'!M693)&gt;0,ROW()/10000000,"")</f>
        <v/>
      </c>
    </row>
    <row r="2691">
      <c r="A2691" s="91" t="n"/>
      <c r="B2691" s="111">
        <f>MAX(0,N('Deal maths'!M694))</f>
        <v/>
      </c>
      <c r="C2691" s="91">
        <f>IF(B2691&gt;0,IF('Deal maths'!L694="Local authority","Local authorities",LOWER(TRIM('Deal maths'!K694))),"")</f>
        <v/>
      </c>
      <c r="D2691" s="91">
        <f>IF(C2691="","",IF(COUNTIF($C$4:C2690,C2691)=0,SUMIF($C$4:$C$3997,C2691,$B$4:$B$3997)-ROW()/1000000,""))</f>
        <v/>
      </c>
      <c r="E2691" s="91">
        <f>IF(N('Deal maths'!M694)&gt;0,ROW()/10000000,"")</f>
        <v/>
      </c>
    </row>
    <row r="2692">
      <c r="A2692" s="91" t="n"/>
      <c r="B2692" s="111">
        <f>MAX(0,N('Deal maths'!M695))</f>
        <v/>
      </c>
      <c r="C2692" s="91">
        <f>IF(B2692&gt;0,IF('Deal maths'!L695="Local authority","Local authorities",LOWER(TRIM('Deal maths'!K695))),"")</f>
        <v/>
      </c>
      <c r="D2692" s="91">
        <f>IF(C2692="","",IF(COUNTIF($C$4:C2691,C2692)=0,SUMIF($C$4:$C$3997,C2692,$B$4:$B$3997)-ROW()/1000000,""))</f>
        <v/>
      </c>
      <c r="E2692" s="91">
        <f>IF(N('Deal maths'!M695)&gt;0,ROW()/10000000,"")</f>
        <v/>
      </c>
    </row>
    <row r="2693">
      <c r="A2693" s="91" t="n"/>
      <c r="B2693" s="111">
        <f>MAX(0,N('Deal maths'!M696))</f>
        <v/>
      </c>
      <c r="C2693" s="91">
        <f>IF(B2693&gt;0,IF('Deal maths'!L696="Local authority","Local authorities",LOWER(TRIM('Deal maths'!K696))),"")</f>
        <v/>
      </c>
      <c r="D2693" s="91">
        <f>IF(C2693="","",IF(COUNTIF($C$4:C2692,C2693)=0,SUMIF($C$4:$C$3997,C2693,$B$4:$B$3997)-ROW()/1000000,""))</f>
        <v/>
      </c>
      <c r="E2693" s="91">
        <f>IF(N('Deal maths'!M696)&gt;0,ROW()/10000000,"")</f>
        <v/>
      </c>
    </row>
    <row r="2694">
      <c r="A2694" s="91" t="n"/>
      <c r="B2694" s="111">
        <f>MAX(0,N('Deal maths'!M697))</f>
        <v/>
      </c>
      <c r="C2694" s="91">
        <f>IF(B2694&gt;0,IF('Deal maths'!L697="Local authority","Local authorities",LOWER(TRIM('Deal maths'!K697))),"")</f>
        <v/>
      </c>
      <c r="D2694" s="91">
        <f>IF(C2694="","",IF(COUNTIF($C$4:C2693,C2694)=0,SUMIF($C$4:$C$3997,C2694,$B$4:$B$3997)-ROW()/1000000,""))</f>
        <v/>
      </c>
      <c r="E2694" s="91">
        <f>IF(N('Deal maths'!M697)&gt;0,ROW()/10000000,"")</f>
        <v/>
      </c>
    </row>
    <row r="2695">
      <c r="A2695" s="91" t="n"/>
      <c r="B2695" s="111">
        <f>MAX(0,N('Deal maths'!M698))</f>
        <v/>
      </c>
      <c r="C2695" s="91">
        <f>IF(B2695&gt;0,IF('Deal maths'!L698="Local authority","Local authorities",LOWER(TRIM('Deal maths'!K698))),"")</f>
        <v/>
      </c>
      <c r="D2695" s="91">
        <f>IF(C2695="","",IF(COUNTIF($C$4:C2694,C2695)=0,SUMIF($C$4:$C$3997,C2695,$B$4:$B$3997)-ROW()/1000000,""))</f>
        <v/>
      </c>
      <c r="E2695" s="91">
        <f>IF(N('Deal maths'!M698)&gt;0,ROW()/10000000,"")</f>
        <v/>
      </c>
    </row>
    <row r="2696">
      <c r="A2696" s="91" t="n"/>
      <c r="B2696" s="111">
        <f>MAX(0,N('Deal maths'!M699))</f>
        <v/>
      </c>
      <c r="C2696" s="91">
        <f>IF(B2696&gt;0,IF('Deal maths'!L699="Local authority","Local authorities",LOWER(TRIM('Deal maths'!K699))),"")</f>
        <v/>
      </c>
      <c r="D2696" s="91">
        <f>IF(C2696="","",IF(COUNTIF($C$4:C2695,C2696)=0,SUMIF($C$4:$C$3997,C2696,$B$4:$B$3997)-ROW()/1000000,""))</f>
        <v/>
      </c>
      <c r="E2696" s="91">
        <f>IF(N('Deal maths'!M699)&gt;0,ROW()/10000000,"")</f>
        <v/>
      </c>
    </row>
    <row r="2697">
      <c r="A2697" s="91" t="n"/>
      <c r="B2697" s="111">
        <f>MAX(0,N('Deal maths'!M700))</f>
        <v/>
      </c>
      <c r="C2697" s="91">
        <f>IF(B2697&gt;0,IF('Deal maths'!L700="Local authority","Local authorities",LOWER(TRIM('Deal maths'!K700))),"")</f>
        <v/>
      </c>
      <c r="D2697" s="91">
        <f>IF(C2697="","",IF(COUNTIF($C$4:C2696,C2697)=0,SUMIF($C$4:$C$3997,C2697,$B$4:$B$3997)-ROW()/1000000,""))</f>
        <v/>
      </c>
      <c r="E2697" s="91">
        <f>IF(N('Deal maths'!M700)&gt;0,ROW()/10000000,"")</f>
        <v/>
      </c>
    </row>
    <row r="2698">
      <c r="A2698" s="91" t="n"/>
      <c r="B2698" s="111">
        <f>MAX(0,N('Deal maths'!M701))</f>
        <v/>
      </c>
      <c r="C2698" s="91">
        <f>IF(B2698&gt;0,IF('Deal maths'!L701="Local authority","Local authorities",LOWER(TRIM('Deal maths'!K701))),"")</f>
        <v/>
      </c>
      <c r="D2698" s="91">
        <f>IF(C2698="","",IF(COUNTIF($C$4:C2697,C2698)=0,SUMIF($C$4:$C$3997,C2698,$B$4:$B$3997)-ROW()/1000000,""))</f>
        <v/>
      </c>
      <c r="E2698" s="91">
        <f>IF(N('Deal maths'!M701)&gt;0,ROW()/10000000,"")</f>
        <v/>
      </c>
    </row>
    <row r="2699">
      <c r="A2699" s="91" t="n"/>
      <c r="B2699" s="111">
        <f>MAX(0,N('Deal maths'!M702))</f>
        <v/>
      </c>
      <c r="C2699" s="91">
        <f>IF(B2699&gt;0,IF('Deal maths'!L702="Local authority","Local authorities",LOWER(TRIM('Deal maths'!K702))),"")</f>
        <v/>
      </c>
      <c r="D2699" s="91">
        <f>IF(C2699="","",IF(COUNTIF($C$4:C2698,C2699)=0,SUMIF($C$4:$C$3997,C2699,$B$4:$B$3997)-ROW()/1000000,""))</f>
        <v/>
      </c>
      <c r="E2699" s="91">
        <f>IF(N('Deal maths'!M702)&gt;0,ROW()/10000000,"")</f>
        <v/>
      </c>
    </row>
    <row r="2700">
      <c r="A2700" s="91" t="n"/>
      <c r="B2700" s="111">
        <f>MAX(0,N('Deal maths'!M703))</f>
        <v/>
      </c>
      <c r="C2700" s="91">
        <f>IF(B2700&gt;0,IF('Deal maths'!L703="Local authority","Local authorities",LOWER(TRIM('Deal maths'!K703))),"")</f>
        <v/>
      </c>
      <c r="D2700" s="91">
        <f>IF(C2700="","",IF(COUNTIF($C$4:C2699,C2700)=0,SUMIF($C$4:$C$3997,C2700,$B$4:$B$3997)-ROW()/1000000,""))</f>
        <v/>
      </c>
      <c r="E2700" s="91">
        <f>IF(N('Deal maths'!M703)&gt;0,ROW()/10000000,"")</f>
        <v/>
      </c>
    </row>
    <row r="2701">
      <c r="A2701" s="91" t="n"/>
      <c r="B2701" s="111">
        <f>MAX(0,N('Deal maths'!M704))</f>
        <v/>
      </c>
      <c r="C2701" s="91">
        <f>IF(B2701&gt;0,IF('Deal maths'!L704="Local authority","Local authorities",LOWER(TRIM('Deal maths'!K704))),"")</f>
        <v/>
      </c>
      <c r="D2701" s="91">
        <f>IF(C2701="","",IF(COUNTIF($C$4:C2700,C2701)=0,SUMIF($C$4:$C$3997,C2701,$B$4:$B$3997)-ROW()/1000000,""))</f>
        <v/>
      </c>
      <c r="E2701" s="91">
        <f>IF(N('Deal maths'!M704)&gt;0,ROW()/10000000,"")</f>
        <v/>
      </c>
    </row>
    <row r="2702">
      <c r="A2702" s="91" t="n"/>
      <c r="B2702" s="111">
        <f>MAX(0,N('Deal maths'!M705))</f>
        <v/>
      </c>
      <c r="C2702" s="91">
        <f>IF(B2702&gt;0,IF('Deal maths'!L705="Local authority","Local authorities",LOWER(TRIM('Deal maths'!K705))),"")</f>
        <v/>
      </c>
      <c r="D2702" s="91">
        <f>IF(C2702="","",IF(COUNTIF($C$4:C2701,C2702)=0,SUMIF($C$4:$C$3997,C2702,$B$4:$B$3997)-ROW()/1000000,""))</f>
        <v/>
      </c>
      <c r="E2702" s="91">
        <f>IF(N('Deal maths'!M705)&gt;0,ROW()/10000000,"")</f>
        <v/>
      </c>
    </row>
    <row r="2703">
      <c r="A2703" s="91" t="n"/>
      <c r="B2703" s="111">
        <f>MAX(0,N('Deal maths'!M706))</f>
        <v/>
      </c>
      <c r="C2703" s="91">
        <f>IF(B2703&gt;0,IF('Deal maths'!L706="Local authority","Local authorities",LOWER(TRIM('Deal maths'!K706))),"")</f>
        <v/>
      </c>
      <c r="D2703" s="91">
        <f>IF(C2703="","",IF(COUNTIF($C$4:C2702,C2703)=0,SUMIF($C$4:$C$3997,C2703,$B$4:$B$3997)-ROW()/1000000,""))</f>
        <v/>
      </c>
      <c r="E2703" s="91">
        <f>IF(N('Deal maths'!M706)&gt;0,ROW()/10000000,"")</f>
        <v/>
      </c>
    </row>
    <row r="2704">
      <c r="A2704" s="91" t="n"/>
      <c r="B2704" s="111">
        <f>MAX(0,N('Deal maths'!M707))</f>
        <v/>
      </c>
      <c r="C2704" s="91">
        <f>IF(B2704&gt;0,IF('Deal maths'!L707="Local authority","Local authorities",LOWER(TRIM('Deal maths'!K707))),"")</f>
        <v/>
      </c>
      <c r="D2704" s="91">
        <f>IF(C2704="","",IF(COUNTIF($C$4:C2703,C2704)=0,SUMIF($C$4:$C$3997,C2704,$B$4:$B$3997)-ROW()/1000000,""))</f>
        <v/>
      </c>
      <c r="E2704" s="91">
        <f>IF(N('Deal maths'!M707)&gt;0,ROW()/10000000,"")</f>
        <v/>
      </c>
    </row>
    <row r="2705">
      <c r="A2705" s="91" t="n"/>
      <c r="B2705" s="111">
        <f>MAX(0,N('Deal maths'!M708))</f>
        <v/>
      </c>
      <c r="C2705" s="91">
        <f>IF(B2705&gt;0,IF('Deal maths'!L708="Local authority","Local authorities",LOWER(TRIM('Deal maths'!K708))),"")</f>
        <v/>
      </c>
      <c r="D2705" s="91">
        <f>IF(C2705="","",IF(COUNTIF($C$4:C2704,C2705)=0,SUMIF($C$4:$C$3997,C2705,$B$4:$B$3997)-ROW()/1000000,""))</f>
        <v/>
      </c>
      <c r="E2705" s="91">
        <f>IF(N('Deal maths'!M708)&gt;0,ROW()/10000000,"")</f>
        <v/>
      </c>
    </row>
    <row r="2706">
      <c r="A2706" s="91" t="n"/>
      <c r="B2706" s="111">
        <f>MAX(0,N('Deal maths'!M709))</f>
        <v/>
      </c>
      <c r="C2706" s="91">
        <f>IF(B2706&gt;0,IF('Deal maths'!L709="Local authority","Local authorities",LOWER(TRIM('Deal maths'!K709))),"")</f>
        <v/>
      </c>
      <c r="D2706" s="91">
        <f>IF(C2706="","",IF(COUNTIF($C$4:C2705,C2706)=0,SUMIF($C$4:$C$3997,C2706,$B$4:$B$3997)-ROW()/1000000,""))</f>
        <v/>
      </c>
      <c r="E2706" s="91">
        <f>IF(N('Deal maths'!M709)&gt;0,ROW()/10000000,"")</f>
        <v/>
      </c>
    </row>
    <row r="2707">
      <c r="A2707" s="91" t="n"/>
      <c r="B2707" s="111">
        <f>MAX(0,N('Deal maths'!M710))</f>
        <v/>
      </c>
      <c r="C2707" s="91">
        <f>IF(B2707&gt;0,IF('Deal maths'!L710="Local authority","Local authorities",LOWER(TRIM('Deal maths'!K710))),"")</f>
        <v/>
      </c>
      <c r="D2707" s="91">
        <f>IF(C2707="","",IF(COUNTIF($C$4:C2706,C2707)=0,SUMIF($C$4:$C$3997,C2707,$B$4:$B$3997)-ROW()/1000000,""))</f>
        <v/>
      </c>
      <c r="E2707" s="91">
        <f>IF(N('Deal maths'!M710)&gt;0,ROW()/10000000,"")</f>
        <v/>
      </c>
    </row>
    <row r="2708">
      <c r="A2708" s="91" t="n"/>
      <c r="B2708" s="111">
        <f>MAX(0,N('Deal maths'!M711))</f>
        <v/>
      </c>
      <c r="C2708" s="91">
        <f>IF(B2708&gt;0,IF('Deal maths'!L711="Local authority","Local authorities",LOWER(TRIM('Deal maths'!K711))),"")</f>
        <v/>
      </c>
      <c r="D2708" s="91">
        <f>IF(C2708="","",IF(COUNTIF($C$4:C2707,C2708)=0,SUMIF($C$4:$C$3997,C2708,$B$4:$B$3997)-ROW()/1000000,""))</f>
        <v/>
      </c>
      <c r="E2708" s="91">
        <f>IF(N('Deal maths'!M711)&gt;0,ROW()/10000000,"")</f>
        <v/>
      </c>
    </row>
    <row r="2709">
      <c r="A2709" s="91" t="n"/>
      <c r="B2709" s="111">
        <f>MAX(0,N('Deal maths'!M712))</f>
        <v/>
      </c>
      <c r="C2709" s="91">
        <f>IF(B2709&gt;0,IF('Deal maths'!L712="Local authority","Local authorities",LOWER(TRIM('Deal maths'!K712))),"")</f>
        <v/>
      </c>
      <c r="D2709" s="91">
        <f>IF(C2709="","",IF(COUNTIF($C$4:C2708,C2709)=0,SUMIF($C$4:$C$3997,C2709,$B$4:$B$3997)-ROW()/1000000,""))</f>
        <v/>
      </c>
      <c r="E2709" s="91">
        <f>IF(N('Deal maths'!M712)&gt;0,ROW()/10000000,"")</f>
        <v/>
      </c>
    </row>
    <row r="2710">
      <c r="A2710" s="91" t="n"/>
      <c r="B2710" s="111">
        <f>MAX(0,N('Deal maths'!M713))</f>
        <v/>
      </c>
      <c r="C2710" s="91">
        <f>IF(B2710&gt;0,IF('Deal maths'!L713="Local authority","Local authorities",LOWER(TRIM('Deal maths'!K713))),"")</f>
        <v/>
      </c>
      <c r="D2710" s="91">
        <f>IF(C2710="","",IF(COUNTIF($C$4:C2709,C2710)=0,SUMIF($C$4:$C$3997,C2710,$B$4:$B$3997)-ROW()/1000000,""))</f>
        <v/>
      </c>
      <c r="E2710" s="91">
        <f>IF(N('Deal maths'!M713)&gt;0,ROW()/10000000,"")</f>
        <v/>
      </c>
    </row>
    <row r="2711">
      <c r="A2711" s="91" t="n"/>
      <c r="B2711" s="111">
        <f>MAX(0,N('Deal maths'!M714))</f>
        <v/>
      </c>
      <c r="C2711" s="91">
        <f>IF(B2711&gt;0,IF('Deal maths'!L714="Local authority","Local authorities",LOWER(TRIM('Deal maths'!K714))),"")</f>
        <v/>
      </c>
      <c r="D2711" s="91">
        <f>IF(C2711="","",IF(COUNTIF($C$4:C2710,C2711)=0,SUMIF($C$4:$C$3997,C2711,$B$4:$B$3997)-ROW()/1000000,""))</f>
        <v/>
      </c>
      <c r="E2711" s="91">
        <f>IF(N('Deal maths'!M714)&gt;0,ROW()/10000000,"")</f>
        <v/>
      </c>
    </row>
    <row r="2712">
      <c r="A2712" s="91" t="n"/>
      <c r="B2712" s="111">
        <f>MAX(0,N('Deal maths'!M715))</f>
        <v/>
      </c>
      <c r="C2712" s="91">
        <f>IF(B2712&gt;0,IF('Deal maths'!L715="Local authority","Local authorities",LOWER(TRIM('Deal maths'!K715))),"")</f>
        <v/>
      </c>
      <c r="D2712" s="91">
        <f>IF(C2712="","",IF(COUNTIF($C$4:C2711,C2712)=0,SUMIF($C$4:$C$3997,C2712,$B$4:$B$3997)-ROW()/1000000,""))</f>
        <v/>
      </c>
      <c r="E2712" s="91">
        <f>IF(N('Deal maths'!M715)&gt;0,ROW()/10000000,"")</f>
        <v/>
      </c>
    </row>
    <row r="2713">
      <c r="A2713" s="91" t="n"/>
      <c r="B2713" s="111">
        <f>MAX(0,N('Deal maths'!M716))</f>
        <v/>
      </c>
      <c r="C2713" s="91">
        <f>IF(B2713&gt;0,IF('Deal maths'!L716="Local authority","Local authorities",LOWER(TRIM('Deal maths'!K716))),"")</f>
        <v/>
      </c>
      <c r="D2713" s="91">
        <f>IF(C2713="","",IF(COUNTIF($C$4:C2712,C2713)=0,SUMIF($C$4:$C$3997,C2713,$B$4:$B$3997)-ROW()/1000000,""))</f>
        <v/>
      </c>
      <c r="E2713" s="91">
        <f>IF(N('Deal maths'!M716)&gt;0,ROW()/10000000,"")</f>
        <v/>
      </c>
    </row>
    <row r="2714">
      <c r="A2714" s="91" t="n"/>
      <c r="B2714" s="111">
        <f>MAX(0,N('Deal maths'!M717))</f>
        <v/>
      </c>
      <c r="C2714" s="91">
        <f>IF(B2714&gt;0,IF('Deal maths'!L717="Local authority","Local authorities",LOWER(TRIM('Deal maths'!K717))),"")</f>
        <v/>
      </c>
      <c r="D2714" s="91">
        <f>IF(C2714="","",IF(COUNTIF($C$4:C2713,C2714)=0,SUMIF($C$4:$C$3997,C2714,$B$4:$B$3997)-ROW()/1000000,""))</f>
        <v/>
      </c>
      <c r="E2714" s="91">
        <f>IF(N('Deal maths'!M717)&gt;0,ROW()/10000000,"")</f>
        <v/>
      </c>
    </row>
    <row r="2715">
      <c r="A2715" s="91" t="n"/>
      <c r="B2715" s="111">
        <f>MAX(0,N('Deal maths'!M718))</f>
        <v/>
      </c>
      <c r="C2715" s="91">
        <f>IF(B2715&gt;0,IF('Deal maths'!L718="Local authority","Local authorities",LOWER(TRIM('Deal maths'!K718))),"")</f>
        <v/>
      </c>
      <c r="D2715" s="91">
        <f>IF(C2715="","",IF(COUNTIF($C$4:C2714,C2715)=0,SUMIF($C$4:$C$3997,C2715,$B$4:$B$3997)-ROW()/1000000,""))</f>
        <v/>
      </c>
      <c r="E2715" s="91">
        <f>IF(N('Deal maths'!M718)&gt;0,ROW()/10000000,"")</f>
        <v/>
      </c>
    </row>
    <row r="2716">
      <c r="A2716" s="91" t="n"/>
      <c r="B2716" s="111">
        <f>MAX(0,N('Deal maths'!M719))</f>
        <v/>
      </c>
      <c r="C2716" s="91">
        <f>IF(B2716&gt;0,IF('Deal maths'!L719="Local authority","Local authorities",LOWER(TRIM('Deal maths'!K719))),"")</f>
        <v/>
      </c>
      <c r="D2716" s="91">
        <f>IF(C2716="","",IF(COUNTIF($C$4:C2715,C2716)=0,SUMIF($C$4:$C$3997,C2716,$B$4:$B$3997)-ROW()/1000000,""))</f>
        <v/>
      </c>
      <c r="E2716" s="91">
        <f>IF(N('Deal maths'!M719)&gt;0,ROW()/10000000,"")</f>
        <v/>
      </c>
    </row>
    <row r="2717">
      <c r="A2717" s="91" t="n"/>
      <c r="B2717" s="111">
        <f>MAX(0,N('Deal maths'!M720))</f>
        <v/>
      </c>
      <c r="C2717" s="91">
        <f>IF(B2717&gt;0,IF('Deal maths'!L720="Local authority","Local authorities",LOWER(TRIM('Deal maths'!K720))),"")</f>
        <v/>
      </c>
      <c r="D2717" s="91">
        <f>IF(C2717="","",IF(COUNTIF($C$4:C2716,C2717)=0,SUMIF($C$4:$C$3997,C2717,$B$4:$B$3997)-ROW()/1000000,""))</f>
        <v/>
      </c>
      <c r="E2717" s="91">
        <f>IF(N('Deal maths'!M720)&gt;0,ROW()/10000000,"")</f>
        <v/>
      </c>
    </row>
    <row r="2718">
      <c r="A2718" s="91" t="n"/>
      <c r="B2718" s="111">
        <f>MAX(0,N('Deal maths'!M721))</f>
        <v/>
      </c>
      <c r="C2718" s="91">
        <f>IF(B2718&gt;0,IF('Deal maths'!L721="Local authority","Local authorities",LOWER(TRIM('Deal maths'!K721))),"")</f>
        <v/>
      </c>
      <c r="D2718" s="91">
        <f>IF(C2718="","",IF(COUNTIF($C$4:C2717,C2718)=0,SUMIF($C$4:$C$3997,C2718,$B$4:$B$3997)-ROW()/1000000,""))</f>
        <v/>
      </c>
      <c r="E2718" s="91">
        <f>IF(N('Deal maths'!M721)&gt;0,ROW()/10000000,"")</f>
        <v/>
      </c>
    </row>
    <row r="2719">
      <c r="A2719" s="91" t="n"/>
      <c r="B2719" s="111">
        <f>MAX(0,N('Deal maths'!M722))</f>
        <v/>
      </c>
      <c r="C2719" s="91">
        <f>IF(B2719&gt;0,IF('Deal maths'!L722="Local authority","Local authorities",LOWER(TRIM('Deal maths'!K722))),"")</f>
        <v/>
      </c>
      <c r="D2719" s="91">
        <f>IF(C2719="","",IF(COUNTIF($C$4:C2718,C2719)=0,SUMIF($C$4:$C$3997,C2719,$B$4:$B$3997)-ROW()/1000000,""))</f>
        <v/>
      </c>
      <c r="E2719" s="91">
        <f>IF(N('Deal maths'!M722)&gt;0,ROW()/10000000,"")</f>
        <v/>
      </c>
    </row>
    <row r="2720">
      <c r="A2720" s="91" t="n"/>
      <c r="B2720" s="111">
        <f>MAX(0,N('Deal maths'!M723))</f>
        <v/>
      </c>
      <c r="C2720" s="91">
        <f>IF(B2720&gt;0,IF('Deal maths'!L723="Local authority","Local authorities",LOWER(TRIM('Deal maths'!K723))),"")</f>
        <v/>
      </c>
      <c r="D2720" s="91">
        <f>IF(C2720="","",IF(COUNTIF($C$4:C2719,C2720)=0,SUMIF($C$4:$C$3997,C2720,$B$4:$B$3997)-ROW()/1000000,""))</f>
        <v/>
      </c>
      <c r="E2720" s="91">
        <f>IF(N('Deal maths'!M723)&gt;0,ROW()/10000000,"")</f>
        <v/>
      </c>
    </row>
    <row r="2721">
      <c r="A2721" s="91" t="n"/>
      <c r="B2721" s="111">
        <f>MAX(0,N('Deal maths'!M724))</f>
        <v/>
      </c>
      <c r="C2721" s="91">
        <f>IF(B2721&gt;0,IF('Deal maths'!L724="Local authority","Local authorities",LOWER(TRIM('Deal maths'!K724))),"")</f>
        <v/>
      </c>
      <c r="D2721" s="91">
        <f>IF(C2721="","",IF(COUNTIF($C$4:C2720,C2721)=0,SUMIF($C$4:$C$3997,C2721,$B$4:$B$3997)-ROW()/1000000,""))</f>
        <v/>
      </c>
      <c r="E2721" s="91">
        <f>IF(N('Deal maths'!M724)&gt;0,ROW()/10000000,"")</f>
        <v/>
      </c>
    </row>
    <row r="2722">
      <c r="A2722" s="91" t="n"/>
      <c r="B2722" s="111">
        <f>MAX(0,N('Deal maths'!M725))</f>
        <v/>
      </c>
      <c r="C2722" s="91">
        <f>IF(B2722&gt;0,IF('Deal maths'!L725="Local authority","Local authorities",LOWER(TRIM('Deal maths'!K725))),"")</f>
        <v/>
      </c>
      <c r="D2722" s="91">
        <f>IF(C2722="","",IF(COUNTIF($C$4:C2721,C2722)=0,SUMIF($C$4:$C$3997,C2722,$B$4:$B$3997)-ROW()/1000000,""))</f>
        <v/>
      </c>
      <c r="E2722" s="91">
        <f>IF(N('Deal maths'!M725)&gt;0,ROW()/10000000,"")</f>
        <v/>
      </c>
    </row>
    <row r="2723">
      <c r="A2723" s="91" t="n"/>
      <c r="B2723" s="111">
        <f>MAX(0,N('Deal maths'!M726))</f>
        <v/>
      </c>
      <c r="C2723" s="91">
        <f>IF(B2723&gt;0,IF('Deal maths'!L726="Local authority","Local authorities",LOWER(TRIM('Deal maths'!K726))),"")</f>
        <v/>
      </c>
      <c r="D2723" s="91">
        <f>IF(C2723="","",IF(COUNTIF($C$4:C2722,C2723)=0,SUMIF($C$4:$C$3997,C2723,$B$4:$B$3997)-ROW()/1000000,""))</f>
        <v/>
      </c>
      <c r="E2723" s="91">
        <f>IF(N('Deal maths'!M726)&gt;0,ROW()/10000000,"")</f>
        <v/>
      </c>
    </row>
    <row r="2724">
      <c r="A2724" s="91" t="n"/>
      <c r="B2724" s="111">
        <f>MAX(0,N('Deal maths'!M727))</f>
        <v/>
      </c>
      <c r="C2724" s="91">
        <f>IF(B2724&gt;0,IF('Deal maths'!L727="Local authority","Local authorities",LOWER(TRIM('Deal maths'!K727))),"")</f>
        <v/>
      </c>
      <c r="D2724" s="91">
        <f>IF(C2724="","",IF(COUNTIF($C$4:C2723,C2724)=0,SUMIF($C$4:$C$3997,C2724,$B$4:$B$3997)-ROW()/1000000,""))</f>
        <v/>
      </c>
      <c r="E2724" s="91">
        <f>IF(N('Deal maths'!M727)&gt;0,ROW()/10000000,"")</f>
        <v/>
      </c>
    </row>
    <row r="2725">
      <c r="A2725" s="91" t="n"/>
      <c r="B2725" s="111">
        <f>MAX(0,N('Deal maths'!M728))</f>
        <v/>
      </c>
      <c r="C2725" s="91">
        <f>IF(B2725&gt;0,IF('Deal maths'!L728="Local authority","Local authorities",LOWER(TRIM('Deal maths'!K728))),"")</f>
        <v/>
      </c>
      <c r="D2725" s="91">
        <f>IF(C2725="","",IF(COUNTIF($C$4:C2724,C2725)=0,SUMIF($C$4:$C$3997,C2725,$B$4:$B$3997)-ROW()/1000000,""))</f>
        <v/>
      </c>
      <c r="E2725" s="91">
        <f>IF(N('Deal maths'!M728)&gt;0,ROW()/10000000,"")</f>
        <v/>
      </c>
    </row>
    <row r="2726">
      <c r="A2726" s="91" t="n"/>
      <c r="B2726" s="111">
        <f>MAX(0,N('Deal maths'!M729))</f>
        <v/>
      </c>
      <c r="C2726" s="91">
        <f>IF(B2726&gt;0,IF('Deal maths'!L729="Local authority","Local authorities",LOWER(TRIM('Deal maths'!K729))),"")</f>
        <v/>
      </c>
      <c r="D2726" s="91">
        <f>IF(C2726="","",IF(COUNTIF($C$4:C2725,C2726)=0,SUMIF($C$4:$C$3997,C2726,$B$4:$B$3997)-ROW()/1000000,""))</f>
        <v/>
      </c>
      <c r="E2726" s="91">
        <f>IF(N('Deal maths'!M729)&gt;0,ROW()/10000000,"")</f>
        <v/>
      </c>
    </row>
    <row r="2727">
      <c r="A2727" s="91" t="n"/>
      <c r="B2727" s="111">
        <f>MAX(0,N('Deal maths'!M730))</f>
        <v/>
      </c>
      <c r="C2727" s="91">
        <f>IF(B2727&gt;0,IF('Deal maths'!L730="Local authority","Local authorities",LOWER(TRIM('Deal maths'!K730))),"")</f>
        <v/>
      </c>
      <c r="D2727" s="91">
        <f>IF(C2727="","",IF(COUNTIF($C$4:C2726,C2727)=0,SUMIF($C$4:$C$3997,C2727,$B$4:$B$3997)-ROW()/1000000,""))</f>
        <v/>
      </c>
      <c r="E2727" s="91">
        <f>IF(N('Deal maths'!M730)&gt;0,ROW()/10000000,"")</f>
        <v/>
      </c>
    </row>
    <row r="2728">
      <c r="A2728" s="91" t="n"/>
      <c r="B2728" s="111">
        <f>MAX(0,N('Deal maths'!M731))</f>
        <v/>
      </c>
      <c r="C2728" s="91">
        <f>IF(B2728&gt;0,IF('Deal maths'!L731="Local authority","Local authorities",LOWER(TRIM('Deal maths'!K731))),"")</f>
        <v/>
      </c>
      <c r="D2728" s="91">
        <f>IF(C2728="","",IF(COUNTIF($C$4:C2727,C2728)=0,SUMIF($C$4:$C$3997,C2728,$B$4:$B$3997)-ROW()/1000000,""))</f>
        <v/>
      </c>
      <c r="E2728" s="91">
        <f>IF(N('Deal maths'!M731)&gt;0,ROW()/10000000,"")</f>
        <v/>
      </c>
    </row>
    <row r="2729">
      <c r="A2729" s="91" t="n"/>
      <c r="B2729" s="111">
        <f>MAX(0,N('Deal maths'!M732))</f>
        <v/>
      </c>
      <c r="C2729" s="91">
        <f>IF(B2729&gt;0,IF('Deal maths'!L732="Local authority","Local authorities",LOWER(TRIM('Deal maths'!K732))),"")</f>
        <v/>
      </c>
      <c r="D2729" s="91">
        <f>IF(C2729="","",IF(COUNTIF($C$4:C2728,C2729)=0,SUMIF($C$4:$C$3997,C2729,$B$4:$B$3997)-ROW()/1000000,""))</f>
        <v/>
      </c>
      <c r="E2729" s="91">
        <f>IF(N('Deal maths'!M732)&gt;0,ROW()/10000000,"")</f>
        <v/>
      </c>
    </row>
    <row r="2730">
      <c r="A2730" s="91" t="n"/>
      <c r="B2730" s="111">
        <f>MAX(0,N('Deal maths'!M733))</f>
        <v/>
      </c>
      <c r="C2730" s="91">
        <f>IF(B2730&gt;0,IF('Deal maths'!L733="Local authority","Local authorities",LOWER(TRIM('Deal maths'!K733))),"")</f>
        <v/>
      </c>
      <c r="D2730" s="91">
        <f>IF(C2730="","",IF(COUNTIF($C$4:C2729,C2730)=0,SUMIF($C$4:$C$3997,C2730,$B$4:$B$3997)-ROW()/1000000,""))</f>
        <v/>
      </c>
      <c r="E2730" s="91">
        <f>IF(N('Deal maths'!M733)&gt;0,ROW()/10000000,"")</f>
        <v/>
      </c>
    </row>
    <row r="2731">
      <c r="A2731" s="91" t="n"/>
      <c r="B2731" s="111">
        <f>MAX(0,N('Deal maths'!M734))</f>
        <v/>
      </c>
      <c r="C2731" s="91">
        <f>IF(B2731&gt;0,IF('Deal maths'!L734="Local authority","Local authorities",LOWER(TRIM('Deal maths'!K734))),"")</f>
        <v/>
      </c>
      <c r="D2731" s="91">
        <f>IF(C2731="","",IF(COUNTIF($C$4:C2730,C2731)=0,SUMIF($C$4:$C$3997,C2731,$B$4:$B$3997)-ROW()/1000000,""))</f>
        <v/>
      </c>
      <c r="E2731" s="91">
        <f>IF(N('Deal maths'!M734)&gt;0,ROW()/10000000,"")</f>
        <v/>
      </c>
    </row>
    <row r="2732">
      <c r="A2732" s="91" t="n"/>
      <c r="B2732" s="111">
        <f>MAX(0,N('Deal maths'!M735))</f>
        <v/>
      </c>
      <c r="C2732" s="91">
        <f>IF(B2732&gt;0,IF('Deal maths'!L735="Local authority","Local authorities",LOWER(TRIM('Deal maths'!K735))),"")</f>
        <v/>
      </c>
      <c r="D2732" s="91">
        <f>IF(C2732="","",IF(COUNTIF($C$4:C2731,C2732)=0,SUMIF($C$4:$C$3997,C2732,$B$4:$B$3997)-ROW()/1000000,""))</f>
        <v/>
      </c>
      <c r="E2732" s="91">
        <f>IF(N('Deal maths'!M735)&gt;0,ROW()/10000000,"")</f>
        <v/>
      </c>
    </row>
    <row r="2733">
      <c r="A2733" s="91" t="n"/>
      <c r="B2733" s="111">
        <f>MAX(0,N('Deal maths'!M736))</f>
        <v/>
      </c>
      <c r="C2733" s="91">
        <f>IF(B2733&gt;0,IF('Deal maths'!L736="Local authority","Local authorities",LOWER(TRIM('Deal maths'!K736))),"")</f>
        <v/>
      </c>
      <c r="D2733" s="91">
        <f>IF(C2733="","",IF(COUNTIF($C$4:C2732,C2733)=0,SUMIF($C$4:$C$3997,C2733,$B$4:$B$3997)-ROW()/1000000,""))</f>
        <v/>
      </c>
      <c r="E2733" s="91">
        <f>IF(N('Deal maths'!M736)&gt;0,ROW()/10000000,"")</f>
        <v/>
      </c>
    </row>
    <row r="2734">
      <c r="A2734" s="91" t="n"/>
      <c r="B2734" s="111">
        <f>MAX(0,N('Deal maths'!M737))</f>
        <v/>
      </c>
      <c r="C2734" s="91">
        <f>IF(B2734&gt;0,IF('Deal maths'!L737="Local authority","Local authorities",LOWER(TRIM('Deal maths'!K737))),"")</f>
        <v/>
      </c>
      <c r="D2734" s="91">
        <f>IF(C2734="","",IF(COUNTIF($C$4:C2733,C2734)=0,SUMIF($C$4:$C$3997,C2734,$B$4:$B$3997)-ROW()/1000000,""))</f>
        <v/>
      </c>
      <c r="E2734" s="91">
        <f>IF(N('Deal maths'!M737)&gt;0,ROW()/10000000,"")</f>
        <v/>
      </c>
    </row>
    <row r="2735">
      <c r="A2735" s="91" t="n"/>
      <c r="B2735" s="111">
        <f>MAX(0,N('Deal maths'!M738))</f>
        <v/>
      </c>
      <c r="C2735" s="91">
        <f>IF(B2735&gt;0,IF('Deal maths'!L738="Local authority","Local authorities",LOWER(TRIM('Deal maths'!K738))),"")</f>
        <v/>
      </c>
      <c r="D2735" s="91">
        <f>IF(C2735="","",IF(COUNTIF($C$4:C2734,C2735)=0,SUMIF($C$4:$C$3997,C2735,$B$4:$B$3997)-ROW()/1000000,""))</f>
        <v/>
      </c>
      <c r="E2735" s="91">
        <f>IF(N('Deal maths'!M738)&gt;0,ROW()/10000000,"")</f>
        <v/>
      </c>
    </row>
    <row r="2736">
      <c r="A2736" s="91" t="n"/>
      <c r="B2736" s="111">
        <f>MAX(0,N('Deal maths'!M739))</f>
        <v/>
      </c>
      <c r="C2736" s="91">
        <f>IF(B2736&gt;0,IF('Deal maths'!L739="Local authority","Local authorities",LOWER(TRIM('Deal maths'!K739))),"")</f>
        <v/>
      </c>
      <c r="D2736" s="91">
        <f>IF(C2736="","",IF(COUNTIF($C$4:C2735,C2736)=0,SUMIF($C$4:$C$3997,C2736,$B$4:$B$3997)-ROW()/1000000,""))</f>
        <v/>
      </c>
      <c r="E2736" s="91">
        <f>IF(N('Deal maths'!M739)&gt;0,ROW()/10000000,"")</f>
        <v/>
      </c>
    </row>
    <row r="2737">
      <c r="A2737" s="91" t="n"/>
      <c r="B2737" s="111">
        <f>MAX(0,N('Deal maths'!M740))</f>
        <v/>
      </c>
      <c r="C2737" s="91">
        <f>IF(B2737&gt;0,IF('Deal maths'!L740="Local authority","Local authorities",LOWER(TRIM('Deal maths'!K740))),"")</f>
        <v/>
      </c>
      <c r="D2737" s="91">
        <f>IF(C2737="","",IF(COUNTIF($C$4:C2736,C2737)=0,SUMIF($C$4:$C$3997,C2737,$B$4:$B$3997)-ROW()/1000000,""))</f>
        <v/>
      </c>
      <c r="E2737" s="91">
        <f>IF(N('Deal maths'!M740)&gt;0,ROW()/10000000,"")</f>
        <v/>
      </c>
    </row>
    <row r="2738">
      <c r="A2738" s="91" t="n"/>
      <c r="B2738" s="111">
        <f>MAX(0,N('Deal maths'!M741))</f>
        <v/>
      </c>
      <c r="C2738" s="91">
        <f>IF(B2738&gt;0,IF('Deal maths'!L741="Local authority","Local authorities",LOWER(TRIM('Deal maths'!K741))),"")</f>
        <v/>
      </c>
      <c r="D2738" s="91">
        <f>IF(C2738="","",IF(COUNTIF($C$4:C2737,C2738)=0,SUMIF($C$4:$C$3997,C2738,$B$4:$B$3997)-ROW()/1000000,""))</f>
        <v/>
      </c>
      <c r="E2738" s="91">
        <f>IF(N('Deal maths'!M741)&gt;0,ROW()/10000000,"")</f>
        <v/>
      </c>
    </row>
    <row r="2739">
      <c r="A2739" s="91" t="n"/>
      <c r="B2739" s="111">
        <f>MAX(0,N('Deal maths'!M742))</f>
        <v/>
      </c>
      <c r="C2739" s="91">
        <f>IF(B2739&gt;0,IF('Deal maths'!L742="Local authority","Local authorities",LOWER(TRIM('Deal maths'!K742))),"")</f>
        <v/>
      </c>
      <c r="D2739" s="91">
        <f>IF(C2739="","",IF(COUNTIF($C$4:C2738,C2739)=0,SUMIF($C$4:$C$3997,C2739,$B$4:$B$3997)-ROW()/1000000,""))</f>
        <v/>
      </c>
      <c r="E2739" s="91">
        <f>IF(N('Deal maths'!M742)&gt;0,ROW()/10000000,"")</f>
        <v/>
      </c>
    </row>
    <row r="2740">
      <c r="A2740" s="91" t="n"/>
      <c r="B2740" s="111">
        <f>MAX(0,N('Deal maths'!M743))</f>
        <v/>
      </c>
      <c r="C2740" s="91">
        <f>IF(B2740&gt;0,IF('Deal maths'!L743="Local authority","Local authorities",LOWER(TRIM('Deal maths'!K743))),"")</f>
        <v/>
      </c>
      <c r="D2740" s="91">
        <f>IF(C2740="","",IF(COUNTIF($C$4:C2739,C2740)=0,SUMIF($C$4:$C$3997,C2740,$B$4:$B$3997)-ROW()/1000000,""))</f>
        <v/>
      </c>
      <c r="E2740" s="91">
        <f>IF(N('Deal maths'!M743)&gt;0,ROW()/10000000,"")</f>
        <v/>
      </c>
    </row>
    <row r="2741">
      <c r="A2741" s="91" t="n"/>
      <c r="B2741" s="111">
        <f>MAX(0,N('Deal maths'!M744))</f>
        <v/>
      </c>
      <c r="C2741" s="91">
        <f>IF(B2741&gt;0,IF('Deal maths'!L744="Local authority","Local authorities",LOWER(TRIM('Deal maths'!K744))),"")</f>
        <v/>
      </c>
      <c r="D2741" s="91">
        <f>IF(C2741="","",IF(COUNTIF($C$4:C2740,C2741)=0,SUMIF($C$4:$C$3997,C2741,$B$4:$B$3997)-ROW()/1000000,""))</f>
        <v/>
      </c>
      <c r="E2741" s="91">
        <f>IF(N('Deal maths'!M744)&gt;0,ROW()/10000000,"")</f>
        <v/>
      </c>
    </row>
    <row r="2742">
      <c r="A2742" s="91" t="n"/>
      <c r="B2742" s="111">
        <f>MAX(0,N('Deal maths'!M745))</f>
        <v/>
      </c>
      <c r="C2742" s="91">
        <f>IF(B2742&gt;0,IF('Deal maths'!L745="Local authority","Local authorities",LOWER(TRIM('Deal maths'!K745))),"")</f>
        <v/>
      </c>
      <c r="D2742" s="91">
        <f>IF(C2742="","",IF(COUNTIF($C$4:C2741,C2742)=0,SUMIF($C$4:$C$3997,C2742,$B$4:$B$3997)-ROW()/1000000,""))</f>
        <v/>
      </c>
      <c r="E2742" s="91">
        <f>IF(N('Deal maths'!M745)&gt;0,ROW()/10000000,"")</f>
        <v/>
      </c>
    </row>
    <row r="2743">
      <c r="A2743" s="91" t="n"/>
      <c r="B2743" s="111">
        <f>MAX(0,N('Deal maths'!M746))</f>
        <v/>
      </c>
      <c r="C2743" s="91">
        <f>IF(B2743&gt;0,IF('Deal maths'!L746="Local authority","Local authorities",LOWER(TRIM('Deal maths'!K746))),"")</f>
        <v/>
      </c>
      <c r="D2743" s="91">
        <f>IF(C2743="","",IF(COUNTIF($C$4:C2742,C2743)=0,SUMIF($C$4:$C$3997,C2743,$B$4:$B$3997)-ROW()/1000000,""))</f>
        <v/>
      </c>
      <c r="E2743" s="91">
        <f>IF(N('Deal maths'!M746)&gt;0,ROW()/10000000,"")</f>
        <v/>
      </c>
    </row>
    <row r="2744">
      <c r="A2744" s="91" t="n"/>
      <c r="B2744" s="111">
        <f>MAX(0,N('Deal maths'!M747))</f>
        <v/>
      </c>
      <c r="C2744" s="91">
        <f>IF(B2744&gt;0,IF('Deal maths'!L747="Local authority","Local authorities",LOWER(TRIM('Deal maths'!K747))),"")</f>
        <v/>
      </c>
      <c r="D2744" s="91">
        <f>IF(C2744="","",IF(COUNTIF($C$4:C2743,C2744)=0,SUMIF($C$4:$C$3997,C2744,$B$4:$B$3997)-ROW()/1000000,""))</f>
        <v/>
      </c>
      <c r="E2744" s="91">
        <f>IF(N('Deal maths'!M747)&gt;0,ROW()/10000000,"")</f>
        <v/>
      </c>
    </row>
    <row r="2745">
      <c r="A2745" s="91" t="n"/>
      <c r="B2745" s="111">
        <f>MAX(0,N('Deal maths'!M748))</f>
        <v/>
      </c>
      <c r="C2745" s="91">
        <f>IF(B2745&gt;0,IF('Deal maths'!L748="Local authority","Local authorities",LOWER(TRIM('Deal maths'!K748))),"")</f>
        <v/>
      </c>
      <c r="D2745" s="91">
        <f>IF(C2745="","",IF(COUNTIF($C$4:C2744,C2745)=0,SUMIF($C$4:$C$3997,C2745,$B$4:$B$3997)-ROW()/1000000,""))</f>
        <v/>
      </c>
      <c r="E2745" s="91">
        <f>IF(N('Deal maths'!M748)&gt;0,ROW()/10000000,"")</f>
        <v/>
      </c>
    </row>
    <row r="2746">
      <c r="A2746" s="91" t="n"/>
      <c r="B2746" s="111">
        <f>MAX(0,N('Deal maths'!M749))</f>
        <v/>
      </c>
      <c r="C2746" s="91">
        <f>IF(B2746&gt;0,IF('Deal maths'!L749="Local authority","Local authorities",LOWER(TRIM('Deal maths'!K749))),"")</f>
        <v/>
      </c>
      <c r="D2746" s="91">
        <f>IF(C2746="","",IF(COUNTIF($C$4:C2745,C2746)=0,SUMIF($C$4:$C$3997,C2746,$B$4:$B$3997)-ROW()/1000000,""))</f>
        <v/>
      </c>
      <c r="E2746" s="91">
        <f>IF(N('Deal maths'!M749)&gt;0,ROW()/10000000,"")</f>
        <v/>
      </c>
    </row>
    <row r="2747">
      <c r="A2747" s="91" t="n"/>
      <c r="B2747" s="111">
        <f>MAX(0,N('Deal maths'!M750))</f>
        <v/>
      </c>
      <c r="C2747" s="91">
        <f>IF(B2747&gt;0,IF('Deal maths'!L750="Local authority","Local authorities",LOWER(TRIM('Deal maths'!K750))),"")</f>
        <v/>
      </c>
      <c r="D2747" s="91">
        <f>IF(C2747="","",IF(COUNTIF($C$4:C2746,C2747)=0,SUMIF($C$4:$C$3997,C2747,$B$4:$B$3997)-ROW()/1000000,""))</f>
        <v/>
      </c>
      <c r="E2747" s="91">
        <f>IF(N('Deal maths'!M750)&gt;0,ROW()/10000000,"")</f>
        <v/>
      </c>
    </row>
    <row r="2748">
      <c r="A2748" s="91" t="n"/>
      <c r="B2748" s="111">
        <f>MAX(0,N('Deal maths'!M751))</f>
        <v/>
      </c>
      <c r="C2748" s="91">
        <f>IF(B2748&gt;0,IF('Deal maths'!L751="Local authority","Local authorities",LOWER(TRIM('Deal maths'!K751))),"")</f>
        <v/>
      </c>
      <c r="D2748" s="91">
        <f>IF(C2748="","",IF(COUNTIF($C$4:C2747,C2748)=0,SUMIF($C$4:$C$3997,C2748,$B$4:$B$3997)-ROW()/1000000,""))</f>
        <v/>
      </c>
      <c r="E2748" s="91">
        <f>IF(N('Deal maths'!M751)&gt;0,ROW()/10000000,"")</f>
        <v/>
      </c>
    </row>
    <row r="2749">
      <c r="A2749" s="91" t="n"/>
      <c r="B2749" s="111">
        <f>MAX(0,N('Deal maths'!M752))</f>
        <v/>
      </c>
      <c r="C2749" s="91">
        <f>IF(B2749&gt;0,IF('Deal maths'!L752="Local authority","Local authorities",LOWER(TRIM('Deal maths'!K752))),"")</f>
        <v/>
      </c>
      <c r="D2749" s="91">
        <f>IF(C2749="","",IF(COUNTIF($C$4:C2748,C2749)=0,SUMIF($C$4:$C$3997,C2749,$B$4:$B$3997)-ROW()/1000000,""))</f>
        <v/>
      </c>
      <c r="E2749" s="91">
        <f>IF(N('Deal maths'!M752)&gt;0,ROW()/10000000,"")</f>
        <v/>
      </c>
    </row>
    <row r="2750">
      <c r="A2750" s="91" t="n"/>
      <c r="B2750" s="111">
        <f>MAX(0,N('Deal maths'!M753))</f>
        <v/>
      </c>
      <c r="C2750" s="91">
        <f>IF(B2750&gt;0,IF('Deal maths'!L753="Local authority","Local authorities",LOWER(TRIM('Deal maths'!K753))),"")</f>
        <v/>
      </c>
      <c r="D2750" s="91">
        <f>IF(C2750="","",IF(COUNTIF($C$4:C2749,C2750)=0,SUMIF($C$4:$C$3997,C2750,$B$4:$B$3997)-ROW()/1000000,""))</f>
        <v/>
      </c>
      <c r="E2750" s="91">
        <f>IF(N('Deal maths'!M753)&gt;0,ROW()/10000000,"")</f>
        <v/>
      </c>
    </row>
    <row r="2751">
      <c r="A2751" s="91" t="n"/>
      <c r="B2751" s="111">
        <f>MAX(0,N('Deal maths'!M754))</f>
        <v/>
      </c>
      <c r="C2751" s="91">
        <f>IF(B2751&gt;0,IF('Deal maths'!L754="Local authority","Local authorities",LOWER(TRIM('Deal maths'!K754))),"")</f>
        <v/>
      </c>
      <c r="D2751" s="91">
        <f>IF(C2751="","",IF(COUNTIF($C$4:C2750,C2751)=0,SUMIF($C$4:$C$3997,C2751,$B$4:$B$3997)-ROW()/1000000,""))</f>
        <v/>
      </c>
      <c r="E2751" s="91">
        <f>IF(N('Deal maths'!M754)&gt;0,ROW()/10000000,"")</f>
        <v/>
      </c>
    </row>
    <row r="2752">
      <c r="A2752" s="91" t="n"/>
      <c r="B2752" s="111">
        <f>MAX(0,N('Deal maths'!M755))</f>
        <v/>
      </c>
      <c r="C2752" s="91">
        <f>IF(B2752&gt;0,IF('Deal maths'!L755="Local authority","Local authorities",LOWER(TRIM('Deal maths'!K755))),"")</f>
        <v/>
      </c>
      <c r="D2752" s="91">
        <f>IF(C2752="","",IF(COUNTIF($C$4:C2751,C2752)=0,SUMIF($C$4:$C$3997,C2752,$B$4:$B$3997)-ROW()/1000000,""))</f>
        <v/>
      </c>
      <c r="E2752" s="91">
        <f>IF(N('Deal maths'!M755)&gt;0,ROW()/10000000,"")</f>
        <v/>
      </c>
    </row>
    <row r="2753">
      <c r="A2753" s="91" t="n"/>
      <c r="B2753" s="111">
        <f>MAX(0,N('Deal maths'!M756))</f>
        <v/>
      </c>
      <c r="C2753" s="91">
        <f>IF(B2753&gt;0,IF('Deal maths'!L756="Local authority","Local authorities",LOWER(TRIM('Deal maths'!K756))),"")</f>
        <v/>
      </c>
      <c r="D2753" s="91">
        <f>IF(C2753="","",IF(COUNTIF($C$4:C2752,C2753)=0,SUMIF($C$4:$C$3997,C2753,$B$4:$B$3997)-ROW()/1000000,""))</f>
        <v/>
      </c>
      <c r="E2753" s="91">
        <f>IF(N('Deal maths'!M756)&gt;0,ROW()/10000000,"")</f>
        <v/>
      </c>
    </row>
    <row r="2754">
      <c r="A2754" s="91" t="n"/>
      <c r="B2754" s="111">
        <f>MAX(0,N('Deal maths'!M757))</f>
        <v/>
      </c>
      <c r="C2754" s="91">
        <f>IF(B2754&gt;0,IF('Deal maths'!L757="Local authority","Local authorities",LOWER(TRIM('Deal maths'!K757))),"")</f>
        <v/>
      </c>
      <c r="D2754" s="91">
        <f>IF(C2754="","",IF(COUNTIF($C$4:C2753,C2754)=0,SUMIF($C$4:$C$3997,C2754,$B$4:$B$3997)-ROW()/1000000,""))</f>
        <v/>
      </c>
      <c r="E2754" s="91">
        <f>IF(N('Deal maths'!M757)&gt;0,ROW()/10000000,"")</f>
        <v/>
      </c>
    </row>
    <row r="2755">
      <c r="A2755" s="91" t="n"/>
      <c r="B2755" s="111">
        <f>MAX(0,N('Deal maths'!M758))</f>
        <v/>
      </c>
      <c r="C2755" s="91">
        <f>IF(B2755&gt;0,IF('Deal maths'!L758="Local authority","Local authorities",LOWER(TRIM('Deal maths'!K758))),"")</f>
        <v/>
      </c>
      <c r="D2755" s="91">
        <f>IF(C2755="","",IF(COUNTIF($C$4:C2754,C2755)=0,SUMIF($C$4:$C$3997,C2755,$B$4:$B$3997)-ROW()/1000000,""))</f>
        <v/>
      </c>
      <c r="E2755" s="91">
        <f>IF(N('Deal maths'!M758)&gt;0,ROW()/10000000,"")</f>
        <v/>
      </c>
    </row>
    <row r="2756">
      <c r="A2756" s="91" t="n"/>
      <c r="B2756" s="111">
        <f>MAX(0,N('Deal maths'!M759))</f>
        <v/>
      </c>
      <c r="C2756" s="91">
        <f>IF(B2756&gt;0,IF('Deal maths'!L759="Local authority","Local authorities",LOWER(TRIM('Deal maths'!K759))),"")</f>
        <v/>
      </c>
      <c r="D2756" s="91">
        <f>IF(C2756="","",IF(COUNTIF($C$4:C2755,C2756)=0,SUMIF($C$4:$C$3997,C2756,$B$4:$B$3997)-ROW()/1000000,""))</f>
        <v/>
      </c>
      <c r="E2756" s="91">
        <f>IF(N('Deal maths'!M759)&gt;0,ROW()/10000000,"")</f>
        <v/>
      </c>
    </row>
    <row r="2757">
      <c r="A2757" s="91" t="n"/>
      <c r="B2757" s="111">
        <f>MAX(0,N('Deal maths'!M760))</f>
        <v/>
      </c>
      <c r="C2757" s="91">
        <f>IF(B2757&gt;0,IF('Deal maths'!L760="Local authority","Local authorities",LOWER(TRIM('Deal maths'!K760))),"")</f>
        <v/>
      </c>
      <c r="D2757" s="91">
        <f>IF(C2757="","",IF(COUNTIF($C$4:C2756,C2757)=0,SUMIF($C$4:$C$3997,C2757,$B$4:$B$3997)-ROW()/1000000,""))</f>
        <v/>
      </c>
      <c r="E2757" s="91">
        <f>IF(N('Deal maths'!M760)&gt;0,ROW()/10000000,"")</f>
        <v/>
      </c>
    </row>
    <row r="2758">
      <c r="A2758" s="91" t="n"/>
      <c r="B2758" s="111">
        <f>MAX(0,N('Deal maths'!M761))</f>
        <v/>
      </c>
      <c r="C2758" s="91">
        <f>IF(B2758&gt;0,IF('Deal maths'!L761="Local authority","Local authorities",LOWER(TRIM('Deal maths'!K761))),"")</f>
        <v/>
      </c>
      <c r="D2758" s="91">
        <f>IF(C2758="","",IF(COUNTIF($C$4:C2757,C2758)=0,SUMIF($C$4:$C$3997,C2758,$B$4:$B$3997)-ROW()/1000000,""))</f>
        <v/>
      </c>
      <c r="E2758" s="91">
        <f>IF(N('Deal maths'!M761)&gt;0,ROW()/10000000,"")</f>
        <v/>
      </c>
    </row>
    <row r="2759">
      <c r="A2759" s="91" t="n"/>
      <c r="B2759" s="111">
        <f>MAX(0,N('Deal maths'!M762))</f>
        <v/>
      </c>
      <c r="C2759" s="91">
        <f>IF(B2759&gt;0,IF('Deal maths'!L762="Local authority","Local authorities",LOWER(TRIM('Deal maths'!K762))),"")</f>
        <v/>
      </c>
      <c r="D2759" s="91">
        <f>IF(C2759="","",IF(COUNTIF($C$4:C2758,C2759)=0,SUMIF($C$4:$C$3997,C2759,$B$4:$B$3997)-ROW()/1000000,""))</f>
        <v/>
      </c>
      <c r="E2759" s="91">
        <f>IF(N('Deal maths'!M762)&gt;0,ROW()/10000000,"")</f>
        <v/>
      </c>
    </row>
    <row r="2760">
      <c r="A2760" s="91" t="n"/>
      <c r="B2760" s="111">
        <f>MAX(0,N('Deal maths'!M763))</f>
        <v/>
      </c>
      <c r="C2760" s="91">
        <f>IF(B2760&gt;0,IF('Deal maths'!L763="Local authority","Local authorities",LOWER(TRIM('Deal maths'!K763))),"")</f>
        <v/>
      </c>
      <c r="D2760" s="91">
        <f>IF(C2760="","",IF(COUNTIF($C$4:C2759,C2760)=0,SUMIF($C$4:$C$3997,C2760,$B$4:$B$3997)-ROW()/1000000,""))</f>
        <v/>
      </c>
      <c r="E2760" s="91">
        <f>IF(N('Deal maths'!M763)&gt;0,ROW()/10000000,"")</f>
        <v/>
      </c>
    </row>
    <row r="2761">
      <c r="A2761" s="91" t="n"/>
      <c r="B2761" s="111">
        <f>MAX(0,N('Deal maths'!M764))</f>
        <v/>
      </c>
      <c r="C2761" s="91">
        <f>IF(B2761&gt;0,IF('Deal maths'!L764="Local authority","Local authorities",LOWER(TRIM('Deal maths'!K764))),"")</f>
        <v/>
      </c>
      <c r="D2761" s="91">
        <f>IF(C2761="","",IF(COUNTIF($C$4:C2760,C2761)=0,SUMIF($C$4:$C$3997,C2761,$B$4:$B$3997)-ROW()/1000000,""))</f>
        <v/>
      </c>
      <c r="E2761" s="91">
        <f>IF(N('Deal maths'!M764)&gt;0,ROW()/10000000,"")</f>
        <v/>
      </c>
    </row>
    <row r="2762">
      <c r="A2762" s="91" t="n"/>
      <c r="B2762" s="111">
        <f>MAX(0,N('Deal maths'!M765))</f>
        <v/>
      </c>
      <c r="C2762" s="91">
        <f>IF(B2762&gt;0,IF('Deal maths'!L765="Local authority","Local authorities",LOWER(TRIM('Deal maths'!K765))),"")</f>
        <v/>
      </c>
      <c r="D2762" s="91">
        <f>IF(C2762="","",IF(COUNTIF($C$4:C2761,C2762)=0,SUMIF($C$4:$C$3997,C2762,$B$4:$B$3997)-ROW()/1000000,""))</f>
        <v/>
      </c>
      <c r="E2762" s="91">
        <f>IF(N('Deal maths'!M765)&gt;0,ROW()/10000000,"")</f>
        <v/>
      </c>
    </row>
    <row r="2763">
      <c r="A2763" s="91" t="n"/>
      <c r="B2763" s="111">
        <f>MAX(0,N('Deal maths'!M766))</f>
        <v/>
      </c>
      <c r="C2763" s="91">
        <f>IF(B2763&gt;0,IF('Deal maths'!L766="Local authority","Local authorities",LOWER(TRIM('Deal maths'!K766))),"")</f>
        <v/>
      </c>
      <c r="D2763" s="91">
        <f>IF(C2763="","",IF(COUNTIF($C$4:C2762,C2763)=0,SUMIF($C$4:$C$3997,C2763,$B$4:$B$3997)-ROW()/1000000,""))</f>
        <v/>
      </c>
      <c r="E2763" s="91">
        <f>IF(N('Deal maths'!M766)&gt;0,ROW()/10000000,"")</f>
        <v/>
      </c>
    </row>
    <row r="2764">
      <c r="A2764" s="91" t="n"/>
      <c r="B2764" s="111">
        <f>MAX(0,N('Deal maths'!M767))</f>
        <v/>
      </c>
      <c r="C2764" s="91">
        <f>IF(B2764&gt;0,IF('Deal maths'!L767="Local authority","Local authorities",LOWER(TRIM('Deal maths'!K767))),"")</f>
        <v/>
      </c>
      <c r="D2764" s="91">
        <f>IF(C2764="","",IF(COUNTIF($C$4:C2763,C2764)=0,SUMIF($C$4:$C$3997,C2764,$B$4:$B$3997)-ROW()/1000000,""))</f>
        <v/>
      </c>
      <c r="E2764" s="91">
        <f>IF(N('Deal maths'!M767)&gt;0,ROW()/10000000,"")</f>
        <v/>
      </c>
    </row>
    <row r="2765">
      <c r="A2765" s="91" t="n"/>
      <c r="B2765" s="111">
        <f>MAX(0,N('Deal maths'!M768))</f>
        <v/>
      </c>
      <c r="C2765" s="91">
        <f>IF(B2765&gt;0,IF('Deal maths'!L768="Local authority","Local authorities",LOWER(TRIM('Deal maths'!K768))),"")</f>
        <v/>
      </c>
      <c r="D2765" s="91">
        <f>IF(C2765="","",IF(COUNTIF($C$4:C2764,C2765)=0,SUMIF($C$4:$C$3997,C2765,$B$4:$B$3997)-ROW()/1000000,""))</f>
        <v/>
      </c>
      <c r="E2765" s="91">
        <f>IF(N('Deal maths'!M768)&gt;0,ROW()/10000000,"")</f>
        <v/>
      </c>
    </row>
    <row r="2766">
      <c r="A2766" s="91" t="n"/>
      <c r="B2766" s="111">
        <f>MAX(0,N('Deal maths'!M769))</f>
        <v/>
      </c>
      <c r="C2766" s="91">
        <f>IF(B2766&gt;0,IF('Deal maths'!L769="Local authority","Local authorities",LOWER(TRIM('Deal maths'!K769))),"")</f>
        <v/>
      </c>
      <c r="D2766" s="91">
        <f>IF(C2766="","",IF(COUNTIF($C$4:C2765,C2766)=0,SUMIF($C$4:$C$3997,C2766,$B$4:$B$3997)-ROW()/1000000,""))</f>
        <v/>
      </c>
      <c r="E2766" s="91">
        <f>IF(N('Deal maths'!M769)&gt;0,ROW()/10000000,"")</f>
        <v/>
      </c>
    </row>
    <row r="2767">
      <c r="A2767" s="91" t="n"/>
      <c r="B2767" s="111">
        <f>MAX(0,N('Deal maths'!M770))</f>
        <v/>
      </c>
      <c r="C2767" s="91">
        <f>IF(B2767&gt;0,IF('Deal maths'!L770="Local authority","Local authorities",LOWER(TRIM('Deal maths'!K770))),"")</f>
        <v/>
      </c>
      <c r="D2767" s="91">
        <f>IF(C2767="","",IF(COUNTIF($C$4:C2766,C2767)=0,SUMIF($C$4:$C$3997,C2767,$B$4:$B$3997)-ROW()/1000000,""))</f>
        <v/>
      </c>
      <c r="E2767" s="91">
        <f>IF(N('Deal maths'!M770)&gt;0,ROW()/10000000,"")</f>
        <v/>
      </c>
    </row>
    <row r="2768">
      <c r="A2768" s="91" t="n"/>
      <c r="B2768" s="111">
        <f>MAX(0,N('Deal maths'!M771))</f>
        <v/>
      </c>
      <c r="C2768" s="91">
        <f>IF(B2768&gt;0,IF('Deal maths'!L771="Local authority","Local authorities",LOWER(TRIM('Deal maths'!K771))),"")</f>
        <v/>
      </c>
      <c r="D2768" s="91">
        <f>IF(C2768="","",IF(COUNTIF($C$4:C2767,C2768)=0,SUMIF($C$4:$C$3997,C2768,$B$4:$B$3997)-ROW()/1000000,""))</f>
        <v/>
      </c>
      <c r="E2768" s="91">
        <f>IF(N('Deal maths'!M771)&gt;0,ROW()/10000000,"")</f>
        <v/>
      </c>
    </row>
    <row r="2769">
      <c r="A2769" s="91" t="n"/>
      <c r="B2769" s="111">
        <f>MAX(0,N('Deal maths'!M772))</f>
        <v/>
      </c>
      <c r="C2769" s="91">
        <f>IF(B2769&gt;0,IF('Deal maths'!L772="Local authority","Local authorities",LOWER(TRIM('Deal maths'!K772))),"")</f>
        <v/>
      </c>
      <c r="D2769" s="91">
        <f>IF(C2769="","",IF(COUNTIF($C$4:C2768,C2769)=0,SUMIF($C$4:$C$3997,C2769,$B$4:$B$3997)-ROW()/1000000,""))</f>
        <v/>
      </c>
      <c r="E2769" s="91">
        <f>IF(N('Deal maths'!M772)&gt;0,ROW()/10000000,"")</f>
        <v/>
      </c>
    </row>
    <row r="2770">
      <c r="A2770" s="91" t="n"/>
      <c r="B2770" s="111">
        <f>MAX(0,N('Deal maths'!M773))</f>
        <v/>
      </c>
      <c r="C2770" s="91">
        <f>IF(B2770&gt;0,IF('Deal maths'!L773="Local authority","Local authorities",LOWER(TRIM('Deal maths'!K773))),"")</f>
        <v/>
      </c>
      <c r="D2770" s="91">
        <f>IF(C2770="","",IF(COUNTIF($C$4:C2769,C2770)=0,SUMIF($C$4:$C$3997,C2770,$B$4:$B$3997)-ROW()/1000000,""))</f>
        <v/>
      </c>
      <c r="E2770" s="91">
        <f>IF(N('Deal maths'!M773)&gt;0,ROW()/10000000,"")</f>
        <v/>
      </c>
    </row>
    <row r="2771">
      <c r="A2771" s="91" t="n"/>
      <c r="B2771" s="111">
        <f>MAX(0,N('Deal maths'!M774))</f>
        <v/>
      </c>
      <c r="C2771" s="91">
        <f>IF(B2771&gt;0,IF('Deal maths'!L774="Local authority","Local authorities",LOWER(TRIM('Deal maths'!K774))),"")</f>
        <v/>
      </c>
      <c r="D2771" s="91">
        <f>IF(C2771="","",IF(COUNTIF($C$4:C2770,C2771)=0,SUMIF($C$4:$C$3997,C2771,$B$4:$B$3997)-ROW()/1000000,""))</f>
        <v/>
      </c>
      <c r="E2771" s="91">
        <f>IF(N('Deal maths'!M774)&gt;0,ROW()/10000000,"")</f>
        <v/>
      </c>
    </row>
    <row r="2772">
      <c r="A2772" s="91" t="n"/>
      <c r="B2772" s="111">
        <f>MAX(0,N('Deal maths'!M775))</f>
        <v/>
      </c>
      <c r="C2772" s="91">
        <f>IF(B2772&gt;0,IF('Deal maths'!L775="Local authority","Local authorities",LOWER(TRIM('Deal maths'!K775))),"")</f>
        <v/>
      </c>
      <c r="D2772" s="91">
        <f>IF(C2772="","",IF(COUNTIF($C$4:C2771,C2772)=0,SUMIF($C$4:$C$3997,C2772,$B$4:$B$3997)-ROW()/1000000,""))</f>
        <v/>
      </c>
      <c r="E2772" s="91">
        <f>IF(N('Deal maths'!M775)&gt;0,ROW()/10000000,"")</f>
        <v/>
      </c>
    </row>
    <row r="2773">
      <c r="A2773" s="91" t="n"/>
      <c r="B2773" s="111">
        <f>MAX(0,N('Deal maths'!M776))</f>
        <v/>
      </c>
      <c r="C2773" s="91">
        <f>IF(B2773&gt;0,IF('Deal maths'!L776="Local authority","Local authorities",LOWER(TRIM('Deal maths'!K776))),"")</f>
        <v/>
      </c>
      <c r="D2773" s="91">
        <f>IF(C2773="","",IF(COUNTIF($C$4:C2772,C2773)=0,SUMIF($C$4:$C$3997,C2773,$B$4:$B$3997)-ROW()/1000000,""))</f>
        <v/>
      </c>
      <c r="E2773" s="91">
        <f>IF(N('Deal maths'!M776)&gt;0,ROW()/10000000,"")</f>
        <v/>
      </c>
    </row>
    <row r="2774">
      <c r="A2774" s="91" t="n"/>
      <c r="B2774" s="111">
        <f>MAX(0,N('Deal maths'!M777))</f>
        <v/>
      </c>
      <c r="C2774" s="91">
        <f>IF(B2774&gt;0,IF('Deal maths'!L777="Local authority","Local authorities",LOWER(TRIM('Deal maths'!K777))),"")</f>
        <v/>
      </c>
      <c r="D2774" s="91">
        <f>IF(C2774="","",IF(COUNTIF($C$4:C2773,C2774)=0,SUMIF($C$4:$C$3997,C2774,$B$4:$B$3997)-ROW()/1000000,""))</f>
        <v/>
      </c>
      <c r="E2774" s="91">
        <f>IF(N('Deal maths'!M777)&gt;0,ROW()/10000000,"")</f>
        <v/>
      </c>
    </row>
    <row r="2775">
      <c r="A2775" s="91" t="n"/>
      <c r="B2775" s="111">
        <f>MAX(0,N('Deal maths'!M778))</f>
        <v/>
      </c>
      <c r="C2775" s="91">
        <f>IF(B2775&gt;0,IF('Deal maths'!L778="Local authority","Local authorities",LOWER(TRIM('Deal maths'!K778))),"")</f>
        <v/>
      </c>
      <c r="D2775" s="91">
        <f>IF(C2775="","",IF(COUNTIF($C$4:C2774,C2775)=0,SUMIF($C$4:$C$3997,C2775,$B$4:$B$3997)-ROW()/1000000,""))</f>
        <v/>
      </c>
      <c r="E2775" s="91">
        <f>IF(N('Deal maths'!M778)&gt;0,ROW()/10000000,"")</f>
        <v/>
      </c>
    </row>
    <row r="2776">
      <c r="A2776" s="91" t="n"/>
      <c r="B2776" s="111">
        <f>MAX(0,N('Deal maths'!M779))</f>
        <v/>
      </c>
      <c r="C2776" s="91">
        <f>IF(B2776&gt;0,IF('Deal maths'!L779="Local authority","Local authorities",LOWER(TRIM('Deal maths'!K779))),"")</f>
        <v/>
      </c>
      <c r="D2776" s="91">
        <f>IF(C2776="","",IF(COUNTIF($C$4:C2775,C2776)=0,SUMIF($C$4:$C$3997,C2776,$B$4:$B$3997)-ROW()/1000000,""))</f>
        <v/>
      </c>
      <c r="E2776" s="91">
        <f>IF(N('Deal maths'!M779)&gt;0,ROW()/10000000,"")</f>
        <v/>
      </c>
    </row>
    <row r="2777">
      <c r="A2777" s="91" t="n"/>
      <c r="B2777" s="111">
        <f>MAX(0,N('Deal maths'!M780))</f>
        <v/>
      </c>
      <c r="C2777" s="91">
        <f>IF(B2777&gt;0,IF('Deal maths'!L780="Local authority","Local authorities",LOWER(TRIM('Deal maths'!K780))),"")</f>
        <v/>
      </c>
      <c r="D2777" s="91">
        <f>IF(C2777="","",IF(COUNTIF($C$4:C2776,C2777)=0,SUMIF($C$4:$C$3997,C2777,$B$4:$B$3997)-ROW()/1000000,""))</f>
        <v/>
      </c>
      <c r="E2777" s="91">
        <f>IF(N('Deal maths'!M780)&gt;0,ROW()/10000000,"")</f>
        <v/>
      </c>
    </row>
    <row r="2778">
      <c r="A2778" s="91" t="n"/>
      <c r="B2778" s="111">
        <f>MAX(0,N('Deal maths'!M781))</f>
        <v/>
      </c>
      <c r="C2778" s="91">
        <f>IF(B2778&gt;0,IF('Deal maths'!L781="Local authority","Local authorities",LOWER(TRIM('Deal maths'!K781))),"")</f>
        <v/>
      </c>
      <c r="D2778" s="91">
        <f>IF(C2778="","",IF(COUNTIF($C$4:C2777,C2778)=0,SUMIF($C$4:$C$3997,C2778,$B$4:$B$3997)-ROW()/1000000,""))</f>
        <v/>
      </c>
      <c r="E2778" s="91">
        <f>IF(N('Deal maths'!M781)&gt;0,ROW()/10000000,"")</f>
        <v/>
      </c>
    </row>
    <row r="2779">
      <c r="A2779" s="91" t="n"/>
      <c r="B2779" s="111">
        <f>MAX(0,N('Deal maths'!M782))</f>
        <v/>
      </c>
      <c r="C2779" s="91">
        <f>IF(B2779&gt;0,IF('Deal maths'!L782="Local authority","Local authorities",LOWER(TRIM('Deal maths'!K782))),"")</f>
        <v/>
      </c>
      <c r="D2779" s="91">
        <f>IF(C2779="","",IF(COUNTIF($C$4:C2778,C2779)=0,SUMIF($C$4:$C$3997,C2779,$B$4:$B$3997)-ROW()/1000000,""))</f>
        <v/>
      </c>
      <c r="E2779" s="91">
        <f>IF(N('Deal maths'!M782)&gt;0,ROW()/10000000,"")</f>
        <v/>
      </c>
    </row>
    <row r="2780">
      <c r="A2780" s="91" t="n"/>
      <c r="B2780" s="111">
        <f>MAX(0,N('Deal maths'!M783))</f>
        <v/>
      </c>
      <c r="C2780" s="91">
        <f>IF(B2780&gt;0,IF('Deal maths'!L783="Local authority","Local authorities",LOWER(TRIM('Deal maths'!K783))),"")</f>
        <v/>
      </c>
      <c r="D2780" s="91">
        <f>IF(C2780="","",IF(COUNTIF($C$4:C2779,C2780)=0,SUMIF($C$4:$C$3997,C2780,$B$4:$B$3997)-ROW()/1000000,""))</f>
        <v/>
      </c>
      <c r="E2780" s="91">
        <f>IF(N('Deal maths'!M783)&gt;0,ROW()/10000000,"")</f>
        <v/>
      </c>
    </row>
    <row r="2781">
      <c r="A2781" s="91" t="n"/>
      <c r="B2781" s="111">
        <f>MAX(0,N('Deal maths'!M784))</f>
        <v/>
      </c>
      <c r="C2781" s="91">
        <f>IF(B2781&gt;0,IF('Deal maths'!L784="Local authority","Local authorities",LOWER(TRIM('Deal maths'!K784))),"")</f>
        <v/>
      </c>
      <c r="D2781" s="91">
        <f>IF(C2781="","",IF(COUNTIF($C$4:C2780,C2781)=0,SUMIF($C$4:$C$3997,C2781,$B$4:$B$3997)-ROW()/1000000,""))</f>
        <v/>
      </c>
      <c r="E2781" s="91">
        <f>IF(N('Deal maths'!M784)&gt;0,ROW()/10000000,"")</f>
        <v/>
      </c>
    </row>
    <row r="2782">
      <c r="A2782" s="91" t="n"/>
      <c r="B2782" s="111">
        <f>MAX(0,N('Deal maths'!M785))</f>
        <v/>
      </c>
      <c r="C2782" s="91">
        <f>IF(B2782&gt;0,IF('Deal maths'!L785="Local authority","Local authorities",LOWER(TRIM('Deal maths'!K785))),"")</f>
        <v/>
      </c>
      <c r="D2782" s="91">
        <f>IF(C2782="","",IF(COUNTIF($C$4:C2781,C2782)=0,SUMIF($C$4:$C$3997,C2782,$B$4:$B$3997)-ROW()/1000000,""))</f>
        <v/>
      </c>
      <c r="E2782" s="91">
        <f>IF(N('Deal maths'!M785)&gt;0,ROW()/10000000,"")</f>
        <v/>
      </c>
    </row>
    <row r="2783">
      <c r="A2783" s="91" t="n"/>
      <c r="B2783" s="111">
        <f>MAX(0,N('Deal maths'!M786))</f>
        <v/>
      </c>
      <c r="C2783" s="91">
        <f>IF(B2783&gt;0,IF('Deal maths'!L786="Local authority","Local authorities",LOWER(TRIM('Deal maths'!K786))),"")</f>
        <v/>
      </c>
      <c r="D2783" s="91">
        <f>IF(C2783="","",IF(COUNTIF($C$4:C2782,C2783)=0,SUMIF($C$4:$C$3997,C2783,$B$4:$B$3997)-ROW()/1000000,""))</f>
        <v/>
      </c>
      <c r="E2783" s="91">
        <f>IF(N('Deal maths'!M786)&gt;0,ROW()/10000000,"")</f>
        <v/>
      </c>
    </row>
    <row r="2784">
      <c r="A2784" s="91" t="n"/>
      <c r="B2784" s="111">
        <f>MAX(0,N('Deal maths'!M787))</f>
        <v/>
      </c>
      <c r="C2784" s="91">
        <f>IF(B2784&gt;0,IF('Deal maths'!L787="Local authority","Local authorities",LOWER(TRIM('Deal maths'!K787))),"")</f>
        <v/>
      </c>
      <c r="D2784" s="91">
        <f>IF(C2784="","",IF(COUNTIF($C$4:C2783,C2784)=0,SUMIF($C$4:$C$3997,C2784,$B$4:$B$3997)-ROW()/1000000,""))</f>
        <v/>
      </c>
      <c r="E2784" s="91">
        <f>IF(N('Deal maths'!M787)&gt;0,ROW()/10000000,"")</f>
        <v/>
      </c>
    </row>
    <row r="2785">
      <c r="A2785" s="91" t="n"/>
      <c r="B2785" s="111">
        <f>MAX(0,N('Deal maths'!M788))</f>
        <v/>
      </c>
      <c r="C2785" s="91">
        <f>IF(B2785&gt;0,IF('Deal maths'!L788="Local authority","Local authorities",LOWER(TRIM('Deal maths'!K788))),"")</f>
        <v/>
      </c>
      <c r="D2785" s="91">
        <f>IF(C2785="","",IF(COUNTIF($C$4:C2784,C2785)=0,SUMIF($C$4:$C$3997,C2785,$B$4:$B$3997)-ROW()/1000000,""))</f>
        <v/>
      </c>
      <c r="E2785" s="91">
        <f>IF(N('Deal maths'!M788)&gt;0,ROW()/10000000,"")</f>
        <v/>
      </c>
    </row>
    <row r="2786">
      <c r="A2786" s="91" t="n"/>
      <c r="B2786" s="111">
        <f>MAX(0,N('Deal maths'!M789))</f>
        <v/>
      </c>
      <c r="C2786" s="91">
        <f>IF(B2786&gt;0,IF('Deal maths'!L789="Local authority","Local authorities",LOWER(TRIM('Deal maths'!K789))),"")</f>
        <v/>
      </c>
      <c r="D2786" s="91">
        <f>IF(C2786="","",IF(COUNTIF($C$4:C2785,C2786)=0,SUMIF($C$4:$C$3997,C2786,$B$4:$B$3997)-ROW()/1000000,""))</f>
        <v/>
      </c>
      <c r="E2786" s="91">
        <f>IF(N('Deal maths'!M789)&gt;0,ROW()/10000000,"")</f>
        <v/>
      </c>
    </row>
    <row r="2787">
      <c r="A2787" s="91" t="n"/>
      <c r="B2787" s="111">
        <f>MAX(0,N('Deal maths'!M790))</f>
        <v/>
      </c>
      <c r="C2787" s="91">
        <f>IF(B2787&gt;0,IF('Deal maths'!L790="Local authority","Local authorities",LOWER(TRIM('Deal maths'!K790))),"")</f>
        <v/>
      </c>
      <c r="D2787" s="91">
        <f>IF(C2787="","",IF(COUNTIF($C$4:C2786,C2787)=0,SUMIF($C$4:$C$3997,C2787,$B$4:$B$3997)-ROW()/1000000,""))</f>
        <v/>
      </c>
      <c r="E2787" s="91">
        <f>IF(N('Deal maths'!M790)&gt;0,ROW()/10000000,"")</f>
        <v/>
      </c>
    </row>
    <row r="2788">
      <c r="A2788" s="91" t="n"/>
      <c r="B2788" s="111">
        <f>MAX(0,N('Deal maths'!M791))</f>
        <v/>
      </c>
      <c r="C2788" s="91">
        <f>IF(B2788&gt;0,IF('Deal maths'!L791="Local authority","Local authorities",LOWER(TRIM('Deal maths'!K791))),"")</f>
        <v/>
      </c>
      <c r="D2788" s="91">
        <f>IF(C2788="","",IF(COUNTIF($C$4:C2787,C2788)=0,SUMIF($C$4:$C$3997,C2788,$B$4:$B$3997)-ROW()/1000000,""))</f>
        <v/>
      </c>
      <c r="E2788" s="91">
        <f>IF(N('Deal maths'!M791)&gt;0,ROW()/10000000,"")</f>
        <v/>
      </c>
    </row>
    <row r="2789">
      <c r="A2789" s="91" t="n"/>
      <c r="B2789" s="111">
        <f>MAX(0,N('Deal maths'!M792))</f>
        <v/>
      </c>
      <c r="C2789" s="91">
        <f>IF(B2789&gt;0,IF('Deal maths'!L792="Local authority","Local authorities",LOWER(TRIM('Deal maths'!K792))),"")</f>
        <v/>
      </c>
      <c r="D2789" s="91">
        <f>IF(C2789="","",IF(COUNTIF($C$4:C2788,C2789)=0,SUMIF($C$4:$C$3997,C2789,$B$4:$B$3997)-ROW()/1000000,""))</f>
        <v/>
      </c>
      <c r="E2789" s="91">
        <f>IF(N('Deal maths'!M792)&gt;0,ROW()/10000000,"")</f>
        <v/>
      </c>
    </row>
    <row r="2790">
      <c r="A2790" s="91" t="n"/>
      <c r="B2790" s="111">
        <f>MAX(0,N('Deal maths'!M793))</f>
        <v/>
      </c>
      <c r="C2790" s="91">
        <f>IF(B2790&gt;0,IF('Deal maths'!L793="Local authority","Local authorities",LOWER(TRIM('Deal maths'!K793))),"")</f>
        <v/>
      </c>
      <c r="D2790" s="91">
        <f>IF(C2790="","",IF(COUNTIF($C$4:C2789,C2790)=0,SUMIF($C$4:$C$3997,C2790,$B$4:$B$3997)-ROW()/1000000,""))</f>
        <v/>
      </c>
      <c r="E2790" s="91">
        <f>IF(N('Deal maths'!M793)&gt;0,ROW()/10000000,"")</f>
        <v/>
      </c>
    </row>
    <row r="2791">
      <c r="A2791" s="91" t="n"/>
      <c r="B2791" s="111">
        <f>MAX(0,N('Deal maths'!M794))</f>
        <v/>
      </c>
      <c r="C2791" s="91">
        <f>IF(B2791&gt;0,IF('Deal maths'!L794="Local authority","Local authorities",LOWER(TRIM('Deal maths'!K794))),"")</f>
        <v/>
      </c>
      <c r="D2791" s="91">
        <f>IF(C2791="","",IF(COUNTIF($C$4:C2790,C2791)=0,SUMIF($C$4:$C$3997,C2791,$B$4:$B$3997)-ROW()/1000000,""))</f>
        <v/>
      </c>
      <c r="E2791" s="91">
        <f>IF(N('Deal maths'!M794)&gt;0,ROW()/10000000,"")</f>
        <v/>
      </c>
    </row>
    <row r="2792">
      <c r="A2792" s="91" t="n"/>
      <c r="B2792" s="111">
        <f>MAX(0,N('Deal maths'!M795))</f>
        <v/>
      </c>
      <c r="C2792" s="91">
        <f>IF(B2792&gt;0,IF('Deal maths'!L795="Local authority","Local authorities",LOWER(TRIM('Deal maths'!K795))),"")</f>
        <v/>
      </c>
      <c r="D2792" s="91">
        <f>IF(C2792="","",IF(COUNTIF($C$4:C2791,C2792)=0,SUMIF($C$4:$C$3997,C2792,$B$4:$B$3997)-ROW()/1000000,""))</f>
        <v/>
      </c>
      <c r="E2792" s="91">
        <f>IF(N('Deal maths'!M795)&gt;0,ROW()/10000000,"")</f>
        <v/>
      </c>
    </row>
    <row r="2793">
      <c r="A2793" s="91" t="n"/>
      <c r="B2793" s="111">
        <f>MAX(0,N('Deal maths'!M796))</f>
        <v/>
      </c>
      <c r="C2793" s="91">
        <f>IF(B2793&gt;0,IF('Deal maths'!L796="Local authority","Local authorities",LOWER(TRIM('Deal maths'!K796))),"")</f>
        <v/>
      </c>
      <c r="D2793" s="91">
        <f>IF(C2793="","",IF(COUNTIF($C$4:C2792,C2793)=0,SUMIF($C$4:$C$3997,C2793,$B$4:$B$3997)-ROW()/1000000,""))</f>
        <v/>
      </c>
      <c r="E2793" s="91">
        <f>IF(N('Deal maths'!M796)&gt;0,ROW()/10000000,"")</f>
        <v/>
      </c>
    </row>
    <row r="2794">
      <c r="A2794" s="91" t="n"/>
      <c r="B2794" s="111">
        <f>MAX(0,N('Deal maths'!M797))</f>
        <v/>
      </c>
      <c r="C2794" s="91">
        <f>IF(B2794&gt;0,IF('Deal maths'!L797="Local authority","Local authorities",LOWER(TRIM('Deal maths'!K797))),"")</f>
        <v/>
      </c>
      <c r="D2794" s="91">
        <f>IF(C2794="","",IF(COUNTIF($C$4:C2793,C2794)=0,SUMIF($C$4:$C$3997,C2794,$B$4:$B$3997)-ROW()/1000000,""))</f>
        <v/>
      </c>
      <c r="E2794" s="91">
        <f>IF(N('Deal maths'!M797)&gt;0,ROW()/10000000,"")</f>
        <v/>
      </c>
    </row>
    <row r="2795">
      <c r="A2795" s="91" t="n"/>
      <c r="B2795" s="111">
        <f>MAX(0,N('Deal maths'!M798))</f>
        <v/>
      </c>
      <c r="C2795" s="91">
        <f>IF(B2795&gt;0,IF('Deal maths'!L798="Local authority","Local authorities",LOWER(TRIM('Deal maths'!K798))),"")</f>
        <v/>
      </c>
      <c r="D2795" s="91">
        <f>IF(C2795="","",IF(COUNTIF($C$4:C2794,C2795)=0,SUMIF($C$4:$C$3997,C2795,$B$4:$B$3997)-ROW()/1000000,""))</f>
        <v/>
      </c>
      <c r="E2795" s="91">
        <f>IF(N('Deal maths'!M798)&gt;0,ROW()/10000000,"")</f>
        <v/>
      </c>
    </row>
    <row r="2796">
      <c r="A2796" s="91" t="n"/>
      <c r="B2796" s="111">
        <f>MAX(0,N('Deal maths'!M799))</f>
        <v/>
      </c>
      <c r="C2796" s="91">
        <f>IF(B2796&gt;0,IF('Deal maths'!L799="Local authority","Local authorities",LOWER(TRIM('Deal maths'!K799))),"")</f>
        <v/>
      </c>
      <c r="D2796" s="91">
        <f>IF(C2796="","",IF(COUNTIF($C$4:C2795,C2796)=0,SUMIF($C$4:$C$3997,C2796,$B$4:$B$3997)-ROW()/1000000,""))</f>
        <v/>
      </c>
      <c r="E2796" s="91">
        <f>IF(N('Deal maths'!M799)&gt;0,ROW()/10000000,"")</f>
        <v/>
      </c>
    </row>
    <row r="2797">
      <c r="A2797" s="91" t="n"/>
      <c r="B2797" s="111">
        <f>MAX(0,N('Deal maths'!M800))</f>
        <v/>
      </c>
      <c r="C2797" s="91">
        <f>IF(B2797&gt;0,IF('Deal maths'!L800="Local authority","Local authorities",LOWER(TRIM('Deal maths'!K800))),"")</f>
        <v/>
      </c>
      <c r="D2797" s="91">
        <f>IF(C2797="","",IF(COUNTIF($C$4:C2796,C2797)=0,SUMIF($C$4:$C$3997,C2797,$B$4:$B$3997)-ROW()/1000000,""))</f>
        <v/>
      </c>
      <c r="E2797" s="91">
        <f>IF(N('Deal maths'!M800)&gt;0,ROW()/10000000,"")</f>
        <v/>
      </c>
    </row>
    <row r="2798">
      <c r="A2798" s="91" t="n"/>
      <c r="B2798" s="111">
        <f>MAX(0,N('Deal maths'!M801))</f>
        <v/>
      </c>
      <c r="C2798" s="91">
        <f>IF(B2798&gt;0,IF('Deal maths'!L801="Local authority","Local authorities",LOWER(TRIM('Deal maths'!K801))),"")</f>
        <v/>
      </c>
      <c r="D2798" s="91">
        <f>IF(C2798="","",IF(COUNTIF($C$4:C2797,C2798)=0,SUMIF($C$4:$C$3997,C2798,$B$4:$B$3997)-ROW()/1000000,""))</f>
        <v/>
      </c>
      <c r="E2798" s="91">
        <f>IF(N('Deal maths'!M801)&gt;0,ROW()/10000000,"")</f>
        <v/>
      </c>
    </row>
    <row r="2799">
      <c r="A2799" s="91" t="n"/>
      <c r="B2799" s="111">
        <f>MAX(0,N('Deal maths'!M802))</f>
        <v/>
      </c>
      <c r="C2799" s="91">
        <f>IF(B2799&gt;0,IF('Deal maths'!L802="Local authority","Local authorities",LOWER(TRIM('Deal maths'!K802))),"")</f>
        <v/>
      </c>
      <c r="D2799" s="91">
        <f>IF(C2799="","",IF(COUNTIF($C$4:C2798,C2799)=0,SUMIF($C$4:$C$3997,C2799,$B$4:$B$3997)-ROW()/1000000,""))</f>
        <v/>
      </c>
      <c r="E2799" s="91">
        <f>IF(N('Deal maths'!M802)&gt;0,ROW()/10000000,"")</f>
        <v/>
      </c>
    </row>
    <row r="2800">
      <c r="A2800" s="91" t="n"/>
      <c r="B2800" s="111">
        <f>MAX(0,N('Deal maths'!M803))</f>
        <v/>
      </c>
      <c r="C2800" s="91">
        <f>IF(B2800&gt;0,IF('Deal maths'!L803="Local authority","Local authorities",LOWER(TRIM('Deal maths'!K803))),"")</f>
        <v/>
      </c>
      <c r="D2800" s="91">
        <f>IF(C2800="","",IF(COUNTIF($C$4:C2799,C2800)=0,SUMIF($C$4:$C$3997,C2800,$B$4:$B$3997)-ROW()/1000000,""))</f>
        <v/>
      </c>
      <c r="E2800" s="91">
        <f>IF(N('Deal maths'!M803)&gt;0,ROW()/10000000,"")</f>
        <v/>
      </c>
    </row>
    <row r="2801">
      <c r="A2801" s="91" t="n"/>
      <c r="B2801" s="111">
        <f>MAX(0,N('Deal maths'!M804))</f>
        <v/>
      </c>
      <c r="C2801" s="91">
        <f>IF(B2801&gt;0,IF('Deal maths'!L804="Local authority","Local authorities",LOWER(TRIM('Deal maths'!K804))),"")</f>
        <v/>
      </c>
      <c r="D2801" s="91">
        <f>IF(C2801="","",IF(COUNTIF($C$4:C2800,C2801)=0,SUMIF($C$4:$C$3997,C2801,$B$4:$B$3997)-ROW()/1000000,""))</f>
        <v/>
      </c>
      <c r="E2801" s="91">
        <f>IF(N('Deal maths'!M804)&gt;0,ROW()/10000000,"")</f>
        <v/>
      </c>
    </row>
    <row r="2802">
      <c r="A2802" s="91" t="n"/>
      <c r="B2802" s="111">
        <f>MAX(0,N('Deal maths'!M805))</f>
        <v/>
      </c>
      <c r="C2802" s="91">
        <f>IF(B2802&gt;0,IF('Deal maths'!L805="Local authority","Local authorities",LOWER(TRIM('Deal maths'!K805))),"")</f>
        <v/>
      </c>
      <c r="D2802" s="91">
        <f>IF(C2802="","",IF(COUNTIF($C$4:C2801,C2802)=0,SUMIF($C$4:$C$3997,C2802,$B$4:$B$3997)-ROW()/1000000,""))</f>
        <v/>
      </c>
      <c r="E2802" s="91">
        <f>IF(N('Deal maths'!M805)&gt;0,ROW()/10000000,"")</f>
        <v/>
      </c>
    </row>
    <row r="2803">
      <c r="A2803" s="91" t="n"/>
      <c r="B2803" s="111">
        <f>MAX(0,N('Deal maths'!M806))</f>
        <v/>
      </c>
      <c r="C2803" s="91">
        <f>IF(B2803&gt;0,IF('Deal maths'!L806="Local authority","Local authorities",LOWER(TRIM('Deal maths'!K806))),"")</f>
        <v/>
      </c>
      <c r="D2803" s="91">
        <f>IF(C2803="","",IF(COUNTIF($C$4:C2802,C2803)=0,SUMIF($C$4:$C$3997,C2803,$B$4:$B$3997)-ROW()/1000000,""))</f>
        <v/>
      </c>
      <c r="E2803" s="91">
        <f>IF(N('Deal maths'!M806)&gt;0,ROW()/10000000,"")</f>
        <v/>
      </c>
    </row>
    <row r="2804">
      <c r="A2804" s="91" t="n"/>
      <c r="B2804" s="111">
        <f>MAX(0,N('Deal maths'!M807))</f>
        <v/>
      </c>
      <c r="C2804" s="91">
        <f>IF(B2804&gt;0,IF('Deal maths'!L807="Local authority","Local authorities",LOWER(TRIM('Deal maths'!K807))),"")</f>
        <v/>
      </c>
      <c r="D2804" s="91">
        <f>IF(C2804="","",IF(COUNTIF($C$4:C2803,C2804)=0,SUMIF($C$4:$C$3997,C2804,$B$4:$B$3997)-ROW()/1000000,""))</f>
        <v/>
      </c>
      <c r="E2804" s="91">
        <f>IF(N('Deal maths'!M807)&gt;0,ROW()/10000000,"")</f>
        <v/>
      </c>
    </row>
    <row r="2805">
      <c r="A2805" s="91" t="n"/>
      <c r="B2805" s="111">
        <f>MAX(0,N('Deal maths'!M808))</f>
        <v/>
      </c>
      <c r="C2805" s="91">
        <f>IF(B2805&gt;0,IF('Deal maths'!L808="Local authority","Local authorities",LOWER(TRIM('Deal maths'!K808))),"")</f>
        <v/>
      </c>
      <c r="D2805" s="91">
        <f>IF(C2805="","",IF(COUNTIF($C$4:C2804,C2805)=0,SUMIF($C$4:$C$3997,C2805,$B$4:$B$3997)-ROW()/1000000,""))</f>
        <v/>
      </c>
      <c r="E2805" s="91">
        <f>IF(N('Deal maths'!M808)&gt;0,ROW()/10000000,"")</f>
        <v/>
      </c>
    </row>
    <row r="2806">
      <c r="A2806" s="91" t="n"/>
      <c r="B2806" s="111">
        <f>MAX(0,N('Deal maths'!M809))</f>
        <v/>
      </c>
      <c r="C2806" s="91">
        <f>IF(B2806&gt;0,IF('Deal maths'!L809="Local authority","Local authorities",LOWER(TRIM('Deal maths'!K809))),"")</f>
        <v/>
      </c>
      <c r="D2806" s="91">
        <f>IF(C2806="","",IF(COUNTIF($C$4:C2805,C2806)=0,SUMIF($C$4:$C$3997,C2806,$B$4:$B$3997)-ROW()/1000000,""))</f>
        <v/>
      </c>
      <c r="E2806" s="91">
        <f>IF(N('Deal maths'!M809)&gt;0,ROW()/10000000,"")</f>
        <v/>
      </c>
    </row>
    <row r="2807">
      <c r="A2807" s="91" t="n"/>
      <c r="B2807" s="111">
        <f>MAX(0,N('Deal maths'!M810))</f>
        <v/>
      </c>
      <c r="C2807" s="91">
        <f>IF(B2807&gt;0,IF('Deal maths'!L810="Local authority","Local authorities",LOWER(TRIM('Deal maths'!K810))),"")</f>
        <v/>
      </c>
      <c r="D2807" s="91">
        <f>IF(C2807="","",IF(COUNTIF($C$4:C2806,C2807)=0,SUMIF($C$4:$C$3997,C2807,$B$4:$B$3997)-ROW()/1000000,""))</f>
        <v/>
      </c>
      <c r="E2807" s="91">
        <f>IF(N('Deal maths'!M810)&gt;0,ROW()/10000000,"")</f>
        <v/>
      </c>
    </row>
    <row r="2808">
      <c r="A2808" s="91" t="n"/>
      <c r="B2808" s="111">
        <f>MAX(0,N('Deal maths'!M811))</f>
        <v/>
      </c>
      <c r="C2808" s="91">
        <f>IF(B2808&gt;0,IF('Deal maths'!L811="Local authority","Local authorities",LOWER(TRIM('Deal maths'!K811))),"")</f>
        <v/>
      </c>
      <c r="D2808" s="91">
        <f>IF(C2808="","",IF(COUNTIF($C$4:C2807,C2808)=0,SUMIF($C$4:$C$3997,C2808,$B$4:$B$3997)-ROW()/1000000,""))</f>
        <v/>
      </c>
      <c r="E2808" s="91">
        <f>IF(N('Deal maths'!M811)&gt;0,ROW()/10000000,"")</f>
        <v/>
      </c>
    </row>
    <row r="2809">
      <c r="A2809" s="91" t="n"/>
      <c r="B2809" s="111">
        <f>MAX(0,N('Deal maths'!M812))</f>
        <v/>
      </c>
      <c r="C2809" s="91">
        <f>IF(B2809&gt;0,IF('Deal maths'!L812="Local authority","Local authorities",LOWER(TRIM('Deal maths'!K812))),"")</f>
        <v/>
      </c>
      <c r="D2809" s="91">
        <f>IF(C2809="","",IF(COUNTIF($C$4:C2808,C2809)=0,SUMIF($C$4:$C$3997,C2809,$B$4:$B$3997)-ROW()/1000000,""))</f>
        <v/>
      </c>
      <c r="E2809" s="91">
        <f>IF(N('Deal maths'!M812)&gt;0,ROW()/10000000,"")</f>
        <v/>
      </c>
    </row>
    <row r="2810">
      <c r="A2810" s="91" t="n"/>
      <c r="B2810" s="111">
        <f>MAX(0,N('Deal maths'!M813))</f>
        <v/>
      </c>
      <c r="C2810" s="91">
        <f>IF(B2810&gt;0,IF('Deal maths'!L813="Local authority","Local authorities",LOWER(TRIM('Deal maths'!K813))),"")</f>
        <v/>
      </c>
      <c r="D2810" s="91">
        <f>IF(C2810="","",IF(COUNTIF($C$4:C2809,C2810)=0,SUMIF($C$4:$C$3997,C2810,$B$4:$B$3997)-ROW()/1000000,""))</f>
        <v/>
      </c>
      <c r="E2810" s="91">
        <f>IF(N('Deal maths'!M813)&gt;0,ROW()/10000000,"")</f>
        <v/>
      </c>
    </row>
    <row r="2811">
      <c r="A2811" s="91" t="n"/>
      <c r="B2811" s="111">
        <f>MAX(0,N('Deal maths'!M814))</f>
        <v/>
      </c>
      <c r="C2811" s="91">
        <f>IF(B2811&gt;0,IF('Deal maths'!L814="Local authority","Local authorities",LOWER(TRIM('Deal maths'!K814))),"")</f>
        <v/>
      </c>
      <c r="D2811" s="91">
        <f>IF(C2811="","",IF(COUNTIF($C$4:C2810,C2811)=0,SUMIF($C$4:$C$3997,C2811,$B$4:$B$3997)-ROW()/1000000,""))</f>
        <v/>
      </c>
      <c r="E2811" s="91">
        <f>IF(N('Deal maths'!M814)&gt;0,ROW()/10000000,"")</f>
        <v/>
      </c>
    </row>
    <row r="2812">
      <c r="A2812" s="91" t="n"/>
      <c r="B2812" s="111">
        <f>MAX(0,N('Deal maths'!M815))</f>
        <v/>
      </c>
      <c r="C2812" s="91">
        <f>IF(B2812&gt;0,IF('Deal maths'!L815="Local authority","Local authorities",LOWER(TRIM('Deal maths'!K815))),"")</f>
        <v/>
      </c>
      <c r="D2812" s="91">
        <f>IF(C2812="","",IF(COUNTIF($C$4:C2811,C2812)=0,SUMIF($C$4:$C$3997,C2812,$B$4:$B$3997)-ROW()/1000000,""))</f>
        <v/>
      </c>
      <c r="E2812" s="91">
        <f>IF(N('Deal maths'!M815)&gt;0,ROW()/10000000,"")</f>
        <v/>
      </c>
    </row>
    <row r="2813">
      <c r="A2813" s="91" t="n"/>
      <c r="B2813" s="111">
        <f>MAX(0,N('Deal maths'!M816))</f>
        <v/>
      </c>
      <c r="C2813" s="91">
        <f>IF(B2813&gt;0,IF('Deal maths'!L816="Local authority","Local authorities",LOWER(TRIM('Deal maths'!K816))),"")</f>
        <v/>
      </c>
      <c r="D2813" s="91">
        <f>IF(C2813="","",IF(COUNTIF($C$4:C2812,C2813)=0,SUMIF($C$4:$C$3997,C2813,$B$4:$B$3997)-ROW()/1000000,""))</f>
        <v/>
      </c>
      <c r="E2813" s="91">
        <f>IF(N('Deal maths'!M816)&gt;0,ROW()/10000000,"")</f>
        <v/>
      </c>
    </row>
    <row r="2814">
      <c r="A2814" s="91" t="n"/>
      <c r="B2814" s="111">
        <f>MAX(0,N('Deal maths'!M817))</f>
        <v/>
      </c>
      <c r="C2814" s="91">
        <f>IF(B2814&gt;0,IF('Deal maths'!L817="Local authority","Local authorities",LOWER(TRIM('Deal maths'!K817))),"")</f>
        <v/>
      </c>
      <c r="D2814" s="91">
        <f>IF(C2814="","",IF(COUNTIF($C$4:C2813,C2814)=0,SUMIF($C$4:$C$3997,C2814,$B$4:$B$3997)-ROW()/1000000,""))</f>
        <v/>
      </c>
      <c r="E2814" s="91">
        <f>IF(N('Deal maths'!M817)&gt;0,ROW()/10000000,"")</f>
        <v/>
      </c>
    </row>
    <row r="2815">
      <c r="A2815" s="91" t="n"/>
      <c r="B2815" s="111">
        <f>MAX(0,N('Deal maths'!M818))</f>
        <v/>
      </c>
      <c r="C2815" s="91">
        <f>IF(B2815&gt;0,IF('Deal maths'!L818="Local authority","Local authorities",LOWER(TRIM('Deal maths'!K818))),"")</f>
        <v/>
      </c>
      <c r="D2815" s="91">
        <f>IF(C2815="","",IF(COUNTIF($C$4:C2814,C2815)=0,SUMIF($C$4:$C$3997,C2815,$B$4:$B$3997)-ROW()/1000000,""))</f>
        <v/>
      </c>
      <c r="E2815" s="91">
        <f>IF(N('Deal maths'!M818)&gt;0,ROW()/10000000,"")</f>
        <v/>
      </c>
    </row>
    <row r="2816">
      <c r="A2816" s="91" t="n"/>
      <c r="B2816" s="111">
        <f>MAX(0,N('Deal maths'!M819))</f>
        <v/>
      </c>
      <c r="C2816" s="91">
        <f>IF(B2816&gt;0,IF('Deal maths'!L819="Local authority","Local authorities",LOWER(TRIM('Deal maths'!K819))),"")</f>
        <v/>
      </c>
      <c r="D2816" s="91">
        <f>IF(C2816="","",IF(COUNTIF($C$4:C2815,C2816)=0,SUMIF($C$4:$C$3997,C2816,$B$4:$B$3997)-ROW()/1000000,""))</f>
        <v/>
      </c>
      <c r="E2816" s="91">
        <f>IF(N('Deal maths'!M819)&gt;0,ROW()/10000000,"")</f>
        <v/>
      </c>
    </row>
    <row r="2817">
      <c r="A2817" s="91" t="n"/>
      <c r="B2817" s="111">
        <f>MAX(0,N('Deal maths'!M820))</f>
        <v/>
      </c>
      <c r="C2817" s="91">
        <f>IF(B2817&gt;0,IF('Deal maths'!L820="Local authority","Local authorities",LOWER(TRIM('Deal maths'!K820))),"")</f>
        <v/>
      </c>
      <c r="D2817" s="91">
        <f>IF(C2817="","",IF(COUNTIF($C$4:C2816,C2817)=0,SUMIF($C$4:$C$3997,C2817,$B$4:$B$3997)-ROW()/1000000,""))</f>
        <v/>
      </c>
      <c r="E2817" s="91">
        <f>IF(N('Deal maths'!M820)&gt;0,ROW()/10000000,"")</f>
        <v/>
      </c>
    </row>
    <row r="2818">
      <c r="A2818" s="91" t="n"/>
      <c r="B2818" s="111">
        <f>MAX(0,N('Deal maths'!M821))</f>
        <v/>
      </c>
      <c r="C2818" s="91">
        <f>IF(B2818&gt;0,IF('Deal maths'!L821="Local authority","Local authorities",LOWER(TRIM('Deal maths'!K821))),"")</f>
        <v/>
      </c>
      <c r="D2818" s="91">
        <f>IF(C2818="","",IF(COUNTIF($C$4:C2817,C2818)=0,SUMIF($C$4:$C$3997,C2818,$B$4:$B$3997)-ROW()/1000000,""))</f>
        <v/>
      </c>
      <c r="E2818" s="91">
        <f>IF(N('Deal maths'!M821)&gt;0,ROW()/10000000,"")</f>
        <v/>
      </c>
    </row>
    <row r="2819">
      <c r="A2819" s="91" t="n"/>
      <c r="B2819" s="111">
        <f>MAX(0,N('Deal maths'!M822))</f>
        <v/>
      </c>
      <c r="C2819" s="91">
        <f>IF(B2819&gt;0,IF('Deal maths'!L822="Local authority","Local authorities",LOWER(TRIM('Deal maths'!K822))),"")</f>
        <v/>
      </c>
      <c r="D2819" s="91">
        <f>IF(C2819="","",IF(COUNTIF($C$4:C2818,C2819)=0,SUMIF($C$4:$C$3997,C2819,$B$4:$B$3997)-ROW()/1000000,""))</f>
        <v/>
      </c>
      <c r="E2819" s="91">
        <f>IF(N('Deal maths'!M822)&gt;0,ROW()/10000000,"")</f>
        <v/>
      </c>
    </row>
    <row r="2820">
      <c r="A2820" s="91" t="n"/>
      <c r="B2820" s="111">
        <f>MAX(0,N('Deal maths'!M823))</f>
        <v/>
      </c>
      <c r="C2820" s="91">
        <f>IF(B2820&gt;0,IF('Deal maths'!L823="Local authority","Local authorities",LOWER(TRIM('Deal maths'!K823))),"")</f>
        <v/>
      </c>
      <c r="D2820" s="91">
        <f>IF(C2820="","",IF(COUNTIF($C$4:C2819,C2820)=0,SUMIF($C$4:$C$3997,C2820,$B$4:$B$3997)-ROW()/1000000,""))</f>
        <v/>
      </c>
      <c r="E2820" s="91">
        <f>IF(N('Deal maths'!M823)&gt;0,ROW()/10000000,"")</f>
        <v/>
      </c>
    </row>
    <row r="2821">
      <c r="A2821" s="91" t="n"/>
      <c r="B2821" s="111">
        <f>MAX(0,N('Deal maths'!M824))</f>
        <v/>
      </c>
      <c r="C2821" s="91">
        <f>IF(B2821&gt;0,IF('Deal maths'!L824="Local authority","Local authorities",LOWER(TRIM('Deal maths'!K824))),"")</f>
        <v/>
      </c>
      <c r="D2821" s="91">
        <f>IF(C2821="","",IF(COUNTIF($C$4:C2820,C2821)=0,SUMIF($C$4:$C$3997,C2821,$B$4:$B$3997)-ROW()/1000000,""))</f>
        <v/>
      </c>
      <c r="E2821" s="91">
        <f>IF(N('Deal maths'!M824)&gt;0,ROW()/10000000,"")</f>
        <v/>
      </c>
    </row>
    <row r="2822">
      <c r="A2822" s="91" t="n"/>
      <c r="B2822" s="111">
        <f>MAX(0,N('Deal maths'!M825))</f>
        <v/>
      </c>
      <c r="C2822" s="91">
        <f>IF(B2822&gt;0,IF('Deal maths'!L825="Local authority","Local authorities",LOWER(TRIM('Deal maths'!K825))),"")</f>
        <v/>
      </c>
      <c r="D2822" s="91">
        <f>IF(C2822="","",IF(COUNTIF($C$4:C2821,C2822)=0,SUMIF($C$4:$C$3997,C2822,$B$4:$B$3997)-ROW()/1000000,""))</f>
        <v/>
      </c>
      <c r="E2822" s="91">
        <f>IF(N('Deal maths'!M825)&gt;0,ROW()/10000000,"")</f>
        <v/>
      </c>
    </row>
    <row r="2823">
      <c r="A2823" s="91" t="n"/>
      <c r="B2823" s="111">
        <f>MAX(0,N('Deal maths'!M826))</f>
        <v/>
      </c>
      <c r="C2823" s="91">
        <f>IF(B2823&gt;0,IF('Deal maths'!L826="Local authority","Local authorities",LOWER(TRIM('Deal maths'!K826))),"")</f>
        <v/>
      </c>
      <c r="D2823" s="91">
        <f>IF(C2823="","",IF(COUNTIF($C$4:C2822,C2823)=0,SUMIF($C$4:$C$3997,C2823,$B$4:$B$3997)-ROW()/1000000,""))</f>
        <v/>
      </c>
      <c r="E2823" s="91">
        <f>IF(N('Deal maths'!M826)&gt;0,ROW()/10000000,"")</f>
        <v/>
      </c>
    </row>
    <row r="2824">
      <c r="A2824" s="91" t="n"/>
      <c r="B2824" s="111">
        <f>MAX(0,N('Deal maths'!M827))</f>
        <v/>
      </c>
      <c r="C2824" s="91">
        <f>IF(B2824&gt;0,IF('Deal maths'!L827="Local authority","Local authorities",LOWER(TRIM('Deal maths'!K827))),"")</f>
        <v/>
      </c>
      <c r="D2824" s="91">
        <f>IF(C2824="","",IF(COUNTIF($C$4:C2823,C2824)=0,SUMIF($C$4:$C$3997,C2824,$B$4:$B$3997)-ROW()/1000000,""))</f>
        <v/>
      </c>
      <c r="E2824" s="91">
        <f>IF(N('Deal maths'!M827)&gt;0,ROW()/10000000,"")</f>
        <v/>
      </c>
    </row>
    <row r="2825">
      <c r="A2825" s="91" t="n"/>
      <c r="B2825" s="111">
        <f>MAX(0,N('Deal maths'!M828))</f>
        <v/>
      </c>
      <c r="C2825" s="91">
        <f>IF(B2825&gt;0,IF('Deal maths'!L828="Local authority","Local authorities",LOWER(TRIM('Deal maths'!K828))),"")</f>
        <v/>
      </c>
      <c r="D2825" s="91">
        <f>IF(C2825="","",IF(COUNTIF($C$4:C2824,C2825)=0,SUMIF($C$4:$C$3997,C2825,$B$4:$B$3997)-ROW()/1000000,""))</f>
        <v/>
      </c>
      <c r="E2825" s="91">
        <f>IF(N('Deal maths'!M828)&gt;0,ROW()/10000000,"")</f>
        <v/>
      </c>
    </row>
    <row r="2826">
      <c r="A2826" s="91" t="n"/>
      <c r="B2826" s="111">
        <f>MAX(0,N('Deal maths'!M829))</f>
        <v/>
      </c>
      <c r="C2826" s="91">
        <f>IF(B2826&gt;0,IF('Deal maths'!L829="Local authority","Local authorities",LOWER(TRIM('Deal maths'!K829))),"")</f>
        <v/>
      </c>
      <c r="D2826" s="91">
        <f>IF(C2826="","",IF(COUNTIF($C$4:C2825,C2826)=0,SUMIF($C$4:$C$3997,C2826,$B$4:$B$3997)-ROW()/1000000,""))</f>
        <v/>
      </c>
      <c r="E2826" s="91">
        <f>IF(N('Deal maths'!M829)&gt;0,ROW()/10000000,"")</f>
        <v/>
      </c>
    </row>
    <row r="2827">
      <c r="A2827" s="91" t="n"/>
      <c r="B2827" s="111">
        <f>MAX(0,N('Deal maths'!M830))</f>
        <v/>
      </c>
      <c r="C2827" s="91">
        <f>IF(B2827&gt;0,IF('Deal maths'!L830="Local authority","Local authorities",LOWER(TRIM('Deal maths'!K830))),"")</f>
        <v/>
      </c>
      <c r="D2827" s="91">
        <f>IF(C2827="","",IF(COUNTIF($C$4:C2826,C2827)=0,SUMIF($C$4:$C$3997,C2827,$B$4:$B$3997)-ROW()/1000000,""))</f>
        <v/>
      </c>
      <c r="E2827" s="91">
        <f>IF(N('Deal maths'!M830)&gt;0,ROW()/10000000,"")</f>
        <v/>
      </c>
    </row>
    <row r="2828">
      <c r="A2828" s="91" t="n"/>
      <c r="B2828" s="111">
        <f>MAX(0,N('Deal maths'!M831))</f>
        <v/>
      </c>
      <c r="C2828" s="91">
        <f>IF(B2828&gt;0,IF('Deal maths'!L831="Local authority","Local authorities",LOWER(TRIM('Deal maths'!K831))),"")</f>
        <v/>
      </c>
      <c r="D2828" s="91">
        <f>IF(C2828="","",IF(COUNTIF($C$4:C2827,C2828)=0,SUMIF($C$4:$C$3997,C2828,$B$4:$B$3997)-ROW()/1000000,""))</f>
        <v/>
      </c>
      <c r="E2828" s="91">
        <f>IF(N('Deal maths'!M831)&gt;0,ROW()/10000000,"")</f>
        <v/>
      </c>
    </row>
    <row r="2829">
      <c r="A2829" s="91" t="n"/>
      <c r="B2829" s="111">
        <f>MAX(0,N('Deal maths'!M832))</f>
        <v/>
      </c>
      <c r="C2829" s="91">
        <f>IF(B2829&gt;0,IF('Deal maths'!L832="Local authority","Local authorities",LOWER(TRIM('Deal maths'!K832))),"")</f>
        <v/>
      </c>
      <c r="D2829" s="91">
        <f>IF(C2829="","",IF(COUNTIF($C$4:C2828,C2829)=0,SUMIF($C$4:$C$3997,C2829,$B$4:$B$3997)-ROW()/1000000,""))</f>
        <v/>
      </c>
      <c r="E2829" s="91">
        <f>IF(N('Deal maths'!M832)&gt;0,ROW()/10000000,"")</f>
        <v/>
      </c>
    </row>
    <row r="2830">
      <c r="A2830" s="91" t="n"/>
      <c r="B2830" s="111">
        <f>MAX(0,N('Deal maths'!M833))</f>
        <v/>
      </c>
      <c r="C2830" s="91">
        <f>IF(B2830&gt;0,IF('Deal maths'!L833="Local authority","Local authorities",LOWER(TRIM('Deal maths'!K833))),"")</f>
        <v/>
      </c>
      <c r="D2830" s="91">
        <f>IF(C2830="","",IF(COUNTIF($C$4:C2829,C2830)=0,SUMIF($C$4:$C$3997,C2830,$B$4:$B$3997)-ROW()/1000000,""))</f>
        <v/>
      </c>
      <c r="E2830" s="91">
        <f>IF(N('Deal maths'!M833)&gt;0,ROW()/10000000,"")</f>
        <v/>
      </c>
    </row>
    <row r="2831">
      <c r="A2831" s="91" t="n"/>
      <c r="B2831" s="111">
        <f>MAX(0,N('Deal maths'!M834))</f>
        <v/>
      </c>
      <c r="C2831" s="91">
        <f>IF(B2831&gt;0,IF('Deal maths'!L834="Local authority","Local authorities",LOWER(TRIM('Deal maths'!K834))),"")</f>
        <v/>
      </c>
      <c r="D2831" s="91">
        <f>IF(C2831="","",IF(COUNTIF($C$4:C2830,C2831)=0,SUMIF($C$4:$C$3997,C2831,$B$4:$B$3997)-ROW()/1000000,""))</f>
        <v/>
      </c>
      <c r="E2831" s="91">
        <f>IF(N('Deal maths'!M834)&gt;0,ROW()/10000000,"")</f>
        <v/>
      </c>
    </row>
    <row r="2832">
      <c r="A2832" s="91" t="n"/>
      <c r="B2832" s="111">
        <f>MAX(0,N('Deal maths'!M835))</f>
        <v/>
      </c>
      <c r="C2832" s="91">
        <f>IF(B2832&gt;0,IF('Deal maths'!L835="Local authority","Local authorities",LOWER(TRIM('Deal maths'!K835))),"")</f>
        <v/>
      </c>
      <c r="D2832" s="91">
        <f>IF(C2832="","",IF(COUNTIF($C$4:C2831,C2832)=0,SUMIF($C$4:$C$3997,C2832,$B$4:$B$3997)-ROW()/1000000,""))</f>
        <v/>
      </c>
      <c r="E2832" s="91">
        <f>IF(N('Deal maths'!M835)&gt;0,ROW()/10000000,"")</f>
        <v/>
      </c>
    </row>
    <row r="2833">
      <c r="A2833" s="91" t="n"/>
      <c r="B2833" s="111">
        <f>MAX(0,N('Deal maths'!M836))</f>
        <v/>
      </c>
      <c r="C2833" s="91">
        <f>IF(B2833&gt;0,IF('Deal maths'!L836="Local authority","Local authorities",LOWER(TRIM('Deal maths'!K836))),"")</f>
        <v/>
      </c>
      <c r="D2833" s="91">
        <f>IF(C2833="","",IF(COUNTIF($C$4:C2832,C2833)=0,SUMIF($C$4:$C$3997,C2833,$B$4:$B$3997)-ROW()/1000000,""))</f>
        <v/>
      </c>
      <c r="E2833" s="91">
        <f>IF(N('Deal maths'!M836)&gt;0,ROW()/10000000,"")</f>
        <v/>
      </c>
    </row>
    <row r="2834">
      <c r="A2834" s="91" t="n"/>
      <c r="B2834" s="111">
        <f>MAX(0,N('Deal maths'!M837))</f>
        <v/>
      </c>
      <c r="C2834" s="91">
        <f>IF(B2834&gt;0,IF('Deal maths'!L837="Local authority","Local authorities",LOWER(TRIM('Deal maths'!K837))),"")</f>
        <v/>
      </c>
      <c r="D2834" s="91">
        <f>IF(C2834="","",IF(COUNTIF($C$4:C2833,C2834)=0,SUMIF($C$4:$C$3997,C2834,$B$4:$B$3997)-ROW()/1000000,""))</f>
        <v/>
      </c>
      <c r="E2834" s="91">
        <f>IF(N('Deal maths'!M837)&gt;0,ROW()/10000000,"")</f>
        <v/>
      </c>
    </row>
    <row r="2835">
      <c r="A2835" s="91" t="n"/>
      <c r="B2835" s="111">
        <f>MAX(0,N('Deal maths'!M838))</f>
        <v/>
      </c>
      <c r="C2835" s="91">
        <f>IF(B2835&gt;0,IF('Deal maths'!L838="Local authority","Local authorities",LOWER(TRIM('Deal maths'!K838))),"")</f>
        <v/>
      </c>
      <c r="D2835" s="91">
        <f>IF(C2835="","",IF(COUNTIF($C$4:C2834,C2835)=0,SUMIF($C$4:$C$3997,C2835,$B$4:$B$3997)-ROW()/1000000,""))</f>
        <v/>
      </c>
      <c r="E2835" s="91">
        <f>IF(N('Deal maths'!M838)&gt;0,ROW()/10000000,"")</f>
        <v/>
      </c>
    </row>
    <row r="2836">
      <c r="A2836" s="91" t="n"/>
      <c r="B2836" s="111">
        <f>MAX(0,N('Deal maths'!M839))</f>
        <v/>
      </c>
      <c r="C2836" s="91">
        <f>IF(B2836&gt;0,IF('Deal maths'!L839="Local authority","Local authorities",LOWER(TRIM('Deal maths'!K839))),"")</f>
        <v/>
      </c>
      <c r="D2836" s="91">
        <f>IF(C2836="","",IF(COUNTIF($C$4:C2835,C2836)=0,SUMIF($C$4:$C$3997,C2836,$B$4:$B$3997)-ROW()/1000000,""))</f>
        <v/>
      </c>
      <c r="E2836" s="91">
        <f>IF(N('Deal maths'!M839)&gt;0,ROW()/10000000,"")</f>
        <v/>
      </c>
    </row>
    <row r="2837">
      <c r="A2837" s="91" t="n"/>
      <c r="B2837" s="111">
        <f>MAX(0,N('Deal maths'!M840))</f>
        <v/>
      </c>
      <c r="C2837" s="91">
        <f>IF(B2837&gt;0,IF('Deal maths'!L840="Local authority","Local authorities",LOWER(TRIM('Deal maths'!K840))),"")</f>
        <v/>
      </c>
      <c r="D2837" s="91">
        <f>IF(C2837="","",IF(COUNTIF($C$4:C2836,C2837)=0,SUMIF($C$4:$C$3997,C2837,$B$4:$B$3997)-ROW()/1000000,""))</f>
        <v/>
      </c>
      <c r="E2837" s="91">
        <f>IF(N('Deal maths'!M840)&gt;0,ROW()/10000000,"")</f>
        <v/>
      </c>
    </row>
    <row r="2838">
      <c r="A2838" s="91" t="n"/>
      <c r="B2838" s="111">
        <f>MAX(0,N('Deal maths'!M841))</f>
        <v/>
      </c>
      <c r="C2838" s="91">
        <f>IF(B2838&gt;0,IF('Deal maths'!L841="Local authority","Local authorities",LOWER(TRIM('Deal maths'!K841))),"")</f>
        <v/>
      </c>
      <c r="D2838" s="91">
        <f>IF(C2838="","",IF(COUNTIF($C$4:C2837,C2838)=0,SUMIF($C$4:$C$3997,C2838,$B$4:$B$3997)-ROW()/1000000,""))</f>
        <v/>
      </c>
      <c r="E2838" s="91">
        <f>IF(N('Deal maths'!M841)&gt;0,ROW()/10000000,"")</f>
        <v/>
      </c>
    </row>
    <row r="2839">
      <c r="A2839" s="91" t="n"/>
      <c r="B2839" s="111">
        <f>MAX(0,N('Deal maths'!M842))</f>
        <v/>
      </c>
      <c r="C2839" s="91">
        <f>IF(B2839&gt;0,IF('Deal maths'!L842="Local authority","Local authorities",LOWER(TRIM('Deal maths'!K842))),"")</f>
        <v/>
      </c>
      <c r="D2839" s="91">
        <f>IF(C2839="","",IF(COUNTIF($C$4:C2838,C2839)=0,SUMIF($C$4:$C$3997,C2839,$B$4:$B$3997)-ROW()/1000000,""))</f>
        <v/>
      </c>
      <c r="E2839" s="91">
        <f>IF(N('Deal maths'!M842)&gt;0,ROW()/10000000,"")</f>
        <v/>
      </c>
    </row>
    <row r="2840">
      <c r="A2840" s="91" t="n"/>
      <c r="B2840" s="111">
        <f>MAX(0,N('Deal maths'!M843))</f>
        <v/>
      </c>
      <c r="C2840" s="91">
        <f>IF(B2840&gt;0,IF('Deal maths'!L843="Local authority","Local authorities",LOWER(TRIM('Deal maths'!K843))),"")</f>
        <v/>
      </c>
      <c r="D2840" s="91">
        <f>IF(C2840="","",IF(COUNTIF($C$4:C2839,C2840)=0,SUMIF($C$4:$C$3997,C2840,$B$4:$B$3997)-ROW()/1000000,""))</f>
        <v/>
      </c>
      <c r="E2840" s="91">
        <f>IF(N('Deal maths'!M843)&gt;0,ROW()/10000000,"")</f>
        <v/>
      </c>
    </row>
    <row r="2841">
      <c r="A2841" s="91" t="n"/>
      <c r="B2841" s="111">
        <f>MAX(0,N('Deal maths'!M844))</f>
        <v/>
      </c>
      <c r="C2841" s="91">
        <f>IF(B2841&gt;0,IF('Deal maths'!L844="Local authority","Local authorities",LOWER(TRIM('Deal maths'!K844))),"")</f>
        <v/>
      </c>
      <c r="D2841" s="91">
        <f>IF(C2841="","",IF(COUNTIF($C$4:C2840,C2841)=0,SUMIF($C$4:$C$3997,C2841,$B$4:$B$3997)-ROW()/1000000,""))</f>
        <v/>
      </c>
      <c r="E2841" s="91">
        <f>IF(N('Deal maths'!M844)&gt;0,ROW()/10000000,"")</f>
        <v/>
      </c>
    </row>
    <row r="2842">
      <c r="A2842" s="91" t="n"/>
      <c r="B2842" s="111">
        <f>MAX(0,N('Deal maths'!M845))</f>
        <v/>
      </c>
      <c r="C2842" s="91">
        <f>IF(B2842&gt;0,IF('Deal maths'!L845="Local authority","Local authorities",LOWER(TRIM('Deal maths'!K845))),"")</f>
        <v/>
      </c>
      <c r="D2842" s="91">
        <f>IF(C2842="","",IF(COUNTIF($C$4:C2841,C2842)=0,SUMIF($C$4:$C$3997,C2842,$B$4:$B$3997)-ROW()/1000000,""))</f>
        <v/>
      </c>
      <c r="E2842" s="91">
        <f>IF(N('Deal maths'!M845)&gt;0,ROW()/10000000,"")</f>
        <v/>
      </c>
    </row>
    <row r="2843">
      <c r="A2843" s="91" t="n"/>
      <c r="B2843" s="111">
        <f>MAX(0,N('Deal maths'!M846))</f>
        <v/>
      </c>
      <c r="C2843" s="91">
        <f>IF(B2843&gt;0,IF('Deal maths'!L846="Local authority","Local authorities",LOWER(TRIM('Deal maths'!K846))),"")</f>
        <v/>
      </c>
      <c r="D2843" s="91">
        <f>IF(C2843="","",IF(COUNTIF($C$4:C2842,C2843)=0,SUMIF($C$4:$C$3997,C2843,$B$4:$B$3997)-ROW()/1000000,""))</f>
        <v/>
      </c>
      <c r="E2843" s="91">
        <f>IF(N('Deal maths'!M846)&gt;0,ROW()/10000000,"")</f>
        <v/>
      </c>
    </row>
    <row r="2844">
      <c r="A2844" s="91" t="n"/>
      <c r="B2844" s="111">
        <f>MAX(0,N('Deal maths'!M847))</f>
        <v/>
      </c>
      <c r="C2844" s="91">
        <f>IF(B2844&gt;0,IF('Deal maths'!L847="Local authority","Local authorities",LOWER(TRIM('Deal maths'!K847))),"")</f>
        <v/>
      </c>
      <c r="D2844" s="91">
        <f>IF(C2844="","",IF(COUNTIF($C$4:C2843,C2844)=0,SUMIF($C$4:$C$3997,C2844,$B$4:$B$3997)-ROW()/1000000,""))</f>
        <v/>
      </c>
      <c r="E2844" s="91">
        <f>IF(N('Deal maths'!M847)&gt;0,ROW()/10000000,"")</f>
        <v/>
      </c>
    </row>
    <row r="2845">
      <c r="A2845" s="91" t="n"/>
      <c r="B2845" s="111">
        <f>MAX(0,N('Deal maths'!M848))</f>
        <v/>
      </c>
      <c r="C2845" s="91">
        <f>IF(B2845&gt;0,IF('Deal maths'!L848="Local authority","Local authorities",LOWER(TRIM('Deal maths'!K848))),"")</f>
        <v/>
      </c>
      <c r="D2845" s="91">
        <f>IF(C2845="","",IF(COUNTIF($C$4:C2844,C2845)=0,SUMIF($C$4:$C$3997,C2845,$B$4:$B$3997)-ROW()/1000000,""))</f>
        <v/>
      </c>
      <c r="E2845" s="91">
        <f>IF(N('Deal maths'!M848)&gt;0,ROW()/10000000,"")</f>
        <v/>
      </c>
    </row>
    <row r="2846">
      <c r="A2846" s="91" t="n"/>
      <c r="B2846" s="111">
        <f>MAX(0,N('Deal maths'!M849))</f>
        <v/>
      </c>
      <c r="C2846" s="91">
        <f>IF(B2846&gt;0,IF('Deal maths'!L849="Local authority","Local authorities",LOWER(TRIM('Deal maths'!K849))),"")</f>
        <v/>
      </c>
      <c r="D2846" s="91">
        <f>IF(C2846="","",IF(COUNTIF($C$4:C2845,C2846)=0,SUMIF($C$4:$C$3997,C2846,$B$4:$B$3997)-ROW()/1000000,""))</f>
        <v/>
      </c>
      <c r="E2846" s="91">
        <f>IF(N('Deal maths'!M849)&gt;0,ROW()/10000000,"")</f>
        <v/>
      </c>
    </row>
    <row r="2847">
      <c r="A2847" s="91" t="n"/>
      <c r="B2847" s="111">
        <f>MAX(0,N('Deal maths'!M850))</f>
        <v/>
      </c>
      <c r="C2847" s="91">
        <f>IF(B2847&gt;0,IF('Deal maths'!L850="Local authority","Local authorities",LOWER(TRIM('Deal maths'!K850))),"")</f>
        <v/>
      </c>
      <c r="D2847" s="91">
        <f>IF(C2847="","",IF(COUNTIF($C$4:C2846,C2847)=0,SUMIF($C$4:$C$3997,C2847,$B$4:$B$3997)-ROW()/1000000,""))</f>
        <v/>
      </c>
      <c r="E2847" s="91">
        <f>IF(N('Deal maths'!M850)&gt;0,ROW()/10000000,"")</f>
        <v/>
      </c>
    </row>
    <row r="2848">
      <c r="A2848" s="91" t="n"/>
      <c r="B2848" s="111">
        <f>MAX(0,N('Deal maths'!M851))</f>
        <v/>
      </c>
      <c r="C2848" s="91">
        <f>IF(B2848&gt;0,IF('Deal maths'!L851="Local authority","Local authorities",LOWER(TRIM('Deal maths'!K851))),"")</f>
        <v/>
      </c>
      <c r="D2848" s="91">
        <f>IF(C2848="","",IF(COUNTIF($C$4:C2847,C2848)=0,SUMIF($C$4:$C$3997,C2848,$B$4:$B$3997)-ROW()/1000000,""))</f>
        <v/>
      </c>
      <c r="E2848" s="91">
        <f>IF(N('Deal maths'!M851)&gt;0,ROW()/10000000,"")</f>
        <v/>
      </c>
    </row>
    <row r="2849">
      <c r="A2849" s="91" t="n"/>
      <c r="B2849" s="111">
        <f>MAX(0,N('Deal maths'!M852))</f>
        <v/>
      </c>
      <c r="C2849" s="91">
        <f>IF(B2849&gt;0,IF('Deal maths'!L852="Local authority","Local authorities",LOWER(TRIM('Deal maths'!K852))),"")</f>
        <v/>
      </c>
      <c r="D2849" s="91">
        <f>IF(C2849="","",IF(COUNTIF($C$4:C2848,C2849)=0,SUMIF($C$4:$C$3997,C2849,$B$4:$B$3997)-ROW()/1000000,""))</f>
        <v/>
      </c>
      <c r="E2849" s="91">
        <f>IF(N('Deal maths'!M852)&gt;0,ROW()/10000000,"")</f>
        <v/>
      </c>
    </row>
    <row r="2850">
      <c r="A2850" s="91" t="n"/>
      <c r="B2850" s="111">
        <f>MAX(0,N('Deal maths'!M853))</f>
        <v/>
      </c>
      <c r="C2850" s="91">
        <f>IF(B2850&gt;0,IF('Deal maths'!L853="Local authority","Local authorities",LOWER(TRIM('Deal maths'!K853))),"")</f>
        <v/>
      </c>
      <c r="D2850" s="91">
        <f>IF(C2850="","",IF(COUNTIF($C$4:C2849,C2850)=0,SUMIF($C$4:$C$3997,C2850,$B$4:$B$3997)-ROW()/1000000,""))</f>
        <v/>
      </c>
      <c r="E2850" s="91">
        <f>IF(N('Deal maths'!M853)&gt;0,ROW()/10000000,"")</f>
        <v/>
      </c>
    </row>
    <row r="2851">
      <c r="A2851" s="91" t="n"/>
      <c r="B2851" s="111">
        <f>MAX(0,N('Deal maths'!M854))</f>
        <v/>
      </c>
      <c r="C2851" s="91">
        <f>IF(B2851&gt;0,IF('Deal maths'!L854="Local authority","Local authorities",LOWER(TRIM('Deal maths'!K854))),"")</f>
        <v/>
      </c>
      <c r="D2851" s="91">
        <f>IF(C2851="","",IF(COUNTIF($C$4:C2850,C2851)=0,SUMIF($C$4:$C$3997,C2851,$B$4:$B$3997)-ROW()/1000000,""))</f>
        <v/>
      </c>
      <c r="E2851" s="91">
        <f>IF(N('Deal maths'!M854)&gt;0,ROW()/10000000,"")</f>
        <v/>
      </c>
    </row>
    <row r="2852">
      <c r="A2852" s="91" t="n"/>
      <c r="B2852" s="111">
        <f>MAX(0,N('Deal maths'!M855))</f>
        <v/>
      </c>
      <c r="C2852" s="91">
        <f>IF(B2852&gt;0,IF('Deal maths'!L855="Local authority","Local authorities",LOWER(TRIM('Deal maths'!K855))),"")</f>
        <v/>
      </c>
      <c r="D2852" s="91">
        <f>IF(C2852="","",IF(COUNTIF($C$4:C2851,C2852)=0,SUMIF($C$4:$C$3997,C2852,$B$4:$B$3997)-ROW()/1000000,""))</f>
        <v/>
      </c>
      <c r="E2852" s="91">
        <f>IF(N('Deal maths'!M855)&gt;0,ROW()/10000000,"")</f>
        <v/>
      </c>
    </row>
    <row r="2853">
      <c r="A2853" s="91" t="n"/>
      <c r="B2853" s="111">
        <f>MAX(0,N('Deal maths'!M856))</f>
        <v/>
      </c>
      <c r="C2853" s="91">
        <f>IF(B2853&gt;0,IF('Deal maths'!L856="Local authority","Local authorities",LOWER(TRIM('Deal maths'!K856))),"")</f>
        <v/>
      </c>
      <c r="D2853" s="91">
        <f>IF(C2853="","",IF(COUNTIF($C$4:C2852,C2853)=0,SUMIF($C$4:$C$3997,C2853,$B$4:$B$3997)-ROW()/1000000,""))</f>
        <v/>
      </c>
      <c r="E2853" s="91">
        <f>IF(N('Deal maths'!M856)&gt;0,ROW()/10000000,"")</f>
        <v/>
      </c>
    </row>
    <row r="2854">
      <c r="A2854" s="91" t="n"/>
      <c r="B2854" s="111">
        <f>MAX(0,N('Deal maths'!M857))</f>
        <v/>
      </c>
      <c r="C2854" s="91">
        <f>IF(B2854&gt;0,IF('Deal maths'!L857="Local authority","Local authorities",LOWER(TRIM('Deal maths'!K857))),"")</f>
        <v/>
      </c>
      <c r="D2854" s="91">
        <f>IF(C2854="","",IF(COUNTIF($C$4:C2853,C2854)=0,SUMIF($C$4:$C$3997,C2854,$B$4:$B$3997)-ROW()/1000000,""))</f>
        <v/>
      </c>
      <c r="E2854" s="91">
        <f>IF(N('Deal maths'!M857)&gt;0,ROW()/10000000,"")</f>
        <v/>
      </c>
    </row>
    <row r="2855">
      <c r="A2855" s="91" t="n"/>
      <c r="B2855" s="111">
        <f>MAX(0,N('Deal maths'!M858))</f>
        <v/>
      </c>
      <c r="C2855" s="91">
        <f>IF(B2855&gt;0,IF('Deal maths'!L858="Local authority","Local authorities",LOWER(TRIM('Deal maths'!K858))),"")</f>
        <v/>
      </c>
      <c r="D2855" s="91">
        <f>IF(C2855="","",IF(COUNTIF($C$4:C2854,C2855)=0,SUMIF($C$4:$C$3997,C2855,$B$4:$B$3997)-ROW()/1000000,""))</f>
        <v/>
      </c>
      <c r="E2855" s="91">
        <f>IF(N('Deal maths'!M858)&gt;0,ROW()/10000000,"")</f>
        <v/>
      </c>
    </row>
    <row r="2856">
      <c r="A2856" s="91" t="n"/>
      <c r="B2856" s="111">
        <f>MAX(0,N('Deal maths'!M859))</f>
        <v/>
      </c>
      <c r="C2856" s="91">
        <f>IF(B2856&gt;0,IF('Deal maths'!L859="Local authority","Local authorities",LOWER(TRIM('Deal maths'!K859))),"")</f>
        <v/>
      </c>
      <c r="D2856" s="91">
        <f>IF(C2856="","",IF(COUNTIF($C$4:C2855,C2856)=0,SUMIF($C$4:$C$3997,C2856,$B$4:$B$3997)-ROW()/1000000,""))</f>
        <v/>
      </c>
      <c r="E2856" s="91">
        <f>IF(N('Deal maths'!M859)&gt;0,ROW()/10000000,"")</f>
        <v/>
      </c>
    </row>
    <row r="2857">
      <c r="A2857" s="91" t="n"/>
      <c r="B2857" s="111">
        <f>MAX(0,N('Deal maths'!M860))</f>
        <v/>
      </c>
      <c r="C2857" s="91">
        <f>IF(B2857&gt;0,IF('Deal maths'!L860="Local authority","Local authorities",LOWER(TRIM('Deal maths'!K860))),"")</f>
        <v/>
      </c>
      <c r="D2857" s="91">
        <f>IF(C2857="","",IF(COUNTIF($C$4:C2856,C2857)=0,SUMIF($C$4:$C$3997,C2857,$B$4:$B$3997)-ROW()/1000000,""))</f>
        <v/>
      </c>
      <c r="E2857" s="91">
        <f>IF(N('Deal maths'!M860)&gt;0,ROW()/10000000,"")</f>
        <v/>
      </c>
    </row>
    <row r="2858">
      <c r="A2858" s="91" t="n"/>
      <c r="B2858" s="111">
        <f>MAX(0,N('Deal maths'!M861))</f>
        <v/>
      </c>
      <c r="C2858" s="91">
        <f>IF(B2858&gt;0,IF('Deal maths'!L861="Local authority","Local authorities",LOWER(TRIM('Deal maths'!K861))),"")</f>
        <v/>
      </c>
      <c r="D2858" s="91">
        <f>IF(C2858="","",IF(COUNTIF($C$4:C2857,C2858)=0,SUMIF($C$4:$C$3997,C2858,$B$4:$B$3997)-ROW()/1000000,""))</f>
        <v/>
      </c>
      <c r="E2858" s="91">
        <f>IF(N('Deal maths'!M861)&gt;0,ROW()/10000000,"")</f>
        <v/>
      </c>
    </row>
    <row r="2859">
      <c r="A2859" s="91" t="n"/>
      <c r="B2859" s="111">
        <f>MAX(0,N('Deal maths'!M862))</f>
        <v/>
      </c>
      <c r="C2859" s="91">
        <f>IF(B2859&gt;0,IF('Deal maths'!L862="Local authority","Local authorities",LOWER(TRIM('Deal maths'!K862))),"")</f>
        <v/>
      </c>
      <c r="D2859" s="91">
        <f>IF(C2859="","",IF(COUNTIF($C$4:C2858,C2859)=0,SUMIF($C$4:$C$3997,C2859,$B$4:$B$3997)-ROW()/1000000,""))</f>
        <v/>
      </c>
      <c r="E2859" s="91">
        <f>IF(N('Deal maths'!M862)&gt;0,ROW()/10000000,"")</f>
        <v/>
      </c>
    </row>
    <row r="2860">
      <c r="A2860" s="91" t="n"/>
      <c r="B2860" s="111">
        <f>MAX(0,N('Deal maths'!M863))</f>
        <v/>
      </c>
      <c r="C2860" s="91">
        <f>IF(B2860&gt;0,IF('Deal maths'!L863="Local authority","Local authorities",LOWER(TRIM('Deal maths'!K863))),"")</f>
        <v/>
      </c>
      <c r="D2860" s="91">
        <f>IF(C2860="","",IF(COUNTIF($C$4:C2859,C2860)=0,SUMIF($C$4:$C$3997,C2860,$B$4:$B$3997)-ROW()/1000000,""))</f>
        <v/>
      </c>
      <c r="E2860" s="91">
        <f>IF(N('Deal maths'!M863)&gt;0,ROW()/10000000,"")</f>
        <v/>
      </c>
    </row>
    <row r="2861">
      <c r="A2861" s="91" t="n"/>
      <c r="B2861" s="111">
        <f>MAX(0,N('Deal maths'!M864))</f>
        <v/>
      </c>
      <c r="C2861" s="91">
        <f>IF(B2861&gt;0,IF('Deal maths'!L864="Local authority","Local authorities",LOWER(TRIM('Deal maths'!K864))),"")</f>
        <v/>
      </c>
      <c r="D2861" s="91">
        <f>IF(C2861="","",IF(COUNTIF($C$4:C2860,C2861)=0,SUMIF($C$4:$C$3997,C2861,$B$4:$B$3997)-ROW()/1000000,""))</f>
        <v/>
      </c>
      <c r="E2861" s="91">
        <f>IF(N('Deal maths'!M864)&gt;0,ROW()/10000000,"")</f>
        <v/>
      </c>
    </row>
    <row r="2862">
      <c r="A2862" s="91" t="n"/>
      <c r="B2862" s="111">
        <f>MAX(0,N('Deal maths'!M865))</f>
        <v/>
      </c>
      <c r="C2862" s="91">
        <f>IF(B2862&gt;0,IF('Deal maths'!L865="Local authority","Local authorities",LOWER(TRIM('Deal maths'!K865))),"")</f>
        <v/>
      </c>
      <c r="D2862" s="91">
        <f>IF(C2862="","",IF(COUNTIF($C$4:C2861,C2862)=0,SUMIF($C$4:$C$3997,C2862,$B$4:$B$3997)-ROW()/1000000,""))</f>
        <v/>
      </c>
      <c r="E2862" s="91">
        <f>IF(N('Deal maths'!M865)&gt;0,ROW()/10000000,"")</f>
        <v/>
      </c>
    </row>
    <row r="2863">
      <c r="A2863" s="91" t="n"/>
      <c r="B2863" s="111">
        <f>MAX(0,N('Deal maths'!M866))</f>
        <v/>
      </c>
      <c r="C2863" s="91">
        <f>IF(B2863&gt;0,IF('Deal maths'!L866="Local authority","Local authorities",LOWER(TRIM('Deal maths'!K866))),"")</f>
        <v/>
      </c>
      <c r="D2863" s="91">
        <f>IF(C2863="","",IF(COUNTIF($C$4:C2862,C2863)=0,SUMIF($C$4:$C$3997,C2863,$B$4:$B$3997)-ROW()/1000000,""))</f>
        <v/>
      </c>
      <c r="E2863" s="91">
        <f>IF(N('Deal maths'!M866)&gt;0,ROW()/10000000,"")</f>
        <v/>
      </c>
    </row>
    <row r="2864">
      <c r="A2864" s="91" t="n"/>
      <c r="B2864" s="111">
        <f>MAX(0,N('Deal maths'!M867))</f>
        <v/>
      </c>
      <c r="C2864" s="91">
        <f>IF(B2864&gt;0,IF('Deal maths'!L867="Local authority","Local authorities",LOWER(TRIM('Deal maths'!K867))),"")</f>
        <v/>
      </c>
      <c r="D2864" s="91">
        <f>IF(C2864="","",IF(COUNTIF($C$4:C2863,C2864)=0,SUMIF($C$4:$C$3997,C2864,$B$4:$B$3997)-ROW()/1000000,""))</f>
        <v/>
      </c>
      <c r="E2864" s="91">
        <f>IF(N('Deal maths'!M867)&gt;0,ROW()/10000000,"")</f>
        <v/>
      </c>
    </row>
    <row r="2865">
      <c r="A2865" s="91" t="n"/>
      <c r="B2865" s="111">
        <f>MAX(0,N('Deal maths'!M868))</f>
        <v/>
      </c>
      <c r="C2865" s="91">
        <f>IF(B2865&gt;0,IF('Deal maths'!L868="Local authority","Local authorities",LOWER(TRIM('Deal maths'!K868))),"")</f>
        <v/>
      </c>
      <c r="D2865" s="91">
        <f>IF(C2865="","",IF(COUNTIF($C$4:C2864,C2865)=0,SUMIF($C$4:$C$3997,C2865,$B$4:$B$3997)-ROW()/1000000,""))</f>
        <v/>
      </c>
      <c r="E2865" s="91">
        <f>IF(N('Deal maths'!M868)&gt;0,ROW()/10000000,"")</f>
        <v/>
      </c>
    </row>
    <row r="2866">
      <c r="A2866" s="91" t="n"/>
      <c r="B2866" s="111">
        <f>MAX(0,N('Deal maths'!M869))</f>
        <v/>
      </c>
      <c r="C2866" s="91">
        <f>IF(B2866&gt;0,IF('Deal maths'!L869="Local authority","Local authorities",LOWER(TRIM('Deal maths'!K869))),"")</f>
        <v/>
      </c>
      <c r="D2866" s="91">
        <f>IF(C2866="","",IF(COUNTIF($C$4:C2865,C2866)=0,SUMIF($C$4:$C$3997,C2866,$B$4:$B$3997)-ROW()/1000000,""))</f>
        <v/>
      </c>
      <c r="E2866" s="91">
        <f>IF(N('Deal maths'!M869)&gt;0,ROW()/10000000,"")</f>
        <v/>
      </c>
    </row>
    <row r="2867">
      <c r="A2867" s="91" t="n"/>
      <c r="B2867" s="111">
        <f>MAX(0,N('Deal maths'!M870))</f>
        <v/>
      </c>
      <c r="C2867" s="91">
        <f>IF(B2867&gt;0,IF('Deal maths'!L870="Local authority","Local authorities",LOWER(TRIM('Deal maths'!K870))),"")</f>
        <v/>
      </c>
      <c r="D2867" s="91">
        <f>IF(C2867="","",IF(COUNTIF($C$4:C2866,C2867)=0,SUMIF($C$4:$C$3997,C2867,$B$4:$B$3997)-ROW()/1000000,""))</f>
        <v/>
      </c>
      <c r="E2867" s="91">
        <f>IF(N('Deal maths'!M870)&gt;0,ROW()/10000000,"")</f>
        <v/>
      </c>
    </row>
    <row r="2868">
      <c r="A2868" s="91" t="n"/>
      <c r="B2868" s="111">
        <f>MAX(0,N('Deal maths'!M871))</f>
        <v/>
      </c>
      <c r="C2868" s="91">
        <f>IF(B2868&gt;0,IF('Deal maths'!L871="Local authority","Local authorities",LOWER(TRIM('Deal maths'!K871))),"")</f>
        <v/>
      </c>
      <c r="D2868" s="91">
        <f>IF(C2868="","",IF(COUNTIF($C$4:C2867,C2868)=0,SUMIF($C$4:$C$3997,C2868,$B$4:$B$3997)-ROW()/1000000,""))</f>
        <v/>
      </c>
      <c r="E2868" s="91">
        <f>IF(N('Deal maths'!M871)&gt;0,ROW()/10000000,"")</f>
        <v/>
      </c>
    </row>
    <row r="2869">
      <c r="A2869" s="91" t="n"/>
      <c r="B2869" s="111">
        <f>MAX(0,N('Deal maths'!M872))</f>
        <v/>
      </c>
      <c r="C2869" s="91">
        <f>IF(B2869&gt;0,IF('Deal maths'!L872="Local authority","Local authorities",LOWER(TRIM('Deal maths'!K872))),"")</f>
        <v/>
      </c>
      <c r="D2869" s="91">
        <f>IF(C2869="","",IF(COUNTIF($C$4:C2868,C2869)=0,SUMIF($C$4:$C$3997,C2869,$B$4:$B$3997)-ROW()/1000000,""))</f>
        <v/>
      </c>
      <c r="E2869" s="91">
        <f>IF(N('Deal maths'!M872)&gt;0,ROW()/10000000,"")</f>
        <v/>
      </c>
    </row>
    <row r="2870">
      <c r="A2870" s="91" t="n"/>
      <c r="B2870" s="111">
        <f>MAX(0,N('Deal maths'!M873))</f>
        <v/>
      </c>
      <c r="C2870" s="91">
        <f>IF(B2870&gt;0,IF('Deal maths'!L873="Local authority","Local authorities",LOWER(TRIM('Deal maths'!K873))),"")</f>
        <v/>
      </c>
      <c r="D2870" s="91">
        <f>IF(C2870="","",IF(COUNTIF($C$4:C2869,C2870)=0,SUMIF($C$4:$C$3997,C2870,$B$4:$B$3997)-ROW()/1000000,""))</f>
        <v/>
      </c>
      <c r="E2870" s="91">
        <f>IF(N('Deal maths'!M873)&gt;0,ROW()/10000000,"")</f>
        <v/>
      </c>
    </row>
    <row r="2871">
      <c r="A2871" s="91" t="n"/>
      <c r="B2871" s="111">
        <f>MAX(0,N('Deal maths'!M874))</f>
        <v/>
      </c>
      <c r="C2871" s="91">
        <f>IF(B2871&gt;0,IF('Deal maths'!L874="Local authority","Local authorities",LOWER(TRIM('Deal maths'!K874))),"")</f>
        <v/>
      </c>
      <c r="D2871" s="91">
        <f>IF(C2871="","",IF(COUNTIF($C$4:C2870,C2871)=0,SUMIF($C$4:$C$3997,C2871,$B$4:$B$3997)-ROW()/1000000,""))</f>
        <v/>
      </c>
      <c r="E2871" s="91">
        <f>IF(N('Deal maths'!M874)&gt;0,ROW()/10000000,"")</f>
        <v/>
      </c>
    </row>
    <row r="2872">
      <c r="A2872" s="91" t="n"/>
      <c r="B2872" s="111">
        <f>MAX(0,N('Deal maths'!M875))</f>
        <v/>
      </c>
      <c r="C2872" s="91">
        <f>IF(B2872&gt;0,IF('Deal maths'!L875="Local authority","Local authorities",LOWER(TRIM('Deal maths'!K875))),"")</f>
        <v/>
      </c>
      <c r="D2872" s="91">
        <f>IF(C2872="","",IF(COUNTIF($C$4:C2871,C2872)=0,SUMIF($C$4:$C$3997,C2872,$B$4:$B$3997)-ROW()/1000000,""))</f>
        <v/>
      </c>
      <c r="E2872" s="91">
        <f>IF(N('Deal maths'!M875)&gt;0,ROW()/10000000,"")</f>
        <v/>
      </c>
    </row>
    <row r="2873">
      <c r="A2873" s="91" t="n"/>
      <c r="B2873" s="111">
        <f>MAX(0,N('Deal maths'!M876))</f>
        <v/>
      </c>
      <c r="C2873" s="91">
        <f>IF(B2873&gt;0,IF('Deal maths'!L876="Local authority","Local authorities",LOWER(TRIM('Deal maths'!K876))),"")</f>
        <v/>
      </c>
      <c r="D2873" s="91">
        <f>IF(C2873="","",IF(COUNTIF($C$4:C2872,C2873)=0,SUMIF($C$4:$C$3997,C2873,$B$4:$B$3997)-ROW()/1000000,""))</f>
        <v/>
      </c>
      <c r="E2873" s="91">
        <f>IF(N('Deal maths'!M876)&gt;0,ROW()/10000000,"")</f>
        <v/>
      </c>
    </row>
    <row r="2874">
      <c r="A2874" s="91" t="n"/>
      <c r="B2874" s="111">
        <f>MAX(0,N('Deal maths'!M877))</f>
        <v/>
      </c>
      <c r="C2874" s="91">
        <f>IF(B2874&gt;0,IF('Deal maths'!L877="Local authority","Local authorities",LOWER(TRIM('Deal maths'!K877))),"")</f>
        <v/>
      </c>
      <c r="D2874" s="91">
        <f>IF(C2874="","",IF(COUNTIF($C$4:C2873,C2874)=0,SUMIF($C$4:$C$3997,C2874,$B$4:$B$3997)-ROW()/1000000,""))</f>
        <v/>
      </c>
      <c r="E2874" s="91">
        <f>IF(N('Deal maths'!M877)&gt;0,ROW()/10000000,"")</f>
        <v/>
      </c>
    </row>
    <row r="2875">
      <c r="A2875" s="91" t="n"/>
      <c r="B2875" s="111">
        <f>MAX(0,N('Deal maths'!M878))</f>
        <v/>
      </c>
      <c r="C2875" s="91">
        <f>IF(B2875&gt;0,IF('Deal maths'!L878="Local authority","Local authorities",LOWER(TRIM('Deal maths'!K878))),"")</f>
        <v/>
      </c>
      <c r="D2875" s="91">
        <f>IF(C2875="","",IF(COUNTIF($C$4:C2874,C2875)=0,SUMIF($C$4:$C$3997,C2875,$B$4:$B$3997)-ROW()/1000000,""))</f>
        <v/>
      </c>
      <c r="E2875" s="91">
        <f>IF(N('Deal maths'!M878)&gt;0,ROW()/10000000,"")</f>
        <v/>
      </c>
    </row>
    <row r="2876">
      <c r="A2876" s="91" t="n"/>
      <c r="B2876" s="111">
        <f>MAX(0,N('Deal maths'!M879))</f>
        <v/>
      </c>
      <c r="C2876" s="91">
        <f>IF(B2876&gt;0,IF('Deal maths'!L879="Local authority","Local authorities",LOWER(TRIM('Deal maths'!K879))),"")</f>
        <v/>
      </c>
      <c r="D2876" s="91">
        <f>IF(C2876="","",IF(COUNTIF($C$4:C2875,C2876)=0,SUMIF($C$4:$C$3997,C2876,$B$4:$B$3997)-ROW()/1000000,""))</f>
        <v/>
      </c>
      <c r="E2876" s="91">
        <f>IF(N('Deal maths'!M879)&gt;0,ROW()/10000000,"")</f>
        <v/>
      </c>
    </row>
    <row r="2877">
      <c r="A2877" s="91" t="n"/>
      <c r="B2877" s="111">
        <f>MAX(0,N('Deal maths'!M880))</f>
        <v/>
      </c>
      <c r="C2877" s="91">
        <f>IF(B2877&gt;0,IF('Deal maths'!L880="Local authority","Local authorities",LOWER(TRIM('Deal maths'!K880))),"")</f>
        <v/>
      </c>
      <c r="D2877" s="91">
        <f>IF(C2877="","",IF(COUNTIF($C$4:C2876,C2877)=0,SUMIF($C$4:$C$3997,C2877,$B$4:$B$3997)-ROW()/1000000,""))</f>
        <v/>
      </c>
      <c r="E2877" s="91">
        <f>IF(N('Deal maths'!M880)&gt;0,ROW()/10000000,"")</f>
        <v/>
      </c>
    </row>
    <row r="2878">
      <c r="A2878" s="91" t="n"/>
      <c r="B2878" s="111">
        <f>MAX(0,N('Deal maths'!M881))</f>
        <v/>
      </c>
      <c r="C2878" s="91">
        <f>IF(B2878&gt;0,IF('Deal maths'!L881="Local authority","Local authorities",LOWER(TRIM('Deal maths'!K881))),"")</f>
        <v/>
      </c>
      <c r="D2878" s="91">
        <f>IF(C2878="","",IF(COUNTIF($C$4:C2877,C2878)=0,SUMIF($C$4:$C$3997,C2878,$B$4:$B$3997)-ROW()/1000000,""))</f>
        <v/>
      </c>
      <c r="E2878" s="91">
        <f>IF(N('Deal maths'!M881)&gt;0,ROW()/10000000,"")</f>
        <v/>
      </c>
    </row>
    <row r="2879">
      <c r="A2879" s="91" t="n"/>
      <c r="B2879" s="111">
        <f>MAX(0,N('Deal maths'!M882))</f>
        <v/>
      </c>
      <c r="C2879" s="91">
        <f>IF(B2879&gt;0,IF('Deal maths'!L882="Local authority","Local authorities",LOWER(TRIM('Deal maths'!K882))),"")</f>
        <v/>
      </c>
      <c r="D2879" s="91">
        <f>IF(C2879="","",IF(COUNTIF($C$4:C2878,C2879)=0,SUMIF($C$4:$C$3997,C2879,$B$4:$B$3997)-ROW()/1000000,""))</f>
        <v/>
      </c>
      <c r="E2879" s="91">
        <f>IF(N('Deal maths'!M882)&gt;0,ROW()/10000000,"")</f>
        <v/>
      </c>
    </row>
    <row r="2880">
      <c r="A2880" s="91" t="n"/>
      <c r="B2880" s="111">
        <f>MAX(0,N('Deal maths'!M883))</f>
        <v/>
      </c>
      <c r="C2880" s="91">
        <f>IF(B2880&gt;0,IF('Deal maths'!L883="Local authority","Local authorities",LOWER(TRIM('Deal maths'!K883))),"")</f>
        <v/>
      </c>
      <c r="D2880" s="91">
        <f>IF(C2880="","",IF(COUNTIF($C$4:C2879,C2880)=0,SUMIF($C$4:$C$3997,C2880,$B$4:$B$3997)-ROW()/1000000,""))</f>
        <v/>
      </c>
      <c r="E2880" s="91">
        <f>IF(N('Deal maths'!M883)&gt;0,ROW()/10000000,"")</f>
        <v/>
      </c>
    </row>
    <row r="2881">
      <c r="A2881" s="91" t="n"/>
      <c r="B2881" s="111">
        <f>MAX(0,N('Deal maths'!M884))</f>
        <v/>
      </c>
      <c r="C2881" s="91">
        <f>IF(B2881&gt;0,IF('Deal maths'!L884="Local authority","Local authorities",LOWER(TRIM('Deal maths'!K884))),"")</f>
        <v/>
      </c>
      <c r="D2881" s="91">
        <f>IF(C2881="","",IF(COUNTIF($C$4:C2880,C2881)=0,SUMIF($C$4:$C$3997,C2881,$B$4:$B$3997)-ROW()/1000000,""))</f>
        <v/>
      </c>
      <c r="E2881" s="91">
        <f>IF(N('Deal maths'!M884)&gt;0,ROW()/10000000,"")</f>
        <v/>
      </c>
    </row>
    <row r="2882">
      <c r="A2882" s="91" t="n"/>
      <c r="B2882" s="111">
        <f>MAX(0,N('Deal maths'!M885))</f>
        <v/>
      </c>
      <c r="C2882" s="91">
        <f>IF(B2882&gt;0,IF('Deal maths'!L885="Local authority","Local authorities",LOWER(TRIM('Deal maths'!K885))),"")</f>
        <v/>
      </c>
      <c r="D2882" s="91">
        <f>IF(C2882="","",IF(COUNTIF($C$4:C2881,C2882)=0,SUMIF($C$4:$C$3997,C2882,$B$4:$B$3997)-ROW()/1000000,""))</f>
        <v/>
      </c>
      <c r="E2882" s="91">
        <f>IF(N('Deal maths'!M885)&gt;0,ROW()/10000000,"")</f>
        <v/>
      </c>
    </row>
    <row r="2883">
      <c r="A2883" s="91" t="n"/>
      <c r="B2883" s="111">
        <f>MAX(0,N('Deal maths'!M886))</f>
        <v/>
      </c>
      <c r="C2883" s="91">
        <f>IF(B2883&gt;0,IF('Deal maths'!L886="Local authority","Local authorities",LOWER(TRIM('Deal maths'!K886))),"")</f>
        <v/>
      </c>
      <c r="D2883" s="91">
        <f>IF(C2883="","",IF(COUNTIF($C$4:C2882,C2883)=0,SUMIF($C$4:$C$3997,C2883,$B$4:$B$3997)-ROW()/1000000,""))</f>
        <v/>
      </c>
      <c r="E2883" s="91">
        <f>IF(N('Deal maths'!M886)&gt;0,ROW()/10000000,"")</f>
        <v/>
      </c>
    </row>
    <row r="2884">
      <c r="A2884" s="91" t="n"/>
      <c r="B2884" s="111">
        <f>MAX(0,N('Deal maths'!M887))</f>
        <v/>
      </c>
      <c r="C2884" s="91">
        <f>IF(B2884&gt;0,IF('Deal maths'!L887="Local authority","Local authorities",LOWER(TRIM('Deal maths'!K887))),"")</f>
        <v/>
      </c>
      <c r="D2884" s="91">
        <f>IF(C2884="","",IF(COUNTIF($C$4:C2883,C2884)=0,SUMIF($C$4:$C$3997,C2884,$B$4:$B$3997)-ROW()/1000000,""))</f>
        <v/>
      </c>
      <c r="E2884" s="91">
        <f>IF(N('Deal maths'!M887)&gt;0,ROW()/10000000,"")</f>
        <v/>
      </c>
    </row>
    <row r="2885">
      <c r="A2885" s="91" t="n"/>
      <c r="B2885" s="111">
        <f>MAX(0,N('Deal maths'!M888))</f>
        <v/>
      </c>
      <c r="C2885" s="91">
        <f>IF(B2885&gt;0,IF('Deal maths'!L888="Local authority","Local authorities",LOWER(TRIM('Deal maths'!K888))),"")</f>
        <v/>
      </c>
      <c r="D2885" s="91">
        <f>IF(C2885="","",IF(COUNTIF($C$4:C2884,C2885)=0,SUMIF($C$4:$C$3997,C2885,$B$4:$B$3997)-ROW()/1000000,""))</f>
        <v/>
      </c>
      <c r="E2885" s="91">
        <f>IF(N('Deal maths'!M888)&gt;0,ROW()/10000000,"")</f>
        <v/>
      </c>
    </row>
    <row r="2886">
      <c r="A2886" s="91" t="n"/>
      <c r="B2886" s="111">
        <f>MAX(0,N('Deal maths'!M889))</f>
        <v/>
      </c>
      <c r="C2886" s="91">
        <f>IF(B2886&gt;0,IF('Deal maths'!L889="Local authority","Local authorities",LOWER(TRIM('Deal maths'!K889))),"")</f>
        <v/>
      </c>
      <c r="D2886" s="91">
        <f>IF(C2886="","",IF(COUNTIF($C$4:C2885,C2886)=0,SUMIF($C$4:$C$3997,C2886,$B$4:$B$3997)-ROW()/1000000,""))</f>
        <v/>
      </c>
      <c r="E2886" s="91">
        <f>IF(N('Deal maths'!M889)&gt;0,ROW()/10000000,"")</f>
        <v/>
      </c>
    </row>
    <row r="2887">
      <c r="A2887" s="91" t="n"/>
      <c r="B2887" s="111">
        <f>MAX(0,N('Deal maths'!M890))</f>
        <v/>
      </c>
      <c r="C2887" s="91">
        <f>IF(B2887&gt;0,IF('Deal maths'!L890="Local authority","Local authorities",LOWER(TRIM('Deal maths'!K890))),"")</f>
        <v/>
      </c>
      <c r="D2887" s="91">
        <f>IF(C2887="","",IF(COUNTIF($C$4:C2886,C2887)=0,SUMIF($C$4:$C$3997,C2887,$B$4:$B$3997)-ROW()/1000000,""))</f>
        <v/>
      </c>
      <c r="E2887" s="91">
        <f>IF(N('Deal maths'!M890)&gt;0,ROW()/10000000,"")</f>
        <v/>
      </c>
    </row>
    <row r="2888">
      <c r="A2888" s="91" t="n"/>
      <c r="B2888" s="111">
        <f>MAX(0,N('Deal maths'!M891))</f>
        <v/>
      </c>
      <c r="C2888" s="91">
        <f>IF(B2888&gt;0,IF('Deal maths'!L891="Local authority","Local authorities",LOWER(TRIM('Deal maths'!K891))),"")</f>
        <v/>
      </c>
      <c r="D2888" s="91">
        <f>IF(C2888="","",IF(COUNTIF($C$4:C2887,C2888)=0,SUMIF($C$4:$C$3997,C2888,$B$4:$B$3997)-ROW()/1000000,""))</f>
        <v/>
      </c>
      <c r="E2888" s="91">
        <f>IF(N('Deal maths'!M891)&gt;0,ROW()/10000000,"")</f>
        <v/>
      </c>
    </row>
    <row r="2889">
      <c r="A2889" s="91" t="n"/>
      <c r="B2889" s="111">
        <f>MAX(0,N('Deal maths'!M892))</f>
        <v/>
      </c>
      <c r="C2889" s="91">
        <f>IF(B2889&gt;0,IF('Deal maths'!L892="Local authority","Local authorities",LOWER(TRIM('Deal maths'!K892))),"")</f>
        <v/>
      </c>
      <c r="D2889" s="91">
        <f>IF(C2889="","",IF(COUNTIF($C$4:C2888,C2889)=0,SUMIF($C$4:$C$3997,C2889,$B$4:$B$3997)-ROW()/1000000,""))</f>
        <v/>
      </c>
      <c r="E2889" s="91">
        <f>IF(N('Deal maths'!M892)&gt;0,ROW()/10000000,"")</f>
        <v/>
      </c>
    </row>
    <row r="2890">
      <c r="A2890" s="91" t="n"/>
      <c r="B2890" s="111">
        <f>MAX(0,N('Deal maths'!M893))</f>
        <v/>
      </c>
      <c r="C2890" s="91">
        <f>IF(B2890&gt;0,IF('Deal maths'!L893="Local authority","Local authorities",LOWER(TRIM('Deal maths'!K893))),"")</f>
        <v/>
      </c>
      <c r="D2890" s="91">
        <f>IF(C2890="","",IF(COUNTIF($C$4:C2889,C2890)=0,SUMIF($C$4:$C$3997,C2890,$B$4:$B$3997)-ROW()/1000000,""))</f>
        <v/>
      </c>
      <c r="E2890" s="91">
        <f>IF(N('Deal maths'!M893)&gt;0,ROW()/10000000,"")</f>
        <v/>
      </c>
    </row>
    <row r="2891">
      <c r="A2891" s="91" t="n"/>
      <c r="B2891" s="111">
        <f>MAX(0,N('Deal maths'!M894))</f>
        <v/>
      </c>
      <c r="C2891" s="91">
        <f>IF(B2891&gt;0,IF('Deal maths'!L894="Local authority","Local authorities",LOWER(TRIM('Deal maths'!K894))),"")</f>
        <v/>
      </c>
      <c r="D2891" s="91">
        <f>IF(C2891="","",IF(COUNTIF($C$4:C2890,C2891)=0,SUMIF($C$4:$C$3997,C2891,$B$4:$B$3997)-ROW()/1000000,""))</f>
        <v/>
      </c>
      <c r="E2891" s="91">
        <f>IF(N('Deal maths'!M894)&gt;0,ROW()/10000000,"")</f>
        <v/>
      </c>
    </row>
    <row r="2892">
      <c r="A2892" s="91" t="n"/>
      <c r="B2892" s="111">
        <f>MAX(0,N('Deal maths'!M895))</f>
        <v/>
      </c>
      <c r="C2892" s="91">
        <f>IF(B2892&gt;0,IF('Deal maths'!L895="Local authority","Local authorities",LOWER(TRIM('Deal maths'!K895))),"")</f>
        <v/>
      </c>
      <c r="D2892" s="91">
        <f>IF(C2892="","",IF(COUNTIF($C$4:C2891,C2892)=0,SUMIF($C$4:$C$3997,C2892,$B$4:$B$3997)-ROW()/1000000,""))</f>
        <v/>
      </c>
      <c r="E2892" s="91">
        <f>IF(N('Deal maths'!M895)&gt;0,ROW()/10000000,"")</f>
        <v/>
      </c>
    </row>
    <row r="2893">
      <c r="A2893" s="91" t="n"/>
      <c r="B2893" s="111">
        <f>MAX(0,N('Deal maths'!M896))</f>
        <v/>
      </c>
      <c r="C2893" s="91">
        <f>IF(B2893&gt;0,IF('Deal maths'!L896="Local authority","Local authorities",LOWER(TRIM('Deal maths'!K896))),"")</f>
        <v/>
      </c>
      <c r="D2893" s="91">
        <f>IF(C2893="","",IF(COUNTIF($C$4:C2892,C2893)=0,SUMIF($C$4:$C$3997,C2893,$B$4:$B$3997)-ROW()/1000000,""))</f>
        <v/>
      </c>
      <c r="E2893" s="91">
        <f>IF(N('Deal maths'!M896)&gt;0,ROW()/10000000,"")</f>
        <v/>
      </c>
    </row>
    <row r="2894">
      <c r="A2894" s="91" t="n"/>
      <c r="B2894" s="111">
        <f>MAX(0,N('Deal maths'!M897))</f>
        <v/>
      </c>
      <c r="C2894" s="91">
        <f>IF(B2894&gt;0,IF('Deal maths'!L897="Local authority","Local authorities",LOWER(TRIM('Deal maths'!K897))),"")</f>
        <v/>
      </c>
      <c r="D2894" s="91">
        <f>IF(C2894="","",IF(COUNTIF($C$4:C2893,C2894)=0,SUMIF($C$4:$C$3997,C2894,$B$4:$B$3997)-ROW()/1000000,""))</f>
        <v/>
      </c>
      <c r="E2894" s="91">
        <f>IF(N('Deal maths'!M897)&gt;0,ROW()/10000000,"")</f>
        <v/>
      </c>
    </row>
    <row r="2895">
      <c r="A2895" s="91" t="n"/>
      <c r="B2895" s="111">
        <f>MAX(0,N('Deal maths'!M898))</f>
        <v/>
      </c>
      <c r="C2895" s="91">
        <f>IF(B2895&gt;0,IF('Deal maths'!L898="Local authority","Local authorities",LOWER(TRIM('Deal maths'!K898))),"")</f>
        <v/>
      </c>
      <c r="D2895" s="91">
        <f>IF(C2895="","",IF(COUNTIF($C$4:C2894,C2895)=0,SUMIF($C$4:$C$3997,C2895,$B$4:$B$3997)-ROW()/1000000,""))</f>
        <v/>
      </c>
      <c r="E2895" s="91">
        <f>IF(N('Deal maths'!M898)&gt;0,ROW()/10000000,"")</f>
        <v/>
      </c>
    </row>
    <row r="2896">
      <c r="A2896" s="91" t="n"/>
      <c r="B2896" s="111">
        <f>MAX(0,N('Deal maths'!M899))</f>
        <v/>
      </c>
      <c r="C2896" s="91">
        <f>IF(B2896&gt;0,IF('Deal maths'!L899="Local authority","Local authorities",LOWER(TRIM('Deal maths'!K899))),"")</f>
        <v/>
      </c>
      <c r="D2896" s="91">
        <f>IF(C2896="","",IF(COUNTIF($C$4:C2895,C2896)=0,SUMIF($C$4:$C$3997,C2896,$B$4:$B$3997)-ROW()/1000000,""))</f>
        <v/>
      </c>
      <c r="E2896" s="91">
        <f>IF(N('Deal maths'!M899)&gt;0,ROW()/10000000,"")</f>
        <v/>
      </c>
    </row>
    <row r="2897">
      <c r="A2897" s="91" t="n"/>
      <c r="B2897" s="111">
        <f>MAX(0,N('Deal maths'!M900))</f>
        <v/>
      </c>
      <c r="C2897" s="91">
        <f>IF(B2897&gt;0,IF('Deal maths'!L900="Local authority","Local authorities",LOWER(TRIM('Deal maths'!K900))),"")</f>
        <v/>
      </c>
      <c r="D2897" s="91">
        <f>IF(C2897="","",IF(COUNTIF($C$4:C2896,C2897)=0,SUMIF($C$4:$C$3997,C2897,$B$4:$B$3997)-ROW()/1000000,""))</f>
        <v/>
      </c>
      <c r="E2897" s="91">
        <f>IF(N('Deal maths'!M900)&gt;0,ROW()/10000000,"")</f>
        <v/>
      </c>
    </row>
    <row r="2898">
      <c r="A2898" s="91" t="n"/>
      <c r="B2898" s="111">
        <f>MAX(0,N('Deal maths'!M901))</f>
        <v/>
      </c>
      <c r="C2898" s="91">
        <f>IF(B2898&gt;0,IF('Deal maths'!L901="Local authority","Local authorities",LOWER(TRIM('Deal maths'!K901))),"")</f>
        <v/>
      </c>
      <c r="D2898" s="91">
        <f>IF(C2898="","",IF(COUNTIF($C$4:C2897,C2898)=0,SUMIF($C$4:$C$3997,C2898,$B$4:$B$3997)-ROW()/1000000,""))</f>
        <v/>
      </c>
      <c r="E2898" s="91">
        <f>IF(N('Deal maths'!M901)&gt;0,ROW()/10000000,"")</f>
        <v/>
      </c>
    </row>
    <row r="2899">
      <c r="A2899" s="91" t="n"/>
      <c r="B2899" s="111">
        <f>MAX(0,N('Deal maths'!M902))</f>
        <v/>
      </c>
      <c r="C2899" s="91">
        <f>IF(B2899&gt;0,IF('Deal maths'!L902="Local authority","Local authorities",LOWER(TRIM('Deal maths'!K902))),"")</f>
        <v/>
      </c>
      <c r="D2899" s="91">
        <f>IF(C2899="","",IF(COUNTIF($C$4:C2898,C2899)=0,SUMIF($C$4:$C$3997,C2899,$B$4:$B$3997)-ROW()/1000000,""))</f>
        <v/>
      </c>
      <c r="E2899" s="91">
        <f>IF(N('Deal maths'!M902)&gt;0,ROW()/10000000,"")</f>
        <v/>
      </c>
    </row>
    <row r="2900">
      <c r="A2900" s="91" t="n"/>
      <c r="B2900" s="111">
        <f>MAX(0,N('Deal maths'!M903))</f>
        <v/>
      </c>
      <c r="C2900" s="91">
        <f>IF(B2900&gt;0,IF('Deal maths'!L903="Local authority","Local authorities",LOWER(TRIM('Deal maths'!K903))),"")</f>
        <v/>
      </c>
      <c r="D2900" s="91">
        <f>IF(C2900="","",IF(COUNTIF($C$4:C2899,C2900)=0,SUMIF($C$4:$C$3997,C2900,$B$4:$B$3997)-ROW()/1000000,""))</f>
        <v/>
      </c>
      <c r="E2900" s="91">
        <f>IF(N('Deal maths'!M903)&gt;0,ROW()/10000000,"")</f>
        <v/>
      </c>
    </row>
    <row r="2901">
      <c r="A2901" s="91" t="n"/>
      <c r="B2901" s="111">
        <f>MAX(0,N('Deal maths'!M904))</f>
        <v/>
      </c>
      <c r="C2901" s="91">
        <f>IF(B2901&gt;0,IF('Deal maths'!L904="Local authority","Local authorities",LOWER(TRIM('Deal maths'!K904))),"")</f>
        <v/>
      </c>
      <c r="D2901" s="91">
        <f>IF(C2901="","",IF(COUNTIF($C$4:C2900,C2901)=0,SUMIF($C$4:$C$3997,C2901,$B$4:$B$3997)-ROW()/1000000,""))</f>
        <v/>
      </c>
      <c r="E2901" s="91">
        <f>IF(N('Deal maths'!M904)&gt;0,ROW()/10000000,"")</f>
        <v/>
      </c>
    </row>
    <row r="2902">
      <c r="A2902" s="91" t="n"/>
      <c r="B2902" s="111">
        <f>MAX(0,N('Deal maths'!M905))</f>
        <v/>
      </c>
      <c r="C2902" s="91">
        <f>IF(B2902&gt;0,IF('Deal maths'!L905="Local authority","Local authorities",LOWER(TRIM('Deal maths'!K905))),"")</f>
        <v/>
      </c>
      <c r="D2902" s="91">
        <f>IF(C2902="","",IF(COUNTIF($C$4:C2901,C2902)=0,SUMIF($C$4:$C$3997,C2902,$B$4:$B$3997)-ROW()/1000000,""))</f>
        <v/>
      </c>
      <c r="E2902" s="91">
        <f>IF(N('Deal maths'!M905)&gt;0,ROW()/10000000,"")</f>
        <v/>
      </c>
    </row>
    <row r="2903">
      <c r="A2903" s="91" t="n"/>
      <c r="B2903" s="111">
        <f>MAX(0,N('Deal maths'!M906))</f>
        <v/>
      </c>
      <c r="C2903" s="91">
        <f>IF(B2903&gt;0,IF('Deal maths'!L906="Local authority","Local authorities",LOWER(TRIM('Deal maths'!K906))),"")</f>
        <v/>
      </c>
      <c r="D2903" s="91">
        <f>IF(C2903="","",IF(COUNTIF($C$4:C2902,C2903)=0,SUMIF($C$4:$C$3997,C2903,$B$4:$B$3997)-ROW()/1000000,""))</f>
        <v/>
      </c>
      <c r="E2903" s="91">
        <f>IF(N('Deal maths'!M906)&gt;0,ROW()/10000000,"")</f>
        <v/>
      </c>
    </row>
    <row r="2904">
      <c r="A2904" s="91" t="n"/>
      <c r="B2904" s="111">
        <f>MAX(0,N('Deal maths'!M907))</f>
        <v/>
      </c>
      <c r="C2904" s="91">
        <f>IF(B2904&gt;0,IF('Deal maths'!L907="Local authority","Local authorities",LOWER(TRIM('Deal maths'!K907))),"")</f>
        <v/>
      </c>
      <c r="D2904" s="91">
        <f>IF(C2904="","",IF(COUNTIF($C$4:C2903,C2904)=0,SUMIF($C$4:$C$3997,C2904,$B$4:$B$3997)-ROW()/1000000,""))</f>
        <v/>
      </c>
      <c r="E2904" s="91">
        <f>IF(N('Deal maths'!M907)&gt;0,ROW()/10000000,"")</f>
        <v/>
      </c>
    </row>
    <row r="2905">
      <c r="A2905" s="91" t="n"/>
      <c r="B2905" s="111">
        <f>MAX(0,N('Deal maths'!M908))</f>
        <v/>
      </c>
      <c r="C2905" s="91">
        <f>IF(B2905&gt;0,IF('Deal maths'!L908="Local authority","Local authorities",LOWER(TRIM('Deal maths'!K908))),"")</f>
        <v/>
      </c>
      <c r="D2905" s="91">
        <f>IF(C2905="","",IF(COUNTIF($C$4:C2904,C2905)=0,SUMIF($C$4:$C$3997,C2905,$B$4:$B$3997)-ROW()/1000000,""))</f>
        <v/>
      </c>
      <c r="E2905" s="91">
        <f>IF(N('Deal maths'!M908)&gt;0,ROW()/10000000,"")</f>
        <v/>
      </c>
    </row>
    <row r="2906">
      <c r="A2906" s="91" t="n"/>
      <c r="B2906" s="111">
        <f>MAX(0,N('Deal maths'!M909))</f>
        <v/>
      </c>
      <c r="C2906" s="91">
        <f>IF(B2906&gt;0,IF('Deal maths'!L909="Local authority","Local authorities",LOWER(TRIM('Deal maths'!K909))),"")</f>
        <v/>
      </c>
      <c r="D2906" s="91">
        <f>IF(C2906="","",IF(COUNTIF($C$4:C2905,C2906)=0,SUMIF($C$4:$C$3997,C2906,$B$4:$B$3997)-ROW()/1000000,""))</f>
        <v/>
      </c>
      <c r="E2906" s="91">
        <f>IF(N('Deal maths'!M909)&gt;0,ROW()/10000000,"")</f>
        <v/>
      </c>
    </row>
    <row r="2907">
      <c r="A2907" s="91" t="n"/>
      <c r="B2907" s="111">
        <f>MAX(0,N('Deal maths'!M910))</f>
        <v/>
      </c>
      <c r="C2907" s="91">
        <f>IF(B2907&gt;0,IF('Deal maths'!L910="Local authority","Local authorities",LOWER(TRIM('Deal maths'!K910))),"")</f>
        <v/>
      </c>
      <c r="D2907" s="91">
        <f>IF(C2907="","",IF(COUNTIF($C$4:C2906,C2907)=0,SUMIF($C$4:$C$3997,C2907,$B$4:$B$3997)-ROW()/1000000,""))</f>
        <v/>
      </c>
      <c r="E2907" s="91">
        <f>IF(N('Deal maths'!M910)&gt;0,ROW()/10000000,"")</f>
        <v/>
      </c>
    </row>
    <row r="2908">
      <c r="A2908" s="91" t="n"/>
      <c r="B2908" s="111">
        <f>MAX(0,N('Deal maths'!M911))</f>
        <v/>
      </c>
      <c r="C2908" s="91">
        <f>IF(B2908&gt;0,IF('Deal maths'!L911="Local authority","Local authorities",LOWER(TRIM('Deal maths'!K911))),"")</f>
        <v/>
      </c>
      <c r="D2908" s="91">
        <f>IF(C2908="","",IF(COUNTIF($C$4:C2907,C2908)=0,SUMIF($C$4:$C$3997,C2908,$B$4:$B$3997)-ROW()/1000000,""))</f>
        <v/>
      </c>
      <c r="E2908" s="91">
        <f>IF(N('Deal maths'!M911)&gt;0,ROW()/10000000,"")</f>
        <v/>
      </c>
    </row>
    <row r="2909">
      <c r="A2909" s="91" t="n"/>
      <c r="B2909" s="111">
        <f>MAX(0,N('Deal maths'!M912))</f>
        <v/>
      </c>
      <c r="C2909" s="91">
        <f>IF(B2909&gt;0,IF('Deal maths'!L912="Local authority","Local authorities",LOWER(TRIM('Deal maths'!K912))),"")</f>
        <v/>
      </c>
      <c r="D2909" s="91">
        <f>IF(C2909="","",IF(COUNTIF($C$4:C2908,C2909)=0,SUMIF($C$4:$C$3997,C2909,$B$4:$B$3997)-ROW()/1000000,""))</f>
        <v/>
      </c>
      <c r="E2909" s="91">
        <f>IF(N('Deal maths'!M912)&gt;0,ROW()/10000000,"")</f>
        <v/>
      </c>
    </row>
    <row r="2910">
      <c r="A2910" s="91" t="n"/>
      <c r="B2910" s="111">
        <f>MAX(0,N('Deal maths'!M913))</f>
        <v/>
      </c>
      <c r="C2910" s="91">
        <f>IF(B2910&gt;0,IF('Deal maths'!L913="Local authority","Local authorities",LOWER(TRIM('Deal maths'!K913))),"")</f>
        <v/>
      </c>
      <c r="D2910" s="91">
        <f>IF(C2910="","",IF(COUNTIF($C$4:C2909,C2910)=0,SUMIF($C$4:$C$3997,C2910,$B$4:$B$3997)-ROW()/1000000,""))</f>
        <v/>
      </c>
      <c r="E2910" s="91">
        <f>IF(N('Deal maths'!M913)&gt;0,ROW()/10000000,"")</f>
        <v/>
      </c>
    </row>
    <row r="2911">
      <c r="A2911" s="91" t="n"/>
      <c r="B2911" s="111">
        <f>MAX(0,N('Deal maths'!M914))</f>
        <v/>
      </c>
      <c r="C2911" s="91">
        <f>IF(B2911&gt;0,IF('Deal maths'!L914="Local authority","Local authorities",LOWER(TRIM('Deal maths'!K914))),"")</f>
        <v/>
      </c>
      <c r="D2911" s="91">
        <f>IF(C2911="","",IF(COUNTIF($C$4:C2910,C2911)=0,SUMIF($C$4:$C$3997,C2911,$B$4:$B$3997)-ROW()/1000000,""))</f>
        <v/>
      </c>
      <c r="E2911" s="91">
        <f>IF(N('Deal maths'!M914)&gt;0,ROW()/10000000,"")</f>
        <v/>
      </c>
    </row>
    <row r="2912">
      <c r="A2912" s="91" t="n"/>
      <c r="B2912" s="111">
        <f>MAX(0,N('Deal maths'!M915))</f>
        <v/>
      </c>
      <c r="C2912" s="91">
        <f>IF(B2912&gt;0,IF('Deal maths'!L915="Local authority","Local authorities",LOWER(TRIM('Deal maths'!K915))),"")</f>
        <v/>
      </c>
      <c r="D2912" s="91">
        <f>IF(C2912="","",IF(COUNTIF($C$4:C2911,C2912)=0,SUMIF($C$4:$C$3997,C2912,$B$4:$B$3997)-ROW()/1000000,""))</f>
        <v/>
      </c>
      <c r="E2912" s="91">
        <f>IF(N('Deal maths'!M915)&gt;0,ROW()/10000000,"")</f>
        <v/>
      </c>
    </row>
    <row r="2913">
      <c r="A2913" s="91" t="n"/>
      <c r="B2913" s="111">
        <f>MAX(0,N('Deal maths'!M916))</f>
        <v/>
      </c>
      <c r="C2913" s="91">
        <f>IF(B2913&gt;0,IF('Deal maths'!L916="Local authority","Local authorities",LOWER(TRIM('Deal maths'!K916))),"")</f>
        <v/>
      </c>
      <c r="D2913" s="91">
        <f>IF(C2913="","",IF(COUNTIF($C$4:C2912,C2913)=0,SUMIF($C$4:$C$3997,C2913,$B$4:$B$3997)-ROW()/1000000,""))</f>
        <v/>
      </c>
      <c r="E2913" s="91">
        <f>IF(N('Deal maths'!M916)&gt;0,ROW()/10000000,"")</f>
        <v/>
      </c>
    </row>
    <row r="2914">
      <c r="A2914" s="91" t="n"/>
      <c r="B2914" s="111">
        <f>MAX(0,N('Deal maths'!M917))</f>
        <v/>
      </c>
      <c r="C2914" s="91">
        <f>IF(B2914&gt;0,IF('Deal maths'!L917="Local authority","Local authorities",LOWER(TRIM('Deal maths'!K917))),"")</f>
        <v/>
      </c>
      <c r="D2914" s="91">
        <f>IF(C2914="","",IF(COUNTIF($C$4:C2913,C2914)=0,SUMIF($C$4:$C$3997,C2914,$B$4:$B$3997)-ROW()/1000000,""))</f>
        <v/>
      </c>
      <c r="E2914" s="91">
        <f>IF(N('Deal maths'!M917)&gt;0,ROW()/10000000,"")</f>
        <v/>
      </c>
    </row>
    <row r="2915">
      <c r="A2915" s="91" t="n"/>
      <c r="B2915" s="111">
        <f>MAX(0,N('Deal maths'!M918))</f>
        <v/>
      </c>
      <c r="C2915" s="91">
        <f>IF(B2915&gt;0,IF('Deal maths'!L918="Local authority","Local authorities",LOWER(TRIM('Deal maths'!K918))),"")</f>
        <v/>
      </c>
      <c r="D2915" s="91">
        <f>IF(C2915="","",IF(COUNTIF($C$4:C2914,C2915)=0,SUMIF($C$4:$C$3997,C2915,$B$4:$B$3997)-ROW()/1000000,""))</f>
        <v/>
      </c>
      <c r="E2915" s="91">
        <f>IF(N('Deal maths'!M918)&gt;0,ROW()/10000000,"")</f>
        <v/>
      </c>
    </row>
    <row r="2916">
      <c r="A2916" s="91" t="n"/>
      <c r="B2916" s="111">
        <f>MAX(0,N('Deal maths'!M919))</f>
        <v/>
      </c>
      <c r="C2916" s="91">
        <f>IF(B2916&gt;0,IF('Deal maths'!L919="Local authority","Local authorities",LOWER(TRIM('Deal maths'!K919))),"")</f>
        <v/>
      </c>
      <c r="D2916" s="91">
        <f>IF(C2916="","",IF(COUNTIF($C$4:C2915,C2916)=0,SUMIF($C$4:$C$3997,C2916,$B$4:$B$3997)-ROW()/1000000,""))</f>
        <v/>
      </c>
      <c r="E2916" s="91">
        <f>IF(N('Deal maths'!M919)&gt;0,ROW()/10000000,"")</f>
        <v/>
      </c>
    </row>
    <row r="2917">
      <c r="A2917" s="91" t="n"/>
      <c r="B2917" s="111">
        <f>MAX(0,N('Deal maths'!M920))</f>
        <v/>
      </c>
      <c r="C2917" s="91">
        <f>IF(B2917&gt;0,IF('Deal maths'!L920="Local authority","Local authorities",LOWER(TRIM('Deal maths'!K920))),"")</f>
        <v/>
      </c>
      <c r="D2917" s="91">
        <f>IF(C2917="","",IF(COUNTIF($C$4:C2916,C2917)=0,SUMIF($C$4:$C$3997,C2917,$B$4:$B$3997)-ROW()/1000000,""))</f>
        <v/>
      </c>
      <c r="E2917" s="91">
        <f>IF(N('Deal maths'!M920)&gt;0,ROW()/10000000,"")</f>
        <v/>
      </c>
    </row>
    <row r="2918">
      <c r="A2918" s="91" t="n"/>
      <c r="B2918" s="111">
        <f>MAX(0,N('Deal maths'!M921))</f>
        <v/>
      </c>
      <c r="C2918" s="91">
        <f>IF(B2918&gt;0,IF('Deal maths'!L921="Local authority","Local authorities",LOWER(TRIM('Deal maths'!K921))),"")</f>
        <v/>
      </c>
      <c r="D2918" s="91">
        <f>IF(C2918="","",IF(COUNTIF($C$4:C2917,C2918)=0,SUMIF($C$4:$C$3997,C2918,$B$4:$B$3997)-ROW()/1000000,""))</f>
        <v/>
      </c>
      <c r="E2918" s="91">
        <f>IF(N('Deal maths'!M921)&gt;0,ROW()/10000000,"")</f>
        <v/>
      </c>
    </row>
    <row r="2919">
      <c r="A2919" s="91" t="n"/>
      <c r="B2919" s="111">
        <f>MAX(0,N('Deal maths'!M922))</f>
        <v/>
      </c>
      <c r="C2919" s="91">
        <f>IF(B2919&gt;0,IF('Deal maths'!L922="Local authority","Local authorities",LOWER(TRIM('Deal maths'!K922))),"")</f>
        <v/>
      </c>
      <c r="D2919" s="91">
        <f>IF(C2919="","",IF(COUNTIF($C$4:C2918,C2919)=0,SUMIF($C$4:$C$3997,C2919,$B$4:$B$3997)-ROW()/1000000,""))</f>
        <v/>
      </c>
      <c r="E2919" s="91">
        <f>IF(N('Deal maths'!M922)&gt;0,ROW()/10000000,"")</f>
        <v/>
      </c>
    </row>
    <row r="2920">
      <c r="A2920" s="91" t="n"/>
      <c r="B2920" s="111">
        <f>MAX(0,N('Deal maths'!M923))</f>
        <v/>
      </c>
      <c r="C2920" s="91">
        <f>IF(B2920&gt;0,IF('Deal maths'!L923="Local authority","Local authorities",LOWER(TRIM('Deal maths'!K923))),"")</f>
        <v/>
      </c>
      <c r="D2920" s="91">
        <f>IF(C2920="","",IF(COUNTIF($C$4:C2919,C2920)=0,SUMIF($C$4:$C$3997,C2920,$B$4:$B$3997)-ROW()/1000000,""))</f>
        <v/>
      </c>
      <c r="E2920" s="91">
        <f>IF(N('Deal maths'!M923)&gt;0,ROW()/10000000,"")</f>
        <v/>
      </c>
    </row>
    <row r="2921">
      <c r="A2921" s="91" t="n"/>
      <c r="B2921" s="111">
        <f>MAX(0,N('Deal maths'!M924))</f>
        <v/>
      </c>
      <c r="C2921" s="91">
        <f>IF(B2921&gt;0,IF('Deal maths'!L924="Local authority","Local authorities",LOWER(TRIM('Deal maths'!K924))),"")</f>
        <v/>
      </c>
      <c r="D2921" s="91">
        <f>IF(C2921="","",IF(COUNTIF($C$4:C2920,C2921)=0,SUMIF($C$4:$C$3997,C2921,$B$4:$B$3997)-ROW()/1000000,""))</f>
        <v/>
      </c>
      <c r="E2921" s="91">
        <f>IF(N('Deal maths'!M924)&gt;0,ROW()/10000000,"")</f>
        <v/>
      </c>
    </row>
    <row r="2922">
      <c r="A2922" s="91" t="n"/>
      <c r="B2922" s="111">
        <f>MAX(0,N('Deal maths'!M925))</f>
        <v/>
      </c>
      <c r="C2922" s="91">
        <f>IF(B2922&gt;0,IF('Deal maths'!L925="Local authority","Local authorities",LOWER(TRIM('Deal maths'!K925))),"")</f>
        <v/>
      </c>
      <c r="D2922" s="91">
        <f>IF(C2922="","",IF(COUNTIF($C$4:C2921,C2922)=0,SUMIF($C$4:$C$3997,C2922,$B$4:$B$3997)-ROW()/1000000,""))</f>
        <v/>
      </c>
      <c r="E2922" s="91">
        <f>IF(N('Deal maths'!M925)&gt;0,ROW()/10000000,"")</f>
        <v/>
      </c>
    </row>
    <row r="2923">
      <c r="A2923" s="91" t="n"/>
      <c r="B2923" s="111">
        <f>MAX(0,N('Deal maths'!M926))</f>
        <v/>
      </c>
      <c r="C2923" s="91">
        <f>IF(B2923&gt;0,IF('Deal maths'!L926="Local authority","Local authorities",LOWER(TRIM('Deal maths'!K926))),"")</f>
        <v/>
      </c>
      <c r="D2923" s="91">
        <f>IF(C2923="","",IF(COUNTIF($C$4:C2922,C2923)=0,SUMIF($C$4:$C$3997,C2923,$B$4:$B$3997)-ROW()/1000000,""))</f>
        <v/>
      </c>
      <c r="E2923" s="91">
        <f>IF(N('Deal maths'!M926)&gt;0,ROW()/10000000,"")</f>
        <v/>
      </c>
    </row>
    <row r="2924">
      <c r="A2924" s="91" t="n"/>
      <c r="B2924" s="111">
        <f>MAX(0,N('Deal maths'!M927))</f>
        <v/>
      </c>
      <c r="C2924" s="91">
        <f>IF(B2924&gt;0,IF('Deal maths'!L927="Local authority","Local authorities",LOWER(TRIM('Deal maths'!K927))),"")</f>
        <v/>
      </c>
      <c r="D2924" s="91">
        <f>IF(C2924="","",IF(COUNTIF($C$4:C2923,C2924)=0,SUMIF($C$4:$C$3997,C2924,$B$4:$B$3997)-ROW()/1000000,""))</f>
        <v/>
      </c>
      <c r="E2924" s="91">
        <f>IF(N('Deal maths'!M927)&gt;0,ROW()/10000000,"")</f>
        <v/>
      </c>
    </row>
    <row r="2925">
      <c r="A2925" s="91" t="n"/>
      <c r="B2925" s="111">
        <f>MAX(0,N('Deal maths'!M928))</f>
        <v/>
      </c>
      <c r="C2925" s="91">
        <f>IF(B2925&gt;0,IF('Deal maths'!L928="Local authority","Local authorities",LOWER(TRIM('Deal maths'!K928))),"")</f>
        <v/>
      </c>
      <c r="D2925" s="91">
        <f>IF(C2925="","",IF(COUNTIF($C$4:C2924,C2925)=0,SUMIF($C$4:$C$3997,C2925,$B$4:$B$3997)-ROW()/1000000,""))</f>
        <v/>
      </c>
      <c r="E2925" s="91">
        <f>IF(N('Deal maths'!M928)&gt;0,ROW()/10000000,"")</f>
        <v/>
      </c>
    </row>
    <row r="2926">
      <c r="A2926" s="91" t="n"/>
      <c r="B2926" s="111">
        <f>MAX(0,N('Deal maths'!M929))</f>
        <v/>
      </c>
      <c r="C2926" s="91">
        <f>IF(B2926&gt;0,IF('Deal maths'!L929="Local authority","Local authorities",LOWER(TRIM('Deal maths'!K929))),"")</f>
        <v/>
      </c>
      <c r="D2926" s="91">
        <f>IF(C2926="","",IF(COUNTIF($C$4:C2925,C2926)=0,SUMIF($C$4:$C$3997,C2926,$B$4:$B$3997)-ROW()/1000000,""))</f>
        <v/>
      </c>
      <c r="E2926" s="91">
        <f>IF(N('Deal maths'!M929)&gt;0,ROW()/10000000,"")</f>
        <v/>
      </c>
    </row>
    <row r="2927">
      <c r="A2927" s="91" t="n"/>
      <c r="B2927" s="111">
        <f>MAX(0,N('Deal maths'!M930))</f>
        <v/>
      </c>
      <c r="C2927" s="91">
        <f>IF(B2927&gt;0,IF('Deal maths'!L930="Local authority","Local authorities",LOWER(TRIM('Deal maths'!K930))),"")</f>
        <v/>
      </c>
      <c r="D2927" s="91">
        <f>IF(C2927="","",IF(COUNTIF($C$4:C2926,C2927)=0,SUMIF($C$4:$C$3997,C2927,$B$4:$B$3997)-ROW()/1000000,""))</f>
        <v/>
      </c>
      <c r="E2927" s="91">
        <f>IF(N('Deal maths'!M930)&gt;0,ROW()/10000000,"")</f>
        <v/>
      </c>
    </row>
    <row r="2928">
      <c r="A2928" s="91" t="n"/>
      <c r="B2928" s="111">
        <f>MAX(0,N('Deal maths'!M931))</f>
        <v/>
      </c>
      <c r="C2928" s="91">
        <f>IF(B2928&gt;0,IF('Deal maths'!L931="Local authority","Local authorities",LOWER(TRIM('Deal maths'!K931))),"")</f>
        <v/>
      </c>
      <c r="D2928" s="91">
        <f>IF(C2928="","",IF(COUNTIF($C$4:C2927,C2928)=0,SUMIF($C$4:$C$3997,C2928,$B$4:$B$3997)-ROW()/1000000,""))</f>
        <v/>
      </c>
      <c r="E2928" s="91">
        <f>IF(N('Deal maths'!M931)&gt;0,ROW()/10000000,"")</f>
        <v/>
      </c>
    </row>
    <row r="2929">
      <c r="A2929" s="91" t="n"/>
      <c r="B2929" s="111">
        <f>MAX(0,N('Deal maths'!M932))</f>
        <v/>
      </c>
      <c r="C2929" s="91">
        <f>IF(B2929&gt;0,IF('Deal maths'!L932="Local authority","Local authorities",LOWER(TRIM('Deal maths'!K932))),"")</f>
        <v/>
      </c>
      <c r="D2929" s="91">
        <f>IF(C2929="","",IF(COUNTIF($C$4:C2928,C2929)=0,SUMIF($C$4:$C$3997,C2929,$B$4:$B$3997)-ROW()/1000000,""))</f>
        <v/>
      </c>
      <c r="E2929" s="91">
        <f>IF(N('Deal maths'!M932)&gt;0,ROW()/10000000,"")</f>
        <v/>
      </c>
    </row>
    <row r="2930">
      <c r="A2930" s="91" t="n"/>
      <c r="B2930" s="111">
        <f>MAX(0,N('Deal maths'!M933))</f>
        <v/>
      </c>
      <c r="C2930" s="91">
        <f>IF(B2930&gt;0,IF('Deal maths'!L933="Local authority","Local authorities",LOWER(TRIM('Deal maths'!K933))),"")</f>
        <v/>
      </c>
      <c r="D2930" s="91">
        <f>IF(C2930="","",IF(COUNTIF($C$4:C2929,C2930)=0,SUMIF($C$4:$C$3997,C2930,$B$4:$B$3997)-ROW()/1000000,""))</f>
        <v/>
      </c>
      <c r="E2930" s="91">
        <f>IF(N('Deal maths'!M933)&gt;0,ROW()/10000000,"")</f>
        <v/>
      </c>
    </row>
    <row r="2931">
      <c r="A2931" s="91" t="n"/>
      <c r="B2931" s="111">
        <f>MAX(0,N('Deal maths'!M934))</f>
        <v/>
      </c>
      <c r="C2931" s="91">
        <f>IF(B2931&gt;0,IF('Deal maths'!L934="Local authority","Local authorities",LOWER(TRIM('Deal maths'!K934))),"")</f>
        <v/>
      </c>
      <c r="D2931" s="91">
        <f>IF(C2931="","",IF(COUNTIF($C$4:C2930,C2931)=0,SUMIF($C$4:$C$3997,C2931,$B$4:$B$3997)-ROW()/1000000,""))</f>
        <v/>
      </c>
      <c r="E2931" s="91">
        <f>IF(N('Deal maths'!M934)&gt;0,ROW()/10000000,"")</f>
        <v/>
      </c>
    </row>
    <row r="2932">
      <c r="A2932" s="91" t="n"/>
      <c r="B2932" s="111">
        <f>MAX(0,N('Deal maths'!M935))</f>
        <v/>
      </c>
      <c r="C2932" s="91">
        <f>IF(B2932&gt;0,IF('Deal maths'!L935="Local authority","Local authorities",LOWER(TRIM('Deal maths'!K935))),"")</f>
        <v/>
      </c>
      <c r="D2932" s="91">
        <f>IF(C2932="","",IF(COUNTIF($C$4:C2931,C2932)=0,SUMIF($C$4:$C$3997,C2932,$B$4:$B$3997)-ROW()/1000000,""))</f>
        <v/>
      </c>
      <c r="E2932" s="91">
        <f>IF(N('Deal maths'!M935)&gt;0,ROW()/10000000,"")</f>
        <v/>
      </c>
    </row>
    <row r="2933">
      <c r="A2933" s="91" t="n"/>
      <c r="B2933" s="111">
        <f>MAX(0,N('Deal maths'!M936))</f>
        <v/>
      </c>
      <c r="C2933" s="91">
        <f>IF(B2933&gt;0,IF('Deal maths'!L936="Local authority","Local authorities",LOWER(TRIM('Deal maths'!K936))),"")</f>
        <v/>
      </c>
      <c r="D2933" s="91">
        <f>IF(C2933="","",IF(COUNTIF($C$4:C2932,C2933)=0,SUMIF($C$4:$C$3997,C2933,$B$4:$B$3997)-ROW()/1000000,""))</f>
        <v/>
      </c>
      <c r="E2933" s="91">
        <f>IF(N('Deal maths'!M936)&gt;0,ROW()/10000000,"")</f>
        <v/>
      </c>
    </row>
    <row r="2934">
      <c r="A2934" s="91" t="n"/>
      <c r="B2934" s="111">
        <f>MAX(0,N('Deal maths'!M937))</f>
        <v/>
      </c>
      <c r="C2934" s="91">
        <f>IF(B2934&gt;0,IF('Deal maths'!L937="Local authority","Local authorities",LOWER(TRIM('Deal maths'!K937))),"")</f>
        <v/>
      </c>
      <c r="D2934" s="91">
        <f>IF(C2934="","",IF(COUNTIF($C$4:C2933,C2934)=0,SUMIF($C$4:$C$3997,C2934,$B$4:$B$3997)-ROW()/1000000,""))</f>
        <v/>
      </c>
      <c r="E2934" s="91">
        <f>IF(N('Deal maths'!M937)&gt;0,ROW()/10000000,"")</f>
        <v/>
      </c>
    </row>
    <row r="2935">
      <c r="A2935" s="91" t="n"/>
      <c r="B2935" s="111">
        <f>MAX(0,N('Deal maths'!M938))</f>
        <v/>
      </c>
      <c r="C2935" s="91">
        <f>IF(B2935&gt;0,IF('Deal maths'!L938="Local authority","Local authorities",LOWER(TRIM('Deal maths'!K938))),"")</f>
        <v/>
      </c>
      <c r="D2935" s="91">
        <f>IF(C2935="","",IF(COUNTIF($C$4:C2934,C2935)=0,SUMIF($C$4:$C$3997,C2935,$B$4:$B$3997)-ROW()/1000000,""))</f>
        <v/>
      </c>
      <c r="E2935" s="91">
        <f>IF(N('Deal maths'!M938)&gt;0,ROW()/10000000,"")</f>
        <v/>
      </c>
    </row>
    <row r="2936">
      <c r="A2936" s="91" t="n"/>
      <c r="B2936" s="111">
        <f>MAX(0,N('Deal maths'!M939))</f>
        <v/>
      </c>
      <c r="C2936" s="91">
        <f>IF(B2936&gt;0,IF('Deal maths'!L939="Local authority","Local authorities",LOWER(TRIM('Deal maths'!K939))),"")</f>
        <v/>
      </c>
      <c r="D2936" s="91">
        <f>IF(C2936="","",IF(COUNTIF($C$4:C2935,C2936)=0,SUMIF($C$4:$C$3997,C2936,$B$4:$B$3997)-ROW()/1000000,""))</f>
        <v/>
      </c>
      <c r="E2936" s="91">
        <f>IF(N('Deal maths'!M939)&gt;0,ROW()/10000000,"")</f>
        <v/>
      </c>
    </row>
    <row r="2937">
      <c r="A2937" s="91" t="n"/>
      <c r="B2937" s="111">
        <f>MAX(0,N('Deal maths'!M940))</f>
        <v/>
      </c>
      <c r="C2937" s="91">
        <f>IF(B2937&gt;0,IF('Deal maths'!L940="Local authority","Local authorities",LOWER(TRIM('Deal maths'!K940))),"")</f>
        <v/>
      </c>
      <c r="D2937" s="91">
        <f>IF(C2937="","",IF(COUNTIF($C$4:C2936,C2937)=0,SUMIF($C$4:$C$3997,C2937,$B$4:$B$3997)-ROW()/1000000,""))</f>
        <v/>
      </c>
      <c r="E2937" s="91">
        <f>IF(N('Deal maths'!M940)&gt;0,ROW()/10000000,"")</f>
        <v/>
      </c>
    </row>
    <row r="2938">
      <c r="A2938" s="91" t="n"/>
      <c r="B2938" s="111">
        <f>MAX(0,N('Deal maths'!M941))</f>
        <v/>
      </c>
      <c r="C2938" s="91">
        <f>IF(B2938&gt;0,IF('Deal maths'!L941="Local authority","Local authorities",LOWER(TRIM('Deal maths'!K941))),"")</f>
        <v/>
      </c>
      <c r="D2938" s="91">
        <f>IF(C2938="","",IF(COUNTIF($C$4:C2937,C2938)=0,SUMIF($C$4:$C$3997,C2938,$B$4:$B$3997)-ROW()/1000000,""))</f>
        <v/>
      </c>
      <c r="E2938" s="91">
        <f>IF(N('Deal maths'!M941)&gt;0,ROW()/10000000,"")</f>
        <v/>
      </c>
    </row>
    <row r="2939">
      <c r="A2939" s="91" t="n"/>
      <c r="B2939" s="111">
        <f>MAX(0,N('Deal maths'!M942))</f>
        <v/>
      </c>
      <c r="C2939" s="91">
        <f>IF(B2939&gt;0,IF('Deal maths'!L942="Local authority","Local authorities",LOWER(TRIM('Deal maths'!K942))),"")</f>
        <v/>
      </c>
      <c r="D2939" s="91">
        <f>IF(C2939="","",IF(COUNTIF($C$4:C2938,C2939)=0,SUMIF($C$4:$C$3997,C2939,$B$4:$B$3997)-ROW()/1000000,""))</f>
        <v/>
      </c>
      <c r="E2939" s="91">
        <f>IF(N('Deal maths'!M942)&gt;0,ROW()/10000000,"")</f>
        <v/>
      </c>
    </row>
    <row r="2940">
      <c r="A2940" s="91" t="n"/>
      <c r="B2940" s="111">
        <f>MAX(0,N('Deal maths'!M943))</f>
        <v/>
      </c>
      <c r="C2940" s="91">
        <f>IF(B2940&gt;0,IF('Deal maths'!L943="Local authority","Local authorities",LOWER(TRIM('Deal maths'!K943))),"")</f>
        <v/>
      </c>
      <c r="D2940" s="91">
        <f>IF(C2940="","",IF(COUNTIF($C$4:C2939,C2940)=0,SUMIF($C$4:$C$3997,C2940,$B$4:$B$3997)-ROW()/1000000,""))</f>
        <v/>
      </c>
      <c r="E2940" s="91">
        <f>IF(N('Deal maths'!M943)&gt;0,ROW()/10000000,"")</f>
        <v/>
      </c>
    </row>
    <row r="2941">
      <c r="A2941" s="91" t="n"/>
      <c r="B2941" s="111">
        <f>MAX(0,N('Deal maths'!M944))</f>
        <v/>
      </c>
      <c r="C2941" s="91">
        <f>IF(B2941&gt;0,IF('Deal maths'!L944="Local authority","Local authorities",LOWER(TRIM('Deal maths'!K944))),"")</f>
        <v/>
      </c>
      <c r="D2941" s="91">
        <f>IF(C2941="","",IF(COUNTIF($C$4:C2940,C2941)=0,SUMIF($C$4:$C$3997,C2941,$B$4:$B$3997)-ROW()/1000000,""))</f>
        <v/>
      </c>
      <c r="E2941" s="91">
        <f>IF(N('Deal maths'!M944)&gt;0,ROW()/10000000,"")</f>
        <v/>
      </c>
    </row>
    <row r="2942">
      <c r="A2942" s="91" t="n"/>
      <c r="B2942" s="111">
        <f>MAX(0,N('Deal maths'!M945))</f>
        <v/>
      </c>
      <c r="C2942" s="91">
        <f>IF(B2942&gt;0,IF('Deal maths'!L945="Local authority","Local authorities",LOWER(TRIM('Deal maths'!K945))),"")</f>
        <v/>
      </c>
      <c r="D2942" s="91">
        <f>IF(C2942="","",IF(COUNTIF($C$4:C2941,C2942)=0,SUMIF($C$4:$C$3997,C2942,$B$4:$B$3997)-ROW()/1000000,""))</f>
        <v/>
      </c>
      <c r="E2942" s="91">
        <f>IF(N('Deal maths'!M945)&gt;0,ROW()/10000000,"")</f>
        <v/>
      </c>
    </row>
    <row r="2943">
      <c r="A2943" s="91" t="n"/>
      <c r="B2943" s="111">
        <f>MAX(0,N('Deal maths'!M946))</f>
        <v/>
      </c>
      <c r="C2943" s="91">
        <f>IF(B2943&gt;0,IF('Deal maths'!L946="Local authority","Local authorities",LOWER(TRIM('Deal maths'!K946))),"")</f>
        <v/>
      </c>
      <c r="D2943" s="91">
        <f>IF(C2943="","",IF(COUNTIF($C$4:C2942,C2943)=0,SUMIF($C$4:$C$3997,C2943,$B$4:$B$3997)-ROW()/1000000,""))</f>
        <v/>
      </c>
      <c r="E2943" s="91">
        <f>IF(N('Deal maths'!M946)&gt;0,ROW()/10000000,"")</f>
        <v/>
      </c>
    </row>
    <row r="2944">
      <c r="A2944" s="91" t="n"/>
      <c r="B2944" s="111">
        <f>MAX(0,N('Deal maths'!M947))</f>
        <v/>
      </c>
      <c r="C2944" s="91">
        <f>IF(B2944&gt;0,IF('Deal maths'!L947="Local authority","Local authorities",LOWER(TRIM('Deal maths'!K947))),"")</f>
        <v/>
      </c>
      <c r="D2944" s="91">
        <f>IF(C2944="","",IF(COUNTIF($C$4:C2943,C2944)=0,SUMIF($C$4:$C$3997,C2944,$B$4:$B$3997)-ROW()/1000000,""))</f>
        <v/>
      </c>
      <c r="E2944" s="91">
        <f>IF(N('Deal maths'!M947)&gt;0,ROW()/10000000,"")</f>
        <v/>
      </c>
    </row>
    <row r="2945">
      <c r="A2945" s="91" t="n"/>
      <c r="B2945" s="111">
        <f>MAX(0,N('Deal maths'!M948))</f>
        <v/>
      </c>
      <c r="C2945" s="91">
        <f>IF(B2945&gt;0,IF('Deal maths'!L948="Local authority","Local authorities",LOWER(TRIM('Deal maths'!K948))),"")</f>
        <v/>
      </c>
      <c r="D2945" s="91">
        <f>IF(C2945="","",IF(COUNTIF($C$4:C2944,C2945)=0,SUMIF($C$4:$C$3997,C2945,$B$4:$B$3997)-ROW()/1000000,""))</f>
        <v/>
      </c>
      <c r="E2945" s="91">
        <f>IF(N('Deal maths'!M948)&gt;0,ROW()/10000000,"")</f>
        <v/>
      </c>
    </row>
    <row r="2946">
      <c r="A2946" s="91" t="n"/>
      <c r="B2946" s="111">
        <f>MAX(0,N('Deal maths'!M949))</f>
        <v/>
      </c>
      <c r="C2946" s="91">
        <f>IF(B2946&gt;0,IF('Deal maths'!L949="Local authority","Local authorities",LOWER(TRIM('Deal maths'!K949))),"")</f>
        <v/>
      </c>
      <c r="D2946" s="91">
        <f>IF(C2946="","",IF(COUNTIF($C$4:C2945,C2946)=0,SUMIF($C$4:$C$3997,C2946,$B$4:$B$3997)-ROW()/1000000,""))</f>
        <v/>
      </c>
      <c r="E2946" s="91">
        <f>IF(N('Deal maths'!M949)&gt;0,ROW()/10000000,"")</f>
        <v/>
      </c>
    </row>
    <row r="2947">
      <c r="A2947" s="91" t="n"/>
      <c r="B2947" s="111">
        <f>MAX(0,N('Deal maths'!M950))</f>
        <v/>
      </c>
      <c r="C2947" s="91">
        <f>IF(B2947&gt;0,IF('Deal maths'!L950="Local authority","Local authorities",LOWER(TRIM('Deal maths'!K950))),"")</f>
        <v/>
      </c>
      <c r="D2947" s="91">
        <f>IF(C2947="","",IF(COUNTIF($C$4:C2946,C2947)=0,SUMIF($C$4:$C$3997,C2947,$B$4:$B$3997)-ROW()/1000000,""))</f>
        <v/>
      </c>
      <c r="E2947" s="91">
        <f>IF(N('Deal maths'!M950)&gt;0,ROW()/10000000,"")</f>
        <v/>
      </c>
    </row>
    <row r="2948">
      <c r="A2948" s="91" t="n"/>
      <c r="B2948" s="111">
        <f>MAX(0,N('Deal maths'!M951))</f>
        <v/>
      </c>
      <c r="C2948" s="91">
        <f>IF(B2948&gt;0,IF('Deal maths'!L951="Local authority","Local authorities",LOWER(TRIM('Deal maths'!K951))),"")</f>
        <v/>
      </c>
      <c r="D2948" s="91">
        <f>IF(C2948="","",IF(COUNTIF($C$4:C2947,C2948)=0,SUMIF($C$4:$C$3997,C2948,$B$4:$B$3997)-ROW()/1000000,""))</f>
        <v/>
      </c>
      <c r="E2948" s="91">
        <f>IF(N('Deal maths'!M951)&gt;0,ROW()/10000000,"")</f>
        <v/>
      </c>
    </row>
    <row r="2949">
      <c r="A2949" s="91" t="n"/>
      <c r="B2949" s="111">
        <f>MAX(0,N('Deal maths'!M952))</f>
        <v/>
      </c>
      <c r="C2949" s="91">
        <f>IF(B2949&gt;0,IF('Deal maths'!L952="Local authority","Local authorities",LOWER(TRIM('Deal maths'!K952))),"")</f>
        <v/>
      </c>
      <c r="D2949" s="91">
        <f>IF(C2949="","",IF(COUNTIF($C$4:C2948,C2949)=0,SUMIF($C$4:$C$3997,C2949,$B$4:$B$3997)-ROW()/1000000,""))</f>
        <v/>
      </c>
      <c r="E2949" s="91">
        <f>IF(N('Deal maths'!M952)&gt;0,ROW()/10000000,"")</f>
        <v/>
      </c>
    </row>
    <row r="2950">
      <c r="A2950" s="91" t="n"/>
      <c r="B2950" s="111">
        <f>MAX(0,N('Deal maths'!M953))</f>
        <v/>
      </c>
      <c r="C2950" s="91">
        <f>IF(B2950&gt;0,IF('Deal maths'!L953="Local authority","Local authorities",LOWER(TRIM('Deal maths'!K953))),"")</f>
        <v/>
      </c>
      <c r="D2950" s="91">
        <f>IF(C2950="","",IF(COUNTIF($C$4:C2949,C2950)=0,SUMIF($C$4:$C$3997,C2950,$B$4:$B$3997)-ROW()/1000000,""))</f>
        <v/>
      </c>
      <c r="E2950" s="91">
        <f>IF(N('Deal maths'!M953)&gt;0,ROW()/10000000,"")</f>
        <v/>
      </c>
    </row>
    <row r="2951">
      <c r="A2951" s="91" t="n"/>
      <c r="B2951" s="111">
        <f>MAX(0,N('Deal maths'!M954))</f>
        <v/>
      </c>
      <c r="C2951" s="91">
        <f>IF(B2951&gt;0,IF('Deal maths'!L954="Local authority","Local authorities",LOWER(TRIM('Deal maths'!K954))),"")</f>
        <v/>
      </c>
      <c r="D2951" s="91">
        <f>IF(C2951="","",IF(COUNTIF($C$4:C2950,C2951)=0,SUMIF($C$4:$C$3997,C2951,$B$4:$B$3997)-ROW()/1000000,""))</f>
        <v/>
      </c>
      <c r="E2951" s="91">
        <f>IF(N('Deal maths'!M954)&gt;0,ROW()/10000000,"")</f>
        <v/>
      </c>
    </row>
    <row r="2952">
      <c r="A2952" s="91" t="n"/>
      <c r="B2952" s="111">
        <f>MAX(0,N('Deal maths'!M955))</f>
        <v/>
      </c>
      <c r="C2952" s="91">
        <f>IF(B2952&gt;0,IF('Deal maths'!L955="Local authority","Local authorities",LOWER(TRIM('Deal maths'!K955))),"")</f>
        <v/>
      </c>
      <c r="D2952" s="91">
        <f>IF(C2952="","",IF(COUNTIF($C$4:C2951,C2952)=0,SUMIF($C$4:$C$3997,C2952,$B$4:$B$3997)-ROW()/1000000,""))</f>
        <v/>
      </c>
      <c r="E2952" s="91">
        <f>IF(N('Deal maths'!M955)&gt;0,ROW()/10000000,"")</f>
        <v/>
      </c>
    </row>
    <row r="2953">
      <c r="A2953" s="91" t="n"/>
      <c r="B2953" s="111">
        <f>MAX(0,N('Deal maths'!M956))</f>
        <v/>
      </c>
      <c r="C2953" s="91">
        <f>IF(B2953&gt;0,IF('Deal maths'!L956="Local authority","Local authorities",LOWER(TRIM('Deal maths'!K956))),"")</f>
        <v/>
      </c>
      <c r="D2953" s="91">
        <f>IF(C2953="","",IF(COUNTIF($C$4:C2952,C2953)=0,SUMIF($C$4:$C$3997,C2953,$B$4:$B$3997)-ROW()/1000000,""))</f>
        <v/>
      </c>
      <c r="E2953" s="91">
        <f>IF(N('Deal maths'!M956)&gt;0,ROW()/10000000,"")</f>
        <v/>
      </c>
    </row>
    <row r="2954">
      <c r="A2954" s="91" t="n"/>
      <c r="B2954" s="111">
        <f>MAX(0,N('Deal maths'!M957))</f>
        <v/>
      </c>
      <c r="C2954" s="91">
        <f>IF(B2954&gt;0,IF('Deal maths'!L957="Local authority","Local authorities",LOWER(TRIM('Deal maths'!K957))),"")</f>
        <v/>
      </c>
      <c r="D2954" s="91">
        <f>IF(C2954="","",IF(COUNTIF($C$4:C2953,C2954)=0,SUMIF($C$4:$C$3997,C2954,$B$4:$B$3997)-ROW()/1000000,""))</f>
        <v/>
      </c>
      <c r="E2954" s="91">
        <f>IF(N('Deal maths'!M957)&gt;0,ROW()/10000000,"")</f>
        <v/>
      </c>
    </row>
    <row r="2955">
      <c r="A2955" s="91" t="n"/>
      <c r="B2955" s="111">
        <f>MAX(0,N('Deal maths'!M958))</f>
        <v/>
      </c>
      <c r="C2955" s="91">
        <f>IF(B2955&gt;0,IF('Deal maths'!L958="Local authority","Local authorities",LOWER(TRIM('Deal maths'!K958))),"")</f>
        <v/>
      </c>
      <c r="D2955" s="91">
        <f>IF(C2955="","",IF(COUNTIF($C$4:C2954,C2955)=0,SUMIF($C$4:$C$3997,C2955,$B$4:$B$3997)-ROW()/1000000,""))</f>
        <v/>
      </c>
      <c r="E2955" s="91">
        <f>IF(N('Deal maths'!M958)&gt;0,ROW()/10000000,"")</f>
        <v/>
      </c>
    </row>
    <row r="2956">
      <c r="A2956" s="91" t="n"/>
      <c r="B2956" s="111">
        <f>MAX(0,N('Deal maths'!M959))</f>
        <v/>
      </c>
      <c r="C2956" s="91">
        <f>IF(B2956&gt;0,IF('Deal maths'!L959="Local authority","Local authorities",LOWER(TRIM('Deal maths'!K959))),"")</f>
        <v/>
      </c>
      <c r="D2956" s="91">
        <f>IF(C2956="","",IF(COUNTIF($C$4:C2955,C2956)=0,SUMIF($C$4:$C$3997,C2956,$B$4:$B$3997)-ROW()/1000000,""))</f>
        <v/>
      </c>
      <c r="E2956" s="91">
        <f>IF(N('Deal maths'!M959)&gt;0,ROW()/10000000,"")</f>
        <v/>
      </c>
    </row>
    <row r="2957">
      <c r="A2957" s="91" t="n"/>
      <c r="B2957" s="111">
        <f>MAX(0,N('Deal maths'!M960))</f>
        <v/>
      </c>
      <c r="C2957" s="91">
        <f>IF(B2957&gt;0,IF('Deal maths'!L960="Local authority","Local authorities",LOWER(TRIM('Deal maths'!K960))),"")</f>
        <v/>
      </c>
      <c r="D2957" s="91">
        <f>IF(C2957="","",IF(COUNTIF($C$4:C2956,C2957)=0,SUMIF($C$4:$C$3997,C2957,$B$4:$B$3997)-ROW()/1000000,""))</f>
        <v/>
      </c>
      <c r="E2957" s="91">
        <f>IF(N('Deal maths'!M960)&gt;0,ROW()/10000000,"")</f>
        <v/>
      </c>
    </row>
    <row r="2958">
      <c r="A2958" s="91" t="n"/>
      <c r="B2958" s="111">
        <f>MAX(0,N('Deal maths'!M961))</f>
        <v/>
      </c>
      <c r="C2958" s="91">
        <f>IF(B2958&gt;0,IF('Deal maths'!L961="Local authority","Local authorities",LOWER(TRIM('Deal maths'!K961))),"")</f>
        <v/>
      </c>
      <c r="D2958" s="91">
        <f>IF(C2958="","",IF(COUNTIF($C$4:C2957,C2958)=0,SUMIF($C$4:$C$3997,C2958,$B$4:$B$3997)-ROW()/1000000,""))</f>
        <v/>
      </c>
      <c r="E2958" s="91">
        <f>IF(N('Deal maths'!M961)&gt;0,ROW()/10000000,"")</f>
        <v/>
      </c>
    </row>
    <row r="2959">
      <c r="A2959" s="91" t="n"/>
      <c r="B2959" s="111">
        <f>MAX(0,N('Deal maths'!M962))</f>
        <v/>
      </c>
      <c r="C2959" s="91">
        <f>IF(B2959&gt;0,IF('Deal maths'!L962="Local authority","Local authorities",LOWER(TRIM('Deal maths'!K962))),"")</f>
        <v/>
      </c>
      <c r="D2959" s="91">
        <f>IF(C2959="","",IF(COUNTIF($C$4:C2958,C2959)=0,SUMIF($C$4:$C$3997,C2959,$B$4:$B$3997)-ROW()/1000000,""))</f>
        <v/>
      </c>
      <c r="E2959" s="91">
        <f>IF(N('Deal maths'!M962)&gt;0,ROW()/10000000,"")</f>
        <v/>
      </c>
    </row>
    <row r="2960">
      <c r="A2960" s="91" t="n"/>
      <c r="B2960" s="111">
        <f>MAX(0,N('Deal maths'!M963))</f>
        <v/>
      </c>
      <c r="C2960" s="91">
        <f>IF(B2960&gt;0,IF('Deal maths'!L963="Local authority","Local authorities",LOWER(TRIM('Deal maths'!K963))),"")</f>
        <v/>
      </c>
      <c r="D2960" s="91">
        <f>IF(C2960="","",IF(COUNTIF($C$4:C2959,C2960)=0,SUMIF($C$4:$C$3997,C2960,$B$4:$B$3997)-ROW()/1000000,""))</f>
        <v/>
      </c>
      <c r="E2960" s="91">
        <f>IF(N('Deal maths'!M963)&gt;0,ROW()/10000000,"")</f>
        <v/>
      </c>
    </row>
    <row r="2961">
      <c r="A2961" s="91" t="n"/>
      <c r="B2961" s="111">
        <f>MAX(0,N('Deal maths'!M964))</f>
        <v/>
      </c>
      <c r="C2961" s="91">
        <f>IF(B2961&gt;0,IF('Deal maths'!L964="Local authority","Local authorities",LOWER(TRIM('Deal maths'!K964))),"")</f>
        <v/>
      </c>
      <c r="D2961" s="91">
        <f>IF(C2961="","",IF(COUNTIF($C$4:C2960,C2961)=0,SUMIF($C$4:$C$3997,C2961,$B$4:$B$3997)-ROW()/1000000,""))</f>
        <v/>
      </c>
      <c r="E2961" s="91">
        <f>IF(N('Deal maths'!M964)&gt;0,ROW()/10000000,"")</f>
        <v/>
      </c>
    </row>
    <row r="2962">
      <c r="A2962" s="91" t="n"/>
      <c r="B2962" s="111">
        <f>MAX(0,N('Deal maths'!M965))</f>
        <v/>
      </c>
      <c r="C2962" s="91">
        <f>IF(B2962&gt;0,IF('Deal maths'!L965="Local authority","Local authorities",LOWER(TRIM('Deal maths'!K965))),"")</f>
        <v/>
      </c>
      <c r="D2962" s="91">
        <f>IF(C2962="","",IF(COUNTIF($C$4:C2961,C2962)=0,SUMIF($C$4:$C$3997,C2962,$B$4:$B$3997)-ROW()/1000000,""))</f>
        <v/>
      </c>
      <c r="E2962" s="91">
        <f>IF(N('Deal maths'!M965)&gt;0,ROW()/10000000,"")</f>
        <v/>
      </c>
    </row>
    <row r="2963">
      <c r="A2963" s="91" t="n"/>
      <c r="B2963" s="111">
        <f>MAX(0,N('Deal maths'!M966))</f>
        <v/>
      </c>
      <c r="C2963" s="91">
        <f>IF(B2963&gt;0,IF('Deal maths'!L966="Local authority","Local authorities",LOWER(TRIM('Deal maths'!K966))),"")</f>
        <v/>
      </c>
      <c r="D2963" s="91">
        <f>IF(C2963="","",IF(COUNTIF($C$4:C2962,C2963)=0,SUMIF($C$4:$C$3997,C2963,$B$4:$B$3997)-ROW()/1000000,""))</f>
        <v/>
      </c>
      <c r="E2963" s="91">
        <f>IF(N('Deal maths'!M966)&gt;0,ROW()/10000000,"")</f>
        <v/>
      </c>
    </row>
    <row r="2964">
      <c r="A2964" s="91" t="n"/>
      <c r="B2964" s="111">
        <f>MAX(0,N('Deal maths'!M967))</f>
        <v/>
      </c>
      <c r="C2964" s="91">
        <f>IF(B2964&gt;0,IF('Deal maths'!L967="Local authority","Local authorities",LOWER(TRIM('Deal maths'!K967))),"")</f>
        <v/>
      </c>
      <c r="D2964" s="91">
        <f>IF(C2964="","",IF(COUNTIF($C$4:C2963,C2964)=0,SUMIF($C$4:$C$3997,C2964,$B$4:$B$3997)-ROW()/1000000,""))</f>
        <v/>
      </c>
      <c r="E2964" s="91">
        <f>IF(N('Deal maths'!M967)&gt;0,ROW()/10000000,"")</f>
        <v/>
      </c>
    </row>
    <row r="2965">
      <c r="A2965" s="91" t="n"/>
      <c r="B2965" s="111">
        <f>MAX(0,N('Deal maths'!M968))</f>
        <v/>
      </c>
      <c r="C2965" s="91">
        <f>IF(B2965&gt;0,IF('Deal maths'!L968="Local authority","Local authorities",LOWER(TRIM('Deal maths'!K968))),"")</f>
        <v/>
      </c>
      <c r="D2965" s="91">
        <f>IF(C2965="","",IF(COUNTIF($C$4:C2964,C2965)=0,SUMIF($C$4:$C$3997,C2965,$B$4:$B$3997)-ROW()/1000000,""))</f>
        <v/>
      </c>
      <c r="E2965" s="91">
        <f>IF(N('Deal maths'!M968)&gt;0,ROW()/10000000,"")</f>
        <v/>
      </c>
    </row>
    <row r="2966">
      <c r="A2966" s="91" t="n"/>
      <c r="B2966" s="111">
        <f>MAX(0,N('Deal maths'!M969))</f>
        <v/>
      </c>
      <c r="C2966" s="91">
        <f>IF(B2966&gt;0,IF('Deal maths'!L969="Local authority","Local authorities",LOWER(TRIM('Deal maths'!K969))),"")</f>
        <v/>
      </c>
      <c r="D2966" s="91">
        <f>IF(C2966="","",IF(COUNTIF($C$4:C2965,C2966)=0,SUMIF($C$4:$C$3997,C2966,$B$4:$B$3997)-ROW()/1000000,""))</f>
        <v/>
      </c>
      <c r="E2966" s="91">
        <f>IF(N('Deal maths'!M969)&gt;0,ROW()/10000000,"")</f>
        <v/>
      </c>
    </row>
    <row r="2967">
      <c r="A2967" s="91" t="n"/>
      <c r="B2967" s="111">
        <f>MAX(0,N('Deal maths'!M970))</f>
        <v/>
      </c>
      <c r="C2967" s="91">
        <f>IF(B2967&gt;0,IF('Deal maths'!L970="Local authority","Local authorities",LOWER(TRIM('Deal maths'!K970))),"")</f>
        <v/>
      </c>
      <c r="D2967" s="91">
        <f>IF(C2967="","",IF(COUNTIF($C$4:C2966,C2967)=0,SUMIF($C$4:$C$3997,C2967,$B$4:$B$3997)-ROW()/1000000,""))</f>
        <v/>
      </c>
      <c r="E2967" s="91">
        <f>IF(N('Deal maths'!M970)&gt;0,ROW()/10000000,"")</f>
        <v/>
      </c>
    </row>
    <row r="2968">
      <c r="A2968" s="91" t="n"/>
      <c r="B2968" s="111">
        <f>MAX(0,N('Deal maths'!M971))</f>
        <v/>
      </c>
      <c r="C2968" s="91">
        <f>IF(B2968&gt;0,IF('Deal maths'!L971="Local authority","Local authorities",LOWER(TRIM('Deal maths'!K971))),"")</f>
        <v/>
      </c>
      <c r="D2968" s="91">
        <f>IF(C2968="","",IF(COUNTIF($C$4:C2967,C2968)=0,SUMIF($C$4:$C$3997,C2968,$B$4:$B$3997)-ROW()/1000000,""))</f>
        <v/>
      </c>
      <c r="E2968" s="91">
        <f>IF(N('Deal maths'!M971)&gt;0,ROW()/10000000,"")</f>
        <v/>
      </c>
    </row>
    <row r="2969">
      <c r="A2969" s="91" t="n"/>
      <c r="B2969" s="111">
        <f>MAX(0,N('Deal maths'!M972))</f>
        <v/>
      </c>
      <c r="C2969" s="91">
        <f>IF(B2969&gt;0,IF('Deal maths'!L972="Local authority","Local authorities",LOWER(TRIM('Deal maths'!K972))),"")</f>
        <v/>
      </c>
      <c r="D2969" s="91">
        <f>IF(C2969="","",IF(COUNTIF($C$4:C2968,C2969)=0,SUMIF($C$4:$C$3997,C2969,$B$4:$B$3997)-ROW()/1000000,""))</f>
        <v/>
      </c>
      <c r="E2969" s="91">
        <f>IF(N('Deal maths'!M972)&gt;0,ROW()/10000000,"")</f>
        <v/>
      </c>
    </row>
    <row r="2970">
      <c r="A2970" s="91" t="n"/>
      <c r="B2970" s="111">
        <f>MAX(0,N('Deal maths'!M973))</f>
        <v/>
      </c>
      <c r="C2970" s="91">
        <f>IF(B2970&gt;0,IF('Deal maths'!L973="Local authority","Local authorities",LOWER(TRIM('Deal maths'!K973))),"")</f>
        <v/>
      </c>
      <c r="D2970" s="91">
        <f>IF(C2970="","",IF(COUNTIF($C$4:C2969,C2970)=0,SUMIF($C$4:$C$3997,C2970,$B$4:$B$3997)-ROW()/1000000,""))</f>
        <v/>
      </c>
      <c r="E2970" s="91">
        <f>IF(N('Deal maths'!M973)&gt;0,ROW()/10000000,"")</f>
        <v/>
      </c>
    </row>
    <row r="2971">
      <c r="A2971" s="91" t="n"/>
      <c r="B2971" s="111">
        <f>MAX(0,N('Deal maths'!M974))</f>
        <v/>
      </c>
      <c r="C2971" s="91">
        <f>IF(B2971&gt;0,IF('Deal maths'!L974="Local authority","Local authorities",LOWER(TRIM('Deal maths'!K974))),"")</f>
        <v/>
      </c>
      <c r="D2971" s="91">
        <f>IF(C2971="","",IF(COUNTIF($C$4:C2970,C2971)=0,SUMIF($C$4:$C$3997,C2971,$B$4:$B$3997)-ROW()/1000000,""))</f>
        <v/>
      </c>
      <c r="E2971" s="91">
        <f>IF(N('Deal maths'!M974)&gt;0,ROW()/10000000,"")</f>
        <v/>
      </c>
    </row>
    <row r="2972">
      <c r="A2972" s="91" t="n"/>
      <c r="B2972" s="111">
        <f>MAX(0,N('Deal maths'!M975))</f>
        <v/>
      </c>
      <c r="C2972" s="91">
        <f>IF(B2972&gt;0,IF('Deal maths'!L975="Local authority","Local authorities",LOWER(TRIM('Deal maths'!K975))),"")</f>
        <v/>
      </c>
      <c r="D2972" s="91">
        <f>IF(C2972="","",IF(COUNTIF($C$4:C2971,C2972)=0,SUMIF($C$4:$C$3997,C2972,$B$4:$B$3997)-ROW()/1000000,""))</f>
        <v/>
      </c>
      <c r="E2972" s="91">
        <f>IF(N('Deal maths'!M975)&gt;0,ROW()/10000000,"")</f>
        <v/>
      </c>
    </row>
    <row r="2973">
      <c r="A2973" s="91" t="n"/>
      <c r="B2973" s="111">
        <f>MAX(0,N('Deal maths'!M976))</f>
        <v/>
      </c>
      <c r="C2973" s="91">
        <f>IF(B2973&gt;0,IF('Deal maths'!L976="Local authority","Local authorities",LOWER(TRIM('Deal maths'!K976))),"")</f>
        <v/>
      </c>
      <c r="D2973" s="91">
        <f>IF(C2973="","",IF(COUNTIF($C$4:C2972,C2973)=0,SUMIF($C$4:$C$3997,C2973,$B$4:$B$3997)-ROW()/1000000,""))</f>
        <v/>
      </c>
      <c r="E2973" s="91">
        <f>IF(N('Deal maths'!M976)&gt;0,ROW()/10000000,"")</f>
        <v/>
      </c>
    </row>
    <row r="2974">
      <c r="A2974" s="91" t="n"/>
      <c r="B2974" s="111">
        <f>MAX(0,N('Deal maths'!M977))</f>
        <v/>
      </c>
      <c r="C2974" s="91">
        <f>IF(B2974&gt;0,IF('Deal maths'!L977="Local authority","Local authorities",LOWER(TRIM('Deal maths'!K977))),"")</f>
        <v/>
      </c>
      <c r="D2974" s="91">
        <f>IF(C2974="","",IF(COUNTIF($C$4:C2973,C2974)=0,SUMIF($C$4:$C$3997,C2974,$B$4:$B$3997)-ROW()/1000000,""))</f>
        <v/>
      </c>
      <c r="E2974" s="91">
        <f>IF(N('Deal maths'!M977)&gt;0,ROW()/10000000,"")</f>
        <v/>
      </c>
    </row>
    <row r="2975">
      <c r="A2975" s="91" t="n"/>
      <c r="B2975" s="111">
        <f>MAX(0,N('Deal maths'!M978))</f>
        <v/>
      </c>
      <c r="C2975" s="91">
        <f>IF(B2975&gt;0,IF('Deal maths'!L978="Local authority","Local authorities",LOWER(TRIM('Deal maths'!K978))),"")</f>
        <v/>
      </c>
      <c r="D2975" s="91">
        <f>IF(C2975="","",IF(COUNTIF($C$4:C2974,C2975)=0,SUMIF($C$4:$C$3997,C2975,$B$4:$B$3997)-ROW()/1000000,""))</f>
        <v/>
      </c>
      <c r="E2975" s="91">
        <f>IF(N('Deal maths'!M978)&gt;0,ROW()/10000000,"")</f>
        <v/>
      </c>
    </row>
    <row r="2976">
      <c r="A2976" s="91" t="n"/>
      <c r="B2976" s="111">
        <f>MAX(0,N('Deal maths'!M979))</f>
        <v/>
      </c>
      <c r="C2976" s="91">
        <f>IF(B2976&gt;0,IF('Deal maths'!L979="Local authority","Local authorities",LOWER(TRIM('Deal maths'!K979))),"")</f>
        <v/>
      </c>
      <c r="D2976" s="91">
        <f>IF(C2976="","",IF(COUNTIF($C$4:C2975,C2976)=0,SUMIF($C$4:$C$3997,C2976,$B$4:$B$3997)-ROW()/1000000,""))</f>
        <v/>
      </c>
      <c r="E2976" s="91">
        <f>IF(N('Deal maths'!M979)&gt;0,ROW()/10000000,"")</f>
        <v/>
      </c>
    </row>
    <row r="2977">
      <c r="A2977" s="91" t="n"/>
      <c r="B2977" s="111">
        <f>MAX(0,N('Deal maths'!M980))</f>
        <v/>
      </c>
      <c r="C2977" s="91">
        <f>IF(B2977&gt;0,IF('Deal maths'!L980="Local authority","Local authorities",LOWER(TRIM('Deal maths'!K980))),"")</f>
        <v/>
      </c>
      <c r="D2977" s="91">
        <f>IF(C2977="","",IF(COUNTIF($C$4:C2976,C2977)=0,SUMIF($C$4:$C$3997,C2977,$B$4:$B$3997)-ROW()/1000000,""))</f>
        <v/>
      </c>
      <c r="E2977" s="91">
        <f>IF(N('Deal maths'!M980)&gt;0,ROW()/10000000,"")</f>
        <v/>
      </c>
    </row>
    <row r="2978">
      <c r="A2978" s="91" t="n"/>
      <c r="B2978" s="111">
        <f>MAX(0,N('Deal maths'!M981))</f>
        <v/>
      </c>
      <c r="C2978" s="91">
        <f>IF(B2978&gt;0,IF('Deal maths'!L981="Local authority","Local authorities",LOWER(TRIM('Deal maths'!K981))),"")</f>
        <v/>
      </c>
      <c r="D2978" s="91">
        <f>IF(C2978="","",IF(COUNTIF($C$4:C2977,C2978)=0,SUMIF($C$4:$C$3997,C2978,$B$4:$B$3997)-ROW()/1000000,""))</f>
        <v/>
      </c>
      <c r="E2978" s="91">
        <f>IF(N('Deal maths'!M981)&gt;0,ROW()/10000000,"")</f>
        <v/>
      </c>
    </row>
    <row r="2979">
      <c r="A2979" s="91" t="n"/>
      <c r="B2979" s="111">
        <f>MAX(0,N('Deal maths'!M982))</f>
        <v/>
      </c>
      <c r="C2979" s="91">
        <f>IF(B2979&gt;0,IF('Deal maths'!L982="Local authority","Local authorities",LOWER(TRIM('Deal maths'!K982))),"")</f>
        <v/>
      </c>
      <c r="D2979" s="91">
        <f>IF(C2979="","",IF(COUNTIF($C$4:C2978,C2979)=0,SUMIF($C$4:$C$3997,C2979,$B$4:$B$3997)-ROW()/1000000,""))</f>
        <v/>
      </c>
      <c r="E2979" s="91">
        <f>IF(N('Deal maths'!M982)&gt;0,ROW()/10000000,"")</f>
        <v/>
      </c>
    </row>
    <row r="2980">
      <c r="A2980" s="91" t="n"/>
      <c r="B2980" s="111">
        <f>MAX(0,N('Deal maths'!M983))</f>
        <v/>
      </c>
      <c r="C2980" s="91">
        <f>IF(B2980&gt;0,IF('Deal maths'!L983="Local authority","Local authorities",LOWER(TRIM('Deal maths'!K983))),"")</f>
        <v/>
      </c>
      <c r="D2980" s="91">
        <f>IF(C2980="","",IF(COUNTIF($C$4:C2979,C2980)=0,SUMIF($C$4:$C$3997,C2980,$B$4:$B$3997)-ROW()/1000000,""))</f>
        <v/>
      </c>
      <c r="E2980" s="91">
        <f>IF(N('Deal maths'!M983)&gt;0,ROW()/10000000,"")</f>
        <v/>
      </c>
    </row>
    <row r="2981">
      <c r="A2981" s="91" t="n"/>
      <c r="B2981" s="111">
        <f>MAX(0,N('Deal maths'!M984))</f>
        <v/>
      </c>
      <c r="C2981" s="91">
        <f>IF(B2981&gt;0,IF('Deal maths'!L984="Local authority","Local authorities",LOWER(TRIM('Deal maths'!K984))),"")</f>
        <v/>
      </c>
      <c r="D2981" s="91">
        <f>IF(C2981="","",IF(COUNTIF($C$4:C2980,C2981)=0,SUMIF($C$4:$C$3997,C2981,$B$4:$B$3997)-ROW()/1000000,""))</f>
        <v/>
      </c>
      <c r="E2981" s="91">
        <f>IF(N('Deal maths'!M984)&gt;0,ROW()/10000000,"")</f>
        <v/>
      </c>
    </row>
    <row r="2982">
      <c r="A2982" s="91" t="n"/>
      <c r="B2982" s="111">
        <f>MAX(0,N('Deal maths'!M985))</f>
        <v/>
      </c>
      <c r="C2982" s="91">
        <f>IF(B2982&gt;0,IF('Deal maths'!L985="Local authority","Local authorities",LOWER(TRIM('Deal maths'!K985))),"")</f>
        <v/>
      </c>
      <c r="D2982" s="91">
        <f>IF(C2982="","",IF(COUNTIF($C$4:C2981,C2982)=0,SUMIF($C$4:$C$3997,C2982,$B$4:$B$3997)-ROW()/1000000,""))</f>
        <v/>
      </c>
      <c r="E2982" s="91">
        <f>IF(N('Deal maths'!M985)&gt;0,ROW()/10000000,"")</f>
        <v/>
      </c>
    </row>
    <row r="2983">
      <c r="A2983" s="91" t="n"/>
      <c r="B2983" s="111">
        <f>MAX(0,N('Deal maths'!M986))</f>
        <v/>
      </c>
      <c r="C2983" s="91">
        <f>IF(B2983&gt;0,IF('Deal maths'!L986="Local authority","Local authorities",LOWER(TRIM('Deal maths'!K986))),"")</f>
        <v/>
      </c>
      <c r="D2983" s="91">
        <f>IF(C2983="","",IF(COUNTIF($C$4:C2982,C2983)=0,SUMIF($C$4:$C$3997,C2983,$B$4:$B$3997)-ROW()/1000000,""))</f>
        <v/>
      </c>
      <c r="E2983" s="91">
        <f>IF(N('Deal maths'!M986)&gt;0,ROW()/10000000,"")</f>
        <v/>
      </c>
    </row>
    <row r="2984">
      <c r="A2984" s="91" t="n"/>
      <c r="B2984" s="111">
        <f>MAX(0,N('Deal maths'!M987))</f>
        <v/>
      </c>
      <c r="C2984" s="91">
        <f>IF(B2984&gt;0,IF('Deal maths'!L987="Local authority","Local authorities",LOWER(TRIM('Deal maths'!K987))),"")</f>
        <v/>
      </c>
      <c r="D2984" s="91">
        <f>IF(C2984="","",IF(COUNTIF($C$4:C2983,C2984)=0,SUMIF($C$4:$C$3997,C2984,$B$4:$B$3997)-ROW()/1000000,""))</f>
        <v/>
      </c>
      <c r="E2984" s="91">
        <f>IF(N('Deal maths'!M987)&gt;0,ROW()/10000000,"")</f>
        <v/>
      </c>
    </row>
    <row r="2985">
      <c r="A2985" s="91" t="n"/>
      <c r="B2985" s="111">
        <f>MAX(0,N('Deal maths'!M988))</f>
        <v/>
      </c>
      <c r="C2985" s="91">
        <f>IF(B2985&gt;0,IF('Deal maths'!L988="Local authority","Local authorities",LOWER(TRIM('Deal maths'!K988))),"")</f>
        <v/>
      </c>
      <c r="D2985" s="91">
        <f>IF(C2985="","",IF(COUNTIF($C$4:C2984,C2985)=0,SUMIF($C$4:$C$3997,C2985,$B$4:$B$3997)-ROW()/1000000,""))</f>
        <v/>
      </c>
      <c r="E2985" s="91">
        <f>IF(N('Deal maths'!M988)&gt;0,ROW()/10000000,"")</f>
        <v/>
      </c>
    </row>
    <row r="2986">
      <c r="A2986" s="91" t="n"/>
      <c r="B2986" s="111">
        <f>MAX(0,N('Deal maths'!M989))</f>
        <v/>
      </c>
      <c r="C2986" s="91">
        <f>IF(B2986&gt;0,IF('Deal maths'!L989="Local authority","Local authorities",LOWER(TRIM('Deal maths'!K989))),"")</f>
        <v/>
      </c>
      <c r="D2986" s="91">
        <f>IF(C2986="","",IF(COUNTIF($C$4:C2985,C2986)=0,SUMIF($C$4:$C$3997,C2986,$B$4:$B$3997)-ROW()/1000000,""))</f>
        <v/>
      </c>
      <c r="E2986" s="91">
        <f>IF(N('Deal maths'!M989)&gt;0,ROW()/10000000,"")</f>
        <v/>
      </c>
    </row>
    <row r="2987">
      <c r="A2987" s="91" t="n"/>
      <c r="B2987" s="111">
        <f>MAX(0,N('Deal maths'!M990))</f>
        <v/>
      </c>
      <c r="C2987" s="91">
        <f>IF(B2987&gt;0,IF('Deal maths'!L990="Local authority","Local authorities",LOWER(TRIM('Deal maths'!K990))),"")</f>
        <v/>
      </c>
      <c r="D2987" s="91">
        <f>IF(C2987="","",IF(COUNTIF($C$4:C2986,C2987)=0,SUMIF($C$4:$C$3997,C2987,$B$4:$B$3997)-ROW()/1000000,""))</f>
        <v/>
      </c>
      <c r="E2987" s="91">
        <f>IF(N('Deal maths'!M990)&gt;0,ROW()/10000000,"")</f>
        <v/>
      </c>
    </row>
    <row r="2988">
      <c r="A2988" s="91" t="n"/>
      <c r="B2988" s="111">
        <f>MAX(0,N('Deal maths'!M991))</f>
        <v/>
      </c>
      <c r="C2988" s="91">
        <f>IF(B2988&gt;0,IF('Deal maths'!L991="Local authority","Local authorities",LOWER(TRIM('Deal maths'!K991))),"")</f>
        <v/>
      </c>
      <c r="D2988" s="91">
        <f>IF(C2988="","",IF(COUNTIF($C$4:C2987,C2988)=0,SUMIF($C$4:$C$3997,C2988,$B$4:$B$3997)-ROW()/1000000,""))</f>
        <v/>
      </c>
      <c r="E2988" s="91">
        <f>IF(N('Deal maths'!M991)&gt;0,ROW()/10000000,"")</f>
        <v/>
      </c>
    </row>
    <row r="2989">
      <c r="A2989" s="91" t="n"/>
      <c r="B2989" s="111">
        <f>MAX(0,N('Deal maths'!M992))</f>
        <v/>
      </c>
      <c r="C2989" s="91">
        <f>IF(B2989&gt;0,IF('Deal maths'!L992="Local authority","Local authorities",LOWER(TRIM('Deal maths'!K992))),"")</f>
        <v/>
      </c>
      <c r="D2989" s="91">
        <f>IF(C2989="","",IF(COUNTIF($C$4:C2988,C2989)=0,SUMIF($C$4:$C$3997,C2989,$B$4:$B$3997)-ROW()/1000000,""))</f>
        <v/>
      </c>
      <c r="E2989" s="91">
        <f>IF(N('Deal maths'!M992)&gt;0,ROW()/10000000,"")</f>
        <v/>
      </c>
    </row>
    <row r="2990">
      <c r="A2990" s="91" t="n"/>
      <c r="B2990" s="111">
        <f>MAX(0,N('Deal maths'!M993))</f>
        <v/>
      </c>
      <c r="C2990" s="91">
        <f>IF(B2990&gt;0,IF('Deal maths'!L993="Local authority","Local authorities",LOWER(TRIM('Deal maths'!K993))),"")</f>
        <v/>
      </c>
      <c r="D2990" s="91">
        <f>IF(C2990="","",IF(COUNTIF($C$4:C2989,C2990)=0,SUMIF($C$4:$C$3997,C2990,$B$4:$B$3997)-ROW()/1000000,""))</f>
        <v/>
      </c>
      <c r="E2990" s="91">
        <f>IF(N('Deal maths'!M993)&gt;0,ROW()/10000000,"")</f>
        <v/>
      </c>
    </row>
    <row r="2991">
      <c r="A2991" s="91" t="n"/>
      <c r="B2991" s="111">
        <f>MAX(0,N('Deal maths'!M994))</f>
        <v/>
      </c>
      <c r="C2991" s="91">
        <f>IF(B2991&gt;0,IF('Deal maths'!L994="Local authority","Local authorities",LOWER(TRIM('Deal maths'!K994))),"")</f>
        <v/>
      </c>
      <c r="D2991" s="91">
        <f>IF(C2991="","",IF(COUNTIF($C$4:C2990,C2991)=0,SUMIF($C$4:$C$3997,C2991,$B$4:$B$3997)-ROW()/1000000,""))</f>
        <v/>
      </c>
      <c r="E2991" s="91">
        <f>IF(N('Deal maths'!M994)&gt;0,ROW()/10000000,"")</f>
        <v/>
      </c>
    </row>
    <row r="2992">
      <c r="A2992" s="91" t="n"/>
      <c r="B2992" s="111">
        <f>MAX(0,N('Deal maths'!M995))</f>
        <v/>
      </c>
      <c r="C2992" s="91">
        <f>IF(B2992&gt;0,IF('Deal maths'!L995="Local authority","Local authorities",LOWER(TRIM('Deal maths'!K995))),"")</f>
        <v/>
      </c>
      <c r="D2992" s="91">
        <f>IF(C2992="","",IF(COUNTIF($C$4:C2991,C2992)=0,SUMIF($C$4:$C$3997,C2992,$B$4:$B$3997)-ROW()/1000000,""))</f>
        <v/>
      </c>
      <c r="E2992" s="91">
        <f>IF(N('Deal maths'!M995)&gt;0,ROW()/10000000,"")</f>
        <v/>
      </c>
    </row>
    <row r="2993">
      <c r="A2993" s="91" t="n"/>
      <c r="B2993" s="111">
        <f>MAX(0,N('Deal maths'!M996))</f>
        <v/>
      </c>
      <c r="C2993" s="91">
        <f>IF(B2993&gt;0,IF('Deal maths'!L996="Local authority","Local authorities",LOWER(TRIM('Deal maths'!K996))),"")</f>
        <v/>
      </c>
      <c r="D2993" s="91">
        <f>IF(C2993="","",IF(COUNTIF($C$4:C2992,C2993)=0,SUMIF($C$4:$C$3997,C2993,$B$4:$B$3997)-ROW()/1000000,""))</f>
        <v/>
      </c>
      <c r="E2993" s="91">
        <f>IF(N('Deal maths'!M996)&gt;0,ROW()/10000000,"")</f>
        <v/>
      </c>
    </row>
    <row r="2994">
      <c r="A2994" s="91" t="n"/>
      <c r="B2994" s="111">
        <f>MAX(0,N('Deal maths'!M997))</f>
        <v/>
      </c>
      <c r="C2994" s="91">
        <f>IF(B2994&gt;0,IF('Deal maths'!L997="Local authority","Local authorities",LOWER(TRIM('Deal maths'!K997))),"")</f>
        <v/>
      </c>
      <c r="D2994" s="91">
        <f>IF(C2994="","",IF(COUNTIF($C$4:C2993,C2994)=0,SUMIF($C$4:$C$3997,C2994,$B$4:$B$3997)-ROW()/1000000,""))</f>
        <v/>
      </c>
      <c r="E2994" s="91">
        <f>IF(N('Deal maths'!M997)&gt;0,ROW()/10000000,"")</f>
        <v/>
      </c>
    </row>
    <row r="2995">
      <c r="A2995" s="91" t="n"/>
      <c r="B2995" s="111">
        <f>MAX(0,N('Deal maths'!M998))</f>
        <v/>
      </c>
      <c r="C2995" s="91">
        <f>IF(B2995&gt;0,IF('Deal maths'!L998="Local authority","Local authorities",LOWER(TRIM('Deal maths'!K998))),"")</f>
        <v/>
      </c>
      <c r="D2995" s="91">
        <f>IF(C2995="","",IF(COUNTIF($C$4:C2994,C2995)=0,SUMIF($C$4:$C$3997,C2995,$B$4:$B$3997)-ROW()/1000000,""))</f>
        <v/>
      </c>
      <c r="E2995" s="91">
        <f>IF(N('Deal maths'!M998)&gt;0,ROW()/10000000,"")</f>
        <v/>
      </c>
    </row>
    <row r="2996">
      <c r="A2996" s="91" t="n"/>
      <c r="B2996" s="111">
        <f>MAX(0,N('Deal maths'!M999))</f>
        <v/>
      </c>
      <c r="C2996" s="91">
        <f>IF(B2996&gt;0,IF('Deal maths'!L999="Local authority","Local authorities",LOWER(TRIM('Deal maths'!K999))),"")</f>
        <v/>
      </c>
      <c r="D2996" s="91">
        <f>IF(C2996="","",IF(COUNTIF($C$4:C2995,C2996)=0,SUMIF($C$4:$C$3997,C2996,$B$4:$B$3997)-ROW()/1000000,""))</f>
        <v/>
      </c>
      <c r="E2996" s="91">
        <f>IF(N('Deal maths'!M999)&gt;0,ROW()/10000000,"")</f>
        <v/>
      </c>
    </row>
    <row r="2997">
      <c r="A2997" s="91" t="n"/>
      <c r="B2997" s="111">
        <f>MAX(0,N('Deal maths'!M1000))</f>
        <v/>
      </c>
      <c r="C2997" s="91">
        <f>IF(B2997&gt;0,IF('Deal maths'!L1000="Local authority","Local authorities",LOWER(TRIM('Deal maths'!K1000))),"")</f>
        <v/>
      </c>
      <c r="D2997" s="91">
        <f>IF(C2997="","",IF(COUNTIF($C$4:C2996,C2997)=0,SUMIF($C$4:$C$3997,C2997,$B$4:$B$3997)-ROW()/1000000,""))</f>
        <v/>
      </c>
      <c r="E2997" s="91">
        <f>IF(N('Deal maths'!M1000)&gt;0,ROW()/10000000,"")</f>
        <v/>
      </c>
    </row>
    <row r="2998">
      <c r="A2998" s="91" t="n"/>
      <c r="B2998" s="111">
        <f>MAX(0,N('Deal maths'!M1001))</f>
        <v/>
      </c>
      <c r="C2998" s="91">
        <f>IF(B2998&gt;0,IF('Deal maths'!L1001="Local authority","Local authorities",LOWER(TRIM('Deal maths'!K1001))),"")</f>
        <v/>
      </c>
      <c r="D2998" s="91">
        <f>IF(C2998="","",IF(COUNTIF($C$4:C2997,C2998)=0,SUMIF($C$4:$C$3997,C2998,$B$4:$B$3997)-ROW()/1000000,""))</f>
        <v/>
      </c>
      <c r="E2998" s="91">
        <f>IF(N('Deal maths'!M1001)&gt;0,ROW()/10000000,"")</f>
        <v/>
      </c>
    </row>
    <row r="2999">
      <c r="A2999" s="91" t="n"/>
      <c r="B2999" s="111">
        <f>MAX(0,N('Deal maths'!M1002))</f>
        <v/>
      </c>
      <c r="C2999" s="91">
        <f>IF(B2999&gt;0,IF('Deal maths'!L1002="Local authority","Local authorities",LOWER(TRIM('Deal maths'!K1002))),"")</f>
        <v/>
      </c>
      <c r="D2999" s="91">
        <f>IF(C2999="","",IF(COUNTIF($C$4:C2998,C2999)=0,SUMIF($C$4:$C$3997,C2999,$B$4:$B$3997)-ROW()/1000000,""))</f>
        <v/>
      </c>
      <c r="E2999" s="91">
        <f>IF(N('Deal maths'!M1002)&gt;0,ROW()/10000000,"")</f>
        <v/>
      </c>
    </row>
    <row r="3000">
      <c r="A3000" s="91" t="n"/>
      <c r="B3000" s="111">
        <f>MAX(0,N('Deal maths'!M1003))</f>
        <v/>
      </c>
      <c r="C3000" s="91">
        <f>IF(B3000&gt;0,IF('Deal maths'!L1003="Local authority","Local authorities",LOWER(TRIM('Deal maths'!K1003))),"")</f>
        <v/>
      </c>
      <c r="D3000" s="91">
        <f>IF(C3000="","",IF(COUNTIF($C$4:C2999,C3000)=0,SUMIF($C$4:$C$3997,C3000,$B$4:$B$3997)-ROW()/1000000,""))</f>
        <v/>
      </c>
      <c r="E3000" s="91">
        <f>IF(N('Deal maths'!M1003)&gt;0,ROW()/10000000,"")</f>
        <v/>
      </c>
    </row>
    <row r="3001">
      <c r="A3001" s="91" t="n"/>
      <c r="B3001" s="111">
        <f>MAX(0,N('Deal maths'!M1004))</f>
        <v/>
      </c>
      <c r="C3001" s="91">
        <f>IF(B3001&gt;0,IF('Deal maths'!L1004="Local authority","Local authorities",LOWER(TRIM('Deal maths'!K1004))),"")</f>
        <v/>
      </c>
      <c r="D3001" s="91">
        <f>IF(C3001="","",IF(COUNTIF($C$4:C3000,C3001)=0,SUMIF($C$4:$C$3997,C3001,$B$4:$B$3997)-ROW()/1000000,""))</f>
        <v/>
      </c>
      <c r="E3001" s="91">
        <f>IF(N('Deal maths'!M1004)&gt;0,ROW()/10000000,"")</f>
        <v/>
      </c>
    </row>
    <row r="3002">
      <c r="A3002" s="91" t="n"/>
      <c r="B3002" s="111">
        <f>MAX(0,N('Deal maths'!M1005))</f>
        <v/>
      </c>
      <c r="C3002" s="91">
        <f>IF(B3002&gt;0,IF('Deal maths'!L1005="Local authority","Local authorities",LOWER(TRIM('Deal maths'!K1005))),"")</f>
        <v/>
      </c>
      <c r="D3002" s="91">
        <f>IF(C3002="","",IF(COUNTIF($C$4:C3001,C3002)=0,SUMIF($C$4:$C$3997,C3002,$B$4:$B$3997)-ROW()/1000000,""))</f>
        <v/>
      </c>
      <c r="E3002" s="91">
        <f>IF(N('Deal maths'!M1005)&gt;0,ROW()/10000000,"")</f>
        <v/>
      </c>
    </row>
    <row r="3003">
      <c r="A3003" s="91" t="n"/>
      <c r="B3003" s="111">
        <f>MAX(0,N('Deal maths'!M1006))</f>
        <v/>
      </c>
      <c r="C3003" s="91">
        <f>IF(B3003&gt;0,IF('Deal maths'!L1006="Local authority","Local authorities",LOWER(TRIM('Deal maths'!K1006))),"")</f>
        <v/>
      </c>
      <c r="D3003" s="91">
        <f>IF(C3003="","",IF(COUNTIF($C$4:C3002,C3003)=0,SUMIF($C$4:$C$3997,C3003,$B$4:$B$3997)-ROW()/1000000,""))</f>
        <v/>
      </c>
      <c r="E3003" s="91">
        <f>IF(N('Deal maths'!M1006)&gt;0,ROW()/10000000,"")</f>
        <v/>
      </c>
    </row>
    <row r="3004">
      <c r="A3004" s="91" t="n"/>
      <c r="B3004" s="111">
        <f>MAX(0,N('Deal maths'!M1007))</f>
        <v/>
      </c>
      <c r="C3004" s="91">
        <f>IF(B3004&gt;0,IF('Deal maths'!L1007="Local authority","Local authorities",LOWER(TRIM('Deal maths'!K1007))),"")</f>
        <v/>
      </c>
      <c r="D3004" s="91">
        <f>IF(C3004="","",IF(COUNTIF($C$4:C3003,C3004)=0,SUMIF($C$4:$C$3997,C3004,$B$4:$B$3997)-ROW()/1000000,""))</f>
        <v/>
      </c>
      <c r="E3004" s="91">
        <f>IF(N('Deal maths'!M1007)&gt;0,ROW()/10000000,"")</f>
        <v/>
      </c>
    </row>
    <row r="3005">
      <c r="A3005" s="91" t="n"/>
      <c r="B3005" s="111">
        <f>MAX(0,N('Deal maths'!M1008))</f>
        <v/>
      </c>
      <c r="C3005" s="91">
        <f>IF(B3005&gt;0,IF('Deal maths'!L1008="Local authority","Local authorities",LOWER(TRIM('Deal maths'!K1008))),"")</f>
        <v/>
      </c>
      <c r="D3005" s="91">
        <f>IF(C3005="","",IF(COUNTIF($C$4:C3004,C3005)=0,SUMIF($C$4:$C$3997,C3005,$B$4:$B$3997)-ROW()/1000000,""))</f>
        <v/>
      </c>
      <c r="E3005" s="91">
        <f>IF(N('Deal maths'!M1008)&gt;0,ROW()/10000000,"")</f>
        <v/>
      </c>
    </row>
    <row r="3006">
      <c r="A3006" s="91" t="n"/>
      <c r="B3006" s="111">
        <f>MAX(0,N('Deal maths'!M1009))</f>
        <v/>
      </c>
      <c r="C3006" s="91">
        <f>IF(B3006&gt;0,IF('Deal maths'!L1009="Local authority","Local authorities",LOWER(TRIM('Deal maths'!K1009))),"")</f>
        <v/>
      </c>
      <c r="D3006" s="91">
        <f>IF(C3006="","",IF(COUNTIF($C$4:C3005,C3006)=0,SUMIF($C$4:$C$3997,C3006,$B$4:$B$3997)-ROW()/1000000,""))</f>
        <v/>
      </c>
      <c r="E3006" s="91">
        <f>IF(N('Deal maths'!M1009)&gt;0,ROW()/10000000,"")</f>
        <v/>
      </c>
    </row>
    <row r="3007">
      <c r="A3007" s="91" t="n"/>
      <c r="B3007" s="111">
        <f>MAX(0,N('Deal maths'!M1010))</f>
        <v/>
      </c>
      <c r="C3007" s="91">
        <f>IF(B3007&gt;0,IF('Deal maths'!L1010="Local authority","Local authorities",LOWER(TRIM('Deal maths'!K1010))),"")</f>
        <v/>
      </c>
      <c r="D3007" s="91">
        <f>IF(C3007="","",IF(COUNTIF($C$4:C3006,C3007)=0,SUMIF($C$4:$C$3997,C3007,$B$4:$B$3997)-ROW()/1000000,""))</f>
        <v/>
      </c>
      <c r="E3007" s="91">
        <f>IF(N('Deal maths'!M1010)&gt;0,ROW()/10000000,"")</f>
        <v/>
      </c>
    </row>
    <row r="3008">
      <c r="A3008" s="91" t="n"/>
      <c r="B3008" s="111">
        <f>MAX(0,N('Deal maths'!M1011))</f>
        <v/>
      </c>
      <c r="C3008" s="91">
        <f>IF(B3008&gt;0,IF('Deal maths'!L1011="Local authority","Local authorities",LOWER(TRIM('Deal maths'!K1011))),"")</f>
        <v/>
      </c>
      <c r="D3008" s="91">
        <f>IF(C3008="","",IF(COUNTIF($C$4:C3007,C3008)=0,SUMIF($C$4:$C$3997,C3008,$B$4:$B$3997)-ROW()/1000000,""))</f>
        <v/>
      </c>
      <c r="E3008" s="91">
        <f>IF(N('Deal maths'!M1011)&gt;0,ROW()/10000000,"")</f>
        <v/>
      </c>
    </row>
    <row r="3009">
      <c r="A3009" s="91" t="n"/>
      <c r="B3009" s="111">
        <f>MAX(0,N('Deal maths'!M1012))</f>
        <v/>
      </c>
      <c r="C3009" s="91">
        <f>IF(B3009&gt;0,IF('Deal maths'!L1012="Local authority","Local authorities",LOWER(TRIM('Deal maths'!K1012))),"")</f>
        <v/>
      </c>
      <c r="D3009" s="91">
        <f>IF(C3009="","",IF(COUNTIF($C$4:C3008,C3009)=0,SUMIF($C$4:$C$3997,C3009,$B$4:$B$3997)-ROW()/1000000,""))</f>
        <v/>
      </c>
      <c r="E3009" s="91">
        <f>IF(N('Deal maths'!M1012)&gt;0,ROW()/10000000,"")</f>
        <v/>
      </c>
    </row>
    <row r="3010">
      <c r="A3010" s="91" t="n"/>
      <c r="B3010" s="111">
        <f>MAX(0,N('Deal maths'!M1013))</f>
        <v/>
      </c>
      <c r="C3010" s="91">
        <f>IF(B3010&gt;0,IF('Deal maths'!L1013="Local authority","Local authorities",LOWER(TRIM('Deal maths'!K1013))),"")</f>
        <v/>
      </c>
      <c r="D3010" s="91">
        <f>IF(C3010="","",IF(COUNTIF($C$4:C3009,C3010)=0,SUMIF($C$4:$C$3997,C3010,$B$4:$B$3997)-ROW()/1000000,""))</f>
        <v/>
      </c>
      <c r="E3010" s="91">
        <f>IF(N('Deal maths'!M1013)&gt;0,ROW()/10000000,"")</f>
        <v/>
      </c>
    </row>
    <row r="3011">
      <c r="A3011" s="91" t="n"/>
      <c r="B3011" s="111">
        <f>MAX(0,N('Deal maths'!M1014))</f>
        <v/>
      </c>
      <c r="C3011" s="91">
        <f>IF(B3011&gt;0,IF('Deal maths'!L1014="Local authority","Local authorities",LOWER(TRIM('Deal maths'!K1014))),"")</f>
        <v/>
      </c>
      <c r="D3011" s="91">
        <f>IF(C3011="","",IF(COUNTIF($C$4:C3010,C3011)=0,SUMIF($C$4:$C$3997,C3011,$B$4:$B$3997)-ROW()/1000000,""))</f>
        <v/>
      </c>
      <c r="E3011" s="91">
        <f>IF(N('Deal maths'!M1014)&gt;0,ROW()/10000000,"")</f>
        <v/>
      </c>
    </row>
    <row r="3012">
      <c r="A3012" s="91" t="n"/>
      <c r="B3012" s="111">
        <f>MAX(0,N('Deal maths'!M1015))</f>
        <v/>
      </c>
      <c r="C3012" s="91">
        <f>IF(B3012&gt;0,IF('Deal maths'!L1015="Local authority","Local authorities",LOWER(TRIM('Deal maths'!K1015))),"")</f>
        <v/>
      </c>
      <c r="D3012" s="91">
        <f>IF(C3012="","",IF(COUNTIF($C$4:C3011,C3012)=0,SUMIF($C$4:$C$3997,C3012,$B$4:$B$3997)-ROW()/1000000,""))</f>
        <v/>
      </c>
      <c r="E3012" s="91">
        <f>IF(N('Deal maths'!M1015)&gt;0,ROW()/10000000,"")</f>
        <v/>
      </c>
    </row>
    <row r="3013">
      <c r="A3013" s="91" t="n"/>
      <c r="B3013" s="111">
        <f>MAX(0,N('Deal maths'!M1016))</f>
        <v/>
      </c>
      <c r="C3013" s="91">
        <f>IF(B3013&gt;0,IF('Deal maths'!L1016="Local authority","Local authorities",LOWER(TRIM('Deal maths'!K1016))),"")</f>
        <v/>
      </c>
      <c r="D3013" s="91">
        <f>IF(C3013="","",IF(COUNTIF($C$4:C3012,C3013)=0,SUMIF($C$4:$C$3997,C3013,$B$4:$B$3997)-ROW()/1000000,""))</f>
        <v/>
      </c>
      <c r="E3013" s="91">
        <f>IF(N('Deal maths'!M1016)&gt;0,ROW()/10000000,"")</f>
        <v/>
      </c>
    </row>
    <row r="3014">
      <c r="A3014" s="91" t="n"/>
      <c r="B3014" s="111">
        <f>MAX(0,N('Deal maths'!M1017))</f>
        <v/>
      </c>
      <c r="C3014" s="91">
        <f>IF(B3014&gt;0,IF('Deal maths'!L1017="Local authority","Local authorities",LOWER(TRIM('Deal maths'!K1017))),"")</f>
        <v/>
      </c>
      <c r="D3014" s="91">
        <f>IF(C3014="","",IF(COUNTIF($C$4:C3013,C3014)=0,SUMIF($C$4:$C$3997,C3014,$B$4:$B$3997)-ROW()/1000000,""))</f>
        <v/>
      </c>
      <c r="E3014" s="91">
        <f>IF(N('Deal maths'!M1017)&gt;0,ROW()/10000000,"")</f>
        <v/>
      </c>
    </row>
    <row r="3015">
      <c r="A3015" s="91" t="n"/>
      <c r="B3015" s="111">
        <f>MAX(0,N('Deal maths'!M1018))</f>
        <v/>
      </c>
      <c r="C3015" s="91">
        <f>IF(B3015&gt;0,IF('Deal maths'!L1018="Local authority","Local authorities",LOWER(TRIM('Deal maths'!K1018))),"")</f>
        <v/>
      </c>
      <c r="D3015" s="91">
        <f>IF(C3015="","",IF(COUNTIF($C$4:C3014,C3015)=0,SUMIF($C$4:$C$3997,C3015,$B$4:$B$3997)-ROW()/1000000,""))</f>
        <v/>
      </c>
      <c r="E3015" s="91">
        <f>IF(N('Deal maths'!M1018)&gt;0,ROW()/10000000,"")</f>
        <v/>
      </c>
    </row>
    <row r="3016">
      <c r="A3016" s="91" t="n"/>
      <c r="B3016" s="111">
        <f>MAX(0,N('Deal maths'!M1019))</f>
        <v/>
      </c>
      <c r="C3016" s="91">
        <f>IF(B3016&gt;0,IF('Deal maths'!L1019="Local authority","Local authorities",LOWER(TRIM('Deal maths'!K1019))),"")</f>
        <v/>
      </c>
      <c r="D3016" s="91">
        <f>IF(C3016="","",IF(COUNTIF($C$4:C3015,C3016)=0,SUMIF($C$4:$C$3997,C3016,$B$4:$B$3997)-ROW()/1000000,""))</f>
        <v/>
      </c>
      <c r="E3016" s="91">
        <f>IF(N('Deal maths'!M1019)&gt;0,ROW()/10000000,"")</f>
        <v/>
      </c>
    </row>
    <row r="3017">
      <c r="A3017" s="91" t="n"/>
      <c r="B3017" s="111">
        <f>MAX(0,N('Deal maths'!M1020))</f>
        <v/>
      </c>
      <c r="C3017" s="91">
        <f>IF(B3017&gt;0,IF('Deal maths'!L1020="Local authority","Local authorities",LOWER(TRIM('Deal maths'!K1020))),"")</f>
        <v/>
      </c>
      <c r="D3017" s="91">
        <f>IF(C3017="","",IF(COUNTIF($C$4:C3016,C3017)=0,SUMIF($C$4:$C$3997,C3017,$B$4:$B$3997)-ROW()/1000000,""))</f>
        <v/>
      </c>
      <c r="E3017" s="91">
        <f>IF(N('Deal maths'!M1020)&gt;0,ROW()/10000000,"")</f>
        <v/>
      </c>
    </row>
    <row r="3018">
      <c r="A3018" s="91" t="n"/>
      <c r="B3018" s="111">
        <f>MAX(0,N('Deal maths'!M1021))</f>
        <v/>
      </c>
      <c r="C3018" s="91">
        <f>IF(B3018&gt;0,IF('Deal maths'!L1021="Local authority","Local authorities",LOWER(TRIM('Deal maths'!K1021))),"")</f>
        <v/>
      </c>
      <c r="D3018" s="91">
        <f>IF(C3018="","",IF(COUNTIF($C$4:C3017,C3018)=0,SUMIF($C$4:$C$3997,C3018,$B$4:$B$3997)-ROW()/1000000,""))</f>
        <v/>
      </c>
      <c r="E3018" s="91">
        <f>IF(N('Deal maths'!M1021)&gt;0,ROW()/10000000,"")</f>
        <v/>
      </c>
    </row>
    <row r="3019">
      <c r="A3019" s="91" t="n"/>
      <c r="B3019" s="111">
        <f>MAX(0,N('Deal maths'!M1022))</f>
        <v/>
      </c>
      <c r="C3019" s="91">
        <f>IF(B3019&gt;0,IF('Deal maths'!L1022="Local authority","Local authorities",LOWER(TRIM('Deal maths'!K1022))),"")</f>
        <v/>
      </c>
      <c r="D3019" s="91">
        <f>IF(C3019="","",IF(COUNTIF($C$4:C3018,C3019)=0,SUMIF($C$4:$C$3997,C3019,$B$4:$B$3997)-ROW()/1000000,""))</f>
        <v/>
      </c>
      <c r="E3019" s="91">
        <f>IF(N('Deal maths'!M1022)&gt;0,ROW()/10000000,"")</f>
        <v/>
      </c>
    </row>
    <row r="3020">
      <c r="A3020" s="91" t="n"/>
      <c r="B3020" s="111">
        <f>MAX(0,N('Deal maths'!M1023))</f>
        <v/>
      </c>
      <c r="C3020" s="91">
        <f>IF(B3020&gt;0,IF('Deal maths'!L1023="Local authority","Local authorities",LOWER(TRIM('Deal maths'!K1023))),"")</f>
        <v/>
      </c>
      <c r="D3020" s="91">
        <f>IF(C3020="","",IF(COUNTIF($C$4:C3019,C3020)=0,SUMIF($C$4:$C$3997,C3020,$B$4:$B$3997)-ROW()/1000000,""))</f>
        <v/>
      </c>
      <c r="E3020" s="91">
        <f>IF(N('Deal maths'!M1023)&gt;0,ROW()/10000000,"")</f>
        <v/>
      </c>
    </row>
    <row r="3021">
      <c r="A3021" s="91" t="n"/>
      <c r="B3021" s="111">
        <f>MAX(0,N('Deal maths'!M1024))</f>
        <v/>
      </c>
      <c r="C3021" s="91">
        <f>IF(B3021&gt;0,IF('Deal maths'!L1024="Local authority","Local authorities",LOWER(TRIM('Deal maths'!K1024))),"")</f>
        <v/>
      </c>
      <c r="D3021" s="91">
        <f>IF(C3021="","",IF(COUNTIF($C$4:C3020,C3021)=0,SUMIF($C$4:$C$3997,C3021,$B$4:$B$3997)-ROW()/1000000,""))</f>
        <v/>
      </c>
      <c r="E3021" s="91">
        <f>IF(N('Deal maths'!M1024)&gt;0,ROW()/10000000,"")</f>
        <v/>
      </c>
    </row>
    <row r="3022">
      <c r="A3022" s="91" t="n"/>
      <c r="B3022" s="111">
        <f>MAX(0,N('Deal maths'!M1025))</f>
        <v/>
      </c>
      <c r="C3022" s="91">
        <f>IF(B3022&gt;0,IF('Deal maths'!L1025="Local authority","Local authorities",LOWER(TRIM('Deal maths'!K1025))),"")</f>
        <v/>
      </c>
      <c r="D3022" s="91">
        <f>IF(C3022="","",IF(COUNTIF($C$4:C3021,C3022)=0,SUMIF($C$4:$C$3997,C3022,$B$4:$B$3997)-ROW()/1000000,""))</f>
        <v/>
      </c>
      <c r="E3022" s="91">
        <f>IF(N('Deal maths'!M1025)&gt;0,ROW()/10000000,"")</f>
        <v/>
      </c>
    </row>
    <row r="3023">
      <c r="A3023" s="91" t="n"/>
      <c r="B3023" s="111">
        <f>MAX(0,N('Deal maths'!M1026))</f>
        <v/>
      </c>
      <c r="C3023" s="91">
        <f>IF(B3023&gt;0,IF('Deal maths'!L1026="Local authority","Local authorities",LOWER(TRIM('Deal maths'!K1026))),"")</f>
        <v/>
      </c>
      <c r="D3023" s="91">
        <f>IF(C3023="","",IF(COUNTIF($C$4:C3022,C3023)=0,SUMIF($C$4:$C$3997,C3023,$B$4:$B$3997)-ROW()/1000000,""))</f>
        <v/>
      </c>
      <c r="E3023" s="91">
        <f>IF(N('Deal maths'!M1026)&gt;0,ROW()/10000000,"")</f>
        <v/>
      </c>
    </row>
    <row r="3024">
      <c r="A3024" s="91" t="n"/>
      <c r="B3024" s="111">
        <f>MAX(0,N('Deal maths'!M1027))</f>
        <v/>
      </c>
      <c r="C3024" s="91">
        <f>IF(B3024&gt;0,IF('Deal maths'!L1027="Local authority","Local authorities",LOWER(TRIM('Deal maths'!K1027))),"")</f>
        <v/>
      </c>
      <c r="D3024" s="91">
        <f>IF(C3024="","",IF(COUNTIF($C$4:C3023,C3024)=0,SUMIF($C$4:$C$3997,C3024,$B$4:$B$3997)-ROW()/1000000,""))</f>
        <v/>
      </c>
      <c r="E3024" s="91">
        <f>IF(N('Deal maths'!M1027)&gt;0,ROW()/10000000,"")</f>
        <v/>
      </c>
    </row>
    <row r="3025">
      <c r="A3025" s="91" t="n"/>
      <c r="B3025" s="111">
        <f>MAX(0,N('Deal maths'!M1028))</f>
        <v/>
      </c>
      <c r="C3025" s="91">
        <f>IF(B3025&gt;0,IF('Deal maths'!L1028="Local authority","Local authorities",LOWER(TRIM('Deal maths'!K1028))),"")</f>
        <v/>
      </c>
      <c r="D3025" s="91">
        <f>IF(C3025="","",IF(COUNTIF($C$4:C3024,C3025)=0,SUMIF($C$4:$C$3997,C3025,$B$4:$B$3997)-ROW()/1000000,""))</f>
        <v/>
      </c>
      <c r="E3025" s="91">
        <f>IF(N('Deal maths'!M1028)&gt;0,ROW()/10000000,"")</f>
        <v/>
      </c>
    </row>
    <row r="3026">
      <c r="A3026" s="91" t="n"/>
      <c r="B3026" s="111">
        <f>MAX(0,N('Deal maths'!M1029))</f>
        <v/>
      </c>
      <c r="C3026" s="91">
        <f>IF(B3026&gt;0,IF('Deal maths'!L1029="Local authority","Local authorities",LOWER(TRIM('Deal maths'!K1029))),"")</f>
        <v/>
      </c>
      <c r="D3026" s="91">
        <f>IF(C3026="","",IF(COUNTIF($C$4:C3025,C3026)=0,SUMIF($C$4:$C$3997,C3026,$B$4:$B$3997)-ROW()/1000000,""))</f>
        <v/>
      </c>
      <c r="E3026" s="91">
        <f>IF(N('Deal maths'!M1029)&gt;0,ROW()/10000000,"")</f>
        <v/>
      </c>
    </row>
    <row r="3027">
      <c r="A3027" s="91" t="n"/>
      <c r="B3027" s="111">
        <f>MAX(0,N('Deal maths'!M1030))</f>
        <v/>
      </c>
      <c r="C3027" s="91">
        <f>IF(B3027&gt;0,IF('Deal maths'!L1030="Local authority","Local authorities",LOWER(TRIM('Deal maths'!K1030))),"")</f>
        <v/>
      </c>
      <c r="D3027" s="91">
        <f>IF(C3027="","",IF(COUNTIF($C$4:C3026,C3027)=0,SUMIF($C$4:$C$3997,C3027,$B$4:$B$3997)-ROW()/1000000,""))</f>
        <v/>
      </c>
      <c r="E3027" s="91">
        <f>IF(N('Deal maths'!M1030)&gt;0,ROW()/10000000,"")</f>
        <v/>
      </c>
    </row>
    <row r="3028">
      <c r="A3028" s="91" t="n"/>
      <c r="B3028" s="111">
        <f>MAX(0,N('Deal maths'!M1031))</f>
        <v/>
      </c>
      <c r="C3028" s="91">
        <f>IF(B3028&gt;0,IF('Deal maths'!L1031="Local authority","Local authorities",LOWER(TRIM('Deal maths'!K1031))),"")</f>
        <v/>
      </c>
      <c r="D3028" s="91">
        <f>IF(C3028="","",IF(COUNTIF($C$4:C3027,C3028)=0,SUMIF($C$4:$C$3997,C3028,$B$4:$B$3997)-ROW()/1000000,""))</f>
        <v/>
      </c>
      <c r="E3028" s="91">
        <f>IF(N('Deal maths'!M1031)&gt;0,ROW()/10000000,"")</f>
        <v/>
      </c>
    </row>
    <row r="3029">
      <c r="A3029" s="91" t="n"/>
      <c r="B3029" s="111">
        <f>MAX(0,N('Deal maths'!M1032))</f>
        <v/>
      </c>
      <c r="C3029" s="91">
        <f>IF(B3029&gt;0,IF('Deal maths'!L1032="Local authority","Local authorities",LOWER(TRIM('Deal maths'!K1032))),"")</f>
        <v/>
      </c>
      <c r="D3029" s="91">
        <f>IF(C3029="","",IF(COUNTIF($C$4:C3028,C3029)=0,SUMIF($C$4:$C$3997,C3029,$B$4:$B$3997)-ROW()/1000000,""))</f>
        <v/>
      </c>
      <c r="E3029" s="91">
        <f>IF(N('Deal maths'!M1032)&gt;0,ROW()/10000000,"")</f>
        <v/>
      </c>
    </row>
    <row r="3030">
      <c r="A3030" s="91" t="n"/>
      <c r="B3030" s="111">
        <f>MAX(0,N('Deal maths'!M1033))</f>
        <v/>
      </c>
      <c r="C3030" s="91">
        <f>IF(B3030&gt;0,IF('Deal maths'!L1033="Local authority","Local authorities",LOWER(TRIM('Deal maths'!K1033))),"")</f>
        <v/>
      </c>
      <c r="D3030" s="91">
        <f>IF(C3030="","",IF(COUNTIF($C$4:C3029,C3030)=0,SUMIF($C$4:$C$3997,C3030,$B$4:$B$3997)-ROW()/1000000,""))</f>
        <v/>
      </c>
      <c r="E3030" s="91">
        <f>IF(N('Deal maths'!M1033)&gt;0,ROW()/10000000,"")</f>
        <v/>
      </c>
    </row>
    <row r="3031">
      <c r="A3031" s="91" t="n"/>
      <c r="B3031" s="111">
        <f>MAX(0,N('Deal maths'!M1034))</f>
        <v/>
      </c>
      <c r="C3031" s="91">
        <f>IF(B3031&gt;0,IF('Deal maths'!L1034="Local authority","Local authorities",LOWER(TRIM('Deal maths'!K1034))),"")</f>
        <v/>
      </c>
      <c r="D3031" s="91">
        <f>IF(C3031="","",IF(COUNTIF($C$4:C3030,C3031)=0,SUMIF($C$4:$C$3997,C3031,$B$4:$B$3997)-ROW()/1000000,""))</f>
        <v/>
      </c>
      <c r="E3031" s="91">
        <f>IF(N('Deal maths'!M1034)&gt;0,ROW()/10000000,"")</f>
        <v/>
      </c>
    </row>
    <row r="3032">
      <c r="A3032" s="91" t="n"/>
      <c r="B3032" s="111">
        <f>MAX(0,N('Deal maths'!M1035))</f>
        <v/>
      </c>
      <c r="C3032" s="91">
        <f>IF(B3032&gt;0,IF('Deal maths'!L1035="Local authority","Local authorities",LOWER(TRIM('Deal maths'!K1035))),"")</f>
        <v/>
      </c>
      <c r="D3032" s="91">
        <f>IF(C3032="","",IF(COUNTIF($C$4:C3031,C3032)=0,SUMIF($C$4:$C$3997,C3032,$B$4:$B$3997)-ROW()/1000000,""))</f>
        <v/>
      </c>
      <c r="E3032" s="91">
        <f>IF(N('Deal maths'!M1035)&gt;0,ROW()/10000000,"")</f>
        <v/>
      </c>
    </row>
    <row r="3033">
      <c r="A3033" s="91" t="n"/>
      <c r="B3033" s="111">
        <f>MAX(0,N('Deal maths'!M1036))</f>
        <v/>
      </c>
      <c r="C3033" s="91">
        <f>IF(B3033&gt;0,IF('Deal maths'!L1036="Local authority","Local authorities",LOWER(TRIM('Deal maths'!K1036))),"")</f>
        <v/>
      </c>
      <c r="D3033" s="91">
        <f>IF(C3033="","",IF(COUNTIF($C$4:C3032,C3033)=0,SUMIF($C$4:$C$3997,C3033,$B$4:$B$3997)-ROW()/1000000,""))</f>
        <v/>
      </c>
      <c r="E3033" s="91">
        <f>IF(N('Deal maths'!M1036)&gt;0,ROW()/10000000,"")</f>
        <v/>
      </c>
    </row>
    <row r="3034">
      <c r="A3034" s="91" t="n"/>
      <c r="B3034" s="111">
        <f>MAX(0,N('Deal maths'!M1037))</f>
        <v/>
      </c>
      <c r="C3034" s="91">
        <f>IF(B3034&gt;0,IF('Deal maths'!L1037="Local authority","Local authorities",LOWER(TRIM('Deal maths'!K1037))),"")</f>
        <v/>
      </c>
      <c r="D3034" s="91">
        <f>IF(C3034="","",IF(COUNTIF($C$4:C3033,C3034)=0,SUMIF($C$4:$C$3997,C3034,$B$4:$B$3997)-ROW()/1000000,""))</f>
        <v/>
      </c>
      <c r="E3034" s="91">
        <f>IF(N('Deal maths'!M1037)&gt;0,ROW()/10000000,"")</f>
        <v/>
      </c>
    </row>
    <row r="3035">
      <c r="A3035" s="91" t="n"/>
      <c r="B3035" s="111">
        <f>MAX(0,N('Deal maths'!M1038))</f>
        <v/>
      </c>
      <c r="C3035" s="91">
        <f>IF(B3035&gt;0,IF('Deal maths'!L1038="Local authority","Local authorities",LOWER(TRIM('Deal maths'!K1038))),"")</f>
        <v/>
      </c>
      <c r="D3035" s="91">
        <f>IF(C3035="","",IF(COUNTIF($C$4:C3034,C3035)=0,SUMIF($C$4:$C$3997,C3035,$B$4:$B$3997)-ROW()/1000000,""))</f>
        <v/>
      </c>
      <c r="E3035" s="91">
        <f>IF(N('Deal maths'!M1038)&gt;0,ROW()/10000000,"")</f>
        <v/>
      </c>
    </row>
    <row r="3036">
      <c r="A3036" s="91" t="n"/>
      <c r="B3036" s="111">
        <f>MAX(0,N('Deal maths'!M1039))</f>
        <v/>
      </c>
      <c r="C3036" s="91">
        <f>IF(B3036&gt;0,IF('Deal maths'!L1039="Local authority","Local authorities",LOWER(TRIM('Deal maths'!K1039))),"")</f>
        <v/>
      </c>
      <c r="D3036" s="91">
        <f>IF(C3036="","",IF(COUNTIF($C$4:C3035,C3036)=0,SUMIF($C$4:$C$3997,C3036,$B$4:$B$3997)-ROW()/1000000,""))</f>
        <v/>
      </c>
      <c r="E3036" s="91">
        <f>IF(N('Deal maths'!M1039)&gt;0,ROW()/10000000,"")</f>
        <v/>
      </c>
    </row>
    <row r="3037">
      <c r="A3037" s="91" t="n"/>
      <c r="B3037" s="111">
        <f>MAX(0,N('Deal maths'!M1040))</f>
        <v/>
      </c>
      <c r="C3037" s="91">
        <f>IF(B3037&gt;0,IF('Deal maths'!L1040="Local authority","Local authorities",LOWER(TRIM('Deal maths'!K1040))),"")</f>
        <v/>
      </c>
      <c r="D3037" s="91">
        <f>IF(C3037="","",IF(COUNTIF($C$4:C3036,C3037)=0,SUMIF($C$4:$C$3997,C3037,$B$4:$B$3997)-ROW()/1000000,""))</f>
        <v/>
      </c>
      <c r="E3037" s="91">
        <f>IF(N('Deal maths'!M1040)&gt;0,ROW()/10000000,"")</f>
        <v/>
      </c>
    </row>
    <row r="3038">
      <c r="A3038" s="91" t="n"/>
      <c r="B3038" s="111">
        <f>MAX(0,N('Deal maths'!M1041))</f>
        <v/>
      </c>
      <c r="C3038" s="91">
        <f>IF(B3038&gt;0,IF('Deal maths'!L1041="Local authority","Local authorities",LOWER(TRIM('Deal maths'!K1041))),"")</f>
        <v/>
      </c>
      <c r="D3038" s="91">
        <f>IF(C3038="","",IF(COUNTIF($C$4:C3037,C3038)=0,SUMIF($C$4:$C$3997,C3038,$B$4:$B$3997)-ROW()/1000000,""))</f>
        <v/>
      </c>
      <c r="E3038" s="91">
        <f>IF(N('Deal maths'!M1041)&gt;0,ROW()/10000000,"")</f>
        <v/>
      </c>
    </row>
    <row r="3039">
      <c r="A3039" s="91" t="n"/>
      <c r="B3039" s="111">
        <f>MAX(0,N('Deal maths'!M1042))</f>
        <v/>
      </c>
      <c r="C3039" s="91">
        <f>IF(B3039&gt;0,IF('Deal maths'!L1042="Local authority","Local authorities",LOWER(TRIM('Deal maths'!K1042))),"")</f>
        <v/>
      </c>
      <c r="D3039" s="91">
        <f>IF(C3039="","",IF(COUNTIF($C$4:C3038,C3039)=0,SUMIF($C$4:$C$3997,C3039,$B$4:$B$3997)-ROW()/1000000,""))</f>
        <v/>
      </c>
      <c r="E3039" s="91">
        <f>IF(N('Deal maths'!M1042)&gt;0,ROW()/10000000,"")</f>
        <v/>
      </c>
    </row>
    <row r="3040">
      <c r="A3040" s="91" t="n"/>
      <c r="B3040" s="111">
        <f>MAX(0,N('Deal maths'!M1043))</f>
        <v/>
      </c>
      <c r="C3040" s="91">
        <f>IF(B3040&gt;0,IF('Deal maths'!L1043="Local authority","Local authorities",LOWER(TRIM('Deal maths'!K1043))),"")</f>
        <v/>
      </c>
      <c r="D3040" s="91">
        <f>IF(C3040="","",IF(COUNTIF($C$4:C3039,C3040)=0,SUMIF($C$4:$C$3997,C3040,$B$4:$B$3997)-ROW()/1000000,""))</f>
        <v/>
      </c>
      <c r="E3040" s="91">
        <f>IF(N('Deal maths'!M1043)&gt;0,ROW()/10000000,"")</f>
        <v/>
      </c>
    </row>
    <row r="3041">
      <c r="A3041" s="91" t="n"/>
      <c r="B3041" s="111">
        <f>MAX(0,N('Deal maths'!M1044))</f>
        <v/>
      </c>
      <c r="C3041" s="91">
        <f>IF(B3041&gt;0,IF('Deal maths'!L1044="Local authority","Local authorities",LOWER(TRIM('Deal maths'!K1044))),"")</f>
        <v/>
      </c>
      <c r="D3041" s="91">
        <f>IF(C3041="","",IF(COUNTIF($C$4:C3040,C3041)=0,SUMIF($C$4:$C$3997,C3041,$B$4:$B$3997)-ROW()/1000000,""))</f>
        <v/>
      </c>
      <c r="E3041" s="91">
        <f>IF(N('Deal maths'!M1044)&gt;0,ROW()/10000000,"")</f>
        <v/>
      </c>
    </row>
    <row r="3042">
      <c r="A3042" s="91" t="n"/>
      <c r="B3042" s="111">
        <f>MAX(0,N('Deal maths'!M1045))</f>
        <v/>
      </c>
      <c r="C3042" s="91">
        <f>IF(B3042&gt;0,IF('Deal maths'!L1045="Local authority","Local authorities",LOWER(TRIM('Deal maths'!K1045))),"")</f>
        <v/>
      </c>
      <c r="D3042" s="91">
        <f>IF(C3042="","",IF(COUNTIF($C$4:C3041,C3042)=0,SUMIF($C$4:$C$3997,C3042,$B$4:$B$3997)-ROW()/1000000,""))</f>
        <v/>
      </c>
      <c r="E3042" s="91">
        <f>IF(N('Deal maths'!M1045)&gt;0,ROW()/10000000,"")</f>
        <v/>
      </c>
    </row>
    <row r="3043">
      <c r="A3043" s="91" t="n"/>
      <c r="B3043" s="111">
        <f>MAX(0,N('Deal maths'!M1046))</f>
        <v/>
      </c>
      <c r="C3043" s="91">
        <f>IF(B3043&gt;0,IF('Deal maths'!L1046="Local authority","Local authorities",LOWER(TRIM('Deal maths'!K1046))),"")</f>
        <v/>
      </c>
      <c r="D3043" s="91">
        <f>IF(C3043="","",IF(COUNTIF($C$4:C3042,C3043)=0,SUMIF($C$4:$C$3997,C3043,$B$4:$B$3997)-ROW()/1000000,""))</f>
        <v/>
      </c>
      <c r="E3043" s="91">
        <f>IF(N('Deal maths'!M1046)&gt;0,ROW()/10000000,"")</f>
        <v/>
      </c>
    </row>
    <row r="3044">
      <c r="A3044" s="91" t="n"/>
      <c r="B3044" s="111">
        <f>MAX(0,N('Deal maths'!M1047))</f>
        <v/>
      </c>
      <c r="C3044" s="91">
        <f>IF(B3044&gt;0,IF('Deal maths'!L1047="Local authority","Local authorities",LOWER(TRIM('Deal maths'!K1047))),"")</f>
        <v/>
      </c>
      <c r="D3044" s="91">
        <f>IF(C3044="","",IF(COUNTIF($C$4:C3043,C3044)=0,SUMIF($C$4:$C$3997,C3044,$B$4:$B$3997)-ROW()/1000000,""))</f>
        <v/>
      </c>
      <c r="E3044" s="91">
        <f>IF(N('Deal maths'!M1047)&gt;0,ROW()/10000000,"")</f>
        <v/>
      </c>
    </row>
    <row r="3045">
      <c r="A3045" s="91" t="n"/>
      <c r="B3045" s="111">
        <f>MAX(0,N('Deal maths'!M1048))</f>
        <v/>
      </c>
      <c r="C3045" s="91">
        <f>IF(B3045&gt;0,IF('Deal maths'!L1048="Local authority","Local authorities",LOWER(TRIM('Deal maths'!K1048))),"")</f>
        <v/>
      </c>
      <c r="D3045" s="91">
        <f>IF(C3045="","",IF(COUNTIF($C$4:C3044,C3045)=0,SUMIF($C$4:$C$3997,C3045,$B$4:$B$3997)-ROW()/1000000,""))</f>
        <v/>
      </c>
      <c r="E3045" s="91">
        <f>IF(N('Deal maths'!M1048)&gt;0,ROW()/10000000,"")</f>
        <v/>
      </c>
    </row>
    <row r="3046">
      <c r="A3046" s="91" t="n"/>
      <c r="B3046" s="111">
        <f>MAX(0,N('Deal maths'!M1049))</f>
        <v/>
      </c>
      <c r="C3046" s="91">
        <f>IF(B3046&gt;0,IF('Deal maths'!L1049="Local authority","Local authorities",LOWER(TRIM('Deal maths'!K1049))),"")</f>
        <v/>
      </c>
      <c r="D3046" s="91">
        <f>IF(C3046="","",IF(COUNTIF($C$4:C3045,C3046)=0,SUMIF($C$4:$C$3997,C3046,$B$4:$B$3997)-ROW()/1000000,""))</f>
        <v/>
      </c>
      <c r="E3046" s="91">
        <f>IF(N('Deal maths'!M1049)&gt;0,ROW()/10000000,"")</f>
        <v/>
      </c>
    </row>
    <row r="3047">
      <c r="A3047" s="91" t="n"/>
      <c r="B3047" s="111">
        <f>MAX(0,N('Deal maths'!M1050))</f>
        <v/>
      </c>
      <c r="C3047" s="91">
        <f>IF(B3047&gt;0,IF('Deal maths'!L1050="Local authority","Local authorities",LOWER(TRIM('Deal maths'!K1050))),"")</f>
        <v/>
      </c>
      <c r="D3047" s="91">
        <f>IF(C3047="","",IF(COUNTIF($C$4:C3046,C3047)=0,SUMIF($C$4:$C$3997,C3047,$B$4:$B$3997)-ROW()/1000000,""))</f>
        <v/>
      </c>
      <c r="E3047" s="91">
        <f>IF(N('Deal maths'!M1050)&gt;0,ROW()/10000000,"")</f>
        <v/>
      </c>
    </row>
    <row r="3048">
      <c r="A3048" s="91" t="n"/>
      <c r="B3048" s="111">
        <f>MAX(0,N('Deal maths'!M1051))</f>
        <v/>
      </c>
      <c r="C3048" s="91">
        <f>IF(B3048&gt;0,IF('Deal maths'!L1051="Local authority","Local authorities",LOWER(TRIM('Deal maths'!K1051))),"")</f>
        <v/>
      </c>
      <c r="D3048" s="91">
        <f>IF(C3048="","",IF(COUNTIF($C$4:C3047,C3048)=0,SUMIF($C$4:$C$3997,C3048,$B$4:$B$3997)-ROW()/1000000,""))</f>
        <v/>
      </c>
      <c r="E3048" s="91">
        <f>IF(N('Deal maths'!M1051)&gt;0,ROW()/10000000,"")</f>
        <v/>
      </c>
    </row>
    <row r="3049">
      <c r="A3049" s="91" t="n"/>
      <c r="B3049" s="111">
        <f>MAX(0,N('Deal maths'!M1052))</f>
        <v/>
      </c>
      <c r="C3049" s="91">
        <f>IF(B3049&gt;0,IF('Deal maths'!L1052="Local authority","Local authorities",LOWER(TRIM('Deal maths'!K1052))),"")</f>
        <v/>
      </c>
      <c r="D3049" s="91">
        <f>IF(C3049="","",IF(COUNTIF($C$4:C3048,C3049)=0,SUMIF($C$4:$C$3997,C3049,$B$4:$B$3997)-ROW()/1000000,""))</f>
        <v/>
      </c>
      <c r="E3049" s="91">
        <f>IF(N('Deal maths'!M1052)&gt;0,ROW()/10000000,"")</f>
        <v/>
      </c>
    </row>
    <row r="3050">
      <c r="A3050" s="91" t="n"/>
      <c r="B3050" s="111">
        <f>MAX(0,N('Deal maths'!M1053))</f>
        <v/>
      </c>
      <c r="C3050" s="91">
        <f>IF(B3050&gt;0,IF('Deal maths'!L1053="Local authority","Local authorities",LOWER(TRIM('Deal maths'!K1053))),"")</f>
        <v/>
      </c>
      <c r="D3050" s="91">
        <f>IF(C3050="","",IF(COUNTIF($C$4:C3049,C3050)=0,SUMIF($C$4:$C$3997,C3050,$B$4:$B$3997)-ROW()/1000000,""))</f>
        <v/>
      </c>
      <c r="E3050" s="91">
        <f>IF(N('Deal maths'!M1053)&gt;0,ROW()/10000000,"")</f>
        <v/>
      </c>
    </row>
    <row r="3051">
      <c r="A3051" s="91" t="n"/>
      <c r="B3051" s="111">
        <f>MAX(0,N('Deal maths'!M1054))</f>
        <v/>
      </c>
      <c r="C3051" s="91">
        <f>IF(B3051&gt;0,IF('Deal maths'!L1054="Local authority","Local authorities",LOWER(TRIM('Deal maths'!K1054))),"")</f>
        <v/>
      </c>
      <c r="D3051" s="91">
        <f>IF(C3051="","",IF(COUNTIF($C$4:C3050,C3051)=0,SUMIF($C$4:$C$3997,C3051,$B$4:$B$3997)-ROW()/1000000,""))</f>
        <v/>
      </c>
      <c r="E3051" s="91">
        <f>IF(N('Deal maths'!M1054)&gt;0,ROW()/10000000,"")</f>
        <v/>
      </c>
    </row>
    <row r="3052">
      <c r="A3052" s="91" t="n"/>
      <c r="B3052" s="111">
        <f>MAX(0,N('Deal maths'!M1055))</f>
        <v/>
      </c>
      <c r="C3052" s="91">
        <f>IF(B3052&gt;0,IF('Deal maths'!L1055="Local authority","Local authorities",LOWER(TRIM('Deal maths'!K1055))),"")</f>
        <v/>
      </c>
      <c r="D3052" s="91">
        <f>IF(C3052="","",IF(COUNTIF($C$4:C3051,C3052)=0,SUMIF($C$4:$C$3997,C3052,$B$4:$B$3997)-ROW()/1000000,""))</f>
        <v/>
      </c>
      <c r="E3052" s="91">
        <f>IF(N('Deal maths'!M1055)&gt;0,ROW()/10000000,"")</f>
        <v/>
      </c>
    </row>
    <row r="3053">
      <c r="A3053" s="91" t="n"/>
      <c r="B3053" s="111">
        <f>MAX(0,N('Deal maths'!M1056))</f>
        <v/>
      </c>
      <c r="C3053" s="91">
        <f>IF(B3053&gt;0,IF('Deal maths'!L1056="Local authority","Local authorities",LOWER(TRIM('Deal maths'!K1056))),"")</f>
        <v/>
      </c>
      <c r="D3053" s="91">
        <f>IF(C3053="","",IF(COUNTIF($C$4:C3052,C3053)=0,SUMIF($C$4:$C$3997,C3053,$B$4:$B$3997)-ROW()/1000000,""))</f>
        <v/>
      </c>
      <c r="E3053" s="91">
        <f>IF(N('Deal maths'!M1056)&gt;0,ROW()/10000000,"")</f>
        <v/>
      </c>
    </row>
    <row r="3054">
      <c r="A3054" s="91" t="n"/>
      <c r="B3054" s="111">
        <f>MAX(0,N('Deal maths'!M1057))</f>
        <v/>
      </c>
      <c r="C3054" s="91">
        <f>IF(B3054&gt;0,IF('Deal maths'!L1057="Local authority","Local authorities",LOWER(TRIM('Deal maths'!K1057))),"")</f>
        <v/>
      </c>
      <c r="D3054" s="91">
        <f>IF(C3054="","",IF(COUNTIF($C$4:C3053,C3054)=0,SUMIF($C$4:$C$3997,C3054,$B$4:$B$3997)-ROW()/1000000,""))</f>
        <v/>
      </c>
      <c r="E3054" s="91">
        <f>IF(N('Deal maths'!M1057)&gt;0,ROW()/10000000,"")</f>
        <v/>
      </c>
    </row>
    <row r="3055">
      <c r="A3055" s="91" t="n"/>
      <c r="B3055" s="111">
        <f>MAX(0,N('Deal maths'!M1058))</f>
        <v/>
      </c>
      <c r="C3055" s="91">
        <f>IF(B3055&gt;0,IF('Deal maths'!L1058="Local authority","Local authorities",LOWER(TRIM('Deal maths'!K1058))),"")</f>
        <v/>
      </c>
      <c r="D3055" s="91">
        <f>IF(C3055="","",IF(COUNTIF($C$4:C3054,C3055)=0,SUMIF($C$4:$C$3997,C3055,$B$4:$B$3997)-ROW()/1000000,""))</f>
        <v/>
      </c>
      <c r="E3055" s="91">
        <f>IF(N('Deal maths'!M1058)&gt;0,ROW()/10000000,"")</f>
        <v/>
      </c>
    </row>
    <row r="3056">
      <c r="A3056" s="91" t="n"/>
      <c r="B3056" s="111">
        <f>MAX(0,N('Deal maths'!M1059))</f>
        <v/>
      </c>
      <c r="C3056" s="91">
        <f>IF(B3056&gt;0,IF('Deal maths'!L1059="Local authority","Local authorities",LOWER(TRIM('Deal maths'!K1059))),"")</f>
        <v/>
      </c>
      <c r="D3056" s="91">
        <f>IF(C3056="","",IF(COUNTIF($C$4:C3055,C3056)=0,SUMIF($C$4:$C$3997,C3056,$B$4:$B$3997)-ROW()/1000000,""))</f>
        <v/>
      </c>
      <c r="E3056" s="91">
        <f>IF(N('Deal maths'!M1059)&gt;0,ROW()/10000000,"")</f>
        <v/>
      </c>
    </row>
    <row r="3057">
      <c r="A3057" s="91" t="n"/>
      <c r="B3057" s="111">
        <f>MAX(0,N('Deal maths'!M1060))</f>
        <v/>
      </c>
      <c r="C3057" s="91">
        <f>IF(B3057&gt;0,IF('Deal maths'!L1060="Local authority","Local authorities",LOWER(TRIM('Deal maths'!K1060))),"")</f>
        <v/>
      </c>
      <c r="D3057" s="91">
        <f>IF(C3057="","",IF(COUNTIF($C$4:C3056,C3057)=0,SUMIF($C$4:$C$3997,C3057,$B$4:$B$3997)-ROW()/1000000,""))</f>
        <v/>
      </c>
      <c r="E3057" s="91">
        <f>IF(N('Deal maths'!M1060)&gt;0,ROW()/10000000,"")</f>
        <v/>
      </c>
    </row>
    <row r="3058">
      <c r="A3058" s="91" t="n"/>
      <c r="B3058" s="111">
        <f>MAX(0,N('Deal maths'!M1061))</f>
        <v/>
      </c>
      <c r="C3058" s="91">
        <f>IF(B3058&gt;0,IF('Deal maths'!L1061="Local authority","Local authorities",LOWER(TRIM('Deal maths'!K1061))),"")</f>
        <v/>
      </c>
      <c r="D3058" s="91">
        <f>IF(C3058="","",IF(COUNTIF($C$4:C3057,C3058)=0,SUMIF($C$4:$C$3997,C3058,$B$4:$B$3997)-ROW()/1000000,""))</f>
        <v/>
      </c>
      <c r="E3058" s="91">
        <f>IF(N('Deal maths'!M1061)&gt;0,ROW()/10000000,"")</f>
        <v/>
      </c>
    </row>
    <row r="3059">
      <c r="A3059" s="91" t="n"/>
      <c r="B3059" s="111">
        <f>MAX(0,N('Deal maths'!M1062))</f>
        <v/>
      </c>
      <c r="C3059" s="91">
        <f>IF(B3059&gt;0,IF('Deal maths'!L1062="Local authority","Local authorities",LOWER(TRIM('Deal maths'!K1062))),"")</f>
        <v/>
      </c>
      <c r="D3059" s="91">
        <f>IF(C3059="","",IF(COUNTIF($C$4:C3058,C3059)=0,SUMIF($C$4:$C$3997,C3059,$B$4:$B$3997)-ROW()/1000000,""))</f>
        <v/>
      </c>
      <c r="E3059" s="91">
        <f>IF(N('Deal maths'!M1062)&gt;0,ROW()/10000000,"")</f>
        <v/>
      </c>
    </row>
    <row r="3060">
      <c r="A3060" s="91" t="n"/>
      <c r="B3060" s="111">
        <f>MAX(0,N('Deal maths'!M1063))</f>
        <v/>
      </c>
      <c r="C3060" s="91">
        <f>IF(B3060&gt;0,IF('Deal maths'!L1063="Local authority","Local authorities",LOWER(TRIM('Deal maths'!K1063))),"")</f>
        <v/>
      </c>
      <c r="D3060" s="91">
        <f>IF(C3060="","",IF(COUNTIF($C$4:C3059,C3060)=0,SUMIF($C$4:$C$3997,C3060,$B$4:$B$3997)-ROW()/1000000,""))</f>
        <v/>
      </c>
      <c r="E3060" s="91">
        <f>IF(N('Deal maths'!M1063)&gt;0,ROW()/10000000,"")</f>
        <v/>
      </c>
    </row>
    <row r="3061">
      <c r="A3061" s="91" t="n"/>
      <c r="B3061" s="111">
        <f>MAX(0,N('Deal maths'!M1064))</f>
        <v/>
      </c>
      <c r="C3061" s="91">
        <f>IF(B3061&gt;0,IF('Deal maths'!L1064="Local authority","Local authorities",LOWER(TRIM('Deal maths'!K1064))),"")</f>
        <v/>
      </c>
      <c r="D3061" s="91">
        <f>IF(C3061="","",IF(COUNTIF($C$4:C3060,C3061)=0,SUMIF($C$4:$C$3997,C3061,$B$4:$B$3997)-ROW()/1000000,""))</f>
        <v/>
      </c>
      <c r="E3061" s="91">
        <f>IF(N('Deal maths'!M1064)&gt;0,ROW()/10000000,"")</f>
        <v/>
      </c>
    </row>
    <row r="3062">
      <c r="A3062" s="91" t="n"/>
      <c r="B3062" s="111">
        <f>MAX(0,N('Deal maths'!M1065))</f>
        <v/>
      </c>
      <c r="C3062" s="91">
        <f>IF(B3062&gt;0,IF('Deal maths'!L1065="Local authority","Local authorities",LOWER(TRIM('Deal maths'!K1065))),"")</f>
        <v/>
      </c>
      <c r="D3062" s="91">
        <f>IF(C3062="","",IF(COUNTIF($C$4:C3061,C3062)=0,SUMIF($C$4:$C$3997,C3062,$B$4:$B$3997)-ROW()/1000000,""))</f>
        <v/>
      </c>
      <c r="E3062" s="91">
        <f>IF(N('Deal maths'!M1065)&gt;0,ROW()/10000000,"")</f>
        <v/>
      </c>
    </row>
    <row r="3063">
      <c r="A3063" s="91" t="n"/>
      <c r="B3063" s="111">
        <f>MAX(0,N('Deal maths'!M1066))</f>
        <v/>
      </c>
      <c r="C3063" s="91">
        <f>IF(B3063&gt;0,IF('Deal maths'!L1066="Local authority","Local authorities",LOWER(TRIM('Deal maths'!K1066))),"")</f>
        <v/>
      </c>
      <c r="D3063" s="91">
        <f>IF(C3063="","",IF(COUNTIF($C$4:C3062,C3063)=0,SUMIF($C$4:$C$3997,C3063,$B$4:$B$3997)-ROW()/1000000,""))</f>
        <v/>
      </c>
      <c r="E3063" s="91">
        <f>IF(N('Deal maths'!M1066)&gt;0,ROW()/10000000,"")</f>
        <v/>
      </c>
    </row>
    <row r="3064">
      <c r="A3064" s="91" t="n"/>
      <c r="B3064" s="111">
        <f>MAX(0,N('Deal maths'!M1067))</f>
        <v/>
      </c>
      <c r="C3064" s="91">
        <f>IF(B3064&gt;0,IF('Deal maths'!L1067="Local authority","Local authorities",LOWER(TRIM('Deal maths'!K1067))),"")</f>
        <v/>
      </c>
      <c r="D3064" s="91">
        <f>IF(C3064="","",IF(COUNTIF($C$4:C3063,C3064)=0,SUMIF($C$4:$C$3997,C3064,$B$4:$B$3997)-ROW()/1000000,""))</f>
        <v/>
      </c>
      <c r="E3064" s="91">
        <f>IF(N('Deal maths'!M1067)&gt;0,ROW()/10000000,"")</f>
        <v/>
      </c>
    </row>
    <row r="3065">
      <c r="A3065" s="91" t="n"/>
      <c r="B3065" s="111">
        <f>MAX(0,N('Deal maths'!M1068))</f>
        <v/>
      </c>
      <c r="C3065" s="91">
        <f>IF(B3065&gt;0,IF('Deal maths'!L1068="Local authority","Local authorities",LOWER(TRIM('Deal maths'!K1068))),"")</f>
        <v/>
      </c>
      <c r="D3065" s="91">
        <f>IF(C3065="","",IF(COUNTIF($C$4:C3064,C3065)=0,SUMIF($C$4:$C$3997,C3065,$B$4:$B$3997)-ROW()/1000000,""))</f>
        <v/>
      </c>
      <c r="E3065" s="91">
        <f>IF(N('Deal maths'!M1068)&gt;0,ROW()/10000000,"")</f>
        <v/>
      </c>
    </row>
    <row r="3066">
      <c r="A3066" s="91" t="n"/>
      <c r="B3066" s="111">
        <f>MAX(0,N('Deal maths'!M1069))</f>
        <v/>
      </c>
      <c r="C3066" s="91">
        <f>IF(B3066&gt;0,IF('Deal maths'!L1069="Local authority","Local authorities",LOWER(TRIM('Deal maths'!K1069))),"")</f>
        <v/>
      </c>
      <c r="D3066" s="91">
        <f>IF(C3066="","",IF(COUNTIF($C$4:C3065,C3066)=0,SUMIF($C$4:$C$3997,C3066,$B$4:$B$3997)-ROW()/1000000,""))</f>
        <v/>
      </c>
      <c r="E3066" s="91">
        <f>IF(N('Deal maths'!M1069)&gt;0,ROW()/10000000,"")</f>
        <v/>
      </c>
    </row>
    <row r="3067">
      <c r="A3067" s="91" t="n"/>
      <c r="B3067" s="111">
        <f>MAX(0,N('Deal maths'!M1070))</f>
        <v/>
      </c>
      <c r="C3067" s="91">
        <f>IF(B3067&gt;0,IF('Deal maths'!L1070="Local authority","Local authorities",LOWER(TRIM('Deal maths'!K1070))),"")</f>
        <v/>
      </c>
      <c r="D3067" s="91">
        <f>IF(C3067="","",IF(COUNTIF($C$4:C3066,C3067)=0,SUMIF($C$4:$C$3997,C3067,$B$4:$B$3997)-ROW()/1000000,""))</f>
        <v/>
      </c>
      <c r="E3067" s="91">
        <f>IF(N('Deal maths'!M1070)&gt;0,ROW()/10000000,"")</f>
        <v/>
      </c>
    </row>
    <row r="3068">
      <c r="A3068" s="91" t="n"/>
      <c r="B3068" s="111">
        <f>MAX(0,N('Deal maths'!M1071))</f>
        <v/>
      </c>
      <c r="C3068" s="91">
        <f>IF(B3068&gt;0,IF('Deal maths'!L1071="Local authority","Local authorities",LOWER(TRIM('Deal maths'!K1071))),"")</f>
        <v/>
      </c>
      <c r="D3068" s="91">
        <f>IF(C3068="","",IF(COUNTIF($C$4:C3067,C3068)=0,SUMIF($C$4:$C$3997,C3068,$B$4:$B$3997)-ROW()/1000000,""))</f>
        <v/>
      </c>
      <c r="E3068" s="91">
        <f>IF(N('Deal maths'!M1071)&gt;0,ROW()/10000000,"")</f>
        <v/>
      </c>
    </row>
    <row r="3069">
      <c r="A3069" s="91" t="n"/>
      <c r="B3069" s="111">
        <f>MAX(0,N('Deal maths'!M1072))</f>
        <v/>
      </c>
      <c r="C3069" s="91">
        <f>IF(B3069&gt;0,IF('Deal maths'!L1072="Local authority","Local authorities",LOWER(TRIM('Deal maths'!K1072))),"")</f>
        <v/>
      </c>
      <c r="D3069" s="91">
        <f>IF(C3069="","",IF(COUNTIF($C$4:C3068,C3069)=0,SUMIF($C$4:$C$3997,C3069,$B$4:$B$3997)-ROW()/1000000,""))</f>
        <v/>
      </c>
      <c r="E3069" s="91">
        <f>IF(N('Deal maths'!M1072)&gt;0,ROW()/10000000,"")</f>
        <v/>
      </c>
    </row>
    <row r="3070">
      <c r="A3070" s="91" t="n"/>
      <c r="B3070" s="111">
        <f>MAX(0,N('Deal maths'!M1073))</f>
        <v/>
      </c>
      <c r="C3070" s="91">
        <f>IF(B3070&gt;0,IF('Deal maths'!L1073="Local authority","Local authorities",LOWER(TRIM('Deal maths'!K1073))),"")</f>
        <v/>
      </c>
      <c r="D3070" s="91">
        <f>IF(C3070="","",IF(COUNTIF($C$4:C3069,C3070)=0,SUMIF($C$4:$C$3997,C3070,$B$4:$B$3997)-ROW()/1000000,""))</f>
        <v/>
      </c>
      <c r="E3070" s="91">
        <f>IF(N('Deal maths'!M1073)&gt;0,ROW()/10000000,"")</f>
        <v/>
      </c>
    </row>
    <row r="3071">
      <c r="A3071" s="91" t="n"/>
      <c r="B3071" s="111">
        <f>MAX(0,N('Deal maths'!M1074))</f>
        <v/>
      </c>
      <c r="C3071" s="91">
        <f>IF(B3071&gt;0,IF('Deal maths'!L1074="Local authority","Local authorities",LOWER(TRIM('Deal maths'!K1074))),"")</f>
        <v/>
      </c>
      <c r="D3071" s="91">
        <f>IF(C3071="","",IF(COUNTIF($C$4:C3070,C3071)=0,SUMIF($C$4:$C$3997,C3071,$B$4:$B$3997)-ROW()/1000000,""))</f>
        <v/>
      </c>
      <c r="E3071" s="91">
        <f>IF(N('Deal maths'!M1074)&gt;0,ROW()/10000000,"")</f>
        <v/>
      </c>
    </row>
    <row r="3072">
      <c r="A3072" s="91" t="n"/>
      <c r="B3072" s="111">
        <f>MAX(0,N('Deal maths'!M1075))</f>
        <v/>
      </c>
      <c r="C3072" s="91">
        <f>IF(B3072&gt;0,IF('Deal maths'!L1075="Local authority","Local authorities",LOWER(TRIM('Deal maths'!K1075))),"")</f>
        <v/>
      </c>
      <c r="D3072" s="91">
        <f>IF(C3072="","",IF(COUNTIF($C$4:C3071,C3072)=0,SUMIF($C$4:$C$3997,C3072,$B$4:$B$3997)-ROW()/1000000,""))</f>
        <v/>
      </c>
      <c r="E3072" s="91">
        <f>IF(N('Deal maths'!M1075)&gt;0,ROW()/10000000,"")</f>
        <v/>
      </c>
    </row>
    <row r="3073">
      <c r="A3073" s="91" t="n"/>
      <c r="B3073" s="111">
        <f>MAX(0,N('Deal maths'!M1076))</f>
        <v/>
      </c>
      <c r="C3073" s="91">
        <f>IF(B3073&gt;0,IF('Deal maths'!L1076="Local authority","Local authorities",LOWER(TRIM('Deal maths'!K1076))),"")</f>
        <v/>
      </c>
      <c r="D3073" s="91">
        <f>IF(C3073="","",IF(COUNTIF($C$4:C3072,C3073)=0,SUMIF($C$4:$C$3997,C3073,$B$4:$B$3997)-ROW()/1000000,""))</f>
        <v/>
      </c>
      <c r="E3073" s="91">
        <f>IF(N('Deal maths'!M1076)&gt;0,ROW()/10000000,"")</f>
        <v/>
      </c>
    </row>
    <row r="3074">
      <c r="A3074" s="91" t="n"/>
      <c r="B3074" s="111">
        <f>MAX(0,N('Deal maths'!M1077))</f>
        <v/>
      </c>
      <c r="C3074" s="91">
        <f>IF(B3074&gt;0,IF('Deal maths'!L1077="Local authority","Local authorities",LOWER(TRIM('Deal maths'!K1077))),"")</f>
        <v/>
      </c>
      <c r="D3074" s="91">
        <f>IF(C3074="","",IF(COUNTIF($C$4:C3073,C3074)=0,SUMIF($C$4:$C$3997,C3074,$B$4:$B$3997)-ROW()/1000000,""))</f>
        <v/>
      </c>
      <c r="E3074" s="91">
        <f>IF(N('Deal maths'!M1077)&gt;0,ROW()/10000000,"")</f>
        <v/>
      </c>
    </row>
    <row r="3075">
      <c r="A3075" s="91" t="n"/>
      <c r="B3075" s="111">
        <f>MAX(0,N('Deal maths'!M1078))</f>
        <v/>
      </c>
      <c r="C3075" s="91">
        <f>IF(B3075&gt;0,IF('Deal maths'!L1078="Local authority","Local authorities",LOWER(TRIM('Deal maths'!K1078))),"")</f>
        <v/>
      </c>
      <c r="D3075" s="91">
        <f>IF(C3075="","",IF(COUNTIF($C$4:C3074,C3075)=0,SUMIF($C$4:$C$3997,C3075,$B$4:$B$3997)-ROW()/1000000,""))</f>
        <v/>
      </c>
      <c r="E3075" s="91">
        <f>IF(N('Deal maths'!M1078)&gt;0,ROW()/10000000,"")</f>
        <v/>
      </c>
    </row>
    <row r="3076">
      <c r="A3076" s="91" t="n"/>
      <c r="B3076" s="111">
        <f>MAX(0,N('Deal maths'!M1079))</f>
        <v/>
      </c>
      <c r="C3076" s="91">
        <f>IF(B3076&gt;0,IF('Deal maths'!L1079="Local authority","Local authorities",LOWER(TRIM('Deal maths'!K1079))),"")</f>
        <v/>
      </c>
      <c r="D3076" s="91">
        <f>IF(C3076="","",IF(COUNTIF($C$4:C3075,C3076)=0,SUMIF($C$4:$C$3997,C3076,$B$4:$B$3997)-ROW()/1000000,""))</f>
        <v/>
      </c>
      <c r="E3076" s="91">
        <f>IF(N('Deal maths'!M1079)&gt;0,ROW()/10000000,"")</f>
        <v/>
      </c>
    </row>
    <row r="3077">
      <c r="A3077" s="91" t="n"/>
      <c r="B3077" s="111">
        <f>MAX(0,N('Deal maths'!M1080))</f>
        <v/>
      </c>
      <c r="C3077" s="91">
        <f>IF(B3077&gt;0,IF('Deal maths'!L1080="Local authority","Local authorities",LOWER(TRIM('Deal maths'!K1080))),"")</f>
        <v/>
      </c>
      <c r="D3077" s="91">
        <f>IF(C3077="","",IF(COUNTIF($C$4:C3076,C3077)=0,SUMIF($C$4:$C$3997,C3077,$B$4:$B$3997)-ROW()/1000000,""))</f>
        <v/>
      </c>
      <c r="E3077" s="91">
        <f>IF(N('Deal maths'!M1080)&gt;0,ROW()/10000000,"")</f>
        <v/>
      </c>
    </row>
    <row r="3078">
      <c r="A3078" s="91" t="n"/>
      <c r="B3078" s="111">
        <f>MAX(0,N('Deal maths'!M1081))</f>
        <v/>
      </c>
      <c r="C3078" s="91">
        <f>IF(B3078&gt;0,IF('Deal maths'!L1081="Local authority","Local authorities",LOWER(TRIM('Deal maths'!K1081))),"")</f>
        <v/>
      </c>
      <c r="D3078" s="91">
        <f>IF(C3078="","",IF(COUNTIF($C$4:C3077,C3078)=0,SUMIF($C$4:$C$3997,C3078,$B$4:$B$3997)-ROW()/1000000,""))</f>
        <v/>
      </c>
      <c r="E3078" s="91">
        <f>IF(N('Deal maths'!M1081)&gt;0,ROW()/10000000,"")</f>
        <v/>
      </c>
    </row>
    <row r="3079">
      <c r="A3079" s="91" t="n"/>
      <c r="B3079" s="111">
        <f>MAX(0,N('Deal maths'!M1082))</f>
        <v/>
      </c>
      <c r="C3079" s="91">
        <f>IF(B3079&gt;0,IF('Deal maths'!L1082="Local authority","Local authorities",LOWER(TRIM('Deal maths'!K1082))),"")</f>
        <v/>
      </c>
      <c r="D3079" s="91">
        <f>IF(C3079="","",IF(COUNTIF($C$4:C3078,C3079)=0,SUMIF($C$4:$C$3997,C3079,$B$4:$B$3997)-ROW()/1000000,""))</f>
        <v/>
      </c>
      <c r="E3079" s="91">
        <f>IF(N('Deal maths'!M1082)&gt;0,ROW()/10000000,"")</f>
        <v/>
      </c>
    </row>
    <row r="3080">
      <c r="A3080" s="91" t="n"/>
      <c r="B3080" s="111">
        <f>MAX(0,N('Deal maths'!M1083))</f>
        <v/>
      </c>
      <c r="C3080" s="91">
        <f>IF(B3080&gt;0,IF('Deal maths'!L1083="Local authority","Local authorities",LOWER(TRIM('Deal maths'!K1083))),"")</f>
        <v/>
      </c>
      <c r="D3080" s="91">
        <f>IF(C3080="","",IF(COUNTIF($C$4:C3079,C3080)=0,SUMIF($C$4:$C$3997,C3080,$B$4:$B$3997)-ROW()/1000000,""))</f>
        <v/>
      </c>
      <c r="E3080" s="91">
        <f>IF(N('Deal maths'!M1083)&gt;0,ROW()/10000000,"")</f>
        <v/>
      </c>
    </row>
    <row r="3081">
      <c r="A3081" s="91" t="n"/>
      <c r="B3081" s="111">
        <f>MAX(0,N('Deal maths'!M1084))</f>
        <v/>
      </c>
      <c r="C3081" s="91">
        <f>IF(B3081&gt;0,IF('Deal maths'!L1084="Local authority","Local authorities",LOWER(TRIM('Deal maths'!K1084))),"")</f>
        <v/>
      </c>
      <c r="D3081" s="91">
        <f>IF(C3081="","",IF(COUNTIF($C$4:C3080,C3081)=0,SUMIF($C$4:$C$3997,C3081,$B$4:$B$3997)-ROW()/1000000,""))</f>
        <v/>
      </c>
      <c r="E3081" s="91">
        <f>IF(N('Deal maths'!M1084)&gt;0,ROW()/10000000,"")</f>
        <v/>
      </c>
    </row>
    <row r="3082">
      <c r="A3082" s="91" t="n"/>
      <c r="B3082" s="111">
        <f>MAX(0,N('Deal maths'!M1085))</f>
        <v/>
      </c>
      <c r="C3082" s="91">
        <f>IF(B3082&gt;0,IF('Deal maths'!L1085="Local authority","Local authorities",LOWER(TRIM('Deal maths'!K1085))),"")</f>
        <v/>
      </c>
      <c r="D3082" s="91">
        <f>IF(C3082="","",IF(COUNTIF($C$4:C3081,C3082)=0,SUMIF($C$4:$C$3997,C3082,$B$4:$B$3997)-ROW()/1000000,""))</f>
        <v/>
      </c>
      <c r="E3082" s="91">
        <f>IF(N('Deal maths'!M1085)&gt;0,ROW()/10000000,"")</f>
        <v/>
      </c>
    </row>
    <row r="3083">
      <c r="A3083" s="91" t="n"/>
      <c r="B3083" s="111">
        <f>MAX(0,N('Deal maths'!M1086))</f>
        <v/>
      </c>
      <c r="C3083" s="91">
        <f>IF(B3083&gt;0,IF('Deal maths'!L1086="Local authority","Local authorities",LOWER(TRIM('Deal maths'!K1086))),"")</f>
        <v/>
      </c>
      <c r="D3083" s="91">
        <f>IF(C3083="","",IF(COUNTIF($C$4:C3082,C3083)=0,SUMIF($C$4:$C$3997,C3083,$B$4:$B$3997)-ROW()/1000000,""))</f>
        <v/>
      </c>
      <c r="E3083" s="91">
        <f>IF(N('Deal maths'!M1086)&gt;0,ROW()/10000000,"")</f>
        <v/>
      </c>
    </row>
    <row r="3084">
      <c r="A3084" s="91" t="n"/>
      <c r="B3084" s="111">
        <f>MAX(0,N('Deal maths'!M1087))</f>
        <v/>
      </c>
      <c r="C3084" s="91">
        <f>IF(B3084&gt;0,IF('Deal maths'!L1087="Local authority","Local authorities",LOWER(TRIM('Deal maths'!K1087))),"")</f>
        <v/>
      </c>
      <c r="D3084" s="91">
        <f>IF(C3084="","",IF(COUNTIF($C$4:C3083,C3084)=0,SUMIF($C$4:$C$3997,C3084,$B$4:$B$3997)-ROW()/1000000,""))</f>
        <v/>
      </c>
      <c r="E3084" s="91">
        <f>IF(N('Deal maths'!M1087)&gt;0,ROW()/10000000,"")</f>
        <v/>
      </c>
    </row>
    <row r="3085">
      <c r="A3085" s="91" t="n"/>
      <c r="B3085" s="111">
        <f>MAX(0,N('Deal maths'!M1088))</f>
        <v/>
      </c>
      <c r="C3085" s="91">
        <f>IF(B3085&gt;0,IF('Deal maths'!L1088="Local authority","Local authorities",LOWER(TRIM('Deal maths'!K1088))),"")</f>
        <v/>
      </c>
      <c r="D3085" s="91">
        <f>IF(C3085="","",IF(COUNTIF($C$4:C3084,C3085)=0,SUMIF($C$4:$C$3997,C3085,$B$4:$B$3997)-ROW()/1000000,""))</f>
        <v/>
      </c>
      <c r="E3085" s="91">
        <f>IF(N('Deal maths'!M1088)&gt;0,ROW()/10000000,"")</f>
        <v/>
      </c>
    </row>
    <row r="3086">
      <c r="A3086" s="91" t="n"/>
      <c r="B3086" s="111">
        <f>MAX(0,N('Deal maths'!M1089))</f>
        <v/>
      </c>
      <c r="C3086" s="91">
        <f>IF(B3086&gt;0,IF('Deal maths'!L1089="Local authority","Local authorities",LOWER(TRIM('Deal maths'!K1089))),"")</f>
        <v/>
      </c>
      <c r="D3086" s="91">
        <f>IF(C3086="","",IF(COUNTIF($C$4:C3085,C3086)=0,SUMIF($C$4:$C$3997,C3086,$B$4:$B$3997)-ROW()/1000000,""))</f>
        <v/>
      </c>
      <c r="E3086" s="91">
        <f>IF(N('Deal maths'!M1089)&gt;0,ROW()/10000000,"")</f>
        <v/>
      </c>
    </row>
    <row r="3087">
      <c r="A3087" s="91" t="n"/>
      <c r="B3087" s="111">
        <f>MAX(0,N('Deal maths'!M1090))</f>
        <v/>
      </c>
      <c r="C3087" s="91">
        <f>IF(B3087&gt;0,IF('Deal maths'!L1090="Local authority","Local authorities",LOWER(TRIM('Deal maths'!K1090))),"")</f>
        <v/>
      </c>
      <c r="D3087" s="91">
        <f>IF(C3087="","",IF(COUNTIF($C$4:C3086,C3087)=0,SUMIF($C$4:$C$3997,C3087,$B$4:$B$3997)-ROW()/1000000,""))</f>
        <v/>
      </c>
      <c r="E3087" s="91">
        <f>IF(N('Deal maths'!M1090)&gt;0,ROW()/10000000,"")</f>
        <v/>
      </c>
    </row>
    <row r="3088">
      <c r="A3088" s="91" t="n"/>
      <c r="B3088" s="111">
        <f>MAX(0,N('Deal maths'!M1091))</f>
        <v/>
      </c>
      <c r="C3088" s="91">
        <f>IF(B3088&gt;0,IF('Deal maths'!L1091="Local authority","Local authorities",LOWER(TRIM('Deal maths'!K1091))),"")</f>
        <v/>
      </c>
      <c r="D3088" s="91">
        <f>IF(C3088="","",IF(COUNTIF($C$4:C3087,C3088)=0,SUMIF($C$4:$C$3997,C3088,$B$4:$B$3997)-ROW()/1000000,""))</f>
        <v/>
      </c>
      <c r="E3088" s="91">
        <f>IF(N('Deal maths'!M1091)&gt;0,ROW()/10000000,"")</f>
        <v/>
      </c>
    </row>
    <row r="3089">
      <c r="A3089" s="91" t="n"/>
      <c r="B3089" s="111">
        <f>MAX(0,N('Deal maths'!M1092))</f>
        <v/>
      </c>
      <c r="C3089" s="91">
        <f>IF(B3089&gt;0,IF('Deal maths'!L1092="Local authority","Local authorities",LOWER(TRIM('Deal maths'!K1092))),"")</f>
        <v/>
      </c>
      <c r="D3089" s="91">
        <f>IF(C3089="","",IF(COUNTIF($C$4:C3088,C3089)=0,SUMIF($C$4:$C$3997,C3089,$B$4:$B$3997)-ROW()/1000000,""))</f>
        <v/>
      </c>
      <c r="E3089" s="91">
        <f>IF(N('Deal maths'!M1092)&gt;0,ROW()/10000000,"")</f>
        <v/>
      </c>
    </row>
    <row r="3090">
      <c r="A3090" s="91" t="n"/>
      <c r="B3090" s="111">
        <f>MAX(0,N('Deal maths'!M1093))</f>
        <v/>
      </c>
      <c r="C3090" s="91">
        <f>IF(B3090&gt;0,IF('Deal maths'!L1093="Local authority","Local authorities",LOWER(TRIM('Deal maths'!K1093))),"")</f>
        <v/>
      </c>
      <c r="D3090" s="91">
        <f>IF(C3090="","",IF(COUNTIF($C$4:C3089,C3090)=0,SUMIF($C$4:$C$3997,C3090,$B$4:$B$3997)-ROW()/1000000,""))</f>
        <v/>
      </c>
      <c r="E3090" s="91">
        <f>IF(N('Deal maths'!M1093)&gt;0,ROW()/10000000,"")</f>
        <v/>
      </c>
    </row>
    <row r="3091">
      <c r="A3091" s="91" t="n"/>
      <c r="B3091" s="111">
        <f>MAX(0,N('Deal maths'!M1094))</f>
        <v/>
      </c>
      <c r="C3091" s="91">
        <f>IF(B3091&gt;0,IF('Deal maths'!L1094="Local authority","Local authorities",LOWER(TRIM('Deal maths'!K1094))),"")</f>
        <v/>
      </c>
      <c r="D3091" s="91">
        <f>IF(C3091="","",IF(COUNTIF($C$4:C3090,C3091)=0,SUMIF($C$4:$C$3997,C3091,$B$4:$B$3997)-ROW()/1000000,""))</f>
        <v/>
      </c>
      <c r="E3091" s="91">
        <f>IF(N('Deal maths'!M1094)&gt;0,ROW()/10000000,"")</f>
        <v/>
      </c>
    </row>
    <row r="3092">
      <c r="A3092" s="91" t="n"/>
      <c r="B3092" s="111">
        <f>MAX(0,N('Deal maths'!M1095))</f>
        <v/>
      </c>
      <c r="C3092" s="91">
        <f>IF(B3092&gt;0,IF('Deal maths'!L1095="Local authority","Local authorities",LOWER(TRIM('Deal maths'!K1095))),"")</f>
        <v/>
      </c>
      <c r="D3092" s="91">
        <f>IF(C3092="","",IF(COUNTIF($C$4:C3091,C3092)=0,SUMIF($C$4:$C$3997,C3092,$B$4:$B$3997)-ROW()/1000000,""))</f>
        <v/>
      </c>
      <c r="E3092" s="91">
        <f>IF(N('Deal maths'!M1095)&gt;0,ROW()/10000000,"")</f>
        <v/>
      </c>
    </row>
    <row r="3093">
      <c r="A3093" s="91" t="n"/>
      <c r="B3093" s="111">
        <f>MAX(0,N('Deal maths'!M1096))</f>
        <v/>
      </c>
      <c r="C3093" s="91">
        <f>IF(B3093&gt;0,IF('Deal maths'!L1096="Local authority","Local authorities",LOWER(TRIM('Deal maths'!K1096))),"")</f>
        <v/>
      </c>
      <c r="D3093" s="91">
        <f>IF(C3093="","",IF(COUNTIF($C$4:C3092,C3093)=0,SUMIF($C$4:$C$3997,C3093,$B$4:$B$3997)-ROW()/1000000,""))</f>
        <v/>
      </c>
      <c r="E3093" s="91">
        <f>IF(N('Deal maths'!M1096)&gt;0,ROW()/10000000,"")</f>
        <v/>
      </c>
    </row>
    <row r="3094">
      <c r="A3094" s="91" t="n"/>
      <c r="B3094" s="111">
        <f>MAX(0,N('Deal maths'!M1097))</f>
        <v/>
      </c>
      <c r="C3094" s="91">
        <f>IF(B3094&gt;0,IF('Deal maths'!L1097="Local authority","Local authorities",LOWER(TRIM('Deal maths'!K1097))),"")</f>
        <v/>
      </c>
      <c r="D3094" s="91">
        <f>IF(C3094="","",IF(COUNTIF($C$4:C3093,C3094)=0,SUMIF($C$4:$C$3997,C3094,$B$4:$B$3997)-ROW()/1000000,""))</f>
        <v/>
      </c>
      <c r="E3094" s="91">
        <f>IF(N('Deal maths'!M1097)&gt;0,ROW()/10000000,"")</f>
        <v/>
      </c>
    </row>
    <row r="3095">
      <c r="A3095" s="91" t="n"/>
      <c r="B3095" s="111">
        <f>MAX(0,N('Deal maths'!M1098))</f>
        <v/>
      </c>
      <c r="C3095" s="91">
        <f>IF(B3095&gt;0,IF('Deal maths'!L1098="Local authority","Local authorities",LOWER(TRIM('Deal maths'!K1098))),"")</f>
        <v/>
      </c>
      <c r="D3095" s="91">
        <f>IF(C3095="","",IF(COUNTIF($C$4:C3094,C3095)=0,SUMIF($C$4:$C$3997,C3095,$B$4:$B$3997)-ROW()/1000000,""))</f>
        <v/>
      </c>
      <c r="E3095" s="91">
        <f>IF(N('Deal maths'!M1098)&gt;0,ROW()/10000000,"")</f>
        <v/>
      </c>
    </row>
    <row r="3096">
      <c r="A3096" s="91" t="n"/>
      <c r="B3096" s="111">
        <f>MAX(0,N('Deal maths'!M1099))</f>
        <v/>
      </c>
      <c r="C3096" s="91">
        <f>IF(B3096&gt;0,IF('Deal maths'!L1099="Local authority","Local authorities",LOWER(TRIM('Deal maths'!K1099))),"")</f>
        <v/>
      </c>
      <c r="D3096" s="91">
        <f>IF(C3096="","",IF(COUNTIF($C$4:C3095,C3096)=0,SUMIF($C$4:$C$3997,C3096,$B$4:$B$3997)-ROW()/1000000,""))</f>
        <v/>
      </c>
      <c r="E3096" s="91">
        <f>IF(N('Deal maths'!M1099)&gt;0,ROW()/10000000,"")</f>
        <v/>
      </c>
    </row>
    <row r="3097">
      <c r="A3097" s="91" t="n"/>
      <c r="B3097" s="111">
        <f>MAX(0,N('Deal maths'!M1100))</f>
        <v/>
      </c>
      <c r="C3097" s="91">
        <f>IF(B3097&gt;0,IF('Deal maths'!L1100="Local authority","Local authorities",LOWER(TRIM('Deal maths'!K1100))),"")</f>
        <v/>
      </c>
      <c r="D3097" s="91">
        <f>IF(C3097="","",IF(COUNTIF($C$4:C3096,C3097)=0,SUMIF($C$4:$C$3997,C3097,$B$4:$B$3997)-ROW()/1000000,""))</f>
        <v/>
      </c>
      <c r="E3097" s="91">
        <f>IF(N('Deal maths'!M1100)&gt;0,ROW()/10000000,"")</f>
        <v/>
      </c>
    </row>
    <row r="3098">
      <c r="A3098" s="91" t="n"/>
      <c r="B3098" s="111">
        <f>MAX(0,N('Deal maths'!M1101))</f>
        <v/>
      </c>
      <c r="C3098" s="91">
        <f>IF(B3098&gt;0,IF('Deal maths'!L1101="Local authority","Local authorities",LOWER(TRIM('Deal maths'!K1101))),"")</f>
        <v/>
      </c>
      <c r="D3098" s="91">
        <f>IF(C3098="","",IF(COUNTIF($C$4:C3097,C3098)=0,SUMIF($C$4:$C$3997,C3098,$B$4:$B$3997)-ROW()/1000000,""))</f>
        <v/>
      </c>
      <c r="E3098" s="91">
        <f>IF(N('Deal maths'!M1101)&gt;0,ROW()/10000000,"")</f>
        <v/>
      </c>
    </row>
    <row r="3099">
      <c r="A3099" s="91" t="n"/>
      <c r="B3099" s="111">
        <f>MAX(0,N('Deal maths'!M1102))</f>
        <v/>
      </c>
      <c r="C3099" s="91">
        <f>IF(B3099&gt;0,IF('Deal maths'!L1102="Local authority","Local authorities",LOWER(TRIM('Deal maths'!K1102))),"")</f>
        <v/>
      </c>
      <c r="D3099" s="91">
        <f>IF(C3099="","",IF(COUNTIF($C$4:C3098,C3099)=0,SUMIF($C$4:$C$3997,C3099,$B$4:$B$3997)-ROW()/1000000,""))</f>
        <v/>
      </c>
      <c r="E3099" s="91">
        <f>IF(N('Deal maths'!M1102)&gt;0,ROW()/10000000,"")</f>
        <v/>
      </c>
    </row>
    <row r="3100">
      <c r="A3100" s="91" t="n"/>
      <c r="B3100" s="111">
        <f>MAX(0,N('Deal maths'!M1103))</f>
        <v/>
      </c>
      <c r="C3100" s="91">
        <f>IF(B3100&gt;0,IF('Deal maths'!L1103="Local authority","Local authorities",LOWER(TRIM('Deal maths'!K1103))),"")</f>
        <v/>
      </c>
      <c r="D3100" s="91">
        <f>IF(C3100="","",IF(COUNTIF($C$4:C3099,C3100)=0,SUMIF($C$4:$C$3997,C3100,$B$4:$B$3997)-ROW()/1000000,""))</f>
        <v/>
      </c>
      <c r="E3100" s="91">
        <f>IF(N('Deal maths'!M1103)&gt;0,ROW()/10000000,"")</f>
        <v/>
      </c>
    </row>
    <row r="3101">
      <c r="A3101" s="91" t="n"/>
      <c r="B3101" s="111">
        <f>MAX(0,N('Deal maths'!M1104))</f>
        <v/>
      </c>
      <c r="C3101" s="91">
        <f>IF(B3101&gt;0,IF('Deal maths'!L1104="Local authority","Local authorities",LOWER(TRIM('Deal maths'!K1104))),"")</f>
        <v/>
      </c>
      <c r="D3101" s="91">
        <f>IF(C3101="","",IF(COUNTIF($C$4:C3100,C3101)=0,SUMIF($C$4:$C$3997,C3101,$B$4:$B$3997)-ROW()/1000000,""))</f>
        <v/>
      </c>
      <c r="E3101" s="91">
        <f>IF(N('Deal maths'!M1104)&gt;0,ROW()/10000000,"")</f>
        <v/>
      </c>
    </row>
    <row r="3102">
      <c r="A3102" s="91" t="n"/>
      <c r="B3102" s="111">
        <f>MAX(0,N('Deal maths'!M1105))</f>
        <v/>
      </c>
      <c r="C3102" s="91">
        <f>IF(B3102&gt;0,IF('Deal maths'!L1105="Local authority","Local authorities",LOWER(TRIM('Deal maths'!K1105))),"")</f>
        <v/>
      </c>
      <c r="D3102" s="91">
        <f>IF(C3102="","",IF(COUNTIF($C$4:C3101,C3102)=0,SUMIF($C$4:$C$3997,C3102,$B$4:$B$3997)-ROW()/1000000,""))</f>
        <v/>
      </c>
      <c r="E3102" s="91">
        <f>IF(N('Deal maths'!M1105)&gt;0,ROW()/10000000,"")</f>
        <v/>
      </c>
    </row>
    <row r="3103">
      <c r="A3103" s="91" t="n"/>
      <c r="B3103" s="111">
        <f>MAX(0,N('Deal maths'!M1106))</f>
        <v/>
      </c>
      <c r="C3103" s="91">
        <f>IF(B3103&gt;0,IF('Deal maths'!L1106="Local authority","Local authorities",LOWER(TRIM('Deal maths'!K1106))),"")</f>
        <v/>
      </c>
      <c r="D3103" s="91">
        <f>IF(C3103="","",IF(COUNTIF($C$4:C3102,C3103)=0,SUMIF($C$4:$C$3997,C3103,$B$4:$B$3997)-ROW()/1000000,""))</f>
        <v/>
      </c>
      <c r="E3103" s="91">
        <f>IF(N('Deal maths'!M1106)&gt;0,ROW()/10000000,"")</f>
        <v/>
      </c>
    </row>
    <row r="3104">
      <c r="A3104" s="91" t="n"/>
      <c r="B3104" s="111">
        <f>MAX(0,N('Deal maths'!M1107))</f>
        <v/>
      </c>
      <c r="C3104" s="91">
        <f>IF(B3104&gt;0,IF('Deal maths'!L1107="Local authority","Local authorities",LOWER(TRIM('Deal maths'!K1107))),"")</f>
        <v/>
      </c>
      <c r="D3104" s="91">
        <f>IF(C3104="","",IF(COUNTIF($C$4:C3103,C3104)=0,SUMIF($C$4:$C$3997,C3104,$B$4:$B$3997)-ROW()/1000000,""))</f>
        <v/>
      </c>
      <c r="E3104" s="91">
        <f>IF(N('Deal maths'!M1107)&gt;0,ROW()/10000000,"")</f>
        <v/>
      </c>
    </row>
    <row r="3105">
      <c r="A3105" s="91" t="n"/>
      <c r="B3105" s="111">
        <f>MAX(0,N('Deal maths'!M1108))</f>
        <v/>
      </c>
      <c r="C3105" s="91">
        <f>IF(B3105&gt;0,IF('Deal maths'!L1108="Local authority","Local authorities",LOWER(TRIM('Deal maths'!K1108))),"")</f>
        <v/>
      </c>
      <c r="D3105" s="91">
        <f>IF(C3105="","",IF(COUNTIF($C$4:C3104,C3105)=0,SUMIF($C$4:$C$3997,C3105,$B$4:$B$3997)-ROW()/1000000,""))</f>
        <v/>
      </c>
      <c r="E3105" s="91">
        <f>IF(N('Deal maths'!M1108)&gt;0,ROW()/10000000,"")</f>
        <v/>
      </c>
    </row>
    <row r="3106">
      <c r="A3106" s="91" t="n"/>
      <c r="B3106" s="111">
        <f>MAX(0,N('Deal maths'!M1109))</f>
        <v/>
      </c>
      <c r="C3106" s="91">
        <f>IF(B3106&gt;0,IF('Deal maths'!L1109="Local authority","Local authorities",LOWER(TRIM('Deal maths'!K1109))),"")</f>
        <v/>
      </c>
      <c r="D3106" s="91">
        <f>IF(C3106="","",IF(COUNTIF($C$4:C3105,C3106)=0,SUMIF($C$4:$C$3997,C3106,$B$4:$B$3997)-ROW()/1000000,""))</f>
        <v/>
      </c>
      <c r="E3106" s="91">
        <f>IF(N('Deal maths'!M1109)&gt;0,ROW()/10000000,"")</f>
        <v/>
      </c>
    </row>
    <row r="3107">
      <c r="A3107" s="91" t="n"/>
      <c r="B3107" s="111">
        <f>MAX(0,N('Deal maths'!M1110))</f>
        <v/>
      </c>
      <c r="C3107" s="91">
        <f>IF(B3107&gt;0,IF('Deal maths'!L1110="Local authority","Local authorities",LOWER(TRIM('Deal maths'!K1110))),"")</f>
        <v/>
      </c>
      <c r="D3107" s="91">
        <f>IF(C3107="","",IF(COUNTIF($C$4:C3106,C3107)=0,SUMIF($C$4:$C$3997,C3107,$B$4:$B$3997)-ROW()/1000000,""))</f>
        <v/>
      </c>
      <c r="E3107" s="91">
        <f>IF(N('Deal maths'!M1110)&gt;0,ROW()/10000000,"")</f>
        <v/>
      </c>
    </row>
    <row r="3108">
      <c r="A3108" s="91" t="n"/>
      <c r="B3108" s="111">
        <f>MAX(0,N('Deal maths'!M1111))</f>
        <v/>
      </c>
      <c r="C3108" s="91">
        <f>IF(B3108&gt;0,IF('Deal maths'!L1111="Local authority","Local authorities",LOWER(TRIM('Deal maths'!K1111))),"")</f>
        <v/>
      </c>
      <c r="D3108" s="91">
        <f>IF(C3108="","",IF(COUNTIF($C$4:C3107,C3108)=0,SUMIF($C$4:$C$3997,C3108,$B$4:$B$3997)-ROW()/1000000,""))</f>
        <v/>
      </c>
      <c r="E3108" s="91">
        <f>IF(N('Deal maths'!M1111)&gt;0,ROW()/10000000,"")</f>
        <v/>
      </c>
    </row>
    <row r="3109">
      <c r="A3109" s="91" t="n"/>
      <c r="B3109" s="111">
        <f>MAX(0,N('Deal maths'!M1112))</f>
        <v/>
      </c>
      <c r="C3109" s="91">
        <f>IF(B3109&gt;0,IF('Deal maths'!L1112="Local authority","Local authorities",LOWER(TRIM('Deal maths'!K1112))),"")</f>
        <v/>
      </c>
      <c r="D3109" s="91">
        <f>IF(C3109="","",IF(COUNTIF($C$4:C3108,C3109)=0,SUMIF($C$4:$C$3997,C3109,$B$4:$B$3997)-ROW()/1000000,""))</f>
        <v/>
      </c>
      <c r="E3109" s="91">
        <f>IF(N('Deal maths'!M1112)&gt;0,ROW()/10000000,"")</f>
        <v/>
      </c>
    </row>
    <row r="3110">
      <c r="A3110" s="91" t="n"/>
      <c r="B3110" s="111">
        <f>MAX(0,N('Deal maths'!M1113))</f>
        <v/>
      </c>
      <c r="C3110" s="91">
        <f>IF(B3110&gt;0,IF('Deal maths'!L1113="Local authority","Local authorities",LOWER(TRIM('Deal maths'!K1113))),"")</f>
        <v/>
      </c>
      <c r="D3110" s="91">
        <f>IF(C3110="","",IF(COUNTIF($C$4:C3109,C3110)=0,SUMIF($C$4:$C$3997,C3110,$B$4:$B$3997)-ROW()/1000000,""))</f>
        <v/>
      </c>
      <c r="E3110" s="91">
        <f>IF(N('Deal maths'!M1113)&gt;0,ROW()/10000000,"")</f>
        <v/>
      </c>
    </row>
    <row r="3111">
      <c r="A3111" s="91" t="n"/>
      <c r="B3111" s="111">
        <f>MAX(0,N('Deal maths'!M1114))</f>
        <v/>
      </c>
      <c r="C3111" s="91">
        <f>IF(B3111&gt;0,IF('Deal maths'!L1114="Local authority","Local authorities",LOWER(TRIM('Deal maths'!K1114))),"")</f>
        <v/>
      </c>
      <c r="D3111" s="91">
        <f>IF(C3111="","",IF(COUNTIF($C$4:C3110,C3111)=0,SUMIF($C$4:$C$3997,C3111,$B$4:$B$3997)-ROW()/1000000,""))</f>
        <v/>
      </c>
      <c r="E3111" s="91">
        <f>IF(N('Deal maths'!M1114)&gt;0,ROW()/10000000,"")</f>
        <v/>
      </c>
    </row>
    <row r="3112">
      <c r="A3112" s="91" t="n"/>
      <c r="B3112" s="111">
        <f>MAX(0,N('Deal maths'!M1115))</f>
        <v/>
      </c>
      <c r="C3112" s="91">
        <f>IF(B3112&gt;0,IF('Deal maths'!L1115="Local authority","Local authorities",LOWER(TRIM('Deal maths'!K1115))),"")</f>
        <v/>
      </c>
      <c r="D3112" s="91">
        <f>IF(C3112="","",IF(COUNTIF($C$4:C3111,C3112)=0,SUMIF($C$4:$C$3997,C3112,$B$4:$B$3997)-ROW()/1000000,""))</f>
        <v/>
      </c>
      <c r="E3112" s="91">
        <f>IF(N('Deal maths'!M1115)&gt;0,ROW()/10000000,"")</f>
        <v/>
      </c>
    </row>
    <row r="3113">
      <c r="A3113" s="91" t="n"/>
      <c r="B3113" s="111">
        <f>MAX(0,N('Deal maths'!M1116))</f>
        <v/>
      </c>
      <c r="C3113" s="91">
        <f>IF(B3113&gt;0,IF('Deal maths'!L1116="Local authority","Local authorities",LOWER(TRIM('Deal maths'!K1116))),"")</f>
        <v/>
      </c>
      <c r="D3113" s="91">
        <f>IF(C3113="","",IF(COUNTIF($C$4:C3112,C3113)=0,SUMIF($C$4:$C$3997,C3113,$B$4:$B$3997)-ROW()/1000000,""))</f>
        <v/>
      </c>
      <c r="E3113" s="91">
        <f>IF(N('Deal maths'!M1116)&gt;0,ROW()/10000000,"")</f>
        <v/>
      </c>
    </row>
    <row r="3114">
      <c r="A3114" s="91" t="n"/>
      <c r="B3114" s="111">
        <f>MAX(0,N('Deal maths'!M1117))</f>
        <v/>
      </c>
      <c r="C3114" s="91">
        <f>IF(B3114&gt;0,IF('Deal maths'!L1117="Local authority","Local authorities",LOWER(TRIM('Deal maths'!K1117))),"")</f>
        <v/>
      </c>
      <c r="D3114" s="91">
        <f>IF(C3114="","",IF(COUNTIF($C$4:C3113,C3114)=0,SUMIF($C$4:$C$3997,C3114,$B$4:$B$3997)-ROW()/1000000,""))</f>
        <v/>
      </c>
      <c r="E3114" s="91">
        <f>IF(N('Deal maths'!M1117)&gt;0,ROW()/10000000,"")</f>
        <v/>
      </c>
    </row>
    <row r="3115">
      <c r="A3115" s="91" t="n"/>
      <c r="B3115" s="111">
        <f>MAX(0,N('Deal maths'!M1118))</f>
        <v/>
      </c>
      <c r="C3115" s="91">
        <f>IF(B3115&gt;0,IF('Deal maths'!L1118="Local authority","Local authorities",LOWER(TRIM('Deal maths'!K1118))),"")</f>
        <v/>
      </c>
      <c r="D3115" s="91">
        <f>IF(C3115="","",IF(COUNTIF($C$4:C3114,C3115)=0,SUMIF($C$4:$C$3997,C3115,$B$4:$B$3997)-ROW()/1000000,""))</f>
        <v/>
      </c>
      <c r="E3115" s="91">
        <f>IF(N('Deal maths'!M1118)&gt;0,ROW()/10000000,"")</f>
        <v/>
      </c>
    </row>
    <row r="3116">
      <c r="A3116" s="91" t="n"/>
      <c r="B3116" s="111">
        <f>MAX(0,N('Deal maths'!M1119))</f>
        <v/>
      </c>
      <c r="C3116" s="91">
        <f>IF(B3116&gt;0,IF('Deal maths'!L1119="Local authority","Local authorities",LOWER(TRIM('Deal maths'!K1119))),"")</f>
        <v/>
      </c>
      <c r="D3116" s="91">
        <f>IF(C3116="","",IF(COUNTIF($C$4:C3115,C3116)=0,SUMIF($C$4:$C$3997,C3116,$B$4:$B$3997)-ROW()/1000000,""))</f>
        <v/>
      </c>
      <c r="E3116" s="91">
        <f>IF(N('Deal maths'!M1119)&gt;0,ROW()/10000000,"")</f>
        <v/>
      </c>
    </row>
    <row r="3117">
      <c r="A3117" s="91" t="n"/>
      <c r="B3117" s="111">
        <f>MAX(0,N('Deal maths'!M1120))</f>
        <v/>
      </c>
      <c r="C3117" s="91">
        <f>IF(B3117&gt;0,IF('Deal maths'!L1120="Local authority","Local authorities",LOWER(TRIM('Deal maths'!K1120))),"")</f>
        <v/>
      </c>
      <c r="D3117" s="91">
        <f>IF(C3117="","",IF(COUNTIF($C$4:C3116,C3117)=0,SUMIF($C$4:$C$3997,C3117,$B$4:$B$3997)-ROW()/1000000,""))</f>
        <v/>
      </c>
      <c r="E3117" s="91">
        <f>IF(N('Deal maths'!M1120)&gt;0,ROW()/10000000,"")</f>
        <v/>
      </c>
    </row>
    <row r="3118">
      <c r="A3118" s="91" t="n"/>
      <c r="B3118" s="111">
        <f>MAX(0,N('Deal maths'!M1121))</f>
        <v/>
      </c>
      <c r="C3118" s="91">
        <f>IF(B3118&gt;0,IF('Deal maths'!L1121="Local authority","Local authorities",LOWER(TRIM('Deal maths'!K1121))),"")</f>
        <v/>
      </c>
      <c r="D3118" s="91">
        <f>IF(C3118="","",IF(COUNTIF($C$4:C3117,C3118)=0,SUMIF($C$4:$C$3997,C3118,$B$4:$B$3997)-ROW()/1000000,""))</f>
        <v/>
      </c>
      <c r="E3118" s="91">
        <f>IF(N('Deal maths'!M1121)&gt;0,ROW()/10000000,"")</f>
        <v/>
      </c>
    </row>
    <row r="3119">
      <c r="A3119" s="91" t="n"/>
      <c r="B3119" s="111">
        <f>MAX(0,N('Deal maths'!M1122))</f>
        <v/>
      </c>
      <c r="C3119" s="91">
        <f>IF(B3119&gt;0,IF('Deal maths'!L1122="Local authority","Local authorities",LOWER(TRIM('Deal maths'!K1122))),"")</f>
        <v/>
      </c>
      <c r="D3119" s="91">
        <f>IF(C3119="","",IF(COUNTIF($C$4:C3118,C3119)=0,SUMIF($C$4:$C$3997,C3119,$B$4:$B$3997)-ROW()/1000000,""))</f>
        <v/>
      </c>
      <c r="E3119" s="91">
        <f>IF(N('Deal maths'!M1122)&gt;0,ROW()/10000000,"")</f>
        <v/>
      </c>
    </row>
    <row r="3120">
      <c r="A3120" s="91" t="n"/>
      <c r="B3120" s="111">
        <f>MAX(0,N('Deal maths'!M1123))</f>
        <v/>
      </c>
      <c r="C3120" s="91">
        <f>IF(B3120&gt;0,IF('Deal maths'!L1123="Local authority","Local authorities",LOWER(TRIM('Deal maths'!K1123))),"")</f>
        <v/>
      </c>
      <c r="D3120" s="91">
        <f>IF(C3120="","",IF(COUNTIF($C$4:C3119,C3120)=0,SUMIF($C$4:$C$3997,C3120,$B$4:$B$3997)-ROW()/1000000,""))</f>
        <v/>
      </c>
      <c r="E3120" s="91">
        <f>IF(N('Deal maths'!M1123)&gt;0,ROW()/10000000,"")</f>
        <v/>
      </c>
    </row>
    <row r="3121">
      <c r="A3121" s="91" t="n"/>
      <c r="B3121" s="111">
        <f>MAX(0,N('Deal maths'!M1124))</f>
        <v/>
      </c>
      <c r="C3121" s="91">
        <f>IF(B3121&gt;0,IF('Deal maths'!L1124="Local authority","Local authorities",LOWER(TRIM('Deal maths'!K1124))),"")</f>
        <v/>
      </c>
      <c r="D3121" s="91">
        <f>IF(C3121="","",IF(COUNTIF($C$4:C3120,C3121)=0,SUMIF($C$4:$C$3997,C3121,$B$4:$B$3997)-ROW()/1000000,""))</f>
        <v/>
      </c>
      <c r="E3121" s="91">
        <f>IF(N('Deal maths'!M1124)&gt;0,ROW()/10000000,"")</f>
        <v/>
      </c>
    </row>
    <row r="3122">
      <c r="A3122" s="91" t="n"/>
      <c r="B3122" s="111">
        <f>MAX(0,N('Deal maths'!M1125))</f>
        <v/>
      </c>
      <c r="C3122" s="91">
        <f>IF(B3122&gt;0,IF('Deal maths'!L1125="Local authority","Local authorities",LOWER(TRIM('Deal maths'!K1125))),"")</f>
        <v/>
      </c>
      <c r="D3122" s="91">
        <f>IF(C3122="","",IF(COUNTIF($C$4:C3121,C3122)=0,SUMIF($C$4:$C$3997,C3122,$B$4:$B$3997)-ROW()/1000000,""))</f>
        <v/>
      </c>
      <c r="E3122" s="91">
        <f>IF(N('Deal maths'!M1125)&gt;0,ROW()/10000000,"")</f>
        <v/>
      </c>
    </row>
    <row r="3123">
      <c r="A3123" s="91" t="n"/>
      <c r="B3123" s="111">
        <f>MAX(0,N('Deal maths'!M1126))</f>
        <v/>
      </c>
      <c r="C3123" s="91">
        <f>IF(B3123&gt;0,IF('Deal maths'!L1126="Local authority","Local authorities",LOWER(TRIM('Deal maths'!K1126))),"")</f>
        <v/>
      </c>
      <c r="D3123" s="91">
        <f>IF(C3123="","",IF(COUNTIF($C$4:C3122,C3123)=0,SUMIF($C$4:$C$3997,C3123,$B$4:$B$3997)-ROW()/1000000,""))</f>
        <v/>
      </c>
      <c r="E3123" s="91">
        <f>IF(N('Deal maths'!M1126)&gt;0,ROW()/10000000,"")</f>
        <v/>
      </c>
    </row>
    <row r="3124">
      <c r="A3124" s="91" t="n"/>
      <c r="B3124" s="111">
        <f>MAX(0,N('Deal maths'!M1127))</f>
        <v/>
      </c>
      <c r="C3124" s="91">
        <f>IF(B3124&gt;0,IF('Deal maths'!L1127="Local authority","Local authorities",LOWER(TRIM('Deal maths'!K1127))),"")</f>
        <v/>
      </c>
      <c r="D3124" s="91">
        <f>IF(C3124="","",IF(COUNTIF($C$4:C3123,C3124)=0,SUMIF($C$4:$C$3997,C3124,$B$4:$B$3997)-ROW()/1000000,""))</f>
        <v/>
      </c>
      <c r="E3124" s="91">
        <f>IF(N('Deal maths'!M1127)&gt;0,ROW()/10000000,"")</f>
        <v/>
      </c>
    </row>
    <row r="3125">
      <c r="A3125" s="91" t="n"/>
      <c r="B3125" s="111">
        <f>MAX(0,N('Deal maths'!M1128))</f>
        <v/>
      </c>
      <c r="C3125" s="91">
        <f>IF(B3125&gt;0,IF('Deal maths'!L1128="Local authority","Local authorities",LOWER(TRIM('Deal maths'!K1128))),"")</f>
        <v/>
      </c>
      <c r="D3125" s="91">
        <f>IF(C3125="","",IF(COUNTIF($C$4:C3124,C3125)=0,SUMIF($C$4:$C$3997,C3125,$B$4:$B$3997)-ROW()/1000000,""))</f>
        <v/>
      </c>
      <c r="E3125" s="91">
        <f>IF(N('Deal maths'!M1128)&gt;0,ROW()/10000000,"")</f>
        <v/>
      </c>
    </row>
    <row r="3126">
      <c r="A3126" s="91" t="n"/>
      <c r="B3126" s="111">
        <f>MAX(0,N('Deal maths'!M1129))</f>
        <v/>
      </c>
      <c r="C3126" s="91">
        <f>IF(B3126&gt;0,IF('Deal maths'!L1129="Local authority","Local authorities",LOWER(TRIM('Deal maths'!K1129))),"")</f>
        <v/>
      </c>
      <c r="D3126" s="91">
        <f>IF(C3126="","",IF(COUNTIF($C$4:C3125,C3126)=0,SUMIF($C$4:$C$3997,C3126,$B$4:$B$3997)-ROW()/1000000,""))</f>
        <v/>
      </c>
      <c r="E3126" s="91">
        <f>IF(N('Deal maths'!M1129)&gt;0,ROW()/10000000,"")</f>
        <v/>
      </c>
    </row>
    <row r="3127">
      <c r="A3127" s="91" t="n"/>
      <c r="B3127" s="111">
        <f>MAX(0,N('Deal maths'!M1130))</f>
        <v/>
      </c>
      <c r="C3127" s="91">
        <f>IF(B3127&gt;0,IF('Deal maths'!L1130="Local authority","Local authorities",LOWER(TRIM('Deal maths'!K1130))),"")</f>
        <v/>
      </c>
      <c r="D3127" s="91">
        <f>IF(C3127="","",IF(COUNTIF($C$4:C3126,C3127)=0,SUMIF($C$4:$C$3997,C3127,$B$4:$B$3997)-ROW()/1000000,""))</f>
        <v/>
      </c>
      <c r="E3127" s="91">
        <f>IF(N('Deal maths'!M1130)&gt;0,ROW()/10000000,"")</f>
        <v/>
      </c>
    </row>
    <row r="3128">
      <c r="A3128" s="91" t="n"/>
      <c r="B3128" s="111">
        <f>MAX(0,N('Deal maths'!M1131))</f>
        <v/>
      </c>
      <c r="C3128" s="91">
        <f>IF(B3128&gt;0,IF('Deal maths'!L1131="Local authority","Local authorities",LOWER(TRIM('Deal maths'!K1131))),"")</f>
        <v/>
      </c>
      <c r="D3128" s="91">
        <f>IF(C3128="","",IF(COUNTIF($C$4:C3127,C3128)=0,SUMIF($C$4:$C$3997,C3128,$B$4:$B$3997)-ROW()/1000000,""))</f>
        <v/>
      </c>
      <c r="E3128" s="91">
        <f>IF(N('Deal maths'!M1131)&gt;0,ROW()/10000000,"")</f>
        <v/>
      </c>
    </row>
    <row r="3129">
      <c r="A3129" s="91" t="n"/>
      <c r="B3129" s="111">
        <f>MAX(0,N('Deal maths'!M1132))</f>
        <v/>
      </c>
      <c r="C3129" s="91">
        <f>IF(B3129&gt;0,IF('Deal maths'!L1132="Local authority","Local authorities",LOWER(TRIM('Deal maths'!K1132))),"")</f>
        <v/>
      </c>
      <c r="D3129" s="91">
        <f>IF(C3129="","",IF(COUNTIF($C$4:C3128,C3129)=0,SUMIF($C$4:$C$3997,C3129,$B$4:$B$3997)-ROW()/1000000,""))</f>
        <v/>
      </c>
      <c r="E3129" s="91">
        <f>IF(N('Deal maths'!M1132)&gt;0,ROW()/10000000,"")</f>
        <v/>
      </c>
    </row>
    <row r="3130">
      <c r="A3130" s="91" t="n"/>
      <c r="B3130" s="111">
        <f>MAX(0,N('Deal maths'!M1133))</f>
        <v/>
      </c>
      <c r="C3130" s="91">
        <f>IF(B3130&gt;0,IF('Deal maths'!L1133="Local authority","Local authorities",LOWER(TRIM('Deal maths'!K1133))),"")</f>
        <v/>
      </c>
      <c r="D3130" s="91">
        <f>IF(C3130="","",IF(COUNTIF($C$4:C3129,C3130)=0,SUMIF($C$4:$C$3997,C3130,$B$4:$B$3997)-ROW()/1000000,""))</f>
        <v/>
      </c>
      <c r="E3130" s="91">
        <f>IF(N('Deal maths'!M1133)&gt;0,ROW()/10000000,"")</f>
        <v/>
      </c>
    </row>
    <row r="3131">
      <c r="A3131" s="91" t="n"/>
      <c r="B3131" s="111">
        <f>MAX(0,N('Deal maths'!M1134))</f>
        <v/>
      </c>
      <c r="C3131" s="91">
        <f>IF(B3131&gt;0,IF('Deal maths'!L1134="Local authority","Local authorities",LOWER(TRIM('Deal maths'!K1134))),"")</f>
        <v/>
      </c>
      <c r="D3131" s="91">
        <f>IF(C3131="","",IF(COUNTIF($C$4:C3130,C3131)=0,SUMIF($C$4:$C$3997,C3131,$B$4:$B$3997)-ROW()/1000000,""))</f>
        <v/>
      </c>
      <c r="E3131" s="91">
        <f>IF(N('Deal maths'!M1134)&gt;0,ROW()/10000000,"")</f>
        <v/>
      </c>
    </row>
    <row r="3132">
      <c r="A3132" s="91" t="n"/>
      <c r="B3132" s="111">
        <f>MAX(0,N('Deal maths'!M1135))</f>
        <v/>
      </c>
      <c r="C3132" s="91">
        <f>IF(B3132&gt;0,IF('Deal maths'!L1135="Local authority","Local authorities",LOWER(TRIM('Deal maths'!K1135))),"")</f>
        <v/>
      </c>
      <c r="D3132" s="91">
        <f>IF(C3132="","",IF(COUNTIF($C$4:C3131,C3132)=0,SUMIF($C$4:$C$3997,C3132,$B$4:$B$3997)-ROW()/1000000,""))</f>
        <v/>
      </c>
      <c r="E3132" s="91">
        <f>IF(N('Deal maths'!M1135)&gt;0,ROW()/10000000,"")</f>
        <v/>
      </c>
    </row>
    <row r="3133">
      <c r="A3133" s="91" t="n"/>
      <c r="B3133" s="111">
        <f>MAX(0,N('Deal maths'!M1136))</f>
        <v/>
      </c>
      <c r="C3133" s="91">
        <f>IF(B3133&gt;0,IF('Deal maths'!L1136="Local authority","Local authorities",LOWER(TRIM('Deal maths'!K1136))),"")</f>
        <v/>
      </c>
      <c r="D3133" s="91">
        <f>IF(C3133="","",IF(COUNTIF($C$4:C3132,C3133)=0,SUMIF($C$4:$C$3997,C3133,$B$4:$B$3997)-ROW()/1000000,""))</f>
        <v/>
      </c>
      <c r="E3133" s="91">
        <f>IF(N('Deal maths'!M1136)&gt;0,ROW()/10000000,"")</f>
        <v/>
      </c>
    </row>
    <row r="3134">
      <c r="A3134" s="91" t="n"/>
      <c r="B3134" s="111">
        <f>MAX(0,N('Deal maths'!M1137))</f>
        <v/>
      </c>
      <c r="C3134" s="91">
        <f>IF(B3134&gt;0,IF('Deal maths'!L1137="Local authority","Local authorities",LOWER(TRIM('Deal maths'!K1137))),"")</f>
        <v/>
      </c>
      <c r="D3134" s="91">
        <f>IF(C3134="","",IF(COUNTIF($C$4:C3133,C3134)=0,SUMIF($C$4:$C$3997,C3134,$B$4:$B$3997)-ROW()/1000000,""))</f>
        <v/>
      </c>
      <c r="E3134" s="91">
        <f>IF(N('Deal maths'!M1137)&gt;0,ROW()/10000000,"")</f>
        <v/>
      </c>
    </row>
    <row r="3135">
      <c r="A3135" s="91" t="n"/>
      <c r="B3135" s="111">
        <f>MAX(0,N('Deal maths'!M1138))</f>
        <v/>
      </c>
      <c r="C3135" s="91">
        <f>IF(B3135&gt;0,IF('Deal maths'!L1138="Local authority","Local authorities",LOWER(TRIM('Deal maths'!K1138))),"")</f>
        <v/>
      </c>
      <c r="D3135" s="91">
        <f>IF(C3135="","",IF(COUNTIF($C$4:C3134,C3135)=0,SUMIF($C$4:$C$3997,C3135,$B$4:$B$3997)-ROW()/1000000,""))</f>
        <v/>
      </c>
      <c r="E3135" s="91">
        <f>IF(N('Deal maths'!M1138)&gt;0,ROW()/10000000,"")</f>
        <v/>
      </c>
    </row>
    <row r="3136">
      <c r="A3136" s="91" t="n"/>
      <c r="B3136" s="111">
        <f>MAX(0,N('Deal maths'!M1139))</f>
        <v/>
      </c>
      <c r="C3136" s="91">
        <f>IF(B3136&gt;0,IF('Deal maths'!L1139="Local authority","Local authorities",LOWER(TRIM('Deal maths'!K1139))),"")</f>
        <v/>
      </c>
      <c r="D3136" s="91">
        <f>IF(C3136="","",IF(COUNTIF($C$4:C3135,C3136)=0,SUMIF($C$4:$C$3997,C3136,$B$4:$B$3997)-ROW()/1000000,""))</f>
        <v/>
      </c>
      <c r="E3136" s="91">
        <f>IF(N('Deal maths'!M1139)&gt;0,ROW()/10000000,"")</f>
        <v/>
      </c>
    </row>
    <row r="3137">
      <c r="A3137" s="91" t="n"/>
      <c r="B3137" s="111">
        <f>MAX(0,N('Deal maths'!M1140))</f>
        <v/>
      </c>
      <c r="C3137" s="91">
        <f>IF(B3137&gt;0,IF('Deal maths'!L1140="Local authority","Local authorities",LOWER(TRIM('Deal maths'!K1140))),"")</f>
        <v/>
      </c>
      <c r="D3137" s="91">
        <f>IF(C3137="","",IF(COUNTIF($C$4:C3136,C3137)=0,SUMIF($C$4:$C$3997,C3137,$B$4:$B$3997)-ROW()/1000000,""))</f>
        <v/>
      </c>
      <c r="E3137" s="91">
        <f>IF(N('Deal maths'!M1140)&gt;0,ROW()/10000000,"")</f>
        <v/>
      </c>
    </row>
    <row r="3138">
      <c r="A3138" s="91" t="n"/>
      <c r="B3138" s="111">
        <f>MAX(0,N('Deal maths'!M1141))</f>
        <v/>
      </c>
      <c r="C3138" s="91">
        <f>IF(B3138&gt;0,IF('Deal maths'!L1141="Local authority","Local authorities",LOWER(TRIM('Deal maths'!K1141))),"")</f>
        <v/>
      </c>
      <c r="D3138" s="91">
        <f>IF(C3138="","",IF(COUNTIF($C$4:C3137,C3138)=0,SUMIF($C$4:$C$3997,C3138,$B$4:$B$3997)-ROW()/1000000,""))</f>
        <v/>
      </c>
      <c r="E3138" s="91">
        <f>IF(N('Deal maths'!M1141)&gt;0,ROW()/10000000,"")</f>
        <v/>
      </c>
    </row>
    <row r="3139">
      <c r="A3139" s="91" t="n"/>
      <c r="B3139" s="111">
        <f>MAX(0,N('Deal maths'!M1142))</f>
        <v/>
      </c>
      <c r="C3139" s="91">
        <f>IF(B3139&gt;0,IF('Deal maths'!L1142="Local authority","Local authorities",LOWER(TRIM('Deal maths'!K1142))),"")</f>
        <v/>
      </c>
      <c r="D3139" s="91">
        <f>IF(C3139="","",IF(COUNTIF($C$4:C3138,C3139)=0,SUMIF($C$4:$C$3997,C3139,$B$4:$B$3997)-ROW()/1000000,""))</f>
        <v/>
      </c>
      <c r="E3139" s="91">
        <f>IF(N('Deal maths'!M1142)&gt;0,ROW()/10000000,"")</f>
        <v/>
      </c>
    </row>
    <row r="3140">
      <c r="A3140" s="91" t="n"/>
      <c r="B3140" s="111">
        <f>MAX(0,N('Deal maths'!M1143))</f>
        <v/>
      </c>
      <c r="C3140" s="91">
        <f>IF(B3140&gt;0,IF('Deal maths'!L1143="Local authority","Local authorities",LOWER(TRIM('Deal maths'!K1143))),"")</f>
        <v/>
      </c>
      <c r="D3140" s="91">
        <f>IF(C3140="","",IF(COUNTIF($C$4:C3139,C3140)=0,SUMIF($C$4:$C$3997,C3140,$B$4:$B$3997)-ROW()/1000000,""))</f>
        <v/>
      </c>
      <c r="E3140" s="91">
        <f>IF(N('Deal maths'!M1143)&gt;0,ROW()/10000000,"")</f>
        <v/>
      </c>
    </row>
    <row r="3141">
      <c r="A3141" s="91" t="n"/>
      <c r="B3141" s="111">
        <f>MAX(0,N('Deal maths'!M1144))</f>
        <v/>
      </c>
      <c r="C3141" s="91">
        <f>IF(B3141&gt;0,IF('Deal maths'!L1144="Local authority","Local authorities",LOWER(TRIM('Deal maths'!K1144))),"")</f>
        <v/>
      </c>
      <c r="D3141" s="91">
        <f>IF(C3141="","",IF(COUNTIF($C$4:C3140,C3141)=0,SUMIF($C$4:$C$3997,C3141,$B$4:$B$3997)-ROW()/1000000,""))</f>
        <v/>
      </c>
      <c r="E3141" s="91">
        <f>IF(N('Deal maths'!M1144)&gt;0,ROW()/10000000,"")</f>
        <v/>
      </c>
    </row>
    <row r="3142">
      <c r="A3142" s="91" t="n"/>
      <c r="B3142" s="111">
        <f>MAX(0,N('Deal maths'!M1145))</f>
        <v/>
      </c>
      <c r="C3142" s="91">
        <f>IF(B3142&gt;0,IF('Deal maths'!L1145="Local authority","Local authorities",LOWER(TRIM('Deal maths'!K1145))),"")</f>
        <v/>
      </c>
      <c r="D3142" s="91">
        <f>IF(C3142="","",IF(COUNTIF($C$4:C3141,C3142)=0,SUMIF($C$4:$C$3997,C3142,$B$4:$B$3997)-ROW()/1000000,""))</f>
        <v/>
      </c>
      <c r="E3142" s="91">
        <f>IF(N('Deal maths'!M1145)&gt;0,ROW()/10000000,"")</f>
        <v/>
      </c>
    </row>
    <row r="3143">
      <c r="A3143" s="91" t="n"/>
      <c r="B3143" s="111">
        <f>MAX(0,N('Deal maths'!M1146))</f>
        <v/>
      </c>
      <c r="C3143" s="91">
        <f>IF(B3143&gt;0,IF('Deal maths'!L1146="Local authority","Local authorities",LOWER(TRIM('Deal maths'!K1146))),"")</f>
        <v/>
      </c>
      <c r="D3143" s="91">
        <f>IF(C3143="","",IF(COUNTIF($C$4:C3142,C3143)=0,SUMIF($C$4:$C$3997,C3143,$B$4:$B$3997)-ROW()/1000000,""))</f>
        <v/>
      </c>
      <c r="E3143" s="91">
        <f>IF(N('Deal maths'!M1146)&gt;0,ROW()/10000000,"")</f>
        <v/>
      </c>
    </row>
    <row r="3144">
      <c r="A3144" s="91" t="n"/>
      <c r="B3144" s="111">
        <f>MAX(0,N('Deal maths'!M1147))</f>
        <v/>
      </c>
      <c r="C3144" s="91">
        <f>IF(B3144&gt;0,IF('Deal maths'!L1147="Local authority","Local authorities",LOWER(TRIM('Deal maths'!K1147))),"")</f>
        <v/>
      </c>
      <c r="D3144" s="91">
        <f>IF(C3144="","",IF(COUNTIF($C$4:C3143,C3144)=0,SUMIF($C$4:$C$3997,C3144,$B$4:$B$3997)-ROW()/1000000,""))</f>
        <v/>
      </c>
      <c r="E3144" s="91">
        <f>IF(N('Deal maths'!M1147)&gt;0,ROW()/10000000,"")</f>
        <v/>
      </c>
    </row>
    <row r="3145">
      <c r="A3145" s="91" t="n"/>
      <c r="B3145" s="111">
        <f>MAX(0,N('Deal maths'!M1148))</f>
        <v/>
      </c>
      <c r="C3145" s="91">
        <f>IF(B3145&gt;0,IF('Deal maths'!L1148="Local authority","Local authorities",LOWER(TRIM('Deal maths'!K1148))),"")</f>
        <v/>
      </c>
      <c r="D3145" s="91">
        <f>IF(C3145="","",IF(COUNTIF($C$4:C3144,C3145)=0,SUMIF($C$4:$C$3997,C3145,$B$4:$B$3997)-ROW()/1000000,""))</f>
        <v/>
      </c>
      <c r="E3145" s="91">
        <f>IF(N('Deal maths'!M1148)&gt;0,ROW()/10000000,"")</f>
        <v/>
      </c>
    </row>
    <row r="3146">
      <c r="A3146" s="91" t="n"/>
      <c r="B3146" s="111">
        <f>MAX(0,N('Deal maths'!M1149))</f>
        <v/>
      </c>
      <c r="C3146" s="91">
        <f>IF(B3146&gt;0,IF('Deal maths'!L1149="Local authority","Local authorities",LOWER(TRIM('Deal maths'!K1149))),"")</f>
        <v/>
      </c>
      <c r="D3146" s="91">
        <f>IF(C3146="","",IF(COUNTIF($C$4:C3145,C3146)=0,SUMIF($C$4:$C$3997,C3146,$B$4:$B$3997)-ROW()/1000000,""))</f>
        <v/>
      </c>
      <c r="E3146" s="91">
        <f>IF(N('Deal maths'!M1149)&gt;0,ROW()/10000000,"")</f>
        <v/>
      </c>
    </row>
    <row r="3147">
      <c r="A3147" s="91" t="n"/>
      <c r="B3147" s="111">
        <f>MAX(0,N('Deal maths'!M1150))</f>
        <v/>
      </c>
      <c r="C3147" s="91">
        <f>IF(B3147&gt;0,IF('Deal maths'!L1150="Local authority","Local authorities",LOWER(TRIM('Deal maths'!K1150))),"")</f>
        <v/>
      </c>
      <c r="D3147" s="91">
        <f>IF(C3147="","",IF(COUNTIF($C$4:C3146,C3147)=0,SUMIF($C$4:$C$3997,C3147,$B$4:$B$3997)-ROW()/1000000,""))</f>
        <v/>
      </c>
      <c r="E3147" s="91">
        <f>IF(N('Deal maths'!M1150)&gt;0,ROW()/10000000,"")</f>
        <v/>
      </c>
    </row>
    <row r="3148">
      <c r="A3148" s="91" t="n"/>
      <c r="B3148" s="111">
        <f>MAX(0,N('Deal maths'!M1151))</f>
        <v/>
      </c>
      <c r="C3148" s="91">
        <f>IF(B3148&gt;0,IF('Deal maths'!L1151="Local authority","Local authorities",LOWER(TRIM('Deal maths'!K1151))),"")</f>
        <v/>
      </c>
      <c r="D3148" s="91">
        <f>IF(C3148="","",IF(COUNTIF($C$4:C3147,C3148)=0,SUMIF($C$4:$C$3997,C3148,$B$4:$B$3997)-ROW()/1000000,""))</f>
        <v/>
      </c>
      <c r="E3148" s="91">
        <f>IF(N('Deal maths'!M1151)&gt;0,ROW()/10000000,"")</f>
        <v/>
      </c>
    </row>
    <row r="3149">
      <c r="A3149" s="91" t="n"/>
      <c r="B3149" s="111">
        <f>MAX(0,N('Deal maths'!M1152))</f>
        <v/>
      </c>
      <c r="C3149" s="91">
        <f>IF(B3149&gt;0,IF('Deal maths'!L1152="Local authority","Local authorities",LOWER(TRIM('Deal maths'!K1152))),"")</f>
        <v/>
      </c>
      <c r="D3149" s="91">
        <f>IF(C3149="","",IF(COUNTIF($C$4:C3148,C3149)=0,SUMIF($C$4:$C$3997,C3149,$B$4:$B$3997)-ROW()/1000000,""))</f>
        <v/>
      </c>
      <c r="E3149" s="91">
        <f>IF(N('Deal maths'!M1152)&gt;0,ROW()/10000000,"")</f>
        <v/>
      </c>
    </row>
    <row r="3150">
      <c r="A3150" s="91" t="n"/>
      <c r="B3150" s="111">
        <f>MAX(0,N('Deal maths'!M1153))</f>
        <v/>
      </c>
      <c r="C3150" s="91">
        <f>IF(B3150&gt;0,IF('Deal maths'!L1153="Local authority","Local authorities",LOWER(TRIM('Deal maths'!K1153))),"")</f>
        <v/>
      </c>
      <c r="D3150" s="91">
        <f>IF(C3150="","",IF(COUNTIF($C$4:C3149,C3150)=0,SUMIF($C$4:$C$3997,C3150,$B$4:$B$3997)-ROW()/1000000,""))</f>
        <v/>
      </c>
      <c r="E3150" s="91">
        <f>IF(N('Deal maths'!M1153)&gt;0,ROW()/10000000,"")</f>
        <v/>
      </c>
    </row>
    <row r="3151">
      <c r="A3151" s="91" t="n"/>
      <c r="B3151" s="111">
        <f>MAX(0,N('Deal maths'!M1154))</f>
        <v/>
      </c>
      <c r="C3151" s="91">
        <f>IF(B3151&gt;0,IF('Deal maths'!L1154="Local authority","Local authorities",LOWER(TRIM('Deal maths'!K1154))),"")</f>
        <v/>
      </c>
      <c r="D3151" s="91">
        <f>IF(C3151="","",IF(COUNTIF($C$4:C3150,C3151)=0,SUMIF($C$4:$C$3997,C3151,$B$4:$B$3997)-ROW()/1000000,""))</f>
        <v/>
      </c>
      <c r="E3151" s="91">
        <f>IF(N('Deal maths'!M1154)&gt;0,ROW()/10000000,"")</f>
        <v/>
      </c>
    </row>
    <row r="3152">
      <c r="A3152" s="91" t="n"/>
      <c r="B3152" s="111">
        <f>MAX(0,N('Deal maths'!M1155))</f>
        <v/>
      </c>
      <c r="C3152" s="91">
        <f>IF(B3152&gt;0,IF('Deal maths'!L1155="Local authority","Local authorities",LOWER(TRIM('Deal maths'!K1155))),"")</f>
        <v/>
      </c>
      <c r="D3152" s="91">
        <f>IF(C3152="","",IF(COUNTIF($C$4:C3151,C3152)=0,SUMIF($C$4:$C$3997,C3152,$B$4:$B$3997)-ROW()/1000000,""))</f>
        <v/>
      </c>
      <c r="E3152" s="91">
        <f>IF(N('Deal maths'!M1155)&gt;0,ROW()/10000000,"")</f>
        <v/>
      </c>
    </row>
    <row r="3153">
      <c r="A3153" s="91" t="n"/>
      <c r="B3153" s="111">
        <f>MAX(0,N('Deal maths'!M1156))</f>
        <v/>
      </c>
      <c r="C3153" s="91">
        <f>IF(B3153&gt;0,IF('Deal maths'!L1156="Local authority","Local authorities",LOWER(TRIM('Deal maths'!K1156))),"")</f>
        <v/>
      </c>
      <c r="D3153" s="91">
        <f>IF(C3153="","",IF(COUNTIF($C$4:C3152,C3153)=0,SUMIF($C$4:$C$3997,C3153,$B$4:$B$3997)-ROW()/1000000,""))</f>
        <v/>
      </c>
      <c r="E3153" s="91">
        <f>IF(N('Deal maths'!M1156)&gt;0,ROW()/10000000,"")</f>
        <v/>
      </c>
    </row>
    <row r="3154">
      <c r="A3154" s="91" t="n"/>
      <c r="B3154" s="111">
        <f>MAX(0,N('Deal maths'!M1157))</f>
        <v/>
      </c>
      <c r="C3154" s="91">
        <f>IF(B3154&gt;0,IF('Deal maths'!L1157="Local authority","Local authorities",LOWER(TRIM('Deal maths'!K1157))),"")</f>
        <v/>
      </c>
      <c r="D3154" s="91">
        <f>IF(C3154="","",IF(COUNTIF($C$4:C3153,C3154)=0,SUMIF($C$4:$C$3997,C3154,$B$4:$B$3997)-ROW()/1000000,""))</f>
        <v/>
      </c>
      <c r="E3154" s="91">
        <f>IF(N('Deal maths'!M1157)&gt;0,ROW()/10000000,"")</f>
        <v/>
      </c>
    </row>
    <row r="3155">
      <c r="A3155" s="91" t="n"/>
      <c r="B3155" s="111">
        <f>MAX(0,N('Deal maths'!M1158))</f>
        <v/>
      </c>
      <c r="C3155" s="91">
        <f>IF(B3155&gt;0,IF('Deal maths'!L1158="Local authority","Local authorities",LOWER(TRIM('Deal maths'!K1158))),"")</f>
        <v/>
      </c>
      <c r="D3155" s="91">
        <f>IF(C3155="","",IF(COUNTIF($C$4:C3154,C3155)=0,SUMIF($C$4:$C$3997,C3155,$B$4:$B$3997)-ROW()/1000000,""))</f>
        <v/>
      </c>
      <c r="E3155" s="91">
        <f>IF(N('Deal maths'!M1158)&gt;0,ROW()/10000000,"")</f>
        <v/>
      </c>
    </row>
    <row r="3156">
      <c r="A3156" s="91" t="n"/>
      <c r="B3156" s="111">
        <f>MAX(0,N('Deal maths'!M1159))</f>
        <v/>
      </c>
      <c r="C3156" s="91">
        <f>IF(B3156&gt;0,IF('Deal maths'!L1159="Local authority","Local authorities",LOWER(TRIM('Deal maths'!K1159))),"")</f>
        <v/>
      </c>
      <c r="D3156" s="91">
        <f>IF(C3156="","",IF(COUNTIF($C$4:C3155,C3156)=0,SUMIF($C$4:$C$3997,C3156,$B$4:$B$3997)-ROW()/1000000,""))</f>
        <v/>
      </c>
      <c r="E3156" s="91">
        <f>IF(N('Deal maths'!M1159)&gt;0,ROW()/10000000,"")</f>
        <v/>
      </c>
    </row>
    <row r="3157">
      <c r="A3157" s="91" t="n"/>
      <c r="B3157" s="111">
        <f>MAX(0,N('Deal maths'!M1160))</f>
        <v/>
      </c>
      <c r="C3157" s="91">
        <f>IF(B3157&gt;0,IF('Deal maths'!L1160="Local authority","Local authorities",LOWER(TRIM('Deal maths'!K1160))),"")</f>
        <v/>
      </c>
      <c r="D3157" s="91">
        <f>IF(C3157="","",IF(COUNTIF($C$4:C3156,C3157)=0,SUMIF($C$4:$C$3997,C3157,$B$4:$B$3997)-ROW()/1000000,""))</f>
        <v/>
      </c>
      <c r="E3157" s="91">
        <f>IF(N('Deal maths'!M1160)&gt;0,ROW()/10000000,"")</f>
        <v/>
      </c>
    </row>
    <row r="3158">
      <c r="A3158" s="91" t="n"/>
      <c r="B3158" s="111">
        <f>MAX(0,N('Deal maths'!M1161))</f>
        <v/>
      </c>
      <c r="C3158" s="91">
        <f>IF(B3158&gt;0,IF('Deal maths'!L1161="Local authority","Local authorities",LOWER(TRIM('Deal maths'!K1161))),"")</f>
        <v/>
      </c>
      <c r="D3158" s="91">
        <f>IF(C3158="","",IF(COUNTIF($C$4:C3157,C3158)=0,SUMIF($C$4:$C$3997,C3158,$B$4:$B$3997)-ROW()/1000000,""))</f>
        <v/>
      </c>
      <c r="E3158" s="91">
        <f>IF(N('Deal maths'!M1161)&gt;0,ROW()/10000000,"")</f>
        <v/>
      </c>
    </row>
    <row r="3159">
      <c r="A3159" s="91" t="n"/>
      <c r="B3159" s="111">
        <f>MAX(0,N('Deal maths'!M1162))</f>
        <v/>
      </c>
      <c r="C3159" s="91">
        <f>IF(B3159&gt;0,IF('Deal maths'!L1162="Local authority","Local authorities",LOWER(TRIM('Deal maths'!K1162))),"")</f>
        <v/>
      </c>
      <c r="D3159" s="91">
        <f>IF(C3159="","",IF(COUNTIF($C$4:C3158,C3159)=0,SUMIF($C$4:$C$3997,C3159,$B$4:$B$3997)-ROW()/1000000,""))</f>
        <v/>
      </c>
      <c r="E3159" s="91">
        <f>IF(N('Deal maths'!M1162)&gt;0,ROW()/10000000,"")</f>
        <v/>
      </c>
    </row>
    <row r="3160">
      <c r="A3160" s="91" t="n"/>
      <c r="B3160" s="111">
        <f>MAX(0,N('Deal maths'!M1163))</f>
        <v/>
      </c>
      <c r="C3160" s="91">
        <f>IF(B3160&gt;0,IF('Deal maths'!L1163="Local authority","Local authorities",LOWER(TRIM('Deal maths'!K1163))),"")</f>
        <v/>
      </c>
      <c r="D3160" s="91">
        <f>IF(C3160="","",IF(COUNTIF($C$4:C3159,C3160)=0,SUMIF($C$4:$C$3997,C3160,$B$4:$B$3997)-ROW()/1000000,""))</f>
        <v/>
      </c>
      <c r="E3160" s="91">
        <f>IF(N('Deal maths'!M1163)&gt;0,ROW()/10000000,"")</f>
        <v/>
      </c>
    </row>
    <row r="3161">
      <c r="A3161" s="91" t="n"/>
      <c r="B3161" s="111">
        <f>MAX(0,N('Deal maths'!M1164))</f>
        <v/>
      </c>
      <c r="C3161" s="91">
        <f>IF(B3161&gt;0,IF('Deal maths'!L1164="Local authority","Local authorities",LOWER(TRIM('Deal maths'!K1164))),"")</f>
        <v/>
      </c>
      <c r="D3161" s="91">
        <f>IF(C3161="","",IF(COUNTIF($C$4:C3160,C3161)=0,SUMIF($C$4:$C$3997,C3161,$B$4:$B$3997)-ROW()/1000000,""))</f>
        <v/>
      </c>
      <c r="E3161" s="91">
        <f>IF(N('Deal maths'!M1164)&gt;0,ROW()/10000000,"")</f>
        <v/>
      </c>
    </row>
    <row r="3162">
      <c r="A3162" s="91" t="n"/>
      <c r="B3162" s="111">
        <f>MAX(0,N('Deal maths'!M1165))</f>
        <v/>
      </c>
      <c r="C3162" s="91">
        <f>IF(B3162&gt;0,IF('Deal maths'!L1165="Local authority","Local authorities",LOWER(TRIM('Deal maths'!K1165))),"")</f>
        <v/>
      </c>
      <c r="D3162" s="91">
        <f>IF(C3162="","",IF(COUNTIF($C$4:C3161,C3162)=0,SUMIF($C$4:$C$3997,C3162,$B$4:$B$3997)-ROW()/1000000,""))</f>
        <v/>
      </c>
      <c r="E3162" s="91">
        <f>IF(N('Deal maths'!M1165)&gt;0,ROW()/10000000,"")</f>
        <v/>
      </c>
    </row>
    <row r="3163">
      <c r="A3163" s="91" t="n"/>
      <c r="B3163" s="111">
        <f>MAX(0,N('Deal maths'!M1166))</f>
        <v/>
      </c>
      <c r="C3163" s="91">
        <f>IF(B3163&gt;0,IF('Deal maths'!L1166="Local authority","Local authorities",LOWER(TRIM('Deal maths'!K1166))),"")</f>
        <v/>
      </c>
      <c r="D3163" s="91">
        <f>IF(C3163="","",IF(COUNTIF($C$4:C3162,C3163)=0,SUMIF($C$4:$C$3997,C3163,$B$4:$B$3997)-ROW()/1000000,""))</f>
        <v/>
      </c>
      <c r="E3163" s="91">
        <f>IF(N('Deal maths'!M1166)&gt;0,ROW()/10000000,"")</f>
        <v/>
      </c>
    </row>
    <row r="3164">
      <c r="A3164" s="91" t="n"/>
      <c r="B3164" s="111">
        <f>MAX(0,N('Deal maths'!M1167))</f>
        <v/>
      </c>
      <c r="C3164" s="91">
        <f>IF(B3164&gt;0,IF('Deal maths'!L1167="Local authority","Local authorities",LOWER(TRIM('Deal maths'!K1167))),"")</f>
        <v/>
      </c>
      <c r="D3164" s="91">
        <f>IF(C3164="","",IF(COUNTIF($C$4:C3163,C3164)=0,SUMIF($C$4:$C$3997,C3164,$B$4:$B$3997)-ROW()/1000000,""))</f>
        <v/>
      </c>
      <c r="E3164" s="91">
        <f>IF(N('Deal maths'!M1167)&gt;0,ROW()/10000000,"")</f>
        <v/>
      </c>
    </row>
    <row r="3165">
      <c r="A3165" s="91" t="n"/>
      <c r="B3165" s="111">
        <f>MAX(0,N('Deal maths'!M1168))</f>
        <v/>
      </c>
      <c r="C3165" s="91">
        <f>IF(B3165&gt;0,IF('Deal maths'!L1168="Local authority","Local authorities",LOWER(TRIM('Deal maths'!K1168))),"")</f>
        <v/>
      </c>
      <c r="D3165" s="91">
        <f>IF(C3165="","",IF(COUNTIF($C$4:C3164,C3165)=0,SUMIF($C$4:$C$3997,C3165,$B$4:$B$3997)-ROW()/1000000,""))</f>
        <v/>
      </c>
      <c r="E3165" s="91">
        <f>IF(N('Deal maths'!M1168)&gt;0,ROW()/10000000,"")</f>
        <v/>
      </c>
    </row>
    <row r="3166">
      <c r="A3166" s="91" t="n"/>
      <c r="B3166" s="111">
        <f>MAX(0,N('Deal maths'!M1169))</f>
        <v/>
      </c>
      <c r="C3166" s="91">
        <f>IF(B3166&gt;0,IF('Deal maths'!L1169="Local authority","Local authorities",LOWER(TRIM('Deal maths'!K1169))),"")</f>
        <v/>
      </c>
      <c r="D3166" s="91">
        <f>IF(C3166="","",IF(COUNTIF($C$4:C3165,C3166)=0,SUMIF($C$4:$C$3997,C3166,$B$4:$B$3997)-ROW()/1000000,""))</f>
        <v/>
      </c>
      <c r="E3166" s="91">
        <f>IF(N('Deal maths'!M1169)&gt;0,ROW()/10000000,"")</f>
        <v/>
      </c>
    </row>
    <row r="3167">
      <c r="A3167" s="91" t="n"/>
      <c r="B3167" s="111">
        <f>MAX(0,N('Deal maths'!M1170))</f>
        <v/>
      </c>
      <c r="C3167" s="91">
        <f>IF(B3167&gt;0,IF('Deal maths'!L1170="Local authority","Local authorities",LOWER(TRIM('Deal maths'!K1170))),"")</f>
        <v/>
      </c>
      <c r="D3167" s="91">
        <f>IF(C3167="","",IF(COUNTIF($C$4:C3166,C3167)=0,SUMIF($C$4:$C$3997,C3167,$B$4:$B$3997)-ROW()/1000000,""))</f>
        <v/>
      </c>
      <c r="E3167" s="91">
        <f>IF(N('Deal maths'!M1170)&gt;0,ROW()/10000000,"")</f>
        <v/>
      </c>
    </row>
    <row r="3168">
      <c r="A3168" s="91" t="n"/>
      <c r="B3168" s="111">
        <f>MAX(0,N('Deal maths'!M1171))</f>
        <v/>
      </c>
      <c r="C3168" s="91">
        <f>IF(B3168&gt;0,IF('Deal maths'!L1171="Local authority","Local authorities",LOWER(TRIM('Deal maths'!K1171))),"")</f>
        <v/>
      </c>
      <c r="D3168" s="91">
        <f>IF(C3168="","",IF(COUNTIF($C$4:C3167,C3168)=0,SUMIF($C$4:$C$3997,C3168,$B$4:$B$3997)-ROW()/1000000,""))</f>
        <v/>
      </c>
      <c r="E3168" s="91">
        <f>IF(N('Deal maths'!M1171)&gt;0,ROW()/10000000,"")</f>
        <v/>
      </c>
    </row>
    <row r="3169">
      <c r="A3169" s="91" t="n"/>
      <c r="B3169" s="111">
        <f>MAX(0,N('Deal maths'!M1172))</f>
        <v/>
      </c>
      <c r="C3169" s="91">
        <f>IF(B3169&gt;0,IF('Deal maths'!L1172="Local authority","Local authorities",LOWER(TRIM('Deal maths'!K1172))),"")</f>
        <v/>
      </c>
      <c r="D3169" s="91">
        <f>IF(C3169="","",IF(COUNTIF($C$4:C3168,C3169)=0,SUMIF($C$4:$C$3997,C3169,$B$4:$B$3997)-ROW()/1000000,""))</f>
        <v/>
      </c>
      <c r="E3169" s="91">
        <f>IF(N('Deal maths'!M1172)&gt;0,ROW()/10000000,"")</f>
        <v/>
      </c>
    </row>
    <row r="3170">
      <c r="A3170" s="91" t="n"/>
      <c r="B3170" s="111">
        <f>MAX(0,N('Deal maths'!M1173))</f>
        <v/>
      </c>
      <c r="C3170" s="91">
        <f>IF(B3170&gt;0,IF('Deal maths'!L1173="Local authority","Local authorities",LOWER(TRIM('Deal maths'!K1173))),"")</f>
        <v/>
      </c>
      <c r="D3170" s="91">
        <f>IF(C3170="","",IF(COUNTIF($C$4:C3169,C3170)=0,SUMIF($C$4:$C$3997,C3170,$B$4:$B$3997)-ROW()/1000000,""))</f>
        <v/>
      </c>
      <c r="E3170" s="91">
        <f>IF(N('Deal maths'!M1173)&gt;0,ROW()/10000000,"")</f>
        <v/>
      </c>
    </row>
    <row r="3171">
      <c r="A3171" s="91" t="n"/>
      <c r="B3171" s="111">
        <f>MAX(0,N('Deal maths'!M1174))</f>
        <v/>
      </c>
      <c r="C3171" s="91">
        <f>IF(B3171&gt;0,IF('Deal maths'!L1174="Local authority","Local authorities",LOWER(TRIM('Deal maths'!K1174))),"")</f>
        <v/>
      </c>
      <c r="D3171" s="91">
        <f>IF(C3171="","",IF(COUNTIF($C$4:C3170,C3171)=0,SUMIF($C$4:$C$3997,C3171,$B$4:$B$3997)-ROW()/1000000,""))</f>
        <v/>
      </c>
      <c r="E3171" s="91">
        <f>IF(N('Deal maths'!M1174)&gt;0,ROW()/10000000,"")</f>
        <v/>
      </c>
    </row>
    <row r="3172">
      <c r="A3172" s="91" t="n"/>
      <c r="B3172" s="111">
        <f>MAX(0,N('Deal maths'!M1175))</f>
        <v/>
      </c>
      <c r="C3172" s="91">
        <f>IF(B3172&gt;0,IF('Deal maths'!L1175="Local authority","Local authorities",LOWER(TRIM('Deal maths'!K1175))),"")</f>
        <v/>
      </c>
      <c r="D3172" s="91">
        <f>IF(C3172="","",IF(COUNTIF($C$4:C3171,C3172)=0,SUMIF($C$4:$C$3997,C3172,$B$4:$B$3997)-ROW()/1000000,""))</f>
        <v/>
      </c>
      <c r="E3172" s="91">
        <f>IF(N('Deal maths'!M1175)&gt;0,ROW()/10000000,"")</f>
        <v/>
      </c>
    </row>
    <row r="3173">
      <c r="A3173" s="91" t="n"/>
      <c r="B3173" s="111">
        <f>MAX(0,N('Deal maths'!M1176))</f>
        <v/>
      </c>
      <c r="C3173" s="91">
        <f>IF(B3173&gt;0,IF('Deal maths'!L1176="Local authority","Local authorities",LOWER(TRIM('Deal maths'!K1176))),"")</f>
        <v/>
      </c>
      <c r="D3173" s="91">
        <f>IF(C3173="","",IF(COUNTIF($C$4:C3172,C3173)=0,SUMIF($C$4:$C$3997,C3173,$B$4:$B$3997)-ROW()/1000000,""))</f>
        <v/>
      </c>
      <c r="E3173" s="91">
        <f>IF(N('Deal maths'!M1176)&gt;0,ROW()/10000000,"")</f>
        <v/>
      </c>
    </row>
    <row r="3174">
      <c r="A3174" s="91" t="n"/>
      <c r="B3174" s="111">
        <f>MAX(0,N('Deal maths'!M1177))</f>
        <v/>
      </c>
      <c r="C3174" s="91">
        <f>IF(B3174&gt;0,IF('Deal maths'!L1177="Local authority","Local authorities",LOWER(TRIM('Deal maths'!K1177))),"")</f>
        <v/>
      </c>
      <c r="D3174" s="91">
        <f>IF(C3174="","",IF(COUNTIF($C$4:C3173,C3174)=0,SUMIF($C$4:$C$3997,C3174,$B$4:$B$3997)-ROW()/1000000,""))</f>
        <v/>
      </c>
      <c r="E3174" s="91">
        <f>IF(N('Deal maths'!M1177)&gt;0,ROW()/10000000,"")</f>
        <v/>
      </c>
    </row>
    <row r="3175">
      <c r="A3175" s="91" t="n"/>
      <c r="B3175" s="111">
        <f>MAX(0,N('Deal maths'!M1178))</f>
        <v/>
      </c>
      <c r="C3175" s="91">
        <f>IF(B3175&gt;0,IF('Deal maths'!L1178="Local authority","Local authorities",LOWER(TRIM('Deal maths'!K1178))),"")</f>
        <v/>
      </c>
      <c r="D3175" s="91">
        <f>IF(C3175="","",IF(COUNTIF($C$4:C3174,C3175)=0,SUMIF($C$4:$C$3997,C3175,$B$4:$B$3997)-ROW()/1000000,""))</f>
        <v/>
      </c>
      <c r="E3175" s="91">
        <f>IF(N('Deal maths'!M1178)&gt;0,ROW()/10000000,"")</f>
        <v/>
      </c>
    </row>
    <row r="3176">
      <c r="A3176" s="91" t="n"/>
      <c r="B3176" s="111">
        <f>MAX(0,N('Deal maths'!M1179))</f>
        <v/>
      </c>
      <c r="C3176" s="91">
        <f>IF(B3176&gt;0,IF('Deal maths'!L1179="Local authority","Local authorities",LOWER(TRIM('Deal maths'!K1179))),"")</f>
        <v/>
      </c>
      <c r="D3176" s="91">
        <f>IF(C3176="","",IF(COUNTIF($C$4:C3175,C3176)=0,SUMIF($C$4:$C$3997,C3176,$B$4:$B$3997)-ROW()/1000000,""))</f>
        <v/>
      </c>
      <c r="E3176" s="91">
        <f>IF(N('Deal maths'!M1179)&gt;0,ROW()/10000000,"")</f>
        <v/>
      </c>
    </row>
    <row r="3177">
      <c r="A3177" s="91" t="n"/>
      <c r="B3177" s="111">
        <f>MAX(0,N('Deal maths'!M1180))</f>
        <v/>
      </c>
      <c r="C3177" s="91">
        <f>IF(B3177&gt;0,IF('Deal maths'!L1180="Local authority","Local authorities",LOWER(TRIM('Deal maths'!K1180))),"")</f>
        <v/>
      </c>
      <c r="D3177" s="91">
        <f>IF(C3177="","",IF(COUNTIF($C$4:C3176,C3177)=0,SUMIF($C$4:$C$3997,C3177,$B$4:$B$3997)-ROW()/1000000,""))</f>
        <v/>
      </c>
      <c r="E3177" s="91">
        <f>IF(N('Deal maths'!M1180)&gt;0,ROW()/10000000,"")</f>
        <v/>
      </c>
    </row>
    <row r="3178">
      <c r="A3178" s="91" t="n"/>
      <c r="B3178" s="111">
        <f>MAX(0,N('Deal maths'!M1181))</f>
        <v/>
      </c>
      <c r="C3178" s="91">
        <f>IF(B3178&gt;0,IF('Deal maths'!L1181="Local authority","Local authorities",LOWER(TRIM('Deal maths'!K1181))),"")</f>
        <v/>
      </c>
      <c r="D3178" s="91">
        <f>IF(C3178="","",IF(COUNTIF($C$4:C3177,C3178)=0,SUMIF($C$4:$C$3997,C3178,$B$4:$B$3997)-ROW()/1000000,""))</f>
        <v/>
      </c>
      <c r="E3178" s="91">
        <f>IF(N('Deal maths'!M1181)&gt;0,ROW()/10000000,"")</f>
        <v/>
      </c>
    </row>
    <row r="3179">
      <c r="A3179" s="91" t="n"/>
      <c r="B3179" s="111">
        <f>MAX(0,N('Deal maths'!M1182))</f>
        <v/>
      </c>
      <c r="C3179" s="91">
        <f>IF(B3179&gt;0,IF('Deal maths'!L1182="Local authority","Local authorities",LOWER(TRIM('Deal maths'!K1182))),"")</f>
        <v/>
      </c>
      <c r="D3179" s="91">
        <f>IF(C3179="","",IF(COUNTIF($C$4:C3178,C3179)=0,SUMIF($C$4:$C$3997,C3179,$B$4:$B$3997)-ROW()/1000000,""))</f>
        <v/>
      </c>
      <c r="E3179" s="91">
        <f>IF(N('Deal maths'!M1182)&gt;0,ROW()/10000000,"")</f>
        <v/>
      </c>
    </row>
    <row r="3180">
      <c r="A3180" s="91" t="n"/>
      <c r="B3180" s="111">
        <f>MAX(0,N('Deal maths'!M1183))</f>
        <v/>
      </c>
      <c r="C3180" s="91">
        <f>IF(B3180&gt;0,IF('Deal maths'!L1183="Local authority","Local authorities",LOWER(TRIM('Deal maths'!K1183))),"")</f>
        <v/>
      </c>
      <c r="D3180" s="91">
        <f>IF(C3180="","",IF(COUNTIF($C$4:C3179,C3180)=0,SUMIF($C$4:$C$3997,C3180,$B$4:$B$3997)-ROW()/1000000,""))</f>
        <v/>
      </c>
      <c r="E3180" s="91">
        <f>IF(N('Deal maths'!M1183)&gt;0,ROW()/10000000,"")</f>
        <v/>
      </c>
    </row>
    <row r="3181">
      <c r="A3181" s="91" t="n"/>
      <c r="B3181" s="111">
        <f>MAX(0,N('Deal maths'!M1184))</f>
        <v/>
      </c>
      <c r="C3181" s="91">
        <f>IF(B3181&gt;0,IF('Deal maths'!L1184="Local authority","Local authorities",LOWER(TRIM('Deal maths'!K1184))),"")</f>
        <v/>
      </c>
      <c r="D3181" s="91">
        <f>IF(C3181="","",IF(COUNTIF($C$4:C3180,C3181)=0,SUMIF($C$4:$C$3997,C3181,$B$4:$B$3997)-ROW()/1000000,""))</f>
        <v/>
      </c>
      <c r="E3181" s="91">
        <f>IF(N('Deal maths'!M1184)&gt;0,ROW()/10000000,"")</f>
        <v/>
      </c>
    </row>
    <row r="3182">
      <c r="A3182" s="91" t="n"/>
      <c r="B3182" s="111">
        <f>MAX(0,N('Deal maths'!M1185))</f>
        <v/>
      </c>
      <c r="C3182" s="91">
        <f>IF(B3182&gt;0,IF('Deal maths'!L1185="Local authority","Local authorities",LOWER(TRIM('Deal maths'!K1185))),"")</f>
        <v/>
      </c>
      <c r="D3182" s="91">
        <f>IF(C3182="","",IF(COUNTIF($C$4:C3181,C3182)=0,SUMIF($C$4:$C$3997,C3182,$B$4:$B$3997)-ROW()/1000000,""))</f>
        <v/>
      </c>
      <c r="E3182" s="91">
        <f>IF(N('Deal maths'!M1185)&gt;0,ROW()/10000000,"")</f>
        <v/>
      </c>
    </row>
    <row r="3183">
      <c r="A3183" s="91" t="n"/>
      <c r="B3183" s="111">
        <f>MAX(0,N('Deal maths'!M1186))</f>
        <v/>
      </c>
      <c r="C3183" s="91">
        <f>IF(B3183&gt;0,IF('Deal maths'!L1186="Local authority","Local authorities",LOWER(TRIM('Deal maths'!K1186))),"")</f>
        <v/>
      </c>
      <c r="D3183" s="91">
        <f>IF(C3183="","",IF(COUNTIF($C$4:C3182,C3183)=0,SUMIF($C$4:$C$3997,C3183,$B$4:$B$3997)-ROW()/1000000,""))</f>
        <v/>
      </c>
      <c r="E3183" s="91">
        <f>IF(N('Deal maths'!M1186)&gt;0,ROW()/10000000,"")</f>
        <v/>
      </c>
    </row>
    <row r="3184">
      <c r="A3184" s="91" t="n"/>
      <c r="B3184" s="111">
        <f>MAX(0,N('Deal maths'!M1187))</f>
        <v/>
      </c>
      <c r="C3184" s="91">
        <f>IF(B3184&gt;0,IF('Deal maths'!L1187="Local authority","Local authorities",LOWER(TRIM('Deal maths'!K1187))),"")</f>
        <v/>
      </c>
      <c r="D3184" s="91">
        <f>IF(C3184="","",IF(COUNTIF($C$4:C3183,C3184)=0,SUMIF($C$4:$C$3997,C3184,$B$4:$B$3997)-ROW()/1000000,""))</f>
        <v/>
      </c>
      <c r="E3184" s="91">
        <f>IF(N('Deal maths'!M1187)&gt;0,ROW()/10000000,"")</f>
        <v/>
      </c>
    </row>
    <row r="3185">
      <c r="A3185" s="91" t="n"/>
      <c r="B3185" s="111">
        <f>MAX(0,N('Deal maths'!M1188))</f>
        <v/>
      </c>
      <c r="C3185" s="91">
        <f>IF(B3185&gt;0,IF('Deal maths'!L1188="Local authority","Local authorities",LOWER(TRIM('Deal maths'!K1188))),"")</f>
        <v/>
      </c>
      <c r="D3185" s="91">
        <f>IF(C3185="","",IF(COUNTIF($C$4:C3184,C3185)=0,SUMIF($C$4:$C$3997,C3185,$B$4:$B$3997)-ROW()/1000000,""))</f>
        <v/>
      </c>
      <c r="E3185" s="91">
        <f>IF(N('Deal maths'!M1188)&gt;0,ROW()/10000000,"")</f>
        <v/>
      </c>
    </row>
    <row r="3186">
      <c r="A3186" s="91" t="n"/>
      <c r="B3186" s="111">
        <f>MAX(0,N('Deal maths'!M1189))</f>
        <v/>
      </c>
      <c r="C3186" s="91">
        <f>IF(B3186&gt;0,IF('Deal maths'!L1189="Local authority","Local authorities",LOWER(TRIM('Deal maths'!K1189))),"")</f>
        <v/>
      </c>
      <c r="D3186" s="91">
        <f>IF(C3186="","",IF(COUNTIF($C$4:C3185,C3186)=0,SUMIF($C$4:$C$3997,C3186,$B$4:$B$3997)-ROW()/1000000,""))</f>
        <v/>
      </c>
      <c r="E3186" s="91">
        <f>IF(N('Deal maths'!M1189)&gt;0,ROW()/10000000,"")</f>
        <v/>
      </c>
    </row>
    <row r="3187">
      <c r="A3187" s="91" t="n"/>
      <c r="B3187" s="111">
        <f>MAX(0,N('Deal maths'!M1190))</f>
        <v/>
      </c>
      <c r="C3187" s="91">
        <f>IF(B3187&gt;0,IF('Deal maths'!L1190="Local authority","Local authorities",LOWER(TRIM('Deal maths'!K1190))),"")</f>
        <v/>
      </c>
      <c r="D3187" s="91">
        <f>IF(C3187="","",IF(COUNTIF($C$4:C3186,C3187)=0,SUMIF($C$4:$C$3997,C3187,$B$4:$B$3997)-ROW()/1000000,""))</f>
        <v/>
      </c>
      <c r="E3187" s="91">
        <f>IF(N('Deal maths'!M1190)&gt;0,ROW()/10000000,"")</f>
        <v/>
      </c>
    </row>
    <row r="3188">
      <c r="A3188" s="91" t="n"/>
      <c r="B3188" s="111">
        <f>MAX(0,N('Deal maths'!M1191))</f>
        <v/>
      </c>
      <c r="C3188" s="91">
        <f>IF(B3188&gt;0,IF('Deal maths'!L1191="Local authority","Local authorities",LOWER(TRIM('Deal maths'!K1191))),"")</f>
        <v/>
      </c>
      <c r="D3188" s="91">
        <f>IF(C3188="","",IF(COUNTIF($C$4:C3187,C3188)=0,SUMIF($C$4:$C$3997,C3188,$B$4:$B$3997)-ROW()/1000000,""))</f>
        <v/>
      </c>
      <c r="E3188" s="91">
        <f>IF(N('Deal maths'!M1191)&gt;0,ROW()/10000000,"")</f>
        <v/>
      </c>
    </row>
    <row r="3189">
      <c r="A3189" s="91" t="n"/>
      <c r="B3189" s="111">
        <f>MAX(0,N('Deal maths'!M1192))</f>
        <v/>
      </c>
      <c r="C3189" s="91">
        <f>IF(B3189&gt;0,IF('Deal maths'!L1192="Local authority","Local authorities",LOWER(TRIM('Deal maths'!K1192))),"")</f>
        <v/>
      </c>
      <c r="D3189" s="91">
        <f>IF(C3189="","",IF(COUNTIF($C$4:C3188,C3189)=0,SUMIF($C$4:$C$3997,C3189,$B$4:$B$3997)-ROW()/1000000,""))</f>
        <v/>
      </c>
      <c r="E3189" s="91">
        <f>IF(N('Deal maths'!M1192)&gt;0,ROW()/10000000,"")</f>
        <v/>
      </c>
    </row>
    <row r="3190">
      <c r="A3190" s="91" t="n"/>
      <c r="B3190" s="111">
        <f>MAX(0,N('Deal maths'!M1193))</f>
        <v/>
      </c>
      <c r="C3190" s="91">
        <f>IF(B3190&gt;0,IF('Deal maths'!L1193="Local authority","Local authorities",LOWER(TRIM('Deal maths'!K1193))),"")</f>
        <v/>
      </c>
      <c r="D3190" s="91">
        <f>IF(C3190="","",IF(COUNTIF($C$4:C3189,C3190)=0,SUMIF($C$4:$C$3997,C3190,$B$4:$B$3997)-ROW()/1000000,""))</f>
        <v/>
      </c>
      <c r="E3190" s="91">
        <f>IF(N('Deal maths'!M1193)&gt;0,ROW()/10000000,"")</f>
        <v/>
      </c>
    </row>
    <row r="3191">
      <c r="A3191" s="91" t="n"/>
      <c r="B3191" s="111">
        <f>MAX(0,N('Deal maths'!M1194))</f>
        <v/>
      </c>
      <c r="C3191" s="91">
        <f>IF(B3191&gt;0,IF('Deal maths'!L1194="Local authority","Local authorities",LOWER(TRIM('Deal maths'!K1194))),"")</f>
        <v/>
      </c>
      <c r="D3191" s="91">
        <f>IF(C3191="","",IF(COUNTIF($C$4:C3190,C3191)=0,SUMIF($C$4:$C$3997,C3191,$B$4:$B$3997)-ROW()/1000000,""))</f>
        <v/>
      </c>
      <c r="E3191" s="91">
        <f>IF(N('Deal maths'!M1194)&gt;0,ROW()/10000000,"")</f>
        <v/>
      </c>
    </row>
    <row r="3192">
      <c r="A3192" s="91" t="n"/>
      <c r="B3192" s="111">
        <f>MAX(0,N('Deal maths'!M1195))</f>
        <v/>
      </c>
      <c r="C3192" s="91">
        <f>IF(B3192&gt;0,IF('Deal maths'!L1195="Local authority","Local authorities",LOWER(TRIM('Deal maths'!K1195))),"")</f>
        <v/>
      </c>
      <c r="D3192" s="91">
        <f>IF(C3192="","",IF(COUNTIF($C$4:C3191,C3192)=0,SUMIF($C$4:$C$3997,C3192,$B$4:$B$3997)-ROW()/1000000,""))</f>
        <v/>
      </c>
      <c r="E3192" s="91">
        <f>IF(N('Deal maths'!M1195)&gt;0,ROW()/10000000,"")</f>
        <v/>
      </c>
    </row>
    <row r="3193">
      <c r="A3193" s="91" t="n"/>
      <c r="B3193" s="111">
        <f>MAX(0,N('Deal maths'!M1196))</f>
        <v/>
      </c>
      <c r="C3193" s="91">
        <f>IF(B3193&gt;0,IF('Deal maths'!L1196="Local authority","Local authorities",LOWER(TRIM('Deal maths'!K1196))),"")</f>
        <v/>
      </c>
      <c r="D3193" s="91">
        <f>IF(C3193="","",IF(COUNTIF($C$4:C3192,C3193)=0,SUMIF($C$4:$C$3997,C3193,$B$4:$B$3997)-ROW()/1000000,""))</f>
        <v/>
      </c>
      <c r="E3193" s="91">
        <f>IF(N('Deal maths'!M1196)&gt;0,ROW()/10000000,"")</f>
        <v/>
      </c>
    </row>
    <row r="3194">
      <c r="A3194" s="91" t="n"/>
      <c r="B3194" s="111">
        <f>MAX(0,N('Deal maths'!M1197))</f>
        <v/>
      </c>
      <c r="C3194" s="91">
        <f>IF(B3194&gt;0,IF('Deal maths'!L1197="Local authority","Local authorities",LOWER(TRIM('Deal maths'!K1197))),"")</f>
        <v/>
      </c>
      <c r="D3194" s="91">
        <f>IF(C3194="","",IF(COUNTIF($C$4:C3193,C3194)=0,SUMIF($C$4:$C$3997,C3194,$B$4:$B$3997)-ROW()/1000000,""))</f>
        <v/>
      </c>
      <c r="E3194" s="91">
        <f>IF(N('Deal maths'!M1197)&gt;0,ROW()/10000000,"")</f>
        <v/>
      </c>
    </row>
    <row r="3195">
      <c r="A3195" s="91" t="n"/>
      <c r="B3195" s="111">
        <f>MAX(0,N('Deal maths'!M1198))</f>
        <v/>
      </c>
      <c r="C3195" s="91">
        <f>IF(B3195&gt;0,IF('Deal maths'!L1198="Local authority","Local authorities",LOWER(TRIM('Deal maths'!K1198))),"")</f>
        <v/>
      </c>
      <c r="D3195" s="91">
        <f>IF(C3195="","",IF(COUNTIF($C$4:C3194,C3195)=0,SUMIF($C$4:$C$3997,C3195,$B$4:$B$3997)-ROW()/1000000,""))</f>
        <v/>
      </c>
      <c r="E3195" s="91">
        <f>IF(N('Deal maths'!M1198)&gt;0,ROW()/10000000,"")</f>
        <v/>
      </c>
    </row>
    <row r="3196">
      <c r="A3196" s="91" t="n"/>
      <c r="B3196" s="111">
        <f>MAX(0,N('Deal maths'!M1199))</f>
        <v/>
      </c>
      <c r="C3196" s="91">
        <f>IF(B3196&gt;0,IF('Deal maths'!L1199="Local authority","Local authorities",LOWER(TRIM('Deal maths'!K1199))),"")</f>
        <v/>
      </c>
      <c r="D3196" s="91">
        <f>IF(C3196="","",IF(COUNTIF($C$4:C3195,C3196)=0,SUMIF($C$4:$C$3997,C3196,$B$4:$B$3997)-ROW()/1000000,""))</f>
        <v/>
      </c>
      <c r="E3196" s="91">
        <f>IF(N('Deal maths'!M1199)&gt;0,ROW()/10000000,"")</f>
        <v/>
      </c>
    </row>
    <row r="3197">
      <c r="A3197" s="91" t="n"/>
      <c r="B3197" s="111">
        <f>MAX(0,N('Deal maths'!M1200))</f>
        <v/>
      </c>
      <c r="C3197" s="91">
        <f>IF(B3197&gt;0,IF('Deal maths'!L1200="Local authority","Local authorities",LOWER(TRIM('Deal maths'!K1200))),"")</f>
        <v/>
      </c>
      <c r="D3197" s="91">
        <f>IF(C3197="","",IF(COUNTIF($C$4:C3196,C3197)=0,SUMIF($C$4:$C$3997,C3197,$B$4:$B$3997)-ROW()/1000000,""))</f>
        <v/>
      </c>
      <c r="E3197" s="91">
        <f>IF(N('Deal maths'!M1200)&gt;0,ROW()/10000000,"")</f>
        <v/>
      </c>
    </row>
    <row r="3198">
      <c r="A3198" s="91" t="n"/>
      <c r="B3198" s="111">
        <f>MAX(0,N('Deal maths'!M1201))</f>
        <v/>
      </c>
      <c r="C3198" s="91">
        <f>IF(B3198&gt;0,IF('Deal maths'!L1201="Local authority","Local authorities",LOWER(TRIM('Deal maths'!K1201))),"")</f>
        <v/>
      </c>
      <c r="D3198" s="91">
        <f>IF(C3198="","",IF(COUNTIF($C$4:C3197,C3198)=0,SUMIF($C$4:$C$3997,C3198,$B$4:$B$3997)-ROW()/1000000,""))</f>
        <v/>
      </c>
      <c r="E3198" s="91">
        <f>IF(N('Deal maths'!M1201)&gt;0,ROW()/10000000,"")</f>
        <v/>
      </c>
    </row>
    <row r="3199">
      <c r="A3199" s="91" t="n"/>
      <c r="B3199" s="111">
        <f>MAX(0,N('Deal maths'!M1202))</f>
        <v/>
      </c>
      <c r="C3199" s="91">
        <f>IF(B3199&gt;0,IF('Deal maths'!L1202="Local authority","Local authorities",LOWER(TRIM('Deal maths'!K1202))),"")</f>
        <v/>
      </c>
      <c r="D3199" s="91">
        <f>IF(C3199="","",IF(COUNTIF($C$4:C3198,C3199)=0,SUMIF($C$4:$C$3997,C3199,$B$4:$B$3997)-ROW()/1000000,""))</f>
        <v/>
      </c>
      <c r="E3199" s="91">
        <f>IF(N('Deal maths'!M1202)&gt;0,ROW()/10000000,"")</f>
        <v/>
      </c>
    </row>
    <row r="3200">
      <c r="A3200" s="91" t="n"/>
      <c r="B3200" s="111">
        <f>MAX(0,N('Deal maths'!M1203))</f>
        <v/>
      </c>
      <c r="C3200" s="91">
        <f>IF(B3200&gt;0,IF('Deal maths'!L1203="Local authority","Local authorities",LOWER(TRIM('Deal maths'!K1203))),"")</f>
        <v/>
      </c>
      <c r="D3200" s="91">
        <f>IF(C3200="","",IF(COUNTIF($C$4:C3199,C3200)=0,SUMIF($C$4:$C$3997,C3200,$B$4:$B$3997)-ROW()/1000000,""))</f>
        <v/>
      </c>
      <c r="E3200" s="91">
        <f>IF(N('Deal maths'!M1203)&gt;0,ROW()/10000000,"")</f>
        <v/>
      </c>
    </row>
    <row r="3201">
      <c r="A3201" s="91" t="n"/>
      <c r="B3201" s="111">
        <f>MAX(0,N('Deal maths'!M1204))</f>
        <v/>
      </c>
      <c r="C3201" s="91">
        <f>IF(B3201&gt;0,IF('Deal maths'!L1204="Local authority","Local authorities",LOWER(TRIM('Deal maths'!K1204))),"")</f>
        <v/>
      </c>
      <c r="D3201" s="91">
        <f>IF(C3201="","",IF(COUNTIF($C$4:C3200,C3201)=0,SUMIF($C$4:$C$3997,C3201,$B$4:$B$3997)-ROW()/1000000,""))</f>
        <v/>
      </c>
      <c r="E3201" s="91">
        <f>IF(N('Deal maths'!M1204)&gt;0,ROW()/10000000,"")</f>
        <v/>
      </c>
    </row>
    <row r="3202">
      <c r="A3202" s="91" t="n"/>
      <c r="B3202" s="111">
        <f>MAX(0,N('Deal maths'!M1205))</f>
        <v/>
      </c>
      <c r="C3202" s="91">
        <f>IF(B3202&gt;0,IF('Deal maths'!L1205="Local authority","Local authorities",LOWER(TRIM('Deal maths'!K1205))),"")</f>
        <v/>
      </c>
      <c r="D3202" s="91">
        <f>IF(C3202="","",IF(COUNTIF($C$4:C3201,C3202)=0,SUMIF($C$4:$C$3997,C3202,$B$4:$B$3997)-ROW()/1000000,""))</f>
        <v/>
      </c>
      <c r="E3202" s="91">
        <f>IF(N('Deal maths'!M1205)&gt;0,ROW()/10000000,"")</f>
        <v/>
      </c>
    </row>
    <row r="3203">
      <c r="A3203" s="91" t="n"/>
      <c r="B3203" s="111">
        <f>MAX(0,N('Deal maths'!M1206))</f>
        <v/>
      </c>
      <c r="C3203" s="91">
        <f>IF(B3203&gt;0,IF('Deal maths'!L1206="Local authority","Local authorities",LOWER(TRIM('Deal maths'!K1206))),"")</f>
        <v/>
      </c>
      <c r="D3203" s="91">
        <f>IF(C3203="","",IF(COUNTIF($C$4:C3202,C3203)=0,SUMIF($C$4:$C$3997,C3203,$B$4:$B$3997)-ROW()/1000000,""))</f>
        <v/>
      </c>
      <c r="E3203" s="91">
        <f>IF(N('Deal maths'!M1206)&gt;0,ROW()/10000000,"")</f>
        <v/>
      </c>
    </row>
    <row r="3204">
      <c r="A3204" s="91" t="n"/>
      <c r="B3204" s="111">
        <f>MAX(0,N('Deal maths'!M1207))</f>
        <v/>
      </c>
      <c r="C3204" s="91">
        <f>IF(B3204&gt;0,IF('Deal maths'!L1207="Local authority","Local authorities",LOWER(TRIM('Deal maths'!K1207))),"")</f>
        <v/>
      </c>
      <c r="D3204" s="91">
        <f>IF(C3204="","",IF(COUNTIF($C$4:C3203,C3204)=0,SUMIF($C$4:$C$3997,C3204,$B$4:$B$3997)-ROW()/1000000,""))</f>
        <v/>
      </c>
      <c r="E3204" s="91">
        <f>IF(N('Deal maths'!M1207)&gt;0,ROW()/10000000,"")</f>
        <v/>
      </c>
    </row>
    <row r="3205">
      <c r="A3205" s="91" t="n"/>
      <c r="B3205" s="111">
        <f>MAX(0,N('Deal maths'!M1208))</f>
        <v/>
      </c>
      <c r="C3205" s="91">
        <f>IF(B3205&gt;0,IF('Deal maths'!L1208="Local authority","Local authorities",LOWER(TRIM('Deal maths'!K1208))),"")</f>
        <v/>
      </c>
      <c r="D3205" s="91">
        <f>IF(C3205="","",IF(COUNTIF($C$4:C3204,C3205)=0,SUMIF($C$4:$C$3997,C3205,$B$4:$B$3997)-ROW()/1000000,""))</f>
        <v/>
      </c>
      <c r="E3205" s="91">
        <f>IF(N('Deal maths'!M1208)&gt;0,ROW()/10000000,"")</f>
        <v/>
      </c>
    </row>
    <row r="3206">
      <c r="A3206" s="91" t="n"/>
      <c r="B3206" s="111">
        <f>MAX(0,N('Deal maths'!M1209))</f>
        <v/>
      </c>
      <c r="C3206" s="91">
        <f>IF(B3206&gt;0,IF('Deal maths'!L1209="Local authority","Local authorities",LOWER(TRIM('Deal maths'!K1209))),"")</f>
        <v/>
      </c>
      <c r="D3206" s="91">
        <f>IF(C3206="","",IF(COUNTIF($C$4:C3205,C3206)=0,SUMIF($C$4:$C$3997,C3206,$B$4:$B$3997)-ROW()/1000000,""))</f>
        <v/>
      </c>
      <c r="E3206" s="91">
        <f>IF(N('Deal maths'!M1209)&gt;0,ROW()/10000000,"")</f>
        <v/>
      </c>
    </row>
    <row r="3207">
      <c r="A3207" s="91" t="n"/>
      <c r="B3207" s="111">
        <f>MAX(0,N('Deal maths'!M1210))</f>
        <v/>
      </c>
      <c r="C3207" s="91">
        <f>IF(B3207&gt;0,IF('Deal maths'!L1210="Local authority","Local authorities",LOWER(TRIM('Deal maths'!K1210))),"")</f>
        <v/>
      </c>
      <c r="D3207" s="91">
        <f>IF(C3207="","",IF(COUNTIF($C$4:C3206,C3207)=0,SUMIF($C$4:$C$3997,C3207,$B$4:$B$3997)-ROW()/1000000,""))</f>
        <v/>
      </c>
      <c r="E3207" s="91">
        <f>IF(N('Deal maths'!M1210)&gt;0,ROW()/10000000,"")</f>
        <v/>
      </c>
    </row>
    <row r="3208">
      <c r="A3208" s="91" t="n"/>
      <c r="B3208" s="111">
        <f>MAX(0,N('Deal maths'!M1211))</f>
        <v/>
      </c>
      <c r="C3208" s="91">
        <f>IF(B3208&gt;0,IF('Deal maths'!L1211="Local authority","Local authorities",LOWER(TRIM('Deal maths'!K1211))),"")</f>
        <v/>
      </c>
      <c r="D3208" s="91">
        <f>IF(C3208="","",IF(COUNTIF($C$4:C3207,C3208)=0,SUMIF($C$4:$C$3997,C3208,$B$4:$B$3997)-ROW()/1000000,""))</f>
        <v/>
      </c>
      <c r="E3208" s="91">
        <f>IF(N('Deal maths'!M1211)&gt;0,ROW()/10000000,"")</f>
        <v/>
      </c>
    </row>
    <row r="3209">
      <c r="A3209" s="91" t="n"/>
      <c r="B3209" s="111">
        <f>MAX(0,N('Deal maths'!M1212))</f>
        <v/>
      </c>
      <c r="C3209" s="91">
        <f>IF(B3209&gt;0,IF('Deal maths'!L1212="Local authority","Local authorities",LOWER(TRIM('Deal maths'!K1212))),"")</f>
        <v/>
      </c>
      <c r="D3209" s="91">
        <f>IF(C3209="","",IF(COUNTIF($C$4:C3208,C3209)=0,SUMIF($C$4:$C$3997,C3209,$B$4:$B$3997)-ROW()/1000000,""))</f>
        <v/>
      </c>
      <c r="E3209" s="91">
        <f>IF(N('Deal maths'!M1212)&gt;0,ROW()/10000000,"")</f>
        <v/>
      </c>
    </row>
    <row r="3210">
      <c r="A3210" s="91" t="n"/>
      <c r="B3210" s="111">
        <f>MAX(0,N('Deal maths'!M1213))</f>
        <v/>
      </c>
      <c r="C3210" s="91">
        <f>IF(B3210&gt;0,IF('Deal maths'!L1213="Local authority","Local authorities",LOWER(TRIM('Deal maths'!K1213))),"")</f>
        <v/>
      </c>
      <c r="D3210" s="91">
        <f>IF(C3210="","",IF(COUNTIF($C$4:C3209,C3210)=0,SUMIF($C$4:$C$3997,C3210,$B$4:$B$3997)-ROW()/1000000,""))</f>
        <v/>
      </c>
      <c r="E3210" s="91">
        <f>IF(N('Deal maths'!M1213)&gt;0,ROW()/10000000,"")</f>
        <v/>
      </c>
    </row>
    <row r="3211">
      <c r="A3211" s="91" t="n"/>
      <c r="B3211" s="111">
        <f>MAX(0,N('Deal maths'!M1214))</f>
        <v/>
      </c>
      <c r="C3211" s="91">
        <f>IF(B3211&gt;0,IF('Deal maths'!L1214="Local authority","Local authorities",LOWER(TRIM('Deal maths'!K1214))),"")</f>
        <v/>
      </c>
      <c r="D3211" s="91">
        <f>IF(C3211="","",IF(COUNTIF($C$4:C3210,C3211)=0,SUMIF($C$4:$C$3997,C3211,$B$4:$B$3997)-ROW()/1000000,""))</f>
        <v/>
      </c>
      <c r="E3211" s="91">
        <f>IF(N('Deal maths'!M1214)&gt;0,ROW()/10000000,"")</f>
        <v/>
      </c>
    </row>
    <row r="3212">
      <c r="A3212" s="91" t="n"/>
      <c r="B3212" s="111">
        <f>MAX(0,N('Deal maths'!M1215))</f>
        <v/>
      </c>
      <c r="C3212" s="91">
        <f>IF(B3212&gt;0,IF('Deal maths'!L1215="Local authority","Local authorities",LOWER(TRIM('Deal maths'!K1215))),"")</f>
        <v/>
      </c>
      <c r="D3212" s="91">
        <f>IF(C3212="","",IF(COUNTIF($C$4:C3211,C3212)=0,SUMIF($C$4:$C$3997,C3212,$B$4:$B$3997)-ROW()/1000000,""))</f>
        <v/>
      </c>
      <c r="E3212" s="91">
        <f>IF(N('Deal maths'!M1215)&gt;0,ROW()/10000000,"")</f>
        <v/>
      </c>
    </row>
    <row r="3213">
      <c r="A3213" s="91" t="n"/>
      <c r="B3213" s="111">
        <f>MAX(0,N('Deal maths'!M1216))</f>
        <v/>
      </c>
      <c r="C3213" s="91">
        <f>IF(B3213&gt;0,IF('Deal maths'!L1216="Local authority","Local authorities",LOWER(TRIM('Deal maths'!K1216))),"")</f>
        <v/>
      </c>
      <c r="D3213" s="91">
        <f>IF(C3213="","",IF(COUNTIF($C$4:C3212,C3213)=0,SUMIF($C$4:$C$3997,C3213,$B$4:$B$3997)-ROW()/1000000,""))</f>
        <v/>
      </c>
      <c r="E3213" s="91">
        <f>IF(N('Deal maths'!M1216)&gt;0,ROW()/10000000,"")</f>
        <v/>
      </c>
    </row>
    <row r="3214">
      <c r="A3214" s="91" t="n"/>
      <c r="B3214" s="111">
        <f>MAX(0,N('Deal maths'!M1217))</f>
        <v/>
      </c>
      <c r="C3214" s="91">
        <f>IF(B3214&gt;0,IF('Deal maths'!L1217="Local authority","Local authorities",LOWER(TRIM('Deal maths'!K1217))),"")</f>
        <v/>
      </c>
      <c r="D3214" s="91">
        <f>IF(C3214="","",IF(COUNTIF($C$4:C3213,C3214)=0,SUMIF($C$4:$C$3997,C3214,$B$4:$B$3997)-ROW()/1000000,""))</f>
        <v/>
      </c>
      <c r="E3214" s="91">
        <f>IF(N('Deal maths'!M1217)&gt;0,ROW()/10000000,"")</f>
        <v/>
      </c>
    </row>
    <row r="3215">
      <c r="A3215" s="91" t="n"/>
      <c r="B3215" s="111">
        <f>MAX(0,N('Deal maths'!M1218))</f>
        <v/>
      </c>
      <c r="C3215" s="91">
        <f>IF(B3215&gt;0,IF('Deal maths'!L1218="Local authority","Local authorities",LOWER(TRIM('Deal maths'!K1218))),"")</f>
        <v/>
      </c>
      <c r="D3215" s="91">
        <f>IF(C3215="","",IF(COUNTIF($C$4:C3214,C3215)=0,SUMIF($C$4:$C$3997,C3215,$B$4:$B$3997)-ROW()/1000000,""))</f>
        <v/>
      </c>
      <c r="E3215" s="91">
        <f>IF(N('Deal maths'!M1218)&gt;0,ROW()/10000000,"")</f>
        <v/>
      </c>
    </row>
    <row r="3216">
      <c r="A3216" s="91" t="n"/>
      <c r="B3216" s="111">
        <f>MAX(0,N('Deal maths'!M1219))</f>
        <v/>
      </c>
      <c r="C3216" s="91">
        <f>IF(B3216&gt;0,IF('Deal maths'!L1219="Local authority","Local authorities",LOWER(TRIM('Deal maths'!K1219))),"")</f>
        <v/>
      </c>
      <c r="D3216" s="91">
        <f>IF(C3216="","",IF(COUNTIF($C$4:C3215,C3216)=0,SUMIF($C$4:$C$3997,C3216,$B$4:$B$3997)-ROW()/1000000,""))</f>
        <v/>
      </c>
      <c r="E3216" s="91">
        <f>IF(N('Deal maths'!M1219)&gt;0,ROW()/10000000,"")</f>
        <v/>
      </c>
    </row>
    <row r="3217">
      <c r="A3217" s="91" t="n"/>
      <c r="B3217" s="111">
        <f>MAX(0,N('Deal maths'!M1220))</f>
        <v/>
      </c>
      <c r="C3217" s="91">
        <f>IF(B3217&gt;0,IF('Deal maths'!L1220="Local authority","Local authorities",LOWER(TRIM('Deal maths'!K1220))),"")</f>
        <v/>
      </c>
      <c r="D3217" s="91">
        <f>IF(C3217="","",IF(COUNTIF($C$4:C3216,C3217)=0,SUMIF($C$4:$C$3997,C3217,$B$4:$B$3997)-ROW()/1000000,""))</f>
        <v/>
      </c>
      <c r="E3217" s="91">
        <f>IF(N('Deal maths'!M1220)&gt;0,ROW()/10000000,"")</f>
        <v/>
      </c>
    </row>
    <row r="3218">
      <c r="A3218" s="91" t="n"/>
      <c r="B3218" s="111">
        <f>MAX(0,N('Deal maths'!M1221))</f>
        <v/>
      </c>
      <c r="C3218" s="91">
        <f>IF(B3218&gt;0,IF('Deal maths'!L1221="Local authority","Local authorities",LOWER(TRIM('Deal maths'!K1221))),"")</f>
        <v/>
      </c>
      <c r="D3218" s="91">
        <f>IF(C3218="","",IF(COUNTIF($C$4:C3217,C3218)=0,SUMIF($C$4:$C$3997,C3218,$B$4:$B$3997)-ROW()/1000000,""))</f>
        <v/>
      </c>
      <c r="E3218" s="91">
        <f>IF(N('Deal maths'!M1221)&gt;0,ROW()/10000000,"")</f>
        <v/>
      </c>
    </row>
    <row r="3219">
      <c r="A3219" s="91" t="n"/>
      <c r="B3219" s="111">
        <f>MAX(0,N('Deal maths'!M1222))</f>
        <v/>
      </c>
      <c r="C3219" s="91">
        <f>IF(B3219&gt;0,IF('Deal maths'!L1222="Local authority","Local authorities",LOWER(TRIM('Deal maths'!K1222))),"")</f>
        <v/>
      </c>
      <c r="D3219" s="91">
        <f>IF(C3219="","",IF(COUNTIF($C$4:C3218,C3219)=0,SUMIF($C$4:$C$3997,C3219,$B$4:$B$3997)-ROW()/1000000,""))</f>
        <v/>
      </c>
      <c r="E3219" s="91">
        <f>IF(N('Deal maths'!M1222)&gt;0,ROW()/10000000,"")</f>
        <v/>
      </c>
    </row>
    <row r="3220">
      <c r="A3220" s="91" t="n"/>
      <c r="B3220" s="111">
        <f>MAX(0,N('Deal maths'!M1223))</f>
        <v/>
      </c>
      <c r="C3220" s="91">
        <f>IF(B3220&gt;0,IF('Deal maths'!L1223="Local authority","Local authorities",LOWER(TRIM('Deal maths'!K1223))),"")</f>
        <v/>
      </c>
      <c r="D3220" s="91">
        <f>IF(C3220="","",IF(COUNTIF($C$4:C3219,C3220)=0,SUMIF($C$4:$C$3997,C3220,$B$4:$B$3997)-ROW()/1000000,""))</f>
        <v/>
      </c>
      <c r="E3220" s="91">
        <f>IF(N('Deal maths'!M1223)&gt;0,ROW()/10000000,"")</f>
        <v/>
      </c>
    </row>
    <row r="3221">
      <c r="A3221" s="91" t="n"/>
      <c r="B3221" s="111">
        <f>MAX(0,N('Deal maths'!M1224))</f>
        <v/>
      </c>
      <c r="C3221" s="91">
        <f>IF(B3221&gt;0,IF('Deal maths'!L1224="Local authority","Local authorities",LOWER(TRIM('Deal maths'!K1224))),"")</f>
        <v/>
      </c>
      <c r="D3221" s="91">
        <f>IF(C3221="","",IF(COUNTIF($C$4:C3220,C3221)=0,SUMIF($C$4:$C$3997,C3221,$B$4:$B$3997)-ROW()/1000000,""))</f>
        <v/>
      </c>
      <c r="E3221" s="91">
        <f>IF(N('Deal maths'!M1224)&gt;0,ROW()/10000000,"")</f>
        <v/>
      </c>
    </row>
    <row r="3222">
      <c r="A3222" s="91" t="n"/>
      <c r="B3222" s="111">
        <f>MAX(0,N('Deal maths'!M1225))</f>
        <v/>
      </c>
      <c r="C3222" s="91">
        <f>IF(B3222&gt;0,IF('Deal maths'!L1225="Local authority","Local authorities",LOWER(TRIM('Deal maths'!K1225))),"")</f>
        <v/>
      </c>
      <c r="D3222" s="91">
        <f>IF(C3222="","",IF(COUNTIF($C$4:C3221,C3222)=0,SUMIF($C$4:$C$3997,C3222,$B$4:$B$3997)-ROW()/1000000,""))</f>
        <v/>
      </c>
      <c r="E3222" s="91">
        <f>IF(N('Deal maths'!M1225)&gt;0,ROW()/10000000,"")</f>
        <v/>
      </c>
    </row>
    <row r="3223">
      <c r="A3223" s="91" t="n"/>
      <c r="B3223" s="111">
        <f>MAX(0,N('Deal maths'!M1226))</f>
        <v/>
      </c>
      <c r="C3223" s="91">
        <f>IF(B3223&gt;0,IF('Deal maths'!L1226="Local authority","Local authorities",LOWER(TRIM('Deal maths'!K1226))),"")</f>
        <v/>
      </c>
      <c r="D3223" s="91">
        <f>IF(C3223="","",IF(COUNTIF($C$4:C3222,C3223)=0,SUMIF($C$4:$C$3997,C3223,$B$4:$B$3997)-ROW()/1000000,""))</f>
        <v/>
      </c>
      <c r="E3223" s="91">
        <f>IF(N('Deal maths'!M1226)&gt;0,ROW()/10000000,"")</f>
        <v/>
      </c>
    </row>
    <row r="3224">
      <c r="A3224" s="91" t="n"/>
      <c r="B3224" s="111">
        <f>MAX(0,N('Deal maths'!M1227))</f>
        <v/>
      </c>
      <c r="C3224" s="91">
        <f>IF(B3224&gt;0,IF('Deal maths'!L1227="Local authority","Local authorities",LOWER(TRIM('Deal maths'!K1227))),"")</f>
        <v/>
      </c>
      <c r="D3224" s="91">
        <f>IF(C3224="","",IF(COUNTIF($C$4:C3223,C3224)=0,SUMIF($C$4:$C$3997,C3224,$B$4:$B$3997)-ROW()/1000000,""))</f>
        <v/>
      </c>
      <c r="E3224" s="91">
        <f>IF(N('Deal maths'!M1227)&gt;0,ROW()/10000000,"")</f>
        <v/>
      </c>
    </row>
    <row r="3225">
      <c r="A3225" s="91" t="n"/>
      <c r="B3225" s="111">
        <f>MAX(0,N('Deal maths'!M1228))</f>
        <v/>
      </c>
      <c r="C3225" s="91">
        <f>IF(B3225&gt;0,IF('Deal maths'!L1228="Local authority","Local authorities",LOWER(TRIM('Deal maths'!K1228))),"")</f>
        <v/>
      </c>
      <c r="D3225" s="91">
        <f>IF(C3225="","",IF(COUNTIF($C$4:C3224,C3225)=0,SUMIF($C$4:$C$3997,C3225,$B$4:$B$3997)-ROW()/1000000,""))</f>
        <v/>
      </c>
      <c r="E3225" s="91">
        <f>IF(N('Deal maths'!M1228)&gt;0,ROW()/10000000,"")</f>
        <v/>
      </c>
    </row>
    <row r="3226">
      <c r="A3226" s="91" t="n"/>
      <c r="B3226" s="111">
        <f>MAX(0,N('Deal maths'!M1229))</f>
        <v/>
      </c>
      <c r="C3226" s="91">
        <f>IF(B3226&gt;0,IF('Deal maths'!L1229="Local authority","Local authorities",LOWER(TRIM('Deal maths'!K1229))),"")</f>
        <v/>
      </c>
      <c r="D3226" s="91">
        <f>IF(C3226="","",IF(COUNTIF($C$4:C3225,C3226)=0,SUMIF($C$4:$C$3997,C3226,$B$4:$B$3997)-ROW()/1000000,""))</f>
        <v/>
      </c>
      <c r="E3226" s="91">
        <f>IF(N('Deal maths'!M1229)&gt;0,ROW()/10000000,"")</f>
        <v/>
      </c>
    </row>
    <row r="3227">
      <c r="A3227" s="91" t="n"/>
      <c r="B3227" s="111">
        <f>MAX(0,N('Deal maths'!M1230))</f>
        <v/>
      </c>
      <c r="C3227" s="91">
        <f>IF(B3227&gt;0,IF('Deal maths'!L1230="Local authority","Local authorities",LOWER(TRIM('Deal maths'!K1230))),"")</f>
        <v/>
      </c>
      <c r="D3227" s="91">
        <f>IF(C3227="","",IF(COUNTIF($C$4:C3226,C3227)=0,SUMIF($C$4:$C$3997,C3227,$B$4:$B$3997)-ROW()/1000000,""))</f>
        <v/>
      </c>
      <c r="E3227" s="91">
        <f>IF(N('Deal maths'!M1230)&gt;0,ROW()/10000000,"")</f>
        <v/>
      </c>
    </row>
    <row r="3228">
      <c r="A3228" s="91" t="n"/>
      <c r="B3228" s="111">
        <f>MAX(0,N('Deal maths'!M1231))</f>
        <v/>
      </c>
      <c r="C3228" s="91">
        <f>IF(B3228&gt;0,IF('Deal maths'!L1231="Local authority","Local authorities",LOWER(TRIM('Deal maths'!K1231))),"")</f>
        <v/>
      </c>
      <c r="D3228" s="91">
        <f>IF(C3228="","",IF(COUNTIF($C$4:C3227,C3228)=0,SUMIF($C$4:$C$3997,C3228,$B$4:$B$3997)-ROW()/1000000,""))</f>
        <v/>
      </c>
      <c r="E3228" s="91">
        <f>IF(N('Deal maths'!M1231)&gt;0,ROW()/10000000,"")</f>
        <v/>
      </c>
    </row>
    <row r="3229">
      <c r="A3229" s="91" t="n"/>
      <c r="B3229" s="111">
        <f>MAX(0,N('Deal maths'!M1232))</f>
        <v/>
      </c>
      <c r="C3229" s="91">
        <f>IF(B3229&gt;0,IF('Deal maths'!L1232="Local authority","Local authorities",LOWER(TRIM('Deal maths'!K1232))),"")</f>
        <v/>
      </c>
      <c r="D3229" s="91">
        <f>IF(C3229="","",IF(COUNTIF($C$4:C3228,C3229)=0,SUMIF($C$4:$C$3997,C3229,$B$4:$B$3997)-ROW()/1000000,""))</f>
        <v/>
      </c>
      <c r="E3229" s="91">
        <f>IF(N('Deal maths'!M1232)&gt;0,ROW()/10000000,"")</f>
        <v/>
      </c>
    </row>
    <row r="3230">
      <c r="A3230" s="91" t="n"/>
      <c r="B3230" s="111">
        <f>MAX(0,N('Deal maths'!M1233))</f>
        <v/>
      </c>
      <c r="C3230" s="91">
        <f>IF(B3230&gt;0,IF('Deal maths'!L1233="Local authority","Local authorities",LOWER(TRIM('Deal maths'!K1233))),"")</f>
        <v/>
      </c>
      <c r="D3230" s="91">
        <f>IF(C3230="","",IF(COUNTIF($C$4:C3229,C3230)=0,SUMIF($C$4:$C$3997,C3230,$B$4:$B$3997)-ROW()/1000000,""))</f>
        <v/>
      </c>
      <c r="E3230" s="91">
        <f>IF(N('Deal maths'!M1233)&gt;0,ROW()/10000000,"")</f>
        <v/>
      </c>
    </row>
    <row r="3231">
      <c r="A3231" s="91" t="n"/>
      <c r="B3231" s="111">
        <f>MAX(0,N('Deal maths'!M1234))</f>
        <v/>
      </c>
      <c r="C3231" s="91">
        <f>IF(B3231&gt;0,IF('Deal maths'!L1234="Local authority","Local authorities",LOWER(TRIM('Deal maths'!K1234))),"")</f>
        <v/>
      </c>
      <c r="D3231" s="91">
        <f>IF(C3231="","",IF(COUNTIF($C$4:C3230,C3231)=0,SUMIF($C$4:$C$3997,C3231,$B$4:$B$3997)-ROW()/1000000,""))</f>
        <v/>
      </c>
      <c r="E3231" s="91">
        <f>IF(N('Deal maths'!M1234)&gt;0,ROW()/10000000,"")</f>
        <v/>
      </c>
    </row>
    <row r="3232">
      <c r="A3232" s="91" t="n"/>
      <c r="B3232" s="111">
        <f>MAX(0,N('Deal maths'!M1235))</f>
        <v/>
      </c>
      <c r="C3232" s="91">
        <f>IF(B3232&gt;0,IF('Deal maths'!L1235="Local authority","Local authorities",LOWER(TRIM('Deal maths'!K1235))),"")</f>
        <v/>
      </c>
      <c r="D3232" s="91">
        <f>IF(C3232="","",IF(COUNTIF($C$4:C3231,C3232)=0,SUMIF($C$4:$C$3997,C3232,$B$4:$B$3997)-ROW()/1000000,""))</f>
        <v/>
      </c>
      <c r="E3232" s="91">
        <f>IF(N('Deal maths'!M1235)&gt;0,ROW()/10000000,"")</f>
        <v/>
      </c>
    </row>
    <row r="3233">
      <c r="A3233" s="91" t="n"/>
      <c r="B3233" s="111">
        <f>MAX(0,N('Deal maths'!M1236))</f>
        <v/>
      </c>
      <c r="C3233" s="91">
        <f>IF(B3233&gt;0,IF('Deal maths'!L1236="Local authority","Local authorities",LOWER(TRIM('Deal maths'!K1236))),"")</f>
        <v/>
      </c>
      <c r="D3233" s="91">
        <f>IF(C3233="","",IF(COUNTIF($C$4:C3232,C3233)=0,SUMIF($C$4:$C$3997,C3233,$B$4:$B$3997)-ROW()/1000000,""))</f>
        <v/>
      </c>
      <c r="E3233" s="91">
        <f>IF(N('Deal maths'!M1236)&gt;0,ROW()/10000000,"")</f>
        <v/>
      </c>
    </row>
    <row r="3234">
      <c r="A3234" s="91" t="n"/>
      <c r="B3234" s="111">
        <f>MAX(0,N('Deal maths'!M1237))</f>
        <v/>
      </c>
      <c r="C3234" s="91">
        <f>IF(B3234&gt;0,IF('Deal maths'!L1237="Local authority","Local authorities",LOWER(TRIM('Deal maths'!K1237))),"")</f>
        <v/>
      </c>
      <c r="D3234" s="91">
        <f>IF(C3234="","",IF(COUNTIF($C$4:C3233,C3234)=0,SUMIF($C$4:$C$3997,C3234,$B$4:$B$3997)-ROW()/1000000,""))</f>
        <v/>
      </c>
      <c r="E3234" s="91">
        <f>IF(N('Deal maths'!M1237)&gt;0,ROW()/10000000,"")</f>
        <v/>
      </c>
    </row>
    <row r="3235">
      <c r="A3235" s="91" t="n"/>
      <c r="B3235" s="111">
        <f>MAX(0,N('Deal maths'!M1238))</f>
        <v/>
      </c>
      <c r="C3235" s="91">
        <f>IF(B3235&gt;0,IF('Deal maths'!L1238="Local authority","Local authorities",LOWER(TRIM('Deal maths'!K1238))),"")</f>
        <v/>
      </c>
      <c r="D3235" s="91">
        <f>IF(C3235="","",IF(COUNTIF($C$4:C3234,C3235)=0,SUMIF($C$4:$C$3997,C3235,$B$4:$B$3997)-ROW()/1000000,""))</f>
        <v/>
      </c>
      <c r="E3235" s="91">
        <f>IF(N('Deal maths'!M1238)&gt;0,ROW()/10000000,"")</f>
        <v/>
      </c>
    </row>
    <row r="3236">
      <c r="A3236" s="91" t="n"/>
      <c r="B3236" s="111">
        <f>MAX(0,N('Deal maths'!M1239))</f>
        <v/>
      </c>
      <c r="C3236" s="91">
        <f>IF(B3236&gt;0,IF('Deal maths'!L1239="Local authority","Local authorities",LOWER(TRIM('Deal maths'!K1239))),"")</f>
        <v/>
      </c>
      <c r="D3236" s="91">
        <f>IF(C3236="","",IF(COUNTIF($C$4:C3235,C3236)=0,SUMIF($C$4:$C$3997,C3236,$B$4:$B$3997)-ROW()/1000000,""))</f>
        <v/>
      </c>
      <c r="E3236" s="91">
        <f>IF(N('Deal maths'!M1239)&gt;0,ROW()/10000000,"")</f>
        <v/>
      </c>
    </row>
    <row r="3237">
      <c r="A3237" s="91" t="n"/>
      <c r="B3237" s="111">
        <f>MAX(0,N('Deal maths'!M1240))</f>
        <v/>
      </c>
      <c r="C3237" s="91">
        <f>IF(B3237&gt;0,IF('Deal maths'!L1240="Local authority","Local authorities",LOWER(TRIM('Deal maths'!K1240))),"")</f>
        <v/>
      </c>
      <c r="D3237" s="91">
        <f>IF(C3237="","",IF(COUNTIF($C$4:C3236,C3237)=0,SUMIF($C$4:$C$3997,C3237,$B$4:$B$3997)-ROW()/1000000,""))</f>
        <v/>
      </c>
      <c r="E3237" s="91">
        <f>IF(N('Deal maths'!M1240)&gt;0,ROW()/10000000,"")</f>
        <v/>
      </c>
    </row>
    <row r="3238">
      <c r="A3238" s="91" t="n"/>
      <c r="B3238" s="111">
        <f>MAX(0,N('Deal maths'!M1241))</f>
        <v/>
      </c>
      <c r="C3238" s="91">
        <f>IF(B3238&gt;0,IF('Deal maths'!L1241="Local authority","Local authorities",LOWER(TRIM('Deal maths'!K1241))),"")</f>
        <v/>
      </c>
      <c r="D3238" s="91">
        <f>IF(C3238="","",IF(COUNTIF($C$4:C3237,C3238)=0,SUMIF($C$4:$C$3997,C3238,$B$4:$B$3997)-ROW()/1000000,""))</f>
        <v/>
      </c>
      <c r="E3238" s="91">
        <f>IF(N('Deal maths'!M1241)&gt;0,ROW()/10000000,"")</f>
        <v/>
      </c>
    </row>
    <row r="3239">
      <c r="A3239" s="91" t="n"/>
      <c r="B3239" s="111">
        <f>MAX(0,N('Deal maths'!M1242))</f>
        <v/>
      </c>
      <c r="C3239" s="91">
        <f>IF(B3239&gt;0,IF('Deal maths'!L1242="Local authority","Local authorities",LOWER(TRIM('Deal maths'!K1242))),"")</f>
        <v/>
      </c>
      <c r="D3239" s="91">
        <f>IF(C3239="","",IF(COUNTIF($C$4:C3238,C3239)=0,SUMIF($C$4:$C$3997,C3239,$B$4:$B$3997)-ROW()/1000000,""))</f>
        <v/>
      </c>
      <c r="E3239" s="91">
        <f>IF(N('Deal maths'!M1242)&gt;0,ROW()/10000000,"")</f>
        <v/>
      </c>
    </row>
    <row r="3240">
      <c r="A3240" s="91" t="n"/>
      <c r="B3240" s="111">
        <f>MAX(0,N('Deal maths'!M1243))</f>
        <v/>
      </c>
      <c r="C3240" s="91">
        <f>IF(B3240&gt;0,IF('Deal maths'!L1243="Local authority","Local authorities",LOWER(TRIM('Deal maths'!K1243))),"")</f>
        <v/>
      </c>
      <c r="D3240" s="91">
        <f>IF(C3240="","",IF(COUNTIF($C$4:C3239,C3240)=0,SUMIF($C$4:$C$3997,C3240,$B$4:$B$3997)-ROW()/1000000,""))</f>
        <v/>
      </c>
      <c r="E3240" s="91">
        <f>IF(N('Deal maths'!M1243)&gt;0,ROW()/10000000,"")</f>
        <v/>
      </c>
    </row>
    <row r="3241">
      <c r="A3241" s="91" t="n"/>
      <c r="B3241" s="111">
        <f>MAX(0,N('Deal maths'!M1244))</f>
        <v/>
      </c>
      <c r="C3241" s="91">
        <f>IF(B3241&gt;0,IF('Deal maths'!L1244="Local authority","Local authorities",LOWER(TRIM('Deal maths'!K1244))),"")</f>
        <v/>
      </c>
      <c r="D3241" s="91">
        <f>IF(C3241="","",IF(COUNTIF($C$4:C3240,C3241)=0,SUMIF($C$4:$C$3997,C3241,$B$4:$B$3997)-ROW()/1000000,""))</f>
        <v/>
      </c>
      <c r="E3241" s="91">
        <f>IF(N('Deal maths'!M1244)&gt;0,ROW()/10000000,"")</f>
        <v/>
      </c>
    </row>
    <row r="3242">
      <c r="A3242" s="91" t="n"/>
      <c r="B3242" s="111">
        <f>MAX(0,N('Deal maths'!M1245))</f>
        <v/>
      </c>
      <c r="C3242" s="91">
        <f>IF(B3242&gt;0,IF('Deal maths'!L1245="Local authority","Local authorities",LOWER(TRIM('Deal maths'!K1245))),"")</f>
        <v/>
      </c>
      <c r="D3242" s="91">
        <f>IF(C3242="","",IF(COUNTIF($C$4:C3241,C3242)=0,SUMIF($C$4:$C$3997,C3242,$B$4:$B$3997)-ROW()/1000000,""))</f>
        <v/>
      </c>
      <c r="E3242" s="91">
        <f>IF(N('Deal maths'!M1245)&gt;0,ROW()/10000000,"")</f>
        <v/>
      </c>
    </row>
    <row r="3243">
      <c r="A3243" s="91" t="n"/>
      <c r="B3243" s="111">
        <f>MAX(0,N('Deal maths'!M1246))</f>
        <v/>
      </c>
      <c r="C3243" s="91">
        <f>IF(B3243&gt;0,IF('Deal maths'!L1246="Local authority","Local authorities",LOWER(TRIM('Deal maths'!K1246))),"")</f>
        <v/>
      </c>
      <c r="D3243" s="91">
        <f>IF(C3243="","",IF(COUNTIF($C$4:C3242,C3243)=0,SUMIF($C$4:$C$3997,C3243,$B$4:$B$3997)-ROW()/1000000,""))</f>
        <v/>
      </c>
      <c r="E3243" s="91">
        <f>IF(N('Deal maths'!M1246)&gt;0,ROW()/10000000,"")</f>
        <v/>
      </c>
    </row>
    <row r="3244">
      <c r="A3244" s="91" t="n"/>
      <c r="B3244" s="111">
        <f>MAX(0,N('Deal maths'!M1247))</f>
        <v/>
      </c>
      <c r="C3244" s="91">
        <f>IF(B3244&gt;0,IF('Deal maths'!L1247="Local authority","Local authorities",LOWER(TRIM('Deal maths'!K1247))),"")</f>
        <v/>
      </c>
      <c r="D3244" s="91">
        <f>IF(C3244="","",IF(COUNTIF($C$4:C3243,C3244)=0,SUMIF($C$4:$C$3997,C3244,$B$4:$B$3997)-ROW()/1000000,""))</f>
        <v/>
      </c>
      <c r="E3244" s="91">
        <f>IF(N('Deal maths'!M1247)&gt;0,ROW()/10000000,"")</f>
        <v/>
      </c>
    </row>
    <row r="3245">
      <c r="A3245" s="91" t="n"/>
      <c r="B3245" s="111">
        <f>MAX(0,N('Deal maths'!M1248))</f>
        <v/>
      </c>
      <c r="C3245" s="91">
        <f>IF(B3245&gt;0,IF('Deal maths'!L1248="Local authority","Local authorities",LOWER(TRIM('Deal maths'!K1248))),"")</f>
        <v/>
      </c>
      <c r="D3245" s="91">
        <f>IF(C3245="","",IF(COUNTIF($C$4:C3244,C3245)=0,SUMIF($C$4:$C$3997,C3245,$B$4:$B$3997)-ROW()/1000000,""))</f>
        <v/>
      </c>
      <c r="E3245" s="91">
        <f>IF(N('Deal maths'!M1248)&gt;0,ROW()/10000000,"")</f>
        <v/>
      </c>
    </row>
    <row r="3246">
      <c r="A3246" s="91" t="n"/>
      <c r="B3246" s="111">
        <f>MAX(0,N('Deal maths'!M1249))</f>
        <v/>
      </c>
      <c r="C3246" s="91">
        <f>IF(B3246&gt;0,IF('Deal maths'!L1249="Local authority","Local authorities",LOWER(TRIM('Deal maths'!K1249))),"")</f>
        <v/>
      </c>
      <c r="D3246" s="91">
        <f>IF(C3246="","",IF(COUNTIF($C$4:C3245,C3246)=0,SUMIF($C$4:$C$3997,C3246,$B$4:$B$3997)-ROW()/1000000,""))</f>
        <v/>
      </c>
      <c r="E3246" s="91">
        <f>IF(N('Deal maths'!M1249)&gt;0,ROW()/10000000,"")</f>
        <v/>
      </c>
    </row>
    <row r="3247">
      <c r="A3247" s="91" t="n"/>
      <c r="B3247" s="111">
        <f>MAX(0,N('Deal maths'!M1250))</f>
        <v/>
      </c>
      <c r="C3247" s="91">
        <f>IF(B3247&gt;0,IF('Deal maths'!L1250="Local authority","Local authorities",LOWER(TRIM('Deal maths'!K1250))),"")</f>
        <v/>
      </c>
      <c r="D3247" s="91">
        <f>IF(C3247="","",IF(COUNTIF($C$4:C3246,C3247)=0,SUMIF($C$4:$C$3997,C3247,$B$4:$B$3997)-ROW()/1000000,""))</f>
        <v/>
      </c>
      <c r="E3247" s="91">
        <f>IF(N('Deal maths'!M1250)&gt;0,ROW()/10000000,"")</f>
        <v/>
      </c>
    </row>
    <row r="3248">
      <c r="A3248" s="91" t="n"/>
      <c r="B3248" s="111">
        <f>MAX(0,N('Deal maths'!M1251))</f>
        <v/>
      </c>
      <c r="C3248" s="91">
        <f>IF(B3248&gt;0,IF('Deal maths'!L1251="Local authority","Local authorities",LOWER(TRIM('Deal maths'!K1251))),"")</f>
        <v/>
      </c>
      <c r="D3248" s="91">
        <f>IF(C3248="","",IF(COUNTIF($C$4:C3247,C3248)=0,SUMIF($C$4:$C$3997,C3248,$B$4:$B$3997)-ROW()/1000000,""))</f>
        <v/>
      </c>
      <c r="E3248" s="91">
        <f>IF(N('Deal maths'!M1251)&gt;0,ROW()/10000000,"")</f>
        <v/>
      </c>
    </row>
    <row r="3249">
      <c r="A3249" s="91" t="n"/>
      <c r="B3249" s="111">
        <f>MAX(0,N('Deal maths'!M1252))</f>
        <v/>
      </c>
      <c r="C3249" s="91">
        <f>IF(B3249&gt;0,IF('Deal maths'!L1252="Local authority","Local authorities",LOWER(TRIM('Deal maths'!K1252))),"")</f>
        <v/>
      </c>
      <c r="D3249" s="91">
        <f>IF(C3249="","",IF(COUNTIF($C$4:C3248,C3249)=0,SUMIF($C$4:$C$3997,C3249,$B$4:$B$3997)-ROW()/1000000,""))</f>
        <v/>
      </c>
      <c r="E3249" s="91">
        <f>IF(N('Deal maths'!M1252)&gt;0,ROW()/10000000,"")</f>
        <v/>
      </c>
    </row>
    <row r="3250">
      <c r="A3250" s="91" t="n"/>
      <c r="B3250" s="111">
        <f>MAX(0,N('Deal maths'!M1253))</f>
        <v/>
      </c>
      <c r="C3250" s="91">
        <f>IF(B3250&gt;0,IF('Deal maths'!L1253="Local authority","Local authorities",LOWER(TRIM('Deal maths'!K1253))),"")</f>
        <v/>
      </c>
      <c r="D3250" s="91">
        <f>IF(C3250="","",IF(COUNTIF($C$4:C3249,C3250)=0,SUMIF($C$4:$C$3997,C3250,$B$4:$B$3997)-ROW()/1000000,""))</f>
        <v/>
      </c>
      <c r="E3250" s="91">
        <f>IF(N('Deal maths'!M1253)&gt;0,ROW()/10000000,"")</f>
        <v/>
      </c>
    </row>
    <row r="3251">
      <c r="A3251" s="91" t="n"/>
      <c r="B3251" s="111">
        <f>MAX(0,N('Deal maths'!M1254))</f>
        <v/>
      </c>
      <c r="C3251" s="91">
        <f>IF(B3251&gt;0,IF('Deal maths'!L1254="Local authority","Local authorities",LOWER(TRIM('Deal maths'!K1254))),"")</f>
        <v/>
      </c>
      <c r="D3251" s="91">
        <f>IF(C3251="","",IF(COUNTIF($C$4:C3250,C3251)=0,SUMIF($C$4:$C$3997,C3251,$B$4:$B$3997)-ROW()/1000000,""))</f>
        <v/>
      </c>
      <c r="E3251" s="91">
        <f>IF(N('Deal maths'!M1254)&gt;0,ROW()/10000000,"")</f>
        <v/>
      </c>
    </row>
    <row r="3252">
      <c r="A3252" s="91" t="n"/>
      <c r="B3252" s="111">
        <f>MAX(0,N('Deal maths'!M1255))</f>
        <v/>
      </c>
      <c r="C3252" s="91">
        <f>IF(B3252&gt;0,IF('Deal maths'!L1255="Local authority","Local authorities",LOWER(TRIM('Deal maths'!K1255))),"")</f>
        <v/>
      </c>
      <c r="D3252" s="91">
        <f>IF(C3252="","",IF(COUNTIF($C$4:C3251,C3252)=0,SUMIF($C$4:$C$3997,C3252,$B$4:$B$3997)-ROW()/1000000,""))</f>
        <v/>
      </c>
      <c r="E3252" s="91">
        <f>IF(N('Deal maths'!M1255)&gt;0,ROW()/10000000,"")</f>
        <v/>
      </c>
    </row>
    <row r="3253">
      <c r="A3253" s="91" t="n"/>
      <c r="B3253" s="111">
        <f>MAX(0,N('Deal maths'!M1256))</f>
        <v/>
      </c>
      <c r="C3253" s="91">
        <f>IF(B3253&gt;0,IF('Deal maths'!L1256="Local authority","Local authorities",LOWER(TRIM('Deal maths'!K1256))),"")</f>
        <v/>
      </c>
      <c r="D3253" s="91">
        <f>IF(C3253="","",IF(COUNTIF($C$4:C3252,C3253)=0,SUMIF($C$4:$C$3997,C3253,$B$4:$B$3997)-ROW()/1000000,""))</f>
        <v/>
      </c>
      <c r="E3253" s="91">
        <f>IF(N('Deal maths'!M1256)&gt;0,ROW()/10000000,"")</f>
        <v/>
      </c>
    </row>
    <row r="3254">
      <c r="A3254" s="91" t="n"/>
      <c r="B3254" s="111">
        <f>MAX(0,N('Deal maths'!M1257))</f>
        <v/>
      </c>
      <c r="C3254" s="91">
        <f>IF(B3254&gt;0,IF('Deal maths'!L1257="Local authority","Local authorities",LOWER(TRIM('Deal maths'!K1257))),"")</f>
        <v/>
      </c>
      <c r="D3254" s="91">
        <f>IF(C3254="","",IF(COUNTIF($C$4:C3253,C3254)=0,SUMIF($C$4:$C$3997,C3254,$B$4:$B$3997)-ROW()/1000000,""))</f>
        <v/>
      </c>
      <c r="E3254" s="91">
        <f>IF(N('Deal maths'!M1257)&gt;0,ROW()/10000000,"")</f>
        <v/>
      </c>
    </row>
    <row r="3255">
      <c r="A3255" s="91" t="n"/>
      <c r="B3255" s="111">
        <f>MAX(0,N('Deal maths'!M1258))</f>
        <v/>
      </c>
      <c r="C3255" s="91">
        <f>IF(B3255&gt;0,IF('Deal maths'!L1258="Local authority","Local authorities",LOWER(TRIM('Deal maths'!K1258))),"")</f>
        <v/>
      </c>
      <c r="D3255" s="91">
        <f>IF(C3255="","",IF(COUNTIF($C$4:C3254,C3255)=0,SUMIF($C$4:$C$3997,C3255,$B$4:$B$3997)-ROW()/1000000,""))</f>
        <v/>
      </c>
      <c r="E3255" s="91">
        <f>IF(N('Deal maths'!M1258)&gt;0,ROW()/10000000,"")</f>
        <v/>
      </c>
    </row>
    <row r="3256">
      <c r="A3256" s="91" t="n"/>
      <c r="B3256" s="111">
        <f>MAX(0,N('Deal maths'!M1259))</f>
        <v/>
      </c>
      <c r="C3256" s="91">
        <f>IF(B3256&gt;0,IF('Deal maths'!L1259="Local authority","Local authorities",LOWER(TRIM('Deal maths'!K1259))),"")</f>
        <v/>
      </c>
      <c r="D3256" s="91">
        <f>IF(C3256="","",IF(COUNTIF($C$4:C3255,C3256)=0,SUMIF($C$4:$C$3997,C3256,$B$4:$B$3997)-ROW()/1000000,""))</f>
        <v/>
      </c>
      <c r="E3256" s="91">
        <f>IF(N('Deal maths'!M1259)&gt;0,ROW()/10000000,"")</f>
        <v/>
      </c>
    </row>
    <row r="3257">
      <c r="A3257" s="91" t="n"/>
      <c r="B3257" s="111">
        <f>MAX(0,N('Deal maths'!M1260))</f>
        <v/>
      </c>
      <c r="C3257" s="91">
        <f>IF(B3257&gt;0,IF('Deal maths'!L1260="Local authority","Local authorities",LOWER(TRIM('Deal maths'!K1260))),"")</f>
        <v/>
      </c>
      <c r="D3257" s="91">
        <f>IF(C3257="","",IF(COUNTIF($C$4:C3256,C3257)=0,SUMIF($C$4:$C$3997,C3257,$B$4:$B$3997)-ROW()/1000000,""))</f>
        <v/>
      </c>
      <c r="E3257" s="91">
        <f>IF(N('Deal maths'!M1260)&gt;0,ROW()/10000000,"")</f>
        <v/>
      </c>
    </row>
    <row r="3258">
      <c r="A3258" s="91" t="n"/>
      <c r="B3258" s="111">
        <f>MAX(0,N('Deal maths'!M1261))</f>
        <v/>
      </c>
      <c r="C3258" s="91">
        <f>IF(B3258&gt;0,IF('Deal maths'!L1261="Local authority","Local authorities",LOWER(TRIM('Deal maths'!K1261))),"")</f>
        <v/>
      </c>
      <c r="D3258" s="91">
        <f>IF(C3258="","",IF(COUNTIF($C$4:C3257,C3258)=0,SUMIF($C$4:$C$3997,C3258,$B$4:$B$3997)-ROW()/1000000,""))</f>
        <v/>
      </c>
      <c r="E3258" s="91">
        <f>IF(N('Deal maths'!M1261)&gt;0,ROW()/10000000,"")</f>
        <v/>
      </c>
    </row>
    <row r="3259">
      <c r="A3259" s="91" t="n"/>
      <c r="B3259" s="111">
        <f>MAX(0,N('Deal maths'!M1262))</f>
        <v/>
      </c>
      <c r="C3259" s="91">
        <f>IF(B3259&gt;0,IF('Deal maths'!L1262="Local authority","Local authorities",LOWER(TRIM('Deal maths'!K1262))),"")</f>
        <v/>
      </c>
      <c r="D3259" s="91">
        <f>IF(C3259="","",IF(COUNTIF($C$4:C3258,C3259)=0,SUMIF($C$4:$C$3997,C3259,$B$4:$B$3997)-ROW()/1000000,""))</f>
        <v/>
      </c>
      <c r="E3259" s="91">
        <f>IF(N('Deal maths'!M1262)&gt;0,ROW()/10000000,"")</f>
        <v/>
      </c>
    </row>
    <row r="3260">
      <c r="A3260" s="91" t="n"/>
      <c r="B3260" s="111">
        <f>MAX(0,N('Deal maths'!M1263))</f>
        <v/>
      </c>
      <c r="C3260" s="91">
        <f>IF(B3260&gt;0,IF('Deal maths'!L1263="Local authority","Local authorities",LOWER(TRIM('Deal maths'!K1263))),"")</f>
        <v/>
      </c>
      <c r="D3260" s="91">
        <f>IF(C3260="","",IF(COUNTIF($C$4:C3259,C3260)=0,SUMIF($C$4:$C$3997,C3260,$B$4:$B$3997)-ROW()/1000000,""))</f>
        <v/>
      </c>
      <c r="E3260" s="91">
        <f>IF(N('Deal maths'!M1263)&gt;0,ROW()/10000000,"")</f>
        <v/>
      </c>
    </row>
    <row r="3261">
      <c r="A3261" s="91" t="n"/>
      <c r="B3261" s="111">
        <f>MAX(0,N('Deal maths'!M1264))</f>
        <v/>
      </c>
      <c r="C3261" s="91">
        <f>IF(B3261&gt;0,IF('Deal maths'!L1264="Local authority","Local authorities",LOWER(TRIM('Deal maths'!K1264))),"")</f>
        <v/>
      </c>
      <c r="D3261" s="91">
        <f>IF(C3261="","",IF(COUNTIF($C$4:C3260,C3261)=0,SUMIF($C$4:$C$3997,C3261,$B$4:$B$3997)-ROW()/1000000,""))</f>
        <v/>
      </c>
      <c r="E3261" s="91">
        <f>IF(N('Deal maths'!M1264)&gt;0,ROW()/10000000,"")</f>
        <v/>
      </c>
    </row>
    <row r="3262">
      <c r="A3262" s="91" t="n"/>
      <c r="B3262" s="111">
        <f>MAX(0,N('Deal maths'!M1265))</f>
        <v/>
      </c>
      <c r="C3262" s="91">
        <f>IF(B3262&gt;0,IF('Deal maths'!L1265="Local authority","Local authorities",LOWER(TRIM('Deal maths'!K1265))),"")</f>
        <v/>
      </c>
      <c r="D3262" s="91">
        <f>IF(C3262="","",IF(COUNTIF($C$4:C3261,C3262)=0,SUMIF($C$4:$C$3997,C3262,$B$4:$B$3997)-ROW()/1000000,""))</f>
        <v/>
      </c>
      <c r="E3262" s="91">
        <f>IF(N('Deal maths'!M1265)&gt;0,ROW()/10000000,"")</f>
        <v/>
      </c>
    </row>
    <row r="3263">
      <c r="A3263" s="91" t="n"/>
      <c r="B3263" s="111">
        <f>MAX(0,N('Deal maths'!M1266))</f>
        <v/>
      </c>
      <c r="C3263" s="91">
        <f>IF(B3263&gt;0,IF('Deal maths'!L1266="Local authority","Local authorities",LOWER(TRIM('Deal maths'!K1266))),"")</f>
        <v/>
      </c>
      <c r="D3263" s="91">
        <f>IF(C3263="","",IF(COUNTIF($C$4:C3262,C3263)=0,SUMIF($C$4:$C$3997,C3263,$B$4:$B$3997)-ROW()/1000000,""))</f>
        <v/>
      </c>
      <c r="E3263" s="91">
        <f>IF(N('Deal maths'!M1266)&gt;0,ROW()/10000000,"")</f>
        <v/>
      </c>
    </row>
    <row r="3264">
      <c r="A3264" s="91" t="n"/>
      <c r="B3264" s="111">
        <f>MAX(0,N('Deal maths'!M1267))</f>
        <v/>
      </c>
      <c r="C3264" s="91">
        <f>IF(B3264&gt;0,IF('Deal maths'!L1267="Local authority","Local authorities",LOWER(TRIM('Deal maths'!K1267))),"")</f>
        <v/>
      </c>
      <c r="D3264" s="91">
        <f>IF(C3264="","",IF(COUNTIF($C$4:C3263,C3264)=0,SUMIF($C$4:$C$3997,C3264,$B$4:$B$3997)-ROW()/1000000,""))</f>
        <v/>
      </c>
      <c r="E3264" s="91">
        <f>IF(N('Deal maths'!M1267)&gt;0,ROW()/10000000,"")</f>
        <v/>
      </c>
    </row>
    <row r="3265">
      <c r="A3265" s="91" t="n"/>
      <c r="B3265" s="111">
        <f>MAX(0,N('Deal maths'!M1268))</f>
        <v/>
      </c>
      <c r="C3265" s="91">
        <f>IF(B3265&gt;0,IF('Deal maths'!L1268="Local authority","Local authorities",LOWER(TRIM('Deal maths'!K1268))),"")</f>
        <v/>
      </c>
      <c r="D3265" s="91">
        <f>IF(C3265="","",IF(COUNTIF($C$4:C3264,C3265)=0,SUMIF($C$4:$C$3997,C3265,$B$4:$B$3997)-ROW()/1000000,""))</f>
        <v/>
      </c>
      <c r="E3265" s="91">
        <f>IF(N('Deal maths'!M1268)&gt;0,ROW()/10000000,"")</f>
        <v/>
      </c>
    </row>
    <row r="3266">
      <c r="A3266" s="91" t="n"/>
      <c r="B3266" s="111">
        <f>MAX(0,N('Deal maths'!M1269))</f>
        <v/>
      </c>
      <c r="C3266" s="91">
        <f>IF(B3266&gt;0,IF('Deal maths'!L1269="Local authority","Local authorities",LOWER(TRIM('Deal maths'!K1269))),"")</f>
        <v/>
      </c>
      <c r="D3266" s="91">
        <f>IF(C3266="","",IF(COUNTIF($C$4:C3265,C3266)=0,SUMIF($C$4:$C$3997,C3266,$B$4:$B$3997)-ROW()/1000000,""))</f>
        <v/>
      </c>
      <c r="E3266" s="91">
        <f>IF(N('Deal maths'!M1269)&gt;0,ROW()/10000000,"")</f>
        <v/>
      </c>
    </row>
    <row r="3267">
      <c r="A3267" s="91" t="n"/>
      <c r="B3267" s="111">
        <f>MAX(0,N('Deal maths'!M1270))</f>
        <v/>
      </c>
      <c r="C3267" s="91">
        <f>IF(B3267&gt;0,IF('Deal maths'!L1270="Local authority","Local authorities",LOWER(TRIM('Deal maths'!K1270))),"")</f>
        <v/>
      </c>
      <c r="D3267" s="91">
        <f>IF(C3267="","",IF(COUNTIF($C$4:C3266,C3267)=0,SUMIF($C$4:$C$3997,C3267,$B$4:$B$3997)-ROW()/1000000,""))</f>
        <v/>
      </c>
      <c r="E3267" s="91">
        <f>IF(N('Deal maths'!M1270)&gt;0,ROW()/10000000,"")</f>
        <v/>
      </c>
    </row>
    <row r="3268">
      <c r="A3268" s="91" t="n"/>
      <c r="B3268" s="111">
        <f>MAX(0,N('Deal maths'!M1271))</f>
        <v/>
      </c>
      <c r="C3268" s="91">
        <f>IF(B3268&gt;0,IF('Deal maths'!L1271="Local authority","Local authorities",LOWER(TRIM('Deal maths'!K1271))),"")</f>
        <v/>
      </c>
      <c r="D3268" s="91">
        <f>IF(C3268="","",IF(COUNTIF($C$4:C3267,C3268)=0,SUMIF($C$4:$C$3997,C3268,$B$4:$B$3997)-ROW()/1000000,""))</f>
        <v/>
      </c>
      <c r="E3268" s="91">
        <f>IF(N('Deal maths'!M1271)&gt;0,ROW()/10000000,"")</f>
        <v/>
      </c>
    </row>
    <row r="3269">
      <c r="A3269" s="91" t="n"/>
      <c r="B3269" s="111">
        <f>MAX(0,N('Deal maths'!M1272))</f>
        <v/>
      </c>
      <c r="C3269" s="91">
        <f>IF(B3269&gt;0,IF('Deal maths'!L1272="Local authority","Local authorities",LOWER(TRIM('Deal maths'!K1272))),"")</f>
        <v/>
      </c>
      <c r="D3269" s="91">
        <f>IF(C3269="","",IF(COUNTIF($C$4:C3268,C3269)=0,SUMIF($C$4:$C$3997,C3269,$B$4:$B$3997)-ROW()/1000000,""))</f>
        <v/>
      </c>
      <c r="E3269" s="91">
        <f>IF(N('Deal maths'!M1272)&gt;0,ROW()/10000000,"")</f>
        <v/>
      </c>
    </row>
    <row r="3270">
      <c r="A3270" s="91" t="n"/>
      <c r="B3270" s="111">
        <f>MAX(0,N('Deal maths'!M1273))</f>
        <v/>
      </c>
      <c r="C3270" s="91">
        <f>IF(B3270&gt;0,IF('Deal maths'!L1273="Local authority","Local authorities",LOWER(TRIM('Deal maths'!K1273))),"")</f>
        <v/>
      </c>
      <c r="D3270" s="91">
        <f>IF(C3270="","",IF(COUNTIF($C$4:C3269,C3270)=0,SUMIF($C$4:$C$3997,C3270,$B$4:$B$3997)-ROW()/1000000,""))</f>
        <v/>
      </c>
      <c r="E3270" s="91">
        <f>IF(N('Deal maths'!M1273)&gt;0,ROW()/10000000,"")</f>
        <v/>
      </c>
    </row>
    <row r="3271">
      <c r="A3271" s="91" t="n"/>
      <c r="B3271" s="111">
        <f>MAX(0,N('Deal maths'!M1274))</f>
        <v/>
      </c>
      <c r="C3271" s="91">
        <f>IF(B3271&gt;0,IF('Deal maths'!L1274="Local authority","Local authorities",LOWER(TRIM('Deal maths'!K1274))),"")</f>
        <v/>
      </c>
      <c r="D3271" s="91">
        <f>IF(C3271="","",IF(COUNTIF($C$4:C3270,C3271)=0,SUMIF($C$4:$C$3997,C3271,$B$4:$B$3997)-ROW()/1000000,""))</f>
        <v/>
      </c>
      <c r="E3271" s="91">
        <f>IF(N('Deal maths'!M1274)&gt;0,ROW()/10000000,"")</f>
        <v/>
      </c>
    </row>
    <row r="3272">
      <c r="A3272" s="91" t="n"/>
      <c r="B3272" s="111">
        <f>MAX(0,N('Deal maths'!M1275))</f>
        <v/>
      </c>
      <c r="C3272" s="91">
        <f>IF(B3272&gt;0,IF('Deal maths'!L1275="Local authority","Local authorities",LOWER(TRIM('Deal maths'!K1275))),"")</f>
        <v/>
      </c>
      <c r="D3272" s="91">
        <f>IF(C3272="","",IF(COUNTIF($C$4:C3271,C3272)=0,SUMIF($C$4:$C$3997,C3272,$B$4:$B$3997)-ROW()/1000000,""))</f>
        <v/>
      </c>
      <c r="E3272" s="91">
        <f>IF(N('Deal maths'!M1275)&gt;0,ROW()/10000000,"")</f>
        <v/>
      </c>
    </row>
    <row r="3273">
      <c r="A3273" s="91" t="n"/>
      <c r="B3273" s="111">
        <f>MAX(0,N('Deal maths'!M1276))</f>
        <v/>
      </c>
      <c r="C3273" s="91">
        <f>IF(B3273&gt;0,IF('Deal maths'!L1276="Local authority","Local authorities",LOWER(TRIM('Deal maths'!K1276))),"")</f>
        <v/>
      </c>
      <c r="D3273" s="91">
        <f>IF(C3273="","",IF(COUNTIF($C$4:C3272,C3273)=0,SUMIF($C$4:$C$3997,C3273,$B$4:$B$3997)-ROW()/1000000,""))</f>
        <v/>
      </c>
      <c r="E3273" s="91">
        <f>IF(N('Deal maths'!M1276)&gt;0,ROW()/10000000,"")</f>
        <v/>
      </c>
    </row>
    <row r="3274">
      <c r="A3274" s="91" t="n"/>
      <c r="B3274" s="111">
        <f>MAX(0,N('Deal maths'!M1277))</f>
        <v/>
      </c>
      <c r="C3274" s="91">
        <f>IF(B3274&gt;0,IF('Deal maths'!L1277="Local authority","Local authorities",LOWER(TRIM('Deal maths'!K1277))),"")</f>
        <v/>
      </c>
      <c r="D3274" s="91">
        <f>IF(C3274="","",IF(COUNTIF($C$4:C3273,C3274)=0,SUMIF($C$4:$C$3997,C3274,$B$4:$B$3997)-ROW()/1000000,""))</f>
        <v/>
      </c>
      <c r="E3274" s="91">
        <f>IF(N('Deal maths'!M1277)&gt;0,ROW()/10000000,"")</f>
        <v/>
      </c>
    </row>
    <row r="3275">
      <c r="A3275" s="91" t="n"/>
      <c r="B3275" s="111">
        <f>MAX(0,N('Deal maths'!M1278))</f>
        <v/>
      </c>
      <c r="C3275" s="91">
        <f>IF(B3275&gt;0,IF('Deal maths'!L1278="Local authority","Local authorities",LOWER(TRIM('Deal maths'!K1278))),"")</f>
        <v/>
      </c>
      <c r="D3275" s="91">
        <f>IF(C3275="","",IF(COUNTIF($C$4:C3274,C3275)=0,SUMIF($C$4:$C$3997,C3275,$B$4:$B$3997)-ROW()/1000000,""))</f>
        <v/>
      </c>
      <c r="E3275" s="91">
        <f>IF(N('Deal maths'!M1278)&gt;0,ROW()/10000000,"")</f>
        <v/>
      </c>
    </row>
    <row r="3276">
      <c r="A3276" s="91" t="n"/>
      <c r="B3276" s="111">
        <f>MAX(0,N('Deal maths'!M1279))</f>
        <v/>
      </c>
      <c r="C3276" s="91">
        <f>IF(B3276&gt;0,IF('Deal maths'!L1279="Local authority","Local authorities",LOWER(TRIM('Deal maths'!K1279))),"")</f>
        <v/>
      </c>
      <c r="D3276" s="91">
        <f>IF(C3276="","",IF(COUNTIF($C$4:C3275,C3276)=0,SUMIF($C$4:$C$3997,C3276,$B$4:$B$3997)-ROW()/1000000,""))</f>
        <v/>
      </c>
      <c r="E3276" s="91">
        <f>IF(N('Deal maths'!M1279)&gt;0,ROW()/10000000,"")</f>
        <v/>
      </c>
    </row>
    <row r="3277">
      <c r="A3277" s="91" t="n"/>
      <c r="B3277" s="111">
        <f>MAX(0,N('Deal maths'!M1280))</f>
        <v/>
      </c>
      <c r="C3277" s="91">
        <f>IF(B3277&gt;0,IF('Deal maths'!L1280="Local authority","Local authorities",LOWER(TRIM('Deal maths'!K1280))),"")</f>
        <v/>
      </c>
      <c r="D3277" s="91">
        <f>IF(C3277="","",IF(COUNTIF($C$4:C3276,C3277)=0,SUMIF($C$4:$C$3997,C3277,$B$4:$B$3997)-ROW()/1000000,""))</f>
        <v/>
      </c>
      <c r="E3277" s="91">
        <f>IF(N('Deal maths'!M1280)&gt;0,ROW()/10000000,"")</f>
        <v/>
      </c>
    </row>
    <row r="3278">
      <c r="A3278" s="91" t="n"/>
      <c r="B3278" s="111">
        <f>MAX(0,N('Deal maths'!M1281))</f>
        <v/>
      </c>
      <c r="C3278" s="91">
        <f>IF(B3278&gt;0,IF('Deal maths'!L1281="Local authority","Local authorities",LOWER(TRIM('Deal maths'!K1281))),"")</f>
        <v/>
      </c>
      <c r="D3278" s="91">
        <f>IF(C3278="","",IF(COUNTIF($C$4:C3277,C3278)=0,SUMIF($C$4:$C$3997,C3278,$B$4:$B$3997)-ROW()/1000000,""))</f>
        <v/>
      </c>
      <c r="E3278" s="91">
        <f>IF(N('Deal maths'!M1281)&gt;0,ROW()/10000000,"")</f>
        <v/>
      </c>
    </row>
    <row r="3279">
      <c r="A3279" s="91" t="n"/>
      <c r="B3279" s="111">
        <f>MAX(0,N('Deal maths'!M1282))</f>
        <v/>
      </c>
      <c r="C3279" s="91">
        <f>IF(B3279&gt;0,IF('Deal maths'!L1282="Local authority","Local authorities",LOWER(TRIM('Deal maths'!K1282))),"")</f>
        <v/>
      </c>
      <c r="D3279" s="91">
        <f>IF(C3279="","",IF(COUNTIF($C$4:C3278,C3279)=0,SUMIF($C$4:$C$3997,C3279,$B$4:$B$3997)-ROW()/1000000,""))</f>
        <v/>
      </c>
      <c r="E3279" s="91">
        <f>IF(N('Deal maths'!M1282)&gt;0,ROW()/10000000,"")</f>
        <v/>
      </c>
    </row>
    <row r="3280">
      <c r="A3280" s="91" t="n"/>
      <c r="B3280" s="111">
        <f>MAX(0,N('Deal maths'!M1283))</f>
        <v/>
      </c>
      <c r="C3280" s="91">
        <f>IF(B3280&gt;0,IF('Deal maths'!L1283="Local authority","Local authorities",LOWER(TRIM('Deal maths'!K1283))),"")</f>
        <v/>
      </c>
      <c r="D3280" s="91">
        <f>IF(C3280="","",IF(COUNTIF($C$4:C3279,C3280)=0,SUMIF($C$4:$C$3997,C3280,$B$4:$B$3997)-ROW()/1000000,""))</f>
        <v/>
      </c>
      <c r="E3280" s="91">
        <f>IF(N('Deal maths'!M1283)&gt;0,ROW()/10000000,"")</f>
        <v/>
      </c>
    </row>
    <row r="3281">
      <c r="A3281" s="91" t="n"/>
      <c r="B3281" s="111">
        <f>MAX(0,N('Deal maths'!M1284))</f>
        <v/>
      </c>
      <c r="C3281" s="91">
        <f>IF(B3281&gt;0,IF('Deal maths'!L1284="Local authority","Local authorities",LOWER(TRIM('Deal maths'!K1284))),"")</f>
        <v/>
      </c>
      <c r="D3281" s="91">
        <f>IF(C3281="","",IF(COUNTIF($C$4:C3280,C3281)=0,SUMIF($C$4:$C$3997,C3281,$B$4:$B$3997)-ROW()/1000000,""))</f>
        <v/>
      </c>
      <c r="E3281" s="91">
        <f>IF(N('Deal maths'!M1284)&gt;0,ROW()/10000000,"")</f>
        <v/>
      </c>
    </row>
    <row r="3282">
      <c r="A3282" s="91" t="n"/>
      <c r="B3282" s="111">
        <f>MAX(0,N('Deal maths'!M1285))</f>
        <v/>
      </c>
      <c r="C3282" s="91">
        <f>IF(B3282&gt;0,IF('Deal maths'!L1285="Local authority","Local authorities",LOWER(TRIM('Deal maths'!K1285))),"")</f>
        <v/>
      </c>
      <c r="D3282" s="91">
        <f>IF(C3282="","",IF(COUNTIF($C$4:C3281,C3282)=0,SUMIF($C$4:$C$3997,C3282,$B$4:$B$3997)-ROW()/1000000,""))</f>
        <v/>
      </c>
      <c r="E3282" s="91">
        <f>IF(N('Deal maths'!M1285)&gt;0,ROW()/10000000,"")</f>
        <v/>
      </c>
    </row>
    <row r="3283">
      <c r="A3283" s="91" t="n"/>
      <c r="B3283" s="111">
        <f>MAX(0,N('Deal maths'!M1286))</f>
        <v/>
      </c>
      <c r="C3283" s="91">
        <f>IF(B3283&gt;0,IF('Deal maths'!L1286="Local authority","Local authorities",LOWER(TRIM('Deal maths'!K1286))),"")</f>
        <v/>
      </c>
      <c r="D3283" s="91">
        <f>IF(C3283="","",IF(COUNTIF($C$4:C3282,C3283)=0,SUMIF($C$4:$C$3997,C3283,$B$4:$B$3997)-ROW()/1000000,""))</f>
        <v/>
      </c>
      <c r="E3283" s="91">
        <f>IF(N('Deal maths'!M1286)&gt;0,ROW()/10000000,"")</f>
        <v/>
      </c>
    </row>
    <row r="3284">
      <c r="A3284" s="91" t="n"/>
      <c r="B3284" s="111">
        <f>MAX(0,N('Deal maths'!M1287))</f>
        <v/>
      </c>
      <c r="C3284" s="91">
        <f>IF(B3284&gt;0,IF('Deal maths'!L1287="Local authority","Local authorities",LOWER(TRIM('Deal maths'!K1287))),"")</f>
        <v/>
      </c>
      <c r="D3284" s="91">
        <f>IF(C3284="","",IF(COUNTIF($C$4:C3283,C3284)=0,SUMIF($C$4:$C$3997,C3284,$B$4:$B$3997)-ROW()/1000000,""))</f>
        <v/>
      </c>
      <c r="E3284" s="91">
        <f>IF(N('Deal maths'!M1287)&gt;0,ROW()/10000000,"")</f>
        <v/>
      </c>
    </row>
    <row r="3285">
      <c r="A3285" s="91" t="n"/>
      <c r="B3285" s="111">
        <f>MAX(0,N('Deal maths'!M1288))</f>
        <v/>
      </c>
      <c r="C3285" s="91">
        <f>IF(B3285&gt;0,IF('Deal maths'!L1288="Local authority","Local authorities",LOWER(TRIM('Deal maths'!K1288))),"")</f>
        <v/>
      </c>
      <c r="D3285" s="91">
        <f>IF(C3285="","",IF(COUNTIF($C$4:C3284,C3285)=0,SUMIF($C$4:$C$3997,C3285,$B$4:$B$3997)-ROW()/1000000,""))</f>
        <v/>
      </c>
      <c r="E3285" s="91">
        <f>IF(N('Deal maths'!M1288)&gt;0,ROW()/10000000,"")</f>
        <v/>
      </c>
    </row>
    <row r="3286">
      <c r="A3286" s="91" t="n"/>
      <c r="B3286" s="111">
        <f>MAX(0,N('Deal maths'!M1289))</f>
        <v/>
      </c>
      <c r="C3286" s="91">
        <f>IF(B3286&gt;0,IF('Deal maths'!L1289="Local authority","Local authorities",LOWER(TRIM('Deal maths'!K1289))),"")</f>
        <v/>
      </c>
      <c r="D3286" s="91">
        <f>IF(C3286="","",IF(COUNTIF($C$4:C3285,C3286)=0,SUMIF($C$4:$C$3997,C3286,$B$4:$B$3997)-ROW()/1000000,""))</f>
        <v/>
      </c>
      <c r="E3286" s="91">
        <f>IF(N('Deal maths'!M1289)&gt;0,ROW()/10000000,"")</f>
        <v/>
      </c>
    </row>
    <row r="3287">
      <c r="A3287" s="91" t="n"/>
      <c r="B3287" s="111">
        <f>MAX(0,N('Deal maths'!M1290))</f>
        <v/>
      </c>
      <c r="C3287" s="91">
        <f>IF(B3287&gt;0,IF('Deal maths'!L1290="Local authority","Local authorities",LOWER(TRIM('Deal maths'!K1290))),"")</f>
        <v/>
      </c>
      <c r="D3287" s="91">
        <f>IF(C3287="","",IF(COUNTIF($C$4:C3286,C3287)=0,SUMIF($C$4:$C$3997,C3287,$B$4:$B$3997)-ROW()/1000000,""))</f>
        <v/>
      </c>
      <c r="E3287" s="91">
        <f>IF(N('Deal maths'!M1290)&gt;0,ROW()/10000000,"")</f>
        <v/>
      </c>
    </row>
    <row r="3288">
      <c r="A3288" s="91" t="n"/>
      <c r="B3288" s="111">
        <f>MAX(0,N('Deal maths'!M1291))</f>
        <v/>
      </c>
      <c r="C3288" s="91">
        <f>IF(B3288&gt;0,IF('Deal maths'!L1291="Local authority","Local authorities",LOWER(TRIM('Deal maths'!K1291))),"")</f>
        <v/>
      </c>
      <c r="D3288" s="91">
        <f>IF(C3288="","",IF(COUNTIF($C$4:C3287,C3288)=0,SUMIF($C$4:$C$3997,C3288,$B$4:$B$3997)-ROW()/1000000,""))</f>
        <v/>
      </c>
      <c r="E3288" s="91">
        <f>IF(N('Deal maths'!M1291)&gt;0,ROW()/10000000,"")</f>
        <v/>
      </c>
    </row>
    <row r="3289">
      <c r="A3289" s="91" t="n"/>
      <c r="B3289" s="111">
        <f>MAX(0,N('Deal maths'!M1292))</f>
        <v/>
      </c>
      <c r="C3289" s="91">
        <f>IF(B3289&gt;0,IF('Deal maths'!L1292="Local authority","Local authorities",LOWER(TRIM('Deal maths'!K1292))),"")</f>
        <v/>
      </c>
      <c r="D3289" s="91">
        <f>IF(C3289="","",IF(COUNTIF($C$4:C3288,C3289)=0,SUMIF($C$4:$C$3997,C3289,$B$4:$B$3997)-ROW()/1000000,""))</f>
        <v/>
      </c>
      <c r="E3289" s="91">
        <f>IF(N('Deal maths'!M1292)&gt;0,ROW()/10000000,"")</f>
        <v/>
      </c>
    </row>
    <row r="3290">
      <c r="A3290" s="91" t="n"/>
      <c r="B3290" s="111">
        <f>MAX(0,N('Deal maths'!M1293))</f>
        <v/>
      </c>
      <c r="C3290" s="91">
        <f>IF(B3290&gt;0,IF('Deal maths'!L1293="Local authority","Local authorities",LOWER(TRIM('Deal maths'!K1293))),"")</f>
        <v/>
      </c>
      <c r="D3290" s="91">
        <f>IF(C3290="","",IF(COUNTIF($C$4:C3289,C3290)=0,SUMIF($C$4:$C$3997,C3290,$B$4:$B$3997)-ROW()/1000000,""))</f>
        <v/>
      </c>
      <c r="E3290" s="91">
        <f>IF(N('Deal maths'!M1293)&gt;0,ROW()/10000000,"")</f>
        <v/>
      </c>
    </row>
    <row r="3291">
      <c r="A3291" s="91" t="n"/>
      <c r="B3291" s="111">
        <f>MAX(0,N('Deal maths'!M1294))</f>
        <v/>
      </c>
      <c r="C3291" s="91">
        <f>IF(B3291&gt;0,IF('Deal maths'!L1294="Local authority","Local authorities",LOWER(TRIM('Deal maths'!K1294))),"")</f>
        <v/>
      </c>
      <c r="D3291" s="91">
        <f>IF(C3291="","",IF(COUNTIF($C$4:C3290,C3291)=0,SUMIF($C$4:$C$3997,C3291,$B$4:$B$3997)-ROW()/1000000,""))</f>
        <v/>
      </c>
      <c r="E3291" s="91">
        <f>IF(N('Deal maths'!M1294)&gt;0,ROW()/10000000,"")</f>
        <v/>
      </c>
    </row>
    <row r="3292">
      <c r="A3292" s="91" t="n"/>
      <c r="B3292" s="111">
        <f>MAX(0,N('Deal maths'!M1295))</f>
        <v/>
      </c>
      <c r="C3292" s="91">
        <f>IF(B3292&gt;0,IF('Deal maths'!L1295="Local authority","Local authorities",LOWER(TRIM('Deal maths'!K1295))),"")</f>
        <v/>
      </c>
      <c r="D3292" s="91">
        <f>IF(C3292="","",IF(COUNTIF($C$4:C3291,C3292)=0,SUMIF($C$4:$C$3997,C3292,$B$4:$B$3997)-ROW()/1000000,""))</f>
        <v/>
      </c>
      <c r="E3292" s="91">
        <f>IF(N('Deal maths'!M1295)&gt;0,ROW()/10000000,"")</f>
        <v/>
      </c>
    </row>
    <row r="3293">
      <c r="A3293" s="91" t="n"/>
      <c r="B3293" s="111">
        <f>MAX(0,N('Deal maths'!M1296))</f>
        <v/>
      </c>
      <c r="C3293" s="91">
        <f>IF(B3293&gt;0,IF('Deal maths'!L1296="Local authority","Local authorities",LOWER(TRIM('Deal maths'!K1296))),"")</f>
        <v/>
      </c>
      <c r="D3293" s="91">
        <f>IF(C3293="","",IF(COUNTIF($C$4:C3292,C3293)=0,SUMIF($C$4:$C$3997,C3293,$B$4:$B$3997)-ROW()/1000000,""))</f>
        <v/>
      </c>
      <c r="E3293" s="91">
        <f>IF(N('Deal maths'!M1296)&gt;0,ROW()/10000000,"")</f>
        <v/>
      </c>
    </row>
    <row r="3294">
      <c r="A3294" s="91" t="n"/>
      <c r="B3294" s="111">
        <f>MAX(0,N('Deal maths'!M1297))</f>
        <v/>
      </c>
      <c r="C3294" s="91">
        <f>IF(B3294&gt;0,IF('Deal maths'!L1297="Local authority","Local authorities",LOWER(TRIM('Deal maths'!K1297))),"")</f>
        <v/>
      </c>
      <c r="D3294" s="91">
        <f>IF(C3294="","",IF(COUNTIF($C$4:C3293,C3294)=0,SUMIF($C$4:$C$3997,C3294,$B$4:$B$3997)-ROW()/1000000,""))</f>
        <v/>
      </c>
      <c r="E3294" s="91">
        <f>IF(N('Deal maths'!M1297)&gt;0,ROW()/10000000,"")</f>
        <v/>
      </c>
    </row>
    <row r="3295">
      <c r="A3295" s="91" t="n"/>
      <c r="B3295" s="111">
        <f>MAX(0,N('Deal maths'!M1298))</f>
        <v/>
      </c>
      <c r="C3295" s="91">
        <f>IF(B3295&gt;0,IF('Deal maths'!L1298="Local authority","Local authorities",LOWER(TRIM('Deal maths'!K1298))),"")</f>
        <v/>
      </c>
      <c r="D3295" s="91">
        <f>IF(C3295="","",IF(COUNTIF($C$4:C3294,C3295)=0,SUMIF($C$4:$C$3997,C3295,$B$4:$B$3997)-ROW()/1000000,""))</f>
        <v/>
      </c>
      <c r="E3295" s="91">
        <f>IF(N('Deal maths'!M1298)&gt;0,ROW()/10000000,"")</f>
        <v/>
      </c>
    </row>
    <row r="3296">
      <c r="A3296" s="91" t="n"/>
      <c r="B3296" s="111">
        <f>MAX(0,N('Deal maths'!M1299))</f>
        <v/>
      </c>
      <c r="C3296" s="91">
        <f>IF(B3296&gt;0,IF('Deal maths'!L1299="Local authority","Local authorities",LOWER(TRIM('Deal maths'!K1299))),"")</f>
        <v/>
      </c>
      <c r="D3296" s="91">
        <f>IF(C3296="","",IF(COUNTIF($C$4:C3295,C3296)=0,SUMIF($C$4:$C$3997,C3296,$B$4:$B$3997)-ROW()/1000000,""))</f>
        <v/>
      </c>
      <c r="E3296" s="91">
        <f>IF(N('Deal maths'!M1299)&gt;0,ROW()/10000000,"")</f>
        <v/>
      </c>
    </row>
    <row r="3297">
      <c r="A3297" s="91" t="n"/>
      <c r="B3297" s="111">
        <f>MAX(0,N('Deal maths'!M1300))</f>
        <v/>
      </c>
      <c r="C3297" s="91">
        <f>IF(B3297&gt;0,IF('Deal maths'!L1300="Local authority","Local authorities",LOWER(TRIM('Deal maths'!K1300))),"")</f>
        <v/>
      </c>
      <c r="D3297" s="91">
        <f>IF(C3297="","",IF(COUNTIF($C$4:C3296,C3297)=0,SUMIF($C$4:$C$3997,C3297,$B$4:$B$3997)-ROW()/1000000,""))</f>
        <v/>
      </c>
      <c r="E3297" s="91">
        <f>IF(N('Deal maths'!M1300)&gt;0,ROW()/10000000,"")</f>
        <v/>
      </c>
    </row>
    <row r="3298">
      <c r="A3298" s="91" t="n"/>
      <c r="B3298" s="111">
        <f>MAX(0,N('Deal maths'!M1301))</f>
        <v/>
      </c>
      <c r="C3298" s="91">
        <f>IF(B3298&gt;0,IF('Deal maths'!L1301="Local authority","Local authorities",LOWER(TRIM('Deal maths'!K1301))),"")</f>
        <v/>
      </c>
      <c r="D3298" s="91">
        <f>IF(C3298="","",IF(COUNTIF($C$4:C3297,C3298)=0,SUMIF($C$4:$C$3997,C3298,$B$4:$B$3997)-ROW()/1000000,""))</f>
        <v/>
      </c>
      <c r="E3298" s="91">
        <f>IF(N('Deal maths'!M1301)&gt;0,ROW()/10000000,"")</f>
        <v/>
      </c>
    </row>
    <row r="3299">
      <c r="A3299" s="91" t="n"/>
      <c r="B3299" s="111">
        <f>MAX(0,N('Deal maths'!M1302))</f>
        <v/>
      </c>
      <c r="C3299" s="91">
        <f>IF(B3299&gt;0,IF('Deal maths'!L1302="Local authority","Local authorities",LOWER(TRIM('Deal maths'!K1302))),"")</f>
        <v/>
      </c>
      <c r="D3299" s="91">
        <f>IF(C3299="","",IF(COUNTIF($C$4:C3298,C3299)=0,SUMIF($C$4:$C$3997,C3299,$B$4:$B$3997)-ROW()/1000000,""))</f>
        <v/>
      </c>
      <c r="E3299" s="91">
        <f>IF(N('Deal maths'!M1302)&gt;0,ROW()/10000000,"")</f>
        <v/>
      </c>
    </row>
    <row r="3300">
      <c r="A3300" s="91" t="n"/>
      <c r="B3300" s="111">
        <f>MAX(0,N('Deal maths'!M1303))</f>
        <v/>
      </c>
      <c r="C3300" s="91">
        <f>IF(B3300&gt;0,IF('Deal maths'!L1303="Local authority","Local authorities",LOWER(TRIM('Deal maths'!K1303))),"")</f>
        <v/>
      </c>
      <c r="D3300" s="91">
        <f>IF(C3300="","",IF(COUNTIF($C$4:C3299,C3300)=0,SUMIF($C$4:$C$3997,C3300,$B$4:$B$3997)-ROW()/1000000,""))</f>
        <v/>
      </c>
      <c r="E3300" s="91">
        <f>IF(N('Deal maths'!M1303)&gt;0,ROW()/10000000,"")</f>
        <v/>
      </c>
    </row>
    <row r="3301">
      <c r="A3301" s="91" t="n"/>
      <c r="B3301" s="111">
        <f>MAX(0,N('Deal maths'!M1304))</f>
        <v/>
      </c>
      <c r="C3301" s="91">
        <f>IF(B3301&gt;0,IF('Deal maths'!L1304="Local authority","Local authorities",LOWER(TRIM('Deal maths'!K1304))),"")</f>
        <v/>
      </c>
      <c r="D3301" s="91">
        <f>IF(C3301="","",IF(COUNTIF($C$4:C3300,C3301)=0,SUMIF($C$4:$C$3997,C3301,$B$4:$B$3997)-ROW()/1000000,""))</f>
        <v/>
      </c>
      <c r="E3301" s="91">
        <f>IF(N('Deal maths'!M1304)&gt;0,ROW()/10000000,"")</f>
        <v/>
      </c>
    </row>
    <row r="3302">
      <c r="A3302" s="91" t="n"/>
      <c r="B3302" s="111">
        <f>MAX(0,N('Deal maths'!M1305))</f>
        <v/>
      </c>
      <c r="C3302" s="91">
        <f>IF(B3302&gt;0,IF('Deal maths'!L1305="Local authority","Local authorities",LOWER(TRIM('Deal maths'!K1305))),"")</f>
        <v/>
      </c>
      <c r="D3302" s="91">
        <f>IF(C3302="","",IF(COUNTIF($C$4:C3301,C3302)=0,SUMIF($C$4:$C$3997,C3302,$B$4:$B$3997)-ROW()/1000000,""))</f>
        <v/>
      </c>
      <c r="E3302" s="91">
        <f>IF(N('Deal maths'!M1305)&gt;0,ROW()/10000000,"")</f>
        <v/>
      </c>
    </row>
    <row r="3303">
      <c r="A3303" s="91" t="n"/>
      <c r="B3303" s="111">
        <f>MAX(0,N('Deal maths'!M1306))</f>
        <v/>
      </c>
      <c r="C3303" s="91">
        <f>IF(B3303&gt;0,IF('Deal maths'!L1306="Local authority","Local authorities",LOWER(TRIM('Deal maths'!K1306))),"")</f>
        <v/>
      </c>
      <c r="D3303" s="91">
        <f>IF(C3303="","",IF(COUNTIF($C$4:C3302,C3303)=0,SUMIF($C$4:$C$3997,C3303,$B$4:$B$3997)-ROW()/1000000,""))</f>
        <v/>
      </c>
      <c r="E3303" s="91">
        <f>IF(N('Deal maths'!M1306)&gt;0,ROW()/10000000,"")</f>
        <v/>
      </c>
    </row>
    <row r="3304">
      <c r="A3304" s="91" t="n"/>
      <c r="B3304" s="111">
        <f>MAX(0,N('Deal maths'!M1307))</f>
        <v/>
      </c>
      <c r="C3304" s="91">
        <f>IF(B3304&gt;0,IF('Deal maths'!L1307="Local authority","Local authorities",LOWER(TRIM('Deal maths'!K1307))),"")</f>
        <v/>
      </c>
      <c r="D3304" s="91">
        <f>IF(C3304="","",IF(COUNTIF($C$4:C3303,C3304)=0,SUMIF($C$4:$C$3997,C3304,$B$4:$B$3997)-ROW()/1000000,""))</f>
        <v/>
      </c>
      <c r="E3304" s="91">
        <f>IF(N('Deal maths'!M1307)&gt;0,ROW()/10000000,"")</f>
        <v/>
      </c>
    </row>
    <row r="3305">
      <c r="A3305" s="91" t="n"/>
      <c r="B3305" s="111">
        <f>MAX(0,N('Deal maths'!M1308))</f>
        <v/>
      </c>
      <c r="C3305" s="91">
        <f>IF(B3305&gt;0,IF('Deal maths'!L1308="Local authority","Local authorities",LOWER(TRIM('Deal maths'!K1308))),"")</f>
        <v/>
      </c>
      <c r="D3305" s="91">
        <f>IF(C3305="","",IF(COUNTIF($C$4:C3304,C3305)=0,SUMIF($C$4:$C$3997,C3305,$B$4:$B$3997)-ROW()/1000000,""))</f>
        <v/>
      </c>
      <c r="E3305" s="91">
        <f>IF(N('Deal maths'!M1308)&gt;0,ROW()/10000000,"")</f>
        <v/>
      </c>
    </row>
    <row r="3306">
      <c r="A3306" s="91" t="n"/>
      <c r="B3306" s="111">
        <f>MAX(0,N('Deal maths'!M1309))</f>
        <v/>
      </c>
      <c r="C3306" s="91">
        <f>IF(B3306&gt;0,IF('Deal maths'!L1309="Local authority","Local authorities",LOWER(TRIM('Deal maths'!K1309))),"")</f>
        <v/>
      </c>
      <c r="D3306" s="91">
        <f>IF(C3306="","",IF(COUNTIF($C$4:C3305,C3306)=0,SUMIF($C$4:$C$3997,C3306,$B$4:$B$3997)-ROW()/1000000,""))</f>
        <v/>
      </c>
      <c r="E3306" s="91">
        <f>IF(N('Deal maths'!M1309)&gt;0,ROW()/10000000,"")</f>
        <v/>
      </c>
    </row>
    <row r="3307">
      <c r="A3307" s="91" t="n"/>
      <c r="B3307" s="111">
        <f>MAX(0,N('Deal maths'!M1310))</f>
        <v/>
      </c>
      <c r="C3307" s="91">
        <f>IF(B3307&gt;0,IF('Deal maths'!L1310="Local authority","Local authorities",LOWER(TRIM('Deal maths'!K1310))),"")</f>
        <v/>
      </c>
      <c r="D3307" s="91">
        <f>IF(C3307="","",IF(COUNTIF($C$4:C3306,C3307)=0,SUMIF($C$4:$C$3997,C3307,$B$4:$B$3997)-ROW()/1000000,""))</f>
        <v/>
      </c>
      <c r="E3307" s="91">
        <f>IF(N('Deal maths'!M1310)&gt;0,ROW()/10000000,"")</f>
        <v/>
      </c>
    </row>
    <row r="3308">
      <c r="A3308" s="91" t="n"/>
      <c r="B3308" s="111">
        <f>MAX(0,N('Deal maths'!M1311))</f>
        <v/>
      </c>
      <c r="C3308" s="91">
        <f>IF(B3308&gt;0,IF('Deal maths'!L1311="Local authority","Local authorities",LOWER(TRIM('Deal maths'!K1311))),"")</f>
        <v/>
      </c>
      <c r="D3308" s="91">
        <f>IF(C3308="","",IF(COUNTIF($C$4:C3307,C3308)=0,SUMIF($C$4:$C$3997,C3308,$B$4:$B$3997)-ROW()/1000000,""))</f>
        <v/>
      </c>
      <c r="E3308" s="91">
        <f>IF(N('Deal maths'!M1311)&gt;0,ROW()/10000000,"")</f>
        <v/>
      </c>
    </row>
    <row r="3309">
      <c r="A3309" s="91" t="n"/>
      <c r="B3309" s="111">
        <f>MAX(0,N('Deal maths'!M1312))</f>
        <v/>
      </c>
      <c r="C3309" s="91">
        <f>IF(B3309&gt;0,IF('Deal maths'!L1312="Local authority","Local authorities",LOWER(TRIM('Deal maths'!K1312))),"")</f>
        <v/>
      </c>
      <c r="D3309" s="91">
        <f>IF(C3309="","",IF(COUNTIF($C$4:C3308,C3309)=0,SUMIF($C$4:$C$3997,C3309,$B$4:$B$3997)-ROW()/1000000,""))</f>
        <v/>
      </c>
      <c r="E3309" s="91">
        <f>IF(N('Deal maths'!M1312)&gt;0,ROW()/10000000,"")</f>
        <v/>
      </c>
    </row>
    <row r="3310">
      <c r="A3310" s="91" t="n"/>
      <c r="B3310" s="111">
        <f>MAX(0,N('Deal maths'!M1313))</f>
        <v/>
      </c>
      <c r="C3310" s="91">
        <f>IF(B3310&gt;0,IF('Deal maths'!L1313="Local authority","Local authorities",LOWER(TRIM('Deal maths'!K1313))),"")</f>
        <v/>
      </c>
      <c r="D3310" s="91">
        <f>IF(C3310="","",IF(COUNTIF($C$4:C3309,C3310)=0,SUMIF($C$4:$C$3997,C3310,$B$4:$B$3997)-ROW()/1000000,""))</f>
        <v/>
      </c>
      <c r="E3310" s="91">
        <f>IF(N('Deal maths'!M1313)&gt;0,ROW()/10000000,"")</f>
        <v/>
      </c>
    </row>
    <row r="3311">
      <c r="A3311" s="91" t="n"/>
      <c r="B3311" s="111">
        <f>MAX(0,N('Deal maths'!M1314))</f>
        <v/>
      </c>
      <c r="C3311" s="91">
        <f>IF(B3311&gt;0,IF('Deal maths'!L1314="Local authority","Local authorities",LOWER(TRIM('Deal maths'!K1314))),"")</f>
        <v/>
      </c>
      <c r="D3311" s="91">
        <f>IF(C3311="","",IF(COUNTIF($C$4:C3310,C3311)=0,SUMIF($C$4:$C$3997,C3311,$B$4:$B$3997)-ROW()/1000000,""))</f>
        <v/>
      </c>
      <c r="E3311" s="91">
        <f>IF(N('Deal maths'!M1314)&gt;0,ROW()/10000000,"")</f>
        <v/>
      </c>
    </row>
    <row r="3312">
      <c r="A3312" s="91" t="n"/>
      <c r="B3312" s="111">
        <f>MAX(0,N('Deal maths'!M1315))</f>
        <v/>
      </c>
      <c r="C3312" s="91">
        <f>IF(B3312&gt;0,IF('Deal maths'!L1315="Local authority","Local authorities",LOWER(TRIM('Deal maths'!K1315))),"")</f>
        <v/>
      </c>
      <c r="D3312" s="91">
        <f>IF(C3312="","",IF(COUNTIF($C$4:C3311,C3312)=0,SUMIF($C$4:$C$3997,C3312,$B$4:$B$3997)-ROW()/1000000,""))</f>
        <v/>
      </c>
      <c r="E3312" s="91">
        <f>IF(N('Deal maths'!M1315)&gt;0,ROW()/10000000,"")</f>
        <v/>
      </c>
    </row>
    <row r="3313">
      <c r="A3313" s="91" t="n"/>
      <c r="B3313" s="111">
        <f>MAX(0,N('Deal maths'!M1316))</f>
        <v/>
      </c>
      <c r="C3313" s="91">
        <f>IF(B3313&gt;0,IF('Deal maths'!L1316="Local authority","Local authorities",LOWER(TRIM('Deal maths'!K1316))),"")</f>
        <v/>
      </c>
      <c r="D3313" s="91">
        <f>IF(C3313="","",IF(COUNTIF($C$4:C3312,C3313)=0,SUMIF($C$4:$C$3997,C3313,$B$4:$B$3997)-ROW()/1000000,""))</f>
        <v/>
      </c>
      <c r="E3313" s="91">
        <f>IF(N('Deal maths'!M1316)&gt;0,ROW()/10000000,"")</f>
        <v/>
      </c>
    </row>
    <row r="3314">
      <c r="A3314" s="91" t="n"/>
      <c r="B3314" s="111">
        <f>MAX(0,N('Deal maths'!M1317))</f>
        <v/>
      </c>
      <c r="C3314" s="91">
        <f>IF(B3314&gt;0,IF('Deal maths'!L1317="Local authority","Local authorities",LOWER(TRIM('Deal maths'!K1317))),"")</f>
        <v/>
      </c>
      <c r="D3314" s="91">
        <f>IF(C3314="","",IF(COUNTIF($C$4:C3313,C3314)=0,SUMIF($C$4:$C$3997,C3314,$B$4:$B$3997)-ROW()/1000000,""))</f>
        <v/>
      </c>
      <c r="E3314" s="91">
        <f>IF(N('Deal maths'!M1317)&gt;0,ROW()/10000000,"")</f>
        <v/>
      </c>
    </row>
    <row r="3315">
      <c r="A3315" s="91" t="n"/>
      <c r="B3315" s="111">
        <f>MAX(0,N('Deal maths'!M1318))</f>
        <v/>
      </c>
      <c r="C3315" s="91">
        <f>IF(B3315&gt;0,IF('Deal maths'!L1318="Local authority","Local authorities",LOWER(TRIM('Deal maths'!K1318))),"")</f>
        <v/>
      </c>
      <c r="D3315" s="91">
        <f>IF(C3315="","",IF(COUNTIF($C$4:C3314,C3315)=0,SUMIF($C$4:$C$3997,C3315,$B$4:$B$3997)-ROW()/1000000,""))</f>
        <v/>
      </c>
      <c r="E3315" s="91">
        <f>IF(N('Deal maths'!M1318)&gt;0,ROW()/10000000,"")</f>
        <v/>
      </c>
    </row>
    <row r="3316">
      <c r="A3316" s="91" t="n"/>
      <c r="B3316" s="111">
        <f>MAX(0,N('Deal maths'!M1319))</f>
        <v/>
      </c>
      <c r="C3316" s="91">
        <f>IF(B3316&gt;0,IF('Deal maths'!L1319="Local authority","Local authorities",LOWER(TRIM('Deal maths'!K1319))),"")</f>
        <v/>
      </c>
      <c r="D3316" s="91">
        <f>IF(C3316="","",IF(COUNTIF($C$4:C3315,C3316)=0,SUMIF($C$4:$C$3997,C3316,$B$4:$B$3997)-ROW()/1000000,""))</f>
        <v/>
      </c>
      <c r="E3316" s="91">
        <f>IF(N('Deal maths'!M1319)&gt;0,ROW()/10000000,"")</f>
        <v/>
      </c>
    </row>
    <row r="3317">
      <c r="A3317" s="91" t="n"/>
      <c r="B3317" s="111">
        <f>MAX(0,N('Deal maths'!M1320))</f>
        <v/>
      </c>
      <c r="C3317" s="91">
        <f>IF(B3317&gt;0,IF('Deal maths'!L1320="Local authority","Local authorities",LOWER(TRIM('Deal maths'!K1320))),"")</f>
        <v/>
      </c>
      <c r="D3317" s="91">
        <f>IF(C3317="","",IF(COUNTIF($C$4:C3316,C3317)=0,SUMIF($C$4:$C$3997,C3317,$B$4:$B$3997)-ROW()/1000000,""))</f>
        <v/>
      </c>
      <c r="E3317" s="91">
        <f>IF(N('Deal maths'!M1320)&gt;0,ROW()/10000000,"")</f>
        <v/>
      </c>
    </row>
    <row r="3318">
      <c r="A3318" s="91" t="n"/>
      <c r="B3318" s="111">
        <f>MAX(0,N('Deal maths'!M1321))</f>
        <v/>
      </c>
      <c r="C3318" s="91">
        <f>IF(B3318&gt;0,IF('Deal maths'!L1321="Local authority","Local authorities",LOWER(TRIM('Deal maths'!K1321))),"")</f>
        <v/>
      </c>
      <c r="D3318" s="91">
        <f>IF(C3318="","",IF(COUNTIF($C$4:C3317,C3318)=0,SUMIF($C$4:$C$3997,C3318,$B$4:$B$3997)-ROW()/1000000,""))</f>
        <v/>
      </c>
      <c r="E3318" s="91">
        <f>IF(N('Deal maths'!M1321)&gt;0,ROW()/10000000,"")</f>
        <v/>
      </c>
    </row>
    <row r="3319">
      <c r="A3319" s="91" t="n"/>
      <c r="B3319" s="111">
        <f>MAX(0,N('Deal maths'!M1322))</f>
        <v/>
      </c>
      <c r="C3319" s="91">
        <f>IF(B3319&gt;0,IF('Deal maths'!L1322="Local authority","Local authorities",LOWER(TRIM('Deal maths'!K1322))),"")</f>
        <v/>
      </c>
      <c r="D3319" s="91">
        <f>IF(C3319="","",IF(COUNTIF($C$4:C3318,C3319)=0,SUMIF($C$4:$C$3997,C3319,$B$4:$B$3997)-ROW()/1000000,""))</f>
        <v/>
      </c>
      <c r="E3319" s="91">
        <f>IF(N('Deal maths'!M1322)&gt;0,ROW()/10000000,"")</f>
        <v/>
      </c>
    </row>
    <row r="3320">
      <c r="A3320" s="91" t="n"/>
      <c r="B3320" s="111">
        <f>MAX(0,N('Deal maths'!M1323))</f>
        <v/>
      </c>
      <c r="C3320" s="91">
        <f>IF(B3320&gt;0,IF('Deal maths'!L1323="Local authority","Local authorities",LOWER(TRIM('Deal maths'!K1323))),"")</f>
        <v/>
      </c>
      <c r="D3320" s="91">
        <f>IF(C3320="","",IF(COUNTIF($C$4:C3319,C3320)=0,SUMIF($C$4:$C$3997,C3320,$B$4:$B$3997)-ROW()/1000000,""))</f>
        <v/>
      </c>
      <c r="E3320" s="91">
        <f>IF(N('Deal maths'!M1323)&gt;0,ROW()/10000000,"")</f>
        <v/>
      </c>
    </row>
    <row r="3321">
      <c r="A3321" s="91" t="n"/>
      <c r="B3321" s="111">
        <f>MAX(0,N('Deal maths'!M1324))</f>
        <v/>
      </c>
      <c r="C3321" s="91">
        <f>IF(B3321&gt;0,IF('Deal maths'!L1324="Local authority","Local authorities",LOWER(TRIM('Deal maths'!K1324))),"")</f>
        <v/>
      </c>
      <c r="D3321" s="91">
        <f>IF(C3321="","",IF(COUNTIF($C$4:C3320,C3321)=0,SUMIF($C$4:$C$3997,C3321,$B$4:$B$3997)-ROW()/1000000,""))</f>
        <v/>
      </c>
      <c r="E3321" s="91">
        <f>IF(N('Deal maths'!M1324)&gt;0,ROW()/10000000,"")</f>
        <v/>
      </c>
    </row>
    <row r="3322">
      <c r="A3322" s="91" t="n"/>
      <c r="B3322" s="111">
        <f>MAX(0,N('Deal maths'!M1325))</f>
        <v/>
      </c>
      <c r="C3322" s="91">
        <f>IF(B3322&gt;0,IF('Deal maths'!L1325="Local authority","Local authorities",LOWER(TRIM('Deal maths'!K1325))),"")</f>
        <v/>
      </c>
      <c r="D3322" s="91">
        <f>IF(C3322="","",IF(COUNTIF($C$4:C3321,C3322)=0,SUMIF($C$4:$C$3997,C3322,$B$4:$B$3997)-ROW()/1000000,""))</f>
        <v/>
      </c>
      <c r="E3322" s="91">
        <f>IF(N('Deal maths'!M1325)&gt;0,ROW()/10000000,"")</f>
        <v/>
      </c>
    </row>
    <row r="3323">
      <c r="A3323" s="91" t="n"/>
      <c r="B3323" s="111">
        <f>MAX(0,N('Deal maths'!M1326))</f>
        <v/>
      </c>
      <c r="C3323" s="91">
        <f>IF(B3323&gt;0,IF('Deal maths'!L1326="Local authority","Local authorities",LOWER(TRIM('Deal maths'!K1326))),"")</f>
        <v/>
      </c>
      <c r="D3323" s="91">
        <f>IF(C3323="","",IF(COUNTIF($C$4:C3322,C3323)=0,SUMIF($C$4:$C$3997,C3323,$B$4:$B$3997)-ROW()/1000000,""))</f>
        <v/>
      </c>
      <c r="E3323" s="91">
        <f>IF(N('Deal maths'!M1326)&gt;0,ROW()/10000000,"")</f>
        <v/>
      </c>
    </row>
    <row r="3324">
      <c r="A3324" s="91" t="n"/>
      <c r="B3324" s="111">
        <f>MAX(0,N('Deal maths'!M1327))</f>
        <v/>
      </c>
      <c r="C3324" s="91">
        <f>IF(B3324&gt;0,IF('Deal maths'!L1327="Local authority","Local authorities",LOWER(TRIM('Deal maths'!K1327))),"")</f>
        <v/>
      </c>
      <c r="D3324" s="91">
        <f>IF(C3324="","",IF(COUNTIF($C$4:C3323,C3324)=0,SUMIF($C$4:$C$3997,C3324,$B$4:$B$3997)-ROW()/1000000,""))</f>
        <v/>
      </c>
      <c r="E3324" s="91">
        <f>IF(N('Deal maths'!M1327)&gt;0,ROW()/10000000,"")</f>
        <v/>
      </c>
    </row>
    <row r="3325">
      <c r="A3325" s="91" t="n"/>
      <c r="B3325" s="111">
        <f>MAX(0,N('Deal maths'!M1328))</f>
        <v/>
      </c>
      <c r="C3325" s="91">
        <f>IF(B3325&gt;0,IF('Deal maths'!L1328="Local authority","Local authorities",LOWER(TRIM('Deal maths'!K1328))),"")</f>
        <v/>
      </c>
      <c r="D3325" s="91">
        <f>IF(C3325="","",IF(COUNTIF($C$4:C3324,C3325)=0,SUMIF($C$4:$C$3997,C3325,$B$4:$B$3997)-ROW()/1000000,""))</f>
        <v/>
      </c>
      <c r="E3325" s="91">
        <f>IF(N('Deal maths'!M1328)&gt;0,ROW()/10000000,"")</f>
        <v/>
      </c>
    </row>
    <row r="3326">
      <c r="A3326" s="91" t="n"/>
      <c r="B3326" s="111">
        <f>MAX(0,N('Deal maths'!M1329))</f>
        <v/>
      </c>
      <c r="C3326" s="91">
        <f>IF(B3326&gt;0,IF('Deal maths'!L1329="Local authority","Local authorities",LOWER(TRIM('Deal maths'!K1329))),"")</f>
        <v/>
      </c>
      <c r="D3326" s="91">
        <f>IF(C3326="","",IF(COUNTIF($C$4:C3325,C3326)=0,SUMIF($C$4:$C$3997,C3326,$B$4:$B$3997)-ROW()/1000000,""))</f>
        <v/>
      </c>
      <c r="E3326" s="91">
        <f>IF(N('Deal maths'!M1329)&gt;0,ROW()/10000000,"")</f>
        <v/>
      </c>
    </row>
    <row r="3327">
      <c r="A3327" s="91" t="n"/>
      <c r="B3327" s="111">
        <f>MAX(0,N('Deal maths'!M1330))</f>
        <v/>
      </c>
      <c r="C3327" s="91">
        <f>IF(B3327&gt;0,IF('Deal maths'!L1330="Local authority","Local authorities",LOWER(TRIM('Deal maths'!K1330))),"")</f>
        <v/>
      </c>
      <c r="D3327" s="91">
        <f>IF(C3327="","",IF(COUNTIF($C$4:C3326,C3327)=0,SUMIF($C$4:$C$3997,C3327,$B$4:$B$3997)-ROW()/1000000,""))</f>
        <v/>
      </c>
      <c r="E3327" s="91">
        <f>IF(N('Deal maths'!M1330)&gt;0,ROW()/10000000,"")</f>
        <v/>
      </c>
    </row>
    <row r="3328">
      <c r="A3328" s="91" t="n"/>
      <c r="B3328" s="111">
        <f>MAX(0,N('Deal maths'!M1331))</f>
        <v/>
      </c>
      <c r="C3328" s="91">
        <f>IF(B3328&gt;0,IF('Deal maths'!L1331="Local authority","Local authorities",LOWER(TRIM('Deal maths'!K1331))),"")</f>
        <v/>
      </c>
      <c r="D3328" s="91">
        <f>IF(C3328="","",IF(COUNTIF($C$4:C3327,C3328)=0,SUMIF($C$4:$C$3997,C3328,$B$4:$B$3997)-ROW()/1000000,""))</f>
        <v/>
      </c>
      <c r="E3328" s="91">
        <f>IF(N('Deal maths'!M1331)&gt;0,ROW()/10000000,"")</f>
        <v/>
      </c>
    </row>
    <row r="3329">
      <c r="A3329" s="91" t="n"/>
      <c r="B3329" s="111">
        <f>MAX(0,N('Deal maths'!M1332))</f>
        <v/>
      </c>
      <c r="C3329" s="91">
        <f>IF(B3329&gt;0,IF('Deal maths'!L1332="Local authority","Local authorities",LOWER(TRIM('Deal maths'!K1332))),"")</f>
        <v/>
      </c>
      <c r="D3329" s="91">
        <f>IF(C3329="","",IF(COUNTIF($C$4:C3328,C3329)=0,SUMIF($C$4:$C$3997,C3329,$B$4:$B$3997)-ROW()/1000000,""))</f>
        <v/>
      </c>
      <c r="E3329" s="91">
        <f>IF(N('Deal maths'!M1332)&gt;0,ROW()/10000000,"")</f>
        <v/>
      </c>
    </row>
    <row r="3330">
      <c r="A3330" s="91" t="n"/>
      <c r="B3330" s="111">
        <f>MAX(0,N('Deal maths'!M1333))</f>
        <v/>
      </c>
      <c r="C3330" s="91">
        <f>IF(B3330&gt;0,IF('Deal maths'!L1333="Local authority","Local authorities",LOWER(TRIM('Deal maths'!K1333))),"")</f>
        <v/>
      </c>
      <c r="D3330" s="91">
        <f>IF(C3330="","",IF(COUNTIF($C$4:C3329,C3330)=0,SUMIF($C$4:$C$3997,C3330,$B$4:$B$3997)-ROW()/1000000,""))</f>
        <v/>
      </c>
      <c r="E3330" s="91">
        <f>IF(N('Deal maths'!M1333)&gt;0,ROW()/10000000,"")</f>
        <v/>
      </c>
    </row>
    <row r="3331">
      <c r="A3331" s="91" t="n"/>
      <c r="B3331" s="111">
        <f>MAX(0,N('Deal maths'!M1334))</f>
        <v/>
      </c>
      <c r="C3331" s="91">
        <f>IF(B3331&gt;0,IF('Deal maths'!L1334="Local authority","Local authorities",LOWER(TRIM('Deal maths'!K1334))),"")</f>
        <v/>
      </c>
      <c r="D3331" s="91">
        <f>IF(C3331="","",IF(COUNTIF($C$4:C3330,C3331)=0,SUMIF($C$4:$C$3997,C3331,$B$4:$B$3997)-ROW()/1000000,""))</f>
        <v/>
      </c>
      <c r="E3331" s="91">
        <f>IF(N('Deal maths'!M1334)&gt;0,ROW()/10000000,"")</f>
        <v/>
      </c>
    </row>
    <row r="3332">
      <c r="A3332" s="91" t="n"/>
      <c r="B3332" s="111">
        <f>MAX(0,N('Deal maths'!M1335))</f>
        <v/>
      </c>
      <c r="C3332" s="91">
        <f>IF(B3332&gt;0,IF('Deal maths'!L1335="Local authority","Local authorities",LOWER(TRIM('Deal maths'!K1335))),"")</f>
        <v/>
      </c>
      <c r="D3332" s="91">
        <f>IF(C3332="","",IF(COUNTIF($C$4:C3331,C3332)=0,SUMIF($C$4:$C$3997,C3332,$B$4:$B$3997)-ROW()/1000000,""))</f>
        <v/>
      </c>
      <c r="E3332" s="91">
        <f>IF(N('Deal maths'!M1335)&gt;0,ROW()/10000000,"")</f>
        <v/>
      </c>
    </row>
    <row r="3333">
      <c r="A3333" s="91" t="n"/>
      <c r="B3333" s="111">
        <f>MAX(0,N('Deal maths'!M1336))</f>
        <v/>
      </c>
      <c r="C3333" s="91">
        <f>IF(B3333&gt;0,IF('Deal maths'!L1336="Local authority","Local authorities",LOWER(TRIM('Deal maths'!K1336))),"")</f>
        <v/>
      </c>
      <c r="D3333" s="91">
        <f>IF(C3333="","",IF(COUNTIF($C$4:C3332,C3333)=0,SUMIF($C$4:$C$3997,C3333,$B$4:$B$3997)-ROW()/1000000,""))</f>
        <v/>
      </c>
      <c r="E3333" s="91">
        <f>IF(N('Deal maths'!M1336)&gt;0,ROW()/10000000,"")</f>
        <v/>
      </c>
    </row>
    <row r="3334">
      <c r="A3334" s="91" t="n"/>
      <c r="B3334" s="111">
        <f>MAX(0,N('Deal maths'!M1337))</f>
        <v/>
      </c>
      <c r="C3334" s="91">
        <f>IF(B3334&gt;0,IF('Deal maths'!L1337="Local authority","Local authorities",LOWER(TRIM('Deal maths'!K1337))),"")</f>
        <v/>
      </c>
      <c r="D3334" s="91">
        <f>IF(C3334="","",IF(COUNTIF($C$4:C3333,C3334)=0,SUMIF($C$4:$C$3997,C3334,$B$4:$B$3997)-ROW()/1000000,""))</f>
        <v/>
      </c>
      <c r="E3334" s="91">
        <f>IF(N('Deal maths'!M1337)&gt;0,ROW()/10000000,"")</f>
        <v/>
      </c>
    </row>
    <row r="3335">
      <c r="A3335" s="91" t="n"/>
      <c r="B3335" s="111">
        <f>MAX(0,N('Deal maths'!M1338))</f>
        <v/>
      </c>
      <c r="C3335" s="91">
        <f>IF(B3335&gt;0,IF('Deal maths'!L1338="Local authority","Local authorities",LOWER(TRIM('Deal maths'!K1338))),"")</f>
        <v/>
      </c>
      <c r="D3335" s="91">
        <f>IF(C3335="","",IF(COUNTIF($C$4:C3334,C3335)=0,SUMIF($C$4:$C$3997,C3335,$B$4:$B$3997)-ROW()/1000000,""))</f>
        <v/>
      </c>
      <c r="E3335" s="91">
        <f>IF(N('Deal maths'!M1338)&gt;0,ROW()/10000000,"")</f>
        <v/>
      </c>
    </row>
    <row r="3336">
      <c r="A3336" s="91" t="n"/>
      <c r="B3336" s="111">
        <f>MAX(0,N('Deal maths'!M1339))</f>
        <v/>
      </c>
      <c r="C3336" s="91">
        <f>IF(B3336&gt;0,IF('Deal maths'!L1339="Local authority","Local authorities",LOWER(TRIM('Deal maths'!K1339))),"")</f>
        <v/>
      </c>
      <c r="D3336" s="91">
        <f>IF(C3336="","",IF(COUNTIF($C$4:C3335,C3336)=0,SUMIF($C$4:$C$3997,C3336,$B$4:$B$3997)-ROW()/1000000,""))</f>
        <v/>
      </c>
      <c r="E3336" s="91">
        <f>IF(N('Deal maths'!M1339)&gt;0,ROW()/10000000,"")</f>
        <v/>
      </c>
    </row>
    <row r="3337">
      <c r="A3337" s="91" t="n"/>
      <c r="B3337" s="111">
        <f>MAX(0,N('Deal maths'!M1340))</f>
        <v/>
      </c>
      <c r="C3337" s="91">
        <f>IF(B3337&gt;0,IF('Deal maths'!L1340="Local authority","Local authorities",LOWER(TRIM('Deal maths'!K1340))),"")</f>
        <v/>
      </c>
      <c r="D3337" s="91">
        <f>IF(C3337="","",IF(COUNTIF($C$4:C3336,C3337)=0,SUMIF($C$4:$C$3997,C3337,$B$4:$B$3997)-ROW()/1000000,""))</f>
        <v/>
      </c>
      <c r="E3337" s="91">
        <f>IF(N('Deal maths'!M1340)&gt;0,ROW()/10000000,"")</f>
        <v/>
      </c>
    </row>
    <row r="3338">
      <c r="A3338" s="91" t="n"/>
      <c r="B3338" s="111">
        <f>MAX(0,N('Deal maths'!M1341))</f>
        <v/>
      </c>
      <c r="C3338" s="91">
        <f>IF(B3338&gt;0,IF('Deal maths'!L1341="Local authority","Local authorities",LOWER(TRIM('Deal maths'!K1341))),"")</f>
        <v/>
      </c>
      <c r="D3338" s="91">
        <f>IF(C3338="","",IF(COUNTIF($C$4:C3337,C3338)=0,SUMIF($C$4:$C$3997,C3338,$B$4:$B$3997)-ROW()/1000000,""))</f>
        <v/>
      </c>
      <c r="E3338" s="91">
        <f>IF(N('Deal maths'!M1341)&gt;0,ROW()/10000000,"")</f>
        <v/>
      </c>
    </row>
    <row r="3339">
      <c r="A3339" s="91" t="n"/>
      <c r="B3339" s="111">
        <f>MAX(0,N('Deal maths'!M1342))</f>
        <v/>
      </c>
      <c r="C3339" s="91">
        <f>IF(B3339&gt;0,IF('Deal maths'!L1342="Local authority","Local authorities",LOWER(TRIM('Deal maths'!K1342))),"")</f>
        <v/>
      </c>
      <c r="D3339" s="91">
        <f>IF(C3339="","",IF(COUNTIF($C$4:C3338,C3339)=0,SUMIF($C$4:$C$3997,C3339,$B$4:$B$3997)-ROW()/1000000,""))</f>
        <v/>
      </c>
      <c r="E3339" s="91">
        <f>IF(N('Deal maths'!M1342)&gt;0,ROW()/10000000,"")</f>
        <v/>
      </c>
    </row>
    <row r="3340">
      <c r="A3340" s="91" t="n"/>
      <c r="B3340" s="111">
        <f>MAX(0,N('Deal maths'!M1343))</f>
        <v/>
      </c>
      <c r="C3340" s="91">
        <f>IF(B3340&gt;0,IF('Deal maths'!L1343="Local authority","Local authorities",LOWER(TRIM('Deal maths'!K1343))),"")</f>
        <v/>
      </c>
      <c r="D3340" s="91">
        <f>IF(C3340="","",IF(COUNTIF($C$4:C3339,C3340)=0,SUMIF($C$4:$C$3997,C3340,$B$4:$B$3997)-ROW()/1000000,""))</f>
        <v/>
      </c>
      <c r="E3340" s="91">
        <f>IF(N('Deal maths'!M1343)&gt;0,ROW()/10000000,"")</f>
        <v/>
      </c>
    </row>
    <row r="3341">
      <c r="A3341" s="91" t="n"/>
      <c r="B3341" s="111">
        <f>MAX(0,N('Deal maths'!M1344))</f>
        <v/>
      </c>
      <c r="C3341" s="91">
        <f>IF(B3341&gt;0,IF('Deal maths'!L1344="Local authority","Local authorities",LOWER(TRIM('Deal maths'!K1344))),"")</f>
        <v/>
      </c>
      <c r="D3341" s="91">
        <f>IF(C3341="","",IF(COUNTIF($C$4:C3340,C3341)=0,SUMIF($C$4:$C$3997,C3341,$B$4:$B$3997)-ROW()/1000000,""))</f>
        <v/>
      </c>
      <c r="E3341" s="91">
        <f>IF(N('Deal maths'!M1344)&gt;0,ROW()/10000000,"")</f>
        <v/>
      </c>
    </row>
    <row r="3342">
      <c r="A3342" s="91" t="n"/>
      <c r="B3342" s="111">
        <f>MAX(0,N('Deal maths'!M1345))</f>
        <v/>
      </c>
      <c r="C3342" s="91">
        <f>IF(B3342&gt;0,IF('Deal maths'!L1345="Local authority","Local authorities",LOWER(TRIM('Deal maths'!K1345))),"")</f>
        <v/>
      </c>
      <c r="D3342" s="91">
        <f>IF(C3342="","",IF(COUNTIF($C$4:C3341,C3342)=0,SUMIF($C$4:$C$3997,C3342,$B$4:$B$3997)-ROW()/1000000,""))</f>
        <v/>
      </c>
      <c r="E3342" s="91">
        <f>IF(N('Deal maths'!M1345)&gt;0,ROW()/10000000,"")</f>
        <v/>
      </c>
    </row>
    <row r="3343">
      <c r="A3343" s="91" t="n"/>
      <c r="B3343" s="111">
        <f>MAX(0,N('Deal maths'!M1346))</f>
        <v/>
      </c>
      <c r="C3343" s="91">
        <f>IF(B3343&gt;0,IF('Deal maths'!L1346="Local authority","Local authorities",LOWER(TRIM('Deal maths'!K1346))),"")</f>
        <v/>
      </c>
      <c r="D3343" s="91">
        <f>IF(C3343="","",IF(COUNTIF($C$4:C3342,C3343)=0,SUMIF($C$4:$C$3997,C3343,$B$4:$B$3997)-ROW()/1000000,""))</f>
        <v/>
      </c>
      <c r="E3343" s="91">
        <f>IF(N('Deal maths'!M1346)&gt;0,ROW()/10000000,"")</f>
        <v/>
      </c>
    </row>
    <row r="3344">
      <c r="A3344" s="91" t="n"/>
      <c r="B3344" s="111">
        <f>MAX(0,N('Deal maths'!M1347))</f>
        <v/>
      </c>
      <c r="C3344" s="91">
        <f>IF(B3344&gt;0,IF('Deal maths'!L1347="Local authority","Local authorities",LOWER(TRIM('Deal maths'!K1347))),"")</f>
        <v/>
      </c>
      <c r="D3344" s="91">
        <f>IF(C3344="","",IF(COUNTIF($C$4:C3343,C3344)=0,SUMIF($C$4:$C$3997,C3344,$B$4:$B$3997)-ROW()/1000000,""))</f>
        <v/>
      </c>
      <c r="E3344" s="91">
        <f>IF(N('Deal maths'!M1347)&gt;0,ROW()/10000000,"")</f>
        <v/>
      </c>
    </row>
    <row r="3345">
      <c r="A3345" s="91" t="n"/>
      <c r="B3345" s="111">
        <f>MAX(0,N('Deal maths'!M1348))</f>
        <v/>
      </c>
      <c r="C3345" s="91">
        <f>IF(B3345&gt;0,IF('Deal maths'!L1348="Local authority","Local authorities",LOWER(TRIM('Deal maths'!K1348))),"")</f>
        <v/>
      </c>
      <c r="D3345" s="91">
        <f>IF(C3345="","",IF(COUNTIF($C$4:C3344,C3345)=0,SUMIF($C$4:$C$3997,C3345,$B$4:$B$3997)-ROW()/1000000,""))</f>
        <v/>
      </c>
      <c r="E3345" s="91">
        <f>IF(N('Deal maths'!M1348)&gt;0,ROW()/10000000,"")</f>
        <v/>
      </c>
    </row>
    <row r="3346">
      <c r="A3346" s="91" t="n"/>
      <c r="B3346" s="111">
        <f>MAX(0,N('Deal maths'!M1349))</f>
        <v/>
      </c>
      <c r="C3346" s="91">
        <f>IF(B3346&gt;0,IF('Deal maths'!L1349="Local authority","Local authorities",LOWER(TRIM('Deal maths'!K1349))),"")</f>
        <v/>
      </c>
      <c r="D3346" s="91">
        <f>IF(C3346="","",IF(COUNTIF($C$4:C3345,C3346)=0,SUMIF($C$4:$C$3997,C3346,$B$4:$B$3997)-ROW()/1000000,""))</f>
        <v/>
      </c>
      <c r="E3346" s="91">
        <f>IF(N('Deal maths'!M1349)&gt;0,ROW()/10000000,"")</f>
        <v/>
      </c>
    </row>
    <row r="3347">
      <c r="A3347" s="91" t="n"/>
      <c r="B3347" s="111">
        <f>MAX(0,N('Deal maths'!M1350))</f>
        <v/>
      </c>
      <c r="C3347" s="91">
        <f>IF(B3347&gt;0,IF('Deal maths'!L1350="Local authority","Local authorities",LOWER(TRIM('Deal maths'!K1350))),"")</f>
        <v/>
      </c>
      <c r="D3347" s="91">
        <f>IF(C3347="","",IF(COUNTIF($C$4:C3346,C3347)=0,SUMIF($C$4:$C$3997,C3347,$B$4:$B$3997)-ROW()/1000000,""))</f>
        <v/>
      </c>
      <c r="E3347" s="91">
        <f>IF(N('Deal maths'!M1350)&gt;0,ROW()/10000000,"")</f>
        <v/>
      </c>
    </row>
    <row r="3348">
      <c r="A3348" s="91" t="n"/>
      <c r="B3348" s="111">
        <f>MAX(0,N('Deal maths'!M1351))</f>
        <v/>
      </c>
      <c r="C3348" s="91">
        <f>IF(B3348&gt;0,IF('Deal maths'!L1351="Local authority","Local authorities",LOWER(TRIM('Deal maths'!K1351))),"")</f>
        <v/>
      </c>
      <c r="D3348" s="91">
        <f>IF(C3348="","",IF(COUNTIF($C$4:C3347,C3348)=0,SUMIF($C$4:$C$3997,C3348,$B$4:$B$3997)-ROW()/1000000,""))</f>
        <v/>
      </c>
      <c r="E3348" s="91">
        <f>IF(N('Deal maths'!M1351)&gt;0,ROW()/10000000,"")</f>
        <v/>
      </c>
    </row>
    <row r="3349">
      <c r="A3349" s="91" t="n"/>
      <c r="B3349" s="111">
        <f>MAX(0,N('Deal maths'!M1352))</f>
        <v/>
      </c>
      <c r="C3349" s="91">
        <f>IF(B3349&gt;0,IF('Deal maths'!L1352="Local authority","Local authorities",LOWER(TRIM('Deal maths'!K1352))),"")</f>
        <v/>
      </c>
      <c r="D3349" s="91">
        <f>IF(C3349="","",IF(COUNTIF($C$4:C3348,C3349)=0,SUMIF($C$4:$C$3997,C3349,$B$4:$B$3997)-ROW()/1000000,""))</f>
        <v/>
      </c>
      <c r="E3349" s="91">
        <f>IF(N('Deal maths'!M1352)&gt;0,ROW()/10000000,"")</f>
        <v/>
      </c>
    </row>
    <row r="3350">
      <c r="A3350" s="91" t="n"/>
      <c r="B3350" s="111">
        <f>MAX(0,N('Deal maths'!M1353))</f>
        <v/>
      </c>
      <c r="C3350" s="91">
        <f>IF(B3350&gt;0,IF('Deal maths'!L1353="Local authority","Local authorities",LOWER(TRIM('Deal maths'!K1353))),"")</f>
        <v/>
      </c>
      <c r="D3350" s="91">
        <f>IF(C3350="","",IF(COUNTIF($C$4:C3349,C3350)=0,SUMIF($C$4:$C$3997,C3350,$B$4:$B$3997)-ROW()/1000000,""))</f>
        <v/>
      </c>
      <c r="E3350" s="91">
        <f>IF(N('Deal maths'!M1353)&gt;0,ROW()/10000000,"")</f>
        <v/>
      </c>
    </row>
    <row r="3351">
      <c r="A3351" s="91" t="n"/>
      <c r="B3351" s="111">
        <f>MAX(0,N('Deal maths'!M1354))</f>
        <v/>
      </c>
      <c r="C3351" s="91">
        <f>IF(B3351&gt;0,IF('Deal maths'!L1354="Local authority","Local authorities",LOWER(TRIM('Deal maths'!K1354))),"")</f>
        <v/>
      </c>
      <c r="D3351" s="91">
        <f>IF(C3351="","",IF(COUNTIF($C$4:C3350,C3351)=0,SUMIF($C$4:$C$3997,C3351,$B$4:$B$3997)-ROW()/1000000,""))</f>
        <v/>
      </c>
      <c r="E3351" s="91">
        <f>IF(N('Deal maths'!M1354)&gt;0,ROW()/10000000,"")</f>
        <v/>
      </c>
    </row>
    <row r="3352">
      <c r="A3352" s="91" t="n"/>
      <c r="B3352" s="111">
        <f>MAX(0,N('Deal maths'!M1355))</f>
        <v/>
      </c>
      <c r="C3352" s="91">
        <f>IF(B3352&gt;0,IF('Deal maths'!L1355="Local authority","Local authorities",LOWER(TRIM('Deal maths'!K1355))),"")</f>
        <v/>
      </c>
      <c r="D3352" s="91">
        <f>IF(C3352="","",IF(COUNTIF($C$4:C3351,C3352)=0,SUMIF($C$4:$C$3997,C3352,$B$4:$B$3997)-ROW()/1000000,""))</f>
        <v/>
      </c>
      <c r="E3352" s="91">
        <f>IF(N('Deal maths'!M1355)&gt;0,ROW()/10000000,"")</f>
        <v/>
      </c>
    </row>
    <row r="3353">
      <c r="A3353" s="91" t="n"/>
      <c r="B3353" s="111">
        <f>MAX(0,N('Deal maths'!M1356))</f>
        <v/>
      </c>
      <c r="C3353" s="91">
        <f>IF(B3353&gt;0,IF('Deal maths'!L1356="Local authority","Local authorities",LOWER(TRIM('Deal maths'!K1356))),"")</f>
        <v/>
      </c>
      <c r="D3353" s="91">
        <f>IF(C3353="","",IF(COUNTIF($C$4:C3352,C3353)=0,SUMIF($C$4:$C$3997,C3353,$B$4:$B$3997)-ROW()/1000000,""))</f>
        <v/>
      </c>
      <c r="E3353" s="91">
        <f>IF(N('Deal maths'!M1356)&gt;0,ROW()/10000000,"")</f>
        <v/>
      </c>
    </row>
    <row r="3354">
      <c r="A3354" s="91" t="n"/>
      <c r="B3354" s="111">
        <f>MAX(0,N('Deal maths'!M1357))</f>
        <v/>
      </c>
      <c r="C3354" s="91">
        <f>IF(B3354&gt;0,IF('Deal maths'!L1357="Local authority","Local authorities",LOWER(TRIM('Deal maths'!K1357))),"")</f>
        <v/>
      </c>
      <c r="D3354" s="91">
        <f>IF(C3354="","",IF(COUNTIF($C$4:C3353,C3354)=0,SUMIF($C$4:$C$3997,C3354,$B$4:$B$3997)-ROW()/1000000,""))</f>
        <v/>
      </c>
      <c r="E3354" s="91">
        <f>IF(N('Deal maths'!M1357)&gt;0,ROW()/10000000,"")</f>
        <v/>
      </c>
    </row>
    <row r="3355">
      <c r="A3355" s="91" t="n"/>
      <c r="B3355" s="111">
        <f>MAX(0,N('Deal maths'!M1358))</f>
        <v/>
      </c>
      <c r="C3355" s="91">
        <f>IF(B3355&gt;0,IF('Deal maths'!L1358="Local authority","Local authorities",LOWER(TRIM('Deal maths'!K1358))),"")</f>
        <v/>
      </c>
      <c r="D3355" s="91">
        <f>IF(C3355="","",IF(COUNTIF($C$4:C3354,C3355)=0,SUMIF($C$4:$C$3997,C3355,$B$4:$B$3997)-ROW()/1000000,""))</f>
        <v/>
      </c>
      <c r="E3355" s="91">
        <f>IF(N('Deal maths'!M1358)&gt;0,ROW()/10000000,"")</f>
        <v/>
      </c>
    </row>
    <row r="3356">
      <c r="A3356" s="91" t="n"/>
      <c r="B3356" s="111">
        <f>MAX(0,N('Deal maths'!M1359))</f>
        <v/>
      </c>
      <c r="C3356" s="91">
        <f>IF(B3356&gt;0,IF('Deal maths'!L1359="Local authority","Local authorities",LOWER(TRIM('Deal maths'!K1359))),"")</f>
        <v/>
      </c>
      <c r="D3356" s="91">
        <f>IF(C3356="","",IF(COUNTIF($C$4:C3355,C3356)=0,SUMIF($C$4:$C$3997,C3356,$B$4:$B$3997)-ROW()/1000000,""))</f>
        <v/>
      </c>
      <c r="E3356" s="91">
        <f>IF(N('Deal maths'!M1359)&gt;0,ROW()/10000000,"")</f>
        <v/>
      </c>
    </row>
    <row r="3357">
      <c r="A3357" s="91" t="n"/>
      <c r="B3357" s="111">
        <f>MAX(0,N('Deal maths'!M1360))</f>
        <v/>
      </c>
      <c r="C3357" s="91">
        <f>IF(B3357&gt;0,IF('Deal maths'!L1360="Local authority","Local authorities",LOWER(TRIM('Deal maths'!K1360))),"")</f>
        <v/>
      </c>
      <c r="D3357" s="91">
        <f>IF(C3357="","",IF(COUNTIF($C$4:C3356,C3357)=0,SUMIF($C$4:$C$3997,C3357,$B$4:$B$3997)-ROW()/1000000,""))</f>
        <v/>
      </c>
      <c r="E3357" s="91">
        <f>IF(N('Deal maths'!M1360)&gt;0,ROW()/10000000,"")</f>
        <v/>
      </c>
    </row>
    <row r="3358">
      <c r="A3358" s="91" t="n"/>
      <c r="B3358" s="111">
        <f>MAX(0,N('Deal maths'!M1361))</f>
        <v/>
      </c>
      <c r="C3358" s="91">
        <f>IF(B3358&gt;0,IF('Deal maths'!L1361="Local authority","Local authorities",LOWER(TRIM('Deal maths'!K1361))),"")</f>
        <v/>
      </c>
      <c r="D3358" s="91">
        <f>IF(C3358="","",IF(COUNTIF($C$4:C3357,C3358)=0,SUMIF($C$4:$C$3997,C3358,$B$4:$B$3997)-ROW()/1000000,""))</f>
        <v/>
      </c>
      <c r="E3358" s="91">
        <f>IF(N('Deal maths'!M1361)&gt;0,ROW()/10000000,"")</f>
        <v/>
      </c>
    </row>
    <row r="3359">
      <c r="A3359" s="91" t="n"/>
      <c r="B3359" s="111">
        <f>MAX(0,N('Deal maths'!M1362))</f>
        <v/>
      </c>
      <c r="C3359" s="91">
        <f>IF(B3359&gt;0,IF('Deal maths'!L1362="Local authority","Local authorities",LOWER(TRIM('Deal maths'!K1362))),"")</f>
        <v/>
      </c>
      <c r="D3359" s="91">
        <f>IF(C3359="","",IF(COUNTIF($C$4:C3358,C3359)=0,SUMIF($C$4:$C$3997,C3359,$B$4:$B$3997)-ROW()/1000000,""))</f>
        <v/>
      </c>
      <c r="E3359" s="91">
        <f>IF(N('Deal maths'!M1362)&gt;0,ROW()/10000000,"")</f>
        <v/>
      </c>
    </row>
    <row r="3360">
      <c r="A3360" s="91" t="n"/>
      <c r="B3360" s="111">
        <f>MAX(0,N('Deal maths'!M1363))</f>
        <v/>
      </c>
      <c r="C3360" s="91">
        <f>IF(B3360&gt;0,IF('Deal maths'!L1363="Local authority","Local authorities",LOWER(TRIM('Deal maths'!K1363))),"")</f>
        <v/>
      </c>
      <c r="D3360" s="91">
        <f>IF(C3360="","",IF(COUNTIF($C$4:C3359,C3360)=0,SUMIF($C$4:$C$3997,C3360,$B$4:$B$3997)-ROW()/1000000,""))</f>
        <v/>
      </c>
      <c r="E3360" s="91">
        <f>IF(N('Deal maths'!M1363)&gt;0,ROW()/10000000,"")</f>
        <v/>
      </c>
    </row>
    <row r="3361">
      <c r="A3361" s="91" t="n"/>
      <c r="B3361" s="111">
        <f>MAX(0,N('Deal maths'!M1364))</f>
        <v/>
      </c>
      <c r="C3361" s="91">
        <f>IF(B3361&gt;0,IF('Deal maths'!L1364="Local authority","Local authorities",LOWER(TRIM('Deal maths'!K1364))),"")</f>
        <v/>
      </c>
      <c r="D3361" s="91">
        <f>IF(C3361="","",IF(COUNTIF($C$4:C3360,C3361)=0,SUMIF($C$4:$C$3997,C3361,$B$4:$B$3997)-ROW()/1000000,""))</f>
        <v/>
      </c>
      <c r="E3361" s="91">
        <f>IF(N('Deal maths'!M1364)&gt;0,ROW()/10000000,"")</f>
        <v/>
      </c>
    </row>
    <row r="3362">
      <c r="A3362" s="91" t="n"/>
      <c r="B3362" s="111">
        <f>MAX(0,N('Deal maths'!M1365))</f>
        <v/>
      </c>
      <c r="C3362" s="91">
        <f>IF(B3362&gt;0,IF('Deal maths'!L1365="Local authority","Local authorities",LOWER(TRIM('Deal maths'!K1365))),"")</f>
        <v/>
      </c>
      <c r="D3362" s="91">
        <f>IF(C3362="","",IF(COUNTIF($C$4:C3361,C3362)=0,SUMIF($C$4:$C$3997,C3362,$B$4:$B$3997)-ROW()/1000000,""))</f>
        <v/>
      </c>
      <c r="E3362" s="91">
        <f>IF(N('Deal maths'!M1365)&gt;0,ROW()/10000000,"")</f>
        <v/>
      </c>
    </row>
    <row r="3363">
      <c r="A3363" s="91" t="n"/>
      <c r="B3363" s="111">
        <f>MAX(0,N('Deal maths'!M1366))</f>
        <v/>
      </c>
      <c r="C3363" s="91">
        <f>IF(B3363&gt;0,IF('Deal maths'!L1366="Local authority","Local authorities",LOWER(TRIM('Deal maths'!K1366))),"")</f>
        <v/>
      </c>
      <c r="D3363" s="91">
        <f>IF(C3363="","",IF(COUNTIF($C$4:C3362,C3363)=0,SUMIF($C$4:$C$3997,C3363,$B$4:$B$3997)-ROW()/1000000,""))</f>
        <v/>
      </c>
      <c r="E3363" s="91">
        <f>IF(N('Deal maths'!M1366)&gt;0,ROW()/10000000,"")</f>
        <v/>
      </c>
    </row>
    <row r="3364">
      <c r="A3364" s="91" t="n"/>
      <c r="B3364" s="111">
        <f>MAX(0,N('Deal maths'!M1367))</f>
        <v/>
      </c>
      <c r="C3364" s="91">
        <f>IF(B3364&gt;0,IF('Deal maths'!L1367="Local authority","Local authorities",LOWER(TRIM('Deal maths'!K1367))),"")</f>
        <v/>
      </c>
      <c r="D3364" s="91">
        <f>IF(C3364="","",IF(COUNTIF($C$4:C3363,C3364)=0,SUMIF($C$4:$C$3997,C3364,$B$4:$B$3997)-ROW()/1000000,""))</f>
        <v/>
      </c>
      <c r="E3364" s="91">
        <f>IF(N('Deal maths'!M1367)&gt;0,ROW()/10000000,"")</f>
        <v/>
      </c>
    </row>
    <row r="3365">
      <c r="A3365" s="91" t="n"/>
      <c r="B3365" s="111">
        <f>MAX(0,N('Deal maths'!M1368))</f>
        <v/>
      </c>
      <c r="C3365" s="91">
        <f>IF(B3365&gt;0,IF('Deal maths'!L1368="Local authority","Local authorities",LOWER(TRIM('Deal maths'!K1368))),"")</f>
        <v/>
      </c>
      <c r="D3365" s="91">
        <f>IF(C3365="","",IF(COUNTIF($C$4:C3364,C3365)=0,SUMIF($C$4:$C$3997,C3365,$B$4:$B$3997)-ROW()/1000000,""))</f>
        <v/>
      </c>
      <c r="E3365" s="91">
        <f>IF(N('Deal maths'!M1368)&gt;0,ROW()/10000000,"")</f>
        <v/>
      </c>
    </row>
    <row r="3366">
      <c r="A3366" s="91" t="n"/>
      <c r="B3366" s="111">
        <f>MAX(0,N('Deal maths'!M1369))</f>
        <v/>
      </c>
      <c r="C3366" s="91">
        <f>IF(B3366&gt;0,IF('Deal maths'!L1369="Local authority","Local authorities",LOWER(TRIM('Deal maths'!K1369))),"")</f>
        <v/>
      </c>
      <c r="D3366" s="91">
        <f>IF(C3366="","",IF(COUNTIF($C$4:C3365,C3366)=0,SUMIF($C$4:$C$3997,C3366,$B$4:$B$3997)-ROW()/1000000,""))</f>
        <v/>
      </c>
      <c r="E3366" s="91">
        <f>IF(N('Deal maths'!M1369)&gt;0,ROW()/10000000,"")</f>
        <v/>
      </c>
    </row>
    <row r="3367">
      <c r="A3367" s="91" t="n"/>
      <c r="B3367" s="111">
        <f>MAX(0,N('Deal maths'!M1370))</f>
        <v/>
      </c>
      <c r="C3367" s="91">
        <f>IF(B3367&gt;0,IF('Deal maths'!L1370="Local authority","Local authorities",LOWER(TRIM('Deal maths'!K1370))),"")</f>
        <v/>
      </c>
      <c r="D3367" s="91">
        <f>IF(C3367="","",IF(COUNTIF($C$4:C3366,C3367)=0,SUMIF($C$4:$C$3997,C3367,$B$4:$B$3997)-ROW()/1000000,""))</f>
        <v/>
      </c>
      <c r="E3367" s="91">
        <f>IF(N('Deal maths'!M1370)&gt;0,ROW()/10000000,"")</f>
        <v/>
      </c>
    </row>
    <row r="3368">
      <c r="A3368" s="91" t="n"/>
      <c r="B3368" s="111">
        <f>MAX(0,N('Deal maths'!M1371))</f>
        <v/>
      </c>
      <c r="C3368" s="91">
        <f>IF(B3368&gt;0,IF('Deal maths'!L1371="Local authority","Local authorities",LOWER(TRIM('Deal maths'!K1371))),"")</f>
        <v/>
      </c>
      <c r="D3368" s="91">
        <f>IF(C3368="","",IF(COUNTIF($C$4:C3367,C3368)=0,SUMIF($C$4:$C$3997,C3368,$B$4:$B$3997)-ROW()/1000000,""))</f>
        <v/>
      </c>
      <c r="E3368" s="91">
        <f>IF(N('Deal maths'!M1371)&gt;0,ROW()/10000000,"")</f>
        <v/>
      </c>
    </row>
    <row r="3369">
      <c r="A3369" s="91" t="n"/>
      <c r="B3369" s="111">
        <f>MAX(0,N('Deal maths'!M1372))</f>
        <v/>
      </c>
      <c r="C3369" s="91">
        <f>IF(B3369&gt;0,IF('Deal maths'!L1372="Local authority","Local authorities",LOWER(TRIM('Deal maths'!K1372))),"")</f>
        <v/>
      </c>
      <c r="D3369" s="91">
        <f>IF(C3369="","",IF(COUNTIF($C$4:C3368,C3369)=0,SUMIF($C$4:$C$3997,C3369,$B$4:$B$3997)-ROW()/1000000,""))</f>
        <v/>
      </c>
      <c r="E3369" s="91">
        <f>IF(N('Deal maths'!M1372)&gt;0,ROW()/10000000,"")</f>
        <v/>
      </c>
    </row>
    <row r="3370">
      <c r="A3370" s="91" t="n"/>
      <c r="B3370" s="111">
        <f>MAX(0,N('Deal maths'!M1373))</f>
        <v/>
      </c>
      <c r="C3370" s="91">
        <f>IF(B3370&gt;0,IF('Deal maths'!L1373="Local authority","Local authorities",LOWER(TRIM('Deal maths'!K1373))),"")</f>
        <v/>
      </c>
      <c r="D3370" s="91">
        <f>IF(C3370="","",IF(COUNTIF($C$4:C3369,C3370)=0,SUMIF($C$4:$C$3997,C3370,$B$4:$B$3997)-ROW()/1000000,""))</f>
        <v/>
      </c>
      <c r="E3370" s="91">
        <f>IF(N('Deal maths'!M1373)&gt;0,ROW()/10000000,"")</f>
        <v/>
      </c>
    </row>
    <row r="3371">
      <c r="A3371" s="91" t="n"/>
      <c r="B3371" s="111">
        <f>MAX(0,N('Deal maths'!M1374))</f>
        <v/>
      </c>
      <c r="C3371" s="91">
        <f>IF(B3371&gt;0,IF('Deal maths'!L1374="Local authority","Local authorities",LOWER(TRIM('Deal maths'!K1374))),"")</f>
        <v/>
      </c>
      <c r="D3371" s="91">
        <f>IF(C3371="","",IF(COUNTIF($C$4:C3370,C3371)=0,SUMIF($C$4:$C$3997,C3371,$B$4:$B$3997)-ROW()/1000000,""))</f>
        <v/>
      </c>
      <c r="E3371" s="91">
        <f>IF(N('Deal maths'!M1374)&gt;0,ROW()/10000000,"")</f>
        <v/>
      </c>
    </row>
    <row r="3372">
      <c r="A3372" s="91" t="n"/>
      <c r="B3372" s="111">
        <f>MAX(0,N('Deal maths'!M1375))</f>
        <v/>
      </c>
      <c r="C3372" s="91">
        <f>IF(B3372&gt;0,IF('Deal maths'!L1375="Local authority","Local authorities",LOWER(TRIM('Deal maths'!K1375))),"")</f>
        <v/>
      </c>
      <c r="D3372" s="91">
        <f>IF(C3372="","",IF(COUNTIF($C$4:C3371,C3372)=0,SUMIF($C$4:$C$3997,C3372,$B$4:$B$3997)-ROW()/1000000,""))</f>
        <v/>
      </c>
      <c r="E3372" s="91">
        <f>IF(N('Deal maths'!M1375)&gt;0,ROW()/10000000,"")</f>
        <v/>
      </c>
    </row>
    <row r="3373">
      <c r="A3373" s="91" t="n"/>
      <c r="B3373" s="111">
        <f>MAX(0,N('Deal maths'!M1376))</f>
        <v/>
      </c>
      <c r="C3373" s="91">
        <f>IF(B3373&gt;0,IF('Deal maths'!L1376="Local authority","Local authorities",LOWER(TRIM('Deal maths'!K1376))),"")</f>
        <v/>
      </c>
      <c r="D3373" s="91">
        <f>IF(C3373="","",IF(COUNTIF($C$4:C3372,C3373)=0,SUMIF($C$4:$C$3997,C3373,$B$4:$B$3997)-ROW()/1000000,""))</f>
        <v/>
      </c>
      <c r="E3373" s="91">
        <f>IF(N('Deal maths'!M1376)&gt;0,ROW()/10000000,"")</f>
        <v/>
      </c>
    </row>
    <row r="3374">
      <c r="A3374" s="91" t="n"/>
      <c r="B3374" s="111">
        <f>MAX(0,N('Deal maths'!M1377))</f>
        <v/>
      </c>
      <c r="C3374" s="91">
        <f>IF(B3374&gt;0,IF('Deal maths'!L1377="Local authority","Local authorities",LOWER(TRIM('Deal maths'!K1377))),"")</f>
        <v/>
      </c>
      <c r="D3374" s="91">
        <f>IF(C3374="","",IF(COUNTIF($C$4:C3373,C3374)=0,SUMIF($C$4:$C$3997,C3374,$B$4:$B$3997)-ROW()/1000000,""))</f>
        <v/>
      </c>
      <c r="E3374" s="91">
        <f>IF(N('Deal maths'!M1377)&gt;0,ROW()/10000000,"")</f>
        <v/>
      </c>
    </row>
    <row r="3375">
      <c r="A3375" s="91" t="n"/>
      <c r="B3375" s="111">
        <f>MAX(0,N('Deal maths'!M1378))</f>
        <v/>
      </c>
      <c r="C3375" s="91">
        <f>IF(B3375&gt;0,IF('Deal maths'!L1378="Local authority","Local authorities",LOWER(TRIM('Deal maths'!K1378))),"")</f>
        <v/>
      </c>
      <c r="D3375" s="91">
        <f>IF(C3375="","",IF(COUNTIF($C$4:C3374,C3375)=0,SUMIF($C$4:$C$3997,C3375,$B$4:$B$3997)-ROW()/1000000,""))</f>
        <v/>
      </c>
      <c r="E3375" s="91">
        <f>IF(N('Deal maths'!M1378)&gt;0,ROW()/10000000,"")</f>
        <v/>
      </c>
    </row>
    <row r="3376">
      <c r="A3376" s="91" t="n"/>
      <c r="B3376" s="111">
        <f>MAX(0,N('Deal maths'!M1379))</f>
        <v/>
      </c>
      <c r="C3376" s="91">
        <f>IF(B3376&gt;0,IF('Deal maths'!L1379="Local authority","Local authorities",LOWER(TRIM('Deal maths'!K1379))),"")</f>
        <v/>
      </c>
      <c r="D3376" s="91">
        <f>IF(C3376="","",IF(COUNTIF($C$4:C3375,C3376)=0,SUMIF($C$4:$C$3997,C3376,$B$4:$B$3997)-ROW()/1000000,""))</f>
        <v/>
      </c>
      <c r="E3376" s="91">
        <f>IF(N('Deal maths'!M1379)&gt;0,ROW()/10000000,"")</f>
        <v/>
      </c>
    </row>
    <row r="3377">
      <c r="A3377" s="91" t="n"/>
      <c r="B3377" s="111">
        <f>MAX(0,N('Deal maths'!M1380))</f>
        <v/>
      </c>
      <c r="C3377" s="91">
        <f>IF(B3377&gt;0,IF('Deal maths'!L1380="Local authority","Local authorities",LOWER(TRIM('Deal maths'!K1380))),"")</f>
        <v/>
      </c>
      <c r="D3377" s="91">
        <f>IF(C3377="","",IF(COUNTIF($C$4:C3376,C3377)=0,SUMIF($C$4:$C$3997,C3377,$B$4:$B$3997)-ROW()/1000000,""))</f>
        <v/>
      </c>
      <c r="E3377" s="91">
        <f>IF(N('Deal maths'!M1380)&gt;0,ROW()/10000000,"")</f>
        <v/>
      </c>
    </row>
    <row r="3378">
      <c r="A3378" s="91" t="n"/>
      <c r="B3378" s="111">
        <f>MAX(0,N('Deal maths'!M1381))</f>
        <v/>
      </c>
      <c r="C3378" s="91">
        <f>IF(B3378&gt;0,IF('Deal maths'!L1381="Local authority","Local authorities",LOWER(TRIM('Deal maths'!K1381))),"")</f>
        <v/>
      </c>
      <c r="D3378" s="91">
        <f>IF(C3378="","",IF(COUNTIF($C$4:C3377,C3378)=0,SUMIF($C$4:$C$3997,C3378,$B$4:$B$3997)-ROW()/1000000,""))</f>
        <v/>
      </c>
      <c r="E3378" s="91">
        <f>IF(N('Deal maths'!M1381)&gt;0,ROW()/10000000,"")</f>
        <v/>
      </c>
    </row>
    <row r="3379">
      <c r="A3379" s="91" t="n"/>
      <c r="B3379" s="111">
        <f>MAX(0,N('Deal maths'!M1382))</f>
        <v/>
      </c>
      <c r="C3379" s="91">
        <f>IF(B3379&gt;0,IF('Deal maths'!L1382="Local authority","Local authorities",LOWER(TRIM('Deal maths'!K1382))),"")</f>
        <v/>
      </c>
      <c r="D3379" s="91">
        <f>IF(C3379="","",IF(COUNTIF($C$4:C3378,C3379)=0,SUMIF($C$4:$C$3997,C3379,$B$4:$B$3997)-ROW()/1000000,""))</f>
        <v/>
      </c>
      <c r="E3379" s="91">
        <f>IF(N('Deal maths'!M1382)&gt;0,ROW()/10000000,"")</f>
        <v/>
      </c>
    </row>
    <row r="3380">
      <c r="A3380" s="91" t="n"/>
      <c r="B3380" s="111">
        <f>MAX(0,N('Deal maths'!M1383))</f>
        <v/>
      </c>
      <c r="C3380" s="91">
        <f>IF(B3380&gt;0,IF('Deal maths'!L1383="Local authority","Local authorities",LOWER(TRIM('Deal maths'!K1383))),"")</f>
        <v/>
      </c>
      <c r="D3380" s="91">
        <f>IF(C3380="","",IF(COUNTIF($C$4:C3379,C3380)=0,SUMIF($C$4:$C$3997,C3380,$B$4:$B$3997)-ROW()/1000000,""))</f>
        <v/>
      </c>
      <c r="E3380" s="91">
        <f>IF(N('Deal maths'!M1383)&gt;0,ROW()/10000000,"")</f>
        <v/>
      </c>
    </row>
    <row r="3381">
      <c r="A3381" s="91" t="n"/>
      <c r="B3381" s="111">
        <f>MAX(0,N('Deal maths'!M1384))</f>
        <v/>
      </c>
      <c r="C3381" s="91">
        <f>IF(B3381&gt;0,IF('Deal maths'!L1384="Local authority","Local authorities",LOWER(TRIM('Deal maths'!K1384))),"")</f>
        <v/>
      </c>
      <c r="D3381" s="91">
        <f>IF(C3381="","",IF(COUNTIF($C$4:C3380,C3381)=0,SUMIF($C$4:$C$3997,C3381,$B$4:$B$3997)-ROW()/1000000,""))</f>
        <v/>
      </c>
      <c r="E3381" s="91">
        <f>IF(N('Deal maths'!M1384)&gt;0,ROW()/10000000,"")</f>
        <v/>
      </c>
    </row>
    <row r="3382">
      <c r="A3382" s="91" t="n"/>
      <c r="B3382" s="111">
        <f>MAX(0,N('Deal maths'!M1385))</f>
        <v/>
      </c>
      <c r="C3382" s="91">
        <f>IF(B3382&gt;0,IF('Deal maths'!L1385="Local authority","Local authorities",LOWER(TRIM('Deal maths'!K1385))),"")</f>
        <v/>
      </c>
      <c r="D3382" s="91">
        <f>IF(C3382="","",IF(COUNTIF($C$4:C3381,C3382)=0,SUMIF($C$4:$C$3997,C3382,$B$4:$B$3997)-ROW()/1000000,""))</f>
        <v/>
      </c>
      <c r="E3382" s="91">
        <f>IF(N('Deal maths'!M1385)&gt;0,ROW()/10000000,"")</f>
        <v/>
      </c>
    </row>
    <row r="3383">
      <c r="A3383" s="91" t="n"/>
      <c r="B3383" s="111">
        <f>MAX(0,N('Deal maths'!M1386))</f>
        <v/>
      </c>
      <c r="C3383" s="91">
        <f>IF(B3383&gt;0,IF('Deal maths'!L1386="Local authority","Local authorities",LOWER(TRIM('Deal maths'!K1386))),"")</f>
        <v/>
      </c>
      <c r="D3383" s="91">
        <f>IF(C3383="","",IF(COUNTIF($C$4:C3382,C3383)=0,SUMIF($C$4:$C$3997,C3383,$B$4:$B$3997)-ROW()/1000000,""))</f>
        <v/>
      </c>
      <c r="E3383" s="91">
        <f>IF(N('Deal maths'!M1386)&gt;0,ROW()/10000000,"")</f>
        <v/>
      </c>
    </row>
    <row r="3384">
      <c r="A3384" s="91" t="n"/>
      <c r="B3384" s="111">
        <f>MAX(0,N('Deal maths'!M1387))</f>
        <v/>
      </c>
      <c r="C3384" s="91">
        <f>IF(B3384&gt;0,IF('Deal maths'!L1387="Local authority","Local authorities",LOWER(TRIM('Deal maths'!K1387))),"")</f>
        <v/>
      </c>
      <c r="D3384" s="91">
        <f>IF(C3384="","",IF(COUNTIF($C$4:C3383,C3384)=0,SUMIF($C$4:$C$3997,C3384,$B$4:$B$3997)-ROW()/1000000,""))</f>
        <v/>
      </c>
      <c r="E3384" s="91">
        <f>IF(N('Deal maths'!M1387)&gt;0,ROW()/10000000,"")</f>
        <v/>
      </c>
    </row>
    <row r="3385">
      <c r="A3385" s="91" t="n"/>
      <c r="B3385" s="111">
        <f>MAX(0,N('Deal maths'!M1388))</f>
        <v/>
      </c>
      <c r="C3385" s="91">
        <f>IF(B3385&gt;0,IF('Deal maths'!L1388="Local authority","Local authorities",LOWER(TRIM('Deal maths'!K1388))),"")</f>
        <v/>
      </c>
      <c r="D3385" s="91">
        <f>IF(C3385="","",IF(COUNTIF($C$4:C3384,C3385)=0,SUMIF($C$4:$C$3997,C3385,$B$4:$B$3997)-ROW()/1000000,""))</f>
        <v/>
      </c>
      <c r="E3385" s="91">
        <f>IF(N('Deal maths'!M1388)&gt;0,ROW()/10000000,"")</f>
        <v/>
      </c>
    </row>
    <row r="3386">
      <c r="A3386" s="91" t="n"/>
      <c r="B3386" s="111">
        <f>MAX(0,N('Deal maths'!M1389))</f>
        <v/>
      </c>
      <c r="C3386" s="91">
        <f>IF(B3386&gt;0,IF('Deal maths'!L1389="Local authority","Local authorities",LOWER(TRIM('Deal maths'!K1389))),"")</f>
        <v/>
      </c>
      <c r="D3386" s="91">
        <f>IF(C3386="","",IF(COUNTIF($C$4:C3385,C3386)=0,SUMIF($C$4:$C$3997,C3386,$B$4:$B$3997)-ROW()/1000000,""))</f>
        <v/>
      </c>
      <c r="E3386" s="91">
        <f>IF(N('Deal maths'!M1389)&gt;0,ROW()/10000000,"")</f>
        <v/>
      </c>
    </row>
    <row r="3387">
      <c r="A3387" s="91" t="n"/>
      <c r="B3387" s="111">
        <f>MAX(0,N('Deal maths'!M1390))</f>
        <v/>
      </c>
      <c r="C3387" s="91">
        <f>IF(B3387&gt;0,IF('Deal maths'!L1390="Local authority","Local authorities",LOWER(TRIM('Deal maths'!K1390))),"")</f>
        <v/>
      </c>
      <c r="D3387" s="91">
        <f>IF(C3387="","",IF(COUNTIF($C$4:C3386,C3387)=0,SUMIF($C$4:$C$3997,C3387,$B$4:$B$3997)-ROW()/1000000,""))</f>
        <v/>
      </c>
      <c r="E3387" s="91">
        <f>IF(N('Deal maths'!M1390)&gt;0,ROW()/10000000,"")</f>
        <v/>
      </c>
    </row>
    <row r="3388">
      <c r="A3388" s="91" t="n"/>
      <c r="B3388" s="111">
        <f>MAX(0,N('Deal maths'!M1391))</f>
        <v/>
      </c>
      <c r="C3388" s="91">
        <f>IF(B3388&gt;0,IF('Deal maths'!L1391="Local authority","Local authorities",LOWER(TRIM('Deal maths'!K1391))),"")</f>
        <v/>
      </c>
      <c r="D3388" s="91">
        <f>IF(C3388="","",IF(COUNTIF($C$4:C3387,C3388)=0,SUMIF($C$4:$C$3997,C3388,$B$4:$B$3997)-ROW()/1000000,""))</f>
        <v/>
      </c>
      <c r="E3388" s="91">
        <f>IF(N('Deal maths'!M1391)&gt;0,ROW()/10000000,"")</f>
        <v/>
      </c>
    </row>
    <row r="3389">
      <c r="A3389" s="91" t="n"/>
      <c r="B3389" s="111">
        <f>MAX(0,N('Deal maths'!M1392))</f>
        <v/>
      </c>
      <c r="C3389" s="91">
        <f>IF(B3389&gt;0,IF('Deal maths'!L1392="Local authority","Local authorities",LOWER(TRIM('Deal maths'!K1392))),"")</f>
        <v/>
      </c>
      <c r="D3389" s="91">
        <f>IF(C3389="","",IF(COUNTIF($C$4:C3388,C3389)=0,SUMIF($C$4:$C$3997,C3389,$B$4:$B$3997)-ROW()/1000000,""))</f>
        <v/>
      </c>
      <c r="E3389" s="91">
        <f>IF(N('Deal maths'!M1392)&gt;0,ROW()/10000000,"")</f>
        <v/>
      </c>
    </row>
    <row r="3390">
      <c r="A3390" s="91" t="n"/>
      <c r="B3390" s="111">
        <f>MAX(0,N('Deal maths'!M1393))</f>
        <v/>
      </c>
      <c r="C3390" s="91">
        <f>IF(B3390&gt;0,IF('Deal maths'!L1393="Local authority","Local authorities",LOWER(TRIM('Deal maths'!K1393))),"")</f>
        <v/>
      </c>
      <c r="D3390" s="91">
        <f>IF(C3390="","",IF(COUNTIF($C$4:C3389,C3390)=0,SUMIF($C$4:$C$3997,C3390,$B$4:$B$3997)-ROW()/1000000,""))</f>
        <v/>
      </c>
      <c r="E3390" s="91">
        <f>IF(N('Deal maths'!M1393)&gt;0,ROW()/10000000,"")</f>
        <v/>
      </c>
    </row>
    <row r="3391">
      <c r="A3391" s="91" t="n"/>
      <c r="B3391" s="111">
        <f>MAX(0,N('Deal maths'!M1394))</f>
        <v/>
      </c>
      <c r="C3391" s="91">
        <f>IF(B3391&gt;0,IF('Deal maths'!L1394="Local authority","Local authorities",LOWER(TRIM('Deal maths'!K1394))),"")</f>
        <v/>
      </c>
      <c r="D3391" s="91">
        <f>IF(C3391="","",IF(COUNTIF($C$4:C3390,C3391)=0,SUMIF($C$4:$C$3997,C3391,$B$4:$B$3997)-ROW()/1000000,""))</f>
        <v/>
      </c>
      <c r="E3391" s="91">
        <f>IF(N('Deal maths'!M1394)&gt;0,ROW()/10000000,"")</f>
        <v/>
      </c>
    </row>
    <row r="3392">
      <c r="A3392" s="91" t="n"/>
      <c r="B3392" s="111">
        <f>MAX(0,N('Deal maths'!M1395))</f>
        <v/>
      </c>
      <c r="C3392" s="91">
        <f>IF(B3392&gt;0,IF('Deal maths'!L1395="Local authority","Local authorities",LOWER(TRIM('Deal maths'!K1395))),"")</f>
        <v/>
      </c>
      <c r="D3392" s="91">
        <f>IF(C3392="","",IF(COUNTIF($C$4:C3391,C3392)=0,SUMIF($C$4:$C$3997,C3392,$B$4:$B$3997)-ROW()/1000000,""))</f>
        <v/>
      </c>
      <c r="E3392" s="91">
        <f>IF(N('Deal maths'!M1395)&gt;0,ROW()/10000000,"")</f>
        <v/>
      </c>
    </row>
    <row r="3393">
      <c r="A3393" s="91" t="n"/>
      <c r="B3393" s="111">
        <f>MAX(0,N('Deal maths'!M1396))</f>
        <v/>
      </c>
      <c r="C3393" s="91">
        <f>IF(B3393&gt;0,IF('Deal maths'!L1396="Local authority","Local authorities",LOWER(TRIM('Deal maths'!K1396))),"")</f>
        <v/>
      </c>
      <c r="D3393" s="91">
        <f>IF(C3393="","",IF(COUNTIF($C$4:C3392,C3393)=0,SUMIF($C$4:$C$3997,C3393,$B$4:$B$3997)-ROW()/1000000,""))</f>
        <v/>
      </c>
      <c r="E3393" s="91">
        <f>IF(N('Deal maths'!M1396)&gt;0,ROW()/10000000,"")</f>
        <v/>
      </c>
    </row>
    <row r="3394">
      <c r="A3394" s="91" t="n"/>
      <c r="B3394" s="111">
        <f>MAX(0,N('Deal maths'!M1397))</f>
        <v/>
      </c>
      <c r="C3394" s="91">
        <f>IF(B3394&gt;0,IF('Deal maths'!L1397="Local authority","Local authorities",LOWER(TRIM('Deal maths'!K1397))),"")</f>
        <v/>
      </c>
      <c r="D3394" s="91">
        <f>IF(C3394="","",IF(COUNTIF($C$4:C3393,C3394)=0,SUMIF($C$4:$C$3997,C3394,$B$4:$B$3997)-ROW()/1000000,""))</f>
        <v/>
      </c>
      <c r="E3394" s="91">
        <f>IF(N('Deal maths'!M1397)&gt;0,ROW()/10000000,"")</f>
        <v/>
      </c>
    </row>
    <row r="3395">
      <c r="A3395" s="91" t="n"/>
      <c r="B3395" s="111">
        <f>MAX(0,N('Deal maths'!M1398))</f>
        <v/>
      </c>
      <c r="C3395" s="91">
        <f>IF(B3395&gt;0,IF('Deal maths'!L1398="Local authority","Local authorities",LOWER(TRIM('Deal maths'!K1398))),"")</f>
        <v/>
      </c>
      <c r="D3395" s="91">
        <f>IF(C3395="","",IF(COUNTIF($C$4:C3394,C3395)=0,SUMIF($C$4:$C$3997,C3395,$B$4:$B$3997)-ROW()/1000000,""))</f>
        <v/>
      </c>
      <c r="E3395" s="91">
        <f>IF(N('Deal maths'!M1398)&gt;0,ROW()/10000000,"")</f>
        <v/>
      </c>
    </row>
    <row r="3396">
      <c r="A3396" s="91" t="n"/>
      <c r="B3396" s="111">
        <f>MAX(0,N('Deal maths'!M1399))</f>
        <v/>
      </c>
      <c r="C3396" s="91">
        <f>IF(B3396&gt;0,IF('Deal maths'!L1399="Local authority","Local authorities",LOWER(TRIM('Deal maths'!K1399))),"")</f>
        <v/>
      </c>
      <c r="D3396" s="91">
        <f>IF(C3396="","",IF(COUNTIF($C$4:C3395,C3396)=0,SUMIF($C$4:$C$3997,C3396,$B$4:$B$3997)-ROW()/1000000,""))</f>
        <v/>
      </c>
      <c r="E3396" s="91">
        <f>IF(N('Deal maths'!M1399)&gt;0,ROW()/10000000,"")</f>
        <v/>
      </c>
    </row>
    <row r="3397">
      <c r="A3397" s="91" t="n"/>
      <c r="B3397" s="111">
        <f>MAX(0,N('Deal maths'!M1400))</f>
        <v/>
      </c>
      <c r="C3397" s="91">
        <f>IF(B3397&gt;0,IF('Deal maths'!L1400="Local authority","Local authorities",LOWER(TRIM('Deal maths'!K1400))),"")</f>
        <v/>
      </c>
      <c r="D3397" s="91">
        <f>IF(C3397="","",IF(COUNTIF($C$4:C3396,C3397)=0,SUMIF($C$4:$C$3997,C3397,$B$4:$B$3997)-ROW()/1000000,""))</f>
        <v/>
      </c>
      <c r="E3397" s="91">
        <f>IF(N('Deal maths'!M1400)&gt;0,ROW()/10000000,"")</f>
        <v/>
      </c>
    </row>
    <row r="3398">
      <c r="A3398" s="91" t="n"/>
      <c r="B3398" s="111">
        <f>MAX(0,N('Deal maths'!M1401))</f>
        <v/>
      </c>
      <c r="C3398" s="91">
        <f>IF(B3398&gt;0,IF('Deal maths'!L1401="Local authority","Local authorities",LOWER(TRIM('Deal maths'!K1401))),"")</f>
        <v/>
      </c>
      <c r="D3398" s="91">
        <f>IF(C3398="","",IF(COUNTIF($C$4:C3397,C3398)=0,SUMIF($C$4:$C$3997,C3398,$B$4:$B$3997)-ROW()/1000000,""))</f>
        <v/>
      </c>
      <c r="E3398" s="91">
        <f>IF(N('Deal maths'!M1401)&gt;0,ROW()/10000000,"")</f>
        <v/>
      </c>
    </row>
    <row r="3399">
      <c r="A3399" s="91" t="n"/>
      <c r="B3399" s="111">
        <f>MAX(0,N('Deal maths'!M1402))</f>
        <v/>
      </c>
      <c r="C3399" s="91">
        <f>IF(B3399&gt;0,IF('Deal maths'!L1402="Local authority","Local authorities",LOWER(TRIM('Deal maths'!K1402))),"")</f>
        <v/>
      </c>
      <c r="D3399" s="91">
        <f>IF(C3399="","",IF(COUNTIF($C$4:C3398,C3399)=0,SUMIF($C$4:$C$3997,C3399,$B$4:$B$3997)-ROW()/1000000,""))</f>
        <v/>
      </c>
      <c r="E3399" s="91">
        <f>IF(N('Deal maths'!M1402)&gt;0,ROW()/10000000,"")</f>
        <v/>
      </c>
    </row>
    <row r="3400">
      <c r="A3400" s="91" t="n"/>
      <c r="B3400" s="111">
        <f>MAX(0,N('Deal maths'!M1403))</f>
        <v/>
      </c>
      <c r="C3400" s="91">
        <f>IF(B3400&gt;0,IF('Deal maths'!L1403="Local authority","Local authorities",LOWER(TRIM('Deal maths'!K1403))),"")</f>
        <v/>
      </c>
      <c r="D3400" s="91">
        <f>IF(C3400="","",IF(COUNTIF($C$4:C3399,C3400)=0,SUMIF($C$4:$C$3997,C3400,$B$4:$B$3997)-ROW()/1000000,""))</f>
        <v/>
      </c>
      <c r="E3400" s="91">
        <f>IF(N('Deal maths'!M1403)&gt;0,ROW()/10000000,"")</f>
        <v/>
      </c>
    </row>
    <row r="3401">
      <c r="A3401" s="91" t="n"/>
      <c r="B3401" s="111">
        <f>MAX(0,N('Deal maths'!M1404))</f>
        <v/>
      </c>
      <c r="C3401" s="91">
        <f>IF(B3401&gt;0,IF('Deal maths'!L1404="Local authority","Local authorities",LOWER(TRIM('Deal maths'!K1404))),"")</f>
        <v/>
      </c>
      <c r="D3401" s="91">
        <f>IF(C3401="","",IF(COUNTIF($C$4:C3400,C3401)=0,SUMIF($C$4:$C$3997,C3401,$B$4:$B$3997)-ROW()/1000000,""))</f>
        <v/>
      </c>
      <c r="E3401" s="91">
        <f>IF(N('Deal maths'!M1404)&gt;0,ROW()/10000000,"")</f>
        <v/>
      </c>
    </row>
    <row r="3402">
      <c r="A3402" s="91" t="n"/>
      <c r="B3402" s="111">
        <f>MAX(0,N('Deal maths'!M1405))</f>
        <v/>
      </c>
      <c r="C3402" s="91">
        <f>IF(B3402&gt;0,IF('Deal maths'!L1405="Local authority","Local authorities",LOWER(TRIM('Deal maths'!K1405))),"")</f>
        <v/>
      </c>
      <c r="D3402" s="91">
        <f>IF(C3402="","",IF(COUNTIF($C$4:C3401,C3402)=0,SUMIF($C$4:$C$3997,C3402,$B$4:$B$3997)-ROW()/1000000,""))</f>
        <v/>
      </c>
      <c r="E3402" s="91">
        <f>IF(N('Deal maths'!M1405)&gt;0,ROW()/10000000,"")</f>
        <v/>
      </c>
    </row>
    <row r="3403">
      <c r="A3403" s="91" t="n"/>
      <c r="B3403" s="111">
        <f>MAX(0,N('Deal maths'!M1406))</f>
        <v/>
      </c>
      <c r="C3403" s="91">
        <f>IF(B3403&gt;0,IF('Deal maths'!L1406="Local authority","Local authorities",LOWER(TRIM('Deal maths'!K1406))),"")</f>
        <v/>
      </c>
      <c r="D3403" s="91">
        <f>IF(C3403="","",IF(COUNTIF($C$4:C3402,C3403)=0,SUMIF($C$4:$C$3997,C3403,$B$4:$B$3997)-ROW()/1000000,""))</f>
        <v/>
      </c>
      <c r="E3403" s="91">
        <f>IF(N('Deal maths'!M1406)&gt;0,ROW()/10000000,"")</f>
        <v/>
      </c>
    </row>
    <row r="3404">
      <c r="A3404" s="91" t="n"/>
      <c r="B3404" s="111">
        <f>MAX(0,N('Deal maths'!M1407))</f>
        <v/>
      </c>
      <c r="C3404" s="91">
        <f>IF(B3404&gt;0,IF('Deal maths'!L1407="Local authority","Local authorities",LOWER(TRIM('Deal maths'!K1407))),"")</f>
        <v/>
      </c>
      <c r="D3404" s="91">
        <f>IF(C3404="","",IF(COUNTIF($C$4:C3403,C3404)=0,SUMIF($C$4:$C$3997,C3404,$B$4:$B$3997)-ROW()/1000000,""))</f>
        <v/>
      </c>
      <c r="E3404" s="91">
        <f>IF(N('Deal maths'!M1407)&gt;0,ROW()/10000000,"")</f>
        <v/>
      </c>
    </row>
    <row r="3405">
      <c r="A3405" s="91" t="n"/>
      <c r="B3405" s="111">
        <f>MAX(0,N('Deal maths'!M1408))</f>
        <v/>
      </c>
      <c r="C3405" s="91">
        <f>IF(B3405&gt;0,IF('Deal maths'!L1408="Local authority","Local authorities",LOWER(TRIM('Deal maths'!K1408))),"")</f>
        <v/>
      </c>
      <c r="D3405" s="91">
        <f>IF(C3405="","",IF(COUNTIF($C$4:C3404,C3405)=0,SUMIF($C$4:$C$3997,C3405,$B$4:$B$3997)-ROW()/1000000,""))</f>
        <v/>
      </c>
      <c r="E3405" s="91">
        <f>IF(N('Deal maths'!M1408)&gt;0,ROW()/10000000,"")</f>
        <v/>
      </c>
    </row>
    <row r="3406">
      <c r="A3406" s="91" t="n"/>
      <c r="B3406" s="111">
        <f>MAX(0,N('Deal maths'!M1409))</f>
        <v/>
      </c>
      <c r="C3406" s="91">
        <f>IF(B3406&gt;0,IF('Deal maths'!L1409="Local authority","Local authorities",LOWER(TRIM('Deal maths'!K1409))),"")</f>
        <v/>
      </c>
      <c r="D3406" s="91">
        <f>IF(C3406="","",IF(COUNTIF($C$4:C3405,C3406)=0,SUMIF($C$4:$C$3997,C3406,$B$4:$B$3997)-ROW()/1000000,""))</f>
        <v/>
      </c>
      <c r="E3406" s="91">
        <f>IF(N('Deal maths'!M1409)&gt;0,ROW()/10000000,"")</f>
        <v/>
      </c>
    </row>
    <row r="3407">
      <c r="A3407" s="91" t="n"/>
      <c r="B3407" s="111">
        <f>MAX(0,N('Deal maths'!M1410))</f>
        <v/>
      </c>
      <c r="C3407" s="91">
        <f>IF(B3407&gt;0,IF('Deal maths'!L1410="Local authority","Local authorities",LOWER(TRIM('Deal maths'!K1410))),"")</f>
        <v/>
      </c>
      <c r="D3407" s="91">
        <f>IF(C3407="","",IF(COUNTIF($C$4:C3406,C3407)=0,SUMIF($C$4:$C$3997,C3407,$B$4:$B$3997)-ROW()/1000000,""))</f>
        <v/>
      </c>
      <c r="E3407" s="91">
        <f>IF(N('Deal maths'!M1410)&gt;0,ROW()/10000000,"")</f>
        <v/>
      </c>
    </row>
    <row r="3408">
      <c r="A3408" s="91" t="n"/>
      <c r="B3408" s="111">
        <f>MAX(0,N('Deal maths'!M1411))</f>
        <v/>
      </c>
      <c r="C3408" s="91">
        <f>IF(B3408&gt;0,IF('Deal maths'!L1411="Local authority","Local authorities",LOWER(TRIM('Deal maths'!K1411))),"")</f>
        <v/>
      </c>
      <c r="D3408" s="91">
        <f>IF(C3408="","",IF(COUNTIF($C$4:C3407,C3408)=0,SUMIF($C$4:$C$3997,C3408,$B$4:$B$3997)-ROW()/1000000,""))</f>
        <v/>
      </c>
      <c r="E3408" s="91">
        <f>IF(N('Deal maths'!M1411)&gt;0,ROW()/10000000,"")</f>
        <v/>
      </c>
    </row>
    <row r="3409">
      <c r="A3409" s="91" t="n"/>
      <c r="B3409" s="111">
        <f>MAX(0,N('Deal maths'!M1412))</f>
        <v/>
      </c>
      <c r="C3409" s="91">
        <f>IF(B3409&gt;0,IF('Deal maths'!L1412="Local authority","Local authorities",LOWER(TRIM('Deal maths'!K1412))),"")</f>
        <v/>
      </c>
      <c r="D3409" s="91">
        <f>IF(C3409="","",IF(COUNTIF($C$4:C3408,C3409)=0,SUMIF($C$4:$C$3997,C3409,$B$4:$B$3997)-ROW()/1000000,""))</f>
        <v/>
      </c>
      <c r="E3409" s="91">
        <f>IF(N('Deal maths'!M1412)&gt;0,ROW()/10000000,"")</f>
        <v/>
      </c>
    </row>
    <row r="3410">
      <c r="A3410" s="91" t="n"/>
      <c r="B3410" s="111">
        <f>MAX(0,N('Deal maths'!M1413))</f>
        <v/>
      </c>
      <c r="C3410" s="91">
        <f>IF(B3410&gt;0,IF('Deal maths'!L1413="Local authority","Local authorities",LOWER(TRIM('Deal maths'!K1413))),"")</f>
        <v/>
      </c>
      <c r="D3410" s="91">
        <f>IF(C3410="","",IF(COUNTIF($C$4:C3409,C3410)=0,SUMIF($C$4:$C$3997,C3410,$B$4:$B$3997)-ROW()/1000000,""))</f>
        <v/>
      </c>
      <c r="E3410" s="91">
        <f>IF(N('Deal maths'!M1413)&gt;0,ROW()/10000000,"")</f>
        <v/>
      </c>
    </row>
    <row r="3411">
      <c r="A3411" s="91" t="n"/>
      <c r="B3411" s="111">
        <f>MAX(0,N('Deal maths'!M1414))</f>
        <v/>
      </c>
      <c r="C3411" s="91">
        <f>IF(B3411&gt;0,IF('Deal maths'!L1414="Local authority","Local authorities",LOWER(TRIM('Deal maths'!K1414))),"")</f>
        <v/>
      </c>
      <c r="D3411" s="91">
        <f>IF(C3411="","",IF(COUNTIF($C$4:C3410,C3411)=0,SUMIF($C$4:$C$3997,C3411,$B$4:$B$3997)-ROW()/1000000,""))</f>
        <v/>
      </c>
      <c r="E3411" s="91">
        <f>IF(N('Deal maths'!M1414)&gt;0,ROW()/10000000,"")</f>
        <v/>
      </c>
    </row>
    <row r="3412">
      <c r="A3412" s="91" t="n"/>
      <c r="B3412" s="111">
        <f>MAX(0,N('Deal maths'!M1415))</f>
        <v/>
      </c>
      <c r="C3412" s="91">
        <f>IF(B3412&gt;0,IF('Deal maths'!L1415="Local authority","Local authorities",LOWER(TRIM('Deal maths'!K1415))),"")</f>
        <v/>
      </c>
      <c r="D3412" s="91">
        <f>IF(C3412="","",IF(COUNTIF($C$4:C3411,C3412)=0,SUMIF($C$4:$C$3997,C3412,$B$4:$B$3997)-ROW()/1000000,""))</f>
        <v/>
      </c>
      <c r="E3412" s="91">
        <f>IF(N('Deal maths'!M1415)&gt;0,ROW()/10000000,"")</f>
        <v/>
      </c>
    </row>
    <row r="3413">
      <c r="A3413" s="91" t="n"/>
      <c r="B3413" s="111">
        <f>MAX(0,N('Deal maths'!M1416))</f>
        <v/>
      </c>
      <c r="C3413" s="91">
        <f>IF(B3413&gt;0,IF('Deal maths'!L1416="Local authority","Local authorities",LOWER(TRIM('Deal maths'!K1416))),"")</f>
        <v/>
      </c>
      <c r="D3413" s="91">
        <f>IF(C3413="","",IF(COUNTIF($C$4:C3412,C3413)=0,SUMIF($C$4:$C$3997,C3413,$B$4:$B$3997)-ROW()/1000000,""))</f>
        <v/>
      </c>
      <c r="E3413" s="91">
        <f>IF(N('Deal maths'!M1416)&gt;0,ROW()/10000000,"")</f>
        <v/>
      </c>
    </row>
    <row r="3414">
      <c r="A3414" s="91" t="n"/>
      <c r="B3414" s="111">
        <f>MAX(0,N('Deal maths'!M1417))</f>
        <v/>
      </c>
      <c r="C3414" s="91">
        <f>IF(B3414&gt;0,IF('Deal maths'!L1417="Local authority","Local authorities",LOWER(TRIM('Deal maths'!K1417))),"")</f>
        <v/>
      </c>
      <c r="D3414" s="91">
        <f>IF(C3414="","",IF(COUNTIF($C$4:C3413,C3414)=0,SUMIF($C$4:$C$3997,C3414,$B$4:$B$3997)-ROW()/1000000,""))</f>
        <v/>
      </c>
      <c r="E3414" s="91">
        <f>IF(N('Deal maths'!M1417)&gt;0,ROW()/10000000,"")</f>
        <v/>
      </c>
    </row>
    <row r="3415">
      <c r="A3415" s="91" t="n"/>
      <c r="B3415" s="111">
        <f>MAX(0,N('Deal maths'!M1418))</f>
        <v/>
      </c>
      <c r="C3415" s="91">
        <f>IF(B3415&gt;0,IF('Deal maths'!L1418="Local authority","Local authorities",LOWER(TRIM('Deal maths'!K1418))),"")</f>
        <v/>
      </c>
      <c r="D3415" s="91">
        <f>IF(C3415="","",IF(COUNTIF($C$4:C3414,C3415)=0,SUMIF($C$4:$C$3997,C3415,$B$4:$B$3997)-ROW()/1000000,""))</f>
        <v/>
      </c>
      <c r="E3415" s="91">
        <f>IF(N('Deal maths'!M1418)&gt;0,ROW()/10000000,"")</f>
        <v/>
      </c>
    </row>
    <row r="3416">
      <c r="A3416" s="91" t="n"/>
      <c r="B3416" s="111">
        <f>MAX(0,N('Deal maths'!M1419))</f>
        <v/>
      </c>
      <c r="C3416" s="91">
        <f>IF(B3416&gt;0,IF('Deal maths'!L1419="Local authority","Local authorities",LOWER(TRIM('Deal maths'!K1419))),"")</f>
        <v/>
      </c>
      <c r="D3416" s="91">
        <f>IF(C3416="","",IF(COUNTIF($C$4:C3415,C3416)=0,SUMIF($C$4:$C$3997,C3416,$B$4:$B$3997)-ROW()/1000000,""))</f>
        <v/>
      </c>
      <c r="E3416" s="91">
        <f>IF(N('Deal maths'!M1419)&gt;0,ROW()/10000000,"")</f>
        <v/>
      </c>
    </row>
    <row r="3417">
      <c r="A3417" s="91" t="n"/>
      <c r="B3417" s="111">
        <f>MAX(0,N('Deal maths'!M1420))</f>
        <v/>
      </c>
      <c r="C3417" s="91">
        <f>IF(B3417&gt;0,IF('Deal maths'!L1420="Local authority","Local authorities",LOWER(TRIM('Deal maths'!K1420))),"")</f>
        <v/>
      </c>
      <c r="D3417" s="91">
        <f>IF(C3417="","",IF(COUNTIF($C$4:C3416,C3417)=0,SUMIF($C$4:$C$3997,C3417,$B$4:$B$3997)-ROW()/1000000,""))</f>
        <v/>
      </c>
      <c r="E3417" s="91">
        <f>IF(N('Deal maths'!M1420)&gt;0,ROW()/10000000,"")</f>
        <v/>
      </c>
    </row>
    <row r="3418">
      <c r="A3418" s="91" t="n"/>
      <c r="B3418" s="111">
        <f>MAX(0,N('Deal maths'!M1421))</f>
        <v/>
      </c>
      <c r="C3418" s="91">
        <f>IF(B3418&gt;0,IF('Deal maths'!L1421="Local authority","Local authorities",LOWER(TRIM('Deal maths'!K1421))),"")</f>
        <v/>
      </c>
      <c r="D3418" s="91">
        <f>IF(C3418="","",IF(COUNTIF($C$4:C3417,C3418)=0,SUMIF($C$4:$C$3997,C3418,$B$4:$B$3997)-ROW()/1000000,""))</f>
        <v/>
      </c>
      <c r="E3418" s="91">
        <f>IF(N('Deal maths'!M1421)&gt;0,ROW()/10000000,"")</f>
        <v/>
      </c>
    </row>
    <row r="3419">
      <c r="A3419" s="91" t="n"/>
      <c r="B3419" s="111">
        <f>MAX(0,N('Deal maths'!M1422))</f>
        <v/>
      </c>
      <c r="C3419" s="91">
        <f>IF(B3419&gt;0,IF('Deal maths'!L1422="Local authority","Local authorities",LOWER(TRIM('Deal maths'!K1422))),"")</f>
        <v/>
      </c>
      <c r="D3419" s="91">
        <f>IF(C3419="","",IF(COUNTIF($C$4:C3418,C3419)=0,SUMIF($C$4:$C$3997,C3419,$B$4:$B$3997)-ROW()/1000000,""))</f>
        <v/>
      </c>
      <c r="E3419" s="91">
        <f>IF(N('Deal maths'!M1422)&gt;0,ROW()/10000000,"")</f>
        <v/>
      </c>
    </row>
    <row r="3420">
      <c r="A3420" s="91" t="n"/>
      <c r="B3420" s="111">
        <f>MAX(0,N('Deal maths'!M1423))</f>
        <v/>
      </c>
      <c r="C3420" s="91">
        <f>IF(B3420&gt;0,IF('Deal maths'!L1423="Local authority","Local authorities",LOWER(TRIM('Deal maths'!K1423))),"")</f>
        <v/>
      </c>
      <c r="D3420" s="91">
        <f>IF(C3420="","",IF(COUNTIF($C$4:C3419,C3420)=0,SUMIF($C$4:$C$3997,C3420,$B$4:$B$3997)-ROW()/1000000,""))</f>
        <v/>
      </c>
      <c r="E3420" s="91">
        <f>IF(N('Deal maths'!M1423)&gt;0,ROW()/10000000,"")</f>
        <v/>
      </c>
    </row>
    <row r="3421">
      <c r="A3421" s="91" t="n"/>
      <c r="B3421" s="111">
        <f>MAX(0,N('Deal maths'!M1424))</f>
        <v/>
      </c>
      <c r="C3421" s="91">
        <f>IF(B3421&gt;0,IF('Deal maths'!L1424="Local authority","Local authorities",LOWER(TRIM('Deal maths'!K1424))),"")</f>
        <v/>
      </c>
      <c r="D3421" s="91">
        <f>IF(C3421="","",IF(COUNTIF($C$4:C3420,C3421)=0,SUMIF($C$4:$C$3997,C3421,$B$4:$B$3997)-ROW()/1000000,""))</f>
        <v/>
      </c>
      <c r="E3421" s="91">
        <f>IF(N('Deal maths'!M1424)&gt;0,ROW()/10000000,"")</f>
        <v/>
      </c>
    </row>
    <row r="3422">
      <c r="A3422" s="91" t="n"/>
      <c r="B3422" s="111">
        <f>MAX(0,N('Deal maths'!M1425))</f>
        <v/>
      </c>
      <c r="C3422" s="91">
        <f>IF(B3422&gt;0,IF('Deal maths'!L1425="Local authority","Local authorities",LOWER(TRIM('Deal maths'!K1425))),"")</f>
        <v/>
      </c>
      <c r="D3422" s="91">
        <f>IF(C3422="","",IF(COUNTIF($C$4:C3421,C3422)=0,SUMIF($C$4:$C$3997,C3422,$B$4:$B$3997)-ROW()/1000000,""))</f>
        <v/>
      </c>
      <c r="E3422" s="91">
        <f>IF(N('Deal maths'!M1425)&gt;0,ROW()/10000000,"")</f>
        <v/>
      </c>
    </row>
    <row r="3423">
      <c r="A3423" s="91" t="n"/>
      <c r="B3423" s="111">
        <f>MAX(0,N('Deal maths'!M1426))</f>
        <v/>
      </c>
      <c r="C3423" s="91">
        <f>IF(B3423&gt;0,IF('Deal maths'!L1426="Local authority","Local authorities",LOWER(TRIM('Deal maths'!K1426))),"")</f>
        <v/>
      </c>
      <c r="D3423" s="91">
        <f>IF(C3423="","",IF(COUNTIF($C$4:C3422,C3423)=0,SUMIF($C$4:$C$3997,C3423,$B$4:$B$3997)-ROW()/1000000,""))</f>
        <v/>
      </c>
      <c r="E3423" s="91">
        <f>IF(N('Deal maths'!M1426)&gt;0,ROW()/10000000,"")</f>
        <v/>
      </c>
    </row>
    <row r="3424">
      <c r="A3424" s="91" t="n"/>
      <c r="B3424" s="111">
        <f>MAX(0,N('Deal maths'!M1427))</f>
        <v/>
      </c>
      <c r="C3424" s="91">
        <f>IF(B3424&gt;0,IF('Deal maths'!L1427="Local authority","Local authorities",LOWER(TRIM('Deal maths'!K1427))),"")</f>
        <v/>
      </c>
      <c r="D3424" s="91">
        <f>IF(C3424="","",IF(COUNTIF($C$4:C3423,C3424)=0,SUMIF($C$4:$C$3997,C3424,$B$4:$B$3997)-ROW()/1000000,""))</f>
        <v/>
      </c>
      <c r="E3424" s="91">
        <f>IF(N('Deal maths'!M1427)&gt;0,ROW()/10000000,"")</f>
        <v/>
      </c>
    </row>
    <row r="3425">
      <c r="A3425" s="91" t="n"/>
      <c r="B3425" s="111">
        <f>MAX(0,N('Deal maths'!M1428))</f>
        <v/>
      </c>
      <c r="C3425" s="91">
        <f>IF(B3425&gt;0,IF('Deal maths'!L1428="Local authority","Local authorities",LOWER(TRIM('Deal maths'!K1428))),"")</f>
        <v/>
      </c>
      <c r="D3425" s="91">
        <f>IF(C3425="","",IF(COUNTIF($C$4:C3424,C3425)=0,SUMIF($C$4:$C$3997,C3425,$B$4:$B$3997)-ROW()/1000000,""))</f>
        <v/>
      </c>
      <c r="E3425" s="91">
        <f>IF(N('Deal maths'!M1428)&gt;0,ROW()/10000000,"")</f>
        <v/>
      </c>
    </row>
    <row r="3426">
      <c r="A3426" s="91" t="n"/>
      <c r="B3426" s="111">
        <f>MAX(0,N('Deal maths'!M1429))</f>
        <v/>
      </c>
      <c r="C3426" s="91">
        <f>IF(B3426&gt;0,IF('Deal maths'!L1429="Local authority","Local authorities",LOWER(TRIM('Deal maths'!K1429))),"")</f>
        <v/>
      </c>
      <c r="D3426" s="91">
        <f>IF(C3426="","",IF(COUNTIF($C$4:C3425,C3426)=0,SUMIF($C$4:$C$3997,C3426,$B$4:$B$3997)-ROW()/1000000,""))</f>
        <v/>
      </c>
      <c r="E3426" s="91">
        <f>IF(N('Deal maths'!M1429)&gt;0,ROW()/10000000,"")</f>
        <v/>
      </c>
    </row>
    <row r="3427">
      <c r="A3427" s="91" t="n"/>
      <c r="B3427" s="111">
        <f>MAX(0,N('Deal maths'!M1430))</f>
        <v/>
      </c>
      <c r="C3427" s="91">
        <f>IF(B3427&gt;0,IF('Deal maths'!L1430="Local authority","Local authorities",LOWER(TRIM('Deal maths'!K1430))),"")</f>
        <v/>
      </c>
      <c r="D3427" s="91">
        <f>IF(C3427="","",IF(COUNTIF($C$4:C3426,C3427)=0,SUMIF($C$4:$C$3997,C3427,$B$4:$B$3997)-ROW()/1000000,""))</f>
        <v/>
      </c>
      <c r="E3427" s="91">
        <f>IF(N('Deal maths'!M1430)&gt;0,ROW()/10000000,"")</f>
        <v/>
      </c>
    </row>
    <row r="3428">
      <c r="A3428" s="91" t="n"/>
      <c r="B3428" s="111">
        <f>MAX(0,N('Deal maths'!M1431))</f>
        <v/>
      </c>
      <c r="C3428" s="91">
        <f>IF(B3428&gt;0,IF('Deal maths'!L1431="Local authority","Local authorities",LOWER(TRIM('Deal maths'!K1431))),"")</f>
        <v/>
      </c>
      <c r="D3428" s="91">
        <f>IF(C3428="","",IF(COUNTIF($C$4:C3427,C3428)=0,SUMIF($C$4:$C$3997,C3428,$B$4:$B$3997)-ROW()/1000000,""))</f>
        <v/>
      </c>
      <c r="E3428" s="91">
        <f>IF(N('Deal maths'!M1431)&gt;0,ROW()/10000000,"")</f>
        <v/>
      </c>
    </row>
    <row r="3429">
      <c r="A3429" s="91" t="n"/>
      <c r="B3429" s="111">
        <f>MAX(0,N('Deal maths'!M1432))</f>
        <v/>
      </c>
      <c r="C3429" s="91">
        <f>IF(B3429&gt;0,IF('Deal maths'!L1432="Local authority","Local authorities",LOWER(TRIM('Deal maths'!K1432))),"")</f>
        <v/>
      </c>
      <c r="D3429" s="91">
        <f>IF(C3429="","",IF(COUNTIF($C$4:C3428,C3429)=0,SUMIF($C$4:$C$3997,C3429,$B$4:$B$3997)-ROW()/1000000,""))</f>
        <v/>
      </c>
      <c r="E3429" s="91">
        <f>IF(N('Deal maths'!M1432)&gt;0,ROW()/10000000,"")</f>
        <v/>
      </c>
    </row>
    <row r="3430">
      <c r="A3430" s="91" t="n"/>
      <c r="B3430" s="111">
        <f>MAX(0,N('Deal maths'!M1433))</f>
        <v/>
      </c>
      <c r="C3430" s="91">
        <f>IF(B3430&gt;0,IF('Deal maths'!L1433="Local authority","Local authorities",LOWER(TRIM('Deal maths'!K1433))),"")</f>
        <v/>
      </c>
      <c r="D3430" s="91">
        <f>IF(C3430="","",IF(COUNTIF($C$4:C3429,C3430)=0,SUMIF($C$4:$C$3997,C3430,$B$4:$B$3997)-ROW()/1000000,""))</f>
        <v/>
      </c>
      <c r="E3430" s="91">
        <f>IF(N('Deal maths'!M1433)&gt;0,ROW()/10000000,"")</f>
        <v/>
      </c>
    </row>
    <row r="3431">
      <c r="A3431" s="91" t="n"/>
      <c r="B3431" s="111">
        <f>MAX(0,N('Deal maths'!M1434))</f>
        <v/>
      </c>
      <c r="C3431" s="91">
        <f>IF(B3431&gt;0,IF('Deal maths'!L1434="Local authority","Local authorities",LOWER(TRIM('Deal maths'!K1434))),"")</f>
        <v/>
      </c>
      <c r="D3431" s="91">
        <f>IF(C3431="","",IF(COUNTIF($C$4:C3430,C3431)=0,SUMIF($C$4:$C$3997,C3431,$B$4:$B$3997)-ROW()/1000000,""))</f>
        <v/>
      </c>
      <c r="E3431" s="91">
        <f>IF(N('Deal maths'!M1434)&gt;0,ROW()/10000000,"")</f>
        <v/>
      </c>
    </row>
    <row r="3432">
      <c r="A3432" s="91" t="n"/>
      <c r="B3432" s="111">
        <f>MAX(0,N('Deal maths'!M1435))</f>
        <v/>
      </c>
      <c r="C3432" s="91">
        <f>IF(B3432&gt;0,IF('Deal maths'!L1435="Local authority","Local authorities",LOWER(TRIM('Deal maths'!K1435))),"")</f>
        <v/>
      </c>
      <c r="D3432" s="91">
        <f>IF(C3432="","",IF(COUNTIF($C$4:C3431,C3432)=0,SUMIF($C$4:$C$3997,C3432,$B$4:$B$3997)-ROW()/1000000,""))</f>
        <v/>
      </c>
      <c r="E3432" s="91">
        <f>IF(N('Deal maths'!M1435)&gt;0,ROW()/10000000,"")</f>
        <v/>
      </c>
    </row>
    <row r="3433">
      <c r="A3433" s="91" t="n"/>
      <c r="B3433" s="111">
        <f>MAX(0,N('Deal maths'!M1436))</f>
        <v/>
      </c>
      <c r="C3433" s="91">
        <f>IF(B3433&gt;0,IF('Deal maths'!L1436="Local authority","Local authorities",LOWER(TRIM('Deal maths'!K1436))),"")</f>
        <v/>
      </c>
      <c r="D3433" s="91">
        <f>IF(C3433="","",IF(COUNTIF($C$4:C3432,C3433)=0,SUMIF($C$4:$C$3997,C3433,$B$4:$B$3997)-ROW()/1000000,""))</f>
        <v/>
      </c>
      <c r="E3433" s="91">
        <f>IF(N('Deal maths'!M1436)&gt;0,ROW()/10000000,"")</f>
        <v/>
      </c>
    </row>
    <row r="3434">
      <c r="A3434" s="91" t="n"/>
      <c r="B3434" s="111">
        <f>MAX(0,N('Deal maths'!M1437))</f>
        <v/>
      </c>
      <c r="C3434" s="91">
        <f>IF(B3434&gt;0,IF('Deal maths'!L1437="Local authority","Local authorities",LOWER(TRIM('Deal maths'!K1437))),"")</f>
        <v/>
      </c>
      <c r="D3434" s="91">
        <f>IF(C3434="","",IF(COUNTIF($C$4:C3433,C3434)=0,SUMIF($C$4:$C$3997,C3434,$B$4:$B$3997)-ROW()/1000000,""))</f>
        <v/>
      </c>
      <c r="E3434" s="91">
        <f>IF(N('Deal maths'!M1437)&gt;0,ROW()/10000000,"")</f>
        <v/>
      </c>
    </row>
    <row r="3435">
      <c r="A3435" s="91" t="n"/>
      <c r="B3435" s="111">
        <f>MAX(0,N('Deal maths'!M1438))</f>
        <v/>
      </c>
      <c r="C3435" s="91">
        <f>IF(B3435&gt;0,IF('Deal maths'!L1438="Local authority","Local authorities",LOWER(TRIM('Deal maths'!K1438))),"")</f>
        <v/>
      </c>
      <c r="D3435" s="91">
        <f>IF(C3435="","",IF(COUNTIF($C$4:C3434,C3435)=0,SUMIF($C$4:$C$3997,C3435,$B$4:$B$3997)-ROW()/1000000,""))</f>
        <v/>
      </c>
      <c r="E3435" s="91">
        <f>IF(N('Deal maths'!M1438)&gt;0,ROW()/10000000,"")</f>
        <v/>
      </c>
    </row>
    <row r="3436">
      <c r="A3436" s="91" t="n"/>
      <c r="B3436" s="111">
        <f>MAX(0,N('Deal maths'!M1439))</f>
        <v/>
      </c>
      <c r="C3436" s="91">
        <f>IF(B3436&gt;0,IF('Deal maths'!L1439="Local authority","Local authorities",LOWER(TRIM('Deal maths'!K1439))),"")</f>
        <v/>
      </c>
      <c r="D3436" s="91">
        <f>IF(C3436="","",IF(COUNTIF($C$4:C3435,C3436)=0,SUMIF($C$4:$C$3997,C3436,$B$4:$B$3997)-ROW()/1000000,""))</f>
        <v/>
      </c>
      <c r="E3436" s="91">
        <f>IF(N('Deal maths'!M1439)&gt;0,ROW()/10000000,"")</f>
        <v/>
      </c>
    </row>
    <row r="3437">
      <c r="A3437" s="91" t="n"/>
      <c r="B3437" s="111">
        <f>MAX(0,N('Deal maths'!M1440))</f>
        <v/>
      </c>
      <c r="C3437" s="91">
        <f>IF(B3437&gt;0,IF('Deal maths'!L1440="Local authority","Local authorities",LOWER(TRIM('Deal maths'!K1440))),"")</f>
        <v/>
      </c>
      <c r="D3437" s="91">
        <f>IF(C3437="","",IF(COUNTIF($C$4:C3436,C3437)=0,SUMIF($C$4:$C$3997,C3437,$B$4:$B$3997)-ROW()/1000000,""))</f>
        <v/>
      </c>
      <c r="E3437" s="91">
        <f>IF(N('Deal maths'!M1440)&gt;0,ROW()/10000000,"")</f>
        <v/>
      </c>
    </row>
    <row r="3438">
      <c r="A3438" s="91" t="n"/>
      <c r="B3438" s="111">
        <f>MAX(0,N('Deal maths'!M1441))</f>
        <v/>
      </c>
      <c r="C3438" s="91">
        <f>IF(B3438&gt;0,IF('Deal maths'!L1441="Local authority","Local authorities",LOWER(TRIM('Deal maths'!K1441))),"")</f>
        <v/>
      </c>
      <c r="D3438" s="91">
        <f>IF(C3438="","",IF(COUNTIF($C$4:C3437,C3438)=0,SUMIF($C$4:$C$3997,C3438,$B$4:$B$3997)-ROW()/1000000,""))</f>
        <v/>
      </c>
      <c r="E3438" s="91">
        <f>IF(N('Deal maths'!M1441)&gt;0,ROW()/10000000,"")</f>
        <v/>
      </c>
    </row>
    <row r="3439">
      <c r="A3439" s="91" t="n"/>
      <c r="B3439" s="111">
        <f>MAX(0,N('Deal maths'!M1442))</f>
        <v/>
      </c>
      <c r="C3439" s="91">
        <f>IF(B3439&gt;0,IF('Deal maths'!L1442="Local authority","Local authorities",LOWER(TRIM('Deal maths'!K1442))),"")</f>
        <v/>
      </c>
      <c r="D3439" s="91">
        <f>IF(C3439="","",IF(COUNTIF($C$4:C3438,C3439)=0,SUMIF($C$4:$C$3997,C3439,$B$4:$B$3997)-ROW()/1000000,""))</f>
        <v/>
      </c>
      <c r="E3439" s="91">
        <f>IF(N('Deal maths'!M1442)&gt;0,ROW()/10000000,"")</f>
        <v/>
      </c>
    </row>
    <row r="3440">
      <c r="A3440" s="91" t="n"/>
      <c r="B3440" s="111">
        <f>MAX(0,N('Deal maths'!M1443))</f>
        <v/>
      </c>
      <c r="C3440" s="91">
        <f>IF(B3440&gt;0,IF('Deal maths'!L1443="Local authority","Local authorities",LOWER(TRIM('Deal maths'!K1443))),"")</f>
        <v/>
      </c>
      <c r="D3440" s="91">
        <f>IF(C3440="","",IF(COUNTIF($C$4:C3439,C3440)=0,SUMIF($C$4:$C$3997,C3440,$B$4:$B$3997)-ROW()/1000000,""))</f>
        <v/>
      </c>
      <c r="E3440" s="91">
        <f>IF(N('Deal maths'!M1443)&gt;0,ROW()/10000000,"")</f>
        <v/>
      </c>
    </row>
    <row r="3441">
      <c r="A3441" s="91" t="n"/>
      <c r="B3441" s="111">
        <f>MAX(0,N('Deal maths'!M1444))</f>
        <v/>
      </c>
      <c r="C3441" s="91">
        <f>IF(B3441&gt;0,IF('Deal maths'!L1444="Local authority","Local authorities",LOWER(TRIM('Deal maths'!K1444))),"")</f>
        <v/>
      </c>
      <c r="D3441" s="91">
        <f>IF(C3441="","",IF(COUNTIF($C$4:C3440,C3441)=0,SUMIF($C$4:$C$3997,C3441,$B$4:$B$3997)-ROW()/1000000,""))</f>
        <v/>
      </c>
      <c r="E3441" s="91">
        <f>IF(N('Deal maths'!M1444)&gt;0,ROW()/10000000,"")</f>
        <v/>
      </c>
    </row>
    <row r="3442">
      <c r="A3442" s="91" t="n"/>
      <c r="B3442" s="111">
        <f>MAX(0,N('Deal maths'!M1445))</f>
        <v/>
      </c>
      <c r="C3442" s="91">
        <f>IF(B3442&gt;0,IF('Deal maths'!L1445="Local authority","Local authorities",LOWER(TRIM('Deal maths'!K1445))),"")</f>
        <v/>
      </c>
      <c r="D3442" s="91">
        <f>IF(C3442="","",IF(COUNTIF($C$4:C3441,C3442)=0,SUMIF($C$4:$C$3997,C3442,$B$4:$B$3997)-ROW()/1000000,""))</f>
        <v/>
      </c>
      <c r="E3442" s="91">
        <f>IF(N('Deal maths'!M1445)&gt;0,ROW()/10000000,"")</f>
        <v/>
      </c>
    </row>
    <row r="3443">
      <c r="A3443" s="91" t="n"/>
      <c r="B3443" s="111">
        <f>MAX(0,N('Deal maths'!M1446))</f>
        <v/>
      </c>
      <c r="C3443" s="91">
        <f>IF(B3443&gt;0,IF('Deal maths'!L1446="Local authority","Local authorities",LOWER(TRIM('Deal maths'!K1446))),"")</f>
        <v/>
      </c>
      <c r="D3443" s="91">
        <f>IF(C3443="","",IF(COUNTIF($C$4:C3442,C3443)=0,SUMIF($C$4:$C$3997,C3443,$B$4:$B$3997)-ROW()/1000000,""))</f>
        <v/>
      </c>
      <c r="E3443" s="91">
        <f>IF(N('Deal maths'!M1446)&gt;0,ROW()/10000000,"")</f>
        <v/>
      </c>
    </row>
    <row r="3444">
      <c r="A3444" s="91" t="n"/>
      <c r="B3444" s="111">
        <f>MAX(0,N('Deal maths'!M1447))</f>
        <v/>
      </c>
      <c r="C3444" s="91">
        <f>IF(B3444&gt;0,IF('Deal maths'!L1447="Local authority","Local authorities",LOWER(TRIM('Deal maths'!K1447))),"")</f>
        <v/>
      </c>
      <c r="D3444" s="91">
        <f>IF(C3444="","",IF(COUNTIF($C$4:C3443,C3444)=0,SUMIF($C$4:$C$3997,C3444,$B$4:$B$3997)-ROW()/1000000,""))</f>
        <v/>
      </c>
      <c r="E3444" s="91">
        <f>IF(N('Deal maths'!M1447)&gt;0,ROW()/10000000,"")</f>
        <v/>
      </c>
    </row>
    <row r="3445">
      <c r="A3445" s="91" t="n"/>
      <c r="B3445" s="111">
        <f>MAX(0,N('Deal maths'!M1448))</f>
        <v/>
      </c>
      <c r="C3445" s="91">
        <f>IF(B3445&gt;0,IF('Deal maths'!L1448="Local authority","Local authorities",LOWER(TRIM('Deal maths'!K1448))),"")</f>
        <v/>
      </c>
      <c r="D3445" s="91">
        <f>IF(C3445="","",IF(COUNTIF($C$4:C3444,C3445)=0,SUMIF($C$4:$C$3997,C3445,$B$4:$B$3997)-ROW()/1000000,""))</f>
        <v/>
      </c>
      <c r="E3445" s="91">
        <f>IF(N('Deal maths'!M1448)&gt;0,ROW()/10000000,"")</f>
        <v/>
      </c>
    </row>
    <row r="3446">
      <c r="A3446" s="91" t="n"/>
      <c r="B3446" s="111">
        <f>MAX(0,N('Deal maths'!M1449))</f>
        <v/>
      </c>
      <c r="C3446" s="91">
        <f>IF(B3446&gt;0,IF('Deal maths'!L1449="Local authority","Local authorities",LOWER(TRIM('Deal maths'!K1449))),"")</f>
        <v/>
      </c>
      <c r="D3446" s="91">
        <f>IF(C3446="","",IF(COUNTIF($C$4:C3445,C3446)=0,SUMIF($C$4:$C$3997,C3446,$B$4:$B$3997)-ROW()/1000000,""))</f>
        <v/>
      </c>
      <c r="E3446" s="91">
        <f>IF(N('Deal maths'!M1449)&gt;0,ROW()/10000000,"")</f>
        <v/>
      </c>
    </row>
    <row r="3447">
      <c r="A3447" s="91" t="n"/>
      <c r="B3447" s="111">
        <f>MAX(0,N('Deal maths'!M1450))</f>
        <v/>
      </c>
      <c r="C3447" s="91">
        <f>IF(B3447&gt;0,IF('Deal maths'!L1450="Local authority","Local authorities",LOWER(TRIM('Deal maths'!K1450))),"")</f>
        <v/>
      </c>
      <c r="D3447" s="91">
        <f>IF(C3447="","",IF(COUNTIF($C$4:C3446,C3447)=0,SUMIF($C$4:$C$3997,C3447,$B$4:$B$3997)-ROW()/1000000,""))</f>
        <v/>
      </c>
      <c r="E3447" s="91">
        <f>IF(N('Deal maths'!M1450)&gt;0,ROW()/10000000,"")</f>
        <v/>
      </c>
    </row>
    <row r="3448">
      <c r="A3448" s="91" t="n"/>
      <c r="B3448" s="111">
        <f>MAX(0,N('Deal maths'!M1451))</f>
        <v/>
      </c>
      <c r="C3448" s="91">
        <f>IF(B3448&gt;0,IF('Deal maths'!L1451="Local authority","Local authorities",LOWER(TRIM('Deal maths'!K1451))),"")</f>
        <v/>
      </c>
      <c r="D3448" s="91">
        <f>IF(C3448="","",IF(COUNTIF($C$4:C3447,C3448)=0,SUMIF($C$4:$C$3997,C3448,$B$4:$B$3997)-ROW()/1000000,""))</f>
        <v/>
      </c>
      <c r="E3448" s="91">
        <f>IF(N('Deal maths'!M1451)&gt;0,ROW()/10000000,"")</f>
        <v/>
      </c>
    </row>
    <row r="3449">
      <c r="A3449" s="91" t="n"/>
      <c r="B3449" s="111">
        <f>MAX(0,N('Deal maths'!M1452))</f>
        <v/>
      </c>
      <c r="C3449" s="91">
        <f>IF(B3449&gt;0,IF('Deal maths'!L1452="Local authority","Local authorities",LOWER(TRIM('Deal maths'!K1452))),"")</f>
        <v/>
      </c>
      <c r="D3449" s="91">
        <f>IF(C3449="","",IF(COUNTIF($C$4:C3448,C3449)=0,SUMIF($C$4:$C$3997,C3449,$B$4:$B$3997)-ROW()/1000000,""))</f>
        <v/>
      </c>
      <c r="E3449" s="91">
        <f>IF(N('Deal maths'!M1452)&gt;0,ROW()/10000000,"")</f>
        <v/>
      </c>
    </row>
    <row r="3450">
      <c r="A3450" s="91" t="n"/>
      <c r="B3450" s="111">
        <f>MAX(0,N('Deal maths'!M1453))</f>
        <v/>
      </c>
      <c r="C3450" s="91">
        <f>IF(B3450&gt;0,IF('Deal maths'!L1453="Local authority","Local authorities",LOWER(TRIM('Deal maths'!K1453))),"")</f>
        <v/>
      </c>
      <c r="D3450" s="91">
        <f>IF(C3450="","",IF(COUNTIF($C$4:C3449,C3450)=0,SUMIF($C$4:$C$3997,C3450,$B$4:$B$3997)-ROW()/1000000,""))</f>
        <v/>
      </c>
      <c r="E3450" s="91">
        <f>IF(N('Deal maths'!M1453)&gt;0,ROW()/10000000,"")</f>
        <v/>
      </c>
    </row>
    <row r="3451">
      <c r="A3451" s="91" t="n"/>
      <c r="B3451" s="111">
        <f>MAX(0,N('Deal maths'!M1454))</f>
        <v/>
      </c>
      <c r="C3451" s="91">
        <f>IF(B3451&gt;0,IF('Deal maths'!L1454="Local authority","Local authorities",LOWER(TRIM('Deal maths'!K1454))),"")</f>
        <v/>
      </c>
      <c r="D3451" s="91">
        <f>IF(C3451="","",IF(COUNTIF($C$4:C3450,C3451)=0,SUMIF($C$4:$C$3997,C3451,$B$4:$B$3997)-ROW()/1000000,""))</f>
        <v/>
      </c>
      <c r="E3451" s="91">
        <f>IF(N('Deal maths'!M1454)&gt;0,ROW()/10000000,"")</f>
        <v/>
      </c>
    </row>
    <row r="3452">
      <c r="A3452" s="91" t="n"/>
      <c r="B3452" s="111">
        <f>MAX(0,N('Deal maths'!M1455))</f>
        <v/>
      </c>
      <c r="C3452" s="91">
        <f>IF(B3452&gt;0,IF('Deal maths'!L1455="Local authority","Local authorities",LOWER(TRIM('Deal maths'!K1455))),"")</f>
        <v/>
      </c>
      <c r="D3452" s="91">
        <f>IF(C3452="","",IF(COUNTIF($C$4:C3451,C3452)=0,SUMIF($C$4:$C$3997,C3452,$B$4:$B$3997)-ROW()/1000000,""))</f>
        <v/>
      </c>
      <c r="E3452" s="91">
        <f>IF(N('Deal maths'!M1455)&gt;0,ROW()/10000000,"")</f>
        <v/>
      </c>
    </row>
    <row r="3453">
      <c r="A3453" s="91" t="n"/>
      <c r="B3453" s="111">
        <f>MAX(0,N('Deal maths'!M1456))</f>
        <v/>
      </c>
      <c r="C3453" s="91">
        <f>IF(B3453&gt;0,IF('Deal maths'!L1456="Local authority","Local authorities",LOWER(TRIM('Deal maths'!K1456))),"")</f>
        <v/>
      </c>
      <c r="D3453" s="91">
        <f>IF(C3453="","",IF(COUNTIF($C$4:C3452,C3453)=0,SUMIF($C$4:$C$3997,C3453,$B$4:$B$3997)-ROW()/1000000,""))</f>
        <v/>
      </c>
      <c r="E3453" s="91">
        <f>IF(N('Deal maths'!M1456)&gt;0,ROW()/10000000,"")</f>
        <v/>
      </c>
    </row>
    <row r="3454">
      <c r="A3454" s="91" t="n"/>
      <c r="B3454" s="111">
        <f>MAX(0,N('Deal maths'!M1457))</f>
        <v/>
      </c>
      <c r="C3454" s="91">
        <f>IF(B3454&gt;0,IF('Deal maths'!L1457="Local authority","Local authorities",LOWER(TRIM('Deal maths'!K1457))),"")</f>
        <v/>
      </c>
      <c r="D3454" s="91">
        <f>IF(C3454="","",IF(COUNTIF($C$4:C3453,C3454)=0,SUMIF($C$4:$C$3997,C3454,$B$4:$B$3997)-ROW()/1000000,""))</f>
        <v/>
      </c>
      <c r="E3454" s="91">
        <f>IF(N('Deal maths'!M1457)&gt;0,ROW()/10000000,"")</f>
        <v/>
      </c>
    </row>
    <row r="3455">
      <c r="A3455" s="91" t="n"/>
      <c r="B3455" s="111">
        <f>MAX(0,N('Deal maths'!M1458))</f>
        <v/>
      </c>
      <c r="C3455" s="91">
        <f>IF(B3455&gt;0,IF('Deal maths'!L1458="Local authority","Local authorities",LOWER(TRIM('Deal maths'!K1458))),"")</f>
        <v/>
      </c>
      <c r="D3455" s="91">
        <f>IF(C3455="","",IF(COUNTIF($C$4:C3454,C3455)=0,SUMIF($C$4:$C$3997,C3455,$B$4:$B$3997)-ROW()/1000000,""))</f>
        <v/>
      </c>
      <c r="E3455" s="91">
        <f>IF(N('Deal maths'!M1458)&gt;0,ROW()/10000000,"")</f>
        <v/>
      </c>
    </row>
    <row r="3456">
      <c r="A3456" s="91" t="n"/>
      <c r="B3456" s="111">
        <f>MAX(0,N('Deal maths'!M1459))</f>
        <v/>
      </c>
      <c r="C3456" s="91">
        <f>IF(B3456&gt;0,IF('Deal maths'!L1459="Local authority","Local authorities",LOWER(TRIM('Deal maths'!K1459))),"")</f>
        <v/>
      </c>
      <c r="D3456" s="91">
        <f>IF(C3456="","",IF(COUNTIF($C$4:C3455,C3456)=0,SUMIF($C$4:$C$3997,C3456,$B$4:$B$3997)-ROW()/1000000,""))</f>
        <v/>
      </c>
      <c r="E3456" s="91">
        <f>IF(N('Deal maths'!M1459)&gt;0,ROW()/10000000,"")</f>
        <v/>
      </c>
    </row>
    <row r="3457">
      <c r="A3457" s="91" t="n"/>
      <c r="B3457" s="111">
        <f>MAX(0,N('Deal maths'!M1460))</f>
        <v/>
      </c>
      <c r="C3457" s="91">
        <f>IF(B3457&gt;0,IF('Deal maths'!L1460="Local authority","Local authorities",LOWER(TRIM('Deal maths'!K1460))),"")</f>
        <v/>
      </c>
      <c r="D3457" s="91">
        <f>IF(C3457="","",IF(COUNTIF($C$4:C3456,C3457)=0,SUMIF($C$4:$C$3997,C3457,$B$4:$B$3997)-ROW()/1000000,""))</f>
        <v/>
      </c>
      <c r="E3457" s="91">
        <f>IF(N('Deal maths'!M1460)&gt;0,ROW()/10000000,"")</f>
        <v/>
      </c>
    </row>
    <row r="3458">
      <c r="A3458" s="91" t="n"/>
      <c r="B3458" s="111">
        <f>MAX(0,N('Deal maths'!M1461))</f>
        <v/>
      </c>
      <c r="C3458" s="91">
        <f>IF(B3458&gt;0,IF('Deal maths'!L1461="Local authority","Local authorities",LOWER(TRIM('Deal maths'!K1461))),"")</f>
        <v/>
      </c>
      <c r="D3458" s="91">
        <f>IF(C3458="","",IF(COUNTIF($C$4:C3457,C3458)=0,SUMIF($C$4:$C$3997,C3458,$B$4:$B$3997)-ROW()/1000000,""))</f>
        <v/>
      </c>
      <c r="E3458" s="91">
        <f>IF(N('Deal maths'!M1461)&gt;0,ROW()/10000000,"")</f>
        <v/>
      </c>
    </row>
    <row r="3459">
      <c r="A3459" s="91" t="n"/>
      <c r="B3459" s="111">
        <f>MAX(0,N('Deal maths'!M1462))</f>
        <v/>
      </c>
      <c r="C3459" s="91">
        <f>IF(B3459&gt;0,IF('Deal maths'!L1462="Local authority","Local authorities",LOWER(TRIM('Deal maths'!K1462))),"")</f>
        <v/>
      </c>
      <c r="D3459" s="91">
        <f>IF(C3459="","",IF(COUNTIF($C$4:C3458,C3459)=0,SUMIF($C$4:$C$3997,C3459,$B$4:$B$3997)-ROW()/1000000,""))</f>
        <v/>
      </c>
      <c r="E3459" s="91">
        <f>IF(N('Deal maths'!M1462)&gt;0,ROW()/10000000,"")</f>
        <v/>
      </c>
    </row>
    <row r="3460">
      <c r="A3460" s="91" t="n"/>
      <c r="B3460" s="111">
        <f>MAX(0,N('Deal maths'!M1463))</f>
        <v/>
      </c>
      <c r="C3460" s="91">
        <f>IF(B3460&gt;0,IF('Deal maths'!L1463="Local authority","Local authorities",LOWER(TRIM('Deal maths'!K1463))),"")</f>
        <v/>
      </c>
      <c r="D3460" s="91">
        <f>IF(C3460="","",IF(COUNTIF($C$4:C3459,C3460)=0,SUMIF($C$4:$C$3997,C3460,$B$4:$B$3997)-ROW()/1000000,""))</f>
        <v/>
      </c>
      <c r="E3460" s="91">
        <f>IF(N('Deal maths'!M1463)&gt;0,ROW()/10000000,"")</f>
        <v/>
      </c>
    </row>
    <row r="3461">
      <c r="A3461" s="91" t="n"/>
      <c r="B3461" s="111">
        <f>MAX(0,N('Deal maths'!M1464))</f>
        <v/>
      </c>
      <c r="C3461" s="91">
        <f>IF(B3461&gt;0,IF('Deal maths'!L1464="Local authority","Local authorities",LOWER(TRIM('Deal maths'!K1464))),"")</f>
        <v/>
      </c>
      <c r="D3461" s="91">
        <f>IF(C3461="","",IF(COUNTIF($C$4:C3460,C3461)=0,SUMIF($C$4:$C$3997,C3461,$B$4:$B$3997)-ROW()/1000000,""))</f>
        <v/>
      </c>
      <c r="E3461" s="91">
        <f>IF(N('Deal maths'!M1464)&gt;0,ROW()/10000000,"")</f>
        <v/>
      </c>
    </row>
    <row r="3462">
      <c r="A3462" s="91" t="n"/>
      <c r="B3462" s="111">
        <f>MAX(0,N('Deal maths'!M1465))</f>
        <v/>
      </c>
      <c r="C3462" s="91">
        <f>IF(B3462&gt;0,IF('Deal maths'!L1465="Local authority","Local authorities",LOWER(TRIM('Deal maths'!K1465))),"")</f>
        <v/>
      </c>
      <c r="D3462" s="91">
        <f>IF(C3462="","",IF(COUNTIF($C$4:C3461,C3462)=0,SUMIF($C$4:$C$3997,C3462,$B$4:$B$3997)-ROW()/1000000,""))</f>
        <v/>
      </c>
      <c r="E3462" s="91">
        <f>IF(N('Deal maths'!M1465)&gt;0,ROW()/10000000,"")</f>
        <v/>
      </c>
    </row>
    <row r="3463">
      <c r="A3463" s="91" t="n"/>
      <c r="B3463" s="111">
        <f>MAX(0,N('Deal maths'!M1466))</f>
        <v/>
      </c>
      <c r="C3463" s="91">
        <f>IF(B3463&gt;0,IF('Deal maths'!L1466="Local authority","Local authorities",LOWER(TRIM('Deal maths'!K1466))),"")</f>
        <v/>
      </c>
      <c r="D3463" s="91">
        <f>IF(C3463="","",IF(COUNTIF($C$4:C3462,C3463)=0,SUMIF($C$4:$C$3997,C3463,$B$4:$B$3997)-ROW()/1000000,""))</f>
        <v/>
      </c>
      <c r="E3463" s="91">
        <f>IF(N('Deal maths'!M1466)&gt;0,ROW()/10000000,"")</f>
        <v/>
      </c>
    </row>
    <row r="3464">
      <c r="A3464" s="91" t="n"/>
      <c r="B3464" s="111">
        <f>MAX(0,N('Deal maths'!M1467))</f>
        <v/>
      </c>
      <c r="C3464" s="91">
        <f>IF(B3464&gt;0,IF('Deal maths'!L1467="Local authority","Local authorities",LOWER(TRIM('Deal maths'!K1467))),"")</f>
        <v/>
      </c>
      <c r="D3464" s="91">
        <f>IF(C3464="","",IF(COUNTIF($C$4:C3463,C3464)=0,SUMIF($C$4:$C$3997,C3464,$B$4:$B$3997)-ROW()/1000000,""))</f>
        <v/>
      </c>
      <c r="E3464" s="91">
        <f>IF(N('Deal maths'!M1467)&gt;0,ROW()/10000000,"")</f>
        <v/>
      </c>
    </row>
    <row r="3465">
      <c r="A3465" s="91" t="n"/>
      <c r="B3465" s="111">
        <f>MAX(0,N('Deal maths'!M1468))</f>
        <v/>
      </c>
      <c r="C3465" s="91">
        <f>IF(B3465&gt;0,IF('Deal maths'!L1468="Local authority","Local authorities",LOWER(TRIM('Deal maths'!K1468))),"")</f>
        <v/>
      </c>
      <c r="D3465" s="91">
        <f>IF(C3465="","",IF(COUNTIF($C$4:C3464,C3465)=0,SUMIF($C$4:$C$3997,C3465,$B$4:$B$3997)-ROW()/1000000,""))</f>
        <v/>
      </c>
      <c r="E3465" s="91">
        <f>IF(N('Deal maths'!M1468)&gt;0,ROW()/10000000,"")</f>
        <v/>
      </c>
    </row>
    <row r="3466">
      <c r="A3466" s="91" t="n"/>
      <c r="B3466" s="111">
        <f>MAX(0,N('Deal maths'!M1469))</f>
        <v/>
      </c>
      <c r="C3466" s="91">
        <f>IF(B3466&gt;0,IF('Deal maths'!L1469="Local authority","Local authorities",LOWER(TRIM('Deal maths'!K1469))),"")</f>
        <v/>
      </c>
      <c r="D3466" s="91">
        <f>IF(C3466="","",IF(COUNTIF($C$4:C3465,C3466)=0,SUMIF($C$4:$C$3997,C3466,$B$4:$B$3997)-ROW()/1000000,""))</f>
        <v/>
      </c>
      <c r="E3466" s="91">
        <f>IF(N('Deal maths'!M1469)&gt;0,ROW()/10000000,"")</f>
        <v/>
      </c>
    </row>
    <row r="3467">
      <c r="A3467" s="91" t="n"/>
      <c r="B3467" s="111">
        <f>MAX(0,N('Deal maths'!M1470))</f>
        <v/>
      </c>
      <c r="C3467" s="91">
        <f>IF(B3467&gt;0,IF('Deal maths'!L1470="Local authority","Local authorities",LOWER(TRIM('Deal maths'!K1470))),"")</f>
        <v/>
      </c>
      <c r="D3467" s="91">
        <f>IF(C3467="","",IF(COUNTIF($C$4:C3466,C3467)=0,SUMIF($C$4:$C$3997,C3467,$B$4:$B$3997)-ROW()/1000000,""))</f>
        <v/>
      </c>
      <c r="E3467" s="91">
        <f>IF(N('Deal maths'!M1470)&gt;0,ROW()/10000000,"")</f>
        <v/>
      </c>
    </row>
    <row r="3468">
      <c r="A3468" s="91" t="n"/>
      <c r="B3468" s="111">
        <f>MAX(0,N('Deal maths'!M1471))</f>
        <v/>
      </c>
      <c r="C3468" s="91">
        <f>IF(B3468&gt;0,IF('Deal maths'!L1471="Local authority","Local authorities",LOWER(TRIM('Deal maths'!K1471))),"")</f>
        <v/>
      </c>
      <c r="D3468" s="91">
        <f>IF(C3468="","",IF(COUNTIF($C$4:C3467,C3468)=0,SUMIF($C$4:$C$3997,C3468,$B$4:$B$3997)-ROW()/1000000,""))</f>
        <v/>
      </c>
      <c r="E3468" s="91">
        <f>IF(N('Deal maths'!M1471)&gt;0,ROW()/10000000,"")</f>
        <v/>
      </c>
    </row>
    <row r="3469">
      <c r="A3469" s="91" t="n"/>
      <c r="B3469" s="111">
        <f>MAX(0,N('Deal maths'!M1472))</f>
        <v/>
      </c>
      <c r="C3469" s="91">
        <f>IF(B3469&gt;0,IF('Deal maths'!L1472="Local authority","Local authorities",LOWER(TRIM('Deal maths'!K1472))),"")</f>
        <v/>
      </c>
      <c r="D3469" s="91">
        <f>IF(C3469="","",IF(COUNTIF($C$4:C3468,C3469)=0,SUMIF($C$4:$C$3997,C3469,$B$4:$B$3997)-ROW()/1000000,""))</f>
        <v/>
      </c>
      <c r="E3469" s="91">
        <f>IF(N('Deal maths'!M1472)&gt;0,ROW()/10000000,"")</f>
        <v/>
      </c>
    </row>
    <row r="3470">
      <c r="A3470" s="91" t="n"/>
      <c r="B3470" s="111">
        <f>MAX(0,N('Deal maths'!M1473))</f>
        <v/>
      </c>
      <c r="C3470" s="91">
        <f>IF(B3470&gt;0,IF('Deal maths'!L1473="Local authority","Local authorities",LOWER(TRIM('Deal maths'!K1473))),"")</f>
        <v/>
      </c>
      <c r="D3470" s="91">
        <f>IF(C3470="","",IF(COUNTIF($C$4:C3469,C3470)=0,SUMIF($C$4:$C$3997,C3470,$B$4:$B$3997)-ROW()/1000000,""))</f>
        <v/>
      </c>
      <c r="E3470" s="91">
        <f>IF(N('Deal maths'!M1473)&gt;0,ROW()/10000000,"")</f>
        <v/>
      </c>
    </row>
    <row r="3471">
      <c r="A3471" s="91" t="n"/>
      <c r="B3471" s="111">
        <f>MAX(0,N('Deal maths'!M1474))</f>
        <v/>
      </c>
      <c r="C3471" s="91">
        <f>IF(B3471&gt;0,IF('Deal maths'!L1474="Local authority","Local authorities",LOWER(TRIM('Deal maths'!K1474))),"")</f>
        <v/>
      </c>
      <c r="D3471" s="91">
        <f>IF(C3471="","",IF(COUNTIF($C$4:C3470,C3471)=0,SUMIF($C$4:$C$3997,C3471,$B$4:$B$3997)-ROW()/1000000,""))</f>
        <v/>
      </c>
      <c r="E3471" s="91">
        <f>IF(N('Deal maths'!M1474)&gt;0,ROW()/10000000,"")</f>
        <v/>
      </c>
    </row>
    <row r="3472">
      <c r="A3472" s="91" t="n"/>
      <c r="B3472" s="111">
        <f>MAX(0,N('Deal maths'!M1475))</f>
        <v/>
      </c>
      <c r="C3472" s="91">
        <f>IF(B3472&gt;0,IF('Deal maths'!L1475="Local authority","Local authorities",LOWER(TRIM('Deal maths'!K1475))),"")</f>
        <v/>
      </c>
      <c r="D3472" s="91">
        <f>IF(C3472="","",IF(COUNTIF($C$4:C3471,C3472)=0,SUMIF($C$4:$C$3997,C3472,$B$4:$B$3997)-ROW()/1000000,""))</f>
        <v/>
      </c>
      <c r="E3472" s="91">
        <f>IF(N('Deal maths'!M1475)&gt;0,ROW()/10000000,"")</f>
        <v/>
      </c>
    </row>
    <row r="3473">
      <c r="A3473" s="91" t="n"/>
      <c r="B3473" s="111">
        <f>MAX(0,N('Deal maths'!M1476))</f>
        <v/>
      </c>
      <c r="C3473" s="91">
        <f>IF(B3473&gt;0,IF('Deal maths'!L1476="Local authority","Local authorities",LOWER(TRIM('Deal maths'!K1476))),"")</f>
        <v/>
      </c>
      <c r="D3473" s="91">
        <f>IF(C3473="","",IF(COUNTIF($C$4:C3472,C3473)=0,SUMIF($C$4:$C$3997,C3473,$B$4:$B$3997)-ROW()/1000000,""))</f>
        <v/>
      </c>
      <c r="E3473" s="91">
        <f>IF(N('Deal maths'!M1476)&gt;0,ROW()/10000000,"")</f>
        <v/>
      </c>
    </row>
    <row r="3474">
      <c r="A3474" s="91" t="n"/>
      <c r="B3474" s="111">
        <f>MAX(0,N('Deal maths'!M1477))</f>
        <v/>
      </c>
      <c r="C3474" s="91">
        <f>IF(B3474&gt;0,IF('Deal maths'!L1477="Local authority","Local authorities",LOWER(TRIM('Deal maths'!K1477))),"")</f>
        <v/>
      </c>
      <c r="D3474" s="91">
        <f>IF(C3474="","",IF(COUNTIF($C$4:C3473,C3474)=0,SUMIF($C$4:$C$3997,C3474,$B$4:$B$3997)-ROW()/1000000,""))</f>
        <v/>
      </c>
      <c r="E3474" s="91">
        <f>IF(N('Deal maths'!M1477)&gt;0,ROW()/10000000,"")</f>
        <v/>
      </c>
    </row>
    <row r="3475">
      <c r="A3475" s="91" t="n"/>
      <c r="B3475" s="111">
        <f>MAX(0,N('Deal maths'!M1478))</f>
        <v/>
      </c>
      <c r="C3475" s="91">
        <f>IF(B3475&gt;0,IF('Deal maths'!L1478="Local authority","Local authorities",LOWER(TRIM('Deal maths'!K1478))),"")</f>
        <v/>
      </c>
      <c r="D3475" s="91">
        <f>IF(C3475="","",IF(COUNTIF($C$4:C3474,C3475)=0,SUMIF($C$4:$C$3997,C3475,$B$4:$B$3997)-ROW()/1000000,""))</f>
        <v/>
      </c>
      <c r="E3475" s="91">
        <f>IF(N('Deal maths'!M1478)&gt;0,ROW()/10000000,"")</f>
        <v/>
      </c>
    </row>
    <row r="3476">
      <c r="A3476" s="91" t="n"/>
      <c r="B3476" s="111">
        <f>MAX(0,N('Deal maths'!M1479))</f>
        <v/>
      </c>
      <c r="C3476" s="91">
        <f>IF(B3476&gt;0,IF('Deal maths'!L1479="Local authority","Local authorities",LOWER(TRIM('Deal maths'!K1479))),"")</f>
        <v/>
      </c>
      <c r="D3476" s="91">
        <f>IF(C3476="","",IF(COUNTIF($C$4:C3475,C3476)=0,SUMIF($C$4:$C$3997,C3476,$B$4:$B$3997)-ROW()/1000000,""))</f>
        <v/>
      </c>
      <c r="E3476" s="91">
        <f>IF(N('Deal maths'!M1479)&gt;0,ROW()/10000000,"")</f>
        <v/>
      </c>
    </row>
    <row r="3477">
      <c r="A3477" s="91" t="n"/>
      <c r="B3477" s="111">
        <f>MAX(0,N('Deal maths'!M1480))</f>
        <v/>
      </c>
      <c r="C3477" s="91">
        <f>IF(B3477&gt;0,IF('Deal maths'!L1480="Local authority","Local authorities",LOWER(TRIM('Deal maths'!K1480))),"")</f>
        <v/>
      </c>
      <c r="D3477" s="91">
        <f>IF(C3477="","",IF(COUNTIF($C$4:C3476,C3477)=0,SUMIF($C$4:$C$3997,C3477,$B$4:$B$3997)-ROW()/1000000,""))</f>
        <v/>
      </c>
      <c r="E3477" s="91">
        <f>IF(N('Deal maths'!M1480)&gt;0,ROW()/10000000,"")</f>
        <v/>
      </c>
    </row>
    <row r="3478">
      <c r="A3478" s="91" t="n"/>
      <c r="B3478" s="111">
        <f>MAX(0,N('Deal maths'!M1481))</f>
        <v/>
      </c>
      <c r="C3478" s="91">
        <f>IF(B3478&gt;0,IF('Deal maths'!L1481="Local authority","Local authorities",LOWER(TRIM('Deal maths'!K1481))),"")</f>
        <v/>
      </c>
      <c r="D3478" s="91">
        <f>IF(C3478="","",IF(COUNTIF($C$4:C3477,C3478)=0,SUMIF($C$4:$C$3997,C3478,$B$4:$B$3997)-ROW()/1000000,""))</f>
        <v/>
      </c>
      <c r="E3478" s="91">
        <f>IF(N('Deal maths'!M1481)&gt;0,ROW()/10000000,"")</f>
        <v/>
      </c>
    </row>
    <row r="3479">
      <c r="A3479" s="91" t="n"/>
      <c r="B3479" s="111">
        <f>MAX(0,N('Deal maths'!M1482))</f>
        <v/>
      </c>
      <c r="C3479" s="91">
        <f>IF(B3479&gt;0,IF('Deal maths'!L1482="Local authority","Local authorities",LOWER(TRIM('Deal maths'!K1482))),"")</f>
        <v/>
      </c>
      <c r="D3479" s="91">
        <f>IF(C3479="","",IF(COUNTIF($C$4:C3478,C3479)=0,SUMIF($C$4:$C$3997,C3479,$B$4:$B$3997)-ROW()/1000000,""))</f>
        <v/>
      </c>
      <c r="E3479" s="91">
        <f>IF(N('Deal maths'!M1482)&gt;0,ROW()/10000000,"")</f>
        <v/>
      </c>
    </row>
    <row r="3480">
      <c r="A3480" s="91" t="n"/>
      <c r="B3480" s="111">
        <f>MAX(0,N('Deal maths'!M1483))</f>
        <v/>
      </c>
      <c r="C3480" s="91">
        <f>IF(B3480&gt;0,IF('Deal maths'!L1483="Local authority","Local authorities",LOWER(TRIM('Deal maths'!K1483))),"")</f>
        <v/>
      </c>
      <c r="D3480" s="91">
        <f>IF(C3480="","",IF(COUNTIF($C$4:C3479,C3480)=0,SUMIF($C$4:$C$3997,C3480,$B$4:$B$3997)-ROW()/1000000,""))</f>
        <v/>
      </c>
      <c r="E3480" s="91">
        <f>IF(N('Deal maths'!M1483)&gt;0,ROW()/10000000,"")</f>
        <v/>
      </c>
    </row>
    <row r="3481">
      <c r="A3481" s="91" t="n"/>
      <c r="B3481" s="111">
        <f>MAX(0,N('Deal maths'!M1484))</f>
        <v/>
      </c>
      <c r="C3481" s="91">
        <f>IF(B3481&gt;0,IF('Deal maths'!L1484="Local authority","Local authorities",LOWER(TRIM('Deal maths'!K1484))),"")</f>
        <v/>
      </c>
      <c r="D3481" s="91">
        <f>IF(C3481="","",IF(COUNTIF($C$4:C3480,C3481)=0,SUMIF($C$4:$C$3997,C3481,$B$4:$B$3997)-ROW()/1000000,""))</f>
        <v/>
      </c>
      <c r="E3481" s="91">
        <f>IF(N('Deal maths'!M1484)&gt;0,ROW()/10000000,"")</f>
        <v/>
      </c>
    </row>
    <row r="3482">
      <c r="A3482" s="91" t="n"/>
      <c r="B3482" s="111">
        <f>MAX(0,N('Deal maths'!M1485))</f>
        <v/>
      </c>
      <c r="C3482" s="91">
        <f>IF(B3482&gt;0,IF('Deal maths'!L1485="Local authority","Local authorities",LOWER(TRIM('Deal maths'!K1485))),"")</f>
        <v/>
      </c>
      <c r="D3482" s="91">
        <f>IF(C3482="","",IF(COUNTIF($C$4:C3481,C3482)=0,SUMIF($C$4:$C$3997,C3482,$B$4:$B$3997)-ROW()/1000000,""))</f>
        <v/>
      </c>
      <c r="E3482" s="91">
        <f>IF(N('Deal maths'!M1485)&gt;0,ROW()/10000000,"")</f>
        <v/>
      </c>
    </row>
    <row r="3483">
      <c r="A3483" s="91" t="n"/>
      <c r="B3483" s="111">
        <f>MAX(0,N('Deal maths'!M1486))</f>
        <v/>
      </c>
      <c r="C3483" s="91">
        <f>IF(B3483&gt;0,IF('Deal maths'!L1486="Local authority","Local authorities",LOWER(TRIM('Deal maths'!K1486))),"")</f>
        <v/>
      </c>
      <c r="D3483" s="91">
        <f>IF(C3483="","",IF(COUNTIF($C$4:C3482,C3483)=0,SUMIF($C$4:$C$3997,C3483,$B$4:$B$3997)-ROW()/1000000,""))</f>
        <v/>
      </c>
      <c r="E3483" s="91">
        <f>IF(N('Deal maths'!M1486)&gt;0,ROW()/10000000,"")</f>
        <v/>
      </c>
    </row>
    <row r="3484">
      <c r="A3484" s="91" t="n"/>
      <c r="B3484" s="111">
        <f>MAX(0,N('Deal maths'!M1487))</f>
        <v/>
      </c>
      <c r="C3484" s="91">
        <f>IF(B3484&gt;0,IF('Deal maths'!L1487="Local authority","Local authorities",LOWER(TRIM('Deal maths'!K1487))),"")</f>
        <v/>
      </c>
      <c r="D3484" s="91">
        <f>IF(C3484="","",IF(COUNTIF($C$4:C3483,C3484)=0,SUMIF($C$4:$C$3997,C3484,$B$4:$B$3997)-ROW()/1000000,""))</f>
        <v/>
      </c>
      <c r="E3484" s="91">
        <f>IF(N('Deal maths'!M1487)&gt;0,ROW()/10000000,"")</f>
        <v/>
      </c>
    </row>
    <row r="3485">
      <c r="A3485" s="91" t="n"/>
      <c r="B3485" s="111">
        <f>MAX(0,N('Deal maths'!M1488))</f>
        <v/>
      </c>
      <c r="C3485" s="91">
        <f>IF(B3485&gt;0,IF('Deal maths'!L1488="Local authority","Local authorities",LOWER(TRIM('Deal maths'!K1488))),"")</f>
        <v/>
      </c>
      <c r="D3485" s="91">
        <f>IF(C3485="","",IF(COUNTIF($C$4:C3484,C3485)=0,SUMIF($C$4:$C$3997,C3485,$B$4:$B$3997)-ROW()/1000000,""))</f>
        <v/>
      </c>
      <c r="E3485" s="91">
        <f>IF(N('Deal maths'!M1488)&gt;0,ROW()/10000000,"")</f>
        <v/>
      </c>
    </row>
    <row r="3486">
      <c r="A3486" s="91" t="n"/>
      <c r="B3486" s="111">
        <f>MAX(0,N('Deal maths'!M1489))</f>
        <v/>
      </c>
      <c r="C3486" s="91">
        <f>IF(B3486&gt;0,IF('Deal maths'!L1489="Local authority","Local authorities",LOWER(TRIM('Deal maths'!K1489))),"")</f>
        <v/>
      </c>
      <c r="D3486" s="91">
        <f>IF(C3486="","",IF(COUNTIF($C$4:C3485,C3486)=0,SUMIF($C$4:$C$3997,C3486,$B$4:$B$3997)-ROW()/1000000,""))</f>
        <v/>
      </c>
      <c r="E3486" s="91">
        <f>IF(N('Deal maths'!M1489)&gt;0,ROW()/10000000,"")</f>
        <v/>
      </c>
    </row>
    <row r="3487">
      <c r="A3487" s="91" t="n"/>
      <c r="B3487" s="111">
        <f>MAX(0,N('Deal maths'!M1490))</f>
        <v/>
      </c>
      <c r="C3487" s="91">
        <f>IF(B3487&gt;0,IF('Deal maths'!L1490="Local authority","Local authorities",LOWER(TRIM('Deal maths'!K1490))),"")</f>
        <v/>
      </c>
      <c r="D3487" s="91">
        <f>IF(C3487="","",IF(COUNTIF($C$4:C3486,C3487)=0,SUMIF($C$4:$C$3997,C3487,$B$4:$B$3997)-ROW()/1000000,""))</f>
        <v/>
      </c>
      <c r="E3487" s="91">
        <f>IF(N('Deal maths'!M1490)&gt;0,ROW()/10000000,"")</f>
        <v/>
      </c>
    </row>
    <row r="3488">
      <c r="A3488" s="91" t="n"/>
      <c r="B3488" s="111">
        <f>MAX(0,N('Deal maths'!M1491))</f>
        <v/>
      </c>
      <c r="C3488" s="91">
        <f>IF(B3488&gt;0,IF('Deal maths'!L1491="Local authority","Local authorities",LOWER(TRIM('Deal maths'!K1491))),"")</f>
        <v/>
      </c>
      <c r="D3488" s="91">
        <f>IF(C3488="","",IF(COUNTIF($C$4:C3487,C3488)=0,SUMIF($C$4:$C$3997,C3488,$B$4:$B$3997)-ROW()/1000000,""))</f>
        <v/>
      </c>
      <c r="E3488" s="91">
        <f>IF(N('Deal maths'!M1491)&gt;0,ROW()/10000000,"")</f>
        <v/>
      </c>
    </row>
    <row r="3489">
      <c r="A3489" s="91" t="n"/>
      <c r="B3489" s="111">
        <f>MAX(0,N('Deal maths'!M1492))</f>
        <v/>
      </c>
      <c r="C3489" s="91">
        <f>IF(B3489&gt;0,IF('Deal maths'!L1492="Local authority","Local authorities",LOWER(TRIM('Deal maths'!K1492))),"")</f>
        <v/>
      </c>
      <c r="D3489" s="91">
        <f>IF(C3489="","",IF(COUNTIF($C$4:C3488,C3489)=0,SUMIF($C$4:$C$3997,C3489,$B$4:$B$3997)-ROW()/1000000,""))</f>
        <v/>
      </c>
      <c r="E3489" s="91">
        <f>IF(N('Deal maths'!M1492)&gt;0,ROW()/10000000,"")</f>
        <v/>
      </c>
    </row>
    <row r="3490">
      <c r="A3490" s="91" t="n"/>
      <c r="B3490" s="111">
        <f>MAX(0,N('Deal maths'!M1493))</f>
        <v/>
      </c>
      <c r="C3490" s="91">
        <f>IF(B3490&gt;0,IF('Deal maths'!L1493="Local authority","Local authorities",LOWER(TRIM('Deal maths'!K1493))),"")</f>
        <v/>
      </c>
      <c r="D3490" s="91">
        <f>IF(C3490="","",IF(COUNTIF($C$4:C3489,C3490)=0,SUMIF($C$4:$C$3997,C3490,$B$4:$B$3997)-ROW()/1000000,""))</f>
        <v/>
      </c>
      <c r="E3490" s="91">
        <f>IF(N('Deal maths'!M1493)&gt;0,ROW()/10000000,"")</f>
        <v/>
      </c>
    </row>
    <row r="3491">
      <c r="A3491" s="91" t="n"/>
      <c r="B3491" s="111">
        <f>MAX(0,N('Deal maths'!M1494))</f>
        <v/>
      </c>
      <c r="C3491" s="91">
        <f>IF(B3491&gt;0,IF('Deal maths'!L1494="Local authority","Local authorities",LOWER(TRIM('Deal maths'!K1494))),"")</f>
        <v/>
      </c>
      <c r="D3491" s="91">
        <f>IF(C3491="","",IF(COUNTIF($C$4:C3490,C3491)=0,SUMIF($C$4:$C$3997,C3491,$B$4:$B$3997)-ROW()/1000000,""))</f>
        <v/>
      </c>
      <c r="E3491" s="91">
        <f>IF(N('Deal maths'!M1494)&gt;0,ROW()/10000000,"")</f>
        <v/>
      </c>
    </row>
    <row r="3492">
      <c r="A3492" s="91" t="n"/>
      <c r="B3492" s="111">
        <f>MAX(0,N('Deal maths'!M1495))</f>
        <v/>
      </c>
      <c r="C3492" s="91">
        <f>IF(B3492&gt;0,IF('Deal maths'!L1495="Local authority","Local authorities",LOWER(TRIM('Deal maths'!K1495))),"")</f>
        <v/>
      </c>
      <c r="D3492" s="91">
        <f>IF(C3492="","",IF(COUNTIF($C$4:C3491,C3492)=0,SUMIF($C$4:$C$3997,C3492,$B$4:$B$3997)-ROW()/1000000,""))</f>
        <v/>
      </c>
      <c r="E3492" s="91">
        <f>IF(N('Deal maths'!M1495)&gt;0,ROW()/10000000,"")</f>
        <v/>
      </c>
    </row>
    <row r="3493">
      <c r="A3493" s="91" t="n"/>
      <c r="B3493" s="111">
        <f>MAX(0,N('Deal maths'!M1496))</f>
        <v/>
      </c>
      <c r="C3493" s="91">
        <f>IF(B3493&gt;0,IF('Deal maths'!L1496="Local authority","Local authorities",LOWER(TRIM('Deal maths'!K1496))),"")</f>
        <v/>
      </c>
      <c r="D3493" s="91">
        <f>IF(C3493="","",IF(COUNTIF($C$4:C3492,C3493)=0,SUMIF($C$4:$C$3997,C3493,$B$4:$B$3997)-ROW()/1000000,""))</f>
        <v/>
      </c>
      <c r="E3493" s="91">
        <f>IF(N('Deal maths'!M1496)&gt;0,ROW()/10000000,"")</f>
        <v/>
      </c>
    </row>
    <row r="3494">
      <c r="A3494" s="91" t="n"/>
      <c r="B3494" s="111">
        <f>MAX(0,N('Deal maths'!M1497))</f>
        <v/>
      </c>
      <c r="C3494" s="91">
        <f>IF(B3494&gt;0,IF('Deal maths'!L1497="Local authority","Local authorities",LOWER(TRIM('Deal maths'!K1497))),"")</f>
        <v/>
      </c>
      <c r="D3494" s="91">
        <f>IF(C3494="","",IF(COUNTIF($C$4:C3493,C3494)=0,SUMIF($C$4:$C$3997,C3494,$B$4:$B$3997)-ROW()/1000000,""))</f>
        <v/>
      </c>
      <c r="E3494" s="91">
        <f>IF(N('Deal maths'!M1497)&gt;0,ROW()/10000000,"")</f>
        <v/>
      </c>
    </row>
    <row r="3495">
      <c r="A3495" s="91" t="n"/>
      <c r="B3495" s="111">
        <f>MAX(0,N('Deal maths'!M1498))</f>
        <v/>
      </c>
      <c r="C3495" s="91">
        <f>IF(B3495&gt;0,IF('Deal maths'!L1498="Local authority","Local authorities",LOWER(TRIM('Deal maths'!K1498))),"")</f>
        <v/>
      </c>
      <c r="D3495" s="91">
        <f>IF(C3495="","",IF(COUNTIF($C$4:C3494,C3495)=0,SUMIF($C$4:$C$3997,C3495,$B$4:$B$3997)-ROW()/1000000,""))</f>
        <v/>
      </c>
      <c r="E3495" s="91">
        <f>IF(N('Deal maths'!M1498)&gt;0,ROW()/10000000,"")</f>
        <v/>
      </c>
    </row>
    <row r="3496">
      <c r="A3496" s="91" t="n"/>
      <c r="B3496" s="111">
        <f>MAX(0,N('Deal maths'!M1499))</f>
        <v/>
      </c>
      <c r="C3496" s="91">
        <f>IF(B3496&gt;0,IF('Deal maths'!L1499="Local authority","Local authorities",LOWER(TRIM('Deal maths'!K1499))),"")</f>
        <v/>
      </c>
      <c r="D3496" s="91">
        <f>IF(C3496="","",IF(COUNTIF($C$4:C3495,C3496)=0,SUMIF($C$4:$C$3997,C3496,$B$4:$B$3997)-ROW()/1000000,""))</f>
        <v/>
      </c>
      <c r="E3496" s="91">
        <f>IF(N('Deal maths'!M1499)&gt;0,ROW()/10000000,"")</f>
        <v/>
      </c>
    </row>
    <row r="3497">
      <c r="A3497" s="91" t="n"/>
      <c r="B3497" s="111">
        <f>MAX(0,N('Deal maths'!M1500))</f>
        <v/>
      </c>
      <c r="C3497" s="91">
        <f>IF(B3497&gt;0,IF('Deal maths'!L1500="Local authority","Local authorities",LOWER(TRIM('Deal maths'!K1500))),"")</f>
        <v/>
      </c>
      <c r="D3497" s="91">
        <f>IF(C3497="","",IF(COUNTIF($C$4:C3496,C3497)=0,SUMIF($C$4:$C$3997,C3497,$B$4:$B$3997)-ROW()/1000000,""))</f>
        <v/>
      </c>
      <c r="E3497" s="91">
        <f>IF(N('Deal maths'!M1500)&gt;0,ROW()/10000000,"")</f>
        <v/>
      </c>
    </row>
    <row r="3498">
      <c r="A3498" s="91" t="n"/>
      <c r="B3498" s="111">
        <f>MAX(0,N('Deal maths'!M1501))</f>
        <v/>
      </c>
      <c r="C3498" s="91">
        <f>IF(B3498&gt;0,IF('Deal maths'!L1501="Local authority","Local authorities",LOWER(TRIM('Deal maths'!K1501))),"")</f>
        <v/>
      </c>
      <c r="D3498" s="91">
        <f>IF(C3498="","",IF(COUNTIF($C$4:C3497,C3498)=0,SUMIF($C$4:$C$3997,C3498,$B$4:$B$3997)-ROW()/1000000,""))</f>
        <v/>
      </c>
      <c r="E3498" s="91">
        <f>IF(N('Deal maths'!M1501)&gt;0,ROW()/10000000,"")</f>
        <v/>
      </c>
    </row>
    <row r="3499">
      <c r="A3499" s="91" t="n"/>
      <c r="B3499" s="111">
        <f>MAX(0,N('Deal maths'!M1502))</f>
        <v/>
      </c>
      <c r="C3499" s="91">
        <f>IF(B3499&gt;0,IF('Deal maths'!L1502="Local authority","Local authorities",LOWER(TRIM('Deal maths'!K1502))),"")</f>
        <v/>
      </c>
      <c r="D3499" s="91">
        <f>IF(C3499="","",IF(COUNTIF($C$4:C3498,C3499)=0,SUMIF($C$4:$C$3997,C3499,$B$4:$B$3997)-ROW()/1000000,""))</f>
        <v/>
      </c>
      <c r="E3499" s="91">
        <f>IF(N('Deal maths'!M1502)&gt;0,ROW()/10000000,"")</f>
        <v/>
      </c>
    </row>
    <row r="3500">
      <c r="A3500" s="91" t="n"/>
      <c r="B3500" s="111">
        <f>MAX(0,N('Deal maths'!M1503))</f>
        <v/>
      </c>
      <c r="C3500" s="91">
        <f>IF(B3500&gt;0,IF('Deal maths'!L1503="Local authority","Local authorities",LOWER(TRIM('Deal maths'!K1503))),"")</f>
        <v/>
      </c>
      <c r="D3500" s="91">
        <f>IF(C3500="","",IF(COUNTIF($C$4:C3499,C3500)=0,SUMIF($C$4:$C$3997,C3500,$B$4:$B$3997)-ROW()/1000000,""))</f>
        <v/>
      </c>
      <c r="E3500" s="91">
        <f>IF(N('Deal maths'!M1503)&gt;0,ROW()/10000000,"")</f>
        <v/>
      </c>
    </row>
    <row r="3501">
      <c r="A3501" s="91" t="n"/>
      <c r="B3501" s="111">
        <f>MAX(0,N('Deal maths'!M1504))</f>
        <v/>
      </c>
      <c r="C3501" s="91">
        <f>IF(B3501&gt;0,IF('Deal maths'!L1504="Local authority","Local authorities",LOWER(TRIM('Deal maths'!K1504))),"")</f>
        <v/>
      </c>
      <c r="D3501" s="91">
        <f>IF(C3501="","",IF(COUNTIF($C$4:C3500,C3501)=0,SUMIF($C$4:$C$3997,C3501,$B$4:$B$3997)-ROW()/1000000,""))</f>
        <v/>
      </c>
      <c r="E3501" s="91">
        <f>IF(N('Deal maths'!M1504)&gt;0,ROW()/10000000,"")</f>
        <v/>
      </c>
    </row>
    <row r="3502">
      <c r="A3502" s="91" t="n"/>
      <c r="B3502" s="111">
        <f>MAX(0,N('Deal maths'!M1505))</f>
        <v/>
      </c>
      <c r="C3502" s="91">
        <f>IF(B3502&gt;0,IF('Deal maths'!L1505="Local authority","Local authorities",LOWER(TRIM('Deal maths'!K1505))),"")</f>
        <v/>
      </c>
      <c r="D3502" s="91">
        <f>IF(C3502="","",IF(COUNTIF($C$4:C3501,C3502)=0,SUMIF($C$4:$C$3997,C3502,$B$4:$B$3997)-ROW()/1000000,""))</f>
        <v/>
      </c>
      <c r="E3502" s="91">
        <f>IF(N('Deal maths'!M1505)&gt;0,ROW()/10000000,"")</f>
        <v/>
      </c>
    </row>
    <row r="3503">
      <c r="A3503" s="91" t="n"/>
      <c r="B3503" s="111">
        <f>MAX(0,N('Deal maths'!M1506))</f>
        <v/>
      </c>
      <c r="C3503" s="91">
        <f>IF(B3503&gt;0,IF('Deal maths'!L1506="Local authority","Local authorities",LOWER(TRIM('Deal maths'!K1506))),"")</f>
        <v/>
      </c>
      <c r="D3503" s="91">
        <f>IF(C3503="","",IF(COUNTIF($C$4:C3502,C3503)=0,SUMIF($C$4:$C$3997,C3503,$B$4:$B$3997)-ROW()/1000000,""))</f>
        <v/>
      </c>
      <c r="E3503" s="91">
        <f>IF(N('Deal maths'!M1506)&gt;0,ROW()/10000000,"")</f>
        <v/>
      </c>
    </row>
    <row r="3504">
      <c r="A3504" s="91" t="n"/>
      <c r="B3504" s="111">
        <f>MAX(0,N('Deal maths'!M1507))</f>
        <v/>
      </c>
      <c r="C3504" s="91">
        <f>IF(B3504&gt;0,IF('Deal maths'!L1507="Local authority","Local authorities",LOWER(TRIM('Deal maths'!K1507))),"")</f>
        <v/>
      </c>
      <c r="D3504" s="91">
        <f>IF(C3504="","",IF(COUNTIF($C$4:C3503,C3504)=0,SUMIF($C$4:$C$3997,C3504,$B$4:$B$3997)-ROW()/1000000,""))</f>
        <v/>
      </c>
      <c r="E3504" s="91">
        <f>IF(N('Deal maths'!M1507)&gt;0,ROW()/10000000,"")</f>
        <v/>
      </c>
    </row>
    <row r="3505">
      <c r="A3505" s="91" t="n"/>
      <c r="B3505" s="111">
        <f>MAX(0,N('Deal maths'!M1508))</f>
        <v/>
      </c>
      <c r="C3505" s="91">
        <f>IF(B3505&gt;0,IF('Deal maths'!L1508="Local authority","Local authorities",LOWER(TRIM('Deal maths'!K1508))),"")</f>
        <v/>
      </c>
      <c r="D3505" s="91">
        <f>IF(C3505="","",IF(COUNTIF($C$4:C3504,C3505)=0,SUMIF($C$4:$C$3997,C3505,$B$4:$B$3997)-ROW()/1000000,""))</f>
        <v/>
      </c>
      <c r="E3505" s="91">
        <f>IF(N('Deal maths'!M1508)&gt;0,ROW()/10000000,"")</f>
        <v/>
      </c>
    </row>
    <row r="3506">
      <c r="A3506" s="91" t="n"/>
      <c r="B3506" s="111">
        <f>MAX(0,N('Deal maths'!M1509))</f>
        <v/>
      </c>
      <c r="C3506" s="91">
        <f>IF(B3506&gt;0,IF('Deal maths'!L1509="Local authority","Local authorities",LOWER(TRIM('Deal maths'!K1509))),"")</f>
        <v/>
      </c>
      <c r="D3506" s="91">
        <f>IF(C3506="","",IF(COUNTIF($C$4:C3505,C3506)=0,SUMIF($C$4:$C$3997,C3506,$B$4:$B$3997)-ROW()/1000000,""))</f>
        <v/>
      </c>
      <c r="E3506" s="91">
        <f>IF(N('Deal maths'!M1509)&gt;0,ROW()/10000000,"")</f>
        <v/>
      </c>
    </row>
    <row r="3507">
      <c r="A3507" s="91" t="n"/>
      <c r="B3507" s="111">
        <f>MAX(0,N('Deal maths'!M1510))</f>
        <v/>
      </c>
      <c r="C3507" s="91">
        <f>IF(B3507&gt;0,IF('Deal maths'!L1510="Local authority","Local authorities",LOWER(TRIM('Deal maths'!K1510))),"")</f>
        <v/>
      </c>
      <c r="D3507" s="91">
        <f>IF(C3507="","",IF(COUNTIF($C$4:C3506,C3507)=0,SUMIF($C$4:$C$3997,C3507,$B$4:$B$3997)-ROW()/1000000,""))</f>
        <v/>
      </c>
      <c r="E3507" s="91">
        <f>IF(N('Deal maths'!M1510)&gt;0,ROW()/10000000,"")</f>
        <v/>
      </c>
    </row>
    <row r="3508">
      <c r="A3508" s="91" t="n"/>
      <c r="B3508" s="111">
        <f>MAX(0,N('Deal maths'!M1511))</f>
        <v/>
      </c>
      <c r="C3508" s="91">
        <f>IF(B3508&gt;0,IF('Deal maths'!L1511="Local authority","Local authorities",LOWER(TRIM('Deal maths'!K1511))),"")</f>
        <v/>
      </c>
      <c r="D3508" s="91">
        <f>IF(C3508="","",IF(COUNTIF($C$4:C3507,C3508)=0,SUMIF($C$4:$C$3997,C3508,$B$4:$B$3997)-ROW()/1000000,""))</f>
        <v/>
      </c>
      <c r="E3508" s="91">
        <f>IF(N('Deal maths'!M1511)&gt;0,ROW()/10000000,"")</f>
        <v/>
      </c>
    </row>
    <row r="3509">
      <c r="A3509" s="91" t="n"/>
      <c r="B3509" s="111">
        <f>MAX(0,N('Deal maths'!M1512))</f>
        <v/>
      </c>
      <c r="C3509" s="91">
        <f>IF(B3509&gt;0,IF('Deal maths'!L1512="Local authority","Local authorities",LOWER(TRIM('Deal maths'!K1512))),"")</f>
        <v/>
      </c>
      <c r="D3509" s="91">
        <f>IF(C3509="","",IF(COUNTIF($C$4:C3508,C3509)=0,SUMIF($C$4:$C$3997,C3509,$B$4:$B$3997)-ROW()/1000000,""))</f>
        <v/>
      </c>
      <c r="E3509" s="91">
        <f>IF(N('Deal maths'!M1512)&gt;0,ROW()/10000000,"")</f>
        <v/>
      </c>
    </row>
    <row r="3510">
      <c r="A3510" s="91" t="n"/>
      <c r="B3510" s="111">
        <f>MAX(0,N('Deal maths'!M1513))</f>
        <v/>
      </c>
      <c r="C3510" s="91">
        <f>IF(B3510&gt;0,IF('Deal maths'!L1513="Local authority","Local authorities",LOWER(TRIM('Deal maths'!K1513))),"")</f>
        <v/>
      </c>
      <c r="D3510" s="91">
        <f>IF(C3510="","",IF(COUNTIF($C$4:C3509,C3510)=0,SUMIF($C$4:$C$3997,C3510,$B$4:$B$3997)-ROW()/1000000,""))</f>
        <v/>
      </c>
      <c r="E3510" s="91">
        <f>IF(N('Deal maths'!M1513)&gt;0,ROW()/10000000,"")</f>
        <v/>
      </c>
    </row>
    <row r="3511">
      <c r="A3511" s="91" t="n"/>
      <c r="B3511" s="111">
        <f>MAX(0,N('Deal maths'!M1514))</f>
        <v/>
      </c>
      <c r="C3511" s="91">
        <f>IF(B3511&gt;0,IF('Deal maths'!L1514="Local authority","Local authorities",LOWER(TRIM('Deal maths'!K1514))),"")</f>
        <v/>
      </c>
      <c r="D3511" s="91">
        <f>IF(C3511="","",IF(COUNTIF($C$4:C3510,C3511)=0,SUMIF($C$4:$C$3997,C3511,$B$4:$B$3997)-ROW()/1000000,""))</f>
        <v/>
      </c>
      <c r="E3511" s="91">
        <f>IF(N('Deal maths'!M1514)&gt;0,ROW()/10000000,"")</f>
        <v/>
      </c>
    </row>
    <row r="3512">
      <c r="A3512" s="91" t="n"/>
      <c r="B3512" s="111">
        <f>MAX(0,N('Deal maths'!M1515))</f>
        <v/>
      </c>
      <c r="C3512" s="91">
        <f>IF(B3512&gt;0,IF('Deal maths'!L1515="Local authority","Local authorities",LOWER(TRIM('Deal maths'!K1515))),"")</f>
        <v/>
      </c>
      <c r="D3512" s="91">
        <f>IF(C3512="","",IF(COUNTIF($C$4:C3511,C3512)=0,SUMIF($C$4:$C$3997,C3512,$B$4:$B$3997)-ROW()/1000000,""))</f>
        <v/>
      </c>
      <c r="E3512" s="91">
        <f>IF(N('Deal maths'!M1515)&gt;0,ROW()/10000000,"")</f>
        <v/>
      </c>
    </row>
    <row r="3513">
      <c r="A3513" s="91" t="n"/>
      <c r="B3513" s="111">
        <f>MAX(0,N('Deal maths'!M1516))</f>
        <v/>
      </c>
      <c r="C3513" s="91">
        <f>IF(B3513&gt;0,IF('Deal maths'!L1516="Local authority","Local authorities",LOWER(TRIM('Deal maths'!K1516))),"")</f>
        <v/>
      </c>
      <c r="D3513" s="91">
        <f>IF(C3513="","",IF(COUNTIF($C$4:C3512,C3513)=0,SUMIF($C$4:$C$3997,C3513,$B$4:$B$3997)-ROW()/1000000,""))</f>
        <v/>
      </c>
      <c r="E3513" s="91">
        <f>IF(N('Deal maths'!M1516)&gt;0,ROW()/10000000,"")</f>
        <v/>
      </c>
    </row>
    <row r="3514">
      <c r="A3514" s="91" t="n"/>
      <c r="B3514" s="111">
        <f>MAX(0,N('Deal maths'!M1517))</f>
        <v/>
      </c>
      <c r="C3514" s="91">
        <f>IF(B3514&gt;0,IF('Deal maths'!L1517="Local authority","Local authorities",LOWER(TRIM('Deal maths'!K1517))),"")</f>
        <v/>
      </c>
      <c r="D3514" s="91">
        <f>IF(C3514="","",IF(COUNTIF($C$4:C3513,C3514)=0,SUMIF($C$4:$C$3997,C3514,$B$4:$B$3997)-ROW()/1000000,""))</f>
        <v/>
      </c>
      <c r="E3514" s="91">
        <f>IF(N('Deal maths'!M1517)&gt;0,ROW()/10000000,"")</f>
        <v/>
      </c>
    </row>
    <row r="3515">
      <c r="A3515" s="91" t="n"/>
      <c r="B3515" s="111">
        <f>MAX(0,N('Deal maths'!M1518))</f>
        <v/>
      </c>
      <c r="C3515" s="91">
        <f>IF(B3515&gt;0,IF('Deal maths'!L1518="Local authority","Local authorities",LOWER(TRIM('Deal maths'!K1518))),"")</f>
        <v/>
      </c>
      <c r="D3515" s="91">
        <f>IF(C3515="","",IF(COUNTIF($C$4:C3514,C3515)=0,SUMIF($C$4:$C$3997,C3515,$B$4:$B$3997)-ROW()/1000000,""))</f>
        <v/>
      </c>
      <c r="E3515" s="91">
        <f>IF(N('Deal maths'!M1518)&gt;0,ROW()/10000000,"")</f>
        <v/>
      </c>
    </row>
    <row r="3516">
      <c r="A3516" s="91" t="n"/>
      <c r="B3516" s="111">
        <f>MAX(0,N('Deal maths'!M1519))</f>
        <v/>
      </c>
      <c r="C3516" s="91">
        <f>IF(B3516&gt;0,IF('Deal maths'!L1519="Local authority","Local authorities",LOWER(TRIM('Deal maths'!K1519))),"")</f>
        <v/>
      </c>
      <c r="D3516" s="91">
        <f>IF(C3516="","",IF(COUNTIF($C$4:C3515,C3516)=0,SUMIF($C$4:$C$3997,C3516,$B$4:$B$3997)-ROW()/1000000,""))</f>
        <v/>
      </c>
      <c r="E3516" s="91">
        <f>IF(N('Deal maths'!M1519)&gt;0,ROW()/10000000,"")</f>
        <v/>
      </c>
    </row>
    <row r="3517">
      <c r="A3517" s="91" t="n"/>
      <c r="B3517" s="111">
        <f>MAX(0,N('Deal maths'!M1520))</f>
        <v/>
      </c>
      <c r="C3517" s="91">
        <f>IF(B3517&gt;0,IF('Deal maths'!L1520="Local authority","Local authorities",LOWER(TRIM('Deal maths'!K1520))),"")</f>
        <v/>
      </c>
      <c r="D3517" s="91">
        <f>IF(C3517="","",IF(COUNTIF($C$4:C3516,C3517)=0,SUMIF($C$4:$C$3997,C3517,$B$4:$B$3997)-ROW()/1000000,""))</f>
        <v/>
      </c>
      <c r="E3517" s="91">
        <f>IF(N('Deal maths'!M1520)&gt;0,ROW()/10000000,"")</f>
        <v/>
      </c>
    </row>
    <row r="3518">
      <c r="A3518" s="91" t="n"/>
      <c r="B3518" s="111">
        <f>MAX(0,N('Deal maths'!M1521))</f>
        <v/>
      </c>
      <c r="C3518" s="91">
        <f>IF(B3518&gt;0,IF('Deal maths'!L1521="Local authority","Local authorities",LOWER(TRIM('Deal maths'!K1521))),"")</f>
        <v/>
      </c>
      <c r="D3518" s="91">
        <f>IF(C3518="","",IF(COUNTIF($C$4:C3517,C3518)=0,SUMIF($C$4:$C$3997,C3518,$B$4:$B$3997)-ROW()/1000000,""))</f>
        <v/>
      </c>
      <c r="E3518" s="91">
        <f>IF(N('Deal maths'!M1521)&gt;0,ROW()/10000000,"")</f>
        <v/>
      </c>
    </row>
    <row r="3519">
      <c r="A3519" s="91" t="n"/>
      <c r="B3519" s="111">
        <f>MAX(0,N('Deal maths'!M1522))</f>
        <v/>
      </c>
      <c r="C3519" s="91">
        <f>IF(B3519&gt;0,IF('Deal maths'!L1522="Local authority","Local authorities",LOWER(TRIM('Deal maths'!K1522))),"")</f>
        <v/>
      </c>
      <c r="D3519" s="91">
        <f>IF(C3519="","",IF(COUNTIF($C$4:C3518,C3519)=0,SUMIF($C$4:$C$3997,C3519,$B$4:$B$3997)-ROW()/1000000,""))</f>
        <v/>
      </c>
      <c r="E3519" s="91">
        <f>IF(N('Deal maths'!M1522)&gt;0,ROW()/10000000,"")</f>
        <v/>
      </c>
    </row>
    <row r="3520">
      <c r="A3520" s="91" t="n"/>
      <c r="B3520" s="111">
        <f>MAX(0,N('Deal maths'!M1523))</f>
        <v/>
      </c>
      <c r="C3520" s="91">
        <f>IF(B3520&gt;0,IF('Deal maths'!L1523="Local authority","Local authorities",LOWER(TRIM('Deal maths'!K1523))),"")</f>
        <v/>
      </c>
      <c r="D3520" s="91">
        <f>IF(C3520="","",IF(COUNTIF($C$4:C3519,C3520)=0,SUMIF($C$4:$C$3997,C3520,$B$4:$B$3997)-ROW()/1000000,""))</f>
        <v/>
      </c>
      <c r="E3520" s="91">
        <f>IF(N('Deal maths'!M1523)&gt;0,ROW()/10000000,"")</f>
        <v/>
      </c>
    </row>
    <row r="3521">
      <c r="A3521" s="91" t="n"/>
      <c r="B3521" s="111">
        <f>MAX(0,N('Deal maths'!M1524))</f>
        <v/>
      </c>
      <c r="C3521" s="91">
        <f>IF(B3521&gt;0,IF('Deal maths'!L1524="Local authority","Local authorities",LOWER(TRIM('Deal maths'!K1524))),"")</f>
        <v/>
      </c>
      <c r="D3521" s="91">
        <f>IF(C3521="","",IF(COUNTIF($C$4:C3520,C3521)=0,SUMIF($C$4:$C$3997,C3521,$B$4:$B$3997)-ROW()/1000000,""))</f>
        <v/>
      </c>
      <c r="E3521" s="91">
        <f>IF(N('Deal maths'!M1524)&gt;0,ROW()/10000000,"")</f>
        <v/>
      </c>
    </row>
    <row r="3522">
      <c r="A3522" s="91" t="n"/>
      <c r="B3522" s="111">
        <f>MAX(0,N('Deal maths'!M1525))</f>
        <v/>
      </c>
      <c r="C3522" s="91">
        <f>IF(B3522&gt;0,IF('Deal maths'!L1525="Local authority","Local authorities",LOWER(TRIM('Deal maths'!K1525))),"")</f>
        <v/>
      </c>
      <c r="D3522" s="91">
        <f>IF(C3522="","",IF(COUNTIF($C$4:C3521,C3522)=0,SUMIF($C$4:$C$3997,C3522,$B$4:$B$3997)-ROW()/1000000,""))</f>
        <v/>
      </c>
      <c r="E3522" s="91">
        <f>IF(N('Deal maths'!M1525)&gt;0,ROW()/10000000,"")</f>
        <v/>
      </c>
    </row>
    <row r="3523">
      <c r="A3523" s="91" t="n"/>
      <c r="B3523" s="111">
        <f>MAX(0,N('Deal maths'!M1526))</f>
        <v/>
      </c>
      <c r="C3523" s="91">
        <f>IF(B3523&gt;0,IF('Deal maths'!L1526="Local authority","Local authorities",LOWER(TRIM('Deal maths'!K1526))),"")</f>
        <v/>
      </c>
      <c r="D3523" s="91">
        <f>IF(C3523="","",IF(COUNTIF($C$4:C3522,C3523)=0,SUMIF($C$4:$C$3997,C3523,$B$4:$B$3997)-ROW()/1000000,""))</f>
        <v/>
      </c>
      <c r="E3523" s="91">
        <f>IF(N('Deal maths'!M1526)&gt;0,ROW()/10000000,"")</f>
        <v/>
      </c>
    </row>
    <row r="3524">
      <c r="A3524" s="91" t="n"/>
      <c r="B3524" s="111">
        <f>MAX(0,N('Deal maths'!M1527))</f>
        <v/>
      </c>
      <c r="C3524" s="91">
        <f>IF(B3524&gt;0,IF('Deal maths'!L1527="Local authority","Local authorities",LOWER(TRIM('Deal maths'!K1527))),"")</f>
        <v/>
      </c>
      <c r="D3524" s="91">
        <f>IF(C3524="","",IF(COUNTIF($C$4:C3523,C3524)=0,SUMIF($C$4:$C$3997,C3524,$B$4:$B$3997)-ROW()/1000000,""))</f>
        <v/>
      </c>
      <c r="E3524" s="91">
        <f>IF(N('Deal maths'!M1527)&gt;0,ROW()/10000000,"")</f>
        <v/>
      </c>
    </row>
    <row r="3525">
      <c r="A3525" s="91" t="n"/>
      <c r="B3525" s="111">
        <f>MAX(0,N('Deal maths'!M1528))</f>
        <v/>
      </c>
      <c r="C3525" s="91">
        <f>IF(B3525&gt;0,IF('Deal maths'!L1528="Local authority","Local authorities",LOWER(TRIM('Deal maths'!K1528))),"")</f>
        <v/>
      </c>
      <c r="D3525" s="91">
        <f>IF(C3525="","",IF(COUNTIF($C$4:C3524,C3525)=0,SUMIF($C$4:$C$3997,C3525,$B$4:$B$3997)-ROW()/1000000,""))</f>
        <v/>
      </c>
      <c r="E3525" s="91">
        <f>IF(N('Deal maths'!M1528)&gt;0,ROW()/10000000,"")</f>
        <v/>
      </c>
    </row>
    <row r="3526">
      <c r="A3526" s="91" t="n"/>
      <c r="B3526" s="111">
        <f>MAX(0,N('Deal maths'!M1529))</f>
        <v/>
      </c>
      <c r="C3526" s="91">
        <f>IF(B3526&gt;0,IF('Deal maths'!L1529="Local authority","Local authorities",LOWER(TRIM('Deal maths'!K1529))),"")</f>
        <v/>
      </c>
      <c r="D3526" s="91">
        <f>IF(C3526="","",IF(COUNTIF($C$4:C3525,C3526)=0,SUMIF($C$4:$C$3997,C3526,$B$4:$B$3997)-ROW()/1000000,""))</f>
        <v/>
      </c>
      <c r="E3526" s="91">
        <f>IF(N('Deal maths'!M1529)&gt;0,ROW()/10000000,"")</f>
        <v/>
      </c>
    </row>
    <row r="3527">
      <c r="A3527" s="91" t="n"/>
      <c r="B3527" s="111">
        <f>MAX(0,N('Deal maths'!M1530))</f>
        <v/>
      </c>
      <c r="C3527" s="91">
        <f>IF(B3527&gt;0,IF('Deal maths'!L1530="Local authority","Local authorities",LOWER(TRIM('Deal maths'!K1530))),"")</f>
        <v/>
      </c>
      <c r="D3527" s="91">
        <f>IF(C3527="","",IF(COUNTIF($C$4:C3526,C3527)=0,SUMIF($C$4:$C$3997,C3527,$B$4:$B$3997)-ROW()/1000000,""))</f>
        <v/>
      </c>
      <c r="E3527" s="91">
        <f>IF(N('Deal maths'!M1530)&gt;0,ROW()/10000000,"")</f>
        <v/>
      </c>
    </row>
    <row r="3528">
      <c r="A3528" s="91" t="n"/>
      <c r="B3528" s="111">
        <f>MAX(0,N('Deal maths'!M1531))</f>
        <v/>
      </c>
      <c r="C3528" s="91">
        <f>IF(B3528&gt;0,IF('Deal maths'!L1531="Local authority","Local authorities",LOWER(TRIM('Deal maths'!K1531))),"")</f>
        <v/>
      </c>
      <c r="D3528" s="91">
        <f>IF(C3528="","",IF(COUNTIF($C$4:C3527,C3528)=0,SUMIF($C$4:$C$3997,C3528,$B$4:$B$3997)-ROW()/1000000,""))</f>
        <v/>
      </c>
      <c r="E3528" s="91">
        <f>IF(N('Deal maths'!M1531)&gt;0,ROW()/10000000,"")</f>
        <v/>
      </c>
    </row>
    <row r="3529">
      <c r="A3529" s="91" t="n"/>
      <c r="B3529" s="111">
        <f>MAX(0,N('Deal maths'!M1532))</f>
        <v/>
      </c>
      <c r="C3529" s="91">
        <f>IF(B3529&gt;0,IF('Deal maths'!L1532="Local authority","Local authorities",LOWER(TRIM('Deal maths'!K1532))),"")</f>
        <v/>
      </c>
      <c r="D3529" s="91">
        <f>IF(C3529="","",IF(COUNTIF($C$4:C3528,C3529)=0,SUMIF($C$4:$C$3997,C3529,$B$4:$B$3997)-ROW()/1000000,""))</f>
        <v/>
      </c>
      <c r="E3529" s="91">
        <f>IF(N('Deal maths'!M1532)&gt;0,ROW()/10000000,"")</f>
        <v/>
      </c>
    </row>
    <row r="3530">
      <c r="A3530" s="91" t="n"/>
      <c r="B3530" s="111">
        <f>MAX(0,N('Deal maths'!M1533))</f>
        <v/>
      </c>
      <c r="C3530" s="91">
        <f>IF(B3530&gt;0,IF('Deal maths'!L1533="Local authority","Local authorities",LOWER(TRIM('Deal maths'!K1533))),"")</f>
        <v/>
      </c>
      <c r="D3530" s="91">
        <f>IF(C3530="","",IF(COUNTIF($C$4:C3529,C3530)=0,SUMIF($C$4:$C$3997,C3530,$B$4:$B$3997)-ROW()/1000000,""))</f>
        <v/>
      </c>
      <c r="E3530" s="91">
        <f>IF(N('Deal maths'!M1533)&gt;0,ROW()/10000000,"")</f>
        <v/>
      </c>
    </row>
    <row r="3531">
      <c r="A3531" s="91" t="n"/>
      <c r="B3531" s="111">
        <f>MAX(0,N('Deal maths'!M1534))</f>
        <v/>
      </c>
      <c r="C3531" s="91">
        <f>IF(B3531&gt;0,IF('Deal maths'!L1534="Local authority","Local authorities",LOWER(TRIM('Deal maths'!K1534))),"")</f>
        <v/>
      </c>
      <c r="D3531" s="91">
        <f>IF(C3531="","",IF(COUNTIF($C$4:C3530,C3531)=0,SUMIF($C$4:$C$3997,C3531,$B$4:$B$3997)-ROW()/1000000,""))</f>
        <v/>
      </c>
      <c r="E3531" s="91">
        <f>IF(N('Deal maths'!M1534)&gt;0,ROW()/10000000,"")</f>
        <v/>
      </c>
    </row>
    <row r="3532">
      <c r="A3532" s="91" t="n"/>
      <c r="B3532" s="111">
        <f>MAX(0,N('Deal maths'!M1535))</f>
        <v/>
      </c>
      <c r="C3532" s="91">
        <f>IF(B3532&gt;0,IF('Deal maths'!L1535="Local authority","Local authorities",LOWER(TRIM('Deal maths'!K1535))),"")</f>
        <v/>
      </c>
      <c r="D3532" s="91">
        <f>IF(C3532="","",IF(COUNTIF($C$4:C3531,C3532)=0,SUMIF($C$4:$C$3997,C3532,$B$4:$B$3997)-ROW()/1000000,""))</f>
        <v/>
      </c>
      <c r="E3532" s="91">
        <f>IF(N('Deal maths'!M1535)&gt;0,ROW()/10000000,"")</f>
        <v/>
      </c>
    </row>
    <row r="3533">
      <c r="A3533" s="91" t="n"/>
      <c r="B3533" s="111">
        <f>MAX(0,N('Deal maths'!M1536))</f>
        <v/>
      </c>
      <c r="C3533" s="91">
        <f>IF(B3533&gt;0,IF('Deal maths'!L1536="Local authority","Local authorities",LOWER(TRIM('Deal maths'!K1536))),"")</f>
        <v/>
      </c>
      <c r="D3533" s="91">
        <f>IF(C3533="","",IF(COUNTIF($C$4:C3532,C3533)=0,SUMIF($C$4:$C$3997,C3533,$B$4:$B$3997)-ROW()/1000000,""))</f>
        <v/>
      </c>
      <c r="E3533" s="91">
        <f>IF(N('Deal maths'!M1536)&gt;0,ROW()/10000000,"")</f>
        <v/>
      </c>
    </row>
    <row r="3534">
      <c r="A3534" s="91" t="n"/>
      <c r="B3534" s="111">
        <f>MAX(0,N('Deal maths'!M1537))</f>
        <v/>
      </c>
      <c r="C3534" s="91">
        <f>IF(B3534&gt;0,IF('Deal maths'!L1537="Local authority","Local authorities",LOWER(TRIM('Deal maths'!K1537))),"")</f>
        <v/>
      </c>
      <c r="D3534" s="91">
        <f>IF(C3534="","",IF(COUNTIF($C$4:C3533,C3534)=0,SUMIF($C$4:$C$3997,C3534,$B$4:$B$3997)-ROW()/1000000,""))</f>
        <v/>
      </c>
      <c r="E3534" s="91">
        <f>IF(N('Deal maths'!M1537)&gt;0,ROW()/10000000,"")</f>
        <v/>
      </c>
    </row>
    <row r="3535">
      <c r="A3535" s="91" t="n"/>
      <c r="B3535" s="111">
        <f>MAX(0,N('Deal maths'!M1538))</f>
        <v/>
      </c>
      <c r="C3535" s="91">
        <f>IF(B3535&gt;0,IF('Deal maths'!L1538="Local authority","Local authorities",LOWER(TRIM('Deal maths'!K1538))),"")</f>
        <v/>
      </c>
      <c r="D3535" s="91">
        <f>IF(C3535="","",IF(COUNTIF($C$4:C3534,C3535)=0,SUMIF($C$4:$C$3997,C3535,$B$4:$B$3997)-ROW()/1000000,""))</f>
        <v/>
      </c>
      <c r="E3535" s="91">
        <f>IF(N('Deal maths'!M1538)&gt;0,ROW()/10000000,"")</f>
        <v/>
      </c>
    </row>
    <row r="3536">
      <c r="A3536" s="91" t="n"/>
      <c r="B3536" s="111">
        <f>MAX(0,N('Deal maths'!M1539))</f>
        <v/>
      </c>
      <c r="C3536" s="91">
        <f>IF(B3536&gt;0,IF('Deal maths'!L1539="Local authority","Local authorities",LOWER(TRIM('Deal maths'!K1539))),"")</f>
        <v/>
      </c>
      <c r="D3536" s="91">
        <f>IF(C3536="","",IF(COUNTIF($C$4:C3535,C3536)=0,SUMIF($C$4:$C$3997,C3536,$B$4:$B$3997)-ROW()/1000000,""))</f>
        <v/>
      </c>
      <c r="E3536" s="91">
        <f>IF(N('Deal maths'!M1539)&gt;0,ROW()/10000000,"")</f>
        <v/>
      </c>
    </row>
    <row r="3537">
      <c r="A3537" s="91" t="n"/>
      <c r="B3537" s="111">
        <f>MAX(0,N('Deal maths'!M1540))</f>
        <v/>
      </c>
      <c r="C3537" s="91">
        <f>IF(B3537&gt;0,IF('Deal maths'!L1540="Local authority","Local authorities",LOWER(TRIM('Deal maths'!K1540))),"")</f>
        <v/>
      </c>
      <c r="D3537" s="91">
        <f>IF(C3537="","",IF(COUNTIF($C$4:C3536,C3537)=0,SUMIF($C$4:$C$3997,C3537,$B$4:$B$3997)-ROW()/1000000,""))</f>
        <v/>
      </c>
      <c r="E3537" s="91">
        <f>IF(N('Deal maths'!M1540)&gt;0,ROW()/10000000,"")</f>
        <v/>
      </c>
    </row>
    <row r="3538">
      <c r="A3538" s="91" t="n"/>
      <c r="B3538" s="111">
        <f>MAX(0,N('Deal maths'!M1541))</f>
        <v/>
      </c>
      <c r="C3538" s="91">
        <f>IF(B3538&gt;0,IF('Deal maths'!L1541="Local authority","Local authorities",LOWER(TRIM('Deal maths'!K1541))),"")</f>
        <v/>
      </c>
      <c r="D3538" s="91">
        <f>IF(C3538="","",IF(COUNTIF($C$4:C3537,C3538)=0,SUMIF($C$4:$C$3997,C3538,$B$4:$B$3997)-ROW()/1000000,""))</f>
        <v/>
      </c>
      <c r="E3538" s="91">
        <f>IF(N('Deal maths'!M1541)&gt;0,ROW()/10000000,"")</f>
        <v/>
      </c>
    </row>
    <row r="3539">
      <c r="A3539" s="91" t="n"/>
      <c r="B3539" s="111">
        <f>MAX(0,N('Deal maths'!M1542))</f>
        <v/>
      </c>
      <c r="C3539" s="91">
        <f>IF(B3539&gt;0,IF('Deal maths'!L1542="Local authority","Local authorities",LOWER(TRIM('Deal maths'!K1542))),"")</f>
        <v/>
      </c>
      <c r="D3539" s="91">
        <f>IF(C3539="","",IF(COUNTIF($C$4:C3538,C3539)=0,SUMIF($C$4:$C$3997,C3539,$B$4:$B$3997)-ROW()/1000000,""))</f>
        <v/>
      </c>
      <c r="E3539" s="91">
        <f>IF(N('Deal maths'!M1542)&gt;0,ROW()/10000000,"")</f>
        <v/>
      </c>
    </row>
    <row r="3540">
      <c r="A3540" s="91" t="n"/>
      <c r="B3540" s="111">
        <f>MAX(0,N('Deal maths'!M1543))</f>
        <v/>
      </c>
      <c r="C3540" s="91">
        <f>IF(B3540&gt;0,IF('Deal maths'!L1543="Local authority","Local authorities",LOWER(TRIM('Deal maths'!K1543))),"")</f>
        <v/>
      </c>
      <c r="D3540" s="91">
        <f>IF(C3540="","",IF(COUNTIF($C$4:C3539,C3540)=0,SUMIF($C$4:$C$3997,C3540,$B$4:$B$3997)-ROW()/1000000,""))</f>
        <v/>
      </c>
      <c r="E3540" s="91">
        <f>IF(N('Deal maths'!M1543)&gt;0,ROW()/10000000,"")</f>
        <v/>
      </c>
    </row>
    <row r="3541">
      <c r="A3541" s="91" t="n"/>
      <c r="B3541" s="111">
        <f>MAX(0,N('Deal maths'!M1544))</f>
        <v/>
      </c>
      <c r="C3541" s="91">
        <f>IF(B3541&gt;0,IF('Deal maths'!L1544="Local authority","Local authorities",LOWER(TRIM('Deal maths'!K1544))),"")</f>
        <v/>
      </c>
      <c r="D3541" s="91">
        <f>IF(C3541="","",IF(COUNTIF($C$4:C3540,C3541)=0,SUMIF($C$4:$C$3997,C3541,$B$4:$B$3997)-ROW()/1000000,""))</f>
        <v/>
      </c>
      <c r="E3541" s="91">
        <f>IF(N('Deal maths'!M1544)&gt;0,ROW()/10000000,"")</f>
        <v/>
      </c>
    </row>
    <row r="3542">
      <c r="A3542" s="91" t="n"/>
      <c r="B3542" s="111">
        <f>MAX(0,N('Deal maths'!M1545))</f>
        <v/>
      </c>
      <c r="C3542" s="91">
        <f>IF(B3542&gt;0,IF('Deal maths'!L1545="Local authority","Local authorities",LOWER(TRIM('Deal maths'!K1545))),"")</f>
        <v/>
      </c>
      <c r="D3542" s="91">
        <f>IF(C3542="","",IF(COUNTIF($C$4:C3541,C3542)=0,SUMIF($C$4:$C$3997,C3542,$B$4:$B$3997)-ROW()/1000000,""))</f>
        <v/>
      </c>
      <c r="E3542" s="91">
        <f>IF(N('Deal maths'!M1545)&gt;0,ROW()/10000000,"")</f>
        <v/>
      </c>
    </row>
    <row r="3543">
      <c r="A3543" s="91" t="n"/>
      <c r="B3543" s="111">
        <f>MAX(0,N('Deal maths'!M1546))</f>
        <v/>
      </c>
      <c r="C3543" s="91">
        <f>IF(B3543&gt;0,IF('Deal maths'!L1546="Local authority","Local authorities",LOWER(TRIM('Deal maths'!K1546))),"")</f>
        <v/>
      </c>
      <c r="D3543" s="91">
        <f>IF(C3543="","",IF(COUNTIF($C$4:C3542,C3543)=0,SUMIF($C$4:$C$3997,C3543,$B$4:$B$3997)-ROW()/1000000,""))</f>
        <v/>
      </c>
      <c r="E3543" s="91">
        <f>IF(N('Deal maths'!M1546)&gt;0,ROW()/10000000,"")</f>
        <v/>
      </c>
    </row>
    <row r="3544">
      <c r="A3544" s="91" t="n"/>
      <c r="B3544" s="111">
        <f>MAX(0,N('Deal maths'!M1547))</f>
        <v/>
      </c>
      <c r="C3544" s="91">
        <f>IF(B3544&gt;0,IF('Deal maths'!L1547="Local authority","Local authorities",LOWER(TRIM('Deal maths'!K1547))),"")</f>
        <v/>
      </c>
      <c r="D3544" s="91">
        <f>IF(C3544="","",IF(COUNTIF($C$4:C3543,C3544)=0,SUMIF($C$4:$C$3997,C3544,$B$4:$B$3997)-ROW()/1000000,""))</f>
        <v/>
      </c>
      <c r="E3544" s="91">
        <f>IF(N('Deal maths'!M1547)&gt;0,ROW()/10000000,"")</f>
        <v/>
      </c>
    </row>
    <row r="3545">
      <c r="A3545" s="91" t="n"/>
      <c r="B3545" s="111">
        <f>MAX(0,N('Deal maths'!M1548))</f>
        <v/>
      </c>
      <c r="C3545" s="91">
        <f>IF(B3545&gt;0,IF('Deal maths'!L1548="Local authority","Local authorities",LOWER(TRIM('Deal maths'!K1548))),"")</f>
        <v/>
      </c>
      <c r="D3545" s="91">
        <f>IF(C3545="","",IF(COUNTIF($C$4:C3544,C3545)=0,SUMIF($C$4:$C$3997,C3545,$B$4:$B$3997)-ROW()/1000000,""))</f>
        <v/>
      </c>
      <c r="E3545" s="91">
        <f>IF(N('Deal maths'!M1548)&gt;0,ROW()/10000000,"")</f>
        <v/>
      </c>
    </row>
    <row r="3546">
      <c r="A3546" s="91" t="n"/>
      <c r="B3546" s="111">
        <f>MAX(0,N('Deal maths'!M1549))</f>
        <v/>
      </c>
      <c r="C3546" s="91">
        <f>IF(B3546&gt;0,IF('Deal maths'!L1549="Local authority","Local authorities",LOWER(TRIM('Deal maths'!K1549))),"")</f>
        <v/>
      </c>
      <c r="D3546" s="91">
        <f>IF(C3546="","",IF(COUNTIF($C$4:C3545,C3546)=0,SUMIF($C$4:$C$3997,C3546,$B$4:$B$3997)-ROW()/1000000,""))</f>
        <v/>
      </c>
      <c r="E3546" s="91">
        <f>IF(N('Deal maths'!M1549)&gt;0,ROW()/10000000,"")</f>
        <v/>
      </c>
    </row>
    <row r="3547">
      <c r="A3547" s="91" t="n"/>
      <c r="B3547" s="111">
        <f>MAX(0,N('Deal maths'!M1550))</f>
        <v/>
      </c>
      <c r="C3547" s="91">
        <f>IF(B3547&gt;0,IF('Deal maths'!L1550="Local authority","Local authorities",LOWER(TRIM('Deal maths'!K1550))),"")</f>
        <v/>
      </c>
      <c r="D3547" s="91">
        <f>IF(C3547="","",IF(COUNTIF($C$4:C3546,C3547)=0,SUMIF($C$4:$C$3997,C3547,$B$4:$B$3997)-ROW()/1000000,""))</f>
        <v/>
      </c>
      <c r="E3547" s="91">
        <f>IF(N('Deal maths'!M1550)&gt;0,ROW()/10000000,"")</f>
        <v/>
      </c>
    </row>
    <row r="3548">
      <c r="A3548" s="91" t="n"/>
      <c r="B3548" s="111">
        <f>MAX(0,N('Deal maths'!M1551))</f>
        <v/>
      </c>
      <c r="C3548" s="91">
        <f>IF(B3548&gt;0,IF('Deal maths'!L1551="Local authority","Local authorities",LOWER(TRIM('Deal maths'!K1551))),"")</f>
        <v/>
      </c>
      <c r="D3548" s="91">
        <f>IF(C3548="","",IF(COUNTIF($C$4:C3547,C3548)=0,SUMIF($C$4:$C$3997,C3548,$B$4:$B$3997)-ROW()/1000000,""))</f>
        <v/>
      </c>
      <c r="E3548" s="91">
        <f>IF(N('Deal maths'!M1551)&gt;0,ROW()/10000000,"")</f>
        <v/>
      </c>
    </row>
    <row r="3549">
      <c r="A3549" s="91" t="n"/>
      <c r="B3549" s="111">
        <f>MAX(0,N('Deal maths'!M1552))</f>
        <v/>
      </c>
      <c r="C3549" s="91">
        <f>IF(B3549&gt;0,IF('Deal maths'!L1552="Local authority","Local authorities",LOWER(TRIM('Deal maths'!K1552))),"")</f>
        <v/>
      </c>
      <c r="D3549" s="91">
        <f>IF(C3549="","",IF(COUNTIF($C$4:C3548,C3549)=0,SUMIF($C$4:$C$3997,C3549,$B$4:$B$3997)-ROW()/1000000,""))</f>
        <v/>
      </c>
      <c r="E3549" s="91">
        <f>IF(N('Deal maths'!M1552)&gt;0,ROW()/10000000,"")</f>
        <v/>
      </c>
    </row>
    <row r="3550">
      <c r="A3550" s="91" t="n"/>
      <c r="B3550" s="111">
        <f>MAX(0,N('Deal maths'!M1553))</f>
        <v/>
      </c>
      <c r="C3550" s="91">
        <f>IF(B3550&gt;0,IF('Deal maths'!L1553="Local authority","Local authorities",LOWER(TRIM('Deal maths'!K1553))),"")</f>
        <v/>
      </c>
      <c r="D3550" s="91">
        <f>IF(C3550="","",IF(COUNTIF($C$4:C3549,C3550)=0,SUMIF($C$4:$C$3997,C3550,$B$4:$B$3997)-ROW()/1000000,""))</f>
        <v/>
      </c>
      <c r="E3550" s="91">
        <f>IF(N('Deal maths'!M1553)&gt;0,ROW()/10000000,"")</f>
        <v/>
      </c>
    </row>
    <row r="3551">
      <c r="A3551" s="91" t="n"/>
      <c r="B3551" s="111">
        <f>MAX(0,N('Deal maths'!M1554))</f>
        <v/>
      </c>
      <c r="C3551" s="91">
        <f>IF(B3551&gt;0,IF('Deal maths'!L1554="Local authority","Local authorities",LOWER(TRIM('Deal maths'!K1554))),"")</f>
        <v/>
      </c>
      <c r="D3551" s="91">
        <f>IF(C3551="","",IF(COUNTIF($C$4:C3550,C3551)=0,SUMIF($C$4:$C$3997,C3551,$B$4:$B$3997)-ROW()/1000000,""))</f>
        <v/>
      </c>
      <c r="E3551" s="91">
        <f>IF(N('Deal maths'!M1554)&gt;0,ROW()/10000000,"")</f>
        <v/>
      </c>
    </row>
    <row r="3552">
      <c r="A3552" s="91" t="n"/>
      <c r="B3552" s="111">
        <f>MAX(0,N('Deal maths'!M1555))</f>
        <v/>
      </c>
      <c r="C3552" s="91">
        <f>IF(B3552&gt;0,IF('Deal maths'!L1555="Local authority","Local authorities",LOWER(TRIM('Deal maths'!K1555))),"")</f>
        <v/>
      </c>
      <c r="D3552" s="91">
        <f>IF(C3552="","",IF(COUNTIF($C$4:C3551,C3552)=0,SUMIF($C$4:$C$3997,C3552,$B$4:$B$3997)-ROW()/1000000,""))</f>
        <v/>
      </c>
      <c r="E3552" s="91">
        <f>IF(N('Deal maths'!M1555)&gt;0,ROW()/10000000,"")</f>
        <v/>
      </c>
    </row>
    <row r="3553">
      <c r="A3553" s="91" t="n"/>
      <c r="B3553" s="111">
        <f>MAX(0,N('Deal maths'!M1556))</f>
        <v/>
      </c>
      <c r="C3553" s="91">
        <f>IF(B3553&gt;0,IF('Deal maths'!L1556="Local authority","Local authorities",LOWER(TRIM('Deal maths'!K1556))),"")</f>
        <v/>
      </c>
      <c r="D3553" s="91">
        <f>IF(C3553="","",IF(COUNTIF($C$4:C3552,C3553)=0,SUMIF($C$4:$C$3997,C3553,$B$4:$B$3997)-ROW()/1000000,""))</f>
        <v/>
      </c>
      <c r="E3553" s="91">
        <f>IF(N('Deal maths'!M1556)&gt;0,ROW()/10000000,"")</f>
        <v/>
      </c>
    </row>
    <row r="3554">
      <c r="A3554" s="91" t="n"/>
      <c r="B3554" s="111">
        <f>MAX(0,N('Deal maths'!M1557))</f>
        <v/>
      </c>
      <c r="C3554" s="91">
        <f>IF(B3554&gt;0,IF('Deal maths'!L1557="Local authority","Local authorities",LOWER(TRIM('Deal maths'!K1557))),"")</f>
        <v/>
      </c>
      <c r="D3554" s="91">
        <f>IF(C3554="","",IF(COUNTIF($C$4:C3553,C3554)=0,SUMIF($C$4:$C$3997,C3554,$B$4:$B$3997)-ROW()/1000000,""))</f>
        <v/>
      </c>
      <c r="E3554" s="91">
        <f>IF(N('Deal maths'!M1557)&gt;0,ROW()/10000000,"")</f>
        <v/>
      </c>
    </row>
    <row r="3555">
      <c r="A3555" s="91" t="n"/>
      <c r="B3555" s="111">
        <f>MAX(0,N('Deal maths'!M1558))</f>
        <v/>
      </c>
      <c r="C3555" s="91">
        <f>IF(B3555&gt;0,IF('Deal maths'!L1558="Local authority","Local authorities",LOWER(TRIM('Deal maths'!K1558))),"")</f>
        <v/>
      </c>
      <c r="D3555" s="91">
        <f>IF(C3555="","",IF(COUNTIF($C$4:C3554,C3555)=0,SUMIF($C$4:$C$3997,C3555,$B$4:$B$3997)-ROW()/1000000,""))</f>
        <v/>
      </c>
      <c r="E3555" s="91">
        <f>IF(N('Deal maths'!M1558)&gt;0,ROW()/10000000,"")</f>
        <v/>
      </c>
    </row>
    <row r="3556">
      <c r="A3556" s="91" t="n"/>
      <c r="B3556" s="111">
        <f>MAX(0,N('Deal maths'!M1559))</f>
        <v/>
      </c>
      <c r="C3556" s="91">
        <f>IF(B3556&gt;0,IF('Deal maths'!L1559="Local authority","Local authorities",LOWER(TRIM('Deal maths'!K1559))),"")</f>
        <v/>
      </c>
      <c r="D3556" s="91">
        <f>IF(C3556="","",IF(COUNTIF($C$4:C3555,C3556)=0,SUMIF($C$4:$C$3997,C3556,$B$4:$B$3997)-ROW()/1000000,""))</f>
        <v/>
      </c>
      <c r="E3556" s="91">
        <f>IF(N('Deal maths'!M1559)&gt;0,ROW()/10000000,"")</f>
        <v/>
      </c>
    </row>
    <row r="3557">
      <c r="A3557" s="91" t="n"/>
      <c r="B3557" s="111">
        <f>MAX(0,N('Deal maths'!M1560))</f>
        <v/>
      </c>
      <c r="C3557" s="91">
        <f>IF(B3557&gt;0,IF('Deal maths'!L1560="Local authority","Local authorities",LOWER(TRIM('Deal maths'!K1560))),"")</f>
        <v/>
      </c>
      <c r="D3557" s="91">
        <f>IF(C3557="","",IF(COUNTIF($C$4:C3556,C3557)=0,SUMIF($C$4:$C$3997,C3557,$B$4:$B$3997)-ROW()/1000000,""))</f>
        <v/>
      </c>
      <c r="E3557" s="91">
        <f>IF(N('Deal maths'!M1560)&gt;0,ROW()/10000000,"")</f>
        <v/>
      </c>
    </row>
    <row r="3558">
      <c r="A3558" s="91" t="n"/>
      <c r="B3558" s="111">
        <f>MAX(0,N('Deal maths'!M1561))</f>
        <v/>
      </c>
      <c r="C3558" s="91">
        <f>IF(B3558&gt;0,IF('Deal maths'!L1561="Local authority","Local authorities",LOWER(TRIM('Deal maths'!K1561))),"")</f>
        <v/>
      </c>
      <c r="D3558" s="91">
        <f>IF(C3558="","",IF(COUNTIF($C$4:C3557,C3558)=0,SUMIF($C$4:$C$3997,C3558,$B$4:$B$3997)-ROW()/1000000,""))</f>
        <v/>
      </c>
      <c r="E3558" s="91">
        <f>IF(N('Deal maths'!M1561)&gt;0,ROW()/10000000,"")</f>
        <v/>
      </c>
    </row>
    <row r="3559">
      <c r="A3559" s="91" t="n"/>
      <c r="B3559" s="111">
        <f>MAX(0,N('Deal maths'!M1562))</f>
        <v/>
      </c>
      <c r="C3559" s="91">
        <f>IF(B3559&gt;0,IF('Deal maths'!L1562="Local authority","Local authorities",LOWER(TRIM('Deal maths'!K1562))),"")</f>
        <v/>
      </c>
      <c r="D3559" s="91">
        <f>IF(C3559="","",IF(COUNTIF($C$4:C3558,C3559)=0,SUMIF($C$4:$C$3997,C3559,$B$4:$B$3997)-ROW()/1000000,""))</f>
        <v/>
      </c>
      <c r="E3559" s="91">
        <f>IF(N('Deal maths'!M1562)&gt;0,ROW()/10000000,"")</f>
        <v/>
      </c>
    </row>
    <row r="3560">
      <c r="A3560" s="91" t="n"/>
      <c r="B3560" s="111">
        <f>MAX(0,N('Deal maths'!M1563))</f>
        <v/>
      </c>
      <c r="C3560" s="91">
        <f>IF(B3560&gt;0,IF('Deal maths'!L1563="Local authority","Local authorities",LOWER(TRIM('Deal maths'!K1563))),"")</f>
        <v/>
      </c>
      <c r="D3560" s="91">
        <f>IF(C3560="","",IF(COUNTIF($C$4:C3559,C3560)=0,SUMIF($C$4:$C$3997,C3560,$B$4:$B$3997)-ROW()/1000000,""))</f>
        <v/>
      </c>
      <c r="E3560" s="91">
        <f>IF(N('Deal maths'!M1563)&gt;0,ROW()/10000000,"")</f>
        <v/>
      </c>
    </row>
    <row r="3561">
      <c r="A3561" s="91" t="n"/>
      <c r="B3561" s="111">
        <f>MAX(0,N('Deal maths'!M1564))</f>
        <v/>
      </c>
      <c r="C3561" s="91">
        <f>IF(B3561&gt;0,IF('Deal maths'!L1564="Local authority","Local authorities",LOWER(TRIM('Deal maths'!K1564))),"")</f>
        <v/>
      </c>
      <c r="D3561" s="91">
        <f>IF(C3561="","",IF(COUNTIF($C$4:C3560,C3561)=0,SUMIF($C$4:$C$3997,C3561,$B$4:$B$3997)-ROW()/1000000,""))</f>
        <v/>
      </c>
      <c r="E3561" s="91">
        <f>IF(N('Deal maths'!M1564)&gt;0,ROW()/10000000,"")</f>
        <v/>
      </c>
    </row>
    <row r="3562">
      <c r="A3562" s="91" t="n"/>
      <c r="B3562" s="111">
        <f>MAX(0,N('Deal maths'!M1565))</f>
        <v/>
      </c>
      <c r="C3562" s="91">
        <f>IF(B3562&gt;0,IF('Deal maths'!L1565="Local authority","Local authorities",LOWER(TRIM('Deal maths'!K1565))),"")</f>
        <v/>
      </c>
      <c r="D3562" s="91">
        <f>IF(C3562="","",IF(COUNTIF($C$4:C3561,C3562)=0,SUMIF($C$4:$C$3997,C3562,$B$4:$B$3997)-ROW()/1000000,""))</f>
        <v/>
      </c>
      <c r="E3562" s="91">
        <f>IF(N('Deal maths'!M1565)&gt;0,ROW()/10000000,"")</f>
        <v/>
      </c>
    </row>
    <row r="3563">
      <c r="A3563" s="91" t="n"/>
      <c r="B3563" s="111">
        <f>MAX(0,N('Deal maths'!M1566))</f>
        <v/>
      </c>
      <c r="C3563" s="91">
        <f>IF(B3563&gt;0,IF('Deal maths'!L1566="Local authority","Local authorities",LOWER(TRIM('Deal maths'!K1566))),"")</f>
        <v/>
      </c>
      <c r="D3563" s="91">
        <f>IF(C3563="","",IF(COUNTIF($C$4:C3562,C3563)=0,SUMIF($C$4:$C$3997,C3563,$B$4:$B$3997)-ROW()/1000000,""))</f>
        <v/>
      </c>
      <c r="E3563" s="91">
        <f>IF(N('Deal maths'!M1566)&gt;0,ROW()/10000000,"")</f>
        <v/>
      </c>
    </row>
    <row r="3564">
      <c r="A3564" s="91" t="n"/>
      <c r="B3564" s="111">
        <f>MAX(0,N('Deal maths'!M1567))</f>
        <v/>
      </c>
      <c r="C3564" s="91">
        <f>IF(B3564&gt;0,IF('Deal maths'!L1567="Local authority","Local authorities",LOWER(TRIM('Deal maths'!K1567))),"")</f>
        <v/>
      </c>
      <c r="D3564" s="91">
        <f>IF(C3564="","",IF(COUNTIF($C$4:C3563,C3564)=0,SUMIF($C$4:$C$3997,C3564,$B$4:$B$3997)-ROW()/1000000,""))</f>
        <v/>
      </c>
      <c r="E3564" s="91">
        <f>IF(N('Deal maths'!M1567)&gt;0,ROW()/10000000,"")</f>
        <v/>
      </c>
    </row>
    <row r="3565">
      <c r="A3565" s="91" t="n"/>
      <c r="B3565" s="111">
        <f>MAX(0,N('Deal maths'!M1568))</f>
        <v/>
      </c>
      <c r="C3565" s="91">
        <f>IF(B3565&gt;0,IF('Deal maths'!L1568="Local authority","Local authorities",LOWER(TRIM('Deal maths'!K1568))),"")</f>
        <v/>
      </c>
      <c r="D3565" s="91">
        <f>IF(C3565="","",IF(COUNTIF($C$4:C3564,C3565)=0,SUMIF($C$4:$C$3997,C3565,$B$4:$B$3997)-ROW()/1000000,""))</f>
        <v/>
      </c>
      <c r="E3565" s="91">
        <f>IF(N('Deal maths'!M1568)&gt;0,ROW()/10000000,"")</f>
        <v/>
      </c>
    </row>
    <row r="3566">
      <c r="A3566" s="91" t="n"/>
      <c r="B3566" s="111">
        <f>MAX(0,N('Deal maths'!M1569))</f>
        <v/>
      </c>
      <c r="C3566" s="91">
        <f>IF(B3566&gt;0,IF('Deal maths'!L1569="Local authority","Local authorities",LOWER(TRIM('Deal maths'!K1569))),"")</f>
        <v/>
      </c>
      <c r="D3566" s="91">
        <f>IF(C3566="","",IF(COUNTIF($C$4:C3565,C3566)=0,SUMIF($C$4:$C$3997,C3566,$B$4:$B$3997)-ROW()/1000000,""))</f>
        <v/>
      </c>
      <c r="E3566" s="91">
        <f>IF(N('Deal maths'!M1569)&gt;0,ROW()/10000000,"")</f>
        <v/>
      </c>
    </row>
    <row r="3567">
      <c r="A3567" s="91" t="n"/>
      <c r="B3567" s="111">
        <f>MAX(0,N('Deal maths'!M1570))</f>
        <v/>
      </c>
      <c r="C3567" s="91">
        <f>IF(B3567&gt;0,IF('Deal maths'!L1570="Local authority","Local authorities",LOWER(TRIM('Deal maths'!K1570))),"")</f>
        <v/>
      </c>
      <c r="D3567" s="91">
        <f>IF(C3567="","",IF(COUNTIF($C$4:C3566,C3567)=0,SUMIF($C$4:$C$3997,C3567,$B$4:$B$3997)-ROW()/1000000,""))</f>
        <v/>
      </c>
      <c r="E3567" s="91">
        <f>IF(N('Deal maths'!M1570)&gt;0,ROW()/10000000,"")</f>
        <v/>
      </c>
    </row>
    <row r="3568">
      <c r="A3568" s="91" t="n"/>
      <c r="B3568" s="111">
        <f>MAX(0,N('Deal maths'!M1571))</f>
        <v/>
      </c>
      <c r="C3568" s="91">
        <f>IF(B3568&gt;0,IF('Deal maths'!L1571="Local authority","Local authorities",LOWER(TRIM('Deal maths'!K1571))),"")</f>
        <v/>
      </c>
      <c r="D3568" s="91">
        <f>IF(C3568="","",IF(COUNTIF($C$4:C3567,C3568)=0,SUMIF($C$4:$C$3997,C3568,$B$4:$B$3997)-ROW()/1000000,""))</f>
        <v/>
      </c>
      <c r="E3568" s="91">
        <f>IF(N('Deal maths'!M1571)&gt;0,ROW()/10000000,"")</f>
        <v/>
      </c>
    </row>
    <row r="3569">
      <c r="A3569" s="91" t="n"/>
      <c r="B3569" s="111">
        <f>MAX(0,N('Deal maths'!M1572))</f>
        <v/>
      </c>
      <c r="C3569" s="91">
        <f>IF(B3569&gt;0,IF('Deal maths'!L1572="Local authority","Local authorities",LOWER(TRIM('Deal maths'!K1572))),"")</f>
        <v/>
      </c>
      <c r="D3569" s="91">
        <f>IF(C3569="","",IF(COUNTIF($C$4:C3568,C3569)=0,SUMIF($C$4:$C$3997,C3569,$B$4:$B$3997)-ROW()/1000000,""))</f>
        <v/>
      </c>
      <c r="E3569" s="91">
        <f>IF(N('Deal maths'!M1572)&gt;0,ROW()/10000000,"")</f>
        <v/>
      </c>
    </row>
    <row r="3570">
      <c r="A3570" s="91" t="n"/>
      <c r="B3570" s="111">
        <f>MAX(0,N('Deal maths'!M1573))</f>
        <v/>
      </c>
      <c r="C3570" s="91">
        <f>IF(B3570&gt;0,IF('Deal maths'!L1573="Local authority","Local authorities",LOWER(TRIM('Deal maths'!K1573))),"")</f>
        <v/>
      </c>
      <c r="D3570" s="91">
        <f>IF(C3570="","",IF(COUNTIF($C$4:C3569,C3570)=0,SUMIF($C$4:$C$3997,C3570,$B$4:$B$3997)-ROW()/1000000,""))</f>
        <v/>
      </c>
      <c r="E3570" s="91">
        <f>IF(N('Deal maths'!M1573)&gt;0,ROW()/10000000,"")</f>
        <v/>
      </c>
    </row>
    <row r="3571">
      <c r="A3571" s="91" t="n"/>
      <c r="B3571" s="111">
        <f>MAX(0,N('Deal maths'!M1574))</f>
        <v/>
      </c>
      <c r="C3571" s="91">
        <f>IF(B3571&gt;0,IF('Deal maths'!L1574="Local authority","Local authorities",LOWER(TRIM('Deal maths'!K1574))),"")</f>
        <v/>
      </c>
      <c r="D3571" s="91">
        <f>IF(C3571="","",IF(COUNTIF($C$4:C3570,C3571)=0,SUMIF($C$4:$C$3997,C3571,$B$4:$B$3997)-ROW()/1000000,""))</f>
        <v/>
      </c>
      <c r="E3571" s="91">
        <f>IF(N('Deal maths'!M1574)&gt;0,ROW()/10000000,"")</f>
        <v/>
      </c>
    </row>
    <row r="3572">
      <c r="A3572" s="91" t="n"/>
      <c r="B3572" s="111">
        <f>MAX(0,N('Deal maths'!M1575))</f>
        <v/>
      </c>
      <c r="C3572" s="91">
        <f>IF(B3572&gt;0,IF('Deal maths'!L1575="Local authority","Local authorities",LOWER(TRIM('Deal maths'!K1575))),"")</f>
        <v/>
      </c>
      <c r="D3572" s="91">
        <f>IF(C3572="","",IF(COUNTIF($C$4:C3571,C3572)=0,SUMIF($C$4:$C$3997,C3572,$B$4:$B$3997)-ROW()/1000000,""))</f>
        <v/>
      </c>
      <c r="E3572" s="91">
        <f>IF(N('Deal maths'!M1575)&gt;0,ROW()/10000000,"")</f>
        <v/>
      </c>
    </row>
    <row r="3573">
      <c r="A3573" s="91" t="n"/>
      <c r="B3573" s="111">
        <f>MAX(0,N('Deal maths'!M1576))</f>
        <v/>
      </c>
      <c r="C3573" s="91">
        <f>IF(B3573&gt;0,IF('Deal maths'!L1576="Local authority","Local authorities",LOWER(TRIM('Deal maths'!K1576))),"")</f>
        <v/>
      </c>
      <c r="D3573" s="91">
        <f>IF(C3573="","",IF(COUNTIF($C$4:C3572,C3573)=0,SUMIF($C$4:$C$3997,C3573,$B$4:$B$3997)-ROW()/1000000,""))</f>
        <v/>
      </c>
      <c r="E3573" s="91">
        <f>IF(N('Deal maths'!M1576)&gt;0,ROW()/10000000,"")</f>
        <v/>
      </c>
    </row>
    <row r="3574">
      <c r="A3574" s="91" t="n"/>
      <c r="B3574" s="111">
        <f>MAX(0,N('Deal maths'!M1577))</f>
        <v/>
      </c>
      <c r="C3574" s="91">
        <f>IF(B3574&gt;0,IF('Deal maths'!L1577="Local authority","Local authorities",LOWER(TRIM('Deal maths'!K1577))),"")</f>
        <v/>
      </c>
      <c r="D3574" s="91">
        <f>IF(C3574="","",IF(COUNTIF($C$4:C3573,C3574)=0,SUMIF($C$4:$C$3997,C3574,$B$4:$B$3997)-ROW()/1000000,""))</f>
        <v/>
      </c>
      <c r="E3574" s="91">
        <f>IF(N('Deal maths'!M1577)&gt;0,ROW()/10000000,"")</f>
        <v/>
      </c>
    </row>
    <row r="3575">
      <c r="A3575" s="91" t="n"/>
      <c r="B3575" s="111">
        <f>MAX(0,N('Deal maths'!M1578))</f>
        <v/>
      </c>
      <c r="C3575" s="91">
        <f>IF(B3575&gt;0,IF('Deal maths'!L1578="Local authority","Local authorities",LOWER(TRIM('Deal maths'!K1578))),"")</f>
        <v/>
      </c>
      <c r="D3575" s="91">
        <f>IF(C3575="","",IF(COUNTIF($C$4:C3574,C3575)=0,SUMIF($C$4:$C$3997,C3575,$B$4:$B$3997)-ROW()/1000000,""))</f>
        <v/>
      </c>
      <c r="E3575" s="91">
        <f>IF(N('Deal maths'!M1578)&gt;0,ROW()/10000000,"")</f>
        <v/>
      </c>
    </row>
    <row r="3576">
      <c r="A3576" s="91" t="n"/>
      <c r="B3576" s="111">
        <f>MAX(0,N('Deal maths'!M1579))</f>
        <v/>
      </c>
      <c r="C3576" s="91">
        <f>IF(B3576&gt;0,IF('Deal maths'!L1579="Local authority","Local authorities",LOWER(TRIM('Deal maths'!K1579))),"")</f>
        <v/>
      </c>
      <c r="D3576" s="91">
        <f>IF(C3576="","",IF(COUNTIF($C$4:C3575,C3576)=0,SUMIF($C$4:$C$3997,C3576,$B$4:$B$3997)-ROW()/1000000,""))</f>
        <v/>
      </c>
      <c r="E3576" s="91">
        <f>IF(N('Deal maths'!M1579)&gt;0,ROW()/10000000,"")</f>
        <v/>
      </c>
    </row>
    <row r="3577">
      <c r="A3577" s="91" t="n"/>
      <c r="B3577" s="111">
        <f>MAX(0,N('Deal maths'!M1580))</f>
        <v/>
      </c>
      <c r="C3577" s="91">
        <f>IF(B3577&gt;0,IF('Deal maths'!L1580="Local authority","Local authorities",LOWER(TRIM('Deal maths'!K1580))),"")</f>
        <v/>
      </c>
      <c r="D3577" s="91">
        <f>IF(C3577="","",IF(COUNTIF($C$4:C3576,C3577)=0,SUMIF($C$4:$C$3997,C3577,$B$4:$B$3997)-ROW()/1000000,""))</f>
        <v/>
      </c>
      <c r="E3577" s="91">
        <f>IF(N('Deal maths'!M1580)&gt;0,ROW()/10000000,"")</f>
        <v/>
      </c>
    </row>
    <row r="3578">
      <c r="A3578" s="91" t="n"/>
      <c r="B3578" s="111">
        <f>MAX(0,N('Deal maths'!M1581))</f>
        <v/>
      </c>
      <c r="C3578" s="91">
        <f>IF(B3578&gt;0,IF('Deal maths'!L1581="Local authority","Local authorities",LOWER(TRIM('Deal maths'!K1581))),"")</f>
        <v/>
      </c>
      <c r="D3578" s="91">
        <f>IF(C3578="","",IF(COUNTIF($C$4:C3577,C3578)=0,SUMIF($C$4:$C$3997,C3578,$B$4:$B$3997)-ROW()/1000000,""))</f>
        <v/>
      </c>
      <c r="E3578" s="91">
        <f>IF(N('Deal maths'!M1581)&gt;0,ROW()/10000000,"")</f>
        <v/>
      </c>
    </row>
    <row r="3579">
      <c r="A3579" s="91" t="n"/>
      <c r="B3579" s="111">
        <f>MAX(0,N('Deal maths'!M1582))</f>
        <v/>
      </c>
      <c r="C3579" s="91">
        <f>IF(B3579&gt;0,IF('Deal maths'!L1582="Local authority","Local authorities",LOWER(TRIM('Deal maths'!K1582))),"")</f>
        <v/>
      </c>
      <c r="D3579" s="91">
        <f>IF(C3579="","",IF(COUNTIF($C$4:C3578,C3579)=0,SUMIF($C$4:$C$3997,C3579,$B$4:$B$3997)-ROW()/1000000,""))</f>
        <v/>
      </c>
      <c r="E3579" s="91">
        <f>IF(N('Deal maths'!M1582)&gt;0,ROW()/10000000,"")</f>
        <v/>
      </c>
    </row>
    <row r="3580">
      <c r="A3580" s="91" t="n"/>
      <c r="B3580" s="111">
        <f>MAX(0,N('Deal maths'!M1583))</f>
        <v/>
      </c>
      <c r="C3580" s="91">
        <f>IF(B3580&gt;0,IF('Deal maths'!L1583="Local authority","Local authorities",LOWER(TRIM('Deal maths'!K1583))),"")</f>
        <v/>
      </c>
      <c r="D3580" s="91">
        <f>IF(C3580="","",IF(COUNTIF($C$4:C3579,C3580)=0,SUMIF($C$4:$C$3997,C3580,$B$4:$B$3997)-ROW()/1000000,""))</f>
        <v/>
      </c>
      <c r="E3580" s="91">
        <f>IF(N('Deal maths'!M1583)&gt;0,ROW()/10000000,"")</f>
        <v/>
      </c>
    </row>
    <row r="3581">
      <c r="A3581" s="91" t="n"/>
      <c r="B3581" s="111">
        <f>MAX(0,N('Deal maths'!M1584))</f>
        <v/>
      </c>
      <c r="C3581" s="91">
        <f>IF(B3581&gt;0,IF('Deal maths'!L1584="Local authority","Local authorities",LOWER(TRIM('Deal maths'!K1584))),"")</f>
        <v/>
      </c>
      <c r="D3581" s="91">
        <f>IF(C3581="","",IF(COUNTIF($C$4:C3580,C3581)=0,SUMIF($C$4:$C$3997,C3581,$B$4:$B$3997)-ROW()/1000000,""))</f>
        <v/>
      </c>
      <c r="E3581" s="91">
        <f>IF(N('Deal maths'!M1584)&gt;0,ROW()/10000000,"")</f>
        <v/>
      </c>
    </row>
    <row r="3582">
      <c r="A3582" s="91" t="n"/>
      <c r="B3582" s="111">
        <f>MAX(0,N('Deal maths'!M1585))</f>
        <v/>
      </c>
      <c r="C3582" s="91">
        <f>IF(B3582&gt;0,IF('Deal maths'!L1585="Local authority","Local authorities",LOWER(TRIM('Deal maths'!K1585))),"")</f>
        <v/>
      </c>
      <c r="D3582" s="91">
        <f>IF(C3582="","",IF(COUNTIF($C$4:C3581,C3582)=0,SUMIF($C$4:$C$3997,C3582,$B$4:$B$3997)-ROW()/1000000,""))</f>
        <v/>
      </c>
      <c r="E3582" s="91">
        <f>IF(N('Deal maths'!M1585)&gt;0,ROW()/10000000,"")</f>
        <v/>
      </c>
    </row>
    <row r="3583">
      <c r="A3583" s="91" t="n"/>
      <c r="B3583" s="111">
        <f>MAX(0,N('Deal maths'!M1586))</f>
        <v/>
      </c>
      <c r="C3583" s="91">
        <f>IF(B3583&gt;0,IF('Deal maths'!L1586="Local authority","Local authorities",LOWER(TRIM('Deal maths'!K1586))),"")</f>
        <v/>
      </c>
      <c r="D3583" s="91">
        <f>IF(C3583="","",IF(COUNTIF($C$4:C3582,C3583)=0,SUMIF($C$4:$C$3997,C3583,$B$4:$B$3997)-ROW()/1000000,""))</f>
        <v/>
      </c>
      <c r="E3583" s="91">
        <f>IF(N('Deal maths'!M1586)&gt;0,ROW()/10000000,"")</f>
        <v/>
      </c>
    </row>
    <row r="3584">
      <c r="A3584" s="91" t="n"/>
      <c r="B3584" s="111">
        <f>MAX(0,N('Deal maths'!M1587))</f>
        <v/>
      </c>
      <c r="C3584" s="91">
        <f>IF(B3584&gt;0,IF('Deal maths'!L1587="Local authority","Local authorities",LOWER(TRIM('Deal maths'!K1587))),"")</f>
        <v/>
      </c>
      <c r="D3584" s="91">
        <f>IF(C3584="","",IF(COUNTIF($C$4:C3583,C3584)=0,SUMIF($C$4:$C$3997,C3584,$B$4:$B$3997)-ROW()/1000000,""))</f>
        <v/>
      </c>
      <c r="E3584" s="91">
        <f>IF(N('Deal maths'!M1587)&gt;0,ROW()/10000000,"")</f>
        <v/>
      </c>
    </row>
    <row r="3585">
      <c r="A3585" s="91" t="n"/>
      <c r="B3585" s="111">
        <f>MAX(0,N('Deal maths'!M1588))</f>
        <v/>
      </c>
      <c r="C3585" s="91">
        <f>IF(B3585&gt;0,IF('Deal maths'!L1588="Local authority","Local authorities",LOWER(TRIM('Deal maths'!K1588))),"")</f>
        <v/>
      </c>
      <c r="D3585" s="91">
        <f>IF(C3585="","",IF(COUNTIF($C$4:C3584,C3585)=0,SUMIF($C$4:$C$3997,C3585,$B$4:$B$3997)-ROW()/1000000,""))</f>
        <v/>
      </c>
      <c r="E3585" s="91">
        <f>IF(N('Deal maths'!M1588)&gt;0,ROW()/10000000,"")</f>
        <v/>
      </c>
    </row>
    <row r="3586">
      <c r="A3586" s="91" t="n"/>
      <c r="B3586" s="111">
        <f>MAX(0,N('Deal maths'!M1589))</f>
        <v/>
      </c>
      <c r="C3586" s="91">
        <f>IF(B3586&gt;0,IF('Deal maths'!L1589="Local authority","Local authorities",LOWER(TRIM('Deal maths'!K1589))),"")</f>
        <v/>
      </c>
      <c r="D3586" s="91">
        <f>IF(C3586="","",IF(COUNTIF($C$4:C3585,C3586)=0,SUMIF($C$4:$C$3997,C3586,$B$4:$B$3997)-ROW()/1000000,""))</f>
        <v/>
      </c>
      <c r="E3586" s="91">
        <f>IF(N('Deal maths'!M1589)&gt;0,ROW()/10000000,"")</f>
        <v/>
      </c>
    </row>
    <row r="3587">
      <c r="A3587" s="91" t="n"/>
      <c r="B3587" s="111">
        <f>MAX(0,N('Deal maths'!M1590))</f>
        <v/>
      </c>
      <c r="C3587" s="91">
        <f>IF(B3587&gt;0,IF('Deal maths'!L1590="Local authority","Local authorities",LOWER(TRIM('Deal maths'!K1590))),"")</f>
        <v/>
      </c>
      <c r="D3587" s="91">
        <f>IF(C3587="","",IF(COUNTIF($C$4:C3586,C3587)=0,SUMIF($C$4:$C$3997,C3587,$B$4:$B$3997)-ROW()/1000000,""))</f>
        <v/>
      </c>
      <c r="E3587" s="91">
        <f>IF(N('Deal maths'!M1590)&gt;0,ROW()/10000000,"")</f>
        <v/>
      </c>
    </row>
    <row r="3588">
      <c r="A3588" s="91" t="n"/>
      <c r="B3588" s="111">
        <f>MAX(0,N('Deal maths'!M1591))</f>
        <v/>
      </c>
      <c r="C3588" s="91">
        <f>IF(B3588&gt;0,IF('Deal maths'!L1591="Local authority","Local authorities",LOWER(TRIM('Deal maths'!K1591))),"")</f>
        <v/>
      </c>
      <c r="D3588" s="91">
        <f>IF(C3588="","",IF(COUNTIF($C$4:C3587,C3588)=0,SUMIF($C$4:$C$3997,C3588,$B$4:$B$3997)-ROW()/1000000,""))</f>
        <v/>
      </c>
      <c r="E3588" s="91">
        <f>IF(N('Deal maths'!M1591)&gt;0,ROW()/10000000,"")</f>
        <v/>
      </c>
    </row>
    <row r="3589">
      <c r="A3589" s="91" t="n"/>
      <c r="B3589" s="111">
        <f>MAX(0,N('Deal maths'!M1592))</f>
        <v/>
      </c>
      <c r="C3589" s="91">
        <f>IF(B3589&gt;0,IF('Deal maths'!L1592="Local authority","Local authorities",LOWER(TRIM('Deal maths'!K1592))),"")</f>
        <v/>
      </c>
      <c r="D3589" s="91">
        <f>IF(C3589="","",IF(COUNTIF($C$4:C3588,C3589)=0,SUMIF($C$4:$C$3997,C3589,$B$4:$B$3997)-ROW()/1000000,""))</f>
        <v/>
      </c>
      <c r="E3589" s="91">
        <f>IF(N('Deal maths'!M1592)&gt;0,ROW()/10000000,"")</f>
        <v/>
      </c>
    </row>
    <row r="3590">
      <c r="A3590" s="91" t="n"/>
      <c r="B3590" s="111">
        <f>MAX(0,N('Deal maths'!M1593))</f>
        <v/>
      </c>
      <c r="C3590" s="91">
        <f>IF(B3590&gt;0,IF('Deal maths'!L1593="Local authority","Local authorities",LOWER(TRIM('Deal maths'!K1593))),"")</f>
        <v/>
      </c>
      <c r="D3590" s="91">
        <f>IF(C3590="","",IF(COUNTIF($C$4:C3589,C3590)=0,SUMIF($C$4:$C$3997,C3590,$B$4:$B$3997)-ROW()/1000000,""))</f>
        <v/>
      </c>
      <c r="E3590" s="91">
        <f>IF(N('Deal maths'!M1593)&gt;0,ROW()/10000000,"")</f>
        <v/>
      </c>
    </row>
    <row r="3591">
      <c r="A3591" s="91" t="n"/>
      <c r="B3591" s="111">
        <f>MAX(0,N('Deal maths'!M1594))</f>
        <v/>
      </c>
      <c r="C3591" s="91">
        <f>IF(B3591&gt;0,IF('Deal maths'!L1594="Local authority","Local authorities",LOWER(TRIM('Deal maths'!K1594))),"")</f>
        <v/>
      </c>
      <c r="D3591" s="91">
        <f>IF(C3591="","",IF(COUNTIF($C$4:C3590,C3591)=0,SUMIF($C$4:$C$3997,C3591,$B$4:$B$3997)-ROW()/1000000,""))</f>
        <v/>
      </c>
      <c r="E3591" s="91">
        <f>IF(N('Deal maths'!M1594)&gt;0,ROW()/10000000,"")</f>
        <v/>
      </c>
    </row>
    <row r="3592">
      <c r="A3592" s="91" t="n"/>
      <c r="B3592" s="111">
        <f>MAX(0,N('Deal maths'!M1595))</f>
        <v/>
      </c>
      <c r="C3592" s="91">
        <f>IF(B3592&gt;0,IF('Deal maths'!L1595="Local authority","Local authorities",LOWER(TRIM('Deal maths'!K1595))),"")</f>
        <v/>
      </c>
      <c r="D3592" s="91">
        <f>IF(C3592="","",IF(COUNTIF($C$4:C3591,C3592)=0,SUMIF($C$4:$C$3997,C3592,$B$4:$B$3997)-ROW()/1000000,""))</f>
        <v/>
      </c>
      <c r="E3592" s="91">
        <f>IF(N('Deal maths'!M1595)&gt;0,ROW()/10000000,"")</f>
        <v/>
      </c>
    </row>
    <row r="3593">
      <c r="A3593" s="91" t="n"/>
      <c r="B3593" s="111">
        <f>MAX(0,N('Deal maths'!M1596))</f>
        <v/>
      </c>
      <c r="C3593" s="91">
        <f>IF(B3593&gt;0,IF('Deal maths'!L1596="Local authority","Local authorities",LOWER(TRIM('Deal maths'!K1596))),"")</f>
        <v/>
      </c>
      <c r="D3593" s="91">
        <f>IF(C3593="","",IF(COUNTIF($C$4:C3592,C3593)=0,SUMIF($C$4:$C$3997,C3593,$B$4:$B$3997)-ROW()/1000000,""))</f>
        <v/>
      </c>
      <c r="E3593" s="91">
        <f>IF(N('Deal maths'!M1596)&gt;0,ROW()/10000000,"")</f>
        <v/>
      </c>
    </row>
    <row r="3594">
      <c r="A3594" s="91" t="n"/>
      <c r="B3594" s="111">
        <f>MAX(0,N('Deal maths'!M1597))</f>
        <v/>
      </c>
      <c r="C3594" s="91">
        <f>IF(B3594&gt;0,IF('Deal maths'!L1597="Local authority","Local authorities",LOWER(TRIM('Deal maths'!K1597))),"")</f>
        <v/>
      </c>
      <c r="D3594" s="91">
        <f>IF(C3594="","",IF(COUNTIF($C$4:C3593,C3594)=0,SUMIF($C$4:$C$3997,C3594,$B$4:$B$3997)-ROW()/1000000,""))</f>
        <v/>
      </c>
      <c r="E3594" s="91">
        <f>IF(N('Deal maths'!M1597)&gt;0,ROW()/10000000,"")</f>
        <v/>
      </c>
    </row>
    <row r="3595">
      <c r="A3595" s="91" t="n"/>
      <c r="B3595" s="111">
        <f>MAX(0,N('Deal maths'!M1598))</f>
        <v/>
      </c>
      <c r="C3595" s="91">
        <f>IF(B3595&gt;0,IF('Deal maths'!L1598="Local authority","Local authorities",LOWER(TRIM('Deal maths'!K1598))),"")</f>
        <v/>
      </c>
      <c r="D3595" s="91">
        <f>IF(C3595="","",IF(COUNTIF($C$4:C3594,C3595)=0,SUMIF($C$4:$C$3997,C3595,$B$4:$B$3997)-ROW()/1000000,""))</f>
        <v/>
      </c>
      <c r="E3595" s="91">
        <f>IF(N('Deal maths'!M1598)&gt;0,ROW()/10000000,"")</f>
        <v/>
      </c>
    </row>
    <row r="3596">
      <c r="A3596" s="91" t="n"/>
      <c r="B3596" s="111">
        <f>MAX(0,N('Deal maths'!M1599))</f>
        <v/>
      </c>
      <c r="C3596" s="91">
        <f>IF(B3596&gt;0,IF('Deal maths'!L1599="Local authority","Local authorities",LOWER(TRIM('Deal maths'!K1599))),"")</f>
        <v/>
      </c>
      <c r="D3596" s="91">
        <f>IF(C3596="","",IF(COUNTIF($C$4:C3595,C3596)=0,SUMIF($C$4:$C$3997,C3596,$B$4:$B$3997)-ROW()/1000000,""))</f>
        <v/>
      </c>
      <c r="E3596" s="91">
        <f>IF(N('Deal maths'!M1599)&gt;0,ROW()/10000000,"")</f>
        <v/>
      </c>
    </row>
    <row r="3597">
      <c r="A3597" s="91" t="n"/>
      <c r="B3597" s="111">
        <f>MAX(0,N('Deal maths'!M1600))</f>
        <v/>
      </c>
      <c r="C3597" s="91">
        <f>IF(B3597&gt;0,IF('Deal maths'!L1600="Local authority","Local authorities",LOWER(TRIM('Deal maths'!K1600))),"")</f>
        <v/>
      </c>
      <c r="D3597" s="91">
        <f>IF(C3597="","",IF(COUNTIF($C$4:C3596,C3597)=0,SUMIF($C$4:$C$3997,C3597,$B$4:$B$3997)-ROW()/1000000,""))</f>
        <v/>
      </c>
      <c r="E3597" s="91">
        <f>IF(N('Deal maths'!M1600)&gt;0,ROW()/10000000,"")</f>
        <v/>
      </c>
    </row>
    <row r="3598">
      <c r="A3598" s="91" t="n"/>
      <c r="B3598" s="111">
        <f>MAX(0,N('Deal maths'!M1601))</f>
        <v/>
      </c>
      <c r="C3598" s="91">
        <f>IF(B3598&gt;0,IF('Deal maths'!L1601="Local authority","Local authorities",LOWER(TRIM('Deal maths'!K1601))),"")</f>
        <v/>
      </c>
      <c r="D3598" s="91">
        <f>IF(C3598="","",IF(COUNTIF($C$4:C3597,C3598)=0,SUMIF($C$4:$C$3997,C3598,$B$4:$B$3997)-ROW()/1000000,""))</f>
        <v/>
      </c>
      <c r="E3598" s="91">
        <f>IF(N('Deal maths'!M1601)&gt;0,ROW()/10000000,"")</f>
        <v/>
      </c>
    </row>
    <row r="3599">
      <c r="A3599" s="91" t="n"/>
      <c r="B3599" s="111">
        <f>MAX(0,N('Deal maths'!M1602))</f>
        <v/>
      </c>
      <c r="C3599" s="91">
        <f>IF(B3599&gt;0,IF('Deal maths'!L1602="Local authority","Local authorities",LOWER(TRIM('Deal maths'!K1602))),"")</f>
        <v/>
      </c>
      <c r="D3599" s="91">
        <f>IF(C3599="","",IF(COUNTIF($C$4:C3598,C3599)=0,SUMIF($C$4:$C$3997,C3599,$B$4:$B$3997)-ROW()/1000000,""))</f>
        <v/>
      </c>
      <c r="E3599" s="91">
        <f>IF(N('Deal maths'!M1602)&gt;0,ROW()/10000000,"")</f>
        <v/>
      </c>
    </row>
    <row r="3600">
      <c r="A3600" s="91" t="n"/>
      <c r="B3600" s="111">
        <f>MAX(0,N('Deal maths'!M1603))</f>
        <v/>
      </c>
      <c r="C3600" s="91">
        <f>IF(B3600&gt;0,IF('Deal maths'!L1603="Local authority","Local authorities",LOWER(TRIM('Deal maths'!K1603))),"")</f>
        <v/>
      </c>
      <c r="D3600" s="91">
        <f>IF(C3600="","",IF(COUNTIF($C$4:C3599,C3600)=0,SUMIF($C$4:$C$3997,C3600,$B$4:$B$3997)-ROW()/1000000,""))</f>
        <v/>
      </c>
      <c r="E3600" s="91">
        <f>IF(N('Deal maths'!M1603)&gt;0,ROW()/10000000,"")</f>
        <v/>
      </c>
    </row>
    <row r="3601">
      <c r="A3601" s="91" t="n"/>
      <c r="B3601" s="111">
        <f>MAX(0,N('Deal maths'!M1604))</f>
        <v/>
      </c>
      <c r="C3601" s="91">
        <f>IF(B3601&gt;0,IF('Deal maths'!L1604="Local authority","Local authorities",LOWER(TRIM('Deal maths'!K1604))),"")</f>
        <v/>
      </c>
      <c r="D3601" s="91">
        <f>IF(C3601="","",IF(COUNTIF($C$4:C3600,C3601)=0,SUMIF($C$4:$C$3997,C3601,$B$4:$B$3997)-ROW()/1000000,""))</f>
        <v/>
      </c>
      <c r="E3601" s="91">
        <f>IF(N('Deal maths'!M1604)&gt;0,ROW()/10000000,"")</f>
        <v/>
      </c>
    </row>
    <row r="3602">
      <c r="A3602" s="91" t="n"/>
      <c r="B3602" s="111">
        <f>MAX(0,N('Deal maths'!M1605))</f>
        <v/>
      </c>
      <c r="C3602" s="91">
        <f>IF(B3602&gt;0,IF('Deal maths'!L1605="Local authority","Local authorities",LOWER(TRIM('Deal maths'!K1605))),"")</f>
        <v/>
      </c>
      <c r="D3602" s="91">
        <f>IF(C3602="","",IF(COUNTIF($C$4:C3601,C3602)=0,SUMIF($C$4:$C$3997,C3602,$B$4:$B$3997)-ROW()/1000000,""))</f>
        <v/>
      </c>
      <c r="E3602" s="91">
        <f>IF(N('Deal maths'!M1605)&gt;0,ROW()/10000000,"")</f>
        <v/>
      </c>
    </row>
    <row r="3603">
      <c r="A3603" s="91" t="n"/>
      <c r="B3603" s="111">
        <f>MAX(0,N('Deal maths'!M1606))</f>
        <v/>
      </c>
      <c r="C3603" s="91">
        <f>IF(B3603&gt;0,IF('Deal maths'!L1606="Local authority","Local authorities",LOWER(TRIM('Deal maths'!K1606))),"")</f>
        <v/>
      </c>
      <c r="D3603" s="91">
        <f>IF(C3603="","",IF(COUNTIF($C$4:C3602,C3603)=0,SUMIF($C$4:$C$3997,C3603,$B$4:$B$3997)-ROW()/1000000,""))</f>
        <v/>
      </c>
      <c r="E3603" s="91">
        <f>IF(N('Deal maths'!M1606)&gt;0,ROW()/10000000,"")</f>
        <v/>
      </c>
    </row>
    <row r="3604">
      <c r="A3604" s="91" t="n"/>
      <c r="B3604" s="111">
        <f>MAX(0,N('Deal maths'!M1607))</f>
        <v/>
      </c>
      <c r="C3604" s="91">
        <f>IF(B3604&gt;0,IF('Deal maths'!L1607="Local authority","Local authorities",LOWER(TRIM('Deal maths'!K1607))),"")</f>
        <v/>
      </c>
      <c r="D3604" s="91">
        <f>IF(C3604="","",IF(COUNTIF($C$4:C3603,C3604)=0,SUMIF($C$4:$C$3997,C3604,$B$4:$B$3997)-ROW()/1000000,""))</f>
        <v/>
      </c>
      <c r="E3604" s="91">
        <f>IF(N('Deal maths'!M1607)&gt;0,ROW()/10000000,"")</f>
        <v/>
      </c>
    </row>
    <row r="3605">
      <c r="A3605" s="91" t="n"/>
      <c r="B3605" s="111">
        <f>MAX(0,N('Deal maths'!M1608))</f>
        <v/>
      </c>
      <c r="C3605" s="91">
        <f>IF(B3605&gt;0,IF('Deal maths'!L1608="Local authority","Local authorities",LOWER(TRIM('Deal maths'!K1608))),"")</f>
        <v/>
      </c>
      <c r="D3605" s="91">
        <f>IF(C3605="","",IF(COUNTIF($C$4:C3604,C3605)=0,SUMIF($C$4:$C$3997,C3605,$B$4:$B$3997)-ROW()/1000000,""))</f>
        <v/>
      </c>
      <c r="E3605" s="91">
        <f>IF(N('Deal maths'!M1608)&gt;0,ROW()/10000000,"")</f>
        <v/>
      </c>
    </row>
    <row r="3606">
      <c r="A3606" s="91" t="n"/>
      <c r="B3606" s="111">
        <f>MAX(0,N('Deal maths'!M1609))</f>
        <v/>
      </c>
      <c r="C3606" s="91">
        <f>IF(B3606&gt;0,IF('Deal maths'!L1609="Local authority","Local authorities",LOWER(TRIM('Deal maths'!K1609))),"")</f>
        <v/>
      </c>
      <c r="D3606" s="91">
        <f>IF(C3606="","",IF(COUNTIF($C$4:C3605,C3606)=0,SUMIF($C$4:$C$3997,C3606,$B$4:$B$3997)-ROW()/1000000,""))</f>
        <v/>
      </c>
      <c r="E3606" s="91">
        <f>IF(N('Deal maths'!M1609)&gt;0,ROW()/10000000,"")</f>
        <v/>
      </c>
    </row>
    <row r="3607">
      <c r="A3607" s="91" t="n"/>
      <c r="B3607" s="111">
        <f>MAX(0,N('Deal maths'!M1610))</f>
        <v/>
      </c>
      <c r="C3607" s="91">
        <f>IF(B3607&gt;0,IF('Deal maths'!L1610="Local authority","Local authorities",LOWER(TRIM('Deal maths'!K1610))),"")</f>
        <v/>
      </c>
      <c r="D3607" s="91">
        <f>IF(C3607="","",IF(COUNTIF($C$4:C3606,C3607)=0,SUMIF($C$4:$C$3997,C3607,$B$4:$B$3997)-ROW()/1000000,""))</f>
        <v/>
      </c>
      <c r="E3607" s="91">
        <f>IF(N('Deal maths'!M1610)&gt;0,ROW()/10000000,"")</f>
        <v/>
      </c>
    </row>
    <row r="3608">
      <c r="A3608" s="91" t="n"/>
      <c r="B3608" s="111">
        <f>MAX(0,N('Deal maths'!M1611))</f>
        <v/>
      </c>
      <c r="C3608" s="91">
        <f>IF(B3608&gt;0,IF('Deal maths'!L1611="Local authority","Local authorities",LOWER(TRIM('Deal maths'!K1611))),"")</f>
        <v/>
      </c>
      <c r="D3608" s="91">
        <f>IF(C3608="","",IF(COUNTIF($C$4:C3607,C3608)=0,SUMIF($C$4:$C$3997,C3608,$B$4:$B$3997)-ROW()/1000000,""))</f>
        <v/>
      </c>
      <c r="E3608" s="91">
        <f>IF(N('Deal maths'!M1611)&gt;0,ROW()/10000000,"")</f>
        <v/>
      </c>
    </row>
    <row r="3609">
      <c r="A3609" s="91" t="n"/>
      <c r="B3609" s="111">
        <f>MAX(0,N('Deal maths'!M1612))</f>
        <v/>
      </c>
      <c r="C3609" s="91">
        <f>IF(B3609&gt;0,IF('Deal maths'!L1612="Local authority","Local authorities",LOWER(TRIM('Deal maths'!K1612))),"")</f>
        <v/>
      </c>
      <c r="D3609" s="91">
        <f>IF(C3609="","",IF(COUNTIF($C$4:C3608,C3609)=0,SUMIF($C$4:$C$3997,C3609,$B$4:$B$3997)-ROW()/1000000,""))</f>
        <v/>
      </c>
      <c r="E3609" s="91">
        <f>IF(N('Deal maths'!M1612)&gt;0,ROW()/10000000,"")</f>
        <v/>
      </c>
    </row>
    <row r="3610">
      <c r="A3610" s="91" t="n"/>
      <c r="B3610" s="111">
        <f>MAX(0,N('Deal maths'!M1613))</f>
        <v/>
      </c>
      <c r="C3610" s="91">
        <f>IF(B3610&gt;0,IF('Deal maths'!L1613="Local authority","Local authorities",LOWER(TRIM('Deal maths'!K1613))),"")</f>
        <v/>
      </c>
      <c r="D3610" s="91">
        <f>IF(C3610="","",IF(COUNTIF($C$4:C3609,C3610)=0,SUMIF($C$4:$C$3997,C3610,$B$4:$B$3997)-ROW()/1000000,""))</f>
        <v/>
      </c>
      <c r="E3610" s="91">
        <f>IF(N('Deal maths'!M1613)&gt;0,ROW()/10000000,"")</f>
        <v/>
      </c>
    </row>
    <row r="3611">
      <c r="A3611" s="91" t="n"/>
      <c r="B3611" s="111">
        <f>MAX(0,N('Deal maths'!M1614))</f>
        <v/>
      </c>
      <c r="C3611" s="91">
        <f>IF(B3611&gt;0,IF('Deal maths'!L1614="Local authority","Local authorities",LOWER(TRIM('Deal maths'!K1614))),"")</f>
        <v/>
      </c>
      <c r="D3611" s="91">
        <f>IF(C3611="","",IF(COUNTIF($C$4:C3610,C3611)=0,SUMIF($C$4:$C$3997,C3611,$B$4:$B$3997)-ROW()/1000000,""))</f>
        <v/>
      </c>
      <c r="E3611" s="91">
        <f>IF(N('Deal maths'!M1614)&gt;0,ROW()/10000000,"")</f>
        <v/>
      </c>
    </row>
    <row r="3612">
      <c r="A3612" s="91" t="n"/>
      <c r="B3612" s="111">
        <f>MAX(0,N('Deal maths'!M1615))</f>
        <v/>
      </c>
      <c r="C3612" s="91">
        <f>IF(B3612&gt;0,IF('Deal maths'!L1615="Local authority","Local authorities",LOWER(TRIM('Deal maths'!K1615))),"")</f>
        <v/>
      </c>
      <c r="D3612" s="91">
        <f>IF(C3612="","",IF(COUNTIF($C$4:C3611,C3612)=0,SUMIF($C$4:$C$3997,C3612,$B$4:$B$3997)-ROW()/1000000,""))</f>
        <v/>
      </c>
      <c r="E3612" s="91">
        <f>IF(N('Deal maths'!M1615)&gt;0,ROW()/10000000,"")</f>
        <v/>
      </c>
    </row>
    <row r="3613">
      <c r="A3613" s="91" t="n"/>
      <c r="B3613" s="111">
        <f>MAX(0,N('Deal maths'!M1616))</f>
        <v/>
      </c>
      <c r="C3613" s="91">
        <f>IF(B3613&gt;0,IF('Deal maths'!L1616="Local authority","Local authorities",LOWER(TRIM('Deal maths'!K1616))),"")</f>
        <v/>
      </c>
      <c r="D3613" s="91">
        <f>IF(C3613="","",IF(COUNTIF($C$4:C3612,C3613)=0,SUMIF($C$4:$C$3997,C3613,$B$4:$B$3997)-ROW()/1000000,""))</f>
        <v/>
      </c>
      <c r="E3613" s="91">
        <f>IF(N('Deal maths'!M1616)&gt;0,ROW()/10000000,"")</f>
        <v/>
      </c>
    </row>
    <row r="3614">
      <c r="A3614" s="91" t="n"/>
      <c r="B3614" s="111">
        <f>MAX(0,N('Deal maths'!M1617))</f>
        <v/>
      </c>
      <c r="C3614" s="91">
        <f>IF(B3614&gt;0,IF('Deal maths'!L1617="Local authority","Local authorities",LOWER(TRIM('Deal maths'!K1617))),"")</f>
        <v/>
      </c>
      <c r="D3614" s="91">
        <f>IF(C3614="","",IF(COUNTIF($C$4:C3613,C3614)=0,SUMIF($C$4:$C$3997,C3614,$B$4:$B$3997)-ROW()/1000000,""))</f>
        <v/>
      </c>
      <c r="E3614" s="91">
        <f>IF(N('Deal maths'!M1617)&gt;0,ROW()/10000000,"")</f>
        <v/>
      </c>
    </row>
    <row r="3615">
      <c r="A3615" s="91" t="n"/>
      <c r="B3615" s="111">
        <f>MAX(0,N('Deal maths'!M1618))</f>
        <v/>
      </c>
      <c r="C3615" s="91">
        <f>IF(B3615&gt;0,IF('Deal maths'!L1618="Local authority","Local authorities",LOWER(TRIM('Deal maths'!K1618))),"")</f>
        <v/>
      </c>
      <c r="D3615" s="91">
        <f>IF(C3615="","",IF(COUNTIF($C$4:C3614,C3615)=0,SUMIF($C$4:$C$3997,C3615,$B$4:$B$3997)-ROW()/1000000,""))</f>
        <v/>
      </c>
      <c r="E3615" s="91">
        <f>IF(N('Deal maths'!M1618)&gt;0,ROW()/10000000,"")</f>
        <v/>
      </c>
    </row>
    <row r="3616">
      <c r="A3616" s="91" t="n"/>
      <c r="B3616" s="111">
        <f>MAX(0,N('Deal maths'!M1619))</f>
        <v/>
      </c>
      <c r="C3616" s="91">
        <f>IF(B3616&gt;0,IF('Deal maths'!L1619="Local authority","Local authorities",LOWER(TRIM('Deal maths'!K1619))),"")</f>
        <v/>
      </c>
      <c r="D3616" s="91">
        <f>IF(C3616="","",IF(COUNTIF($C$4:C3615,C3616)=0,SUMIF($C$4:$C$3997,C3616,$B$4:$B$3997)-ROW()/1000000,""))</f>
        <v/>
      </c>
      <c r="E3616" s="91">
        <f>IF(N('Deal maths'!M1619)&gt;0,ROW()/10000000,"")</f>
        <v/>
      </c>
    </row>
    <row r="3617">
      <c r="A3617" s="91" t="n"/>
      <c r="B3617" s="111">
        <f>MAX(0,N('Deal maths'!M1620))</f>
        <v/>
      </c>
      <c r="C3617" s="91">
        <f>IF(B3617&gt;0,IF('Deal maths'!L1620="Local authority","Local authorities",LOWER(TRIM('Deal maths'!K1620))),"")</f>
        <v/>
      </c>
      <c r="D3617" s="91">
        <f>IF(C3617="","",IF(COUNTIF($C$4:C3616,C3617)=0,SUMIF($C$4:$C$3997,C3617,$B$4:$B$3997)-ROW()/1000000,""))</f>
        <v/>
      </c>
      <c r="E3617" s="91">
        <f>IF(N('Deal maths'!M1620)&gt;0,ROW()/10000000,"")</f>
        <v/>
      </c>
    </row>
    <row r="3618">
      <c r="A3618" s="91" t="n"/>
      <c r="B3618" s="111">
        <f>MAX(0,N('Deal maths'!M1621))</f>
        <v/>
      </c>
      <c r="C3618" s="91">
        <f>IF(B3618&gt;0,IF('Deal maths'!L1621="Local authority","Local authorities",LOWER(TRIM('Deal maths'!K1621))),"")</f>
        <v/>
      </c>
      <c r="D3618" s="91">
        <f>IF(C3618="","",IF(COUNTIF($C$4:C3617,C3618)=0,SUMIF($C$4:$C$3997,C3618,$B$4:$B$3997)-ROW()/1000000,""))</f>
        <v/>
      </c>
      <c r="E3618" s="91">
        <f>IF(N('Deal maths'!M1621)&gt;0,ROW()/10000000,"")</f>
        <v/>
      </c>
    </row>
    <row r="3619">
      <c r="A3619" s="91" t="n"/>
      <c r="B3619" s="111">
        <f>MAX(0,N('Deal maths'!M1622))</f>
        <v/>
      </c>
      <c r="C3619" s="91">
        <f>IF(B3619&gt;0,IF('Deal maths'!L1622="Local authority","Local authorities",LOWER(TRIM('Deal maths'!K1622))),"")</f>
        <v/>
      </c>
      <c r="D3619" s="91">
        <f>IF(C3619="","",IF(COUNTIF($C$4:C3618,C3619)=0,SUMIF($C$4:$C$3997,C3619,$B$4:$B$3997)-ROW()/1000000,""))</f>
        <v/>
      </c>
      <c r="E3619" s="91">
        <f>IF(N('Deal maths'!M1622)&gt;0,ROW()/10000000,"")</f>
        <v/>
      </c>
    </row>
    <row r="3620">
      <c r="A3620" s="91" t="n"/>
      <c r="B3620" s="111">
        <f>MAX(0,N('Deal maths'!M1623))</f>
        <v/>
      </c>
      <c r="C3620" s="91">
        <f>IF(B3620&gt;0,IF('Deal maths'!L1623="Local authority","Local authorities",LOWER(TRIM('Deal maths'!K1623))),"")</f>
        <v/>
      </c>
      <c r="D3620" s="91">
        <f>IF(C3620="","",IF(COUNTIF($C$4:C3619,C3620)=0,SUMIF($C$4:$C$3997,C3620,$B$4:$B$3997)-ROW()/1000000,""))</f>
        <v/>
      </c>
      <c r="E3620" s="91">
        <f>IF(N('Deal maths'!M1623)&gt;0,ROW()/10000000,"")</f>
        <v/>
      </c>
    </row>
    <row r="3621">
      <c r="A3621" s="91" t="n"/>
      <c r="B3621" s="111">
        <f>MAX(0,N('Deal maths'!M1624))</f>
        <v/>
      </c>
      <c r="C3621" s="91">
        <f>IF(B3621&gt;0,IF('Deal maths'!L1624="Local authority","Local authorities",LOWER(TRIM('Deal maths'!K1624))),"")</f>
        <v/>
      </c>
      <c r="D3621" s="91">
        <f>IF(C3621="","",IF(COUNTIF($C$4:C3620,C3621)=0,SUMIF($C$4:$C$3997,C3621,$B$4:$B$3997)-ROW()/1000000,""))</f>
        <v/>
      </c>
      <c r="E3621" s="91">
        <f>IF(N('Deal maths'!M1624)&gt;0,ROW()/10000000,"")</f>
        <v/>
      </c>
    </row>
    <row r="3622">
      <c r="A3622" s="91" t="n"/>
      <c r="B3622" s="111">
        <f>MAX(0,N('Deal maths'!M1625))</f>
        <v/>
      </c>
      <c r="C3622" s="91">
        <f>IF(B3622&gt;0,IF('Deal maths'!L1625="Local authority","Local authorities",LOWER(TRIM('Deal maths'!K1625))),"")</f>
        <v/>
      </c>
      <c r="D3622" s="91">
        <f>IF(C3622="","",IF(COUNTIF($C$4:C3621,C3622)=0,SUMIF($C$4:$C$3997,C3622,$B$4:$B$3997)-ROW()/1000000,""))</f>
        <v/>
      </c>
      <c r="E3622" s="91">
        <f>IF(N('Deal maths'!M1625)&gt;0,ROW()/10000000,"")</f>
        <v/>
      </c>
    </row>
    <row r="3623">
      <c r="A3623" s="91" t="n"/>
      <c r="B3623" s="111">
        <f>MAX(0,N('Deal maths'!M1626))</f>
        <v/>
      </c>
      <c r="C3623" s="91">
        <f>IF(B3623&gt;0,IF('Deal maths'!L1626="Local authority","Local authorities",LOWER(TRIM('Deal maths'!K1626))),"")</f>
        <v/>
      </c>
      <c r="D3623" s="91">
        <f>IF(C3623="","",IF(COUNTIF($C$4:C3622,C3623)=0,SUMIF($C$4:$C$3997,C3623,$B$4:$B$3997)-ROW()/1000000,""))</f>
        <v/>
      </c>
      <c r="E3623" s="91">
        <f>IF(N('Deal maths'!M1626)&gt;0,ROW()/10000000,"")</f>
        <v/>
      </c>
    </row>
    <row r="3624">
      <c r="A3624" s="91" t="n"/>
      <c r="B3624" s="111">
        <f>MAX(0,N('Deal maths'!M1627))</f>
        <v/>
      </c>
      <c r="C3624" s="91">
        <f>IF(B3624&gt;0,IF('Deal maths'!L1627="Local authority","Local authorities",LOWER(TRIM('Deal maths'!K1627))),"")</f>
        <v/>
      </c>
      <c r="D3624" s="91">
        <f>IF(C3624="","",IF(COUNTIF($C$4:C3623,C3624)=0,SUMIF($C$4:$C$3997,C3624,$B$4:$B$3997)-ROW()/1000000,""))</f>
        <v/>
      </c>
      <c r="E3624" s="91">
        <f>IF(N('Deal maths'!M1627)&gt;0,ROW()/10000000,"")</f>
        <v/>
      </c>
    </row>
    <row r="3625">
      <c r="A3625" s="91" t="n"/>
      <c r="B3625" s="111">
        <f>MAX(0,N('Deal maths'!M1628))</f>
        <v/>
      </c>
      <c r="C3625" s="91">
        <f>IF(B3625&gt;0,IF('Deal maths'!L1628="Local authority","Local authorities",LOWER(TRIM('Deal maths'!K1628))),"")</f>
        <v/>
      </c>
      <c r="D3625" s="91">
        <f>IF(C3625="","",IF(COUNTIF($C$4:C3624,C3625)=0,SUMIF($C$4:$C$3997,C3625,$B$4:$B$3997)-ROW()/1000000,""))</f>
        <v/>
      </c>
      <c r="E3625" s="91">
        <f>IF(N('Deal maths'!M1628)&gt;0,ROW()/10000000,"")</f>
        <v/>
      </c>
    </row>
    <row r="3626">
      <c r="A3626" s="91" t="n"/>
      <c r="B3626" s="111">
        <f>MAX(0,N('Deal maths'!M1629))</f>
        <v/>
      </c>
      <c r="C3626" s="91">
        <f>IF(B3626&gt;0,IF('Deal maths'!L1629="Local authority","Local authorities",LOWER(TRIM('Deal maths'!K1629))),"")</f>
        <v/>
      </c>
      <c r="D3626" s="91">
        <f>IF(C3626="","",IF(COUNTIF($C$4:C3625,C3626)=0,SUMIF($C$4:$C$3997,C3626,$B$4:$B$3997)-ROW()/1000000,""))</f>
        <v/>
      </c>
      <c r="E3626" s="91">
        <f>IF(N('Deal maths'!M1629)&gt;0,ROW()/10000000,"")</f>
        <v/>
      </c>
    </row>
    <row r="3627">
      <c r="A3627" s="91" t="n"/>
      <c r="B3627" s="111">
        <f>MAX(0,N('Deal maths'!M1630))</f>
        <v/>
      </c>
      <c r="C3627" s="91">
        <f>IF(B3627&gt;0,IF('Deal maths'!L1630="Local authority","Local authorities",LOWER(TRIM('Deal maths'!K1630))),"")</f>
        <v/>
      </c>
      <c r="D3627" s="91">
        <f>IF(C3627="","",IF(COUNTIF($C$4:C3626,C3627)=0,SUMIF($C$4:$C$3997,C3627,$B$4:$B$3997)-ROW()/1000000,""))</f>
        <v/>
      </c>
      <c r="E3627" s="91">
        <f>IF(N('Deal maths'!M1630)&gt;0,ROW()/10000000,"")</f>
        <v/>
      </c>
    </row>
    <row r="3628">
      <c r="A3628" s="91" t="n"/>
      <c r="B3628" s="111">
        <f>MAX(0,N('Deal maths'!M1631))</f>
        <v/>
      </c>
      <c r="C3628" s="91">
        <f>IF(B3628&gt;0,IF('Deal maths'!L1631="Local authority","Local authorities",LOWER(TRIM('Deal maths'!K1631))),"")</f>
        <v/>
      </c>
      <c r="D3628" s="91">
        <f>IF(C3628="","",IF(COUNTIF($C$4:C3627,C3628)=0,SUMIF($C$4:$C$3997,C3628,$B$4:$B$3997)-ROW()/1000000,""))</f>
        <v/>
      </c>
      <c r="E3628" s="91">
        <f>IF(N('Deal maths'!M1631)&gt;0,ROW()/10000000,"")</f>
        <v/>
      </c>
    </row>
    <row r="3629">
      <c r="A3629" s="91" t="n"/>
      <c r="B3629" s="111">
        <f>MAX(0,N('Deal maths'!M1632))</f>
        <v/>
      </c>
      <c r="C3629" s="91">
        <f>IF(B3629&gt;0,IF('Deal maths'!L1632="Local authority","Local authorities",LOWER(TRIM('Deal maths'!K1632))),"")</f>
        <v/>
      </c>
      <c r="D3629" s="91">
        <f>IF(C3629="","",IF(COUNTIF($C$4:C3628,C3629)=0,SUMIF($C$4:$C$3997,C3629,$B$4:$B$3997)-ROW()/1000000,""))</f>
        <v/>
      </c>
      <c r="E3629" s="91">
        <f>IF(N('Deal maths'!M1632)&gt;0,ROW()/10000000,"")</f>
        <v/>
      </c>
    </row>
    <row r="3630">
      <c r="A3630" s="91" t="n"/>
      <c r="B3630" s="111">
        <f>MAX(0,N('Deal maths'!M1633))</f>
        <v/>
      </c>
      <c r="C3630" s="91">
        <f>IF(B3630&gt;0,IF('Deal maths'!L1633="Local authority","Local authorities",LOWER(TRIM('Deal maths'!K1633))),"")</f>
        <v/>
      </c>
      <c r="D3630" s="91">
        <f>IF(C3630="","",IF(COUNTIF($C$4:C3629,C3630)=0,SUMIF($C$4:$C$3997,C3630,$B$4:$B$3997)-ROW()/1000000,""))</f>
        <v/>
      </c>
      <c r="E3630" s="91">
        <f>IF(N('Deal maths'!M1633)&gt;0,ROW()/10000000,"")</f>
        <v/>
      </c>
    </row>
    <row r="3631">
      <c r="A3631" s="91" t="n"/>
      <c r="B3631" s="111">
        <f>MAX(0,N('Deal maths'!M1634))</f>
        <v/>
      </c>
      <c r="C3631" s="91">
        <f>IF(B3631&gt;0,IF('Deal maths'!L1634="Local authority","Local authorities",LOWER(TRIM('Deal maths'!K1634))),"")</f>
        <v/>
      </c>
      <c r="D3631" s="91">
        <f>IF(C3631="","",IF(COUNTIF($C$4:C3630,C3631)=0,SUMIF($C$4:$C$3997,C3631,$B$4:$B$3997)-ROW()/1000000,""))</f>
        <v/>
      </c>
      <c r="E3631" s="91">
        <f>IF(N('Deal maths'!M1634)&gt;0,ROW()/10000000,"")</f>
        <v/>
      </c>
    </row>
    <row r="3632">
      <c r="A3632" s="91" t="n"/>
      <c r="B3632" s="111">
        <f>MAX(0,N('Deal maths'!M1635))</f>
        <v/>
      </c>
      <c r="C3632" s="91">
        <f>IF(B3632&gt;0,IF('Deal maths'!L1635="Local authority","Local authorities",LOWER(TRIM('Deal maths'!K1635))),"")</f>
        <v/>
      </c>
      <c r="D3632" s="91">
        <f>IF(C3632="","",IF(COUNTIF($C$4:C3631,C3632)=0,SUMIF($C$4:$C$3997,C3632,$B$4:$B$3997)-ROW()/1000000,""))</f>
        <v/>
      </c>
      <c r="E3632" s="91">
        <f>IF(N('Deal maths'!M1635)&gt;0,ROW()/10000000,"")</f>
        <v/>
      </c>
    </row>
    <row r="3633">
      <c r="A3633" s="91" t="n"/>
      <c r="B3633" s="111">
        <f>MAX(0,N('Deal maths'!M1636))</f>
        <v/>
      </c>
      <c r="C3633" s="91">
        <f>IF(B3633&gt;0,IF('Deal maths'!L1636="Local authority","Local authorities",LOWER(TRIM('Deal maths'!K1636))),"")</f>
        <v/>
      </c>
      <c r="D3633" s="91">
        <f>IF(C3633="","",IF(COUNTIF($C$4:C3632,C3633)=0,SUMIF($C$4:$C$3997,C3633,$B$4:$B$3997)-ROW()/1000000,""))</f>
        <v/>
      </c>
      <c r="E3633" s="91">
        <f>IF(N('Deal maths'!M1636)&gt;0,ROW()/10000000,"")</f>
        <v/>
      </c>
    </row>
    <row r="3634">
      <c r="A3634" s="91" t="n"/>
      <c r="B3634" s="111">
        <f>MAX(0,N('Deal maths'!M1637))</f>
        <v/>
      </c>
      <c r="C3634" s="91">
        <f>IF(B3634&gt;0,IF('Deal maths'!L1637="Local authority","Local authorities",LOWER(TRIM('Deal maths'!K1637))),"")</f>
        <v/>
      </c>
      <c r="D3634" s="91">
        <f>IF(C3634="","",IF(COUNTIF($C$4:C3633,C3634)=0,SUMIF($C$4:$C$3997,C3634,$B$4:$B$3997)-ROW()/1000000,""))</f>
        <v/>
      </c>
      <c r="E3634" s="91">
        <f>IF(N('Deal maths'!M1637)&gt;0,ROW()/10000000,"")</f>
        <v/>
      </c>
    </row>
    <row r="3635">
      <c r="A3635" s="91" t="n"/>
      <c r="B3635" s="111">
        <f>MAX(0,N('Deal maths'!M1638))</f>
        <v/>
      </c>
      <c r="C3635" s="91">
        <f>IF(B3635&gt;0,IF('Deal maths'!L1638="Local authority","Local authorities",LOWER(TRIM('Deal maths'!K1638))),"")</f>
        <v/>
      </c>
      <c r="D3635" s="91">
        <f>IF(C3635="","",IF(COUNTIF($C$4:C3634,C3635)=0,SUMIF($C$4:$C$3997,C3635,$B$4:$B$3997)-ROW()/1000000,""))</f>
        <v/>
      </c>
      <c r="E3635" s="91">
        <f>IF(N('Deal maths'!M1638)&gt;0,ROW()/10000000,"")</f>
        <v/>
      </c>
    </row>
    <row r="3636">
      <c r="A3636" s="91" t="n"/>
      <c r="B3636" s="111">
        <f>MAX(0,N('Deal maths'!M1639))</f>
        <v/>
      </c>
      <c r="C3636" s="91">
        <f>IF(B3636&gt;0,IF('Deal maths'!L1639="Local authority","Local authorities",LOWER(TRIM('Deal maths'!K1639))),"")</f>
        <v/>
      </c>
      <c r="D3636" s="91">
        <f>IF(C3636="","",IF(COUNTIF($C$4:C3635,C3636)=0,SUMIF($C$4:$C$3997,C3636,$B$4:$B$3997)-ROW()/1000000,""))</f>
        <v/>
      </c>
      <c r="E3636" s="91">
        <f>IF(N('Deal maths'!M1639)&gt;0,ROW()/10000000,"")</f>
        <v/>
      </c>
    </row>
    <row r="3637">
      <c r="A3637" s="91" t="n"/>
      <c r="B3637" s="111">
        <f>MAX(0,N('Deal maths'!M1640))</f>
        <v/>
      </c>
      <c r="C3637" s="91">
        <f>IF(B3637&gt;0,IF('Deal maths'!L1640="Local authority","Local authorities",LOWER(TRIM('Deal maths'!K1640))),"")</f>
        <v/>
      </c>
      <c r="D3637" s="91">
        <f>IF(C3637="","",IF(COUNTIF($C$4:C3636,C3637)=0,SUMIF($C$4:$C$3997,C3637,$B$4:$B$3997)-ROW()/1000000,""))</f>
        <v/>
      </c>
      <c r="E3637" s="91">
        <f>IF(N('Deal maths'!M1640)&gt;0,ROW()/10000000,"")</f>
        <v/>
      </c>
    </row>
    <row r="3638">
      <c r="A3638" s="91" t="n"/>
      <c r="B3638" s="111">
        <f>MAX(0,N('Deal maths'!M1641))</f>
        <v/>
      </c>
      <c r="C3638" s="91">
        <f>IF(B3638&gt;0,IF('Deal maths'!L1641="Local authority","Local authorities",LOWER(TRIM('Deal maths'!K1641))),"")</f>
        <v/>
      </c>
      <c r="D3638" s="91">
        <f>IF(C3638="","",IF(COUNTIF($C$4:C3637,C3638)=0,SUMIF($C$4:$C$3997,C3638,$B$4:$B$3997)-ROW()/1000000,""))</f>
        <v/>
      </c>
      <c r="E3638" s="91">
        <f>IF(N('Deal maths'!M1641)&gt;0,ROW()/10000000,"")</f>
        <v/>
      </c>
    </row>
    <row r="3639">
      <c r="A3639" s="91" t="n"/>
      <c r="B3639" s="111">
        <f>MAX(0,N('Deal maths'!M1642))</f>
        <v/>
      </c>
      <c r="C3639" s="91">
        <f>IF(B3639&gt;0,IF('Deal maths'!L1642="Local authority","Local authorities",LOWER(TRIM('Deal maths'!K1642))),"")</f>
        <v/>
      </c>
      <c r="D3639" s="91">
        <f>IF(C3639="","",IF(COUNTIF($C$4:C3638,C3639)=0,SUMIF($C$4:$C$3997,C3639,$B$4:$B$3997)-ROW()/1000000,""))</f>
        <v/>
      </c>
      <c r="E3639" s="91">
        <f>IF(N('Deal maths'!M1642)&gt;0,ROW()/10000000,"")</f>
        <v/>
      </c>
    </row>
    <row r="3640">
      <c r="A3640" s="91" t="n"/>
      <c r="B3640" s="111">
        <f>MAX(0,N('Deal maths'!M1643))</f>
        <v/>
      </c>
      <c r="C3640" s="91">
        <f>IF(B3640&gt;0,IF('Deal maths'!L1643="Local authority","Local authorities",LOWER(TRIM('Deal maths'!K1643))),"")</f>
        <v/>
      </c>
      <c r="D3640" s="91">
        <f>IF(C3640="","",IF(COUNTIF($C$4:C3639,C3640)=0,SUMIF($C$4:$C$3997,C3640,$B$4:$B$3997)-ROW()/1000000,""))</f>
        <v/>
      </c>
      <c r="E3640" s="91">
        <f>IF(N('Deal maths'!M1643)&gt;0,ROW()/10000000,"")</f>
        <v/>
      </c>
    </row>
    <row r="3641">
      <c r="A3641" s="91" t="n"/>
      <c r="B3641" s="111">
        <f>MAX(0,N('Deal maths'!M1644))</f>
        <v/>
      </c>
      <c r="C3641" s="91">
        <f>IF(B3641&gt;0,IF('Deal maths'!L1644="Local authority","Local authorities",LOWER(TRIM('Deal maths'!K1644))),"")</f>
        <v/>
      </c>
      <c r="D3641" s="91">
        <f>IF(C3641="","",IF(COUNTIF($C$4:C3640,C3641)=0,SUMIF($C$4:$C$3997,C3641,$B$4:$B$3997)-ROW()/1000000,""))</f>
        <v/>
      </c>
      <c r="E3641" s="91">
        <f>IF(N('Deal maths'!M1644)&gt;0,ROW()/10000000,"")</f>
        <v/>
      </c>
    </row>
    <row r="3642">
      <c r="A3642" s="91" t="n"/>
      <c r="B3642" s="111">
        <f>MAX(0,N('Deal maths'!M1645))</f>
        <v/>
      </c>
      <c r="C3642" s="91">
        <f>IF(B3642&gt;0,IF('Deal maths'!L1645="Local authority","Local authorities",LOWER(TRIM('Deal maths'!K1645))),"")</f>
        <v/>
      </c>
      <c r="D3642" s="91">
        <f>IF(C3642="","",IF(COUNTIF($C$4:C3641,C3642)=0,SUMIF($C$4:$C$3997,C3642,$B$4:$B$3997)-ROW()/1000000,""))</f>
        <v/>
      </c>
      <c r="E3642" s="91">
        <f>IF(N('Deal maths'!M1645)&gt;0,ROW()/10000000,"")</f>
        <v/>
      </c>
    </row>
    <row r="3643">
      <c r="A3643" s="91" t="n"/>
      <c r="B3643" s="111">
        <f>MAX(0,N('Deal maths'!M1646))</f>
        <v/>
      </c>
      <c r="C3643" s="91">
        <f>IF(B3643&gt;0,IF('Deal maths'!L1646="Local authority","Local authorities",LOWER(TRIM('Deal maths'!K1646))),"")</f>
        <v/>
      </c>
      <c r="D3643" s="91">
        <f>IF(C3643="","",IF(COUNTIF($C$4:C3642,C3643)=0,SUMIF($C$4:$C$3997,C3643,$B$4:$B$3997)-ROW()/1000000,""))</f>
        <v/>
      </c>
      <c r="E3643" s="91">
        <f>IF(N('Deal maths'!M1646)&gt;0,ROW()/10000000,"")</f>
        <v/>
      </c>
    </row>
    <row r="3644">
      <c r="A3644" s="91" t="n"/>
      <c r="B3644" s="111">
        <f>MAX(0,N('Deal maths'!M1647))</f>
        <v/>
      </c>
      <c r="C3644" s="91">
        <f>IF(B3644&gt;0,IF('Deal maths'!L1647="Local authority","Local authorities",LOWER(TRIM('Deal maths'!K1647))),"")</f>
        <v/>
      </c>
      <c r="D3644" s="91">
        <f>IF(C3644="","",IF(COUNTIF($C$4:C3643,C3644)=0,SUMIF($C$4:$C$3997,C3644,$B$4:$B$3997)-ROW()/1000000,""))</f>
        <v/>
      </c>
      <c r="E3644" s="91">
        <f>IF(N('Deal maths'!M1647)&gt;0,ROW()/10000000,"")</f>
        <v/>
      </c>
    </row>
    <row r="3645">
      <c r="A3645" s="91" t="n"/>
      <c r="B3645" s="111">
        <f>MAX(0,N('Deal maths'!M1648))</f>
        <v/>
      </c>
      <c r="C3645" s="91">
        <f>IF(B3645&gt;0,IF('Deal maths'!L1648="Local authority","Local authorities",LOWER(TRIM('Deal maths'!K1648))),"")</f>
        <v/>
      </c>
      <c r="D3645" s="91">
        <f>IF(C3645="","",IF(COUNTIF($C$4:C3644,C3645)=0,SUMIF($C$4:$C$3997,C3645,$B$4:$B$3997)-ROW()/1000000,""))</f>
        <v/>
      </c>
      <c r="E3645" s="91">
        <f>IF(N('Deal maths'!M1648)&gt;0,ROW()/10000000,"")</f>
        <v/>
      </c>
    </row>
    <row r="3646">
      <c r="A3646" s="91" t="n"/>
      <c r="B3646" s="111">
        <f>MAX(0,N('Deal maths'!M1649))</f>
        <v/>
      </c>
      <c r="C3646" s="91">
        <f>IF(B3646&gt;0,IF('Deal maths'!L1649="Local authority","Local authorities",LOWER(TRIM('Deal maths'!K1649))),"")</f>
        <v/>
      </c>
      <c r="D3646" s="91">
        <f>IF(C3646="","",IF(COUNTIF($C$4:C3645,C3646)=0,SUMIF($C$4:$C$3997,C3646,$B$4:$B$3997)-ROW()/1000000,""))</f>
        <v/>
      </c>
      <c r="E3646" s="91">
        <f>IF(N('Deal maths'!M1649)&gt;0,ROW()/10000000,"")</f>
        <v/>
      </c>
    </row>
    <row r="3647">
      <c r="A3647" s="91" t="n"/>
      <c r="B3647" s="111">
        <f>MAX(0,N('Deal maths'!M1650))</f>
        <v/>
      </c>
      <c r="C3647" s="91">
        <f>IF(B3647&gt;0,IF('Deal maths'!L1650="Local authority","Local authorities",LOWER(TRIM('Deal maths'!K1650))),"")</f>
        <v/>
      </c>
      <c r="D3647" s="91">
        <f>IF(C3647="","",IF(COUNTIF($C$4:C3646,C3647)=0,SUMIF($C$4:$C$3997,C3647,$B$4:$B$3997)-ROW()/1000000,""))</f>
        <v/>
      </c>
      <c r="E3647" s="91">
        <f>IF(N('Deal maths'!M1650)&gt;0,ROW()/10000000,"")</f>
        <v/>
      </c>
    </row>
    <row r="3648">
      <c r="A3648" s="91" t="n"/>
      <c r="B3648" s="111">
        <f>MAX(0,N('Deal maths'!M1651))</f>
        <v/>
      </c>
      <c r="C3648" s="91">
        <f>IF(B3648&gt;0,IF('Deal maths'!L1651="Local authority","Local authorities",LOWER(TRIM('Deal maths'!K1651))),"")</f>
        <v/>
      </c>
      <c r="D3648" s="91">
        <f>IF(C3648="","",IF(COUNTIF($C$4:C3647,C3648)=0,SUMIF($C$4:$C$3997,C3648,$B$4:$B$3997)-ROW()/1000000,""))</f>
        <v/>
      </c>
      <c r="E3648" s="91">
        <f>IF(N('Deal maths'!M1651)&gt;0,ROW()/10000000,"")</f>
        <v/>
      </c>
    </row>
    <row r="3649">
      <c r="A3649" s="91" t="n"/>
      <c r="B3649" s="111">
        <f>MAX(0,N('Deal maths'!M1652))</f>
        <v/>
      </c>
      <c r="C3649" s="91">
        <f>IF(B3649&gt;0,IF('Deal maths'!L1652="Local authority","Local authorities",LOWER(TRIM('Deal maths'!K1652))),"")</f>
        <v/>
      </c>
      <c r="D3649" s="91">
        <f>IF(C3649="","",IF(COUNTIF($C$4:C3648,C3649)=0,SUMIF($C$4:$C$3997,C3649,$B$4:$B$3997)-ROW()/1000000,""))</f>
        <v/>
      </c>
      <c r="E3649" s="91">
        <f>IF(N('Deal maths'!M1652)&gt;0,ROW()/10000000,"")</f>
        <v/>
      </c>
    </row>
    <row r="3650">
      <c r="A3650" s="91" t="n"/>
      <c r="B3650" s="111">
        <f>MAX(0,N('Deal maths'!M1653))</f>
        <v/>
      </c>
      <c r="C3650" s="91">
        <f>IF(B3650&gt;0,IF('Deal maths'!L1653="Local authority","Local authorities",LOWER(TRIM('Deal maths'!K1653))),"")</f>
        <v/>
      </c>
      <c r="D3650" s="91">
        <f>IF(C3650="","",IF(COUNTIF($C$4:C3649,C3650)=0,SUMIF($C$4:$C$3997,C3650,$B$4:$B$3997)-ROW()/1000000,""))</f>
        <v/>
      </c>
      <c r="E3650" s="91">
        <f>IF(N('Deal maths'!M1653)&gt;0,ROW()/10000000,"")</f>
        <v/>
      </c>
    </row>
    <row r="3651">
      <c r="A3651" s="91" t="n"/>
      <c r="B3651" s="111">
        <f>MAX(0,N('Deal maths'!M1654))</f>
        <v/>
      </c>
      <c r="C3651" s="91">
        <f>IF(B3651&gt;0,IF('Deal maths'!L1654="Local authority","Local authorities",LOWER(TRIM('Deal maths'!K1654))),"")</f>
        <v/>
      </c>
      <c r="D3651" s="91">
        <f>IF(C3651="","",IF(COUNTIF($C$4:C3650,C3651)=0,SUMIF($C$4:$C$3997,C3651,$B$4:$B$3997)-ROW()/1000000,""))</f>
        <v/>
      </c>
      <c r="E3651" s="91">
        <f>IF(N('Deal maths'!M1654)&gt;0,ROW()/10000000,"")</f>
        <v/>
      </c>
    </row>
    <row r="3652">
      <c r="A3652" s="91" t="n"/>
      <c r="B3652" s="111">
        <f>MAX(0,N('Deal maths'!M1655))</f>
        <v/>
      </c>
      <c r="C3652" s="91">
        <f>IF(B3652&gt;0,IF('Deal maths'!L1655="Local authority","Local authorities",LOWER(TRIM('Deal maths'!K1655))),"")</f>
        <v/>
      </c>
      <c r="D3652" s="91">
        <f>IF(C3652="","",IF(COUNTIF($C$4:C3651,C3652)=0,SUMIF($C$4:$C$3997,C3652,$B$4:$B$3997)-ROW()/1000000,""))</f>
        <v/>
      </c>
      <c r="E3652" s="91">
        <f>IF(N('Deal maths'!M1655)&gt;0,ROW()/10000000,"")</f>
        <v/>
      </c>
    </row>
    <row r="3653">
      <c r="A3653" s="91" t="n"/>
      <c r="B3653" s="111">
        <f>MAX(0,N('Deal maths'!M1656))</f>
        <v/>
      </c>
      <c r="C3653" s="91">
        <f>IF(B3653&gt;0,IF('Deal maths'!L1656="Local authority","Local authorities",LOWER(TRIM('Deal maths'!K1656))),"")</f>
        <v/>
      </c>
      <c r="D3653" s="91">
        <f>IF(C3653="","",IF(COUNTIF($C$4:C3652,C3653)=0,SUMIF($C$4:$C$3997,C3653,$B$4:$B$3997)-ROW()/1000000,""))</f>
        <v/>
      </c>
      <c r="E3653" s="91">
        <f>IF(N('Deal maths'!M1656)&gt;0,ROW()/10000000,"")</f>
        <v/>
      </c>
    </row>
    <row r="3654">
      <c r="A3654" s="91" t="n"/>
      <c r="B3654" s="111">
        <f>MAX(0,N('Deal maths'!M1657))</f>
        <v/>
      </c>
      <c r="C3654" s="91">
        <f>IF(B3654&gt;0,IF('Deal maths'!L1657="Local authority","Local authorities",LOWER(TRIM('Deal maths'!K1657))),"")</f>
        <v/>
      </c>
      <c r="D3654" s="91">
        <f>IF(C3654="","",IF(COUNTIF($C$4:C3653,C3654)=0,SUMIF($C$4:$C$3997,C3654,$B$4:$B$3997)-ROW()/1000000,""))</f>
        <v/>
      </c>
      <c r="E3654" s="91">
        <f>IF(N('Deal maths'!M1657)&gt;0,ROW()/10000000,"")</f>
        <v/>
      </c>
    </row>
    <row r="3655">
      <c r="A3655" s="91" t="n"/>
      <c r="B3655" s="111">
        <f>MAX(0,N('Deal maths'!M1658))</f>
        <v/>
      </c>
      <c r="C3655" s="91">
        <f>IF(B3655&gt;0,IF('Deal maths'!L1658="Local authority","Local authorities",LOWER(TRIM('Deal maths'!K1658))),"")</f>
        <v/>
      </c>
      <c r="D3655" s="91">
        <f>IF(C3655="","",IF(COUNTIF($C$4:C3654,C3655)=0,SUMIF($C$4:$C$3997,C3655,$B$4:$B$3997)-ROW()/1000000,""))</f>
        <v/>
      </c>
      <c r="E3655" s="91">
        <f>IF(N('Deal maths'!M1658)&gt;0,ROW()/10000000,"")</f>
        <v/>
      </c>
    </row>
    <row r="3656">
      <c r="A3656" s="91" t="n"/>
      <c r="B3656" s="111">
        <f>MAX(0,N('Deal maths'!M1659))</f>
        <v/>
      </c>
      <c r="C3656" s="91">
        <f>IF(B3656&gt;0,IF('Deal maths'!L1659="Local authority","Local authorities",LOWER(TRIM('Deal maths'!K1659))),"")</f>
        <v/>
      </c>
      <c r="D3656" s="91">
        <f>IF(C3656="","",IF(COUNTIF($C$4:C3655,C3656)=0,SUMIF($C$4:$C$3997,C3656,$B$4:$B$3997)-ROW()/1000000,""))</f>
        <v/>
      </c>
      <c r="E3656" s="91">
        <f>IF(N('Deal maths'!M1659)&gt;0,ROW()/10000000,"")</f>
        <v/>
      </c>
    </row>
    <row r="3657">
      <c r="A3657" s="91" t="n"/>
      <c r="B3657" s="111">
        <f>MAX(0,N('Deal maths'!M1660))</f>
        <v/>
      </c>
      <c r="C3657" s="91">
        <f>IF(B3657&gt;0,IF('Deal maths'!L1660="Local authority","Local authorities",LOWER(TRIM('Deal maths'!K1660))),"")</f>
        <v/>
      </c>
      <c r="D3657" s="91">
        <f>IF(C3657="","",IF(COUNTIF($C$4:C3656,C3657)=0,SUMIF($C$4:$C$3997,C3657,$B$4:$B$3997)-ROW()/1000000,""))</f>
        <v/>
      </c>
      <c r="E3657" s="91">
        <f>IF(N('Deal maths'!M1660)&gt;0,ROW()/10000000,"")</f>
        <v/>
      </c>
    </row>
    <row r="3658">
      <c r="A3658" s="91" t="n"/>
      <c r="B3658" s="111">
        <f>MAX(0,N('Deal maths'!M1661))</f>
        <v/>
      </c>
      <c r="C3658" s="91">
        <f>IF(B3658&gt;0,IF('Deal maths'!L1661="Local authority","Local authorities",LOWER(TRIM('Deal maths'!K1661))),"")</f>
        <v/>
      </c>
      <c r="D3658" s="91">
        <f>IF(C3658="","",IF(COUNTIF($C$4:C3657,C3658)=0,SUMIF($C$4:$C$3997,C3658,$B$4:$B$3997)-ROW()/1000000,""))</f>
        <v/>
      </c>
      <c r="E3658" s="91">
        <f>IF(N('Deal maths'!M1661)&gt;0,ROW()/10000000,"")</f>
        <v/>
      </c>
    </row>
    <row r="3659">
      <c r="A3659" s="91" t="n"/>
      <c r="B3659" s="111">
        <f>MAX(0,N('Deal maths'!M1662))</f>
        <v/>
      </c>
      <c r="C3659" s="91">
        <f>IF(B3659&gt;0,IF('Deal maths'!L1662="Local authority","Local authorities",LOWER(TRIM('Deal maths'!K1662))),"")</f>
        <v/>
      </c>
      <c r="D3659" s="91">
        <f>IF(C3659="","",IF(COUNTIF($C$4:C3658,C3659)=0,SUMIF($C$4:$C$3997,C3659,$B$4:$B$3997)-ROW()/1000000,""))</f>
        <v/>
      </c>
      <c r="E3659" s="91">
        <f>IF(N('Deal maths'!M1662)&gt;0,ROW()/10000000,"")</f>
        <v/>
      </c>
    </row>
    <row r="3660">
      <c r="A3660" s="91" t="n"/>
      <c r="B3660" s="111">
        <f>MAX(0,N('Deal maths'!M1663))</f>
        <v/>
      </c>
      <c r="C3660" s="91">
        <f>IF(B3660&gt;0,IF('Deal maths'!L1663="Local authority","Local authorities",LOWER(TRIM('Deal maths'!K1663))),"")</f>
        <v/>
      </c>
      <c r="D3660" s="91">
        <f>IF(C3660="","",IF(COUNTIF($C$4:C3659,C3660)=0,SUMIF($C$4:$C$3997,C3660,$B$4:$B$3997)-ROW()/1000000,""))</f>
        <v/>
      </c>
      <c r="E3660" s="91">
        <f>IF(N('Deal maths'!M1663)&gt;0,ROW()/10000000,"")</f>
        <v/>
      </c>
    </row>
    <row r="3661">
      <c r="A3661" s="91" t="n"/>
      <c r="B3661" s="111">
        <f>MAX(0,N('Deal maths'!M1664))</f>
        <v/>
      </c>
      <c r="C3661" s="91">
        <f>IF(B3661&gt;0,IF('Deal maths'!L1664="Local authority","Local authorities",LOWER(TRIM('Deal maths'!K1664))),"")</f>
        <v/>
      </c>
      <c r="D3661" s="91">
        <f>IF(C3661="","",IF(COUNTIF($C$4:C3660,C3661)=0,SUMIF($C$4:$C$3997,C3661,$B$4:$B$3997)-ROW()/1000000,""))</f>
        <v/>
      </c>
      <c r="E3661" s="91">
        <f>IF(N('Deal maths'!M1664)&gt;0,ROW()/10000000,"")</f>
        <v/>
      </c>
    </row>
    <row r="3662">
      <c r="A3662" s="91" t="n"/>
      <c r="B3662" s="111">
        <f>MAX(0,N('Deal maths'!M1665))</f>
        <v/>
      </c>
      <c r="C3662" s="91">
        <f>IF(B3662&gt;0,IF('Deal maths'!L1665="Local authority","Local authorities",LOWER(TRIM('Deal maths'!K1665))),"")</f>
        <v/>
      </c>
      <c r="D3662" s="91">
        <f>IF(C3662="","",IF(COUNTIF($C$4:C3661,C3662)=0,SUMIF($C$4:$C$3997,C3662,$B$4:$B$3997)-ROW()/1000000,""))</f>
        <v/>
      </c>
      <c r="E3662" s="91">
        <f>IF(N('Deal maths'!M1665)&gt;0,ROW()/10000000,"")</f>
        <v/>
      </c>
    </row>
    <row r="3663">
      <c r="A3663" s="91" t="n"/>
      <c r="B3663" s="111">
        <f>MAX(0,N('Deal maths'!M1666))</f>
        <v/>
      </c>
      <c r="C3663" s="91">
        <f>IF(B3663&gt;0,IF('Deal maths'!L1666="Local authority","Local authorities",LOWER(TRIM('Deal maths'!K1666))),"")</f>
        <v/>
      </c>
      <c r="D3663" s="91">
        <f>IF(C3663="","",IF(COUNTIF($C$4:C3662,C3663)=0,SUMIF($C$4:$C$3997,C3663,$B$4:$B$3997)-ROW()/1000000,""))</f>
        <v/>
      </c>
      <c r="E3663" s="91">
        <f>IF(N('Deal maths'!M1666)&gt;0,ROW()/10000000,"")</f>
        <v/>
      </c>
    </row>
    <row r="3664">
      <c r="A3664" s="91" t="n"/>
      <c r="B3664" s="111">
        <f>MAX(0,N('Deal maths'!M1667))</f>
        <v/>
      </c>
      <c r="C3664" s="91">
        <f>IF(B3664&gt;0,IF('Deal maths'!L1667="Local authority","Local authorities",LOWER(TRIM('Deal maths'!K1667))),"")</f>
        <v/>
      </c>
      <c r="D3664" s="91">
        <f>IF(C3664="","",IF(COUNTIF($C$4:C3663,C3664)=0,SUMIF($C$4:$C$3997,C3664,$B$4:$B$3997)-ROW()/1000000,""))</f>
        <v/>
      </c>
      <c r="E3664" s="91">
        <f>IF(N('Deal maths'!M1667)&gt;0,ROW()/10000000,"")</f>
        <v/>
      </c>
    </row>
    <row r="3665">
      <c r="A3665" s="91" t="n"/>
      <c r="B3665" s="111">
        <f>MAX(0,N('Deal maths'!M1668))</f>
        <v/>
      </c>
      <c r="C3665" s="91">
        <f>IF(B3665&gt;0,IF('Deal maths'!L1668="Local authority","Local authorities",LOWER(TRIM('Deal maths'!K1668))),"")</f>
        <v/>
      </c>
      <c r="D3665" s="91">
        <f>IF(C3665="","",IF(COUNTIF($C$4:C3664,C3665)=0,SUMIF($C$4:$C$3997,C3665,$B$4:$B$3997)-ROW()/1000000,""))</f>
        <v/>
      </c>
      <c r="E3665" s="91">
        <f>IF(N('Deal maths'!M1668)&gt;0,ROW()/10000000,"")</f>
        <v/>
      </c>
    </row>
    <row r="3666">
      <c r="A3666" s="91" t="n"/>
      <c r="B3666" s="111">
        <f>MAX(0,N('Deal maths'!M1669))</f>
        <v/>
      </c>
      <c r="C3666" s="91">
        <f>IF(B3666&gt;0,IF('Deal maths'!L1669="Local authority","Local authorities",LOWER(TRIM('Deal maths'!K1669))),"")</f>
        <v/>
      </c>
      <c r="D3666" s="91">
        <f>IF(C3666="","",IF(COUNTIF($C$4:C3665,C3666)=0,SUMIF($C$4:$C$3997,C3666,$B$4:$B$3997)-ROW()/1000000,""))</f>
        <v/>
      </c>
      <c r="E3666" s="91">
        <f>IF(N('Deal maths'!M1669)&gt;0,ROW()/10000000,"")</f>
        <v/>
      </c>
    </row>
    <row r="3667">
      <c r="A3667" s="91" t="n"/>
      <c r="B3667" s="111">
        <f>MAX(0,N('Deal maths'!M1670))</f>
        <v/>
      </c>
      <c r="C3667" s="91">
        <f>IF(B3667&gt;0,IF('Deal maths'!L1670="Local authority","Local authorities",LOWER(TRIM('Deal maths'!K1670))),"")</f>
        <v/>
      </c>
      <c r="D3667" s="91">
        <f>IF(C3667="","",IF(COUNTIF($C$4:C3666,C3667)=0,SUMIF($C$4:$C$3997,C3667,$B$4:$B$3997)-ROW()/1000000,""))</f>
        <v/>
      </c>
      <c r="E3667" s="91">
        <f>IF(N('Deal maths'!M1670)&gt;0,ROW()/10000000,"")</f>
        <v/>
      </c>
    </row>
    <row r="3668">
      <c r="A3668" s="91" t="n"/>
      <c r="B3668" s="111">
        <f>MAX(0,N('Deal maths'!M1671))</f>
        <v/>
      </c>
      <c r="C3668" s="91">
        <f>IF(B3668&gt;0,IF('Deal maths'!L1671="Local authority","Local authorities",LOWER(TRIM('Deal maths'!K1671))),"")</f>
        <v/>
      </c>
      <c r="D3668" s="91">
        <f>IF(C3668="","",IF(COUNTIF($C$4:C3667,C3668)=0,SUMIF($C$4:$C$3997,C3668,$B$4:$B$3997)-ROW()/1000000,""))</f>
        <v/>
      </c>
      <c r="E3668" s="91">
        <f>IF(N('Deal maths'!M1671)&gt;0,ROW()/10000000,"")</f>
        <v/>
      </c>
    </row>
    <row r="3669">
      <c r="A3669" s="91" t="n"/>
      <c r="B3669" s="111">
        <f>MAX(0,N('Deal maths'!M1672))</f>
        <v/>
      </c>
      <c r="C3669" s="91">
        <f>IF(B3669&gt;0,IF('Deal maths'!L1672="Local authority","Local authorities",LOWER(TRIM('Deal maths'!K1672))),"")</f>
        <v/>
      </c>
      <c r="D3669" s="91">
        <f>IF(C3669="","",IF(COUNTIF($C$4:C3668,C3669)=0,SUMIF($C$4:$C$3997,C3669,$B$4:$B$3997)-ROW()/1000000,""))</f>
        <v/>
      </c>
      <c r="E3669" s="91">
        <f>IF(N('Deal maths'!M1672)&gt;0,ROW()/10000000,"")</f>
        <v/>
      </c>
    </row>
    <row r="3670">
      <c r="A3670" s="91" t="n"/>
      <c r="B3670" s="111">
        <f>MAX(0,N('Deal maths'!M1673))</f>
        <v/>
      </c>
      <c r="C3670" s="91">
        <f>IF(B3670&gt;0,IF('Deal maths'!L1673="Local authority","Local authorities",LOWER(TRIM('Deal maths'!K1673))),"")</f>
        <v/>
      </c>
      <c r="D3670" s="91">
        <f>IF(C3670="","",IF(COUNTIF($C$4:C3669,C3670)=0,SUMIF($C$4:$C$3997,C3670,$B$4:$B$3997)-ROW()/1000000,""))</f>
        <v/>
      </c>
      <c r="E3670" s="91">
        <f>IF(N('Deal maths'!M1673)&gt;0,ROW()/10000000,"")</f>
        <v/>
      </c>
    </row>
    <row r="3671">
      <c r="A3671" s="91" t="n"/>
      <c r="B3671" s="111">
        <f>MAX(0,N('Deal maths'!M1674))</f>
        <v/>
      </c>
      <c r="C3671" s="91">
        <f>IF(B3671&gt;0,IF('Deal maths'!L1674="Local authority","Local authorities",LOWER(TRIM('Deal maths'!K1674))),"")</f>
        <v/>
      </c>
      <c r="D3671" s="91">
        <f>IF(C3671="","",IF(COUNTIF($C$4:C3670,C3671)=0,SUMIF($C$4:$C$3997,C3671,$B$4:$B$3997)-ROW()/1000000,""))</f>
        <v/>
      </c>
      <c r="E3671" s="91">
        <f>IF(N('Deal maths'!M1674)&gt;0,ROW()/10000000,"")</f>
        <v/>
      </c>
    </row>
    <row r="3672">
      <c r="A3672" s="91" t="n"/>
      <c r="B3672" s="111">
        <f>MAX(0,N('Deal maths'!M1675))</f>
        <v/>
      </c>
      <c r="C3672" s="91">
        <f>IF(B3672&gt;0,IF('Deal maths'!L1675="Local authority","Local authorities",LOWER(TRIM('Deal maths'!K1675))),"")</f>
        <v/>
      </c>
      <c r="D3672" s="91">
        <f>IF(C3672="","",IF(COUNTIF($C$4:C3671,C3672)=0,SUMIF($C$4:$C$3997,C3672,$B$4:$B$3997)-ROW()/1000000,""))</f>
        <v/>
      </c>
      <c r="E3672" s="91">
        <f>IF(N('Deal maths'!M1675)&gt;0,ROW()/10000000,"")</f>
        <v/>
      </c>
    </row>
    <row r="3673">
      <c r="A3673" s="91" t="n"/>
      <c r="B3673" s="111">
        <f>MAX(0,N('Deal maths'!M1676))</f>
        <v/>
      </c>
      <c r="C3673" s="91">
        <f>IF(B3673&gt;0,IF('Deal maths'!L1676="Local authority","Local authorities",LOWER(TRIM('Deal maths'!K1676))),"")</f>
        <v/>
      </c>
      <c r="D3673" s="91">
        <f>IF(C3673="","",IF(COUNTIF($C$4:C3672,C3673)=0,SUMIF($C$4:$C$3997,C3673,$B$4:$B$3997)-ROW()/1000000,""))</f>
        <v/>
      </c>
      <c r="E3673" s="91">
        <f>IF(N('Deal maths'!M1676)&gt;0,ROW()/10000000,"")</f>
        <v/>
      </c>
    </row>
    <row r="3674">
      <c r="A3674" s="91" t="n"/>
      <c r="B3674" s="111">
        <f>MAX(0,N('Deal maths'!M1677))</f>
        <v/>
      </c>
      <c r="C3674" s="91">
        <f>IF(B3674&gt;0,IF('Deal maths'!L1677="Local authority","Local authorities",LOWER(TRIM('Deal maths'!K1677))),"")</f>
        <v/>
      </c>
      <c r="D3674" s="91">
        <f>IF(C3674="","",IF(COUNTIF($C$4:C3673,C3674)=0,SUMIF($C$4:$C$3997,C3674,$B$4:$B$3997)-ROW()/1000000,""))</f>
        <v/>
      </c>
      <c r="E3674" s="91">
        <f>IF(N('Deal maths'!M1677)&gt;0,ROW()/10000000,"")</f>
        <v/>
      </c>
    </row>
    <row r="3675">
      <c r="A3675" s="91" t="n"/>
      <c r="B3675" s="111">
        <f>MAX(0,N('Deal maths'!M1678))</f>
        <v/>
      </c>
      <c r="C3675" s="91">
        <f>IF(B3675&gt;0,IF('Deal maths'!L1678="Local authority","Local authorities",LOWER(TRIM('Deal maths'!K1678))),"")</f>
        <v/>
      </c>
      <c r="D3675" s="91">
        <f>IF(C3675="","",IF(COUNTIF($C$4:C3674,C3675)=0,SUMIF($C$4:$C$3997,C3675,$B$4:$B$3997)-ROW()/1000000,""))</f>
        <v/>
      </c>
      <c r="E3675" s="91">
        <f>IF(N('Deal maths'!M1678)&gt;0,ROW()/10000000,"")</f>
        <v/>
      </c>
    </row>
    <row r="3676">
      <c r="A3676" s="91" t="n"/>
      <c r="B3676" s="111">
        <f>MAX(0,N('Deal maths'!M1679))</f>
        <v/>
      </c>
      <c r="C3676" s="91">
        <f>IF(B3676&gt;0,IF('Deal maths'!L1679="Local authority","Local authorities",LOWER(TRIM('Deal maths'!K1679))),"")</f>
        <v/>
      </c>
      <c r="D3676" s="91">
        <f>IF(C3676="","",IF(COUNTIF($C$4:C3675,C3676)=0,SUMIF($C$4:$C$3997,C3676,$B$4:$B$3997)-ROW()/1000000,""))</f>
        <v/>
      </c>
      <c r="E3676" s="91">
        <f>IF(N('Deal maths'!M1679)&gt;0,ROW()/10000000,"")</f>
        <v/>
      </c>
    </row>
    <row r="3677">
      <c r="A3677" s="91" t="n"/>
      <c r="B3677" s="111">
        <f>MAX(0,N('Deal maths'!M1680))</f>
        <v/>
      </c>
      <c r="C3677" s="91">
        <f>IF(B3677&gt;0,IF('Deal maths'!L1680="Local authority","Local authorities",LOWER(TRIM('Deal maths'!K1680))),"")</f>
        <v/>
      </c>
      <c r="D3677" s="91">
        <f>IF(C3677="","",IF(COUNTIF($C$4:C3676,C3677)=0,SUMIF($C$4:$C$3997,C3677,$B$4:$B$3997)-ROW()/1000000,""))</f>
        <v/>
      </c>
      <c r="E3677" s="91">
        <f>IF(N('Deal maths'!M1680)&gt;0,ROW()/10000000,"")</f>
        <v/>
      </c>
    </row>
    <row r="3678">
      <c r="A3678" s="91" t="n"/>
      <c r="B3678" s="111">
        <f>MAX(0,N('Deal maths'!M1681))</f>
        <v/>
      </c>
      <c r="C3678" s="91">
        <f>IF(B3678&gt;0,IF('Deal maths'!L1681="Local authority","Local authorities",LOWER(TRIM('Deal maths'!K1681))),"")</f>
        <v/>
      </c>
      <c r="D3678" s="91">
        <f>IF(C3678="","",IF(COUNTIF($C$4:C3677,C3678)=0,SUMIF($C$4:$C$3997,C3678,$B$4:$B$3997)-ROW()/1000000,""))</f>
        <v/>
      </c>
      <c r="E3678" s="91">
        <f>IF(N('Deal maths'!M1681)&gt;0,ROW()/10000000,"")</f>
        <v/>
      </c>
    </row>
    <row r="3679">
      <c r="A3679" s="91" t="n"/>
      <c r="B3679" s="111">
        <f>MAX(0,N('Deal maths'!M1682))</f>
        <v/>
      </c>
      <c r="C3679" s="91">
        <f>IF(B3679&gt;0,IF('Deal maths'!L1682="Local authority","Local authorities",LOWER(TRIM('Deal maths'!K1682))),"")</f>
        <v/>
      </c>
      <c r="D3679" s="91">
        <f>IF(C3679="","",IF(COUNTIF($C$4:C3678,C3679)=0,SUMIF($C$4:$C$3997,C3679,$B$4:$B$3997)-ROW()/1000000,""))</f>
        <v/>
      </c>
      <c r="E3679" s="91">
        <f>IF(N('Deal maths'!M1682)&gt;0,ROW()/10000000,"")</f>
        <v/>
      </c>
    </row>
    <row r="3680">
      <c r="A3680" s="91" t="n"/>
      <c r="B3680" s="111">
        <f>MAX(0,N('Deal maths'!M1683))</f>
        <v/>
      </c>
      <c r="C3680" s="91">
        <f>IF(B3680&gt;0,IF('Deal maths'!L1683="Local authority","Local authorities",LOWER(TRIM('Deal maths'!K1683))),"")</f>
        <v/>
      </c>
      <c r="D3680" s="91">
        <f>IF(C3680="","",IF(COUNTIF($C$4:C3679,C3680)=0,SUMIF($C$4:$C$3997,C3680,$B$4:$B$3997)-ROW()/1000000,""))</f>
        <v/>
      </c>
      <c r="E3680" s="91">
        <f>IF(N('Deal maths'!M1683)&gt;0,ROW()/10000000,"")</f>
        <v/>
      </c>
    </row>
    <row r="3681">
      <c r="A3681" s="91" t="n"/>
      <c r="B3681" s="111">
        <f>MAX(0,N('Deal maths'!M1684))</f>
        <v/>
      </c>
      <c r="C3681" s="91">
        <f>IF(B3681&gt;0,IF('Deal maths'!L1684="Local authority","Local authorities",LOWER(TRIM('Deal maths'!K1684))),"")</f>
        <v/>
      </c>
      <c r="D3681" s="91">
        <f>IF(C3681="","",IF(COUNTIF($C$4:C3680,C3681)=0,SUMIF($C$4:$C$3997,C3681,$B$4:$B$3997)-ROW()/1000000,""))</f>
        <v/>
      </c>
      <c r="E3681" s="91">
        <f>IF(N('Deal maths'!M1684)&gt;0,ROW()/10000000,"")</f>
        <v/>
      </c>
    </row>
    <row r="3682">
      <c r="A3682" s="91" t="n"/>
      <c r="B3682" s="111">
        <f>MAX(0,N('Deal maths'!M1685))</f>
        <v/>
      </c>
      <c r="C3682" s="91">
        <f>IF(B3682&gt;0,IF('Deal maths'!L1685="Local authority","Local authorities",LOWER(TRIM('Deal maths'!K1685))),"")</f>
        <v/>
      </c>
      <c r="D3682" s="91">
        <f>IF(C3682="","",IF(COUNTIF($C$4:C3681,C3682)=0,SUMIF($C$4:$C$3997,C3682,$B$4:$B$3997)-ROW()/1000000,""))</f>
        <v/>
      </c>
      <c r="E3682" s="91">
        <f>IF(N('Deal maths'!M1685)&gt;0,ROW()/10000000,"")</f>
        <v/>
      </c>
    </row>
    <row r="3683">
      <c r="A3683" s="91" t="n"/>
      <c r="B3683" s="111">
        <f>MAX(0,N('Deal maths'!M1686))</f>
        <v/>
      </c>
      <c r="C3683" s="91">
        <f>IF(B3683&gt;0,IF('Deal maths'!L1686="Local authority","Local authorities",LOWER(TRIM('Deal maths'!K1686))),"")</f>
        <v/>
      </c>
      <c r="D3683" s="91">
        <f>IF(C3683="","",IF(COUNTIF($C$4:C3682,C3683)=0,SUMIF($C$4:$C$3997,C3683,$B$4:$B$3997)-ROW()/1000000,""))</f>
        <v/>
      </c>
      <c r="E3683" s="91">
        <f>IF(N('Deal maths'!M1686)&gt;0,ROW()/10000000,"")</f>
        <v/>
      </c>
    </row>
    <row r="3684">
      <c r="A3684" s="91" t="n"/>
      <c r="B3684" s="111">
        <f>MAX(0,N('Deal maths'!M1687))</f>
        <v/>
      </c>
      <c r="C3684" s="91">
        <f>IF(B3684&gt;0,IF('Deal maths'!L1687="Local authority","Local authorities",LOWER(TRIM('Deal maths'!K1687))),"")</f>
        <v/>
      </c>
      <c r="D3684" s="91">
        <f>IF(C3684="","",IF(COUNTIF($C$4:C3683,C3684)=0,SUMIF($C$4:$C$3997,C3684,$B$4:$B$3997)-ROW()/1000000,""))</f>
        <v/>
      </c>
      <c r="E3684" s="91">
        <f>IF(N('Deal maths'!M1687)&gt;0,ROW()/10000000,"")</f>
        <v/>
      </c>
    </row>
    <row r="3685">
      <c r="A3685" s="91" t="n"/>
      <c r="B3685" s="111">
        <f>MAX(0,N('Deal maths'!M1688))</f>
        <v/>
      </c>
      <c r="C3685" s="91">
        <f>IF(B3685&gt;0,IF('Deal maths'!L1688="Local authority","Local authorities",LOWER(TRIM('Deal maths'!K1688))),"")</f>
        <v/>
      </c>
      <c r="D3685" s="91">
        <f>IF(C3685="","",IF(COUNTIF($C$4:C3684,C3685)=0,SUMIF($C$4:$C$3997,C3685,$B$4:$B$3997)-ROW()/1000000,""))</f>
        <v/>
      </c>
      <c r="E3685" s="91">
        <f>IF(N('Deal maths'!M1688)&gt;0,ROW()/10000000,"")</f>
        <v/>
      </c>
    </row>
    <row r="3686">
      <c r="A3686" s="91" t="n"/>
      <c r="B3686" s="111">
        <f>MAX(0,N('Deal maths'!M1689))</f>
        <v/>
      </c>
      <c r="C3686" s="91">
        <f>IF(B3686&gt;0,IF('Deal maths'!L1689="Local authority","Local authorities",LOWER(TRIM('Deal maths'!K1689))),"")</f>
        <v/>
      </c>
      <c r="D3686" s="91">
        <f>IF(C3686="","",IF(COUNTIF($C$4:C3685,C3686)=0,SUMIF($C$4:$C$3997,C3686,$B$4:$B$3997)-ROW()/1000000,""))</f>
        <v/>
      </c>
      <c r="E3686" s="91">
        <f>IF(N('Deal maths'!M1689)&gt;0,ROW()/10000000,"")</f>
        <v/>
      </c>
    </row>
    <row r="3687">
      <c r="A3687" s="91" t="n"/>
      <c r="B3687" s="111">
        <f>MAX(0,N('Deal maths'!M1690))</f>
        <v/>
      </c>
      <c r="C3687" s="91">
        <f>IF(B3687&gt;0,IF('Deal maths'!L1690="Local authority","Local authorities",LOWER(TRIM('Deal maths'!K1690))),"")</f>
        <v/>
      </c>
      <c r="D3687" s="91">
        <f>IF(C3687="","",IF(COUNTIF($C$4:C3686,C3687)=0,SUMIF($C$4:$C$3997,C3687,$B$4:$B$3997)-ROW()/1000000,""))</f>
        <v/>
      </c>
      <c r="E3687" s="91">
        <f>IF(N('Deal maths'!M1690)&gt;0,ROW()/10000000,"")</f>
        <v/>
      </c>
    </row>
    <row r="3688">
      <c r="A3688" s="91" t="n"/>
      <c r="B3688" s="111">
        <f>MAX(0,N('Deal maths'!M1691))</f>
        <v/>
      </c>
      <c r="C3688" s="91">
        <f>IF(B3688&gt;0,IF('Deal maths'!L1691="Local authority","Local authorities",LOWER(TRIM('Deal maths'!K1691))),"")</f>
        <v/>
      </c>
      <c r="D3688" s="91">
        <f>IF(C3688="","",IF(COUNTIF($C$4:C3687,C3688)=0,SUMIF($C$4:$C$3997,C3688,$B$4:$B$3997)-ROW()/1000000,""))</f>
        <v/>
      </c>
      <c r="E3688" s="91">
        <f>IF(N('Deal maths'!M1691)&gt;0,ROW()/10000000,"")</f>
        <v/>
      </c>
    </row>
    <row r="3689">
      <c r="A3689" s="91" t="n"/>
      <c r="B3689" s="111">
        <f>MAX(0,N('Deal maths'!M1692))</f>
        <v/>
      </c>
      <c r="C3689" s="91">
        <f>IF(B3689&gt;0,IF('Deal maths'!L1692="Local authority","Local authorities",LOWER(TRIM('Deal maths'!K1692))),"")</f>
        <v/>
      </c>
      <c r="D3689" s="91">
        <f>IF(C3689="","",IF(COUNTIF($C$4:C3688,C3689)=0,SUMIF($C$4:$C$3997,C3689,$B$4:$B$3997)-ROW()/1000000,""))</f>
        <v/>
      </c>
      <c r="E3689" s="91">
        <f>IF(N('Deal maths'!M1692)&gt;0,ROW()/10000000,"")</f>
        <v/>
      </c>
    </row>
    <row r="3690">
      <c r="A3690" s="91" t="n"/>
      <c r="B3690" s="111">
        <f>MAX(0,N('Deal maths'!M1693))</f>
        <v/>
      </c>
      <c r="C3690" s="91">
        <f>IF(B3690&gt;0,IF('Deal maths'!L1693="Local authority","Local authorities",LOWER(TRIM('Deal maths'!K1693))),"")</f>
        <v/>
      </c>
      <c r="D3690" s="91">
        <f>IF(C3690="","",IF(COUNTIF($C$4:C3689,C3690)=0,SUMIF($C$4:$C$3997,C3690,$B$4:$B$3997)-ROW()/1000000,""))</f>
        <v/>
      </c>
      <c r="E3690" s="91">
        <f>IF(N('Deal maths'!M1693)&gt;0,ROW()/10000000,"")</f>
        <v/>
      </c>
    </row>
    <row r="3691">
      <c r="A3691" s="91" t="n"/>
      <c r="B3691" s="111">
        <f>MAX(0,N('Deal maths'!M1694))</f>
        <v/>
      </c>
      <c r="C3691" s="91">
        <f>IF(B3691&gt;0,IF('Deal maths'!L1694="Local authority","Local authorities",LOWER(TRIM('Deal maths'!K1694))),"")</f>
        <v/>
      </c>
      <c r="D3691" s="91">
        <f>IF(C3691="","",IF(COUNTIF($C$4:C3690,C3691)=0,SUMIF($C$4:$C$3997,C3691,$B$4:$B$3997)-ROW()/1000000,""))</f>
        <v/>
      </c>
      <c r="E3691" s="91">
        <f>IF(N('Deal maths'!M1694)&gt;0,ROW()/10000000,"")</f>
        <v/>
      </c>
    </row>
    <row r="3692">
      <c r="A3692" s="91" t="n"/>
      <c r="B3692" s="111">
        <f>MAX(0,N('Deal maths'!M1695))</f>
        <v/>
      </c>
      <c r="C3692" s="91">
        <f>IF(B3692&gt;0,IF('Deal maths'!L1695="Local authority","Local authorities",LOWER(TRIM('Deal maths'!K1695))),"")</f>
        <v/>
      </c>
      <c r="D3692" s="91">
        <f>IF(C3692="","",IF(COUNTIF($C$4:C3691,C3692)=0,SUMIF($C$4:$C$3997,C3692,$B$4:$B$3997)-ROW()/1000000,""))</f>
        <v/>
      </c>
      <c r="E3692" s="91">
        <f>IF(N('Deal maths'!M1695)&gt;0,ROW()/10000000,"")</f>
        <v/>
      </c>
    </row>
    <row r="3693">
      <c r="A3693" s="91" t="n"/>
      <c r="B3693" s="111">
        <f>MAX(0,N('Deal maths'!M1696))</f>
        <v/>
      </c>
      <c r="C3693" s="91">
        <f>IF(B3693&gt;0,IF('Deal maths'!L1696="Local authority","Local authorities",LOWER(TRIM('Deal maths'!K1696))),"")</f>
        <v/>
      </c>
      <c r="D3693" s="91">
        <f>IF(C3693="","",IF(COUNTIF($C$4:C3692,C3693)=0,SUMIF($C$4:$C$3997,C3693,$B$4:$B$3997)-ROW()/1000000,""))</f>
        <v/>
      </c>
      <c r="E3693" s="91">
        <f>IF(N('Deal maths'!M1696)&gt;0,ROW()/10000000,"")</f>
        <v/>
      </c>
    </row>
    <row r="3694">
      <c r="A3694" s="91" t="n"/>
      <c r="B3694" s="111">
        <f>MAX(0,N('Deal maths'!M1697))</f>
        <v/>
      </c>
      <c r="C3694" s="91">
        <f>IF(B3694&gt;0,IF('Deal maths'!L1697="Local authority","Local authorities",LOWER(TRIM('Deal maths'!K1697))),"")</f>
        <v/>
      </c>
      <c r="D3694" s="91">
        <f>IF(C3694="","",IF(COUNTIF($C$4:C3693,C3694)=0,SUMIF($C$4:$C$3997,C3694,$B$4:$B$3997)-ROW()/1000000,""))</f>
        <v/>
      </c>
      <c r="E3694" s="91">
        <f>IF(N('Deal maths'!M1697)&gt;0,ROW()/10000000,"")</f>
        <v/>
      </c>
    </row>
    <row r="3695">
      <c r="A3695" s="91" t="n"/>
      <c r="B3695" s="111">
        <f>MAX(0,N('Deal maths'!M1698))</f>
        <v/>
      </c>
      <c r="C3695" s="91">
        <f>IF(B3695&gt;0,IF('Deal maths'!L1698="Local authority","Local authorities",LOWER(TRIM('Deal maths'!K1698))),"")</f>
        <v/>
      </c>
      <c r="D3695" s="91">
        <f>IF(C3695="","",IF(COUNTIF($C$4:C3694,C3695)=0,SUMIF($C$4:$C$3997,C3695,$B$4:$B$3997)-ROW()/1000000,""))</f>
        <v/>
      </c>
      <c r="E3695" s="91">
        <f>IF(N('Deal maths'!M1698)&gt;0,ROW()/10000000,"")</f>
        <v/>
      </c>
    </row>
    <row r="3696">
      <c r="A3696" s="91" t="n"/>
      <c r="B3696" s="111">
        <f>MAX(0,N('Deal maths'!M1699))</f>
        <v/>
      </c>
      <c r="C3696" s="91">
        <f>IF(B3696&gt;0,IF('Deal maths'!L1699="Local authority","Local authorities",LOWER(TRIM('Deal maths'!K1699))),"")</f>
        <v/>
      </c>
      <c r="D3696" s="91">
        <f>IF(C3696="","",IF(COUNTIF($C$4:C3695,C3696)=0,SUMIF($C$4:$C$3997,C3696,$B$4:$B$3997)-ROW()/1000000,""))</f>
        <v/>
      </c>
      <c r="E3696" s="91">
        <f>IF(N('Deal maths'!M1699)&gt;0,ROW()/10000000,"")</f>
        <v/>
      </c>
    </row>
    <row r="3697">
      <c r="A3697" s="91" t="n"/>
      <c r="B3697" s="111">
        <f>MAX(0,N('Deal maths'!M1700))</f>
        <v/>
      </c>
      <c r="C3697" s="91">
        <f>IF(B3697&gt;0,IF('Deal maths'!L1700="Local authority","Local authorities",LOWER(TRIM('Deal maths'!K1700))),"")</f>
        <v/>
      </c>
      <c r="D3697" s="91">
        <f>IF(C3697="","",IF(COUNTIF($C$4:C3696,C3697)=0,SUMIF($C$4:$C$3997,C3697,$B$4:$B$3997)-ROW()/1000000,""))</f>
        <v/>
      </c>
      <c r="E3697" s="91">
        <f>IF(N('Deal maths'!M1700)&gt;0,ROW()/10000000,"")</f>
        <v/>
      </c>
    </row>
    <row r="3698">
      <c r="A3698" s="91" t="n"/>
      <c r="B3698" s="111">
        <f>MAX(0,N('Deal maths'!M1701))</f>
        <v/>
      </c>
      <c r="C3698" s="91">
        <f>IF(B3698&gt;0,IF('Deal maths'!L1701="Local authority","Local authorities",LOWER(TRIM('Deal maths'!K1701))),"")</f>
        <v/>
      </c>
      <c r="D3698" s="91">
        <f>IF(C3698="","",IF(COUNTIF($C$4:C3697,C3698)=0,SUMIF($C$4:$C$3997,C3698,$B$4:$B$3997)-ROW()/1000000,""))</f>
        <v/>
      </c>
      <c r="E3698" s="91">
        <f>IF(N('Deal maths'!M1701)&gt;0,ROW()/10000000,"")</f>
        <v/>
      </c>
    </row>
    <row r="3699">
      <c r="A3699" s="91" t="n"/>
      <c r="B3699" s="111">
        <f>MAX(0,N('Deal maths'!M1702))</f>
        <v/>
      </c>
      <c r="C3699" s="91">
        <f>IF(B3699&gt;0,IF('Deal maths'!L1702="Local authority","Local authorities",LOWER(TRIM('Deal maths'!K1702))),"")</f>
        <v/>
      </c>
      <c r="D3699" s="91">
        <f>IF(C3699="","",IF(COUNTIF($C$4:C3698,C3699)=0,SUMIF($C$4:$C$3997,C3699,$B$4:$B$3997)-ROW()/1000000,""))</f>
        <v/>
      </c>
      <c r="E3699" s="91">
        <f>IF(N('Deal maths'!M1702)&gt;0,ROW()/10000000,"")</f>
        <v/>
      </c>
    </row>
    <row r="3700">
      <c r="A3700" s="91" t="n"/>
      <c r="B3700" s="111">
        <f>MAX(0,N('Deal maths'!M1703))</f>
        <v/>
      </c>
      <c r="C3700" s="91">
        <f>IF(B3700&gt;0,IF('Deal maths'!L1703="Local authority","Local authorities",LOWER(TRIM('Deal maths'!K1703))),"")</f>
        <v/>
      </c>
      <c r="D3700" s="91">
        <f>IF(C3700="","",IF(COUNTIF($C$4:C3699,C3700)=0,SUMIF($C$4:$C$3997,C3700,$B$4:$B$3997)-ROW()/1000000,""))</f>
        <v/>
      </c>
      <c r="E3700" s="91">
        <f>IF(N('Deal maths'!M1703)&gt;0,ROW()/10000000,"")</f>
        <v/>
      </c>
    </row>
    <row r="3701">
      <c r="A3701" s="91" t="n"/>
      <c r="B3701" s="111">
        <f>MAX(0,N('Deal maths'!M1704))</f>
        <v/>
      </c>
      <c r="C3701" s="91">
        <f>IF(B3701&gt;0,IF('Deal maths'!L1704="Local authority","Local authorities",LOWER(TRIM('Deal maths'!K1704))),"")</f>
        <v/>
      </c>
      <c r="D3701" s="91">
        <f>IF(C3701="","",IF(COUNTIF($C$4:C3700,C3701)=0,SUMIF($C$4:$C$3997,C3701,$B$4:$B$3997)-ROW()/1000000,""))</f>
        <v/>
      </c>
      <c r="E3701" s="91">
        <f>IF(N('Deal maths'!M1704)&gt;0,ROW()/10000000,"")</f>
        <v/>
      </c>
    </row>
    <row r="3702">
      <c r="A3702" s="91" t="n"/>
      <c r="B3702" s="111">
        <f>MAX(0,N('Deal maths'!M1705))</f>
        <v/>
      </c>
      <c r="C3702" s="91">
        <f>IF(B3702&gt;0,IF('Deal maths'!L1705="Local authority","Local authorities",LOWER(TRIM('Deal maths'!K1705))),"")</f>
        <v/>
      </c>
      <c r="D3702" s="91">
        <f>IF(C3702="","",IF(COUNTIF($C$4:C3701,C3702)=0,SUMIF($C$4:$C$3997,C3702,$B$4:$B$3997)-ROW()/1000000,""))</f>
        <v/>
      </c>
      <c r="E3702" s="91">
        <f>IF(N('Deal maths'!M1705)&gt;0,ROW()/10000000,"")</f>
        <v/>
      </c>
    </row>
    <row r="3703">
      <c r="A3703" s="91" t="n"/>
      <c r="B3703" s="111">
        <f>MAX(0,N('Deal maths'!M1706))</f>
        <v/>
      </c>
      <c r="C3703" s="91">
        <f>IF(B3703&gt;0,IF('Deal maths'!L1706="Local authority","Local authorities",LOWER(TRIM('Deal maths'!K1706))),"")</f>
        <v/>
      </c>
      <c r="D3703" s="91">
        <f>IF(C3703="","",IF(COUNTIF($C$4:C3702,C3703)=0,SUMIF($C$4:$C$3997,C3703,$B$4:$B$3997)-ROW()/1000000,""))</f>
        <v/>
      </c>
      <c r="E3703" s="91">
        <f>IF(N('Deal maths'!M1706)&gt;0,ROW()/10000000,"")</f>
        <v/>
      </c>
    </row>
    <row r="3704">
      <c r="A3704" s="91" t="n"/>
      <c r="B3704" s="111">
        <f>MAX(0,N('Deal maths'!M1707))</f>
        <v/>
      </c>
      <c r="C3704" s="91">
        <f>IF(B3704&gt;0,IF('Deal maths'!L1707="Local authority","Local authorities",LOWER(TRIM('Deal maths'!K1707))),"")</f>
        <v/>
      </c>
      <c r="D3704" s="91">
        <f>IF(C3704="","",IF(COUNTIF($C$4:C3703,C3704)=0,SUMIF($C$4:$C$3997,C3704,$B$4:$B$3997)-ROW()/1000000,""))</f>
        <v/>
      </c>
      <c r="E3704" s="91">
        <f>IF(N('Deal maths'!M1707)&gt;0,ROW()/10000000,"")</f>
        <v/>
      </c>
    </row>
    <row r="3705">
      <c r="A3705" s="91" t="n"/>
      <c r="B3705" s="111">
        <f>MAX(0,N('Deal maths'!M1708))</f>
        <v/>
      </c>
      <c r="C3705" s="91">
        <f>IF(B3705&gt;0,IF('Deal maths'!L1708="Local authority","Local authorities",LOWER(TRIM('Deal maths'!K1708))),"")</f>
        <v/>
      </c>
      <c r="D3705" s="91">
        <f>IF(C3705="","",IF(COUNTIF($C$4:C3704,C3705)=0,SUMIF($C$4:$C$3997,C3705,$B$4:$B$3997)-ROW()/1000000,""))</f>
        <v/>
      </c>
      <c r="E3705" s="91">
        <f>IF(N('Deal maths'!M1708)&gt;0,ROW()/10000000,"")</f>
        <v/>
      </c>
    </row>
    <row r="3706">
      <c r="A3706" s="91" t="n"/>
      <c r="B3706" s="111">
        <f>MAX(0,N('Deal maths'!M1709))</f>
        <v/>
      </c>
      <c r="C3706" s="91">
        <f>IF(B3706&gt;0,IF('Deal maths'!L1709="Local authority","Local authorities",LOWER(TRIM('Deal maths'!K1709))),"")</f>
        <v/>
      </c>
      <c r="D3706" s="91">
        <f>IF(C3706="","",IF(COUNTIF($C$4:C3705,C3706)=0,SUMIF($C$4:$C$3997,C3706,$B$4:$B$3997)-ROW()/1000000,""))</f>
        <v/>
      </c>
      <c r="E3706" s="91">
        <f>IF(N('Deal maths'!M1709)&gt;0,ROW()/10000000,"")</f>
        <v/>
      </c>
    </row>
    <row r="3707">
      <c r="A3707" s="91" t="n"/>
      <c r="B3707" s="111">
        <f>MAX(0,N('Deal maths'!M1710))</f>
        <v/>
      </c>
      <c r="C3707" s="91">
        <f>IF(B3707&gt;0,IF('Deal maths'!L1710="Local authority","Local authorities",LOWER(TRIM('Deal maths'!K1710))),"")</f>
        <v/>
      </c>
      <c r="D3707" s="91">
        <f>IF(C3707="","",IF(COUNTIF($C$4:C3706,C3707)=0,SUMIF($C$4:$C$3997,C3707,$B$4:$B$3997)-ROW()/1000000,""))</f>
        <v/>
      </c>
      <c r="E3707" s="91">
        <f>IF(N('Deal maths'!M1710)&gt;0,ROW()/10000000,"")</f>
        <v/>
      </c>
    </row>
    <row r="3708">
      <c r="A3708" s="91" t="n"/>
      <c r="B3708" s="111">
        <f>MAX(0,N('Deal maths'!M1711))</f>
        <v/>
      </c>
      <c r="C3708" s="91">
        <f>IF(B3708&gt;0,IF('Deal maths'!L1711="Local authority","Local authorities",LOWER(TRIM('Deal maths'!K1711))),"")</f>
        <v/>
      </c>
      <c r="D3708" s="91">
        <f>IF(C3708="","",IF(COUNTIF($C$4:C3707,C3708)=0,SUMIF($C$4:$C$3997,C3708,$B$4:$B$3997)-ROW()/1000000,""))</f>
        <v/>
      </c>
      <c r="E3708" s="91">
        <f>IF(N('Deal maths'!M1711)&gt;0,ROW()/10000000,"")</f>
        <v/>
      </c>
    </row>
    <row r="3709">
      <c r="A3709" s="91" t="n"/>
      <c r="B3709" s="111">
        <f>MAX(0,N('Deal maths'!M1712))</f>
        <v/>
      </c>
      <c r="C3709" s="91">
        <f>IF(B3709&gt;0,IF('Deal maths'!L1712="Local authority","Local authorities",LOWER(TRIM('Deal maths'!K1712))),"")</f>
        <v/>
      </c>
      <c r="D3709" s="91">
        <f>IF(C3709="","",IF(COUNTIF($C$4:C3708,C3709)=0,SUMIF($C$4:$C$3997,C3709,$B$4:$B$3997)-ROW()/1000000,""))</f>
        <v/>
      </c>
      <c r="E3709" s="91">
        <f>IF(N('Deal maths'!M1712)&gt;0,ROW()/10000000,"")</f>
        <v/>
      </c>
    </row>
    <row r="3710">
      <c r="A3710" s="91" t="n"/>
      <c r="B3710" s="111">
        <f>MAX(0,N('Deal maths'!M1713))</f>
        <v/>
      </c>
      <c r="C3710" s="91">
        <f>IF(B3710&gt;0,IF('Deal maths'!L1713="Local authority","Local authorities",LOWER(TRIM('Deal maths'!K1713))),"")</f>
        <v/>
      </c>
      <c r="D3710" s="91">
        <f>IF(C3710="","",IF(COUNTIF($C$4:C3709,C3710)=0,SUMIF($C$4:$C$3997,C3710,$B$4:$B$3997)-ROW()/1000000,""))</f>
        <v/>
      </c>
      <c r="E3710" s="91">
        <f>IF(N('Deal maths'!M1713)&gt;0,ROW()/10000000,"")</f>
        <v/>
      </c>
    </row>
    <row r="3711">
      <c r="A3711" s="91" t="n"/>
      <c r="B3711" s="111">
        <f>MAX(0,N('Deal maths'!M1714))</f>
        <v/>
      </c>
      <c r="C3711" s="91">
        <f>IF(B3711&gt;0,IF('Deal maths'!L1714="Local authority","Local authorities",LOWER(TRIM('Deal maths'!K1714))),"")</f>
        <v/>
      </c>
      <c r="D3711" s="91">
        <f>IF(C3711="","",IF(COUNTIF($C$4:C3710,C3711)=0,SUMIF($C$4:$C$3997,C3711,$B$4:$B$3997)-ROW()/1000000,""))</f>
        <v/>
      </c>
      <c r="E3711" s="91">
        <f>IF(N('Deal maths'!M1714)&gt;0,ROW()/10000000,"")</f>
        <v/>
      </c>
    </row>
    <row r="3712">
      <c r="A3712" s="91" t="n"/>
      <c r="B3712" s="111">
        <f>MAX(0,N('Deal maths'!M1715))</f>
        <v/>
      </c>
      <c r="C3712" s="91">
        <f>IF(B3712&gt;0,IF('Deal maths'!L1715="Local authority","Local authorities",LOWER(TRIM('Deal maths'!K1715))),"")</f>
        <v/>
      </c>
      <c r="D3712" s="91">
        <f>IF(C3712="","",IF(COUNTIF($C$4:C3711,C3712)=0,SUMIF($C$4:$C$3997,C3712,$B$4:$B$3997)-ROW()/1000000,""))</f>
        <v/>
      </c>
      <c r="E3712" s="91">
        <f>IF(N('Deal maths'!M1715)&gt;0,ROW()/10000000,"")</f>
        <v/>
      </c>
    </row>
    <row r="3713">
      <c r="A3713" s="91" t="n"/>
      <c r="B3713" s="111">
        <f>MAX(0,N('Deal maths'!M1716))</f>
        <v/>
      </c>
      <c r="C3713" s="91">
        <f>IF(B3713&gt;0,IF('Deal maths'!L1716="Local authority","Local authorities",LOWER(TRIM('Deal maths'!K1716))),"")</f>
        <v/>
      </c>
      <c r="D3713" s="91">
        <f>IF(C3713="","",IF(COUNTIF($C$4:C3712,C3713)=0,SUMIF($C$4:$C$3997,C3713,$B$4:$B$3997)-ROW()/1000000,""))</f>
        <v/>
      </c>
      <c r="E3713" s="91">
        <f>IF(N('Deal maths'!M1716)&gt;0,ROW()/10000000,"")</f>
        <v/>
      </c>
    </row>
    <row r="3714">
      <c r="A3714" s="91" t="n"/>
      <c r="B3714" s="111">
        <f>MAX(0,N('Deal maths'!M1717))</f>
        <v/>
      </c>
      <c r="C3714" s="91">
        <f>IF(B3714&gt;0,IF('Deal maths'!L1717="Local authority","Local authorities",LOWER(TRIM('Deal maths'!K1717))),"")</f>
        <v/>
      </c>
      <c r="D3714" s="91">
        <f>IF(C3714="","",IF(COUNTIF($C$4:C3713,C3714)=0,SUMIF($C$4:$C$3997,C3714,$B$4:$B$3997)-ROW()/1000000,""))</f>
        <v/>
      </c>
      <c r="E3714" s="91">
        <f>IF(N('Deal maths'!M1717)&gt;0,ROW()/10000000,"")</f>
        <v/>
      </c>
    </row>
    <row r="3715">
      <c r="A3715" s="91" t="n"/>
      <c r="B3715" s="111">
        <f>MAX(0,N('Deal maths'!M1718))</f>
        <v/>
      </c>
      <c r="C3715" s="91">
        <f>IF(B3715&gt;0,IF('Deal maths'!L1718="Local authority","Local authorities",LOWER(TRIM('Deal maths'!K1718))),"")</f>
        <v/>
      </c>
      <c r="D3715" s="91">
        <f>IF(C3715="","",IF(COUNTIF($C$4:C3714,C3715)=0,SUMIF($C$4:$C$3997,C3715,$B$4:$B$3997)-ROW()/1000000,""))</f>
        <v/>
      </c>
      <c r="E3715" s="91">
        <f>IF(N('Deal maths'!M1718)&gt;0,ROW()/10000000,"")</f>
        <v/>
      </c>
    </row>
    <row r="3716">
      <c r="A3716" s="91" t="n"/>
      <c r="B3716" s="111">
        <f>MAX(0,N('Deal maths'!M1719))</f>
        <v/>
      </c>
      <c r="C3716" s="91">
        <f>IF(B3716&gt;0,IF('Deal maths'!L1719="Local authority","Local authorities",LOWER(TRIM('Deal maths'!K1719))),"")</f>
        <v/>
      </c>
      <c r="D3716" s="91">
        <f>IF(C3716="","",IF(COUNTIF($C$4:C3715,C3716)=0,SUMIF($C$4:$C$3997,C3716,$B$4:$B$3997)-ROW()/1000000,""))</f>
        <v/>
      </c>
      <c r="E3716" s="91">
        <f>IF(N('Deal maths'!M1719)&gt;0,ROW()/10000000,"")</f>
        <v/>
      </c>
    </row>
    <row r="3717">
      <c r="A3717" s="91" t="n"/>
      <c r="B3717" s="111">
        <f>MAX(0,N('Deal maths'!M1720))</f>
        <v/>
      </c>
      <c r="C3717" s="91">
        <f>IF(B3717&gt;0,IF('Deal maths'!L1720="Local authority","Local authorities",LOWER(TRIM('Deal maths'!K1720))),"")</f>
        <v/>
      </c>
      <c r="D3717" s="91">
        <f>IF(C3717="","",IF(COUNTIF($C$4:C3716,C3717)=0,SUMIF($C$4:$C$3997,C3717,$B$4:$B$3997)-ROW()/1000000,""))</f>
        <v/>
      </c>
      <c r="E3717" s="91">
        <f>IF(N('Deal maths'!M1720)&gt;0,ROW()/10000000,"")</f>
        <v/>
      </c>
    </row>
    <row r="3718">
      <c r="A3718" s="91" t="n"/>
      <c r="B3718" s="111">
        <f>MAX(0,N('Deal maths'!M1721))</f>
        <v/>
      </c>
      <c r="C3718" s="91">
        <f>IF(B3718&gt;0,IF('Deal maths'!L1721="Local authority","Local authorities",LOWER(TRIM('Deal maths'!K1721))),"")</f>
        <v/>
      </c>
      <c r="D3718" s="91">
        <f>IF(C3718="","",IF(COUNTIF($C$4:C3717,C3718)=0,SUMIF($C$4:$C$3997,C3718,$B$4:$B$3997)-ROW()/1000000,""))</f>
        <v/>
      </c>
      <c r="E3718" s="91">
        <f>IF(N('Deal maths'!M1721)&gt;0,ROW()/10000000,"")</f>
        <v/>
      </c>
    </row>
    <row r="3719">
      <c r="A3719" s="91" t="n"/>
      <c r="B3719" s="111">
        <f>MAX(0,N('Deal maths'!M1722))</f>
        <v/>
      </c>
      <c r="C3719" s="91">
        <f>IF(B3719&gt;0,IF('Deal maths'!L1722="Local authority","Local authorities",LOWER(TRIM('Deal maths'!K1722))),"")</f>
        <v/>
      </c>
      <c r="D3719" s="91">
        <f>IF(C3719="","",IF(COUNTIF($C$4:C3718,C3719)=0,SUMIF($C$4:$C$3997,C3719,$B$4:$B$3997)-ROW()/1000000,""))</f>
        <v/>
      </c>
      <c r="E3719" s="91">
        <f>IF(N('Deal maths'!M1722)&gt;0,ROW()/10000000,"")</f>
        <v/>
      </c>
    </row>
    <row r="3720">
      <c r="A3720" s="91" t="n"/>
      <c r="B3720" s="111">
        <f>MAX(0,N('Deal maths'!M1723))</f>
        <v/>
      </c>
      <c r="C3720" s="91">
        <f>IF(B3720&gt;0,IF('Deal maths'!L1723="Local authority","Local authorities",LOWER(TRIM('Deal maths'!K1723))),"")</f>
        <v/>
      </c>
      <c r="D3720" s="91">
        <f>IF(C3720="","",IF(COUNTIF($C$4:C3719,C3720)=0,SUMIF($C$4:$C$3997,C3720,$B$4:$B$3997)-ROW()/1000000,""))</f>
        <v/>
      </c>
      <c r="E3720" s="91">
        <f>IF(N('Deal maths'!M1723)&gt;0,ROW()/10000000,"")</f>
        <v/>
      </c>
    </row>
    <row r="3721">
      <c r="A3721" s="91" t="n"/>
      <c r="B3721" s="111">
        <f>MAX(0,N('Deal maths'!M1724))</f>
        <v/>
      </c>
      <c r="C3721" s="91">
        <f>IF(B3721&gt;0,IF('Deal maths'!L1724="Local authority","Local authorities",LOWER(TRIM('Deal maths'!K1724))),"")</f>
        <v/>
      </c>
      <c r="D3721" s="91">
        <f>IF(C3721="","",IF(COUNTIF($C$4:C3720,C3721)=0,SUMIF($C$4:$C$3997,C3721,$B$4:$B$3997)-ROW()/1000000,""))</f>
        <v/>
      </c>
      <c r="E3721" s="91">
        <f>IF(N('Deal maths'!M1724)&gt;0,ROW()/10000000,"")</f>
        <v/>
      </c>
    </row>
    <row r="3722">
      <c r="A3722" s="91" t="n"/>
      <c r="B3722" s="111">
        <f>MAX(0,N('Deal maths'!M1725))</f>
        <v/>
      </c>
      <c r="C3722" s="91">
        <f>IF(B3722&gt;0,IF('Deal maths'!L1725="Local authority","Local authorities",LOWER(TRIM('Deal maths'!K1725))),"")</f>
        <v/>
      </c>
      <c r="D3722" s="91">
        <f>IF(C3722="","",IF(COUNTIF($C$4:C3721,C3722)=0,SUMIF($C$4:$C$3997,C3722,$B$4:$B$3997)-ROW()/1000000,""))</f>
        <v/>
      </c>
      <c r="E3722" s="91">
        <f>IF(N('Deal maths'!M1725)&gt;0,ROW()/10000000,"")</f>
        <v/>
      </c>
    </row>
    <row r="3723">
      <c r="A3723" s="91" t="n"/>
      <c r="B3723" s="111">
        <f>MAX(0,N('Deal maths'!M1726))</f>
        <v/>
      </c>
      <c r="C3723" s="91">
        <f>IF(B3723&gt;0,IF('Deal maths'!L1726="Local authority","Local authorities",LOWER(TRIM('Deal maths'!K1726))),"")</f>
        <v/>
      </c>
      <c r="D3723" s="91">
        <f>IF(C3723="","",IF(COUNTIF($C$4:C3722,C3723)=0,SUMIF($C$4:$C$3997,C3723,$B$4:$B$3997)-ROW()/1000000,""))</f>
        <v/>
      </c>
      <c r="E3723" s="91">
        <f>IF(N('Deal maths'!M1726)&gt;0,ROW()/10000000,"")</f>
        <v/>
      </c>
    </row>
    <row r="3724">
      <c r="A3724" s="91" t="n"/>
      <c r="B3724" s="111">
        <f>MAX(0,N('Deal maths'!M1727))</f>
        <v/>
      </c>
      <c r="C3724" s="91">
        <f>IF(B3724&gt;0,IF('Deal maths'!L1727="Local authority","Local authorities",LOWER(TRIM('Deal maths'!K1727))),"")</f>
        <v/>
      </c>
      <c r="D3724" s="91">
        <f>IF(C3724="","",IF(COUNTIF($C$4:C3723,C3724)=0,SUMIF($C$4:$C$3997,C3724,$B$4:$B$3997)-ROW()/1000000,""))</f>
        <v/>
      </c>
      <c r="E3724" s="91">
        <f>IF(N('Deal maths'!M1727)&gt;0,ROW()/10000000,"")</f>
        <v/>
      </c>
    </row>
    <row r="3725">
      <c r="A3725" s="91" t="n"/>
      <c r="B3725" s="111">
        <f>MAX(0,N('Deal maths'!M1728))</f>
        <v/>
      </c>
      <c r="C3725" s="91">
        <f>IF(B3725&gt;0,IF('Deal maths'!L1728="Local authority","Local authorities",LOWER(TRIM('Deal maths'!K1728))),"")</f>
        <v/>
      </c>
      <c r="D3725" s="91">
        <f>IF(C3725="","",IF(COUNTIF($C$4:C3724,C3725)=0,SUMIF($C$4:$C$3997,C3725,$B$4:$B$3997)-ROW()/1000000,""))</f>
        <v/>
      </c>
      <c r="E3725" s="91">
        <f>IF(N('Deal maths'!M1728)&gt;0,ROW()/10000000,"")</f>
        <v/>
      </c>
    </row>
    <row r="3726">
      <c r="A3726" s="91" t="n"/>
      <c r="B3726" s="111">
        <f>MAX(0,N('Deal maths'!M1729))</f>
        <v/>
      </c>
      <c r="C3726" s="91">
        <f>IF(B3726&gt;0,IF('Deal maths'!L1729="Local authority","Local authorities",LOWER(TRIM('Deal maths'!K1729))),"")</f>
        <v/>
      </c>
      <c r="D3726" s="91">
        <f>IF(C3726="","",IF(COUNTIF($C$4:C3725,C3726)=0,SUMIF($C$4:$C$3997,C3726,$B$4:$B$3997)-ROW()/1000000,""))</f>
        <v/>
      </c>
      <c r="E3726" s="91">
        <f>IF(N('Deal maths'!M1729)&gt;0,ROW()/10000000,"")</f>
        <v/>
      </c>
    </row>
    <row r="3727">
      <c r="A3727" s="91" t="n"/>
      <c r="B3727" s="111">
        <f>MAX(0,N('Deal maths'!M1730))</f>
        <v/>
      </c>
      <c r="C3727" s="91">
        <f>IF(B3727&gt;0,IF('Deal maths'!L1730="Local authority","Local authorities",LOWER(TRIM('Deal maths'!K1730))),"")</f>
        <v/>
      </c>
      <c r="D3727" s="91">
        <f>IF(C3727="","",IF(COUNTIF($C$4:C3726,C3727)=0,SUMIF($C$4:$C$3997,C3727,$B$4:$B$3997)-ROW()/1000000,""))</f>
        <v/>
      </c>
      <c r="E3727" s="91">
        <f>IF(N('Deal maths'!M1730)&gt;0,ROW()/10000000,"")</f>
        <v/>
      </c>
    </row>
    <row r="3728">
      <c r="A3728" s="91" t="n"/>
      <c r="B3728" s="111">
        <f>MAX(0,N('Deal maths'!M1731))</f>
        <v/>
      </c>
      <c r="C3728" s="91">
        <f>IF(B3728&gt;0,IF('Deal maths'!L1731="Local authority","Local authorities",LOWER(TRIM('Deal maths'!K1731))),"")</f>
        <v/>
      </c>
      <c r="D3728" s="91">
        <f>IF(C3728="","",IF(COUNTIF($C$4:C3727,C3728)=0,SUMIF($C$4:$C$3997,C3728,$B$4:$B$3997)-ROW()/1000000,""))</f>
        <v/>
      </c>
      <c r="E3728" s="91">
        <f>IF(N('Deal maths'!M1731)&gt;0,ROW()/10000000,"")</f>
        <v/>
      </c>
    </row>
    <row r="3729">
      <c r="A3729" s="91" t="n"/>
      <c r="B3729" s="111">
        <f>MAX(0,N('Deal maths'!M1732))</f>
        <v/>
      </c>
      <c r="C3729" s="91">
        <f>IF(B3729&gt;0,IF('Deal maths'!L1732="Local authority","Local authorities",LOWER(TRIM('Deal maths'!K1732))),"")</f>
        <v/>
      </c>
      <c r="D3729" s="91">
        <f>IF(C3729="","",IF(COUNTIF($C$4:C3728,C3729)=0,SUMIF($C$4:$C$3997,C3729,$B$4:$B$3997)-ROW()/1000000,""))</f>
        <v/>
      </c>
      <c r="E3729" s="91">
        <f>IF(N('Deal maths'!M1732)&gt;0,ROW()/10000000,"")</f>
        <v/>
      </c>
    </row>
    <row r="3730">
      <c r="A3730" s="91" t="n"/>
      <c r="B3730" s="111">
        <f>MAX(0,N('Deal maths'!M1733))</f>
        <v/>
      </c>
      <c r="C3730" s="91">
        <f>IF(B3730&gt;0,IF('Deal maths'!L1733="Local authority","Local authorities",LOWER(TRIM('Deal maths'!K1733))),"")</f>
        <v/>
      </c>
      <c r="D3730" s="91">
        <f>IF(C3730="","",IF(COUNTIF($C$4:C3729,C3730)=0,SUMIF($C$4:$C$3997,C3730,$B$4:$B$3997)-ROW()/1000000,""))</f>
        <v/>
      </c>
      <c r="E3730" s="91">
        <f>IF(N('Deal maths'!M1733)&gt;0,ROW()/10000000,"")</f>
        <v/>
      </c>
    </row>
    <row r="3731">
      <c r="A3731" s="91" t="n"/>
      <c r="B3731" s="111">
        <f>MAX(0,N('Deal maths'!M1734))</f>
        <v/>
      </c>
      <c r="C3731" s="91">
        <f>IF(B3731&gt;0,IF('Deal maths'!L1734="Local authority","Local authorities",LOWER(TRIM('Deal maths'!K1734))),"")</f>
        <v/>
      </c>
      <c r="D3731" s="91">
        <f>IF(C3731="","",IF(COUNTIF($C$4:C3730,C3731)=0,SUMIF($C$4:$C$3997,C3731,$B$4:$B$3997)-ROW()/1000000,""))</f>
        <v/>
      </c>
      <c r="E3731" s="91">
        <f>IF(N('Deal maths'!M1734)&gt;0,ROW()/10000000,"")</f>
        <v/>
      </c>
    </row>
    <row r="3732">
      <c r="A3732" s="91" t="n"/>
      <c r="B3732" s="111">
        <f>MAX(0,N('Deal maths'!M1735))</f>
        <v/>
      </c>
      <c r="C3732" s="91">
        <f>IF(B3732&gt;0,IF('Deal maths'!L1735="Local authority","Local authorities",LOWER(TRIM('Deal maths'!K1735))),"")</f>
        <v/>
      </c>
      <c r="D3732" s="91">
        <f>IF(C3732="","",IF(COUNTIF($C$4:C3731,C3732)=0,SUMIF($C$4:$C$3997,C3732,$B$4:$B$3997)-ROW()/1000000,""))</f>
        <v/>
      </c>
      <c r="E3732" s="91">
        <f>IF(N('Deal maths'!M1735)&gt;0,ROW()/10000000,"")</f>
        <v/>
      </c>
    </row>
    <row r="3733">
      <c r="A3733" s="91" t="n"/>
      <c r="B3733" s="111">
        <f>MAX(0,N('Deal maths'!M1736))</f>
        <v/>
      </c>
      <c r="C3733" s="91">
        <f>IF(B3733&gt;0,IF('Deal maths'!L1736="Local authority","Local authorities",LOWER(TRIM('Deal maths'!K1736))),"")</f>
        <v/>
      </c>
      <c r="D3733" s="91">
        <f>IF(C3733="","",IF(COUNTIF($C$4:C3732,C3733)=0,SUMIF($C$4:$C$3997,C3733,$B$4:$B$3997)-ROW()/1000000,""))</f>
        <v/>
      </c>
      <c r="E3733" s="91">
        <f>IF(N('Deal maths'!M1736)&gt;0,ROW()/10000000,"")</f>
        <v/>
      </c>
    </row>
    <row r="3734">
      <c r="A3734" s="91" t="n"/>
      <c r="B3734" s="111">
        <f>MAX(0,N('Deal maths'!M1737))</f>
        <v/>
      </c>
      <c r="C3734" s="91">
        <f>IF(B3734&gt;0,IF('Deal maths'!L1737="Local authority","Local authorities",LOWER(TRIM('Deal maths'!K1737))),"")</f>
        <v/>
      </c>
      <c r="D3734" s="91">
        <f>IF(C3734="","",IF(COUNTIF($C$4:C3733,C3734)=0,SUMIF($C$4:$C$3997,C3734,$B$4:$B$3997)-ROW()/1000000,""))</f>
        <v/>
      </c>
      <c r="E3734" s="91">
        <f>IF(N('Deal maths'!M1737)&gt;0,ROW()/10000000,"")</f>
        <v/>
      </c>
    </row>
    <row r="3735">
      <c r="A3735" s="91" t="n"/>
      <c r="B3735" s="111">
        <f>MAX(0,N('Deal maths'!M1738))</f>
        <v/>
      </c>
      <c r="C3735" s="91">
        <f>IF(B3735&gt;0,IF('Deal maths'!L1738="Local authority","Local authorities",LOWER(TRIM('Deal maths'!K1738))),"")</f>
        <v/>
      </c>
      <c r="D3735" s="91">
        <f>IF(C3735="","",IF(COUNTIF($C$4:C3734,C3735)=0,SUMIF($C$4:$C$3997,C3735,$B$4:$B$3997)-ROW()/1000000,""))</f>
        <v/>
      </c>
      <c r="E3735" s="91">
        <f>IF(N('Deal maths'!M1738)&gt;0,ROW()/10000000,"")</f>
        <v/>
      </c>
    </row>
    <row r="3736">
      <c r="A3736" s="91" t="n"/>
      <c r="B3736" s="111">
        <f>MAX(0,N('Deal maths'!M1739))</f>
        <v/>
      </c>
      <c r="C3736" s="91">
        <f>IF(B3736&gt;0,IF('Deal maths'!L1739="Local authority","Local authorities",LOWER(TRIM('Deal maths'!K1739))),"")</f>
        <v/>
      </c>
      <c r="D3736" s="91">
        <f>IF(C3736="","",IF(COUNTIF($C$4:C3735,C3736)=0,SUMIF($C$4:$C$3997,C3736,$B$4:$B$3997)-ROW()/1000000,""))</f>
        <v/>
      </c>
      <c r="E3736" s="91">
        <f>IF(N('Deal maths'!M1739)&gt;0,ROW()/10000000,"")</f>
        <v/>
      </c>
    </row>
    <row r="3737">
      <c r="A3737" s="91" t="n"/>
      <c r="B3737" s="111">
        <f>MAX(0,N('Deal maths'!M1740))</f>
        <v/>
      </c>
      <c r="C3737" s="91">
        <f>IF(B3737&gt;0,IF('Deal maths'!L1740="Local authority","Local authorities",LOWER(TRIM('Deal maths'!K1740))),"")</f>
        <v/>
      </c>
      <c r="D3737" s="91">
        <f>IF(C3737="","",IF(COUNTIF($C$4:C3736,C3737)=0,SUMIF($C$4:$C$3997,C3737,$B$4:$B$3997)-ROW()/1000000,""))</f>
        <v/>
      </c>
      <c r="E3737" s="91">
        <f>IF(N('Deal maths'!M1740)&gt;0,ROW()/10000000,"")</f>
        <v/>
      </c>
    </row>
    <row r="3738">
      <c r="A3738" s="91" t="n"/>
      <c r="B3738" s="111">
        <f>MAX(0,N('Deal maths'!M1741))</f>
        <v/>
      </c>
      <c r="C3738" s="91">
        <f>IF(B3738&gt;0,IF('Deal maths'!L1741="Local authority","Local authorities",LOWER(TRIM('Deal maths'!K1741))),"")</f>
        <v/>
      </c>
      <c r="D3738" s="91">
        <f>IF(C3738="","",IF(COUNTIF($C$4:C3737,C3738)=0,SUMIF($C$4:$C$3997,C3738,$B$4:$B$3997)-ROW()/1000000,""))</f>
        <v/>
      </c>
      <c r="E3738" s="91">
        <f>IF(N('Deal maths'!M1741)&gt;0,ROW()/10000000,"")</f>
        <v/>
      </c>
    </row>
    <row r="3739">
      <c r="A3739" s="91" t="n"/>
      <c r="B3739" s="111">
        <f>MAX(0,N('Deal maths'!M1742))</f>
        <v/>
      </c>
      <c r="C3739" s="91">
        <f>IF(B3739&gt;0,IF('Deal maths'!L1742="Local authority","Local authorities",LOWER(TRIM('Deal maths'!K1742))),"")</f>
        <v/>
      </c>
      <c r="D3739" s="91">
        <f>IF(C3739="","",IF(COUNTIF($C$4:C3738,C3739)=0,SUMIF($C$4:$C$3997,C3739,$B$4:$B$3997)-ROW()/1000000,""))</f>
        <v/>
      </c>
      <c r="E3739" s="91">
        <f>IF(N('Deal maths'!M1742)&gt;0,ROW()/10000000,"")</f>
        <v/>
      </c>
    </row>
    <row r="3740">
      <c r="A3740" s="91" t="n"/>
      <c r="B3740" s="111">
        <f>MAX(0,N('Deal maths'!M1743))</f>
        <v/>
      </c>
      <c r="C3740" s="91">
        <f>IF(B3740&gt;0,IF('Deal maths'!L1743="Local authority","Local authorities",LOWER(TRIM('Deal maths'!K1743))),"")</f>
        <v/>
      </c>
      <c r="D3740" s="91">
        <f>IF(C3740="","",IF(COUNTIF($C$4:C3739,C3740)=0,SUMIF($C$4:$C$3997,C3740,$B$4:$B$3997)-ROW()/1000000,""))</f>
        <v/>
      </c>
      <c r="E3740" s="91">
        <f>IF(N('Deal maths'!M1743)&gt;0,ROW()/10000000,"")</f>
        <v/>
      </c>
    </row>
    <row r="3741">
      <c r="A3741" s="91" t="n"/>
      <c r="B3741" s="111">
        <f>MAX(0,N('Deal maths'!M1744))</f>
        <v/>
      </c>
      <c r="C3741" s="91">
        <f>IF(B3741&gt;0,IF('Deal maths'!L1744="Local authority","Local authorities",LOWER(TRIM('Deal maths'!K1744))),"")</f>
        <v/>
      </c>
      <c r="D3741" s="91">
        <f>IF(C3741="","",IF(COUNTIF($C$4:C3740,C3741)=0,SUMIF($C$4:$C$3997,C3741,$B$4:$B$3997)-ROW()/1000000,""))</f>
        <v/>
      </c>
      <c r="E3741" s="91">
        <f>IF(N('Deal maths'!M1744)&gt;0,ROW()/10000000,"")</f>
        <v/>
      </c>
    </row>
    <row r="3742">
      <c r="A3742" s="91" t="n"/>
      <c r="B3742" s="111">
        <f>MAX(0,N('Deal maths'!M1745))</f>
        <v/>
      </c>
      <c r="C3742" s="91">
        <f>IF(B3742&gt;0,IF('Deal maths'!L1745="Local authority","Local authorities",LOWER(TRIM('Deal maths'!K1745))),"")</f>
        <v/>
      </c>
      <c r="D3742" s="91">
        <f>IF(C3742="","",IF(COUNTIF($C$4:C3741,C3742)=0,SUMIF($C$4:$C$3997,C3742,$B$4:$B$3997)-ROW()/1000000,""))</f>
        <v/>
      </c>
      <c r="E3742" s="91">
        <f>IF(N('Deal maths'!M1745)&gt;0,ROW()/10000000,"")</f>
        <v/>
      </c>
    </row>
    <row r="3743">
      <c r="A3743" s="91" t="n"/>
      <c r="B3743" s="111">
        <f>MAX(0,N('Deal maths'!M1746))</f>
        <v/>
      </c>
      <c r="C3743" s="91">
        <f>IF(B3743&gt;0,IF('Deal maths'!L1746="Local authority","Local authorities",LOWER(TRIM('Deal maths'!K1746))),"")</f>
        <v/>
      </c>
      <c r="D3743" s="91">
        <f>IF(C3743="","",IF(COUNTIF($C$4:C3742,C3743)=0,SUMIF($C$4:$C$3997,C3743,$B$4:$B$3997)-ROW()/1000000,""))</f>
        <v/>
      </c>
      <c r="E3743" s="91">
        <f>IF(N('Deal maths'!M1746)&gt;0,ROW()/10000000,"")</f>
        <v/>
      </c>
    </row>
    <row r="3744">
      <c r="A3744" s="91" t="n"/>
      <c r="B3744" s="111">
        <f>MAX(0,N('Deal maths'!M1747))</f>
        <v/>
      </c>
      <c r="C3744" s="91">
        <f>IF(B3744&gt;0,IF('Deal maths'!L1747="Local authority","Local authorities",LOWER(TRIM('Deal maths'!K1747))),"")</f>
        <v/>
      </c>
      <c r="D3744" s="91">
        <f>IF(C3744="","",IF(COUNTIF($C$4:C3743,C3744)=0,SUMIF($C$4:$C$3997,C3744,$B$4:$B$3997)-ROW()/1000000,""))</f>
        <v/>
      </c>
      <c r="E3744" s="91">
        <f>IF(N('Deal maths'!M1747)&gt;0,ROW()/10000000,"")</f>
        <v/>
      </c>
    </row>
    <row r="3745">
      <c r="A3745" s="91" t="n"/>
      <c r="B3745" s="111">
        <f>MAX(0,N('Deal maths'!M1748))</f>
        <v/>
      </c>
      <c r="C3745" s="91">
        <f>IF(B3745&gt;0,IF('Deal maths'!L1748="Local authority","Local authorities",LOWER(TRIM('Deal maths'!K1748))),"")</f>
        <v/>
      </c>
      <c r="D3745" s="91">
        <f>IF(C3745="","",IF(COUNTIF($C$4:C3744,C3745)=0,SUMIF($C$4:$C$3997,C3745,$B$4:$B$3997)-ROW()/1000000,""))</f>
        <v/>
      </c>
      <c r="E3745" s="91">
        <f>IF(N('Deal maths'!M1748)&gt;0,ROW()/10000000,"")</f>
        <v/>
      </c>
    </row>
    <row r="3746">
      <c r="A3746" s="91" t="n"/>
      <c r="B3746" s="111">
        <f>MAX(0,N('Deal maths'!M1749))</f>
        <v/>
      </c>
      <c r="C3746" s="91">
        <f>IF(B3746&gt;0,IF('Deal maths'!L1749="Local authority","Local authorities",LOWER(TRIM('Deal maths'!K1749))),"")</f>
        <v/>
      </c>
      <c r="D3746" s="91">
        <f>IF(C3746="","",IF(COUNTIF($C$4:C3745,C3746)=0,SUMIF($C$4:$C$3997,C3746,$B$4:$B$3997)-ROW()/1000000,""))</f>
        <v/>
      </c>
      <c r="E3746" s="91">
        <f>IF(N('Deal maths'!M1749)&gt;0,ROW()/10000000,"")</f>
        <v/>
      </c>
    </row>
    <row r="3747">
      <c r="A3747" s="91" t="n"/>
      <c r="B3747" s="111">
        <f>MAX(0,N('Deal maths'!M1750))</f>
        <v/>
      </c>
      <c r="C3747" s="91">
        <f>IF(B3747&gt;0,IF('Deal maths'!L1750="Local authority","Local authorities",LOWER(TRIM('Deal maths'!K1750))),"")</f>
        <v/>
      </c>
      <c r="D3747" s="91">
        <f>IF(C3747="","",IF(COUNTIF($C$4:C3746,C3747)=0,SUMIF($C$4:$C$3997,C3747,$B$4:$B$3997)-ROW()/1000000,""))</f>
        <v/>
      </c>
      <c r="E3747" s="91">
        <f>IF(N('Deal maths'!M1750)&gt;0,ROW()/10000000,"")</f>
        <v/>
      </c>
    </row>
    <row r="3748">
      <c r="A3748" s="91" t="n"/>
      <c r="B3748" s="111">
        <f>MAX(0,N('Deal maths'!M1751))</f>
        <v/>
      </c>
      <c r="C3748" s="91">
        <f>IF(B3748&gt;0,IF('Deal maths'!L1751="Local authority","Local authorities",LOWER(TRIM('Deal maths'!K1751))),"")</f>
        <v/>
      </c>
      <c r="D3748" s="91">
        <f>IF(C3748="","",IF(COUNTIF($C$4:C3747,C3748)=0,SUMIF($C$4:$C$3997,C3748,$B$4:$B$3997)-ROW()/1000000,""))</f>
        <v/>
      </c>
      <c r="E3748" s="91">
        <f>IF(N('Deal maths'!M1751)&gt;0,ROW()/10000000,"")</f>
        <v/>
      </c>
    </row>
    <row r="3749">
      <c r="A3749" s="91" t="n"/>
      <c r="B3749" s="111">
        <f>MAX(0,N('Deal maths'!M1752))</f>
        <v/>
      </c>
      <c r="C3749" s="91">
        <f>IF(B3749&gt;0,IF('Deal maths'!L1752="Local authority","Local authorities",LOWER(TRIM('Deal maths'!K1752))),"")</f>
        <v/>
      </c>
      <c r="D3749" s="91">
        <f>IF(C3749="","",IF(COUNTIF($C$4:C3748,C3749)=0,SUMIF($C$4:$C$3997,C3749,$B$4:$B$3997)-ROW()/1000000,""))</f>
        <v/>
      </c>
      <c r="E3749" s="91">
        <f>IF(N('Deal maths'!M1752)&gt;0,ROW()/10000000,"")</f>
        <v/>
      </c>
    </row>
    <row r="3750">
      <c r="A3750" s="91" t="n"/>
      <c r="B3750" s="111">
        <f>MAX(0,N('Deal maths'!M1753))</f>
        <v/>
      </c>
      <c r="C3750" s="91">
        <f>IF(B3750&gt;0,IF('Deal maths'!L1753="Local authority","Local authorities",LOWER(TRIM('Deal maths'!K1753))),"")</f>
        <v/>
      </c>
      <c r="D3750" s="91">
        <f>IF(C3750="","",IF(COUNTIF($C$4:C3749,C3750)=0,SUMIF($C$4:$C$3997,C3750,$B$4:$B$3997)-ROW()/1000000,""))</f>
        <v/>
      </c>
      <c r="E3750" s="91">
        <f>IF(N('Deal maths'!M1753)&gt;0,ROW()/10000000,"")</f>
        <v/>
      </c>
    </row>
    <row r="3751">
      <c r="A3751" s="91" t="n"/>
      <c r="B3751" s="111">
        <f>MAX(0,N('Deal maths'!M1754))</f>
        <v/>
      </c>
      <c r="C3751" s="91">
        <f>IF(B3751&gt;0,IF('Deal maths'!L1754="Local authority","Local authorities",LOWER(TRIM('Deal maths'!K1754))),"")</f>
        <v/>
      </c>
      <c r="D3751" s="91">
        <f>IF(C3751="","",IF(COUNTIF($C$4:C3750,C3751)=0,SUMIF($C$4:$C$3997,C3751,$B$4:$B$3997)-ROW()/1000000,""))</f>
        <v/>
      </c>
      <c r="E3751" s="91">
        <f>IF(N('Deal maths'!M1754)&gt;0,ROW()/10000000,"")</f>
        <v/>
      </c>
    </row>
    <row r="3752">
      <c r="A3752" s="91" t="n"/>
      <c r="B3752" s="111">
        <f>MAX(0,N('Deal maths'!M1755))</f>
        <v/>
      </c>
      <c r="C3752" s="91">
        <f>IF(B3752&gt;0,IF('Deal maths'!L1755="Local authority","Local authorities",LOWER(TRIM('Deal maths'!K1755))),"")</f>
        <v/>
      </c>
      <c r="D3752" s="91">
        <f>IF(C3752="","",IF(COUNTIF($C$4:C3751,C3752)=0,SUMIF($C$4:$C$3997,C3752,$B$4:$B$3997)-ROW()/1000000,""))</f>
        <v/>
      </c>
      <c r="E3752" s="91">
        <f>IF(N('Deal maths'!M1755)&gt;0,ROW()/10000000,"")</f>
        <v/>
      </c>
    </row>
    <row r="3753">
      <c r="A3753" s="91" t="n"/>
      <c r="B3753" s="111">
        <f>MAX(0,N('Deal maths'!M1756))</f>
        <v/>
      </c>
      <c r="C3753" s="91">
        <f>IF(B3753&gt;0,IF('Deal maths'!L1756="Local authority","Local authorities",LOWER(TRIM('Deal maths'!K1756))),"")</f>
        <v/>
      </c>
      <c r="D3753" s="91">
        <f>IF(C3753="","",IF(COUNTIF($C$4:C3752,C3753)=0,SUMIF($C$4:$C$3997,C3753,$B$4:$B$3997)-ROW()/1000000,""))</f>
        <v/>
      </c>
      <c r="E3753" s="91">
        <f>IF(N('Deal maths'!M1756)&gt;0,ROW()/10000000,"")</f>
        <v/>
      </c>
    </row>
    <row r="3754">
      <c r="A3754" s="91" t="n"/>
      <c r="B3754" s="111">
        <f>MAX(0,N('Deal maths'!M1757))</f>
        <v/>
      </c>
      <c r="C3754" s="91">
        <f>IF(B3754&gt;0,IF('Deal maths'!L1757="Local authority","Local authorities",LOWER(TRIM('Deal maths'!K1757))),"")</f>
        <v/>
      </c>
      <c r="D3754" s="91">
        <f>IF(C3754="","",IF(COUNTIF($C$4:C3753,C3754)=0,SUMIF($C$4:$C$3997,C3754,$B$4:$B$3997)-ROW()/1000000,""))</f>
        <v/>
      </c>
      <c r="E3754" s="91">
        <f>IF(N('Deal maths'!M1757)&gt;0,ROW()/10000000,"")</f>
        <v/>
      </c>
    </row>
    <row r="3755">
      <c r="A3755" s="91" t="n"/>
      <c r="B3755" s="111">
        <f>MAX(0,N('Deal maths'!M1758))</f>
        <v/>
      </c>
      <c r="C3755" s="91">
        <f>IF(B3755&gt;0,IF('Deal maths'!L1758="Local authority","Local authorities",LOWER(TRIM('Deal maths'!K1758))),"")</f>
        <v/>
      </c>
      <c r="D3755" s="91">
        <f>IF(C3755="","",IF(COUNTIF($C$4:C3754,C3755)=0,SUMIF($C$4:$C$3997,C3755,$B$4:$B$3997)-ROW()/1000000,""))</f>
        <v/>
      </c>
      <c r="E3755" s="91">
        <f>IF(N('Deal maths'!M1758)&gt;0,ROW()/10000000,"")</f>
        <v/>
      </c>
    </row>
    <row r="3756">
      <c r="A3756" s="91" t="n"/>
      <c r="B3756" s="111">
        <f>MAX(0,N('Deal maths'!M1759))</f>
        <v/>
      </c>
      <c r="C3756" s="91">
        <f>IF(B3756&gt;0,IF('Deal maths'!L1759="Local authority","Local authorities",LOWER(TRIM('Deal maths'!K1759))),"")</f>
        <v/>
      </c>
      <c r="D3756" s="91">
        <f>IF(C3756="","",IF(COUNTIF($C$4:C3755,C3756)=0,SUMIF($C$4:$C$3997,C3756,$B$4:$B$3997)-ROW()/1000000,""))</f>
        <v/>
      </c>
      <c r="E3756" s="91">
        <f>IF(N('Deal maths'!M1759)&gt;0,ROW()/10000000,"")</f>
        <v/>
      </c>
    </row>
    <row r="3757">
      <c r="A3757" s="91" t="n"/>
      <c r="B3757" s="111">
        <f>MAX(0,N('Deal maths'!M1760))</f>
        <v/>
      </c>
      <c r="C3757" s="91">
        <f>IF(B3757&gt;0,IF('Deal maths'!L1760="Local authority","Local authorities",LOWER(TRIM('Deal maths'!K1760))),"")</f>
        <v/>
      </c>
      <c r="D3757" s="91">
        <f>IF(C3757="","",IF(COUNTIF($C$4:C3756,C3757)=0,SUMIF($C$4:$C$3997,C3757,$B$4:$B$3997)-ROW()/1000000,""))</f>
        <v/>
      </c>
      <c r="E3757" s="91">
        <f>IF(N('Deal maths'!M1760)&gt;0,ROW()/10000000,"")</f>
        <v/>
      </c>
    </row>
    <row r="3758">
      <c r="A3758" s="91" t="n"/>
      <c r="B3758" s="111">
        <f>MAX(0,N('Deal maths'!M1761))</f>
        <v/>
      </c>
      <c r="C3758" s="91">
        <f>IF(B3758&gt;0,IF('Deal maths'!L1761="Local authority","Local authorities",LOWER(TRIM('Deal maths'!K1761))),"")</f>
        <v/>
      </c>
      <c r="D3758" s="91">
        <f>IF(C3758="","",IF(COUNTIF($C$4:C3757,C3758)=0,SUMIF($C$4:$C$3997,C3758,$B$4:$B$3997)-ROW()/1000000,""))</f>
        <v/>
      </c>
      <c r="E3758" s="91">
        <f>IF(N('Deal maths'!M1761)&gt;0,ROW()/10000000,"")</f>
        <v/>
      </c>
    </row>
    <row r="3759">
      <c r="A3759" s="91" t="n"/>
      <c r="B3759" s="111">
        <f>MAX(0,N('Deal maths'!M1762))</f>
        <v/>
      </c>
      <c r="C3759" s="91">
        <f>IF(B3759&gt;0,IF('Deal maths'!L1762="Local authority","Local authorities",LOWER(TRIM('Deal maths'!K1762))),"")</f>
        <v/>
      </c>
      <c r="D3759" s="91">
        <f>IF(C3759="","",IF(COUNTIF($C$4:C3758,C3759)=0,SUMIF($C$4:$C$3997,C3759,$B$4:$B$3997)-ROW()/1000000,""))</f>
        <v/>
      </c>
      <c r="E3759" s="91">
        <f>IF(N('Deal maths'!M1762)&gt;0,ROW()/10000000,"")</f>
        <v/>
      </c>
    </row>
    <row r="3760">
      <c r="A3760" s="91" t="n"/>
      <c r="B3760" s="111">
        <f>MAX(0,N('Deal maths'!M1763))</f>
        <v/>
      </c>
      <c r="C3760" s="91">
        <f>IF(B3760&gt;0,IF('Deal maths'!L1763="Local authority","Local authorities",LOWER(TRIM('Deal maths'!K1763))),"")</f>
        <v/>
      </c>
      <c r="D3760" s="91">
        <f>IF(C3760="","",IF(COUNTIF($C$4:C3759,C3760)=0,SUMIF($C$4:$C$3997,C3760,$B$4:$B$3997)-ROW()/1000000,""))</f>
        <v/>
      </c>
      <c r="E3760" s="91">
        <f>IF(N('Deal maths'!M1763)&gt;0,ROW()/10000000,"")</f>
        <v/>
      </c>
    </row>
    <row r="3761">
      <c r="A3761" s="91" t="n"/>
      <c r="B3761" s="111">
        <f>MAX(0,N('Deal maths'!M1764))</f>
        <v/>
      </c>
      <c r="C3761" s="91">
        <f>IF(B3761&gt;0,IF('Deal maths'!L1764="Local authority","Local authorities",LOWER(TRIM('Deal maths'!K1764))),"")</f>
        <v/>
      </c>
      <c r="D3761" s="91">
        <f>IF(C3761="","",IF(COUNTIF($C$4:C3760,C3761)=0,SUMIF($C$4:$C$3997,C3761,$B$4:$B$3997)-ROW()/1000000,""))</f>
        <v/>
      </c>
      <c r="E3761" s="91">
        <f>IF(N('Deal maths'!M1764)&gt;0,ROW()/10000000,"")</f>
        <v/>
      </c>
    </row>
    <row r="3762">
      <c r="A3762" s="91" t="n"/>
      <c r="B3762" s="111">
        <f>MAX(0,N('Deal maths'!M1765))</f>
        <v/>
      </c>
      <c r="C3762" s="91">
        <f>IF(B3762&gt;0,IF('Deal maths'!L1765="Local authority","Local authorities",LOWER(TRIM('Deal maths'!K1765))),"")</f>
        <v/>
      </c>
      <c r="D3762" s="91">
        <f>IF(C3762="","",IF(COUNTIF($C$4:C3761,C3762)=0,SUMIF($C$4:$C$3997,C3762,$B$4:$B$3997)-ROW()/1000000,""))</f>
        <v/>
      </c>
      <c r="E3762" s="91">
        <f>IF(N('Deal maths'!M1765)&gt;0,ROW()/10000000,"")</f>
        <v/>
      </c>
    </row>
    <row r="3763">
      <c r="A3763" s="91" t="n"/>
      <c r="B3763" s="111">
        <f>MAX(0,N('Deal maths'!M1766))</f>
        <v/>
      </c>
      <c r="C3763" s="91">
        <f>IF(B3763&gt;0,IF('Deal maths'!L1766="Local authority","Local authorities",LOWER(TRIM('Deal maths'!K1766))),"")</f>
        <v/>
      </c>
      <c r="D3763" s="91">
        <f>IF(C3763="","",IF(COUNTIF($C$4:C3762,C3763)=0,SUMIF($C$4:$C$3997,C3763,$B$4:$B$3997)-ROW()/1000000,""))</f>
        <v/>
      </c>
      <c r="E3763" s="91">
        <f>IF(N('Deal maths'!M1766)&gt;0,ROW()/10000000,"")</f>
        <v/>
      </c>
    </row>
    <row r="3764">
      <c r="A3764" s="91" t="n"/>
      <c r="B3764" s="111">
        <f>MAX(0,N('Deal maths'!M1767))</f>
        <v/>
      </c>
      <c r="C3764" s="91">
        <f>IF(B3764&gt;0,IF('Deal maths'!L1767="Local authority","Local authorities",LOWER(TRIM('Deal maths'!K1767))),"")</f>
        <v/>
      </c>
      <c r="D3764" s="91">
        <f>IF(C3764="","",IF(COUNTIF($C$4:C3763,C3764)=0,SUMIF($C$4:$C$3997,C3764,$B$4:$B$3997)-ROW()/1000000,""))</f>
        <v/>
      </c>
      <c r="E3764" s="91">
        <f>IF(N('Deal maths'!M1767)&gt;0,ROW()/10000000,"")</f>
        <v/>
      </c>
    </row>
    <row r="3765">
      <c r="A3765" s="91" t="n"/>
      <c r="B3765" s="111">
        <f>MAX(0,N('Deal maths'!M1768))</f>
        <v/>
      </c>
      <c r="C3765" s="91">
        <f>IF(B3765&gt;0,IF('Deal maths'!L1768="Local authority","Local authorities",LOWER(TRIM('Deal maths'!K1768))),"")</f>
        <v/>
      </c>
      <c r="D3765" s="91">
        <f>IF(C3765="","",IF(COUNTIF($C$4:C3764,C3765)=0,SUMIF($C$4:$C$3997,C3765,$B$4:$B$3997)-ROW()/1000000,""))</f>
        <v/>
      </c>
      <c r="E3765" s="91">
        <f>IF(N('Deal maths'!M1768)&gt;0,ROW()/10000000,"")</f>
        <v/>
      </c>
    </row>
    <row r="3766">
      <c r="A3766" s="91" t="n"/>
      <c r="B3766" s="111">
        <f>MAX(0,N('Deal maths'!M1769))</f>
        <v/>
      </c>
      <c r="C3766" s="91">
        <f>IF(B3766&gt;0,IF('Deal maths'!L1769="Local authority","Local authorities",LOWER(TRIM('Deal maths'!K1769))),"")</f>
        <v/>
      </c>
      <c r="D3766" s="91">
        <f>IF(C3766="","",IF(COUNTIF($C$4:C3765,C3766)=0,SUMIF($C$4:$C$3997,C3766,$B$4:$B$3997)-ROW()/1000000,""))</f>
        <v/>
      </c>
      <c r="E3766" s="91">
        <f>IF(N('Deal maths'!M1769)&gt;0,ROW()/10000000,"")</f>
        <v/>
      </c>
    </row>
    <row r="3767">
      <c r="A3767" s="91" t="n"/>
      <c r="B3767" s="111">
        <f>MAX(0,N('Deal maths'!M1770))</f>
        <v/>
      </c>
      <c r="C3767" s="91">
        <f>IF(B3767&gt;0,IF('Deal maths'!L1770="Local authority","Local authorities",LOWER(TRIM('Deal maths'!K1770))),"")</f>
        <v/>
      </c>
      <c r="D3767" s="91">
        <f>IF(C3767="","",IF(COUNTIF($C$4:C3766,C3767)=0,SUMIF($C$4:$C$3997,C3767,$B$4:$B$3997)-ROW()/1000000,""))</f>
        <v/>
      </c>
      <c r="E3767" s="91">
        <f>IF(N('Deal maths'!M1770)&gt;0,ROW()/10000000,"")</f>
        <v/>
      </c>
    </row>
    <row r="3768">
      <c r="A3768" s="91" t="n"/>
      <c r="B3768" s="111">
        <f>MAX(0,N('Deal maths'!M1771))</f>
        <v/>
      </c>
      <c r="C3768" s="91">
        <f>IF(B3768&gt;0,IF('Deal maths'!L1771="Local authority","Local authorities",LOWER(TRIM('Deal maths'!K1771))),"")</f>
        <v/>
      </c>
      <c r="D3768" s="91">
        <f>IF(C3768="","",IF(COUNTIF($C$4:C3767,C3768)=0,SUMIF($C$4:$C$3997,C3768,$B$4:$B$3997)-ROW()/1000000,""))</f>
        <v/>
      </c>
      <c r="E3768" s="91">
        <f>IF(N('Deal maths'!M1771)&gt;0,ROW()/10000000,"")</f>
        <v/>
      </c>
    </row>
    <row r="3769">
      <c r="A3769" s="91" t="n"/>
      <c r="B3769" s="111">
        <f>MAX(0,N('Deal maths'!M1772))</f>
        <v/>
      </c>
      <c r="C3769" s="91">
        <f>IF(B3769&gt;0,IF('Deal maths'!L1772="Local authority","Local authorities",LOWER(TRIM('Deal maths'!K1772))),"")</f>
        <v/>
      </c>
      <c r="D3769" s="91">
        <f>IF(C3769="","",IF(COUNTIF($C$4:C3768,C3769)=0,SUMIF($C$4:$C$3997,C3769,$B$4:$B$3997)-ROW()/1000000,""))</f>
        <v/>
      </c>
      <c r="E3769" s="91">
        <f>IF(N('Deal maths'!M1772)&gt;0,ROW()/10000000,"")</f>
        <v/>
      </c>
    </row>
    <row r="3770">
      <c r="A3770" s="91" t="n"/>
      <c r="B3770" s="111">
        <f>MAX(0,N('Deal maths'!M1773))</f>
        <v/>
      </c>
      <c r="C3770" s="91">
        <f>IF(B3770&gt;0,IF('Deal maths'!L1773="Local authority","Local authorities",LOWER(TRIM('Deal maths'!K1773))),"")</f>
        <v/>
      </c>
      <c r="D3770" s="91">
        <f>IF(C3770="","",IF(COUNTIF($C$4:C3769,C3770)=0,SUMIF($C$4:$C$3997,C3770,$B$4:$B$3997)-ROW()/1000000,""))</f>
        <v/>
      </c>
      <c r="E3770" s="91">
        <f>IF(N('Deal maths'!M1773)&gt;0,ROW()/10000000,"")</f>
        <v/>
      </c>
    </row>
    <row r="3771">
      <c r="A3771" s="91" t="n"/>
      <c r="B3771" s="111">
        <f>MAX(0,N('Deal maths'!M1774))</f>
        <v/>
      </c>
      <c r="C3771" s="91">
        <f>IF(B3771&gt;0,IF('Deal maths'!L1774="Local authority","Local authorities",LOWER(TRIM('Deal maths'!K1774))),"")</f>
        <v/>
      </c>
      <c r="D3771" s="91">
        <f>IF(C3771="","",IF(COUNTIF($C$4:C3770,C3771)=0,SUMIF($C$4:$C$3997,C3771,$B$4:$B$3997)-ROW()/1000000,""))</f>
        <v/>
      </c>
      <c r="E3771" s="91">
        <f>IF(N('Deal maths'!M1774)&gt;0,ROW()/10000000,"")</f>
        <v/>
      </c>
    </row>
    <row r="3772">
      <c r="A3772" s="91" t="n"/>
      <c r="B3772" s="111">
        <f>MAX(0,N('Deal maths'!M1775))</f>
        <v/>
      </c>
      <c r="C3772" s="91">
        <f>IF(B3772&gt;0,IF('Deal maths'!L1775="Local authority","Local authorities",LOWER(TRIM('Deal maths'!K1775))),"")</f>
        <v/>
      </c>
      <c r="D3772" s="91">
        <f>IF(C3772="","",IF(COUNTIF($C$4:C3771,C3772)=0,SUMIF($C$4:$C$3997,C3772,$B$4:$B$3997)-ROW()/1000000,""))</f>
        <v/>
      </c>
      <c r="E3772" s="91">
        <f>IF(N('Deal maths'!M1775)&gt;0,ROW()/10000000,"")</f>
        <v/>
      </c>
    </row>
    <row r="3773">
      <c r="A3773" s="91" t="n"/>
      <c r="B3773" s="111">
        <f>MAX(0,N('Deal maths'!M1776))</f>
        <v/>
      </c>
      <c r="C3773" s="91">
        <f>IF(B3773&gt;0,IF('Deal maths'!L1776="Local authority","Local authorities",LOWER(TRIM('Deal maths'!K1776))),"")</f>
        <v/>
      </c>
      <c r="D3773" s="91">
        <f>IF(C3773="","",IF(COUNTIF($C$4:C3772,C3773)=0,SUMIF($C$4:$C$3997,C3773,$B$4:$B$3997)-ROW()/1000000,""))</f>
        <v/>
      </c>
      <c r="E3773" s="91">
        <f>IF(N('Deal maths'!M1776)&gt;0,ROW()/10000000,"")</f>
        <v/>
      </c>
    </row>
    <row r="3774">
      <c r="A3774" s="91" t="n"/>
      <c r="B3774" s="111">
        <f>MAX(0,N('Deal maths'!M1777))</f>
        <v/>
      </c>
      <c r="C3774" s="91">
        <f>IF(B3774&gt;0,IF('Deal maths'!L1777="Local authority","Local authorities",LOWER(TRIM('Deal maths'!K1777))),"")</f>
        <v/>
      </c>
      <c r="D3774" s="91">
        <f>IF(C3774="","",IF(COUNTIF($C$4:C3773,C3774)=0,SUMIF($C$4:$C$3997,C3774,$B$4:$B$3997)-ROW()/1000000,""))</f>
        <v/>
      </c>
      <c r="E3774" s="91">
        <f>IF(N('Deal maths'!M1777)&gt;0,ROW()/10000000,"")</f>
        <v/>
      </c>
    </row>
    <row r="3775">
      <c r="A3775" s="91" t="n"/>
      <c r="B3775" s="111">
        <f>MAX(0,N('Deal maths'!M1778))</f>
        <v/>
      </c>
      <c r="C3775" s="91">
        <f>IF(B3775&gt;0,IF('Deal maths'!L1778="Local authority","Local authorities",LOWER(TRIM('Deal maths'!K1778))),"")</f>
        <v/>
      </c>
      <c r="D3775" s="91">
        <f>IF(C3775="","",IF(COUNTIF($C$4:C3774,C3775)=0,SUMIF($C$4:$C$3997,C3775,$B$4:$B$3997)-ROW()/1000000,""))</f>
        <v/>
      </c>
      <c r="E3775" s="91">
        <f>IF(N('Deal maths'!M1778)&gt;0,ROW()/10000000,"")</f>
        <v/>
      </c>
    </row>
    <row r="3776">
      <c r="A3776" s="91" t="n"/>
      <c r="B3776" s="111">
        <f>MAX(0,N('Deal maths'!M1779))</f>
        <v/>
      </c>
      <c r="C3776" s="91">
        <f>IF(B3776&gt;0,IF('Deal maths'!L1779="Local authority","Local authorities",LOWER(TRIM('Deal maths'!K1779))),"")</f>
        <v/>
      </c>
      <c r="D3776" s="91">
        <f>IF(C3776="","",IF(COUNTIF($C$4:C3775,C3776)=0,SUMIF($C$4:$C$3997,C3776,$B$4:$B$3997)-ROW()/1000000,""))</f>
        <v/>
      </c>
      <c r="E3776" s="91">
        <f>IF(N('Deal maths'!M1779)&gt;0,ROW()/10000000,"")</f>
        <v/>
      </c>
    </row>
    <row r="3777">
      <c r="A3777" s="91" t="n"/>
      <c r="B3777" s="111">
        <f>MAX(0,N('Deal maths'!M1780))</f>
        <v/>
      </c>
      <c r="C3777" s="91">
        <f>IF(B3777&gt;0,IF('Deal maths'!L1780="Local authority","Local authorities",LOWER(TRIM('Deal maths'!K1780))),"")</f>
        <v/>
      </c>
      <c r="D3777" s="91">
        <f>IF(C3777="","",IF(COUNTIF($C$4:C3776,C3777)=0,SUMIF($C$4:$C$3997,C3777,$B$4:$B$3997)-ROW()/1000000,""))</f>
        <v/>
      </c>
      <c r="E3777" s="91">
        <f>IF(N('Deal maths'!M1780)&gt;0,ROW()/10000000,"")</f>
        <v/>
      </c>
    </row>
    <row r="3778">
      <c r="A3778" s="91" t="n"/>
      <c r="B3778" s="111">
        <f>MAX(0,N('Deal maths'!M1781))</f>
        <v/>
      </c>
      <c r="C3778" s="91">
        <f>IF(B3778&gt;0,IF('Deal maths'!L1781="Local authority","Local authorities",LOWER(TRIM('Deal maths'!K1781))),"")</f>
        <v/>
      </c>
      <c r="D3778" s="91">
        <f>IF(C3778="","",IF(COUNTIF($C$4:C3777,C3778)=0,SUMIF($C$4:$C$3997,C3778,$B$4:$B$3997)-ROW()/1000000,""))</f>
        <v/>
      </c>
      <c r="E3778" s="91">
        <f>IF(N('Deal maths'!M1781)&gt;0,ROW()/10000000,"")</f>
        <v/>
      </c>
    </row>
    <row r="3779">
      <c r="A3779" s="91" t="n"/>
      <c r="B3779" s="111">
        <f>MAX(0,N('Deal maths'!M1782))</f>
        <v/>
      </c>
      <c r="C3779" s="91">
        <f>IF(B3779&gt;0,IF('Deal maths'!L1782="Local authority","Local authorities",LOWER(TRIM('Deal maths'!K1782))),"")</f>
        <v/>
      </c>
      <c r="D3779" s="91">
        <f>IF(C3779="","",IF(COUNTIF($C$4:C3778,C3779)=0,SUMIF($C$4:$C$3997,C3779,$B$4:$B$3997)-ROW()/1000000,""))</f>
        <v/>
      </c>
      <c r="E3779" s="91">
        <f>IF(N('Deal maths'!M1782)&gt;0,ROW()/10000000,"")</f>
        <v/>
      </c>
    </row>
    <row r="3780">
      <c r="A3780" s="91" t="n"/>
      <c r="B3780" s="111">
        <f>MAX(0,N('Deal maths'!M1783))</f>
        <v/>
      </c>
      <c r="C3780" s="91">
        <f>IF(B3780&gt;0,IF('Deal maths'!L1783="Local authority","Local authorities",LOWER(TRIM('Deal maths'!K1783))),"")</f>
        <v/>
      </c>
      <c r="D3780" s="91">
        <f>IF(C3780="","",IF(COUNTIF($C$4:C3779,C3780)=0,SUMIF($C$4:$C$3997,C3780,$B$4:$B$3997)-ROW()/1000000,""))</f>
        <v/>
      </c>
      <c r="E3780" s="91">
        <f>IF(N('Deal maths'!M1783)&gt;0,ROW()/10000000,"")</f>
        <v/>
      </c>
    </row>
    <row r="3781">
      <c r="A3781" s="91" t="n"/>
      <c r="B3781" s="111">
        <f>MAX(0,N('Deal maths'!M1784))</f>
        <v/>
      </c>
      <c r="C3781" s="91">
        <f>IF(B3781&gt;0,IF('Deal maths'!L1784="Local authority","Local authorities",LOWER(TRIM('Deal maths'!K1784))),"")</f>
        <v/>
      </c>
      <c r="D3781" s="91">
        <f>IF(C3781="","",IF(COUNTIF($C$4:C3780,C3781)=0,SUMIF($C$4:$C$3997,C3781,$B$4:$B$3997)-ROW()/1000000,""))</f>
        <v/>
      </c>
      <c r="E3781" s="91">
        <f>IF(N('Deal maths'!M1784)&gt;0,ROW()/10000000,"")</f>
        <v/>
      </c>
    </row>
    <row r="3782">
      <c r="A3782" s="91" t="n"/>
      <c r="B3782" s="111">
        <f>MAX(0,N('Deal maths'!M1785))</f>
        <v/>
      </c>
      <c r="C3782" s="91">
        <f>IF(B3782&gt;0,IF('Deal maths'!L1785="Local authority","Local authorities",LOWER(TRIM('Deal maths'!K1785))),"")</f>
        <v/>
      </c>
      <c r="D3782" s="91">
        <f>IF(C3782="","",IF(COUNTIF($C$4:C3781,C3782)=0,SUMIF($C$4:$C$3997,C3782,$B$4:$B$3997)-ROW()/1000000,""))</f>
        <v/>
      </c>
      <c r="E3782" s="91">
        <f>IF(N('Deal maths'!M1785)&gt;0,ROW()/10000000,"")</f>
        <v/>
      </c>
    </row>
    <row r="3783">
      <c r="A3783" s="91" t="n"/>
      <c r="B3783" s="111">
        <f>MAX(0,N('Deal maths'!M1786))</f>
        <v/>
      </c>
      <c r="C3783" s="91">
        <f>IF(B3783&gt;0,IF('Deal maths'!L1786="Local authority","Local authorities",LOWER(TRIM('Deal maths'!K1786))),"")</f>
        <v/>
      </c>
      <c r="D3783" s="91">
        <f>IF(C3783="","",IF(COUNTIF($C$4:C3782,C3783)=0,SUMIF($C$4:$C$3997,C3783,$B$4:$B$3997)-ROW()/1000000,""))</f>
        <v/>
      </c>
      <c r="E3783" s="91">
        <f>IF(N('Deal maths'!M1786)&gt;0,ROW()/10000000,"")</f>
        <v/>
      </c>
    </row>
    <row r="3784">
      <c r="A3784" s="91" t="n"/>
      <c r="B3784" s="111">
        <f>MAX(0,N('Deal maths'!M1787))</f>
        <v/>
      </c>
      <c r="C3784" s="91">
        <f>IF(B3784&gt;0,IF('Deal maths'!L1787="Local authority","Local authorities",LOWER(TRIM('Deal maths'!K1787))),"")</f>
        <v/>
      </c>
      <c r="D3784" s="91">
        <f>IF(C3784="","",IF(COUNTIF($C$4:C3783,C3784)=0,SUMIF($C$4:$C$3997,C3784,$B$4:$B$3997)-ROW()/1000000,""))</f>
        <v/>
      </c>
      <c r="E3784" s="91">
        <f>IF(N('Deal maths'!M1787)&gt;0,ROW()/10000000,"")</f>
        <v/>
      </c>
    </row>
    <row r="3785">
      <c r="A3785" s="91" t="n"/>
      <c r="B3785" s="111">
        <f>MAX(0,N('Deal maths'!M1788))</f>
        <v/>
      </c>
      <c r="C3785" s="91">
        <f>IF(B3785&gt;0,IF('Deal maths'!L1788="Local authority","Local authorities",LOWER(TRIM('Deal maths'!K1788))),"")</f>
        <v/>
      </c>
      <c r="D3785" s="91">
        <f>IF(C3785="","",IF(COUNTIF($C$4:C3784,C3785)=0,SUMIF($C$4:$C$3997,C3785,$B$4:$B$3997)-ROW()/1000000,""))</f>
        <v/>
      </c>
      <c r="E3785" s="91">
        <f>IF(N('Deal maths'!M1788)&gt;0,ROW()/10000000,"")</f>
        <v/>
      </c>
    </row>
    <row r="3786">
      <c r="A3786" s="91" t="n"/>
      <c r="B3786" s="111">
        <f>MAX(0,N('Deal maths'!M1789))</f>
        <v/>
      </c>
      <c r="C3786" s="91">
        <f>IF(B3786&gt;0,IF('Deal maths'!L1789="Local authority","Local authorities",LOWER(TRIM('Deal maths'!K1789))),"")</f>
        <v/>
      </c>
      <c r="D3786" s="91">
        <f>IF(C3786="","",IF(COUNTIF($C$4:C3785,C3786)=0,SUMIF($C$4:$C$3997,C3786,$B$4:$B$3997)-ROW()/1000000,""))</f>
        <v/>
      </c>
      <c r="E3786" s="91">
        <f>IF(N('Deal maths'!M1789)&gt;0,ROW()/10000000,"")</f>
        <v/>
      </c>
    </row>
    <row r="3787">
      <c r="A3787" s="91" t="n"/>
      <c r="B3787" s="111">
        <f>MAX(0,N('Deal maths'!M1790))</f>
        <v/>
      </c>
      <c r="C3787" s="91">
        <f>IF(B3787&gt;0,IF('Deal maths'!L1790="Local authority","Local authorities",LOWER(TRIM('Deal maths'!K1790))),"")</f>
        <v/>
      </c>
      <c r="D3787" s="91">
        <f>IF(C3787="","",IF(COUNTIF($C$4:C3786,C3787)=0,SUMIF($C$4:$C$3997,C3787,$B$4:$B$3997)-ROW()/1000000,""))</f>
        <v/>
      </c>
      <c r="E3787" s="91">
        <f>IF(N('Deal maths'!M1790)&gt;0,ROW()/10000000,"")</f>
        <v/>
      </c>
    </row>
    <row r="3788">
      <c r="A3788" s="91" t="n"/>
      <c r="B3788" s="111">
        <f>MAX(0,N('Deal maths'!M1791))</f>
        <v/>
      </c>
      <c r="C3788" s="91">
        <f>IF(B3788&gt;0,IF('Deal maths'!L1791="Local authority","Local authorities",LOWER(TRIM('Deal maths'!K1791))),"")</f>
        <v/>
      </c>
      <c r="D3788" s="91">
        <f>IF(C3788="","",IF(COUNTIF($C$4:C3787,C3788)=0,SUMIF($C$4:$C$3997,C3788,$B$4:$B$3997)-ROW()/1000000,""))</f>
        <v/>
      </c>
      <c r="E3788" s="91">
        <f>IF(N('Deal maths'!M1791)&gt;0,ROW()/10000000,"")</f>
        <v/>
      </c>
    </row>
    <row r="3789">
      <c r="A3789" s="91" t="n"/>
      <c r="B3789" s="111">
        <f>MAX(0,N('Deal maths'!M1792))</f>
        <v/>
      </c>
      <c r="C3789" s="91">
        <f>IF(B3789&gt;0,IF('Deal maths'!L1792="Local authority","Local authorities",LOWER(TRIM('Deal maths'!K1792))),"")</f>
        <v/>
      </c>
      <c r="D3789" s="91">
        <f>IF(C3789="","",IF(COUNTIF($C$4:C3788,C3789)=0,SUMIF($C$4:$C$3997,C3789,$B$4:$B$3997)-ROW()/1000000,""))</f>
        <v/>
      </c>
      <c r="E3789" s="91">
        <f>IF(N('Deal maths'!M1792)&gt;0,ROW()/10000000,"")</f>
        <v/>
      </c>
    </row>
    <row r="3790">
      <c r="A3790" s="91" t="n"/>
      <c r="B3790" s="111">
        <f>MAX(0,N('Deal maths'!M1793))</f>
        <v/>
      </c>
      <c r="C3790" s="91">
        <f>IF(B3790&gt;0,IF('Deal maths'!L1793="Local authority","Local authorities",LOWER(TRIM('Deal maths'!K1793))),"")</f>
        <v/>
      </c>
      <c r="D3790" s="91">
        <f>IF(C3790="","",IF(COUNTIF($C$4:C3789,C3790)=0,SUMIF($C$4:$C$3997,C3790,$B$4:$B$3997)-ROW()/1000000,""))</f>
        <v/>
      </c>
      <c r="E3790" s="91">
        <f>IF(N('Deal maths'!M1793)&gt;0,ROW()/10000000,"")</f>
        <v/>
      </c>
    </row>
    <row r="3791">
      <c r="A3791" s="91" t="n"/>
      <c r="B3791" s="111">
        <f>MAX(0,N('Deal maths'!M1794))</f>
        <v/>
      </c>
      <c r="C3791" s="91">
        <f>IF(B3791&gt;0,IF('Deal maths'!L1794="Local authority","Local authorities",LOWER(TRIM('Deal maths'!K1794))),"")</f>
        <v/>
      </c>
      <c r="D3791" s="91">
        <f>IF(C3791="","",IF(COUNTIF($C$4:C3790,C3791)=0,SUMIF($C$4:$C$3997,C3791,$B$4:$B$3997)-ROW()/1000000,""))</f>
        <v/>
      </c>
      <c r="E3791" s="91">
        <f>IF(N('Deal maths'!M1794)&gt;0,ROW()/10000000,"")</f>
        <v/>
      </c>
    </row>
    <row r="3792">
      <c r="A3792" s="91" t="n"/>
      <c r="B3792" s="111">
        <f>MAX(0,N('Deal maths'!M1795))</f>
        <v/>
      </c>
      <c r="C3792" s="91">
        <f>IF(B3792&gt;0,IF('Deal maths'!L1795="Local authority","Local authorities",LOWER(TRIM('Deal maths'!K1795))),"")</f>
        <v/>
      </c>
      <c r="D3792" s="91">
        <f>IF(C3792="","",IF(COUNTIF($C$4:C3791,C3792)=0,SUMIF($C$4:$C$3997,C3792,$B$4:$B$3997)-ROW()/1000000,""))</f>
        <v/>
      </c>
      <c r="E3792" s="91">
        <f>IF(N('Deal maths'!M1795)&gt;0,ROW()/10000000,"")</f>
        <v/>
      </c>
    </row>
    <row r="3793">
      <c r="A3793" s="91" t="n"/>
      <c r="B3793" s="111">
        <f>MAX(0,N('Deal maths'!M1796))</f>
        <v/>
      </c>
      <c r="C3793" s="91">
        <f>IF(B3793&gt;0,IF('Deal maths'!L1796="Local authority","Local authorities",LOWER(TRIM('Deal maths'!K1796))),"")</f>
        <v/>
      </c>
      <c r="D3793" s="91">
        <f>IF(C3793="","",IF(COUNTIF($C$4:C3792,C3793)=0,SUMIF($C$4:$C$3997,C3793,$B$4:$B$3997)-ROW()/1000000,""))</f>
        <v/>
      </c>
      <c r="E3793" s="91">
        <f>IF(N('Deal maths'!M1796)&gt;0,ROW()/10000000,"")</f>
        <v/>
      </c>
    </row>
    <row r="3794">
      <c r="A3794" s="91" t="n"/>
      <c r="B3794" s="111">
        <f>MAX(0,N('Deal maths'!M1797))</f>
        <v/>
      </c>
      <c r="C3794" s="91">
        <f>IF(B3794&gt;0,IF('Deal maths'!L1797="Local authority","Local authorities",LOWER(TRIM('Deal maths'!K1797))),"")</f>
        <v/>
      </c>
      <c r="D3794" s="91">
        <f>IF(C3794="","",IF(COUNTIF($C$4:C3793,C3794)=0,SUMIF($C$4:$C$3997,C3794,$B$4:$B$3997)-ROW()/1000000,""))</f>
        <v/>
      </c>
      <c r="E3794" s="91">
        <f>IF(N('Deal maths'!M1797)&gt;0,ROW()/10000000,"")</f>
        <v/>
      </c>
    </row>
    <row r="3795">
      <c r="A3795" s="91" t="n"/>
      <c r="B3795" s="111">
        <f>MAX(0,N('Deal maths'!M1798))</f>
        <v/>
      </c>
      <c r="C3795" s="91">
        <f>IF(B3795&gt;0,IF('Deal maths'!L1798="Local authority","Local authorities",LOWER(TRIM('Deal maths'!K1798))),"")</f>
        <v/>
      </c>
      <c r="D3795" s="91">
        <f>IF(C3795="","",IF(COUNTIF($C$4:C3794,C3795)=0,SUMIF($C$4:$C$3997,C3795,$B$4:$B$3997)-ROW()/1000000,""))</f>
        <v/>
      </c>
      <c r="E3795" s="91">
        <f>IF(N('Deal maths'!M1798)&gt;0,ROW()/10000000,"")</f>
        <v/>
      </c>
    </row>
    <row r="3796">
      <c r="A3796" s="91" t="n"/>
      <c r="B3796" s="111">
        <f>MAX(0,N('Deal maths'!M1799))</f>
        <v/>
      </c>
      <c r="C3796" s="91">
        <f>IF(B3796&gt;0,IF('Deal maths'!L1799="Local authority","Local authorities",LOWER(TRIM('Deal maths'!K1799))),"")</f>
        <v/>
      </c>
      <c r="D3796" s="91">
        <f>IF(C3796="","",IF(COUNTIF($C$4:C3795,C3796)=0,SUMIF($C$4:$C$3997,C3796,$B$4:$B$3997)-ROW()/1000000,""))</f>
        <v/>
      </c>
      <c r="E3796" s="91">
        <f>IF(N('Deal maths'!M1799)&gt;0,ROW()/10000000,"")</f>
        <v/>
      </c>
    </row>
    <row r="3797">
      <c r="A3797" s="91" t="n"/>
      <c r="B3797" s="111">
        <f>MAX(0,N('Deal maths'!M1800))</f>
        <v/>
      </c>
      <c r="C3797" s="91">
        <f>IF(B3797&gt;0,IF('Deal maths'!L1800="Local authority","Local authorities",LOWER(TRIM('Deal maths'!K1800))),"")</f>
        <v/>
      </c>
      <c r="D3797" s="91">
        <f>IF(C3797="","",IF(COUNTIF($C$4:C3796,C3797)=0,SUMIF($C$4:$C$3997,C3797,$B$4:$B$3997)-ROW()/1000000,""))</f>
        <v/>
      </c>
      <c r="E3797" s="91">
        <f>IF(N('Deal maths'!M1800)&gt;0,ROW()/10000000,"")</f>
        <v/>
      </c>
    </row>
    <row r="3798">
      <c r="A3798" s="91" t="n"/>
      <c r="B3798" s="111">
        <f>MAX(0,N('Deal maths'!M1801))</f>
        <v/>
      </c>
      <c r="C3798" s="91">
        <f>IF(B3798&gt;0,IF('Deal maths'!L1801="Local authority","Local authorities",LOWER(TRIM('Deal maths'!K1801))),"")</f>
        <v/>
      </c>
      <c r="D3798" s="91">
        <f>IF(C3798="","",IF(COUNTIF($C$4:C3797,C3798)=0,SUMIF($C$4:$C$3997,C3798,$B$4:$B$3997)-ROW()/1000000,""))</f>
        <v/>
      </c>
      <c r="E3798" s="91">
        <f>IF(N('Deal maths'!M1801)&gt;0,ROW()/10000000,"")</f>
        <v/>
      </c>
    </row>
    <row r="3799">
      <c r="A3799" s="91" t="n"/>
      <c r="B3799" s="111">
        <f>MAX(0,N('Deal maths'!M1802))</f>
        <v/>
      </c>
      <c r="C3799" s="91">
        <f>IF(B3799&gt;0,IF('Deal maths'!L1802="Local authority","Local authorities",LOWER(TRIM('Deal maths'!K1802))),"")</f>
        <v/>
      </c>
      <c r="D3799" s="91">
        <f>IF(C3799="","",IF(COUNTIF($C$4:C3798,C3799)=0,SUMIF($C$4:$C$3997,C3799,$B$4:$B$3997)-ROW()/1000000,""))</f>
        <v/>
      </c>
      <c r="E3799" s="91">
        <f>IF(N('Deal maths'!M1802)&gt;0,ROW()/10000000,"")</f>
        <v/>
      </c>
    </row>
    <row r="3800">
      <c r="A3800" s="91" t="n"/>
      <c r="B3800" s="111">
        <f>MAX(0,N('Deal maths'!M1803))</f>
        <v/>
      </c>
      <c r="C3800" s="91">
        <f>IF(B3800&gt;0,IF('Deal maths'!L1803="Local authority","Local authorities",LOWER(TRIM('Deal maths'!K1803))),"")</f>
        <v/>
      </c>
      <c r="D3800" s="91">
        <f>IF(C3800="","",IF(COUNTIF($C$4:C3799,C3800)=0,SUMIF($C$4:$C$3997,C3800,$B$4:$B$3997)-ROW()/1000000,""))</f>
        <v/>
      </c>
      <c r="E3800" s="91">
        <f>IF(N('Deal maths'!M1803)&gt;0,ROW()/10000000,"")</f>
        <v/>
      </c>
    </row>
    <row r="3801">
      <c r="A3801" s="91" t="n"/>
      <c r="B3801" s="111">
        <f>MAX(0,N('Deal maths'!M1804))</f>
        <v/>
      </c>
      <c r="C3801" s="91">
        <f>IF(B3801&gt;0,IF('Deal maths'!L1804="Local authority","Local authorities",LOWER(TRIM('Deal maths'!K1804))),"")</f>
        <v/>
      </c>
      <c r="D3801" s="91">
        <f>IF(C3801="","",IF(COUNTIF($C$4:C3800,C3801)=0,SUMIF($C$4:$C$3997,C3801,$B$4:$B$3997)-ROW()/1000000,""))</f>
        <v/>
      </c>
      <c r="E3801" s="91">
        <f>IF(N('Deal maths'!M1804)&gt;0,ROW()/10000000,"")</f>
        <v/>
      </c>
    </row>
    <row r="3802">
      <c r="A3802" s="91" t="n"/>
      <c r="B3802" s="111">
        <f>MAX(0,N('Deal maths'!M1805))</f>
        <v/>
      </c>
      <c r="C3802" s="91">
        <f>IF(B3802&gt;0,IF('Deal maths'!L1805="Local authority","Local authorities",LOWER(TRIM('Deal maths'!K1805))),"")</f>
        <v/>
      </c>
      <c r="D3802" s="91">
        <f>IF(C3802="","",IF(COUNTIF($C$4:C3801,C3802)=0,SUMIF($C$4:$C$3997,C3802,$B$4:$B$3997)-ROW()/1000000,""))</f>
        <v/>
      </c>
      <c r="E3802" s="91">
        <f>IF(N('Deal maths'!M1805)&gt;0,ROW()/10000000,"")</f>
        <v/>
      </c>
    </row>
    <row r="3803">
      <c r="A3803" s="91" t="n"/>
      <c r="B3803" s="111">
        <f>MAX(0,N('Deal maths'!M1806))</f>
        <v/>
      </c>
      <c r="C3803" s="91">
        <f>IF(B3803&gt;0,IF('Deal maths'!L1806="Local authority","Local authorities",LOWER(TRIM('Deal maths'!K1806))),"")</f>
        <v/>
      </c>
      <c r="D3803" s="91">
        <f>IF(C3803="","",IF(COUNTIF($C$4:C3802,C3803)=0,SUMIF($C$4:$C$3997,C3803,$B$4:$B$3997)-ROW()/1000000,""))</f>
        <v/>
      </c>
      <c r="E3803" s="91">
        <f>IF(N('Deal maths'!M1806)&gt;0,ROW()/10000000,"")</f>
        <v/>
      </c>
    </row>
    <row r="3804">
      <c r="A3804" s="91" t="n"/>
      <c r="B3804" s="111">
        <f>MAX(0,N('Deal maths'!M1807))</f>
        <v/>
      </c>
      <c r="C3804" s="91">
        <f>IF(B3804&gt;0,IF('Deal maths'!L1807="Local authority","Local authorities",LOWER(TRIM('Deal maths'!K1807))),"")</f>
        <v/>
      </c>
      <c r="D3804" s="91">
        <f>IF(C3804="","",IF(COUNTIF($C$4:C3803,C3804)=0,SUMIF($C$4:$C$3997,C3804,$B$4:$B$3997)-ROW()/1000000,""))</f>
        <v/>
      </c>
      <c r="E3804" s="91">
        <f>IF(N('Deal maths'!M1807)&gt;0,ROW()/10000000,"")</f>
        <v/>
      </c>
    </row>
    <row r="3805">
      <c r="A3805" s="91" t="n"/>
      <c r="B3805" s="111">
        <f>MAX(0,N('Deal maths'!M1808))</f>
        <v/>
      </c>
      <c r="C3805" s="91">
        <f>IF(B3805&gt;0,IF('Deal maths'!L1808="Local authority","Local authorities",LOWER(TRIM('Deal maths'!K1808))),"")</f>
        <v/>
      </c>
      <c r="D3805" s="91">
        <f>IF(C3805="","",IF(COUNTIF($C$4:C3804,C3805)=0,SUMIF($C$4:$C$3997,C3805,$B$4:$B$3997)-ROW()/1000000,""))</f>
        <v/>
      </c>
      <c r="E3805" s="91">
        <f>IF(N('Deal maths'!M1808)&gt;0,ROW()/10000000,"")</f>
        <v/>
      </c>
    </row>
    <row r="3806">
      <c r="A3806" s="91" t="n"/>
      <c r="B3806" s="111">
        <f>MAX(0,N('Deal maths'!M1809))</f>
        <v/>
      </c>
      <c r="C3806" s="91">
        <f>IF(B3806&gt;0,IF('Deal maths'!L1809="Local authority","Local authorities",LOWER(TRIM('Deal maths'!K1809))),"")</f>
        <v/>
      </c>
      <c r="D3806" s="91">
        <f>IF(C3806="","",IF(COUNTIF($C$4:C3805,C3806)=0,SUMIF($C$4:$C$3997,C3806,$B$4:$B$3997)-ROW()/1000000,""))</f>
        <v/>
      </c>
      <c r="E3806" s="91">
        <f>IF(N('Deal maths'!M1809)&gt;0,ROW()/10000000,"")</f>
        <v/>
      </c>
    </row>
    <row r="3807">
      <c r="A3807" s="91" t="n"/>
      <c r="B3807" s="111">
        <f>MAX(0,N('Deal maths'!M1810))</f>
        <v/>
      </c>
      <c r="C3807" s="91">
        <f>IF(B3807&gt;0,IF('Deal maths'!L1810="Local authority","Local authorities",LOWER(TRIM('Deal maths'!K1810))),"")</f>
        <v/>
      </c>
      <c r="D3807" s="91">
        <f>IF(C3807="","",IF(COUNTIF($C$4:C3806,C3807)=0,SUMIF($C$4:$C$3997,C3807,$B$4:$B$3997)-ROW()/1000000,""))</f>
        <v/>
      </c>
      <c r="E3807" s="91">
        <f>IF(N('Deal maths'!M1810)&gt;0,ROW()/10000000,"")</f>
        <v/>
      </c>
    </row>
    <row r="3808">
      <c r="A3808" s="91" t="n"/>
      <c r="B3808" s="111">
        <f>MAX(0,N('Deal maths'!M1811))</f>
        <v/>
      </c>
      <c r="C3808" s="91">
        <f>IF(B3808&gt;0,IF('Deal maths'!L1811="Local authority","Local authorities",LOWER(TRIM('Deal maths'!K1811))),"")</f>
        <v/>
      </c>
      <c r="D3808" s="91">
        <f>IF(C3808="","",IF(COUNTIF($C$4:C3807,C3808)=0,SUMIF($C$4:$C$3997,C3808,$B$4:$B$3997)-ROW()/1000000,""))</f>
        <v/>
      </c>
      <c r="E3808" s="91">
        <f>IF(N('Deal maths'!M1811)&gt;0,ROW()/10000000,"")</f>
        <v/>
      </c>
    </row>
    <row r="3809">
      <c r="A3809" s="91" t="n"/>
      <c r="B3809" s="111">
        <f>MAX(0,N('Deal maths'!M1812))</f>
        <v/>
      </c>
      <c r="C3809" s="91">
        <f>IF(B3809&gt;0,IF('Deal maths'!L1812="Local authority","Local authorities",LOWER(TRIM('Deal maths'!K1812))),"")</f>
        <v/>
      </c>
      <c r="D3809" s="91">
        <f>IF(C3809="","",IF(COUNTIF($C$4:C3808,C3809)=0,SUMIF($C$4:$C$3997,C3809,$B$4:$B$3997)-ROW()/1000000,""))</f>
        <v/>
      </c>
      <c r="E3809" s="91">
        <f>IF(N('Deal maths'!M1812)&gt;0,ROW()/10000000,"")</f>
        <v/>
      </c>
    </row>
    <row r="3810">
      <c r="A3810" s="91" t="n"/>
      <c r="B3810" s="111">
        <f>MAX(0,N('Deal maths'!M1813))</f>
        <v/>
      </c>
      <c r="C3810" s="91">
        <f>IF(B3810&gt;0,IF('Deal maths'!L1813="Local authority","Local authorities",LOWER(TRIM('Deal maths'!K1813))),"")</f>
        <v/>
      </c>
      <c r="D3810" s="91">
        <f>IF(C3810="","",IF(COUNTIF($C$4:C3809,C3810)=0,SUMIF($C$4:$C$3997,C3810,$B$4:$B$3997)-ROW()/1000000,""))</f>
        <v/>
      </c>
      <c r="E3810" s="91">
        <f>IF(N('Deal maths'!M1813)&gt;0,ROW()/10000000,"")</f>
        <v/>
      </c>
    </row>
    <row r="3811">
      <c r="A3811" s="91" t="n"/>
      <c r="B3811" s="111">
        <f>MAX(0,N('Deal maths'!M1814))</f>
        <v/>
      </c>
      <c r="C3811" s="91">
        <f>IF(B3811&gt;0,IF('Deal maths'!L1814="Local authority","Local authorities",LOWER(TRIM('Deal maths'!K1814))),"")</f>
        <v/>
      </c>
      <c r="D3811" s="91">
        <f>IF(C3811="","",IF(COUNTIF($C$4:C3810,C3811)=0,SUMIF($C$4:$C$3997,C3811,$B$4:$B$3997)-ROW()/1000000,""))</f>
        <v/>
      </c>
      <c r="E3811" s="91">
        <f>IF(N('Deal maths'!M1814)&gt;0,ROW()/10000000,"")</f>
        <v/>
      </c>
    </row>
    <row r="3812">
      <c r="A3812" s="91" t="n"/>
      <c r="B3812" s="111">
        <f>MAX(0,N('Deal maths'!M1815))</f>
        <v/>
      </c>
      <c r="C3812" s="91">
        <f>IF(B3812&gt;0,IF('Deal maths'!L1815="Local authority","Local authorities",LOWER(TRIM('Deal maths'!K1815))),"")</f>
        <v/>
      </c>
      <c r="D3812" s="91">
        <f>IF(C3812="","",IF(COUNTIF($C$4:C3811,C3812)=0,SUMIF($C$4:$C$3997,C3812,$B$4:$B$3997)-ROW()/1000000,""))</f>
        <v/>
      </c>
      <c r="E3812" s="91">
        <f>IF(N('Deal maths'!M1815)&gt;0,ROW()/10000000,"")</f>
        <v/>
      </c>
    </row>
    <row r="3813">
      <c r="A3813" s="91" t="n"/>
      <c r="B3813" s="111">
        <f>MAX(0,N('Deal maths'!M1816))</f>
        <v/>
      </c>
      <c r="C3813" s="91">
        <f>IF(B3813&gt;0,IF('Deal maths'!L1816="Local authority","Local authorities",LOWER(TRIM('Deal maths'!K1816))),"")</f>
        <v/>
      </c>
      <c r="D3813" s="91">
        <f>IF(C3813="","",IF(COUNTIF($C$4:C3812,C3813)=0,SUMIF($C$4:$C$3997,C3813,$B$4:$B$3997)-ROW()/1000000,""))</f>
        <v/>
      </c>
      <c r="E3813" s="91">
        <f>IF(N('Deal maths'!M1816)&gt;0,ROW()/10000000,"")</f>
        <v/>
      </c>
    </row>
    <row r="3814">
      <c r="A3814" s="91" t="n"/>
      <c r="B3814" s="111">
        <f>MAX(0,N('Deal maths'!M1817))</f>
        <v/>
      </c>
      <c r="C3814" s="91">
        <f>IF(B3814&gt;0,IF('Deal maths'!L1817="Local authority","Local authorities",LOWER(TRIM('Deal maths'!K1817))),"")</f>
        <v/>
      </c>
      <c r="D3814" s="91">
        <f>IF(C3814="","",IF(COUNTIF($C$4:C3813,C3814)=0,SUMIF($C$4:$C$3997,C3814,$B$4:$B$3997)-ROW()/1000000,""))</f>
        <v/>
      </c>
      <c r="E3814" s="91">
        <f>IF(N('Deal maths'!M1817)&gt;0,ROW()/10000000,"")</f>
        <v/>
      </c>
    </row>
    <row r="3815">
      <c r="A3815" s="91" t="n"/>
      <c r="B3815" s="111">
        <f>MAX(0,N('Deal maths'!M1818))</f>
        <v/>
      </c>
      <c r="C3815" s="91">
        <f>IF(B3815&gt;0,IF('Deal maths'!L1818="Local authority","Local authorities",LOWER(TRIM('Deal maths'!K1818))),"")</f>
        <v/>
      </c>
      <c r="D3815" s="91">
        <f>IF(C3815="","",IF(COUNTIF($C$4:C3814,C3815)=0,SUMIF($C$4:$C$3997,C3815,$B$4:$B$3997)-ROW()/1000000,""))</f>
        <v/>
      </c>
      <c r="E3815" s="91">
        <f>IF(N('Deal maths'!M1818)&gt;0,ROW()/10000000,"")</f>
        <v/>
      </c>
    </row>
    <row r="3816">
      <c r="A3816" s="91" t="n"/>
      <c r="B3816" s="111">
        <f>MAX(0,N('Deal maths'!M1819))</f>
        <v/>
      </c>
      <c r="C3816" s="91">
        <f>IF(B3816&gt;0,IF('Deal maths'!L1819="Local authority","Local authorities",LOWER(TRIM('Deal maths'!K1819))),"")</f>
        <v/>
      </c>
      <c r="D3816" s="91">
        <f>IF(C3816="","",IF(COUNTIF($C$4:C3815,C3816)=0,SUMIF($C$4:$C$3997,C3816,$B$4:$B$3997)-ROW()/1000000,""))</f>
        <v/>
      </c>
      <c r="E3816" s="91">
        <f>IF(N('Deal maths'!M1819)&gt;0,ROW()/10000000,"")</f>
        <v/>
      </c>
    </row>
    <row r="3817">
      <c r="A3817" s="91" t="n"/>
      <c r="B3817" s="111">
        <f>MAX(0,N('Deal maths'!M1820))</f>
        <v/>
      </c>
      <c r="C3817" s="91">
        <f>IF(B3817&gt;0,IF('Deal maths'!L1820="Local authority","Local authorities",LOWER(TRIM('Deal maths'!K1820))),"")</f>
        <v/>
      </c>
      <c r="D3817" s="91">
        <f>IF(C3817="","",IF(COUNTIF($C$4:C3816,C3817)=0,SUMIF($C$4:$C$3997,C3817,$B$4:$B$3997)-ROW()/1000000,""))</f>
        <v/>
      </c>
      <c r="E3817" s="91">
        <f>IF(N('Deal maths'!M1820)&gt;0,ROW()/10000000,"")</f>
        <v/>
      </c>
    </row>
    <row r="3818">
      <c r="A3818" s="91" t="n"/>
      <c r="B3818" s="111">
        <f>MAX(0,N('Deal maths'!M1821))</f>
        <v/>
      </c>
      <c r="C3818" s="91">
        <f>IF(B3818&gt;0,IF('Deal maths'!L1821="Local authority","Local authorities",LOWER(TRIM('Deal maths'!K1821))),"")</f>
        <v/>
      </c>
      <c r="D3818" s="91">
        <f>IF(C3818="","",IF(COUNTIF($C$4:C3817,C3818)=0,SUMIF($C$4:$C$3997,C3818,$B$4:$B$3997)-ROW()/1000000,""))</f>
        <v/>
      </c>
      <c r="E3818" s="91">
        <f>IF(N('Deal maths'!M1821)&gt;0,ROW()/10000000,"")</f>
        <v/>
      </c>
    </row>
    <row r="3819">
      <c r="A3819" s="91" t="n"/>
      <c r="B3819" s="111">
        <f>MAX(0,N('Deal maths'!M1822))</f>
        <v/>
      </c>
      <c r="C3819" s="91">
        <f>IF(B3819&gt;0,IF('Deal maths'!L1822="Local authority","Local authorities",LOWER(TRIM('Deal maths'!K1822))),"")</f>
        <v/>
      </c>
      <c r="D3819" s="91">
        <f>IF(C3819="","",IF(COUNTIF($C$4:C3818,C3819)=0,SUMIF($C$4:$C$3997,C3819,$B$4:$B$3997)-ROW()/1000000,""))</f>
        <v/>
      </c>
      <c r="E3819" s="91">
        <f>IF(N('Deal maths'!M1822)&gt;0,ROW()/10000000,"")</f>
        <v/>
      </c>
    </row>
    <row r="3820">
      <c r="A3820" s="91" t="n"/>
      <c r="B3820" s="111">
        <f>MAX(0,N('Deal maths'!M1823))</f>
        <v/>
      </c>
      <c r="C3820" s="91">
        <f>IF(B3820&gt;0,IF('Deal maths'!L1823="Local authority","Local authorities",LOWER(TRIM('Deal maths'!K1823))),"")</f>
        <v/>
      </c>
      <c r="D3820" s="91">
        <f>IF(C3820="","",IF(COUNTIF($C$4:C3819,C3820)=0,SUMIF($C$4:$C$3997,C3820,$B$4:$B$3997)-ROW()/1000000,""))</f>
        <v/>
      </c>
      <c r="E3820" s="91">
        <f>IF(N('Deal maths'!M1823)&gt;0,ROW()/10000000,"")</f>
        <v/>
      </c>
    </row>
    <row r="3821">
      <c r="A3821" s="91" t="n"/>
      <c r="B3821" s="111">
        <f>MAX(0,N('Deal maths'!M1824))</f>
        <v/>
      </c>
      <c r="C3821" s="91">
        <f>IF(B3821&gt;0,IF('Deal maths'!L1824="Local authority","Local authorities",LOWER(TRIM('Deal maths'!K1824))),"")</f>
        <v/>
      </c>
      <c r="D3821" s="91">
        <f>IF(C3821="","",IF(COUNTIF($C$4:C3820,C3821)=0,SUMIF($C$4:$C$3997,C3821,$B$4:$B$3997)-ROW()/1000000,""))</f>
        <v/>
      </c>
      <c r="E3821" s="91">
        <f>IF(N('Deal maths'!M1824)&gt;0,ROW()/10000000,"")</f>
        <v/>
      </c>
    </row>
    <row r="3822">
      <c r="A3822" s="91" t="n"/>
      <c r="B3822" s="111">
        <f>MAX(0,N('Deal maths'!M1825))</f>
        <v/>
      </c>
      <c r="C3822" s="91">
        <f>IF(B3822&gt;0,IF('Deal maths'!L1825="Local authority","Local authorities",LOWER(TRIM('Deal maths'!K1825))),"")</f>
        <v/>
      </c>
      <c r="D3822" s="91">
        <f>IF(C3822="","",IF(COUNTIF($C$4:C3821,C3822)=0,SUMIF($C$4:$C$3997,C3822,$B$4:$B$3997)-ROW()/1000000,""))</f>
        <v/>
      </c>
      <c r="E3822" s="91">
        <f>IF(N('Deal maths'!M1825)&gt;0,ROW()/10000000,"")</f>
        <v/>
      </c>
    </row>
    <row r="3823">
      <c r="A3823" s="91" t="n"/>
      <c r="B3823" s="111">
        <f>MAX(0,N('Deal maths'!M1826))</f>
        <v/>
      </c>
      <c r="C3823" s="91">
        <f>IF(B3823&gt;0,IF('Deal maths'!L1826="Local authority","Local authorities",LOWER(TRIM('Deal maths'!K1826))),"")</f>
        <v/>
      </c>
      <c r="D3823" s="91">
        <f>IF(C3823="","",IF(COUNTIF($C$4:C3822,C3823)=0,SUMIF($C$4:$C$3997,C3823,$B$4:$B$3997)-ROW()/1000000,""))</f>
        <v/>
      </c>
      <c r="E3823" s="91">
        <f>IF(N('Deal maths'!M1826)&gt;0,ROW()/10000000,"")</f>
        <v/>
      </c>
    </row>
    <row r="3824">
      <c r="A3824" s="91" t="n"/>
      <c r="B3824" s="111">
        <f>MAX(0,N('Deal maths'!M1827))</f>
        <v/>
      </c>
      <c r="C3824" s="91">
        <f>IF(B3824&gt;0,IF('Deal maths'!L1827="Local authority","Local authorities",LOWER(TRIM('Deal maths'!K1827))),"")</f>
        <v/>
      </c>
      <c r="D3824" s="91">
        <f>IF(C3824="","",IF(COUNTIF($C$4:C3823,C3824)=0,SUMIF($C$4:$C$3997,C3824,$B$4:$B$3997)-ROW()/1000000,""))</f>
        <v/>
      </c>
      <c r="E3824" s="91">
        <f>IF(N('Deal maths'!M1827)&gt;0,ROW()/10000000,"")</f>
        <v/>
      </c>
    </row>
    <row r="3825">
      <c r="A3825" s="91" t="n"/>
      <c r="B3825" s="111">
        <f>MAX(0,N('Deal maths'!M1828))</f>
        <v/>
      </c>
      <c r="C3825" s="91">
        <f>IF(B3825&gt;0,IF('Deal maths'!L1828="Local authority","Local authorities",LOWER(TRIM('Deal maths'!K1828))),"")</f>
        <v/>
      </c>
      <c r="D3825" s="91">
        <f>IF(C3825="","",IF(COUNTIF($C$4:C3824,C3825)=0,SUMIF($C$4:$C$3997,C3825,$B$4:$B$3997)-ROW()/1000000,""))</f>
        <v/>
      </c>
      <c r="E3825" s="91">
        <f>IF(N('Deal maths'!M1828)&gt;0,ROW()/10000000,"")</f>
        <v/>
      </c>
    </row>
    <row r="3826">
      <c r="A3826" s="91" t="n"/>
      <c r="B3826" s="111">
        <f>MAX(0,N('Deal maths'!M1829))</f>
        <v/>
      </c>
      <c r="C3826" s="91">
        <f>IF(B3826&gt;0,IF('Deal maths'!L1829="Local authority","Local authorities",LOWER(TRIM('Deal maths'!K1829))),"")</f>
        <v/>
      </c>
      <c r="D3826" s="91">
        <f>IF(C3826="","",IF(COUNTIF($C$4:C3825,C3826)=0,SUMIF($C$4:$C$3997,C3826,$B$4:$B$3997)-ROW()/1000000,""))</f>
        <v/>
      </c>
      <c r="E3826" s="91">
        <f>IF(N('Deal maths'!M1829)&gt;0,ROW()/10000000,"")</f>
        <v/>
      </c>
    </row>
    <row r="3827">
      <c r="A3827" s="91" t="n"/>
      <c r="B3827" s="111">
        <f>MAX(0,N('Deal maths'!M1830))</f>
        <v/>
      </c>
      <c r="C3827" s="91">
        <f>IF(B3827&gt;0,IF('Deal maths'!L1830="Local authority","Local authorities",LOWER(TRIM('Deal maths'!K1830))),"")</f>
        <v/>
      </c>
      <c r="D3827" s="91">
        <f>IF(C3827="","",IF(COUNTIF($C$4:C3826,C3827)=0,SUMIF($C$4:$C$3997,C3827,$B$4:$B$3997)-ROW()/1000000,""))</f>
        <v/>
      </c>
      <c r="E3827" s="91">
        <f>IF(N('Deal maths'!M1830)&gt;0,ROW()/10000000,"")</f>
        <v/>
      </c>
    </row>
    <row r="3828">
      <c r="A3828" s="91" t="n"/>
      <c r="B3828" s="111">
        <f>MAX(0,N('Deal maths'!M1831))</f>
        <v/>
      </c>
      <c r="C3828" s="91">
        <f>IF(B3828&gt;0,IF('Deal maths'!L1831="Local authority","Local authorities",LOWER(TRIM('Deal maths'!K1831))),"")</f>
        <v/>
      </c>
      <c r="D3828" s="91">
        <f>IF(C3828="","",IF(COUNTIF($C$4:C3827,C3828)=0,SUMIF($C$4:$C$3997,C3828,$B$4:$B$3997)-ROW()/1000000,""))</f>
        <v/>
      </c>
      <c r="E3828" s="91">
        <f>IF(N('Deal maths'!M1831)&gt;0,ROW()/10000000,"")</f>
        <v/>
      </c>
    </row>
    <row r="3829">
      <c r="A3829" s="91" t="n"/>
      <c r="B3829" s="111">
        <f>MAX(0,N('Deal maths'!M1832))</f>
        <v/>
      </c>
      <c r="C3829" s="91">
        <f>IF(B3829&gt;0,IF('Deal maths'!L1832="Local authority","Local authorities",LOWER(TRIM('Deal maths'!K1832))),"")</f>
        <v/>
      </c>
      <c r="D3829" s="91">
        <f>IF(C3829="","",IF(COUNTIF($C$4:C3828,C3829)=0,SUMIF($C$4:$C$3997,C3829,$B$4:$B$3997)-ROW()/1000000,""))</f>
        <v/>
      </c>
      <c r="E3829" s="91">
        <f>IF(N('Deal maths'!M1832)&gt;0,ROW()/10000000,"")</f>
        <v/>
      </c>
    </row>
    <row r="3830">
      <c r="A3830" s="91" t="n"/>
      <c r="B3830" s="111">
        <f>MAX(0,N('Deal maths'!M1833))</f>
        <v/>
      </c>
      <c r="C3830" s="91">
        <f>IF(B3830&gt;0,IF('Deal maths'!L1833="Local authority","Local authorities",LOWER(TRIM('Deal maths'!K1833))),"")</f>
        <v/>
      </c>
      <c r="D3830" s="91">
        <f>IF(C3830="","",IF(COUNTIF($C$4:C3829,C3830)=0,SUMIF($C$4:$C$3997,C3830,$B$4:$B$3997)-ROW()/1000000,""))</f>
        <v/>
      </c>
      <c r="E3830" s="91">
        <f>IF(N('Deal maths'!M1833)&gt;0,ROW()/10000000,"")</f>
        <v/>
      </c>
    </row>
    <row r="3831">
      <c r="A3831" s="91" t="n"/>
      <c r="B3831" s="111">
        <f>MAX(0,N('Deal maths'!M1834))</f>
        <v/>
      </c>
      <c r="C3831" s="91">
        <f>IF(B3831&gt;0,IF('Deal maths'!L1834="Local authority","Local authorities",LOWER(TRIM('Deal maths'!K1834))),"")</f>
        <v/>
      </c>
      <c r="D3831" s="91">
        <f>IF(C3831="","",IF(COUNTIF($C$4:C3830,C3831)=0,SUMIF($C$4:$C$3997,C3831,$B$4:$B$3997)-ROW()/1000000,""))</f>
        <v/>
      </c>
      <c r="E3831" s="91">
        <f>IF(N('Deal maths'!M1834)&gt;0,ROW()/10000000,"")</f>
        <v/>
      </c>
    </row>
    <row r="3832">
      <c r="A3832" s="91" t="n"/>
      <c r="B3832" s="111">
        <f>MAX(0,N('Deal maths'!M1835))</f>
        <v/>
      </c>
      <c r="C3832" s="91">
        <f>IF(B3832&gt;0,IF('Deal maths'!L1835="Local authority","Local authorities",LOWER(TRIM('Deal maths'!K1835))),"")</f>
        <v/>
      </c>
      <c r="D3832" s="91">
        <f>IF(C3832="","",IF(COUNTIF($C$4:C3831,C3832)=0,SUMIF($C$4:$C$3997,C3832,$B$4:$B$3997)-ROW()/1000000,""))</f>
        <v/>
      </c>
      <c r="E3832" s="91">
        <f>IF(N('Deal maths'!M1835)&gt;0,ROW()/10000000,"")</f>
        <v/>
      </c>
    </row>
    <row r="3833">
      <c r="A3833" s="91" t="n"/>
      <c r="B3833" s="111">
        <f>MAX(0,N('Deal maths'!M1836))</f>
        <v/>
      </c>
      <c r="C3833" s="91">
        <f>IF(B3833&gt;0,IF('Deal maths'!L1836="Local authority","Local authorities",LOWER(TRIM('Deal maths'!K1836))),"")</f>
        <v/>
      </c>
      <c r="D3833" s="91">
        <f>IF(C3833="","",IF(COUNTIF($C$4:C3832,C3833)=0,SUMIF($C$4:$C$3997,C3833,$B$4:$B$3997)-ROW()/1000000,""))</f>
        <v/>
      </c>
      <c r="E3833" s="91">
        <f>IF(N('Deal maths'!M1836)&gt;0,ROW()/10000000,"")</f>
        <v/>
      </c>
    </row>
    <row r="3834">
      <c r="A3834" s="91" t="n"/>
      <c r="B3834" s="111">
        <f>MAX(0,N('Deal maths'!M1837))</f>
        <v/>
      </c>
      <c r="C3834" s="91">
        <f>IF(B3834&gt;0,IF('Deal maths'!L1837="Local authority","Local authorities",LOWER(TRIM('Deal maths'!K1837))),"")</f>
        <v/>
      </c>
      <c r="D3834" s="91">
        <f>IF(C3834="","",IF(COUNTIF($C$4:C3833,C3834)=0,SUMIF($C$4:$C$3997,C3834,$B$4:$B$3997)-ROW()/1000000,""))</f>
        <v/>
      </c>
      <c r="E3834" s="91">
        <f>IF(N('Deal maths'!M1837)&gt;0,ROW()/10000000,"")</f>
        <v/>
      </c>
    </row>
    <row r="3835">
      <c r="A3835" s="91" t="n"/>
      <c r="B3835" s="111">
        <f>MAX(0,N('Deal maths'!M1838))</f>
        <v/>
      </c>
      <c r="C3835" s="91">
        <f>IF(B3835&gt;0,IF('Deal maths'!L1838="Local authority","Local authorities",LOWER(TRIM('Deal maths'!K1838))),"")</f>
        <v/>
      </c>
      <c r="D3835" s="91">
        <f>IF(C3835="","",IF(COUNTIF($C$4:C3834,C3835)=0,SUMIF($C$4:$C$3997,C3835,$B$4:$B$3997)-ROW()/1000000,""))</f>
        <v/>
      </c>
      <c r="E3835" s="91">
        <f>IF(N('Deal maths'!M1838)&gt;0,ROW()/10000000,"")</f>
        <v/>
      </c>
    </row>
    <row r="3836">
      <c r="A3836" s="91" t="n"/>
      <c r="B3836" s="111">
        <f>MAX(0,N('Deal maths'!M1839))</f>
        <v/>
      </c>
      <c r="C3836" s="91">
        <f>IF(B3836&gt;0,IF('Deal maths'!L1839="Local authority","Local authorities",LOWER(TRIM('Deal maths'!K1839))),"")</f>
        <v/>
      </c>
      <c r="D3836" s="91">
        <f>IF(C3836="","",IF(COUNTIF($C$4:C3835,C3836)=0,SUMIF($C$4:$C$3997,C3836,$B$4:$B$3997)-ROW()/1000000,""))</f>
        <v/>
      </c>
      <c r="E3836" s="91">
        <f>IF(N('Deal maths'!M1839)&gt;0,ROW()/10000000,"")</f>
        <v/>
      </c>
    </row>
    <row r="3837">
      <c r="A3837" s="91" t="n"/>
      <c r="B3837" s="111">
        <f>MAX(0,N('Deal maths'!M1840))</f>
        <v/>
      </c>
      <c r="C3837" s="91">
        <f>IF(B3837&gt;0,IF('Deal maths'!L1840="Local authority","Local authorities",LOWER(TRIM('Deal maths'!K1840))),"")</f>
        <v/>
      </c>
      <c r="D3837" s="91">
        <f>IF(C3837="","",IF(COUNTIF($C$4:C3836,C3837)=0,SUMIF($C$4:$C$3997,C3837,$B$4:$B$3997)-ROW()/1000000,""))</f>
        <v/>
      </c>
      <c r="E3837" s="91">
        <f>IF(N('Deal maths'!M1840)&gt;0,ROW()/10000000,"")</f>
        <v/>
      </c>
    </row>
    <row r="3838">
      <c r="A3838" s="91" t="n"/>
      <c r="B3838" s="111">
        <f>MAX(0,N('Deal maths'!M1841))</f>
        <v/>
      </c>
      <c r="C3838" s="91">
        <f>IF(B3838&gt;0,IF('Deal maths'!L1841="Local authority","Local authorities",LOWER(TRIM('Deal maths'!K1841))),"")</f>
        <v/>
      </c>
      <c r="D3838" s="91">
        <f>IF(C3838="","",IF(COUNTIF($C$4:C3837,C3838)=0,SUMIF($C$4:$C$3997,C3838,$B$4:$B$3997)-ROW()/1000000,""))</f>
        <v/>
      </c>
      <c r="E3838" s="91">
        <f>IF(N('Deal maths'!M1841)&gt;0,ROW()/10000000,"")</f>
        <v/>
      </c>
    </row>
    <row r="3839">
      <c r="A3839" s="91" t="n"/>
      <c r="B3839" s="111">
        <f>MAX(0,N('Deal maths'!M1842))</f>
        <v/>
      </c>
      <c r="C3839" s="91">
        <f>IF(B3839&gt;0,IF('Deal maths'!L1842="Local authority","Local authorities",LOWER(TRIM('Deal maths'!K1842))),"")</f>
        <v/>
      </c>
      <c r="D3839" s="91">
        <f>IF(C3839="","",IF(COUNTIF($C$4:C3838,C3839)=0,SUMIF($C$4:$C$3997,C3839,$B$4:$B$3997)-ROW()/1000000,""))</f>
        <v/>
      </c>
      <c r="E3839" s="91">
        <f>IF(N('Deal maths'!M1842)&gt;0,ROW()/10000000,"")</f>
        <v/>
      </c>
    </row>
    <row r="3840">
      <c r="A3840" s="91" t="n"/>
      <c r="B3840" s="111">
        <f>MAX(0,N('Deal maths'!M1843))</f>
        <v/>
      </c>
      <c r="C3840" s="91">
        <f>IF(B3840&gt;0,IF('Deal maths'!L1843="Local authority","Local authorities",LOWER(TRIM('Deal maths'!K1843))),"")</f>
        <v/>
      </c>
      <c r="D3840" s="91">
        <f>IF(C3840="","",IF(COUNTIF($C$4:C3839,C3840)=0,SUMIF($C$4:$C$3997,C3840,$B$4:$B$3997)-ROW()/1000000,""))</f>
        <v/>
      </c>
      <c r="E3840" s="91">
        <f>IF(N('Deal maths'!M1843)&gt;0,ROW()/10000000,"")</f>
        <v/>
      </c>
    </row>
    <row r="3841">
      <c r="A3841" s="91" t="n"/>
      <c r="B3841" s="111">
        <f>MAX(0,N('Deal maths'!M1844))</f>
        <v/>
      </c>
      <c r="C3841" s="91">
        <f>IF(B3841&gt;0,IF('Deal maths'!L1844="Local authority","Local authorities",LOWER(TRIM('Deal maths'!K1844))),"")</f>
        <v/>
      </c>
      <c r="D3841" s="91">
        <f>IF(C3841="","",IF(COUNTIF($C$4:C3840,C3841)=0,SUMIF($C$4:$C$3997,C3841,$B$4:$B$3997)-ROW()/1000000,""))</f>
        <v/>
      </c>
      <c r="E3841" s="91">
        <f>IF(N('Deal maths'!M1844)&gt;0,ROW()/10000000,"")</f>
        <v/>
      </c>
    </row>
    <row r="3842">
      <c r="A3842" s="91" t="n"/>
      <c r="B3842" s="111">
        <f>MAX(0,N('Deal maths'!M1845))</f>
        <v/>
      </c>
      <c r="C3842" s="91">
        <f>IF(B3842&gt;0,IF('Deal maths'!L1845="Local authority","Local authorities",LOWER(TRIM('Deal maths'!K1845))),"")</f>
        <v/>
      </c>
      <c r="D3842" s="91">
        <f>IF(C3842="","",IF(COUNTIF($C$4:C3841,C3842)=0,SUMIF($C$4:$C$3997,C3842,$B$4:$B$3997)-ROW()/1000000,""))</f>
        <v/>
      </c>
      <c r="E3842" s="91">
        <f>IF(N('Deal maths'!M1845)&gt;0,ROW()/10000000,"")</f>
        <v/>
      </c>
    </row>
    <row r="3843">
      <c r="A3843" s="91" t="n"/>
      <c r="B3843" s="111">
        <f>MAX(0,N('Deal maths'!M1846))</f>
        <v/>
      </c>
      <c r="C3843" s="91">
        <f>IF(B3843&gt;0,IF('Deal maths'!L1846="Local authority","Local authorities",LOWER(TRIM('Deal maths'!K1846))),"")</f>
        <v/>
      </c>
      <c r="D3843" s="91">
        <f>IF(C3843="","",IF(COUNTIF($C$4:C3842,C3843)=0,SUMIF($C$4:$C$3997,C3843,$B$4:$B$3997)-ROW()/1000000,""))</f>
        <v/>
      </c>
      <c r="E3843" s="91">
        <f>IF(N('Deal maths'!M1846)&gt;0,ROW()/10000000,"")</f>
        <v/>
      </c>
    </row>
    <row r="3844">
      <c r="A3844" s="91" t="n"/>
      <c r="B3844" s="111">
        <f>MAX(0,N('Deal maths'!M1847))</f>
        <v/>
      </c>
      <c r="C3844" s="91">
        <f>IF(B3844&gt;0,IF('Deal maths'!L1847="Local authority","Local authorities",LOWER(TRIM('Deal maths'!K1847))),"")</f>
        <v/>
      </c>
      <c r="D3844" s="91">
        <f>IF(C3844="","",IF(COUNTIF($C$4:C3843,C3844)=0,SUMIF($C$4:$C$3997,C3844,$B$4:$B$3997)-ROW()/1000000,""))</f>
        <v/>
      </c>
      <c r="E3844" s="91">
        <f>IF(N('Deal maths'!M1847)&gt;0,ROW()/10000000,"")</f>
        <v/>
      </c>
    </row>
    <row r="3845">
      <c r="A3845" s="91" t="n"/>
      <c r="B3845" s="111">
        <f>MAX(0,N('Deal maths'!M1848))</f>
        <v/>
      </c>
      <c r="C3845" s="91">
        <f>IF(B3845&gt;0,IF('Deal maths'!L1848="Local authority","Local authorities",LOWER(TRIM('Deal maths'!K1848))),"")</f>
        <v/>
      </c>
      <c r="D3845" s="91">
        <f>IF(C3845="","",IF(COUNTIF($C$4:C3844,C3845)=0,SUMIF($C$4:$C$3997,C3845,$B$4:$B$3997)-ROW()/1000000,""))</f>
        <v/>
      </c>
      <c r="E3845" s="91">
        <f>IF(N('Deal maths'!M1848)&gt;0,ROW()/10000000,"")</f>
        <v/>
      </c>
    </row>
    <row r="3846">
      <c r="A3846" s="91" t="n"/>
      <c r="B3846" s="111">
        <f>MAX(0,N('Deal maths'!M1849))</f>
        <v/>
      </c>
      <c r="C3846" s="91">
        <f>IF(B3846&gt;0,IF('Deal maths'!L1849="Local authority","Local authorities",LOWER(TRIM('Deal maths'!K1849))),"")</f>
        <v/>
      </c>
      <c r="D3846" s="91">
        <f>IF(C3846="","",IF(COUNTIF($C$4:C3845,C3846)=0,SUMIF($C$4:$C$3997,C3846,$B$4:$B$3997)-ROW()/1000000,""))</f>
        <v/>
      </c>
      <c r="E3846" s="91">
        <f>IF(N('Deal maths'!M1849)&gt;0,ROW()/10000000,"")</f>
        <v/>
      </c>
    </row>
    <row r="3847">
      <c r="A3847" s="91" t="n"/>
      <c r="B3847" s="111">
        <f>MAX(0,N('Deal maths'!M1850))</f>
        <v/>
      </c>
      <c r="C3847" s="91">
        <f>IF(B3847&gt;0,IF('Deal maths'!L1850="Local authority","Local authorities",LOWER(TRIM('Deal maths'!K1850))),"")</f>
        <v/>
      </c>
      <c r="D3847" s="91">
        <f>IF(C3847="","",IF(COUNTIF($C$4:C3846,C3847)=0,SUMIF($C$4:$C$3997,C3847,$B$4:$B$3997)-ROW()/1000000,""))</f>
        <v/>
      </c>
      <c r="E3847" s="91">
        <f>IF(N('Deal maths'!M1850)&gt;0,ROW()/10000000,"")</f>
        <v/>
      </c>
    </row>
    <row r="3848">
      <c r="A3848" s="91" t="n"/>
      <c r="B3848" s="111">
        <f>MAX(0,N('Deal maths'!M1851))</f>
        <v/>
      </c>
      <c r="C3848" s="91">
        <f>IF(B3848&gt;0,IF('Deal maths'!L1851="Local authority","Local authorities",LOWER(TRIM('Deal maths'!K1851))),"")</f>
        <v/>
      </c>
      <c r="D3848" s="91">
        <f>IF(C3848="","",IF(COUNTIF($C$4:C3847,C3848)=0,SUMIF($C$4:$C$3997,C3848,$B$4:$B$3997)-ROW()/1000000,""))</f>
        <v/>
      </c>
      <c r="E3848" s="91">
        <f>IF(N('Deal maths'!M1851)&gt;0,ROW()/10000000,"")</f>
        <v/>
      </c>
    </row>
    <row r="3849">
      <c r="A3849" s="91" t="n"/>
      <c r="B3849" s="111">
        <f>MAX(0,N('Deal maths'!M1852))</f>
        <v/>
      </c>
      <c r="C3849" s="91">
        <f>IF(B3849&gt;0,IF('Deal maths'!L1852="Local authority","Local authorities",LOWER(TRIM('Deal maths'!K1852))),"")</f>
        <v/>
      </c>
      <c r="D3849" s="91">
        <f>IF(C3849="","",IF(COUNTIF($C$4:C3848,C3849)=0,SUMIF($C$4:$C$3997,C3849,$B$4:$B$3997)-ROW()/1000000,""))</f>
        <v/>
      </c>
      <c r="E3849" s="91">
        <f>IF(N('Deal maths'!M1852)&gt;0,ROW()/10000000,"")</f>
        <v/>
      </c>
    </row>
    <row r="3850">
      <c r="A3850" s="91" t="n"/>
      <c r="B3850" s="111">
        <f>MAX(0,N('Deal maths'!M1853))</f>
        <v/>
      </c>
      <c r="C3850" s="91">
        <f>IF(B3850&gt;0,IF('Deal maths'!L1853="Local authority","Local authorities",LOWER(TRIM('Deal maths'!K1853))),"")</f>
        <v/>
      </c>
      <c r="D3850" s="91">
        <f>IF(C3850="","",IF(COUNTIF($C$4:C3849,C3850)=0,SUMIF($C$4:$C$3997,C3850,$B$4:$B$3997)-ROW()/1000000,""))</f>
        <v/>
      </c>
      <c r="E3850" s="91">
        <f>IF(N('Deal maths'!M1853)&gt;0,ROW()/10000000,"")</f>
        <v/>
      </c>
    </row>
    <row r="3851">
      <c r="A3851" s="91" t="n"/>
      <c r="B3851" s="111">
        <f>MAX(0,N('Deal maths'!M1854))</f>
        <v/>
      </c>
      <c r="C3851" s="91">
        <f>IF(B3851&gt;0,IF('Deal maths'!L1854="Local authority","Local authorities",LOWER(TRIM('Deal maths'!K1854))),"")</f>
        <v/>
      </c>
      <c r="D3851" s="91">
        <f>IF(C3851="","",IF(COUNTIF($C$4:C3850,C3851)=0,SUMIF($C$4:$C$3997,C3851,$B$4:$B$3997)-ROW()/1000000,""))</f>
        <v/>
      </c>
      <c r="E3851" s="91">
        <f>IF(N('Deal maths'!M1854)&gt;0,ROW()/10000000,"")</f>
        <v/>
      </c>
    </row>
    <row r="3852">
      <c r="A3852" s="91" t="n"/>
      <c r="B3852" s="111">
        <f>MAX(0,N('Deal maths'!M1855))</f>
        <v/>
      </c>
      <c r="C3852" s="91">
        <f>IF(B3852&gt;0,IF('Deal maths'!L1855="Local authority","Local authorities",LOWER(TRIM('Deal maths'!K1855))),"")</f>
        <v/>
      </c>
      <c r="D3852" s="91">
        <f>IF(C3852="","",IF(COUNTIF($C$4:C3851,C3852)=0,SUMIF($C$4:$C$3997,C3852,$B$4:$B$3997)-ROW()/1000000,""))</f>
        <v/>
      </c>
      <c r="E3852" s="91">
        <f>IF(N('Deal maths'!M1855)&gt;0,ROW()/10000000,"")</f>
        <v/>
      </c>
    </row>
    <row r="3853">
      <c r="A3853" s="91" t="n"/>
      <c r="B3853" s="111">
        <f>MAX(0,N('Deal maths'!M1856))</f>
        <v/>
      </c>
      <c r="C3853" s="91">
        <f>IF(B3853&gt;0,IF('Deal maths'!L1856="Local authority","Local authorities",LOWER(TRIM('Deal maths'!K1856))),"")</f>
        <v/>
      </c>
      <c r="D3853" s="91">
        <f>IF(C3853="","",IF(COUNTIF($C$4:C3852,C3853)=0,SUMIF($C$4:$C$3997,C3853,$B$4:$B$3997)-ROW()/1000000,""))</f>
        <v/>
      </c>
      <c r="E3853" s="91">
        <f>IF(N('Deal maths'!M1856)&gt;0,ROW()/10000000,"")</f>
        <v/>
      </c>
    </row>
    <row r="3854">
      <c r="A3854" s="91" t="n"/>
      <c r="B3854" s="111">
        <f>MAX(0,N('Deal maths'!M1857))</f>
        <v/>
      </c>
      <c r="C3854" s="91">
        <f>IF(B3854&gt;0,IF('Deal maths'!L1857="Local authority","Local authorities",LOWER(TRIM('Deal maths'!K1857))),"")</f>
        <v/>
      </c>
      <c r="D3854" s="91">
        <f>IF(C3854="","",IF(COUNTIF($C$4:C3853,C3854)=0,SUMIF($C$4:$C$3997,C3854,$B$4:$B$3997)-ROW()/1000000,""))</f>
        <v/>
      </c>
      <c r="E3854" s="91">
        <f>IF(N('Deal maths'!M1857)&gt;0,ROW()/10000000,"")</f>
        <v/>
      </c>
    </row>
    <row r="3855">
      <c r="A3855" s="91" t="n"/>
      <c r="B3855" s="111">
        <f>MAX(0,N('Deal maths'!M1858))</f>
        <v/>
      </c>
      <c r="C3855" s="91">
        <f>IF(B3855&gt;0,IF('Deal maths'!L1858="Local authority","Local authorities",LOWER(TRIM('Deal maths'!K1858))),"")</f>
        <v/>
      </c>
      <c r="D3855" s="91">
        <f>IF(C3855="","",IF(COUNTIF($C$4:C3854,C3855)=0,SUMIF($C$4:$C$3997,C3855,$B$4:$B$3997)-ROW()/1000000,""))</f>
        <v/>
      </c>
      <c r="E3855" s="91">
        <f>IF(N('Deal maths'!M1858)&gt;0,ROW()/10000000,"")</f>
        <v/>
      </c>
    </row>
    <row r="3856">
      <c r="A3856" s="91" t="n"/>
      <c r="B3856" s="111">
        <f>MAX(0,N('Deal maths'!M1859))</f>
        <v/>
      </c>
      <c r="C3856" s="91">
        <f>IF(B3856&gt;0,IF('Deal maths'!L1859="Local authority","Local authorities",LOWER(TRIM('Deal maths'!K1859))),"")</f>
        <v/>
      </c>
      <c r="D3856" s="91">
        <f>IF(C3856="","",IF(COUNTIF($C$4:C3855,C3856)=0,SUMIF($C$4:$C$3997,C3856,$B$4:$B$3997)-ROW()/1000000,""))</f>
        <v/>
      </c>
      <c r="E3856" s="91">
        <f>IF(N('Deal maths'!M1859)&gt;0,ROW()/10000000,"")</f>
        <v/>
      </c>
    </row>
    <row r="3857">
      <c r="A3857" s="91" t="n"/>
      <c r="B3857" s="111">
        <f>MAX(0,N('Deal maths'!M1860))</f>
        <v/>
      </c>
      <c r="C3857" s="91">
        <f>IF(B3857&gt;0,IF('Deal maths'!L1860="Local authority","Local authorities",LOWER(TRIM('Deal maths'!K1860))),"")</f>
        <v/>
      </c>
      <c r="D3857" s="91">
        <f>IF(C3857="","",IF(COUNTIF($C$4:C3856,C3857)=0,SUMIF($C$4:$C$3997,C3857,$B$4:$B$3997)-ROW()/1000000,""))</f>
        <v/>
      </c>
      <c r="E3857" s="91">
        <f>IF(N('Deal maths'!M1860)&gt;0,ROW()/10000000,"")</f>
        <v/>
      </c>
    </row>
    <row r="3858">
      <c r="A3858" s="91" t="n"/>
      <c r="B3858" s="111">
        <f>MAX(0,N('Deal maths'!M1861))</f>
        <v/>
      </c>
      <c r="C3858" s="91">
        <f>IF(B3858&gt;0,IF('Deal maths'!L1861="Local authority","Local authorities",LOWER(TRIM('Deal maths'!K1861))),"")</f>
        <v/>
      </c>
      <c r="D3858" s="91">
        <f>IF(C3858="","",IF(COUNTIF($C$4:C3857,C3858)=0,SUMIF($C$4:$C$3997,C3858,$B$4:$B$3997)-ROW()/1000000,""))</f>
        <v/>
      </c>
      <c r="E3858" s="91">
        <f>IF(N('Deal maths'!M1861)&gt;0,ROW()/10000000,"")</f>
        <v/>
      </c>
    </row>
    <row r="3859">
      <c r="A3859" s="91" t="n"/>
      <c r="B3859" s="111">
        <f>MAX(0,N('Deal maths'!M1862))</f>
        <v/>
      </c>
      <c r="C3859" s="91">
        <f>IF(B3859&gt;0,IF('Deal maths'!L1862="Local authority","Local authorities",LOWER(TRIM('Deal maths'!K1862))),"")</f>
        <v/>
      </c>
      <c r="D3859" s="91">
        <f>IF(C3859="","",IF(COUNTIF($C$4:C3858,C3859)=0,SUMIF($C$4:$C$3997,C3859,$B$4:$B$3997)-ROW()/1000000,""))</f>
        <v/>
      </c>
      <c r="E3859" s="91">
        <f>IF(N('Deal maths'!M1862)&gt;0,ROW()/10000000,"")</f>
        <v/>
      </c>
    </row>
    <row r="3860">
      <c r="A3860" s="91" t="n"/>
      <c r="B3860" s="111">
        <f>MAX(0,N('Deal maths'!M1863))</f>
        <v/>
      </c>
      <c r="C3860" s="91">
        <f>IF(B3860&gt;0,IF('Deal maths'!L1863="Local authority","Local authorities",LOWER(TRIM('Deal maths'!K1863))),"")</f>
        <v/>
      </c>
      <c r="D3860" s="91">
        <f>IF(C3860="","",IF(COUNTIF($C$4:C3859,C3860)=0,SUMIF($C$4:$C$3997,C3860,$B$4:$B$3997)-ROW()/1000000,""))</f>
        <v/>
      </c>
      <c r="E3860" s="91">
        <f>IF(N('Deal maths'!M1863)&gt;0,ROW()/10000000,"")</f>
        <v/>
      </c>
    </row>
    <row r="3861">
      <c r="A3861" s="91" t="n"/>
      <c r="B3861" s="111">
        <f>MAX(0,N('Deal maths'!M1864))</f>
        <v/>
      </c>
      <c r="C3861" s="91">
        <f>IF(B3861&gt;0,IF('Deal maths'!L1864="Local authority","Local authorities",LOWER(TRIM('Deal maths'!K1864))),"")</f>
        <v/>
      </c>
      <c r="D3861" s="91">
        <f>IF(C3861="","",IF(COUNTIF($C$4:C3860,C3861)=0,SUMIF($C$4:$C$3997,C3861,$B$4:$B$3997)-ROW()/1000000,""))</f>
        <v/>
      </c>
      <c r="E3861" s="91">
        <f>IF(N('Deal maths'!M1864)&gt;0,ROW()/10000000,"")</f>
        <v/>
      </c>
    </row>
    <row r="3862">
      <c r="A3862" s="91" t="n"/>
      <c r="B3862" s="111">
        <f>MAX(0,N('Deal maths'!M1865))</f>
        <v/>
      </c>
      <c r="C3862" s="91">
        <f>IF(B3862&gt;0,IF('Deal maths'!L1865="Local authority","Local authorities",LOWER(TRIM('Deal maths'!K1865))),"")</f>
        <v/>
      </c>
      <c r="D3862" s="91">
        <f>IF(C3862="","",IF(COUNTIF($C$4:C3861,C3862)=0,SUMIF($C$4:$C$3997,C3862,$B$4:$B$3997)-ROW()/1000000,""))</f>
        <v/>
      </c>
      <c r="E3862" s="91">
        <f>IF(N('Deal maths'!M1865)&gt;0,ROW()/10000000,"")</f>
        <v/>
      </c>
    </row>
    <row r="3863">
      <c r="A3863" s="91" t="n"/>
      <c r="B3863" s="111">
        <f>MAX(0,N('Deal maths'!M1866))</f>
        <v/>
      </c>
      <c r="C3863" s="91">
        <f>IF(B3863&gt;0,IF('Deal maths'!L1866="Local authority","Local authorities",LOWER(TRIM('Deal maths'!K1866))),"")</f>
        <v/>
      </c>
      <c r="D3863" s="91">
        <f>IF(C3863="","",IF(COUNTIF($C$4:C3862,C3863)=0,SUMIF($C$4:$C$3997,C3863,$B$4:$B$3997)-ROW()/1000000,""))</f>
        <v/>
      </c>
      <c r="E3863" s="91">
        <f>IF(N('Deal maths'!M1866)&gt;0,ROW()/10000000,"")</f>
        <v/>
      </c>
    </row>
    <row r="3864">
      <c r="A3864" s="91" t="n"/>
      <c r="B3864" s="111">
        <f>MAX(0,N('Deal maths'!M1867))</f>
        <v/>
      </c>
      <c r="C3864" s="91">
        <f>IF(B3864&gt;0,IF('Deal maths'!L1867="Local authority","Local authorities",LOWER(TRIM('Deal maths'!K1867))),"")</f>
        <v/>
      </c>
      <c r="D3864" s="91">
        <f>IF(C3864="","",IF(COUNTIF($C$4:C3863,C3864)=0,SUMIF($C$4:$C$3997,C3864,$B$4:$B$3997)-ROW()/1000000,""))</f>
        <v/>
      </c>
      <c r="E3864" s="91">
        <f>IF(N('Deal maths'!M1867)&gt;0,ROW()/10000000,"")</f>
        <v/>
      </c>
    </row>
    <row r="3865">
      <c r="A3865" s="91" t="n"/>
      <c r="B3865" s="111">
        <f>MAX(0,N('Deal maths'!M1868))</f>
        <v/>
      </c>
      <c r="C3865" s="91">
        <f>IF(B3865&gt;0,IF('Deal maths'!L1868="Local authority","Local authorities",LOWER(TRIM('Deal maths'!K1868))),"")</f>
        <v/>
      </c>
      <c r="D3865" s="91">
        <f>IF(C3865="","",IF(COUNTIF($C$4:C3864,C3865)=0,SUMIF($C$4:$C$3997,C3865,$B$4:$B$3997)-ROW()/1000000,""))</f>
        <v/>
      </c>
      <c r="E3865" s="91">
        <f>IF(N('Deal maths'!M1868)&gt;0,ROW()/10000000,"")</f>
        <v/>
      </c>
    </row>
    <row r="3866">
      <c r="A3866" s="91" t="n"/>
      <c r="B3866" s="111">
        <f>MAX(0,N('Deal maths'!M1869))</f>
        <v/>
      </c>
      <c r="C3866" s="91">
        <f>IF(B3866&gt;0,IF('Deal maths'!L1869="Local authority","Local authorities",LOWER(TRIM('Deal maths'!K1869))),"")</f>
        <v/>
      </c>
      <c r="D3866" s="91">
        <f>IF(C3866="","",IF(COUNTIF($C$4:C3865,C3866)=0,SUMIF($C$4:$C$3997,C3866,$B$4:$B$3997)-ROW()/1000000,""))</f>
        <v/>
      </c>
      <c r="E3866" s="91">
        <f>IF(N('Deal maths'!M1869)&gt;0,ROW()/10000000,"")</f>
        <v/>
      </c>
    </row>
    <row r="3867">
      <c r="A3867" s="91" t="n"/>
      <c r="B3867" s="111">
        <f>MAX(0,N('Deal maths'!M1870))</f>
        <v/>
      </c>
      <c r="C3867" s="91">
        <f>IF(B3867&gt;0,IF('Deal maths'!L1870="Local authority","Local authorities",LOWER(TRIM('Deal maths'!K1870))),"")</f>
        <v/>
      </c>
      <c r="D3867" s="91">
        <f>IF(C3867="","",IF(COUNTIF($C$4:C3866,C3867)=0,SUMIF($C$4:$C$3997,C3867,$B$4:$B$3997)-ROW()/1000000,""))</f>
        <v/>
      </c>
      <c r="E3867" s="91">
        <f>IF(N('Deal maths'!M1870)&gt;0,ROW()/10000000,"")</f>
        <v/>
      </c>
    </row>
    <row r="3868">
      <c r="A3868" s="91" t="n"/>
      <c r="B3868" s="111">
        <f>MAX(0,N('Deal maths'!M1871))</f>
        <v/>
      </c>
      <c r="C3868" s="91">
        <f>IF(B3868&gt;0,IF('Deal maths'!L1871="Local authority","Local authorities",LOWER(TRIM('Deal maths'!K1871))),"")</f>
        <v/>
      </c>
      <c r="D3868" s="91">
        <f>IF(C3868="","",IF(COUNTIF($C$4:C3867,C3868)=0,SUMIF($C$4:$C$3997,C3868,$B$4:$B$3997)-ROW()/1000000,""))</f>
        <v/>
      </c>
      <c r="E3868" s="91">
        <f>IF(N('Deal maths'!M1871)&gt;0,ROW()/10000000,"")</f>
        <v/>
      </c>
    </row>
    <row r="3869">
      <c r="A3869" s="91" t="n"/>
      <c r="B3869" s="111">
        <f>MAX(0,N('Deal maths'!M1872))</f>
        <v/>
      </c>
      <c r="C3869" s="91">
        <f>IF(B3869&gt;0,IF('Deal maths'!L1872="Local authority","Local authorities",LOWER(TRIM('Deal maths'!K1872))),"")</f>
        <v/>
      </c>
      <c r="D3869" s="91">
        <f>IF(C3869="","",IF(COUNTIF($C$4:C3868,C3869)=0,SUMIF($C$4:$C$3997,C3869,$B$4:$B$3997)-ROW()/1000000,""))</f>
        <v/>
      </c>
      <c r="E3869" s="91">
        <f>IF(N('Deal maths'!M1872)&gt;0,ROW()/10000000,"")</f>
        <v/>
      </c>
    </row>
    <row r="3870">
      <c r="A3870" s="91" t="n"/>
      <c r="B3870" s="111">
        <f>MAX(0,N('Deal maths'!M1873))</f>
        <v/>
      </c>
      <c r="C3870" s="91">
        <f>IF(B3870&gt;0,IF('Deal maths'!L1873="Local authority","Local authorities",LOWER(TRIM('Deal maths'!K1873))),"")</f>
        <v/>
      </c>
      <c r="D3870" s="91">
        <f>IF(C3870="","",IF(COUNTIF($C$4:C3869,C3870)=0,SUMIF($C$4:$C$3997,C3870,$B$4:$B$3997)-ROW()/1000000,""))</f>
        <v/>
      </c>
      <c r="E3870" s="91">
        <f>IF(N('Deal maths'!M1873)&gt;0,ROW()/10000000,"")</f>
        <v/>
      </c>
    </row>
    <row r="3871">
      <c r="A3871" s="91" t="n"/>
      <c r="B3871" s="111">
        <f>MAX(0,N('Deal maths'!M1874))</f>
        <v/>
      </c>
      <c r="C3871" s="91">
        <f>IF(B3871&gt;0,IF('Deal maths'!L1874="Local authority","Local authorities",LOWER(TRIM('Deal maths'!K1874))),"")</f>
        <v/>
      </c>
      <c r="D3871" s="91">
        <f>IF(C3871="","",IF(COUNTIF($C$4:C3870,C3871)=0,SUMIF($C$4:$C$3997,C3871,$B$4:$B$3997)-ROW()/1000000,""))</f>
        <v/>
      </c>
      <c r="E3871" s="91">
        <f>IF(N('Deal maths'!M1874)&gt;0,ROW()/10000000,"")</f>
        <v/>
      </c>
    </row>
    <row r="3872">
      <c r="A3872" s="91" t="n"/>
      <c r="B3872" s="111">
        <f>MAX(0,N('Deal maths'!M1875))</f>
        <v/>
      </c>
      <c r="C3872" s="91">
        <f>IF(B3872&gt;0,IF('Deal maths'!L1875="Local authority","Local authorities",LOWER(TRIM('Deal maths'!K1875))),"")</f>
        <v/>
      </c>
      <c r="D3872" s="91">
        <f>IF(C3872="","",IF(COUNTIF($C$4:C3871,C3872)=0,SUMIF($C$4:$C$3997,C3872,$B$4:$B$3997)-ROW()/1000000,""))</f>
        <v/>
      </c>
      <c r="E3872" s="91">
        <f>IF(N('Deal maths'!M1875)&gt;0,ROW()/10000000,"")</f>
        <v/>
      </c>
    </row>
    <row r="3873">
      <c r="A3873" s="91" t="n"/>
      <c r="B3873" s="111">
        <f>MAX(0,N('Deal maths'!M1876))</f>
        <v/>
      </c>
      <c r="C3873" s="91">
        <f>IF(B3873&gt;0,IF('Deal maths'!L1876="Local authority","Local authorities",LOWER(TRIM('Deal maths'!K1876))),"")</f>
        <v/>
      </c>
      <c r="D3873" s="91">
        <f>IF(C3873="","",IF(COUNTIF($C$4:C3872,C3873)=0,SUMIF($C$4:$C$3997,C3873,$B$4:$B$3997)-ROW()/1000000,""))</f>
        <v/>
      </c>
      <c r="E3873" s="91">
        <f>IF(N('Deal maths'!M1876)&gt;0,ROW()/10000000,"")</f>
        <v/>
      </c>
    </row>
    <row r="3874">
      <c r="A3874" s="91" t="n"/>
      <c r="B3874" s="111">
        <f>MAX(0,N('Deal maths'!M1877))</f>
        <v/>
      </c>
      <c r="C3874" s="91">
        <f>IF(B3874&gt;0,IF('Deal maths'!L1877="Local authority","Local authorities",LOWER(TRIM('Deal maths'!K1877))),"")</f>
        <v/>
      </c>
      <c r="D3874" s="91">
        <f>IF(C3874="","",IF(COUNTIF($C$4:C3873,C3874)=0,SUMIF($C$4:$C$3997,C3874,$B$4:$B$3997)-ROW()/1000000,""))</f>
        <v/>
      </c>
      <c r="E3874" s="91">
        <f>IF(N('Deal maths'!M1877)&gt;0,ROW()/10000000,"")</f>
        <v/>
      </c>
    </row>
    <row r="3875">
      <c r="A3875" s="91" t="n"/>
      <c r="B3875" s="111">
        <f>MAX(0,N('Deal maths'!M1878))</f>
        <v/>
      </c>
      <c r="C3875" s="91">
        <f>IF(B3875&gt;0,IF('Deal maths'!L1878="Local authority","Local authorities",LOWER(TRIM('Deal maths'!K1878))),"")</f>
        <v/>
      </c>
      <c r="D3875" s="91">
        <f>IF(C3875="","",IF(COUNTIF($C$4:C3874,C3875)=0,SUMIF($C$4:$C$3997,C3875,$B$4:$B$3997)-ROW()/1000000,""))</f>
        <v/>
      </c>
      <c r="E3875" s="91">
        <f>IF(N('Deal maths'!M1878)&gt;0,ROW()/10000000,"")</f>
        <v/>
      </c>
    </row>
    <row r="3876">
      <c r="A3876" s="91" t="n"/>
      <c r="B3876" s="111">
        <f>MAX(0,N('Deal maths'!M1879))</f>
        <v/>
      </c>
      <c r="C3876" s="91">
        <f>IF(B3876&gt;0,IF('Deal maths'!L1879="Local authority","Local authorities",LOWER(TRIM('Deal maths'!K1879))),"")</f>
        <v/>
      </c>
      <c r="D3876" s="91">
        <f>IF(C3876="","",IF(COUNTIF($C$4:C3875,C3876)=0,SUMIF($C$4:$C$3997,C3876,$B$4:$B$3997)-ROW()/1000000,""))</f>
        <v/>
      </c>
      <c r="E3876" s="91">
        <f>IF(N('Deal maths'!M1879)&gt;0,ROW()/10000000,"")</f>
        <v/>
      </c>
    </row>
    <row r="3877">
      <c r="A3877" s="91" t="n"/>
      <c r="B3877" s="111">
        <f>MAX(0,N('Deal maths'!M1880))</f>
        <v/>
      </c>
      <c r="C3877" s="91">
        <f>IF(B3877&gt;0,IF('Deal maths'!L1880="Local authority","Local authorities",LOWER(TRIM('Deal maths'!K1880))),"")</f>
        <v/>
      </c>
      <c r="D3877" s="91">
        <f>IF(C3877="","",IF(COUNTIF($C$4:C3876,C3877)=0,SUMIF($C$4:$C$3997,C3877,$B$4:$B$3997)-ROW()/1000000,""))</f>
        <v/>
      </c>
      <c r="E3877" s="91">
        <f>IF(N('Deal maths'!M1880)&gt;0,ROW()/10000000,"")</f>
        <v/>
      </c>
    </row>
    <row r="3878">
      <c r="A3878" s="91" t="n"/>
      <c r="B3878" s="111">
        <f>MAX(0,N('Deal maths'!M1881))</f>
        <v/>
      </c>
      <c r="C3878" s="91">
        <f>IF(B3878&gt;0,IF('Deal maths'!L1881="Local authority","Local authorities",LOWER(TRIM('Deal maths'!K1881))),"")</f>
        <v/>
      </c>
      <c r="D3878" s="91">
        <f>IF(C3878="","",IF(COUNTIF($C$4:C3877,C3878)=0,SUMIF($C$4:$C$3997,C3878,$B$4:$B$3997)-ROW()/1000000,""))</f>
        <v/>
      </c>
      <c r="E3878" s="91">
        <f>IF(N('Deal maths'!M1881)&gt;0,ROW()/10000000,"")</f>
        <v/>
      </c>
    </row>
    <row r="3879">
      <c r="A3879" s="91" t="n"/>
      <c r="B3879" s="111">
        <f>MAX(0,N('Deal maths'!M1882))</f>
        <v/>
      </c>
      <c r="C3879" s="91">
        <f>IF(B3879&gt;0,IF('Deal maths'!L1882="Local authority","Local authorities",LOWER(TRIM('Deal maths'!K1882))),"")</f>
        <v/>
      </c>
      <c r="D3879" s="91">
        <f>IF(C3879="","",IF(COUNTIF($C$4:C3878,C3879)=0,SUMIF($C$4:$C$3997,C3879,$B$4:$B$3997)-ROW()/1000000,""))</f>
        <v/>
      </c>
      <c r="E3879" s="91">
        <f>IF(N('Deal maths'!M1882)&gt;0,ROW()/10000000,"")</f>
        <v/>
      </c>
    </row>
    <row r="3880">
      <c r="A3880" s="91" t="n"/>
      <c r="B3880" s="111">
        <f>MAX(0,N('Deal maths'!M1883))</f>
        <v/>
      </c>
      <c r="C3880" s="91">
        <f>IF(B3880&gt;0,IF('Deal maths'!L1883="Local authority","Local authorities",LOWER(TRIM('Deal maths'!K1883))),"")</f>
        <v/>
      </c>
      <c r="D3880" s="91">
        <f>IF(C3880="","",IF(COUNTIF($C$4:C3879,C3880)=0,SUMIF($C$4:$C$3997,C3880,$B$4:$B$3997)-ROW()/1000000,""))</f>
        <v/>
      </c>
      <c r="E3880" s="91">
        <f>IF(N('Deal maths'!M1883)&gt;0,ROW()/10000000,"")</f>
        <v/>
      </c>
    </row>
    <row r="3881">
      <c r="A3881" s="91" t="n"/>
      <c r="B3881" s="111">
        <f>MAX(0,N('Deal maths'!M1884))</f>
        <v/>
      </c>
      <c r="C3881" s="91">
        <f>IF(B3881&gt;0,IF('Deal maths'!L1884="Local authority","Local authorities",LOWER(TRIM('Deal maths'!K1884))),"")</f>
        <v/>
      </c>
      <c r="D3881" s="91">
        <f>IF(C3881="","",IF(COUNTIF($C$4:C3880,C3881)=0,SUMIF($C$4:$C$3997,C3881,$B$4:$B$3997)-ROW()/1000000,""))</f>
        <v/>
      </c>
      <c r="E3881" s="91">
        <f>IF(N('Deal maths'!M1884)&gt;0,ROW()/10000000,"")</f>
        <v/>
      </c>
    </row>
    <row r="3882">
      <c r="A3882" s="91" t="n"/>
      <c r="B3882" s="111">
        <f>MAX(0,N('Deal maths'!M1885))</f>
        <v/>
      </c>
      <c r="C3882" s="91">
        <f>IF(B3882&gt;0,IF('Deal maths'!L1885="Local authority","Local authorities",LOWER(TRIM('Deal maths'!K1885))),"")</f>
        <v/>
      </c>
      <c r="D3882" s="91">
        <f>IF(C3882="","",IF(COUNTIF($C$4:C3881,C3882)=0,SUMIF($C$4:$C$3997,C3882,$B$4:$B$3997)-ROW()/1000000,""))</f>
        <v/>
      </c>
      <c r="E3882" s="91">
        <f>IF(N('Deal maths'!M1885)&gt;0,ROW()/10000000,"")</f>
        <v/>
      </c>
    </row>
    <row r="3883">
      <c r="A3883" s="91" t="n"/>
      <c r="B3883" s="111">
        <f>MAX(0,N('Deal maths'!M1886))</f>
        <v/>
      </c>
      <c r="C3883" s="91">
        <f>IF(B3883&gt;0,IF('Deal maths'!L1886="Local authority","Local authorities",LOWER(TRIM('Deal maths'!K1886))),"")</f>
        <v/>
      </c>
      <c r="D3883" s="91">
        <f>IF(C3883="","",IF(COUNTIF($C$4:C3882,C3883)=0,SUMIF($C$4:$C$3997,C3883,$B$4:$B$3997)-ROW()/1000000,""))</f>
        <v/>
      </c>
      <c r="E3883" s="91">
        <f>IF(N('Deal maths'!M1886)&gt;0,ROW()/10000000,"")</f>
        <v/>
      </c>
    </row>
    <row r="3884">
      <c r="A3884" s="91" t="n"/>
      <c r="B3884" s="111">
        <f>MAX(0,N('Deal maths'!M1887))</f>
        <v/>
      </c>
      <c r="C3884" s="91">
        <f>IF(B3884&gt;0,IF('Deal maths'!L1887="Local authority","Local authorities",LOWER(TRIM('Deal maths'!K1887))),"")</f>
        <v/>
      </c>
      <c r="D3884" s="91">
        <f>IF(C3884="","",IF(COUNTIF($C$4:C3883,C3884)=0,SUMIF($C$4:$C$3997,C3884,$B$4:$B$3997)-ROW()/1000000,""))</f>
        <v/>
      </c>
      <c r="E3884" s="91">
        <f>IF(N('Deal maths'!M1887)&gt;0,ROW()/10000000,"")</f>
        <v/>
      </c>
    </row>
    <row r="3885">
      <c r="A3885" s="91" t="n"/>
      <c r="B3885" s="111">
        <f>MAX(0,N('Deal maths'!M1888))</f>
        <v/>
      </c>
      <c r="C3885" s="91">
        <f>IF(B3885&gt;0,IF('Deal maths'!L1888="Local authority","Local authorities",LOWER(TRIM('Deal maths'!K1888))),"")</f>
        <v/>
      </c>
      <c r="D3885" s="91">
        <f>IF(C3885="","",IF(COUNTIF($C$4:C3884,C3885)=0,SUMIF($C$4:$C$3997,C3885,$B$4:$B$3997)-ROW()/1000000,""))</f>
        <v/>
      </c>
      <c r="E3885" s="91">
        <f>IF(N('Deal maths'!M1888)&gt;0,ROW()/10000000,"")</f>
        <v/>
      </c>
    </row>
    <row r="3886">
      <c r="A3886" s="91" t="n"/>
      <c r="B3886" s="111">
        <f>MAX(0,N('Deal maths'!M1889))</f>
        <v/>
      </c>
      <c r="C3886" s="91">
        <f>IF(B3886&gt;0,IF('Deal maths'!L1889="Local authority","Local authorities",LOWER(TRIM('Deal maths'!K1889))),"")</f>
        <v/>
      </c>
      <c r="D3886" s="91">
        <f>IF(C3886="","",IF(COUNTIF($C$4:C3885,C3886)=0,SUMIF($C$4:$C$3997,C3886,$B$4:$B$3997)-ROW()/1000000,""))</f>
        <v/>
      </c>
      <c r="E3886" s="91">
        <f>IF(N('Deal maths'!M1889)&gt;0,ROW()/10000000,"")</f>
        <v/>
      </c>
    </row>
    <row r="3887">
      <c r="A3887" s="91" t="n"/>
      <c r="B3887" s="111">
        <f>MAX(0,N('Deal maths'!M1890))</f>
        <v/>
      </c>
      <c r="C3887" s="91">
        <f>IF(B3887&gt;0,IF('Deal maths'!L1890="Local authority","Local authorities",LOWER(TRIM('Deal maths'!K1890))),"")</f>
        <v/>
      </c>
      <c r="D3887" s="91">
        <f>IF(C3887="","",IF(COUNTIF($C$4:C3886,C3887)=0,SUMIF($C$4:$C$3997,C3887,$B$4:$B$3997)-ROW()/1000000,""))</f>
        <v/>
      </c>
      <c r="E3887" s="91">
        <f>IF(N('Deal maths'!M1890)&gt;0,ROW()/10000000,"")</f>
        <v/>
      </c>
    </row>
    <row r="3888">
      <c r="A3888" s="91" t="n"/>
      <c r="B3888" s="111">
        <f>MAX(0,N('Deal maths'!M1891))</f>
        <v/>
      </c>
      <c r="C3888" s="91">
        <f>IF(B3888&gt;0,IF('Deal maths'!L1891="Local authority","Local authorities",LOWER(TRIM('Deal maths'!K1891))),"")</f>
        <v/>
      </c>
      <c r="D3888" s="91">
        <f>IF(C3888="","",IF(COUNTIF($C$4:C3887,C3888)=0,SUMIF($C$4:$C$3997,C3888,$B$4:$B$3997)-ROW()/1000000,""))</f>
        <v/>
      </c>
      <c r="E3888" s="91">
        <f>IF(N('Deal maths'!M1891)&gt;0,ROW()/10000000,"")</f>
        <v/>
      </c>
    </row>
    <row r="3889">
      <c r="A3889" s="91" t="n"/>
      <c r="B3889" s="111">
        <f>MAX(0,N('Deal maths'!M1892))</f>
        <v/>
      </c>
      <c r="C3889" s="91">
        <f>IF(B3889&gt;0,IF('Deal maths'!L1892="Local authority","Local authorities",LOWER(TRIM('Deal maths'!K1892))),"")</f>
        <v/>
      </c>
      <c r="D3889" s="91">
        <f>IF(C3889="","",IF(COUNTIF($C$4:C3888,C3889)=0,SUMIF($C$4:$C$3997,C3889,$B$4:$B$3997)-ROW()/1000000,""))</f>
        <v/>
      </c>
      <c r="E3889" s="91">
        <f>IF(N('Deal maths'!M1892)&gt;0,ROW()/10000000,"")</f>
        <v/>
      </c>
    </row>
    <row r="3890">
      <c r="A3890" s="91" t="n"/>
      <c r="B3890" s="111">
        <f>MAX(0,N('Deal maths'!M1893))</f>
        <v/>
      </c>
      <c r="C3890" s="91">
        <f>IF(B3890&gt;0,IF('Deal maths'!L1893="Local authority","Local authorities",LOWER(TRIM('Deal maths'!K1893))),"")</f>
        <v/>
      </c>
      <c r="D3890" s="91">
        <f>IF(C3890="","",IF(COUNTIF($C$4:C3889,C3890)=0,SUMIF($C$4:$C$3997,C3890,$B$4:$B$3997)-ROW()/1000000,""))</f>
        <v/>
      </c>
      <c r="E3890" s="91">
        <f>IF(N('Deal maths'!M1893)&gt;0,ROW()/10000000,"")</f>
        <v/>
      </c>
    </row>
    <row r="3891">
      <c r="A3891" s="91" t="n"/>
      <c r="B3891" s="111">
        <f>MAX(0,N('Deal maths'!M1894))</f>
        <v/>
      </c>
      <c r="C3891" s="91">
        <f>IF(B3891&gt;0,IF('Deal maths'!L1894="Local authority","Local authorities",LOWER(TRIM('Deal maths'!K1894))),"")</f>
        <v/>
      </c>
      <c r="D3891" s="91">
        <f>IF(C3891="","",IF(COUNTIF($C$4:C3890,C3891)=0,SUMIF($C$4:$C$3997,C3891,$B$4:$B$3997)-ROW()/1000000,""))</f>
        <v/>
      </c>
      <c r="E3891" s="91">
        <f>IF(N('Deal maths'!M1894)&gt;0,ROW()/10000000,"")</f>
        <v/>
      </c>
    </row>
    <row r="3892">
      <c r="A3892" s="91" t="n"/>
      <c r="B3892" s="111">
        <f>MAX(0,N('Deal maths'!M1895))</f>
        <v/>
      </c>
      <c r="C3892" s="91">
        <f>IF(B3892&gt;0,IF('Deal maths'!L1895="Local authority","Local authorities",LOWER(TRIM('Deal maths'!K1895))),"")</f>
        <v/>
      </c>
      <c r="D3892" s="91">
        <f>IF(C3892="","",IF(COUNTIF($C$4:C3891,C3892)=0,SUMIF($C$4:$C$3997,C3892,$B$4:$B$3997)-ROW()/1000000,""))</f>
        <v/>
      </c>
      <c r="E3892" s="91">
        <f>IF(N('Deal maths'!M1895)&gt;0,ROW()/10000000,"")</f>
        <v/>
      </c>
    </row>
    <row r="3893">
      <c r="A3893" s="91" t="n"/>
      <c r="B3893" s="111">
        <f>MAX(0,N('Deal maths'!M1896))</f>
        <v/>
      </c>
      <c r="C3893" s="91">
        <f>IF(B3893&gt;0,IF('Deal maths'!L1896="Local authority","Local authorities",LOWER(TRIM('Deal maths'!K1896))),"")</f>
        <v/>
      </c>
      <c r="D3893" s="91">
        <f>IF(C3893="","",IF(COUNTIF($C$4:C3892,C3893)=0,SUMIF($C$4:$C$3997,C3893,$B$4:$B$3997)-ROW()/1000000,""))</f>
        <v/>
      </c>
      <c r="E3893" s="91">
        <f>IF(N('Deal maths'!M1896)&gt;0,ROW()/10000000,"")</f>
        <v/>
      </c>
    </row>
    <row r="3894">
      <c r="A3894" s="91" t="n"/>
      <c r="B3894" s="111">
        <f>MAX(0,N('Deal maths'!M1897))</f>
        <v/>
      </c>
      <c r="C3894" s="91">
        <f>IF(B3894&gt;0,IF('Deal maths'!L1897="Local authority","Local authorities",LOWER(TRIM('Deal maths'!K1897))),"")</f>
        <v/>
      </c>
      <c r="D3894" s="91">
        <f>IF(C3894="","",IF(COUNTIF($C$4:C3893,C3894)=0,SUMIF($C$4:$C$3997,C3894,$B$4:$B$3997)-ROW()/1000000,""))</f>
        <v/>
      </c>
      <c r="E3894" s="91">
        <f>IF(N('Deal maths'!M1897)&gt;0,ROW()/10000000,"")</f>
        <v/>
      </c>
    </row>
    <row r="3895">
      <c r="A3895" s="91" t="n"/>
      <c r="B3895" s="111">
        <f>MAX(0,N('Deal maths'!M1898))</f>
        <v/>
      </c>
      <c r="C3895" s="91">
        <f>IF(B3895&gt;0,IF('Deal maths'!L1898="Local authority","Local authorities",LOWER(TRIM('Deal maths'!K1898))),"")</f>
        <v/>
      </c>
      <c r="D3895" s="91">
        <f>IF(C3895="","",IF(COUNTIF($C$4:C3894,C3895)=0,SUMIF($C$4:$C$3997,C3895,$B$4:$B$3997)-ROW()/1000000,""))</f>
        <v/>
      </c>
      <c r="E3895" s="91">
        <f>IF(N('Deal maths'!M1898)&gt;0,ROW()/10000000,"")</f>
        <v/>
      </c>
    </row>
    <row r="3896">
      <c r="A3896" s="91" t="n"/>
      <c r="B3896" s="111">
        <f>MAX(0,N('Deal maths'!M1899))</f>
        <v/>
      </c>
      <c r="C3896" s="91">
        <f>IF(B3896&gt;0,IF('Deal maths'!L1899="Local authority","Local authorities",LOWER(TRIM('Deal maths'!K1899))),"")</f>
        <v/>
      </c>
      <c r="D3896" s="91">
        <f>IF(C3896="","",IF(COUNTIF($C$4:C3895,C3896)=0,SUMIF($C$4:$C$3997,C3896,$B$4:$B$3997)-ROW()/1000000,""))</f>
        <v/>
      </c>
      <c r="E3896" s="91">
        <f>IF(N('Deal maths'!M1899)&gt;0,ROW()/10000000,"")</f>
        <v/>
      </c>
    </row>
    <row r="3897">
      <c r="A3897" s="91" t="n"/>
      <c r="B3897" s="111">
        <f>MAX(0,N('Deal maths'!M1900))</f>
        <v/>
      </c>
      <c r="C3897" s="91">
        <f>IF(B3897&gt;0,IF('Deal maths'!L1900="Local authority","Local authorities",LOWER(TRIM('Deal maths'!K1900))),"")</f>
        <v/>
      </c>
      <c r="D3897" s="91">
        <f>IF(C3897="","",IF(COUNTIF($C$4:C3896,C3897)=0,SUMIF($C$4:$C$3997,C3897,$B$4:$B$3997)-ROW()/1000000,""))</f>
        <v/>
      </c>
      <c r="E3897" s="91">
        <f>IF(N('Deal maths'!M1900)&gt;0,ROW()/10000000,"")</f>
        <v/>
      </c>
    </row>
    <row r="3898">
      <c r="A3898" s="91" t="n"/>
      <c r="B3898" s="111">
        <f>MAX(0,N('Deal maths'!M1901))</f>
        <v/>
      </c>
      <c r="C3898" s="91">
        <f>IF(B3898&gt;0,IF('Deal maths'!L1901="Local authority","Local authorities",LOWER(TRIM('Deal maths'!K1901))),"")</f>
        <v/>
      </c>
      <c r="D3898" s="91">
        <f>IF(C3898="","",IF(COUNTIF($C$4:C3897,C3898)=0,SUMIF($C$4:$C$3997,C3898,$B$4:$B$3997)-ROW()/1000000,""))</f>
        <v/>
      </c>
      <c r="E3898" s="91">
        <f>IF(N('Deal maths'!M1901)&gt;0,ROW()/10000000,"")</f>
        <v/>
      </c>
    </row>
    <row r="3899">
      <c r="A3899" s="91" t="n"/>
      <c r="B3899" s="111">
        <f>MAX(0,N('Deal maths'!M1902))</f>
        <v/>
      </c>
      <c r="C3899" s="91">
        <f>IF(B3899&gt;0,IF('Deal maths'!L1902="Local authority","Local authorities",LOWER(TRIM('Deal maths'!K1902))),"")</f>
        <v/>
      </c>
      <c r="D3899" s="91">
        <f>IF(C3899="","",IF(COUNTIF($C$4:C3898,C3899)=0,SUMIF($C$4:$C$3997,C3899,$B$4:$B$3997)-ROW()/1000000,""))</f>
        <v/>
      </c>
      <c r="E3899" s="91">
        <f>IF(N('Deal maths'!M1902)&gt;0,ROW()/10000000,"")</f>
        <v/>
      </c>
    </row>
    <row r="3900">
      <c r="A3900" s="91" t="n"/>
      <c r="B3900" s="111">
        <f>MAX(0,N('Deal maths'!M1903))</f>
        <v/>
      </c>
      <c r="C3900" s="91">
        <f>IF(B3900&gt;0,IF('Deal maths'!L1903="Local authority","Local authorities",LOWER(TRIM('Deal maths'!K1903))),"")</f>
        <v/>
      </c>
      <c r="D3900" s="91">
        <f>IF(C3900="","",IF(COUNTIF($C$4:C3899,C3900)=0,SUMIF($C$4:$C$3997,C3900,$B$4:$B$3997)-ROW()/1000000,""))</f>
        <v/>
      </c>
      <c r="E3900" s="91">
        <f>IF(N('Deal maths'!M1903)&gt;0,ROW()/10000000,"")</f>
        <v/>
      </c>
    </row>
    <row r="3901">
      <c r="A3901" s="91" t="n"/>
      <c r="B3901" s="111">
        <f>MAX(0,N('Deal maths'!M1904))</f>
        <v/>
      </c>
      <c r="C3901" s="91">
        <f>IF(B3901&gt;0,IF('Deal maths'!L1904="Local authority","Local authorities",LOWER(TRIM('Deal maths'!K1904))),"")</f>
        <v/>
      </c>
      <c r="D3901" s="91">
        <f>IF(C3901="","",IF(COUNTIF($C$4:C3900,C3901)=0,SUMIF($C$4:$C$3997,C3901,$B$4:$B$3997)-ROW()/1000000,""))</f>
        <v/>
      </c>
      <c r="E3901" s="91">
        <f>IF(N('Deal maths'!M1904)&gt;0,ROW()/10000000,"")</f>
        <v/>
      </c>
    </row>
    <row r="3902">
      <c r="A3902" s="91" t="n"/>
      <c r="B3902" s="111">
        <f>MAX(0,N('Deal maths'!M1905))</f>
        <v/>
      </c>
      <c r="C3902" s="91">
        <f>IF(B3902&gt;0,IF('Deal maths'!L1905="Local authority","Local authorities",LOWER(TRIM('Deal maths'!K1905))),"")</f>
        <v/>
      </c>
      <c r="D3902" s="91">
        <f>IF(C3902="","",IF(COUNTIF($C$4:C3901,C3902)=0,SUMIF($C$4:$C$3997,C3902,$B$4:$B$3997)-ROW()/1000000,""))</f>
        <v/>
      </c>
      <c r="E3902" s="91">
        <f>IF(N('Deal maths'!M1905)&gt;0,ROW()/10000000,"")</f>
        <v/>
      </c>
    </row>
    <row r="3903">
      <c r="A3903" s="91" t="n"/>
      <c r="B3903" s="111">
        <f>MAX(0,N('Deal maths'!M1906))</f>
        <v/>
      </c>
      <c r="C3903" s="91">
        <f>IF(B3903&gt;0,IF('Deal maths'!L1906="Local authority","Local authorities",LOWER(TRIM('Deal maths'!K1906))),"")</f>
        <v/>
      </c>
      <c r="D3903" s="91">
        <f>IF(C3903="","",IF(COUNTIF($C$4:C3902,C3903)=0,SUMIF($C$4:$C$3997,C3903,$B$4:$B$3997)-ROW()/1000000,""))</f>
        <v/>
      </c>
      <c r="E3903" s="91">
        <f>IF(N('Deal maths'!M1906)&gt;0,ROW()/10000000,"")</f>
        <v/>
      </c>
    </row>
    <row r="3904">
      <c r="A3904" s="91" t="n"/>
      <c r="B3904" s="111">
        <f>MAX(0,N('Deal maths'!M1907))</f>
        <v/>
      </c>
      <c r="C3904" s="91">
        <f>IF(B3904&gt;0,IF('Deal maths'!L1907="Local authority","Local authorities",LOWER(TRIM('Deal maths'!K1907))),"")</f>
        <v/>
      </c>
      <c r="D3904" s="91">
        <f>IF(C3904="","",IF(COUNTIF($C$4:C3903,C3904)=0,SUMIF($C$4:$C$3997,C3904,$B$4:$B$3997)-ROW()/1000000,""))</f>
        <v/>
      </c>
      <c r="E3904" s="91">
        <f>IF(N('Deal maths'!M1907)&gt;0,ROW()/10000000,"")</f>
        <v/>
      </c>
    </row>
    <row r="3905">
      <c r="A3905" s="91" t="n"/>
      <c r="B3905" s="111">
        <f>MAX(0,N('Deal maths'!M1908))</f>
        <v/>
      </c>
      <c r="C3905" s="91">
        <f>IF(B3905&gt;0,IF('Deal maths'!L1908="Local authority","Local authorities",LOWER(TRIM('Deal maths'!K1908))),"")</f>
        <v/>
      </c>
      <c r="D3905" s="91">
        <f>IF(C3905="","",IF(COUNTIF($C$4:C3904,C3905)=0,SUMIF($C$4:$C$3997,C3905,$B$4:$B$3997)-ROW()/1000000,""))</f>
        <v/>
      </c>
      <c r="E3905" s="91">
        <f>IF(N('Deal maths'!M1908)&gt;0,ROW()/10000000,"")</f>
        <v/>
      </c>
    </row>
    <row r="3906">
      <c r="A3906" s="91" t="n"/>
      <c r="B3906" s="111">
        <f>MAX(0,N('Deal maths'!M1909))</f>
        <v/>
      </c>
      <c r="C3906" s="91">
        <f>IF(B3906&gt;0,IF('Deal maths'!L1909="Local authority","Local authorities",LOWER(TRIM('Deal maths'!K1909))),"")</f>
        <v/>
      </c>
      <c r="D3906" s="91">
        <f>IF(C3906="","",IF(COUNTIF($C$4:C3905,C3906)=0,SUMIF($C$4:$C$3997,C3906,$B$4:$B$3997)-ROW()/1000000,""))</f>
        <v/>
      </c>
      <c r="E3906" s="91">
        <f>IF(N('Deal maths'!M1909)&gt;0,ROW()/10000000,"")</f>
        <v/>
      </c>
    </row>
    <row r="3907">
      <c r="A3907" s="91" t="n"/>
      <c r="B3907" s="111">
        <f>MAX(0,N('Deal maths'!M1910))</f>
        <v/>
      </c>
      <c r="C3907" s="91">
        <f>IF(B3907&gt;0,IF('Deal maths'!L1910="Local authority","Local authorities",LOWER(TRIM('Deal maths'!K1910))),"")</f>
        <v/>
      </c>
      <c r="D3907" s="91">
        <f>IF(C3907="","",IF(COUNTIF($C$4:C3906,C3907)=0,SUMIF($C$4:$C$3997,C3907,$B$4:$B$3997)-ROW()/1000000,""))</f>
        <v/>
      </c>
      <c r="E3907" s="91">
        <f>IF(N('Deal maths'!M1910)&gt;0,ROW()/10000000,"")</f>
        <v/>
      </c>
    </row>
    <row r="3908">
      <c r="A3908" s="91" t="n"/>
      <c r="B3908" s="111">
        <f>MAX(0,N('Deal maths'!M1911))</f>
        <v/>
      </c>
      <c r="C3908" s="91">
        <f>IF(B3908&gt;0,IF('Deal maths'!L1911="Local authority","Local authorities",LOWER(TRIM('Deal maths'!K1911))),"")</f>
        <v/>
      </c>
      <c r="D3908" s="91">
        <f>IF(C3908="","",IF(COUNTIF($C$4:C3907,C3908)=0,SUMIF($C$4:$C$3997,C3908,$B$4:$B$3997)-ROW()/1000000,""))</f>
        <v/>
      </c>
      <c r="E3908" s="91">
        <f>IF(N('Deal maths'!M1911)&gt;0,ROW()/10000000,"")</f>
        <v/>
      </c>
    </row>
    <row r="3909">
      <c r="A3909" s="91" t="n"/>
      <c r="B3909" s="111">
        <f>MAX(0,N('Deal maths'!M1912))</f>
        <v/>
      </c>
      <c r="C3909" s="91">
        <f>IF(B3909&gt;0,IF('Deal maths'!L1912="Local authority","Local authorities",LOWER(TRIM('Deal maths'!K1912))),"")</f>
        <v/>
      </c>
      <c r="D3909" s="91">
        <f>IF(C3909="","",IF(COUNTIF($C$4:C3908,C3909)=0,SUMIF($C$4:$C$3997,C3909,$B$4:$B$3997)-ROW()/1000000,""))</f>
        <v/>
      </c>
      <c r="E3909" s="91">
        <f>IF(N('Deal maths'!M1912)&gt;0,ROW()/10000000,"")</f>
        <v/>
      </c>
    </row>
    <row r="3910">
      <c r="A3910" s="91" t="n"/>
      <c r="B3910" s="111">
        <f>MAX(0,N('Deal maths'!M1913))</f>
        <v/>
      </c>
      <c r="C3910" s="91">
        <f>IF(B3910&gt;0,IF('Deal maths'!L1913="Local authority","Local authorities",LOWER(TRIM('Deal maths'!K1913))),"")</f>
        <v/>
      </c>
      <c r="D3910" s="91">
        <f>IF(C3910="","",IF(COUNTIF($C$4:C3909,C3910)=0,SUMIF($C$4:$C$3997,C3910,$B$4:$B$3997)-ROW()/1000000,""))</f>
        <v/>
      </c>
      <c r="E3910" s="91">
        <f>IF(N('Deal maths'!M1913)&gt;0,ROW()/10000000,"")</f>
        <v/>
      </c>
    </row>
    <row r="3911">
      <c r="A3911" s="91" t="n"/>
      <c r="B3911" s="111">
        <f>MAX(0,N('Deal maths'!M1914))</f>
        <v/>
      </c>
      <c r="C3911" s="91">
        <f>IF(B3911&gt;0,IF('Deal maths'!L1914="Local authority","Local authorities",LOWER(TRIM('Deal maths'!K1914))),"")</f>
        <v/>
      </c>
      <c r="D3911" s="91">
        <f>IF(C3911="","",IF(COUNTIF($C$4:C3910,C3911)=0,SUMIF($C$4:$C$3997,C3911,$B$4:$B$3997)-ROW()/1000000,""))</f>
        <v/>
      </c>
      <c r="E3911" s="91">
        <f>IF(N('Deal maths'!M1914)&gt;0,ROW()/10000000,"")</f>
        <v/>
      </c>
    </row>
    <row r="3912">
      <c r="A3912" s="91" t="n"/>
      <c r="B3912" s="111">
        <f>MAX(0,N('Deal maths'!M1915))</f>
        <v/>
      </c>
      <c r="C3912" s="91">
        <f>IF(B3912&gt;0,IF('Deal maths'!L1915="Local authority","Local authorities",LOWER(TRIM('Deal maths'!K1915))),"")</f>
        <v/>
      </c>
      <c r="D3912" s="91">
        <f>IF(C3912="","",IF(COUNTIF($C$4:C3911,C3912)=0,SUMIF($C$4:$C$3997,C3912,$B$4:$B$3997)-ROW()/1000000,""))</f>
        <v/>
      </c>
      <c r="E3912" s="91">
        <f>IF(N('Deal maths'!M1915)&gt;0,ROW()/10000000,"")</f>
        <v/>
      </c>
    </row>
    <row r="3913">
      <c r="A3913" s="91" t="n"/>
      <c r="B3913" s="111">
        <f>MAX(0,N('Deal maths'!M1916))</f>
        <v/>
      </c>
      <c r="C3913" s="91">
        <f>IF(B3913&gt;0,IF('Deal maths'!L1916="Local authority","Local authorities",LOWER(TRIM('Deal maths'!K1916))),"")</f>
        <v/>
      </c>
      <c r="D3913" s="91">
        <f>IF(C3913="","",IF(COUNTIF($C$4:C3912,C3913)=0,SUMIF($C$4:$C$3997,C3913,$B$4:$B$3997)-ROW()/1000000,""))</f>
        <v/>
      </c>
      <c r="E3913" s="91">
        <f>IF(N('Deal maths'!M1916)&gt;0,ROW()/10000000,"")</f>
        <v/>
      </c>
    </row>
    <row r="3914">
      <c r="A3914" s="91" t="n"/>
      <c r="B3914" s="111">
        <f>MAX(0,N('Deal maths'!M1917))</f>
        <v/>
      </c>
      <c r="C3914" s="91">
        <f>IF(B3914&gt;0,IF('Deal maths'!L1917="Local authority","Local authorities",LOWER(TRIM('Deal maths'!K1917))),"")</f>
        <v/>
      </c>
      <c r="D3914" s="91">
        <f>IF(C3914="","",IF(COUNTIF($C$4:C3913,C3914)=0,SUMIF($C$4:$C$3997,C3914,$B$4:$B$3997)-ROW()/1000000,""))</f>
        <v/>
      </c>
      <c r="E3914" s="91">
        <f>IF(N('Deal maths'!M1917)&gt;0,ROW()/10000000,"")</f>
        <v/>
      </c>
    </row>
    <row r="3915">
      <c r="A3915" s="91" t="n"/>
      <c r="B3915" s="111">
        <f>MAX(0,N('Deal maths'!M1918))</f>
        <v/>
      </c>
      <c r="C3915" s="91">
        <f>IF(B3915&gt;0,IF('Deal maths'!L1918="Local authority","Local authorities",LOWER(TRIM('Deal maths'!K1918))),"")</f>
        <v/>
      </c>
      <c r="D3915" s="91">
        <f>IF(C3915="","",IF(COUNTIF($C$4:C3914,C3915)=0,SUMIF($C$4:$C$3997,C3915,$B$4:$B$3997)-ROW()/1000000,""))</f>
        <v/>
      </c>
      <c r="E3915" s="91">
        <f>IF(N('Deal maths'!M1918)&gt;0,ROW()/10000000,"")</f>
        <v/>
      </c>
    </row>
    <row r="3916">
      <c r="A3916" s="91" t="n"/>
      <c r="B3916" s="111">
        <f>MAX(0,N('Deal maths'!M1919))</f>
        <v/>
      </c>
      <c r="C3916" s="91">
        <f>IF(B3916&gt;0,IF('Deal maths'!L1919="Local authority","Local authorities",LOWER(TRIM('Deal maths'!K1919))),"")</f>
        <v/>
      </c>
      <c r="D3916" s="91">
        <f>IF(C3916="","",IF(COUNTIF($C$4:C3915,C3916)=0,SUMIF($C$4:$C$3997,C3916,$B$4:$B$3997)-ROW()/1000000,""))</f>
        <v/>
      </c>
      <c r="E3916" s="91">
        <f>IF(N('Deal maths'!M1919)&gt;0,ROW()/10000000,"")</f>
        <v/>
      </c>
    </row>
    <row r="3917">
      <c r="A3917" s="91" t="n"/>
      <c r="B3917" s="111">
        <f>MAX(0,N('Deal maths'!M1920))</f>
        <v/>
      </c>
      <c r="C3917" s="91">
        <f>IF(B3917&gt;0,IF('Deal maths'!L1920="Local authority","Local authorities",LOWER(TRIM('Deal maths'!K1920))),"")</f>
        <v/>
      </c>
      <c r="D3917" s="91">
        <f>IF(C3917="","",IF(COUNTIF($C$4:C3916,C3917)=0,SUMIF($C$4:$C$3997,C3917,$B$4:$B$3997)-ROW()/1000000,""))</f>
        <v/>
      </c>
      <c r="E3917" s="91">
        <f>IF(N('Deal maths'!M1920)&gt;0,ROW()/10000000,"")</f>
        <v/>
      </c>
    </row>
    <row r="3918">
      <c r="A3918" s="91" t="n"/>
      <c r="B3918" s="111">
        <f>MAX(0,N('Deal maths'!M1921))</f>
        <v/>
      </c>
      <c r="C3918" s="91">
        <f>IF(B3918&gt;0,IF('Deal maths'!L1921="Local authority","Local authorities",LOWER(TRIM('Deal maths'!K1921))),"")</f>
        <v/>
      </c>
      <c r="D3918" s="91">
        <f>IF(C3918="","",IF(COUNTIF($C$4:C3917,C3918)=0,SUMIF($C$4:$C$3997,C3918,$B$4:$B$3997)-ROW()/1000000,""))</f>
        <v/>
      </c>
      <c r="E3918" s="91">
        <f>IF(N('Deal maths'!M1921)&gt;0,ROW()/10000000,"")</f>
        <v/>
      </c>
    </row>
    <row r="3919">
      <c r="A3919" s="91" t="n"/>
      <c r="B3919" s="111">
        <f>MAX(0,N('Deal maths'!M1922))</f>
        <v/>
      </c>
      <c r="C3919" s="91">
        <f>IF(B3919&gt;0,IF('Deal maths'!L1922="Local authority","Local authorities",LOWER(TRIM('Deal maths'!K1922))),"")</f>
        <v/>
      </c>
      <c r="D3919" s="91">
        <f>IF(C3919="","",IF(COUNTIF($C$4:C3918,C3919)=0,SUMIF($C$4:$C$3997,C3919,$B$4:$B$3997)-ROW()/1000000,""))</f>
        <v/>
      </c>
      <c r="E3919" s="91">
        <f>IF(N('Deal maths'!M1922)&gt;0,ROW()/10000000,"")</f>
        <v/>
      </c>
    </row>
    <row r="3920">
      <c r="A3920" s="91" t="n"/>
      <c r="B3920" s="111">
        <f>MAX(0,N('Deal maths'!M1923))</f>
        <v/>
      </c>
      <c r="C3920" s="91">
        <f>IF(B3920&gt;0,IF('Deal maths'!L1923="Local authority","Local authorities",LOWER(TRIM('Deal maths'!K1923))),"")</f>
        <v/>
      </c>
      <c r="D3920" s="91">
        <f>IF(C3920="","",IF(COUNTIF($C$4:C3919,C3920)=0,SUMIF($C$4:$C$3997,C3920,$B$4:$B$3997)-ROW()/1000000,""))</f>
        <v/>
      </c>
      <c r="E3920" s="91">
        <f>IF(N('Deal maths'!M1923)&gt;0,ROW()/10000000,"")</f>
        <v/>
      </c>
    </row>
    <row r="3921">
      <c r="A3921" s="91" t="n"/>
      <c r="B3921" s="111">
        <f>MAX(0,N('Deal maths'!M1924))</f>
        <v/>
      </c>
      <c r="C3921" s="91">
        <f>IF(B3921&gt;0,IF('Deal maths'!L1924="Local authority","Local authorities",LOWER(TRIM('Deal maths'!K1924))),"")</f>
        <v/>
      </c>
      <c r="D3921" s="91">
        <f>IF(C3921="","",IF(COUNTIF($C$4:C3920,C3921)=0,SUMIF($C$4:$C$3997,C3921,$B$4:$B$3997)-ROW()/1000000,""))</f>
        <v/>
      </c>
      <c r="E3921" s="91">
        <f>IF(N('Deal maths'!M1924)&gt;0,ROW()/10000000,"")</f>
        <v/>
      </c>
    </row>
    <row r="3922">
      <c r="A3922" s="91" t="n"/>
      <c r="B3922" s="111">
        <f>MAX(0,N('Deal maths'!M1925))</f>
        <v/>
      </c>
      <c r="C3922" s="91">
        <f>IF(B3922&gt;0,IF('Deal maths'!L1925="Local authority","Local authorities",LOWER(TRIM('Deal maths'!K1925))),"")</f>
        <v/>
      </c>
      <c r="D3922" s="91">
        <f>IF(C3922="","",IF(COUNTIF($C$4:C3921,C3922)=0,SUMIF($C$4:$C$3997,C3922,$B$4:$B$3997)-ROW()/1000000,""))</f>
        <v/>
      </c>
      <c r="E3922" s="91">
        <f>IF(N('Deal maths'!M1925)&gt;0,ROW()/10000000,"")</f>
        <v/>
      </c>
    </row>
    <row r="3923">
      <c r="A3923" s="91" t="n"/>
      <c r="B3923" s="111">
        <f>MAX(0,N('Deal maths'!M1926))</f>
        <v/>
      </c>
      <c r="C3923" s="91">
        <f>IF(B3923&gt;0,IF('Deal maths'!L1926="Local authority","Local authorities",LOWER(TRIM('Deal maths'!K1926))),"")</f>
        <v/>
      </c>
      <c r="D3923" s="91">
        <f>IF(C3923="","",IF(COUNTIF($C$4:C3922,C3923)=0,SUMIF($C$4:$C$3997,C3923,$B$4:$B$3997)-ROW()/1000000,""))</f>
        <v/>
      </c>
      <c r="E3923" s="91">
        <f>IF(N('Deal maths'!M1926)&gt;0,ROW()/10000000,"")</f>
        <v/>
      </c>
    </row>
    <row r="3924">
      <c r="A3924" s="91" t="n"/>
      <c r="B3924" s="111">
        <f>MAX(0,N('Deal maths'!M1927))</f>
        <v/>
      </c>
      <c r="C3924" s="91">
        <f>IF(B3924&gt;0,IF('Deal maths'!L1927="Local authority","Local authorities",LOWER(TRIM('Deal maths'!K1927))),"")</f>
        <v/>
      </c>
      <c r="D3924" s="91">
        <f>IF(C3924="","",IF(COUNTIF($C$4:C3923,C3924)=0,SUMIF($C$4:$C$3997,C3924,$B$4:$B$3997)-ROW()/1000000,""))</f>
        <v/>
      </c>
      <c r="E3924" s="91">
        <f>IF(N('Deal maths'!M1927)&gt;0,ROW()/10000000,"")</f>
        <v/>
      </c>
    </row>
    <row r="3925">
      <c r="A3925" s="91" t="n"/>
      <c r="B3925" s="111">
        <f>MAX(0,N('Deal maths'!M1928))</f>
        <v/>
      </c>
      <c r="C3925" s="91">
        <f>IF(B3925&gt;0,IF('Deal maths'!L1928="Local authority","Local authorities",LOWER(TRIM('Deal maths'!K1928))),"")</f>
        <v/>
      </c>
      <c r="D3925" s="91">
        <f>IF(C3925="","",IF(COUNTIF($C$4:C3924,C3925)=0,SUMIF($C$4:$C$3997,C3925,$B$4:$B$3997)-ROW()/1000000,""))</f>
        <v/>
      </c>
      <c r="E3925" s="91">
        <f>IF(N('Deal maths'!M1928)&gt;0,ROW()/10000000,"")</f>
        <v/>
      </c>
    </row>
    <row r="3926">
      <c r="A3926" s="91" t="n"/>
      <c r="B3926" s="111">
        <f>MAX(0,N('Deal maths'!M1929))</f>
        <v/>
      </c>
      <c r="C3926" s="91">
        <f>IF(B3926&gt;0,IF('Deal maths'!L1929="Local authority","Local authorities",LOWER(TRIM('Deal maths'!K1929))),"")</f>
        <v/>
      </c>
      <c r="D3926" s="91">
        <f>IF(C3926="","",IF(COUNTIF($C$4:C3925,C3926)=0,SUMIF($C$4:$C$3997,C3926,$B$4:$B$3997)-ROW()/1000000,""))</f>
        <v/>
      </c>
      <c r="E3926" s="91">
        <f>IF(N('Deal maths'!M1929)&gt;0,ROW()/10000000,"")</f>
        <v/>
      </c>
    </row>
    <row r="3927">
      <c r="A3927" s="91" t="n"/>
      <c r="B3927" s="111">
        <f>MAX(0,N('Deal maths'!M1930))</f>
        <v/>
      </c>
      <c r="C3927" s="91">
        <f>IF(B3927&gt;0,IF('Deal maths'!L1930="Local authority","Local authorities",LOWER(TRIM('Deal maths'!K1930))),"")</f>
        <v/>
      </c>
      <c r="D3927" s="91">
        <f>IF(C3927="","",IF(COUNTIF($C$4:C3926,C3927)=0,SUMIF($C$4:$C$3997,C3927,$B$4:$B$3997)-ROW()/1000000,""))</f>
        <v/>
      </c>
      <c r="E3927" s="91">
        <f>IF(N('Deal maths'!M1930)&gt;0,ROW()/10000000,"")</f>
        <v/>
      </c>
    </row>
    <row r="3928">
      <c r="A3928" s="91" t="n"/>
      <c r="B3928" s="111">
        <f>MAX(0,N('Deal maths'!M1931))</f>
        <v/>
      </c>
      <c r="C3928" s="91">
        <f>IF(B3928&gt;0,IF('Deal maths'!L1931="Local authority","Local authorities",LOWER(TRIM('Deal maths'!K1931))),"")</f>
        <v/>
      </c>
      <c r="D3928" s="91">
        <f>IF(C3928="","",IF(COUNTIF($C$4:C3927,C3928)=0,SUMIF($C$4:$C$3997,C3928,$B$4:$B$3997)-ROW()/1000000,""))</f>
        <v/>
      </c>
      <c r="E3928" s="91">
        <f>IF(N('Deal maths'!M1931)&gt;0,ROW()/10000000,"")</f>
        <v/>
      </c>
    </row>
    <row r="3929">
      <c r="A3929" s="91" t="n"/>
      <c r="B3929" s="111">
        <f>MAX(0,N('Deal maths'!M1932))</f>
        <v/>
      </c>
      <c r="C3929" s="91">
        <f>IF(B3929&gt;0,IF('Deal maths'!L1932="Local authority","Local authorities",LOWER(TRIM('Deal maths'!K1932))),"")</f>
        <v/>
      </c>
      <c r="D3929" s="91">
        <f>IF(C3929="","",IF(COUNTIF($C$4:C3928,C3929)=0,SUMIF($C$4:$C$3997,C3929,$B$4:$B$3997)-ROW()/1000000,""))</f>
        <v/>
      </c>
      <c r="E3929" s="91">
        <f>IF(N('Deal maths'!M1932)&gt;0,ROW()/10000000,"")</f>
        <v/>
      </c>
    </row>
    <row r="3930">
      <c r="A3930" s="91" t="n"/>
      <c r="B3930" s="111">
        <f>MAX(0,N('Deal maths'!M1933))</f>
        <v/>
      </c>
      <c r="C3930" s="91">
        <f>IF(B3930&gt;0,IF('Deal maths'!L1933="Local authority","Local authorities",LOWER(TRIM('Deal maths'!K1933))),"")</f>
        <v/>
      </c>
      <c r="D3930" s="91">
        <f>IF(C3930="","",IF(COUNTIF($C$4:C3929,C3930)=0,SUMIF($C$4:$C$3997,C3930,$B$4:$B$3997)-ROW()/1000000,""))</f>
        <v/>
      </c>
      <c r="E3930" s="91">
        <f>IF(N('Deal maths'!M1933)&gt;0,ROW()/10000000,"")</f>
        <v/>
      </c>
    </row>
    <row r="3931">
      <c r="A3931" s="91" t="n"/>
      <c r="B3931" s="111">
        <f>MAX(0,N('Deal maths'!M1934))</f>
        <v/>
      </c>
      <c r="C3931" s="91">
        <f>IF(B3931&gt;0,IF('Deal maths'!L1934="Local authority","Local authorities",LOWER(TRIM('Deal maths'!K1934))),"")</f>
        <v/>
      </c>
      <c r="D3931" s="91">
        <f>IF(C3931="","",IF(COUNTIF($C$4:C3930,C3931)=0,SUMIF($C$4:$C$3997,C3931,$B$4:$B$3997)-ROW()/1000000,""))</f>
        <v/>
      </c>
      <c r="E3931" s="91">
        <f>IF(N('Deal maths'!M1934)&gt;0,ROW()/10000000,"")</f>
        <v/>
      </c>
    </row>
    <row r="3932">
      <c r="A3932" s="91" t="n"/>
      <c r="B3932" s="111">
        <f>MAX(0,N('Deal maths'!M1935))</f>
        <v/>
      </c>
      <c r="C3932" s="91">
        <f>IF(B3932&gt;0,IF('Deal maths'!L1935="Local authority","Local authorities",LOWER(TRIM('Deal maths'!K1935))),"")</f>
        <v/>
      </c>
      <c r="D3932" s="91">
        <f>IF(C3932="","",IF(COUNTIF($C$4:C3931,C3932)=0,SUMIF($C$4:$C$3997,C3932,$B$4:$B$3997)-ROW()/1000000,""))</f>
        <v/>
      </c>
      <c r="E3932" s="91">
        <f>IF(N('Deal maths'!M1935)&gt;0,ROW()/10000000,"")</f>
        <v/>
      </c>
    </row>
    <row r="3933">
      <c r="A3933" s="91" t="n"/>
      <c r="B3933" s="111">
        <f>MAX(0,N('Deal maths'!M1936))</f>
        <v/>
      </c>
      <c r="C3933" s="91">
        <f>IF(B3933&gt;0,IF('Deal maths'!L1936="Local authority","Local authorities",LOWER(TRIM('Deal maths'!K1936))),"")</f>
        <v/>
      </c>
      <c r="D3933" s="91">
        <f>IF(C3933="","",IF(COUNTIF($C$4:C3932,C3933)=0,SUMIF($C$4:$C$3997,C3933,$B$4:$B$3997)-ROW()/1000000,""))</f>
        <v/>
      </c>
      <c r="E3933" s="91">
        <f>IF(N('Deal maths'!M1936)&gt;0,ROW()/10000000,"")</f>
        <v/>
      </c>
    </row>
    <row r="3934">
      <c r="A3934" s="91" t="n"/>
      <c r="B3934" s="111">
        <f>MAX(0,N('Deal maths'!M1937))</f>
        <v/>
      </c>
      <c r="C3934" s="91">
        <f>IF(B3934&gt;0,IF('Deal maths'!L1937="Local authority","Local authorities",LOWER(TRIM('Deal maths'!K1937))),"")</f>
        <v/>
      </c>
      <c r="D3934" s="91">
        <f>IF(C3934="","",IF(COUNTIF($C$4:C3933,C3934)=0,SUMIF($C$4:$C$3997,C3934,$B$4:$B$3997)-ROW()/1000000,""))</f>
        <v/>
      </c>
      <c r="E3934" s="91">
        <f>IF(N('Deal maths'!M1937)&gt;0,ROW()/10000000,"")</f>
        <v/>
      </c>
    </row>
    <row r="3935">
      <c r="A3935" s="91" t="n"/>
      <c r="B3935" s="111">
        <f>MAX(0,N('Deal maths'!M1938))</f>
        <v/>
      </c>
      <c r="C3935" s="91">
        <f>IF(B3935&gt;0,IF('Deal maths'!L1938="Local authority","Local authorities",LOWER(TRIM('Deal maths'!K1938))),"")</f>
        <v/>
      </c>
      <c r="D3935" s="91">
        <f>IF(C3935="","",IF(COUNTIF($C$4:C3934,C3935)=0,SUMIF($C$4:$C$3997,C3935,$B$4:$B$3997)-ROW()/1000000,""))</f>
        <v/>
      </c>
      <c r="E3935" s="91">
        <f>IF(N('Deal maths'!M1938)&gt;0,ROW()/10000000,"")</f>
        <v/>
      </c>
    </row>
    <row r="3936">
      <c r="A3936" s="91" t="n"/>
      <c r="B3936" s="111">
        <f>MAX(0,N('Deal maths'!M1939))</f>
        <v/>
      </c>
      <c r="C3936" s="91">
        <f>IF(B3936&gt;0,IF('Deal maths'!L1939="Local authority","Local authorities",LOWER(TRIM('Deal maths'!K1939))),"")</f>
        <v/>
      </c>
      <c r="D3936" s="91">
        <f>IF(C3936="","",IF(COUNTIF($C$4:C3935,C3936)=0,SUMIF($C$4:$C$3997,C3936,$B$4:$B$3997)-ROW()/1000000,""))</f>
        <v/>
      </c>
      <c r="E3936" s="91">
        <f>IF(N('Deal maths'!M1939)&gt;0,ROW()/10000000,"")</f>
        <v/>
      </c>
    </row>
    <row r="3937">
      <c r="A3937" s="91" t="n"/>
      <c r="B3937" s="111">
        <f>MAX(0,N('Deal maths'!M1940))</f>
        <v/>
      </c>
      <c r="C3937" s="91">
        <f>IF(B3937&gt;0,IF('Deal maths'!L1940="Local authority","Local authorities",LOWER(TRIM('Deal maths'!K1940))),"")</f>
        <v/>
      </c>
      <c r="D3937" s="91">
        <f>IF(C3937="","",IF(COUNTIF($C$4:C3936,C3937)=0,SUMIF($C$4:$C$3997,C3937,$B$4:$B$3997)-ROW()/1000000,""))</f>
        <v/>
      </c>
      <c r="E3937" s="91">
        <f>IF(N('Deal maths'!M1940)&gt;0,ROW()/10000000,"")</f>
        <v/>
      </c>
    </row>
    <row r="3938">
      <c r="A3938" s="91" t="n"/>
      <c r="B3938" s="111">
        <f>MAX(0,N('Deal maths'!M1941))</f>
        <v/>
      </c>
      <c r="C3938" s="91">
        <f>IF(B3938&gt;0,IF('Deal maths'!L1941="Local authority","Local authorities",LOWER(TRIM('Deal maths'!K1941))),"")</f>
        <v/>
      </c>
      <c r="D3938" s="91">
        <f>IF(C3938="","",IF(COUNTIF($C$4:C3937,C3938)=0,SUMIF($C$4:$C$3997,C3938,$B$4:$B$3997)-ROW()/1000000,""))</f>
        <v/>
      </c>
      <c r="E3938" s="91">
        <f>IF(N('Deal maths'!M1941)&gt;0,ROW()/10000000,"")</f>
        <v/>
      </c>
    </row>
    <row r="3939">
      <c r="A3939" s="91" t="n"/>
      <c r="B3939" s="111">
        <f>MAX(0,N('Deal maths'!M1942))</f>
        <v/>
      </c>
      <c r="C3939" s="91">
        <f>IF(B3939&gt;0,IF('Deal maths'!L1942="Local authority","Local authorities",LOWER(TRIM('Deal maths'!K1942))),"")</f>
        <v/>
      </c>
      <c r="D3939" s="91">
        <f>IF(C3939="","",IF(COUNTIF($C$4:C3938,C3939)=0,SUMIF($C$4:$C$3997,C3939,$B$4:$B$3997)-ROW()/1000000,""))</f>
        <v/>
      </c>
      <c r="E3939" s="91">
        <f>IF(N('Deal maths'!M1942)&gt;0,ROW()/10000000,"")</f>
        <v/>
      </c>
    </row>
    <row r="3940">
      <c r="A3940" s="91" t="n"/>
      <c r="B3940" s="111">
        <f>MAX(0,N('Deal maths'!M1943))</f>
        <v/>
      </c>
      <c r="C3940" s="91">
        <f>IF(B3940&gt;0,IF('Deal maths'!L1943="Local authority","Local authorities",LOWER(TRIM('Deal maths'!K1943))),"")</f>
        <v/>
      </c>
      <c r="D3940" s="91">
        <f>IF(C3940="","",IF(COUNTIF($C$4:C3939,C3940)=0,SUMIF($C$4:$C$3997,C3940,$B$4:$B$3997)-ROW()/1000000,""))</f>
        <v/>
      </c>
      <c r="E3940" s="91">
        <f>IF(N('Deal maths'!M1943)&gt;0,ROW()/10000000,"")</f>
        <v/>
      </c>
    </row>
    <row r="3941">
      <c r="A3941" s="91" t="n"/>
      <c r="B3941" s="111">
        <f>MAX(0,N('Deal maths'!M1944))</f>
        <v/>
      </c>
      <c r="C3941" s="91">
        <f>IF(B3941&gt;0,IF('Deal maths'!L1944="Local authority","Local authorities",LOWER(TRIM('Deal maths'!K1944))),"")</f>
        <v/>
      </c>
      <c r="D3941" s="91">
        <f>IF(C3941="","",IF(COUNTIF($C$4:C3940,C3941)=0,SUMIF($C$4:$C$3997,C3941,$B$4:$B$3997)-ROW()/1000000,""))</f>
        <v/>
      </c>
      <c r="E3941" s="91">
        <f>IF(N('Deal maths'!M1944)&gt;0,ROW()/10000000,"")</f>
        <v/>
      </c>
    </row>
    <row r="3942">
      <c r="A3942" s="91" t="n"/>
      <c r="B3942" s="111">
        <f>MAX(0,N('Deal maths'!M1945))</f>
        <v/>
      </c>
      <c r="C3942" s="91">
        <f>IF(B3942&gt;0,IF('Deal maths'!L1945="Local authority","Local authorities",LOWER(TRIM('Deal maths'!K1945))),"")</f>
        <v/>
      </c>
      <c r="D3942" s="91">
        <f>IF(C3942="","",IF(COUNTIF($C$4:C3941,C3942)=0,SUMIF($C$4:$C$3997,C3942,$B$4:$B$3997)-ROW()/1000000,""))</f>
        <v/>
      </c>
      <c r="E3942" s="91">
        <f>IF(N('Deal maths'!M1945)&gt;0,ROW()/10000000,"")</f>
        <v/>
      </c>
    </row>
    <row r="3943">
      <c r="A3943" s="91" t="n"/>
      <c r="B3943" s="111">
        <f>MAX(0,N('Deal maths'!M1946))</f>
        <v/>
      </c>
      <c r="C3943" s="91">
        <f>IF(B3943&gt;0,IF('Deal maths'!L1946="Local authority","Local authorities",LOWER(TRIM('Deal maths'!K1946))),"")</f>
        <v/>
      </c>
      <c r="D3943" s="91">
        <f>IF(C3943="","",IF(COUNTIF($C$4:C3942,C3943)=0,SUMIF($C$4:$C$3997,C3943,$B$4:$B$3997)-ROW()/1000000,""))</f>
        <v/>
      </c>
      <c r="E3943" s="91">
        <f>IF(N('Deal maths'!M1946)&gt;0,ROW()/10000000,"")</f>
        <v/>
      </c>
    </row>
    <row r="3944">
      <c r="A3944" s="91" t="n"/>
      <c r="B3944" s="111">
        <f>MAX(0,N('Deal maths'!M1947))</f>
        <v/>
      </c>
      <c r="C3944" s="91">
        <f>IF(B3944&gt;0,IF('Deal maths'!L1947="Local authority","Local authorities",LOWER(TRIM('Deal maths'!K1947))),"")</f>
        <v/>
      </c>
      <c r="D3944" s="91">
        <f>IF(C3944="","",IF(COUNTIF($C$4:C3943,C3944)=0,SUMIF($C$4:$C$3997,C3944,$B$4:$B$3997)-ROW()/1000000,""))</f>
        <v/>
      </c>
      <c r="E3944" s="91">
        <f>IF(N('Deal maths'!M1947)&gt;0,ROW()/10000000,"")</f>
        <v/>
      </c>
    </row>
    <row r="3945">
      <c r="A3945" s="91" t="n"/>
      <c r="B3945" s="111">
        <f>MAX(0,N('Deal maths'!M1948))</f>
        <v/>
      </c>
      <c r="C3945" s="91">
        <f>IF(B3945&gt;0,IF('Deal maths'!L1948="Local authority","Local authorities",LOWER(TRIM('Deal maths'!K1948))),"")</f>
        <v/>
      </c>
      <c r="D3945" s="91">
        <f>IF(C3945="","",IF(COUNTIF($C$4:C3944,C3945)=0,SUMIF($C$4:$C$3997,C3945,$B$4:$B$3997)-ROW()/1000000,""))</f>
        <v/>
      </c>
      <c r="E3945" s="91">
        <f>IF(N('Deal maths'!M1948)&gt;0,ROW()/10000000,"")</f>
        <v/>
      </c>
    </row>
    <row r="3946">
      <c r="A3946" s="91" t="n"/>
      <c r="B3946" s="111">
        <f>MAX(0,N('Deal maths'!M1949))</f>
        <v/>
      </c>
      <c r="C3946" s="91">
        <f>IF(B3946&gt;0,IF('Deal maths'!L1949="Local authority","Local authorities",LOWER(TRIM('Deal maths'!K1949))),"")</f>
        <v/>
      </c>
      <c r="D3946" s="91">
        <f>IF(C3946="","",IF(COUNTIF($C$4:C3945,C3946)=0,SUMIF($C$4:$C$3997,C3946,$B$4:$B$3997)-ROW()/1000000,""))</f>
        <v/>
      </c>
      <c r="E3946" s="91">
        <f>IF(N('Deal maths'!M1949)&gt;0,ROW()/10000000,"")</f>
        <v/>
      </c>
    </row>
    <row r="3947">
      <c r="A3947" s="91" t="n"/>
      <c r="B3947" s="111">
        <f>MAX(0,N('Deal maths'!M1950))</f>
        <v/>
      </c>
      <c r="C3947" s="91">
        <f>IF(B3947&gt;0,IF('Deal maths'!L1950="Local authority","Local authorities",LOWER(TRIM('Deal maths'!K1950))),"")</f>
        <v/>
      </c>
      <c r="D3947" s="91">
        <f>IF(C3947="","",IF(COUNTIF($C$4:C3946,C3947)=0,SUMIF($C$4:$C$3997,C3947,$B$4:$B$3997)-ROW()/1000000,""))</f>
        <v/>
      </c>
      <c r="E3947" s="91">
        <f>IF(N('Deal maths'!M1950)&gt;0,ROW()/10000000,"")</f>
        <v/>
      </c>
    </row>
    <row r="3948">
      <c r="A3948" s="91" t="n"/>
      <c r="B3948" s="111">
        <f>MAX(0,N('Deal maths'!M1951))</f>
        <v/>
      </c>
      <c r="C3948" s="91">
        <f>IF(B3948&gt;0,IF('Deal maths'!L1951="Local authority","Local authorities",LOWER(TRIM('Deal maths'!K1951))),"")</f>
        <v/>
      </c>
      <c r="D3948" s="91">
        <f>IF(C3948="","",IF(COUNTIF($C$4:C3947,C3948)=0,SUMIF($C$4:$C$3997,C3948,$B$4:$B$3997)-ROW()/1000000,""))</f>
        <v/>
      </c>
      <c r="E3948" s="91">
        <f>IF(N('Deal maths'!M1951)&gt;0,ROW()/10000000,"")</f>
        <v/>
      </c>
    </row>
    <row r="3949">
      <c r="A3949" s="91" t="n"/>
      <c r="B3949" s="111">
        <f>MAX(0,N('Deal maths'!M1952))</f>
        <v/>
      </c>
      <c r="C3949" s="91">
        <f>IF(B3949&gt;0,IF('Deal maths'!L1952="Local authority","Local authorities",LOWER(TRIM('Deal maths'!K1952))),"")</f>
        <v/>
      </c>
      <c r="D3949" s="91">
        <f>IF(C3949="","",IF(COUNTIF($C$4:C3948,C3949)=0,SUMIF($C$4:$C$3997,C3949,$B$4:$B$3997)-ROW()/1000000,""))</f>
        <v/>
      </c>
      <c r="E3949" s="91">
        <f>IF(N('Deal maths'!M1952)&gt;0,ROW()/10000000,"")</f>
        <v/>
      </c>
    </row>
    <row r="3950">
      <c r="A3950" s="91" t="n"/>
      <c r="B3950" s="111">
        <f>MAX(0,N('Deal maths'!M1953))</f>
        <v/>
      </c>
      <c r="C3950" s="91">
        <f>IF(B3950&gt;0,IF('Deal maths'!L1953="Local authority","Local authorities",LOWER(TRIM('Deal maths'!K1953))),"")</f>
        <v/>
      </c>
      <c r="D3950" s="91">
        <f>IF(C3950="","",IF(COUNTIF($C$4:C3949,C3950)=0,SUMIF($C$4:$C$3997,C3950,$B$4:$B$3997)-ROW()/1000000,""))</f>
        <v/>
      </c>
      <c r="E3950" s="91">
        <f>IF(N('Deal maths'!M1953)&gt;0,ROW()/10000000,"")</f>
        <v/>
      </c>
    </row>
    <row r="3951">
      <c r="A3951" s="91" t="n"/>
      <c r="B3951" s="111">
        <f>MAX(0,N('Deal maths'!M1954))</f>
        <v/>
      </c>
      <c r="C3951" s="91">
        <f>IF(B3951&gt;0,IF('Deal maths'!L1954="Local authority","Local authorities",LOWER(TRIM('Deal maths'!K1954))),"")</f>
        <v/>
      </c>
      <c r="D3951" s="91">
        <f>IF(C3951="","",IF(COUNTIF($C$4:C3950,C3951)=0,SUMIF($C$4:$C$3997,C3951,$B$4:$B$3997)-ROW()/1000000,""))</f>
        <v/>
      </c>
      <c r="E3951" s="91">
        <f>IF(N('Deal maths'!M1954)&gt;0,ROW()/10000000,"")</f>
        <v/>
      </c>
    </row>
    <row r="3952">
      <c r="A3952" s="91" t="n"/>
      <c r="B3952" s="111">
        <f>MAX(0,N('Deal maths'!M1955))</f>
        <v/>
      </c>
      <c r="C3952" s="91">
        <f>IF(B3952&gt;0,IF('Deal maths'!L1955="Local authority","Local authorities",LOWER(TRIM('Deal maths'!K1955))),"")</f>
        <v/>
      </c>
      <c r="D3952" s="91">
        <f>IF(C3952="","",IF(COUNTIF($C$4:C3951,C3952)=0,SUMIF($C$4:$C$3997,C3952,$B$4:$B$3997)-ROW()/1000000,""))</f>
        <v/>
      </c>
      <c r="E3952" s="91">
        <f>IF(N('Deal maths'!M1955)&gt;0,ROW()/10000000,"")</f>
        <v/>
      </c>
    </row>
    <row r="3953">
      <c r="A3953" s="91" t="n"/>
      <c r="B3953" s="111">
        <f>MAX(0,N('Deal maths'!M1956))</f>
        <v/>
      </c>
      <c r="C3953" s="91">
        <f>IF(B3953&gt;0,IF('Deal maths'!L1956="Local authority","Local authorities",LOWER(TRIM('Deal maths'!K1956))),"")</f>
        <v/>
      </c>
      <c r="D3953" s="91">
        <f>IF(C3953="","",IF(COUNTIF($C$4:C3952,C3953)=0,SUMIF($C$4:$C$3997,C3953,$B$4:$B$3997)-ROW()/1000000,""))</f>
        <v/>
      </c>
      <c r="E3953" s="91">
        <f>IF(N('Deal maths'!M1956)&gt;0,ROW()/10000000,"")</f>
        <v/>
      </c>
    </row>
    <row r="3954">
      <c r="A3954" s="91" t="n"/>
      <c r="B3954" s="111">
        <f>MAX(0,N('Deal maths'!M1957))</f>
        <v/>
      </c>
      <c r="C3954" s="91">
        <f>IF(B3954&gt;0,IF('Deal maths'!L1957="Local authority","Local authorities",LOWER(TRIM('Deal maths'!K1957))),"")</f>
        <v/>
      </c>
      <c r="D3954" s="91">
        <f>IF(C3954="","",IF(COUNTIF($C$4:C3953,C3954)=0,SUMIF($C$4:$C$3997,C3954,$B$4:$B$3997)-ROW()/1000000,""))</f>
        <v/>
      </c>
      <c r="E3954" s="91">
        <f>IF(N('Deal maths'!M1957)&gt;0,ROW()/10000000,"")</f>
        <v/>
      </c>
    </row>
    <row r="3955">
      <c r="A3955" s="91" t="n"/>
      <c r="B3955" s="111">
        <f>MAX(0,N('Deal maths'!M1958))</f>
        <v/>
      </c>
      <c r="C3955" s="91">
        <f>IF(B3955&gt;0,IF('Deal maths'!L1958="Local authority","Local authorities",LOWER(TRIM('Deal maths'!K1958))),"")</f>
        <v/>
      </c>
      <c r="D3955" s="91">
        <f>IF(C3955="","",IF(COUNTIF($C$4:C3954,C3955)=0,SUMIF($C$4:$C$3997,C3955,$B$4:$B$3997)-ROW()/1000000,""))</f>
        <v/>
      </c>
      <c r="E3955" s="91">
        <f>IF(N('Deal maths'!M1958)&gt;0,ROW()/10000000,"")</f>
        <v/>
      </c>
    </row>
    <row r="3956">
      <c r="A3956" s="91" t="n"/>
      <c r="B3956" s="111">
        <f>MAX(0,N('Deal maths'!M1959))</f>
        <v/>
      </c>
      <c r="C3956" s="91">
        <f>IF(B3956&gt;0,IF('Deal maths'!L1959="Local authority","Local authorities",LOWER(TRIM('Deal maths'!K1959))),"")</f>
        <v/>
      </c>
      <c r="D3956" s="91">
        <f>IF(C3956="","",IF(COUNTIF($C$4:C3955,C3956)=0,SUMIF($C$4:$C$3997,C3956,$B$4:$B$3997)-ROW()/1000000,""))</f>
        <v/>
      </c>
      <c r="E3956" s="91">
        <f>IF(N('Deal maths'!M1959)&gt;0,ROW()/10000000,"")</f>
        <v/>
      </c>
    </row>
    <row r="3957">
      <c r="A3957" s="91" t="n"/>
      <c r="B3957" s="111">
        <f>MAX(0,N('Deal maths'!M1960))</f>
        <v/>
      </c>
      <c r="C3957" s="91">
        <f>IF(B3957&gt;0,IF('Deal maths'!L1960="Local authority","Local authorities",LOWER(TRIM('Deal maths'!K1960))),"")</f>
        <v/>
      </c>
      <c r="D3957" s="91">
        <f>IF(C3957="","",IF(COUNTIF($C$4:C3956,C3957)=0,SUMIF($C$4:$C$3997,C3957,$B$4:$B$3997)-ROW()/1000000,""))</f>
        <v/>
      </c>
      <c r="E3957" s="91">
        <f>IF(N('Deal maths'!M1960)&gt;0,ROW()/10000000,"")</f>
        <v/>
      </c>
    </row>
    <row r="3958">
      <c r="A3958" s="91" t="n"/>
      <c r="B3958" s="111">
        <f>MAX(0,N('Deal maths'!M1961))</f>
        <v/>
      </c>
      <c r="C3958" s="91">
        <f>IF(B3958&gt;0,IF('Deal maths'!L1961="Local authority","Local authorities",LOWER(TRIM('Deal maths'!K1961))),"")</f>
        <v/>
      </c>
      <c r="D3958" s="91">
        <f>IF(C3958="","",IF(COUNTIF($C$4:C3957,C3958)=0,SUMIF($C$4:$C$3997,C3958,$B$4:$B$3997)-ROW()/1000000,""))</f>
        <v/>
      </c>
      <c r="E3958" s="91">
        <f>IF(N('Deal maths'!M1961)&gt;0,ROW()/10000000,"")</f>
        <v/>
      </c>
    </row>
    <row r="3959">
      <c r="A3959" s="91" t="n"/>
      <c r="B3959" s="111">
        <f>MAX(0,N('Deal maths'!M1962))</f>
        <v/>
      </c>
      <c r="C3959" s="91">
        <f>IF(B3959&gt;0,IF('Deal maths'!L1962="Local authority","Local authorities",LOWER(TRIM('Deal maths'!K1962))),"")</f>
        <v/>
      </c>
      <c r="D3959" s="91">
        <f>IF(C3959="","",IF(COUNTIF($C$4:C3958,C3959)=0,SUMIF($C$4:$C$3997,C3959,$B$4:$B$3997)-ROW()/1000000,""))</f>
        <v/>
      </c>
      <c r="E3959" s="91">
        <f>IF(N('Deal maths'!M1962)&gt;0,ROW()/10000000,"")</f>
        <v/>
      </c>
    </row>
    <row r="3960">
      <c r="A3960" s="91" t="n"/>
      <c r="B3960" s="111">
        <f>MAX(0,N('Deal maths'!M1963))</f>
        <v/>
      </c>
      <c r="C3960" s="91">
        <f>IF(B3960&gt;0,IF('Deal maths'!L1963="Local authority","Local authorities",LOWER(TRIM('Deal maths'!K1963))),"")</f>
        <v/>
      </c>
      <c r="D3960" s="91">
        <f>IF(C3960="","",IF(COUNTIF($C$4:C3959,C3960)=0,SUMIF($C$4:$C$3997,C3960,$B$4:$B$3997)-ROW()/1000000,""))</f>
        <v/>
      </c>
      <c r="E3960" s="91">
        <f>IF(N('Deal maths'!M1963)&gt;0,ROW()/10000000,"")</f>
        <v/>
      </c>
    </row>
    <row r="3961">
      <c r="A3961" s="91" t="n"/>
      <c r="B3961" s="111">
        <f>MAX(0,N('Deal maths'!M1964))</f>
        <v/>
      </c>
      <c r="C3961" s="91">
        <f>IF(B3961&gt;0,IF('Deal maths'!L1964="Local authority","Local authorities",LOWER(TRIM('Deal maths'!K1964))),"")</f>
        <v/>
      </c>
      <c r="D3961" s="91">
        <f>IF(C3961="","",IF(COUNTIF($C$4:C3960,C3961)=0,SUMIF($C$4:$C$3997,C3961,$B$4:$B$3997)-ROW()/1000000,""))</f>
        <v/>
      </c>
      <c r="E3961" s="91">
        <f>IF(N('Deal maths'!M1964)&gt;0,ROW()/10000000,"")</f>
        <v/>
      </c>
    </row>
    <row r="3962">
      <c r="A3962" s="91" t="n"/>
      <c r="B3962" s="111">
        <f>MAX(0,N('Deal maths'!M1965))</f>
        <v/>
      </c>
      <c r="C3962" s="91">
        <f>IF(B3962&gt;0,IF('Deal maths'!L1965="Local authority","Local authorities",LOWER(TRIM('Deal maths'!K1965))),"")</f>
        <v/>
      </c>
      <c r="D3962" s="91">
        <f>IF(C3962="","",IF(COUNTIF($C$4:C3961,C3962)=0,SUMIF($C$4:$C$3997,C3962,$B$4:$B$3997)-ROW()/1000000,""))</f>
        <v/>
      </c>
      <c r="E3962" s="91">
        <f>IF(N('Deal maths'!M1965)&gt;0,ROW()/10000000,"")</f>
        <v/>
      </c>
    </row>
    <row r="3963">
      <c r="A3963" s="91" t="n"/>
      <c r="B3963" s="111">
        <f>MAX(0,N('Deal maths'!M1966))</f>
        <v/>
      </c>
      <c r="C3963" s="91">
        <f>IF(B3963&gt;0,IF('Deal maths'!L1966="Local authority","Local authorities",LOWER(TRIM('Deal maths'!K1966))),"")</f>
        <v/>
      </c>
      <c r="D3963" s="91">
        <f>IF(C3963="","",IF(COUNTIF($C$4:C3962,C3963)=0,SUMIF($C$4:$C$3997,C3963,$B$4:$B$3997)-ROW()/1000000,""))</f>
        <v/>
      </c>
      <c r="E3963" s="91">
        <f>IF(N('Deal maths'!M1966)&gt;0,ROW()/10000000,"")</f>
        <v/>
      </c>
    </row>
    <row r="3964">
      <c r="A3964" s="91" t="n"/>
      <c r="B3964" s="111">
        <f>MAX(0,N('Deal maths'!M1967))</f>
        <v/>
      </c>
      <c r="C3964" s="91">
        <f>IF(B3964&gt;0,IF('Deal maths'!L1967="Local authority","Local authorities",LOWER(TRIM('Deal maths'!K1967))),"")</f>
        <v/>
      </c>
      <c r="D3964" s="91">
        <f>IF(C3964="","",IF(COUNTIF($C$4:C3963,C3964)=0,SUMIF($C$4:$C$3997,C3964,$B$4:$B$3997)-ROW()/1000000,""))</f>
        <v/>
      </c>
      <c r="E3964" s="91">
        <f>IF(N('Deal maths'!M1967)&gt;0,ROW()/10000000,"")</f>
        <v/>
      </c>
    </row>
    <row r="3965">
      <c r="A3965" s="91" t="n"/>
      <c r="B3965" s="111">
        <f>MAX(0,N('Deal maths'!M1968))</f>
        <v/>
      </c>
      <c r="C3965" s="91">
        <f>IF(B3965&gt;0,IF('Deal maths'!L1968="Local authority","Local authorities",LOWER(TRIM('Deal maths'!K1968))),"")</f>
        <v/>
      </c>
      <c r="D3965" s="91">
        <f>IF(C3965="","",IF(COUNTIF($C$4:C3964,C3965)=0,SUMIF($C$4:$C$3997,C3965,$B$4:$B$3997)-ROW()/1000000,""))</f>
        <v/>
      </c>
      <c r="E3965" s="91">
        <f>IF(N('Deal maths'!M1968)&gt;0,ROW()/10000000,"")</f>
        <v/>
      </c>
    </row>
    <row r="3966">
      <c r="A3966" s="91" t="n"/>
      <c r="B3966" s="111">
        <f>MAX(0,N('Deal maths'!M1969))</f>
        <v/>
      </c>
      <c r="C3966" s="91">
        <f>IF(B3966&gt;0,IF('Deal maths'!L1969="Local authority","Local authorities",LOWER(TRIM('Deal maths'!K1969))),"")</f>
        <v/>
      </c>
      <c r="D3966" s="91">
        <f>IF(C3966="","",IF(COUNTIF($C$4:C3965,C3966)=0,SUMIF($C$4:$C$3997,C3966,$B$4:$B$3997)-ROW()/1000000,""))</f>
        <v/>
      </c>
      <c r="E3966" s="91">
        <f>IF(N('Deal maths'!M1969)&gt;0,ROW()/10000000,"")</f>
        <v/>
      </c>
    </row>
    <row r="3967">
      <c r="A3967" s="91" t="n"/>
      <c r="B3967" s="111">
        <f>MAX(0,N('Deal maths'!M1970))</f>
        <v/>
      </c>
      <c r="C3967" s="91">
        <f>IF(B3967&gt;0,IF('Deal maths'!L1970="Local authority","Local authorities",LOWER(TRIM('Deal maths'!K1970))),"")</f>
        <v/>
      </c>
      <c r="D3967" s="91">
        <f>IF(C3967="","",IF(COUNTIF($C$4:C3966,C3967)=0,SUMIF($C$4:$C$3997,C3967,$B$4:$B$3997)-ROW()/1000000,""))</f>
        <v/>
      </c>
      <c r="E3967" s="91">
        <f>IF(N('Deal maths'!M1970)&gt;0,ROW()/10000000,"")</f>
        <v/>
      </c>
    </row>
    <row r="3968">
      <c r="A3968" s="91" t="n"/>
      <c r="B3968" s="111">
        <f>MAX(0,N('Deal maths'!M1971))</f>
        <v/>
      </c>
      <c r="C3968" s="91">
        <f>IF(B3968&gt;0,IF('Deal maths'!L1971="Local authority","Local authorities",LOWER(TRIM('Deal maths'!K1971))),"")</f>
        <v/>
      </c>
      <c r="D3968" s="91">
        <f>IF(C3968="","",IF(COUNTIF($C$4:C3967,C3968)=0,SUMIF($C$4:$C$3997,C3968,$B$4:$B$3997)-ROW()/1000000,""))</f>
        <v/>
      </c>
      <c r="E3968" s="91">
        <f>IF(N('Deal maths'!M1971)&gt;0,ROW()/10000000,"")</f>
        <v/>
      </c>
    </row>
    <row r="3969">
      <c r="A3969" s="91" t="n"/>
      <c r="B3969" s="111">
        <f>MAX(0,N('Deal maths'!M1972))</f>
        <v/>
      </c>
      <c r="C3969" s="91">
        <f>IF(B3969&gt;0,IF('Deal maths'!L1972="Local authority","Local authorities",LOWER(TRIM('Deal maths'!K1972))),"")</f>
        <v/>
      </c>
      <c r="D3969" s="91">
        <f>IF(C3969="","",IF(COUNTIF($C$4:C3968,C3969)=0,SUMIF($C$4:$C$3997,C3969,$B$4:$B$3997)-ROW()/1000000,""))</f>
        <v/>
      </c>
      <c r="E3969" s="91">
        <f>IF(N('Deal maths'!M1972)&gt;0,ROW()/10000000,"")</f>
        <v/>
      </c>
    </row>
    <row r="3970">
      <c r="A3970" s="91" t="n"/>
      <c r="B3970" s="111">
        <f>MAX(0,N('Deal maths'!M1973))</f>
        <v/>
      </c>
      <c r="C3970" s="91">
        <f>IF(B3970&gt;0,IF('Deal maths'!L1973="Local authority","Local authorities",LOWER(TRIM('Deal maths'!K1973))),"")</f>
        <v/>
      </c>
      <c r="D3970" s="91">
        <f>IF(C3970="","",IF(COUNTIF($C$4:C3969,C3970)=0,SUMIF($C$4:$C$3997,C3970,$B$4:$B$3997)-ROW()/1000000,""))</f>
        <v/>
      </c>
      <c r="E3970" s="91">
        <f>IF(N('Deal maths'!M1973)&gt;0,ROW()/10000000,"")</f>
        <v/>
      </c>
    </row>
    <row r="3971">
      <c r="A3971" s="91" t="n"/>
      <c r="B3971" s="111">
        <f>MAX(0,N('Deal maths'!M1974))</f>
        <v/>
      </c>
      <c r="C3971" s="91">
        <f>IF(B3971&gt;0,IF('Deal maths'!L1974="Local authority","Local authorities",LOWER(TRIM('Deal maths'!K1974))),"")</f>
        <v/>
      </c>
      <c r="D3971" s="91">
        <f>IF(C3971="","",IF(COUNTIF($C$4:C3970,C3971)=0,SUMIF($C$4:$C$3997,C3971,$B$4:$B$3997)-ROW()/1000000,""))</f>
        <v/>
      </c>
      <c r="E3971" s="91">
        <f>IF(N('Deal maths'!M1974)&gt;0,ROW()/10000000,"")</f>
        <v/>
      </c>
    </row>
    <row r="3972">
      <c r="A3972" s="91" t="n"/>
      <c r="B3972" s="111">
        <f>MAX(0,N('Deal maths'!M1975))</f>
        <v/>
      </c>
      <c r="C3972" s="91">
        <f>IF(B3972&gt;0,IF('Deal maths'!L1975="Local authority","Local authorities",LOWER(TRIM('Deal maths'!K1975))),"")</f>
        <v/>
      </c>
      <c r="D3972" s="91">
        <f>IF(C3972="","",IF(COUNTIF($C$4:C3971,C3972)=0,SUMIF($C$4:$C$3997,C3972,$B$4:$B$3997)-ROW()/1000000,""))</f>
        <v/>
      </c>
      <c r="E3972" s="91">
        <f>IF(N('Deal maths'!M1975)&gt;0,ROW()/10000000,"")</f>
        <v/>
      </c>
    </row>
    <row r="3973">
      <c r="A3973" s="91" t="n"/>
      <c r="B3973" s="111">
        <f>MAX(0,N('Deal maths'!M1976))</f>
        <v/>
      </c>
      <c r="C3973" s="91">
        <f>IF(B3973&gt;0,IF('Deal maths'!L1976="Local authority","Local authorities",LOWER(TRIM('Deal maths'!K1976))),"")</f>
        <v/>
      </c>
      <c r="D3973" s="91">
        <f>IF(C3973="","",IF(COUNTIF($C$4:C3972,C3973)=0,SUMIF($C$4:$C$3997,C3973,$B$4:$B$3997)-ROW()/1000000,""))</f>
        <v/>
      </c>
      <c r="E3973" s="91">
        <f>IF(N('Deal maths'!M1976)&gt;0,ROW()/10000000,"")</f>
        <v/>
      </c>
    </row>
    <row r="3974">
      <c r="A3974" s="91" t="n"/>
      <c r="B3974" s="111">
        <f>MAX(0,N('Deal maths'!M1977))</f>
        <v/>
      </c>
      <c r="C3974" s="91">
        <f>IF(B3974&gt;0,IF('Deal maths'!L1977="Local authority","Local authorities",LOWER(TRIM('Deal maths'!K1977))),"")</f>
        <v/>
      </c>
      <c r="D3974" s="91">
        <f>IF(C3974="","",IF(COUNTIF($C$4:C3973,C3974)=0,SUMIF($C$4:$C$3997,C3974,$B$4:$B$3997)-ROW()/1000000,""))</f>
        <v/>
      </c>
      <c r="E3974" s="91">
        <f>IF(N('Deal maths'!M1977)&gt;0,ROW()/10000000,"")</f>
        <v/>
      </c>
    </row>
    <row r="3975">
      <c r="A3975" s="91" t="n"/>
      <c r="B3975" s="111">
        <f>MAX(0,N('Deal maths'!M1978))</f>
        <v/>
      </c>
      <c r="C3975" s="91">
        <f>IF(B3975&gt;0,IF('Deal maths'!L1978="Local authority","Local authorities",LOWER(TRIM('Deal maths'!K1978))),"")</f>
        <v/>
      </c>
      <c r="D3975" s="91">
        <f>IF(C3975="","",IF(COUNTIF($C$4:C3974,C3975)=0,SUMIF($C$4:$C$3997,C3975,$B$4:$B$3997)-ROW()/1000000,""))</f>
        <v/>
      </c>
      <c r="E3975" s="91">
        <f>IF(N('Deal maths'!M1978)&gt;0,ROW()/10000000,"")</f>
        <v/>
      </c>
    </row>
    <row r="3976">
      <c r="A3976" s="91" t="n"/>
      <c r="B3976" s="111">
        <f>MAX(0,N('Deal maths'!M1979))</f>
        <v/>
      </c>
      <c r="C3976" s="91">
        <f>IF(B3976&gt;0,IF('Deal maths'!L1979="Local authority","Local authorities",LOWER(TRIM('Deal maths'!K1979))),"")</f>
        <v/>
      </c>
      <c r="D3976" s="91">
        <f>IF(C3976="","",IF(COUNTIF($C$4:C3975,C3976)=0,SUMIF($C$4:$C$3997,C3976,$B$4:$B$3997)-ROW()/1000000,""))</f>
        <v/>
      </c>
      <c r="E3976" s="91">
        <f>IF(N('Deal maths'!M1979)&gt;0,ROW()/10000000,"")</f>
        <v/>
      </c>
    </row>
    <row r="3977">
      <c r="A3977" s="91" t="n"/>
      <c r="B3977" s="111">
        <f>MAX(0,N('Deal maths'!M1980))</f>
        <v/>
      </c>
      <c r="C3977" s="91">
        <f>IF(B3977&gt;0,IF('Deal maths'!L1980="Local authority","Local authorities",LOWER(TRIM('Deal maths'!K1980))),"")</f>
        <v/>
      </c>
      <c r="D3977" s="91">
        <f>IF(C3977="","",IF(COUNTIF($C$4:C3976,C3977)=0,SUMIF($C$4:$C$3997,C3977,$B$4:$B$3997)-ROW()/1000000,""))</f>
        <v/>
      </c>
      <c r="E3977" s="91">
        <f>IF(N('Deal maths'!M1980)&gt;0,ROW()/10000000,"")</f>
        <v/>
      </c>
    </row>
    <row r="3978">
      <c r="A3978" s="91" t="n"/>
      <c r="B3978" s="111">
        <f>MAX(0,N('Deal maths'!M1981))</f>
        <v/>
      </c>
      <c r="C3978" s="91">
        <f>IF(B3978&gt;0,IF('Deal maths'!L1981="Local authority","Local authorities",LOWER(TRIM('Deal maths'!K1981))),"")</f>
        <v/>
      </c>
      <c r="D3978" s="91">
        <f>IF(C3978="","",IF(COUNTIF($C$4:C3977,C3978)=0,SUMIF($C$4:$C$3997,C3978,$B$4:$B$3997)-ROW()/1000000,""))</f>
        <v/>
      </c>
      <c r="E3978" s="91">
        <f>IF(N('Deal maths'!M1981)&gt;0,ROW()/10000000,"")</f>
        <v/>
      </c>
    </row>
    <row r="3979">
      <c r="A3979" s="91" t="n"/>
      <c r="B3979" s="111">
        <f>MAX(0,N('Deal maths'!M1982))</f>
        <v/>
      </c>
      <c r="C3979" s="91">
        <f>IF(B3979&gt;0,IF('Deal maths'!L1982="Local authority","Local authorities",LOWER(TRIM('Deal maths'!K1982))),"")</f>
        <v/>
      </c>
      <c r="D3979" s="91">
        <f>IF(C3979="","",IF(COUNTIF($C$4:C3978,C3979)=0,SUMIF($C$4:$C$3997,C3979,$B$4:$B$3997)-ROW()/1000000,""))</f>
        <v/>
      </c>
      <c r="E3979" s="91">
        <f>IF(N('Deal maths'!M1982)&gt;0,ROW()/10000000,"")</f>
        <v/>
      </c>
    </row>
    <row r="3980">
      <c r="A3980" s="91" t="n"/>
      <c r="B3980" s="111">
        <f>MAX(0,N('Deal maths'!M1983))</f>
        <v/>
      </c>
      <c r="C3980" s="91">
        <f>IF(B3980&gt;0,IF('Deal maths'!L1983="Local authority","Local authorities",LOWER(TRIM('Deal maths'!K1983))),"")</f>
        <v/>
      </c>
      <c r="D3980" s="91">
        <f>IF(C3980="","",IF(COUNTIF($C$4:C3979,C3980)=0,SUMIF($C$4:$C$3997,C3980,$B$4:$B$3997)-ROW()/1000000,""))</f>
        <v/>
      </c>
      <c r="E3980" s="91">
        <f>IF(N('Deal maths'!M1983)&gt;0,ROW()/10000000,"")</f>
        <v/>
      </c>
    </row>
    <row r="3981">
      <c r="A3981" s="91" t="n"/>
      <c r="B3981" s="111">
        <f>MAX(0,N('Deal maths'!M1984))</f>
        <v/>
      </c>
      <c r="C3981" s="91">
        <f>IF(B3981&gt;0,IF('Deal maths'!L1984="Local authority","Local authorities",LOWER(TRIM('Deal maths'!K1984))),"")</f>
        <v/>
      </c>
      <c r="D3981" s="91">
        <f>IF(C3981="","",IF(COUNTIF($C$4:C3980,C3981)=0,SUMIF($C$4:$C$3997,C3981,$B$4:$B$3997)-ROW()/1000000,""))</f>
        <v/>
      </c>
      <c r="E3981" s="91">
        <f>IF(N('Deal maths'!M1984)&gt;0,ROW()/10000000,"")</f>
        <v/>
      </c>
    </row>
    <row r="3982">
      <c r="A3982" s="91" t="n"/>
      <c r="B3982" s="111">
        <f>MAX(0,N('Deal maths'!M1985))</f>
        <v/>
      </c>
      <c r="C3982" s="91">
        <f>IF(B3982&gt;0,IF('Deal maths'!L1985="Local authority","Local authorities",LOWER(TRIM('Deal maths'!K1985))),"")</f>
        <v/>
      </c>
      <c r="D3982" s="91">
        <f>IF(C3982="","",IF(COUNTIF($C$4:C3981,C3982)=0,SUMIF($C$4:$C$3997,C3982,$B$4:$B$3997)-ROW()/1000000,""))</f>
        <v/>
      </c>
      <c r="E3982" s="91">
        <f>IF(N('Deal maths'!M1985)&gt;0,ROW()/10000000,"")</f>
        <v/>
      </c>
    </row>
    <row r="3983">
      <c r="A3983" s="91" t="n"/>
      <c r="B3983" s="111">
        <f>MAX(0,N('Deal maths'!M1986))</f>
        <v/>
      </c>
      <c r="C3983" s="91">
        <f>IF(B3983&gt;0,IF('Deal maths'!L1986="Local authority","Local authorities",LOWER(TRIM('Deal maths'!K1986))),"")</f>
        <v/>
      </c>
      <c r="D3983" s="91">
        <f>IF(C3983="","",IF(COUNTIF($C$4:C3982,C3983)=0,SUMIF($C$4:$C$3997,C3983,$B$4:$B$3997)-ROW()/1000000,""))</f>
        <v/>
      </c>
      <c r="E3983" s="91">
        <f>IF(N('Deal maths'!M1986)&gt;0,ROW()/10000000,"")</f>
        <v/>
      </c>
    </row>
    <row r="3984">
      <c r="A3984" s="91" t="n"/>
      <c r="B3984" s="111">
        <f>MAX(0,N('Deal maths'!M1987))</f>
        <v/>
      </c>
      <c r="C3984" s="91">
        <f>IF(B3984&gt;0,IF('Deal maths'!L1987="Local authority","Local authorities",LOWER(TRIM('Deal maths'!K1987))),"")</f>
        <v/>
      </c>
      <c r="D3984" s="91">
        <f>IF(C3984="","",IF(COUNTIF($C$4:C3983,C3984)=0,SUMIF($C$4:$C$3997,C3984,$B$4:$B$3997)-ROW()/1000000,""))</f>
        <v/>
      </c>
      <c r="E3984" s="91">
        <f>IF(N('Deal maths'!M1987)&gt;0,ROW()/10000000,"")</f>
        <v/>
      </c>
    </row>
    <row r="3985">
      <c r="A3985" s="91" t="n"/>
      <c r="B3985" s="111">
        <f>MAX(0,N('Deal maths'!M1988))</f>
        <v/>
      </c>
      <c r="C3985" s="91">
        <f>IF(B3985&gt;0,IF('Deal maths'!L1988="Local authority","Local authorities",LOWER(TRIM('Deal maths'!K1988))),"")</f>
        <v/>
      </c>
      <c r="D3985" s="91">
        <f>IF(C3985="","",IF(COUNTIF($C$4:C3984,C3985)=0,SUMIF($C$4:$C$3997,C3985,$B$4:$B$3997)-ROW()/1000000,""))</f>
        <v/>
      </c>
      <c r="E3985" s="91">
        <f>IF(N('Deal maths'!M1988)&gt;0,ROW()/10000000,"")</f>
        <v/>
      </c>
    </row>
    <row r="3986">
      <c r="A3986" s="91" t="n"/>
      <c r="B3986" s="111">
        <f>MAX(0,N('Deal maths'!M1989))</f>
        <v/>
      </c>
      <c r="C3986" s="91">
        <f>IF(B3986&gt;0,IF('Deal maths'!L1989="Local authority","Local authorities",LOWER(TRIM('Deal maths'!K1989))),"")</f>
        <v/>
      </c>
      <c r="D3986" s="91">
        <f>IF(C3986="","",IF(COUNTIF($C$4:C3985,C3986)=0,SUMIF($C$4:$C$3997,C3986,$B$4:$B$3997)-ROW()/1000000,""))</f>
        <v/>
      </c>
      <c r="E3986" s="91">
        <f>IF(N('Deal maths'!M1989)&gt;0,ROW()/10000000,"")</f>
        <v/>
      </c>
    </row>
    <row r="3987">
      <c r="A3987" s="91" t="n"/>
      <c r="B3987" s="111">
        <f>MAX(0,N('Deal maths'!M1990))</f>
        <v/>
      </c>
      <c r="C3987" s="91">
        <f>IF(B3987&gt;0,IF('Deal maths'!L1990="Local authority","Local authorities",LOWER(TRIM('Deal maths'!K1990))),"")</f>
        <v/>
      </c>
      <c r="D3987" s="91">
        <f>IF(C3987="","",IF(COUNTIF($C$4:C3986,C3987)=0,SUMIF($C$4:$C$3997,C3987,$B$4:$B$3997)-ROW()/1000000,""))</f>
        <v/>
      </c>
      <c r="E3987" s="91">
        <f>IF(N('Deal maths'!M1990)&gt;0,ROW()/10000000,"")</f>
        <v/>
      </c>
    </row>
    <row r="3988">
      <c r="A3988" s="91" t="n"/>
      <c r="B3988" s="111">
        <f>MAX(0,N('Deal maths'!M1991))</f>
        <v/>
      </c>
      <c r="C3988" s="91">
        <f>IF(B3988&gt;0,IF('Deal maths'!L1991="Local authority","Local authorities",LOWER(TRIM('Deal maths'!K1991))),"")</f>
        <v/>
      </c>
      <c r="D3988" s="91">
        <f>IF(C3988="","",IF(COUNTIF($C$4:C3987,C3988)=0,SUMIF($C$4:$C$3997,C3988,$B$4:$B$3997)-ROW()/1000000,""))</f>
        <v/>
      </c>
      <c r="E3988" s="91">
        <f>IF(N('Deal maths'!M1991)&gt;0,ROW()/10000000,"")</f>
        <v/>
      </c>
    </row>
    <row r="3989">
      <c r="A3989" s="91" t="n"/>
      <c r="B3989" s="111">
        <f>MAX(0,N('Deal maths'!M1992))</f>
        <v/>
      </c>
      <c r="C3989" s="91">
        <f>IF(B3989&gt;0,IF('Deal maths'!L1992="Local authority","Local authorities",LOWER(TRIM('Deal maths'!K1992))),"")</f>
        <v/>
      </c>
      <c r="D3989" s="91">
        <f>IF(C3989="","",IF(COUNTIF($C$4:C3988,C3989)=0,SUMIF($C$4:$C$3997,C3989,$B$4:$B$3997)-ROW()/1000000,""))</f>
        <v/>
      </c>
      <c r="E3989" s="91">
        <f>IF(N('Deal maths'!M1992)&gt;0,ROW()/10000000,"")</f>
        <v/>
      </c>
    </row>
    <row r="3990">
      <c r="A3990" s="91" t="n"/>
      <c r="B3990" s="111">
        <f>MAX(0,N('Deal maths'!M1993))</f>
        <v/>
      </c>
      <c r="C3990" s="91">
        <f>IF(B3990&gt;0,IF('Deal maths'!L1993="Local authority","Local authorities",LOWER(TRIM('Deal maths'!K1993))),"")</f>
        <v/>
      </c>
      <c r="D3990" s="91">
        <f>IF(C3990="","",IF(COUNTIF($C$4:C3989,C3990)=0,SUMIF($C$4:$C$3997,C3990,$B$4:$B$3997)-ROW()/1000000,""))</f>
        <v/>
      </c>
      <c r="E3990" s="91">
        <f>IF(N('Deal maths'!M1993)&gt;0,ROW()/10000000,"")</f>
        <v/>
      </c>
    </row>
    <row r="3991">
      <c r="A3991" s="91" t="n"/>
      <c r="B3991" s="111">
        <f>MAX(0,N('Deal maths'!M1994))</f>
        <v/>
      </c>
      <c r="C3991" s="91">
        <f>IF(B3991&gt;0,IF('Deal maths'!L1994="Local authority","Local authorities",LOWER(TRIM('Deal maths'!K1994))),"")</f>
        <v/>
      </c>
      <c r="D3991" s="91">
        <f>IF(C3991="","",IF(COUNTIF($C$4:C3990,C3991)=0,SUMIF($C$4:$C$3997,C3991,$B$4:$B$3997)-ROW()/1000000,""))</f>
        <v/>
      </c>
      <c r="E3991" s="91">
        <f>IF(N('Deal maths'!M1994)&gt;0,ROW()/10000000,"")</f>
        <v/>
      </c>
    </row>
    <row r="3992">
      <c r="A3992" s="91" t="n"/>
      <c r="B3992" s="111">
        <f>MAX(0,N('Deal maths'!M1995))</f>
        <v/>
      </c>
      <c r="C3992" s="91">
        <f>IF(B3992&gt;0,IF('Deal maths'!L1995="Local authority","Local authorities",LOWER(TRIM('Deal maths'!K1995))),"")</f>
        <v/>
      </c>
      <c r="D3992" s="91">
        <f>IF(C3992="","",IF(COUNTIF($C$4:C3991,C3992)=0,SUMIF($C$4:$C$3997,C3992,$B$4:$B$3997)-ROW()/1000000,""))</f>
        <v/>
      </c>
      <c r="E3992" s="91">
        <f>IF(N('Deal maths'!M1995)&gt;0,ROW()/10000000,"")</f>
        <v/>
      </c>
    </row>
    <row r="3993">
      <c r="A3993" s="91" t="n"/>
      <c r="B3993" s="111">
        <f>MAX(0,N('Deal maths'!M1996))</f>
        <v/>
      </c>
      <c r="C3993" s="91">
        <f>IF(B3993&gt;0,IF('Deal maths'!L1996="Local authority","Local authorities",LOWER(TRIM('Deal maths'!K1996))),"")</f>
        <v/>
      </c>
      <c r="D3993" s="91">
        <f>IF(C3993="","",IF(COUNTIF($C$4:C3992,C3993)=0,SUMIF($C$4:$C$3997,C3993,$B$4:$B$3997)-ROW()/1000000,""))</f>
        <v/>
      </c>
      <c r="E3993" s="91">
        <f>IF(N('Deal maths'!M1996)&gt;0,ROW()/10000000,"")</f>
        <v/>
      </c>
    </row>
    <row r="3994">
      <c r="A3994" s="91" t="n"/>
      <c r="B3994" s="111">
        <f>MAX(0,N('Deal maths'!M1997))</f>
        <v/>
      </c>
      <c r="C3994" s="91">
        <f>IF(B3994&gt;0,IF('Deal maths'!L1997="Local authority","Local authorities",LOWER(TRIM('Deal maths'!K1997))),"")</f>
        <v/>
      </c>
      <c r="D3994" s="91">
        <f>IF(C3994="","",IF(COUNTIF($C$4:C3993,C3994)=0,SUMIF($C$4:$C$3997,C3994,$B$4:$B$3997)-ROW()/1000000,""))</f>
        <v/>
      </c>
      <c r="E3994" s="91">
        <f>IF(N('Deal maths'!M1997)&gt;0,ROW()/10000000,"")</f>
        <v/>
      </c>
    </row>
    <row r="3995">
      <c r="A3995" s="91" t="n"/>
      <c r="B3995" s="111">
        <f>MAX(0,N('Deal maths'!M1998))</f>
        <v/>
      </c>
      <c r="C3995" s="91">
        <f>IF(B3995&gt;0,IF('Deal maths'!L1998="Local authority","Local authorities",LOWER(TRIM('Deal maths'!K1998))),"")</f>
        <v/>
      </c>
      <c r="D3995" s="91">
        <f>IF(C3995="","",IF(COUNTIF($C$4:C3994,C3995)=0,SUMIF($C$4:$C$3997,C3995,$B$4:$B$3997)-ROW()/1000000,""))</f>
        <v/>
      </c>
      <c r="E3995" s="91">
        <f>IF(N('Deal maths'!M1998)&gt;0,ROW()/10000000,"")</f>
        <v/>
      </c>
    </row>
    <row r="3996">
      <c r="A3996" s="91" t="n"/>
      <c r="B3996" s="111">
        <f>MAX(0,N('Deal maths'!M1999))</f>
        <v/>
      </c>
      <c r="C3996" s="91">
        <f>IF(B3996&gt;0,IF('Deal maths'!L1999="Local authority","Local authorities",LOWER(TRIM('Deal maths'!K1999))),"")</f>
        <v/>
      </c>
      <c r="D3996" s="91">
        <f>IF(C3996="","",IF(COUNTIF($C$4:C3995,C3996)=0,SUMIF($C$4:$C$3997,C3996,$B$4:$B$3997)-ROW()/1000000,""))</f>
        <v/>
      </c>
      <c r="E3996" s="91">
        <f>IF(N('Deal maths'!M1999)&gt;0,ROW()/10000000,"")</f>
        <v/>
      </c>
    </row>
    <row r="3997">
      <c r="A3997" s="91" t="n"/>
      <c r="B3997" s="111">
        <f>MAX(0,N('Deal maths'!M2000))</f>
        <v/>
      </c>
      <c r="C3997" s="91">
        <f>IF(B3997&gt;0,IF('Deal maths'!L2000="Local authority","Local authorities",LOWER(TRIM('Deal maths'!K2000))),"")</f>
        <v/>
      </c>
      <c r="D3997" s="91">
        <f>IF(C3997="","",IF(COUNTIF($C$4:C3996,C3997)=0,SUMIF($C$4:$C$3997,C3997,$B$4:$B$3997)-ROW()/1000000,""))</f>
        <v/>
      </c>
      <c r="E3997" s="91">
        <f>IF(N('Deal maths'!M2000)&gt;0,ROW()/10000000,"")</f>
        <v/>
      </c>
    </row>
  </sheetData>
  <sheetProtection selectLockedCells="0" selectUnlockedCells="0" sheet="1" objects="0" insertRows="1" insertHyperlinks="1" autoFilter="1" scenarios="0" formatColumns="0" deleteColumns="1" insertColumns="1" pivotTables="1" deleteRows="1" formatCells="1" formatRows="0" sort="1"/>
  <mergeCells count="1">
    <mergeCell ref="A2:F2"/>
  </mergeCell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8A97A5"/>
    <outlinePr summaryBelow="1" summaryRight="1"/>
    <pageSetUpPr fitToPage="1"/>
  </sheetPr>
  <dimension ref="A1:L11"/>
  <sheetViews>
    <sheetView showGridLines="0" workbookViewId="0">
      <selection activeCell="A1" sqref="A1"/>
    </sheetView>
  </sheetViews>
  <sheetFormatPr baseColWidth="8" defaultRowHeight="15"/>
  <cols>
    <col width="25" customWidth="1" min="1" max="1"/>
    <col width="19" customWidth="1" min="2" max="2"/>
    <col width="16" customWidth="1" min="3" max="3"/>
    <col width="19" customWidth="1" min="4" max="4"/>
    <col width="22" customWidth="1" min="5" max="5"/>
    <col width="17" customWidth="1" min="6" max="6"/>
    <col width="16" customWidth="1" min="7" max="7"/>
    <col width="16" customWidth="1" min="8" max="8"/>
    <col width="16" customWidth="1" min="9" max="9"/>
    <col width="16" customWidth="1" min="10" max="10"/>
  </cols>
  <sheetData>
    <row r="1" ht="36" customHeight="1">
      <c r="A1" s="21" t="inlineStr">
        <is>
          <t>Lists</t>
        </is>
      </c>
      <c r="B1" s="2" t="n"/>
      <c r="C1" s="2" t="n"/>
      <c r="D1" s="2" t="n"/>
      <c r="E1" s="2" t="n"/>
      <c r="F1" s="2" t="n"/>
      <c r="G1" s="2" t="n"/>
      <c r="H1" s="2" t="n"/>
      <c r="I1" s="2" t="n"/>
      <c r="J1" s="22" t="inlineStr">
        <is>
          <t>the drop-down words, read exactly</t>
        </is>
      </c>
      <c r="L1" s="23" t="inlineStr">
        <is>
          <t>◂ Start here</t>
        </is>
      </c>
    </row>
    <row r="2">
      <c r="A2" s="26" t="inlineStr">
        <is>
          <t>The drop-down lists. The page reads these words exactly; add to a list only if the page is updated to know the new word.</t>
        </is>
      </c>
    </row>
    <row r="3">
      <c r="A3" s="9" t="inlineStr">
        <is>
          <t>TermTypes</t>
        </is>
      </c>
      <c r="B3" s="9" t="inlineStr">
        <is>
          <t>CounterpartyTypes</t>
        </is>
      </c>
      <c r="C3" s="9" t="inlineStr">
        <is>
          <t>HRAOptions</t>
        </is>
      </c>
      <c r="D3" s="9" t="inlineStr">
        <is>
          <t>CallTypes</t>
        </is>
      </c>
      <c r="E3" s="9" t="inlineStr">
        <is>
          <t>LoanTypes</t>
        </is>
      </c>
      <c r="F3" s="9" t="inlineStr">
        <is>
          <t>LenderTypes</t>
        </is>
      </c>
      <c r="G3" s="9" t="inlineStr">
        <is>
          <t>Profiles</t>
        </is>
      </c>
      <c r="H3" s="9" t="inlineStr">
        <is>
          <t>Frequencies</t>
        </is>
      </c>
      <c r="I3" s="9" t="inlineStr">
        <is>
          <t>Funds</t>
        </is>
      </c>
      <c r="J3" s="9" t="inlineStr">
        <is>
          <t>FundTypes</t>
        </is>
      </c>
    </row>
    <row r="4">
      <c r="A4" s="115" t="inlineStr">
        <is>
          <t>Fixed deposit</t>
        </is>
      </c>
      <c r="B4" s="115" t="inlineStr">
        <is>
          <t>UK bank</t>
        </is>
      </c>
      <c r="C4" s="115" t="inlineStr">
        <is>
          <t>None</t>
        </is>
      </c>
      <c r="D4" s="115" t="inlineStr">
        <is>
          <t>Call account</t>
        </is>
      </c>
      <c r="E4" s="115" t="inlineStr">
        <is>
          <t>PWLB fixed</t>
        </is>
      </c>
      <c r="F4" s="115" t="inlineStr">
        <is>
          <t>PWLB</t>
        </is>
      </c>
      <c r="G4" s="115" t="inlineStr">
        <is>
          <t>Maturity</t>
        </is>
      </c>
      <c r="H4" s="115" t="inlineStr">
        <is>
          <t>Half-yearly</t>
        </is>
      </c>
      <c r="I4" s="115" t="inlineStr">
        <is>
          <t>General Fund</t>
        </is>
      </c>
      <c r="J4" s="115" t="inlineStr">
        <is>
          <t>Property</t>
        </is>
      </c>
    </row>
    <row r="5">
      <c r="A5" s="115" t="inlineStr">
        <is>
          <t>Certificate of deposit</t>
        </is>
      </c>
      <c r="B5" s="115" t="inlineStr">
        <is>
          <t>Overseas bank</t>
        </is>
      </c>
      <c r="C5" s="115" t="inlineStr">
        <is>
          <t>One pool</t>
        </is>
      </c>
      <c r="D5" s="115" t="inlineStr">
        <is>
          <t>Notice account</t>
        </is>
      </c>
      <c r="E5" s="115" t="inlineStr">
        <is>
          <t>LOBO</t>
        </is>
      </c>
      <c r="F5" s="115" t="inlineStr">
        <is>
          <t>Local authority</t>
        </is>
      </c>
      <c r="G5" s="115" t="inlineStr">
        <is>
          <t>EIP</t>
        </is>
      </c>
      <c r="H5" s="115" t="inlineStr">
        <is>
          <t>Annual</t>
        </is>
      </c>
      <c r="I5" s="115" t="inlineStr">
        <is>
          <t>HRA</t>
        </is>
      </c>
      <c r="J5" s="115" t="inlineStr">
        <is>
          <t>Multi-asset</t>
        </is>
      </c>
    </row>
    <row r="6">
      <c r="A6" s="115" t="inlineStr">
        <is>
          <t>Treasury bill</t>
        </is>
      </c>
      <c r="B6" s="115" t="inlineStr">
        <is>
          <t>Building society</t>
        </is>
      </c>
      <c r="C6" s="115" t="inlineStr">
        <is>
          <t>Two pools</t>
        </is>
      </c>
      <c r="D6" s="115" t="inlineStr">
        <is>
          <t>Money market fund</t>
        </is>
      </c>
      <c r="E6" s="115" t="inlineStr">
        <is>
          <t>Market loan</t>
        </is>
      </c>
      <c r="F6" s="115" t="inlineStr">
        <is>
          <t>UK bank</t>
        </is>
      </c>
      <c r="G6" s="115" t="inlineStr">
        <is>
          <t>Annuity</t>
        </is>
      </c>
      <c r="H6" s="115" t="inlineStr">
        <is>
          <t>Quarterly</t>
        </is>
      </c>
      <c r="J6" s="115" t="inlineStr">
        <is>
          <t>Equity income</t>
        </is>
      </c>
    </row>
    <row r="7">
      <c r="A7" s="115" t="inlineStr">
        <is>
          <t>Gilt</t>
        </is>
      </c>
      <c r="B7" s="115" t="inlineStr">
        <is>
          <t>Local authority</t>
        </is>
      </c>
      <c r="D7" s="115" t="inlineStr">
        <is>
          <t>Deposit account</t>
        </is>
      </c>
      <c r="E7" s="115" t="inlineStr">
        <is>
          <t>Local authority loan</t>
        </is>
      </c>
      <c r="F7" s="115" t="inlineStr">
        <is>
          <t>Overseas bank</t>
        </is>
      </c>
      <c r="J7" s="115" t="inlineStr">
        <is>
          <t>Bond</t>
        </is>
      </c>
    </row>
    <row r="8">
      <c r="A8" s="115" t="inlineStr">
        <is>
          <t>Bond</t>
        </is>
      </c>
      <c r="B8" s="115" t="inlineStr">
        <is>
          <t>UK Government</t>
        </is>
      </c>
      <c r="E8" s="115" t="inlineStr">
        <is>
          <t>Temporary borrowing</t>
        </is>
      </c>
      <c r="F8" s="115" t="inlineStr">
        <is>
          <t>Other</t>
        </is>
      </c>
      <c r="J8" s="115" t="inlineStr">
        <is>
          <t>Cash plus</t>
        </is>
      </c>
    </row>
    <row r="9">
      <c r="A9" s="115" t="inlineStr">
        <is>
          <t>Loan to local authority</t>
        </is>
      </c>
      <c r="B9" s="115" t="inlineStr">
        <is>
          <t>Money market fund</t>
        </is>
      </c>
      <c r="E9" s="115" t="inlineStr">
        <is>
          <t>Other</t>
        </is>
      </c>
      <c r="J9" s="115" t="inlineStr">
        <is>
          <t>Other</t>
        </is>
      </c>
    </row>
    <row r="10">
      <c r="A10" s="115" t="inlineStr">
        <is>
          <t>Other</t>
        </is>
      </c>
      <c r="B10" s="115" t="inlineStr">
        <is>
          <t>Pooled fund</t>
        </is>
      </c>
    </row>
    <row r="11">
      <c r="B11" s="115" t="inlineStr">
        <is>
          <t>Other</t>
        </is>
      </c>
    </row>
  </sheetData>
  <sheetProtection selectLockedCells="0" selectUnlockedCells="0" sheet="1" objects="0" insertRows="1" insertHyperlinks="1" autoFilter="1" scenarios="0" formatColumns="0" deleteColumns="1" insertColumns="1" pivotTables="1" deleteRows="1" formatCells="1" formatRows="0" sort="1"/>
  <hyperlinks>
    <hyperlink xmlns:r="http://schemas.openxmlformats.org/officeDocument/2006/relationships" ref="L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PWLBreports</dc:creator>
  <dcterms:created xmlns:dcterms="http://purl.org/dc/terms/" xmlns:xsi="http://www.w3.org/2001/XMLSchema-instance" xsi:type="dcterms:W3CDTF">2026-10-01T00:00:00Z</dcterms:created>
  <dcterms:modified xmlns:dcterms="http://purl.org/dc/terms/" xmlns:xsi="http://www.w3.org/2001/XMLSchema-instance" xsi:type="dcterms:W3CDTF">2026-10-09T16:55:05Z</dcterms:modified>
  <cp:lastModifiedBy>PWLBreports</cp:lastModifiedBy>
</cp:coreProperties>
</file>